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0"/>
  </bookViews>
  <sheets>
    <sheet name="说明" sheetId="1" state="visible" r:id="rId3"/>
    <sheet name="参数" sheetId="2" state="visible" r:id="rId4"/>
    <sheet name="门店对照" sheetId="3" state="visible" r:id="rId5"/>
    <sheet name="科目对照收入" sheetId="4" state="visible" r:id="rId6"/>
    <sheet name="科目对照回款" sheetId="5" state="visible" r:id="rId7"/>
    <sheet name="输入海典" sheetId="6" state="visible" r:id="rId8"/>
    <sheet name="输入聚合" sheetId="7" state="visible" r:id="rId9"/>
    <sheet name="输入平台" sheetId="8" state="visible" r:id="rId10"/>
    <sheet name="输入现金" sheetId="9" state="visible" r:id="rId11"/>
    <sheet name="输入回款" sheetId="10" state="visible" r:id="rId12"/>
    <sheet name="输入报销" sheetId="11" state="visible" r:id="rId13"/>
    <sheet name="海典汇总" sheetId="12" state="hidden" r:id="rId14"/>
    <sheet name="分录收入" sheetId="13" state="hidden" r:id="rId15"/>
    <sheet name="助手收入" sheetId="14" state="hidden" r:id="rId16"/>
    <sheet name="凭证收入" sheetId="15" state="visible" r:id="rId17"/>
    <sheet name="分录回款" sheetId="16" state="hidden" r:id="rId18"/>
    <sheet name="助手回款" sheetId="17" state="hidden" r:id="rId19"/>
    <sheet name="凭证回款" sheetId="18" state="visible" r:id="rId20"/>
    <sheet name="分录报销" sheetId="19" state="hidden" r:id="rId21"/>
    <sheet name="助手报销" sheetId="20" state="hidden" r:id="rId22"/>
    <sheet name="凭证报销" sheetId="21" state="visible" r:id="rId23"/>
    <sheet name="核对" sheetId="22" state="visible" r:id="rId24"/>
  </sheets>
  <definedNames>
    <definedName function="false" hidden="false" localSheetId="17" name="_xlnm.Print_Area" vbProcedure="false">凭证回款!$B$1:$I$3149</definedName>
    <definedName function="false" hidden="false" localSheetId="20" name="_xlnm.Print_Area" vbProcedure="false">凭证报销!$B$1:$I$2999</definedName>
    <definedName function="false" hidden="false" localSheetId="14" name="_xlnm.Print_Area" vbProcedure="false">凭证收入!$B$1:$I$4199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<sst xmlns="http://schemas.openxmlformats.org/spreadsheetml/2006/main" count="5647" uniqueCount="508">
  <si>
    <t xml:space="preserve">记账凭证自动生成器</t>
  </si>
  <si>
    <r>
      <rPr>
        <b val="true"/>
        <sz val="11"/>
        <rFont val="WenQuanYi Zen Hei"/>
        <family val="2"/>
      </rPr>
      <t xml:space="preserve">【每月只做 </t>
    </r>
    <r>
      <rPr>
        <b val="true"/>
        <sz val="11"/>
        <rFont val="宋体"/>
        <family val="0"/>
        <charset val="134"/>
      </rPr>
      <t xml:space="preserve">4 </t>
    </r>
    <r>
      <rPr>
        <b val="true"/>
        <sz val="11"/>
        <rFont val="WenQuanYi Zen Hei"/>
        <family val="2"/>
      </rPr>
      <t xml:space="preserve">件事】</t>
    </r>
  </si>
  <si>
    <r>
      <rPr>
        <sz val="11"/>
        <rFont val="宋体"/>
        <family val="0"/>
        <charset val="134"/>
      </rPr>
      <t xml:space="preserve">  1. </t>
    </r>
    <r>
      <rPr>
        <sz val="11"/>
        <rFont val="WenQuanYi Zen Hei"/>
        <family val="2"/>
      </rPr>
      <t xml:space="preserve">把海典零售导出的“日报明细”整表（含表头）粘到  输入海典  页签的 </t>
    </r>
    <r>
      <rPr>
        <sz val="11"/>
        <rFont val="宋体"/>
        <family val="0"/>
        <charset val="134"/>
      </rPr>
      <t xml:space="preserve">A1</t>
    </r>
    <r>
      <rPr>
        <sz val="11"/>
        <rFont val="WenQuanYi Zen Hei"/>
        <family val="2"/>
      </rPr>
      <t xml:space="preserve">（最后那行“总计”不要粘）；</t>
    </r>
  </si>
  <si>
    <r>
      <rPr>
        <sz val="11"/>
        <rFont val="宋体"/>
        <family val="0"/>
        <charset val="134"/>
      </rPr>
      <t xml:space="preserve">  2. </t>
    </r>
    <r>
      <rPr>
        <sz val="11"/>
        <rFont val="WenQuanYi Zen Hei"/>
        <family val="2"/>
      </rPr>
      <t xml:space="preserve">把聚合支付平台导出的门店汇总填到  输入聚合 （编码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交易金额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服务费）；</t>
    </r>
  </si>
  <si>
    <r>
      <rPr>
        <sz val="11"/>
        <rFont val="宋体"/>
        <family val="0"/>
        <charset val="134"/>
      </rPr>
      <t xml:space="preserve">  3. </t>
    </r>
    <r>
      <rPr>
        <sz val="11"/>
        <rFont val="WenQuanYi Zen Hei"/>
        <family val="2"/>
      </rPr>
      <t xml:space="preserve">把各店网银现金合计填到  输入现金 ；回款表填到  输入回款 ；报销单填到  输入报销 ；</t>
    </r>
  </si>
  <si>
    <r>
      <rPr>
        <sz val="11"/>
        <rFont val="宋体"/>
        <family val="0"/>
        <charset val="134"/>
      </rPr>
      <t xml:space="preserve">  4. </t>
    </r>
    <r>
      <rPr>
        <sz val="11"/>
        <rFont val="WenQuanYi Zen Hei"/>
        <family val="2"/>
      </rPr>
      <t xml:space="preserve">到  参数  页签改一下会计日期和摘要 —— 三套凭证就自动出来了。</t>
    </r>
  </si>
  <si>
    <t xml:space="preserve">【凭证在这三个页签】</t>
  </si>
  <si>
    <r>
      <rPr>
        <sz val="11"/>
        <rFont val="WenQuanYi Zen Hei"/>
        <family val="2"/>
      </rPr>
      <t xml:space="preserve">   凭证收入 　凭证回款 　凭证报销 　（版式和你现在手写的记账凭证一致，每页 </t>
    </r>
    <r>
      <rPr>
        <sz val="11"/>
        <rFont val="宋体"/>
        <family val="0"/>
        <charset val="134"/>
      </rPr>
      <t xml:space="preserve">6 </t>
    </r>
    <r>
      <rPr>
        <sz val="11"/>
        <rFont val="WenQuanYi Zen Hei"/>
        <family val="2"/>
      </rPr>
      <t xml:space="preserve">行分录，超过自动接下一页，合计只出现在最后一页）</t>
    </r>
  </si>
  <si>
    <r>
      <rPr>
        <sz val="11"/>
        <rFont val="WenQuanYi Zen Hei"/>
        <family val="2"/>
      </rPr>
      <t xml:space="preserve">   每张凭证已设好分页符（</t>
    </r>
    <r>
      <rPr>
        <sz val="11"/>
        <rFont val="宋体"/>
        <family val="0"/>
        <charset val="134"/>
      </rPr>
      <t xml:space="preserve">A5 </t>
    </r>
    <r>
      <rPr>
        <sz val="11"/>
        <rFont val="WenQuanYi Zen Hei"/>
        <family val="2"/>
      </rPr>
      <t xml:space="preserve">横向 </t>
    </r>
    <r>
      <rPr>
        <sz val="11"/>
        <rFont val="宋体"/>
        <family val="0"/>
        <charset val="134"/>
      </rPr>
      <t xml:space="preserve">= </t>
    </r>
    <r>
      <rPr>
        <sz val="11"/>
        <rFont val="WenQuanYi Zen Hei"/>
        <family val="2"/>
      </rPr>
      <t xml:space="preserve">标准凭证纸）：打印时选“页码范围 </t>
    </r>
    <r>
      <rPr>
        <sz val="11"/>
        <rFont val="宋体"/>
        <family val="0"/>
        <charset val="134"/>
      </rPr>
      <t xml:space="preserve">1 </t>
    </r>
    <r>
      <rPr>
        <sz val="11"/>
        <rFont val="WenQuanYi Zen Hei"/>
        <family val="2"/>
      </rPr>
      <t xml:space="preserve">到 </t>
    </r>
    <r>
      <rPr>
        <sz val="11"/>
        <rFont val="宋体"/>
        <family val="0"/>
        <charset val="134"/>
      </rPr>
      <t xml:space="preserve">N”</t>
    </r>
    <r>
      <rPr>
        <sz val="11"/>
        <rFont val="WenQuanYi Zen Hei"/>
        <family val="2"/>
      </rPr>
      <t xml:space="preserve">，</t>
    </r>
    <r>
      <rPr>
        <sz val="11"/>
        <rFont val="宋体"/>
        <family val="0"/>
        <charset val="134"/>
      </rPr>
      <t xml:space="preserve">N </t>
    </r>
    <r>
      <rPr>
        <sz val="11"/>
        <rFont val="WenQuanYi Zen Hei"/>
        <family val="2"/>
      </rPr>
      <t xml:space="preserve">见  参数  页签的“共几页”。</t>
    </r>
  </si>
  <si>
    <t xml:space="preserve">【换月份怎么做】</t>
  </si>
  <si>
    <r>
      <rPr>
        <sz val="11"/>
        <rFont val="WenQuanYi Zen Hei"/>
        <family val="2"/>
      </rPr>
      <t xml:space="preserve">   先把上个月的数据整行删掉（输入海典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输入聚合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输入现金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输入回款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输入报销 这 </t>
    </r>
    <r>
      <rPr>
        <sz val="11"/>
        <rFont val="宋体"/>
        <family val="0"/>
        <charset val="134"/>
      </rPr>
      <t xml:space="preserve">5 </t>
    </r>
    <r>
      <rPr>
        <sz val="11"/>
        <rFont val="WenQuanYi Zen Hei"/>
        <family val="2"/>
      </rPr>
      <t xml:space="preserve">页），再粘新的；</t>
    </r>
  </si>
  <si>
    <r>
      <rPr>
        <sz val="11"/>
        <rFont val="WenQuanYi Zen Hei"/>
        <family val="2"/>
      </rPr>
      <t xml:space="preserve">   删的时候选中行号右键“删除”，不要只按 </t>
    </r>
    <r>
      <rPr>
        <sz val="11"/>
        <rFont val="宋体"/>
        <family val="0"/>
        <charset val="134"/>
      </rPr>
      <t xml:space="preserve">Delete </t>
    </r>
    <r>
      <rPr>
        <sz val="11"/>
        <rFont val="WenQuanYi Zen Hei"/>
        <family val="2"/>
      </rPr>
      <t xml:space="preserve">键留下空行——留空行不影响结果，但看着乱。</t>
    </r>
  </si>
  <si>
    <r>
      <rPr>
        <sz val="11"/>
        <rFont val="WenQuanYi Zen Hei"/>
        <family val="2"/>
      </rPr>
      <t xml:space="preserve">   中间计算过程放在隐藏的 海典汇总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分录</t>
    </r>
    <r>
      <rPr>
        <sz val="11"/>
        <rFont val="宋体"/>
        <family val="0"/>
        <charset val="134"/>
      </rPr>
      <t xml:space="preserve">x / </t>
    </r>
    <r>
      <rPr>
        <sz val="11"/>
        <rFont val="WenQuanYi Zen Hei"/>
        <family val="2"/>
      </rPr>
      <t xml:space="preserve">助手</t>
    </r>
    <r>
      <rPr>
        <sz val="11"/>
        <rFont val="宋体"/>
        <family val="0"/>
        <charset val="134"/>
      </rPr>
      <t xml:space="preserve">x </t>
    </r>
    <r>
      <rPr>
        <sz val="11"/>
        <rFont val="WenQuanYi Zen Hei"/>
        <family val="2"/>
      </rPr>
      <t xml:space="preserve">页里，想看就在页签上右键“取消隐藏”。</t>
    </r>
  </si>
  <si>
    <t xml:space="preserve">【测试用例】</t>
  </si>
  <si>
    <r>
      <rPr>
        <sz val="11"/>
        <rFont val="WenQuanYi Zen Hei"/>
        <family val="2"/>
      </rPr>
      <t xml:space="preserve">   文件里内置了三类凭证各 </t>
    </r>
    <r>
      <rPr>
        <sz val="11"/>
        <rFont val="宋体"/>
        <family val="0"/>
        <charset val="134"/>
      </rPr>
      <t xml:space="preserve">10 </t>
    </r>
    <r>
      <rPr>
        <sz val="11"/>
        <rFont val="WenQuanYi Zen Hei"/>
        <family val="2"/>
      </rPr>
      <t xml:space="preserve">个测试例子（测试</t>
    </r>
    <r>
      <rPr>
        <sz val="11"/>
        <rFont val="宋体"/>
        <family val="0"/>
        <charset val="134"/>
      </rPr>
      <t xml:space="preserve">1</t>
    </r>
    <r>
      <rPr>
        <sz val="11"/>
        <rFont val="WenQuanYi Zen Hei"/>
        <family val="2"/>
      </rPr>
      <t xml:space="preserve">店</t>
    </r>
    <r>
      <rPr>
        <sz val="11"/>
        <rFont val="宋体"/>
        <family val="0"/>
        <charset val="134"/>
      </rPr>
      <t xml:space="preserve">~</t>
    </r>
    <r>
      <rPr>
        <sz val="11"/>
        <rFont val="WenQuanYi Zen Hei"/>
        <family val="2"/>
      </rPr>
      <t xml:space="preserve">测试</t>
    </r>
    <r>
      <rPr>
        <sz val="11"/>
        <rFont val="宋体"/>
        <family val="0"/>
        <charset val="134"/>
      </rPr>
      <t xml:space="preserve">10</t>
    </r>
    <r>
      <rPr>
        <sz val="11"/>
        <rFont val="WenQuanYi Zen Hei"/>
        <family val="2"/>
      </rPr>
      <t xml:space="preserve">店、报销第</t>
    </r>
    <r>
      <rPr>
        <sz val="11"/>
        <rFont val="宋体"/>
        <family val="0"/>
        <charset val="134"/>
      </rPr>
      <t xml:space="preserve">1~10</t>
    </r>
    <r>
      <rPr>
        <sz val="11"/>
        <rFont val="WenQuanYi Zen Hei"/>
        <family val="2"/>
      </rPr>
      <t xml:space="preserve">号单），覆盖：少钱补现金、多钱记营业外、</t>
    </r>
  </si>
  <si>
    <r>
      <rPr>
        <sz val="11"/>
        <rFont val="WenQuanYi Zen Hei"/>
        <family val="2"/>
      </rPr>
      <t xml:space="preserve">   会员零钱包负数转贷方、促销费六项合并、医保含统筹、全渠道 </t>
    </r>
    <r>
      <rPr>
        <sz val="11"/>
        <rFont val="宋体"/>
        <family val="0"/>
        <charset val="134"/>
      </rPr>
      <t xml:space="preserve">20 </t>
    </r>
    <r>
      <rPr>
        <sz val="11"/>
        <rFont val="WenQuanYi Zen Hei"/>
        <family val="2"/>
      </rPr>
      <t xml:space="preserve">行翻 </t>
    </r>
    <r>
      <rPr>
        <sz val="11"/>
        <rFont val="宋体"/>
        <family val="0"/>
        <charset val="134"/>
      </rPr>
      <t xml:space="preserve">4 </t>
    </r>
    <r>
      <rPr>
        <sz val="11"/>
        <rFont val="WenQuanYi Zen Hei"/>
        <family val="2"/>
      </rPr>
      <t xml:space="preserve">页、整店为零不出凭证、只有手续费本金为零、</t>
    </r>
  </si>
  <si>
    <t xml:space="preserve">   一张报销单两种付款方式、七行费用翻页 等等。</t>
  </si>
  <si>
    <r>
      <rPr>
        <sz val="11"/>
        <rFont val="WenQuanYi Zen Hei"/>
        <family val="2"/>
      </rPr>
      <t xml:space="preserve">   打开  测试用例  页签，最上面一格会直接告诉你“</t>
    </r>
    <r>
      <rPr>
        <sz val="11"/>
        <rFont val="宋体"/>
        <family val="0"/>
        <charset val="134"/>
      </rPr>
      <t xml:space="preserve">30 </t>
    </r>
    <r>
      <rPr>
        <sz val="11"/>
        <rFont val="WenQuanYi Zen Hei"/>
        <family val="2"/>
      </rPr>
      <t xml:space="preserve">项是否全部通过”，每一行都有预期值和实际值可以对。</t>
    </r>
  </si>
  <si>
    <r>
      <rPr>
        <sz val="11"/>
        <rFont val="WenQuanYi Zen Hei"/>
        <family val="2"/>
      </rPr>
      <t xml:space="preserve">   正式用之前，把 输入海典</t>
    </r>
    <r>
      <rPr>
        <sz val="11"/>
        <rFont val="宋体"/>
        <family val="0"/>
        <charset val="134"/>
      </rPr>
      <t xml:space="preserve">/</t>
    </r>
    <r>
      <rPr>
        <sz val="11"/>
        <rFont val="WenQuanYi Zen Hei"/>
        <family val="2"/>
      </rPr>
      <t xml:space="preserve">输入聚合</t>
    </r>
    <r>
      <rPr>
        <sz val="11"/>
        <rFont val="宋体"/>
        <family val="0"/>
        <charset val="134"/>
      </rPr>
      <t xml:space="preserve">/</t>
    </r>
    <r>
      <rPr>
        <sz val="11"/>
        <rFont val="WenQuanYi Zen Hei"/>
        <family val="2"/>
      </rPr>
      <t xml:space="preserve">输入现金</t>
    </r>
    <r>
      <rPr>
        <sz val="11"/>
        <rFont val="宋体"/>
        <family val="0"/>
        <charset val="134"/>
      </rPr>
      <t xml:space="preserve">/</t>
    </r>
    <r>
      <rPr>
        <sz val="11"/>
        <rFont val="WenQuanYi Zen Hei"/>
        <family val="2"/>
      </rPr>
      <t xml:space="preserve">输入回款 里 </t>
    </r>
    <r>
      <rPr>
        <sz val="11"/>
        <rFont val="宋体"/>
        <family val="0"/>
        <charset val="134"/>
      </rPr>
      <t xml:space="preserve">9001~9010 </t>
    </r>
    <r>
      <rPr>
        <sz val="11"/>
        <rFont val="WenQuanYi Zen Hei"/>
        <family val="2"/>
      </rPr>
      <t xml:space="preserve">开头的行、以及 输入报销 的数据整行删掉就行；</t>
    </r>
  </si>
  <si>
    <r>
      <rPr>
        <sz val="11"/>
        <rFont val="WenQuanYi Zen Hei"/>
        <family val="2"/>
      </rPr>
      <t xml:space="preserve">   门店对照 里的“测试</t>
    </r>
    <r>
      <rPr>
        <sz val="11"/>
        <rFont val="宋体"/>
        <family val="0"/>
        <charset val="134"/>
      </rPr>
      <t xml:space="preserve">1</t>
    </r>
    <r>
      <rPr>
        <sz val="11"/>
        <rFont val="WenQuanYi Zen Hei"/>
        <family val="2"/>
      </rPr>
      <t xml:space="preserve">店</t>
    </r>
    <r>
      <rPr>
        <sz val="11"/>
        <rFont val="宋体"/>
        <family val="0"/>
        <charset val="134"/>
      </rPr>
      <t xml:space="preserve">~</t>
    </r>
    <r>
      <rPr>
        <sz val="11"/>
        <rFont val="WenQuanYi Zen Hei"/>
        <family val="2"/>
      </rPr>
      <t xml:space="preserve">测试</t>
    </r>
    <r>
      <rPr>
        <sz val="11"/>
        <rFont val="宋体"/>
        <family val="0"/>
        <charset val="134"/>
      </rPr>
      <t xml:space="preserve">10</t>
    </r>
    <r>
      <rPr>
        <sz val="11"/>
        <rFont val="WenQuanYi Zen Hei"/>
        <family val="2"/>
      </rPr>
      <t xml:space="preserve">店”留着不影响（没数据就不生成凭证）。</t>
    </r>
  </si>
  <si>
    <t xml:space="preserve">【以后新开门店怎么加】</t>
  </si>
  <si>
    <r>
      <rPr>
        <sz val="11"/>
        <rFont val="WenQuanYi Zen Hei"/>
        <family val="2"/>
      </rPr>
      <t xml:space="preserve">   门店对照 最下面留了 </t>
    </r>
    <r>
      <rPr>
        <sz val="11"/>
        <rFont val="宋体"/>
        <family val="0"/>
        <charset val="134"/>
      </rPr>
      <t xml:space="preserve">10 </t>
    </r>
    <r>
      <rPr>
        <sz val="11"/>
        <rFont val="WenQuanYi Zen Hei"/>
        <family val="2"/>
      </rPr>
      <t xml:space="preserve">行灰色的“备用</t>
    </r>
    <r>
      <rPr>
        <sz val="11"/>
        <rFont val="宋体"/>
        <family val="0"/>
        <charset val="134"/>
      </rPr>
      <t xml:space="preserve">1~</t>
    </r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10”</t>
    </r>
    <r>
      <rPr>
        <sz val="11"/>
        <rFont val="WenQuanYi Zen Hei"/>
        <family val="2"/>
      </rPr>
      <t xml:space="preserve">。新开一家店，就把其中一行的</t>
    </r>
  </si>
  <si>
    <r>
      <rPr>
        <sz val="11"/>
        <rFont val="WenQuanYi Zen Hei"/>
        <family val="2"/>
      </rPr>
      <t xml:space="preserve">   门店编码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海典门店名称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凭证简称 三格改成真的，改完立刻就能出凭证，不用找我改公式。</t>
    </r>
  </si>
  <si>
    <t xml:space="preserve">   只要名称或简称里还带着“备用”两个字（或者门店编码是空的），这一行就不出凭证、也不占凭证号，</t>
  </si>
  <si>
    <r>
      <rPr>
        <sz val="11"/>
        <rFont val="WenQuanYi Zen Hei"/>
        <family val="2"/>
      </rPr>
      <t xml:space="preserve">   凭证号还是从 </t>
    </r>
    <r>
      <rPr>
        <sz val="11"/>
        <rFont val="宋体"/>
        <family val="0"/>
        <charset val="134"/>
      </rPr>
      <t xml:space="preserve">1 </t>
    </r>
    <r>
      <rPr>
        <sz val="11"/>
        <rFont val="WenQuanYi Zen Hei"/>
        <family val="2"/>
      </rPr>
      <t xml:space="preserve">开始连着排，中间不会跳号、也不会印出空白凭证。</t>
    </r>
  </si>
  <si>
    <r>
      <rPr>
        <sz val="11"/>
        <rFont val="WenQuanYi Zen Hei"/>
        <family val="2"/>
      </rPr>
      <t xml:space="preserve">   反过来，哪家店不做了，把凭证简称改成“备用</t>
    </r>
    <r>
      <rPr>
        <sz val="11"/>
        <rFont val="宋体"/>
        <family val="0"/>
        <charset val="134"/>
      </rPr>
      <t xml:space="preserve">X”</t>
    </r>
    <r>
      <rPr>
        <sz val="11"/>
        <rFont val="WenQuanYi Zen Hei"/>
        <family val="2"/>
      </rPr>
      <t xml:space="preserve">或者把编码清空，它就自动从凭证里消失。</t>
    </r>
  </si>
  <si>
    <r>
      <rPr>
        <sz val="11"/>
        <rFont val="WenQuanYi Zen Hei"/>
        <family val="2"/>
      </rPr>
      <t xml:space="preserve">   想用 </t>
    </r>
    <r>
      <rPr>
        <sz val="11"/>
        <rFont val="宋体"/>
        <family val="0"/>
        <charset val="134"/>
      </rPr>
      <t xml:space="preserve">A4 </t>
    </r>
    <r>
      <rPr>
        <sz val="11"/>
        <rFont val="WenQuanYi Zen Hei"/>
        <family val="2"/>
      </rPr>
      <t xml:space="preserve">打印，就在“页面布局→纸张大小”里改成 </t>
    </r>
    <r>
      <rPr>
        <sz val="11"/>
        <rFont val="宋体"/>
        <family val="0"/>
        <charset val="134"/>
      </rPr>
      <t xml:space="preserve">A4</t>
    </r>
    <r>
      <rPr>
        <sz val="11"/>
        <rFont val="WenQuanYi Zen Hei"/>
        <family val="2"/>
      </rPr>
      <t xml:space="preserve">，不影响内容。</t>
    </r>
  </si>
  <si>
    <t xml:space="preserve">【收入凭证的算账规则（和你现在的做法一致）】</t>
  </si>
  <si>
    <t xml:space="preserve">   借：库存现金 ＝ 网银合计 ＋ 少收的差额（少钱补现金）</t>
  </si>
  <si>
    <t xml:space="preserve">   借：应收账款—聚合支付 ＝ 交易金额 − 服务费； 财务费用—手续费 ＝ 服务费</t>
  </si>
  <si>
    <r>
      <rPr>
        <sz val="11"/>
        <rFont val="WenQuanYi Zen Hei"/>
        <family val="2"/>
      </rPr>
      <t xml:space="preserve">   借：应收账款—医保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健</t>
    </r>
    <r>
      <rPr>
        <sz val="11"/>
        <rFont val="宋体"/>
        <family val="0"/>
        <charset val="134"/>
      </rPr>
      <t xml:space="preserve">e</t>
    </r>
    <r>
      <rPr>
        <sz val="11"/>
        <rFont val="WenQuanYi Zen Hei"/>
        <family val="2"/>
      </rPr>
      <t xml:space="preserve">卡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医卡通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企健网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亲情卡 </t>
    </r>
    <r>
      <rPr>
        <sz val="11"/>
        <rFont val="宋体"/>
        <family val="0"/>
        <charset val="134"/>
      </rPr>
      <t xml:space="preserve">/ 24</t>
    </r>
    <r>
      <rPr>
        <sz val="11"/>
        <rFont val="WenQuanYi Zen Hei"/>
        <family val="2"/>
      </rPr>
      <t xml:space="preserve">小时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美团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饿了么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京东秒送 </t>
    </r>
    <r>
      <rPr>
        <sz val="11"/>
        <rFont val="宋体"/>
        <family val="0"/>
        <charset val="134"/>
      </rPr>
      <t xml:space="preserve">/</t>
    </r>
  </si>
  <si>
    <r>
      <rPr>
        <sz val="11"/>
        <rFont val="WenQuanYi Zen Hei"/>
        <family val="2"/>
      </rPr>
      <t xml:space="preserve">        银联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小镇外卖 </t>
    </r>
    <r>
      <rPr>
        <sz val="11"/>
        <rFont val="宋体"/>
        <family val="0"/>
        <charset val="134"/>
      </rPr>
      <t xml:space="preserve">/ OMS / </t>
    </r>
    <r>
      <rPr>
        <sz val="11"/>
        <rFont val="WenQuanYi Zen Hei"/>
        <family val="2"/>
      </rPr>
      <t xml:space="preserve">平安药卡 ＝ 先看 输入平台 里填的平台金额，没填才用海典金额</t>
    </r>
  </si>
  <si>
    <r>
      <rPr>
        <sz val="11"/>
        <rFont val="WenQuanYi Zen Hei"/>
        <family val="2"/>
      </rPr>
      <t xml:space="preserve">        （这几个渠道在 科目对照收入 里“海典列</t>
    </r>
    <r>
      <rPr>
        <sz val="11"/>
        <rFont val="宋体"/>
        <family val="0"/>
        <charset val="134"/>
      </rPr>
      <t xml:space="preserve">1”</t>
    </r>
    <r>
      <rPr>
        <sz val="11"/>
        <rFont val="WenQuanYi Zen Hei"/>
        <family val="2"/>
      </rPr>
      <t xml:space="preserve">是黄色的，就是这个意思；金额含手续费，手续费在回款时再冲）</t>
    </r>
  </si>
  <si>
    <t xml:space="preserve">   借：其他应收款—储值卡、会员零钱包（负数自动转到贷方）</t>
  </si>
  <si>
    <t xml:space="preserve">   借：销售费用—促销费 ＝ 微信平台优惠券＋微信平台礼品券＋代金券</t>
  </si>
  <si>
    <t xml:space="preserve">   借：销售费用—积分 ＝ 积分抵现（已按批注单独拆出来）</t>
  </si>
  <si>
    <r>
      <rPr>
        <sz val="11"/>
        <rFont val="WenQuanYi Zen Hei"/>
        <family val="2"/>
      </rPr>
      <t xml:space="preserve">   借</t>
    </r>
    <r>
      <rPr>
        <sz val="11"/>
        <rFont val="宋体"/>
        <family val="0"/>
        <charset val="134"/>
      </rPr>
      <t xml:space="preserve">/</t>
    </r>
    <r>
      <rPr>
        <sz val="11"/>
        <rFont val="WenQuanYi Zen Hei"/>
        <family val="2"/>
      </rPr>
      <t xml:space="preserve">贷：其他应收款—会员零钱包（正数记借方）；负数自动转成 贷 其他应付款—会员零钱包</t>
    </r>
  </si>
  <si>
    <t xml:space="preserve">   贷：主营业务收入 ＝ 海典销售合计</t>
  </si>
  <si>
    <t xml:space="preserve">   贷：营业外收入 ＝ 多收的差额（多钱记营业外）</t>
  </si>
  <si>
    <t xml:space="preserve">   多与少＝（网银现金＋各渠道应收＋促销费＋手续费）− 海典销售合计，逐店比对。</t>
  </si>
  <si>
    <t xml:space="preserve">【回款凭证的算账规则】</t>
  </si>
  <si>
    <t xml:space="preserve">   借：库存现金 ＝ 回款金额合计； 借：财务费用—手续费 ＝ 手续费合计</t>
  </si>
  <si>
    <t xml:space="preserve">   贷：应收账款—各收款方式 ＝ 回款金额 ＋ 手续费（还原成含费金额）</t>
  </si>
  <si>
    <t xml:space="preserve">   “医保”和“医保即时拨付”自动合并成一行医保。</t>
  </si>
  <si>
    <t xml:space="preserve">【费用报销凭证】</t>
  </si>
  <si>
    <r>
      <rPr>
        <sz val="11"/>
        <rFont val="WenQuanYi Zen Hei"/>
        <family val="2"/>
      </rPr>
      <t xml:space="preserve">   在  输入报销  里一张报销单一个单号（</t>
    </r>
    <r>
      <rPr>
        <sz val="11"/>
        <rFont val="宋体"/>
        <family val="0"/>
        <charset val="134"/>
      </rPr>
      <t xml:space="preserve">1</t>
    </r>
    <r>
      <rPr>
        <sz val="11"/>
        <rFont val="WenQuanYi Zen Hei"/>
        <family val="2"/>
      </rPr>
      <t xml:space="preserve">、</t>
    </r>
    <r>
      <rPr>
        <sz val="11"/>
        <rFont val="宋体"/>
        <family val="0"/>
        <charset val="134"/>
      </rPr>
      <t xml:space="preserve">2</t>
    </r>
    <r>
      <rPr>
        <sz val="11"/>
        <rFont val="WenQuanYi Zen Hei"/>
        <family val="2"/>
      </rPr>
      <t xml:space="preserve">、</t>
    </r>
    <r>
      <rPr>
        <sz val="11"/>
        <rFont val="宋体"/>
        <family val="0"/>
        <charset val="134"/>
      </rPr>
      <t xml:space="preserve">3…</t>
    </r>
    <r>
      <rPr>
        <sz val="11"/>
        <rFont val="WenQuanYi Zen Hei"/>
        <family val="2"/>
      </rPr>
      <t xml:space="preserve">连续编号），一行一个费用科目；</t>
    </r>
  </si>
  <si>
    <r>
      <rPr>
        <sz val="11"/>
        <rFont val="WenQuanYi Zen Hei"/>
        <family val="2"/>
      </rPr>
      <t xml:space="preserve">   贷方科目在同一行选（库存现金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银行存款 </t>
    </r>
    <r>
      <rPr>
        <sz val="11"/>
        <rFont val="宋体"/>
        <family val="0"/>
        <charset val="134"/>
      </rPr>
      <t xml:space="preserve">/ </t>
    </r>
    <r>
      <rPr>
        <sz val="11"/>
        <rFont val="WenQuanYi Zen Hei"/>
        <family val="2"/>
      </rPr>
      <t xml:space="preserve">其他应付款），系统按单号自动汇总生成贷方分录。</t>
    </r>
  </si>
  <si>
    <t xml:space="preserve">【要改科目对应关系？】</t>
  </si>
  <si>
    <t xml:space="preserve">   收入科目改  科目对照收入 ；回款科目改  科目对照回款 。改完凭证自动跟着变，不用动公式。</t>
  </si>
  <si>
    <t xml:space="preserve">   门店名称、凭证上的简称改  门店对照 。</t>
  </si>
  <si>
    <t xml:space="preserve">【颜色约定】  黄色＝需要你填的；灰色＝公式自动算的，别手工改。</t>
  </si>
  <si>
    <t xml:space="preserve">【凭证号自己手工编】</t>
  </si>
  <si>
    <t xml:space="preserve">   凭证右上角的“字第 ＿＿ 号”已经留空，打印出来自己按顺序手写；</t>
  </si>
  <si>
    <r>
      <rPr>
        <sz val="11"/>
        <rFont val="WenQuanYi Zen Hei"/>
        <family val="2"/>
      </rPr>
      <t xml:space="preserve">   自动排的号挪到了每张凭证右边的辅助列（</t>
    </r>
    <r>
      <rPr>
        <sz val="11"/>
        <rFont val="宋体"/>
        <family val="0"/>
        <charset val="134"/>
      </rPr>
      <t xml:space="preserve">M / N / O </t>
    </r>
    <r>
      <rPr>
        <sz val="11"/>
        <rFont val="WenQuanYi Zen Hei"/>
        <family val="2"/>
      </rPr>
      <t xml:space="preserve">三列）：</t>
    </r>
  </si>
  <si>
    <r>
      <rPr>
        <sz val="11"/>
        <rFont val="宋体"/>
        <family val="0"/>
        <charset val="134"/>
      </rPr>
      <t xml:space="preserve">      M</t>
    </r>
    <r>
      <rPr>
        <sz val="11"/>
        <rFont val="WenQuanYi Zen Hei"/>
        <family val="2"/>
      </rPr>
      <t xml:space="preserve">＝这是打印的第几页　　</t>
    </r>
    <r>
      <rPr>
        <sz val="11"/>
        <rFont val="宋体"/>
        <family val="0"/>
        <charset val="134"/>
      </rPr>
      <t xml:space="preserve">N</t>
    </r>
    <r>
      <rPr>
        <sz val="11"/>
        <rFont val="WenQuanYi Zen Hei"/>
        <family val="2"/>
      </rPr>
      <t xml:space="preserve">＝凭证号（原来印在“字第”后面的那个数）　　</t>
    </r>
    <r>
      <rPr>
        <sz val="11"/>
        <rFont val="宋体"/>
        <family val="0"/>
        <charset val="134"/>
      </rPr>
      <t xml:space="preserve">O</t>
    </r>
    <r>
      <rPr>
        <sz val="11"/>
        <rFont val="WenQuanYi Zen Hei"/>
        <family val="2"/>
      </rPr>
      <t xml:space="preserve">＝完整字号（含共几页第几页）</t>
    </r>
  </si>
  <si>
    <r>
      <rPr>
        <sz val="11"/>
        <rFont val="WenQuanYi Zen Hei"/>
        <family val="2"/>
      </rPr>
      <t xml:space="preserve">   核对办法：打出来的第 </t>
    </r>
    <r>
      <rPr>
        <sz val="11"/>
        <rFont val="宋体"/>
        <family val="0"/>
        <charset val="134"/>
      </rPr>
      <t xml:space="preserve">7 </t>
    </r>
    <r>
      <rPr>
        <sz val="11"/>
        <rFont val="WenQuanYi Zen Hei"/>
        <family val="2"/>
      </rPr>
      <t xml:space="preserve">页，就到 </t>
    </r>
    <r>
      <rPr>
        <sz val="11"/>
        <rFont val="宋体"/>
        <family val="0"/>
        <charset val="134"/>
      </rPr>
      <t xml:space="preserve">M </t>
    </r>
    <r>
      <rPr>
        <sz val="11"/>
        <rFont val="WenQuanYi Zen Hei"/>
        <family val="2"/>
      </rPr>
      <t xml:space="preserve">列找 </t>
    </r>
    <r>
      <rPr>
        <sz val="11"/>
        <rFont val="宋体"/>
        <family val="0"/>
        <charset val="134"/>
      </rPr>
      <t xml:space="preserve">7</t>
    </r>
    <r>
      <rPr>
        <sz val="11"/>
        <rFont val="WenQuanYi Zen Hei"/>
        <family val="2"/>
      </rPr>
      <t xml:space="preserve">，右边 </t>
    </r>
    <r>
      <rPr>
        <sz val="11"/>
        <rFont val="宋体"/>
        <family val="0"/>
        <charset val="134"/>
      </rPr>
      <t xml:space="preserve">N </t>
    </r>
    <r>
      <rPr>
        <sz val="11"/>
        <rFont val="WenQuanYi Zen Hei"/>
        <family val="2"/>
      </rPr>
      <t xml:space="preserve">列写着 </t>
    </r>
    <r>
      <rPr>
        <sz val="11"/>
        <rFont val="宋体"/>
        <family val="0"/>
        <charset val="134"/>
      </rPr>
      <t xml:space="preserve">5</t>
    </r>
    <r>
      <rPr>
        <sz val="11"/>
        <rFont val="WenQuanYi Zen Hei"/>
        <family val="2"/>
      </rPr>
      <t xml:space="preserve">，这页就手写“第 </t>
    </r>
    <r>
      <rPr>
        <sz val="11"/>
        <rFont val="宋体"/>
        <family val="0"/>
        <charset val="134"/>
      </rPr>
      <t xml:space="preserve">5 </t>
    </r>
    <r>
      <rPr>
        <sz val="11"/>
        <rFont val="WenQuanYi Zen Hei"/>
        <family val="2"/>
      </rPr>
      <t xml:space="preserve">号”。</t>
    </r>
  </si>
  <si>
    <r>
      <rPr>
        <sz val="11"/>
        <rFont val="WenQuanYi Zen Hei"/>
        <family val="2"/>
      </rPr>
      <t xml:space="preserve">   三张凭证页的打印区域已固定为 </t>
    </r>
    <r>
      <rPr>
        <sz val="11"/>
        <rFont val="宋体"/>
        <family val="0"/>
        <charset val="134"/>
      </rPr>
      <t xml:space="preserve">B:I </t>
    </r>
    <r>
      <rPr>
        <sz val="11"/>
        <rFont val="WenQuanYi Zen Hei"/>
        <family val="2"/>
      </rPr>
      <t xml:space="preserve">列，辅助列在打印区域外，印不出来、也不占版面。</t>
    </r>
  </si>
  <si>
    <t xml:space="preserve">   想改回“把号直接印出来”，到 参数 页把“凭证号是否打印”选成 是 就行。</t>
  </si>
  <si>
    <t xml:space="preserve">参数设置</t>
  </si>
  <si>
    <t xml:space="preserve">会计日期</t>
  </si>
  <si>
    <t xml:space="preserve">收入凭证摘要</t>
  </si>
  <si>
    <r>
      <rPr>
        <sz val="11"/>
        <rFont val="宋体"/>
        <family val="0"/>
        <charset val="134"/>
      </rPr>
      <t xml:space="preserve">7</t>
    </r>
    <r>
      <rPr>
        <sz val="11"/>
        <rFont val="WenQuanYi Zen Hei"/>
        <family val="2"/>
      </rPr>
      <t xml:space="preserve">月收入</t>
    </r>
  </si>
  <si>
    <t xml:space="preserve">回款凭证摘要</t>
  </si>
  <si>
    <t xml:space="preserve">回款</t>
  </si>
  <si>
    <t xml:space="preserve">报销凭证摘要（缺省）</t>
  </si>
  <si>
    <t xml:space="preserve">报销费用</t>
  </si>
  <si>
    <t xml:space="preserve">输入报销里没写摘要时用这个</t>
  </si>
  <si>
    <r>
      <rPr>
        <b val="true"/>
        <sz val="11"/>
        <rFont val="WenQuanYi Zen Hei"/>
        <family val="2"/>
      </rPr>
      <t xml:space="preserve">贷方科目</t>
    </r>
    <r>
      <rPr>
        <b val="true"/>
        <sz val="11"/>
        <rFont val="宋体"/>
        <family val="0"/>
        <charset val="134"/>
      </rPr>
      <t xml:space="preserve">1</t>
    </r>
  </si>
  <si>
    <t xml:space="preserve">库存现金</t>
  </si>
  <si>
    <t xml:space="preserve">报销单“付款方式”可选项</t>
  </si>
  <si>
    <r>
      <rPr>
        <b val="true"/>
        <sz val="11"/>
        <rFont val="WenQuanYi Zen Hei"/>
        <family val="2"/>
      </rPr>
      <t xml:space="preserve">贷方科目</t>
    </r>
    <r>
      <rPr>
        <b val="true"/>
        <sz val="11"/>
        <rFont val="宋体"/>
        <family val="0"/>
        <charset val="134"/>
      </rPr>
      <t xml:space="preserve">2</t>
    </r>
  </si>
  <si>
    <t xml:space="preserve">银行存款</t>
  </si>
  <si>
    <r>
      <rPr>
        <b val="true"/>
        <sz val="11"/>
        <rFont val="WenQuanYi Zen Hei"/>
        <family val="2"/>
      </rPr>
      <t xml:space="preserve">贷方科目</t>
    </r>
    <r>
      <rPr>
        <b val="true"/>
        <sz val="11"/>
        <rFont val="宋体"/>
        <family val="0"/>
        <charset val="134"/>
      </rPr>
      <t xml:space="preserve">3</t>
    </r>
  </si>
  <si>
    <t xml:space="preserve">其他应付款</t>
  </si>
  <si>
    <t xml:space="preserve">凭证号是否打印</t>
  </si>
  <si>
    <t xml:space="preserve">否</t>
  </si>
  <si>
    <t xml:space="preserve">选「否」＝凭证右上角留空，打印出来自己手写号；选「是」＝把自动排的号直接印出来</t>
  </si>
  <si>
    <t xml:space="preserve">收入凭证 共几页</t>
  </si>
  <si>
    <r>
      <rPr>
        <sz val="10"/>
        <color rgb="FF808080"/>
        <rFont val="WenQuanYi Zen Hei"/>
        <family val="2"/>
      </rPr>
      <t xml:space="preserve">打印时选：页码 </t>
    </r>
    <r>
      <rPr>
        <sz val="10"/>
        <color rgb="FF808080"/>
        <rFont val="宋体"/>
        <family val="0"/>
        <charset val="134"/>
      </rPr>
      <t xml:space="preserve">1 </t>
    </r>
    <r>
      <rPr>
        <sz val="10"/>
        <color rgb="FF808080"/>
        <rFont val="WenQuanYi Zen Hei"/>
        <family val="2"/>
      </rPr>
      <t xml:space="preserve">到 这个数</t>
    </r>
  </si>
  <si>
    <t xml:space="preserve">回款凭证 共几页</t>
  </si>
  <si>
    <t xml:space="preserve">报销凭证 共几页</t>
  </si>
  <si>
    <t xml:space="preserve">粘进来的海典明细 最早会计日</t>
  </si>
  <si>
    <t xml:space="preserve">← 这两个日期要落在同一个月内，否则说明粘进去的不止一个月</t>
  </si>
  <si>
    <t xml:space="preserve">粘进来的海典明细 最晚会计日</t>
  </si>
  <si>
    <t xml:space="preserve">海典明细里“销售合计”列合计</t>
  </si>
  <si>
    <t xml:space="preserve">按门店汇总后的合计</t>
  </si>
  <si>
    <r>
      <rPr>
        <b val="true"/>
        <sz val="11"/>
        <rFont val="WenQuanYi Zen Hei"/>
        <family val="2"/>
      </rPr>
      <t xml:space="preserve">差异（应为 </t>
    </r>
    <r>
      <rPr>
        <b val="true"/>
        <sz val="11"/>
        <rFont val="宋体"/>
        <family val="0"/>
        <charset val="134"/>
      </rPr>
      <t xml:space="preserve">0</t>
    </r>
    <r>
      <rPr>
        <b val="true"/>
        <sz val="11"/>
        <rFont val="WenQuanYi Zen Hei"/>
        <family val="2"/>
      </rPr>
      <t xml:space="preserve">）</t>
    </r>
  </si>
  <si>
    <r>
      <rPr>
        <sz val="10"/>
        <color rgb="FF808080"/>
        <rFont val="WenQuanYi Zen Hei"/>
        <family val="2"/>
      </rPr>
      <t xml:space="preserve">不为 </t>
    </r>
    <r>
      <rPr>
        <sz val="10"/>
        <color rgb="FF808080"/>
        <rFont val="宋体"/>
        <family val="0"/>
        <charset val="134"/>
      </rPr>
      <t xml:space="preserve">0 </t>
    </r>
    <r>
      <rPr>
        <sz val="10"/>
        <color rgb="FF808080"/>
        <rFont val="WenQuanYi Zen Hei"/>
        <family val="2"/>
      </rPr>
      <t xml:space="preserve">常见两个原因：粘进来的明细带了“总计</t>
    </r>
    <r>
      <rPr>
        <sz val="10"/>
        <color rgb="FF808080"/>
        <rFont val="宋体"/>
        <family val="0"/>
        <charset val="134"/>
      </rPr>
      <t xml:space="preserve">/</t>
    </r>
    <r>
      <rPr>
        <sz val="10"/>
        <color rgb="FF808080"/>
        <rFont val="WenQuanYi Zen Hei"/>
        <family val="2"/>
      </rPr>
      <t xml:space="preserve">合计”行；或者有门店没写进 门店对照</t>
    </r>
  </si>
  <si>
    <t xml:space="preserve">门店编码</t>
  </si>
  <si>
    <t xml:space="preserve">海典门店名称</t>
  </si>
  <si>
    <t xml:space="preserve">凭证简称</t>
  </si>
  <si>
    <r>
      <rPr>
        <b val="true"/>
        <sz val="11"/>
        <rFont val="WenQuanYi Zen Hei"/>
        <family val="2"/>
      </rPr>
      <t xml:space="preserve">启用</t>
    </r>
    <r>
      <rPr>
        <b val="true"/>
        <sz val="11"/>
        <rFont val="宋体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自动</t>
    </r>
    <r>
      <rPr>
        <b val="true"/>
        <sz val="11"/>
        <rFont val="宋体"/>
        <family val="0"/>
        <charset val="134"/>
      </rPr>
      <t xml:space="preserve">)</t>
    </r>
  </si>
  <si>
    <r>
      <rPr>
        <b val="true"/>
        <sz val="11"/>
        <rFont val="WenQuanYi Zen Hei"/>
        <family val="2"/>
      </rPr>
      <t xml:space="preserve">【备用门店位】灰色那 </t>
    </r>
    <r>
      <rPr>
        <b val="true"/>
        <sz val="11"/>
        <rFont val="宋体"/>
        <family val="0"/>
        <charset val="134"/>
      </rPr>
      <t xml:space="preserve">10 </t>
    </r>
    <r>
      <rPr>
        <b val="true"/>
        <sz val="11"/>
        <rFont val="WenQuanYi Zen Hei"/>
        <family val="2"/>
      </rPr>
      <t xml:space="preserve">行是留给以后新开门店的。</t>
    </r>
  </si>
  <si>
    <r>
      <rPr>
        <sz val="11"/>
        <rFont val="WenQuanYi Zen Hei"/>
        <family val="2"/>
      </rPr>
      <t xml:space="preserve">柏人商城分店（</t>
    </r>
    <r>
      <rPr>
        <sz val="11"/>
        <rFont val="宋体"/>
        <family val="0"/>
        <charset val="134"/>
      </rPr>
      <t xml:space="preserve">1</t>
    </r>
    <r>
      <rPr>
        <sz val="11"/>
        <rFont val="WenQuanYi Zen Hei"/>
        <family val="2"/>
      </rPr>
      <t xml:space="preserve">店）</t>
    </r>
  </si>
  <si>
    <t xml:space="preserve">柏人商城店</t>
  </si>
  <si>
    <r>
      <rPr>
        <sz val="10"/>
        <color rgb="FF808080"/>
        <rFont val="WenQuanYi Zen Hei"/>
        <family val="2"/>
      </rPr>
      <t xml:space="preserve">名称里带“备用”两个字、或者门店编码是空的，启用列就是 </t>
    </r>
    <r>
      <rPr>
        <sz val="10"/>
        <color rgb="FF808080"/>
        <rFont val="宋体"/>
        <family val="0"/>
        <charset val="134"/>
      </rPr>
      <t xml:space="preserve">0 —— </t>
    </r>
    <r>
      <rPr>
        <sz val="10"/>
        <color rgb="FF808080"/>
        <rFont val="WenQuanYi Zen Hei"/>
        <family val="2"/>
      </rPr>
      <t xml:space="preserve">不出凭证、也不占凭证号。</t>
    </r>
  </si>
  <si>
    <r>
      <rPr>
        <sz val="11"/>
        <rFont val="WenQuanYi Zen Hei"/>
        <family val="2"/>
      </rPr>
      <t xml:space="preserve">新隆分店（</t>
    </r>
    <r>
      <rPr>
        <sz val="11"/>
        <rFont val="宋体"/>
        <family val="0"/>
        <charset val="134"/>
      </rPr>
      <t xml:space="preserve">2</t>
    </r>
    <r>
      <rPr>
        <sz val="11"/>
        <rFont val="WenQuanYi Zen Hei"/>
        <family val="2"/>
      </rPr>
      <t xml:space="preserve">分店）</t>
    </r>
  </si>
  <si>
    <t xml:space="preserve">新隆店</t>
  </si>
  <si>
    <r>
      <rPr>
        <sz val="10"/>
        <color rgb="FF808080"/>
        <rFont val="WenQuanYi Zen Hei"/>
        <family val="2"/>
      </rPr>
      <t xml:space="preserve">新开一家店：把其中一行的 门店编码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海典门店名称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凭证简称 三格改成真的，启用列会自动变 </t>
    </r>
    <r>
      <rPr>
        <sz val="10"/>
        <color rgb="FF808080"/>
        <rFont val="宋体"/>
        <family val="0"/>
        <charset val="134"/>
      </rPr>
      <t xml:space="preserve">1</t>
    </r>
    <r>
      <rPr>
        <sz val="10"/>
        <color rgb="FF808080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</si>
  <si>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康庄东路分店（</t>
    </r>
    <r>
      <rPr>
        <sz val="11"/>
        <rFont val="宋体"/>
        <family val="0"/>
        <charset val="134"/>
      </rPr>
      <t xml:space="preserve">3</t>
    </r>
    <r>
      <rPr>
        <sz val="11"/>
        <rFont val="WenQuanYi Zen Hei"/>
        <family val="2"/>
      </rPr>
      <t xml:space="preserve">店）</t>
    </r>
  </si>
  <si>
    <t xml:space="preserve">康庄路店</t>
  </si>
  <si>
    <r>
      <rPr>
        <sz val="10"/>
        <color rgb="FF808080"/>
        <rFont val="WenQuanYi Zen Hei"/>
        <family val="2"/>
      </rPr>
      <t xml:space="preserve">不用的老店想停掉：把凭证简称改成“备用</t>
    </r>
    <r>
      <rPr>
        <sz val="10"/>
        <color rgb="FF808080"/>
        <rFont val="宋体"/>
        <family val="0"/>
        <charset val="134"/>
      </rPr>
      <t xml:space="preserve">X”</t>
    </r>
    <r>
      <rPr>
        <sz val="10"/>
        <color rgb="FF808080"/>
        <rFont val="WenQuanYi Zen Hei"/>
        <family val="2"/>
      </rPr>
      <t xml:space="preserve">，或者把门店编码清空就行。</t>
    </r>
  </si>
  <si>
    <r>
      <rPr>
        <sz val="11"/>
        <rFont val="WenQuanYi Zen Hei"/>
        <family val="2"/>
      </rPr>
      <t xml:space="preserve">东关分店（</t>
    </r>
    <r>
      <rPr>
        <sz val="11"/>
        <rFont val="宋体"/>
        <family val="0"/>
        <charset val="134"/>
      </rPr>
      <t xml:space="preserve">4</t>
    </r>
    <r>
      <rPr>
        <sz val="11"/>
        <rFont val="WenQuanYi Zen Hei"/>
        <family val="2"/>
      </rPr>
      <t xml:space="preserve">分店）</t>
    </r>
  </si>
  <si>
    <t xml:space="preserve">东关店</t>
  </si>
  <si>
    <t xml:space="preserve">启用列是公式自动算的，不要手工改。</t>
  </si>
  <si>
    <r>
      <rPr>
        <sz val="11"/>
        <rFont val="WenQuanYi Zen Hei"/>
        <family val="2"/>
      </rPr>
      <t xml:space="preserve">象城街分店（</t>
    </r>
    <r>
      <rPr>
        <sz val="11"/>
        <rFont val="宋体"/>
        <family val="0"/>
        <charset val="134"/>
      </rPr>
      <t xml:space="preserve">5</t>
    </r>
    <r>
      <rPr>
        <sz val="11"/>
        <rFont val="WenQuanYi Zen Hei"/>
        <family val="2"/>
      </rPr>
      <t xml:space="preserve">店）</t>
    </r>
  </si>
  <si>
    <t xml:space="preserve">象城街店</t>
  </si>
  <si>
    <r>
      <rPr>
        <sz val="11"/>
        <rFont val="WenQuanYi Zen Hei"/>
        <family val="2"/>
      </rPr>
      <t xml:space="preserve">博荣分店（</t>
    </r>
    <r>
      <rPr>
        <sz val="11"/>
        <rFont val="宋体"/>
        <family val="0"/>
        <charset val="134"/>
      </rPr>
      <t xml:space="preserve">6</t>
    </r>
    <r>
      <rPr>
        <sz val="11"/>
        <rFont val="WenQuanYi Zen Hei"/>
        <family val="2"/>
      </rPr>
      <t xml:space="preserve">分店）</t>
    </r>
  </si>
  <si>
    <t xml:space="preserve">博荣店</t>
  </si>
  <si>
    <r>
      <rPr>
        <sz val="11"/>
        <rFont val="WenQuanYi Zen Hei"/>
        <family val="2"/>
      </rPr>
      <t xml:space="preserve">华鑫分店（</t>
    </r>
    <r>
      <rPr>
        <sz val="11"/>
        <rFont val="宋体"/>
        <family val="0"/>
        <charset val="134"/>
      </rPr>
      <t xml:space="preserve">7</t>
    </r>
    <r>
      <rPr>
        <sz val="11"/>
        <rFont val="WenQuanYi Zen Hei"/>
        <family val="2"/>
      </rPr>
      <t xml:space="preserve">店）</t>
    </r>
  </si>
  <si>
    <t xml:space="preserve">华鑫店</t>
  </si>
  <si>
    <r>
      <rPr>
        <sz val="11"/>
        <rFont val="WenQuanYi Zen Hei"/>
        <family val="2"/>
      </rPr>
      <t xml:space="preserve">博昭分店（</t>
    </r>
    <r>
      <rPr>
        <sz val="11"/>
        <rFont val="宋体"/>
        <family val="0"/>
        <charset val="134"/>
      </rPr>
      <t xml:space="preserve">8</t>
    </r>
    <r>
      <rPr>
        <sz val="11"/>
        <rFont val="WenQuanYi Zen Hei"/>
        <family val="2"/>
      </rPr>
      <t xml:space="preserve">分店）</t>
    </r>
  </si>
  <si>
    <t xml:space="preserve">博昭店</t>
  </si>
  <si>
    <r>
      <rPr>
        <sz val="11"/>
        <rFont val="WenQuanYi Zen Hei"/>
        <family val="2"/>
      </rPr>
      <t xml:space="preserve">大霍分店（</t>
    </r>
    <r>
      <rPr>
        <sz val="11"/>
        <rFont val="宋体"/>
        <family val="0"/>
        <charset val="134"/>
      </rPr>
      <t xml:space="preserve">9</t>
    </r>
    <r>
      <rPr>
        <sz val="11"/>
        <rFont val="WenQuanYi Zen Hei"/>
        <family val="2"/>
      </rPr>
      <t xml:space="preserve">分店）</t>
    </r>
  </si>
  <si>
    <t xml:space="preserve">大霍店</t>
  </si>
  <si>
    <r>
      <rPr>
        <sz val="11"/>
        <rFont val="WenQuanYi Zen Hei"/>
        <family val="2"/>
      </rPr>
      <t xml:space="preserve">莲子镇分店</t>
    </r>
    <r>
      <rPr>
        <sz val="11"/>
        <rFont val="宋体"/>
        <family val="0"/>
        <charset val="134"/>
      </rPr>
      <t xml:space="preserve">(10</t>
    </r>
    <r>
      <rPr>
        <sz val="11"/>
        <rFont val="WenQuanYi Zen Hei"/>
        <family val="2"/>
      </rPr>
      <t xml:space="preserve">分店</t>
    </r>
    <r>
      <rPr>
        <sz val="11"/>
        <rFont val="宋体"/>
        <family val="0"/>
        <charset val="134"/>
      </rPr>
      <t xml:space="preserve">)</t>
    </r>
  </si>
  <si>
    <t xml:space="preserve">莲子镇店</t>
  </si>
  <si>
    <r>
      <rPr>
        <sz val="11"/>
        <rFont val="WenQuanYi Zen Hei"/>
        <family val="2"/>
      </rPr>
      <t xml:space="preserve">毛尔寨分店</t>
    </r>
    <r>
      <rPr>
        <sz val="11"/>
        <rFont val="宋体"/>
        <family val="0"/>
        <charset val="134"/>
      </rPr>
      <t xml:space="preserve">(11</t>
    </r>
    <r>
      <rPr>
        <sz val="11"/>
        <rFont val="WenQuanYi Zen Hei"/>
        <family val="2"/>
      </rPr>
      <t xml:space="preserve">分店</t>
    </r>
    <r>
      <rPr>
        <sz val="11"/>
        <rFont val="宋体"/>
        <family val="0"/>
        <charset val="134"/>
      </rPr>
      <t xml:space="preserve">)</t>
    </r>
  </si>
  <si>
    <t xml:space="preserve">毛尔寨店</t>
  </si>
  <si>
    <r>
      <rPr>
        <sz val="11"/>
        <rFont val="WenQuanYi Zen Hei"/>
        <family val="2"/>
      </rPr>
      <t xml:space="preserve">泽畔分店（</t>
    </r>
    <r>
      <rPr>
        <sz val="11"/>
        <rFont val="宋体"/>
        <family val="0"/>
        <charset val="134"/>
      </rPr>
      <t xml:space="preserve">12</t>
    </r>
    <r>
      <rPr>
        <sz val="11"/>
        <rFont val="WenQuanYi Zen Hei"/>
        <family val="2"/>
      </rPr>
      <t xml:space="preserve">分店）</t>
    </r>
  </si>
  <si>
    <t xml:space="preserve">泽畔店</t>
  </si>
  <si>
    <r>
      <rPr>
        <sz val="11"/>
        <rFont val="WenQuanYi Zen Hei"/>
        <family val="2"/>
      </rPr>
      <t xml:space="preserve">博桥分店（</t>
    </r>
    <r>
      <rPr>
        <sz val="11"/>
        <rFont val="宋体"/>
        <family val="0"/>
        <charset val="134"/>
      </rPr>
      <t xml:space="preserve">14</t>
    </r>
    <r>
      <rPr>
        <sz val="11"/>
        <rFont val="WenQuanYi Zen Hei"/>
        <family val="2"/>
      </rPr>
      <t xml:space="preserve">分店）</t>
    </r>
  </si>
  <si>
    <t xml:space="preserve">博桥店</t>
  </si>
  <si>
    <r>
      <rPr>
        <sz val="11"/>
        <rFont val="WenQuanYi Zen Hei"/>
        <family val="2"/>
      </rPr>
      <t xml:space="preserve">齐村分店（</t>
    </r>
    <r>
      <rPr>
        <sz val="11"/>
        <rFont val="宋体"/>
        <family val="0"/>
        <charset val="134"/>
      </rPr>
      <t xml:space="preserve">15</t>
    </r>
    <r>
      <rPr>
        <sz val="11"/>
        <rFont val="WenQuanYi Zen Hei"/>
        <family val="2"/>
      </rPr>
      <t xml:space="preserve">分店）</t>
    </r>
  </si>
  <si>
    <t xml:space="preserve">齐村店</t>
  </si>
  <si>
    <r>
      <rPr>
        <sz val="11"/>
        <rFont val="WenQuanYi Zen Hei"/>
        <family val="2"/>
      </rPr>
      <t xml:space="preserve">博天分店（</t>
    </r>
    <r>
      <rPr>
        <sz val="11"/>
        <rFont val="宋体"/>
        <family val="0"/>
        <charset val="134"/>
      </rPr>
      <t xml:space="preserve">17</t>
    </r>
    <r>
      <rPr>
        <sz val="11"/>
        <rFont val="WenQuanYi Zen Hei"/>
        <family val="2"/>
      </rPr>
      <t xml:space="preserve">分店）</t>
    </r>
  </si>
  <si>
    <t xml:space="preserve">博天店</t>
  </si>
  <si>
    <r>
      <rPr>
        <sz val="11"/>
        <rFont val="WenQuanYi Zen Hei"/>
        <family val="2"/>
      </rPr>
      <t xml:space="preserve">魏家庄分店（</t>
    </r>
    <r>
      <rPr>
        <sz val="11"/>
        <rFont val="宋体"/>
        <family val="0"/>
        <charset val="134"/>
      </rPr>
      <t xml:space="preserve">18</t>
    </r>
    <r>
      <rPr>
        <sz val="11"/>
        <rFont val="WenQuanYi Zen Hei"/>
        <family val="2"/>
      </rPr>
      <t xml:space="preserve">分店）</t>
    </r>
  </si>
  <si>
    <t xml:space="preserve">魏家庄店</t>
  </si>
  <si>
    <r>
      <rPr>
        <sz val="11"/>
        <rFont val="WenQuanYi Zen Hei"/>
        <family val="2"/>
      </rPr>
      <t xml:space="preserve">北楼分店（</t>
    </r>
    <r>
      <rPr>
        <sz val="11"/>
        <rFont val="宋体"/>
        <family val="0"/>
        <charset val="134"/>
      </rPr>
      <t xml:space="preserve">22</t>
    </r>
    <r>
      <rPr>
        <sz val="11"/>
        <rFont val="WenQuanYi Zen Hei"/>
        <family val="2"/>
      </rPr>
      <t xml:space="preserve">分店）</t>
    </r>
  </si>
  <si>
    <t xml:space="preserve">北楼店</t>
  </si>
  <si>
    <r>
      <rPr>
        <sz val="11"/>
        <rFont val="WenQuanYi Zen Hei"/>
        <family val="2"/>
      </rPr>
      <t xml:space="preserve">尹村分店</t>
    </r>
    <r>
      <rPr>
        <sz val="11"/>
        <rFont val="宋体"/>
        <family val="0"/>
        <charset val="134"/>
      </rPr>
      <t xml:space="preserve">(23</t>
    </r>
    <r>
      <rPr>
        <sz val="11"/>
        <rFont val="WenQuanYi Zen Hei"/>
        <family val="2"/>
      </rPr>
      <t xml:space="preserve">分店）</t>
    </r>
  </si>
  <si>
    <t xml:space="preserve">尹村店</t>
  </si>
  <si>
    <r>
      <rPr>
        <sz val="11"/>
        <rFont val="WenQuanYi Zen Hei"/>
        <family val="2"/>
      </rPr>
      <t xml:space="preserve">高村分店（</t>
    </r>
    <r>
      <rPr>
        <sz val="11"/>
        <rFont val="宋体"/>
        <family val="0"/>
        <charset val="134"/>
      </rPr>
      <t xml:space="preserve">24</t>
    </r>
    <r>
      <rPr>
        <sz val="11"/>
        <rFont val="WenQuanYi Zen Hei"/>
        <family val="2"/>
      </rPr>
      <t xml:space="preserve">分店）</t>
    </r>
  </si>
  <si>
    <t xml:space="preserve">高村店</t>
  </si>
  <si>
    <r>
      <rPr>
        <sz val="11"/>
        <rFont val="WenQuanYi Zen Hei"/>
        <family val="2"/>
      </rPr>
      <t xml:space="preserve">彭村分店（</t>
    </r>
    <r>
      <rPr>
        <sz val="11"/>
        <rFont val="宋体"/>
        <family val="0"/>
        <charset val="134"/>
      </rPr>
      <t xml:space="preserve">26</t>
    </r>
    <r>
      <rPr>
        <sz val="11"/>
        <rFont val="WenQuanYi Zen Hei"/>
        <family val="2"/>
      </rPr>
      <t xml:space="preserve">分店）</t>
    </r>
  </si>
  <si>
    <t xml:space="preserve">彭村店</t>
  </si>
  <si>
    <r>
      <rPr>
        <sz val="11"/>
        <rFont val="WenQuanYi Zen Hei"/>
        <family val="2"/>
      </rPr>
      <t xml:space="preserve">南位药店（</t>
    </r>
    <r>
      <rPr>
        <sz val="11"/>
        <rFont val="宋体"/>
        <family val="0"/>
        <charset val="134"/>
      </rPr>
      <t xml:space="preserve">30</t>
    </r>
    <r>
      <rPr>
        <sz val="11"/>
        <rFont val="WenQuanYi Zen Hei"/>
        <family val="2"/>
      </rPr>
      <t xml:space="preserve">分店）</t>
    </r>
  </si>
  <si>
    <t xml:space="preserve">南位店</t>
  </si>
  <si>
    <r>
      <rPr>
        <sz val="11"/>
        <rFont val="WenQuanYi Zen Hei"/>
        <family val="2"/>
      </rPr>
      <t xml:space="preserve">博园分店（</t>
    </r>
    <r>
      <rPr>
        <sz val="11"/>
        <rFont val="宋体"/>
        <family val="0"/>
        <charset val="134"/>
      </rPr>
      <t xml:space="preserve">32</t>
    </r>
    <r>
      <rPr>
        <sz val="11"/>
        <rFont val="WenQuanYi Zen Hei"/>
        <family val="2"/>
      </rPr>
      <t xml:space="preserve">店）</t>
    </r>
  </si>
  <si>
    <t xml:space="preserve">博园店</t>
  </si>
  <si>
    <r>
      <rPr>
        <sz val="11"/>
        <rFont val="WenQuanYi Zen Hei"/>
        <family val="2"/>
      </rPr>
      <t xml:space="preserve">黑城分店（</t>
    </r>
    <r>
      <rPr>
        <sz val="11"/>
        <rFont val="宋体"/>
        <family val="0"/>
        <charset val="134"/>
      </rPr>
      <t xml:space="preserve">36</t>
    </r>
    <r>
      <rPr>
        <sz val="11"/>
        <rFont val="WenQuanYi Zen Hei"/>
        <family val="2"/>
      </rPr>
      <t xml:space="preserve">分店）</t>
    </r>
  </si>
  <si>
    <t xml:space="preserve">黑城店</t>
  </si>
  <si>
    <r>
      <rPr>
        <sz val="11"/>
        <rFont val="WenQuanYi Zen Hei"/>
        <family val="2"/>
      </rPr>
      <t xml:space="preserve">新华路分店（</t>
    </r>
    <r>
      <rPr>
        <sz val="11"/>
        <rFont val="宋体"/>
        <family val="0"/>
        <charset val="134"/>
      </rPr>
      <t xml:space="preserve">37</t>
    </r>
    <r>
      <rPr>
        <sz val="11"/>
        <rFont val="WenQuanYi Zen Hei"/>
        <family val="2"/>
      </rPr>
      <t xml:space="preserve">店）</t>
    </r>
  </si>
  <si>
    <t xml:space="preserve">新华路店</t>
  </si>
  <si>
    <r>
      <rPr>
        <sz val="11"/>
        <rFont val="WenQuanYi Zen Hei"/>
        <family val="2"/>
      </rPr>
      <t xml:space="preserve">杨村王街分店（</t>
    </r>
    <r>
      <rPr>
        <sz val="11"/>
        <rFont val="宋体"/>
        <family val="0"/>
        <charset val="134"/>
      </rPr>
      <t xml:space="preserve">38</t>
    </r>
    <r>
      <rPr>
        <sz val="11"/>
        <rFont val="WenQuanYi Zen Hei"/>
        <family val="2"/>
      </rPr>
      <t xml:space="preserve">分店）</t>
    </r>
  </si>
  <si>
    <t xml:space="preserve">杨村王街店</t>
  </si>
  <si>
    <r>
      <rPr>
        <sz val="11"/>
        <rFont val="WenQuanYi Zen Hei"/>
        <family val="2"/>
      </rPr>
      <t xml:space="preserve">千户营滏阳分店（</t>
    </r>
    <r>
      <rPr>
        <sz val="11"/>
        <rFont val="宋体"/>
        <family val="0"/>
        <charset val="134"/>
      </rPr>
      <t xml:space="preserve">39</t>
    </r>
    <r>
      <rPr>
        <sz val="11"/>
        <rFont val="WenQuanYi Zen Hei"/>
        <family val="2"/>
      </rPr>
      <t xml:space="preserve">分店）</t>
    </r>
  </si>
  <si>
    <t xml:space="preserve">千户营店</t>
  </si>
  <si>
    <r>
      <rPr>
        <sz val="11"/>
        <rFont val="WenQuanYi Zen Hei"/>
        <family val="2"/>
      </rPr>
      <t xml:space="preserve">大张庄博尧分店（</t>
    </r>
    <r>
      <rPr>
        <sz val="11"/>
        <rFont val="宋体"/>
        <family val="0"/>
        <charset val="134"/>
      </rPr>
      <t xml:space="preserve">40</t>
    </r>
    <r>
      <rPr>
        <sz val="11"/>
        <rFont val="WenQuanYi Zen Hei"/>
        <family val="2"/>
      </rPr>
      <t xml:space="preserve">分店）</t>
    </r>
  </si>
  <si>
    <t xml:space="preserve">大张庄店</t>
  </si>
  <si>
    <r>
      <rPr>
        <sz val="11"/>
        <rFont val="WenQuanYi Zen Hei"/>
        <family val="2"/>
      </rPr>
      <t xml:space="preserve">郝庄分店（</t>
    </r>
    <r>
      <rPr>
        <sz val="11"/>
        <rFont val="宋体"/>
        <family val="0"/>
        <charset val="134"/>
      </rPr>
      <t xml:space="preserve">41</t>
    </r>
    <r>
      <rPr>
        <sz val="11"/>
        <rFont val="WenQuanYi Zen Hei"/>
        <family val="2"/>
      </rPr>
      <t xml:space="preserve">分店）</t>
    </r>
  </si>
  <si>
    <t xml:space="preserve">郝庄店</t>
  </si>
  <si>
    <r>
      <rPr>
        <sz val="11"/>
        <rFont val="WenQuanYi Zen Hei"/>
        <family val="2"/>
      </rPr>
      <t xml:space="preserve">白家寨博远分店（</t>
    </r>
    <r>
      <rPr>
        <sz val="11"/>
        <rFont val="宋体"/>
        <family val="0"/>
        <charset val="134"/>
      </rPr>
      <t xml:space="preserve">42</t>
    </r>
    <r>
      <rPr>
        <sz val="11"/>
        <rFont val="WenQuanYi Zen Hei"/>
        <family val="2"/>
      </rPr>
      <t xml:space="preserve">分店）</t>
    </r>
  </si>
  <si>
    <t xml:space="preserve">白家寨店</t>
  </si>
  <si>
    <r>
      <rPr>
        <sz val="11"/>
        <rFont val="WenQuanYi Zen Hei"/>
        <family val="2"/>
      </rPr>
      <t xml:space="preserve">临城县博福分店</t>
    </r>
    <r>
      <rPr>
        <sz val="11"/>
        <rFont val="宋体"/>
        <family val="0"/>
        <charset val="134"/>
      </rPr>
      <t xml:space="preserve">43</t>
    </r>
    <r>
      <rPr>
        <sz val="11"/>
        <rFont val="WenQuanYi Zen Hei"/>
        <family val="2"/>
      </rPr>
      <t xml:space="preserve">店</t>
    </r>
  </si>
  <si>
    <t xml:space="preserve">博福店</t>
  </si>
  <si>
    <r>
      <rPr>
        <sz val="11"/>
        <rFont val="WenQuanYi Zen Hei"/>
        <family val="2"/>
      </rPr>
      <t xml:space="preserve">临城县博营分店（</t>
    </r>
    <r>
      <rPr>
        <sz val="11"/>
        <rFont val="宋体"/>
        <family val="0"/>
        <charset val="134"/>
      </rPr>
      <t xml:space="preserve">44</t>
    </r>
    <r>
      <rPr>
        <sz val="11"/>
        <rFont val="WenQuanYi Zen Hei"/>
        <family val="2"/>
      </rPr>
      <t xml:space="preserve">分店）</t>
    </r>
  </si>
  <si>
    <t xml:space="preserve">博营店</t>
  </si>
  <si>
    <r>
      <rPr>
        <sz val="11"/>
        <rFont val="WenQuanYi Zen Hei"/>
        <family val="2"/>
      </rPr>
      <t xml:space="preserve">临城县博康分店（</t>
    </r>
    <r>
      <rPr>
        <sz val="11"/>
        <rFont val="宋体"/>
        <family val="0"/>
        <charset val="134"/>
      </rPr>
      <t xml:space="preserve">46</t>
    </r>
    <r>
      <rPr>
        <sz val="11"/>
        <rFont val="WenQuanYi Zen Hei"/>
        <family val="2"/>
      </rPr>
      <t xml:space="preserve">分店）</t>
    </r>
  </si>
  <si>
    <t xml:space="preserve">博康店</t>
  </si>
  <si>
    <r>
      <rPr>
        <sz val="11"/>
        <rFont val="WenQuanYi Zen Hei"/>
        <family val="2"/>
      </rPr>
      <t xml:space="preserve">博联分店（</t>
    </r>
    <r>
      <rPr>
        <sz val="11"/>
        <rFont val="宋体"/>
        <family val="0"/>
        <charset val="134"/>
      </rPr>
      <t xml:space="preserve">47</t>
    </r>
    <r>
      <rPr>
        <sz val="11"/>
        <rFont val="WenQuanYi Zen Hei"/>
        <family val="2"/>
      </rPr>
      <t xml:space="preserve">分店）</t>
    </r>
  </si>
  <si>
    <t xml:space="preserve">博联店</t>
  </si>
  <si>
    <r>
      <rPr>
        <sz val="11"/>
        <rFont val="WenQuanYi Zen Hei"/>
        <family val="2"/>
      </rPr>
      <t xml:space="preserve">博诺医药</t>
    </r>
    <r>
      <rPr>
        <sz val="11"/>
        <rFont val="宋体"/>
        <family val="0"/>
        <charset val="134"/>
      </rPr>
      <t xml:space="preserve">-</t>
    </r>
    <r>
      <rPr>
        <sz val="11"/>
        <rFont val="WenQuanYi Zen Hei"/>
        <family val="2"/>
      </rPr>
      <t xml:space="preserve">临城县博尚分店（</t>
    </r>
    <r>
      <rPr>
        <sz val="11"/>
        <rFont val="宋体"/>
        <family val="0"/>
        <charset val="134"/>
      </rPr>
      <t xml:space="preserve">50</t>
    </r>
    <r>
      <rPr>
        <sz val="11"/>
        <rFont val="WenQuanYi Zen Hei"/>
        <family val="2"/>
      </rPr>
      <t xml:space="preserve">分店）</t>
    </r>
  </si>
  <si>
    <t xml:space="preserve">博尚店</t>
  </si>
  <si>
    <r>
      <rPr>
        <sz val="11"/>
        <rFont val="WenQuanYi Zen Hei"/>
        <family val="2"/>
      </rPr>
      <t xml:space="preserve">博诺医药</t>
    </r>
    <r>
      <rPr>
        <sz val="11"/>
        <rFont val="宋体"/>
        <family val="0"/>
        <charset val="134"/>
      </rPr>
      <t xml:space="preserve">-</t>
    </r>
    <r>
      <rPr>
        <sz val="11"/>
        <rFont val="WenQuanYi Zen Hei"/>
        <family val="2"/>
      </rPr>
      <t xml:space="preserve">博鑫分店（</t>
    </r>
    <r>
      <rPr>
        <sz val="11"/>
        <rFont val="宋体"/>
        <family val="0"/>
        <charset val="134"/>
      </rPr>
      <t xml:space="preserve">53</t>
    </r>
    <r>
      <rPr>
        <sz val="11"/>
        <rFont val="WenQuanYi Zen Hei"/>
        <family val="2"/>
      </rPr>
      <t xml:space="preserve">分店）</t>
    </r>
  </si>
  <si>
    <t xml:space="preserve">博鑫店</t>
  </si>
  <si>
    <r>
      <rPr>
        <sz val="11"/>
        <rFont val="WenQuanYi Zen Hei"/>
        <family val="2"/>
      </rPr>
      <t xml:space="preserve">博魏分店（</t>
    </r>
    <r>
      <rPr>
        <sz val="11"/>
        <rFont val="宋体"/>
        <family val="0"/>
        <charset val="134"/>
      </rPr>
      <t xml:space="preserve">55</t>
    </r>
    <r>
      <rPr>
        <sz val="11"/>
        <rFont val="WenQuanYi Zen Hei"/>
        <family val="2"/>
      </rPr>
      <t xml:space="preserve">分店）</t>
    </r>
  </si>
  <si>
    <t xml:space="preserve">博魏店</t>
  </si>
  <si>
    <r>
      <rPr>
        <sz val="11"/>
        <rFont val="WenQuanYi Zen Hei"/>
        <family val="2"/>
      </rPr>
      <t xml:space="preserve">临城县博城分店（</t>
    </r>
    <r>
      <rPr>
        <sz val="11"/>
        <rFont val="宋体"/>
        <family val="0"/>
        <charset val="134"/>
      </rPr>
      <t xml:space="preserve">57</t>
    </r>
    <r>
      <rPr>
        <sz val="11"/>
        <rFont val="WenQuanYi Zen Hei"/>
        <family val="2"/>
      </rPr>
      <t xml:space="preserve">分店）</t>
    </r>
  </si>
  <si>
    <t xml:space="preserve">博城店</t>
  </si>
  <si>
    <r>
      <rPr>
        <sz val="11"/>
        <rFont val="WenQuanYi Zen Hei"/>
        <family val="2"/>
      </rPr>
      <t xml:space="preserve">博景分店（</t>
    </r>
    <r>
      <rPr>
        <sz val="11"/>
        <rFont val="宋体"/>
        <family val="0"/>
        <charset val="134"/>
      </rPr>
      <t xml:space="preserve">60</t>
    </r>
    <r>
      <rPr>
        <sz val="11"/>
        <rFont val="WenQuanYi Zen Hei"/>
        <family val="2"/>
      </rPr>
      <t xml:space="preserve">分店）</t>
    </r>
  </si>
  <si>
    <t xml:space="preserve">博景店</t>
  </si>
  <si>
    <r>
      <rPr>
        <sz val="11"/>
        <rFont val="WenQuanYi Zen Hei"/>
        <family val="2"/>
      </rPr>
      <t xml:space="preserve">西范村分店（</t>
    </r>
    <r>
      <rPr>
        <sz val="11"/>
        <rFont val="宋体"/>
        <family val="0"/>
        <charset val="134"/>
      </rPr>
      <t xml:space="preserve">62</t>
    </r>
    <r>
      <rPr>
        <sz val="11"/>
        <rFont val="WenQuanYi Zen Hei"/>
        <family val="2"/>
      </rPr>
      <t xml:space="preserve">分店）</t>
    </r>
  </si>
  <si>
    <t xml:space="preserve">西范村店</t>
  </si>
  <si>
    <r>
      <rPr>
        <sz val="11"/>
        <rFont val="WenQuanYi Zen Hei"/>
        <family val="2"/>
      </rPr>
      <t xml:space="preserve">博医分店（</t>
    </r>
    <r>
      <rPr>
        <sz val="11"/>
        <rFont val="宋体"/>
        <family val="0"/>
        <charset val="134"/>
      </rPr>
      <t xml:space="preserve">63</t>
    </r>
    <r>
      <rPr>
        <sz val="11"/>
        <rFont val="WenQuanYi Zen Hei"/>
        <family val="2"/>
      </rPr>
      <t xml:space="preserve">分店）</t>
    </r>
  </si>
  <si>
    <t xml:space="preserve">博医店</t>
  </si>
  <si>
    <t xml:space="preserve">博诺旗舰店</t>
  </si>
  <si>
    <t xml:space="preserve">旗舰店</t>
  </si>
  <si>
    <r>
      <rPr>
        <sz val="11"/>
        <rFont val="WenQuanYi Zen Hei"/>
        <family val="2"/>
      </rPr>
      <t xml:space="preserve">博实分店（</t>
    </r>
    <r>
      <rPr>
        <sz val="11"/>
        <rFont val="宋体"/>
        <family val="0"/>
        <charset val="134"/>
      </rPr>
      <t xml:space="preserve">66</t>
    </r>
    <r>
      <rPr>
        <sz val="11"/>
        <rFont val="WenQuanYi Zen Hei"/>
        <family val="2"/>
      </rPr>
      <t xml:space="preserve">分店）</t>
    </r>
  </si>
  <si>
    <t xml:space="preserve">博实店</t>
  </si>
  <si>
    <r>
      <rPr>
        <sz val="11"/>
        <rFont val="WenQuanYi Zen Hei"/>
        <family val="2"/>
      </rPr>
      <t xml:space="preserve">博亮分店（</t>
    </r>
    <r>
      <rPr>
        <sz val="11"/>
        <rFont val="宋体"/>
        <family val="0"/>
        <charset val="134"/>
      </rPr>
      <t xml:space="preserve">67</t>
    </r>
    <r>
      <rPr>
        <sz val="11"/>
        <rFont val="WenQuanYi Zen Hei"/>
        <family val="2"/>
      </rPr>
      <t xml:space="preserve">分店）</t>
    </r>
  </si>
  <si>
    <t xml:space="preserve">博亮店</t>
  </si>
  <si>
    <r>
      <rPr>
        <sz val="11"/>
        <rFont val="WenQuanYi Zen Hei"/>
        <family val="2"/>
      </rPr>
      <t xml:space="preserve">博山分店（</t>
    </r>
    <r>
      <rPr>
        <sz val="11"/>
        <rFont val="宋体"/>
        <family val="0"/>
        <charset val="134"/>
      </rPr>
      <t xml:space="preserve">68</t>
    </r>
    <r>
      <rPr>
        <sz val="11"/>
        <rFont val="WenQuanYi Zen Hei"/>
        <family val="2"/>
      </rPr>
      <t xml:space="preserve">分店）</t>
    </r>
  </si>
  <si>
    <t xml:space="preserve">博山店</t>
  </si>
  <si>
    <r>
      <rPr>
        <sz val="11"/>
        <rFont val="WenQuanYi Zen Hei"/>
        <family val="2"/>
      </rPr>
      <t xml:space="preserve">博东分店（</t>
    </r>
    <r>
      <rPr>
        <sz val="11"/>
        <rFont val="宋体"/>
        <family val="0"/>
        <charset val="134"/>
      </rPr>
      <t xml:space="preserve">69</t>
    </r>
    <r>
      <rPr>
        <sz val="11"/>
        <rFont val="WenQuanYi Zen Hei"/>
        <family val="2"/>
      </rPr>
      <t xml:space="preserve">店）</t>
    </r>
  </si>
  <si>
    <t xml:space="preserve">博东店</t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</si>
  <si>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</si>
  <si>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2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</si>
  <si>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3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</si>
  <si>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4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</si>
  <si>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5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</si>
  <si>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6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</si>
  <si>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7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</si>
  <si>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8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</si>
  <si>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9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</si>
  <si>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10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</si>
  <si>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11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</si>
  <si>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12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</si>
  <si>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13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</si>
  <si>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14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</si>
  <si>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15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</si>
  <si>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16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</si>
  <si>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17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</si>
  <si>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18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</si>
  <si>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19</t>
    </r>
  </si>
  <si>
    <r>
      <rPr>
        <sz val="11"/>
        <rFont val="WenQuanYi Zen Hei"/>
        <family val="2"/>
      </rPr>
      <t xml:space="preserve">备用</t>
    </r>
    <r>
      <rPr>
        <sz val="11"/>
        <rFont val="宋体"/>
        <family val="0"/>
        <charset val="134"/>
      </rPr>
      <t xml:space="preserve">20</t>
    </r>
  </si>
  <si>
    <t xml:space="preserve">序</t>
  </si>
  <si>
    <t xml:space="preserve">项目</t>
  </si>
  <si>
    <t xml:space="preserve">总账科目</t>
  </si>
  <si>
    <t xml:space="preserve">明细科目</t>
  </si>
  <si>
    <t xml:space="preserve">取数来源</t>
  </si>
  <si>
    <r>
      <rPr>
        <b val="true"/>
        <sz val="11"/>
        <rFont val="WenQuanYi Zen Hei"/>
        <family val="2"/>
      </rPr>
      <t xml:space="preserve">海典列</t>
    </r>
    <r>
      <rPr>
        <b val="true"/>
        <sz val="11"/>
        <rFont val="宋体"/>
        <family val="0"/>
        <charset val="134"/>
      </rPr>
      <t xml:space="preserve">1</t>
    </r>
  </si>
  <si>
    <r>
      <rPr>
        <b val="true"/>
        <sz val="11"/>
        <rFont val="WenQuanYi Zen Hei"/>
        <family val="2"/>
      </rPr>
      <t xml:space="preserve">海典列</t>
    </r>
    <r>
      <rPr>
        <b val="true"/>
        <sz val="11"/>
        <rFont val="宋体"/>
        <family val="0"/>
        <charset val="134"/>
      </rPr>
      <t xml:space="preserve">2</t>
    </r>
  </si>
  <si>
    <r>
      <rPr>
        <b val="true"/>
        <sz val="11"/>
        <rFont val="WenQuanYi Zen Hei"/>
        <family val="2"/>
      </rPr>
      <t xml:space="preserve">海典列</t>
    </r>
    <r>
      <rPr>
        <b val="true"/>
        <sz val="11"/>
        <rFont val="宋体"/>
        <family val="0"/>
        <charset val="134"/>
      </rPr>
      <t xml:space="preserve">3</t>
    </r>
  </si>
  <si>
    <r>
      <rPr>
        <b val="true"/>
        <sz val="11"/>
        <rFont val="WenQuanYi Zen Hei"/>
        <family val="2"/>
      </rPr>
      <t xml:space="preserve">海典列</t>
    </r>
    <r>
      <rPr>
        <b val="true"/>
        <sz val="11"/>
        <rFont val="宋体"/>
        <family val="0"/>
        <charset val="134"/>
      </rPr>
      <t xml:space="preserve">4</t>
    </r>
  </si>
  <si>
    <r>
      <rPr>
        <b val="true"/>
        <sz val="11"/>
        <rFont val="WenQuanYi Zen Hei"/>
        <family val="2"/>
      </rPr>
      <t xml:space="preserve">海典列</t>
    </r>
    <r>
      <rPr>
        <b val="true"/>
        <sz val="11"/>
        <rFont val="宋体"/>
        <family val="0"/>
        <charset val="134"/>
      </rPr>
      <t xml:space="preserve">5</t>
    </r>
  </si>
  <si>
    <r>
      <rPr>
        <b val="true"/>
        <sz val="11"/>
        <rFont val="WenQuanYi Zen Hei"/>
        <family val="2"/>
      </rPr>
      <t xml:space="preserve">海典列</t>
    </r>
    <r>
      <rPr>
        <b val="true"/>
        <sz val="11"/>
        <rFont val="宋体"/>
        <family val="0"/>
        <charset val="134"/>
      </rPr>
      <t xml:space="preserve">6</t>
    </r>
  </si>
  <si>
    <t xml:space="preserve">负数时总账科目</t>
  </si>
  <si>
    <t xml:space="preserve">负数时明细科目</t>
  </si>
  <si>
    <r>
      <rPr>
        <b val="true"/>
        <sz val="11"/>
        <rFont val="WenQuanYi Zen Hei"/>
        <family val="2"/>
      </rPr>
      <t xml:space="preserve">【黄色 </t>
    </r>
    <r>
      <rPr>
        <b val="true"/>
        <sz val="11"/>
        <rFont val="宋体"/>
        <family val="0"/>
        <charset val="134"/>
      </rPr>
      <t xml:space="preserve">= </t>
    </r>
    <r>
      <rPr>
        <b val="true"/>
        <sz val="11"/>
        <rFont val="WenQuanYi Zen Hei"/>
        <family val="2"/>
      </rPr>
      <t xml:space="preserve">按平台金额入账】</t>
    </r>
  </si>
  <si>
    <r>
      <rPr>
        <sz val="11"/>
        <rFont val="WenQuanYi Zen Hei"/>
        <family val="2"/>
      </rPr>
      <t xml:space="preserve">现金</t>
    </r>
    <r>
      <rPr>
        <sz val="11"/>
        <rFont val="宋体"/>
        <family val="0"/>
        <charset val="134"/>
      </rPr>
      <t xml:space="preserve">+</t>
    </r>
    <r>
      <rPr>
        <sz val="11"/>
        <rFont val="WenQuanYi Zen Hei"/>
        <family val="2"/>
      </rPr>
      <t xml:space="preserve">补差</t>
    </r>
  </si>
  <si>
    <r>
      <rPr>
        <sz val="10"/>
        <color rgb="FF808080"/>
        <rFont val="WenQuanYi Zen Hei"/>
        <family val="2"/>
      </rPr>
      <t xml:space="preserve">海典列</t>
    </r>
    <r>
      <rPr>
        <sz val="10"/>
        <color rgb="FF808080"/>
        <rFont val="宋体"/>
        <family val="0"/>
        <charset val="134"/>
      </rPr>
      <t xml:space="preserve">1 </t>
    </r>
    <r>
      <rPr>
        <sz val="10"/>
        <color rgb="FF808080"/>
        <rFont val="WenQuanYi Zen Hei"/>
        <family val="2"/>
      </rPr>
      <t xml:space="preserve">涂黄的这些渠道（医保、健</t>
    </r>
    <r>
      <rPr>
        <sz val="10"/>
        <color rgb="FF808080"/>
        <rFont val="宋体"/>
        <family val="0"/>
        <charset val="134"/>
      </rPr>
      <t xml:space="preserve">e</t>
    </r>
    <r>
      <rPr>
        <sz val="10"/>
        <color rgb="FF808080"/>
        <rFont val="WenQuanYi Zen Hei"/>
        <family val="2"/>
      </rPr>
      <t xml:space="preserve">卡、医卡通、企健网、亲情卡、</t>
    </r>
    <r>
      <rPr>
        <sz val="10"/>
        <color rgb="FF808080"/>
        <rFont val="宋体"/>
        <family val="0"/>
        <charset val="134"/>
      </rPr>
      <t xml:space="preserve">24</t>
    </r>
    <r>
      <rPr>
        <sz val="10"/>
        <color rgb="FF808080"/>
        <rFont val="WenQuanYi Zen Hei"/>
        <family val="2"/>
      </rPr>
      <t xml:space="preserve">小时、美团、饿了么、京东秒送、银联、小镇外卖、</t>
    </r>
    <r>
      <rPr>
        <sz val="10"/>
        <color rgb="FF808080"/>
        <rFont val="宋体"/>
        <family val="0"/>
        <charset val="134"/>
      </rPr>
      <t xml:space="preserve">OMS</t>
    </r>
    <r>
      <rPr>
        <sz val="10"/>
        <color rgb="FF808080"/>
        <rFont val="WenQuanYi Zen Hei"/>
        <family val="2"/>
      </rPr>
      <t xml:space="preserve">、平安药卡），</t>
    </r>
  </si>
  <si>
    <t xml:space="preserve">聚合支付</t>
  </si>
  <si>
    <t xml:space="preserve">应收账款</t>
  </si>
  <si>
    <t xml:space="preserve">聚合净额</t>
  </si>
  <si>
    <r>
      <rPr>
        <sz val="10"/>
        <color rgb="FF808080"/>
        <rFont val="WenQuanYi Zen Hei"/>
        <family val="2"/>
      </rPr>
      <t xml:space="preserve">凭证金额优先取 输入平台 页里你填的平台金额；那一行没填才回退到海典金额。平台和海典的差，仍旧走“少钱补现金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多钱记营业外”。</t>
    </r>
  </si>
  <si>
    <t xml:space="preserve">医保</t>
  </si>
  <si>
    <t xml:space="preserve">平台优先</t>
  </si>
  <si>
    <t xml:space="preserve">医保统筹</t>
  </si>
  <si>
    <r>
      <rPr>
        <sz val="11"/>
        <rFont val="WenQuanYi Zen Hei"/>
        <family val="2"/>
      </rPr>
      <t xml:space="preserve">健</t>
    </r>
    <r>
      <rPr>
        <sz val="11"/>
        <rFont val="宋体"/>
        <family val="0"/>
        <charset val="134"/>
      </rPr>
      <t xml:space="preserve">e</t>
    </r>
    <r>
      <rPr>
        <sz val="11"/>
        <rFont val="WenQuanYi Zen Hei"/>
        <family val="2"/>
      </rPr>
      <t xml:space="preserve">卡</t>
    </r>
  </si>
  <si>
    <r>
      <rPr>
        <b val="true"/>
        <sz val="11"/>
        <rFont val="WenQuanYi Zen Hei"/>
        <family val="2"/>
      </rPr>
      <t xml:space="preserve">【负数时总账科目 </t>
    </r>
    <r>
      <rPr>
        <b val="true"/>
        <sz val="11"/>
        <rFont val="宋体"/>
        <family val="0"/>
        <charset val="134"/>
      </rPr>
      <t xml:space="preserve">/ </t>
    </r>
    <r>
      <rPr>
        <b val="true"/>
        <sz val="11"/>
        <rFont val="WenQuanYi Zen Hei"/>
        <family val="2"/>
      </rPr>
      <t xml:space="preserve">负数时明细科目】</t>
    </r>
  </si>
  <si>
    <t xml:space="preserve">医卡通</t>
  </si>
  <si>
    <t xml:space="preserve">填了这两格，金额算出来是负数时就换成这个科目、并记到贷方。</t>
  </si>
  <si>
    <t xml:space="preserve">企健网</t>
  </si>
  <si>
    <t xml:space="preserve">会员零钱包已按你的批注设好：正数 → 借 其他应收款—会员零钱包；负数 → 贷 其他应付款—会员零钱包。</t>
  </si>
  <si>
    <t xml:space="preserve">亲情卡</t>
  </si>
  <si>
    <r>
      <rPr>
        <sz val="11"/>
        <rFont val="宋体"/>
        <family val="0"/>
        <charset val="134"/>
      </rPr>
      <t xml:space="preserve">24</t>
    </r>
    <r>
      <rPr>
        <sz val="11"/>
        <rFont val="WenQuanYi Zen Hei"/>
        <family val="2"/>
      </rPr>
      <t xml:space="preserve">小时</t>
    </r>
  </si>
  <si>
    <t xml:space="preserve">二十四小时</t>
  </si>
  <si>
    <r>
      <rPr>
        <b val="true"/>
        <sz val="11"/>
        <rFont val="WenQuanYi Zen Hei"/>
        <family val="2"/>
      </rPr>
      <t xml:space="preserve">【促销费 </t>
    </r>
    <r>
      <rPr>
        <b val="true"/>
        <sz val="11"/>
        <rFont val="宋体"/>
        <family val="0"/>
        <charset val="134"/>
      </rPr>
      <t xml:space="preserve">/ </t>
    </r>
    <r>
      <rPr>
        <b val="true"/>
        <sz val="11"/>
        <rFont val="WenQuanYi Zen Hei"/>
        <family val="2"/>
      </rPr>
      <t xml:space="preserve">积分】</t>
    </r>
  </si>
  <si>
    <t xml:space="preserve">美团</t>
  </si>
  <si>
    <r>
      <rPr>
        <sz val="10"/>
        <color rgb="FF808080"/>
        <rFont val="WenQuanYi Zen Hei"/>
        <family val="2"/>
      </rPr>
      <t xml:space="preserve">促销费 </t>
    </r>
    <r>
      <rPr>
        <sz val="10"/>
        <color rgb="FF808080"/>
        <rFont val="宋体"/>
        <family val="0"/>
        <charset val="134"/>
      </rPr>
      <t xml:space="preserve">= </t>
    </r>
    <r>
      <rPr>
        <sz val="10"/>
        <color rgb="FF808080"/>
        <rFont val="WenQuanYi Zen Hei"/>
        <family val="2"/>
      </rPr>
      <t xml:space="preserve">微信平台优惠券 </t>
    </r>
    <r>
      <rPr>
        <sz val="10"/>
        <color rgb="FF808080"/>
        <rFont val="宋体"/>
        <family val="0"/>
        <charset val="134"/>
      </rPr>
      <t xml:space="preserve">+ </t>
    </r>
    <r>
      <rPr>
        <sz val="10"/>
        <color rgb="FF808080"/>
        <rFont val="WenQuanYi Zen Hei"/>
        <family val="2"/>
      </rPr>
      <t xml:space="preserve">微信平台礼品券 </t>
    </r>
    <r>
      <rPr>
        <sz val="10"/>
        <color rgb="FF808080"/>
        <rFont val="宋体"/>
        <family val="0"/>
        <charset val="134"/>
      </rPr>
      <t xml:space="preserve">+ </t>
    </r>
    <r>
      <rPr>
        <sz val="10"/>
        <color rgb="FF808080"/>
        <rFont val="WenQuanYi Zen Hei"/>
        <family val="2"/>
      </rPr>
      <t xml:space="preserve">代金券；积分抵现 已单独拆成 销售费用—积分。</t>
    </r>
  </si>
  <si>
    <t xml:space="preserve">饿了么</t>
  </si>
  <si>
    <r>
      <rPr>
        <sz val="10"/>
        <color rgb="FF808080"/>
        <rFont val="WenQuanYi Zen Hei"/>
        <family val="2"/>
      </rPr>
      <t xml:space="preserve">京东</t>
    </r>
    <r>
      <rPr>
        <sz val="10"/>
        <color rgb="FF808080"/>
        <rFont val="宋体"/>
        <family val="0"/>
        <charset val="134"/>
      </rPr>
      <t xml:space="preserve">LOC</t>
    </r>
    <r>
      <rPr>
        <sz val="10"/>
        <color rgb="FF808080"/>
        <rFont val="WenQuanYi Zen Hei"/>
        <family val="2"/>
      </rPr>
      <t xml:space="preserve">券、收银兑换损失 按你的批注去掉了，不再进促销费；万一某月有金额，核对 页会提醒你（想加回来就填进空的海典列里）。</t>
    </r>
  </si>
  <si>
    <t xml:space="preserve">京东秒送</t>
  </si>
  <si>
    <t xml:space="preserve">银联</t>
  </si>
  <si>
    <r>
      <rPr>
        <sz val="10"/>
        <color rgb="FF808080"/>
        <rFont val="WenQuanYi Zen Hei"/>
        <family val="2"/>
      </rPr>
      <t xml:space="preserve">总账科目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明细科目（黄底）可以直接改，改完凭证自动跟着变；取数来源和海典列是引擎用的，不要改。</t>
    </r>
  </si>
  <si>
    <t xml:space="preserve">小镇外卖</t>
  </si>
  <si>
    <r>
      <rPr>
        <sz val="11"/>
        <rFont val="宋体"/>
        <family val="0"/>
        <charset val="134"/>
      </rPr>
      <t xml:space="preserve">OMS</t>
    </r>
    <r>
      <rPr>
        <sz val="11"/>
        <rFont val="WenQuanYi Zen Hei"/>
        <family val="2"/>
      </rPr>
      <t xml:space="preserve">线上支付</t>
    </r>
  </si>
  <si>
    <r>
      <rPr>
        <sz val="11"/>
        <rFont val="宋体"/>
        <family val="0"/>
        <charset val="134"/>
      </rPr>
      <t xml:space="preserve">OMS</t>
    </r>
    <r>
      <rPr>
        <sz val="11"/>
        <rFont val="WenQuanYi Zen Hei"/>
        <family val="2"/>
      </rPr>
      <t xml:space="preserve">线上</t>
    </r>
  </si>
  <si>
    <t xml:space="preserve">平安药卡</t>
  </si>
  <si>
    <t xml:space="preserve">平安</t>
  </si>
  <si>
    <t xml:space="preserve">平安药卡组合支付</t>
  </si>
  <si>
    <t xml:space="preserve">储值卡</t>
  </si>
  <si>
    <t xml:space="preserve">其他应收款</t>
  </si>
  <si>
    <t xml:space="preserve">海典</t>
  </si>
  <si>
    <t xml:space="preserve">会员零钱包</t>
  </si>
  <si>
    <t xml:space="preserve">促销费</t>
  </si>
  <si>
    <t xml:space="preserve">销售费用</t>
  </si>
  <si>
    <t xml:space="preserve">微信平台优惠券</t>
  </si>
  <si>
    <t xml:space="preserve">微信平台礼品券</t>
  </si>
  <si>
    <t xml:space="preserve">代金券</t>
  </si>
  <si>
    <t xml:space="preserve">积分</t>
  </si>
  <si>
    <t xml:space="preserve">积分抵现</t>
  </si>
  <si>
    <t xml:space="preserve">手续费</t>
  </si>
  <si>
    <t xml:space="preserve">财务费用</t>
  </si>
  <si>
    <t xml:space="preserve">聚合手续费</t>
  </si>
  <si>
    <t xml:space="preserve">主营业务收入</t>
  </si>
  <si>
    <t xml:space="preserve">销售合计</t>
  </si>
  <si>
    <t xml:space="preserve">营业外收入</t>
  </si>
  <si>
    <t xml:space="preserve">差额</t>
  </si>
  <si>
    <t xml:space="preserve">方向</t>
  </si>
  <si>
    <r>
      <rPr>
        <b val="true"/>
        <sz val="11"/>
        <rFont val="WenQuanYi Zen Hei"/>
        <family val="2"/>
      </rPr>
      <t xml:space="preserve">收款方式别名</t>
    </r>
    <r>
      <rPr>
        <b val="true"/>
        <sz val="11"/>
        <rFont val="宋体"/>
        <family val="0"/>
        <charset val="134"/>
      </rPr>
      <t xml:space="preserve">1</t>
    </r>
  </si>
  <si>
    <r>
      <rPr>
        <b val="true"/>
        <sz val="11"/>
        <rFont val="WenQuanYi Zen Hei"/>
        <family val="2"/>
      </rPr>
      <t xml:space="preserve">收款方式别名</t>
    </r>
    <r>
      <rPr>
        <b val="true"/>
        <sz val="11"/>
        <rFont val="宋体"/>
        <family val="0"/>
        <charset val="134"/>
      </rPr>
      <t xml:space="preserve">2</t>
    </r>
  </si>
  <si>
    <r>
      <rPr>
        <b val="true"/>
        <sz val="11"/>
        <rFont val="WenQuanYi Zen Hei"/>
        <family val="2"/>
      </rPr>
      <t xml:space="preserve">收款方式别名</t>
    </r>
    <r>
      <rPr>
        <b val="true"/>
        <sz val="11"/>
        <rFont val="宋体"/>
        <family val="0"/>
        <charset val="134"/>
      </rPr>
      <t xml:space="preserve">3</t>
    </r>
  </si>
  <si>
    <t xml:space="preserve">“收款方式别名”＝ 输入回款 里你写的收款方式名称，写全就能自动归到同一个科目。</t>
  </si>
  <si>
    <r>
      <rPr>
        <sz val="11"/>
        <rFont val="WenQuanYi Zen Hei"/>
        <family val="2"/>
      </rPr>
      <t xml:space="preserve">借</t>
    </r>
    <r>
      <rPr>
        <sz val="11"/>
        <rFont val="宋体"/>
        <family val="0"/>
        <charset val="134"/>
      </rPr>
      <t xml:space="preserve">-</t>
    </r>
    <r>
      <rPr>
        <sz val="11"/>
        <rFont val="WenQuanYi Zen Hei"/>
        <family val="2"/>
      </rPr>
      <t xml:space="preserve">回款合计</t>
    </r>
  </si>
  <si>
    <r>
      <rPr>
        <sz val="11"/>
        <rFont val="WenQuanYi Zen Hei"/>
        <family val="2"/>
      </rPr>
      <t xml:space="preserve">借</t>
    </r>
    <r>
      <rPr>
        <sz val="11"/>
        <rFont val="宋体"/>
        <family val="0"/>
        <charset val="134"/>
      </rPr>
      <t xml:space="preserve">-</t>
    </r>
    <r>
      <rPr>
        <sz val="11"/>
        <rFont val="WenQuanYi Zen Hei"/>
        <family val="2"/>
      </rPr>
      <t xml:space="preserve">手续费合计</t>
    </r>
  </si>
  <si>
    <t xml:space="preserve">贷</t>
  </si>
  <si>
    <t xml:space="preserve">医保即时拨付</t>
  </si>
  <si>
    <t xml:space="preserve">即时拨付</t>
  </si>
  <si>
    <r>
      <rPr>
        <sz val="11"/>
        <rFont val="WenQuanYi Zen Hei"/>
        <family val="2"/>
      </rPr>
      <t xml:space="preserve">健</t>
    </r>
    <r>
      <rPr>
        <sz val="11"/>
        <rFont val="宋体"/>
        <family val="0"/>
        <charset val="134"/>
      </rPr>
      <t xml:space="preserve">E</t>
    </r>
    <r>
      <rPr>
        <sz val="11"/>
        <rFont val="WenQuanYi Zen Hei"/>
        <family val="2"/>
      </rPr>
      <t xml:space="preserve">卡</t>
    </r>
  </si>
  <si>
    <t xml:space="preserve">药机微信</t>
  </si>
  <si>
    <t xml:space="preserve">门店代码</t>
  </si>
  <si>
    <t xml:space="preserve">门店名称</t>
  </si>
  <si>
    <t xml:space="preserve">会计日</t>
  </si>
  <si>
    <t xml:space="preserve">现金</t>
  </si>
  <si>
    <r>
      <rPr>
        <b val="true"/>
        <sz val="11"/>
        <rFont val="WenQuanYi Zen Hei"/>
        <family val="2"/>
      </rPr>
      <t xml:space="preserve">现</t>
    </r>
    <r>
      <rPr>
        <b val="true"/>
        <sz val="11"/>
        <rFont val="宋体"/>
        <family val="0"/>
        <charset val="134"/>
      </rPr>
      <t xml:space="preserve">11</t>
    </r>
    <r>
      <rPr>
        <b val="true"/>
        <sz val="11"/>
        <rFont val="WenQuanYi Zen Hei"/>
        <family val="2"/>
      </rPr>
      <t xml:space="preserve">金</t>
    </r>
  </si>
  <si>
    <t xml:space="preserve">海典聚合支付</t>
  </si>
  <si>
    <r>
      <rPr>
        <b val="true"/>
        <sz val="11"/>
        <rFont val="WenQuanYi Zen Hei"/>
        <family val="2"/>
      </rPr>
      <t xml:space="preserve">健</t>
    </r>
    <r>
      <rPr>
        <b val="true"/>
        <sz val="11"/>
        <rFont val="宋体"/>
        <family val="0"/>
        <charset val="134"/>
      </rPr>
      <t xml:space="preserve">e</t>
    </r>
    <r>
      <rPr>
        <b val="true"/>
        <sz val="11"/>
        <rFont val="WenQuanYi Zen Hei"/>
        <family val="2"/>
      </rPr>
      <t xml:space="preserve">卡</t>
    </r>
  </si>
  <si>
    <r>
      <rPr>
        <b val="true"/>
        <sz val="11"/>
        <rFont val="宋体"/>
        <family val="0"/>
        <charset val="134"/>
      </rPr>
      <t xml:space="preserve">OMS</t>
    </r>
    <r>
      <rPr>
        <b val="true"/>
        <sz val="11"/>
        <rFont val="WenQuanYi Zen Hei"/>
        <family val="2"/>
      </rPr>
      <t xml:space="preserve">线上支付</t>
    </r>
  </si>
  <si>
    <t xml:space="preserve">微信</t>
  </si>
  <si>
    <t xml:space="preserve">支付宝</t>
  </si>
  <si>
    <r>
      <rPr>
        <b val="true"/>
        <sz val="11"/>
        <rFont val="WenQuanYi Zen Hei"/>
        <family val="2"/>
      </rPr>
      <t xml:space="preserve">支付宝</t>
    </r>
    <r>
      <rPr>
        <b val="true"/>
        <sz val="11"/>
        <rFont val="宋体"/>
        <family val="0"/>
        <charset val="134"/>
      </rPr>
      <t xml:space="preserve">_</t>
    </r>
    <r>
      <rPr>
        <b val="true"/>
        <sz val="11"/>
        <rFont val="WenQuanYi Zen Hei"/>
        <family val="2"/>
      </rPr>
      <t xml:space="preserve">老</t>
    </r>
  </si>
  <si>
    <r>
      <rPr>
        <b val="true"/>
        <sz val="11"/>
        <rFont val="WenQuanYi Zen Hei"/>
        <family val="2"/>
      </rPr>
      <t xml:space="preserve">京东</t>
    </r>
    <r>
      <rPr>
        <b val="true"/>
        <sz val="11"/>
        <rFont val="宋体"/>
        <family val="0"/>
        <charset val="134"/>
      </rPr>
      <t xml:space="preserve">LOC</t>
    </r>
    <r>
      <rPr>
        <b val="true"/>
        <sz val="11"/>
        <rFont val="WenQuanYi Zen Hei"/>
        <family val="2"/>
      </rPr>
      <t xml:space="preserve">劵</t>
    </r>
  </si>
  <si>
    <t xml:space="preserve">收银兑换损失</t>
  </si>
  <si>
    <t xml:space="preserve">合计</t>
  </si>
  <si>
    <t xml:space="preserve">客流量</t>
  </si>
  <si>
    <t xml:space="preserve">2001</t>
  </si>
  <si>
    <r>
      <rPr>
        <sz val="11"/>
        <color theme="1"/>
        <rFont val="WenQuanYi Zen Hei"/>
        <family val="2"/>
      </rPr>
      <t xml:space="preserve">柏人商城分店（</t>
    </r>
    <r>
      <rPr>
        <sz val="11"/>
        <color theme="1"/>
        <rFont val="宋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店）</t>
    </r>
  </si>
  <si>
    <t xml:space="preserve">2002</t>
  </si>
  <si>
    <r>
      <rPr>
        <sz val="11"/>
        <color theme="1"/>
        <rFont val="WenQuanYi Zen Hei"/>
        <family val="2"/>
      </rPr>
      <t xml:space="preserve">新隆分店（</t>
    </r>
    <r>
      <rPr>
        <sz val="11"/>
        <color theme="1"/>
        <rFont val="宋体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分店）</t>
    </r>
  </si>
  <si>
    <t xml:space="preserve">2003</t>
  </si>
  <si>
    <r>
      <rPr>
        <sz val="11"/>
        <color theme="1"/>
        <rFont val="WenQuanYi Zen Hei"/>
        <family val="2"/>
      </rPr>
      <t xml:space="preserve">康庄东路分店（</t>
    </r>
    <r>
      <rPr>
        <sz val="11"/>
        <color theme="1"/>
        <rFont val="宋体"/>
        <family val="0"/>
        <charset val="134"/>
      </rPr>
      <t xml:space="preserve">3</t>
    </r>
    <r>
      <rPr>
        <sz val="11"/>
        <color theme="1"/>
        <rFont val="WenQuanYi Zen Hei"/>
        <family val="2"/>
      </rPr>
      <t xml:space="preserve">店）</t>
    </r>
  </si>
  <si>
    <t xml:space="preserve">2004</t>
  </si>
  <si>
    <r>
      <rPr>
        <sz val="11"/>
        <color theme="1"/>
        <rFont val="WenQuanYi Zen Hei"/>
        <family val="2"/>
      </rPr>
      <t xml:space="preserve">东关分店（</t>
    </r>
    <r>
      <rPr>
        <sz val="11"/>
        <color theme="1"/>
        <rFont val="宋体"/>
        <family val="0"/>
        <charset val="134"/>
      </rPr>
      <t xml:space="preserve">4</t>
    </r>
    <r>
      <rPr>
        <sz val="11"/>
        <color theme="1"/>
        <rFont val="WenQuanYi Zen Hei"/>
        <family val="2"/>
      </rPr>
      <t xml:space="preserve">分店）</t>
    </r>
  </si>
  <si>
    <t xml:space="preserve">2005</t>
  </si>
  <si>
    <r>
      <rPr>
        <sz val="11"/>
        <color theme="1"/>
        <rFont val="WenQuanYi Zen Hei"/>
        <family val="2"/>
      </rPr>
      <t xml:space="preserve">象城街分店（</t>
    </r>
    <r>
      <rPr>
        <sz val="11"/>
        <color theme="1"/>
        <rFont val="宋体"/>
        <family val="0"/>
        <charset val="134"/>
      </rPr>
      <t xml:space="preserve">5</t>
    </r>
    <r>
      <rPr>
        <sz val="11"/>
        <color theme="1"/>
        <rFont val="WenQuanYi Zen Hei"/>
        <family val="2"/>
      </rPr>
      <t xml:space="preserve">店）</t>
    </r>
  </si>
  <si>
    <t xml:space="preserve">2006</t>
  </si>
  <si>
    <r>
      <rPr>
        <sz val="11"/>
        <color theme="1"/>
        <rFont val="WenQuanYi Zen Hei"/>
        <family val="2"/>
      </rPr>
      <t xml:space="preserve">博荣分店（</t>
    </r>
    <r>
      <rPr>
        <sz val="11"/>
        <color theme="1"/>
        <rFont val="宋体"/>
        <family val="0"/>
        <charset val="134"/>
      </rPr>
      <t xml:space="preserve">6</t>
    </r>
    <r>
      <rPr>
        <sz val="11"/>
        <color theme="1"/>
        <rFont val="WenQuanYi Zen Hei"/>
        <family val="2"/>
      </rPr>
      <t xml:space="preserve">分店）</t>
    </r>
  </si>
  <si>
    <t xml:space="preserve">2007</t>
  </si>
  <si>
    <r>
      <rPr>
        <sz val="11"/>
        <color theme="1"/>
        <rFont val="WenQuanYi Zen Hei"/>
        <family val="2"/>
      </rPr>
      <t xml:space="preserve">华鑫分店（</t>
    </r>
    <r>
      <rPr>
        <sz val="11"/>
        <color theme="1"/>
        <rFont val="宋体"/>
        <family val="0"/>
        <charset val="134"/>
      </rPr>
      <t xml:space="preserve">7</t>
    </r>
    <r>
      <rPr>
        <sz val="11"/>
        <color theme="1"/>
        <rFont val="WenQuanYi Zen Hei"/>
        <family val="2"/>
      </rPr>
      <t xml:space="preserve">店）</t>
    </r>
  </si>
  <si>
    <t xml:space="preserve">2008</t>
  </si>
  <si>
    <r>
      <rPr>
        <sz val="11"/>
        <color theme="1"/>
        <rFont val="WenQuanYi Zen Hei"/>
        <family val="2"/>
      </rPr>
      <t xml:space="preserve">博昭分店（</t>
    </r>
    <r>
      <rPr>
        <sz val="11"/>
        <color theme="1"/>
        <rFont val="宋体"/>
        <family val="0"/>
        <charset val="134"/>
      </rPr>
      <t xml:space="preserve">8</t>
    </r>
    <r>
      <rPr>
        <sz val="11"/>
        <color theme="1"/>
        <rFont val="WenQuanYi Zen Hei"/>
        <family val="2"/>
      </rPr>
      <t xml:space="preserve">分店）</t>
    </r>
  </si>
  <si>
    <t xml:space="preserve">2009</t>
  </si>
  <si>
    <r>
      <rPr>
        <sz val="11"/>
        <color theme="1"/>
        <rFont val="WenQuanYi Zen Hei"/>
        <family val="2"/>
      </rPr>
      <t xml:space="preserve">大霍分店（</t>
    </r>
    <r>
      <rPr>
        <sz val="11"/>
        <color theme="1"/>
        <rFont val="宋体"/>
        <family val="0"/>
        <charset val="134"/>
      </rPr>
      <t xml:space="preserve">9</t>
    </r>
    <r>
      <rPr>
        <sz val="11"/>
        <color theme="1"/>
        <rFont val="WenQuanYi Zen Hei"/>
        <family val="2"/>
      </rPr>
      <t xml:space="preserve">分店）</t>
    </r>
  </si>
  <si>
    <t xml:space="preserve">2010</t>
  </si>
  <si>
    <r>
      <rPr>
        <sz val="11"/>
        <color theme="1"/>
        <rFont val="WenQuanYi Zen Hei"/>
        <family val="2"/>
      </rPr>
      <t xml:space="preserve">莲子镇分店</t>
    </r>
    <r>
      <rPr>
        <sz val="11"/>
        <color theme="1"/>
        <rFont val="宋体"/>
        <family val="0"/>
        <charset val="134"/>
      </rPr>
      <t xml:space="preserve">(10</t>
    </r>
    <r>
      <rPr>
        <sz val="11"/>
        <color theme="1"/>
        <rFont val="WenQuanYi Zen Hei"/>
        <family val="2"/>
      </rPr>
      <t xml:space="preserve">分店</t>
    </r>
    <r>
      <rPr>
        <sz val="11"/>
        <color theme="1"/>
        <rFont val="宋体"/>
        <family val="0"/>
        <charset val="134"/>
      </rPr>
      <t xml:space="preserve">)</t>
    </r>
  </si>
  <si>
    <t xml:space="preserve">2011</t>
  </si>
  <si>
    <r>
      <rPr>
        <sz val="11"/>
        <color theme="1"/>
        <rFont val="WenQuanYi Zen Hei"/>
        <family val="2"/>
      </rPr>
      <t xml:space="preserve">毛尔寨分店</t>
    </r>
    <r>
      <rPr>
        <sz val="11"/>
        <color theme="1"/>
        <rFont val="宋体"/>
        <family val="0"/>
        <charset val="134"/>
      </rPr>
      <t xml:space="preserve">(11</t>
    </r>
    <r>
      <rPr>
        <sz val="11"/>
        <color theme="1"/>
        <rFont val="WenQuanYi Zen Hei"/>
        <family val="2"/>
      </rPr>
      <t xml:space="preserve">分店</t>
    </r>
    <r>
      <rPr>
        <sz val="11"/>
        <color theme="1"/>
        <rFont val="宋体"/>
        <family val="0"/>
        <charset val="134"/>
      </rPr>
      <t xml:space="preserve">)</t>
    </r>
  </si>
  <si>
    <t xml:space="preserve">2012</t>
  </si>
  <si>
    <r>
      <rPr>
        <sz val="11"/>
        <color theme="1"/>
        <rFont val="WenQuanYi Zen Hei"/>
        <family val="2"/>
      </rPr>
      <t xml:space="preserve">泽畔分店（</t>
    </r>
    <r>
      <rPr>
        <sz val="11"/>
        <color theme="1"/>
        <rFont val="宋体"/>
        <family val="0"/>
        <charset val="134"/>
      </rPr>
      <t xml:space="preserve">12</t>
    </r>
    <r>
      <rPr>
        <sz val="11"/>
        <color theme="1"/>
        <rFont val="WenQuanYi Zen Hei"/>
        <family val="2"/>
      </rPr>
      <t xml:space="preserve">分店）</t>
    </r>
  </si>
  <si>
    <t xml:space="preserve">2014</t>
  </si>
  <si>
    <r>
      <rPr>
        <sz val="11"/>
        <color theme="1"/>
        <rFont val="WenQuanYi Zen Hei"/>
        <family val="2"/>
      </rPr>
      <t xml:space="preserve">博桥分店（</t>
    </r>
    <r>
      <rPr>
        <sz val="11"/>
        <color theme="1"/>
        <rFont val="宋体"/>
        <family val="0"/>
        <charset val="134"/>
      </rPr>
      <t xml:space="preserve">14</t>
    </r>
    <r>
      <rPr>
        <sz val="11"/>
        <color theme="1"/>
        <rFont val="WenQuanYi Zen Hei"/>
        <family val="2"/>
      </rPr>
      <t xml:space="preserve">分店）</t>
    </r>
  </si>
  <si>
    <t xml:space="preserve">2015</t>
  </si>
  <si>
    <r>
      <rPr>
        <sz val="11"/>
        <color theme="1"/>
        <rFont val="WenQuanYi Zen Hei"/>
        <family val="2"/>
      </rPr>
      <t xml:space="preserve">齐村分店（</t>
    </r>
    <r>
      <rPr>
        <sz val="11"/>
        <color theme="1"/>
        <rFont val="宋体"/>
        <family val="0"/>
        <charset val="134"/>
      </rPr>
      <t xml:space="preserve">15</t>
    </r>
    <r>
      <rPr>
        <sz val="11"/>
        <color theme="1"/>
        <rFont val="WenQuanYi Zen Hei"/>
        <family val="2"/>
      </rPr>
      <t xml:space="preserve">分店）</t>
    </r>
  </si>
  <si>
    <t xml:space="preserve">2017</t>
  </si>
  <si>
    <r>
      <rPr>
        <sz val="11"/>
        <color theme="1"/>
        <rFont val="WenQuanYi Zen Hei"/>
        <family val="2"/>
      </rPr>
      <t xml:space="preserve">博天分店（</t>
    </r>
    <r>
      <rPr>
        <sz val="11"/>
        <color theme="1"/>
        <rFont val="宋体"/>
        <family val="0"/>
        <charset val="134"/>
      </rPr>
      <t xml:space="preserve">17</t>
    </r>
    <r>
      <rPr>
        <sz val="11"/>
        <color theme="1"/>
        <rFont val="WenQuanYi Zen Hei"/>
        <family val="2"/>
      </rPr>
      <t xml:space="preserve">分店）</t>
    </r>
  </si>
  <si>
    <t xml:space="preserve">2018</t>
  </si>
  <si>
    <r>
      <rPr>
        <sz val="11"/>
        <color theme="1"/>
        <rFont val="WenQuanYi Zen Hei"/>
        <family val="2"/>
      </rPr>
      <t xml:space="preserve">魏家庄分店（</t>
    </r>
    <r>
      <rPr>
        <sz val="11"/>
        <color theme="1"/>
        <rFont val="宋体"/>
        <family val="0"/>
        <charset val="134"/>
      </rPr>
      <t xml:space="preserve">18</t>
    </r>
    <r>
      <rPr>
        <sz val="11"/>
        <color theme="1"/>
        <rFont val="WenQuanYi Zen Hei"/>
        <family val="2"/>
      </rPr>
      <t xml:space="preserve">分店）</t>
    </r>
  </si>
  <si>
    <t xml:space="preserve">2022</t>
  </si>
  <si>
    <r>
      <rPr>
        <sz val="11"/>
        <color theme="1"/>
        <rFont val="WenQuanYi Zen Hei"/>
        <family val="2"/>
      </rPr>
      <t xml:space="preserve">北楼分店（</t>
    </r>
    <r>
      <rPr>
        <sz val="11"/>
        <color theme="1"/>
        <rFont val="宋体"/>
        <family val="0"/>
        <charset val="134"/>
      </rPr>
      <t xml:space="preserve">22</t>
    </r>
    <r>
      <rPr>
        <sz val="11"/>
        <color theme="1"/>
        <rFont val="WenQuanYi Zen Hei"/>
        <family val="2"/>
      </rPr>
      <t xml:space="preserve">分店）</t>
    </r>
  </si>
  <si>
    <t xml:space="preserve">2023</t>
  </si>
  <si>
    <r>
      <rPr>
        <sz val="11"/>
        <color theme="1"/>
        <rFont val="WenQuanYi Zen Hei"/>
        <family val="2"/>
      </rPr>
      <t xml:space="preserve">尹村分店</t>
    </r>
    <r>
      <rPr>
        <sz val="11"/>
        <color theme="1"/>
        <rFont val="宋体"/>
        <family val="0"/>
        <charset val="134"/>
      </rPr>
      <t xml:space="preserve">(23</t>
    </r>
    <r>
      <rPr>
        <sz val="11"/>
        <color theme="1"/>
        <rFont val="WenQuanYi Zen Hei"/>
        <family val="2"/>
      </rPr>
      <t xml:space="preserve">分店）</t>
    </r>
  </si>
  <si>
    <t xml:space="preserve">2024</t>
  </si>
  <si>
    <r>
      <rPr>
        <sz val="11"/>
        <color theme="1"/>
        <rFont val="WenQuanYi Zen Hei"/>
        <family val="2"/>
      </rPr>
      <t xml:space="preserve">高村分店（</t>
    </r>
    <r>
      <rPr>
        <sz val="11"/>
        <color theme="1"/>
        <rFont val="宋体"/>
        <family val="0"/>
        <charset val="134"/>
      </rPr>
      <t xml:space="preserve">24</t>
    </r>
    <r>
      <rPr>
        <sz val="11"/>
        <color theme="1"/>
        <rFont val="WenQuanYi Zen Hei"/>
        <family val="2"/>
      </rPr>
      <t xml:space="preserve">分店）</t>
    </r>
  </si>
  <si>
    <t xml:space="preserve">2026</t>
  </si>
  <si>
    <r>
      <rPr>
        <sz val="11"/>
        <color theme="1"/>
        <rFont val="WenQuanYi Zen Hei"/>
        <family val="2"/>
      </rPr>
      <t xml:space="preserve">彭村分店（</t>
    </r>
    <r>
      <rPr>
        <sz val="11"/>
        <color theme="1"/>
        <rFont val="宋体"/>
        <family val="0"/>
        <charset val="134"/>
      </rPr>
      <t xml:space="preserve">26</t>
    </r>
    <r>
      <rPr>
        <sz val="11"/>
        <color theme="1"/>
        <rFont val="WenQuanYi Zen Hei"/>
        <family val="2"/>
      </rPr>
      <t xml:space="preserve">分店）</t>
    </r>
  </si>
  <si>
    <t xml:space="preserve">2030</t>
  </si>
  <si>
    <r>
      <rPr>
        <sz val="11"/>
        <color theme="1"/>
        <rFont val="WenQuanYi Zen Hei"/>
        <family val="2"/>
      </rPr>
      <t xml:space="preserve">南位药店（</t>
    </r>
    <r>
      <rPr>
        <sz val="11"/>
        <color theme="1"/>
        <rFont val="宋体"/>
        <family val="0"/>
        <charset val="134"/>
      </rPr>
      <t xml:space="preserve">30</t>
    </r>
    <r>
      <rPr>
        <sz val="11"/>
        <color theme="1"/>
        <rFont val="WenQuanYi Zen Hei"/>
        <family val="2"/>
      </rPr>
      <t xml:space="preserve">分店）</t>
    </r>
  </si>
  <si>
    <t xml:space="preserve">2032</t>
  </si>
  <si>
    <r>
      <rPr>
        <sz val="11"/>
        <color theme="1"/>
        <rFont val="WenQuanYi Zen Hei"/>
        <family val="2"/>
      </rPr>
      <t xml:space="preserve">博园分店（</t>
    </r>
    <r>
      <rPr>
        <sz val="11"/>
        <color theme="1"/>
        <rFont val="宋体"/>
        <family val="0"/>
        <charset val="134"/>
      </rPr>
      <t xml:space="preserve">32</t>
    </r>
    <r>
      <rPr>
        <sz val="11"/>
        <color theme="1"/>
        <rFont val="WenQuanYi Zen Hei"/>
        <family val="2"/>
      </rPr>
      <t xml:space="preserve">店）</t>
    </r>
  </si>
  <si>
    <t xml:space="preserve">2036</t>
  </si>
  <si>
    <r>
      <rPr>
        <sz val="11"/>
        <color theme="1"/>
        <rFont val="WenQuanYi Zen Hei"/>
        <family val="2"/>
      </rPr>
      <t xml:space="preserve">黑城分店（</t>
    </r>
    <r>
      <rPr>
        <sz val="11"/>
        <color theme="1"/>
        <rFont val="宋体"/>
        <family val="0"/>
        <charset val="134"/>
      </rPr>
      <t xml:space="preserve">36</t>
    </r>
    <r>
      <rPr>
        <sz val="11"/>
        <color theme="1"/>
        <rFont val="WenQuanYi Zen Hei"/>
        <family val="2"/>
      </rPr>
      <t xml:space="preserve">分店）</t>
    </r>
  </si>
  <si>
    <t xml:space="preserve">2037</t>
  </si>
  <si>
    <r>
      <rPr>
        <sz val="11"/>
        <color theme="1"/>
        <rFont val="WenQuanYi Zen Hei"/>
        <family val="2"/>
      </rPr>
      <t xml:space="preserve">新华路分店（</t>
    </r>
    <r>
      <rPr>
        <sz val="11"/>
        <color theme="1"/>
        <rFont val="宋体"/>
        <family val="0"/>
        <charset val="134"/>
      </rPr>
      <t xml:space="preserve">37</t>
    </r>
    <r>
      <rPr>
        <sz val="11"/>
        <color theme="1"/>
        <rFont val="WenQuanYi Zen Hei"/>
        <family val="2"/>
      </rPr>
      <t xml:space="preserve">店）</t>
    </r>
  </si>
  <si>
    <t xml:space="preserve">2038</t>
  </si>
  <si>
    <r>
      <rPr>
        <sz val="11"/>
        <color theme="1"/>
        <rFont val="WenQuanYi Zen Hei"/>
        <family val="2"/>
      </rPr>
      <t xml:space="preserve">杨村王街分店（</t>
    </r>
    <r>
      <rPr>
        <sz val="11"/>
        <color theme="1"/>
        <rFont val="宋体"/>
        <family val="0"/>
        <charset val="134"/>
      </rPr>
      <t xml:space="preserve">38</t>
    </r>
    <r>
      <rPr>
        <sz val="11"/>
        <color theme="1"/>
        <rFont val="WenQuanYi Zen Hei"/>
        <family val="2"/>
      </rPr>
      <t xml:space="preserve">分店）</t>
    </r>
  </si>
  <si>
    <t xml:space="preserve">2039</t>
  </si>
  <si>
    <r>
      <rPr>
        <sz val="11"/>
        <color theme="1"/>
        <rFont val="WenQuanYi Zen Hei"/>
        <family val="2"/>
      </rPr>
      <t xml:space="preserve">千户营滏阳分店（</t>
    </r>
    <r>
      <rPr>
        <sz val="11"/>
        <color theme="1"/>
        <rFont val="宋体"/>
        <family val="0"/>
        <charset val="134"/>
      </rPr>
      <t xml:space="preserve">39</t>
    </r>
    <r>
      <rPr>
        <sz val="11"/>
        <color theme="1"/>
        <rFont val="WenQuanYi Zen Hei"/>
        <family val="2"/>
      </rPr>
      <t xml:space="preserve">分店）</t>
    </r>
  </si>
  <si>
    <t xml:space="preserve">2040</t>
  </si>
  <si>
    <r>
      <rPr>
        <sz val="11"/>
        <color theme="1"/>
        <rFont val="WenQuanYi Zen Hei"/>
        <family val="2"/>
      </rPr>
      <t xml:space="preserve">大张庄博尧分店（</t>
    </r>
    <r>
      <rPr>
        <sz val="11"/>
        <color theme="1"/>
        <rFont val="宋体"/>
        <family val="0"/>
        <charset val="134"/>
      </rPr>
      <t xml:space="preserve">40</t>
    </r>
    <r>
      <rPr>
        <sz val="11"/>
        <color theme="1"/>
        <rFont val="WenQuanYi Zen Hei"/>
        <family val="2"/>
      </rPr>
      <t xml:space="preserve">分店）</t>
    </r>
  </si>
  <si>
    <t xml:space="preserve">2041</t>
  </si>
  <si>
    <r>
      <rPr>
        <sz val="11"/>
        <color theme="1"/>
        <rFont val="WenQuanYi Zen Hei"/>
        <family val="2"/>
      </rPr>
      <t xml:space="preserve">郝庄分店（</t>
    </r>
    <r>
      <rPr>
        <sz val="11"/>
        <color theme="1"/>
        <rFont val="宋体"/>
        <family val="0"/>
        <charset val="134"/>
      </rPr>
      <t xml:space="preserve">41</t>
    </r>
    <r>
      <rPr>
        <sz val="11"/>
        <color theme="1"/>
        <rFont val="WenQuanYi Zen Hei"/>
        <family val="2"/>
      </rPr>
      <t xml:space="preserve">分店）</t>
    </r>
  </si>
  <si>
    <t xml:space="preserve">2042</t>
  </si>
  <si>
    <r>
      <rPr>
        <sz val="11"/>
        <color theme="1"/>
        <rFont val="WenQuanYi Zen Hei"/>
        <family val="2"/>
      </rPr>
      <t xml:space="preserve">白家寨博远分店（</t>
    </r>
    <r>
      <rPr>
        <sz val="11"/>
        <color theme="1"/>
        <rFont val="宋体"/>
        <family val="0"/>
        <charset val="134"/>
      </rPr>
      <t xml:space="preserve">42</t>
    </r>
    <r>
      <rPr>
        <sz val="11"/>
        <color theme="1"/>
        <rFont val="WenQuanYi Zen Hei"/>
        <family val="2"/>
      </rPr>
      <t xml:space="preserve">分店）</t>
    </r>
  </si>
  <si>
    <t xml:space="preserve">2043</t>
  </si>
  <si>
    <r>
      <rPr>
        <sz val="11"/>
        <color theme="1"/>
        <rFont val="WenQuanYi Zen Hei"/>
        <family val="2"/>
      </rPr>
      <t xml:space="preserve">临城县博福分店</t>
    </r>
    <r>
      <rPr>
        <sz val="11"/>
        <color theme="1"/>
        <rFont val="宋体"/>
        <family val="0"/>
        <charset val="134"/>
      </rPr>
      <t xml:space="preserve">43</t>
    </r>
    <r>
      <rPr>
        <sz val="11"/>
        <color theme="1"/>
        <rFont val="WenQuanYi Zen Hei"/>
        <family val="2"/>
      </rPr>
      <t xml:space="preserve">店</t>
    </r>
  </si>
  <si>
    <t xml:space="preserve">2044</t>
  </si>
  <si>
    <r>
      <rPr>
        <sz val="11"/>
        <color theme="1"/>
        <rFont val="WenQuanYi Zen Hei"/>
        <family val="2"/>
      </rPr>
      <t xml:space="preserve">临城县博营分店（</t>
    </r>
    <r>
      <rPr>
        <sz val="11"/>
        <color theme="1"/>
        <rFont val="宋体"/>
        <family val="0"/>
        <charset val="134"/>
      </rPr>
      <t xml:space="preserve">44</t>
    </r>
    <r>
      <rPr>
        <sz val="11"/>
        <color theme="1"/>
        <rFont val="WenQuanYi Zen Hei"/>
        <family val="2"/>
      </rPr>
      <t xml:space="preserve">分店）</t>
    </r>
  </si>
  <si>
    <t xml:space="preserve">2046</t>
  </si>
  <si>
    <r>
      <rPr>
        <sz val="11"/>
        <color theme="1"/>
        <rFont val="WenQuanYi Zen Hei"/>
        <family val="2"/>
      </rPr>
      <t xml:space="preserve">临城县博康分店（</t>
    </r>
    <r>
      <rPr>
        <sz val="11"/>
        <color theme="1"/>
        <rFont val="宋体"/>
        <family val="0"/>
        <charset val="134"/>
      </rPr>
      <t xml:space="preserve">46</t>
    </r>
    <r>
      <rPr>
        <sz val="11"/>
        <color theme="1"/>
        <rFont val="WenQuanYi Zen Hei"/>
        <family val="2"/>
      </rPr>
      <t xml:space="preserve">分店）</t>
    </r>
  </si>
  <si>
    <t xml:space="preserve">2047</t>
  </si>
  <si>
    <r>
      <rPr>
        <sz val="11"/>
        <color theme="1"/>
        <rFont val="WenQuanYi Zen Hei"/>
        <family val="2"/>
      </rPr>
      <t xml:space="preserve">博联分店（</t>
    </r>
    <r>
      <rPr>
        <sz val="11"/>
        <color theme="1"/>
        <rFont val="宋体"/>
        <family val="0"/>
        <charset val="134"/>
      </rPr>
      <t xml:space="preserve">47</t>
    </r>
    <r>
      <rPr>
        <sz val="11"/>
        <color theme="1"/>
        <rFont val="WenQuanYi Zen Hei"/>
        <family val="2"/>
      </rPr>
      <t xml:space="preserve">分店）</t>
    </r>
  </si>
  <si>
    <t xml:space="preserve">2050</t>
  </si>
  <si>
    <r>
      <rPr>
        <sz val="11"/>
        <color theme="1"/>
        <rFont val="WenQuanYi Zen Hei"/>
        <family val="2"/>
      </rPr>
      <t xml:space="preserve">博诺医药</t>
    </r>
    <r>
      <rPr>
        <sz val="11"/>
        <color theme="1"/>
        <rFont val="宋体"/>
        <family val="0"/>
        <charset val="134"/>
      </rPr>
      <t xml:space="preserve">-</t>
    </r>
    <r>
      <rPr>
        <sz val="11"/>
        <color theme="1"/>
        <rFont val="WenQuanYi Zen Hei"/>
        <family val="2"/>
      </rPr>
      <t xml:space="preserve">临城县博尚分店（</t>
    </r>
    <r>
      <rPr>
        <sz val="11"/>
        <color theme="1"/>
        <rFont val="宋体"/>
        <family val="0"/>
        <charset val="134"/>
      </rPr>
      <t xml:space="preserve">50</t>
    </r>
    <r>
      <rPr>
        <sz val="11"/>
        <color theme="1"/>
        <rFont val="WenQuanYi Zen Hei"/>
        <family val="2"/>
      </rPr>
      <t xml:space="preserve">分店）</t>
    </r>
  </si>
  <si>
    <t xml:space="preserve">2053</t>
  </si>
  <si>
    <r>
      <rPr>
        <sz val="11"/>
        <color theme="1"/>
        <rFont val="WenQuanYi Zen Hei"/>
        <family val="2"/>
      </rPr>
      <t xml:space="preserve">博诺医药</t>
    </r>
    <r>
      <rPr>
        <sz val="11"/>
        <color theme="1"/>
        <rFont val="宋体"/>
        <family val="0"/>
        <charset val="134"/>
      </rPr>
      <t xml:space="preserve">-</t>
    </r>
    <r>
      <rPr>
        <sz val="11"/>
        <color theme="1"/>
        <rFont val="WenQuanYi Zen Hei"/>
        <family val="2"/>
      </rPr>
      <t xml:space="preserve">博鑫分店（</t>
    </r>
    <r>
      <rPr>
        <sz val="11"/>
        <color theme="1"/>
        <rFont val="宋体"/>
        <family val="0"/>
        <charset val="134"/>
      </rPr>
      <t xml:space="preserve">53</t>
    </r>
    <r>
      <rPr>
        <sz val="11"/>
        <color theme="1"/>
        <rFont val="WenQuanYi Zen Hei"/>
        <family val="2"/>
      </rPr>
      <t xml:space="preserve">分店）</t>
    </r>
  </si>
  <si>
    <t xml:space="preserve">2055</t>
  </si>
  <si>
    <r>
      <rPr>
        <sz val="11"/>
        <color theme="1"/>
        <rFont val="WenQuanYi Zen Hei"/>
        <family val="2"/>
      </rPr>
      <t xml:space="preserve">博魏分店（</t>
    </r>
    <r>
      <rPr>
        <sz val="11"/>
        <color theme="1"/>
        <rFont val="宋体"/>
        <family val="0"/>
        <charset val="134"/>
      </rPr>
      <t xml:space="preserve">55</t>
    </r>
    <r>
      <rPr>
        <sz val="11"/>
        <color theme="1"/>
        <rFont val="WenQuanYi Zen Hei"/>
        <family val="2"/>
      </rPr>
      <t xml:space="preserve">分店）</t>
    </r>
  </si>
  <si>
    <t xml:space="preserve">2057</t>
  </si>
  <si>
    <r>
      <rPr>
        <sz val="11"/>
        <color theme="1"/>
        <rFont val="WenQuanYi Zen Hei"/>
        <family val="2"/>
      </rPr>
      <t xml:space="preserve">临城县博城分店（</t>
    </r>
    <r>
      <rPr>
        <sz val="11"/>
        <color theme="1"/>
        <rFont val="宋体"/>
        <family val="0"/>
        <charset val="134"/>
      </rPr>
      <t xml:space="preserve">57</t>
    </r>
    <r>
      <rPr>
        <sz val="11"/>
        <color theme="1"/>
        <rFont val="WenQuanYi Zen Hei"/>
        <family val="2"/>
      </rPr>
      <t xml:space="preserve">分店）</t>
    </r>
  </si>
  <si>
    <t xml:space="preserve">2060</t>
  </si>
  <si>
    <r>
      <rPr>
        <sz val="11"/>
        <color theme="1"/>
        <rFont val="WenQuanYi Zen Hei"/>
        <family val="2"/>
      </rPr>
      <t xml:space="preserve">博景分店（</t>
    </r>
    <r>
      <rPr>
        <sz val="11"/>
        <color theme="1"/>
        <rFont val="宋体"/>
        <family val="0"/>
        <charset val="134"/>
      </rPr>
      <t xml:space="preserve">60</t>
    </r>
    <r>
      <rPr>
        <sz val="11"/>
        <color theme="1"/>
        <rFont val="WenQuanYi Zen Hei"/>
        <family val="2"/>
      </rPr>
      <t xml:space="preserve">分店）</t>
    </r>
  </si>
  <si>
    <t xml:space="preserve">2062</t>
  </si>
  <si>
    <r>
      <rPr>
        <sz val="11"/>
        <color theme="1"/>
        <rFont val="WenQuanYi Zen Hei"/>
        <family val="2"/>
      </rPr>
      <t xml:space="preserve">西范村分店（</t>
    </r>
    <r>
      <rPr>
        <sz val="11"/>
        <color theme="1"/>
        <rFont val="宋体"/>
        <family val="0"/>
        <charset val="134"/>
      </rPr>
      <t xml:space="preserve">62</t>
    </r>
    <r>
      <rPr>
        <sz val="11"/>
        <color theme="1"/>
        <rFont val="WenQuanYi Zen Hei"/>
        <family val="2"/>
      </rPr>
      <t xml:space="preserve">分店）</t>
    </r>
  </si>
  <si>
    <t xml:space="preserve">2063</t>
  </si>
  <si>
    <r>
      <rPr>
        <sz val="11"/>
        <color theme="1"/>
        <rFont val="WenQuanYi Zen Hei"/>
        <family val="2"/>
      </rPr>
      <t xml:space="preserve">博医分店（</t>
    </r>
    <r>
      <rPr>
        <sz val="11"/>
        <color theme="1"/>
        <rFont val="宋体"/>
        <family val="0"/>
        <charset val="134"/>
      </rPr>
      <t xml:space="preserve">63</t>
    </r>
    <r>
      <rPr>
        <sz val="11"/>
        <color theme="1"/>
        <rFont val="WenQuanYi Zen Hei"/>
        <family val="2"/>
      </rPr>
      <t xml:space="preserve">分店）</t>
    </r>
  </si>
  <si>
    <t xml:space="preserve">2064</t>
  </si>
  <si>
    <t xml:space="preserve">2066</t>
  </si>
  <si>
    <r>
      <rPr>
        <sz val="11"/>
        <color theme="1"/>
        <rFont val="WenQuanYi Zen Hei"/>
        <family val="2"/>
      </rPr>
      <t xml:space="preserve">博实分店（</t>
    </r>
    <r>
      <rPr>
        <sz val="11"/>
        <color theme="1"/>
        <rFont val="宋体"/>
        <family val="0"/>
        <charset val="134"/>
      </rPr>
      <t xml:space="preserve">66</t>
    </r>
    <r>
      <rPr>
        <sz val="11"/>
        <color theme="1"/>
        <rFont val="WenQuanYi Zen Hei"/>
        <family val="2"/>
      </rPr>
      <t xml:space="preserve">分店）</t>
    </r>
  </si>
  <si>
    <t xml:space="preserve">2067</t>
  </si>
  <si>
    <r>
      <rPr>
        <sz val="11"/>
        <color theme="1"/>
        <rFont val="WenQuanYi Zen Hei"/>
        <family val="2"/>
      </rPr>
      <t xml:space="preserve">博亮分店（</t>
    </r>
    <r>
      <rPr>
        <sz val="11"/>
        <color theme="1"/>
        <rFont val="宋体"/>
        <family val="0"/>
        <charset val="134"/>
      </rPr>
      <t xml:space="preserve">67</t>
    </r>
    <r>
      <rPr>
        <sz val="11"/>
        <color theme="1"/>
        <rFont val="WenQuanYi Zen Hei"/>
        <family val="2"/>
      </rPr>
      <t xml:space="preserve">分店）</t>
    </r>
  </si>
  <si>
    <t xml:space="preserve">2068</t>
  </si>
  <si>
    <r>
      <rPr>
        <sz val="11"/>
        <color theme="1"/>
        <rFont val="WenQuanYi Zen Hei"/>
        <family val="2"/>
      </rPr>
      <t xml:space="preserve">博山分店（</t>
    </r>
    <r>
      <rPr>
        <sz val="11"/>
        <color theme="1"/>
        <rFont val="宋体"/>
        <family val="0"/>
        <charset val="134"/>
      </rPr>
      <t xml:space="preserve">68</t>
    </r>
    <r>
      <rPr>
        <sz val="11"/>
        <color theme="1"/>
        <rFont val="WenQuanYi Zen Hei"/>
        <family val="2"/>
      </rPr>
      <t xml:space="preserve">分店）</t>
    </r>
  </si>
  <si>
    <t xml:space="preserve">2069</t>
  </si>
  <si>
    <r>
      <rPr>
        <sz val="11"/>
        <color theme="1"/>
        <rFont val="WenQuanYi Zen Hei"/>
        <family val="2"/>
      </rPr>
      <t xml:space="preserve">博东分店（</t>
    </r>
    <r>
      <rPr>
        <sz val="11"/>
        <color theme="1"/>
        <rFont val="宋体"/>
        <family val="0"/>
        <charset val="134"/>
      </rPr>
      <t xml:space="preserve">69</t>
    </r>
    <r>
      <rPr>
        <sz val="11"/>
        <color theme="1"/>
        <rFont val="WenQuanYi Zen Hei"/>
        <family val="2"/>
      </rPr>
      <t xml:space="preserve">店）</t>
    </r>
  </si>
  <si>
    <t xml:space="preserve">交易金额</t>
  </si>
  <si>
    <t xml:space="preserve">服务费</t>
  </si>
  <si>
    <t xml:space="preserve">聚合支付平台导出的门店汇总：交易金额＝含手续费的总额，服务费＝手续费。</t>
  </si>
  <si>
    <t xml:space="preserve">渠道</t>
  </si>
  <si>
    <t xml:space="preserve">平台金额</t>
  </si>
  <si>
    <r>
      <rPr>
        <b val="true"/>
        <sz val="11"/>
        <rFont val="WenQuanYi Zen Hei"/>
        <family val="2"/>
      </rPr>
      <t xml:space="preserve">海典金额</t>
    </r>
    <r>
      <rPr>
        <b val="true"/>
        <sz val="11"/>
        <rFont val="宋体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自动</t>
    </r>
    <r>
      <rPr>
        <b val="true"/>
        <sz val="11"/>
        <rFont val="宋体"/>
        <family val="0"/>
        <charset val="134"/>
      </rPr>
      <t xml:space="preserve">)</t>
    </r>
  </si>
  <si>
    <r>
      <rPr>
        <b val="true"/>
        <sz val="11"/>
        <rFont val="WenQuanYi Zen Hei"/>
        <family val="2"/>
      </rPr>
      <t xml:space="preserve">差额 平台−海典</t>
    </r>
    <r>
      <rPr>
        <b val="true"/>
        <sz val="11"/>
        <rFont val="宋体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自动</t>
    </r>
    <r>
      <rPr>
        <b val="true"/>
        <sz val="11"/>
        <rFont val="宋体"/>
        <family val="0"/>
        <charset val="134"/>
      </rPr>
      <t xml:space="preserve">)</t>
    </r>
  </si>
  <si>
    <t xml:space="preserve">校验</t>
  </si>
  <si>
    <t xml:space="preserve">【平台金额填这里】</t>
  </si>
  <si>
    <t xml:space="preserve">一行一个“门店＋渠道”。渠道点单元格有下拉框，只有走平台金额的那几个渠道能选。</t>
  </si>
  <si>
    <t xml:space="preserve">平台金额填“不扣手续费的总额”（美团填商品总价、饿了么填商品金额），手续费在回款时再冲。</t>
  </si>
  <si>
    <t xml:space="preserve">某个店某个渠道这里没填 → 凭证自动用海典金额，不会漏账。</t>
  </si>
  <si>
    <r>
      <rPr>
        <sz val="10"/>
        <color rgb="FF808080"/>
        <rFont val="WenQuanYi Zen Hei"/>
        <family val="2"/>
      </rPr>
      <t xml:space="preserve">填 </t>
    </r>
    <r>
      <rPr>
        <sz val="10"/>
        <color rgb="FF808080"/>
        <rFont val="宋体"/>
        <family val="0"/>
        <charset val="134"/>
      </rPr>
      <t xml:space="preserve">0 </t>
    </r>
    <r>
      <rPr>
        <sz val="10"/>
        <color rgb="FF808080"/>
        <rFont val="WenQuanYi Zen Hei"/>
        <family val="2"/>
      </rPr>
      <t xml:space="preserve">和不填不一样：填了 </t>
    </r>
    <r>
      <rPr>
        <sz val="10"/>
        <color rgb="FF808080"/>
        <rFont val="宋体"/>
        <family val="0"/>
        <charset val="134"/>
      </rPr>
      <t xml:space="preserve">0 </t>
    </r>
    <r>
      <rPr>
        <sz val="10"/>
        <color rgb="FF808080"/>
        <rFont val="WenQuanYi Zen Hei"/>
        <family val="2"/>
      </rPr>
      <t xml:space="preserve">就按 </t>
    </r>
    <r>
      <rPr>
        <sz val="10"/>
        <color rgb="FF808080"/>
        <rFont val="宋体"/>
        <family val="0"/>
        <charset val="134"/>
      </rPr>
      <t xml:space="preserve">0 </t>
    </r>
    <r>
      <rPr>
        <sz val="10"/>
        <color rgb="FF808080"/>
        <rFont val="WenQuanYi Zen Hei"/>
        <family val="2"/>
      </rPr>
      <t xml:space="preserve">入账（相当于本月这个渠道平台确认为 </t>
    </r>
    <r>
      <rPr>
        <sz val="10"/>
        <color rgb="FF808080"/>
        <rFont val="宋体"/>
        <family val="0"/>
        <charset val="134"/>
      </rPr>
      <t xml:space="preserve">0</t>
    </r>
    <r>
      <rPr>
        <sz val="10"/>
        <color rgb="FF808080"/>
        <rFont val="WenQuanYi Zen Hei"/>
        <family val="2"/>
      </rPr>
      <t xml:space="preserve">）。</t>
    </r>
  </si>
  <si>
    <r>
      <rPr>
        <sz val="10"/>
        <color rgb="FF808080"/>
        <rFont val="WenQuanYi Zen Hei"/>
        <family val="2"/>
      </rPr>
      <t xml:space="preserve">右边两列会自动带出海典金额和差额，方便你核对；差额最后会走“少钱补现金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多钱记营业外”。</t>
    </r>
  </si>
  <si>
    <t xml:space="preserve">网银现金合计</t>
  </si>
  <si>
    <t xml:space="preserve">备注</t>
  </si>
  <si>
    <t xml:space="preserve">各店本月网银（存款）合计。库存现金按这个数入账，差多少自动补现金。</t>
  </si>
  <si>
    <t xml:space="preserve">示例数字，请换成本店网银合计</t>
  </si>
  <si>
    <t xml:space="preserve">收款方式</t>
  </si>
  <si>
    <t xml:space="preserve">回款金额</t>
  </si>
  <si>
    <t xml:space="preserve">识别</t>
  </si>
  <si>
    <t xml:space="preserve">一行一笔：哪个店、什么方式、收到多少（不含手续费的净额）、手续费多少。</t>
  </si>
  <si>
    <r>
      <rPr>
        <sz val="10"/>
        <color rgb="FF808080"/>
        <rFont val="WenQuanYi Zen Hei"/>
        <family val="2"/>
      </rPr>
      <t xml:space="preserve">收款方式请写成 科目对照回款 里的别名，例如 聚合支付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医保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医保即时拨付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美团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健</t>
    </r>
    <r>
      <rPr>
        <sz val="10"/>
        <color rgb="FF808080"/>
        <rFont val="宋体"/>
        <family val="0"/>
        <charset val="134"/>
      </rPr>
      <t xml:space="preserve">E</t>
    </r>
    <r>
      <rPr>
        <sz val="10"/>
        <color rgb="FF808080"/>
        <rFont val="WenQuanYi Zen Hei"/>
        <family val="2"/>
      </rPr>
      <t xml:space="preserve">卡 …</t>
    </r>
  </si>
  <si>
    <t xml:space="preserve">单号</t>
  </si>
  <si>
    <t xml:space="preserve">日期</t>
  </si>
  <si>
    <t xml:space="preserve">门店简称</t>
  </si>
  <si>
    <t xml:space="preserve">摘要</t>
  </si>
  <si>
    <t xml:space="preserve">借方总账科目</t>
  </si>
  <si>
    <t xml:space="preserve">借方明细科目</t>
  </si>
  <si>
    <t xml:space="preserve">金额</t>
  </si>
  <si>
    <r>
      <rPr>
        <b val="true"/>
        <sz val="11"/>
        <rFont val="WenQuanYi Zen Hei"/>
        <family val="2"/>
      </rPr>
      <t xml:space="preserve">付款方式</t>
    </r>
    <r>
      <rPr>
        <b val="true"/>
        <sz val="11"/>
        <rFont val="宋体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贷方科目</t>
    </r>
    <r>
      <rPr>
        <b val="true"/>
        <sz val="11"/>
        <rFont val="宋体"/>
        <family val="0"/>
        <charset val="134"/>
      </rPr>
      <t xml:space="preserve">)</t>
    </r>
  </si>
  <si>
    <r>
      <rPr>
        <b val="true"/>
        <sz val="11"/>
        <rFont val="WenQuanYi Zen Hei"/>
        <family val="2"/>
      </rPr>
      <t xml:space="preserve">行序</t>
    </r>
    <r>
      <rPr>
        <b val="true"/>
        <sz val="11"/>
        <rFont val="宋体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自动</t>
    </r>
    <r>
      <rPr>
        <b val="true"/>
        <sz val="11"/>
        <rFont val="宋体"/>
        <family val="0"/>
        <charset val="134"/>
      </rPr>
      <t xml:space="preserve">)</t>
    </r>
  </si>
  <si>
    <r>
      <rPr>
        <b val="true"/>
        <sz val="11"/>
        <rFont val="WenQuanYi Zen Hei"/>
        <family val="2"/>
      </rPr>
      <t xml:space="preserve">键</t>
    </r>
    <r>
      <rPr>
        <b val="true"/>
        <sz val="11"/>
        <rFont val="宋体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自动</t>
    </r>
    <r>
      <rPr>
        <b val="true"/>
        <sz val="11"/>
        <rFont val="宋体"/>
        <family val="0"/>
        <charset val="134"/>
      </rPr>
      <t xml:space="preserve">)</t>
    </r>
  </si>
  <si>
    <r>
      <rPr>
        <sz val="10"/>
        <color rgb="FF808080"/>
        <rFont val="WenQuanYi Zen Hei"/>
        <family val="2"/>
      </rPr>
      <t xml:space="preserve">同一张报销单用同一个单号；单号请从 </t>
    </r>
    <r>
      <rPr>
        <sz val="10"/>
        <color rgb="FF808080"/>
        <rFont val="宋体"/>
        <family val="0"/>
        <charset val="134"/>
      </rPr>
      <t xml:space="preserve">1 </t>
    </r>
    <r>
      <rPr>
        <sz val="10"/>
        <color rgb="FF808080"/>
        <rFont val="WenQuanYi Zen Hei"/>
        <family val="2"/>
      </rPr>
      <t xml:space="preserve">开始连续编号。</t>
    </r>
  </si>
  <si>
    <t xml:space="preserve">电费</t>
  </si>
  <si>
    <r>
      <rPr>
        <sz val="10"/>
        <color rgb="FF808080"/>
        <rFont val="WenQuanYi Zen Hei"/>
        <family val="2"/>
      </rPr>
      <t xml:space="preserve">一行一个费用科目，金额填正数。付款方式填 库存现金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银行存款 </t>
    </r>
    <r>
      <rPr>
        <sz val="10"/>
        <color rgb="FF808080"/>
        <rFont val="宋体"/>
        <family val="0"/>
        <charset val="134"/>
      </rPr>
      <t xml:space="preserve">/ </t>
    </r>
    <r>
      <rPr>
        <sz val="10"/>
        <color rgb="FF808080"/>
        <rFont val="WenQuanYi Zen Hei"/>
        <family val="2"/>
      </rPr>
      <t xml:space="preserve">其他应付款（见 参数 页签）。</t>
    </r>
  </si>
  <si>
    <t xml:space="preserve">慢病用品</t>
  </si>
  <si>
    <t xml:space="preserve">办公费</t>
  </si>
  <si>
    <t xml:space="preserve">水费</t>
  </si>
  <si>
    <t xml:space="preserve">微信提现费</t>
  </si>
  <si>
    <t xml:space="preserve">待摊费用</t>
  </si>
  <si>
    <t xml:space="preserve">灯锁胶布护套线</t>
  </si>
  <si>
    <t xml:space="preserve">物业费</t>
  </si>
  <si>
    <t xml:space="preserve">电话费</t>
  </si>
  <si>
    <t xml:space="preserve">色带慢病用品</t>
  </si>
  <si>
    <t xml:space="preserve">福利费</t>
  </si>
  <si>
    <t xml:space="preserve">色带</t>
  </si>
  <si>
    <t xml:space="preserve">插排饮水机阀</t>
  </si>
  <si>
    <t xml:space="preserve">维修打印机</t>
  </si>
  <si>
    <t xml:space="preserve">修门</t>
  </si>
  <si>
    <t xml:space="preserve">茶壶</t>
  </si>
  <si>
    <t xml:space="preserve">结构胶</t>
  </si>
  <si>
    <t xml:space="preserve">慢病用品马克笔</t>
  </si>
  <si>
    <t xml:space="preserve">鸡蛋</t>
  </si>
  <si>
    <t xml:space="preserve">蒿白伤湿气雾剂</t>
  </si>
  <si>
    <t xml:space="preserve">车费</t>
  </si>
  <si>
    <t xml:space="preserve">灭火器检测</t>
  </si>
  <si>
    <t xml:space="preserve">插座</t>
  </si>
  <si>
    <t xml:space="preserve">灯管</t>
  </si>
  <si>
    <t xml:space="preserve">色带扫描盒</t>
  </si>
  <si>
    <t xml:space="preserve">灭火器检测，录像机维修</t>
  </si>
  <si>
    <t xml:space="preserve">店序</t>
  </si>
  <si>
    <r>
      <rPr>
        <b val="true"/>
        <sz val="11"/>
        <rFont val="WenQuanYi Zen Hei"/>
        <family val="2"/>
      </rPr>
      <t xml:space="preserve">净额</t>
    </r>
    <r>
      <rPr>
        <b val="true"/>
        <sz val="11"/>
        <rFont val="宋体"/>
        <family val="0"/>
        <charset val="134"/>
      </rPr>
      <t xml:space="preserve">(+</t>
    </r>
    <r>
      <rPr>
        <b val="true"/>
        <sz val="11"/>
        <rFont val="WenQuanYi Zen Hei"/>
        <family val="2"/>
      </rPr>
      <t xml:space="preserve">借</t>
    </r>
    <r>
      <rPr>
        <b val="true"/>
        <sz val="11"/>
        <rFont val="宋体"/>
        <family val="0"/>
        <charset val="134"/>
      </rPr>
      <t xml:space="preserve">-</t>
    </r>
    <r>
      <rPr>
        <b val="true"/>
        <sz val="11"/>
        <rFont val="WenQuanYi Zen Hei"/>
        <family val="2"/>
      </rPr>
      <t xml:space="preserve">贷</t>
    </r>
    <r>
      <rPr>
        <b val="true"/>
        <sz val="11"/>
        <rFont val="宋体"/>
        <family val="0"/>
        <charset val="134"/>
      </rPr>
      <t xml:space="preserve">)</t>
    </r>
  </si>
  <si>
    <t xml:space="preserve">借方</t>
  </si>
  <si>
    <t xml:space="preserve">贷方</t>
  </si>
  <si>
    <t xml:space="preserve">有效</t>
  </si>
  <si>
    <t xml:space="preserve">店内序</t>
  </si>
  <si>
    <t xml:space="preserve">键</t>
  </si>
  <si>
    <t xml:space="preserve">网银现金</t>
  </si>
  <si>
    <t xml:space="preserve">其他借方合计</t>
  </si>
  <si>
    <t xml:space="preserve">海典销售合计</t>
  </si>
  <si>
    <t xml:space="preserve">分录行数</t>
  </si>
  <si>
    <t xml:space="preserve">页数</t>
  </si>
  <si>
    <t xml:space="preserve">累计页</t>
  </si>
  <si>
    <t xml:space="preserve">借方合计</t>
  </si>
  <si>
    <t xml:space="preserve">贷方合计</t>
  </si>
  <si>
    <t xml:space="preserve">凭证号</t>
  </si>
  <si>
    <t xml:space="preserve">页码</t>
  </si>
  <si>
    <t xml:space="preserve">序号</t>
  </si>
  <si>
    <t xml:space="preserve">页内序</t>
  </si>
  <si>
    <t xml:space="preserve">末页</t>
  </si>
  <si>
    <t xml:space="preserve">总页数</t>
  </si>
  <si>
    <t xml:space="preserve">启用</t>
  </si>
  <si>
    <t xml:space="preserve">匹配编码</t>
  </si>
  <si>
    <t xml:space="preserve">打印第几页</t>
  </si>
  <si>
    <t xml:space="preserve">凭证字号（核对用）</t>
  </si>
  <si>
    <r>
      <rPr>
        <sz val="9"/>
        <color rgb="FF808080"/>
        <rFont val="WenQuanYi Zen Hei"/>
        <family val="2"/>
      </rPr>
      <t xml:space="preserve">← 这三列是核对用的辅助列，打印区域已设成 </t>
    </r>
    <r>
      <rPr>
        <sz val="9"/>
        <color rgb="FF808080"/>
        <rFont val="微软雅黑"/>
        <family val="0"/>
        <charset val="1"/>
      </rPr>
      <t xml:space="preserve">B:I</t>
    </r>
    <r>
      <rPr>
        <sz val="9"/>
        <color rgb="FF808080"/>
        <rFont val="WenQuanYi Zen Hei"/>
        <family val="2"/>
      </rPr>
      <t xml:space="preserve">，印不出来</t>
    </r>
  </si>
  <si>
    <t xml:space="preserve">回款金额合计</t>
  </si>
  <si>
    <t xml:space="preserve">手续费合计</t>
  </si>
  <si>
    <t xml:space="preserve">贷方还原合计</t>
  </si>
  <si>
    <r>
      <rPr>
        <b val="true"/>
        <sz val="11"/>
        <rFont val="WenQuanYi Zen Hei"/>
        <family val="2"/>
      </rPr>
      <t xml:space="preserve">差异</t>
    </r>
    <r>
      <rPr>
        <b val="true"/>
        <sz val="11"/>
        <rFont val="宋体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应为</t>
    </r>
    <r>
      <rPr>
        <b val="true"/>
        <sz val="11"/>
        <rFont val="宋体"/>
        <family val="0"/>
        <charset val="134"/>
      </rPr>
      <t xml:space="preserve">0)</t>
    </r>
  </si>
  <si>
    <t xml:space="preserve">单内序</t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</si>
  <si>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1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</si>
  <si>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2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</si>
  <si>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3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</si>
  <si>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4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</si>
  <si>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5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</si>
  <si>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6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</si>
  <si>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7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</si>
  <si>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8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</si>
  <si>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9</t>
    </r>
  </si>
  <si>
    <r>
      <rPr>
        <sz val="10"/>
        <rFont val="WenQuanYi Zen Hei"/>
        <family val="2"/>
      </rPr>
      <t xml:space="preserve">借</t>
    </r>
    <r>
      <rPr>
        <sz val="10"/>
        <rFont val="宋体"/>
        <family val="0"/>
        <charset val="134"/>
      </rPr>
      <t xml:space="preserve">10</t>
    </r>
  </si>
  <si>
    <r>
      <rPr>
        <sz val="10"/>
        <rFont val="WenQuanYi Zen Hei"/>
        <family val="2"/>
      </rPr>
      <t xml:space="preserve">贷</t>
    </r>
    <r>
      <rPr>
        <sz val="10"/>
        <rFont val="宋体"/>
        <family val="0"/>
        <charset val="134"/>
      </rPr>
      <t xml:space="preserve">1</t>
    </r>
  </si>
  <si>
    <r>
      <rPr>
        <sz val="10"/>
        <rFont val="WenQuanYi Zen Hei"/>
        <family val="2"/>
      </rPr>
      <t xml:space="preserve">贷</t>
    </r>
    <r>
      <rPr>
        <sz val="10"/>
        <rFont val="宋体"/>
        <family val="0"/>
        <charset val="134"/>
      </rPr>
      <t xml:space="preserve">2</t>
    </r>
  </si>
  <si>
    <r>
      <rPr>
        <sz val="10"/>
        <rFont val="WenQuanYi Zen Hei"/>
        <family val="2"/>
      </rPr>
      <t xml:space="preserve">贷</t>
    </r>
    <r>
      <rPr>
        <sz val="10"/>
        <rFont val="宋体"/>
        <family val="0"/>
        <charset val="134"/>
      </rPr>
      <t xml:space="preserve">3</t>
    </r>
  </si>
  <si>
    <r>
      <rPr>
        <b val="true"/>
        <sz val="11"/>
        <rFont val="WenQuanYi Zen Hei"/>
        <family val="2"/>
      </rPr>
      <t xml:space="preserve">自动核对（有红字</t>
    </r>
    <r>
      <rPr>
        <b val="true"/>
        <sz val="11"/>
        <rFont val="宋体"/>
        <family val="0"/>
        <charset val="134"/>
      </rPr>
      <t xml:space="preserve">/</t>
    </r>
    <r>
      <rPr>
        <b val="true"/>
        <sz val="11"/>
        <rFont val="WenQuanYi Zen Hei"/>
        <family val="2"/>
      </rPr>
      <t xml:space="preserve">非 </t>
    </r>
    <r>
      <rPr>
        <b val="true"/>
        <sz val="11"/>
        <rFont val="宋体"/>
        <family val="0"/>
        <charset val="134"/>
      </rPr>
      <t xml:space="preserve">0 </t>
    </r>
    <r>
      <rPr>
        <b val="true"/>
        <sz val="11"/>
        <rFont val="WenQuanYi Zen Hei"/>
        <family val="2"/>
      </rPr>
      <t xml:space="preserve">的地方就是要看一眼的地方）</t>
    </r>
  </si>
  <si>
    <t xml:space="preserve">收入借方</t>
  </si>
  <si>
    <t xml:space="preserve">收入贷方</t>
  </si>
  <si>
    <t xml:space="preserve">借贷差</t>
  </si>
  <si>
    <r>
      <rPr>
        <b val="true"/>
        <sz val="11"/>
        <rFont val="WenQuanYi Zen Hei"/>
        <family val="2"/>
      </rPr>
      <t xml:space="preserve">多</t>
    </r>
    <r>
      <rPr>
        <b val="true"/>
        <sz val="11"/>
        <rFont val="宋体"/>
        <family val="0"/>
        <charset val="134"/>
      </rPr>
      <t xml:space="preserve">(+)/</t>
    </r>
    <r>
      <rPr>
        <b val="true"/>
        <sz val="11"/>
        <rFont val="WenQuanYi Zen Hei"/>
        <family val="2"/>
      </rPr>
      <t xml:space="preserve">少</t>
    </r>
    <r>
      <rPr>
        <b val="true"/>
        <sz val="11"/>
        <rFont val="宋体"/>
        <family val="0"/>
        <charset val="134"/>
      </rPr>
      <t xml:space="preserve">(−)</t>
    </r>
  </si>
  <si>
    <t xml:space="preserve">回款手续费</t>
  </si>
  <si>
    <t xml:space="preserve">回款贷方还原</t>
  </si>
  <si>
    <t xml:space="preserve">回款差异</t>
  </si>
  <si>
    <t xml:space="preserve">报销单核对</t>
  </si>
  <si>
    <t xml:space="preserve">回款里有没有“未识别”的收款方式：</t>
  </si>
  <si>
    <t xml:space="preserve">门店</t>
  </si>
  <si>
    <t xml:space="preserve">报销里有没有写错的付款方式：</t>
  </si>
  <si>
    <t xml:space="preserve">输入平台 里有没有写错的行：</t>
  </si>
  <si>
    <r>
      <rPr>
        <b val="true"/>
        <sz val="11"/>
        <rFont val="WenQuanYi Zen Hei"/>
        <family val="2"/>
      </rPr>
      <t xml:space="preserve">平台金额与海典的差异合计（会走补现金</t>
    </r>
    <r>
      <rPr>
        <b val="true"/>
        <sz val="11"/>
        <rFont val="宋体"/>
        <family val="0"/>
        <charset val="134"/>
      </rPr>
      <t xml:space="preserve">/</t>
    </r>
    <r>
      <rPr>
        <b val="true"/>
        <sz val="11"/>
        <rFont val="WenQuanYi Zen Hei"/>
        <family val="2"/>
      </rPr>
      <t xml:space="preserve">营业外）：</t>
    </r>
  </si>
  <si>
    <r>
      <rPr>
        <b val="true"/>
        <sz val="11"/>
        <rFont val="WenQuanYi Zen Hei"/>
        <family val="2"/>
      </rPr>
      <t xml:space="preserve">本月未入账的 京东</t>
    </r>
    <r>
      <rPr>
        <b val="true"/>
        <sz val="11"/>
        <rFont val="宋体"/>
        <family val="0"/>
        <charset val="134"/>
      </rPr>
      <t xml:space="preserve">LOC</t>
    </r>
    <r>
      <rPr>
        <b val="true"/>
        <sz val="11"/>
        <rFont val="WenQuanYi Zen Hei"/>
        <family val="2"/>
      </rPr>
      <t xml:space="preserve">券 </t>
    </r>
    <r>
      <rPr>
        <b val="true"/>
        <sz val="11"/>
        <rFont val="宋体"/>
        <family val="0"/>
        <charset val="134"/>
      </rPr>
      <t xml:space="preserve">+ </t>
    </r>
    <r>
      <rPr>
        <b val="true"/>
        <sz val="11"/>
        <rFont val="WenQuanYi Zen Hei"/>
        <family val="2"/>
      </rPr>
      <t xml:space="preserve">收银兑换损失（含内置测试例子，非 </t>
    </r>
    <r>
      <rPr>
        <b val="true"/>
        <sz val="11"/>
        <rFont val="宋体"/>
        <family val="0"/>
        <charset val="134"/>
      </rPr>
      <t xml:space="preserve">0 </t>
    </r>
    <r>
      <rPr>
        <b val="true"/>
        <sz val="11"/>
        <rFont val="WenQuanYi Zen Hei"/>
        <family val="2"/>
      </rPr>
      <t xml:space="preserve">要留意）：</t>
    </r>
  </si>
  <si>
    <r>
      <rPr>
        <sz val="10"/>
        <color rgb="FF808080"/>
        <rFont val="WenQuanYi Zen Hei"/>
        <family val="2"/>
      </rPr>
      <t xml:space="preserve">这两项按你的批注已从促销费里去掉；这里非 </t>
    </r>
    <r>
      <rPr>
        <sz val="10"/>
        <color rgb="FF808080"/>
        <rFont val="宋体"/>
        <family val="0"/>
        <charset val="134"/>
      </rPr>
      <t xml:space="preserve">0 </t>
    </r>
    <r>
      <rPr>
        <sz val="10"/>
        <color rgb="FF808080"/>
        <rFont val="WenQuanYi Zen Hei"/>
        <family val="2"/>
      </rPr>
      <t xml:space="preserve">说明本月确实发生了，会被算进“少钱补现金”。要入账就把列名填回 科目对照收入 的空海典列。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</si>
</sst>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"/>
    <numFmt numFmtId="167" formatCode="0.00_ "/>
    <numFmt numFmtId="168" formatCode="General"/>
    <numFmt numFmtId="169" formatCode="m/d/yyyy"/>
    <numFmt numFmtId="170" formatCode="[$-1000409][$RMB]General;[RED][$-1000409][$RMB]General"/>
  </numFmts>
  <fonts count="19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sz val="11"/>
      <name val="宋体"/>
      <family val="0"/>
      <charset val="134"/>
    </font>
    <font>
      <b val="true"/>
      <sz val="11"/>
      <name val="WenQuanYi Zen Hei"/>
      <family val="2"/>
    </font>
    <font>
      <b val="true"/>
      <sz val="11"/>
      <name val="宋体"/>
      <family val="0"/>
      <charset val="134"/>
    </font>
    <font>
      <sz val="11"/>
      <name val="WenQuanYi Zen Hei"/>
      <family val="2"/>
    </font>
    <font>
      <sz val="10"/>
      <color rgb="FF808080"/>
      <name val="宋体"/>
      <family val="0"/>
      <charset val="134"/>
    </font>
    <font>
      <sz val="10"/>
      <color rgb="FF808080"/>
      <name val="WenQuanYi Zen Hei"/>
      <family val="2"/>
    </font>
    <font>
      <sz val="10"/>
      <name val="宋体"/>
      <family val="0"/>
      <charset val="134"/>
    </font>
    <font>
      <sz val="11"/>
      <color theme="1"/>
      <name val="WenQuanYi Zen Hei"/>
      <family val="2"/>
    </font>
    <font>
      <sz val="10"/>
      <name val="WenQuanYi Zen Hei"/>
      <family val="2"/>
    </font>
    <font>
      <b val="true"/>
      <sz val="18"/>
      <name val="WenQuanYi Zen Hei"/>
      <family val="2"/>
    </font>
    <font>
      <b val="true"/>
      <sz val="9"/>
      <color rgb="FF1F4E79"/>
      <name val="WenQuanYi Zen Hei"/>
      <family val="2"/>
    </font>
    <font>
      <sz val="9"/>
      <color rgb="FF808080"/>
      <name val="WenQuanYi Zen Hei"/>
      <family val="2"/>
    </font>
    <font>
      <sz val="9"/>
      <color rgb="FF808080"/>
      <name val="微软雅黑"/>
      <family val="0"/>
      <charset val="1"/>
    </font>
    <font>
      <b val="true"/>
      <sz val="10"/>
      <color rgb="FFC00000"/>
      <name val="微软雅黑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AEAE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AEAEA"/>
      </patternFill>
    </fill>
    <fill>
      <patternFill patternType="solid">
        <fgColor rgb="FFEAEAEA"/>
        <bgColor rgb="FFF2F2F2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70"/>
  <sheetViews>
    <sheetView showFormulas="false" showGridLines="true" showRowColHeaders="true" showZeros="true" rightToLeft="false" showOutlineSymbols="true" defaultGridColor="true" view="normal" topLeftCell="A25" colorId="64" zoomScale="100" zoomScaleNormal="100" zoomScalePageLayoutView="100" workbookViewId="0">
      <selection pane="topLeft" activeCell="B53" activeCellId="0" sqref="B53"/>
    </sheetView>
  </sheetViews>
  <sheetFormatPr defaultColWidth="9" defaultRowHeight="13.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0.25" hidden="false" customHeight="true" outlineLevel="0" collapsed="false">
      <c r="B1" s="1" t="s">
        <v>0</v>
      </c>
    </row>
    <row r="2" customFormat="false" ht="13.5" hidden="false" customHeight="false" outlineLevel="0" collapsed="false">
      <c r="B2" s="2"/>
    </row>
    <row r="3" customFormat="false" ht="14.9" hidden="false" customHeight="false" outlineLevel="0" collapsed="false">
      <c r="B3" s="3" t="s">
        <v>1</v>
      </c>
    </row>
    <row r="4" customFormat="false" ht="14.9" hidden="false" customHeight="false" outlineLevel="0" collapsed="false">
      <c r="B4" s="2" t="s">
        <v>2</v>
      </c>
    </row>
    <row r="5" customFormat="false" ht="14.9" hidden="false" customHeight="false" outlineLevel="0" collapsed="false">
      <c r="B5" s="2" t="s">
        <v>3</v>
      </c>
    </row>
    <row r="6" customFormat="false" ht="14.9" hidden="false" customHeight="false" outlineLevel="0" collapsed="false">
      <c r="B6" s="2" t="s">
        <v>4</v>
      </c>
    </row>
    <row r="7" customFormat="false" ht="14.9" hidden="false" customHeight="false" outlineLevel="0" collapsed="false">
      <c r="B7" s="2" t="s">
        <v>5</v>
      </c>
    </row>
    <row r="8" customFormat="false" ht="13.5" hidden="false" customHeight="false" outlineLevel="0" collapsed="false">
      <c r="B8" s="2"/>
    </row>
    <row r="9" customFormat="false" ht="13.5" hidden="false" customHeight="false" outlineLevel="0" collapsed="false">
      <c r="B9" s="3" t="s">
        <v>6</v>
      </c>
    </row>
    <row r="10" customFormat="false" ht="14.9" hidden="false" customHeight="false" outlineLevel="0" collapsed="false">
      <c r="B10" s="4" t="s">
        <v>7</v>
      </c>
    </row>
    <row r="11" customFormat="false" ht="14.9" hidden="false" customHeight="false" outlineLevel="0" collapsed="false">
      <c r="B11" s="4" t="s">
        <v>8</v>
      </c>
    </row>
    <row r="12" customFormat="false" ht="13.5" hidden="false" customHeight="false" outlineLevel="0" collapsed="false">
      <c r="B12" s="2"/>
    </row>
    <row r="13" customFormat="false" ht="13.5" hidden="false" customHeight="false" outlineLevel="0" collapsed="false">
      <c r="B13" s="3" t="s">
        <v>9</v>
      </c>
    </row>
    <row r="14" customFormat="false" ht="14.9" hidden="false" customHeight="false" outlineLevel="0" collapsed="false">
      <c r="B14" s="4" t="s">
        <v>10</v>
      </c>
    </row>
    <row r="15" customFormat="false" ht="14.9" hidden="false" customHeight="false" outlineLevel="0" collapsed="false">
      <c r="B15" s="4" t="s">
        <v>11</v>
      </c>
    </row>
    <row r="16" customFormat="false" ht="14.9" hidden="false" customHeight="false" outlineLevel="0" collapsed="false">
      <c r="B16" s="4" t="s">
        <v>12</v>
      </c>
    </row>
    <row r="17" customFormat="false" ht="13.5" hidden="false" customHeight="false" outlineLevel="0" collapsed="false">
      <c r="B17" s="2"/>
    </row>
    <row r="18" customFormat="false" ht="13.5" hidden="false" customHeight="false" outlineLevel="0" collapsed="false">
      <c r="B18" s="3" t="s">
        <v>13</v>
      </c>
    </row>
    <row r="19" customFormat="false" ht="14.9" hidden="false" customHeight="false" outlineLevel="0" collapsed="false">
      <c r="B19" s="4" t="s">
        <v>14</v>
      </c>
    </row>
    <row r="20" customFormat="false" ht="14.9" hidden="false" customHeight="false" outlineLevel="0" collapsed="false">
      <c r="B20" s="4" t="s">
        <v>15</v>
      </c>
    </row>
    <row r="21" customFormat="false" ht="13.5" hidden="false" customHeight="false" outlineLevel="0" collapsed="false">
      <c r="B21" s="4" t="s">
        <v>16</v>
      </c>
    </row>
    <row r="22" customFormat="false" ht="14.9" hidden="false" customHeight="false" outlineLevel="0" collapsed="false">
      <c r="B22" s="4" t="s">
        <v>17</v>
      </c>
    </row>
    <row r="23" customFormat="false" ht="14.9" hidden="false" customHeight="false" outlineLevel="0" collapsed="false">
      <c r="B23" s="4" t="s">
        <v>18</v>
      </c>
    </row>
    <row r="24" customFormat="false" ht="14.9" hidden="false" customHeight="false" outlineLevel="0" collapsed="false">
      <c r="B24" s="4" t="s">
        <v>19</v>
      </c>
    </row>
    <row r="25" customFormat="false" ht="13.5" hidden="false" customHeight="false" outlineLevel="0" collapsed="false">
      <c r="B25" s="2"/>
    </row>
    <row r="26" customFormat="false" ht="13.5" hidden="false" customHeight="false" outlineLevel="0" collapsed="false">
      <c r="B26" s="3" t="s">
        <v>20</v>
      </c>
    </row>
    <row r="27" customFormat="false" ht="14.9" hidden="false" customHeight="false" outlineLevel="0" collapsed="false">
      <c r="B27" s="4" t="s">
        <v>21</v>
      </c>
    </row>
    <row r="28" customFormat="false" ht="14.9" hidden="false" customHeight="false" outlineLevel="0" collapsed="false">
      <c r="B28" s="4" t="s">
        <v>22</v>
      </c>
    </row>
    <row r="29" customFormat="false" ht="13.5" hidden="false" customHeight="false" outlineLevel="0" collapsed="false">
      <c r="B29" s="4" t="s">
        <v>23</v>
      </c>
    </row>
    <row r="30" customFormat="false" ht="14.9" hidden="false" customHeight="false" outlineLevel="0" collapsed="false">
      <c r="B30" s="4" t="s">
        <v>24</v>
      </c>
    </row>
    <row r="31" customFormat="false" ht="14.9" hidden="false" customHeight="false" outlineLevel="0" collapsed="false">
      <c r="B31" s="4" t="s">
        <v>25</v>
      </c>
    </row>
    <row r="32" customFormat="false" ht="14.9" hidden="false" customHeight="false" outlineLevel="0" collapsed="false">
      <c r="B32" s="4" t="s">
        <v>26</v>
      </c>
    </row>
    <row r="33" customFormat="false" ht="13.5" hidden="false" customHeight="false" outlineLevel="0" collapsed="false">
      <c r="B33" s="2"/>
    </row>
    <row r="34" customFormat="false" ht="13.5" hidden="false" customHeight="false" outlineLevel="0" collapsed="false">
      <c r="B34" s="3" t="s">
        <v>27</v>
      </c>
    </row>
    <row r="35" customFormat="false" ht="13.5" hidden="false" customHeight="false" outlineLevel="0" collapsed="false">
      <c r="B35" s="4" t="s">
        <v>28</v>
      </c>
    </row>
    <row r="36" customFormat="false" ht="13.5" hidden="false" customHeight="false" outlineLevel="0" collapsed="false">
      <c r="B36" s="4" t="s">
        <v>29</v>
      </c>
    </row>
    <row r="37" customFormat="false" ht="14.9" hidden="false" customHeight="false" outlineLevel="0" collapsed="false">
      <c r="B37" s="4" t="s">
        <v>30</v>
      </c>
    </row>
    <row r="38" customFormat="false" ht="14.9" hidden="false" customHeight="false" outlineLevel="0" collapsed="false">
      <c r="B38" s="4" t="s">
        <v>31</v>
      </c>
    </row>
    <row r="39" customFormat="false" ht="14.9" hidden="false" customHeight="false" outlineLevel="0" collapsed="false">
      <c r="B39" s="4" t="s">
        <v>32</v>
      </c>
    </row>
    <row r="40" customFormat="false" ht="13.5" hidden="false" customHeight="false" outlineLevel="0" collapsed="false">
      <c r="B40" s="4" t="s">
        <v>33</v>
      </c>
    </row>
    <row r="41" customFormat="false" ht="13.5" hidden="false" customHeight="false" outlineLevel="0" collapsed="false">
      <c r="B41" s="4" t="s">
        <v>34</v>
      </c>
    </row>
    <row r="42" customFormat="false" ht="13.5" hidden="false" customHeight="false" outlineLevel="0" collapsed="false">
      <c r="B42" s="4" t="s">
        <v>35</v>
      </c>
    </row>
    <row r="43" customFormat="false" ht="14.9" hidden="false" customHeight="false" outlineLevel="0" collapsed="false">
      <c r="B43" s="4" t="s">
        <v>36</v>
      </c>
    </row>
    <row r="44" customFormat="false" ht="13.5" hidden="false" customHeight="false" outlineLevel="0" collapsed="false">
      <c r="B44" s="4" t="s">
        <v>37</v>
      </c>
    </row>
    <row r="45" customFormat="false" ht="13.5" hidden="false" customHeight="false" outlineLevel="0" collapsed="false">
      <c r="B45" s="4" t="s">
        <v>38</v>
      </c>
    </row>
    <row r="46" customFormat="false" ht="13.5" hidden="false" customHeight="false" outlineLevel="0" collapsed="false">
      <c r="B46" s="4" t="s">
        <v>39</v>
      </c>
    </row>
    <row r="47" customFormat="false" ht="13.5" hidden="false" customHeight="false" outlineLevel="0" collapsed="false">
      <c r="B47" s="2"/>
    </row>
    <row r="48" customFormat="false" ht="13.5" hidden="false" customHeight="false" outlineLevel="0" collapsed="false">
      <c r="B48" s="3" t="s">
        <v>40</v>
      </c>
    </row>
    <row r="49" customFormat="false" ht="13.5" hidden="false" customHeight="false" outlineLevel="0" collapsed="false">
      <c r="B49" s="4" t="s">
        <v>41</v>
      </c>
    </row>
    <row r="50" customFormat="false" ht="13.5" hidden="false" customHeight="false" outlineLevel="0" collapsed="false">
      <c r="B50" s="4" t="s">
        <v>42</v>
      </c>
    </row>
    <row r="51" customFormat="false" ht="13.5" hidden="false" customHeight="false" outlineLevel="0" collapsed="false">
      <c r="B51" s="4" t="s">
        <v>43</v>
      </c>
    </row>
    <row r="52" customFormat="false" ht="13.5" hidden="false" customHeight="false" outlineLevel="0" collapsed="false">
      <c r="B52" s="2"/>
    </row>
    <row r="53" customFormat="false" ht="13.5" hidden="false" customHeight="false" outlineLevel="0" collapsed="false">
      <c r="B53" s="3" t="s">
        <v>44</v>
      </c>
    </row>
    <row r="54" customFormat="false" ht="14.9" hidden="false" customHeight="false" outlineLevel="0" collapsed="false">
      <c r="B54" s="4" t="s">
        <v>45</v>
      </c>
    </row>
    <row r="55" customFormat="false" ht="14.9" hidden="false" customHeight="false" outlineLevel="0" collapsed="false">
      <c r="B55" s="4" t="s">
        <v>46</v>
      </c>
    </row>
    <row r="56" customFormat="false" ht="13.5" hidden="false" customHeight="false" outlineLevel="0" collapsed="false">
      <c r="B56" s="2"/>
    </row>
    <row r="57" customFormat="false" ht="13.5" hidden="false" customHeight="false" outlineLevel="0" collapsed="false">
      <c r="B57" s="3" t="s">
        <v>47</v>
      </c>
    </row>
    <row r="58" customFormat="false" ht="13.5" hidden="false" customHeight="false" outlineLevel="0" collapsed="false">
      <c r="B58" s="4" t="s">
        <v>48</v>
      </c>
    </row>
    <row r="59" customFormat="false" ht="13.5" hidden="false" customHeight="false" outlineLevel="0" collapsed="false">
      <c r="B59" s="4" t="s">
        <v>49</v>
      </c>
    </row>
    <row r="60" customFormat="false" ht="13.5" hidden="false" customHeight="false" outlineLevel="0" collapsed="false">
      <c r="B60" s="2"/>
    </row>
    <row r="61" customFormat="false" ht="13.5" hidden="false" customHeight="false" outlineLevel="0" collapsed="false">
      <c r="B61" s="3" t="s">
        <v>50</v>
      </c>
    </row>
    <row r="63" customFormat="false" ht="13.5" hidden="false" customHeight="false" outlineLevel="0" collapsed="false">
      <c r="B63" s="2"/>
    </row>
    <row r="64" customFormat="false" ht="13.5" hidden="false" customHeight="false" outlineLevel="0" collapsed="false">
      <c r="B64" s="4" t="s">
        <v>51</v>
      </c>
    </row>
    <row r="65" customFormat="false" ht="13.5" hidden="false" customHeight="false" outlineLevel="0" collapsed="false">
      <c r="B65" s="4" t="s">
        <v>52</v>
      </c>
    </row>
    <row r="66" customFormat="false" ht="14.9" hidden="false" customHeight="false" outlineLevel="0" collapsed="false">
      <c r="B66" s="4" t="s">
        <v>53</v>
      </c>
    </row>
    <row r="67" customFormat="false" ht="14.9" hidden="false" customHeight="false" outlineLevel="0" collapsed="false">
      <c r="B67" s="2" t="s">
        <v>54</v>
      </c>
    </row>
    <row r="68" customFormat="false" ht="14.9" hidden="false" customHeight="false" outlineLevel="0" collapsed="false">
      <c r="B68" s="4" t="s">
        <v>55</v>
      </c>
    </row>
    <row r="69" customFormat="false" ht="14.9" hidden="false" customHeight="false" outlineLevel="0" collapsed="false">
      <c r="B69" s="4" t="s">
        <v>56</v>
      </c>
    </row>
    <row r="70" customFormat="false" ht="13.5" hidden="false" customHeight="false" outlineLevel="0" collapsed="false">
      <c r="B70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52"/>
  </cols>
  <sheetData>
    <row r="1" customFormat="false" ht="13.5" hidden="false" customHeight="false" outlineLevel="0" collapsed="false">
      <c r="A1" s="5" t="s">
        <v>58</v>
      </c>
    </row>
    <row r="2" customFormat="false" ht="13.5" hidden="false" customHeight="false" outlineLevel="0" collapsed="false">
      <c r="A2" s="6" t="s">
        <v>59</v>
      </c>
      <c r="B2" s="7" t="n">
        <v>46234</v>
      </c>
      <c r="C2" s="8"/>
    </row>
    <row r="3" customFormat="false" ht="14.9" hidden="false" customHeight="false" outlineLevel="0" collapsed="false">
      <c r="A3" s="6" t="s">
        <v>60</v>
      </c>
      <c r="B3" s="9" t="s">
        <v>61</v>
      </c>
      <c r="C3" s="8"/>
    </row>
    <row r="4" customFormat="false" ht="13.5" hidden="false" customHeight="false" outlineLevel="0" collapsed="false">
      <c r="A4" s="6" t="s">
        <v>62</v>
      </c>
      <c r="B4" s="10" t="s">
        <v>63</v>
      </c>
      <c r="C4" s="8"/>
    </row>
    <row r="5" customFormat="false" ht="13.5" hidden="false" customHeight="false" outlineLevel="0" collapsed="false">
      <c r="A5" s="6" t="s">
        <v>64</v>
      </c>
      <c r="B5" s="10" t="s">
        <v>65</v>
      </c>
      <c r="C5" s="11" t="s">
        <v>66</v>
      </c>
    </row>
    <row r="6" customFormat="false" ht="14.9" hidden="false" customHeight="false" outlineLevel="0" collapsed="false">
      <c r="A6" s="6" t="s">
        <v>67</v>
      </c>
      <c r="B6" s="10" t="s">
        <v>68</v>
      </c>
      <c r="C6" s="11" t="s">
        <v>69</v>
      </c>
    </row>
    <row r="7" customFormat="false" ht="14.9" hidden="false" customHeight="false" outlineLevel="0" collapsed="false">
      <c r="A7" s="6" t="s">
        <v>70</v>
      </c>
      <c r="B7" s="10" t="s">
        <v>71</v>
      </c>
      <c r="C7" s="8"/>
    </row>
    <row r="8" customFormat="false" ht="14.9" hidden="false" customHeight="false" outlineLevel="0" collapsed="false">
      <c r="A8" s="6" t="s">
        <v>72</v>
      </c>
      <c r="B8" s="10" t="s">
        <v>73</v>
      </c>
      <c r="C8" s="8"/>
    </row>
    <row r="9" customFormat="false" ht="13.5" hidden="false" customHeight="false" outlineLevel="0" collapsed="false">
      <c r="A9" s="6" t="s">
        <v>74</v>
      </c>
      <c r="B9" s="10" t="s">
        <v>75</v>
      </c>
      <c r="C9" s="11" t="s">
        <v>76</v>
      </c>
    </row>
    <row r="10" customFormat="false" ht="13.5" hidden="false" customHeight="false" outlineLevel="0" collapsed="false">
      <c r="A10" s="6" t="s">
        <v>77</v>
      </c>
      <c r="B10" s="12" t="n">
        <f aca="false">助手收入!$V$1</f>
        <v>78</v>
      </c>
      <c r="C10" s="11" t="s">
        <v>78</v>
      </c>
      <c r="D10" s="13" t="str">
        <f aca="false">IF(助手收入!$V$1&gt;280,"⚠ 凭证页不够，请找我加","")</f>
        <v/>
      </c>
    </row>
    <row r="11" customFormat="false" ht="13.5" hidden="false" customHeight="false" outlineLevel="0" collapsed="false">
      <c r="A11" s="6" t="s">
        <v>79</v>
      </c>
      <c r="B11" s="12" t="n">
        <f aca="false">助手回款!$V$1</f>
        <v>46</v>
      </c>
      <c r="D11" s="13" t="str">
        <f aca="false">IF(助手回款!$V$1&gt;210,"⚠ 凭证页不够，请找我加","")</f>
        <v/>
      </c>
    </row>
    <row r="12" customFormat="false" ht="13.5" hidden="false" customHeight="false" outlineLevel="0" collapsed="false">
      <c r="A12" s="6" t="s">
        <v>80</v>
      </c>
      <c r="B12" s="12" t="n">
        <f aca="false">助手报销!$V$1</f>
        <v>39</v>
      </c>
      <c r="D12" s="13" t="str">
        <f aca="false">IF(助手报销!$V$1&gt;200,"⚠ 凭证页不够，请找我加","")</f>
        <v/>
      </c>
    </row>
    <row r="14" customFormat="false" ht="13.5" hidden="false" customHeight="false" outlineLevel="0" collapsed="false">
      <c r="A14" s="6" t="s">
        <v>81</v>
      </c>
      <c r="B14" s="14" t="n">
        <f aca="false">IFERROR(MIN(INDEX(输入海典!$A$1:$AN$20000,0,IFERROR(MATCH("会计日",输入海典!$1:$1,0),1))),"")</f>
        <v>46204</v>
      </c>
      <c r="C14" s="11" t="s">
        <v>82</v>
      </c>
    </row>
    <row r="15" customFormat="false" ht="13.5" hidden="false" customHeight="false" outlineLevel="0" collapsed="false">
      <c r="A15" s="6" t="s">
        <v>83</v>
      </c>
      <c r="B15" s="14" t="n">
        <f aca="false">IFERROR(MAX(INDEX(输入海典!$A$1:$AN$20000,0,IFERROR(MATCH("会计日",输入海典!$1:$1,0),1))),"")</f>
        <v>46234</v>
      </c>
    </row>
    <row r="17" customFormat="false" ht="13.5" hidden="false" customHeight="false" outlineLevel="0" collapsed="false">
      <c r="A17" s="6" t="s">
        <v>84</v>
      </c>
      <c r="B17" s="15" t="n">
        <f aca="false">IFERROR(SUM(INDEX(输入海典!$A$1:$AN$20000,0,MATCH("销售合计",输入海典!$1:$1,0))),0)</f>
        <v>2818376.63</v>
      </c>
    </row>
    <row r="18" customFormat="false" ht="13.5" hidden="false" customHeight="false" outlineLevel="0" collapsed="false">
      <c r="A18" s="6" t="s">
        <v>85</v>
      </c>
      <c r="B18" s="15" t="n">
        <f aca="false">ROUND(SUM(海典汇总!$AE$3:$AE$67),2)</f>
        <v>2818376.63</v>
      </c>
    </row>
    <row r="19" customFormat="false" ht="14.9" hidden="false" customHeight="false" outlineLevel="0" collapsed="false">
      <c r="A19" s="6" t="s">
        <v>86</v>
      </c>
      <c r="B19" s="16" t="n">
        <f aca="false">ROUND($B$17-$B$18,2)</f>
        <v>0</v>
      </c>
      <c r="C19" s="11" t="s">
        <v>87</v>
      </c>
    </row>
  </sheetData>
  <dataValidations count="1">
    <dataValidation allowBlank="false" error="否＝右上角留空自己手写；是＝把自动排的号印出来" errorStyle="stop" errorTitle="只能选 否 / 是" operator="between" showDropDown="false" showErrorMessage="true" showInputMessage="false" sqref="B9" type="list">
      <formula1>"否,是"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4.9" hidden="false" customHeight="false" outlineLevel="0" collapsed="false">
      <c r="A1" s="17" t="s">
        <v>88</v>
      </c>
      <c r="B1" s="17" t="s">
        <v>89</v>
      </c>
      <c r="C1" s="17" t="s">
        <v>90</v>
      </c>
      <c r="D1" s="17" t="s">
        <v>91</v>
      </c>
      <c r="F1" s="18" t="s">
        <v>92</v>
      </c>
    </row>
    <row r="2" customFormat="false" ht="14.9" hidden="false" customHeight="false" outlineLevel="0" collapsed="false">
      <c r="A2" s="9" t="n">
        <v>2001</v>
      </c>
      <c r="B2" s="19" t="s">
        <v>93</v>
      </c>
      <c r="C2" s="19" t="s">
        <v>94</v>
      </c>
      <c r="D2" s="20" t="n">
        <f aca="false">IF(OR($A2="",$C2=""),0,IF(ISNUMBER(FIND("备用",$B2&amp;$C2)),0,1))</f>
        <v>1</v>
      </c>
      <c r="F2" s="11" t="s">
        <v>95</v>
      </c>
    </row>
    <row r="3" customFormat="false" ht="14.9" hidden="false" customHeight="false" outlineLevel="0" collapsed="false">
      <c r="A3" s="9" t="n">
        <v>2002</v>
      </c>
      <c r="B3" s="19" t="s">
        <v>96</v>
      </c>
      <c r="C3" s="19" t="s">
        <v>97</v>
      </c>
      <c r="D3" s="20" t="n">
        <f aca="false">IF(OR($A3="",$C3=""),0,IF(ISNUMBER(FIND("备用",$B3&amp;$C3)),0,1))</f>
        <v>1</v>
      </c>
      <c r="F3" s="11" t="s">
        <v>98</v>
      </c>
    </row>
    <row r="4" customFormat="false" ht="14.9" hidden="false" customHeight="false" outlineLevel="0" collapsed="false">
      <c r="A4" s="9" t="n">
        <v>2003</v>
      </c>
      <c r="B4" s="19" t="s">
        <v>99</v>
      </c>
      <c r="C4" s="19" t="s">
        <v>100</v>
      </c>
      <c r="D4" s="20" t="n">
        <f aca="false">IF(OR($A4="",$C4=""),0,IF(ISNUMBER(FIND("备用",$B4&amp;$C4)),0,1))</f>
        <v>1</v>
      </c>
      <c r="F4" s="11" t="s">
        <v>101</v>
      </c>
    </row>
    <row r="5" customFormat="false" ht="14.9" hidden="false" customHeight="false" outlineLevel="0" collapsed="false">
      <c r="A5" s="9" t="n">
        <v>2004</v>
      </c>
      <c r="B5" s="19" t="s">
        <v>102</v>
      </c>
      <c r="C5" s="19" t="s">
        <v>103</v>
      </c>
      <c r="D5" s="20" t="n">
        <f aca="false">IF(OR($A5="",$C5=""),0,IF(ISNUMBER(FIND("备用",$B5&amp;$C5)),0,1))</f>
        <v>1</v>
      </c>
      <c r="F5" s="11" t="s">
        <v>104</v>
      </c>
    </row>
    <row r="6" customFormat="false" ht="14.9" hidden="false" customHeight="false" outlineLevel="0" collapsed="false">
      <c r="A6" s="9" t="n">
        <v>2005</v>
      </c>
      <c r="B6" s="19" t="s">
        <v>105</v>
      </c>
      <c r="C6" s="19" t="s">
        <v>106</v>
      </c>
      <c r="D6" s="20" t="n">
        <f aca="false">IF(OR($A6="",$C6=""),0,IF(ISNUMBER(FIND("备用",$B6&amp;$C6)),0,1))</f>
        <v>1</v>
      </c>
    </row>
    <row r="7" customFormat="false" ht="14.9" hidden="false" customHeight="false" outlineLevel="0" collapsed="false">
      <c r="A7" s="9" t="n">
        <v>2006</v>
      </c>
      <c r="B7" s="19" t="s">
        <v>107</v>
      </c>
      <c r="C7" s="19" t="s">
        <v>108</v>
      </c>
      <c r="D7" s="20" t="n">
        <f aca="false">IF(OR($A7="",$C7=""),0,IF(ISNUMBER(FIND("备用",$B7&amp;$C7)),0,1))</f>
        <v>1</v>
      </c>
    </row>
    <row r="8" customFormat="false" ht="14.9" hidden="false" customHeight="false" outlineLevel="0" collapsed="false">
      <c r="A8" s="9" t="n">
        <v>2007</v>
      </c>
      <c r="B8" s="19" t="s">
        <v>109</v>
      </c>
      <c r="C8" s="19" t="s">
        <v>110</v>
      </c>
      <c r="D8" s="20" t="n">
        <f aca="false">IF(OR($A8="",$C8=""),0,IF(ISNUMBER(FIND("备用",$B8&amp;$C8)),0,1))</f>
        <v>1</v>
      </c>
    </row>
    <row r="9" customFormat="false" ht="14.9" hidden="false" customHeight="false" outlineLevel="0" collapsed="false">
      <c r="A9" s="9" t="n">
        <v>2008</v>
      </c>
      <c r="B9" s="19" t="s">
        <v>111</v>
      </c>
      <c r="C9" s="19" t="s">
        <v>112</v>
      </c>
      <c r="D9" s="20" t="n">
        <f aca="false">IF(OR($A9="",$C9=""),0,IF(ISNUMBER(FIND("备用",$B9&amp;$C9)),0,1))</f>
        <v>1</v>
      </c>
    </row>
    <row r="10" customFormat="false" ht="14.9" hidden="false" customHeight="false" outlineLevel="0" collapsed="false">
      <c r="A10" s="9" t="n">
        <v>2009</v>
      </c>
      <c r="B10" s="19" t="s">
        <v>113</v>
      </c>
      <c r="C10" s="19" t="s">
        <v>114</v>
      </c>
      <c r="D10" s="20" t="n">
        <f aca="false">IF(OR($A10="",$C10=""),0,IF(ISNUMBER(FIND("备用",$B10&amp;$C10)),0,1))</f>
        <v>1</v>
      </c>
    </row>
    <row r="11" customFormat="false" ht="14.9" hidden="false" customHeight="false" outlineLevel="0" collapsed="false">
      <c r="A11" s="9" t="n">
        <v>2010</v>
      </c>
      <c r="B11" s="19" t="s">
        <v>115</v>
      </c>
      <c r="C11" s="19" t="s">
        <v>116</v>
      </c>
      <c r="D11" s="20" t="n">
        <f aca="false">IF(OR($A11="",$C11=""),0,IF(ISNUMBER(FIND("备用",$B11&amp;$C11)),0,1))</f>
        <v>1</v>
      </c>
    </row>
    <row r="12" customFormat="false" ht="14.9" hidden="false" customHeight="false" outlineLevel="0" collapsed="false">
      <c r="A12" s="9" t="n">
        <v>2011</v>
      </c>
      <c r="B12" s="19" t="s">
        <v>117</v>
      </c>
      <c r="C12" s="19" t="s">
        <v>118</v>
      </c>
      <c r="D12" s="20" t="n">
        <f aca="false">IF(OR($A12="",$C12=""),0,IF(ISNUMBER(FIND("备用",$B12&amp;$C12)),0,1))</f>
        <v>1</v>
      </c>
    </row>
    <row r="13" customFormat="false" ht="14.9" hidden="false" customHeight="false" outlineLevel="0" collapsed="false">
      <c r="A13" s="9" t="n">
        <v>2012</v>
      </c>
      <c r="B13" s="19" t="s">
        <v>119</v>
      </c>
      <c r="C13" s="19" t="s">
        <v>120</v>
      </c>
      <c r="D13" s="20" t="n">
        <f aca="false">IF(OR($A13="",$C13=""),0,IF(ISNUMBER(FIND("备用",$B13&amp;$C13)),0,1))</f>
        <v>1</v>
      </c>
    </row>
    <row r="14" customFormat="false" ht="14.9" hidden="false" customHeight="false" outlineLevel="0" collapsed="false">
      <c r="A14" s="9" t="n">
        <v>2014</v>
      </c>
      <c r="B14" s="19" t="s">
        <v>121</v>
      </c>
      <c r="C14" s="19" t="s">
        <v>122</v>
      </c>
      <c r="D14" s="20" t="n">
        <f aca="false">IF(OR($A14="",$C14=""),0,IF(ISNUMBER(FIND("备用",$B14&amp;$C14)),0,1))</f>
        <v>1</v>
      </c>
    </row>
    <row r="15" customFormat="false" ht="14.9" hidden="false" customHeight="false" outlineLevel="0" collapsed="false">
      <c r="A15" s="9" t="n">
        <v>2015</v>
      </c>
      <c r="B15" s="19" t="s">
        <v>123</v>
      </c>
      <c r="C15" s="19" t="s">
        <v>124</v>
      </c>
      <c r="D15" s="20" t="n">
        <f aca="false">IF(OR($A15="",$C15=""),0,IF(ISNUMBER(FIND("备用",$B15&amp;$C15)),0,1))</f>
        <v>1</v>
      </c>
    </row>
    <row r="16" customFormat="false" ht="14.9" hidden="false" customHeight="false" outlineLevel="0" collapsed="false">
      <c r="A16" s="9" t="n">
        <v>2017</v>
      </c>
      <c r="B16" s="19" t="s">
        <v>125</v>
      </c>
      <c r="C16" s="19" t="s">
        <v>126</v>
      </c>
      <c r="D16" s="20" t="n">
        <f aca="false">IF(OR($A16="",$C16=""),0,IF(ISNUMBER(FIND("备用",$B16&amp;$C16)),0,1))</f>
        <v>1</v>
      </c>
    </row>
    <row r="17" customFormat="false" ht="14.9" hidden="false" customHeight="false" outlineLevel="0" collapsed="false">
      <c r="A17" s="9" t="n">
        <v>2018</v>
      </c>
      <c r="B17" s="19" t="s">
        <v>127</v>
      </c>
      <c r="C17" s="19" t="s">
        <v>128</v>
      </c>
      <c r="D17" s="20" t="n">
        <f aca="false">IF(OR($A17="",$C17=""),0,IF(ISNUMBER(FIND("备用",$B17&amp;$C17)),0,1))</f>
        <v>1</v>
      </c>
    </row>
    <row r="18" customFormat="false" ht="14.9" hidden="false" customHeight="false" outlineLevel="0" collapsed="false">
      <c r="A18" s="9" t="n">
        <v>2022</v>
      </c>
      <c r="B18" s="19" t="s">
        <v>129</v>
      </c>
      <c r="C18" s="19" t="s">
        <v>130</v>
      </c>
      <c r="D18" s="20" t="n">
        <f aca="false">IF(OR($A18="",$C18=""),0,IF(ISNUMBER(FIND("备用",$B18&amp;$C18)),0,1))</f>
        <v>1</v>
      </c>
    </row>
    <row r="19" customFormat="false" ht="14.9" hidden="false" customHeight="false" outlineLevel="0" collapsed="false">
      <c r="A19" s="9" t="n">
        <v>2023</v>
      </c>
      <c r="B19" s="19" t="s">
        <v>131</v>
      </c>
      <c r="C19" s="19" t="s">
        <v>132</v>
      </c>
      <c r="D19" s="20" t="n">
        <f aca="false">IF(OR($A19="",$C19=""),0,IF(ISNUMBER(FIND("备用",$B19&amp;$C19)),0,1))</f>
        <v>1</v>
      </c>
    </row>
    <row r="20" customFormat="false" ht="14.9" hidden="false" customHeight="false" outlineLevel="0" collapsed="false">
      <c r="A20" s="9" t="n">
        <v>2024</v>
      </c>
      <c r="B20" s="19" t="s">
        <v>133</v>
      </c>
      <c r="C20" s="19" t="s">
        <v>134</v>
      </c>
      <c r="D20" s="20" t="n">
        <f aca="false">IF(OR($A20="",$C20=""),0,IF(ISNUMBER(FIND("备用",$B20&amp;$C20)),0,1))</f>
        <v>1</v>
      </c>
    </row>
    <row r="21" customFormat="false" ht="14.9" hidden="false" customHeight="false" outlineLevel="0" collapsed="false">
      <c r="A21" s="9" t="n">
        <v>2026</v>
      </c>
      <c r="B21" s="19" t="s">
        <v>135</v>
      </c>
      <c r="C21" s="19" t="s">
        <v>136</v>
      </c>
      <c r="D21" s="20" t="n">
        <f aca="false">IF(OR($A21="",$C21=""),0,IF(ISNUMBER(FIND("备用",$B21&amp;$C21)),0,1))</f>
        <v>1</v>
      </c>
    </row>
    <row r="22" customFormat="false" ht="14.9" hidden="false" customHeight="false" outlineLevel="0" collapsed="false">
      <c r="A22" s="9" t="n">
        <v>2030</v>
      </c>
      <c r="B22" s="19" t="s">
        <v>137</v>
      </c>
      <c r="C22" s="19" t="s">
        <v>138</v>
      </c>
      <c r="D22" s="20" t="n">
        <f aca="false">IF(OR($A22="",$C22=""),0,IF(ISNUMBER(FIND("备用",$B22&amp;$C22)),0,1))</f>
        <v>1</v>
      </c>
    </row>
    <row r="23" customFormat="false" ht="14.9" hidden="false" customHeight="false" outlineLevel="0" collapsed="false">
      <c r="A23" s="9" t="n">
        <v>2032</v>
      </c>
      <c r="B23" s="19" t="s">
        <v>139</v>
      </c>
      <c r="C23" s="19" t="s">
        <v>140</v>
      </c>
      <c r="D23" s="20" t="n">
        <f aca="false">IF(OR($A23="",$C23=""),0,IF(ISNUMBER(FIND("备用",$B23&amp;$C23)),0,1))</f>
        <v>1</v>
      </c>
    </row>
    <row r="24" customFormat="false" ht="14.9" hidden="false" customHeight="false" outlineLevel="0" collapsed="false">
      <c r="A24" s="9" t="n">
        <v>2036</v>
      </c>
      <c r="B24" s="19" t="s">
        <v>141</v>
      </c>
      <c r="C24" s="19" t="s">
        <v>142</v>
      </c>
      <c r="D24" s="20" t="n">
        <f aca="false">IF(OR($A24="",$C24=""),0,IF(ISNUMBER(FIND("备用",$B24&amp;$C24)),0,1))</f>
        <v>1</v>
      </c>
    </row>
    <row r="25" customFormat="false" ht="14.9" hidden="false" customHeight="false" outlineLevel="0" collapsed="false">
      <c r="A25" s="9" t="n">
        <v>2037</v>
      </c>
      <c r="B25" s="19" t="s">
        <v>143</v>
      </c>
      <c r="C25" s="19" t="s">
        <v>144</v>
      </c>
      <c r="D25" s="20" t="n">
        <f aca="false">IF(OR($A25="",$C25=""),0,IF(ISNUMBER(FIND("备用",$B25&amp;$C25)),0,1))</f>
        <v>1</v>
      </c>
    </row>
    <row r="26" customFormat="false" ht="14.9" hidden="false" customHeight="false" outlineLevel="0" collapsed="false">
      <c r="A26" s="9" t="n">
        <v>2038</v>
      </c>
      <c r="B26" s="19" t="s">
        <v>145</v>
      </c>
      <c r="C26" s="19" t="s">
        <v>146</v>
      </c>
      <c r="D26" s="20" t="n">
        <f aca="false">IF(OR($A26="",$C26=""),0,IF(ISNUMBER(FIND("备用",$B26&amp;$C26)),0,1))</f>
        <v>1</v>
      </c>
    </row>
    <row r="27" customFormat="false" ht="14.9" hidden="false" customHeight="false" outlineLevel="0" collapsed="false">
      <c r="A27" s="9" t="n">
        <v>2039</v>
      </c>
      <c r="B27" s="19" t="s">
        <v>147</v>
      </c>
      <c r="C27" s="19" t="s">
        <v>148</v>
      </c>
      <c r="D27" s="20" t="n">
        <f aca="false">IF(OR($A27="",$C27=""),0,IF(ISNUMBER(FIND("备用",$B27&amp;$C27)),0,1))</f>
        <v>1</v>
      </c>
    </row>
    <row r="28" customFormat="false" ht="14.9" hidden="false" customHeight="false" outlineLevel="0" collapsed="false">
      <c r="A28" s="9" t="n">
        <v>2040</v>
      </c>
      <c r="B28" s="19" t="s">
        <v>149</v>
      </c>
      <c r="C28" s="19" t="s">
        <v>150</v>
      </c>
      <c r="D28" s="20" t="n">
        <f aca="false">IF(OR($A28="",$C28=""),0,IF(ISNUMBER(FIND("备用",$B28&amp;$C28)),0,1))</f>
        <v>1</v>
      </c>
    </row>
    <row r="29" customFormat="false" ht="14.9" hidden="false" customHeight="false" outlineLevel="0" collapsed="false">
      <c r="A29" s="9" t="n">
        <v>2041</v>
      </c>
      <c r="B29" s="19" t="s">
        <v>151</v>
      </c>
      <c r="C29" s="19" t="s">
        <v>152</v>
      </c>
      <c r="D29" s="20" t="n">
        <f aca="false">IF(OR($A29="",$C29=""),0,IF(ISNUMBER(FIND("备用",$B29&amp;$C29)),0,1))</f>
        <v>1</v>
      </c>
    </row>
    <row r="30" customFormat="false" ht="14.9" hidden="false" customHeight="false" outlineLevel="0" collapsed="false">
      <c r="A30" s="9" t="n">
        <v>2042</v>
      </c>
      <c r="B30" s="19" t="s">
        <v>153</v>
      </c>
      <c r="C30" s="19" t="s">
        <v>154</v>
      </c>
      <c r="D30" s="20" t="n">
        <f aca="false">IF(OR($A30="",$C30=""),0,IF(ISNUMBER(FIND("备用",$B30&amp;$C30)),0,1))</f>
        <v>1</v>
      </c>
    </row>
    <row r="31" customFormat="false" ht="14.9" hidden="false" customHeight="false" outlineLevel="0" collapsed="false">
      <c r="A31" s="9" t="n">
        <v>2043</v>
      </c>
      <c r="B31" s="19" t="s">
        <v>155</v>
      </c>
      <c r="C31" s="19" t="s">
        <v>156</v>
      </c>
      <c r="D31" s="20" t="n">
        <f aca="false">IF(OR($A31="",$C31=""),0,IF(ISNUMBER(FIND("备用",$B31&amp;$C31)),0,1))</f>
        <v>1</v>
      </c>
    </row>
    <row r="32" customFormat="false" ht="14.9" hidden="false" customHeight="false" outlineLevel="0" collapsed="false">
      <c r="A32" s="9" t="n">
        <v>2044</v>
      </c>
      <c r="B32" s="19" t="s">
        <v>157</v>
      </c>
      <c r="C32" s="19" t="s">
        <v>158</v>
      </c>
      <c r="D32" s="20" t="n">
        <f aca="false">IF(OR($A32="",$C32=""),0,IF(ISNUMBER(FIND("备用",$B32&amp;$C32)),0,1))</f>
        <v>1</v>
      </c>
    </row>
    <row r="33" customFormat="false" ht="14.9" hidden="false" customHeight="false" outlineLevel="0" collapsed="false">
      <c r="A33" s="9" t="n">
        <v>2046</v>
      </c>
      <c r="B33" s="19" t="s">
        <v>159</v>
      </c>
      <c r="C33" s="19" t="s">
        <v>160</v>
      </c>
      <c r="D33" s="20" t="n">
        <f aca="false">IF(OR($A33="",$C33=""),0,IF(ISNUMBER(FIND("备用",$B33&amp;$C33)),0,1))</f>
        <v>1</v>
      </c>
    </row>
    <row r="34" customFormat="false" ht="14.9" hidden="false" customHeight="false" outlineLevel="0" collapsed="false">
      <c r="A34" s="9" t="n">
        <v>2047</v>
      </c>
      <c r="B34" s="19" t="s">
        <v>161</v>
      </c>
      <c r="C34" s="19" t="s">
        <v>162</v>
      </c>
      <c r="D34" s="20" t="n">
        <f aca="false">IF(OR($A34="",$C34=""),0,IF(ISNUMBER(FIND("备用",$B34&amp;$C34)),0,1))</f>
        <v>1</v>
      </c>
    </row>
    <row r="35" customFormat="false" ht="14.9" hidden="false" customHeight="false" outlineLevel="0" collapsed="false">
      <c r="A35" s="9" t="n">
        <v>2050</v>
      </c>
      <c r="B35" s="19" t="s">
        <v>163</v>
      </c>
      <c r="C35" s="19" t="s">
        <v>164</v>
      </c>
      <c r="D35" s="20" t="n">
        <f aca="false">IF(OR($A35="",$C35=""),0,IF(ISNUMBER(FIND("备用",$B35&amp;$C35)),0,1))</f>
        <v>1</v>
      </c>
    </row>
    <row r="36" customFormat="false" ht="14.9" hidden="false" customHeight="false" outlineLevel="0" collapsed="false">
      <c r="A36" s="9" t="n">
        <v>2053</v>
      </c>
      <c r="B36" s="19" t="s">
        <v>165</v>
      </c>
      <c r="C36" s="19" t="s">
        <v>166</v>
      </c>
      <c r="D36" s="20" t="n">
        <f aca="false">IF(OR($A36="",$C36=""),0,IF(ISNUMBER(FIND("备用",$B36&amp;$C36)),0,1))</f>
        <v>1</v>
      </c>
    </row>
    <row r="37" customFormat="false" ht="14.9" hidden="false" customHeight="false" outlineLevel="0" collapsed="false">
      <c r="A37" s="9" t="n">
        <v>2055</v>
      </c>
      <c r="B37" s="19" t="s">
        <v>167</v>
      </c>
      <c r="C37" s="19" t="s">
        <v>168</v>
      </c>
      <c r="D37" s="20" t="n">
        <f aca="false">IF(OR($A37="",$C37=""),0,IF(ISNUMBER(FIND("备用",$B37&amp;$C37)),0,1))</f>
        <v>1</v>
      </c>
    </row>
    <row r="38" customFormat="false" ht="14.9" hidden="false" customHeight="false" outlineLevel="0" collapsed="false">
      <c r="A38" s="9" t="n">
        <v>2057</v>
      </c>
      <c r="B38" s="19" t="s">
        <v>169</v>
      </c>
      <c r="C38" s="19" t="s">
        <v>170</v>
      </c>
      <c r="D38" s="20" t="n">
        <f aca="false">IF(OR($A38="",$C38=""),0,IF(ISNUMBER(FIND("备用",$B38&amp;$C38)),0,1))</f>
        <v>1</v>
      </c>
    </row>
    <row r="39" customFormat="false" ht="14.9" hidden="false" customHeight="false" outlineLevel="0" collapsed="false">
      <c r="A39" s="9" t="n">
        <v>2060</v>
      </c>
      <c r="B39" s="19" t="s">
        <v>171</v>
      </c>
      <c r="C39" s="19" t="s">
        <v>172</v>
      </c>
      <c r="D39" s="20" t="n">
        <f aca="false">IF(OR($A39="",$C39=""),0,IF(ISNUMBER(FIND("备用",$B39&amp;$C39)),0,1))</f>
        <v>1</v>
      </c>
    </row>
    <row r="40" customFormat="false" ht="14.9" hidden="false" customHeight="false" outlineLevel="0" collapsed="false">
      <c r="A40" s="9" t="n">
        <v>2062</v>
      </c>
      <c r="B40" s="19" t="s">
        <v>173</v>
      </c>
      <c r="C40" s="19" t="s">
        <v>174</v>
      </c>
      <c r="D40" s="20" t="n">
        <f aca="false">IF(OR($A40="",$C40=""),0,IF(ISNUMBER(FIND("备用",$B40&amp;$C40)),0,1))</f>
        <v>1</v>
      </c>
    </row>
    <row r="41" customFormat="false" ht="14.9" hidden="false" customHeight="false" outlineLevel="0" collapsed="false">
      <c r="A41" s="9" t="n">
        <v>2063</v>
      </c>
      <c r="B41" s="19" t="s">
        <v>175</v>
      </c>
      <c r="C41" s="19" t="s">
        <v>176</v>
      </c>
      <c r="D41" s="20" t="n">
        <f aca="false">IF(OR($A41="",$C41=""),0,IF(ISNUMBER(FIND("备用",$B41&amp;$C41)),0,1))</f>
        <v>1</v>
      </c>
    </row>
    <row r="42" customFormat="false" ht="13.5" hidden="false" customHeight="false" outlineLevel="0" collapsed="false">
      <c r="A42" s="9" t="n">
        <v>2064</v>
      </c>
      <c r="B42" s="19" t="s">
        <v>177</v>
      </c>
      <c r="C42" s="19" t="s">
        <v>178</v>
      </c>
      <c r="D42" s="20" t="n">
        <f aca="false">IF(OR($A42="",$C42=""),0,IF(ISNUMBER(FIND("备用",$B42&amp;$C42)),0,1))</f>
        <v>1</v>
      </c>
    </row>
    <row r="43" customFormat="false" ht="14.9" hidden="false" customHeight="false" outlineLevel="0" collapsed="false">
      <c r="A43" s="9" t="n">
        <v>2066</v>
      </c>
      <c r="B43" s="19" t="s">
        <v>179</v>
      </c>
      <c r="C43" s="19" t="s">
        <v>180</v>
      </c>
      <c r="D43" s="20" t="n">
        <f aca="false">IF(OR($A43="",$C43=""),0,IF(ISNUMBER(FIND("备用",$B43&amp;$C43)),0,1))</f>
        <v>1</v>
      </c>
    </row>
    <row r="44" customFormat="false" ht="14.9" hidden="false" customHeight="false" outlineLevel="0" collapsed="false">
      <c r="A44" s="9" t="n">
        <v>2067</v>
      </c>
      <c r="B44" s="19" t="s">
        <v>181</v>
      </c>
      <c r="C44" s="19" t="s">
        <v>182</v>
      </c>
      <c r="D44" s="20" t="n">
        <f aca="false">IF(OR($A44="",$C44=""),0,IF(ISNUMBER(FIND("备用",$B44&amp;$C44)),0,1))</f>
        <v>1</v>
      </c>
    </row>
    <row r="45" customFormat="false" ht="14.9" hidden="false" customHeight="false" outlineLevel="0" collapsed="false">
      <c r="A45" s="9" t="n">
        <v>2068</v>
      </c>
      <c r="B45" s="19" t="s">
        <v>183</v>
      </c>
      <c r="C45" s="19" t="s">
        <v>184</v>
      </c>
      <c r="D45" s="20" t="n">
        <f aca="false">IF(OR($A45="",$C45=""),0,IF(ISNUMBER(FIND("备用",$B45&amp;$C45)),0,1))</f>
        <v>1</v>
      </c>
    </row>
    <row r="46" customFormat="false" ht="14.9" hidden="false" customHeight="false" outlineLevel="0" collapsed="false">
      <c r="A46" s="9" t="n">
        <v>2069</v>
      </c>
      <c r="B46" s="19" t="s">
        <v>185</v>
      </c>
      <c r="C46" s="19" t="s">
        <v>186</v>
      </c>
      <c r="D46" s="20" t="n">
        <f aca="false">IF(OR($A46="",$C46=""),0,IF(ISNUMBER(FIND("备用",$B46&amp;$C46)),0,1))</f>
        <v>1</v>
      </c>
    </row>
    <row r="47" customFormat="false" ht="14.9" hidden="false" customHeight="false" outlineLevel="0" collapsed="false">
      <c r="A47" s="21"/>
      <c r="B47" s="22" t="s">
        <v>187</v>
      </c>
      <c r="C47" s="22" t="s">
        <v>187</v>
      </c>
      <c r="D47" s="20" t="n">
        <f aca="false">IF(OR($A47="",$C47=""),0,IF(ISNUMBER(FIND("备用",$B47&amp;$C47)),0,1))</f>
        <v>0</v>
      </c>
    </row>
    <row r="48" customFormat="false" ht="14.9" hidden="false" customHeight="false" outlineLevel="0" collapsed="false">
      <c r="A48" s="21"/>
      <c r="B48" s="22" t="s">
        <v>188</v>
      </c>
      <c r="C48" s="22" t="s">
        <v>188</v>
      </c>
      <c r="D48" s="20" t="n">
        <f aca="false">IF(OR($A48="",$C48=""),0,IF(ISNUMBER(FIND("备用",$B48&amp;$C48)),0,1))</f>
        <v>0</v>
      </c>
    </row>
    <row r="49" customFormat="false" ht="14.9" hidden="false" customHeight="false" outlineLevel="0" collapsed="false">
      <c r="A49" s="21"/>
      <c r="B49" s="22" t="s">
        <v>189</v>
      </c>
      <c r="C49" s="22" t="s">
        <v>189</v>
      </c>
      <c r="D49" s="20" t="n">
        <f aca="false">IF(OR($A49="",$C49=""),0,IF(ISNUMBER(FIND("备用",$B49&amp;$C49)),0,1))</f>
        <v>0</v>
      </c>
    </row>
    <row r="50" customFormat="false" ht="14.9" hidden="false" customHeight="false" outlineLevel="0" collapsed="false">
      <c r="A50" s="21"/>
      <c r="B50" s="22" t="s">
        <v>190</v>
      </c>
      <c r="C50" s="22" t="s">
        <v>190</v>
      </c>
      <c r="D50" s="20" t="n">
        <f aca="false">IF(OR($A50="",$C50=""),0,IF(ISNUMBER(FIND("备用",$B50&amp;$C50)),0,1))</f>
        <v>0</v>
      </c>
    </row>
    <row r="51" customFormat="false" ht="14.9" hidden="false" customHeight="false" outlineLevel="0" collapsed="false">
      <c r="A51" s="21"/>
      <c r="B51" s="22" t="s">
        <v>191</v>
      </c>
      <c r="C51" s="22" t="s">
        <v>191</v>
      </c>
      <c r="D51" s="20" t="n">
        <f aca="false">IF(OR($A51="",$C51=""),0,IF(ISNUMBER(FIND("备用",$B51&amp;$C51)),0,1))</f>
        <v>0</v>
      </c>
    </row>
    <row r="52" customFormat="false" ht="14.9" hidden="false" customHeight="false" outlineLevel="0" collapsed="false">
      <c r="A52" s="21"/>
      <c r="B52" s="22" t="s">
        <v>192</v>
      </c>
      <c r="C52" s="22" t="s">
        <v>192</v>
      </c>
      <c r="D52" s="20" t="n">
        <f aca="false">IF(OR($A52="",$C52=""),0,IF(ISNUMBER(FIND("备用",$B52&amp;$C52)),0,1))</f>
        <v>0</v>
      </c>
    </row>
    <row r="53" customFormat="false" ht="14.9" hidden="false" customHeight="false" outlineLevel="0" collapsed="false">
      <c r="A53" s="21"/>
      <c r="B53" s="22" t="s">
        <v>193</v>
      </c>
      <c r="C53" s="22" t="s">
        <v>193</v>
      </c>
      <c r="D53" s="20" t="n">
        <f aca="false">IF(OR($A53="",$C53=""),0,IF(ISNUMBER(FIND("备用",$B53&amp;$C53)),0,1))</f>
        <v>0</v>
      </c>
    </row>
    <row r="54" customFormat="false" ht="14.9" hidden="false" customHeight="false" outlineLevel="0" collapsed="false">
      <c r="A54" s="21"/>
      <c r="B54" s="22" t="s">
        <v>194</v>
      </c>
      <c r="C54" s="22" t="s">
        <v>194</v>
      </c>
      <c r="D54" s="20" t="n">
        <f aca="false">IF(OR($A54="",$C54=""),0,IF(ISNUMBER(FIND("备用",$B54&amp;$C54)),0,1))</f>
        <v>0</v>
      </c>
    </row>
    <row r="55" customFormat="false" ht="14.9" hidden="false" customHeight="false" outlineLevel="0" collapsed="false">
      <c r="A55" s="21"/>
      <c r="B55" s="22" t="s">
        <v>195</v>
      </c>
      <c r="C55" s="22" t="s">
        <v>195</v>
      </c>
      <c r="D55" s="20" t="n">
        <f aca="false">IF(OR($A55="",$C55=""),0,IF(ISNUMBER(FIND("备用",$B55&amp;$C55)),0,1))</f>
        <v>0</v>
      </c>
    </row>
    <row r="56" customFormat="false" ht="14.9" hidden="false" customHeight="false" outlineLevel="0" collapsed="false">
      <c r="A56" s="21"/>
      <c r="B56" s="22" t="s">
        <v>196</v>
      </c>
      <c r="C56" s="22" t="s">
        <v>196</v>
      </c>
      <c r="D56" s="20" t="n">
        <f aca="false">IF(OR($A56="",$C56=""),0,IF(ISNUMBER(FIND("备用",$B56&amp;$C56)),0,1))</f>
        <v>0</v>
      </c>
    </row>
    <row r="57" customFormat="false" ht="14.9" hidden="false" customHeight="false" outlineLevel="0" collapsed="false">
      <c r="A57" s="21"/>
      <c r="B57" s="22" t="s">
        <v>197</v>
      </c>
      <c r="C57" s="22" t="s">
        <v>197</v>
      </c>
      <c r="D57" s="20" t="n">
        <f aca="false">IF(OR($A57="",$C57=""),0,IF(ISNUMBER(FIND("备用",$B57&amp;$C57)),0,1))</f>
        <v>0</v>
      </c>
    </row>
    <row r="58" customFormat="false" ht="14.9" hidden="false" customHeight="false" outlineLevel="0" collapsed="false">
      <c r="A58" s="21"/>
      <c r="B58" s="22" t="s">
        <v>198</v>
      </c>
      <c r="C58" s="22" t="s">
        <v>198</v>
      </c>
      <c r="D58" s="20" t="n">
        <f aca="false">IF(OR($A58="",$C58=""),0,IF(ISNUMBER(FIND("备用",$B58&amp;$C58)),0,1))</f>
        <v>0</v>
      </c>
    </row>
    <row r="59" customFormat="false" ht="14.9" hidden="false" customHeight="false" outlineLevel="0" collapsed="false">
      <c r="A59" s="21"/>
      <c r="B59" s="22" t="s">
        <v>199</v>
      </c>
      <c r="C59" s="22" t="s">
        <v>199</v>
      </c>
      <c r="D59" s="20" t="n">
        <f aca="false">IF(OR($A59="",$C59=""),0,IF(ISNUMBER(FIND("备用",$B59&amp;$C59)),0,1))</f>
        <v>0</v>
      </c>
    </row>
    <row r="60" customFormat="false" ht="14.9" hidden="false" customHeight="false" outlineLevel="0" collapsed="false">
      <c r="A60" s="21"/>
      <c r="B60" s="22" t="s">
        <v>200</v>
      </c>
      <c r="C60" s="22" t="s">
        <v>200</v>
      </c>
      <c r="D60" s="20" t="n">
        <f aca="false">IF(OR($A60="",$C60=""),0,IF(ISNUMBER(FIND("备用",$B60&amp;$C60)),0,1))</f>
        <v>0</v>
      </c>
    </row>
    <row r="61" customFormat="false" ht="14.9" hidden="false" customHeight="false" outlineLevel="0" collapsed="false">
      <c r="A61" s="21"/>
      <c r="B61" s="22" t="s">
        <v>201</v>
      </c>
      <c r="C61" s="22" t="s">
        <v>201</v>
      </c>
      <c r="D61" s="20" t="n">
        <f aca="false">IF(OR($A61="",$C61=""),0,IF(ISNUMBER(FIND("备用",$B61&amp;$C61)),0,1))</f>
        <v>0</v>
      </c>
    </row>
    <row r="62" customFormat="false" ht="14.9" hidden="false" customHeight="false" outlineLevel="0" collapsed="false">
      <c r="A62" s="21"/>
      <c r="B62" s="22" t="s">
        <v>202</v>
      </c>
      <c r="C62" s="22" t="s">
        <v>202</v>
      </c>
      <c r="D62" s="20" t="n">
        <f aca="false">IF(OR($A62="",$C62=""),0,IF(ISNUMBER(FIND("备用",$B62&amp;$C62)),0,1))</f>
        <v>0</v>
      </c>
    </row>
    <row r="63" customFormat="false" ht="14.9" hidden="false" customHeight="false" outlineLevel="0" collapsed="false">
      <c r="A63" s="21"/>
      <c r="B63" s="22" t="s">
        <v>203</v>
      </c>
      <c r="C63" s="22" t="s">
        <v>203</v>
      </c>
      <c r="D63" s="20" t="n">
        <f aca="false">IF(OR($A63="",$C63=""),0,IF(ISNUMBER(FIND("备用",$B63&amp;$C63)),0,1))</f>
        <v>0</v>
      </c>
    </row>
    <row r="64" customFormat="false" ht="14.9" hidden="false" customHeight="false" outlineLevel="0" collapsed="false">
      <c r="A64" s="21"/>
      <c r="B64" s="22" t="s">
        <v>204</v>
      </c>
      <c r="C64" s="22" t="s">
        <v>204</v>
      </c>
      <c r="D64" s="20" t="n">
        <f aca="false">IF(OR($A64="",$C64=""),0,IF(ISNUMBER(FIND("备用",$B64&amp;$C64)),0,1))</f>
        <v>0</v>
      </c>
    </row>
    <row r="65" customFormat="false" ht="14.9" hidden="false" customHeight="false" outlineLevel="0" collapsed="false">
      <c r="A65" s="21"/>
      <c r="B65" s="22" t="s">
        <v>205</v>
      </c>
      <c r="C65" s="22" t="s">
        <v>205</v>
      </c>
      <c r="D65" s="20" t="n">
        <f aca="false">IF(OR($A65="",$C65=""),0,IF(ISNUMBER(FIND("备用",$B65&amp;$C65)),0,1))</f>
        <v>0</v>
      </c>
    </row>
    <row r="66" customFormat="false" ht="14.9" hidden="false" customHeight="false" outlineLevel="0" collapsed="false">
      <c r="A66" s="21"/>
      <c r="B66" s="22" t="s">
        <v>206</v>
      </c>
      <c r="C66" s="22" t="s">
        <v>206</v>
      </c>
      <c r="D66" s="20" t="n">
        <f aca="false">IF(OR($A66="",$C66=""),0,IF(ISNUMBER(FIND("备用",$B66&amp;$C66)),0,1))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18" activeCellId="0" sqref="M18"/>
    </sheetView>
  </sheetViews>
  <sheetFormatPr defaultColWidth="9" defaultRowHeight="13.5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14"/>
    <col collapsed="false" customWidth="true" hidden="false" outlineLevel="0" max="13" min="6" style="0" width="16"/>
  </cols>
  <sheetData>
    <row r="1" customFormat="false" ht="14.9" hidden="false" customHeight="false" outlineLevel="0" collapsed="false">
      <c r="A1" s="17" t="s">
        <v>207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  <c r="H1" s="17" t="s">
        <v>214</v>
      </c>
      <c r="I1" s="17" t="s">
        <v>215</v>
      </c>
      <c r="J1" s="17" t="s">
        <v>216</v>
      </c>
      <c r="K1" s="17" t="s">
        <v>217</v>
      </c>
      <c r="L1" s="17" t="s">
        <v>218</v>
      </c>
      <c r="M1" s="17" t="s">
        <v>219</v>
      </c>
      <c r="O1" s="18" t="s">
        <v>220</v>
      </c>
    </row>
    <row r="2" customFormat="false" ht="14.9" hidden="false" customHeight="false" outlineLevel="0" collapsed="false">
      <c r="A2" s="23" t="n">
        <v>1</v>
      </c>
      <c r="B2" s="24" t="s">
        <v>68</v>
      </c>
      <c r="C2" s="19" t="s">
        <v>68</v>
      </c>
      <c r="D2" s="19"/>
      <c r="E2" s="25" t="s">
        <v>221</v>
      </c>
      <c r="F2" s="26"/>
      <c r="G2" s="26"/>
      <c r="H2" s="26"/>
      <c r="I2" s="26"/>
      <c r="J2" s="26"/>
      <c r="K2" s="26"/>
      <c r="L2" s="19"/>
      <c r="M2" s="19"/>
      <c r="O2" s="11" t="s">
        <v>222</v>
      </c>
    </row>
    <row r="3" customFormat="false" ht="13.5" hidden="false" customHeight="false" outlineLevel="0" collapsed="false">
      <c r="A3" s="23" t="n">
        <v>2</v>
      </c>
      <c r="B3" s="24" t="s">
        <v>223</v>
      </c>
      <c r="C3" s="19" t="s">
        <v>224</v>
      </c>
      <c r="D3" s="19" t="s">
        <v>223</v>
      </c>
      <c r="E3" s="25" t="s">
        <v>225</v>
      </c>
      <c r="F3" s="26"/>
      <c r="G3" s="26"/>
      <c r="H3" s="26"/>
      <c r="I3" s="26"/>
      <c r="J3" s="26"/>
      <c r="K3" s="26"/>
      <c r="L3" s="19"/>
      <c r="M3" s="19"/>
      <c r="O3" s="11" t="s">
        <v>226</v>
      </c>
    </row>
    <row r="4" customFormat="false" ht="13.5" hidden="false" customHeight="false" outlineLevel="0" collapsed="false">
      <c r="A4" s="23" t="n">
        <v>3</v>
      </c>
      <c r="B4" s="24" t="s">
        <v>227</v>
      </c>
      <c r="C4" s="19" t="s">
        <v>224</v>
      </c>
      <c r="D4" s="19" t="s">
        <v>227</v>
      </c>
      <c r="E4" s="25" t="s">
        <v>228</v>
      </c>
      <c r="F4" s="27" t="s">
        <v>227</v>
      </c>
      <c r="G4" s="28" t="s">
        <v>229</v>
      </c>
      <c r="H4" s="26"/>
      <c r="I4" s="26"/>
      <c r="J4" s="26"/>
      <c r="K4" s="26"/>
      <c r="L4" s="19"/>
      <c r="M4" s="19"/>
    </row>
    <row r="5" customFormat="false" ht="14.9" hidden="false" customHeight="false" outlineLevel="0" collapsed="false">
      <c r="A5" s="23" t="n">
        <v>4</v>
      </c>
      <c r="B5" s="24" t="s">
        <v>230</v>
      </c>
      <c r="C5" s="19" t="s">
        <v>224</v>
      </c>
      <c r="D5" s="19" t="s">
        <v>230</v>
      </c>
      <c r="E5" s="25" t="s">
        <v>228</v>
      </c>
      <c r="F5" s="27" t="s">
        <v>230</v>
      </c>
      <c r="G5" s="26"/>
      <c r="H5" s="26"/>
      <c r="I5" s="26"/>
      <c r="J5" s="26"/>
      <c r="K5" s="26"/>
      <c r="L5" s="19"/>
      <c r="M5" s="19"/>
      <c r="O5" s="18" t="s">
        <v>231</v>
      </c>
    </row>
    <row r="6" customFormat="false" ht="13.5" hidden="false" customHeight="false" outlineLevel="0" collapsed="false">
      <c r="A6" s="23" t="n">
        <v>5</v>
      </c>
      <c r="B6" s="24" t="s">
        <v>232</v>
      </c>
      <c r="C6" s="19" t="s">
        <v>224</v>
      </c>
      <c r="D6" s="19" t="s">
        <v>232</v>
      </c>
      <c r="E6" s="25" t="s">
        <v>228</v>
      </c>
      <c r="F6" s="27" t="s">
        <v>232</v>
      </c>
      <c r="G6" s="26"/>
      <c r="H6" s="26"/>
      <c r="I6" s="26"/>
      <c r="J6" s="26"/>
      <c r="K6" s="26"/>
      <c r="L6" s="19"/>
      <c r="M6" s="19"/>
      <c r="O6" s="11" t="s">
        <v>233</v>
      </c>
    </row>
    <row r="7" customFormat="false" ht="13.5" hidden="false" customHeight="false" outlineLevel="0" collapsed="false">
      <c r="A7" s="23" t="n">
        <v>6</v>
      </c>
      <c r="B7" s="24" t="s">
        <v>234</v>
      </c>
      <c r="C7" s="19" t="s">
        <v>224</v>
      </c>
      <c r="D7" s="19" t="s">
        <v>234</v>
      </c>
      <c r="E7" s="25" t="s">
        <v>228</v>
      </c>
      <c r="F7" s="27" t="s">
        <v>234</v>
      </c>
      <c r="G7" s="26"/>
      <c r="H7" s="26"/>
      <c r="I7" s="26"/>
      <c r="J7" s="26"/>
      <c r="K7" s="26"/>
      <c r="L7" s="19"/>
      <c r="M7" s="19"/>
      <c r="O7" s="11" t="s">
        <v>235</v>
      </c>
    </row>
    <row r="8" customFormat="false" ht="13.5" hidden="false" customHeight="false" outlineLevel="0" collapsed="false">
      <c r="A8" s="23" t="n">
        <v>7</v>
      </c>
      <c r="B8" s="24" t="s">
        <v>236</v>
      </c>
      <c r="C8" s="19" t="s">
        <v>224</v>
      </c>
      <c r="D8" s="19" t="s">
        <v>236</v>
      </c>
      <c r="E8" s="25" t="s">
        <v>228</v>
      </c>
      <c r="F8" s="27" t="s">
        <v>236</v>
      </c>
      <c r="G8" s="26"/>
      <c r="H8" s="26"/>
      <c r="I8" s="26"/>
      <c r="J8" s="26"/>
      <c r="K8" s="26"/>
      <c r="L8" s="19"/>
      <c r="M8" s="19"/>
    </row>
    <row r="9" customFormat="false" ht="14.9" hidden="false" customHeight="false" outlineLevel="0" collapsed="false">
      <c r="A9" s="23" t="n">
        <v>8</v>
      </c>
      <c r="B9" s="29" t="s">
        <v>237</v>
      </c>
      <c r="C9" s="19" t="s">
        <v>224</v>
      </c>
      <c r="D9" s="30" t="s">
        <v>237</v>
      </c>
      <c r="E9" s="25" t="s">
        <v>228</v>
      </c>
      <c r="F9" s="27" t="s">
        <v>238</v>
      </c>
      <c r="G9" s="26"/>
      <c r="H9" s="26"/>
      <c r="I9" s="26"/>
      <c r="J9" s="26"/>
      <c r="K9" s="26"/>
      <c r="L9" s="30"/>
      <c r="M9" s="30"/>
      <c r="O9" s="18" t="s">
        <v>239</v>
      </c>
    </row>
    <row r="10" customFormat="false" ht="13.5" hidden="false" customHeight="false" outlineLevel="0" collapsed="false">
      <c r="A10" s="23" t="n">
        <v>9</v>
      </c>
      <c r="B10" s="24" t="s">
        <v>240</v>
      </c>
      <c r="C10" s="19" t="s">
        <v>224</v>
      </c>
      <c r="D10" s="19" t="s">
        <v>240</v>
      </c>
      <c r="E10" s="25" t="s">
        <v>228</v>
      </c>
      <c r="F10" s="27" t="s">
        <v>240</v>
      </c>
      <c r="G10" s="26"/>
      <c r="H10" s="26"/>
      <c r="I10" s="26"/>
      <c r="J10" s="26"/>
      <c r="K10" s="26"/>
      <c r="L10" s="30"/>
      <c r="M10" s="30"/>
      <c r="O10" s="11" t="s">
        <v>241</v>
      </c>
    </row>
    <row r="11" customFormat="false" ht="13.5" hidden="false" customHeight="false" outlineLevel="0" collapsed="false">
      <c r="A11" s="23" t="n">
        <v>10</v>
      </c>
      <c r="B11" s="24" t="s">
        <v>242</v>
      </c>
      <c r="C11" s="19" t="s">
        <v>224</v>
      </c>
      <c r="D11" s="19" t="s">
        <v>242</v>
      </c>
      <c r="E11" s="25" t="s">
        <v>228</v>
      </c>
      <c r="F11" s="27" t="s">
        <v>242</v>
      </c>
      <c r="G11" s="26"/>
      <c r="H11" s="26"/>
      <c r="I11" s="26"/>
      <c r="J11" s="26"/>
      <c r="K11" s="26"/>
      <c r="L11" s="30"/>
      <c r="M11" s="30"/>
      <c r="O11" s="11" t="s">
        <v>243</v>
      </c>
    </row>
    <row r="12" customFormat="false" ht="13.5" hidden="false" customHeight="false" outlineLevel="0" collapsed="false">
      <c r="A12" s="23" t="n">
        <v>11</v>
      </c>
      <c r="B12" s="24" t="s">
        <v>244</v>
      </c>
      <c r="C12" s="19" t="s">
        <v>224</v>
      </c>
      <c r="D12" s="19" t="s">
        <v>244</v>
      </c>
      <c r="E12" s="25" t="s">
        <v>228</v>
      </c>
      <c r="F12" s="27" t="s">
        <v>244</v>
      </c>
      <c r="G12" s="26"/>
      <c r="H12" s="26"/>
      <c r="I12" s="26"/>
      <c r="J12" s="26"/>
      <c r="K12" s="26"/>
      <c r="L12" s="30"/>
      <c r="M12" s="30"/>
    </row>
    <row r="13" customFormat="false" ht="13.5" hidden="false" customHeight="false" outlineLevel="0" collapsed="false">
      <c r="A13" s="23" t="n">
        <v>12</v>
      </c>
      <c r="B13" s="24" t="s">
        <v>245</v>
      </c>
      <c r="C13" s="19" t="s">
        <v>224</v>
      </c>
      <c r="D13" s="19" t="s">
        <v>245</v>
      </c>
      <c r="E13" s="25" t="s">
        <v>228</v>
      </c>
      <c r="F13" s="27" t="s">
        <v>245</v>
      </c>
      <c r="G13" s="26"/>
      <c r="H13" s="26"/>
      <c r="I13" s="26"/>
      <c r="J13" s="26"/>
      <c r="K13" s="26"/>
      <c r="L13" s="30"/>
      <c r="M13" s="30"/>
      <c r="O13" s="11" t="s">
        <v>246</v>
      </c>
    </row>
    <row r="14" customFormat="false" ht="13.5" hidden="false" customHeight="false" outlineLevel="0" collapsed="false">
      <c r="A14" s="23" t="n">
        <v>13</v>
      </c>
      <c r="B14" s="24" t="s">
        <v>247</v>
      </c>
      <c r="C14" s="19" t="s">
        <v>224</v>
      </c>
      <c r="D14" s="19" t="s">
        <v>247</v>
      </c>
      <c r="E14" s="25" t="s">
        <v>228</v>
      </c>
      <c r="F14" s="27" t="s">
        <v>247</v>
      </c>
      <c r="G14" s="26"/>
      <c r="H14" s="26"/>
      <c r="I14" s="26"/>
      <c r="J14" s="26"/>
      <c r="K14" s="26"/>
      <c r="L14" s="30"/>
      <c r="M14" s="30"/>
    </row>
    <row r="15" customFormat="false" ht="14.9" hidden="false" customHeight="false" outlineLevel="0" collapsed="false">
      <c r="A15" s="23" t="n">
        <v>14</v>
      </c>
      <c r="B15" s="29" t="s">
        <v>248</v>
      </c>
      <c r="C15" s="19" t="s">
        <v>224</v>
      </c>
      <c r="D15" s="30" t="s">
        <v>249</v>
      </c>
      <c r="E15" s="25" t="s">
        <v>228</v>
      </c>
      <c r="F15" s="31" t="s">
        <v>248</v>
      </c>
      <c r="G15" s="26"/>
      <c r="H15" s="26"/>
      <c r="I15" s="26"/>
      <c r="J15" s="26"/>
      <c r="K15" s="26"/>
      <c r="L15" s="30"/>
      <c r="M15" s="30"/>
    </row>
    <row r="16" customFormat="false" ht="13.5" hidden="false" customHeight="false" outlineLevel="0" collapsed="false">
      <c r="A16" s="23" t="n">
        <v>15</v>
      </c>
      <c r="B16" s="24" t="s">
        <v>250</v>
      </c>
      <c r="C16" s="19" t="s">
        <v>224</v>
      </c>
      <c r="D16" s="19" t="s">
        <v>251</v>
      </c>
      <c r="E16" s="25" t="s">
        <v>228</v>
      </c>
      <c r="F16" s="27" t="s">
        <v>252</v>
      </c>
      <c r="G16" s="26"/>
      <c r="H16" s="26"/>
      <c r="I16" s="26"/>
      <c r="J16" s="26"/>
      <c r="K16" s="26"/>
      <c r="L16" s="30"/>
      <c r="M16" s="30"/>
    </row>
    <row r="17" customFormat="false" ht="13.5" hidden="false" customHeight="false" outlineLevel="0" collapsed="false">
      <c r="A17" s="23" t="n">
        <v>16</v>
      </c>
      <c r="B17" s="24" t="s">
        <v>253</v>
      </c>
      <c r="C17" s="19" t="s">
        <v>254</v>
      </c>
      <c r="D17" s="19" t="s">
        <v>253</v>
      </c>
      <c r="E17" s="25" t="s">
        <v>255</v>
      </c>
      <c r="F17" s="28" t="s">
        <v>253</v>
      </c>
      <c r="G17" s="26"/>
      <c r="H17" s="26"/>
      <c r="I17" s="26"/>
      <c r="J17" s="26"/>
      <c r="K17" s="26"/>
      <c r="L17" s="30"/>
      <c r="M17" s="30"/>
    </row>
    <row r="18" customFormat="false" ht="13.5" hidden="false" customHeight="false" outlineLevel="0" collapsed="false">
      <c r="A18" s="23" t="n">
        <v>17</v>
      </c>
      <c r="B18" s="24" t="s">
        <v>256</v>
      </c>
      <c r="C18" s="19" t="s">
        <v>254</v>
      </c>
      <c r="D18" s="19" t="s">
        <v>256</v>
      </c>
      <c r="E18" s="25" t="s">
        <v>255</v>
      </c>
      <c r="F18" s="28" t="s">
        <v>256</v>
      </c>
      <c r="G18" s="26"/>
      <c r="H18" s="26"/>
      <c r="I18" s="26"/>
      <c r="J18" s="26"/>
      <c r="K18" s="26"/>
      <c r="L18" s="19" t="s">
        <v>73</v>
      </c>
      <c r="M18" s="19" t="s">
        <v>256</v>
      </c>
    </row>
    <row r="19" customFormat="false" ht="13.5" hidden="false" customHeight="false" outlineLevel="0" collapsed="false">
      <c r="A19" s="23" t="n">
        <v>18</v>
      </c>
      <c r="B19" s="24" t="s">
        <v>257</v>
      </c>
      <c r="C19" s="19" t="s">
        <v>258</v>
      </c>
      <c r="D19" s="19" t="s">
        <v>257</v>
      </c>
      <c r="E19" s="25" t="s">
        <v>255</v>
      </c>
      <c r="F19" s="28" t="s">
        <v>259</v>
      </c>
      <c r="G19" s="28" t="s">
        <v>260</v>
      </c>
      <c r="H19" s="28" t="s">
        <v>261</v>
      </c>
      <c r="I19" s="26"/>
      <c r="J19" s="26"/>
      <c r="K19" s="26"/>
      <c r="L19" s="30"/>
      <c r="M19" s="30"/>
    </row>
    <row r="20" customFormat="false" ht="13.5" hidden="false" customHeight="false" outlineLevel="0" collapsed="false">
      <c r="A20" s="23" t="n">
        <v>19</v>
      </c>
      <c r="B20" s="24" t="s">
        <v>262</v>
      </c>
      <c r="C20" s="19" t="s">
        <v>258</v>
      </c>
      <c r="D20" s="19" t="s">
        <v>262</v>
      </c>
      <c r="E20" s="25" t="s">
        <v>255</v>
      </c>
      <c r="F20" s="28" t="s">
        <v>263</v>
      </c>
      <c r="G20" s="26"/>
      <c r="H20" s="26"/>
      <c r="I20" s="26"/>
      <c r="J20" s="26"/>
      <c r="K20" s="26"/>
      <c r="L20" s="30"/>
      <c r="M20" s="30"/>
    </row>
    <row r="21" customFormat="false" ht="13.5" hidden="false" customHeight="false" outlineLevel="0" collapsed="false">
      <c r="A21" s="23" t="n">
        <v>20</v>
      </c>
      <c r="B21" s="24" t="s">
        <v>264</v>
      </c>
      <c r="C21" s="19" t="s">
        <v>265</v>
      </c>
      <c r="D21" s="19" t="s">
        <v>264</v>
      </c>
      <c r="E21" s="25" t="s">
        <v>266</v>
      </c>
      <c r="F21" s="26"/>
      <c r="G21" s="26"/>
      <c r="H21" s="26"/>
      <c r="I21" s="26"/>
      <c r="J21" s="26"/>
      <c r="K21" s="26"/>
      <c r="L21" s="30"/>
      <c r="M21" s="30"/>
    </row>
    <row r="22" customFormat="false" ht="13.5" hidden="false" customHeight="false" outlineLevel="0" collapsed="false">
      <c r="A22" s="23" t="n">
        <v>21</v>
      </c>
      <c r="B22" s="24" t="s">
        <v>267</v>
      </c>
      <c r="C22" s="19" t="s">
        <v>267</v>
      </c>
      <c r="D22" s="30"/>
      <c r="E22" s="25" t="s">
        <v>268</v>
      </c>
      <c r="F22" s="26"/>
      <c r="G22" s="26"/>
      <c r="H22" s="26"/>
      <c r="I22" s="26"/>
      <c r="J22" s="26"/>
      <c r="K22" s="26"/>
      <c r="L22" s="30"/>
      <c r="M22" s="30"/>
    </row>
    <row r="23" customFormat="false" ht="13.5" hidden="false" customHeight="false" outlineLevel="0" collapsed="false">
      <c r="A23" s="23" t="n">
        <v>22</v>
      </c>
      <c r="B23" s="24" t="s">
        <v>269</v>
      </c>
      <c r="C23" s="19" t="s">
        <v>269</v>
      </c>
      <c r="D23" s="30"/>
      <c r="E23" s="25" t="s">
        <v>270</v>
      </c>
      <c r="F23" s="26"/>
      <c r="G23" s="26"/>
      <c r="H23" s="26"/>
      <c r="I23" s="26"/>
      <c r="J23" s="26"/>
      <c r="K23" s="26"/>
      <c r="L23" s="30"/>
      <c r="M23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7" activeCellId="0" sqref="F37"/>
    </sheetView>
  </sheetViews>
  <sheetFormatPr defaultColWidth="9" defaultRowHeight="13.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8" min="6" style="0" width="18"/>
  </cols>
  <sheetData>
    <row r="1" customFormat="false" ht="14.9" hidden="false" customHeight="false" outlineLevel="0" collapsed="false">
      <c r="A1" s="17" t="s">
        <v>207</v>
      </c>
      <c r="B1" s="17" t="s">
        <v>208</v>
      </c>
      <c r="C1" s="17" t="s">
        <v>209</v>
      </c>
      <c r="D1" s="17" t="s">
        <v>210</v>
      </c>
      <c r="E1" s="17" t="s">
        <v>271</v>
      </c>
      <c r="F1" s="17" t="s">
        <v>272</v>
      </c>
      <c r="G1" s="17" t="s">
        <v>273</v>
      </c>
      <c r="H1" s="17" t="s">
        <v>274</v>
      </c>
      <c r="J1" s="11" t="s">
        <v>275</v>
      </c>
    </row>
    <row r="2" customFormat="false" ht="14.9" hidden="false" customHeight="false" outlineLevel="0" collapsed="false">
      <c r="A2" s="23" t="n">
        <v>1</v>
      </c>
      <c r="B2" s="24" t="s">
        <v>68</v>
      </c>
      <c r="C2" s="19" t="s">
        <v>68</v>
      </c>
      <c r="D2" s="30"/>
      <c r="E2" s="25" t="s">
        <v>276</v>
      </c>
      <c r="F2" s="30"/>
      <c r="G2" s="30"/>
      <c r="H2" s="30"/>
    </row>
    <row r="3" customFormat="false" ht="14.9" hidden="false" customHeight="false" outlineLevel="0" collapsed="false">
      <c r="A3" s="23" t="n">
        <v>2</v>
      </c>
      <c r="B3" s="24" t="s">
        <v>264</v>
      </c>
      <c r="C3" s="19" t="s">
        <v>265</v>
      </c>
      <c r="D3" s="19" t="s">
        <v>264</v>
      </c>
      <c r="E3" s="25" t="s">
        <v>277</v>
      </c>
      <c r="F3" s="30"/>
      <c r="G3" s="30"/>
      <c r="H3" s="30"/>
    </row>
    <row r="4" customFormat="false" ht="13.5" hidden="false" customHeight="false" outlineLevel="0" collapsed="false">
      <c r="A4" s="23" t="n">
        <v>3</v>
      </c>
      <c r="B4" s="24" t="s">
        <v>223</v>
      </c>
      <c r="C4" s="19" t="s">
        <v>224</v>
      </c>
      <c r="D4" s="19" t="s">
        <v>223</v>
      </c>
      <c r="E4" s="25" t="s">
        <v>278</v>
      </c>
      <c r="F4" s="19" t="s">
        <v>223</v>
      </c>
      <c r="G4" s="30"/>
      <c r="H4" s="30"/>
    </row>
    <row r="5" customFormat="false" ht="13.5" hidden="false" customHeight="false" outlineLevel="0" collapsed="false">
      <c r="A5" s="23" t="n">
        <v>4</v>
      </c>
      <c r="B5" s="24" t="s">
        <v>227</v>
      </c>
      <c r="C5" s="19" t="s">
        <v>224</v>
      </c>
      <c r="D5" s="19" t="s">
        <v>227</v>
      </c>
      <c r="E5" s="25" t="s">
        <v>278</v>
      </c>
      <c r="F5" s="19" t="s">
        <v>227</v>
      </c>
      <c r="G5" s="19" t="s">
        <v>279</v>
      </c>
      <c r="H5" s="19" t="s">
        <v>280</v>
      </c>
    </row>
    <row r="6" customFormat="false" ht="13.5" hidden="false" customHeight="false" outlineLevel="0" collapsed="false">
      <c r="A6" s="23" t="n">
        <v>5</v>
      </c>
      <c r="B6" s="24" t="s">
        <v>240</v>
      </c>
      <c r="C6" s="19" t="s">
        <v>224</v>
      </c>
      <c r="D6" s="19" t="s">
        <v>240</v>
      </c>
      <c r="E6" s="25" t="s">
        <v>278</v>
      </c>
      <c r="F6" s="19" t="s">
        <v>240</v>
      </c>
      <c r="G6" s="30"/>
      <c r="H6" s="30"/>
    </row>
    <row r="7" customFormat="false" ht="13.5" hidden="false" customHeight="false" outlineLevel="0" collapsed="false">
      <c r="A7" s="23" t="n">
        <v>6</v>
      </c>
      <c r="B7" s="24" t="s">
        <v>242</v>
      </c>
      <c r="C7" s="19" t="s">
        <v>224</v>
      </c>
      <c r="D7" s="19" t="s">
        <v>242</v>
      </c>
      <c r="E7" s="25" t="s">
        <v>278</v>
      </c>
      <c r="F7" s="19" t="s">
        <v>242</v>
      </c>
      <c r="G7" s="30"/>
      <c r="H7" s="30"/>
    </row>
    <row r="8" customFormat="false" ht="14.9" hidden="false" customHeight="false" outlineLevel="0" collapsed="false">
      <c r="A8" s="23" t="n">
        <v>7</v>
      </c>
      <c r="B8" s="29" t="s">
        <v>237</v>
      </c>
      <c r="C8" s="19" t="s">
        <v>224</v>
      </c>
      <c r="D8" s="30" t="s">
        <v>237</v>
      </c>
      <c r="E8" s="25" t="s">
        <v>278</v>
      </c>
      <c r="F8" s="30" t="s">
        <v>237</v>
      </c>
      <c r="G8" s="19" t="s">
        <v>238</v>
      </c>
      <c r="H8" s="30"/>
    </row>
    <row r="9" customFormat="false" ht="14.9" hidden="false" customHeight="false" outlineLevel="0" collapsed="false">
      <c r="A9" s="23" t="n">
        <v>8</v>
      </c>
      <c r="B9" s="24" t="s">
        <v>281</v>
      </c>
      <c r="C9" s="19" t="s">
        <v>224</v>
      </c>
      <c r="D9" s="19" t="s">
        <v>281</v>
      </c>
      <c r="E9" s="25" t="s">
        <v>278</v>
      </c>
      <c r="F9" s="19" t="s">
        <v>281</v>
      </c>
      <c r="G9" s="30"/>
      <c r="H9" s="30"/>
    </row>
    <row r="10" customFormat="false" ht="13.5" hidden="false" customHeight="false" outlineLevel="0" collapsed="false">
      <c r="A10" s="23" t="n">
        <v>9</v>
      </c>
      <c r="B10" s="24" t="s">
        <v>232</v>
      </c>
      <c r="C10" s="19" t="s">
        <v>224</v>
      </c>
      <c r="D10" s="19" t="s">
        <v>232</v>
      </c>
      <c r="E10" s="25" t="s">
        <v>278</v>
      </c>
      <c r="F10" s="19" t="s">
        <v>232</v>
      </c>
      <c r="G10" s="30"/>
      <c r="H10" s="30"/>
    </row>
    <row r="11" customFormat="false" ht="13.5" hidden="false" customHeight="false" outlineLevel="0" collapsed="false">
      <c r="A11" s="23" t="n">
        <v>10</v>
      </c>
      <c r="B11" s="24" t="s">
        <v>234</v>
      </c>
      <c r="C11" s="19" t="s">
        <v>224</v>
      </c>
      <c r="D11" s="19" t="s">
        <v>234</v>
      </c>
      <c r="E11" s="25" t="s">
        <v>278</v>
      </c>
      <c r="F11" s="19" t="s">
        <v>234</v>
      </c>
      <c r="G11" s="30"/>
      <c r="H11" s="30"/>
    </row>
    <row r="12" customFormat="false" ht="13.5" hidden="false" customHeight="false" outlineLevel="0" collapsed="false">
      <c r="A12" s="23" t="n">
        <v>11</v>
      </c>
      <c r="B12" s="24" t="s">
        <v>236</v>
      </c>
      <c r="C12" s="19" t="s">
        <v>224</v>
      </c>
      <c r="D12" s="19" t="s">
        <v>236</v>
      </c>
      <c r="E12" s="25" t="s">
        <v>278</v>
      </c>
      <c r="F12" s="19" t="s">
        <v>236</v>
      </c>
      <c r="G12" s="30"/>
      <c r="H12" s="30"/>
    </row>
    <row r="13" customFormat="false" ht="13.5" hidden="false" customHeight="false" outlineLevel="0" collapsed="false">
      <c r="A13" s="23" t="n">
        <v>12</v>
      </c>
      <c r="B13" s="24" t="s">
        <v>245</v>
      </c>
      <c r="C13" s="19" t="s">
        <v>224</v>
      </c>
      <c r="D13" s="19" t="s">
        <v>245</v>
      </c>
      <c r="E13" s="25" t="s">
        <v>278</v>
      </c>
      <c r="F13" s="19" t="s">
        <v>245</v>
      </c>
      <c r="G13" s="30"/>
      <c r="H13" s="30"/>
    </row>
    <row r="14" customFormat="false" ht="13.5" hidden="false" customHeight="false" outlineLevel="0" collapsed="false">
      <c r="A14" s="23" t="n">
        <v>13</v>
      </c>
      <c r="B14" s="24" t="s">
        <v>261</v>
      </c>
      <c r="C14" s="19" t="s">
        <v>224</v>
      </c>
      <c r="D14" s="19" t="s">
        <v>261</v>
      </c>
      <c r="E14" s="25" t="s">
        <v>278</v>
      </c>
      <c r="F14" s="19" t="s">
        <v>261</v>
      </c>
      <c r="G14" s="30"/>
      <c r="H14" s="30"/>
    </row>
    <row r="15" customFormat="false" ht="13.5" hidden="false" customHeight="false" outlineLevel="0" collapsed="false">
      <c r="A15" s="23" t="n">
        <v>14</v>
      </c>
      <c r="B15" s="24" t="s">
        <v>282</v>
      </c>
      <c r="C15" s="19" t="s">
        <v>224</v>
      </c>
      <c r="D15" s="19" t="s">
        <v>282</v>
      </c>
      <c r="E15" s="25" t="s">
        <v>278</v>
      </c>
      <c r="F15" s="19" t="s">
        <v>282</v>
      </c>
      <c r="G15" s="30"/>
      <c r="H15" s="30"/>
    </row>
    <row r="16" customFormat="false" ht="13.5" hidden="false" customHeight="false" outlineLevel="0" collapsed="false">
      <c r="A16" s="23" t="n">
        <v>15</v>
      </c>
      <c r="B16" s="24" t="s">
        <v>253</v>
      </c>
      <c r="C16" s="19" t="s">
        <v>254</v>
      </c>
      <c r="D16" s="19" t="s">
        <v>253</v>
      </c>
      <c r="E16" s="25" t="s">
        <v>278</v>
      </c>
      <c r="F16" s="19" t="s">
        <v>253</v>
      </c>
      <c r="G16" s="30"/>
      <c r="H16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15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1276" activePane="bottomLeft" state="frozen"/>
      <selection pane="topLeft" activeCell="A1" activeCellId="0" sqref="A1"/>
      <selection pane="bottomLeft" activeCell="E1311" activeCellId="0" sqref="E131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3" style="0" width="21.5"/>
    <col collapsed="false" customWidth="true" hidden="false" outlineLevel="0" max="4" min="4" style="0" width="12.13"/>
  </cols>
  <sheetData>
    <row r="1" customFormat="false" ht="27" hidden="false" customHeight="true" outlineLevel="0" collapsed="false">
      <c r="A1" s="17" t="s">
        <v>207</v>
      </c>
      <c r="B1" s="17" t="s">
        <v>283</v>
      </c>
      <c r="C1" s="17" t="s">
        <v>284</v>
      </c>
      <c r="D1" s="17" t="s">
        <v>285</v>
      </c>
      <c r="E1" s="17" t="s">
        <v>286</v>
      </c>
      <c r="F1" s="17" t="s">
        <v>287</v>
      </c>
      <c r="G1" s="17" t="s">
        <v>288</v>
      </c>
      <c r="H1" s="17" t="s">
        <v>227</v>
      </c>
      <c r="I1" s="17" t="s">
        <v>229</v>
      </c>
      <c r="J1" s="17" t="s">
        <v>289</v>
      </c>
      <c r="K1" s="17" t="s">
        <v>232</v>
      </c>
      <c r="L1" s="17" t="s">
        <v>234</v>
      </c>
      <c r="M1" s="17" t="s">
        <v>238</v>
      </c>
      <c r="N1" s="32" t="s">
        <v>290</v>
      </c>
      <c r="O1" s="17" t="s">
        <v>240</v>
      </c>
      <c r="P1" s="17" t="s">
        <v>242</v>
      </c>
      <c r="Q1" s="17" t="s">
        <v>244</v>
      </c>
      <c r="R1" s="17" t="s">
        <v>256</v>
      </c>
      <c r="S1" s="17" t="s">
        <v>253</v>
      </c>
      <c r="T1" s="17" t="s">
        <v>263</v>
      </c>
      <c r="U1" s="17" t="s">
        <v>261</v>
      </c>
      <c r="V1" s="17" t="s">
        <v>260</v>
      </c>
      <c r="W1" s="17" t="s">
        <v>259</v>
      </c>
      <c r="X1" s="17" t="s">
        <v>245</v>
      </c>
      <c r="Y1" s="17" t="s">
        <v>291</v>
      </c>
      <c r="Z1" s="17" t="s">
        <v>292</v>
      </c>
      <c r="AA1" s="17" t="s">
        <v>293</v>
      </c>
      <c r="AB1" s="17" t="s">
        <v>236</v>
      </c>
      <c r="AC1" s="17" t="s">
        <v>294</v>
      </c>
      <c r="AD1" s="17" t="s">
        <v>252</v>
      </c>
      <c r="AE1" s="17" t="s">
        <v>247</v>
      </c>
      <c r="AF1" s="17" t="s">
        <v>295</v>
      </c>
      <c r="AG1" s="17" t="s">
        <v>268</v>
      </c>
      <c r="AH1" s="17" t="s">
        <v>296</v>
      </c>
      <c r="AI1" s="17" t="s">
        <v>297</v>
      </c>
    </row>
    <row r="2" customFormat="false" ht="14.9" hidden="false" customHeight="false" outlineLevel="0" collapsed="false">
      <c r="A2" s="0" t="n">
        <v>1</v>
      </c>
      <c r="B2" s="0" t="s">
        <v>298</v>
      </c>
      <c r="C2" s="33" t="s">
        <v>299</v>
      </c>
      <c r="D2" s="34" t="n">
        <v>46208</v>
      </c>
      <c r="E2" s="0" t="n">
        <v>179.2</v>
      </c>
      <c r="F2" s="0" t="n">
        <v>0</v>
      </c>
      <c r="G2" s="0" t="n">
        <v>362.3</v>
      </c>
      <c r="H2" s="0" t="n">
        <v>116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657.5</v>
      </c>
      <c r="AH2" s="0" t="n">
        <v>657.5</v>
      </c>
      <c r="AI2" s="0" t="n">
        <v>20</v>
      </c>
    </row>
    <row r="3" customFormat="false" ht="14.9" hidden="false" customHeight="false" outlineLevel="0" collapsed="false">
      <c r="A3" s="0" t="n">
        <v>2</v>
      </c>
      <c r="B3" s="0" t="s">
        <v>298</v>
      </c>
      <c r="C3" s="33" t="s">
        <v>299</v>
      </c>
      <c r="D3" s="34" t="n">
        <v>46233</v>
      </c>
      <c r="E3" s="0" t="n">
        <v>54.2</v>
      </c>
      <c r="F3" s="0" t="n">
        <v>0</v>
      </c>
      <c r="G3" s="0" t="n">
        <v>1159.2</v>
      </c>
      <c r="H3" s="0" t="n">
        <v>136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9.9</v>
      </c>
      <c r="W3" s="0" t="n">
        <v>85.1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1444.4</v>
      </c>
      <c r="AH3" s="0" t="n">
        <v>1444.4</v>
      </c>
      <c r="AI3" s="0" t="n">
        <v>26</v>
      </c>
    </row>
    <row r="4" customFormat="false" ht="14.9" hidden="false" customHeight="false" outlineLevel="0" collapsed="false">
      <c r="A4" s="0" t="n">
        <v>3</v>
      </c>
      <c r="B4" s="0" t="s">
        <v>298</v>
      </c>
      <c r="C4" s="33" t="s">
        <v>299</v>
      </c>
      <c r="D4" s="34" t="n">
        <v>46232</v>
      </c>
      <c r="E4" s="0" t="n">
        <v>159.8</v>
      </c>
      <c r="F4" s="0" t="n">
        <v>0</v>
      </c>
      <c r="G4" s="0" t="n">
        <v>880.2</v>
      </c>
      <c r="H4" s="0" t="n">
        <v>126.4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65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1231.4</v>
      </c>
      <c r="AH4" s="0" t="n">
        <v>1231.4</v>
      </c>
      <c r="AI4" s="0" t="n">
        <v>28</v>
      </c>
    </row>
    <row r="5" customFormat="false" ht="14.9" hidden="false" customHeight="false" outlineLevel="0" collapsed="false">
      <c r="A5" s="0" t="n">
        <v>4</v>
      </c>
      <c r="B5" s="0" t="s">
        <v>298</v>
      </c>
      <c r="C5" s="33" t="s">
        <v>299</v>
      </c>
      <c r="D5" s="34" t="n">
        <v>46204</v>
      </c>
      <c r="E5" s="0" t="n">
        <v>840.31</v>
      </c>
      <c r="F5" s="0" t="n">
        <v>0</v>
      </c>
      <c r="G5" s="0" t="n">
        <v>631.81</v>
      </c>
      <c r="H5" s="0" t="n">
        <v>261.16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1736.28</v>
      </c>
      <c r="AH5" s="0" t="n">
        <v>1736.28</v>
      </c>
      <c r="AI5" s="0" t="n">
        <v>37</v>
      </c>
    </row>
    <row r="6" customFormat="false" ht="14.9" hidden="false" customHeight="false" outlineLevel="0" collapsed="false">
      <c r="A6" s="0" t="n">
        <v>5</v>
      </c>
      <c r="B6" s="0" t="s">
        <v>298</v>
      </c>
      <c r="C6" s="33" t="s">
        <v>299</v>
      </c>
      <c r="D6" s="34" t="n">
        <v>46234</v>
      </c>
      <c r="E6" s="0" t="n">
        <v>74.35</v>
      </c>
      <c r="F6" s="0" t="n">
        <v>0</v>
      </c>
      <c r="G6" s="0" t="n">
        <v>367.75</v>
      </c>
      <c r="H6" s="0" t="n">
        <v>448.9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40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931</v>
      </c>
      <c r="AH6" s="0" t="n">
        <v>931</v>
      </c>
      <c r="AI6" s="0" t="n">
        <v>20</v>
      </c>
    </row>
    <row r="7" customFormat="false" ht="14.9" hidden="false" customHeight="false" outlineLevel="0" collapsed="false">
      <c r="A7" s="0" t="n">
        <v>6</v>
      </c>
      <c r="B7" s="0" t="s">
        <v>298</v>
      </c>
      <c r="C7" s="33" t="s">
        <v>299</v>
      </c>
      <c r="D7" s="34" t="n">
        <v>46231</v>
      </c>
      <c r="E7" s="0" t="n">
        <v>127.4</v>
      </c>
      <c r="F7" s="0" t="n">
        <v>0</v>
      </c>
      <c r="G7" s="0" t="n">
        <v>574.05</v>
      </c>
      <c r="H7" s="0" t="n">
        <v>204.8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65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971.25</v>
      </c>
      <c r="AH7" s="0" t="n">
        <v>971.25</v>
      </c>
      <c r="AI7" s="0" t="n">
        <v>21</v>
      </c>
    </row>
    <row r="8" customFormat="false" ht="14.9" hidden="false" customHeight="false" outlineLevel="0" collapsed="false">
      <c r="A8" s="0" t="n">
        <v>7</v>
      </c>
      <c r="B8" s="0" t="s">
        <v>298</v>
      </c>
      <c r="C8" s="33" t="s">
        <v>299</v>
      </c>
      <c r="D8" s="34" t="n">
        <v>46220</v>
      </c>
      <c r="E8" s="0" t="n">
        <v>40.8</v>
      </c>
      <c r="F8" s="0" t="n">
        <v>0</v>
      </c>
      <c r="G8" s="0" t="n">
        <v>661.7</v>
      </c>
      <c r="H8" s="0" t="n">
        <v>47.8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26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5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781.3</v>
      </c>
      <c r="AH8" s="0" t="n">
        <v>781.3</v>
      </c>
      <c r="AI8" s="0" t="n">
        <v>18</v>
      </c>
    </row>
    <row r="9" customFormat="false" ht="14.9" hidden="false" customHeight="false" outlineLevel="0" collapsed="false">
      <c r="A9" s="0" t="n">
        <v>8</v>
      </c>
      <c r="B9" s="0" t="s">
        <v>298</v>
      </c>
      <c r="C9" s="33" t="s">
        <v>299</v>
      </c>
      <c r="D9" s="34" t="n">
        <v>46221</v>
      </c>
      <c r="E9" s="0" t="n">
        <v>138.3</v>
      </c>
      <c r="F9" s="0" t="n">
        <v>0</v>
      </c>
      <c r="G9" s="0" t="n">
        <v>510</v>
      </c>
      <c r="H9" s="0" t="n">
        <v>182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16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846.3</v>
      </c>
      <c r="AH9" s="0" t="n">
        <v>846.3</v>
      </c>
      <c r="AI9" s="0" t="n">
        <v>19</v>
      </c>
    </row>
    <row r="10" customFormat="false" ht="14.9" hidden="false" customHeight="false" outlineLevel="0" collapsed="false">
      <c r="A10" s="0" t="n">
        <v>9</v>
      </c>
      <c r="B10" s="0" t="s">
        <v>298</v>
      </c>
      <c r="C10" s="33" t="s">
        <v>299</v>
      </c>
      <c r="D10" s="34" t="n">
        <v>46209</v>
      </c>
      <c r="E10" s="0" t="n">
        <v>970.94</v>
      </c>
      <c r="F10" s="0" t="n">
        <v>0</v>
      </c>
      <c r="G10" s="0" t="n">
        <v>1261.58</v>
      </c>
      <c r="H10" s="0" t="n">
        <v>211.84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3.8</v>
      </c>
      <c r="W10" s="0" t="n">
        <v>21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2469.16</v>
      </c>
      <c r="AH10" s="0" t="n">
        <v>2469.16</v>
      </c>
      <c r="AI10" s="0" t="n">
        <v>40</v>
      </c>
    </row>
    <row r="11" customFormat="false" ht="14.9" hidden="false" customHeight="false" outlineLevel="0" collapsed="false">
      <c r="A11" s="0" t="n">
        <v>10</v>
      </c>
      <c r="B11" s="0" t="s">
        <v>298</v>
      </c>
      <c r="C11" s="33" t="s">
        <v>299</v>
      </c>
      <c r="D11" s="34" t="n">
        <v>46212</v>
      </c>
      <c r="E11" s="0" t="n">
        <v>114.6</v>
      </c>
      <c r="F11" s="0" t="n">
        <v>0</v>
      </c>
      <c r="G11" s="0" t="n">
        <v>581.22</v>
      </c>
      <c r="H11" s="0" t="n">
        <v>35.6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731.42</v>
      </c>
      <c r="AH11" s="0" t="n">
        <v>731.42</v>
      </c>
      <c r="AI11" s="0" t="n">
        <v>18</v>
      </c>
    </row>
    <row r="12" customFormat="false" ht="14.9" hidden="false" customHeight="false" outlineLevel="0" collapsed="false">
      <c r="A12" s="0" t="n">
        <v>11</v>
      </c>
      <c r="B12" s="0" t="s">
        <v>298</v>
      </c>
      <c r="C12" s="33" t="s">
        <v>299</v>
      </c>
      <c r="D12" s="34" t="n">
        <v>46227</v>
      </c>
      <c r="E12" s="0" t="n">
        <v>253.4</v>
      </c>
      <c r="F12" s="0" t="n">
        <v>0</v>
      </c>
      <c r="G12" s="0" t="n">
        <v>570.5</v>
      </c>
      <c r="H12" s="0" t="n">
        <v>220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1043.9</v>
      </c>
      <c r="AH12" s="0" t="n">
        <v>1043.9</v>
      </c>
      <c r="AI12" s="0" t="n">
        <v>26</v>
      </c>
    </row>
    <row r="13" customFormat="false" ht="14.9" hidden="false" customHeight="false" outlineLevel="0" collapsed="false">
      <c r="A13" s="0" t="n">
        <v>12</v>
      </c>
      <c r="B13" s="0" t="s">
        <v>298</v>
      </c>
      <c r="C13" s="33" t="s">
        <v>299</v>
      </c>
      <c r="D13" s="34" t="n">
        <v>46222</v>
      </c>
      <c r="E13" s="0" t="n">
        <v>51</v>
      </c>
      <c r="F13" s="0" t="n">
        <v>0</v>
      </c>
      <c r="G13" s="0" t="n">
        <v>707.65</v>
      </c>
      <c r="H13" s="0" t="n">
        <v>194.5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5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958.15</v>
      </c>
      <c r="AH13" s="0" t="n">
        <v>958.15</v>
      </c>
      <c r="AI13" s="0" t="n">
        <v>23</v>
      </c>
    </row>
    <row r="14" customFormat="false" ht="14.9" hidden="false" customHeight="false" outlineLevel="0" collapsed="false">
      <c r="A14" s="0" t="n">
        <v>13</v>
      </c>
      <c r="B14" s="0" t="s">
        <v>298</v>
      </c>
      <c r="C14" s="33" t="s">
        <v>299</v>
      </c>
      <c r="D14" s="34" t="n">
        <v>46206</v>
      </c>
      <c r="E14" s="0" t="n">
        <v>110</v>
      </c>
      <c r="F14" s="0" t="n">
        <v>0</v>
      </c>
      <c r="G14" s="0" t="n">
        <v>386.6</v>
      </c>
      <c r="H14" s="0" t="n">
        <v>260.18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756.78</v>
      </c>
      <c r="AH14" s="0" t="n">
        <v>756.78</v>
      </c>
      <c r="AI14" s="0" t="n">
        <v>24</v>
      </c>
    </row>
    <row r="15" customFormat="false" ht="14.9" hidden="false" customHeight="false" outlineLevel="0" collapsed="false">
      <c r="A15" s="0" t="n">
        <v>14</v>
      </c>
      <c r="B15" s="0" t="s">
        <v>298</v>
      </c>
      <c r="C15" s="33" t="s">
        <v>299</v>
      </c>
      <c r="D15" s="34" t="n">
        <v>46218</v>
      </c>
      <c r="E15" s="0" t="n">
        <v>221.3</v>
      </c>
      <c r="F15" s="0" t="n">
        <v>0</v>
      </c>
      <c r="G15" s="0" t="n">
        <v>689.86</v>
      </c>
      <c r="H15" s="0" t="n">
        <v>94.8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5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1010.96</v>
      </c>
      <c r="AH15" s="0" t="n">
        <v>1010.96</v>
      </c>
      <c r="AI15" s="0" t="n">
        <v>27</v>
      </c>
    </row>
    <row r="16" customFormat="false" ht="14.9" hidden="false" customHeight="false" outlineLevel="0" collapsed="false">
      <c r="A16" s="0" t="n">
        <v>15</v>
      </c>
      <c r="B16" s="0" t="s">
        <v>298</v>
      </c>
      <c r="C16" s="33" t="s">
        <v>299</v>
      </c>
      <c r="D16" s="34" t="n">
        <v>46214</v>
      </c>
      <c r="E16" s="0" t="n">
        <v>241.98</v>
      </c>
      <c r="F16" s="0" t="n">
        <v>0</v>
      </c>
      <c r="G16" s="0" t="n">
        <v>1275.92</v>
      </c>
      <c r="H16" s="0" t="n">
        <v>244.18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5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1767.08</v>
      </c>
      <c r="AH16" s="0" t="n">
        <v>1767.08</v>
      </c>
      <c r="AI16" s="0" t="n">
        <v>24</v>
      </c>
    </row>
    <row r="17" customFormat="false" ht="14.9" hidden="false" customHeight="false" outlineLevel="0" collapsed="false">
      <c r="A17" s="0" t="n">
        <v>16</v>
      </c>
      <c r="B17" s="0" t="s">
        <v>298</v>
      </c>
      <c r="C17" s="33" t="s">
        <v>299</v>
      </c>
      <c r="D17" s="34" t="n">
        <v>46228</v>
      </c>
      <c r="E17" s="0" t="n">
        <v>300.11</v>
      </c>
      <c r="F17" s="0" t="n">
        <v>0</v>
      </c>
      <c r="G17" s="0" t="n">
        <v>686.4</v>
      </c>
      <c r="H17" s="0" t="n">
        <v>562.68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6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1555.19</v>
      </c>
      <c r="AH17" s="0" t="n">
        <v>1555.19</v>
      </c>
      <c r="AI17" s="0" t="n">
        <v>22</v>
      </c>
    </row>
    <row r="18" customFormat="false" ht="14.9" hidden="false" customHeight="false" outlineLevel="0" collapsed="false">
      <c r="A18" s="0" t="n">
        <v>17</v>
      </c>
      <c r="B18" s="0" t="s">
        <v>298</v>
      </c>
      <c r="C18" s="33" t="s">
        <v>299</v>
      </c>
      <c r="D18" s="34" t="n">
        <v>46211</v>
      </c>
      <c r="E18" s="0" t="n">
        <v>74.9</v>
      </c>
      <c r="F18" s="0" t="n">
        <v>0</v>
      </c>
      <c r="G18" s="0" t="n">
        <v>796.91</v>
      </c>
      <c r="H18" s="0" t="n">
        <v>88.5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960.31</v>
      </c>
      <c r="AH18" s="0" t="n">
        <v>960.31</v>
      </c>
      <c r="AI18" s="0" t="n">
        <v>20</v>
      </c>
    </row>
    <row r="19" customFormat="false" ht="14.9" hidden="false" customHeight="false" outlineLevel="0" collapsed="false">
      <c r="A19" s="0" t="n">
        <v>18</v>
      </c>
      <c r="B19" s="0" t="s">
        <v>298</v>
      </c>
      <c r="C19" s="33" t="s">
        <v>299</v>
      </c>
      <c r="D19" s="34" t="n">
        <v>46216</v>
      </c>
      <c r="E19" s="0" t="n">
        <v>118.8</v>
      </c>
      <c r="F19" s="0" t="n">
        <v>0</v>
      </c>
      <c r="G19" s="0" t="n">
        <v>437.4</v>
      </c>
      <c r="H19" s="0" t="n">
        <v>148.5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704.7</v>
      </c>
      <c r="AH19" s="0" t="n">
        <v>704.7</v>
      </c>
      <c r="AI19" s="0" t="n">
        <v>18</v>
      </c>
    </row>
    <row r="20" customFormat="false" ht="14.9" hidden="false" customHeight="false" outlineLevel="0" collapsed="false">
      <c r="A20" s="0" t="n">
        <v>19</v>
      </c>
      <c r="B20" s="0" t="s">
        <v>298</v>
      </c>
      <c r="C20" s="33" t="s">
        <v>299</v>
      </c>
      <c r="D20" s="34" t="n">
        <v>46219</v>
      </c>
      <c r="E20" s="0" t="n">
        <v>342.13</v>
      </c>
      <c r="F20" s="0" t="n">
        <v>0</v>
      </c>
      <c r="G20" s="0" t="n">
        <v>1194.07</v>
      </c>
      <c r="H20" s="0" t="n">
        <v>156.1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3</v>
      </c>
      <c r="W20" s="0" t="n">
        <v>31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1726.3</v>
      </c>
      <c r="AH20" s="0" t="n">
        <v>1726.3</v>
      </c>
      <c r="AI20" s="0" t="n">
        <v>32</v>
      </c>
    </row>
    <row r="21" customFormat="false" ht="14.9" hidden="false" customHeight="false" outlineLevel="0" collapsed="false">
      <c r="A21" s="0" t="n">
        <v>20</v>
      </c>
      <c r="B21" s="0" t="s">
        <v>298</v>
      </c>
      <c r="C21" s="33" t="s">
        <v>299</v>
      </c>
      <c r="D21" s="34" t="n">
        <v>46230</v>
      </c>
      <c r="E21" s="0" t="n">
        <v>25.9</v>
      </c>
      <c r="F21" s="0" t="n">
        <v>0</v>
      </c>
      <c r="G21" s="0" t="n">
        <v>226</v>
      </c>
      <c r="H21" s="0" t="n">
        <v>576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15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842.9</v>
      </c>
      <c r="AH21" s="0" t="n">
        <v>842.9</v>
      </c>
      <c r="AI21" s="0" t="n">
        <v>26</v>
      </c>
    </row>
    <row r="22" customFormat="false" ht="14.9" hidden="false" customHeight="false" outlineLevel="0" collapsed="false">
      <c r="A22" s="0" t="n">
        <v>21</v>
      </c>
      <c r="B22" s="0" t="s">
        <v>298</v>
      </c>
      <c r="C22" s="33" t="s">
        <v>299</v>
      </c>
      <c r="D22" s="34" t="n">
        <v>46205</v>
      </c>
      <c r="E22" s="0" t="n">
        <v>22.2</v>
      </c>
      <c r="F22" s="0" t="n">
        <v>0</v>
      </c>
      <c r="G22" s="0" t="n">
        <v>499.1</v>
      </c>
      <c r="H22" s="0" t="n">
        <v>123.9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645.2</v>
      </c>
      <c r="AH22" s="0" t="n">
        <v>645.2</v>
      </c>
      <c r="AI22" s="0" t="n">
        <v>25</v>
      </c>
    </row>
    <row r="23" customFormat="false" ht="14.9" hidden="false" customHeight="false" outlineLevel="0" collapsed="false">
      <c r="A23" s="0" t="n">
        <v>22</v>
      </c>
      <c r="B23" s="0" t="s">
        <v>298</v>
      </c>
      <c r="C23" s="33" t="s">
        <v>299</v>
      </c>
      <c r="D23" s="34" t="n">
        <v>46229</v>
      </c>
      <c r="E23" s="0" t="n">
        <v>259.31</v>
      </c>
      <c r="F23" s="0" t="n">
        <v>0</v>
      </c>
      <c r="G23" s="0" t="n">
        <v>1539.93</v>
      </c>
      <c r="H23" s="0" t="n">
        <v>135.9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25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1960.14</v>
      </c>
      <c r="AH23" s="0" t="n">
        <v>1960.14</v>
      </c>
      <c r="AI23" s="0" t="n">
        <v>40</v>
      </c>
    </row>
    <row r="24" customFormat="false" ht="14.9" hidden="false" customHeight="false" outlineLevel="0" collapsed="false">
      <c r="A24" s="0" t="n">
        <v>23</v>
      </c>
      <c r="B24" s="0" t="s">
        <v>298</v>
      </c>
      <c r="C24" s="33" t="s">
        <v>299</v>
      </c>
      <c r="D24" s="34" t="n">
        <v>46225</v>
      </c>
      <c r="E24" s="0" t="n">
        <v>508.31</v>
      </c>
      <c r="F24" s="0" t="n">
        <v>0</v>
      </c>
      <c r="G24" s="0" t="n">
        <v>766.22</v>
      </c>
      <c r="H24" s="0" t="n">
        <v>286.9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3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1564.43</v>
      </c>
      <c r="AH24" s="0" t="n">
        <v>1564.43</v>
      </c>
      <c r="AI24" s="0" t="n">
        <v>30</v>
      </c>
    </row>
    <row r="25" customFormat="false" ht="14.9" hidden="false" customHeight="false" outlineLevel="0" collapsed="false">
      <c r="A25" s="0" t="n">
        <v>24</v>
      </c>
      <c r="B25" s="0" t="s">
        <v>298</v>
      </c>
      <c r="C25" s="33" t="s">
        <v>299</v>
      </c>
      <c r="D25" s="34" t="n">
        <v>46224</v>
      </c>
      <c r="E25" s="0" t="n">
        <v>181.99</v>
      </c>
      <c r="F25" s="0" t="n">
        <v>0</v>
      </c>
      <c r="G25" s="0" t="n">
        <v>1505.15</v>
      </c>
      <c r="H25" s="0" t="n">
        <v>271.99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9.9</v>
      </c>
      <c r="W25" s="0" t="n">
        <v>14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1983.03</v>
      </c>
      <c r="AH25" s="0" t="n">
        <v>1983.03</v>
      </c>
      <c r="AI25" s="0" t="n">
        <v>42</v>
      </c>
    </row>
    <row r="26" customFormat="false" ht="14.9" hidden="false" customHeight="false" outlineLevel="0" collapsed="false">
      <c r="A26" s="0" t="n">
        <v>25</v>
      </c>
      <c r="B26" s="0" t="s">
        <v>298</v>
      </c>
      <c r="C26" s="33" t="s">
        <v>299</v>
      </c>
      <c r="D26" s="34" t="n">
        <v>46213</v>
      </c>
      <c r="E26" s="0" t="n">
        <v>253.73</v>
      </c>
      <c r="F26" s="0" t="n">
        <v>0</v>
      </c>
      <c r="G26" s="0" t="n">
        <v>631.5</v>
      </c>
      <c r="H26" s="0" t="n">
        <v>55.5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940.73</v>
      </c>
      <c r="AH26" s="0" t="n">
        <v>940.73</v>
      </c>
      <c r="AI26" s="0" t="n">
        <v>21</v>
      </c>
    </row>
    <row r="27" customFormat="false" ht="14.9" hidden="false" customHeight="false" outlineLevel="0" collapsed="false">
      <c r="A27" s="0" t="n">
        <v>26</v>
      </c>
      <c r="B27" s="0" t="s">
        <v>298</v>
      </c>
      <c r="C27" s="33" t="s">
        <v>299</v>
      </c>
      <c r="D27" s="34" t="n">
        <v>46223</v>
      </c>
      <c r="E27" s="0" t="n">
        <v>25.34</v>
      </c>
      <c r="F27" s="0" t="n">
        <v>0</v>
      </c>
      <c r="G27" s="0" t="n">
        <v>1025.1</v>
      </c>
      <c r="H27" s="0" t="n">
        <v>272.7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5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1328.14</v>
      </c>
      <c r="AH27" s="0" t="n">
        <v>1328.14</v>
      </c>
      <c r="AI27" s="0" t="n">
        <v>22</v>
      </c>
    </row>
    <row r="28" customFormat="false" ht="14.9" hidden="false" customHeight="false" outlineLevel="0" collapsed="false">
      <c r="A28" s="0" t="n">
        <v>27</v>
      </c>
      <c r="B28" s="0" t="s">
        <v>298</v>
      </c>
      <c r="C28" s="33" t="s">
        <v>299</v>
      </c>
      <c r="D28" s="34" t="n">
        <v>46215</v>
      </c>
      <c r="E28" s="0" t="n">
        <v>105.4</v>
      </c>
      <c r="F28" s="0" t="n">
        <v>0</v>
      </c>
      <c r="G28" s="0" t="n">
        <v>752.32</v>
      </c>
      <c r="H28" s="0" t="n">
        <v>309.4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1167.12</v>
      </c>
      <c r="AH28" s="0" t="n">
        <v>1167.12</v>
      </c>
      <c r="AI28" s="0" t="n">
        <v>18</v>
      </c>
    </row>
    <row r="29" customFormat="false" ht="14.9" hidden="false" customHeight="false" outlineLevel="0" collapsed="false">
      <c r="A29" s="0" t="n">
        <v>28</v>
      </c>
      <c r="B29" s="0" t="s">
        <v>298</v>
      </c>
      <c r="C29" s="33" t="s">
        <v>299</v>
      </c>
      <c r="D29" s="34" t="n">
        <v>46226</v>
      </c>
      <c r="E29" s="0" t="n">
        <v>106.22</v>
      </c>
      <c r="F29" s="0" t="n">
        <v>0</v>
      </c>
      <c r="G29" s="0" t="n">
        <v>461.2</v>
      </c>
      <c r="H29" s="0" t="n">
        <v>367.91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0.02</v>
      </c>
      <c r="W29" s="0" t="n">
        <v>3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938.35</v>
      </c>
      <c r="AH29" s="0" t="n">
        <v>938.35</v>
      </c>
      <c r="AI29" s="0" t="n">
        <v>22</v>
      </c>
    </row>
    <row r="30" customFormat="false" ht="14.9" hidden="false" customHeight="false" outlineLevel="0" collapsed="false">
      <c r="A30" s="0" t="n">
        <v>29</v>
      </c>
      <c r="B30" s="0" t="s">
        <v>298</v>
      </c>
      <c r="C30" s="33" t="s">
        <v>299</v>
      </c>
      <c r="D30" s="34" t="n">
        <v>46210</v>
      </c>
      <c r="E30" s="0" t="n">
        <v>245.71</v>
      </c>
      <c r="F30" s="0" t="n">
        <v>0</v>
      </c>
      <c r="G30" s="0" t="n">
        <v>455.8</v>
      </c>
      <c r="H30" s="0" t="n">
        <v>175.9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21.5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898.91</v>
      </c>
      <c r="AH30" s="0" t="n">
        <v>898.91</v>
      </c>
      <c r="AI30" s="0" t="n">
        <v>23</v>
      </c>
    </row>
    <row r="31" customFormat="false" ht="14.9" hidden="false" customHeight="false" outlineLevel="0" collapsed="false">
      <c r="A31" s="0" t="n">
        <v>30</v>
      </c>
      <c r="B31" s="0" t="s">
        <v>298</v>
      </c>
      <c r="C31" s="33" t="s">
        <v>299</v>
      </c>
      <c r="D31" s="34" t="n">
        <v>46207</v>
      </c>
      <c r="E31" s="0" t="n">
        <v>97.8</v>
      </c>
      <c r="F31" s="0" t="n">
        <v>0</v>
      </c>
      <c r="G31" s="0" t="n">
        <v>382.3</v>
      </c>
      <c r="H31" s="0" t="n">
        <v>263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5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748.1</v>
      </c>
      <c r="AH31" s="0" t="n">
        <v>748.1</v>
      </c>
      <c r="AI31" s="0" t="n">
        <v>22</v>
      </c>
    </row>
    <row r="32" customFormat="false" ht="14.9" hidden="false" customHeight="false" outlineLevel="0" collapsed="false">
      <c r="A32" s="0" t="n">
        <v>31</v>
      </c>
      <c r="B32" s="0" t="s">
        <v>298</v>
      </c>
      <c r="C32" s="33" t="s">
        <v>299</v>
      </c>
      <c r="D32" s="34" t="n">
        <v>46217</v>
      </c>
      <c r="E32" s="0" t="n">
        <v>183</v>
      </c>
      <c r="F32" s="0" t="n">
        <v>0</v>
      </c>
      <c r="G32" s="0" t="n">
        <v>788.78</v>
      </c>
      <c r="H32" s="0" t="n">
        <v>137.3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1109.08</v>
      </c>
      <c r="AH32" s="0" t="n">
        <v>1109.08</v>
      </c>
      <c r="AI32" s="0" t="n">
        <v>27</v>
      </c>
    </row>
    <row r="33" customFormat="false" ht="14.9" hidden="false" customHeight="false" outlineLevel="0" collapsed="false">
      <c r="A33" s="0" t="n">
        <v>32</v>
      </c>
      <c r="B33" s="0" t="s">
        <v>300</v>
      </c>
      <c r="C33" s="33" t="s">
        <v>301</v>
      </c>
      <c r="D33" s="34" t="n">
        <v>46234</v>
      </c>
      <c r="E33" s="0" t="n">
        <v>1664.5</v>
      </c>
      <c r="F33" s="0" t="n">
        <v>7514.84</v>
      </c>
      <c r="G33" s="0" t="n">
        <v>2836.6</v>
      </c>
      <c r="H33" s="0" t="n">
        <v>1305.5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35</v>
      </c>
      <c r="T33" s="0" t="n">
        <v>0</v>
      </c>
      <c r="U33" s="0" t="n">
        <v>0</v>
      </c>
      <c r="V33" s="0" t="n">
        <v>0</v>
      </c>
      <c r="W33" s="0" t="n">
        <v>173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13529.44</v>
      </c>
      <c r="AH33" s="0" t="n">
        <v>13529.44</v>
      </c>
      <c r="AI33" s="0" t="n">
        <v>129</v>
      </c>
    </row>
    <row r="34" customFormat="false" ht="14.9" hidden="false" customHeight="false" outlineLevel="0" collapsed="false">
      <c r="A34" s="0" t="n">
        <v>33</v>
      </c>
      <c r="B34" s="0" t="s">
        <v>300</v>
      </c>
      <c r="C34" s="33" t="s">
        <v>301</v>
      </c>
      <c r="D34" s="34" t="n">
        <v>46222</v>
      </c>
      <c r="E34" s="0" t="n">
        <v>1271.91</v>
      </c>
      <c r="F34" s="0" t="n">
        <v>5214.61</v>
      </c>
      <c r="G34" s="0" t="n">
        <v>2453.4</v>
      </c>
      <c r="H34" s="0" t="n">
        <v>1588.48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11</v>
      </c>
      <c r="T34" s="0" t="n">
        <v>0</v>
      </c>
      <c r="U34" s="0" t="n">
        <v>0</v>
      </c>
      <c r="V34" s="0" t="n">
        <v>0</v>
      </c>
      <c r="W34" s="0" t="n">
        <v>51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10590.4</v>
      </c>
      <c r="AH34" s="0" t="n">
        <v>10590.4</v>
      </c>
      <c r="AI34" s="0" t="n">
        <v>111</v>
      </c>
    </row>
    <row r="35" customFormat="false" ht="14.9" hidden="false" customHeight="false" outlineLevel="0" collapsed="false">
      <c r="A35" s="0" t="n">
        <v>34</v>
      </c>
      <c r="B35" s="0" t="s">
        <v>300</v>
      </c>
      <c r="C35" s="33" t="s">
        <v>301</v>
      </c>
      <c r="D35" s="34" t="n">
        <v>46233</v>
      </c>
      <c r="E35" s="0" t="n">
        <v>3048.3</v>
      </c>
      <c r="F35" s="0" t="n">
        <v>7354.3</v>
      </c>
      <c r="G35" s="0" t="n">
        <v>2849.1</v>
      </c>
      <c r="H35" s="0" t="n">
        <v>1378.8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13.8</v>
      </c>
      <c r="T35" s="0" t="n">
        <v>0</v>
      </c>
      <c r="U35" s="0" t="n">
        <v>0</v>
      </c>
      <c r="V35" s="0" t="n">
        <v>0</v>
      </c>
      <c r="W35" s="0" t="n">
        <v>205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14849.3</v>
      </c>
      <c r="AH35" s="0" t="n">
        <v>14849.3</v>
      </c>
      <c r="AI35" s="0" t="n">
        <v>136</v>
      </c>
    </row>
    <row r="36" customFormat="false" ht="14.9" hidden="false" customHeight="false" outlineLevel="0" collapsed="false">
      <c r="A36" s="0" t="n">
        <v>35</v>
      </c>
      <c r="B36" s="0" t="s">
        <v>300</v>
      </c>
      <c r="C36" s="33" t="s">
        <v>301</v>
      </c>
      <c r="D36" s="34" t="n">
        <v>46207</v>
      </c>
      <c r="E36" s="0" t="n">
        <v>460.2</v>
      </c>
      <c r="F36" s="0" t="n">
        <v>11888.52</v>
      </c>
      <c r="G36" s="0" t="n">
        <v>1391.5</v>
      </c>
      <c r="H36" s="0" t="n">
        <v>1706.9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9.9</v>
      </c>
      <c r="W36" s="0" t="n">
        <v>70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15527.02</v>
      </c>
      <c r="AH36" s="0" t="n">
        <v>15527.02</v>
      </c>
      <c r="AI36" s="0" t="n">
        <v>132</v>
      </c>
    </row>
    <row r="37" customFormat="false" ht="14.9" hidden="false" customHeight="false" outlineLevel="0" collapsed="false">
      <c r="A37" s="0" t="n">
        <v>36</v>
      </c>
      <c r="B37" s="0" t="s">
        <v>300</v>
      </c>
      <c r="C37" s="33" t="s">
        <v>301</v>
      </c>
      <c r="D37" s="34" t="n">
        <v>46214</v>
      </c>
      <c r="E37" s="0" t="n">
        <v>4085.46</v>
      </c>
      <c r="F37" s="0" t="n">
        <v>5766.09</v>
      </c>
      <c r="G37" s="0" t="n">
        <v>6319.27</v>
      </c>
      <c r="H37" s="0" t="n">
        <v>1383.9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50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17604.72</v>
      </c>
      <c r="AH37" s="0" t="n">
        <v>17604.72</v>
      </c>
      <c r="AI37" s="0" t="n">
        <v>125</v>
      </c>
    </row>
    <row r="38" customFormat="false" ht="14.9" hidden="false" customHeight="false" outlineLevel="0" collapsed="false">
      <c r="A38" s="0" t="n">
        <v>37</v>
      </c>
      <c r="B38" s="0" t="s">
        <v>300</v>
      </c>
      <c r="C38" s="33" t="s">
        <v>301</v>
      </c>
      <c r="D38" s="34" t="n">
        <v>46217</v>
      </c>
      <c r="E38" s="0" t="n">
        <v>176.4</v>
      </c>
      <c r="F38" s="0" t="n">
        <v>6796.18</v>
      </c>
      <c r="G38" s="0" t="n">
        <v>1272.3</v>
      </c>
      <c r="H38" s="0" t="n">
        <v>1621.8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115</v>
      </c>
      <c r="T38" s="0" t="n">
        <v>0</v>
      </c>
      <c r="U38" s="0" t="n">
        <v>0</v>
      </c>
      <c r="V38" s="0" t="n">
        <v>0</v>
      </c>
      <c r="W38" s="0" t="n">
        <v>15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9996.68</v>
      </c>
      <c r="AH38" s="0" t="n">
        <v>9996.68</v>
      </c>
      <c r="AI38" s="0" t="n">
        <v>103</v>
      </c>
    </row>
    <row r="39" customFormat="false" ht="14.9" hidden="false" customHeight="false" outlineLevel="0" collapsed="false">
      <c r="A39" s="0" t="n">
        <v>38</v>
      </c>
      <c r="B39" s="0" t="s">
        <v>300</v>
      </c>
      <c r="C39" s="33" t="s">
        <v>301</v>
      </c>
      <c r="D39" s="34" t="n">
        <v>46220</v>
      </c>
      <c r="E39" s="0" t="n">
        <v>1598.36</v>
      </c>
      <c r="F39" s="0" t="n">
        <v>7757.3</v>
      </c>
      <c r="G39" s="0" t="n">
        <v>3150.55</v>
      </c>
      <c r="H39" s="0" t="n">
        <v>753.8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91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13351.01</v>
      </c>
      <c r="AH39" s="0" t="n">
        <v>13351.01</v>
      </c>
      <c r="AI39" s="0" t="n">
        <v>106</v>
      </c>
    </row>
    <row r="40" customFormat="false" ht="14.9" hidden="false" customHeight="false" outlineLevel="0" collapsed="false">
      <c r="A40" s="0" t="n">
        <v>39</v>
      </c>
      <c r="B40" s="0" t="s">
        <v>300</v>
      </c>
      <c r="C40" s="33" t="s">
        <v>301</v>
      </c>
      <c r="D40" s="34" t="n">
        <v>46232</v>
      </c>
      <c r="E40" s="0" t="n">
        <v>1317.18</v>
      </c>
      <c r="F40" s="0" t="n">
        <v>9987.4</v>
      </c>
      <c r="G40" s="0" t="n">
        <v>1500</v>
      </c>
      <c r="H40" s="0" t="n">
        <v>1276.1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546.4</v>
      </c>
      <c r="T40" s="0" t="n">
        <v>0</v>
      </c>
      <c r="U40" s="0" t="n">
        <v>0</v>
      </c>
      <c r="V40" s="0" t="n">
        <v>0</v>
      </c>
      <c r="W40" s="0" t="n">
        <v>175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14802.08</v>
      </c>
      <c r="AH40" s="0" t="n">
        <v>14802.08</v>
      </c>
      <c r="AI40" s="0" t="n">
        <v>154</v>
      </c>
    </row>
    <row r="41" customFormat="false" ht="14.9" hidden="false" customHeight="false" outlineLevel="0" collapsed="false">
      <c r="A41" s="0" t="n">
        <v>40</v>
      </c>
      <c r="B41" s="0" t="s">
        <v>300</v>
      </c>
      <c r="C41" s="33" t="s">
        <v>301</v>
      </c>
      <c r="D41" s="34" t="n">
        <v>46231</v>
      </c>
      <c r="E41" s="0" t="n">
        <v>986.49</v>
      </c>
      <c r="F41" s="0" t="n">
        <v>8822.26</v>
      </c>
      <c r="G41" s="0" t="n">
        <v>6343.2</v>
      </c>
      <c r="H41" s="0" t="n">
        <v>2122.4</v>
      </c>
      <c r="I41" s="0" t="n">
        <v>13.54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240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18527.89</v>
      </c>
      <c r="AH41" s="0" t="n">
        <v>18527.89</v>
      </c>
      <c r="AI41" s="0" t="n">
        <v>133</v>
      </c>
    </row>
    <row r="42" customFormat="false" ht="14.9" hidden="false" customHeight="false" outlineLevel="0" collapsed="false">
      <c r="A42" s="0" t="n">
        <v>41</v>
      </c>
      <c r="B42" s="0" t="s">
        <v>300</v>
      </c>
      <c r="C42" s="33" t="s">
        <v>301</v>
      </c>
      <c r="D42" s="34" t="n">
        <v>46227</v>
      </c>
      <c r="E42" s="0" t="n">
        <v>669.92</v>
      </c>
      <c r="F42" s="0" t="n">
        <v>6431.2</v>
      </c>
      <c r="G42" s="0" t="n">
        <v>7990.49</v>
      </c>
      <c r="H42" s="0" t="n">
        <v>1007.5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309.3</v>
      </c>
      <c r="T42" s="0" t="n">
        <v>0</v>
      </c>
      <c r="U42" s="0" t="n">
        <v>0</v>
      </c>
      <c r="V42" s="0" t="n">
        <v>0</v>
      </c>
      <c r="W42" s="0" t="n">
        <v>68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16476.41</v>
      </c>
      <c r="AH42" s="0" t="n">
        <v>16476.41</v>
      </c>
      <c r="AI42" s="0" t="n">
        <v>101</v>
      </c>
    </row>
    <row r="43" customFormat="false" ht="14.9" hidden="false" customHeight="false" outlineLevel="0" collapsed="false">
      <c r="A43" s="0" t="n">
        <v>42</v>
      </c>
      <c r="B43" s="0" t="s">
        <v>300</v>
      </c>
      <c r="C43" s="33" t="s">
        <v>301</v>
      </c>
      <c r="D43" s="34" t="n">
        <v>46221</v>
      </c>
      <c r="E43" s="0" t="n">
        <v>548.6</v>
      </c>
      <c r="F43" s="0" t="n">
        <v>7286.4</v>
      </c>
      <c r="G43" s="0" t="n">
        <v>1825.9</v>
      </c>
      <c r="H43" s="0" t="n">
        <v>2108.2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30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11799.1</v>
      </c>
      <c r="AH43" s="0" t="n">
        <v>11799.1</v>
      </c>
      <c r="AI43" s="0" t="n">
        <v>114</v>
      </c>
    </row>
    <row r="44" customFormat="false" ht="14.9" hidden="false" customHeight="false" outlineLevel="0" collapsed="false">
      <c r="A44" s="0" t="n">
        <v>43</v>
      </c>
      <c r="B44" s="0" t="s">
        <v>300</v>
      </c>
      <c r="C44" s="33" t="s">
        <v>301</v>
      </c>
      <c r="D44" s="34" t="n">
        <v>46218</v>
      </c>
      <c r="E44" s="0" t="n">
        <v>1318.23</v>
      </c>
      <c r="F44" s="0" t="n">
        <v>7452.2</v>
      </c>
      <c r="G44" s="0" t="n">
        <v>1019.86</v>
      </c>
      <c r="H44" s="0" t="n">
        <v>1831.6</v>
      </c>
      <c r="I44" s="0" t="n">
        <v>52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12.5</v>
      </c>
      <c r="T44" s="0" t="n">
        <v>0</v>
      </c>
      <c r="U44" s="0" t="n">
        <v>0</v>
      </c>
      <c r="V44" s="0" t="n">
        <v>0</v>
      </c>
      <c r="W44" s="0" t="n">
        <v>40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11726.39</v>
      </c>
      <c r="AH44" s="0" t="n">
        <v>11726.39</v>
      </c>
      <c r="AI44" s="0" t="n">
        <v>137</v>
      </c>
    </row>
    <row r="45" customFormat="false" ht="14.9" hidden="false" customHeight="false" outlineLevel="0" collapsed="false">
      <c r="A45" s="0" t="n">
        <v>44</v>
      </c>
      <c r="B45" s="0" t="s">
        <v>300</v>
      </c>
      <c r="C45" s="33" t="s">
        <v>301</v>
      </c>
      <c r="D45" s="34" t="n">
        <v>46213</v>
      </c>
      <c r="E45" s="0" t="n">
        <v>436.1</v>
      </c>
      <c r="F45" s="0" t="n">
        <v>6522.7</v>
      </c>
      <c r="G45" s="0" t="n">
        <v>5812.49</v>
      </c>
      <c r="H45" s="0" t="n">
        <v>1333.3</v>
      </c>
      <c r="I45" s="0" t="n">
        <v>156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3.8</v>
      </c>
      <c r="W45" s="0" t="n">
        <v>38.1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14302.49</v>
      </c>
      <c r="AH45" s="0" t="n">
        <v>14302.49</v>
      </c>
      <c r="AI45" s="0" t="n">
        <v>106</v>
      </c>
    </row>
    <row r="46" customFormat="false" ht="14.9" hidden="false" customHeight="false" outlineLevel="0" collapsed="false">
      <c r="A46" s="0" t="n">
        <v>45</v>
      </c>
      <c r="B46" s="0" t="s">
        <v>300</v>
      </c>
      <c r="C46" s="33" t="s">
        <v>301</v>
      </c>
      <c r="D46" s="34" t="n">
        <v>46228</v>
      </c>
      <c r="E46" s="0" t="n">
        <v>36.51</v>
      </c>
      <c r="F46" s="0" t="n">
        <v>8968.29</v>
      </c>
      <c r="G46" s="0" t="n">
        <v>1221.2</v>
      </c>
      <c r="H46" s="0" t="n">
        <v>2719.1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0.01</v>
      </c>
      <c r="W46" s="0" t="n">
        <v>40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12985.11</v>
      </c>
      <c r="AH46" s="0" t="n">
        <v>12985.11</v>
      </c>
      <c r="AI46" s="0" t="n">
        <v>149</v>
      </c>
    </row>
    <row r="47" customFormat="false" ht="14.9" hidden="false" customHeight="false" outlineLevel="0" collapsed="false">
      <c r="A47" s="0" t="n">
        <v>46</v>
      </c>
      <c r="B47" s="0" t="s">
        <v>300</v>
      </c>
      <c r="C47" s="33" t="s">
        <v>301</v>
      </c>
      <c r="D47" s="34" t="n">
        <v>46205</v>
      </c>
      <c r="E47" s="0" t="n">
        <v>1687.61</v>
      </c>
      <c r="F47" s="0" t="n">
        <v>8130.4</v>
      </c>
      <c r="G47" s="0" t="n">
        <v>7161.9</v>
      </c>
      <c r="H47" s="0" t="n">
        <v>747.98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14</v>
      </c>
      <c r="T47" s="0" t="n">
        <v>0</v>
      </c>
      <c r="U47" s="0" t="n">
        <v>0</v>
      </c>
      <c r="V47" s="0" t="n">
        <v>0</v>
      </c>
      <c r="W47" s="0" t="n">
        <v>35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17776.89</v>
      </c>
      <c r="AH47" s="0" t="n">
        <v>17776.89</v>
      </c>
      <c r="AI47" s="0" t="n">
        <v>117</v>
      </c>
    </row>
    <row r="48" customFormat="false" ht="14.9" hidden="false" customHeight="false" outlineLevel="0" collapsed="false">
      <c r="A48" s="0" t="n">
        <v>47</v>
      </c>
      <c r="B48" s="0" t="s">
        <v>300</v>
      </c>
      <c r="C48" s="33" t="s">
        <v>301</v>
      </c>
      <c r="D48" s="34" t="n">
        <v>46219</v>
      </c>
      <c r="E48" s="0" t="n">
        <v>4654.45</v>
      </c>
      <c r="F48" s="0" t="n">
        <v>12646.29</v>
      </c>
      <c r="G48" s="0" t="n">
        <v>4220.38</v>
      </c>
      <c r="H48" s="0" t="n">
        <v>1298.7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36</v>
      </c>
      <c r="T48" s="0" t="n">
        <v>0</v>
      </c>
      <c r="U48" s="0" t="n">
        <v>0</v>
      </c>
      <c r="V48" s="0" t="n">
        <v>5.02</v>
      </c>
      <c r="W48" s="0" t="n">
        <v>60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22920.84</v>
      </c>
      <c r="AH48" s="0" t="n">
        <v>22920.84</v>
      </c>
      <c r="AI48" s="0" t="n">
        <v>150</v>
      </c>
    </row>
    <row r="49" customFormat="false" ht="14.9" hidden="false" customHeight="false" outlineLevel="0" collapsed="false">
      <c r="A49" s="0" t="n">
        <v>48</v>
      </c>
      <c r="B49" s="0" t="s">
        <v>300</v>
      </c>
      <c r="C49" s="33" t="s">
        <v>301</v>
      </c>
      <c r="D49" s="34" t="n">
        <v>46212</v>
      </c>
      <c r="E49" s="0" t="n">
        <v>39.93</v>
      </c>
      <c r="F49" s="0" t="n">
        <v>6597</v>
      </c>
      <c r="G49" s="0" t="n">
        <v>3513.91</v>
      </c>
      <c r="H49" s="0" t="n">
        <v>1940.98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49.8</v>
      </c>
      <c r="T49" s="0" t="n">
        <v>0</v>
      </c>
      <c r="U49" s="0" t="n">
        <v>0</v>
      </c>
      <c r="V49" s="0" t="n">
        <v>3.8</v>
      </c>
      <c r="W49" s="0" t="n">
        <v>20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12165.42</v>
      </c>
      <c r="AH49" s="0" t="n">
        <v>12165.42</v>
      </c>
      <c r="AI49" s="0" t="n">
        <v>113</v>
      </c>
    </row>
    <row r="50" customFormat="false" ht="14.9" hidden="false" customHeight="false" outlineLevel="0" collapsed="false">
      <c r="A50" s="0" t="n">
        <v>49</v>
      </c>
      <c r="B50" s="0" t="s">
        <v>300</v>
      </c>
      <c r="C50" s="33" t="s">
        <v>301</v>
      </c>
      <c r="D50" s="34" t="n">
        <v>46225</v>
      </c>
      <c r="E50" s="0" t="n">
        <v>1133.63</v>
      </c>
      <c r="F50" s="0" t="n">
        <v>8077.52</v>
      </c>
      <c r="G50" s="0" t="n">
        <v>3390.05</v>
      </c>
      <c r="H50" s="0" t="n">
        <v>790.96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65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13457.16</v>
      </c>
      <c r="AH50" s="0" t="n">
        <v>13457.16</v>
      </c>
      <c r="AI50" s="0" t="n">
        <v>134</v>
      </c>
    </row>
    <row r="51" customFormat="false" ht="14.9" hidden="false" customHeight="false" outlineLevel="0" collapsed="false">
      <c r="A51" s="0" t="n">
        <v>50</v>
      </c>
      <c r="B51" s="0" t="s">
        <v>300</v>
      </c>
      <c r="C51" s="33" t="s">
        <v>301</v>
      </c>
      <c r="D51" s="34" t="n">
        <v>46226</v>
      </c>
      <c r="E51" s="0" t="n">
        <v>1473.83</v>
      </c>
      <c r="F51" s="0" t="n">
        <v>5982.4</v>
      </c>
      <c r="G51" s="0" t="n">
        <v>4224.1</v>
      </c>
      <c r="H51" s="0" t="n">
        <v>1216.1</v>
      </c>
      <c r="I51" s="0" t="n">
        <v>96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55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13047.43</v>
      </c>
      <c r="AH51" s="0" t="n">
        <v>13047.43</v>
      </c>
      <c r="AI51" s="0" t="n">
        <v>110</v>
      </c>
    </row>
    <row r="52" customFormat="false" ht="14.9" hidden="false" customHeight="false" outlineLevel="0" collapsed="false">
      <c r="A52" s="0" t="n">
        <v>51</v>
      </c>
      <c r="B52" s="0" t="s">
        <v>300</v>
      </c>
      <c r="C52" s="33" t="s">
        <v>301</v>
      </c>
      <c r="D52" s="34" t="n">
        <v>46224</v>
      </c>
      <c r="E52" s="0" t="n">
        <v>1624.02</v>
      </c>
      <c r="F52" s="0" t="n">
        <v>11321.8</v>
      </c>
      <c r="G52" s="0" t="n">
        <v>2781.95</v>
      </c>
      <c r="H52" s="0" t="n">
        <v>1701.96</v>
      </c>
      <c r="I52" s="0" t="n">
        <v>167.91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65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17662.64</v>
      </c>
      <c r="AH52" s="0" t="n">
        <v>17662.64</v>
      </c>
      <c r="AI52" s="0" t="n">
        <v>156</v>
      </c>
    </row>
    <row r="53" customFormat="false" ht="14.9" hidden="false" customHeight="false" outlineLevel="0" collapsed="false">
      <c r="A53" s="0" t="n">
        <v>52</v>
      </c>
      <c r="B53" s="0" t="s">
        <v>300</v>
      </c>
      <c r="C53" s="33" t="s">
        <v>301</v>
      </c>
      <c r="D53" s="34" t="n">
        <v>46209</v>
      </c>
      <c r="E53" s="0" t="n">
        <v>704.5</v>
      </c>
      <c r="F53" s="0" t="n">
        <v>10823.04</v>
      </c>
      <c r="G53" s="0" t="n">
        <v>1553.07</v>
      </c>
      <c r="H53" s="0" t="n">
        <v>885.68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236</v>
      </c>
      <c r="T53" s="0" t="n">
        <v>0</v>
      </c>
      <c r="U53" s="0" t="n">
        <v>0</v>
      </c>
      <c r="V53" s="0" t="n">
        <v>0</v>
      </c>
      <c r="W53" s="0" t="n">
        <v>50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14252.29</v>
      </c>
      <c r="AH53" s="0" t="n">
        <v>14252.29</v>
      </c>
      <c r="AI53" s="0" t="n">
        <v>127</v>
      </c>
    </row>
    <row r="54" customFormat="false" ht="14.9" hidden="false" customHeight="false" outlineLevel="0" collapsed="false">
      <c r="A54" s="0" t="n">
        <v>53</v>
      </c>
      <c r="B54" s="0" t="s">
        <v>300</v>
      </c>
      <c r="C54" s="33" t="s">
        <v>301</v>
      </c>
      <c r="D54" s="34" t="n">
        <v>46223</v>
      </c>
      <c r="E54" s="0" t="n">
        <v>2684.56</v>
      </c>
      <c r="F54" s="0" t="n">
        <v>8521.41</v>
      </c>
      <c r="G54" s="0" t="n">
        <v>3182.35</v>
      </c>
      <c r="H54" s="0" t="n">
        <v>398.4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85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14871.72</v>
      </c>
      <c r="AH54" s="0" t="n">
        <v>14871.72</v>
      </c>
      <c r="AI54" s="0" t="n">
        <v>123</v>
      </c>
    </row>
    <row r="55" customFormat="false" ht="14.9" hidden="false" customHeight="false" outlineLevel="0" collapsed="false">
      <c r="A55" s="0" t="n">
        <v>54</v>
      </c>
      <c r="B55" s="0" t="s">
        <v>300</v>
      </c>
      <c r="C55" s="33" t="s">
        <v>301</v>
      </c>
      <c r="D55" s="34" t="n">
        <v>46208</v>
      </c>
      <c r="E55" s="0" t="n">
        <v>14</v>
      </c>
      <c r="F55" s="0" t="n">
        <v>6964.2</v>
      </c>
      <c r="G55" s="0" t="n">
        <v>2964.8</v>
      </c>
      <c r="H55" s="0" t="n">
        <v>1939.48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192.6</v>
      </c>
      <c r="T55" s="0" t="n">
        <v>0</v>
      </c>
      <c r="U55" s="0" t="n">
        <v>0</v>
      </c>
      <c r="V55" s="0" t="n">
        <v>0</v>
      </c>
      <c r="W55" s="0" t="n">
        <v>25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12100.08</v>
      </c>
      <c r="AH55" s="0" t="n">
        <v>12100.08</v>
      </c>
      <c r="AI55" s="0" t="n">
        <v>111</v>
      </c>
    </row>
    <row r="56" customFormat="false" ht="14.9" hidden="false" customHeight="false" outlineLevel="0" collapsed="false">
      <c r="A56" s="0" t="n">
        <v>55</v>
      </c>
      <c r="B56" s="0" t="s">
        <v>300</v>
      </c>
      <c r="C56" s="33" t="s">
        <v>301</v>
      </c>
      <c r="D56" s="34" t="n">
        <v>46215</v>
      </c>
      <c r="E56" s="0" t="n">
        <v>375.02</v>
      </c>
      <c r="F56" s="0" t="n">
        <v>8374.58</v>
      </c>
      <c r="G56" s="0" t="n">
        <v>5126.69</v>
      </c>
      <c r="H56" s="0" t="n">
        <v>1449.6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25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15350.89</v>
      </c>
      <c r="AH56" s="0" t="n">
        <v>15350.89</v>
      </c>
      <c r="AI56" s="0" t="n">
        <v>116</v>
      </c>
    </row>
    <row r="57" customFormat="false" ht="14.9" hidden="false" customHeight="false" outlineLevel="0" collapsed="false">
      <c r="A57" s="0" t="n">
        <v>56</v>
      </c>
      <c r="B57" s="0" t="s">
        <v>300</v>
      </c>
      <c r="C57" s="33" t="s">
        <v>301</v>
      </c>
      <c r="D57" s="34" t="n">
        <v>46211</v>
      </c>
      <c r="E57" s="0" t="n">
        <v>269.03</v>
      </c>
      <c r="F57" s="0" t="n">
        <v>8888.7</v>
      </c>
      <c r="G57" s="0" t="n">
        <v>1931</v>
      </c>
      <c r="H57" s="0" t="n">
        <v>999.08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138</v>
      </c>
      <c r="T57" s="0" t="n">
        <v>0</v>
      </c>
      <c r="U57" s="0" t="n">
        <v>0</v>
      </c>
      <c r="V57" s="0" t="n">
        <v>0</v>
      </c>
      <c r="W57" s="0" t="n">
        <v>30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12255.81</v>
      </c>
      <c r="AH57" s="0" t="n">
        <v>12255.81</v>
      </c>
      <c r="AI57" s="0" t="n">
        <v>106</v>
      </c>
    </row>
    <row r="58" customFormat="false" ht="14.9" hidden="false" customHeight="false" outlineLevel="0" collapsed="false">
      <c r="A58" s="0" t="n">
        <v>57</v>
      </c>
      <c r="B58" s="0" t="s">
        <v>300</v>
      </c>
      <c r="C58" s="33" t="s">
        <v>301</v>
      </c>
      <c r="D58" s="34" t="n">
        <v>46210</v>
      </c>
      <c r="E58" s="0" t="n">
        <v>881.4</v>
      </c>
      <c r="F58" s="0" t="n">
        <v>8534.38</v>
      </c>
      <c r="G58" s="0" t="n">
        <v>2642.05</v>
      </c>
      <c r="H58" s="0" t="n">
        <v>809.9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25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12892.73</v>
      </c>
      <c r="AH58" s="0" t="n">
        <v>12892.73</v>
      </c>
      <c r="AI58" s="0" t="n">
        <v>120</v>
      </c>
    </row>
    <row r="59" customFormat="false" ht="14.9" hidden="false" customHeight="false" outlineLevel="0" collapsed="false">
      <c r="A59" s="0" t="n">
        <v>58</v>
      </c>
      <c r="B59" s="0" t="s">
        <v>300</v>
      </c>
      <c r="C59" s="33" t="s">
        <v>301</v>
      </c>
      <c r="D59" s="34" t="n">
        <v>46216</v>
      </c>
      <c r="E59" s="0" t="n">
        <v>205.59</v>
      </c>
      <c r="F59" s="0" t="n">
        <v>8471.26</v>
      </c>
      <c r="G59" s="0" t="n">
        <v>2476.05</v>
      </c>
      <c r="H59" s="0" t="n">
        <v>1641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30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12823.9</v>
      </c>
      <c r="AH59" s="0" t="n">
        <v>12823.9</v>
      </c>
      <c r="AI59" s="0" t="n">
        <v>131</v>
      </c>
    </row>
    <row r="60" customFormat="false" ht="14.9" hidden="false" customHeight="false" outlineLevel="0" collapsed="false">
      <c r="A60" s="0" t="n">
        <v>59</v>
      </c>
      <c r="B60" s="0" t="s">
        <v>300</v>
      </c>
      <c r="C60" s="33" t="s">
        <v>301</v>
      </c>
      <c r="D60" s="34" t="n">
        <v>46206</v>
      </c>
      <c r="E60" s="0" t="n">
        <v>982.1</v>
      </c>
      <c r="F60" s="0" t="n">
        <v>4731</v>
      </c>
      <c r="G60" s="0" t="n">
        <v>3131.2</v>
      </c>
      <c r="H60" s="0" t="n">
        <v>1235.6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280</v>
      </c>
      <c r="T60" s="0" t="n">
        <v>0</v>
      </c>
      <c r="U60" s="0" t="n">
        <v>0</v>
      </c>
      <c r="V60" s="0" t="n">
        <v>0</v>
      </c>
      <c r="W60" s="0" t="n">
        <v>50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10409.9</v>
      </c>
      <c r="AH60" s="0" t="n">
        <v>10409.9</v>
      </c>
      <c r="AI60" s="0" t="n">
        <v>100</v>
      </c>
    </row>
    <row r="61" customFormat="false" ht="14.9" hidden="false" customHeight="false" outlineLevel="0" collapsed="false">
      <c r="A61" s="0" t="n">
        <v>60</v>
      </c>
      <c r="B61" s="0" t="s">
        <v>300</v>
      </c>
      <c r="C61" s="33" t="s">
        <v>301</v>
      </c>
      <c r="D61" s="34" t="n">
        <v>46229</v>
      </c>
      <c r="E61" s="0" t="n">
        <v>3958.59</v>
      </c>
      <c r="F61" s="0" t="n">
        <v>9130.11</v>
      </c>
      <c r="G61" s="0" t="n">
        <v>1310.11</v>
      </c>
      <c r="H61" s="0" t="n">
        <v>1939.25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498</v>
      </c>
      <c r="T61" s="0" t="n">
        <v>0</v>
      </c>
      <c r="U61" s="0" t="n">
        <v>0</v>
      </c>
      <c r="V61" s="0" t="n">
        <v>0</v>
      </c>
      <c r="W61" s="0" t="n">
        <v>40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16876.06</v>
      </c>
      <c r="AH61" s="0" t="n">
        <v>16876.06</v>
      </c>
      <c r="AI61" s="0" t="n">
        <v>140</v>
      </c>
    </row>
    <row r="62" customFormat="false" ht="14.9" hidden="false" customHeight="false" outlineLevel="0" collapsed="false">
      <c r="A62" s="0" t="n">
        <v>61</v>
      </c>
      <c r="B62" s="0" t="s">
        <v>300</v>
      </c>
      <c r="C62" s="33" t="s">
        <v>301</v>
      </c>
      <c r="D62" s="34" t="n">
        <v>46230</v>
      </c>
      <c r="E62" s="0" t="n">
        <v>2030</v>
      </c>
      <c r="F62" s="0" t="n">
        <v>7851.9</v>
      </c>
      <c r="G62" s="0" t="n">
        <v>3117.85</v>
      </c>
      <c r="H62" s="0" t="n">
        <v>1419.1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28</v>
      </c>
      <c r="T62" s="0" t="n">
        <v>0</v>
      </c>
      <c r="U62" s="0" t="n">
        <v>0</v>
      </c>
      <c r="V62" s="0" t="n">
        <v>0</v>
      </c>
      <c r="W62" s="0" t="n">
        <v>240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14686.85</v>
      </c>
      <c r="AH62" s="0" t="n">
        <v>14686.85</v>
      </c>
      <c r="AI62" s="0" t="n">
        <v>125</v>
      </c>
    </row>
    <row r="63" customFormat="false" ht="14.9" hidden="false" customHeight="false" outlineLevel="0" collapsed="false">
      <c r="A63" s="0" t="n">
        <v>62</v>
      </c>
      <c r="B63" s="0" t="s">
        <v>300</v>
      </c>
      <c r="C63" s="33" t="s">
        <v>301</v>
      </c>
      <c r="D63" s="34" t="n">
        <v>46204</v>
      </c>
      <c r="E63" s="0" t="n">
        <v>313.41</v>
      </c>
      <c r="F63" s="0" t="n">
        <v>7512.74</v>
      </c>
      <c r="G63" s="0" t="n">
        <v>4490.43</v>
      </c>
      <c r="H63" s="0" t="n">
        <v>1984.77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141.45</v>
      </c>
      <c r="T63" s="0" t="n">
        <v>0</v>
      </c>
      <c r="U63" s="0" t="n">
        <v>0</v>
      </c>
      <c r="V63" s="0" t="n">
        <v>0</v>
      </c>
      <c r="W63" s="0" t="n">
        <v>60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14502.8</v>
      </c>
      <c r="AH63" s="0" t="n">
        <v>14502.8</v>
      </c>
      <c r="AI63" s="0" t="n">
        <v>132</v>
      </c>
    </row>
    <row r="64" customFormat="false" ht="14.9" hidden="false" customHeight="false" outlineLevel="0" collapsed="false">
      <c r="A64" s="0" t="n">
        <v>63</v>
      </c>
      <c r="B64" s="0" t="s">
        <v>302</v>
      </c>
      <c r="C64" s="33" t="s">
        <v>303</v>
      </c>
      <c r="D64" s="34" t="n">
        <v>46205</v>
      </c>
      <c r="E64" s="0" t="n">
        <v>9.5</v>
      </c>
      <c r="F64" s="0" t="n">
        <v>861.8</v>
      </c>
      <c r="G64" s="0" t="n">
        <v>340.73</v>
      </c>
      <c r="H64" s="0" t="n">
        <v>567</v>
      </c>
      <c r="I64" s="0" t="n">
        <v>0</v>
      </c>
      <c r="J64" s="0" t="n">
        <v>2151.37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40</v>
      </c>
      <c r="T64" s="0" t="n">
        <v>0</v>
      </c>
      <c r="U64" s="0" t="n">
        <v>0</v>
      </c>
      <c r="V64" s="0" t="n">
        <v>0</v>
      </c>
      <c r="W64" s="0" t="n">
        <v>10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3980.4</v>
      </c>
      <c r="AH64" s="0" t="n">
        <v>3980.4</v>
      </c>
      <c r="AI64" s="0" t="n">
        <v>38</v>
      </c>
    </row>
    <row r="65" customFormat="false" ht="14.9" hidden="false" customHeight="false" outlineLevel="0" collapsed="false">
      <c r="A65" s="0" t="n">
        <v>64</v>
      </c>
      <c r="B65" s="0" t="s">
        <v>302</v>
      </c>
      <c r="C65" s="33" t="s">
        <v>303</v>
      </c>
      <c r="D65" s="34" t="n">
        <v>46226</v>
      </c>
      <c r="E65" s="0" t="n">
        <v>504.31</v>
      </c>
      <c r="F65" s="0" t="n">
        <v>942.56</v>
      </c>
      <c r="G65" s="0" t="n">
        <v>471.8</v>
      </c>
      <c r="H65" s="0" t="n">
        <v>390.06</v>
      </c>
      <c r="I65" s="0" t="n">
        <v>0</v>
      </c>
      <c r="J65" s="0" t="n">
        <v>0</v>
      </c>
      <c r="K65" s="0" t="n">
        <v>131.4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18.8</v>
      </c>
      <c r="T65" s="0" t="n">
        <v>0</v>
      </c>
      <c r="U65" s="0" t="n">
        <v>0</v>
      </c>
      <c r="V65" s="0" t="n">
        <v>0.02</v>
      </c>
      <c r="W65" s="0" t="n">
        <v>36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2494.95</v>
      </c>
      <c r="AH65" s="0" t="n">
        <v>2494.95</v>
      </c>
      <c r="AI65" s="0" t="n">
        <v>52</v>
      </c>
    </row>
    <row r="66" customFormat="false" ht="14.9" hidden="false" customHeight="false" outlineLevel="0" collapsed="false">
      <c r="A66" s="0" t="n">
        <v>65</v>
      </c>
      <c r="B66" s="0" t="s">
        <v>302</v>
      </c>
      <c r="C66" s="33" t="s">
        <v>303</v>
      </c>
      <c r="D66" s="34" t="n">
        <v>46230</v>
      </c>
      <c r="E66" s="0" t="n">
        <v>501.15</v>
      </c>
      <c r="F66" s="0" t="n">
        <v>1590.78</v>
      </c>
      <c r="G66" s="0" t="n">
        <v>754.2</v>
      </c>
      <c r="H66" s="0" t="n">
        <v>1055.05</v>
      </c>
      <c r="I66" s="0" t="n">
        <v>0</v>
      </c>
      <c r="J66" s="0" t="n">
        <v>852.54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125.66</v>
      </c>
      <c r="T66" s="0" t="n">
        <v>0</v>
      </c>
      <c r="U66" s="0" t="n">
        <v>0</v>
      </c>
      <c r="V66" s="0" t="n">
        <v>0.04</v>
      </c>
      <c r="W66" s="0" t="n">
        <v>103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4982.42</v>
      </c>
      <c r="AH66" s="0" t="n">
        <v>4982.42</v>
      </c>
      <c r="AI66" s="0" t="n">
        <v>66</v>
      </c>
    </row>
    <row r="67" customFormat="false" ht="14.9" hidden="false" customHeight="false" outlineLevel="0" collapsed="false">
      <c r="A67" s="0" t="n">
        <v>66</v>
      </c>
      <c r="B67" s="0" t="s">
        <v>302</v>
      </c>
      <c r="C67" s="33" t="s">
        <v>303</v>
      </c>
      <c r="D67" s="34" t="n">
        <v>46210</v>
      </c>
      <c r="E67" s="0" t="n">
        <v>173.3</v>
      </c>
      <c r="F67" s="0" t="n">
        <v>2081.67</v>
      </c>
      <c r="G67" s="0" t="n">
        <v>385.86</v>
      </c>
      <c r="H67" s="0" t="n">
        <v>663.9</v>
      </c>
      <c r="I67" s="0" t="n">
        <v>0</v>
      </c>
      <c r="J67" s="0" t="n">
        <v>2065.32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673.19</v>
      </c>
      <c r="T67" s="0" t="n">
        <v>0</v>
      </c>
      <c r="U67" s="0" t="n">
        <v>0</v>
      </c>
      <c r="V67" s="0" t="n">
        <v>0.01</v>
      </c>
      <c r="W67" s="0" t="n">
        <v>19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6062.25</v>
      </c>
      <c r="AH67" s="0" t="n">
        <v>6062.25</v>
      </c>
      <c r="AI67" s="0" t="n">
        <v>53</v>
      </c>
    </row>
    <row r="68" customFormat="false" ht="14.9" hidden="false" customHeight="false" outlineLevel="0" collapsed="false">
      <c r="A68" s="0" t="n">
        <v>67</v>
      </c>
      <c r="B68" s="0" t="s">
        <v>302</v>
      </c>
      <c r="C68" s="33" t="s">
        <v>303</v>
      </c>
      <c r="D68" s="34" t="n">
        <v>46215</v>
      </c>
      <c r="E68" s="0" t="n">
        <v>371.65</v>
      </c>
      <c r="F68" s="0" t="n">
        <v>1315.37</v>
      </c>
      <c r="G68" s="0" t="n">
        <v>45.4</v>
      </c>
      <c r="H68" s="0" t="n">
        <v>744.06</v>
      </c>
      <c r="I68" s="0" t="n">
        <v>0</v>
      </c>
      <c r="J68" s="0" t="n">
        <v>827.14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76.44</v>
      </c>
      <c r="T68" s="0" t="n">
        <v>0</v>
      </c>
      <c r="U68" s="0" t="n">
        <v>0</v>
      </c>
      <c r="V68" s="0" t="n">
        <v>0</v>
      </c>
      <c r="W68" s="0" t="n">
        <v>10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3390.06</v>
      </c>
      <c r="AH68" s="0" t="n">
        <v>3390.06</v>
      </c>
      <c r="AI68" s="0" t="n">
        <v>46</v>
      </c>
    </row>
    <row r="69" customFormat="false" ht="14.9" hidden="false" customHeight="false" outlineLevel="0" collapsed="false">
      <c r="A69" s="0" t="n">
        <v>68</v>
      </c>
      <c r="B69" s="0" t="s">
        <v>302</v>
      </c>
      <c r="C69" s="33" t="s">
        <v>303</v>
      </c>
      <c r="D69" s="34" t="n">
        <v>46209</v>
      </c>
      <c r="E69" s="0" t="n">
        <v>576.35</v>
      </c>
      <c r="F69" s="0" t="n">
        <v>1543.16</v>
      </c>
      <c r="G69" s="0" t="n">
        <v>934.26</v>
      </c>
      <c r="H69" s="0" t="n">
        <v>1393.85</v>
      </c>
      <c r="I69" s="0" t="n">
        <v>0</v>
      </c>
      <c r="J69" s="0" t="n">
        <v>1160.36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134.2</v>
      </c>
      <c r="T69" s="0" t="n">
        <v>0</v>
      </c>
      <c r="U69" s="0" t="n">
        <v>0</v>
      </c>
      <c r="V69" s="0" t="n">
        <v>0</v>
      </c>
      <c r="W69" s="0" t="n">
        <v>82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5824.18</v>
      </c>
      <c r="AH69" s="0" t="n">
        <v>5824.18</v>
      </c>
      <c r="AI69" s="0" t="n">
        <v>79</v>
      </c>
    </row>
    <row r="70" customFormat="false" ht="14.9" hidden="false" customHeight="false" outlineLevel="0" collapsed="false">
      <c r="A70" s="0" t="n">
        <v>69</v>
      </c>
      <c r="B70" s="0" t="s">
        <v>302</v>
      </c>
      <c r="C70" s="33" t="s">
        <v>303</v>
      </c>
      <c r="D70" s="34" t="n">
        <v>46224</v>
      </c>
      <c r="E70" s="0" t="n">
        <v>1296.89</v>
      </c>
      <c r="F70" s="0" t="n">
        <v>1441.94</v>
      </c>
      <c r="G70" s="0" t="n">
        <v>73.51</v>
      </c>
      <c r="H70" s="0" t="n">
        <v>1981.83</v>
      </c>
      <c r="I70" s="0" t="n">
        <v>144</v>
      </c>
      <c r="J70" s="0" t="n">
        <v>1816.46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323.49</v>
      </c>
      <c r="T70" s="0" t="n">
        <v>0</v>
      </c>
      <c r="U70" s="0" t="n">
        <v>0</v>
      </c>
      <c r="V70" s="0" t="n">
        <v>9.9</v>
      </c>
      <c r="W70" s="0" t="n">
        <v>54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7142.02</v>
      </c>
      <c r="AH70" s="0" t="n">
        <v>7142.02</v>
      </c>
      <c r="AI70" s="0" t="n">
        <v>68</v>
      </c>
    </row>
    <row r="71" customFormat="false" ht="14.9" hidden="false" customHeight="false" outlineLevel="0" collapsed="false">
      <c r="A71" s="0" t="n">
        <v>70</v>
      </c>
      <c r="B71" s="0" t="s">
        <v>302</v>
      </c>
      <c r="C71" s="33" t="s">
        <v>303</v>
      </c>
      <c r="D71" s="34" t="n">
        <v>46213</v>
      </c>
      <c r="E71" s="0" t="n">
        <v>334.42</v>
      </c>
      <c r="F71" s="0" t="n">
        <v>598.8</v>
      </c>
      <c r="G71" s="0" t="n">
        <v>413.94</v>
      </c>
      <c r="H71" s="0" t="n">
        <v>598.4</v>
      </c>
      <c r="I71" s="0" t="n">
        <v>0</v>
      </c>
      <c r="J71" s="0" t="n">
        <v>596.89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63.67</v>
      </c>
      <c r="T71" s="0" t="n">
        <v>0</v>
      </c>
      <c r="U71" s="0" t="n">
        <v>0</v>
      </c>
      <c r="V71" s="0" t="n">
        <v>0</v>
      </c>
      <c r="W71" s="0" t="n">
        <v>25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2631.12</v>
      </c>
      <c r="AH71" s="0" t="n">
        <v>2631.12</v>
      </c>
      <c r="AI71" s="0" t="n">
        <v>46</v>
      </c>
    </row>
    <row r="72" customFormat="false" ht="14.9" hidden="false" customHeight="false" outlineLevel="0" collapsed="false">
      <c r="A72" s="0" t="n">
        <v>71</v>
      </c>
      <c r="B72" s="0" t="s">
        <v>302</v>
      </c>
      <c r="C72" s="33" t="s">
        <v>303</v>
      </c>
      <c r="D72" s="34" t="n">
        <v>46227</v>
      </c>
      <c r="E72" s="0" t="n">
        <v>167.08</v>
      </c>
      <c r="F72" s="0" t="n">
        <v>1894.7</v>
      </c>
      <c r="G72" s="0" t="n">
        <v>296.55</v>
      </c>
      <c r="H72" s="0" t="n">
        <v>516.7</v>
      </c>
      <c r="I72" s="0" t="n">
        <v>0</v>
      </c>
      <c r="J72" s="0" t="n">
        <v>1423.29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23</v>
      </c>
      <c r="P72" s="0" t="n">
        <v>0</v>
      </c>
      <c r="Q72" s="0" t="n">
        <v>0</v>
      </c>
      <c r="R72" s="0" t="n">
        <v>0</v>
      </c>
      <c r="S72" s="0" t="n">
        <v>258.76</v>
      </c>
      <c r="T72" s="0" t="n">
        <v>0</v>
      </c>
      <c r="U72" s="0" t="n">
        <v>0</v>
      </c>
      <c r="V72" s="0" t="n">
        <v>0.02</v>
      </c>
      <c r="W72" s="0" t="n">
        <v>94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4674.1</v>
      </c>
      <c r="AH72" s="0" t="n">
        <v>4674.1</v>
      </c>
      <c r="AI72" s="0" t="n">
        <v>51</v>
      </c>
    </row>
    <row r="73" customFormat="false" ht="14.9" hidden="false" customHeight="false" outlineLevel="0" collapsed="false">
      <c r="A73" s="0" t="n">
        <v>72</v>
      </c>
      <c r="B73" s="0" t="s">
        <v>302</v>
      </c>
      <c r="C73" s="33" t="s">
        <v>303</v>
      </c>
      <c r="D73" s="34" t="n">
        <v>46211</v>
      </c>
      <c r="E73" s="0" t="n">
        <v>414.83</v>
      </c>
      <c r="F73" s="0" t="n">
        <v>1311.8</v>
      </c>
      <c r="G73" s="0" t="n">
        <v>52.97</v>
      </c>
      <c r="H73" s="0" t="n">
        <v>382.4</v>
      </c>
      <c r="I73" s="0" t="n">
        <v>0</v>
      </c>
      <c r="J73" s="0" t="n">
        <v>416.11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70.72</v>
      </c>
      <c r="T73" s="0" t="n">
        <v>0</v>
      </c>
      <c r="U73" s="0" t="n">
        <v>0</v>
      </c>
      <c r="V73" s="0" t="n">
        <v>0.01</v>
      </c>
      <c r="W73" s="0" t="n">
        <v>10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2658.84</v>
      </c>
      <c r="AH73" s="0" t="n">
        <v>2658.84</v>
      </c>
      <c r="AI73" s="0" t="n">
        <v>44</v>
      </c>
    </row>
    <row r="74" customFormat="false" ht="14.9" hidden="false" customHeight="false" outlineLevel="0" collapsed="false">
      <c r="A74" s="0" t="n">
        <v>73</v>
      </c>
      <c r="B74" s="0" t="s">
        <v>302</v>
      </c>
      <c r="C74" s="33" t="s">
        <v>303</v>
      </c>
      <c r="D74" s="34" t="n">
        <v>46233</v>
      </c>
      <c r="E74" s="0" t="n">
        <v>323.6</v>
      </c>
      <c r="F74" s="0" t="n">
        <v>1310.43</v>
      </c>
      <c r="G74" s="0" t="n">
        <v>264.83</v>
      </c>
      <c r="H74" s="0" t="n">
        <v>1849.27</v>
      </c>
      <c r="I74" s="0" t="n">
        <v>0</v>
      </c>
      <c r="J74" s="0" t="n">
        <v>1398.25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166.89</v>
      </c>
      <c r="T74" s="0" t="n">
        <v>0</v>
      </c>
      <c r="U74" s="0" t="n">
        <v>0</v>
      </c>
      <c r="V74" s="0" t="n">
        <v>0.01</v>
      </c>
      <c r="W74" s="0" t="n">
        <v>228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5541.28</v>
      </c>
      <c r="AH74" s="0" t="n">
        <v>5541.28</v>
      </c>
      <c r="AI74" s="0" t="n">
        <v>58</v>
      </c>
    </row>
    <row r="75" customFormat="false" ht="14.9" hidden="false" customHeight="false" outlineLevel="0" collapsed="false">
      <c r="A75" s="0" t="n">
        <v>74</v>
      </c>
      <c r="B75" s="0" t="s">
        <v>302</v>
      </c>
      <c r="C75" s="33" t="s">
        <v>303</v>
      </c>
      <c r="D75" s="34" t="n">
        <v>46229</v>
      </c>
      <c r="E75" s="0" t="n">
        <v>686.54</v>
      </c>
      <c r="F75" s="0" t="n">
        <v>2663.1</v>
      </c>
      <c r="G75" s="0" t="n">
        <v>487.94</v>
      </c>
      <c r="H75" s="0" t="n">
        <v>1383.76</v>
      </c>
      <c r="I75" s="0" t="n">
        <v>0</v>
      </c>
      <c r="J75" s="0" t="n">
        <v>1905.32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283.07</v>
      </c>
      <c r="T75" s="0" t="n">
        <v>0</v>
      </c>
      <c r="U75" s="0" t="n">
        <v>0</v>
      </c>
      <c r="V75" s="0" t="n">
        <v>0</v>
      </c>
      <c r="W75" s="0" t="n">
        <v>137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7546.73</v>
      </c>
      <c r="AH75" s="0" t="n">
        <v>7546.73</v>
      </c>
      <c r="AI75" s="0" t="n">
        <v>67</v>
      </c>
    </row>
    <row r="76" customFormat="false" ht="14.9" hidden="false" customHeight="false" outlineLevel="0" collapsed="false">
      <c r="A76" s="0" t="n">
        <v>75</v>
      </c>
      <c r="B76" s="0" t="s">
        <v>302</v>
      </c>
      <c r="C76" s="33" t="s">
        <v>303</v>
      </c>
      <c r="D76" s="34" t="n">
        <v>46223</v>
      </c>
      <c r="E76" s="0" t="n">
        <v>455.4</v>
      </c>
      <c r="F76" s="0" t="n">
        <v>822.8</v>
      </c>
      <c r="G76" s="0" t="n">
        <v>58.55</v>
      </c>
      <c r="H76" s="0" t="n">
        <v>688.5</v>
      </c>
      <c r="I76" s="0" t="n">
        <v>0</v>
      </c>
      <c r="J76" s="0" t="n">
        <v>1116.92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71.93</v>
      </c>
      <c r="T76" s="0" t="n">
        <v>0</v>
      </c>
      <c r="U76" s="0" t="n">
        <v>0</v>
      </c>
      <c r="V76" s="0" t="n">
        <v>0</v>
      </c>
      <c r="W76" s="0" t="n">
        <v>28.1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3242.2</v>
      </c>
      <c r="AH76" s="0" t="n">
        <v>3242.2</v>
      </c>
      <c r="AI76" s="0" t="n">
        <v>47</v>
      </c>
    </row>
    <row r="77" customFormat="false" ht="14.9" hidden="false" customHeight="false" outlineLevel="0" collapsed="false">
      <c r="A77" s="0" t="n">
        <v>76</v>
      </c>
      <c r="B77" s="0" t="s">
        <v>302</v>
      </c>
      <c r="C77" s="33" t="s">
        <v>303</v>
      </c>
      <c r="D77" s="34" t="n">
        <v>46207</v>
      </c>
      <c r="E77" s="0" t="n">
        <v>366.7</v>
      </c>
      <c r="F77" s="0" t="n">
        <v>1565.08</v>
      </c>
      <c r="G77" s="0" t="n">
        <v>495.15</v>
      </c>
      <c r="H77" s="0" t="n">
        <v>786.08</v>
      </c>
      <c r="I77" s="0" t="n">
        <v>0</v>
      </c>
      <c r="J77" s="0" t="n">
        <v>405.65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374.7</v>
      </c>
      <c r="T77" s="0" t="n">
        <v>0</v>
      </c>
      <c r="U77" s="0" t="n">
        <v>0</v>
      </c>
      <c r="V77" s="0" t="n">
        <v>0</v>
      </c>
      <c r="W77" s="0" t="n">
        <v>23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4016.36</v>
      </c>
      <c r="AH77" s="0" t="n">
        <v>4016.36</v>
      </c>
      <c r="AI77" s="0" t="n">
        <v>46</v>
      </c>
    </row>
    <row r="78" customFormat="false" ht="14.9" hidden="false" customHeight="false" outlineLevel="0" collapsed="false">
      <c r="A78" s="0" t="n">
        <v>77</v>
      </c>
      <c r="B78" s="0" t="s">
        <v>302</v>
      </c>
      <c r="C78" s="33" t="s">
        <v>303</v>
      </c>
      <c r="D78" s="34" t="n">
        <v>46214</v>
      </c>
      <c r="E78" s="0" t="n">
        <v>618.51</v>
      </c>
      <c r="F78" s="0" t="n">
        <v>802.83</v>
      </c>
      <c r="G78" s="0" t="n">
        <v>678.63</v>
      </c>
      <c r="H78" s="0" t="n">
        <v>692.02</v>
      </c>
      <c r="I78" s="0" t="n">
        <v>0</v>
      </c>
      <c r="J78" s="0" t="n">
        <v>3508.25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75.1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6375.34</v>
      </c>
      <c r="AH78" s="0" t="n">
        <v>6375.34</v>
      </c>
      <c r="AI78" s="0" t="n">
        <v>66</v>
      </c>
    </row>
    <row r="79" customFormat="false" ht="14.9" hidden="false" customHeight="false" outlineLevel="0" collapsed="false">
      <c r="A79" s="0" t="n">
        <v>78</v>
      </c>
      <c r="B79" s="0" t="s">
        <v>302</v>
      </c>
      <c r="C79" s="33" t="s">
        <v>303</v>
      </c>
      <c r="D79" s="34" t="n">
        <v>46234</v>
      </c>
      <c r="E79" s="0" t="n">
        <v>330.2</v>
      </c>
      <c r="F79" s="0" t="n">
        <v>1136.54</v>
      </c>
      <c r="G79" s="0" t="n">
        <v>178.9</v>
      </c>
      <c r="H79" s="0" t="n">
        <v>455.6</v>
      </c>
      <c r="I79" s="0" t="n">
        <v>0</v>
      </c>
      <c r="J79" s="0" t="n">
        <v>1197.85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91.22</v>
      </c>
      <c r="T79" s="0" t="n">
        <v>0</v>
      </c>
      <c r="U79" s="0" t="n">
        <v>0</v>
      </c>
      <c r="V79" s="0" t="n">
        <v>0</v>
      </c>
      <c r="W79" s="0" t="n">
        <v>339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3729.31</v>
      </c>
      <c r="AH79" s="0" t="n">
        <v>3729.31</v>
      </c>
      <c r="AI79" s="0" t="n">
        <v>56</v>
      </c>
    </row>
    <row r="80" customFormat="false" ht="14.9" hidden="false" customHeight="false" outlineLevel="0" collapsed="false">
      <c r="A80" s="0" t="n">
        <v>79</v>
      </c>
      <c r="B80" s="0" t="s">
        <v>302</v>
      </c>
      <c r="C80" s="33" t="s">
        <v>303</v>
      </c>
      <c r="D80" s="34" t="n">
        <v>46220</v>
      </c>
      <c r="E80" s="0" t="n">
        <v>403.34</v>
      </c>
      <c r="F80" s="0" t="n">
        <v>1491</v>
      </c>
      <c r="G80" s="0" t="n">
        <v>416.87</v>
      </c>
      <c r="H80" s="0" t="n">
        <v>651.6</v>
      </c>
      <c r="I80" s="0" t="n">
        <v>0</v>
      </c>
      <c r="J80" s="0" t="n">
        <v>155.33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19.5</v>
      </c>
      <c r="P80" s="0" t="n">
        <v>0</v>
      </c>
      <c r="Q80" s="0" t="n">
        <v>0</v>
      </c>
      <c r="R80" s="0" t="n">
        <v>0</v>
      </c>
      <c r="S80" s="0" t="n">
        <v>311.7</v>
      </c>
      <c r="T80" s="0" t="n">
        <v>0</v>
      </c>
      <c r="U80" s="0" t="n">
        <v>0</v>
      </c>
      <c r="V80" s="0" t="n">
        <v>0.01</v>
      </c>
      <c r="W80" s="0" t="n">
        <v>35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3484.35</v>
      </c>
      <c r="AH80" s="0" t="n">
        <v>3484.35</v>
      </c>
      <c r="AI80" s="0" t="n">
        <v>51</v>
      </c>
    </row>
    <row r="81" customFormat="false" ht="14.9" hidden="false" customHeight="false" outlineLevel="0" collapsed="false">
      <c r="A81" s="0" t="n">
        <v>80</v>
      </c>
      <c r="B81" s="0" t="s">
        <v>302</v>
      </c>
      <c r="C81" s="33" t="s">
        <v>303</v>
      </c>
      <c r="D81" s="34" t="n">
        <v>46208</v>
      </c>
      <c r="E81" s="0" t="n">
        <v>240.7</v>
      </c>
      <c r="F81" s="0" t="n">
        <v>1531.3</v>
      </c>
      <c r="G81" s="0" t="n">
        <v>617.17</v>
      </c>
      <c r="H81" s="0" t="n">
        <v>432.5</v>
      </c>
      <c r="I81" s="0" t="n">
        <v>0</v>
      </c>
      <c r="J81" s="0" t="n">
        <v>840.28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87.75</v>
      </c>
      <c r="T81" s="0" t="n">
        <v>0</v>
      </c>
      <c r="U81" s="0" t="n">
        <v>0</v>
      </c>
      <c r="V81" s="0" t="n">
        <v>0</v>
      </c>
      <c r="W81" s="0" t="n">
        <v>10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3759.7</v>
      </c>
      <c r="AH81" s="0" t="n">
        <v>3759.7</v>
      </c>
      <c r="AI81" s="0" t="n">
        <v>44</v>
      </c>
    </row>
    <row r="82" customFormat="false" ht="14.9" hidden="false" customHeight="false" outlineLevel="0" collapsed="false">
      <c r="A82" s="0" t="n">
        <v>81</v>
      </c>
      <c r="B82" s="0" t="s">
        <v>302</v>
      </c>
      <c r="C82" s="33" t="s">
        <v>303</v>
      </c>
      <c r="D82" s="34" t="n">
        <v>46206</v>
      </c>
      <c r="E82" s="0" t="n">
        <v>272.8</v>
      </c>
      <c r="F82" s="0" t="n">
        <v>812.4</v>
      </c>
      <c r="G82" s="0" t="n">
        <v>135.49</v>
      </c>
      <c r="H82" s="0" t="n">
        <v>514.06</v>
      </c>
      <c r="I82" s="0" t="n">
        <v>0</v>
      </c>
      <c r="J82" s="0" t="n">
        <v>673.27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24.9</v>
      </c>
      <c r="P82" s="0" t="n">
        <v>0</v>
      </c>
      <c r="Q82" s="0" t="n">
        <v>0</v>
      </c>
      <c r="R82" s="0" t="n">
        <v>0</v>
      </c>
      <c r="S82" s="0" t="n">
        <v>52.84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2485.76</v>
      </c>
      <c r="AH82" s="0" t="n">
        <v>2485.76</v>
      </c>
      <c r="AI82" s="0" t="n">
        <v>45</v>
      </c>
    </row>
    <row r="83" customFormat="false" ht="14.9" hidden="false" customHeight="false" outlineLevel="0" collapsed="false">
      <c r="A83" s="0" t="n">
        <v>82</v>
      </c>
      <c r="B83" s="0" t="s">
        <v>302</v>
      </c>
      <c r="C83" s="33" t="s">
        <v>303</v>
      </c>
      <c r="D83" s="34" t="n">
        <v>46228</v>
      </c>
      <c r="E83" s="0" t="n">
        <v>219.52</v>
      </c>
      <c r="F83" s="0" t="n">
        <v>1025.8</v>
      </c>
      <c r="G83" s="0" t="n">
        <v>127.16</v>
      </c>
      <c r="H83" s="0" t="n">
        <v>3979.56</v>
      </c>
      <c r="I83" s="0" t="n">
        <v>0</v>
      </c>
      <c r="J83" s="0" t="n">
        <v>911.91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120.57</v>
      </c>
      <c r="T83" s="0" t="n">
        <v>0</v>
      </c>
      <c r="U83" s="0" t="n">
        <v>0</v>
      </c>
      <c r="V83" s="0" t="n">
        <v>0.01</v>
      </c>
      <c r="W83" s="0" t="n">
        <v>81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6465.53</v>
      </c>
      <c r="AH83" s="0" t="n">
        <v>6465.53</v>
      </c>
      <c r="AI83" s="0" t="n">
        <v>56</v>
      </c>
    </row>
    <row r="84" customFormat="false" ht="14.9" hidden="false" customHeight="false" outlineLevel="0" collapsed="false">
      <c r="A84" s="0" t="n">
        <v>83</v>
      </c>
      <c r="B84" s="0" t="s">
        <v>302</v>
      </c>
      <c r="C84" s="33" t="s">
        <v>303</v>
      </c>
      <c r="D84" s="34" t="n">
        <v>46218</v>
      </c>
      <c r="E84" s="0" t="n">
        <v>9.45</v>
      </c>
      <c r="F84" s="0" t="n">
        <v>864.8</v>
      </c>
      <c r="G84" s="0" t="n">
        <v>171.27</v>
      </c>
      <c r="H84" s="0" t="n">
        <v>1894.8</v>
      </c>
      <c r="I84" s="0" t="n">
        <v>0</v>
      </c>
      <c r="J84" s="0" t="n">
        <v>960.93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26.05</v>
      </c>
      <c r="T84" s="0" t="n">
        <v>0</v>
      </c>
      <c r="U84" s="0" t="n">
        <v>0</v>
      </c>
      <c r="V84" s="0" t="n">
        <v>0.01</v>
      </c>
      <c r="W84" s="0" t="n">
        <v>46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3973.31</v>
      </c>
      <c r="AH84" s="0" t="n">
        <v>3973.31</v>
      </c>
      <c r="AI84" s="0" t="n">
        <v>53</v>
      </c>
    </row>
    <row r="85" customFormat="false" ht="14.9" hidden="false" customHeight="false" outlineLevel="0" collapsed="false">
      <c r="A85" s="0" t="n">
        <v>84</v>
      </c>
      <c r="B85" s="0" t="s">
        <v>302</v>
      </c>
      <c r="C85" s="33" t="s">
        <v>303</v>
      </c>
      <c r="D85" s="34" t="n">
        <v>46225</v>
      </c>
      <c r="E85" s="0" t="n">
        <v>640.3</v>
      </c>
      <c r="F85" s="0" t="n">
        <v>1765.7</v>
      </c>
      <c r="G85" s="0" t="n">
        <v>43.68</v>
      </c>
      <c r="H85" s="0" t="n">
        <v>749.3</v>
      </c>
      <c r="I85" s="0" t="n">
        <v>0</v>
      </c>
      <c r="J85" s="0" t="n">
        <v>694.74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106.88</v>
      </c>
      <c r="T85" s="0" t="n">
        <v>0</v>
      </c>
      <c r="U85" s="0" t="n">
        <v>0</v>
      </c>
      <c r="V85" s="0" t="n">
        <v>0.01</v>
      </c>
      <c r="W85" s="0" t="n">
        <v>106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4106.61</v>
      </c>
      <c r="AH85" s="0" t="n">
        <v>4106.61</v>
      </c>
      <c r="AI85" s="0" t="n">
        <v>65</v>
      </c>
    </row>
    <row r="86" customFormat="false" ht="14.9" hidden="false" customHeight="false" outlineLevel="0" collapsed="false">
      <c r="A86" s="0" t="n">
        <v>85</v>
      </c>
      <c r="B86" s="0" t="s">
        <v>302</v>
      </c>
      <c r="C86" s="33" t="s">
        <v>303</v>
      </c>
      <c r="D86" s="34" t="n">
        <v>46212</v>
      </c>
      <c r="E86" s="0" t="n">
        <v>47.91</v>
      </c>
      <c r="F86" s="0" t="n">
        <v>941.4</v>
      </c>
      <c r="G86" s="0" t="n">
        <v>412.75</v>
      </c>
      <c r="H86" s="0" t="n">
        <v>744</v>
      </c>
      <c r="I86" s="0" t="n">
        <v>0</v>
      </c>
      <c r="J86" s="0" t="n">
        <v>1519.02</v>
      </c>
      <c r="K86" s="0" t="n">
        <v>454.88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153.54</v>
      </c>
      <c r="T86" s="0" t="n">
        <v>0</v>
      </c>
      <c r="U86" s="0" t="n">
        <v>0</v>
      </c>
      <c r="V86" s="0" t="n">
        <v>0</v>
      </c>
      <c r="W86" s="0" t="n">
        <v>20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4293.5</v>
      </c>
      <c r="AH86" s="0" t="n">
        <v>4293.5</v>
      </c>
      <c r="AI86" s="0" t="n">
        <v>55</v>
      </c>
    </row>
    <row r="87" customFormat="false" ht="14.9" hidden="false" customHeight="false" outlineLevel="0" collapsed="false">
      <c r="A87" s="0" t="n">
        <v>86</v>
      </c>
      <c r="B87" s="0" t="s">
        <v>302</v>
      </c>
      <c r="C87" s="33" t="s">
        <v>303</v>
      </c>
      <c r="D87" s="34" t="n">
        <v>46219</v>
      </c>
      <c r="E87" s="0" t="n">
        <v>548.2</v>
      </c>
      <c r="F87" s="0" t="n">
        <v>554.3</v>
      </c>
      <c r="G87" s="0" t="n">
        <v>57.82</v>
      </c>
      <c r="H87" s="0" t="n">
        <v>848.99</v>
      </c>
      <c r="I87" s="0" t="n">
        <v>0</v>
      </c>
      <c r="J87" s="0" t="n">
        <v>732.83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64.45</v>
      </c>
      <c r="T87" s="0" t="n">
        <v>0</v>
      </c>
      <c r="U87" s="0" t="n">
        <v>0</v>
      </c>
      <c r="V87" s="0" t="n">
        <v>0</v>
      </c>
      <c r="W87" s="0" t="n">
        <v>59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2865.59</v>
      </c>
      <c r="AH87" s="0" t="n">
        <v>2865.59</v>
      </c>
      <c r="AI87" s="0" t="n">
        <v>35</v>
      </c>
    </row>
    <row r="88" customFormat="false" ht="14.9" hidden="false" customHeight="false" outlineLevel="0" collapsed="false">
      <c r="A88" s="0" t="n">
        <v>87</v>
      </c>
      <c r="B88" s="0" t="s">
        <v>302</v>
      </c>
      <c r="C88" s="33" t="s">
        <v>303</v>
      </c>
      <c r="D88" s="34" t="n">
        <v>46217</v>
      </c>
      <c r="E88" s="0" t="n">
        <v>73.4</v>
      </c>
      <c r="F88" s="0" t="n">
        <v>1720.45</v>
      </c>
      <c r="G88" s="0" t="n">
        <v>7.57</v>
      </c>
      <c r="H88" s="0" t="n">
        <v>647.28</v>
      </c>
      <c r="I88" s="0" t="n">
        <v>0</v>
      </c>
      <c r="J88" s="0" t="n">
        <v>297.26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24.8</v>
      </c>
      <c r="P88" s="0" t="n">
        <v>0</v>
      </c>
      <c r="Q88" s="0" t="n">
        <v>0</v>
      </c>
      <c r="R88" s="0" t="n">
        <v>0</v>
      </c>
      <c r="S88" s="0" t="n">
        <v>24.07</v>
      </c>
      <c r="T88" s="0" t="n">
        <v>0</v>
      </c>
      <c r="U88" s="0" t="n">
        <v>0</v>
      </c>
      <c r="V88" s="0" t="n">
        <v>0.01</v>
      </c>
      <c r="W88" s="0" t="n">
        <v>40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2834.84</v>
      </c>
      <c r="AH88" s="0" t="n">
        <v>2834.84</v>
      </c>
      <c r="AI88" s="0" t="n">
        <v>47</v>
      </c>
    </row>
    <row r="89" customFormat="false" ht="14.9" hidden="false" customHeight="false" outlineLevel="0" collapsed="false">
      <c r="A89" s="0" t="n">
        <v>88</v>
      </c>
      <c r="B89" s="0" t="s">
        <v>302</v>
      </c>
      <c r="C89" s="33" t="s">
        <v>303</v>
      </c>
      <c r="D89" s="34" t="n">
        <v>46222</v>
      </c>
      <c r="E89" s="0" t="n">
        <v>296</v>
      </c>
      <c r="F89" s="0" t="n">
        <v>2171.3</v>
      </c>
      <c r="G89" s="0" t="n">
        <v>70.07</v>
      </c>
      <c r="H89" s="0" t="n">
        <v>1884.1</v>
      </c>
      <c r="I89" s="0" t="n">
        <v>0</v>
      </c>
      <c r="J89" s="0" t="n">
        <v>929.37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14.56</v>
      </c>
      <c r="T89" s="0" t="n">
        <v>0</v>
      </c>
      <c r="U89" s="0" t="n">
        <v>0</v>
      </c>
      <c r="V89" s="0" t="n">
        <v>0</v>
      </c>
      <c r="W89" s="0" t="n">
        <v>38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5403.4</v>
      </c>
      <c r="AH89" s="0" t="n">
        <v>5403.4</v>
      </c>
      <c r="AI89" s="0" t="n">
        <v>52</v>
      </c>
    </row>
    <row r="90" customFormat="false" ht="14.9" hidden="false" customHeight="false" outlineLevel="0" collapsed="false">
      <c r="A90" s="0" t="n">
        <v>89</v>
      </c>
      <c r="B90" s="0" t="s">
        <v>302</v>
      </c>
      <c r="C90" s="33" t="s">
        <v>303</v>
      </c>
      <c r="D90" s="34" t="n">
        <v>46221</v>
      </c>
      <c r="E90" s="0" t="n">
        <v>181.15</v>
      </c>
      <c r="F90" s="0" t="n">
        <v>855.14</v>
      </c>
      <c r="G90" s="0" t="n">
        <v>142.81</v>
      </c>
      <c r="H90" s="0" t="n">
        <v>528.6</v>
      </c>
      <c r="I90" s="0" t="n">
        <v>0</v>
      </c>
      <c r="J90" s="0" t="n">
        <v>1273.06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12.88</v>
      </c>
      <c r="T90" s="0" t="n">
        <v>0</v>
      </c>
      <c r="U90" s="0" t="n">
        <v>0</v>
      </c>
      <c r="V90" s="0" t="n">
        <v>0</v>
      </c>
      <c r="W90" s="0" t="n">
        <v>45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3038.64</v>
      </c>
      <c r="AH90" s="0" t="n">
        <v>3038.64</v>
      </c>
      <c r="AI90" s="0" t="n">
        <v>52</v>
      </c>
    </row>
    <row r="91" customFormat="false" ht="14.9" hidden="false" customHeight="false" outlineLevel="0" collapsed="false">
      <c r="A91" s="0" t="n">
        <v>90</v>
      </c>
      <c r="B91" s="0" t="s">
        <v>302</v>
      </c>
      <c r="C91" s="33" t="s">
        <v>303</v>
      </c>
      <c r="D91" s="34" t="n">
        <v>46231</v>
      </c>
      <c r="E91" s="0" t="n">
        <v>260.3</v>
      </c>
      <c r="F91" s="0" t="n">
        <v>1163.2</v>
      </c>
      <c r="G91" s="0" t="n">
        <v>163.3</v>
      </c>
      <c r="H91" s="0" t="n">
        <v>436.8</v>
      </c>
      <c r="I91" s="0" t="n">
        <v>0</v>
      </c>
      <c r="J91" s="0" t="n">
        <v>407.36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21.44</v>
      </c>
      <c r="T91" s="0" t="n">
        <v>0</v>
      </c>
      <c r="U91" s="0" t="n">
        <v>0</v>
      </c>
      <c r="V91" s="0" t="n">
        <v>0</v>
      </c>
      <c r="W91" s="0" t="n">
        <v>123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2575.4</v>
      </c>
      <c r="AH91" s="0" t="n">
        <v>2575.4</v>
      </c>
      <c r="AI91" s="0" t="n">
        <v>39</v>
      </c>
    </row>
    <row r="92" customFormat="false" ht="14.9" hidden="false" customHeight="false" outlineLevel="0" collapsed="false">
      <c r="A92" s="0" t="n">
        <v>91</v>
      </c>
      <c r="B92" s="0" t="s">
        <v>302</v>
      </c>
      <c r="C92" s="33" t="s">
        <v>303</v>
      </c>
      <c r="D92" s="34" t="n">
        <v>46232</v>
      </c>
      <c r="E92" s="0" t="n">
        <v>425.5</v>
      </c>
      <c r="F92" s="0" t="n">
        <v>894.7</v>
      </c>
      <c r="G92" s="0" t="n">
        <v>335.43</v>
      </c>
      <c r="H92" s="0" t="n">
        <v>1234.2</v>
      </c>
      <c r="I92" s="0" t="n">
        <v>0</v>
      </c>
      <c r="J92" s="0" t="n">
        <v>334.59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50.68</v>
      </c>
      <c r="T92" s="0" t="n">
        <v>0</v>
      </c>
      <c r="U92" s="0" t="n">
        <v>0</v>
      </c>
      <c r="V92" s="0" t="n">
        <v>0.02</v>
      </c>
      <c r="W92" s="0" t="n">
        <v>99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3374.12</v>
      </c>
      <c r="AH92" s="0" t="n">
        <v>3374.12</v>
      </c>
      <c r="AI92" s="0" t="n">
        <v>54</v>
      </c>
    </row>
    <row r="93" customFormat="false" ht="14.9" hidden="false" customHeight="false" outlineLevel="0" collapsed="false">
      <c r="A93" s="0" t="n">
        <v>92</v>
      </c>
      <c r="B93" s="0" t="s">
        <v>302</v>
      </c>
      <c r="C93" s="33" t="s">
        <v>303</v>
      </c>
      <c r="D93" s="34" t="n">
        <v>46216</v>
      </c>
      <c r="E93" s="0" t="n">
        <v>128.8</v>
      </c>
      <c r="F93" s="0" t="n">
        <v>1096.95</v>
      </c>
      <c r="G93" s="0" t="n">
        <v>91.08</v>
      </c>
      <c r="H93" s="0" t="n">
        <v>1392.08</v>
      </c>
      <c r="I93" s="0" t="n">
        <v>0</v>
      </c>
      <c r="J93" s="0" t="n">
        <v>128.64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82.48</v>
      </c>
      <c r="T93" s="0" t="n">
        <v>0</v>
      </c>
      <c r="U93" s="0" t="n">
        <v>0</v>
      </c>
      <c r="V93" s="0" t="n">
        <v>0</v>
      </c>
      <c r="W93" s="0" t="n">
        <v>41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2961.03</v>
      </c>
      <c r="AH93" s="0" t="n">
        <v>2961.03</v>
      </c>
      <c r="AI93" s="0" t="n">
        <v>51</v>
      </c>
    </row>
    <row r="94" customFormat="false" ht="14.9" hidden="false" customHeight="false" outlineLevel="0" collapsed="false">
      <c r="A94" s="0" t="n">
        <v>93</v>
      </c>
      <c r="B94" s="0" t="s">
        <v>302</v>
      </c>
      <c r="C94" s="33" t="s">
        <v>303</v>
      </c>
      <c r="D94" s="34" t="n">
        <v>46204</v>
      </c>
      <c r="E94" s="0" t="n">
        <v>85.23</v>
      </c>
      <c r="F94" s="0" t="n">
        <v>386.59</v>
      </c>
      <c r="G94" s="0" t="n">
        <v>1083.1</v>
      </c>
      <c r="H94" s="0" t="n">
        <v>620.49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281.21</v>
      </c>
      <c r="T94" s="0" t="n">
        <v>0</v>
      </c>
      <c r="U94" s="0" t="n">
        <v>0</v>
      </c>
      <c r="V94" s="0" t="n">
        <v>0</v>
      </c>
      <c r="W94" s="0" t="n">
        <v>8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2464.62</v>
      </c>
      <c r="AH94" s="0" t="n">
        <v>2464.62</v>
      </c>
      <c r="AI94" s="0" t="n">
        <v>42</v>
      </c>
    </row>
    <row r="95" customFormat="false" ht="14.9" hidden="false" customHeight="false" outlineLevel="0" collapsed="false">
      <c r="A95" s="0" t="n">
        <v>94</v>
      </c>
      <c r="B95" s="0" t="s">
        <v>304</v>
      </c>
      <c r="C95" s="33" t="s">
        <v>305</v>
      </c>
      <c r="D95" s="34" t="n">
        <v>46225</v>
      </c>
      <c r="E95" s="0" t="n">
        <v>48.7</v>
      </c>
      <c r="F95" s="0" t="n">
        <v>2211.7</v>
      </c>
      <c r="G95" s="0" t="n">
        <v>207.2</v>
      </c>
      <c r="H95" s="0" t="n">
        <v>502.4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177.1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3147.1</v>
      </c>
      <c r="AH95" s="0" t="n">
        <v>3147.1</v>
      </c>
      <c r="AI95" s="0" t="n">
        <v>52</v>
      </c>
    </row>
    <row r="96" customFormat="false" ht="14.9" hidden="false" customHeight="false" outlineLevel="0" collapsed="false">
      <c r="A96" s="0" t="n">
        <v>95</v>
      </c>
      <c r="B96" s="0" t="s">
        <v>304</v>
      </c>
      <c r="C96" s="33" t="s">
        <v>305</v>
      </c>
      <c r="D96" s="34" t="n">
        <v>46207</v>
      </c>
      <c r="E96" s="0" t="n">
        <v>609.8</v>
      </c>
      <c r="F96" s="0" t="n">
        <v>1177</v>
      </c>
      <c r="G96" s="0" t="n">
        <v>10.4</v>
      </c>
      <c r="H96" s="0" t="n">
        <v>484.5</v>
      </c>
      <c r="I96" s="0" t="n">
        <v>0</v>
      </c>
      <c r="J96" s="0" t="n">
        <v>178.6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16.7</v>
      </c>
      <c r="Q96" s="0" t="n">
        <v>0</v>
      </c>
      <c r="R96" s="0" t="n">
        <v>0</v>
      </c>
      <c r="S96" s="0" t="n">
        <v>483.6</v>
      </c>
      <c r="T96" s="0" t="n">
        <v>0</v>
      </c>
      <c r="U96" s="0" t="n">
        <v>0</v>
      </c>
      <c r="V96" s="0" t="n">
        <v>0</v>
      </c>
      <c r="W96" s="0" t="n">
        <v>10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2970.6</v>
      </c>
      <c r="AH96" s="0" t="n">
        <v>2970.6</v>
      </c>
      <c r="AI96" s="0" t="n">
        <v>46</v>
      </c>
    </row>
    <row r="97" customFormat="false" ht="14.9" hidden="false" customHeight="false" outlineLevel="0" collapsed="false">
      <c r="A97" s="0" t="n">
        <v>96</v>
      </c>
      <c r="B97" s="0" t="s">
        <v>304</v>
      </c>
      <c r="C97" s="33" t="s">
        <v>305</v>
      </c>
      <c r="D97" s="34" t="n">
        <v>46222</v>
      </c>
      <c r="E97" s="0" t="n">
        <v>441.77</v>
      </c>
      <c r="F97" s="0" t="n">
        <v>1227</v>
      </c>
      <c r="G97" s="0" t="n">
        <v>171.9</v>
      </c>
      <c r="H97" s="0" t="n">
        <v>744.2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9.9</v>
      </c>
      <c r="T97" s="0" t="n">
        <v>0</v>
      </c>
      <c r="U97" s="0" t="n">
        <v>0</v>
      </c>
      <c r="V97" s="0" t="n">
        <v>0</v>
      </c>
      <c r="W97" s="0" t="n">
        <v>9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2603.77</v>
      </c>
      <c r="AH97" s="0" t="n">
        <v>2603.77</v>
      </c>
      <c r="AI97" s="0" t="n">
        <v>56</v>
      </c>
    </row>
    <row r="98" customFormat="false" ht="14.9" hidden="false" customHeight="false" outlineLevel="0" collapsed="false">
      <c r="A98" s="0" t="n">
        <v>97</v>
      </c>
      <c r="B98" s="0" t="s">
        <v>304</v>
      </c>
      <c r="C98" s="33" t="s">
        <v>305</v>
      </c>
      <c r="D98" s="34" t="n">
        <v>46231</v>
      </c>
      <c r="E98" s="0" t="n">
        <v>348.3</v>
      </c>
      <c r="F98" s="0" t="n">
        <v>1797.8</v>
      </c>
      <c r="G98" s="0" t="n">
        <v>507.3</v>
      </c>
      <c r="H98" s="0" t="n">
        <v>751.68</v>
      </c>
      <c r="I98" s="0" t="n">
        <v>0</v>
      </c>
      <c r="J98" s="0" t="n">
        <v>200.45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10.55</v>
      </c>
      <c r="T98" s="0" t="n">
        <v>0</v>
      </c>
      <c r="U98" s="0" t="n">
        <v>0</v>
      </c>
      <c r="V98" s="0" t="n">
        <v>0</v>
      </c>
      <c r="W98" s="0" t="n">
        <v>282.8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3898.88</v>
      </c>
      <c r="AH98" s="0" t="n">
        <v>3898.88</v>
      </c>
      <c r="AI98" s="0" t="n">
        <v>79</v>
      </c>
    </row>
    <row r="99" customFormat="false" ht="14.9" hidden="false" customHeight="false" outlineLevel="0" collapsed="false">
      <c r="A99" s="0" t="n">
        <v>98</v>
      </c>
      <c r="B99" s="0" t="s">
        <v>304</v>
      </c>
      <c r="C99" s="33" t="s">
        <v>305</v>
      </c>
      <c r="D99" s="34" t="n">
        <v>46213</v>
      </c>
      <c r="E99" s="0" t="n">
        <v>752.4</v>
      </c>
      <c r="F99" s="0" t="n">
        <v>2273.4</v>
      </c>
      <c r="G99" s="0" t="n">
        <v>14.5</v>
      </c>
      <c r="H99" s="0" t="n">
        <v>630.9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23.5</v>
      </c>
      <c r="P99" s="0" t="n">
        <v>0</v>
      </c>
      <c r="Q99" s="0" t="n">
        <v>0</v>
      </c>
      <c r="R99" s="0" t="n">
        <v>0</v>
      </c>
      <c r="S99" s="0" t="n">
        <v>370</v>
      </c>
      <c r="T99" s="0" t="n">
        <v>0</v>
      </c>
      <c r="U99" s="0" t="n">
        <v>0</v>
      </c>
      <c r="V99" s="0" t="n">
        <v>0.02</v>
      </c>
      <c r="W99" s="0" t="n">
        <v>3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4067.72</v>
      </c>
      <c r="AH99" s="0" t="n">
        <v>4067.72</v>
      </c>
      <c r="AI99" s="0" t="n">
        <v>68</v>
      </c>
    </row>
    <row r="100" customFormat="false" ht="14.9" hidden="false" customHeight="false" outlineLevel="0" collapsed="false">
      <c r="A100" s="0" t="n">
        <v>99</v>
      </c>
      <c r="B100" s="0" t="s">
        <v>304</v>
      </c>
      <c r="C100" s="33" t="s">
        <v>305</v>
      </c>
      <c r="D100" s="34" t="n">
        <v>46229</v>
      </c>
      <c r="E100" s="0" t="n">
        <v>900.89</v>
      </c>
      <c r="F100" s="0" t="n">
        <v>1841.9</v>
      </c>
      <c r="G100" s="0" t="n">
        <v>56.63</v>
      </c>
      <c r="H100" s="0" t="n">
        <v>444.86</v>
      </c>
      <c r="I100" s="0" t="n">
        <v>0</v>
      </c>
      <c r="J100" s="0" t="n">
        <v>846.89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25.9</v>
      </c>
      <c r="P100" s="0" t="n">
        <v>0</v>
      </c>
      <c r="Q100" s="0" t="n">
        <v>0</v>
      </c>
      <c r="R100" s="0" t="n">
        <v>0</v>
      </c>
      <c r="S100" s="0" t="n">
        <v>204.03</v>
      </c>
      <c r="T100" s="0" t="n">
        <v>0</v>
      </c>
      <c r="U100" s="0" t="n">
        <v>0</v>
      </c>
      <c r="V100" s="0" t="n">
        <v>3</v>
      </c>
      <c r="W100" s="0" t="n">
        <v>15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4339.1</v>
      </c>
      <c r="AH100" s="0" t="n">
        <v>4339.1</v>
      </c>
      <c r="AI100" s="0" t="n">
        <v>65</v>
      </c>
    </row>
    <row r="101" customFormat="false" ht="14.9" hidden="false" customHeight="false" outlineLevel="0" collapsed="false">
      <c r="A101" s="0" t="n">
        <v>100</v>
      </c>
      <c r="B101" s="0" t="s">
        <v>304</v>
      </c>
      <c r="C101" s="33" t="s">
        <v>305</v>
      </c>
      <c r="D101" s="34" t="n">
        <v>46233</v>
      </c>
      <c r="E101" s="0" t="n">
        <v>1817.85</v>
      </c>
      <c r="F101" s="0" t="n">
        <v>1182.6</v>
      </c>
      <c r="G101" s="0" t="n">
        <v>171.5</v>
      </c>
      <c r="H101" s="0" t="n">
        <v>281.8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53.7</v>
      </c>
      <c r="T101" s="0" t="n">
        <v>0</v>
      </c>
      <c r="U101" s="0" t="n">
        <v>0</v>
      </c>
      <c r="V101" s="0" t="n">
        <v>0</v>
      </c>
      <c r="W101" s="0" t="n">
        <v>39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3546.45</v>
      </c>
      <c r="AH101" s="0" t="n">
        <v>3546.45</v>
      </c>
      <c r="AI101" s="0" t="n">
        <v>42</v>
      </c>
    </row>
    <row r="102" customFormat="false" ht="14.9" hidden="false" customHeight="false" outlineLevel="0" collapsed="false">
      <c r="A102" s="0" t="n">
        <v>101</v>
      </c>
      <c r="B102" s="0" t="s">
        <v>304</v>
      </c>
      <c r="C102" s="33" t="s">
        <v>305</v>
      </c>
      <c r="D102" s="34" t="n">
        <v>46211</v>
      </c>
      <c r="E102" s="0" t="n">
        <v>248.7</v>
      </c>
      <c r="F102" s="0" t="n">
        <v>1434.3</v>
      </c>
      <c r="G102" s="0" t="n">
        <v>106.37</v>
      </c>
      <c r="H102" s="0" t="n">
        <v>359.3</v>
      </c>
      <c r="I102" s="0" t="n">
        <v>0</v>
      </c>
      <c r="J102" s="0" t="n">
        <v>52.13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547.6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2748.4</v>
      </c>
      <c r="AH102" s="0" t="n">
        <v>2748.4</v>
      </c>
      <c r="AI102" s="0" t="n">
        <v>46</v>
      </c>
    </row>
    <row r="103" customFormat="false" ht="14.9" hidden="false" customHeight="false" outlineLevel="0" collapsed="false">
      <c r="A103" s="0" t="n">
        <v>102</v>
      </c>
      <c r="B103" s="0" t="s">
        <v>304</v>
      </c>
      <c r="C103" s="33" t="s">
        <v>305</v>
      </c>
      <c r="D103" s="34" t="n">
        <v>46230</v>
      </c>
      <c r="E103" s="0" t="n">
        <v>246.14</v>
      </c>
      <c r="F103" s="0" t="n">
        <v>1293</v>
      </c>
      <c r="G103" s="0" t="n">
        <v>330.5</v>
      </c>
      <c r="H103" s="0" t="n">
        <v>584.9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51.6</v>
      </c>
      <c r="T103" s="0" t="n">
        <v>0</v>
      </c>
      <c r="U103" s="0" t="n">
        <v>0</v>
      </c>
      <c r="V103" s="0" t="n">
        <v>0</v>
      </c>
      <c r="W103" s="0" t="n">
        <v>63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2569.14</v>
      </c>
      <c r="AH103" s="0" t="n">
        <v>2569.14</v>
      </c>
      <c r="AI103" s="0" t="n">
        <v>54</v>
      </c>
    </row>
    <row r="104" customFormat="false" ht="14.9" hidden="false" customHeight="false" outlineLevel="0" collapsed="false">
      <c r="A104" s="0" t="n">
        <v>103</v>
      </c>
      <c r="B104" s="0" t="s">
        <v>304</v>
      </c>
      <c r="C104" s="33" t="s">
        <v>305</v>
      </c>
      <c r="D104" s="34" t="n">
        <v>46226</v>
      </c>
      <c r="E104" s="0" t="n">
        <v>315.2</v>
      </c>
      <c r="F104" s="0" t="n">
        <v>992.4</v>
      </c>
      <c r="G104" s="0" t="n">
        <v>621.5</v>
      </c>
      <c r="H104" s="0" t="n">
        <v>401.9</v>
      </c>
      <c r="I104" s="0" t="n">
        <v>0</v>
      </c>
      <c r="J104" s="0" t="n">
        <v>153.9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21</v>
      </c>
      <c r="P104" s="0" t="n">
        <v>18</v>
      </c>
      <c r="Q104" s="0" t="n">
        <v>0</v>
      </c>
      <c r="R104" s="0" t="n">
        <v>0</v>
      </c>
      <c r="S104" s="0" t="n">
        <v>303.3</v>
      </c>
      <c r="T104" s="0" t="n">
        <v>0</v>
      </c>
      <c r="U104" s="0" t="n">
        <v>0</v>
      </c>
      <c r="V104" s="0" t="n">
        <v>0</v>
      </c>
      <c r="W104" s="0" t="n">
        <v>3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2830.2</v>
      </c>
      <c r="AH104" s="0" t="n">
        <v>2830.2</v>
      </c>
      <c r="AI104" s="0" t="n">
        <v>50</v>
      </c>
    </row>
    <row r="105" customFormat="false" ht="14.9" hidden="false" customHeight="false" outlineLevel="0" collapsed="false">
      <c r="A105" s="0" t="n">
        <v>104</v>
      </c>
      <c r="B105" s="0" t="s">
        <v>304</v>
      </c>
      <c r="C105" s="33" t="s">
        <v>305</v>
      </c>
      <c r="D105" s="34" t="n">
        <v>46227</v>
      </c>
      <c r="E105" s="0" t="n">
        <v>522.43</v>
      </c>
      <c r="F105" s="0" t="n">
        <v>1614.6</v>
      </c>
      <c r="G105" s="0" t="n">
        <v>217</v>
      </c>
      <c r="H105" s="0" t="n">
        <v>989.18</v>
      </c>
      <c r="I105" s="0" t="n">
        <v>0</v>
      </c>
      <c r="J105" s="0" t="n">
        <v>39.9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34</v>
      </c>
      <c r="P105" s="0" t="n">
        <v>0</v>
      </c>
      <c r="Q105" s="0" t="n">
        <v>0</v>
      </c>
      <c r="R105" s="0" t="n">
        <v>0</v>
      </c>
      <c r="S105" s="0" t="n">
        <v>275.9</v>
      </c>
      <c r="T105" s="0" t="n">
        <v>0</v>
      </c>
      <c r="U105" s="0" t="n">
        <v>0</v>
      </c>
      <c r="V105" s="0" t="n">
        <v>0</v>
      </c>
      <c r="W105" s="0" t="n">
        <v>37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3730.01</v>
      </c>
      <c r="AH105" s="0" t="n">
        <v>3730.01</v>
      </c>
      <c r="AI105" s="0" t="n">
        <v>58</v>
      </c>
    </row>
    <row r="106" customFormat="false" ht="14.9" hidden="false" customHeight="false" outlineLevel="0" collapsed="false">
      <c r="A106" s="0" t="n">
        <v>105</v>
      </c>
      <c r="B106" s="0" t="s">
        <v>304</v>
      </c>
      <c r="C106" s="33" t="s">
        <v>305</v>
      </c>
      <c r="D106" s="34" t="n">
        <v>46206</v>
      </c>
      <c r="E106" s="0" t="n">
        <v>264.9</v>
      </c>
      <c r="F106" s="0" t="n">
        <v>1490.9</v>
      </c>
      <c r="G106" s="0" t="n">
        <v>179.4</v>
      </c>
      <c r="H106" s="0" t="n">
        <v>600.5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22.4</v>
      </c>
      <c r="P106" s="0" t="n">
        <v>0</v>
      </c>
      <c r="Q106" s="0" t="n">
        <v>0</v>
      </c>
      <c r="R106" s="0" t="n">
        <v>0</v>
      </c>
      <c r="S106" s="0" t="n">
        <v>425.1</v>
      </c>
      <c r="T106" s="0" t="n">
        <v>0</v>
      </c>
      <c r="U106" s="0" t="n">
        <v>0</v>
      </c>
      <c r="V106" s="0" t="n">
        <v>0</v>
      </c>
      <c r="W106" s="0" t="n">
        <v>10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2993.2</v>
      </c>
      <c r="AH106" s="0" t="n">
        <v>2993.2</v>
      </c>
      <c r="AI106" s="0" t="n">
        <v>45</v>
      </c>
    </row>
    <row r="107" customFormat="false" ht="14.9" hidden="false" customHeight="false" outlineLevel="0" collapsed="false">
      <c r="A107" s="0" t="n">
        <v>106</v>
      </c>
      <c r="B107" s="0" t="s">
        <v>304</v>
      </c>
      <c r="C107" s="33" t="s">
        <v>305</v>
      </c>
      <c r="D107" s="34" t="n">
        <v>46204</v>
      </c>
      <c r="E107" s="0" t="n">
        <v>348.27</v>
      </c>
      <c r="F107" s="0" t="n">
        <v>2119.09</v>
      </c>
      <c r="G107" s="0" t="n">
        <v>197</v>
      </c>
      <c r="H107" s="0" t="n">
        <v>2107.49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29.8</v>
      </c>
      <c r="P107" s="0" t="n">
        <v>0</v>
      </c>
      <c r="Q107" s="0" t="n">
        <v>0</v>
      </c>
      <c r="R107" s="0" t="n">
        <v>0</v>
      </c>
      <c r="S107" s="0" t="n">
        <v>137.44</v>
      </c>
      <c r="T107" s="0" t="n">
        <v>0</v>
      </c>
      <c r="U107" s="0" t="n">
        <v>0</v>
      </c>
      <c r="V107" s="0" t="n">
        <v>9.9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4948.99</v>
      </c>
      <c r="AH107" s="0" t="n">
        <v>4948.99</v>
      </c>
      <c r="AI107" s="0" t="n">
        <v>62</v>
      </c>
    </row>
    <row r="108" customFormat="false" ht="14.9" hidden="false" customHeight="false" outlineLevel="0" collapsed="false">
      <c r="A108" s="0" t="n">
        <v>107</v>
      </c>
      <c r="B108" s="0" t="s">
        <v>304</v>
      </c>
      <c r="C108" s="33" t="s">
        <v>305</v>
      </c>
      <c r="D108" s="34" t="n">
        <v>46208</v>
      </c>
      <c r="E108" s="0" t="n">
        <v>257.12</v>
      </c>
      <c r="F108" s="0" t="n">
        <v>1617.1</v>
      </c>
      <c r="G108" s="0" t="n">
        <v>28.9</v>
      </c>
      <c r="H108" s="0" t="n">
        <v>303.6</v>
      </c>
      <c r="I108" s="0" t="n">
        <v>0</v>
      </c>
      <c r="J108" s="0" t="n">
        <v>53.2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27</v>
      </c>
      <c r="P108" s="0" t="n">
        <v>0</v>
      </c>
      <c r="Q108" s="0" t="n">
        <v>0</v>
      </c>
      <c r="R108" s="0" t="n">
        <v>0</v>
      </c>
      <c r="S108" s="0" t="n">
        <v>174.5</v>
      </c>
      <c r="T108" s="0" t="n">
        <v>0</v>
      </c>
      <c r="U108" s="0" t="n">
        <v>0</v>
      </c>
      <c r="V108" s="0" t="n">
        <v>0</v>
      </c>
      <c r="W108" s="0" t="n">
        <v>18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2479.42</v>
      </c>
      <c r="AH108" s="0" t="n">
        <v>2479.42</v>
      </c>
      <c r="AI108" s="0" t="n">
        <v>46</v>
      </c>
    </row>
    <row r="109" customFormat="false" ht="14.9" hidden="false" customHeight="false" outlineLevel="0" collapsed="false">
      <c r="A109" s="0" t="n">
        <v>108</v>
      </c>
      <c r="B109" s="0" t="s">
        <v>304</v>
      </c>
      <c r="C109" s="33" t="s">
        <v>305</v>
      </c>
      <c r="D109" s="34" t="n">
        <v>46234</v>
      </c>
      <c r="E109" s="0" t="n">
        <v>191.48</v>
      </c>
      <c r="F109" s="0" t="n">
        <v>1130.85</v>
      </c>
      <c r="G109" s="0" t="n">
        <v>66.7</v>
      </c>
      <c r="H109" s="0" t="n">
        <v>1066.32</v>
      </c>
      <c r="I109" s="0" t="n">
        <v>0</v>
      </c>
      <c r="J109" s="0" t="n">
        <v>282.75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444.4</v>
      </c>
      <c r="T109" s="0" t="n">
        <v>0</v>
      </c>
      <c r="U109" s="0" t="n">
        <v>0</v>
      </c>
      <c r="V109" s="0" t="n">
        <v>0</v>
      </c>
      <c r="W109" s="0" t="n">
        <v>88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3270.5</v>
      </c>
      <c r="AH109" s="0" t="n">
        <v>3270.5</v>
      </c>
      <c r="AI109" s="0" t="n">
        <v>65</v>
      </c>
    </row>
    <row r="110" customFormat="false" ht="14.9" hidden="false" customHeight="false" outlineLevel="0" collapsed="false">
      <c r="A110" s="0" t="n">
        <v>109</v>
      </c>
      <c r="B110" s="0" t="s">
        <v>304</v>
      </c>
      <c r="C110" s="33" t="s">
        <v>305</v>
      </c>
      <c r="D110" s="34" t="n">
        <v>46215</v>
      </c>
      <c r="E110" s="0" t="n">
        <v>405</v>
      </c>
      <c r="F110" s="0" t="n">
        <v>1582.3</v>
      </c>
      <c r="G110" s="0" t="n">
        <v>22.7</v>
      </c>
      <c r="H110" s="0" t="n">
        <v>746.9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0.01</v>
      </c>
      <c r="W110" s="0" t="n">
        <v>15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2771.91</v>
      </c>
      <c r="AH110" s="0" t="n">
        <v>2771.91</v>
      </c>
      <c r="AI110" s="0" t="n">
        <v>52</v>
      </c>
    </row>
    <row r="111" customFormat="false" ht="14.9" hidden="false" customHeight="false" outlineLevel="0" collapsed="false">
      <c r="A111" s="0" t="n">
        <v>110</v>
      </c>
      <c r="B111" s="0" t="s">
        <v>304</v>
      </c>
      <c r="C111" s="33" t="s">
        <v>305</v>
      </c>
      <c r="D111" s="34" t="n">
        <v>46223</v>
      </c>
      <c r="E111" s="0" t="n">
        <v>344.96</v>
      </c>
      <c r="F111" s="0" t="n">
        <v>1614.08</v>
      </c>
      <c r="G111" s="0" t="n">
        <v>169.2</v>
      </c>
      <c r="H111" s="0" t="n">
        <v>487.3</v>
      </c>
      <c r="I111" s="0" t="n">
        <v>0</v>
      </c>
      <c r="J111" s="0" t="n">
        <v>100.7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405.2</v>
      </c>
      <c r="T111" s="0" t="n">
        <v>0</v>
      </c>
      <c r="U111" s="0" t="n">
        <v>0</v>
      </c>
      <c r="V111" s="0" t="n">
        <v>0</v>
      </c>
      <c r="W111" s="0" t="n">
        <v>10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3131.44</v>
      </c>
      <c r="AH111" s="0" t="n">
        <v>3131.44</v>
      </c>
      <c r="AI111" s="0" t="n">
        <v>53</v>
      </c>
    </row>
    <row r="112" customFormat="false" ht="14.9" hidden="false" customHeight="false" outlineLevel="0" collapsed="false">
      <c r="A112" s="0" t="n">
        <v>111</v>
      </c>
      <c r="B112" s="0" t="s">
        <v>304</v>
      </c>
      <c r="C112" s="33" t="s">
        <v>305</v>
      </c>
      <c r="D112" s="34" t="n">
        <v>46205</v>
      </c>
      <c r="E112" s="0" t="n">
        <v>182.83</v>
      </c>
      <c r="F112" s="0" t="n">
        <v>1565.37</v>
      </c>
      <c r="G112" s="0" t="n">
        <v>128.89</v>
      </c>
      <c r="H112" s="0" t="n">
        <v>823.2</v>
      </c>
      <c r="I112" s="0" t="n">
        <v>0</v>
      </c>
      <c r="J112" s="0" t="n">
        <v>22.61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246.6</v>
      </c>
      <c r="T112" s="0" t="n">
        <v>0</v>
      </c>
      <c r="U112" s="0" t="n">
        <v>0</v>
      </c>
      <c r="V112" s="0" t="n">
        <v>0</v>
      </c>
      <c r="W112" s="0" t="n">
        <v>10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2979.5</v>
      </c>
      <c r="AH112" s="0" t="n">
        <v>2979.5</v>
      </c>
      <c r="AI112" s="0" t="n">
        <v>54</v>
      </c>
    </row>
    <row r="113" customFormat="false" ht="14.9" hidden="false" customHeight="false" outlineLevel="0" collapsed="false">
      <c r="A113" s="0" t="n">
        <v>112</v>
      </c>
      <c r="B113" s="0" t="s">
        <v>304</v>
      </c>
      <c r="C113" s="33" t="s">
        <v>305</v>
      </c>
      <c r="D113" s="34" t="n">
        <v>46220</v>
      </c>
      <c r="E113" s="0" t="n">
        <v>134.69</v>
      </c>
      <c r="F113" s="0" t="n">
        <v>745.17</v>
      </c>
      <c r="G113" s="0" t="n">
        <v>75</v>
      </c>
      <c r="H113" s="0" t="n">
        <v>383.1</v>
      </c>
      <c r="I113" s="0" t="n">
        <v>0</v>
      </c>
      <c r="J113" s="0" t="n">
        <v>236.93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77.4</v>
      </c>
      <c r="P113" s="0" t="n">
        <v>0</v>
      </c>
      <c r="Q113" s="0" t="n">
        <v>0</v>
      </c>
      <c r="R113" s="0" t="n">
        <v>0</v>
      </c>
      <c r="S113" s="0" t="n">
        <v>692.3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2344.59</v>
      </c>
      <c r="AH113" s="0" t="n">
        <v>2344.59</v>
      </c>
      <c r="AI113" s="0" t="n">
        <v>46</v>
      </c>
    </row>
    <row r="114" customFormat="false" ht="14.9" hidden="false" customHeight="false" outlineLevel="0" collapsed="false">
      <c r="A114" s="0" t="n">
        <v>113</v>
      </c>
      <c r="B114" s="0" t="s">
        <v>304</v>
      </c>
      <c r="C114" s="33" t="s">
        <v>305</v>
      </c>
      <c r="D114" s="34" t="n">
        <v>46228</v>
      </c>
      <c r="E114" s="0" t="n">
        <v>253.68</v>
      </c>
      <c r="F114" s="0" t="n">
        <v>1948.76</v>
      </c>
      <c r="G114" s="0" t="n">
        <v>174.7</v>
      </c>
      <c r="H114" s="0" t="n">
        <v>853.5</v>
      </c>
      <c r="I114" s="0" t="n">
        <v>0</v>
      </c>
      <c r="J114" s="0" t="n">
        <v>193.24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23.9</v>
      </c>
      <c r="P114" s="0" t="n">
        <v>0</v>
      </c>
      <c r="Q114" s="0" t="n">
        <v>0</v>
      </c>
      <c r="R114" s="0" t="n">
        <v>0</v>
      </c>
      <c r="S114" s="0" t="n">
        <v>440.1</v>
      </c>
      <c r="T114" s="0" t="n">
        <v>0</v>
      </c>
      <c r="U114" s="0" t="n">
        <v>0</v>
      </c>
      <c r="V114" s="0" t="n">
        <v>9.9</v>
      </c>
      <c r="W114" s="0" t="n">
        <v>20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3917.78</v>
      </c>
      <c r="AH114" s="0" t="n">
        <v>3917.78</v>
      </c>
      <c r="AI114" s="0" t="n">
        <v>63</v>
      </c>
    </row>
    <row r="115" customFormat="false" ht="14.9" hidden="false" customHeight="false" outlineLevel="0" collapsed="false">
      <c r="A115" s="0" t="n">
        <v>114</v>
      </c>
      <c r="B115" s="0" t="s">
        <v>304</v>
      </c>
      <c r="C115" s="33" t="s">
        <v>305</v>
      </c>
      <c r="D115" s="34" t="n">
        <v>46217</v>
      </c>
      <c r="E115" s="0" t="n">
        <v>452.19</v>
      </c>
      <c r="F115" s="0" t="n">
        <v>1090.32</v>
      </c>
      <c r="G115" s="0" t="n">
        <v>3</v>
      </c>
      <c r="H115" s="0" t="n">
        <v>565.7</v>
      </c>
      <c r="I115" s="0" t="n">
        <v>0</v>
      </c>
      <c r="J115" s="0" t="n">
        <v>268.57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231.9</v>
      </c>
      <c r="T115" s="0" t="n">
        <v>0</v>
      </c>
      <c r="U115" s="0" t="n">
        <v>0</v>
      </c>
      <c r="V115" s="0" t="n">
        <v>0</v>
      </c>
      <c r="W115" s="0" t="n">
        <v>3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2614.68</v>
      </c>
      <c r="AH115" s="0" t="n">
        <v>2614.68</v>
      </c>
      <c r="AI115" s="0" t="n">
        <v>47</v>
      </c>
    </row>
    <row r="116" customFormat="false" ht="14.9" hidden="false" customHeight="false" outlineLevel="0" collapsed="false">
      <c r="A116" s="0" t="n">
        <v>115</v>
      </c>
      <c r="B116" s="0" t="s">
        <v>304</v>
      </c>
      <c r="C116" s="33" t="s">
        <v>305</v>
      </c>
      <c r="D116" s="34" t="n">
        <v>46219</v>
      </c>
      <c r="E116" s="0" t="n">
        <v>895.7</v>
      </c>
      <c r="F116" s="0" t="n">
        <v>7039.93</v>
      </c>
      <c r="G116" s="0" t="n">
        <v>161.01</v>
      </c>
      <c r="H116" s="0" t="n">
        <v>647.61</v>
      </c>
      <c r="I116" s="0" t="n">
        <v>0</v>
      </c>
      <c r="J116" s="0" t="n">
        <v>60.48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123</v>
      </c>
      <c r="P116" s="0" t="n">
        <v>0</v>
      </c>
      <c r="Q116" s="0" t="n">
        <v>0</v>
      </c>
      <c r="R116" s="0" t="n">
        <v>0</v>
      </c>
      <c r="S116" s="0" t="n">
        <v>125.28</v>
      </c>
      <c r="T116" s="0" t="n">
        <v>0</v>
      </c>
      <c r="U116" s="0" t="n">
        <v>0</v>
      </c>
      <c r="V116" s="0" t="n">
        <v>18.9</v>
      </c>
      <c r="W116" s="0" t="n">
        <v>20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9091.91</v>
      </c>
      <c r="AH116" s="0" t="n">
        <v>9091.91</v>
      </c>
      <c r="AI116" s="0" t="n">
        <v>63</v>
      </c>
    </row>
    <row r="117" customFormat="false" ht="14.9" hidden="false" customHeight="false" outlineLevel="0" collapsed="false">
      <c r="A117" s="0" t="n">
        <v>116</v>
      </c>
      <c r="B117" s="0" t="s">
        <v>304</v>
      </c>
      <c r="C117" s="33" t="s">
        <v>305</v>
      </c>
      <c r="D117" s="34" t="n">
        <v>46216</v>
      </c>
      <c r="E117" s="0" t="n">
        <v>90.7</v>
      </c>
      <c r="F117" s="0" t="n">
        <v>1439.85</v>
      </c>
      <c r="G117" s="0" t="n">
        <v>52.9</v>
      </c>
      <c r="H117" s="0" t="n">
        <v>1087.4</v>
      </c>
      <c r="I117" s="0" t="n">
        <v>0</v>
      </c>
      <c r="J117" s="0" t="n">
        <v>147.25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25</v>
      </c>
      <c r="P117" s="0" t="n">
        <v>0</v>
      </c>
      <c r="Q117" s="0" t="n">
        <v>0</v>
      </c>
      <c r="R117" s="0" t="n">
        <v>0</v>
      </c>
      <c r="S117" s="0" t="n">
        <v>325.26</v>
      </c>
      <c r="T117" s="0" t="n">
        <v>0</v>
      </c>
      <c r="U117" s="0" t="n">
        <v>0</v>
      </c>
      <c r="V117" s="0" t="n">
        <v>9.92</v>
      </c>
      <c r="W117" s="0" t="n">
        <v>5.1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3183.38</v>
      </c>
      <c r="AH117" s="0" t="n">
        <v>3183.38</v>
      </c>
      <c r="AI117" s="0" t="n">
        <v>40</v>
      </c>
    </row>
    <row r="118" customFormat="false" ht="14.9" hidden="false" customHeight="false" outlineLevel="0" collapsed="false">
      <c r="A118" s="0" t="n">
        <v>117</v>
      </c>
      <c r="B118" s="0" t="s">
        <v>304</v>
      </c>
      <c r="C118" s="33" t="s">
        <v>305</v>
      </c>
      <c r="D118" s="34" t="n">
        <v>46218</v>
      </c>
      <c r="E118" s="0" t="n">
        <v>487.46</v>
      </c>
      <c r="F118" s="0" t="n">
        <v>2061.9</v>
      </c>
      <c r="G118" s="0" t="n">
        <v>171.7</v>
      </c>
      <c r="H118" s="0" t="n">
        <v>502.7</v>
      </c>
      <c r="I118" s="0" t="n">
        <v>0</v>
      </c>
      <c r="J118" s="0" t="n">
        <v>143.26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28</v>
      </c>
      <c r="P118" s="0" t="n">
        <v>0</v>
      </c>
      <c r="Q118" s="0" t="n">
        <v>0</v>
      </c>
      <c r="R118" s="0" t="n">
        <v>0</v>
      </c>
      <c r="S118" s="0" t="n">
        <v>155.94</v>
      </c>
      <c r="T118" s="0" t="n">
        <v>0</v>
      </c>
      <c r="U118" s="0" t="n">
        <v>0</v>
      </c>
      <c r="V118" s="0" t="n">
        <v>3.8</v>
      </c>
      <c r="W118" s="0" t="n">
        <v>28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3582.76</v>
      </c>
      <c r="AH118" s="0" t="n">
        <v>3582.76</v>
      </c>
      <c r="AI118" s="0" t="n">
        <v>64</v>
      </c>
    </row>
    <row r="119" customFormat="false" ht="14.9" hidden="false" customHeight="false" outlineLevel="0" collapsed="false">
      <c r="A119" s="0" t="n">
        <v>118</v>
      </c>
      <c r="B119" s="0" t="s">
        <v>304</v>
      </c>
      <c r="C119" s="33" t="s">
        <v>305</v>
      </c>
      <c r="D119" s="34" t="n">
        <v>46209</v>
      </c>
      <c r="E119" s="0" t="n">
        <v>342.67</v>
      </c>
      <c r="F119" s="0" t="n">
        <v>2366.96</v>
      </c>
      <c r="G119" s="0" t="n">
        <v>116.13</v>
      </c>
      <c r="H119" s="0" t="n">
        <v>423.78</v>
      </c>
      <c r="I119" s="0" t="n">
        <v>0</v>
      </c>
      <c r="J119" s="0" t="n">
        <v>131.86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112.5</v>
      </c>
      <c r="P119" s="0" t="n">
        <v>0</v>
      </c>
      <c r="Q119" s="0" t="n">
        <v>0</v>
      </c>
      <c r="R119" s="0" t="n">
        <v>0</v>
      </c>
      <c r="S119" s="0" t="n">
        <v>443.4</v>
      </c>
      <c r="T119" s="0" t="n">
        <v>0</v>
      </c>
      <c r="U119" s="0" t="n">
        <v>0</v>
      </c>
      <c r="V119" s="0" t="n">
        <v>3.8</v>
      </c>
      <c r="W119" s="0" t="n">
        <v>28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3969.1</v>
      </c>
      <c r="AH119" s="0" t="n">
        <v>3969.1</v>
      </c>
      <c r="AI119" s="0" t="n">
        <v>69</v>
      </c>
    </row>
    <row r="120" customFormat="false" ht="14.9" hidden="false" customHeight="false" outlineLevel="0" collapsed="false">
      <c r="A120" s="0" t="n">
        <v>119</v>
      </c>
      <c r="B120" s="0" t="s">
        <v>304</v>
      </c>
      <c r="C120" s="33" t="s">
        <v>305</v>
      </c>
      <c r="D120" s="34" t="n">
        <v>46212</v>
      </c>
      <c r="E120" s="0" t="n">
        <v>104.14</v>
      </c>
      <c r="F120" s="0" t="n">
        <v>1361.2</v>
      </c>
      <c r="G120" s="0" t="n">
        <v>473</v>
      </c>
      <c r="H120" s="0" t="n">
        <v>420.08</v>
      </c>
      <c r="I120" s="0" t="n">
        <v>0</v>
      </c>
      <c r="J120" s="0" t="n">
        <v>494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57.3</v>
      </c>
      <c r="T120" s="0" t="n">
        <v>0</v>
      </c>
      <c r="U120" s="0" t="n">
        <v>0</v>
      </c>
      <c r="V120" s="0" t="n">
        <v>0.01</v>
      </c>
      <c r="W120" s="0" t="n">
        <v>3.1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2912.83</v>
      </c>
      <c r="AH120" s="0" t="n">
        <v>2912.83</v>
      </c>
      <c r="AI120" s="0" t="n">
        <v>60</v>
      </c>
    </row>
    <row r="121" customFormat="false" ht="14.9" hidden="false" customHeight="false" outlineLevel="0" collapsed="false">
      <c r="A121" s="0" t="n">
        <v>120</v>
      </c>
      <c r="B121" s="0" t="s">
        <v>304</v>
      </c>
      <c r="C121" s="33" t="s">
        <v>305</v>
      </c>
      <c r="D121" s="34" t="n">
        <v>46232</v>
      </c>
      <c r="E121" s="0" t="n">
        <v>548.18</v>
      </c>
      <c r="F121" s="0" t="n">
        <v>1218.51</v>
      </c>
      <c r="G121" s="0" t="n">
        <v>151.17</v>
      </c>
      <c r="H121" s="0" t="n">
        <v>552.2</v>
      </c>
      <c r="I121" s="0" t="n">
        <v>0</v>
      </c>
      <c r="J121" s="0" t="n">
        <v>404.71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22</v>
      </c>
      <c r="P121" s="0" t="n">
        <v>0</v>
      </c>
      <c r="Q121" s="0" t="n">
        <v>0</v>
      </c>
      <c r="R121" s="0" t="n">
        <v>0</v>
      </c>
      <c r="S121" s="0" t="n">
        <v>204.8</v>
      </c>
      <c r="T121" s="0" t="n">
        <v>0</v>
      </c>
      <c r="U121" s="0" t="n">
        <v>0</v>
      </c>
      <c r="V121" s="0" t="n">
        <v>0</v>
      </c>
      <c r="W121" s="0" t="n">
        <v>138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3239.57</v>
      </c>
      <c r="AH121" s="0" t="n">
        <v>3239.57</v>
      </c>
      <c r="AI121" s="0" t="n">
        <v>51</v>
      </c>
    </row>
    <row r="122" customFormat="false" ht="14.9" hidden="false" customHeight="false" outlineLevel="0" collapsed="false">
      <c r="A122" s="0" t="n">
        <v>121</v>
      </c>
      <c r="B122" s="0" t="s">
        <v>304</v>
      </c>
      <c r="C122" s="33" t="s">
        <v>305</v>
      </c>
      <c r="D122" s="34" t="n">
        <v>46224</v>
      </c>
      <c r="E122" s="0" t="n">
        <v>975.3</v>
      </c>
      <c r="F122" s="0" t="n">
        <v>1271.94</v>
      </c>
      <c r="G122" s="0" t="n">
        <v>130.4</v>
      </c>
      <c r="H122" s="0" t="n">
        <v>696.45</v>
      </c>
      <c r="I122" s="0" t="n">
        <v>0</v>
      </c>
      <c r="J122" s="0" t="n">
        <v>270.11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41.5</v>
      </c>
      <c r="P122" s="0" t="n">
        <v>0</v>
      </c>
      <c r="Q122" s="0" t="n">
        <v>0</v>
      </c>
      <c r="R122" s="0" t="n">
        <v>0</v>
      </c>
      <c r="S122" s="0" t="n">
        <v>177.14</v>
      </c>
      <c r="T122" s="0" t="n">
        <v>0</v>
      </c>
      <c r="U122" s="0" t="n">
        <v>0</v>
      </c>
      <c r="V122" s="0" t="n">
        <v>0</v>
      </c>
      <c r="W122" s="0" t="n">
        <v>6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3568.84</v>
      </c>
      <c r="AH122" s="0" t="n">
        <v>3568.84</v>
      </c>
      <c r="AI122" s="0" t="n">
        <v>62</v>
      </c>
    </row>
    <row r="123" customFormat="false" ht="14.9" hidden="false" customHeight="false" outlineLevel="0" collapsed="false">
      <c r="A123" s="0" t="n">
        <v>122</v>
      </c>
      <c r="B123" s="0" t="s">
        <v>304</v>
      </c>
      <c r="C123" s="33" t="s">
        <v>305</v>
      </c>
      <c r="D123" s="34" t="n">
        <v>46210</v>
      </c>
      <c r="E123" s="0" t="n">
        <v>205.37</v>
      </c>
      <c r="F123" s="0" t="n">
        <v>1608.47</v>
      </c>
      <c r="G123" s="0" t="n">
        <v>89.9</v>
      </c>
      <c r="H123" s="0" t="n">
        <v>647.2</v>
      </c>
      <c r="I123" s="0" t="n">
        <v>0</v>
      </c>
      <c r="J123" s="0" t="n">
        <v>67.93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143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2761.87</v>
      </c>
      <c r="AH123" s="0" t="n">
        <v>2761.87</v>
      </c>
      <c r="AI123" s="0" t="n">
        <v>51</v>
      </c>
    </row>
    <row r="124" customFormat="false" ht="14.9" hidden="false" customHeight="false" outlineLevel="0" collapsed="false">
      <c r="A124" s="0" t="n">
        <v>123</v>
      </c>
      <c r="B124" s="0" t="s">
        <v>304</v>
      </c>
      <c r="C124" s="33" t="s">
        <v>305</v>
      </c>
      <c r="D124" s="34" t="n">
        <v>46214</v>
      </c>
      <c r="E124" s="0" t="n">
        <v>816.48</v>
      </c>
      <c r="F124" s="0" t="n">
        <v>1586.9</v>
      </c>
      <c r="G124" s="0" t="n">
        <v>28.6</v>
      </c>
      <c r="H124" s="0" t="n">
        <v>814.49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54.1</v>
      </c>
      <c r="P124" s="0" t="n">
        <v>0</v>
      </c>
      <c r="Q124" s="0" t="n">
        <v>0</v>
      </c>
      <c r="R124" s="0" t="n">
        <v>0</v>
      </c>
      <c r="S124" s="0" t="n">
        <v>930.1</v>
      </c>
      <c r="T124" s="0" t="n">
        <v>0</v>
      </c>
      <c r="U124" s="0" t="n">
        <v>0</v>
      </c>
      <c r="V124" s="0" t="n">
        <v>9.92</v>
      </c>
      <c r="W124" s="0" t="n">
        <v>15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4255.59</v>
      </c>
      <c r="AH124" s="0" t="n">
        <v>4255.59</v>
      </c>
      <c r="AI124" s="0" t="n">
        <v>55</v>
      </c>
    </row>
    <row r="125" customFormat="false" ht="14.9" hidden="false" customHeight="false" outlineLevel="0" collapsed="false">
      <c r="A125" s="0" t="n">
        <v>124</v>
      </c>
      <c r="B125" s="0" t="s">
        <v>304</v>
      </c>
      <c r="C125" s="33" t="s">
        <v>305</v>
      </c>
      <c r="D125" s="34" t="n">
        <v>46221</v>
      </c>
      <c r="E125" s="0" t="n">
        <v>126.01</v>
      </c>
      <c r="F125" s="0" t="n">
        <v>1586.9</v>
      </c>
      <c r="G125" s="0" t="n">
        <v>169.5</v>
      </c>
      <c r="H125" s="0" t="n">
        <v>1430.7</v>
      </c>
      <c r="I125" s="0" t="n">
        <v>0</v>
      </c>
      <c r="J125" s="0" t="n">
        <v>66.5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25</v>
      </c>
      <c r="P125" s="0" t="n">
        <v>0</v>
      </c>
      <c r="Q125" s="0" t="n">
        <v>0</v>
      </c>
      <c r="R125" s="0" t="n">
        <v>0</v>
      </c>
      <c r="S125" s="0" t="n">
        <v>147.2</v>
      </c>
      <c r="T125" s="0" t="n">
        <v>0</v>
      </c>
      <c r="U125" s="0" t="n">
        <v>0</v>
      </c>
      <c r="V125" s="0" t="n">
        <v>0</v>
      </c>
      <c r="W125" s="0" t="n">
        <v>20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3571.81</v>
      </c>
      <c r="AH125" s="0" t="n">
        <v>3571.81</v>
      </c>
      <c r="AI125" s="0" t="n">
        <v>62</v>
      </c>
    </row>
    <row r="126" customFormat="false" ht="14.9" hidden="false" customHeight="false" outlineLevel="0" collapsed="false">
      <c r="A126" s="0" t="n">
        <v>125</v>
      </c>
      <c r="B126" s="0" t="s">
        <v>306</v>
      </c>
      <c r="C126" s="33" t="s">
        <v>307</v>
      </c>
      <c r="D126" s="34" t="n">
        <v>46216</v>
      </c>
      <c r="E126" s="0" t="n">
        <v>607.2</v>
      </c>
      <c r="F126" s="0" t="n">
        <v>1712.7</v>
      </c>
      <c r="G126" s="0" t="n">
        <v>357.2</v>
      </c>
      <c r="H126" s="0" t="n">
        <v>1011.8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0</v>
      </c>
      <c r="U126" s="0" t="n">
        <v>0</v>
      </c>
      <c r="V126" s="0" t="n">
        <v>9</v>
      </c>
      <c r="W126" s="0" t="n">
        <v>59.1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3765</v>
      </c>
      <c r="AH126" s="0" t="n">
        <v>3765</v>
      </c>
      <c r="AI126" s="0" t="n">
        <v>53</v>
      </c>
    </row>
    <row r="127" customFormat="false" ht="14.9" hidden="false" customHeight="false" outlineLevel="0" collapsed="false">
      <c r="A127" s="0" t="n">
        <v>126</v>
      </c>
      <c r="B127" s="0" t="s">
        <v>306</v>
      </c>
      <c r="C127" s="33" t="s">
        <v>307</v>
      </c>
      <c r="D127" s="34" t="n">
        <v>46218</v>
      </c>
      <c r="E127" s="0" t="n">
        <v>19.86</v>
      </c>
      <c r="F127" s="0" t="n">
        <v>2090</v>
      </c>
      <c r="G127" s="0" t="n">
        <v>405.8</v>
      </c>
      <c r="H127" s="0" t="n">
        <v>222.6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12</v>
      </c>
      <c r="T127" s="0" t="n">
        <v>0</v>
      </c>
      <c r="U127" s="0" t="n">
        <v>0</v>
      </c>
      <c r="V127" s="0" t="n">
        <v>0</v>
      </c>
      <c r="W127" s="0" t="n">
        <v>69.1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2819.36</v>
      </c>
      <c r="AH127" s="0" t="n">
        <v>2819.36</v>
      </c>
      <c r="AI127" s="0" t="n">
        <v>47</v>
      </c>
    </row>
    <row r="128" customFormat="false" ht="14.9" hidden="false" customHeight="false" outlineLevel="0" collapsed="false">
      <c r="A128" s="0" t="n">
        <v>127</v>
      </c>
      <c r="B128" s="0" t="s">
        <v>306</v>
      </c>
      <c r="C128" s="33" t="s">
        <v>307</v>
      </c>
      <c r="D128" s="34" t="n">
        <v>46210</v>
      </c>
      <c r="E128" s="0" t="n">
        <v>377.94</v>
      </c>
      <c r="F128" s="0" t="n">
        <v>1817.2</v>
      </c>
      <c r="G128" s="0" t="n">
        <v>188.3</v>
      </c>
      <c r="H128" s="0" t="n">
        <v>1404.68</v>
      </c>
      <c r="I128" s="0" t="n">
        <v>0</v>
      </c>
      <c r="J128" s="0" t="n">
        <v>0</v>
      </c>
      <c r="K128" s="0" t="n">
        <v>450.3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45.1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4283.52</v>
      </c>
      <c r="AH128" s="0" t="n">
        <v>4283.52</v>
      </c>
      <c r="AI128" s="0" t="n">
        <v>62</v>
      </c>
    </row>
    <row r="129" customFormat="false" ht="14.9" hidden="false" customHeight="false" outlineLevel="0" collapsed="false">
      <c r="A129" s="0" t="n">
        <v>128</v>
      </c>
      <c r="B129" s="0" t="s">
        <v>306</v>
      </c>
      <c r="C129" s="33" t="s">
        <v>307</v>
      </c>
      <c r="D129" s="34" t="n">
        <v>46229</v>
      </c>
      <c r="E129" s="0" t="n">
        <v>63.25</v>
      </c>
      <c r="F129" s="0" t="n">
        <v>1582.6</v>
      </c>
      <c r="G129" s="0" t="n">
        <v>5108.9</v>
      </c>
      <c r="H129" s="0" t="n">
        <v>1140.5</v>
      </c>
      <c r="I129" s="0" t="n">
        <v>0</v>
      </c>
      <c r="J129" s="0" t="n">
        <v>0</v>
      </c>
      <c r="K129" s="0" t="n">
        <v>614.9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82.48</v>
      </c>
      <c r="T129" s="0" t="n">
        <v>0</v>
      </c>
      <c r="U129" s="0" t="n">
        <v>0</v>
      </c>
      <c r="V129" s="0" t="n">
        <v>3.8</v>
      </c>
      <c r="W129" s="0" t="n">
        <v>146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8742.43</v>
      </c>
      <c r="AH129" s="0" t="n">
        <v>8742.43</v>
      </c>
      <c r="AI129" s="0" t="n">
        <v>61</v>
      </c>
    </row>
    <row r="130" customFormat="false" ht="14.9" hidden="false" customHeight="false" outlineLevel="0" collapsed="false">
      <c r="A130" s="0" t="n">
        <v>129</v>
      </c>
      <c r="B130" s="0" t="s">
        <v>306</v>
      </c>
      <c r="C130" s="33" t="s">
        <v>307</v>
      </c>
      <c r="D130" s="34" t="n">
        <v>46227</v>
      </c>
      <c r="E130" s="0" t="n">
        <v>205.4</v>
      </c>
      <c r="F130" s="0" t="n">
        <v>1184.8</v>
      </c>
      <c r="G130" s="0" t="n">
        <v>105.1</v>
      </c>
      <c r="H130" s="0" t="n">
        <v>446.6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77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2018.9</v>
      </c>
      <c r="AH130" s="0" t="n">
        <v>2018.9</v>
      </c>
      <c r="AI130" s="0" t="n">
        <v>38</v>
      </c>
    </row>
    <row r="131" customFormat="false" ht="14.9" hidden="false" customHeight="false" outlineLevel="0" collapsed="false">
      <c r="A131" s="0" t="n">
        <v>130</v>
      </c>
      <c r="B131" s="0" t="s">
        <v>306</v>
      </c>
      <c r="C131" s="33" t="s">
        <v>307</v>
      </c>
      <c r="D131" s="34" t="n">
        <v>46224</v>
      </c>
      <c r="E131" s="0" t="n">
        <v>908.95</v>
      </c>
      <c r="F131" s="0" t="n">
        <v>1798.8</v>
      </c>
      <c r="G131" s="0" t="n">
        <v>702</v>
      </c>
      <c r="H131" s="0" t="n">
        <v>912.64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18</v>
      </c>
      <c r="T131" s="0" t="n">
        <v>0</v>
      </c>
      <c r="U131" s="0" t="n">
        <v>0</v>
      </c>
      <c r="V131" s="0" t="n">
        <v>0.03</v>
      </c>
      <c r="W131" s="0" t="n">
        <v>115.1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4455.52</v>
      </c>
      <c r="AH131" s="0" t="n">
        <v>4455.52</v>
      </c>
      <c r="AI131" s="0" t="n">
        <v>56</v>
      </c>
    </row>
    <row r="132" customFormat="false" ht="14.9" hidden="false" customHeight="false" outlineLevel="0" collapsed="false">
      <c r="A132" s="0" t="n">
        <v>131</v>
      </c>
      <c r="B132" s="0" t="s">
        <v>306</v>
      </c>
      <c r="C132" s="33" t="s">
        <v>307</v>
      </c>
      <c r="D132" s="34" t="n">
        <v>46206</v>
      </c>
      <c r="E132" s="0" t="n">
        <v>149.3</v>
      </c>
      <c r="F132" s="0" t="n">
        <v>1696.9</v>
      </c>
      <c r="G132" s="0" t="n">
        <v>321.7</v>
      </c>
      <c r="H132" s="0" t="n">
        <v>1432.28</v>
      </c>
      <c r="I132" s="0" t="n">
        <v>0</v>
      </c>
      <c r="J132" s="0" t="n">
        <v>0</v>
      </c>
      <c r="K132" s="0" t="n">
        <v>78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41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3719.18</v>
      </c>
      <c r="AH132" s="0" t="n">
        <v>3719.18</v>
      </c>
      <c r="AI132" s="0" t="n">
        <v>51</v>
      </c>
    </row>
    <row r="133" customFormat="false" ht="14.9" hidden="false" customHeight="false" outlineLevel="0" collapsed="false">
      <c r="A133" s="0" t="n">
        <v>132</v>
      </c>
      <c r="B133" s="0" t="s">
        <v>306</v>
      </c>
      <c r="C133" s="33" t="s">
        <v>307</v>
      </c>
      <c r="D133" s="34" t="n">
        <v>46204</v>
      </c>
      <c r="E133" s="0" t="n">
        <v>1094.9</v>
      </c>
      <c r="F133" s="0" t="n">
        <v>963</v>
      </c>
      <c r="G133" s="0" t="n">
        <v>139.13</v>
      </c>
      <c r="H133" s="0" t="n">
        <v>591.84</v>
      </c>
      <c r="I133" s="0" t="n">
        <v>0</v>
      </c>
      <c r="J133" s="0" t="n">
        <v>0</v>
      </c>
      <c r="K133" s="0" t="n">
        <v>268.2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10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3067.07</v>
      </c>
      <c r="AH133" s="0" t="n">
        <v>3067.07</v>
      </c>
      <c r="AI133" s="0" t="n">
        <v>44</v>
      </c>
    </row>
    <row r="134" customFormat="false" ht="14.9" hidden="false" customHeight="false" outlineLevel="0" collapsed="false">
      <c r="A134" s="0" t="n">
        <v>133</v>
      </c>
      <c r="B134" s="0" t="s">
        <v>306</v>
      </c>
      <c r="C134" s="33" t="s">
        <v>307</v>
      </c>
      <c r="D134" s="34" t="n">
        <v>46233</v>
      </c>
      <c r="E134" s="0" t="n">
        <v>253.1</v>
      </c>
      <c r="F134" s="0" t="n">
        <v>1939.7</v>
      </c>
      <c r="G134" s="0" t="n">
        <v>215.68</v>
      </c>
      <c r="H134" s="0" t="n">
        <v>802.2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66.3</v>
      </c>
      <c r="P134" s="0" t="n">
        <v>0</v>
      </c>
      <c r="Q134" s="0" t="n">
        <v>0</v>
      </c>
      <c r="R134" s="0" t="n">
        <v>0</v>
      </c>
      <c r="S134" s="0" t="n">
        <v>19.8</v>
      </c>
      <c r="T134" s="0" t="n">
        <v>0</v>
      </c>
      <c r="U134" s="0" t="n">
        <v>0</v>
      </c>
      <c r="V134" s="0" t="n">
        <v>0</v>
      </c>
      <c r="W134" s="0" t="n">
        <v>369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3665.78</v>
      </c>
      <c r="AH134" s="0" t="n">
        <v>3665.78</v>
      </c>
      <c r="AI134" s="0" t="n">
        <v>56</v>
      </c>
    </row>
    <row r="135" customFormat="false" ht="14.9" hidden="false" customHeight="false" outlineLevel="0" collapsed="false">
      <c r="A135" s="0" t="n">
        <v>134</v>
      </c>
      <c r="B135" s="0" t="s">
        <v>306</v>
      </c>
      <c r="C135" s="33" t="s">
        <v>307</v>
      </c>
      <c r="D135" s="34" t="n">
        <v>46226</v>
      </c>
      <c r="E135" s="0" t="n">
        <v>458.28</v>
      </c>
      <c r="F135" s="0" t="n">
        <v>1145.8</v>
      </c>
      <c r="G135" s="0" t="n">
        <v>363.4</v>
      </c>
      <c r="H135" s="0" t="n">
        <v>1464.88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3.8</v>
      </c>
      <c r="W135" s="0" t="n">
        <v>78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3514.16</v>
      </c>
      <c r="AH135" s="0" t="n">
        <v>3514.16</v>
      </c>
      <c r="AI135" s="0" t="n">
        <v>49</v>
      </c>
    </row>
    <row r="136" customFormat="false" ht="14.9" hidden="false" customHeight="false" outlineLevel="0" collapsed="false">
      <c r="A136" s="0" t="n">
        <v>135</v>
      </c>
      <c r="B136" s="0" t="s">
        <v>306</v>
      </c>
      <c r="C136" s="33" t="s">
        <v>307</v>
      </c>
      <c r="D136" s="34" t="n">
        <v>46228</v>
      </c>
      <c r="E136" s="0" t="n">
        <v>153.3</v>
      </c>
      <c r="F136" s="0" t="n">
        <v>1776.8</v>
      </c>
      <c r="G136" s="0" t="n">
        <v>104.4</v>
      </c>
      <c r="H136" s="0" t="n">
        <v>885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48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2967.5</v>
      </c>
      <c r="AH136" s="0" t="n">
        <v>2967.5</v>
      </c>
      <c r="AI136" s="0" t="n">
        <v>48</v>
      </c>
    </row>
    <row r="137" customFormat="false" ht="14.9" hidden="false" customHeight="false" outlineLevel="0" collapsed="false">
      <c r="A137" s="0" t="n">
        <v>136</v>
      </c>
      <c r="B137" s="0" t="s">
        <v>306</v>
      </c>
      <c r="C137" s="33" t="s">
        <v>307</v>
      </c>
      <c r="D137" s="34" t="n">
        <v>46214</v>
      </c>
      <c r="E137" s="0" t="n">
        <v>1399.72</v>
      </c>
      <c r="F137" s="0" t="n">
        <v>1741</v>
      </c>
      <c r="G137" s="0" t="n">
        <v>748.4</v>
      </c>
      <c r="H137" s="0" t="n">
        <v>1246.1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61.2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5196.42</v>
      </c>
      <c r="AH137" s="0" t="n">
        <v>5196.42</v>
      </c>
      <c r="AI137" s="0" t="n">
        <v>59</v>
      </c>
    </row>
    <row r="138" customFormat="false" ht="14.9" hidden="false" customHeight="false" outlineLevel="0" collapsed="false">
      <c r="A138" s="0" t="n">
        <v>137</v>
      </c>
      <c r="B138" s="0" t="s">
        <v>306</v>
      </c>
      <c r="C138" s="33" t="s">
        <v>307</v>
      </c>
      <c r="D138" s="34" t="n">
        <v>46222</v>
      </c>
      <c r="E138" s="0" t="n">
        <v>30.9</v>
      </c>
      <c r="F138" s="0" t="n">
        <v>1258.8</v>
      </c>
      <c r="G138" s="0" t="n">
        <v>120.6</v>
      </c>
      <c r="H138" s="0" t="n">
        <v>1292.5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32.8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0.01</v>
      </c>
      <c r="W138" s="0" t="n">
        <v>68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2803.61</v>
      </c>
      <c r="AH138" s="0" t="n">
        <v>2803.61</v>
      </c>
      <c r="AI138" s="0" t="n">
        <v>46</v>
      </c>
    </row>
    <row r="139" customFormat="false" ht="14.9" hidden="false" customHeight="false" outlineLevel="0" collapsed="false">
      <c r="A139" s="0" t="n">
        <v>138</v>
      </c>
      <c r="B139" s="0" t="s">
        <v>306</v>
      </c>
      <c r="C139" s="33" t="s">
        <v>307</v>
      </c>
      <c r="D139" s="34" t="n">
        <v>46225</v>
      </c>
      <c r="E139" s="0" t="n">
        <v>148.4</v>
      </c>
      <c r="F139" s="0" t="n">
        <v>1185.6</v>
      </c>
      <c r="G139" s="0" t="n">
        <v>145.9</v>
      </c>
      <c r="H139" s="0" t="n">
        <v>614.58</v>
      </c>
      <c r="I139" s="0" t="n">
        <v>0</v>
      </c>
      <c r="J139" s="0" t="n">
        <v>0</v>
      </c>
      <c r="K139" s="0" t="n">
        <v>25.7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118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2238.18</v>
      </c>
      <c r="AH139" s="0" t="n">
        <v>2238.18</v>
      </c>
      <c r="AI139" s="0" t="n">
        <v>39</v>
      </c>
    </row>
    <row r="140" customFormat="false" ht="14.9" hidden="false" customHeight="false" outlineLevel="0" collapsed="false">
      <c r="A140" s="0" t="n">
        <v>139</v>
      </c>
      <c r="B140" s="0" t="s">
        <v>306</v>
      </c>
      <c r="C140" s="33" t="s">
        <v>307</v>
      </c>
      <c r="D140" s="34" t="n">
        <v>46220</v>
      </c>
      <c r="E140" s="0" t="n">
        <v>95.3</v>
      </c>
      <c r="F140" s="0" t="n">
        <v>1490.9</v>
      </c>
      <c r="G140" s="0" t="n">
        <v>107</v>
      </c>
      <c r="H140" s="0" t="n">
        <v>1467.2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159.6</v>
      </c>
      <c r="T140" s="0" t="n">
        <v>0</v>
      </c>
      <c r="U140" s="0" t="n">
        <v>0</v>
      </c>
      <c r="V140" s="0" t="n">
        <v>3.8</v>
      </c>
      <c r="W140" s="0" t="n">
        <v>48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3371.8</v>
      </c>
      <c r="AH140" s="0" t="n">
        <v>3371.8</v>
      </c>
      <c r="AI140" s="0" t="n">
        <v>51</v>
      </c>
    </row>
    <row r="141" customFormat="false" ht="14.9" hidden="false" customHeight="false" outlineLevel="0" collapsed="false">
      <c r="A141" s="0" t="n">
        <v>140</v>
      </c>
      <c r="B141" s="0" t="s">
        <v>306</v>
      </c>
      <c r="C141" s="33" t="s">
        <v>307</v>
      </c>
      <c r="D141" s="34" t="n">
        <v>46211</v>
      </c>
      <c r="E141" s="0" t="n">
        <v>534.58</v>
      </c>
      <c r="F141" s="0" t="n">
        <v>1478.6</v>
      </c>
      <c r="G141" s="0" t="n">
        <v>740.5</v>
      </c>
      <c r="H141" s="0" t="n">
        <v>743.88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42.8</v>
      </c>
      <c r="T141" s="0" t="n">
        <v>0</v>
      </c>
      <c r="U141" s="0" t="n">
        <v>0</v>
      </c>
      <c r="V141" s="0" t="n">
        <v>0</v>
      </c>
      <c r="W141" s="0" t="n">
        <v>71.1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3611.46</v>
      </c>
      <c r="AH141" s="0" t="n">
        <v>3611.46</v>
      </c>
      <c r="AI141" s="0" t="n">
        <v>56</v>
      </c>
    </row>
    <row r="142" customFormat="false" ht="14.9" hidden="false" customHeight="false" outlineLevel="0" collapsed="false">
      <c r="A142" s="0" t="n">
        <v>141</v>
      </c>
      <c r="B142" s="0" t="s">
        <v>306</v>
      </c>
      <c r="C142" s="33" t="s">
        <v>307</v>
      </c>
      <c r="D142" s="34" t="n">
        <v>46223</v>
      </c>
      <c r="E142" s="0" t="n">
        <v>5.5</v>
      </c>
      <c r="F142" s="0" t="n">
        <v>2056.3</v>
      </c>
      <c r="G142" s="0" t="n">
        <v>294.3</v>
      </c>
      <c r="H142" s="0" t="n">
        <v>740.69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14</v>
      </c>
      <c r="T142" s="0" t="n">
        <v>0</v>
      </c>
      <c r="U142" s="0" t="n">
        <v>0</v>
      </c>
      <c r="V142" s="0" t="n">
        <v>3.8</v>
      </c>
      <c r="W142" s="0" t="n">
        <v>137.1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3251.69</v>
      </c>
      <c r="AH142" s="0" t="n">
        <v>3251.69</v>
      </c>
      <c r="AI142" s="0" t="n">
        <v>58</v>
      </c>
    </row>
    <row r="143" customFormat="false" ht="14.9" hidden="false" customHeight="false" outlineLevel="0" collapsed="false">
      <c r="A143" s="0" t="n">
        <v>142</v>
      </c>
      <c r="B143" s="0" t="s">
        <v>306</v>
      </c>
      <c r="C143" s="33" t="s">
        <v>307</v>
      </c>
      <c r="D143" s="34" t="n">
        <v>46231</v>
      </c>
      <c r="E143" s="0" t="n">
        <v>196.94</v>
      </c>
      <c r="F143" s="0" t="n">
        <v>1683.4</v>
      </c>
      <c r="G143" s="0" t="n">
        <v>732.9</v>
      </c>
      <c r="H143" s="0" t="n">
        <v>762.7</v>
      </c>
      <c r="I143" s="0" t="n">
        <v>0</v>
      </c>
      <c r="J143" s="0" t="n">
        <v>0</v>
      </c>
      <c r="K143" s="0" t="n">
        <v>543</v>
      </c>
      <c r="L143" s="0" t="n">
        <v>0</v>
      </c>
      <c r="M143" s="0" t="n">
        <v>0</v>
      </c>
      <c r="N143" s="0" t="n">
        <v>0</v>
      </c>
      <c r="O143" s="0" t="n">
        <v>21.5</v>
      </c>
      <c r="P143" s="0" t="n">
        <v>0</v>
      </c>
      <c r="Q143" s="0" t="n">
        <v>0</v>
      </c>
      <c r="R143" s="0" t="n">
        <v>0</v>
      </c>
      <c r="S143" s="0" t="n">
        <v>60</v>
      </c>
      <c r="T143" s="0" t="n">
        <v>0</v>
      </c>
      <c r="U143" s="0" t="n">
        <v>0</v>
      </c>
      <c r="V143" s="0" t="n">
        <v>0</v>
      </c>
      <c r="W143" s="0" t="n">
        <v>163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4163.44</v>
      </c>
      <c r="AH143" s="0" t="n">
        <v>4163.44</v>
      </c>
      <c r="AI143" s="0" t="n">
        <v>43</v>
      </c>
    </row>
    <row r="144" customFormat="false" ht="14.9" hidden="false" customHeight="false" outlineLevel="0" collapsed="false">
      <c r="A144" s="0" t="n">
        <v>143</v>
      </c>
      <c r="B144" s="0" t="s">
        <v>306</v>
      </c>
      <c r="C144" s="33" t="s">
        <v>307</v>
      </c>
      <c r="D144" s="34" t="n">
        <v>46207</v>
      </c>
      <c r="E144" s="0" t="n">
        <v>87.1</v>
      </c>
      <c r="F144" s="0" t="n">
        <v>1206.4</v>
      </c>
      <c r="G144" s="0" t="n">
        <v>156.1</v>
      </c>
      <c r="H144" s="0" t="n">
        <v>1045.4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20.8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55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2570.8</v>
      </c>
      <c r="AH144" s="0" t="n">
        <v>2570.8</v>
      </c>
      <c r="AI144" s="0" t="n">
        <v>46</v>
      </c>
    </row>
    <row r="145" customFormat="false" ht="14.9" hidden="false" customHeight="false" outlineLevel="0" collapsed="false">
      <c r="A145" s="0" t="n">
        <v>144</v>
      </c>
      <c r="B145" s="0" t="s">
        <v>306</v>
      </c>
      <c r="C145" s="33" t="s">
        <v>307</v>
      </c>
      <c r="D145" s="34" t="n">
        <v>46234</v>
      </c>
      <c r="E145" s="0" t="n">
        <v>733.43</v>
      </c>
      <c r="F145" s="0" t="n">
        <v>2052.8</v>
      </c>
      <c r="G145" s="0" t="n">
        <v>371.5</v>
      </c>
      <c r="H145" s="0" t="n">
        <v>1051.3</v>
      </c>
      <c r="I145" s="0" t="n">
        <v>0</v>
      </c>
      <c r="J145" s="0" t="n">
        <v>0</v>
      </c>
      <c r="K145" s="0" t="n">
        <v>64.5</v>
      </c>
      <c r="L145" s="0" t="n">
        <v>0</v>
      </c>
      <c r="M145" s="0" t="n">
        <v>0</v>
      </c>
      <c r="N145" s="0" t="n">
        <v>0</v>
      </c>
      <c r="O145" s="0" t="n">
        <v>29.6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0.02</v>
      </c>
      <c r="W145" s="0" t="n">
        <v>422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4725.15</v>
      </c>
      <c r="AH145" s="0" t="n">
        <v>4725.15</v>
      </c>
      <c r="AI145" s="0" t="n">
        <v>79</v>
      </c>
    </row>
    <row r="146" customFormat="false" ht="14.9" hidden="false" customHeight="false" outlineLevel="0" collapsed="false">
      <c r="A146" s="0" t="n">
        <v>145</v>
      </c>
      <c r="B146" s="0" t="s">
        <v>306</v>
      </c>
      <c r="C146" s="33" t="s">
        <v>307</v>
      </c>
      <c r="D146" s="34" t="n">
        <v>46213</v>
      </c>
      <c r="E146" s="0" t="n">
        <v>114.48</v>
      </c>
      <c r="F146" s="0" t="n">
        <v>1656.7</v>
      </c>
      <c r="G146" s="0" t="n">
        <v>88.4</v>
      </c>
      <c r="H146" s="0" t="n">
        <v>1060.7</v>
      </c>
      <c r="I146" s="0" t="n">
        <v>0</v>
      </c>
      <c r="J146" s="0" t="n">
        <v>0</v>
      </c>
      <c r="K146" s="0" t="n">
        <v>260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98.2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3278.48</v>
      </c>
      <c r="AH146" s="0" t="n">
        <v>3278.48</v>
      </c>
      <c r="AI146" s="0" t="n">
        <v>55</v>
      </c>
    </row>
    <row r="147" customFormat="false" ht="14.9" hidden="false" customHeight="false" outlineLevel="0" collapsed="false">
      <c r="A147" s="0" t="n">
        <v>146</v>
      </c>
      <c r="B147" s="0" t="s">
        <v>306</v>
      </c>
      <c r="C147" s="33" t="s">
        <v>307</v>
      </c>
      <c r="D147" s="34" t="n">
        <v>46212</v>
      </c>
      <c r="E147" s="0" t="n">
        <v>0.02</v>
      </c>
      <c r="F147" s="0" t="n">
        <v>2042</v>
      </c>
      <c r="G147" s="0" t="n">
        <v>373.6</v>
      </c>
      <c r="H147" s="0" t="n">
        <v>1841.6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0.01</v>
      </c>
      <c r="W147" s="0" t="n">
        <v>52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4309.23</v>
      </c>
      <c r="AH147" s="0" t="n">
        <v>4309.23</v>
      </c>
      <c r="AI147" s="0" t="n">
        <v>53</v>
      </c>
    </row>
    <row r="148" customFormat="false" ht="14.9" hidden="false" customHeight="false" outlineLevel="0" collapsed="false">
      <c r="A148" s="0" t="n">
        <v>147</v>
      </c>
      <c r="B148" s="0" t="s">
        <v>306</v>
      </c>
      <c r="C148" s="33" t="s">
        <v>307</v>
      </c>
      <c r="D148" s="34" t="n">
        <v>46205</v>
      </c>
      <c r="E148" s="0" t="n">
        <v>670.4</v>
      </c>
      <c r="F148" s="0" t="n">
        <v>1633.6</v>
      </c>
      <c r="G148" s="0" t="n">
        <v>138.4</v>
      </c>
      <c r="H148" s="0" t="n">
        <v>761.28</v>
      </c>
      <c r="I148" s="0" t="n">
        <v>0</v>
      </c>
      <c r="J148" s="0" t="n">
        <v>0</v>
      </c>
      <c r="K148" s="0" t="n">
        <v>80.6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6</v>
      </c>
      <c r="T148" s="0" t="n">
        <v>0</v>
      </c>
      <c r="U148" s="0" t="n">
        <v>0</v>
      </c>
      <c r="V148" s="0" t="n">
        <v>3.8</v>
      </c>
      <c r="W148" s="0" t="n">
        <v>61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3355.08</v>
      </c>
      <c r="AH148" s="0" t="n">
        <v>3355.08</v>
      </c>
      <c r="AI148" s="0" t="n">
        <v>45</v>
      </c>
    </row>
    <row r="149" customFormat="false" ht="14.9" hidden="false" customHeight="false" outlineLevel="0" collapsed="false">
      <c r="A149" s="0" t="n">
        <v>148</v>
      </c>
      <c r="B149" s="0" t="s">
        <v>306</v>
      </c>
      <c r="C149" s="33" t="s">
        <v>307</v>
      </c>
      <c r="D149" s="34" t="n">
        <v>46208</v>
      </c>
      <c r="E149" s="0" t="n">
        <v>371.38</v>
      </c>
      <c r="F149" s="0" t="n">
        <v>952.1</v>
      </c>
      <c r="G149" s="0" t="n">
        <v>26.8</v>
      </c>
      <c r="H149" s="0" t="n">
        <v>846.4</v>
      </c>
      <c r="I149" s="0" t="n">
        <v>0</v>
      </c>
      <c r="J149" s="0" t="n">
        <v>0</v>
      </c>
      <c r="K149" s="0" t="n">
        <v>197.92</v>
      </c>
      <c r="L149" s="0" t="n">
        <v>0</v>
      </c>
      <c r="M149" s="0" t="n">
        <v>0</v>
      </c>
      <c r="N149" s="0" t="n">
        <v>0</v>
      </c>
      <c r="O149" s="0" t="n">
        <v>21.6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43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2459.2</v>
      </c>
      <c r="AH149" s="0" t="n">
        <v>2459.2</v>
      </c>
      <c r="AI149" s="0" t="n">
        <v>46</v>
      </c>
    </row>
    <row r="150" customFormat="false" ht="14.9" hidden="false" customHeight="false" outlineLevel="0" collapsed="false">
      <c r="A150" s="0" t="n">
        <v>149</v>
      </c>
      <c r="B150" s="0" t="s">
        <v>306</v>
      </c>
      <c r="C150" s="33" t="s">
        <v>307</v>
      </c>
      <c r="D150" s="34" t="n">
        <v>46217</v>
      </c>
      <c r="E150" s="0" t="n">
        <v>102.5</v>
      </c>
      <c r="F150" s="0" t="n">
        <v>1811</v>
      </c>
      <c r="G150" s="0" t="n">
        <v>89</v>
      </c>
      <c r="H150" s="0" t="n">
        <v>357.7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52.86</v>
      </c>
      <c r="T150" s="0" t="n">
        <v>0</v>
      </c>
      <c r="U150" s="0" t="n">
        <v>0</v>
      </c>
      <c r="V150" s="0" t="n">
        <v>0</v>
      </c>
      <c r="W150" s="0" t="n">
        <v>84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2497.06</v>
      </c>
      <c r="AH150" s="0" t="n">
        <v>2497.06</v>
      </c>
      <c r="AI150" s="0" t="n">
        <v>46</v>
      </c>
    </row>
    <row r="151" customFormat="false" ht="14.9" hidden="false" customHeight="false" outlineLevel="0" collapsed="false">
      <c r="A151" s="0" t="n">
        <v>150</v>
      </c>
      <c r="B151" s="0" t="s">
        <v>306</v>
      </c>
      <c r="C151" s="33" t="s">
        <v>307</v>
      </c>
      <c r="D151" s="34" t="n">
        <v>46221</v>
      </c>
      <c r="E151" s="0" t="n">
        <v>257.6</v>
      </c>
      <c r="F151" s="0" t="n">
        <v>1714.8</v>
      </c>
      <c r="G151" s="0" t="n">
        <v>172.9</v>
      </c>
      <c r="H151" s="0" t="n">
        <v>1025.38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39.8</v>
      </c>
      <c r="T151" s="0" t="n">
        <v>0</v>
      </c>
      <c r="U151" s="0" t="n">
        <v>0</v>
      </c>
      <c r="V151" s="0" t="n">
        <v>0.01</v>
      </c>
      <c r="W151" s="0" t="n">
        <v>49.1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3259.59</v>
      </c>
      <c r="AH151" s="0" t="n">
        <v>3259.59</v>
      </c>
      <c r="AI151" s="0" t="n">
        <v>61</v>
      </c>
    </row>
    <row r="152" customFormat="false" ht="14.9" hidden="false" customHeight="false" outlineLevel="0" collapsed="false">
      <c r="A152" s="0" t="n">
        <v>151</v>
      </c>
      <c r="B152" s="0" t="s">
        <v>306</v>
      </c>
      <c r="C152" s="33" t="s">
        <v>307</v>
      </c>
      <c r="D152" s="34" t="n">
        <v>46232</v>
      </c>
      <c r="E152" s="0" t="n">
        <v>520.25</v>
      </c>
      <c r="F152" s="0" t="n">
        <v>1975.75</v>
      </c>
      <c r="G152" s="0" t="n">
        <v>13.5</v>
      </c>
      <c r="H152" s="0" t="n">
        <v>20.2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28</v>
      </c>
      <c r="T152" s="0" t="n">
        <v>0</v>
      </c>
      <c r="U152" s="0" t="n">
        <v>0</v>
      </c>
      <c r="V152" s="0" t="n">
        <v>0</v>
      </c>
      <c r="W152" s="0" t="n">
        <v>197.1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2754.8</v>
      </c>
      <c r="AH152" s="0" t="n">
        <v>2754.8</v>
      </c>
      <c r="AI152" s="0" t="n">
        <v>54</v>
      </c>
    </row>
    <row r="153" customFormat="false" ht="14.9" hidden="false" customHeight="false" outlineLevel="0" collapsed="false">
      <c r="A153" s="0" t="n">
        <v>152</v>
      </c>
      <c r="B153" s="0" t="s">
        <v>306</v>
      </c>
      <c r="C153" s="33" t="s">
        <v>307</v>
      </c>
      <c r="D153" s="34" t="n">
        <v>46219</v>
      </c>
      <c r="E153" s="0" t="n">
        <v>1424.05</v>
      </c>
      <c r="F153" s="0" t="n">
        <v>1526</v>
      </c>
      <c r="G153" s="0" t="n">
        <v>1492.33</v>
      </c>
      <c r="H153" s="0" t="n">
        <v>1563.76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99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6105.14</v>
      </c>
      <c r="AH153" s="0" t="n">
        <v>6105.14</v>
      </c>
      <c r="AI153" s="0" t="n">
        <v>56</v>
      </c>
    </row>
    <row r="154" customFormat="false" ht="14.9" hidden="false" customHeight="false" outlineLevel="0" collapsed="false">
      <c r="A154" s="0" t="n">
        <v>153</v>
      </c>
      <c r="B154" s="0" t="s">
        <v>306</v>
      </c>
      <c r="C154" s="33" t="s">
        <v>307</v>
      </c>
      <c r="D154" s="34" t="n">
        <v>46215</v>
      </c>
      <c r="E154" s="0" t="n">
        <v>263.69</v>
      </c>
      <c r="F154" s="0" t="n">
        <v>1721.6</v>
      </c>
      <c r="G154" s="0" t="n">
        <v>184</v>
      </c>
      <c r="H154" s="0" t="n">
        <v>932.2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43</v>
      </c>
      <c r="T154" s="0" t="n">
        <v>0</v>
      </c>
      <c r="U154" s="0" t="n">
        <v>0</v>
      </c>
      <c r="V154" s="0" t="n">
        <v>7.6</v>
      </c>
      <c r="W154" s="0" t="n">
        <v>76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3228.09</v>
      </c>
      <c r="AH154" s="0" t="n">
        <v>3228.09</v>
      </c>
      <c r="AI154" s="0" t="n">
        <v>53</v>
      </c>
    </row>
    <row r="155" customFormat="false" ht="14.9" hidden="false" customHeight="false" outlineLevel="0" collapsed="false">
      <c r="A155" s="0" t="n">
        <v>154</v>
      </c>
      <c r="B155" s="0" t="s">
        <v>306</v>
      </c>
      <c r="C155" s="33" t="s">
        <v>307</v>
      </c>
      <c r="D155" s="34" t="n">
        <v>46209</v>
      </c>
      <c r="E155" s="0" t="n">
        <v>811.64</v>
      </c>
      <c r="F155" s="0" t="n">
        <v>1361.6</v>
      </c>
      <c r="G155" s="0" t="n">
        <v>2130.91</v>
      </c>
      <c r="H155" s="0" t="n">
        <v>518.06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40.5</v>
      </c>
      <c r="T155" s="0" t="n">
        <v>0</v>
      </c>
      <c r="U155" s="0" t="n">
        <v>0</v>
      </c>
      <c r="V155" s="0" t="n">
        <v>3.8</v>
      </c>
      <c r="W155" s="0" t="n">
        <v>86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4952.51</v>
      </c>
      <c r="AH155" s="0" t="n">
        <v>4952.51</v>
      </c>
      <c r="AI155" s="0" t="n">
        <v>60</v>
      </c>
    </row>
    <row r="156" customFormat="false" ht="14.9" hidden="false" customHeight="false" outlineLevel="0" collapsed="false">
      <c r="A156" s="0" t="n">
        <v>155</v>
      </c>
      <c r="B156" s="0" t="s">
        <v>306</v>
      </c>
      <c r="C156" s="33" t="s">
        <v>307</v>
      </c>
      <c r="D156" s="34" t="n">
        <v>46230</v>
      </c>
      <c r="E156" s="0" t="n">
        <v>602.9</v>
      </c>
      <c r="F156" s="0" t="n">
        <v>2138.7</v>
      </c>
      <c r="G156" s="0" t="n">
        <v>1898.25</v>
      </c>
      <c r="H156" s="0" t="n">
        <v>639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3.8</v>
      </c>
      <c r="W156" s="0" t="n">
        <v>225.1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5507.75</v>
      </c>
      <c r="AH156" s="0" t="n">
        <v>5507.75</v>
      </c>
      <c r="AI156" s="0" t="n">
        <v>54</v>
      </c>
    </row>
    <row r="157" customFormat="false" ht="14.9" hidden="false" customHeight="false" outlineLevel="0" collapsed="false">
      <c r="A157" s="0" t="n">
        <v>156</v>
      </c>
      <c r="B157" s="0" t="s">
        <v>308</v>
      </c>
      <c r="C157" s="33" t="s">
        <v>309</v>
      </c>
      <c r="D157" s="34" t="n">
        <v>46210</v>
      </c>
      <c r="E157" s="0" t="n">
        <v>76</v>
      </c>
      <c r="F157" s="0" t="n">
        <v>0</v>
      </c>
      <c r="G157" s="0" t="n">
        <v>1233.41</v>
      </c>
      <c r="H157" s="0" t="n">
        <v>381.91</v>
      </c>
      <c r="I157" s="0" t="n">
        <v>26.9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26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1744.22</v>
      </c>
      <c r="AH157" s="0" t="n">
        <v>1744.22</v>
      </c>
      <c r="AI157" s="0" t="n">
        <v>36</v>
      </c>
    </row>
    <row r="158" customFormat="false" ht="14.9" hidden="false" customHeight="false" outlineLevel="0" collapsed="false">
      <c r="A158" s="0" t="n">
        <v>157</v>
      </c>
      <c r="B158" s="0" t="s">
        <v>308</v>
      </c>
      <c r="C158" s="33" t="s">
        <v>309</v>
      </c>
      <c r="D158" s="34" t="n">
        <v>46232</v>
      </c>
      <c r="E158" s="0" t="n">
        <v>101.2</v>
      </c>
      <c r="F158" s="0" t="n">
        <v>0</v>
      </c>
      <c r="G158" s="0" t="n">
        <v>720.54</v>
      </c>
      <c r="H158" s="0" t="n">
        <v>310.1</v>
      </c>
      <c r="I158" s="0" t="n">
        <v>0</v>
      </c>
      <c r="J158" s="0" t="n">
        <v>129.96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70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1331.8</v>
      </c>
      <c r="AH158" s="0" t="n">
        <v>1331.8</v>
      </c>
      <c r="AI158" s="0" t="n">
        <v>34</v>
      </c>
    </row>
    <row r="159" customFormat="false" ht="14.9" hidden="false" customHeight="false" outlineLevel="0" collapsed="false">
      <c r="A159" s="0" t="n">
        <v>158</v>
      </c>
      <c r="B159" s="0" t="s">
        <v>308</v>
      </c>
      <c r="C159" s="33" t="s">
        <v>309</v>
      </c>
      <c r="D159" s="34" t="n">
        <v>46228</v>
      </c>
      <c r="E159" s="0" t="n">
        <v>90</v>
      </c>
      <c r="F159" s="0" t="n">
        <v>0</v>
      </c>
      <c r="G159" s="0" t="n">
        <v>1004.23</v>
      </c>
      <c r="H159" s="0" t="n">
        <v>846.47</v>
      </c>
      <c r="I159" s="0" t="n">
        <v>33.96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21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10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2005.66</v>
      </c>
      <c r="AH159" s="0" t="n">
        <v>2005.66</v>
      </c>
      <c r="AI159" s="0" t="n">
        <v>37</v>
      </c>
    </row>
    <row r="160" customFormat="false" ht="14.9" hidden="false" customHeight="false" outlineLevel="0" collapsed="false">
      <c r="A160" s="0" t="n">
        <v>159</v>
      </c>
      <c r="B160" s="0" t="s">
        <v>308</v>
      </c>
      <c r="C160" s="33" t="s">
        <v>309</v>
      </c>
      <c r="D160" s="34" t="n">
        <v>46212</v>
      </c>
      <c r="E160" s="0" t="n">
        <v>103.6</v>
      </c>
      <c r="F160" s="0" t="n">
        <v>0</v>
      </c>
      <c r="G160" s="0" t="n">
        <v>1016.63</v>
      </c>
      <c r="H160" s="0" t="n">
        <v>882.7</v>
      </c>
      <c r="I160" s="0" t="n">
        <v>0</v>
      </c>
      <c r="J160" s="0" t="n">
        <v>1022.78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21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9.9</v>
      </c>
      <c r="W160" s="0" t="n">
        <v>6.2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3062.81</v>
      </c>
      <c r="AH160" s="0" t="n">
        <v>3062.81</v>
      </c>
      <c r="AI160" s="0" t="n">
        <v>38</v>
      </c>
    </row>
    <row r="161" customFormat="false" ht="14.9" hidden="false" customHeight="false" outlineLevel="0" collapsed="false">
      <c r="A161" s="0" t="n">
        <v>160</v>
      </c>
      <c r="B161" s="0" t="s">
        <v>308</v>
      </c>
      <c r="C161" s="33" t="s">
        <v>309</v>
      </c>
      <c r="D161" s="34" t="n">
        <v>46219</v>
      </c>
      <c r="E161" s="0" t="n">
        <v>405.6</v>
      </c>
      <c r="F161" s="0" t="n">
        <v>0</v>
      </c>
      <c r="G161" s="0" t="n">
        <v>1532.26</v>
      </c>
      <c r="H161" s="0" t="n">
        <v>871.5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80.7</v>
      </c>
      <c r="T161" s="0" t="n">
        <v>0</v>
      </c>
      <c r="U161" s="0" t="n">
        <v>0</v>
      </c>
      <c r="V161" s="0" t="n">
        <v>0</v>
      </c>
      <c r="W161" s="0" t="n">
        <v>30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2920.06</v>
      </c>
      <c r="AH161" s="0" t="n">
        <v>2920.06</v>
      </c>
      <c r="AI161" s="0" t="n">
        <v>36</v>
      </c>
    </row>
    <row r="162" customFormat="false" ht="14.9" hidden="false" customHeight="false" outlineLevel="0" collapsed="false">
      <c r="A162" s="0" t="n">
        <v>161</v>
      </c>
      <c r="B162" s="0" t="s">
        <v>308</v>
      </c>
      <c r="C162" s="33" t="s">
        <v>309</v>
      </c>
      <c r="D162" s="34" t="n">
        <v>46231</v>
      </c>
      <c r="E162" s="0" t="n">
        <v>160.96</v>
      </c>
      <c r="F162" s="0" t="n">
        <v>0</v>
      </c>
      <c r="G162" s="0" t="n">
        <v>914.87</v>
      </c>
      <c r="H162" s="0" t="n">
        <v>502.19</v>
      </c>
      <c r="I162" s="0" t="n">
        <v>0</v>
      </c>
      <c r="J162" s="0" t="n">
        <v>67.93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69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1714.95</v>
      </c>
      <c r="AH162" s="0" t="n">
        <v>1714.95</v>
      </c>
      <c r="AI162" s="0" t="n">
        <v>32</v>
      </c>
    </row>
    <row r="163" customFormat="false" ht="14.9" hidden="false" customHeight="false" outlineLevel="0" collapsed="false">
      <c r="A163" s="0" t="n">
        <v>162</v>
      </c>
      <c r="B163" s="0" t="s">
        <v>308</v>
      </c>
      <c r="C163" s="33" t="s">
        <v>309</v>
      </c>
      <c r="D163" s="34" t="n">
        <v>46234</v>
      </c>
      <c r="E163" s="0" t="n">
        <v>244.93</v>
      </c>
      <c r="F163" s="0" t="n">
        <v>0</v>
      </c>
      <c r="G163" s="0" t="n">
        <v>725.35</v>
      </c>
      <c r="H163" s="0" t="n">
        <v>739.8</v>
      </c>
      <c r="I163" s="0" t="n">
        <v>0</v>
      </c>
      <c r="J163" s="0" t="n">
        <v>333.45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5</v>
      </c>
      <c r="W163" s="0" t="n">
        <v>166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2214.53</v>
      </c>
      <c r="AH163" s="0" t="n">
        <v>2214.53</v>
      </c>
      <c r="AI163" s="0" t="n">
        <v>36</v>
      </c>
    </row>
    <row r="164" customFormat="false" ht="14.9" hidden="false" customHeight="false" outlineLevel="0" collapsed="false">
      <c r="A164" s="0" t="n">
        <v>163</v>
      </c>
      <c r="B164" s="0" t="s">
        <v>308</v>
      </c>
      <c r="C164" s="33" t="s">
        <v>309</v>
      </c>
      <c r="D164" s="34" t="n">
        <v>46226</v>
      </c>
      <c r="E164" s="0" t="n">
        <v>62.3</v>
      </c>
      <c r="F164" s="0" t="n">
        <v>0</v>
      </c>
      <c r="G164" s="0" t="n">
        <v>1437.66</v>
      </c>
      <c r="H164" s="0" t="n">
        <v>755</v>
      </c>
      <c r="I164" s="0" t="n">
        <v>26.9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9.9</v>
      </c>
      <c r="W164" s="0" t="n">
        <v>25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2316.76</v>
      </c>
      <c r="AH164" s="0" t="n">
        <v>2316.76</v>
      </c>
      <c r="AI164" s="0" t="n">
        <v>35</v>
      </c>
    </row>
    <row r="165" customFormat="false" ht="14.9" hidden="false" customHeight="false" outlineLevel="0" collapsed="false">
      <c r="A165" s="0" t="n">
        <v>164</v>
      </c>
      <c r="B165" s="0" t="s">
        <v>308</v>
      </c>
      <c r="C165" s="33" t="s">
        <v>309</v>
      </c>
      <c r="D165" s="34" t="n">
        <v>46227</v>
      </c>
      <c r="E165" s="0" t="n">
        <v>70.01</v>
      </c>
      <c r="F165" s="0" t="n">
        <v>0</v>
      </c>
      <c r="G165" s="0" t="n">
        <v>999.3</v>
      </c>
      <c r="H165" s="0" t="n">
        <v>484.5</v>
      </c>
      <c r="I165" s="0" t="n">
        <v>101.88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0.1</v>
      </c>
      <c r="W165" s="0" t="n">
        <v>11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1666.79</v>
      </c>
      <c r="AH165" s="0" t="n">
        <v>1666.79</v>
      </c>
      <c r="AI165" s="0" t="n">
        <v>31</v>
      </c>
    </row>
    <row r="166" customFormat="false" ht="14.9" hidden="false" customHeight="false" outlineLevel="0" collapsed="false">
      <c r="A166" s="0" t="n">
        <v>165</v>
      </c>
      <c r="B166" s="0" t="s">
        <v>308</v>
      </c>
      <c r="C166" s="33" t="s">
        <v>309</v>
      </c>
      <c r="D166" s="34" t="n">
        <v>46230</v>
      </c>
      <c r="E166" s="0" t="n">
        <v>192.15</v>
      </c>
      <c r="F166" s="0" t="n">
        <v>0</v>
      </c>
      <c r="G166" s="0" t="n">
        <v>777.99</v>
      </c>
      <c r="H166" s="0" t="n">
        <v>502.8</v>
      </c>
      <c r="I166" s="0" t="n">
        <v>0</v>
      </c>
      <c r="J166" s="0" t="n">
        <v>203.21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118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1794.15</v>
      </c>
      <c r="AH166" s="0" t="n">
        <v>1794.15</v>
      </c>
      <c r="AI166" s="0" t="n">
        <v>32</v>
      </c>
    </row>
    <row r="167" customFormat="false" ht="14.9" hidden="false" customHeight="false" outlineLevel="0" collapsed="false">
      <c r="A167" s="0" t="n">
        <v>166</v>
      </c>
      <c r="B167" s="0" t="s">
        <v>308</v>
      </c>
      <c r="C167" s="33" t="s">
        <v>309</v>
      </c>
      <c r="D167" s="34" t="n">
        <v>46216</v>
      </c>
      <c r="E167" s="0" t="n">
        <v>119.05</v>
      </c>
      <c r="F167" s="0" t="n">
        <v>0</v>
      </c>
      <c r="G167" s="0" t="n">
        <v>944.96</v>
      </c>
      <c r="H167" s="0" t="n">
        <v>536.2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70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0.02</v>
      </c>
      <c r="W167" s="0" t="n">
        <v>10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1680.23</v>
      </c>
      <c r="AH167" s="0" t="n">
        <v>1680.23</v>
      </c>
      <c r="AI167" s="0" t="n">
        <v>35</v>
      </c>
    </row>
    <row r="168" customFormat="false" ht="14.9" hidden="false" customHeight="false" outlineLevel="0" collapsed="false">
      <c r="A168" s="0" t="n">
        <v>167</v>
      </c>
      <c r="B168" s="0" t="s">
        <v>308</v>
      </c>
      <c r="C168" s="33" t="s">
        <v>309</v>
      </c>
      <c r="D168" s="34" t="n">
        <v>46225</v>
      </c>
      <c r="E168" s="0" t="n">
        <v>237.28</v>
      </c>
      <c r="F168" s="0" t="n">
        <v>0</v>
      </c>
      <c r="G168" s="0" t="n">
        <v>1198</v>
      </c>
      <c r="H168" s="0" t="n">
        <v>289.3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18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1742.58</v>
      </c>
      <c r="AH168" s="0" t="n">
        <v>1742.58</v>
      </c>
      <c r="AI168" s="0" t="n">
        <v>28</v>
      </c>
    </row>
    <row r="169" customFormat="false" ht="14.9" hidden="false" customHeight="false" outlineLevel="0" collapsed="false">
      <c r="A169" s="0" t="n">
        <v>168</v>
      </c>
      <c r="B169" s="0" t="s">
        <v>308</v>
      </c>
      <c r="C169" s="33" t="s">
        <v>309</v>
      </c>
      <c r="D169" s="34" t="n">
        <v>46205</v>
      </c>
      <c r="E169" s="0" t="n">
        <v>345.9</v>
      </c>
      <c r="F169" s="0" t="n">
        <v>0</v>
      </c>
      <c r="G169" s="0" t="n">
        <v>1444.3</v>
      </c>
      <c r="H169" s="0" t="n">
        <v>778.4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2568.6</v>
      </c>
      <c r="AH169" s="0" t="n">
        <v>2568.6</v>
      </c>
      <c r="AI169" s="0" t="n">
        <v>41</v>
      </c>
    </row>
    <row r="170" customFormat="false" ht="14.9" hidden="false" customHeight="false" outlineLevel="0" collapsed="false">
      <c r="A170" s="0" t="n">
        <v>169</v>
      </c>
      <c r="B170" s="0" t="s">
        <v>308</v>
      </c>
      <c r="C170" s="33" t="s">
        <v>309</v>
      </c>
      <c r="D170" s="34" t="n">
        <v>46218</v>
      </c>
      <c r="E170" s="0" t="n">
        <v>109.04</v>
      </c>
      <c r="F170" s="0" t="n">
        <v>0</v>
      </c>
      <c r="G170" s="0" t="n">
        <v>487.2</v>
      </c>
      <c r="H170" s="0" t="n">
        <v>420.6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1016.84</v>
      </c>
      <c r="AH170" s="0" t="n">
        <v>1016.84</v>
      </c>
      <c r="AI170" s="0" t="n">
        <v>22</v>
      </c>
    </row>
    <row r="171" customFormat="false" ht="14.9" hidden="false" customHeight="false" outlineLevel="0" collapsed="false">
      <c r="A171" s="0" t="n">
        <v>170</v>
      </c>
      <c r="B171" s="0" t="s">
        <v>308</v>
      </c>
      <c r="C171" s="33" t="s">
        <v>309</v>
      </c>
      <c r="D171" s="34" t="n">
        <v>46211</v>
      </c>
      <c r="E171" s="0" t="n">
        <v>207</v>
      </c>
      <c r="F171" s="0" t="n">
        <v>0</v>
      </c>
      <c r="G171" s="0" t="n">
        <v>856.8</v>
      </c>
      <c r="H171" s="0" t="n">
        <v>914.3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0.03</v>
      </c>
      <c r="W171" s="0" t="n">
        <v>43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2021.13</v>
      </c>
      <c r="AH171" s="0" t="n">
        <v>2021.13</v>
      </c>
      <c r="AI171" s="0" t="n">
        <v>39</v>
      </c>
    </row>
    <row r="172" customFormat="false" ht="14.9" hidden="false" customHeight="false" outlineLevel="0" collapsed="false">
      <c r="A172" s="0" t="n">
        <v>171</v>
      </c>
      <c r="B172" s="0" t="s">
        <v>308</v>
      </c>
      <c r="C172" s="33" t="s">
        <v>309</v>
      </c>
      <c r="D172" s="34" t="n">
        <v>46224</v>
      </c>
      <c r="E172" s="0" t="n">
        <v>208.51</v>
      </c>
      <c r="F172" s="0" t="n">
        <v>0</v>
      </c>
      <c r="G172" s="0" t="n">
        <v>1413.09</v>
      </c>
      <c r="H172" s="0" t="n">
        <v>1228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9.9</v>
      </c>
      <c r="W172" s="0" t="n">
        <v>31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2890.5</v>
      </c>
      <c r="AH172" s="0" t="n">
        <v>2890.5</v>
      </c>
      <c r="AI172" s="0" t="n">
        <v>38</v>
      </c>
    </row>
    <row r="173" customFormat="false" ht="14.9" hidden="false" customHeight="false" outlineLevel="0" collapsed="false">
      <c r="A173" s="0" t="n">
        <v>172</v>
      </c>
      <c r="B173" s="0" t="s">
        <v>308</v>
      </c>
      <c r="C173" s="33" t="s">
        <v>309</v>
      </c>
      <c r="D173" s="34" t="n">
        <v>46217</v>
      </c>
      <c r="E173" s="0" t="n">
        <v>49.8</v>
      </c>
      <c r="F173" s="0" t="n">
        <v>0</v>
      </c>
      <c r="G173" s="0" t="n">
        <v>667.37</v>
      </c>
      <c r="H173" s="0" t="n">
        <v>670.68</v>
      </c>
      <c r="I173" s="0" t="n">
        <v>0</v>
      </c>
      <c r="J173" s="0" t="n">
        <v>472.63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25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1885.48</v>
      </c>
      <c r="AH173" s="0" t="n">
        <v>1885.48</v>
      </c>
      <c r="AI173" s="0" t="n">
        <v>24</v>
      </c>
    </row>
    <row r="174" customFormat="false" ht="14.9" hidden="false" customHeight="false" outlineLevel="0" collapsed="false">
      <c r="A174" s="0" t="n">
        <v>173</v>
      </c>
      <c r="B174" s="0" t="s">
        <v>308</v>
      </c>
      <c r="C174" s="33" t="s">
        <v>309</v>
      </c>
      <c r="D174" s="34" t="n">
        <v>46208</v>
      </c>
      <c r="E174" s="0" t="n">
        <v>94</v>
      </c>
      <c r="F174" s="0" t="n">
        <v>0</v>
      </c>
      <c r="G174" s="0" t="n">
        <v>1135.2</v>
      </c>
      <c r="H174" s="0" t="n">
        <v>506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16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1751.2</v>
      </c>
      <c r="AH174" s="0" t="n">
        <v>1751.2</v>
      </c>
      <c r="AI174" s="0" t="n">
        <v>27</v>
      </c>
    </row>
    <row r="175" customFormat="false" ht="14.9" hidden="false" customHeight="false" outlineLevel="0" collapsed="false">
      <c r="A175" s="0" t="n">
        <v>174</v>
      </c>
      <c r="B175" s="0" t="s">
        <v>308</v>
      </c>
      <c r="C175" s="33" t="s">
        <v>309</v>
      </c>
      <c r="D175" s="34" t="n">
        <v>46215</v>
      </c>
      <c r="E175" s="0" t="n">
        <v>273.4</v>
      </c>
      <c r="F175" s="0" t="n">
        <v>0</v>
      </c>
      <c r="G175" s="0" t="n">
        <v>697.35</v>
      </c>
      <c r="H175" s="0" t="n">
        <v>549.8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45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1565.55</v>
      </c>
      <c r="AH175" s="0" t="n">
        <v>1565.55</v>
      </c>
      <c r="AI175" s="0" t="n">
        <v>30</v>
      </c>
    </row>
    <row r="176" customFormat="false" ht="14.9" hidden="false" customHeight="false" outlineLevel="0" collapsed="false">
      <c r="A176" s="0" t="n">
        <v>175</v>
      </c>
      <c r="B176" s="0" t="s">
        <v>308</v>
      </c>
      <c r="C176" s="33" t="s">
        <v>309</v>
      </c>
      <c r="D176" s="34" t="n">
        <v>46229</v>
      </c>
      <c r="E176" s="0" t="n">
        <v>321.62</v>
      </c>
      <c r="F176" s="0" t="n">
        <v>0</v>
      </c>
      <c r="G176" s="0" t="n">
        <v>1217.76</v>
      </c>
      <c r="H176" s="0" t="n">
        <v>725.15</v>
      </c>
      <c r="I176" s="0" t="n">
        <v>0</v>
      </c>
      <c r="J176" s="0" t="n">
        <v>581.97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29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2875.5</v>
      </c>
      <c r="AH176" s="0" t="n">
        <v>2875.5</v>
      </c>
      <c r="AI176" s="0" t="n">
        <v>34</v>
      </c>
    </row>
    <row r="177" customFormat="false" ht="14.9" hidden="false" customHeight="false" outlineLevel="0" collapsed="false">
      <c r="A177" s="0" t="n">
        <v>176</v>
      </c>
      <c r="B177" s="0" t="s">
        <v>308</v>
      </c>
      <c r="C177" s="33" t="s">
        <v>309</v>
      </c>
      <c r="D177" s="34" t="n">
        <v>46214</v>
      </c>
      <c r="E177" s="0" t="n">
        <v>63.01</v>
      </c>
      <c r="F177" s="0" t="n">
        <v>0</v>
      </c>
      <c r="G177" s="0" t="n">
        <v>1764.45</v>
      </c>
      <c r="H177" s="0" t="n">
        <v>1104.2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24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0.04</v>
      </c>
      <c r="W177" s="0" t="n">
        <v>56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3011.7</v>
      </c>
      <c r="AH177" s="0" t="n">
        <v>3011.7</v>
      </c>
      <c r="AI177" s="0" t="n">
        <v>48</v>
      </c>
    </row>
    <row r="178" customFormat="false" ht="14.9" hidden="false" customHeight="false" outlineLevel="0" collapsed="false">
      <c r="A178" s="0" t="n">
        <v>177</v>
      </c>
      <c r="B178" s="0" t="s">
        <v>308</v>
      </c>
      <c r="C178" s="33" t="s">
        <v>309</v>
      </c>
      <c r="D178" s="34" t="n">
        <v>46221</v>
      </c>
      <c r="E178" s="0" t="n">
        <v>55.7</v>
      </c>
      <c r="F178" s="0" t="n">
        <v>0</v>
      </c>
      <c r="G178" s="0" t="n">
        <v>923.38</v>
      </c>
      <c r="H178" s="0" t="n">
        <v>709.7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187.4</v>
      </c>
      <c r="T178" s="0" t="n">
        <v>0</v>
      </c>
      <c r="U178" s="0" t="n">
        <v>0</v>
      </c>
      <c r="V178" s="0" t="n">
        <v>0</v>
      </c>
      <c r="W178" s="0" t="n">
        <v>26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1902.18</v>
      </c>
      <c r="AH178" s="0" t="n">
        <v>1902.18</v>
      </c>
      <c r="AI178" s="0" t="n">
        <v>34</v>
      </c>
    </row>
    <row r="179" customFormat="false" ht="14.9" hidden="false" customHeight="false" outlineLevel="0" collapsed="false">
      <c r="A179" s="0" t="n">
        <v>178</v>
      </c>
      <c r="B179" s="0" t="s">
        <v>308</v>
      </c>
      <c r="C179" s="33" t="s">
        <v>309</v>
      </c>
      <c r="D179" s="34" t="n">
        <v>46222</v>
      </c>
      <c r="E179" s="0" t="n">
        <v>60.3</v>
      </c>
      <c r="F179" s="0" t="n">
        <v>0</v>
      </c>
      <c r="G179" s="0" t="n">
        <v>742</v>
      </c>
      <c r="H179" s="0" t="n">
        <v>1391.9</v>
      </c>
      <c r="I179" s="0" t="n">
        <v>33.96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5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2233.16</v>
      </c>
      <c r="AH179" s="0" t="n">
        <v>2233.16</v>
      </c>
      <c r="AI179" s="0" t="n">
        <v>33</v>
      </c>
    </row>
    <row r="180" customFormat="false" ht="14.9" hidden="false" customHeight="false" outlineLevel="0" collapsed="false">
      <c r="A180" s="0" t="n">
        <v>179</v>
      </c>
      <c r="B180" s="0" t="s">
        <v>308</v>
      </c>
      <c r="C180" s="33" t="s">
        <v>309</v>
      </c>
      <c r="D180" s="34" t="n">
        <v>46204</v>
      </c>
      <c r="E180" s="0" t="n">
        <v>169.09</v>
      </c>
      <c r="F180" s="0" t="n">
        <v>0</v>
      </c>
      <c r="G180" s="0" t="n">
        <v>1386.33</v>
      </c>
      <c r="H180" s="0" t="n">
        <v>864.41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21.2</v>
      </c>
      <c r="P180" s="0" t="n">
        <v>0</v>
      </c>
      <c r="Q180" s="0" t="n">
        <v>0</v>
      </c>
      <c r="R180" s="0" t="n">
        <v>0</v>
      </c>
      <c r="S180" s="0" t="n">
        <v>21</v>
      </c>
      <c r="T180" s="0" t="n">
        <v>0</v>
      </c>
      <c r="U180" s="0" t="n">
        <v>0</v>
      </c>
      <c r="V180" s="0" t="n">
        <v>0</v>
      </c>
      <c r="W180" s="0" t="n">
        <v>56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2518.03</v>
      </c>
      <c r="AH180" s="0" t="n">
        <v>2518.03</v>
      </c>
      <c r="AI180" s="0" t="n">
        <v>38</v>
      </c>
    </row>
    <row r="181" customFormat="false" ht="14.9" hidden="false" customHeight="false" outlineLevel="0" collapsed="false">
      <c r="A181" s="0" t="n">
        <v>180</v>
      </c>
      <c r="B181" s="0" t="s">
        <v>308</v>
      </c>
      <c r="C181" s="33" t="s">
        <v>309</v>
      </c>
      <c r="D181" s="34" t="n">
        <v>46209</v>
      </c>
      <c r="E181" s="0" t="n">
        <v>49</v>
      </c>
      <c r="F181" s="0" t="n">
        <v>0</v>
      </c>
      <c r="G181" s="0" t="n">
        <v>1665.96</v>
      </c>
      <c r="H181" s="0" t="n">
        <v>1408.97</v>
      </c>
      <c r="I181" s="0" t="n">
        <v>0</v>
      </c>
      <c r="J181" s="0" t="n">
        <v>29.93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17</v>
      </c>
      <c r="T181" s="0" t="n">
        <v>0</v>
      </c>
      <c r="U181" s="0" t="n">
        <v>0</v>
      </c>
      <c r="V181" s="0" t="n">
        <v>0</v>
      </c>
      <c r="W181" s="0" t="n">
        <v>10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3180.86</v>
      </c>
      <c r="AH181" s="0" t="n">
        <v>3180.86</v>
      </c>
      <c r="AI181" s="0" t="n">
        <v>45</v>
      </c>
    </row>
    <row r="182" customFormat="false" ht="14.9" hidden="false" customHeight="false" outlineLevel="0" collapsed="false">
      <c r="A182" s="0" t="n">
        <v>181</v>
      </c>
      <c r="B182" s="0" t="s">
        <v>308</v>
      </c>
      <c r="C182" s="33" t="s">
        <v>309</v>
      </c>
      <c r="D182" s="34" t="n">
        <v>46206</v>
      </c>
      <c r="E182" s="0" t="n">
        <v>86.6</v>
      </c>
      <c r="F182" s="0" t="n">
        <v>0</v>
      </c>
      <c r="G182" s="0" t="n">
        <v>920.28</v>
      </c>
      <c r="H182" s="0" t="n">
        <v>453.4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40.8</v>
      </c>
      <c r="T182" s="0" t="n">
        <v>0</v>
      </c>
      <c r="U182" s="0" t="n">
        <v>0</v>
      </c>
      <c r="V182" s="0" t="n">
        <v>0</v>
      </c>
      <c r="W182" s="0" t="n">
        <v>38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1539.08</v>
      </c>
      <c r="AH182" s="0" t="n">
        <v>1539.08</v>
      </c>
      <c r="AI182" s="0" t="n">
        <v>27</v>
      </c>
    </row>
    <row r="183" customFormat="false" ht="14.9" hidden="false" customHeight="false" outlineLevel="0" collapsed="false">
      <c r="A183" s="0" t="n">
        <v>182</v>
      </c>
      <c r="B183" s="0" t="s">
        <v>308</v>
      </c>
      <c r="C183" s="33" t="s">
        <v>309</v>
      </c>
      <c r="D183" s="34" t="n">
        <v>46207</v>
      </c>
      <c r="E183" s="0" t="n">
        <v>155.69</v>
      </c>
      <c r="F183" s="0" t="n">
        <v>0</v>
      </c>
      <c r="G183" s="0" t="n">
        <v>1062.28</v>
      </c>
      <c r="H183" s="0" t="n">
        <v>653</v>
      </c>
      <c r="I183" s="0" t="n">
        <v>0</v>
      </c>
      <c r="J183" s="0" t="n">
        <v>7.41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31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15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1924.38</v>
      </c>
      <c r="AH183" s="0" t="n">
        <v>1924.38</v>
      </c>
      <c r="AI183" s="0" t="n">
        <v>42</v>
      </c>
    </row>
    <row r="184" customFormat="false" ht="14.9" hidden="false" customHeight="false" outlineLevel="0" collapsed="false">
      <c r="A184" s="0" t="n">
        <v>183</v>
      </c>
      <c r="B184" s="0" t="s">
        <v>308</v>
      </c>
      <c r="C184" s="33" t="s">
        <v>309</v>
      </c>
      <c r="D184" s="34" t="n">
        <v>46233</v>
      </c>
      <c r="E184" s="0" t="n">
        <v>155.3</v>
      </c>
      <c r="F184" s="0" t="n">
        <v>0</v>
      </c>
      <c r="G184" s="0" t="n">
        <v>1266.2</v>
      </c>
      <c r="H184" s="0" t="n">
        <v>560.48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103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2084.98</v>
      </c>
      <c r="AH184" s="0" t="n">
        <v>2084.98</v>
      </c>
      <c r="AI184" s="0" t="n">
        <v>40</v>
      </c>
    </row>
    <row r="185" customFormat="false" ht="14.9" hidden="false" customHeight="false" outlineLevel="0" collapsed="false">
      <c r="A185" s="0" t="n">
        <v>184</v>
      </c>
      <c r="B185" s="0" t="s">
        <v>308</v>
      </c>
      <c r="C185" s="33" t="s">
        <v>309</v>
      </c>
      <c r="D185" s="34" t="n">
        <v>46223</v>
      </c>
      <c r="E185" s="0" t="n">
        <v>83.01</v>
      </c>
      <c r="F185" s="0" t="n">
        <v>0</v>
      </c>
      <c r="G185" s="0" t="n">
        <v>815.42</v>
      </c>
      <c r="H185" s="0" t="n">
        <v>570.26</v>
      </c>
      <c r="I185" s="0" t="n">
        <v>67.92</v>
      </c>
      <c r="J185" s="0" t="n">
        <v>36.58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21</v>
      </c>
      <c r="P185" s="0" t="n">
        <v>0</v>
      </c>
      <c r="Q185" s="0" t="n">
        <v>0</v>
      </c>
      <c r="R185" s="0" t="n">
        <v>0</v>
      </c>
      <c r="S185" s="0" t="n">
        <v>48</v>
      </c>
      <c r="T185" s="0" t="n">
        <v>0</v>
      </c>
      <c r="U185" s="0" t="n">
        <v>0</v>
      </c>
      <c r="V185" s="0" t="n">
        <v>3.81</v>
      </c>
      <c r="W185" s="0" t="n">
        <v>6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1652</v>
      </c>
      <c r="AH185" s="0" t="n">
        <v>1652</v>
      </c>
      <c r="AI185" s="0" t="n">
        <v>30</v>
      </c>
    </row>
    <row r="186" customFormat="false" ht="14.9" hidden="false" customHeight="false" outlineLevel="0" collapsed="false">
      <c r="A186" s="0" t="n">
        <v>185</v>
      </c>
      <c r="B186" s="0" t="s">
        <v>308</v>
      </c>
      <c r="C186" s="33" t="s">
        <v>309</v>
      </c>
      <c r="D186" s="34" t="n">
        <v>46220</v>
      </c>
      <c r="E186" s="0" t="n">
        <v>72.3</v>
      </c>
      <c r="F186" s="0" t="n">
        <v>0</v>
      </c>
      <c r="G186" s="0" t="n">
        <v>1154.89</v>
      </c>
      <c r="H186" s="0" t="n">
        <v>463.45</v>
      </c>
      <c r="I186" s="0" t="n">
        <v>0</v>
      </c>
      <c r="J186" s="0" t="n">
        <v>301.06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139.8</v>
      </c>
      <c r="T186" s="0" t="n">
        <v>0</v>
      </c>
      <c r="U186" s="0" t="n">
        <v>0</v>
      </c>
      <c r="V186" s="0" t="n">
        <v>0</v>
      </c>
      <c r="W186" s="0" t="n">
        <v>40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2171.5</v>
      </c>
      <c r="AH186" s="0" t="n">
        <v>2171.5</v>
      </c>
      <c r="AI186" s="0" t="n">
        <v>39</v>
      </c>
    </row>
    <row r="187" customFormat="false" ht="14.9" hidden="false" customHeight="false" outlineLevel="0" collapsed="false">
      <c r="A187" s="0" t="n">
        <v>186</v>
      </c>
      <c r="B187" s="0" t="s">
        <v>308</v>
      </c>
      <c r="C187" s="33" t="s">
        <v>309</v>
      </c>
      <c r="D187" s="34" t="n">
        <v>46213</v>
      </c>
      <c r="E187" s="0" t="n">
        <v>152.7</v>
      </c>
      <c r="F187" s="0" t="n">
        <v>0</v>
      </c>
      <c r="G187" s="0" t="n">
        <v>1302.84</v>
      </c>
      <c r="H187" s="0" t="n">
        <v>695.4</v>
      </c>
      <c r="I187" s="0" t="n">
        <v>0</v>
      </c>
      <c r="J187" s="0" t="n">
        <v>215.46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0.01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2366.41</v>
      </c>
      <c r="AH187" s="0" t="n">
        <v>2366.41</v>
      </c>
      <c r="AI187" s="0" t="n">
        <v>39</v>
      </c>
    </row>
    <row r="188" customFormat="false" ht="14.9" hidden="false" customHeight="false" outlineLevel="0" collapsed="false">
      <c r="A188" s="0" t="n">
        <v>187</v>
      </c>
      <c r="B188" s="0" t="s">
        <v>310</v>
      </c>
      <c r="C188" s="33" t="s">
        <v>311</v>
      </c>
      <c r="D188" s="34" t="n">
        <v>46221</v>
      </c>
      <c r="E188" s="0" t="n">
        <v>617.3</v>
      </c>
      <c r="F188" s="0" t="n">
        <v>0</v>
      </c>
      <c r="G188" s="0" t="n">
        <v>932</v>
      </c>
      <c r="H188" s="0" t="n">
        <v>882.85</v>
      </c>
      <c r="I188" s="0" t="n">
        <v>0</v>
      </c>
      <c r="J188" s="0" t="n">
        <v>0</v>
      </c>
      <c r="K188" s="0" t="n">
        <v>0</v>
      </c>
      <c r="L188" s="0" t="n">
        <v>194.8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330</v>
      </c>
      <c r="T188" s="0" t="n">
        <v>0</v>
      </c>
      <c r="U188" s="0" t="n">
        <v>0</v>
      </c>
      <c r="V188" s="0" t="n">
        <v>0.08</v>
      </c>
      <c r="W188" s="0" t="n">
        <v>25.1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2982.13</v>
      </c>
      <c r="AH188" s="0" t="n">
        <v>2982.13</v>
      </c>
      <c r="AI188" s="0" t="n">
        <v>43</v>
      </c>
    </row>
    <row r="189" customFormat="false" ht="14.9" hidden="false" customHeight="false" outlineLevel="0" collapsed="false">
      <c r="A189" s="0" t="n">
        <v>188</v>
      </c>
      <c r="B189" s="0" t="s">
        <v>310</v>
      </c>
      <c r="C189" s="33" t="s">
        <v>311</v>
      </c>
      <c r="D189" s="34" t="n">
        <v>46215</v>
      </c>
      <c r="E189" s="0" t="n">
        <v>428.41</v>
      </c>
      <c r="F189" s="0" t="n">
        <v>0</v>
      </c>
      <c r="G189" s="0" t="n">
        <v>787.76</v>
      </c>
      <c r="H189" s="0" t="n">
        <v>1163.5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0.75</v>
      </c>
      <c r="S189" s="0" t="n">
        <v>0</v>
      </c>
      <c r="T189" s="0" t="n">
        <v>0</v>
      </c>
      <c r="U189" s="0" t="n">
        <v>0</v>
      </c>
      <c r="V189" s="0" t="n">
        <v>0.04</v>
      </c>
      <c r="W189" s="0" t="n">
        <v>26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2406.46</v>
      </c>
      <c r="AH189" s="0" t="n">
        <v>2406.46</v>
      </c>
      <c r="AI189" s="0" t="n">
        <v>37</v>
      </c>
    </row>
    <row r="190" customFormat="false" ht="14.9" hidden="false" customHeight="false" outlineLevel="0" collapsed="false">
      <c r="A190" s="0" t="n">
        <v>189</v>
      </c>
      <c r="B190" s="0" t="s">
        <v>310</v>
      </c>
      <c r="C190" s="33" t="s">
        <v>311</v>
      </c>
      <c r="D190" s="34" t="n">
        <v>46232</v>
      </c>
      <c r="E190" s="0" t="n">
        <v>316.7</v>
      </c>
      <c r="F190" s="0" t="n">
        <v>0</v>
      </c>
      <c r="G190" s="0" t="n">
        <v>1142.95</v>
      </c>
      <c r="H190" s="0" t="n">
        <v>530.18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315.7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2305.53</v>
      </c>
      <c r="AH190" s="0" t="n">
        <v>2305.53</v>
      </c>
      <c r="AI190" s="0" t="n">
        <v>51</v>
      </c>
    </row>
    <row r="191" customFormat="false" ht="14.9" hidden="false" customHeight="false" outlineLevel="0" collapsed="false">
      <c r="A191" s="0" t="n">
        <v>190</v>
      </c>
      <c r="B191" s="0" t="s">
        <v>310</v>
      </c>
      <c r="C191" s="33" t="s">
        <v>311</v>
      </c>
      <c r="D191" s="34" t="n">
        <v>46213</v>
      </c>
      <c r="E191" s="0" t="n">
        <v>590.4</v>
      </c>
      <c r="F191" s="0" t="n">
        <v>0</v>
      </c>
      <c r="G191" s="0" t="n">
        <v>1362.56</v>
      </c>
      <c r="H191" s="0" t="n">
        <v>283.9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21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0.11</v>
      </c>
      <c r="W191" s="0" t="n">
        <v>33.1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2291.07</v>
      </c>
      <c r="AH191" s="0" t="n">
        <v>2291.07</v>
      </c>
      <c r="AI191" s="0" t="n">
        <v>51</v>
      </c>
    </row>
    <row r="192" customFormat="false" ht="14.9" hidden="false" customHeight="false" outlineLevel="0" collapsed="false">
      <c r="A192" s="0" t="n">
        <v>191</v>
      </c>
      <c r="B192" s="0" t="s">
        <v>310</v>
      </c>
      <c r="C192" s="33" t="s">
        <v>311</v>
      </c>
      <c r="D192" s="34" t="n">
        <v>46223</v>
      </c>
      <c r="E192" s="0" t="n">
        <v>254.21</v>
      </c>
      <c r="F192" s="0" t="n">
        <v>0</v>
      </c>
      <c r="G192" s="0" t="n">
        <v>694.98</v>
      </c>
      <c r="H192" s="0" t="n">
        <v>253.6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10.1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1212.89</v>
      </c>
      <c r="AH192" s="0" t="n">
        <v>1212.89</v>
      </c>
      <c r="AI192" s="0" t="n">
        <v>39</v>
      </c>
    </row>
    <row r="193" customFormat="false" ht="14.9" hidden="false" customHeight="false" outlineLevel="0" collapsed="false">
      <c r="A193" s="0" t="n">
        <v>192</v>
      </c>
      <c r="B193" s="0" t="s">
        <v>310</v>
      </c>
      <c r="C193" s="33" t="s">
        <v>311</v>
      </c>
      <c r="D193" s="34" t="n">
        <v>46208</v>
      </c>
      <c r="E193" s="0" t="n">
        <v>646.3</v>
      </c>
      <c r="F193" s="0" t="n">
        <v>0</v>
      </c>
      <c r="G193" s="0" t="n">
        <v>867.6</v>
      </c>
      <c r="H193" s="0" t="n">
        <v>114.8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28</v>
      </c>
      <c r="P193" s="0" t="n">
        <v>30.3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26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1713</v>
      </c>
      <c r="AH193" s="0" t="n">
        <v>1713</v>
      </c>
      <c r="AI193" s="0" t="n">
        <v>31</v>
      </c>
    </row>
    <row r="194" customFormat="false" ht="14.9" hidden="false" customHeight="false" outlineLevel="0" collapsed="false">
      <c r="A194" s="0" t="n">
        <v>193</v>
      </c>
      <c r="B194" s="0" t="s">
        <v>310</v>
      </c>
      <c r="C194" s="33" t="s">
        <v>311</v>
      </c>
      <c r="D194" s="34" t="n">
        <v>46226</v>
      </c>
      <c r="E194" s="0" t="n">
        <v>76.05</v>
      </c>
      <c r="F194" s="0" t="n">
        <v>0</v>
      </c>
      <c r="G194" s="0" t="n">
        <v>645.56</v>
      </c>
      <c r="H194" s="0" t="n">
        <v>256.8</v>
      </c>
      <c r="I194" s="0" t="n">
        <v>0</v>
      </c>
      <c r="J194" s="0" t="n">
        <v>0</v>
      </c>
      <c r="K194" s="0" t="n">
        <v>0</v>
      </c>
      <c r="L194" s="0" t="n">
        <v>1994.5</v>
      </c>
      <c r="M194" s="0" t="n">
        <v>0</v>
      </c>
      <c r="N194" s="0" t="n">
        <v>0</v>
      </c>
      <c r="O194" s="0" t="n">
        <v>29.8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0.02</v>
      </c>
      <c r="W194" s="0" t="n">
        <v>57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3059.73</v>
      </c>
      <c r="AH194" s="0" t="n">
        <v>3059.73</v>
      </c>
      <c r="AI194" s="0" t="n">
        <v>37</v>
      </c>
    </row>
    <row r="195" customFormat="false" ht="14.9" hidden="false" customHeight="false" outlineLevel="0" collapsed="false">
      <c r="A195" s="0" t="n">
        <v>194</v>
      </c>
      <c r="B195" s="0" t="s">
        <v>310</v>
      </c>
      <c r="C195" s="33" t="s">
        <v>311</v>
      </c>
      <c r="D195" s="34" t="n">
        <v>46205</v>
      </c>
      <c r="E195" s="0" t="n">
        <v>426.8</v>
      </c>
      <c r="F195" s="0" t="n">
        <v>0</v>
      </c>
      <c r="G195" s="0" t="n">
        <v>1072.66</v>
      </c>
      <c r="H195" s="0" t="n">
        <v>148.22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208.6</v>
      </c>
      <c r="T195" s="0" t="n">
        <v>0</v>
      </c>
      <c r="U195" s="0" t="n">
        <v>0</v>
      </c>
      <c r="V195" s="0" t="n">
        <v>0</v>
      </c>
      <c r="W195" s="0" t="n">
        <v>88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1944.28</v>
      </c>
      <c r="AH195" s="0" t="n">
        <v>1944.28</v>
      </c>
      <c r="AI195" s="0" t="n">
        <v>41</v>
      </c>
    </row>
    <row r="196" customFormat="false" ht="14.9" hidden="false" customHeight="false" outlineLevel="0" collapsed="false">
      <c r="A196" s="0" t="n">
        <v>195</v>
      </c>
      <c r="B196" s="0" t="s">
        <v>310</v>
      </c>
      <c r="C196" s="33" t="s">
        <v>311</v>
      </c>
      <c r="D196" s="34" t="n">
        <v>46209</v>
      </c>
      <c r="E196" s="0" t="n">
        <v>199.19</v>
      </c>
      <c r="F196" s="0" t="n">
        <v>0</v>
      </c>
      <c r="G196" s="0" t="n">
        <v>2189.49</v>
      </c>
      <c r="H196" s="0" t="n">
        <v>360.95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20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55.4</v>
      </c>
      <c r="W196" s="0" t="n">
        <v>143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2968.03</v>
      </c>
      <c r="AH196" s="0" t="n">
        <v>2968.03</v>
      </c>
      <c r="AI196" s="0" t="n">
        <v>75</v>
      </c>
    </row>
    <row r="197" customFormat="false" ht="14.9" hidden="false" customHeight="false" outlineLevel="0" collapsed="false">
      <c r="A197" s="0" t="n">
        <v>196</v>
      </c>
      <c r="B197" s="0" t="s">
        <v>310</v>
      </c>
      <c r="C197" s="33" t="s">
        <v>311</v>
      </c>
      <c r="D197" s="34" t="n">
        <v>46231</v>
      </c>
      <c r="E197" s="0" t="n">
        <v>72.6</v>
      </c>
      <c r="F197" s="0" t="n">
        <v>0</v>
      </c>
      <c r="G197" s="0" t="n">
        <v>929.6</v>
      </c>
      <c r="H197" s="0" t="n">
        <v>409.2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26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3.8</v>
      </c>
      <c r="W197" s="0" t="n">
        <v>120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1561.2</v>
      </c>
      <c r="AH197" s="0" t="n">
        <v>1561.2</v>
      </c>
      <c r="AI197" s="0" t="n">
        <v>39</v>
      </c>
    </row>
    <row r="198" customFormat="false" ht="14.9" hidden="false" customHeight="false" outlineLevel="0" collapsed="false">
      <c r="A198" s="0" t="n">
        <v>197</v>
      </c>
      <c r="B198" s="0" t="s">
        <v>310</v>
      </c>
      <c r="C198" s="33" t="s">
        <v>311</v>
      </c>
      <c r="D198" s="34" t="n">
        <v>46220</v>
      </c>
      <c r="E198" s="0" t="n">
        <v>104.8</v>
      </c>
      <c r="F198" s="0" t="n">
        <v>0</v>
      </c>
      <c r="G198" s="0" t="n">
        <v>506.1</v>
      </c>
      <c r="H198" s="0" t="n">
        <v>286.3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49.3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30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976.5</v>
      </c>
      <c r="AH198" s="0" t="n">
        <v>976.5</v>
      </c>
      <c r="AI198" s="0" t="n">
        <v>33</v>
      </c>
    </row>
    <row r="199" customFormat="false" ht="14.9" hidden="false" customHeight="false" outlineLevel="0" collapsed="false">
      <c r="A199" s="0" t="n">
        <v>198</v>
      </c>
      <c r="B199" s="0" t="s">
        <v>310</v>
      </c>
      <c r="C199" s="33" t="s">
        <v>311</v>
      </c>
      <c r="D199" s="34" t="n">
        <v>46206</v>
      </c>
      <c r="E199" s="0" t="n">
        <v>126</v>
      </c>
      <c r="F199" s="0" t="n">
        <v>0</v>
      </c>
      <c r="G199" s="0" t="n">
        <v>810.2</v>
      </c>
      <c r="H199" s="0" t="n">
        <v>160.2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50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8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1154.4</v>
      </c>
      <c r="AH199" s="0" t="n">
        <v>1154.4</v>
      </c>
      <c r="AI199" s="0" t="n">
        <v>25</v>
      </c>
    </row>
    <row r="200" customFormat="false" ht="14.9" hidden="false" customHeight="false" outlineLevel="0" collapsed="false">
      <c r="A200" s="0" t="n">
        <v>199</v>
      </c>
      <c r="B200" s="0" t="s">
        <v>310</v>
      </c>
      <c r="C200" s="33" t="s">
        <v>311</v>
      </c>
      <c r="D200" s="34" t="n">
        <v>46211</v>
      </c>
      <c r="E200" s="0" t="n">
        <v>266.8</v>
      </c>
      <c r="F200" s="0" t="n">
        <v>0</v>
      </c>
      <c r="G200" s="0" t="n">
        <v>1131.2</v>
      </c>
      <c r="H200" s="0" t="n">
        <v>323.5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0.09</v>
      </c>
      <c r="W200" s="0" t="n">
        <v>31.1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1752.69</v>
      </c>
      <c r="AH200" s="0" t="n">
        <v>1752.69</v>
      </c>
      <c r="AI200" s="0" t="n">
        <v>39</v>
      </c>
    </row>
    <row r="201" customFormat="false" ht="14.9" hidden="false" customHeight="false" outlineLevel="0" collapsed="false">
      <c r="A201" s="0" t="n">
        <v>200</v>
      </c>
      <c r="B201" s="0" t="s">
        <v>310</v>
      </c>
      <c r="C201" s="33" t="s">
        <v>311</v>
      </c>
      <c r="D201" s="34" t="n">
        <v>46228</v>
      </c>
      <c r="E201" s="0" t="n">
        <v>227.4</v>
      </c>
      <c r="F201" s="0" t="n">
        <v>0</v>
      </c>
      <c r="G201" s="0" t="n">
        <v>577.3</v>
      </c>
      <c r="H201" s="0" t="n">
        <v>268.6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0.02</v>
      </c>
      <c r="W201" s="0" t="n">
        <v>35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1108.32</v>
      </c>
      <c r="AH201" s="0" t="n">
        <v>1108.32</v>
      </c>
      <c r="AI201" s="0" t="n">
        <v>38</v>
      </c>
    </row>
    <row r="202" customFormat="false" ht="14.9" hidden="false" customHeight="false" outlineLevel="0" collapsed="false">
      <c r="A202" s="0" t="n">
        <v>201</v>
      </c>
      <c r="B202" s="0" t="s">
        <v>310</v>
      </c>
      <c r="C202" s="33" t="s">
        <v>311</v>
      </c>
      <c r="D202" s="34" t="n">
        <v>46218</v>
      </c>
      <c r="E202" s="0" t="n">
        <v>1437.54</v>
      </c>
      <c r="F202" s="0" t="n">
        <v>0</v>
      </c>
      <c r="G202" s="0" t="n">
        <v>907.4</v>
      </c>
      <c r="H202" s="0" t="n">
        <v>269.2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21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0.06</v>
      </c>
      <c r="W202" s="0" t="n">
        <v>51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2686.2</v>
      </c>
      <c r="AH202" s="0" t="n">
        <v>2686.2</v>
      </c>
      <c r="AI202" s="0" t="n">
        <v>32</v>
      </c>
    </row>
    <row r="203" customFormat="false" ht="14.9" hidden="false" customHeight="false" outlineLevel="0" collapsed="false">
      <c r="A203" s="0" t="n">
        <v>202</v>
      </c>
      <c r="B203" s="0" t="s">
        <v>310</v>
      </c>
      <c r="C203" s="33" t="s">
        <v>311</v>
      </c>
      <c r="D203" s="34" t="n">
        <v>46233</v>
      </c>
      <c r="E203" s="0" t="n">
        <v>901.05</v>
      </c>
      <c r="F203" s="0" t="n">
        <v>0</v>
      </c>
      <c r="G203" s="0" t="n">
        <v>836.8</v>
      </c>
      <c r="H203" s="0" t="n">
        <v>328.5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11</v>
      </c>
      <c r="T203" s="0" t="n">
        <v>0</v>
      </c>
      <c r="U203" s="0" t="n">
        <v>0</v>
      </c>
      <c r="V203" s="0" t="n">
        <v>0</v>
      </c>
      <c r="W203" s="0" t="n">
        <v>289.5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2366.85</v>
      </c>
      <c r="AH203" s="0" t="n">
        <v>2366.85</v>
      </c>
      <c r="AI203" s="0" t="n">
        <v>48</v>
      </c>
    </row>
    <row r="204" customFormat="false" ht="14.9" hidden="false" customHeight="false" outlineLevel="0" collapsed="false">
      <c r="A204" s="0" t="n">
        <v>203</v>
      </c>
      <c r="B204" s="0" t="s">
        <v>310</v>
      </c>
      <c r="C204" s="33" t="s">
        <v>311</v>
      </c>
      <c r="D204" s="34" t="n">
        <v>46216</v>
      </c>
      <c r="E204" s="0" t="n">
        <v>316.9</v>
      </c>
      <c r="F204" s="0" t="n">
        <v>0</v>
      </c>
      <c r="G204" s="0" t="n">
        <v>1269</v>
      </c>
      <c r="H204" s="0" t="n">
        <v>264.7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28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76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1954.6</v>
      </c>
      <c r="AH204" s="0" t="n">
        <v>1954.6</v>
      </c>
      <c r="AI204" s="0" t="n">
        <v>44</v>
      </c>
    </row>
    <row r="205" customFormat="false" ht="14.9" hidden="false" customHeight="false" outlineLevel="0" collapsed="false">
      <c r="A205" s="0" t="n">
        <v>204</v>
      </c>
      <c r="B205" s="0" t="s">
        <v>310</v>
      </c>
      <c r="C205" s="33" t="s">
        <v>311</v>
      </c>
      <c r="D205" s="34" t="n">
        <v>46230</v>
      </c>
      <c r="E205" s="0" t="n">
        <v>549.9</v>
      </c>
      <c r="F205" s="0" t="n">
        <v>0</v>
      </c>
      <c r="G205" s="0" t="n">
        <v>738.5</v>
      </c>
      <c r="H205" s="0" t="n">
        <v>126.1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62.1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1476.6</v>
      </c>
      <c r="AH205" s="0" t="n">
        <v>1476.6</v>
      </c>
      <c r="AI205" s="0" t="n">
        <v>46</v>
      </c>
    </row>
    <row r="206" customFormat="false" ht="14.9" hidden="false" customHeight="false" outlineLevel="0" collapsed="false">
      <c r="A206" s="0" t="n">
        <v>205</v>
      </c>
      <c r="B206" s="0" t="s">
        <v>310</v>
      </c>
      <c r="C206" s="33" t="s">
        <v>311</v>
      </c>
      <c r="D206" s="34" t="n">
        <v>46234</v>
      </c>
      <c r="E206" s="0" t="n">
        <v>697.95</v>
      </c>
      <c r="F206" s="0" t="n">
        <v>0</v>
      </c>
      <c r="G206" s="0" t="n">
        <v>816</v>
      </c>
      <c r="H206" s="0" t="n">
        <v>335.8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285.9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2135.65</v>
      </c>
      <c r="AH206" s="0" t="n">
        <v>2135.65</v>
      </c>
      <c r="AI206" s="0" t="n">
        <v>39</v>
      </c>
    </row>
    <row r="207" customFormat="false" ht="14.9" hidden="false" customHeight="false" outlineLevel="0" collapsed="false">
      <c r="A207" s="0" t="n">
        <v>206</v>
      </c>
      <c r="B207" s="0" t="s">
        <v>310</v>
      </c>
      <c r="C207" s="33" t="s">
        <v>311</v>
      </c>
      <c r="D207" s="34" t="n">
        <v>46214</v>
      </c>
      <c r="E207" s="0" t="n">
        <v>539.15</v>
      </c>
      <c r="F207" s="0" t="n">
        <v>0</v>
      </c>
      <c r="G207" s="0" t="n">
        <v>2280.29</v>
      </c>
      <c r="H207" s="0" t="n">
        <v>656.3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-0.75</v>
      </c>
      <c r="S207" s="0" t="n">
        <v>16.83</v>
      </c>
      <c r="T207" s="0" t="n">
        <v>0</v>
      </c>
      <c r="U207" s="0" t="n">
        <v>0</v>
      </c>
      <c r="V207" s="0" t="n">
        <v>19.9</v>
      </c>
      <c r="W207" s="0" t="n">
        <v>111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3622.72</v>
      </c>
      <c r="AH207" s="0" t="n">
        <v>3622.72</v>
      </c>
      <c r="AI207" s="0" t="n">
        <v>68</v>
      </c>
    </row>
    <row r="208" customFormat="false" ht="14.9" hidden="false" customHeight="false" outlineLevel="0" collapsed="false">
      <c r="A208" s="0" t="n">
        <v>207</v>
      </c>
      <c r="B208" s="0" t="s">
        <v>310</v>
      </c>
      <c r="C208" s="33" t="s">
        <v>311</v>
      </c>
      <c r="D208" s="34" t="n">
        <v>46207</v>
      </c>
      <c r="E208" s="0" t="n">
        <v>78</v>
      </c>
      <c r="F208" s="0" t="n">
        <v>0</v>
      </c>
      <c r="G208" s="0" t="n">
        <v>413.3</v>
      </c>
      <c r="H208" s="0" t="n">
        <v>148.9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22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3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665.2</v>
      </c>
      <c r="AH208" s="0" t="n">
        <v>665.2</v>
      </c>
      <c r="AI208" s="0" t="n">
        <v>22</v>
      </c>
    </row>
    <row r="209" customFormat="false" ht="14.9" hidden="false" customHeight="false" outlineLevel="0" collapsed="false">
      <c r="A209" s="0" t="n">
        <v>208</v>
      </c>
      <c r="B209" s="0" t="s">
        <v>310</v>
      </c>
      <c r="C209" s="33" t="s">
        <v>311</v>
      </c>
      <c r="D209" s="34" t="n">
        <v>46222</v>
      </c>
      <c r="E209" s="0" t="n">
        <v>176.5</v>
      </c>
      <c r="F209" s="0" t="n">
        <v>0</v>
      </c>
      <c r="G209" s="0" t="n">
        <v>735.4</v>
      </c>
      <c r="H209" s="0" t="n">
        <v>193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5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1109.9</v>
      </c>
      <c r="AH209" s="0" t="n">
        <v>1109.9</v>
      </c>
      <c r="AI209" s="0" t="n">
        <v>32</v>
      </c>
    </row>
    <row r="210" customFormat="false" ht="14.9" hidden="false" customHeight="false" outlineLevel="0" collapsed="false">
      <c r="A210" s="0" t="n">
        <v>209</v>
      </c>
      <c r="B210" s="0" t="s">
        <v>310</v>
      </c>
      <c r="C210" s="33" t="s">
        <v>311</v>
      </c>
      <c r="D210" s="34" t="n">
        <v>46227</v>
      </c>
      <c r="E210" s="0" t="n">
        <v>163.61</v>
      </c>
      <c r="F210" s="0" t="n">
        <v>0</v>
      </c>
      <c r="G210" s="0" t="n">
        <v>1360.2</v>
      </c>
      <c r="H210" s="0" t="n">
        <v>323.9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60.8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0.06</v>
      </c>
      <c r="W210" s="0" t="n">
        <v>40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1948.57</v>
      </c>
      <c r="AH210" s="0" t="n">
        <v>1948.57</v>
      </c>
      <c r="AI210" s="0" t="n">
        <v>35</v>
      </c>
    </row>
    <row r="211" customFormat="false" ht="14.9" hidden="false" customHeight="false" outlineLevel="0" collapsed="false">
      <c r="A211" s="0" t="n">
        <v>210</v>
      </c>
      <c r="B211" s="0" t="s">
        <v>310</v>
      </c>
      <c r="C211" s="33" t="s">
        <v>311</v>
      </c>
      <c r="D211" s="34" t="n">
        <v>46217</v>
      </c>
      <c r="E211" s="0" t="n">
        <v>272.9</v>
      </c>
      <c r="F211" s="0" t="n">
        <v>0</v>
      </c>
      <c r="G211" s="0" t="n">
        <v>542</v>
      </c>
      <c r="H211" s="0" t="n">
        <v>63.8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35.4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35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949.1</v>
      </c>
      <c r="AH211" s="0" t="n">
        <v>949.1</v>
      </c>
      <c r="AI211" s="0" t="n">
        <v>27</v>
      </c>
    </row>
    <row r="212" customFormat="false" ht="14.9" hidden="false" customHeight="false" outlineLevel="0" collapsed="false">
      <c r="A212" s="0" t="n">
        <v>211</v>
      </c>
      <c r="B212" s="0" t="s">
        <v>310</v>
      </c>
      <c r="C212" s="33" t="s">
        <v>311</v>
      </c>
      <c r="D212" s="34" t="n">
        <v>46210</v>
      </c>
      <c r="E212" s="0" t="n">
        <v>288.1</v>
      </c>
      <c r="F212" s="0" t="n">
        <v>0</v>
      </c>
      <c r="G212" s="0" t="n">
        <v>1731.04</v>
      </c>
      <c r="H212" s="0" t="n">
        <v>327.7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28.8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0.1</v>
      </c>
      <c r="W212" s="0" t="n">
        <v>10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2385.74</v>
      </c>
      <c r="AH212" s="0" t="n">
        <v>2385.74</v>
      </c>
      <c r="AI212" s="0" t="n">
        <v>33</v>
      </c>
    </row>
    <row r="213" customFormat="false" ht="14.9" hidden="false" customHeight="false" outlineLevel="0" collapsed="false">
      <c r="A213" s="0" t="n">
        <v>212</v>
      </c>
      <c r="B213" s="0" t="s">
        <v>310</v>
      </c>
      <c r="C213" s="33" t="s">
        <v>311</v>
      </c>
      <c r="D213" s="34" t="n">
        <v>46212</v>
      </c>
      <c r="E213" s="0" t="n">
        <v>508.3</v>
      </c>
      <c r="F213" s="0" t="n">
        <v>0</v>
      </c>
      <c r="G213" s="0" t="n">
        <v>921.4</v>
      </c>
      <c r="H213" s="0" t="n">
        <v>520.4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0.08</v>
      </c>
      <c r="W213" s="0" t="n">
        <v>10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1960.18</v>
      </c>
      <c r="AH213" s="0" t="n">
        <v>1960.18</v>
      </c>
      <c r="AI213" s="0" t="n">
        <v>33</v>
      </c>
    </row>
    <row r="214" customFormat="false" ht="14.9" hidden="false" customHeight="false" outlineLevel="0" collapsed="false">
      <c r="A214" s="0" t="n">
        <v>213</v>
      </c>
      <c r="B214" s="0" t="s">
        <v>310</v>
      </c>
      <c r="C214" s="33" t="s">
        <v>311</v>
      </c>
      <c r="D214" s="34" t="n">
        <v>46225</v>
      </c>
      <c r="E214" s="0" t="n">
        <v>383.01</v>
      </c>
      <c r="F214" s="0" t="n">
        <v>0</v>
      </c>
      <c r="G214" s="0" t="n">
        <v>1205.5</v>
      </c>
      <c r="H214" s="0" t="n">
        <v>478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0.1</v>
      </c>
      <c r="W214" s="0" t="n">
        <v>19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2085.61</v>
      </c>
      <c r="AH214" s="0" t="n">
        <v>2085.61</v>
      </c>
      <c r="AI214" s="0" t="n">
        <v>47</v>
      </c>
    </row>
    <row r="215" customFormat="false" ht="14.9" hidden="false" customHeight="false" outlineLevel="0" collapsed="false">
      <c r="A215" s="0" t="n">
        <v>214</v>
      </c>
      <c r="B215" s="0" t="s">
        <v>310</v>
      </c>
      <c r="C215" s="33" t="s">
        <v>311</v>
      </c>
      <c r="D215" s="34" t="n">
        <v>46219</v>
      </c>
      <c r="E215" s="0" t="n">
        <v>729.73</v>
      </c>
      <c r="F215" s="0" t="n">
        <v>0</v>
      </c>
      <c r="G215" s="0" t="n">
        <v>698.04</v>
      </c>
      <c r="H215" s="0" t="n">
        <v>116.21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0.02</v>
      </c>
      <c r="W215" s="0" t="n">
        <v>74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1618</v>
      </c>
      <c r="AH215" s="0" t="n">
        <v>1618</v>
      </c>
      <c r="AI215" s="0" t="n">
        <v>49</v>
      </c>
    </row>
    <row r="216" customFormat="false" ht="14.9" hidden="false" customHeight="false" outlineLevel="0" collapsed="false">
      <c r="A216" s="0" t="n">
        <v>215</v>
      </c>
      <c r="B216" s="0" t="s">
        <v>310</v>
      </c>
      <c r="C216" s="33" t="s">
        <v>311</v>
      </c>
      <c r="D216" s="34" t="n">
        <v>46224</v>
      </c>
      <c r="E216" s="0" t="n">
        <v>374.78</v>
      </c>
      <c r="F216" s="0" t="n">
        <v>0</v>
      </c>
      <c r="G216" s="0" t="n">
        <v>2138.02</v>
      </c>
      <c r="H216" s="0" t="n">
        <v>811.49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91.8</v>
      </c>
      <c r="T216" s="0" t="n">
        <v>0</v>
      </c>
      <c r="U216" s="0" t="n">
        <v>0</v>
      </c>
      <c r="V216" s="0" t="n">
        <v>0</v>
      </c>
      <c r="W216" s="0" t="n">
        <v>175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3591.09</v>
      </c>
      <c r="AH216" s="0" t="n">
        <v>3591.09</v>
      </c>
      <c r="AI216" s="0" t="n">
        <v>69</v>
      </c>
    </row>
    <row r="217" customFormat="false" ht="14.9" hidden="false" customHeight="false" outlineLevel="0" collapsed="false">
      <c r="A217" s="0" t="n">
        <v>216</v>
      </c>
      <c r="B217" s="0" t="s">
        <v>310</v>
      </c>
      <c r="C217" s="33" t="s">
        <v>311</v>
      </c>
      <c r="D217" s="34" t="n">
        <v>46229</v>
      </c>
      <c r="E217" s="0" t="n">
        <v>434.4</v>
      </c>
      <c r="F217" s="0" t="n">
        <v>0</v>
      </c>
      <c r="G217" s="0" t="n">
        <v>2471.65</v>
      </c>
      <c r="H217" s="0" t="n">
        <v>928.68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21.25</v>
      </c>
      <c r="T217" s="0" t="n">
        <v>0</v>
      </c>
      <c r="U217" s="0" t="n">
        <v>0</v>
      </c>
      <c r="V217" s="0" t="n">
        <v>0.02</v>
      </c>
      <c r="W217" s="0" t="n">
        <v>242.2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4098.2</v>
      </c>
      <c r="AH217" s="0" t="n">
        <v>4098.2</v>
      </c>
      <c r="AI217" s="0" t="n">
        <v>66</v>
      </c>
    </row>
    <row r="218" customFormat="false" ht="14.9" hidden="false" customHeight="false" outlineLevel="0" collapsed="false">
      <c r="A218" s="0" t="n">
        <v>217</v>
      </c>
      <c r="B218" s="0" t="s">
        <v>310</v>
      </c>
      <c r="C218" s="33" t="s">
        <v>311</v>
      </c>
      <c r="D218" s="34" t="n">
        <v>46204</v>
      </c>
      <c r="E218" s="0" t="n">
        <v>517.23</v>
      </c>
      <c r="F218" s="0" t="n">
        <v>0</v>
      </c>
      <c r="G218" s="0" t="n">
        <v>1096.93</v>
      </c>
      <c r="H218" s="0" t="n">
        <v>503.52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14.9</v>
      </c>
      <c r="W218" s="0" t="n">
        <v>120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2252.58</v>
      </c>
      <c r="AH218" s="0" t="n">
        <v>2252.58</v>
      </c>
      <c r="AI218" s="0" t="n">
        <v>68</v>
      </c>
    </row>
    <row r="219" customFormat="false" ht="14.9" hidden="false" customHeight="false" outlineLevel="0" collapsed="false">
      <c r="A219" s="0" t="n">
        <v>218</v>
      </c>
      <c r="B219" s="0" t="s">
        <v>312</v>
      </c>
      <c r="C219" s="33" t="s">
        <v>313</v>
      </c>
      <c r="D219" s="34" t="n">
        <v>46221</v>
      </c>
      <c r="E219" s="0" t="n">
        <v>17.5</v>
      </c>
      <c r="F219" s="0" t="n">
        <v>0</v>
      </c>
      <c r="G219" s="0" t="n">
        <v>1130.52</v>
      </c>
      <c r="H219" s="0" t="n">
        <v>313.6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48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1509.62</v>
      </c>
      <c r="AH219" s="0" t="n">
        <v>1509.62</v>
      </c>
      <c r="AI219" s="0" t="n">
        <v>31</v>
      </c>
    </row>
    <row r="220" customFormat="false" ht="14.9" hidden="false" customHeight="false" outlineLevel="0" collapsed="false">
      <c r="A220" s="0" t="n">
        <v>219</v>
      </c>
      <c r="B220" s="0" t="s">
        <v>312</v>
      </c>
      <c r="C220" s="33" t="s">
        <v>313</v>
      </c>
      <c r="D220" s="34" t="n">
        <v>46214</v>
      </c>
      <c r="E220" s="0" t="n">
        <v>950.5</v>
      </c>
      <c r="F220" s="0" t="n">
        <v>0</v>
      </c>
      <c r="G220" s="0" t="n">
        <v>1384.22</v>
      </c>
      <c r="H220" s="0" t="n">
        <v>476.23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33.75</v>
      </c>
      <c r="T220" s="0" t="n">
        <v>0</v>
      </c>
      <c r="U220" s="0" t="n">
        <v>0</v>
      </c>
      <c r="V220" s="0" t="n">
        <v>58.5</v>
      </c>
      <c r="W220" s="0" t="n">
        <v>232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3135.2</v>
      </c>
      <c r="AH220" s="0" t="n">
        <v>3135.2</v>
      </c>
      <c r="AI220" s="0" t="n">
        <v>66</v>
      </c>
    </row>
    <row r="221" customFormat="false" ht="14.9" hidden="false" customHeight="false" outlineLevel="0" collapsed="false">
      <c r="A221" s="0" t="n">
        <v>220</v>
      </c>
      <c r="B221" s="0" t="s">
        <v>312</v>
      </c>
      <c r="C221" s="33" t="s">
        <v>313</v>
      </c>
      <c r="D221" s="34" t="n">
        <v>46222</v>
      </c>
      <c r="E221" s="0" t="n">
        <v>29.5</v>
      </c>
      <c r="F221" s="0" t="n">
        <v>0</v>
      </c>
      <c r="G221" s="0" t="n">
        <v>3210.83</v>
      </c>
      <c r="H221" s="0" t="n">
        <v>253.9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9.9</v>
      </c>
      <c r="W221" s="0" t="n">
        <v>25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3529.13</v>
      </c>
      <c r="AH221" s="0" t="n">
        <v>3529.13</v>
      </c>
      <c r="AI221" s="0" t="n">
        <v>36</v>
      </c>
    </row>
    <row r="222" customFormat="false" ht="14.9" hidden="false" customHeight="false" outlineLevel="0" collapsed="false">
      <c r="A222" s="0" t="n">
        <v>221</v>
      </c>
      <c r="B222" s="0" t="s">
        <v>312</v>
      </c>
      <c r="C222" s="33" t="s">
        <v>313</v>
      </c>
      <c r="D222" s="34" t="n">
        <v>46223</v>
      </c>
      <c r="E222" s="0" t="n">
        <v>173.4</v>
      </c>
      <c r="F222" s="0" t="n">
        <v>0</v>
      </c>
      <c r="G222" s="0" t="n">
        <v>810.5</v>
      </c>
      <c r="H222" s="0" t="n">
        <v>92.1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14.9</v>
      </c>
      <c r="W222" s="0" t="n">
        <v>40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1130.9</v>
      </c>
      <c r="AH222" s="0" t="n">
        <v>1130.9</v>
      </c>
      <c r="AI222" s="0" t="n">
        <v>30</v>
      </c>
    </row>
    <row r="223" customFormat="false" ht="14.9" hidden="false" customHeight="false" outlineLevel="0" collapsed="false">
      <c r="A223" s="0" t="n">
        <v>222</v>
      </c>
      <c r="B223" s="0" t="s">
        <v>312</v>
      </c>
      <c r="C223" s="33" t="s">
        <v>313</v>
      </c>
      <c r="D223" s="34" t="n">
        <v>46230</v>
      </c>
      <c r="E223" s="0" t="n">
        <v>68.54</v>
      </c>
      <c r="F223" s="0" t="n">
        <v>0</v>
      </c>
      <c r="G223" s="0" t="n">
        <v>3664.46</v>
      </c>
      <c r="H223" s="0" t="n">
        <v>733.54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299.4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4765.94</v>
      </c>
      <c r="AH223" s="0" t="n">
        <v>4765.94</v>
      </c>
      <c r="AI223" s="0" t="n">
        <v>40</v>
      </c>
    </row>
    <row r="224" customFormat="false" ht="14.9" hidden="false" customHeight="false" outlineLevel="0" collapsed="false">
      <c r="A224" s="0" t="n">
        <v>223</v>
      </c>
      <c r="B224" s="0" t="s">
        <v>312</v>
      </c>
      <c r="C224" s="33" t="s">
        <v>313</v>
      </c>
      <c r="D224" s="34" t="n">
        <v>46233</v>
      </c>
      <c r="E224" s="0" t="n">
        <v>155.7</v>
      </c>
      <c r="F224" s="0" t="n">
        <v>0</v>
      </c>
      <c r="G224" s="0" t="n">
        <v>1433.1</v>
      </c>
      <c r="H224" s="0" t="n">
        <v>403.6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287.6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2280</v>
      </c>
      <c r="AH224" s="0" t="n">
        <v>2280</v>
      </c>
      <c r="AI224" s="0" t="n">
        <v>39</v>
      </c>
    </row>
    <row r="225" customFormat="false" ht="14.9" hidden="false" customHeight="false" outlineLevel="0" collapsed="false">
      <c r="A225" s="0" t="n">
        <v>224</v>
      </c>
      <c r="B225" s="0" t="s">
        <v>312</v>
      </c>
      <c r="C225" s="33" t="s">
        <v>313</v>
      </c>
      <c r="D225" s="34" t="n">
        <v>46212</v>
      </c>
      <c r="E225" s="0" t="n">
        <v>67.47</v>
      </c>
      <c r="F225" s="0" t="n">
        <v>0</v>
      </c>
      <c r="G225" s="0" t="n">
        <v>880.4</v>
      </c>
      <c r="H225" s="0" t="n">
        <v>141.13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61</v>
      </c>
      <c r="T225" s="0" t="n">
        <v>0</v>
      </c>
      <c r="U225" s="0" t="n">
        <v>0</v>
      </c>
      <c r="V225" s="0" t="n">
        <v>3.81</v>
      </c>
      <c r="W225" s="0" t="n">
        <v>35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1188.81</v>
      </c>
      <c r="AH225" s="0" t="n">
        <v>1188.81</v>
      </c>
      <c r="AI225" s="0" t="n">
        <v>29</v>
      </c>
    </row>
    <row r="226" customFormat="false" ht="14.9" hidden="false" customHeight="false" outlineLevel="0" collapsed="false">
      <c r="A226" s="0" t="n">
        <v>225</v>
      </c>
      <c r="B226" s="0" t="s">
        <v>312</v>
      </c>
      <c r="C226" s="33" t="s">
        <v>313</v>
      </c>
      <c r="D226" s="34" t="n">
        <v>46234</v>
      </c>
      <c r="E226" s="0" t="n">
        <v>240.8</v>
      </c>
      <c r="F226" s="0" t="n">
        <v>0</v>
      </c>
      <c r="G226" s="0" t="n">
        <v>1642.56</v>
      </c>
      <c r="H226" s="0" t="n">
        <v>418.6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30</v>
      </c>
      <c r="V226" s="0" t="n">
        <v>0</v>
      </c>
      <c r="W226" s="0" t="n">
        <v>414.4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2746.36</v>
      </c>
      <c r="AH226" s="0" t="n">
        <v>2746.36</v>
      </c>
      <c r="AI226" s="0" t="n">
        <v>41</v>
      </c>
    </row>
    <row r="227" customFormat="false" ht="14.9" hidden="false" customHeight="false" outlineLevel="0" collapsed="false">
      <c r="A227" s="0" t="n">
        <v>226</v>
      </c>
      <c r="B227" s="0" t="s">
        <v>312</v>
      </c>
      <c r="C227" s="33" t="s">
        <v>313</v>
      </c>
      <c r="D227" s="34" t="n">
        <v>46208</v>
      </c>
      <c r="E227" s="0" t="n">
        <v>21.3</v>
      </c>
      <c r="F227" s="0" t="n">
        <v>0</v>
      </c>
      <c r="G227" s="0" t="n">
        <v>315.2</v>
      </c>
      <c r="H227" s="0" t="n">
        <v>105.8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38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480.3</v>
      </c>
      <c r="AH227" s="0" t="n">
        <v>480.3</v>
      </c>
      <c r="AI227" s="0" t="n">
        <v>11</v>
      </c>
    </row>
    <row r="228" customFormat="false" ht="14.9" hidden="false" customHeight="false" outlineLevel="0" collapsed="false">
      <c r="A228" s="0" t="n">
        <v>227</v>
      </c>
      <c r="B228" s="0" t="s">
        <v>312</v>
      </c>
      <c r="C228" s="33" t="s">
        <v>313</v>
      </c>
      <c r="D228" s="34" t="n">
        <v>46218</v>
      </c>
      <c r="E228" s="0" t="n">
        <v>249.4</v>
      </c>
      <c r="F228" s="0" t="n">
        <v>0</v>
      </c>
      <c r="G228" s="0" t="n">
        <v>376.1</v>
      </c>
      <c r="H228" s="0" t="n">
        <v>152.5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0</v>
      </c>
      <c r="W228" s="0" t="n">
        <v>40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823</v>
      </c>
      <c r="AH228" s="0" t="n">
        <v>823</v>
      </c>
      <c r="AI228" s="0" t="n">
        <v>22</v>
      </c>
    </row>
    <row r="229" customFormat="false" ht="14.9" hidden="false" customHeight="false" outlineLevel="0" collapsed="false">
      <c r="A229" s="0" t="n">
        <v>228</v>
      </c>
      <c r="B229" s="0" t="s">
        <v>312</v>
      </c>
      <c r="C229" s="33" t="s">
        <v>313</v>
      </c>
      <c r="D229" s="34" t="n">
        <v>46224</v>
      </c>
      <c r="E229" s="0" t="n">
        <v>1133.96</v>
      </c>
      <c r="F229" s="0" t="n">
        <v>0</v>
      </c>
      <c r="G229" s="0" t="n">
        <v>2141.94</v>
      </c>
      <c r="H229" s="0" t="n">
        <v>66.75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9.9</v>
      </c>
      <c r="W229" s="0" t="n">
        <v>163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3515.55</v>
      </c>
      <c r="AH229" s="0" t="n">
        <v>3515.55</v>
      </c>
      <c r="AI229" s="0" t="n">
        <v>62</v>
      </c>
    </row>
    <row r="230" customFormat="false" ht="14.9" hidden="false" customHeight="false" outlineLevel="0" collapsed="false">
      <c r="A230" s="0" t="n">
        <v>229</v>
      </c>
      <c r="B230" s="0" t="s">
        <v>312</v>
      </c>
      <c r="C230" s="33" t="s">
        <v>313</v>
      </c>
      <c r="D230" s="34" t="n">
        <v>46226</v>
      </c>
      <c r="E230" s="0" t="n">
        <v>324.6</v>
      </c>
      <c r="F230" s="0" t="n">
        <v>0</v>
      </c>
      <c r="G230" s="0" t="n">
        <v>521.2</v>
      </c>
      <c r="H230" s="0" t="n">
        <v>502.8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43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1391.6</v>
      </c>
      <c r="AH230" s="0" t="n">
        <v>1391.6</v>
      </c>
      <c r="AI230" s="0" t="n">
        <v>22</v>
      </c>
    </row>
    <row r="231" customFormat="false" ht="14.9" hidden="false" customHeight="false" outlineLevel="0" collapsed="false">
      <c r="A231" s="0" t="n">
        <v>230</v>
      </c>
      <c r="B231" s="0" t="s">
        <v>312</v>
      </c>
      <c r="C231" s="33" t="s">
        <v>313</v>
      </c>
      <c r="D231" s="34" t="n">
        <v>46207</v>
      </c>
      <c r="E231" s="0" t="n">
        <v>367.7</v>
      </c>
      <c r="F231" s="0" t="n">
        <v>0</v>
      </c>
      <c r="G231" s="0" t="n">
        <v>1130.5</v>
      </c>
      <c r="H231" s="0" t="n">
        <v>843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19.8</v>
      </c>
      <c r="W231" s="0" t="n">
        <v>81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2442</v>
      </c>
      <c r="AH231" s="0" t="n">
        <v>2442</v>
      </c>
      <c r="AI231" s="0" t="n">
        <v>32</v>
      </c>
    </row>
    <row r="232" customFormat="false" ht="14.9" hidden="false" customHeight="false" outlineLevel="0" collapsed="false">
      <c r="A232" s="0" t="n">
        <v>231</v>
      </c>
      <c r="B232" s="0" t="s">
        <v>312</v>
      </c>
      <c r="C232" s="33" t="s">
        <v>313</v>
      </c>
      <c r="D232" s="34" t="n">
        <v>46231</v>
      </c>
      <c r="E232" s="0" t="n">
        <v>103.1</v>
      </c>
      <c r="F232" s="0" t="n">
        <v>0</v>
      </c>
      <c r="G232" s="0" t="n">
        <v>1253.75</v>
      </c>
      <c r="H232" s="0" t="n">
        <v>702.15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299.6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2358.6</v>
      </c>
      <c r="AH232" s="0" t="n">
        <v>2358.6</v>
      </c>
      <c r="AI232" s="0" t="n">
        <v>45</v>
      </c>
    </row>
    <row r="233" customFormat="false" ht="14.9" hidden="false" customHeight="false" outlineLevel="0" collapsed="false">
      <c r="A233" s="0" t="n">
        <v>232</v>
      </c>
      <c r="B233" s="0" t="s">
        <v>312</v>
      </c>
      <c r="C233" s="33" t="s">
        <v>313</v>
      </c>
      <c r="D233" s="34" t="n">
        <v>46219</v>
      </c>
      <c r="E233" s="0" t="n">
        <v>81.29</v>
      </c>
      <c r="F233" s="0" t="n">
        <v>0</v>
      </c>
      <c r="G233" s="0" t="n">
        <v>2357.94</v>
      </c>
      <c r="H233" s="0" t="n">
        <v>207.1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3.8</v>
      </c>
      <c r="W233" s="0" t="n">
        <v>140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2790.13</v>
      </c>
      <c r="AH233" s="0" t="n">
        <v>2790.13</v>
      </c>
      <c r="AI233" s="0" t="n">
        <v>45</v>
      </c>
    </row>
    <row r="234" customFormat="false" ht="14.9" hidden="false" customHeight="false" outlineLevel="0" collapsed="false">
      <c r="A234" s="0" t="n">
        <v>233</v>
      </c>
      <c r="B234" s="0" t="s">
        <v>312</v>
      </c>
      <c r="C234" s="33" t="s">
        <v>313</v>
      </c>
      <c r="D234" s="34" t="n">
        <v>46210</v>
      </c>
      <c r="E234" s="0" t="n">
        <v>91.2</v>
      </c>
      <c r="F234" s="0" t="n">
        <v>0</v>
      </c>
      <c r="G234" s="0" t="n">
        <v>933.15</v>
      </c>
      <c r="H234" s="0" t="n">
        <v>87.55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48</v>
      </c>
      <c r="T234" s="0" t="n">
        <v>0</v>
      </c>
      <c r="U234" s="0" t="n">
        <v>0</v>
      </c>
      <c r="V234" s="0" t="n">
        <v>0.04</v>
      </c>
      <c r="W234" s="0" t="n">
        <v>29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1188.94</v>
      </c>
      <c r="AH234" s="0" t="n">
        <v>1188.94</v>
      </c>
      <c r="AI234" s="0" t="n">
        <v>29</v>
      </c>
    </row>
    <row r="235" customFormat="false" ht="14.9" hidden="false" customHeight="false" outlineLevel="0" collapsed="false">
      <c r="A235" s="0" t="n">
        <v>234</v>
      </c>
      <c r="B235" s="0" t="s">
        <v>312</v>
      </c>
      <c r="C235" s="33" t="s">
        <v>313</v>
      </c>
      <c r="D235" s="34" t="n">
        <v>46209</v>
      </c>
      <c r="E235" s="0" t="n">
        <v>663.3</v>
      </c>
      <c r="F235" s="0" t="n">
        <v>0</v>
      </c>
      <c r="G235" s="0" t="n">
        <v>1807.89</v>
      </c>
      <c r="H235" s="0" t="n">
        <v>462.82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25.5</v>
      </c>
      <c r="T235" s="0" t="n">
        <v>0</v>
      </c>
      <c r="U235" s="0" t="n">
        <v>0</v>
      </c>
      <c r="V235" s="0" t="n">
        <v>75.8</v>
      </c>
      <c r="W235" s="0" t="n">
        <v>269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3304.31</v>
      </c>
      <c r="AH235" s="0" t="n">
        <v>3304.31</v>
      </c>
      <c r="AI235" s="0" t="n">
        <v>71</v>
      </c>
    </row>
    <row r="236" customFormat="false" ht="14.9" hidden="false" customHeight="false" outlineLevel="0" collapsed="false">
      <c r="A236" s="0" t="n">
        <v>235</v>
      </c>
      <c r="B236" s="0" t="s">
        <v>312</v>
      </c>
      <c r="C236" s="33" t="s">
        <v>313</v>
      </c>
      <c r="D236" s="34" t="n">
        <v>46204</v>
      </c>
      <c r="E236" s="0" t="n">
        <v>410.2</v>
      </c>
      <c r="F236" s="0" t="n">
        <v>0</v>
      </c>
      <c r="G236" s="0" t="n">
        <v>1263.44</v>
      </c>
      <c r="H236" s="0" t="n">
        <v>159.4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73.1</v>
      </c>
      <c r="W236" s="0" t="n">
        <v>112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2018.14</v>
      </c>
      <c r="AH236" s="0" t="n">
        <v>2018.14</v>
      </c>
      <c r="AI236" s="0" t="n">
        <v>39</v>
      </c>
    </row>
    <row r="237" customFormat="false" ht="14.9" hidden="false" customHeight="false" outlineLevel="0" collapsed="false">
      <c r="A237" s="0" t="n">
        <v>236</v>
      </c>
      <c r="B237" s="0" t="s">
        <v>312</v>
      </c>
      <c r="C237" s="33" t="s">
        <v>313</v>
      </c>
      <c r="D237" s="34" t="n">
        <v>46227</v>
      </c>
      <c r="E237" s="0" t="n">
        <v>17.5</v>
      </c>
      <c r="F237" s="0" t="n">
        <v>0</v>
      </c>
      <c r="G237" s="0" t="n">
        <v>746.05</v>
      </c>
      <c r="H237" s="0" t="n">
        <v>452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0.01</v>
      </c>
      <c r="W237" s="0" t="n">
        <v>30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1245.56</v>
      </c>
      <c r="AH237" s="0" t="n">
        <v>1245.56</v>
      </c>
      <c r="AI237" s="0" t="n">
        <v>28</v>
      </c>
    </row>
    <row r="238" customFormat="false" ht="14.9" hidden="false" customHeight="false" outlineLevel="0" collapsed="false">
      <c r="A238" s="0" t="n">
        <v>237</v>
      </c>
      <c r="B238" s="0" t="s">
        <v>312</v>
      </c>
      <c r="C238" s="33" t="s">
        <v>313</v>
      </c>
      <c r="D238" s="34" t="n">
        <v>46205</v>
      </c>
      <c r="E238" s="0" t="n">
        <v>181.2</v>
      </c>
      <c r="F238" s="0" t="n">
        <v>0</v>
      </c>
      <c r="G238" s="0" t="n">
        <v>3302.7</v>
      </c>
      <c r="H238" s="0" t="n">
        <v>212.1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25</v>
      </c>
      <c r="T238" s="0" t="n">
        <v>0</v>
      </c>
      <c r="U238" s="0" t="n">
        <v>0</v>
      </c>
      <c r="V238" s="0" t="n">
        <v>9.9</v>
      </c>
      <c r="W238" s="0" t="n">
        <v>53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3783.9</v>
      </c>
      <c r="AH238" s="0" t="n">
        <v>3783.9</v>
      </c>
      <c r="AI238" s="0" t="n">
        <v>39</v>
      </c>
    </row>
    <row r="239" customFormat="false" ht="14.9" hidden="false" customHeight="false" outlineLevel="0" collapsed="false">
      <c r="A239" s="0" t="n">
        <v>238</v>
      </c>
      <c r="B239" s="0" t="s">
        <v>312</v>
      </c>
      <c r="C239" s="33" t="s">
        <v>313</v>
      </c>
      <c r="D239" s="34" t="n">
        <v>46225</v>
      </c>
      <c r="E239" s="0" t="n">
        <v>126.3</v>
      </c>
      <c r="F239" s="0" t="n">
        <v>0</v>
      </c>
      <c r="G239" s="0" t="n">
        <v>565.3</v>
      </c>
      <c r="H239" s="0" t="n">
        <v>408.2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0.01</v>
      </c>
      <c r="W239" s="0" t="n">
        <v>23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1122.81</v>
      </c>
      <c r="AH239" s="0" t="n">
        <v>1122.81</v>
      </c>
      <c r="AI239" s="0" t="n">
        <v>22</v>
      </c>
    </row>
    <row r="240" customFormat="false" ht="14.9" hidden="false" customHeight="false" outlineLevel="0" collapsed="false">
      <c r="A240" s="0" t="n">
        <v>239</v>
      </c>
      <c r="B240" s="0" t="s">
        <v>312</v>
      </c>
      <c r="C240" s="33" t="s">
        <v>313</v>
      </c>
      <c r="D240" s="34" t="n">
        <v>46220</v>
      </c>
      <c r="E240" s="0" t="n">
        <v>117.76</v>
      </c>
      <c r="F240" s="0" t="n">
        <v>0</v>
      </c>
      <c r="G240" s="0" t="n">
        <v>3957.53</v>
      </c>
      <c r="H240" s="0" t="n">
        <v>424.2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0.02</v>
      </c>
      <c r="W240" s="0" t="n">
        <v>128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4627.51</v>
      </c>
      <c r="AH240" s="0" t="n">
        <v>4627.51</v>
      </c>
      <c r="AI240" s="0" t="n">
        <v>44</v>
      </c>
    </row>
    <row r="241" customFormat="false" ht="14.9" hidden="false" customHeight="false" outlineLevel="0" collapsed="false">
      <c r="A241" s="0" t="n">
        <v>240</v>
      </c>
      <c r="B241" s="0" t="s">
        <v>312</v>
      </c>
      <c r="C241" s="33" t="s">
        <v>313</v>
      </c>
      <c r="D241" s="34" t="n">
        <v>46211</v>
      </c>
      <c r="E241" s="0" t="n">
        <v>16.3</v>
      </c>
      <c r="F241" s="0" t="n">
        <v>0</v>
      </c>
      <c r="G241" s="0" t="n">
        <v>727.82</v>
      </c>
      <c r="H241" s="0" t="n">
        <v>206.6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5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955.72</v>
      </c>
      <c r="AH241" s="0" t="n">
        <v>955.72</v>
      </c>
      <c r="AI241" s="0" t="n">
        <v>20</v>
      </c>
    </row>
    <row r="242" customFormat="false" ht="14.9" hidden="false" customHeight="false" outlineLevel="0" collapsed="false">
      <c r="A242" s="0" t="n">
        <v>241</v>
      </c>
      <c r="B242" s="0" t="s">
        <v>312</v>
      </c>
      <c r="C242" s="33" t="s">
        <v>313</v>
      </c>
      <c r="D242" s="34" t="n">
        <v>46217</v>
      </c>
      <c r="E242" s="0" t="n">
        <v>270.07</v>
      </c>
      <c r="F242" s="0" t="n">
        <v>0</v>
      </c>
      <c r="G242" s="0" t="n">
        <v>1026.43</v>
      </c>
      <c r="H242" s="0" t="n">
        <v>419.51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26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1742.01</v>
      </c>
      <c r="AH242" s="0" t="n">
        <v>1742.01</v>
      </c>
      <c r="AI242" s="0" t="n">
        <v>25</v>
      </c>
    </row>
    <row r="243" customFormat="false" ht="14.9" hidden="false" customHeight="false" outlineLevel="0" collapsed="false">
      <c r="A243" s="0" t="n">
        <v>242</v>
      </c>
      <c r="B243" s="0" t="s">
        <v>312</v>
      </c>
      <c r="C243" s="33" t="s">
        <v>313</v>
      </c>
      <c r="D243" s="34" t="n">
        <v>46229</v>
      </c>
      <c r="E243" s="0" t="n">
        <v>1518.32</v>
      </c>
      <c r="F243" s="0" t="n">
        <v>0</v>
      </c>
      <c r="G243" s="0" t="n">
        <v>3989.33</v>
      </c>
      <c r="H243" s="0" t="n">
        <v>336.81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12.8</v>
      </c>
      <c r="W243" s="0" t="n">
        <v>307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6164.26</v>
      </c>
      <c r="AH243" s="0" t="n">
        <v>6164.26</v>
      </c>
      <c r="AI243" s="0" t="n">
        <v>81</v>
      </c>
    </row>
    <row r="244" customFormat="false" ht="14.9" hidden="false" customHeight="false" outlineLevel="0" collapsed="false">
      <c r="A244" s="0" t="n">
        <v>243</v>
      </c>
      <c r="B244" s="0" t="s">
        <v>312</v>
      </c>
      <c r="C244" s="33" t="s">
        <v>313</v>
      </c>
      <c r="D244" s="34" t="n">
        <v>46213</v>
      </c>
      <c r="E244" s="0" t="n">
        <v>85.6</v>
      </c>
      <c r="F244" s="0" t="n">
        <v>0</v>
      </c>
      <c r="G244" s="0" t="n">
        <v>3217.5</v>
      </c>
      <c r="H244" s="0" t="n">
        <v>72.9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0.02</v>
      </c>
      <c r="W244" s="0" t="n">
        <v>25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3401.02</v>
      </c>
      <c r="AH244" s="0" t="n">
        <v>3401.02</v>
      </c>
      <c r="AI244" s="0" t="n">
        <v>30</v>
      </c>
    </row>
    <row r="245" customFormat="false" ht="14.9" hidden="false" customHeight="false" outlineLevel="0" collapsed="false">
      <c r="A245" s="0" t="n">
        <v>244</v>
      </c>
      <c r="B245" s="0" t="s">
        <v>312</v>
      </c>
      <c r="C245" s="33" t="s">
        <v>313</v>
      </c>
      <c r="D245" s="34" t="n">
        <v>46228</v>
      </c>
      <c r="E245" s="0" t="n">
        <v>36.9</v>
      </c>
      <c r="F245" s="0" t="n">
        <v>0</v>
      </c>
      <c r="G245" s="0" t="n">
        <v>684.46</v>
      </c>
      <c r="H245" s="0" t="n">
        <v>492.63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11.2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1225.19</v>
      </c>
      <c r="AH245" s="0" t="n">
        <v>1225.19</v>
      </c>
      <c r="AI245" s="0" t="n">
        <v>34</v>
      </c>
    </row>
    <row r="246" customFormat="false" ht="14.9" hidden="false" customHeight="false" outlineLevel="0" collapsed="false">
      <c r="A246" s="0" t="n">
        <v>245</v>
      </c>
      <c r="B246" s="0" t="s">
        <v>312</v>
      </c>
      <c r="C246" s="33" t="s">
        <v>313</v>
      </c>
      <c r="D246" s="34" t="n">
        <v>46232</v>
      </c>
      <c r="E246" s="0" t="n">
        <v>137.96</v>
      </c>
      <c r="F246" s="0" t="n">
        <v>0</v>
      </c>
      <c r="G246" s="0" t="n">
        <v>3370.52</v>
      </c>
      <c r="H246" s="0" t="n">
        <v>329.04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210.4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4047.92</v>
      </c>
      <c r="AH246" s="0" t="n">
        <v>4047.92</v>
      </c>
      <c r="AI246" s="0" t="n">
        <v>41</v>
      </c>
    </row>
    <row r="247" customFormat="false" ht="14.9" hidden="false" customHeight="false" outlineLevel="0" collapsed="false">
      <c r="A247" s="0" t="n">
        <v>246</v>
      </c>
      <c r="B247" s="0" t="s">
        <v>312</v>
      </c>
      <c r="C247" s="33" t="s">
        <v>313</v>
      </c>
      <c r="D247" s="34" t="n">
        <v>46216</v>
      </c>
      <c r="E247" s="0" t="n">
        <v>27.61</v>
      </c>
      <c r="F247" s="0" t="n">
        <v>0</v>
      </c>
      <c r="G247" s="0" t="n">
        <v>1258.4</v>
      </c>
      <c r="H247" s="0" t="n">
        <v>327.7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0.3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6.1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1620.11</v>
      </c>
      <c r="AH247" s="0" t="n">
        <v>1620.11</v>
      </c>
      <c r="AI247" s="0" t="n">
        <v>31</v>
      </c>
    </row>
    <row r="248" customFormat="false" ht="14.9" hidden="false" customHeight="false" outlineLevel="0" collapsed="false">
      <c r="A248" s="0" t="n">
        <v>247</v>
      </c>
      <c r="B248" s="0" t="s">
        <v>312</v>
      </c>
      <c r="C248" s="33" t="s">
        <v>313</v>
      </c>
      <c r="D248" s="34" t="n">
        <v>46215</v>
      </c>
      <c r="E248" s="0" t="n">
        <v>150.4</v>
      </c>
      <c r="F248" s="0" t="n">
        <v>0</v>
      </c>
      <c r="G248" s="0" t="n">
        <v>3018.8</v>
      </c>
      <c r="H248" s="0" t="n">
        <v>548.6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9.9</v>
      </c>
      <c r="W248" s="0" t="n">
        <v>18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3745.7</v>
      </c>
      <c r="AH248" s="0" t="n">
        <v>3745.7</v>
      </c>
      <c r="AI248" s="0" t="n">
        <v>30</v>
      </c>
    </row>
    <row r="249" customFormat="false" ht="14.9" hidden="false" customHeight="false" outlineLevel="0" collapsed="false">
      <c r="A249" s="0" t="n">
        <v>248</v>
      </c>
      <c r="B249" s="0" t="s">
        <v>312</v>
      </c>
      <c r="C249" s="33" t="s">
        <v>313</v>
      </c>
      <c r="D249" s="34" t="n">
        <v>46206</v>
      </c>
      <c r="E249" s="0" t="n">
        <v>193.44</v>
      </c>
      <c r="F249" s="0" t="n">
        <v>0</v>
      </c>
      <c r="G249" s="0" t="n">
        <v>996.1</v>
      </c>
      <c r="H249" s="0" t="n">
        <v>405.46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9.9</v>
      </c>
      <c r="T249" s="0" t="n">
        <v>0</v>
      </c>
      <c r="U249" s="0" t="n">
        <v>0</v>
      </c>
      <c r="V249" s="0" t="n">
        <v>0</v>
      </c>
      <c r="W249" s="0" t="n">
        <v>58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1662.9</v>
      </c>
      <c r="AH249" s="0" t="n">
        <v>1662.9</v>
      </c>
      <c r="AI249" s="0" t="n">
        <v>19</v>
      </c>
    </row>
    <row r="250" customFormat="false" ht="14.9" hidden="false" customHeight="false" outlineLevel="0" collapsed="false">
      <c r="A250" s="0" t="n">
        <v>249</v>
      </c>
      <c r="B250" s="0" t="s">
        <v>314</v>
      </c>
      <c r="C250" s="33" t="s">
        <v>315</v>
      </c>
      <c r="D250" s="34" t="n">
        <v>46214</v>
      </c>
      <c r="E250" s="0" t="n">
        <v>553.31</v>
      </c>
      <c r="F250" s="0" t="n">
        <v>0</v>
      </c>
      <c r="G250" s="0" t="n">
        <v>1161.23</v>
      </c>
      <c r="H250" s="0" t="n">
        <v>145.4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11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1870.94</v>
      </c>
      <c r="AH250" s="0" t="n">
        <v>1870.94</v>
      </c>
      <c r="AI250" s="0" t="n">
        <v>27</v>
      </c>
    </row>
    <row r="251" customFormat="false" ht="14.9" hidden="false" customHeight="false" outlineLevel="0" collapsed="false">
      <c r="A251" s="0" t="n">
        <v>250</v>
      </c>
      <c r="B251" s="0" t="s">
        <v>314</v>
      </c>
      <c r="C251" s="33" t="s">
        <v>315</v>
      </c>
      <c r="D251" s="34" t="n">
        <v>46204</v>
      </c>
      <c r="E251" s="0" t="n">
        <v>303.3</v>
      </c>
      <c r="F251" s="0" t="n">
        <v>0</v>
      </c>
      <c r="G251" s="0" t="n">
        <v>1335.86</v>
      </c>
      <c r="H251" s="0" t="n">
        <v>18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140.25</v>
      </c>
      <c r="T251" s="0" t="n">
        <v>0</v>
      </c>
      <c r="U251" s="0" t="n">
        <v>0</v>
      </c>
      <c r="V251" s="0" t="n">
        <v>3.8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1801.21</v>
      </c>
      <c r="AH251" s="0" t="n">
        <v>1801.21</v>
      </c>
      <c r="AI251" s="0" t="n">
        <v>17</v>
      </c>
    </row>
    <row r="252" customFormat="false" ht="14.9" hidden="false" customHeight="false" outlineLevel="0" collapsed="false">
      <c r="A252" s="0" t="n">
        <v>251</v>
      </c>
      <c r="B252" s="0" t="s">
        <v>314</v>
      </c>
      <c r="C252" s="33" t="s">
        <v>315</v>
      </c>
      <c r="D252" s="34" t="n">
        <v>46206</v>
      </c>
      <c r="E252" s="0" t="n">
        <v>594.5</v>
      </c>
      <c r="F252" s="0" t="n">
        <v>0</v>
      </c>
      <c r="G252" s="0" t="n">
        <v>400.1</v>
      </c>
      <c r="H252" s="0" t="n">
        <v>39.6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5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1039.2</v>
      </c>
      <c r="AH252" s="0" t="n">
        <v>1039.2</v>
      </c>
      <c r="AI252" s="0" t="n">
        <v>19</v>
      </c>
    </row>
    <row r="253" customFormat="false" ht="14.9" hidden="false" customHeight="false" outlineLevel="0" collapsed="false">
      <c r="A253" s="0" t="n">
        <v>252</v>
      </c>
      <c r="B253" s="0" t="s">
        <v>314</v>
      </c>
      <c r="C253" s="33" t="s">
        <v>315</v>
      </c>
      <c r="D253" s="34" t="n">
        <v>46219</v>
      </c>
      <c r="E253" s="0" t="n">
        <v>637.67</v>
      </c>
      <c r="F253" s="0" t="n">
        <v>0</v>
      </c>
      <c r="G253" s="0" t="n">
        <v>1304.18</v>
      </c>
      <c r="H253" s="0" t="n">
        <v>137.68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2079.53</v>
      </c>
      <c r="AH253" s="0" t="n">
        <v>2079.53</v>
      </c>
      <c r="AI253" s="0" t="n">
        <v>29</v>
      </c>
    </row>
    <row r="254" customFormat="false" ht="14.9" hidden="false" customHeight="false" outlineLevel="0" collapsed="false">
      <c r="A254" s="0" t="n">
        <v>253</v>
      </c>
      <c r="B254" s="0" t="s">
        <v>314</v>
      </c>
      <c r="C254" s="33" t="s">
        <v>315</v>
      </c>
      <c r="D254" s="34" t="n">
        <v>46229</v>
      </c>
      <c r="E254" s="0" t="n">
        <v>884.14</v>
      </c>
      <c r="F254" s="0" t="n">
        <v>0</v>
      </c>
      <c r="G254" s="0" t="n">
        <v>1057.13</v>
      </c>
      <c r="H254" s="0" t="n">
        <v>871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68</v>
      </c>
      <c r="T254" s="0" t="n">
        <v>0</v>
      </c>
      <c r="U254" s="0" t="n">
        <v>0</v>
      </c>
      <c r="V254" s="0" t="n">
        <v>0</v>
      </c>
      <c r="W254" s="0" t="n">
        <v>30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2910.27</v>
      </c>
      <c r="AH254" s="0" t="n">
        <v>2910.27</v>
      </c>
      <c r="AI254" s="0" t="n">
        <v>34</v>
      </c>
    </row>
    <row r="255" customFormat="false" ht="14.9" hidden="false" customHeight="false" outlineLevel="0" collapsed="false">
      <c r="A255" s="0" t="n">
        <v>254</v>
      </c>
      <c r="B255" s="0" t="s">
        <v>314</v>
      </c>
      <c r="C255" s="33" t="s">
        <v>315</v>
      </c>
      <c r="D255" s="34" t="n">
        <v>46224</v>
      </c>
      <c r="E255" s="0" t="n">
        <v>330.84</v>
      </c>
      <c r="F255" s="0" t="n">
        <v>0</v>
      </c>
      <c r="G255" s="0" t="n">
        <v>1256.7</v>
      </c>
      <c r="H255" s="0" t="n">
        <v>60.3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10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1657.84</v>
      </c>
      <c r="AH255" s="0" t="n">
        <v>1657.84</v>
      </c>
      <c r="AI255" s="0" t="n">
        <v>20</v>
      </c>
    </row>
    <row r="256" customFormat="false" ht="14.9" hidden="false" customHeight="false" outlineLevel="0" collapsed="false">
      <c r="A256" s="0" t="n">
        <v>255</v>
      </c>
      <c r="B256" s="0" t="s">
        <v>314</v>
      </c>
      <c r="C256" s="33" t="s">
        <v>315</v>
      </c>
      <c r="D256" s="34" t="n">
        <v>46225</v>
      </c>
      <c r="E256" s="0" t="n">
        <v>161.9</v>
      </c>
      <c r="F256" s="0" t="n">
        <v>0</v>
      </c>
      <c r="G256" s="0" t="n">
        <v>665.8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827.7</v>
      </c>
      <c r="AH256" s="0" t="n">
        <v>827.7</v>
      </c>
      <c r="AI256" s="0" t="n">
        <v>20</v>
      </c>
    </row>
    <row r="257" customFormat="false" ht="14.9" hidden="false" customHeight="false" outlineLevel="0" collapsed="false">
      <c r="A257" s="0" t="n">
        <v>256</v>
      </c>
      <c r="B257" s="0" t="s">
        <v>314</v>
      </c>
      <c r="C257" s="33" t="s">
        <v>315</v>
      </c>
      <c r="D257" s="34" t="n">
        <v>46230</v>
      </c>
      <c r="E257" s="0" t="n">
        <v>323.11</v>
      </c>
      <c r="F257" s="0" t="n">
        <v>0</v>
      </c>
      <c r="G257" s="0" t="n">
        <v>388.6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0.02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711.73</v>
      </c>
      <c r="AH257" s="0" t="n">
        <v>711.73</v>
      </c>
      <c r="AI257" s="0" t="n">
        <v>14</v>
      </c>
    </row>
    <row r="258" customFormat="false" ht="14.9" hidden="false" customHeight="false" outlineLevel="0" collapsed="false">
      <c r="A258" s="0" t="n">
        <v>257</v>
      </c>
      <c r="B258" s="0" t="s">
        <v>314</v>
      </c>
      <c r="C258" s="33" t="s">
        <v>315</v>
      </c>
      <c r="D258" s="34" t="n">
        <v>46223</v>
      </c>
      <c r="E258" s="0" t="n">
        <v>143.06</v>
      </c>
      <c r="F258" s="0" t="n">
        <v>0</v>
      </c>
      <c r="G258" s="0" t="n">
        <v>518.5</v>
      </c>
      <c r="H258" s="0" t="n">
        <v>22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683.56</v>
      </c>
      <c r="AH258" s="0" t="n">
        <v>683.56</v>
      </c>
      <c r="AI258" s="0" t="n">
        <v>27</v>
      </c>
    </row>
    <row r="259" customFormat="false" ht="14.9" hidden="false" customHeight="false" outlineLevel="0" collapsed="false">
      <c r="A259" s="0" t="n">
        <v>258</v>
      </c>
      <c r="B259" s="0" t="s">
        <v>314</v>
      </c>
      <c r="C259" s="33" t="s">
        <v>315</v>
      </c>
      <c r="D259" s="34" t="n">
        <v>46210</v>
      </c>
      <c r="E259" s="0" t="n">
        <v>152.1</v>
      </c>
      <c r="F259" s="0" t="n">
        <v>0</v>
      </c>
      <c r="G259" s="0" t="n">
        <v>573.85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10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735.95</v>
      </c>
      <c r="AH259" s="0" t="n">
        <v>735.95</v>
      </c>
      <c r="AI259" s="0" t="n">
        <v>12</v>
      </c>
    </row>
    <row r="260" customFormat="false" ht="14.9" hidden="false" customHeight="false" outlineLevel="0" collapsed="false">
      <c r="A260" s="0" t="n">
        <v>259</v>
      </c>
      <c r="B260" s="0" t="s">
        <v>314</v>
      </c>
      <c r="C260" s="33" t="s">
        <v>315</v>
      </c>
      <c r="D260" s="34" t="n">
        <v>46208</v>
      </c>
      <c r="E260" s="0" t="n">
        <v>134.8</v>
      </c>
      <c r="F260" s="0" t="n">
        <v>0</v>
      </c>
      <c r="G260" s="0" t="n">
        <v>171.2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5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311</v>
      </c>
      <c r="AH260" s="0" t="n">
        <v>311</v>
      </c>
      <c r="AI260" s="0" t="n">
        <v>7</v>
      </c>
    </row>
    <row r="261" customFormat="false" ht="14.9" hidden="false" customHeight="false" outlineLevel="0" collapsed="false">
      <c r="A261" s="0" t="n">
        <v>260</v>
      </c>
      <c r="B261" s="0" t="s">
        <v>314</v>
      </c>
      <c r="C261" s="33" t="s">
        <v>315</v>
      </c>
      <c r="D261" s="34" t="n">
        <v>46212</v>
      </c>
      <c r="E261" s="0" t="n">
        <v>241</v>
      </c>
      <c r="F261" s="0" t="n">
        <v>0</v>
      </c>
      <c r="G261" s="0" t="n">
        <v>470.8</v>
      </c>
      <c r="H261" s="0" t="n">
        <v>131.3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843.1</v>
      </c>
      <c r="AH261" s="0" t="n">
        <v>843.1</v>
      </c>
      <c r="AI261" s="0" t="n">
        <v>16</v>
      </c>
    </row>
    <row r="262" customFormat="false" ht="14.9" hidden="false" customHeight="false" outlineLevel="0" collapsed="false">
      <c r="A262" s="0" t="n">
        <v>261</v>
      </c>
      <c r="B262" s="0" t="s">
        <v>314</v>
      </c>
      <c r="C262" s="33" t="s">
        <v>315</v>
      </c>
      <c r="D262" s="34" t="n">
        <v>46232</v>
      </c>
      <c r="E262" s="0" t="n">
        <v>76.8</v>
      </c>
      <c r="F262" s="0" t="n">
        <v>0</v>
      </c>
      <c r="G262" s="0" t="n">
        <v>998.1</v>
      </c>
      <c r="H262" s="0" t="n">
        <v>27.3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3.8</v>
      </c>
      <c r="W262" s="0" t="n">
        <v>103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1209</v>
      </c>
      <c r="AH262" s="0" t="n">
        <v>1209</v>
      </c>
      <c r="AI262" s="0" t="n">
        <v>17</v>
      </c>
    </row>
    <row r="263" customFormat="false" ht="14.9" hidden="false" customHeight="false" outlineLevel="0" collapsed="false">
      <c r="A263" s="0" t="n">
        <v>262</v>
      </c>
      <c r="B263" s="0" t="s">
        <v>314</v>
      </c>
      <c r="C263" s="33" t="s">
        <v>315</v>
      </c>
      <c r="D263" s="34" t="n">
        <v>46228</v>
      </c>
      <c r="E263" s="0" t="n">
        <v>302.7</v>
      </c>
      <c r="F263" s="0" t="n">
        <v>0</v>
      </c>
      <c r="G263" s="0" t="n">
        <v>619.2</v>
      </c>
      <c r="H263" s="0" t="n">
        <v>94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5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1020.9</v>
      </c>
      <c r="AH263" s="0" t="n">
        <v>1020.9</v>
      </c>
      <c r="AI263" s="0" t="n">
        <v>14</v>
      </c>
    </row>
    <row r="264" customFormat="false" ht="14.9" hidden="false" customHeight="false" outlineLevel="0" collapsed="false">
      <c r="A264" s="0" t="n">
        <v>263</v>
      </c>
      <c r="B264" s="0" t="s">
        <v>314</v>
      </c>
      <c r="C264" s="33" t="s">
        <v>315</v>
      </c>
      <c r="D264" s="34" t="n">
        <v>46205</v>
      </c>
      <c r="E264" s="0" t="n">
        <v>284.5</v>
      </c>
      <c r="F264" s="0" t="n">
        <v>0</v>
      </c>
      <c r="G264" s="0" t="n">
        <v>519.8</v>
      </c>
      <c r="H264" s="0" t="n">
        <v>142.4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15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961.7</v>
      </c>
      <c r="AH264" s="0" t="n">
        <v>961.7</v>
      </c>
      <c r="AI264" s="0" t="n">
        <v>23</v>
      </c>
    </row>
    <row r="265" customFormat="false" ht="14.9" hidden="false" customHeight="false" outlineLevel="0" collapsed="false">
      <c r="A265" s="0" t="n">
        <v>264</v>
      </c>
      <c r="B265" s="0" t="s">
        <v>314</v>
      </c>
      <c r="C265" s="33" t="s">
        <v>315</v>
      </c>
      <c r="D265" s="34" t="n">
        <v>46213</v>
      </c>
      <c r="E265" s="0" t="n">
        <v>299.61</v>
      </c>
      <c r="F265" s="0" t="n">
        <v>0</v>
      </c>
      <c r="G265" s="0" t="n">
        <v>428</v>
      </c>
      <c r="H265" s="0" t="n">
        <v>147.65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3.8</v>
      </c>
      <c r="W265" s="0" t="n">
        <v>15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894.06</v>
      </c>
      <c r="AH265" s="0" t="n">
        <v>894.06</v>
      </c>
      <c r="AI265" s="0" t="n">
        <v>18</v>
      </c>
    </row>
    <row r="266" customFormat="false" ht="14.9" hidden="false" customHeight="false" outlineLevel="0" collapsed="false">
      <c r="A266" s="0" t="n">
        <v>265</v>
      </c>
      <c r="B266" s="0" t="s">
        <v>314</v>
      </c>
      <c r="C266" s="33" t="s">
        <v>315</v>
      </c>
      <c r="D266" s="34" t="n">
        <v>46226</v>
      </c>
      <c r="E266" s="0" t="n">
        <v>264.02</v>
      </c>
      <c r="F266" s="0" t="n">
        <v>0</v>
      </c>
      <c r="G266" s="0" t="n">
        <v>795.42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0.02</v>
      </c>
      <c r="W266" s="0" t="n">
        <v>25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1084.46</v>
      </c>
      <c r="AH266" s="0" t="n">
        <v>1084.46</v>
      </c>
      <c r="AI266" s="0" t="n">
        <v>19</v>
      </c>
    </row>
    <row r="267" customFormat="false" ht="14.9" hidden="false" customHeight="false" outlineLevel="0" collapsed="false">
      <c r="A267" s="0" t="n">
        <v>266</v>
      </c>
      <c r="B267" s="0" t="s">
        <v>314</v>
      </c>
      <c r="C267" s="33" t="s">
        <v>315</v>
      </c>
      <c r="D267" s="34" t="n">
        <v>46221</v>
      </c>
      <c r="E267" s="0" t="n">
        <v>553.12</v>
      </c>
      <c r="F267" s="0" t="n">
        <v>0</v>
      </c>
      <c r="G267" s="0" t="n">
        <v>2472.15</v>
      </c>
      <c r="H267" s="0" t="n">
        <v>18.7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172.6</v>
      </c>
      <c r="T267" s="0" t="n">
        <v>0</v>
      </c>
      <c r="U267" s="0" t="n">
        <v>0</v>
      </c>
      <c r="V267" s="0" t="n">
        <v>0</v>
      </c>
      <c r="W267" s="0" t="n">
        <v>13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3229.57</v>
      </c>
      <c r="AH267" s="0" t="n">
        <v>3229.57</v>
      </c>
      <c r="AI267" s="0" t="n">
        <v>25</v>
      </c>
    </row>
    <row r="268" customFormat="false" ht="14.9" hidden="false" customHeight="false" outlineLevel="0" collapsed="false">
      <c r="A268" s="0" t="n">
        <v>267</v>
      </c>
      <c r="B268" s="0" t="s">
        <v>314</v>
      </c>
      <c r="C268" s="33" t="s">
        <v>315</v>
      </c>
      <c r="D268" s="34" t="n">
        <v>46215</v>
      </c>
      <c r="E268" s="0" t="n">
        <v>277.5</v>
      </c>
      <c r="F268" s="0" t="n">
        <v>0</v>
      </c>
      <c r="G268" s="0" t="n">
        <v>527.28</v>
      </c>
      <c r="H268" s="0" t="n">
        <v>175.9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980.68</v>
      </c>
      <c r="AH268" s="0" t="n">
        <v>980.68</v>
      </c>
      <c r="AI268" s="0" t="n">
        <v>16</v>
      </c>
    </row>
    <row r="269" customFormat="false" ht="14.9" hidden="false" customHeight="false" outlineLevel="0" collapsed="false">
      <c r="A269" s="0" t="n">
        <v>268</v>
      </c>
      <c r="B269" s="0" t="s">
        <v>314</v>
      </c>
      <c r="C269" s="33" t="s">
        <v>315</v>
      </c>
      <c r="D269" s="34" t="n">
        <v>46231</v>
      </c>
      <c r="E269" s="0" t="n">
        <v>83.1</v>
      </c>
      <c r="F269" s="0" t="n">
        <v>0</v>
      </c>
      <c r="G269" s="0" t="n">
        <v>843.01</v>
      </c>
      <c r="H269" s="0" t="n">
        <v>127.8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35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1088.91</v>
      </c>
      <c r="AH269" s="0" t="n">
        <v>1088.91</v>
      </c>
      <c r="AI269" s="0" t="n">
        <v>17</v>
      </c>
    </row>
    <row r="270" customFormat="false" ht="14.9" hidden="false" customHeight="false" outlineLevel="0" collapsed="false">
      <c r="A270" s="0" t="n">
        <v>269</v>
      </c>
      <c r="B270" s="0" t="s">
        <v>314</v>
      </c>
      <c r="C270" s="33" t="s">
        <v>315</v>
      </c>
      <c r="D270" s="34" t="n">
        <v>46217</v>
      </c>
      <c r="E270" s="0" t="n">
        <v>292.24</v>
      </c>
      <c r="F270" s="0" t="n">
        <v>0</v>
      </c>
      <c r="G270" s="0" t="n">
        <v>644.9</v>
      </c>
      <c r="H270" s="0" t="n">
        <v>607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15.1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1559.24</v>
      </c>
      <c r="AH270" s="0" t="n">
        <v>1559.24</v>
      </c>
      <c r="AI270" s="0" t="n">
        <v>19</v>
      </c>
    </row>
    <row r="271" customFormat="false" ht="14.9" hidden="false" customHeight="false" outlineLevel="0" collapsed="false">
      <c r="A271" s="0" t="n">
        <v>270</v>
      </c>
      <c r="B271" s="0" t="s">
        <v>314</v>
      </c>
      <c r="C271" s="33" t="s">
        <v>315</v>
      </c>
      <c r="D271" s="34" t="n">
        <v>46220</v>
      </c>
      <c r="E271" s="0" t="n">
        <v>233.2</v>
      </c>
      <c r="F271" s="0" t="n">
        <v>0</v>
      </c>
      <c r="G271" s="0" t="n">
        <v>509.2</v>
      </c>
      <c r="H271" s="0" t="n">
        <v>59.6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15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817</v>
      </c>
      <c r="AH271" s="0" t="n">
        <v>817</v>
      </c>
      <c r="AI271" s="0" t="n">
        <v>12</v>
      </c>
    </row>
    <row r="272" customFormat="false" ht="14.9" hidden="false" customHeight="false" outlineLevel="0" collapsed="false">
      <c r="A272" s="0" t="n">
        <v>271</v>
      </c>
      <c r="B272" s="0" t="s">
        <v>314</v>
      </c>
      <c r="C272" s="33" t="s">
        <v>315</v>
      </c>
      <c r="D272" s="34" t="n">
        <v>46216</v>
      </c>
      <c r="E272" s="0" t="n">
        <v>225.92</v>
      </c>
      <c r="F272" s="0" t="n">
        <v>0</v>
      </c>
      <c r="G272" s="0" t="n">
        <v>768</v>
      </c>
      <c r="H272" s="0" t="n">
        <v>94.9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5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1093.82</v>
      </c>
      <c r="AH272" s="0" t="n">
        <v>1093.82</v>
      </c>
      <c r="AI272" s="0" t="n">
        <v>21</v>
      </c>
    </row>
    <row r="273" customFormat="false" ht="14.9" hidden="false" customHeight="false" outlineLevel="0" collapsed="false">
      <c r="A273" s="0" t="n">
        <v>272</v>
      </c>
      <c r="B273" s="0" t="s">
        <v>314</v>
      </c>
      <c r="C273" s="33" t="s">
        <v>315</v>
      </c>
      <c r="D273" s="34" t="n">
        <v>46233</v>
      </c>
      <c r="E273" s="0" t="n">
        <v>164.7</v>
      </c>
      <c r="F273" s="0" t="n">
        <v>0</v>
      </c>
      <c r="G273" s="0" t="n">
        <v>703.8</v>
      </c>
      <c r="H273" s="0" t="n">
        <v>35.4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20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923.9</v>
      </c>
      <c r="AH273" s="0" t="n">
        <v>923.9</v>
      </c>
      <c r="AI273" s="0" t="n">
        <v>22</v>
      </c>
    </row>
    <row r="274" customFormat="false" ht="14.9" hidden="false" customHeight="false" outlineLevel="0" collapsed="false">
      <c r="A274" s="0" t="n">
        <v>273</v>
      </c>
      <c r="B274" s="0" t="s">
        <v>314</v>
      </c>
      <c r="C274" s="33" t="s">
        <v>315</v>
      </c>
      <c r="D274" s="34" t="n">
        <v>46227</v>
      </c>
      <c r="E274" s="0" t="n">
        <v>212</v>
      </c>
      <c r="F274" s="0" t="n">
        <v>0</v>
      </c>
      <c r="G274" s="0" t="n">
        <v>872.2</v>
      </c>
      <c r="H274" s="0" t="n">
        <v>23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36.8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1144</v>
      </c>
      <c r="AH274" s="0" t="n">
        <v>1144</v>
      </c>
      <c r="AI274" s="0" t="n">
        <v>19</v>
      </c>
    </row>
    <row r="275" customFormat="false" ht="14.9" hidden="false" customHeight="false" outlineLevel="0" collapsed="false">
      <c r="A275" s="0" t="n">
        <v>274</v>
      </c>
      <c r="B275" s="0" t="s">
        <v>314</v>
      </c>
      <c r="C275" s="33" t="s">
        <v>315</v>
      </c>
      <c r="D275" s="34" t="n">
        <v>46218</v>
      </c>
      <c r="E275" s="0" t="n">
        <v>189.21</v>
      </c>
      <c r="F275" s="0" t="n">
        <v>0</v>
      </c>
      <c r="G275" s="0" t="n">
        <v>541.9</v>
      </c>
      <c r="H275" s="0" t="n">
        <v>170.5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15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916.61</v>
      </c>
      <c r="AH275" s="0" t="n">
        <v>916.61</v>
      </c>
      <c r="AI275" s="0" t="n">
        <v>16</v>
      </c>
    </row>
    <row r="276" customFormat="false" ht="14.9" hidden="false" customHeight="false" outlineLevel="0" collapsed="false">
      <c r="A276" s="0" t="n">
        <v>275</v>
      </c>
      <c r="B276" s="0" t="s">
        <v>314</v>
      </c>
      <c r="C276" s="33" t="s">
        <v>315</v>
      </c>
      <c r="D276" s="34" t="n">
        <v>46234</v>
      </c>
      <c r="E276" s="0" t="n">
        <v>155.9</v>
      </c>
      <c r="F276" s="0" t="n">
        <v>0</v>
      </c>
      <c r="G276" s="0" t="n">
        <v>614.95</v>
      </c>
      <c r="H276" s="0" t="n">
        <v>96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3.8</v>
      </c>
      <c r="W276" s="0" t="n">
        <v>95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965.65</v>
      </c>
      <c r="AH276" s="0" t="n">
        <v>965.65</v>
      </c>
      <c r="AI276" s="0" t="n">
        <v>18</v>
      </c>
    </row>
    <row r="277" customFormat="false" ht="14.9" hidden="false" customHeight="false" outlineLevel="0" collapsed="false">
      <c r="A277" s="0" t="n">
        <v>276</v>
      </c>
      <c r="B277" s="0" t="s">
        <v>314</v>
      </c>
      <c r="C277" s="33" t="s">
        <v>315</v>
      </c>
      <c r="D277" s="34" t="n">
        <v>46211</v>
      </c>
      <c r="E277" s="0" t="n">
        <v>438.51</v>
      </c>
      <c r="F277" s="0" t="n">
        <v>0</v>
      </c>
      <c r="G277" s="0" t="n">
        <v>356.7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30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825.21</v>
      </c>
      <c r="AH277" s="0" t="n">
        <v>825.21</v>
      </c>
      <c r="AI277" s="0" t="n">
        <v>20</v>
      </c>
    </row>
    <row r="278" customFormat="false" ht="14.9" hidden="false" customHeight="false" outlineLevel="0" collapsed="false">
      <c r="A278" s="0" t="n">
        <v>277</v>
      </c>
      <c r="B278" s="0" t="s">
        <v>314</v>
      </c>
      <c r="C278" s="33" t="s">
        <v>315</v>
      </c>
      <c r="D278" s="34" t="n">
        <v>46209</v>
      </c>
      <c r="E278" s="0" t="n">
        <v>496.94</v>
      </c>
      <c r="F278" s="0" t="n">
        <v>0</v>
      </c>
      <c r="G278" s="0" t="n">
        <v>274.07</v>
      </c>
      <c r="H278" s="0" t="n">
        <v>99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32.6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902.61</v>
      </c>
      <c r="AH278" s="0" t="n">
        <v>902.61</v>
      </c>
      <c r="AI278" s="0" t="n">
        <v>24</v>
      </c>
    </row>
    <row r="279" customFormat="false" ht="14.9" hidden="false" customHeight="false" outlineLevel="0" collapsed="false">
      <c r="A279" s="0" t="n">
        <v>278</v>
      </c>
      <c r="B279" s="0" t="s">
        <v>314</v>
      </c>
      <c r="C279" s="33" t="s">
        <v>315</v>
      </c>
      <c r="D279" s="34" t="n">
        <v>46222</v>
      </c>
      <c r="E279" s="0" t="n">
        <v>630.7</v>
      </c>
      <c r="F279" s="0" t="n">
        <v>0</v>
      </c>
      <c r="G279" s="0" t="n">
        <v>374.3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10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1015</v>
      </c>
      <c r="AH279" s="0" t="n">
        <v>1015</v>
      </c>
      <c r="AI279" s="0" t="n">
        <v>14</v>
      </c>
    </row>
    <row r="280" customFormat="false" ht="14.9" hidden="false" customHeight="false" outlineLevel="0" collapsed="false">
      <c r="A280" s="0" t="n">
        <v>279</v>
      </c>
      <c r="B280" s="0" t="s">
        <v>314</v>
      </c>
      <c r="C280" s="33" t="s">
        <v>315</v>
      </c>
      <c r="D280" s="34" t="n">
        <v>46207</v>
      </c>
      <c r="E280" s="0" t="n">
        <v>240.1</v>
      </c>
      <c r="F280" s="0" t="n">
        <v>0</v>
      </c>
      <c r="G280" s="0" t="n">
        <v>243.25</v>
      </c>
      <c r="H280" s="0" t="n">
        <v>17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15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515.35</v>
      </c>
      <c r="AH280" s="0" t="n">
        <v>515.35</v>
      </c>
      <c r="AI280" s="0" t="n">
        <v>12</v>
      </c>
    </row>
    <row r="281" customFormat="false" ht="14.9" hidden="false" customHeight="false" outlineLevel="0" collapsed="false">
      <c r="A281" s="0" t="n">
        <v>280</v>
      </c>
      <c r="B281" s="0" t="s">
        <v>316</v>
      </c>
      <c r="C281" s="33" t="s">
        <v>317</v>
      </c>
      <c r="D281" s="34" t="n">
        <v>46204</v>
      </c>
      <c r="E281" s="0" t="n">
        <v>614.46</v>
      </c>
      <c r="F281" s="0" t="n">
        <v>0</v>
      </c>
      <c r="G281" s="0" t="n">
        <v>2470.11</v>
      </c>
      <c r="H281" s="0" t="n">
        <v>333.7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3.8</v>
      </c>
      <c r="W281" s="0" t="n">
        <v>47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3469.07</v>
      </c>
      <c r="AH281" s="0" t="n">
        <v>3469.07</v>
      </c>
      <c r="AI281" s="0" t="n">
        <v>53</v>
      </c>
    </row>
    <row r="282" customFormat="false" ht="14.9" hidden="false" customHeight="false" outlineLevel="0" collapsed="false">
      <c r="A282" s="0" t="n">
        <v>281</v>
      </c>
      <c r="B282" s="0" t="s">
        <v>316</v>
      </c>
      <c r="C282" s="33" t="s">
        <v>317</v>
      </c>
      <c r="D282" s="34" t="n">
        <v>46214</v>
      </c>
      <c r="E282" s="0" t="n">
        <v>1309.95</v>
      </c>
      <c r="F282" s="0" t="n">
        <v>0</v>
      </c>
      <c r="G282" s="0" t="n">
        <v>1917.16</v>
      </c>
      <c r="H282" s="0" t="n">
        <v>386.6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0.01</v>
      </c>
      <c r="W282" s="0" t="n">
        <v>30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3643.72</v>
      </c>
      <c r="AH282" s="0" t="n">
        <v>3643.72</v>
      </c>
      <c r="AI282" s="0" t="n">
        <v>51</v>
      </c>
    </row>
    <row r="283" customFormat="false" ht="14.9" hidden="false" customHeight="false" outlineLevel="0" collapsed="false">
      <c r="A283" s="0" t="n">
        <v>282</v>
      </c>
      <c r="B283" s="0" t="s">
        <v>316</v>
      </c>
      <c r="C283" s="33" t="s">
        <v>317</v>
      </c>
      <c r="D283" s="34" t="n">
        <v>46222</v>
      </c>
      <c r="E283" s="0" t="n">
        <v>213.8</v>
      </c>
      <c r="F283" s="0" t="n">
        <v>0</v>
      </c>
      <c r="G283" s="0" t="n">
        <v>1720.31</v>
      </c>
      <c r="H283" s="0" t="n">
        <v>452.96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0.04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2387.11</v>
      </c>
      <c r="AH283" s="0" t="n">
        <v>2387.11</v>
      </c>
      <c r="AI283" s="0" t="n">
        <v>52</v>
      </c>
    </row>
    <row r="284" customFormat="false" ht="14.9" hidden="false" customHeight="false" outlineLevel="0" collapsed="false">
      <c r="A284" s="0" t="n">
        <v>283</v>
      </c>
      <c r="B284" s="0" t="s">
        <v>316</v>
      </c>
      <c r="C284" s="33" t="s">
        <v>317</v>
      </c>
      <c r="D284" s="34" t="n">
        <v>46231</v>
      </c>
      <c r="E284" s="0" t="n">
        <v>106</v>
      </c>
      <c r="F284" s="0" t="n">
        <v>0</v>
      </c>
      <c r="G284" s="0" t="n">
        <v>2318.66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18</v>
      </c>
      <c r="T284" s="0" t="n">
        <v>0</v>
      </c>
      <c r="U284" s="0" t="n">
        <v>0</v>
      </c>
      <c r="V284" s="0" t="n">
        <v>3.8</v>
      </c>
      <c r="W284" s="0" t="n">
        <v>100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2546.46</v>
      </c>
      <c r="AH284" s="0" t="n">
        <v>2546.46</v>
      </c>
      <c r="AI284" s="0" t="n">
        <v>52</v>
      </c>
    </row>
    <row r="285" customFormat="false" ht="14.9" hidden="false" customHeight="false" outlineLevel="0" collapsed="false">
      <c r="A285" s="0" t="n">
        <v>284</v>
      </c>
      <c r="B285" s="0" t="s">
        <v>316</v>
      </c>
      <c r="C285" s="33" t="s">
        <v>317</v>
      </c>
      <c r="D285" s="34" t="n">
        <v>46215</v>
      </c>
      <c r="E285" s="0" t="n">
        <v>408.97</v>
      </c>
      <c r="F285" s="0" t="n">
        <v>0</v>
      </c>
      <c r="G285" s="0" t="n">
        <v>3845.73</v>
      </c>
      <c r="H285" s="0" t="n">
        <v>1150.5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30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5435.2</v>
      </c>
      <c r="AH285" s="0" t="n">
        <v>5435.2</v>
      </c>
      <c r="AI285" s="0" t="n">
        <v>73</v>
      </c>
    </row>
    <row r="286" customFormat="false" ht="14.9" hidden="false" customHeight="false" outlineLevel="0" collapsed="false">
      <c r="A286" s="0" t="n">
        <v>285</v>
      </c>
      <c r="B286" s="0" t="s">
        <v>316</v>
      </c>
      <c r="C286" s="33" t="s">
        <v>317</v>
      </c>
      <c r="D286" s="34" t="n">
        <v>46207</v>
      </c>
      <c r="E286" s="0" t="n">
        <v>1512.88</v>
      </c>
      <c r="F286" s="0" t="n">
        <v>0</v>
      </c>
      <c r="G286" s="0" t="n">
        <v>2134.21</v>
      </c>
      <c r="H286" s="0" t="n">
        <v>376.6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50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4073.69</v>
      </c>
      <c r="AH286" s="0" t="n">
        <v>4073.69</v>
      </c>
      <c r="AI286" s="0" t="n">
        <v>62</v>
      </c>
    </row>
    <row r="287" customFormat="false" ht="14.9" hidden="false" customHeight="false" outlineLevel="0" collapsed="false">
      <c r="A287" s="0" t="n">
        <v>286</v>
      </c>
      <c r="B287" s="0" t="s">
        <v>316</v>
      </c>
      <c r="C287" s="33" t="s">
        <v>317</v>
      </c>
      <c r="D287" s="34" t="n">
        <v>46208</v>
      </c>
      <c r="E287" s="0" t="n">
        <v>477.1</v>
      </c>
      <c r="F287" s="0" t="n">
        <v>0</v>
      </c>
      <c r="G287" s="0" t="n">
        <v>2112.1</v>
      </c>
      <c r="H287" s="0" t="n">
        <v>665.4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13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3267.6</v>
      </c>
      <c r="AH287" s="0" t="n">
        <v>3267.6</v>
      </c>
      <c r="AI287" s="0" t="n">
        <v>58</v>
      </c>
    </row>
    <row r="288" customFormat="false" ht="14.9" hidden="false" customHeight="false" outlineLevel="0" collapsed="false">
      <c r="A288" s="0" t="n">
        <v>287</v>
      </c>
      <c r="B288" s="0" t="s">
        <v>316</v>
      </c>
      <c r="C288" s="33" t="s">
        <v>317</v>
      </c>
      <c r="D288" s="34" t="n">
        <v>46211</v>
      </c>
      <c r="E288" s="0" t="n">
        <v>960.35</v>
      </c>
      <c r="F288" s="0" t="n">
        <v>0</v>
      </c>
      <c r="G288" s="0" t="n">
        <v>2165.95</v>
      </c>
      <c r="H288" s="0" t="n">
        <v>791.4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3.8</v>
      </c>
      <c r="W288" s="0" t="n">
        <v>15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3936.5</v>
      </c>
      <c r="AH288" s="0" t="n">
        <v>3936.5</v>
      </c>
      <c r="AI288" s="0" t="n">
        <v>53</v>
      </c>
    </row>
    <row r="289" customFormat="false" ht="14.9" hidden="false" customHeight="false" outlineLevel="0" collapsed="false">
      <c r="A289" s="0" t="n">
        <v>288</v>
      </c>
      <c r="B289" s="0" t="s">
        <v>316</v>
      </c>
      <c r="C289" s="33" t="s">
        <v>317</v>
      </c>
      <c r="D289" s="34" t="n">
        <v>46205</v>
      </c>
      <c r="E289" s="0" t="n">
        <v>340.8</v>
      </c>
      <c r="F289" s="0" t="n">
        <v>0</v>
      </c>
      <c r="G289" s="0" t="n">
        <v>2503.67</v>
      </c>
      <c r="H289" s="0" t="n">
        <v>53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18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2915.47</v>
      </c>
      <c r="AH289" s="0" t="n">
        <v>2915.47</v>
      </c>
      <c r="AI289" s="0" t="n">
        <v>45</v>
      </c>
    </row>
    <row r="290" customFormat="false" ht="14.9" hidden="false" customHeight="false" outlineLevel="0" collapsed="false">
      <c r="A290" s="0" t="n">
        <v>289</v>
      </c>
      <c r="B290" s="0" t="s">
        <v>316</v>
      </c>
      <c r="C290" s="33" t="s">
        <v>317</v>
      </c>
      <c r="D290" s="34" t="n">
        <v>46221</v>
      </c>
      <c r="E290" s="0" t="n">
        <v>569.22</v>
      </c>
      <c r="F290" s="0" t="n">
        <v>0</v>
      </c>
      <c r="G290" s="0" t="n">
        <v>1901.6</v>
      </c>
      <c r="H290" s="0" t="n">
        <v>367.1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40.8</v>
      </c>
      <c r="T290" s="0" t="n">
        <v>0</v>
      </c>
      <c r="U290" s="0" t="n">
        <v>0</v>
      </c>
      <c r="V290" s="0" t="n">
        <v>0.01</v>
      </c>
      <c r="W290" s="0" t="n">
        <v>20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2898.73</v>
      </c>
      <c r="AH290" s="0" t="n">
        <v>2898.73</v>
      </c>
      <c r="AI290" s="0" t="n">
        <v>51</v>
      </c>
    </row>
    <row r="291" customFormat="false" ht="14.9" hidden="false" customHeight="false" outlineLevel="0" collapsed="false">
      <c r="A291" s="0" t="n">
        <v>290</v>
      </c>
      <c r="B291" s="0" t="s">
        <v>316</v>
      </c>
      <c r="C291" s="33" t="s">
        <v>317</v>
      </c>
      <c r="D291" s="34" t="n">
        <v>46228</v>
      </c>
      <c r="E291" s="0" t="n">
        <v>517.7</v>
      </c>
      <c r="F291" s="0" t="n">
        <v>0</v>
      </c>
      <c r="G291" s="0" t="n">
        <v>2085.8</v>
      </c>
      <c r="H291" s="0" t="n">
        <v>170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0.01</v>
      </c>
      <c r="W291" s="0" t="n">
        <v>10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2783.51</v>
      </c>
      <c r="AH291" s="0" t="n">
        <v>2783.51</v>
      </c>
      <c r="AI291" s="0" t="n">
        <v>36</v>
      </c>
    </row>
    <row r="292" customFormat="false" ht="14.9" hidden="false" customHeight="false" outlineLevel="0" collapsed="false">
      <c r="A292" s="0" t="n">
        <v>291</v>
      </c>
      <c r="B292" s="0" t="s">
        <v>316</v>
      </c>
      <c r="C292" s="33" t="s">
        <v>317</v>
      </c>
      <c r="D292" s="34" t="n">
        <v>46209</v>
      </c>
      <c r="E292" s="0" t="n">
        <v>1634.76</v>
      </c>
      <c r="F292" s="0" t="n">
        <v>0</v>
      </c>
      <c r="G292" s="0" t="n">
        <v>2094.61</v>
      </c>
      <c r="H292" s="0" t="n">
        <v>686.5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40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4455.87</v>
      </c>
      <c r="AH292" s="0" t="n">
        <v>4455.87</v>
      </c>
      <c r="AI292" s="0" t="n">
        <v>48</v>
      </c>
    </row>
    <row r="293" customFormat="false" ht="14.9" hidden="false" customHeight="false" outlineLevel="0" collapsed="false">
      <c r="A293" s="0" t="n">
        <v>292</v>
      </c>
      <c r="B293" s="0" t="s">
        <v>316</v>
      </c>
      <c r="C293" s="33" t="s">
        <v>317</v>
      </c>
      <c r="D293" s="34" t="n">
        <v>46213</v>
      </c>
      <c r="E293" s="0" t="n">
        <v>1442.8</v>
      </c>
      <c r="F293" s="0" t="n">
        <v>0</v>
      </c>
      <c r="G293" s="0" t="n">
        <v>2232.03</v>
      </c>
      <c r="H293" s="0" t="n">
        <v>339.6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48.1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4062.53</v>
      </c>
      <c r="AH293" s="0" t="n">
        <v>4062.53</v>
      </c>
      <c r="AI293" s="0" t="n">
        <v>67</v>
      </c>
    </row>
    <row r="294" customFormat="false" ht="14.9" hidden="false" customHeight="false" outlineLevel="0" collapsed="false">
      <c r="A294" s="0" t="n">
        <v>293</v>
      </c>
      <c r="B294" s="0" t="s">
        <v>316</v>
      </c>
      <c r="C294" s="33" t="s">
        <v>317</v>
      </c>
      <c r="D294" s="34" t="n">
        <v>46212</v>
      </c>
      <c r="E294" s="0" t="n">
        <v>547.48</v>
      </c>
      <c r="F294" s="0" t="n">
        <v>0</v>
      </c>
      <c r="G294" s="0" t="n">
        <v>1658.42</v>
      </c>
      <c r="H294" s="0" t="n">
        <v>553.6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13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2772.5</v>
      </c>
      <c r="AH294" s="0" t="n">
        <v>2772.5</v>
      </c>
      <c r="AI294" s="0" t="n">
        <v>49</v>
      </c>
    </row>
    <row r="295" customFormat="false" ht="14.9" hidden="false" customHeight="false" outlineLevel="0" collapsed="false">
      <c r="A295" s="0" t="n">
        <v>294</v>
      </c>
      <c r="B295" s="0" t="s">
        <v>316</v>
      </c>
      <c r="C295" s="33" t="s">
        <v>317</v>
      </c>
      <c r="D295" s="34" t="n">
        <v>46206</v>
      </c>
      <c r="E295" s="0" t="n">
        <v>761.1</v>
      </c>
      <c r="F295" s="0" t="n">
        <v>0</v>
      </c>
      <c r="G295" s="0" t="n">
        <v>2046.68</v>
      </c>
      <c r="H295" s="0" t="n">
        <v>261.3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25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3094.08</v>
      </c>
      <c r="AH295" s="0" t="n">
        <v>3094.08</v>
      </c>
      <c r="AI295" s="0" t="n">
        <v>44</v>
      </c>
    </row>
    <row r="296" customFormat="false" ht="14.9" hidden="false" customHeight="false" outlineLevel="0" collapsed="false">
      <c r="A296" s="0" t="n">
        <v>295</v>
      </c>
      <c r="B296" s="0" t="s">
        <v>316</v>
      </c>
      <c r="C296" s="33" t="s">
        <v>317</v>
      </c>
      <c r="D296" s="34" t="n">
        <v>46227</v>
      </c>
      <c r="E296" s="0" t="n">
        <v>1034.39</v>
      </c>
      <c r="F296" s="0" t="n">
        <v>0</v>
      </c>
      <c r="G296" s="0" t="n">
        <v>1451.7</v>
      </c>
      <c r="H296" s="0" t="n">
        <v>224.3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5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2715.39</v>
      </c>
      <c r="AH296" s="0" t="n">
        <v>2715.39</v>
      </c>
      <c r="AI296" s="0" t="n">
        <v>45</v>
      </c>
    </row>
    <row r="297" customFormat="false" ht="14.9" hidden="false" customHeight="false" outlineLevel="0" collapsed="false">
      <c r="A297" s="0" t="n">
        <v>296</v>
      </c>
      <c r="B297" s="0" t="s">
        <v>316</v>
      </c>
      <c r="C297" s="33" t="s">
        <v>317</v>
      </c>
      <c r="D297" s="34" t="n">
        <v>46229</v>
      </c>
      <c r="E297" s="0" t="n">
        <v>1675.76</v>
      </c>
      <c r="F297" s="0" t="n">
        <v>0</v>
      </c>
      <c r="G297" s="0" t="n">
        <v>3378.31</v>
      </c>
      <c r="H297" s="0" t="n">
        <v>356.5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3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5413.57</v>
      </c>
      <c r="AH297" s="0" t="n">
        <v>5413.57</v>
      </c>
      <c r="AI297" s="0" t="n">
        <v>72</v>
      </c>
    </row>
    <row r="298" customFormat="false" ht="14.9" hidden="false" customHeight="false" outlineLevel="0" collapsed="false">
      <c r="A298" s="0" t="n">
        <v>297</v>
      </c>
      <c r="B298" s="0" t="s">
        <v>316</v>
      </c>
      <c r="C298" s="33" t="s">
        <v>317</v>
      </c>
      <c r="D298" s="34" t="n">
        <v>46233</v>
      </c>
      <c r="E298" s="0" t="n">
        <v>261.2</v>
      </c>
      <c r="F298" s="0" t="n">
        <v>0</v>
      </c>
      <c r="G298" s="0" t="n">
        <v>1656.56</v>
      </c>
      <c r="H298" s="0" t="n">
        <v>237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83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2237.76</v>
      </c>
      <c r="AH298" s="0" t="n">
        <v>2237.76</v>
      </c>
      <c r="AI298" s="0" t="n">
        <v>52</v>
      </c>
    </row>
    <row r="299" customFormat="false" ht="14.9" hidden="false" customHeight="false" outlineLevel="0" collapsed="false">
      <c r="A299" s="0" t="n">
        <v>298</v>
      </c>
      <c r="B299" s="0" t="s">
        <v>316</v>
      </c>
      <c r="C299" s="33" t="s">
        <v>317</v>
      </c>
      <c r="D299" s="34" t="n">
        <v>46218</v>
      </c>
      <c r="E299" s="0" t="n">
        <v>424.66</v>
      </c>
      <c r="F299" s="0" t="n">
        <v>0</v>
      </c>
      <c r="G299" s="0" t="n">
        <v>2320</v>
      </c>
      <c r="H299" s="0" t="n">
        <v>440.9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15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3200.56</v>
      </c>
      <c r="AH299" s="0" t="n">
        <v>3200.56</v>
      </c>
      <c r="AI299" s="0" t="n">
        <v>52</v>
      </c>
    </row>
    <row r="300" customFormat="false" ht="14.9" hidden="false" customHeight="false" outlineLevel="0" collapsed="false">
      <c r="A300" s="0" t="n">
        <v>299</v>
      </c>
      <c r="B300" s="0" t="s">
        <v>316</v>
      </c>
      <c r="C300" s="33" t="s">
        <v>317</v>
      </c>
      <c r="D300" s="34" t="n">
        <v>46219</v>
      </c>
      <c r="E300" s="0" t="n">
        <v>702.03</v>
      </c>
      <c r="F300" s="0" t="n">
        <v>0</v>
      </c>
      <c r="G300" s="0" t="n">
        <v>1594.76</v>
      </c>
      <c r="H300" s="0" t="n">
        <v>198.6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83.5</v>
      </c>
      <c r="T300" s="0" t="n">
        <v>0</v>
      </c>
      <c r="U300" s="0" t="n">
        <v>0</v>
      </c>
      <c r="V300" s="0" t="n">
        <v>0</v>
      </c>
      <c r="W300" s="0" t="n">
        <v>6.1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2584.99</v>
      </c>
      <c r="AH300" s="0" t="n">
        <v>2584.99</v>
      </c>
      <c r="AI300" s="0" t="n">
        <v>48</v>
      </c>
    </row>
    <row r="301" customFormat="false" ht="14.9" hidden="false" customHeight="false" outlineLevel="0" collapsed="false">
      <c r="A301" s="0" t="n">
        <v>300</v>
      </c>
      <c r="B301" s="0" t="s">
        <v>316</v>
      </c>
      <c r="C301" s="33" t="s">
        <v>317</v>
      </c>
      <c r="D301" s="34" t="n">
        <v>46225</v>
      </c>
      <c r="E301" s="0" t="n">
        <v>893.72</v>
      </c>
      <c r="F301" s="0" t="n">
        <v>0</v>
      </c>
      <c r="G301" s="0" t="n">
        <v>1292.3</v>
      </c>
      <c r="H301" s="0" t="n">
        <v>1428.4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0.01</v>
      </c>
      <c r="W301" s="0" t="n">
        <v>13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3627.43</v>
      </c>
      <c r="AH301" s="0" t="n">
        <v>3627.43</v>
      </c>
      <c r="AI301" s="0" t="n">
        <v>46</v>
      </c>
    </row>
    <row r="302" customFormat="false" ht="14.9" hidden="false" customHeight="false" outlineLevel="0" collapsed="false">
      <c r="A302" s="0" t="n">
        <v>301</v>
      </c>
      <c r="B302" s="0" t="s">
        <v>316</v>
      </c>
      <c r="C302" s="33" t="s">
        <v>317</v>
      </c>
      <c r="D302" s="34" t="n">
        <v>46217</v>
      </c>
      <c r="E302" s="0" t="n">
        <v>597.17</v>
      </c>
      <c r="F302" s="0" t="n">
        <v>0</v>
      </c>
      <c r="G302" s="0" t="n">
        <v>3022.05</v>
      </c>
      <c r="H302" s="0" t="n">
        <v>866.4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0.02</v>
      </c>
      <c r="W302" s="0" t="n">
        <v>10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4495.64</v>
      </c>
      <c r="AH302" s="0" t="n">
        <v>4495.64</v>
      </c>
      <c r="AI302" s="0" t="n">
        <v>56</v>
      </c>
    </row>
    <row r="303" customFormat="false" ht="14.9" hidden="false" customHeight="false" outlineLevel="0" collapsed="false">
      <c r="A303" s="0" t="n">
        <v>302</v>
      </c>
      <c r="B303" s="0" t="s">
        <v>316</v>
      </c>
      <c r="C303" s="33" t="s">
        <v>317</v>
      </c>
      <c r="D303" s="34" t="n">
        <v>46234</v>
      </c>
      <c r="E303" s="0" t="n">
        <v>214</v>
      </c>
      <c r="F303" s="0" t="n">
        <v>0</v>
      </c>
      <c r="G303" s="0" t="n">
        <v>1809.48</v>
      </c>
      <c r="H303" s="0" t="n">
        <v>197.6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23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2244.08</v>
      </c>
      <c r="AH303" s="0" t="n">
        <v>2244.08</v>
      </c>
      <c r="AI303" s="0" t="n">
        <v>35</v>
      </c>
    </row>
    <row r="304" customFormat="false" ht="14.9" hidden="false" customHeight="false" outlineLevel="0" collapsed="false">
      <c r="A304" s="0" t="n">
        <v>303</v>
      </c>
      <c r="B304" s="0" t="s">
        <v>316</v>
      </c>
      <c r="C304" s="33" t="s">
        <v>317</v>
      </c>
      <c r="D304" s="34" t="n">
        <v>46224</v>
      </c>
      <c r="E304" s="0" t="n">
        <v>715.72</v>
      </c>
      <c r="F304" s="0" t="n">
        <v>0</v>
      </c>
      <c r="G304" s="0" t="n">
        <v>2517.28</v>
      </c>
      <c r="H304" s="0" t="n">
        <v>491.2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0.04</v>
      </c>
      <c r="W304" s="0" t="n">
        <v>35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3759.24</v>
      </c>
      <c r="AH304" s="0" t="n">
        <v>3759.24</v>
      </c>
      <c r="AI304" s="0" t="n">
        <v>59</v>
      </c>
    </row>
    <row r="305" customFormat="false" ht="14.9" hidden="false" customHeight="false" outlineLevel="0" collapsed="false">
      <c r="A305" s="0" t="n">
        <v>304</v>
      </c>
      <c r="B305" s="0" t="s">
        <v>316</v>
      </c>
      <c r="C305" s="33" t="s">
        <v>317</v>
      </c>
      <c r="D305" s="34" t="n">
        <v>46226</v>
      </c>
      <c r="E305" s="0" t="n">
        <v>562.01</v>
      </c>
      <c r="F305" s="0" t="n">
        <v>0</v>
      </c>
      <c r="G305" s="0" t="n">
        <v>2172.32</v>
      </c>
      <c r="H305" s="0" t="n">
        <v>442.5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3</v>
      </c>
      <c r="T305" s="0" t="n">
        <v>0</v>
      </c>
      <c r="U305" s="0" t="n">
        <v>0</v>
      </c>
      <c r="V305" s="0" t="n">
        <v>0.01</v>
      </c>
      <c r="W305" s="0" t="n">
        <v>23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3202.84</v>
      </c>
      <c r="AH305" s="0" t="n">
        <v>3202.84</v>
      </c>
      <c r="AI305" s="0" t="n">
        <v>47</v>
      </c>
    </row>
    <row r="306" customFormat="false" ht="14.9" hidden="false" customHeight="false" outlineLevel="0" collapsed="false">
      <c r="A306" s="0" t="n">
        <v>305</v>
      </c>
      <c r="B306" s="0" t="s">
        <v>316</v>
      </c>
      <c r="C306" s="33" t="s">
        <v>317</v>
      </c>
      <c r="D306" s="34" t="n">
        <v>46230</v>
      </c>
      <c r="E306" s="0" t="n">
        <v>381.3</v>
      </c>
      <c r="F306" s="0" t="n">
        <v>0</v>
      </c>
      <c r="G306" s="0" t="n">
        <v>1589</v>
      </c>
      <c r="H306" s="0" t="n">
        <v>638.4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15</v>
      </c>
      <c r="T306" s="0" t="n">
        <v>0</v>
      </c>
      <c r="U306" s="0" t="n">
        <v>0</v>
      </c>
      <c r="V306" s="0" t="n">
        <v>0</v>
      </c>
      <c r="W306" s="0" t="n">
        <v>100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2723.7</v>
      </c>
      <c r="AH306" s="0" t="n">
        <v>2723.7</v>
      </c>
      <c r="AI306" s="0" t="n">
        <v>43</v>
      </c>
    </row>
    <row r="307" customFormat="false" ht="14.9" hidden="false" customHeight="false" outlineLevel="0" collapsed="false">
      <c r="A307" s="0" t="n">
        <v>306</v>
      </c>
      <c r="B307" s="0" t="s">
        <v>316</v>
      </c>
      <c r="C307" s="33" t="s">
        <v>317</v>
      </c>
      <c r="D307" s="34" t="n">
        <v>46220</v>
      </c>
      <c r="E307" s="0" t="n">
        <v>594.75</v>
      </c>
      <c r="F307" s="0" t="n">
        <v>0</v>
      </c>
      <c r="G307" s="0" t="n">
        <v>2204.5</v>
      </c>
      <c r="H307" s="0" t="n">
        <v>565.42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46.6</v>
      </c>
      <c r="T307" s="0" t="n">
        <v>0</v>
      </c>
      <c r="U307" s="0" t="n">
        <v>0</v>
      </c>
      <c r="V307" s="0" t="n">
        <v>0</v>
      </c>
      <c r="W307" s="0" t="n">
        <v>23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3434.27</v>
      </c>
      <c r="AH307" s="0" t="n">
        <v>3434.27</v>
      </c>
      <c r="AI307" s="0" t="n">
        <v>68</v>
      </c>
    </row>
    <row r="308" customFormat="false" ht="14.9" hidden="false" customHeight="false" outlineLevel="0" collapsed="false">
      <c r="A308" s="0" t="n">
        <v>307</v>
      </c>
      <c r="B308" s="0" t="s">
        <v>316</v>
      </c>
      <c r="C308" s="33" t="s">
        <v>317</v>
      </c>
      <c r="D308" s="34" t="n">
        <v>46223</v>
      </c>
      <c r="E308" s="0" t="n">
        <v>809.7</v>
      </c>
      <c r="F308" s="0" t="n">
        <v>0</v>
      </c>
      <c r="G308" s="0" t="n">
        <v>1519.6</v>
      </c>
      <c r="H308" s="0" t="n">
        <v>274.88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0.02</v>
      </c>
      <c r="W308" s="0" t="n">
        <v>10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2614.2</v>
      </c>
      <c r="AH308" s="0" t="n">
        <v>2614.2</v>
      </c>
      <c r="AI308" s="0" t="n">
        <v>48</v>
      </c>
    </row>
    <row r="309" customFormat="false" ht="14.9" hidden="false" customHeight="false" outlineLevel="0" collapsed="false">
      <c r="A309" s="0" t="n">
        <v>308</v>
      </c>
      <c r="B309" s="0" t="s">
        <v>316</v>
      </c>
      <c r="C309" s="33" t="s">
        <v>317</v>
      </c>
      <c r="D309" s="34" t="n">
        <v>46210</v>
      </c>
      <c r="E309" s="0" t="n">
        <v>1338.22</v>
      </c>
      <c r="F309" s="0" t="n">
        <v>0</v>
      </c>
      <c r="G309" s="0" t="n">
        <v>2667.82</v>
      </c>
      <c r="H309" s="0" t="n">
        <v>987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61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5054.04</v>
      </c>
      <c r="AH309" s="0" t="n">
        <v>5054.04</v>
      </c>
      <c r="AI309" s="0" t="n">
        <v>72</v>
      </c>
    </row>
    <row r="310" customFormat="false" ht="14.9" hidden="false" customHeight="false" outlineLevel="0" collapsed="false">
      <c r="A310" s="0" t="n">
        <v>309</v>
      </c>
      <c r="B310" s="0" t="s">
        <v>316</v>
      </c>
      <c r="C310" s="33" t="s">
        <v>317</v>
      </c>
      <c r="D310" s="34" t="n">
        <v>46232</v>
      </c>
      <c r="E310" s="0" t="n">
        <v>903.9</v>
      </c>
      <c r="F310" s="0" t="n">
        <v>0</v>
      </c>
      <c r="G310" s="0" t="n">
        <v>2916.8</v>
      </c>
      <c r="H310" s="0" t="n">
        <v>669.1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73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4562.8</v>
      </c>
      <c r="AH310" s="0" t="n">
        <v>4562.8</v>
      </c>
      <c r="AI310" s="0" t="n">
        <v>54</v>
      </c>
    </row>
    <row r="311" customFormat="false" ht="14.9" hidden="false" customHeight="false" outlineLevel="0" collapsed="false">
      <c r="A311" s="0" t="n">
        <v>310</v>
      </c>
      <c r="B311" s="0" t="s">
        <v>316</v>
      </c>
      <c r="C311" s="33" t="s">
        <v>317</v>
      </c>
      <c r="D311" s="34" t="n">
        <v>46216</v>
      </c>
      <c r="E311" s="0" t="n">
        <v>1130.89</v>
      </c>
      <c r="F311" s="0" t="n">
        <v>0</v>
      </c>
      <c r="G311" s="0" t="n">
        <v>2227.83</v>
      </c>
      <c r="H311" s="0" t="n">
        <v>268.9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0.03</v>
      </c>
      <c r="W311" s="0" t="n">
        <v>40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3667.65</v>
      </c>
      <c r="AH311" s="0" t="n">
        <v>3667.65</v>
      </c>
      <c r="AI311" s="0" t="n">
        <v>61</v>
      </c>
    </row>
    <row r="312" customFormat="false" ht="14.9" hidden="false" customHeight="false" outlineLevel="0" collapsed="false">
      <c r="A312" s="0" t="n">
        <v>311</v>
      </c>
      <c r="B312" s="0" t="s">
        <v>318</v>
      </c>
      <c r="C312" s="33" t="s">
        <v>319</v>
      </c>
      <c r="D312" s="34" t="n">
        <v>46211</v>
      </c>
      <c r="E312" s="0" t="n">
        <v>616</v>
      </c>
      <c r="F312" s="0" t="n">
        <v>0</v>
      </c>
      <c r="G312" s="0" t="n">
        <v>373.5</v>
      </c>
      <c r="H312" s="0" t="n">
        <v>36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18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1043.5</v>
      </c>
      <c r="AH312" s="0" t="n">
        <v>1043.5</v>
      </c>
      <c r="AI312" s="0" t="n">
        <v>18</v>
      </c>
    </row>
    <row r="313" customFormat="false" ht="14.9" hidden="false" customHeight="false" outlineLevel="0" collapsed="false">
      <c r="A313" s="0" t="n">
        <v>312</v>
      </c>
      <c r="B313" s="0" t="s">
        <v>318</v>
      </c>
      <c r="C313" s="33" t="s">
        <v>319</v>
      </c>
      <c r="D313" s="34" t="n">
        <v>46218</v>
      </c>
      <c r="E313" s="0" t="n">
        <v>501</v>
      </c>
      <c r="F313" s="0" t="n">
        <v>0</v>
      </c>
      <c r="G313" s="0" t="n">
        <v>468.8</v>
      </c>
      <c r="H313" s="0" t="n">
        <v>178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-0.1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47.1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1194.8</v>
      </c>
      <c r="AH313" s="0" t="n">
        <v>1194.8</v>
      </c>
      <c r="AI313" s="0" t="n">
        <v>24</v>
      </c>
    </row>
    <row r="314" customFormat="false" ht="14.9" hidden="false" customHeight="false" outlineLevel="0" collapsed="false">
      <c r="A314" s="0" t="n">
        <v>313</v>
      </c>
      <c r="B314" s="0" t="s">
        <v>318</v>
      </c>
      <c r="C314" s="33" t="s">
        <v>319</v>
      </c>
      <c r="D314" s="34" t="n">
        <v>46213</v>
      </c>
      <c r="E314" s="0" t="n">
        <v>392.71</v>
      </c>
      <c r="F314" s="0" t="n">
        <v>0</v>
      </c>
      <c r="G314" s="0" t="n">
        <v>653.5</v>
      </c>
      <c r="H314" s="0" t="n">
        <v>5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9.94</v>
      </c>
      <c r="W314" s="0" t="n">
        <v>3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1064.15</v>
      </c>
      <c r="AH314" s="0" t="n">
        <v>1064.15</v>
      </c>
      <c r="AI314" s="0" t="n">
        <v>23</v>
      </c>
    </row>
    <row r="315" customFormat="false" ht="14.9" hidden="false" customHeight="false" outlineLevel="0" collapsed="false">
      <c r="A315" s="0" t="n">
        <v>314</v>
      </c>
      <c r="B315" s="0" t="s">
        <v>318</v>
      </c>
      <c r="C315" s="33" t="s">
        <v>319</v>
      </c>
      <c r="D315" s="34" t="n">
        <v>46222</v>
      </c>
      <c r="E315" s="0" t="n">
        <v>472.78</v>
      </c>
      <c r="F315" s="0" t="n">
        <v>0</v>
      </c>
      <c r="G315" s="0" t="n">
        <v>108.3</v>
      </c>
      <c r="H315" s="0" t="n">
        <v>61.3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1.11</v>
      </c>
      <c r="S315" s="0" t="n">
        <v>0</v>
      </c>
      <c r="T315" s="0" t="n">
        <v>0</v>
      </c>
      <c r="U315" s="0" t="n">
        <v>0</v>
      </c>
      <c r="V315" s="0" t="n">
        <v>9.9</v>
      </c>
      <c r="W315" s="0" t="n">
        <v>20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673.39</v>
      </c>
      <c r="AH315" s="0" t="n">
        <v>673.39</v>
      </c>
      <c r="AI315" s="0" t="n">
        <v>21</v>
      </c>
    </row>
    <row r="316" customFormat="false" ht="14.9" hidden="false" customHeight="false" outlineLevel="0" collapsed="false">
      <c r="A316" s="0" t="n">
        <v>315</v>
      </c>
      <c r="B316" s="0" t="s">
        <v>318</v>
      </c>
      <c r="C316" s="33" t="s">
        <v>319</v>
      </c>
      <c r="D316" s="34" t="n">
        <v>46234</v>
      </c>
      <c r="E316" s="0" t="n">
        <v>563.1</v>
      </c>
      <c r="F316" s="0" t="n">
        <v>0</v>
      </c>
      <c r="G316" s="0" t="n">
        <v>1170.7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44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1777.8</v>
      </c>
      <c r="AH316" s="0" t="n">
        <v>1777.8</v>
      </c>
      <c r="AI316" s="0" t="n">
        <v>29</v>
      </c>
    </row>
    <row r="317" customFormat="false" ht="14.9" hidden="false" customHeight="false" outlineLevel="0" collapsed="false">
      <c r="A317" s="0" t="n">
        <v>316</v>
      </c>
      <c r="B317" s="0" t="s">
        <v>318</v>
      </c>
      <c r="C317" s="33" t="s">
        <v>319</v>
      </c>
      <c r="D317" s="34" t="n">
        <v>46206</v>
      </c>
      <c r="E317" s="0" t="n">
        <v>528.4</v>
      </c>
      <c r="F317" s="0" t="n">
        <v>0</v>
      </c>
      <c r="G317" s="0" t="n">
        <v>511.6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11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1051</v>
      </c>
      <c r="AH317" s="0" t="n">
        <v>1051</v>
      </c>
      <c r="AI317" s="0" t="n">
        <v>29</v>
      </c>
    </row>
    <row r="318" customFormat="false" ht="14.9" hidden="false" customHeight="false" outlineLevel="0" collapsed="false">
      <c r="A318" s="0" t="n">
        <v>317</v>
      </c>
      <c r="B318" s="0" t="s">
        <v>318</v>
      </c>
      <c r="C318" s="33" t="s">
        <v>319</v>
      </c>
      <c r="D318" s="34" t="n">
        <v>46207</v>
      </c>
      <c r="E318" s="0" t="n">
        <v>1057.1</v>
      </c>
      <c r="F318" s="0" t="n">
        <v>0</v>
      </c>
      <c r="G318" s="0" t="n">
        <v>330</v>
      </c>
      <c r="H318" s="0" t="n">
        <v>32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16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1435.1</v>
      </c>
      <c r="AH318" s="0" t="n">
        <v>1435.1</v>
      </c>
      <c r="AI318" s="0" t="n">
        <v>31</v>
      </c>
    </row>
    <row r="319" customFormat="false" ht="14.9" hidden="false" customHeight="false" outlineLevel="0" collapsed="false">
      <c r="A319" s="0" t="n">
        <v>318</v>
      </c>
      <c r="B319" s="0" t="s">
        <v>318</v>
      </c>
      <c r="C319" s="33" t="s">
        <v>319</v>
      </c>
      <c r="D319" s="34" t="n">
        <v>46228</v>
      </c>
      <c r="E319" s="0" t="n">
        <v>476.8</v>
      </c>
      <c r="F319" s="0" t="n">
        <v>0</v>
      </c>
      <c r="G319" s="0" t="n">
        <v>397.4</v>
      </c>
      <c r="H319" s="0" t="n">
        <v>398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11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1283.2</v>
      </c>
      <c r="AH319" s="0" t="n">
        <v>1283.2</v>
      </c>
      <c r="AI319" s="0" t="n">
        <v>21</v>
      </c>
    </row>
    <row r="320" customFormat="false" ht="14.9" hidden="false" customHeight="false" outlineLevel="0" collapsed="false">
      <c r="A320" s="0" t="n">
        <v>319</v>
      </c>
      <c r="B320" s="0" t="s">
        <v>318</v>
      </c>
      <c r="C320" s="33" t="s">
        <v>319</v>
      </c>
      <c r="D320" s="34" t="n">
        <v>46220</v>
      </c>
      <c r="E320" s="0" t="n">
        <v>201.1</v>
      </c>
      <c r="F320" s="0" t="n">
        <v>0</v>
      </c>
      <c r="G320" s="0" t="n">
        <v>266.3</v>
      </c>
      <c r="H320" s="0" t="n">
        <v>53.8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9</v>
      </c>
      <c r="W320" s="0" t="n">
        <v>8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538.2</v>
      </c>
      <c r="AH320" s="0" t="n">
        <v>538.2</v>
      </c>
      <c r="AI320" s="0" t="n">
        <v>17</v>
      </c>
    </row>
    <row r="321" customFormat="false" ht="14.9" hidden="false" customHeight="false" outlineLevel="0" collapsed="false">
      <c r="A321" s="0" t="n">
        <v>320</v>
      </c>
      <c r="B321" s="0" t="s">
        <v>318</v>
      </c>
      <c r="C321" s="33" t="s">
        <v>319</v>
      </c>
      <c r="D321" s="34" t="n">
        <v>46224</v>
      </c>
      <c r="E321" s="0" t="n">
        <v>1025.41</v>
      </c>
      <c r="F321" s="0" t="n">
        <v>0</v>
      </c>
      <c r="G321" s="0" t="n">
        <v>722.11</v>
      </c>
      <c r="H321" s="0" t="n">
        <v>180.6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-0.3</v>
      </c>
      <c r="S321" s="0" t="n">
        <v>0</v>
      </c>
      <c r="T321" s="0" t="n">
        <v>0</v>
      </c>
      <c r="U321" s="0" t="n">
        <v>0</v>
      </c>
      <c r="V321" s="0" t="n">
        <v>19.8</v>
      </c>
      <c r="W321" s="0" t="n">
        <v>94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2041.62</v>
      </c>
      <c r="AH321" s="0" t="n">
        <v>2041.62</v>
      </c>
      <c r="AI321" s="0" t="n">
        <v>39</v>
      </c>
    </row>
    <row r="322" customFormat="false" ht="14.9" hidden="false" customHeight="false" outlineLevel="0" collapsed="false">
      <c r="A322" s="0" t="n">
        <v>321</v>
      </c>
      <c r="B322" s="0" t="s">
        <v>318</v>
      </c>
      <c r="C322" s="33" t="s">
        <v>319</v>
      </c>
      <c r="D322" s="34" t="n">
        <v>46215</v>
      </c>
      <c r="E322" s="0" t="n">
        <v>307.2</v>
      </c>
      <c r="F322" s="0" t="n">
        <v>0</v>
      </c>
      <c r="G322" s="0" t="n">
        <v>220.2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23.2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550.6</v>
      </c>
      <c r="AH322" s="0" t="n">
        <v>550.6</v>
      </c>
      <c r="AI322" s="0" t="n">
        <v>23</v>
      </c>
    </row>
    <row r="323" customFormat="false" ht="14.9" hidden="false" customHeight="false" outlineLevel="0" collapsed="false">
      <c r="A323" s="0" t="n">
        <v>322</v>
      </c>
      <c r="B323" s="0" t="s">
        <v>318</v>
      </c>
      <c r="C323" s="33" t="s">
        <v>319</v>
      </c>
      <c r="D323" s="34" t="n">
        <v>46229</v>
      </c>
      <c r="E323" s="0" t="n">
        <v>1961.69</v>
      </c>
      <c r="F323" s="0" t="n">
        <v>0</v>
      </c>
      <c r="G323" s="0" t="n">
        <v>732.93</v>
      </c>
      <c r="H323" s="0" t="n">
        <v>122.6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  <c r="U323" s="0" t="n">
        <v>0</v>
      </c>
      <c r="V323" s="0" t="n">
        <v>37.8</v>
      </c>
      <c r="W323" s="0" t="n">
        <v>50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2906.02</v>
      </c>
      <c r="AH323" s="0" t="n">
        <v>2906.02</v>
      </c>
      <c r="AI323" s="0" t="n">
        <v>55</v>
      </c>
    </row>
    <row r="324" customFormat="false" ht="14.9" hidden="false" customHeight="false" outlineLevel="0" collapsed="false">
      <c r="A324" s="0" t="n">
        <v>323</v>
      </c>
      <c r="B324" s="0" t="s">
        <v>318</v>
      </c>
      <c r="C324" s="33" t="s">
        <v>319</v>
      </c>
      <c r="D324" s="34" t="n">
        <v>46226</v>
      </c>
      <c r="E324" s="0" t="n">
        <v>3050.08</v>
      </c>
      <c r="F324" s="0" t="n">
        <v>0</v>
      </c>
      <c r="G324" s="0" t="n">
        <v>1110.24</v>
      </c>
      <c r="H324" s="0" t="n">
        <v>116.9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0.04</v>
      </c>
      <c r="W324" s="0" t="n">
        <v>108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4385.26</v>
      </c>
      <c r="AH324" s="0" t="n">
        <v>4385.26</v>
      </c>
      <c r="AI324" s="0" t="n">
        <v>61</v>
      </c>
    </row>
    <row r="325" customFormat="false" ht="14.9" hidden="false" customHeight="false" outlineLevel="0" collapsed="false">
      <c r="A325" s="0" t="n">
        <v>324</v>
      </c>
      <c r="B325" s="0" t="s">
        <v>318</v>
      </c>
      <c r="C325" s="33" t="s">
        <v>319</v>
      </c>
      <c r="D325" s="34" t="n">
        <v>46227</v>
      </c>
      <c r="E325" s="0" t="n">
        <v>289.01</v>
      </c>
      <c r="F325" s="0" t="n">
        <v>0</v>
      </c>
      <c r="G325" s="0" t="n">
        <v>332.2</v>
      </c>
      <c r="H325" s="0" t="n">
        <v>67.8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3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692.01</v>
      </c>
      <c r="AH325" s="0" t="n">
        <v>692.01</v>
      </c>
      <c r="AI325" s="0" t="n">
        <v>21</v>
      </c>
    </row>
    <row r="326" customFormat="false" ht="14.9" hidden="false" customHeight="false" outlineLevel="0" collapsed="false">
      <c r="A326" s="0" t="n">
        <v>325</v>
      </c>
      <c r="B326" s="0" t="s">
        <v>318</v>
      </c>
      <c r="C326" s="33" t="s">
        <v>319</v>
      </c>
      <c r="D326" s="34" t="n">
        <v>46208</v>
      </c>
      <c r="E326" s="0" t="n">
        <v>283.6</v>
      </c>
      <c r="F326" s="0" t="n">
        <v>0</v>
      </c>
      <c r="G326" s="0" t="n">
        <v>473.3</v>
      </c>
      <c r="H326" s="0" t="n">
        <v>212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9.9</v>
      </c>
      <c r="W326" s="0" t="n">
        <v>15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993.8</v>
      </c>
      <c r="AH326" s="0" t="n">
        <v>993.8</v>
      </c>
      <c r="AI326" s="0" t="n">
        <v>21</v>
      </c>
    </row>
    <row r="327" customFormat="false" ht="14.9" hidden="false" customHeight="false" outlineLevel="0" collapsed="false">
      <c r="A327" s="0" t="n">
        <v>326</v>
      </c>
      <c r="B327" s="0" t="s">
        <v>318</v>
      </c>
      <c r="C327" s="33" t="s">
        <v>319</v>
      </c>
      <c r="D327" s="34" t="n">
        <v>46217</v>
      </c>
      <c r="E327" s="0" t="n">
        <v>642.7</v>
      </c>
      <c r="F327" s="0" t="n">
        <v>0</v>
      </c>
      <c r="G327" s="0" t="n">
        <v>374.7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0.2</v>
      </c>
      <c r="S327" s="0" t="n">
        <v>0</v>
      </c>
      <c r="T327" s="0" t="n">
        <v>0</v>
      </c>
      <c r="U327" s="0" t="n">
        <v>0</v>
      </c>
      <c r="V327" s="0" t="n">
        <v>9.9</v>
      </c>
      <c r="W327" s="0" t="n">
        <v>56.1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1083.6</v>
      </c>
      <c r="AH327" s="0" t="n">
        <v>1083.6</v>
      </c>
      <c r="AI327" s="0" t="n">
        <v>22</v>
      </c>
    </row>
    <row r="328" customFormat="false" ht="14.9" hidden="false" customHeight="false" outlineLevel="0" collapsed="false">
      <c r="A328" s="0" t="n">
        <v>327</v>
      </c>
      <c r="B328" s="0" t="s">
        <v>318</v>
      </c>
      <c r="C328" s="33" t="s">
        <v>319</v>
      </c>
      <c r="D328" s="34" t="n">
        <v>46221</v>
      </c>
      <c r="E328" s="0" t="n">
        <v>432.2</v>
      </c>
      <c r="F328" s="0" t="n">
        <v>0</v>
      </c>
      <c r="G328" s="0" t="n">
        <v>661.1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0.02</v>
      </c>
      <c r="W328" s="0" t="n">
        <v>11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1104.32</v>
      </c>
      <c r="AH328" s="0" t="n">
        <v>1104.32</v>
      </c>
      <c r="AI328" s="0" t="n">
        <v>27</v>
      </c>
    </row>
    <row r="329" customFormat="false" ht="14.9" hidden="false" customHeight="false" outlineLevel="0" collapsed="false">
      <c r="A329" s="0" t="n">
        <v>328</v>
      </c>
      <c r="B329" s="0" t="s">
        <v>318</v>
      </c>
      <c r="C329" s="33" t="s">
        <v>319</v>
      </c>
      <c r="D329" s="34" t="n">
        <v>46205</v>
      </c>
      <c r="E329" s="0" t="n">
        <v>546.3</v>
      </c>
      <c r="F329" s="0" t="n">
        <v>0</v>
      </c>
      <c r="G329" s="0" t="n">
        <v>257.8</v>
      </c>
      <c r="H329" s="0" t="n">
        <v>8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-0.2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26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837.9</v>
      </c>
      <c r="AH329" s="0" t="n">
        <v>837.9</v>
      </c>
      <c r="AI329" s="0" t="n">
        <v>25</v>
      </c>
    </row>
    <row r="330" customFormat="false" ht="14.9" hidden="false" customHeight="false" outlineLevel="0" collapsed="false">
      <c r="A330" s="0" t="n">
        <v>329</v>
      </c>
      <c r="B330" s="0" t="s">
        <v>318</v>
      </c>
      <c r="C330" s="33" t="s">
        <v>319</v>
      </c>
      <c r="D330" s="34" t="n">
        <v>46231</v>
      </c>
      <c r="E330" s="0" t="n">
        <v>1084.1</v>
      </c>
      <c r="F330" s="0" t="n">
        <v>0</v>
      </c>
      <c r="G330" s="0" t="n">
        <v>229.6</v>
      </c>
      <c r="H330" s="0" t="n">
        <v>92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9.9</v>
      </c>
      <c r="W330" s="0" t="n">
        <v>57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1472.6</v>
      </c>
      <c r="AH330" s="0" t="n">
        <v>1472.6</v>
      </c>
      <c r="AI330" s="0" t="n">
        <v>27</v>
      </c>
    </row>
    <row r="331" customFormat="false" ht="14.9" hidden="false" customHeight="false" outlineLevel="0" collapsed="false">
      <c r="A331" s="0" t="n">
        <v>330</v>
      </c>
      <c r="B331" s="0" t="s">
        <v>318</v>
      </c>
      <c r="C331" s="33" t="s">
        <v>319</v>
      </c>
      <c r="D331" s="34" t="n">
        <v>46210</v>
      </c>
      <c r="E331" s="0" t="n">
        <v>1596.81</v>
      </c>
      <c r="F331" s="0" t="n">
        <v>0</v>
      </c>
      <c r="G331" s="0" t="n">
        <v>276.2</v>
      </c>
      <c r="H331" s="0" t="n">
        <v>75.5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0.1</v>
      </c>
      <c r="S331" s="0" t="n">
        <v>0</v>
      </c>
      <c r="T331" s="0" t="n">
        <v>0</v>
      </c>
      <c r="U331" s="0" t="n">
        <v>0</v>
      </c>
      <c r="V331" s="0" t="n">
        <v>22.82</v>
      </c>
      <c r="W331" s="0" t="n">
        <v>40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2011.43</v>
      </c>
      <c r="AH331" s="0" t="n">
        <v>2011.43</v>
      </c>
      <c r="AI331" s="0" t="n">
        <v>37</v>
      </c>
    </row>
    <row r="332" customFormat="false" ht="14.9" hidden="false" customHeight="false" outlineLevel="0" collapsed="false">
      <c r="A332" s="0" t="n">
        <v>331</v>
      </c>
      <c r="B332" s="0" t="s">
        <v>318</v>
      </c>
      <c r="C332" s="33" t="s">
        <v>319</v>
      </c>
      <c r="D332" s="34" t="n">
        <v>46212</v>
      </c>
      <c r="E332" s="0" t="n">
        <v>495.71</v>
      </c>
      <c r="F332" s="0" t="n">
        <v>0</v>
      </c>
      <c r="G332" s="0" t="n">
        <v>380.3</v>
      </c>
      <c r="H332" s="0" t="n">
        <v>407.1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0.02</v>
      </c>
      <c r="W332" s="0" t="n">
        <v>36.1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1319.23</v>
      </c>
      <c r="AH332" s="0" t="n">
        <v>1319.23</v>
      </c>
      <c r="AI332" s="0" t="n">
        <v>36</v>
      </c>
    </row>
    <row r="333" customFormat="false" ht="14.9" hidden="false" customHeight="false" outlineLevel="0" collapsed="false">
      <c r="A333" s="0" t="n">
        <v>332</v>
      </c>
      <c r="B333" s="0" t="s">
        <v>318</v>
      </c>
      <c r="C333" s="33" t="s">
        <v>319</v>
      </c>
      <c r="D333" s="34" t="n">
        <v>46204</v>
      </c>
      <c r="E333" s="0" t="n">
        <v>482.13</v>
      </c>
      <c r="F333" s="0" t="n">
        <v>0</v>
      </c>
      <c r="G333" s="0" t="n">
        <v>13.2</v>
      </c>
      <c r="H333" s="0" t="n">
        <v>237.93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-0.2</v>
      </c>
      <c r="S333" s="0" t="n">
        <v>0</v>
      </c>
      <c r="T333" s="0" t="n">
        <v>0</v>
      </c>
      <c r="U333" s="0" t="n">
        <v>0</v>
      </c>
      <c r="V333" s="0" t="n">
        <v>9.9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742.96</v>
      </c>
      <c r="AH333" s="0" t="n">
        <v>742.96</v>
      </c>
      <c r="AI333" s="0" t="n">
        <v>21</v>
      </c>
    </row>
    <row r="334" customFormat="false" ht="14.9" hidden="false" customHeight="false" outlineLevel="0" collapsed="false">
      <c r="A334" s="0" t="n">
        <v>333</v>
      </c>
      <c r="B334" s="0" t="s">
        <v>318</v>
      </c>
      <c r="C334" s="33" t="s">
        <v>319</v>
      </c>
      <c r="D334" s="34" t="n">
        <v>46225</v>
      </c>
      <c r="E334" s="0" t="n">
        <v>1619.52</v>
      </c>
      <c r="F334" s="0" t="n">
        <v>0</v>
      </c>
      <c r="G334" s="0" t="n">
        <v>431.38</v>
      </c>
      <c r="H334" s="0" t="n">
        <v>35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0.52</v>
      </c>
      <c r="S334" s="0" t="n">
        <v>0</v>
      </c>
      <c r="T334" s="0" t="n">
        <v>0</v>
      </c>
      <c r="U334" s="0" t="n">
        <v>0</v>
      </c>
      <c r="V334" s="0" t="n">
        <v>9.9</v>
      </c>
      <c r="W334" s="0" t="n">
        <v>55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2151.32</v>
      </c>
      <c r="AH334" s="0" t="n">
        <v>2151.32</v>
      </c>
      <c r="AI334" s="0" t="n">
        <v>30</v>
      </c>
    </row>
    <row r="335" customFormat="false" ht="14.9" hidden="false" customHeight="false" outlineLevel="0" collapsed="false">
      <c r="A335" s="0" t="n">
        <v>334</v>
      </c>
      <c r="B335" s="0" t="s">
        <v>318</v>
      </c>
      <c r="C335" s="33" t="s">
        <v>319</v>
      </c>
      <c r="D335" s="34" t="n">
        <v>46230</v>
      </c>
      <c r="E335" s="0" t="n">
        <v>591.2</v>
      </c>
      <c r="F335" s="0" t="n">
        <v>0</v>
      </c>
      <c r="G335" s="0" t="n">
        <v>330.1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0.3</v>
      </c>
      <c r="S335" s="0" t="n">
        <v>0</v>
      </c>
      <c r="T335" s="0" t="n">
        <v>0</v>
      </c>
      <c r="U335" s="0" t="n">
        <v>0</v>
      </c>
      <c r="V335" s="0" t="n">
        <v>19.8</v>
      </c>
      <c r="W335" s="0" t="n">
        <v>13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954.4</v>
      </c>
      <c r="AH335" s="0" t="n">
        <v>954.4</v>
      </c>
      <c r="AI335" s="0" t="n">
        <v>15</v>
      </c>
    </row>
    <row r="336" customFormat="false" ht="14.9" hidden="false" customHeight="false" outlineLevel="0" collapsed="false">
      <c r="A336" s="0" t="n">
        <v>335</v>
      </c>
      <c r="B336" s="0" t="s">
        <v>318</v>
      </c>
      <c r="C336" s="33" t="s">
        <v>319</v>
      </c>
      <c r="D336" s="34" t="n">
        <v>46233</v>
      </c>
      <c r="E336" s="0" t="n">
        <v>508.8</v>
      </c>
      <c r="F336" s="0" t="n">
        <v>0</v>
      </c>
      <c r="G336" s="0" t="n">
        <v>917</v>
      </c>
      <c r="H336" s="0" t="n">
        <v>74.8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3.8</v>
      </c>
      <c r="W336" s="0" t="n">
        <v>163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1667.4</v>
      </c>
      <c r="AH336" s="0" t="n">
        <v>1667.4</v>
      </c>
      <c r="AI336" s="0" t="n">
        <v>33</v>
      </c>
    </row>
    <row r="337" customFormat="false" ht="14.9" hidden="false" customHeight="false" outlineLevel="0" collapsed="false">
      <c r="A337" s="0" t="n">
        <v>336</v>
      </c>
      <c r="B337" s="0" t="s">
        <v>318</v>
      </c>
      <c r="C337" s="33" t="s">
        <v>319</v>
      </c>
      <c r="D337" s="34" t="n">
        <v>46216</v>
      </c>
      <c r="E337" s="0" t="n">
        <v>604.01</v>
      </c>
      <c r="F337" s="0" t="n">
        <v>0</v>
      </c>
      <c r="G337" s="0" t="n">
        <v>241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26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871.01</v>
      </c>
      <c r="AH337" s="0" t="n">
        <v>871.01</v>
      </c>
      <c r="AI337" s="0" t="n">
        <v>23</v>
      </c>
    </row>
    <row r="338" customFormat="false" ht="14.9" hidden="false" customHeight="false" outlineLevel="0" collapsed="false">
      <c r="A338" s="0" t="n">
        <v>337</v>
      </c>
      <c r="B338" s="0" t="s">
        <v>318</v>
      </c>
      <c r="C338" s="33" t="s">
        <v>319</v>
      </c>
      <c r="D338" s="34" t="n">
        <v>46219</v>
      </c>
      <c r="E338" s="0" t="n">
        <v>1962.33</v>
      </c>
      <c r="F338" s="0" t="n">
        <v>0</v>
      </c>
      <c r="G338" s="0" t="n">
        <v>570.44</v>
      </c>
      <c r="H338" s="0" t="n">
        <v>31.2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0.2</v>
      </c>
      <c r="S338" s="0" t="n">
        <v>0</v>
      </c>
      <c r="T338" s="0" t="n">
        <v>0</v>
      </c>
      <c r="U338" s="0" t="n">
        <v>0</v>
      </c>
      <c r="V338" s="0" t="n">
        <v>9.9</v>
      </c>
      <c r="W338" s="0" t="n">
        <v>58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2632.07</v>
      </c>
      <c r="AH338" s="0" t="n">
        <v>2632.07</v>
      </c>
      <c r="AI338" s="0" t="n">
        <v>46</v>
      </c>
    </row>
    <row r="339" customFormat="false" ht="14.9" hidden="false" customHeight="false" outlineLevel="0" collapsed="false">
      <c r="A339" s="0" t="n">
        <v>338</v>
      </c>
      <c r="B339" s="0" t="s">
        <v>318</v>
      </c>
      <c r="C339" s="33" t="s">
        <v>319</v>
      </c>
      <c r="D339" s="34" t="n">
        <v>46232</v>
      </c>
      <c r="E339" s="0" t="n">
        <v>54.8</v>
      </c>
      <c r="F339" s="0" t="n">
        <v>0</v>
      </c>
      <c r="G339" s="0" t="n">
        <v>253.7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16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324.5</v>
      </c>
      <c r="AH339" s="0" t="n">
        <v>324.5</v>
      </c>
      <c r="AI339" s="0" t="n">
        <v>11</v>
      </c>
    </row>
    <row r="340" customFormat="false" ht="14.9" hidden="false" customHeight="false" outlineLevel="0" collapsed="false">
      <c r="A340" s="0" t="n">
        <v>339</v>
      </c>
      <c r="B340" s="0" t="s">
        <v>318</v>
      </c>
      <c r="C340" s="33" t="s">
        <v>319</v>
      </c>
      <c r="D340" s="34" t="n">
        <v>46214</v>
      </c>
      <c r="E340" s="0" t="n">
        <v>851.57</v>
      </c>
      <c r="F340" s="0" t="n">
        <v>0</v>
      </c>
      <c r="G340" s="0" t="n">
        <v>492.27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35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1378.84</v>
      </c>
      <c r="AH340" s="0" t="n">
        <v>1378.84</v>
      </c>
      <c r="AI340" s="0" t="n">
        <v>22</v>
      </c>
    </row>
    <row r="341" customFormat="false" ht="14.9" hidden="false" customHeight="false" outlineLevel="0" collapsed="false">
      <c r="A341" s="0" t="n">
        <v>340</v>
      </c>
      <c r="B341" s="0" t="s">
        <v>318</v>
      </c>
      <c r="C341" s="33" t="s">
        <v>319</v>
      </c>
      <c r="D341" s="34" t="n">
        <v>46223</v>
      </c>
      <c r="E341" s="0" t="n">
        <v>393.5</v>
      </c>
      <c r="F341" s="0" t="n">
        <v>0</v>
      </c>
      <c r="G341" s="0" t="n">
        <v>243.8</v>
      </c>
      <c r="H341" s="0" t="n">
        <v>72.8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30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740.1</v>
      </c>
      <c r="AH341" s="0" t="n">
        <v>740.1</v>
      </c>
      <c r="AI341" s="0" t="n">
        <v>21</v>
      </c>
    </row>
    <row r="342" customFormat="false" ht="14.9" hidden="false" customHeight="false" outlineLevel="0" collapsed="false">
      <c r="A342" s="0" t="n">
        <v>341</v>
      </c>
      <c r="B342" s="0" t="s">
        <v>318</v>
      </c>
      <c r="C342" s="33" t="s">
        <v>319</v>
      </c>
      <c r="D342" s="34" t="n">
        <v>46209</v>
      </c>
      <c r="E342" s="0" t="n">
        <v>778.92</v>
      </c>
      <c r="F342" s="0" t="n">
        <v>0</v>
      </c>
      <c r="G342" s="0" t="n">
        <v>649.35</v>
      </c>
      <c r="H342" s="0" t="n">
        <v>423.16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19.8</v>
      </c>
      <c r="W342" s="0" t="n">
        <v>30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1901.23</v>
      </c>
      <c r="AH342" s="0" t="n">
        <v>1901.23</v>
      </c>
      <c r="AI342" s="0" t="n">
        <v>29</v>
      </c>
    </row>
    <row r="343" customFormat="false" ht="14.9" hidden="false" customHeight="false" outlineLevel="0" collapsed="false">
      <c r="A343" s="0" t="n">
        <v>342</v>
      </c>
      <c r="B343" s="0" t="s">
        <v>320</v>
      </c>
      <c r="C343" s="33" t="s">
        <v>321</v>
      </c>
      <c r="D343" s="34" t="n">
        <v>46234</v>
      </c>
      <c r="E343" s="0" t="n">
        <v>473.7</v>
      </c>
      <c r="F343" s="0" t="n">
        <v>0</v>
      </c>
      <c r="G343" s="0" t="n">
        <v>1061.7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167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1702.4</v>
      </c>
      <c r="AH343" s="0" t="n">
        <v>1702.4</v>
      </c>
      <c r="AI343" s="0" t="n">
        <v>38</v>
      </c>
    </row>
    <row r="344" customFormat="false" ht="14.9" hidden="false" customHeight="false" outlineLevel="0" collapsed="false">
      <c r="A344" s="0" t="n">
        <v>343</v>
      </c>
      <c r="B344" s="0" t="s">
        <v>320</v>
      </c>
      <c r="C344" s="33" t="s">
        <v>321</v>
      </c>
      <c r="D344" s="34" t="n">
        <v>46229</v>
      </c>
      <c r="E344" s="0" t="n">
        <v>2422.68</v>
      </c>
      <c r="F344" s="0" t="n">
        <v>0</v>
      </c>
      <c r="G344" s="0" t="n">
        <v>271.1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0.01</v>
      </c>
      <c r="W344" s="0" t="n">
        <v>214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2907.79</v>
      </c>
      <c r="AH344" s="0" t="n">
        <v>2907.79</v>
      </c>
      <c r="AI344" s="0" t="n">
        <v>47</v>
      </c>
    </row>
    <row r="345" customFormat="false" ht="14.9" hidden="false" customHeight="false" outlineLevel="0" collapsed="false">
      <c r="A345" s="0" t="n">
        <v>344</v>
      </c>
      <c r="B345" s="0" t="s">
        <v>320</v>
      </c>
      <c r="C345" s="33" t="s">
        <v>321</v>
      </c>
      <c r="D345" s="34" t="n">
        <v>46232</v>
      </c>
      <c r="E345" s="0" t="n">
        <v>717.06</v>
      </c>
      <c r="F345" s="0" t="n">
        <v>0</v>
      </c>
      <c r="G345" s="0" t="n">
        <v>733.29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3.8</v>
      </c>
      <c r="W345" s="0" t="n">
        <v>125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1579.15</v>
      </c>
      <c r="AH345" s="0" t="n">
        <v>1579.15</v>
      </c>
      <c r="AI345" s="0" t="n">
        <v>28</v>
      </c>
    </row>
    <row r="346" customFormat="false" ht="14.9" hidden="false" customHeight="false" outlineLevel="0" collapsed="false">
      <c r="A346" s="0" t="n">
        <v>345</v>
      </c>
      <c r="B346" s="0" t="s">
        <v>320</v>
      </c>
      <c r="C346" s="33" t="s">
        <v>321</v>
      </c>
      <c r="D346" s="34" t="n">
        <v>46228</v>
      </c>
      <c r="E346" s="0" t="n">
        <v>1096.2</v>
      </c>
      <c r="F346" s="0" t="n">
        <v>0</v>
      </c>
      <c r="G346" s="0" t="n">
        <v>75.8</v>
      </c>
      <c r="H346" s="0" t="n">
        <v>37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78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1287</v>
      </c>
      <c r="AH346" s="0" t="n">
        <v>1287</v>
      </c>
      <c r="AI346" s="0" t="n">
        <v>28</v>
      </c>
    </row>
    <row r="347" customFormat="false" ht="14.9" hidden="false" customHeight="false" outlineLevel="0" collapsed="false">
      <c r="A347" s="0" t="n">
        <v>346</v>
      </c>
      <c r="B347" s="0" t="s">
        <v>320</v>
      </c>
      <c r="C347" s="33" t="s">
        <v>321</v>
      </c>
      <c r="D347" s="34" t="n">
        <v>46225</v>
      </c>
      <c r="E347" s="0" t="n">
        <v>811.8</v>
      </c>
      <c r="F347" s="0" t="n">
        <v>0</v>
      </c>
      <c r="G347" s="0" t="n">
        <v>294.6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26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1132.4</v>
      </c>
      <c r="AH347" s="0" t="n">
        <v>1132.4</v>
      </c>
      <c r="AI347" s="0" t="n">
        <v>25</v>
      </c>
    </row>
    <row r="348" customFormat="false" ht="14.9" hidden="false" customHeight="false" outlineLevel="0" collapsed="false">
      <c r="A348" s="0" t="n">
        <v>347</v>
      </c>
      <c r="B348" s="0" t="s">
        <v>320</v>
      </c>
      <c r="C348" s="33" t="s">
        <v>321</v>
      </c>
      <c r="D348" s="34" t="n">
        <v>46206</v>
      </c>
      <c r="E348" s="0" t="n">
        <v>644.6</v>
      </c>
      <c r="F348" s="0" t="n">
        <v>0</v>
      </c>
      <c r="G348" s="0" t="n">
        <v>744.1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10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1398.7</v>
      </c>
      <c r="AH348" s="0" t="n">
        <v>1398.7</v>
      </c>
      <c r="AI348" s="0" t="n">
        <v>30</v>
      </c>
    </row>
    <row r="349" customFormat="false" ht="14.9" hidden="false" customHeight="false" outlineLevel="0" collapsed="false">
      <c r="A349" s="0" t="n">
        <v>348</v>
      </c>
      <c r="B349" s="0" t="s">
        <v>320</v>
      </c>
      <c r="C349" s="33" t="s">
        <v>321</v>
      </c>
      <c r="D349" s="34" t="n">
        <v>46224</v>
      </c>
      <c r="E349" s="0" t="n">
        <v>315.06</v>
      </c>
      <c r="F349" s="0" t="n">
        <v>0</v>
      </c>
      <c r="G349" s="0" t="n">
        <v>1919.55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29.72</v>
      </c>
      <c r="W349" s="0" t="n">
        <v>200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2464.33</v>
      </c>
      <c r="AH349" s="0" t="n">
        <v>2464.33</v>
      </c>
      <c r="AI349" s="0" t="n">
        <v>53</v>
      </c>
    </row>
    <row r="350" customFormat="false" ht="14.9" hidden="false" customHeight="false" outlineLevel="0" collapsed="false">
      <c r="A350" s="0" t="n">
        <v>349</v>
      </c>
      <c r="B350" s="0" t="s">
        <v>320</v>
      </c>
      <c r="C350" s="33" t="s">
        <v>321</v>
      </c>
      <c r="D350" s="34" t="n">
        <v>46223</v>
      </c>
      <c r="E350" s="0" t="n">
        <v>444.22</v>
      </c>
      <c r="F350" s="0" t="n">
        <v>0</v>
      </c>
      <c r="G350" s="0" t="n">
        <v>411.9</v>
      </c>
      <c r="H350" s="0" t="n">
        <v>111.8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23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990.92</v>
      </c>
      <c r="AH350" s="0" t="n">
        <v>990.92</v>
      </c>
      <c r="AI350" s="0" t="n">
        <v>22</v>
      </c>
    </row>
    <row r="351" customFormat="false" ht="14.9" hidden="false" customHeight="false" outlineLevel="0" collapsed="false">
      <c r="A351" s="0" t="n">
        <v>350</v>
      </c>
      <c r="B351" s="0" t="s">
        <v>320</v>
      </c>
      <c r="C351" s="33" t="s">
        <v>321</v>
      </c>
      <c r="D351" s="34" t="n">
        <v>46215</v>
      </c>
      <c r="E351" s="0" t="n">
        <v>945.99</v>
      </c>
      <c r="F351" s="0" t="n">
        <v>0</v>
      </c>
      <c r="G351" s="0" t="n">
        <v>244.5</v>
      </c>
      <c r="H351" s="0" t="n">
        <v>142.73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3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1393.6</v>
      </c>
      <c r="AH351" s="0" t="n">
        <v>1393.6</v>
      </c>
      <c r="AI351" s="0" t="n">
        <v>35</v>
      </c>
    </row>
    <row r="352" customFormat="false" ht="14.9" hidden="false" customHeight="false" outlineLevel="0" collapsed="false">
      <c r="A352" s="0" t="n">
        <v>351</v>
      </c>
      <c r="B352" s="0" t="s">
        <v>320</v>
      </c>
      <c r="C352" s="33" t="s">
        <v>321</v>
      </c>
      <c r="D352" s="34" t="n">
        <v>46211</v>
      </c>
      <c r="E352" s="0" t="n">
        <v>261.9</v>
      </c>
      <c r="F352" s="0" t="n">
        <v>0</v>
      </c>
      <c r="G352" s="0" t="n">
        <v>614.3</v>
      </c>
      <c r="H352" s="0" t="n">
        <v>38.8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915</v>
      </c>
      <c r="AH352" s="0" t="n">
        <v>915</v>
      </c>
      <c r="AI352" s="0" t="n">
        <v>27</v>
      </c>
    </row>
    <row r="353" customFormat="false" ht="14.9" hidden="false" customHeight="false" outlineLevel="0" collapsed="false">
      <c r="A353" s="0" t="n">
        <v>352</v>
      </c>
      <c r="B353" s="0" t="s">
        <v>320</v>
      </c>
      <c r="C353" s="33" t="s">
        <v>321</v>
      </c>
      <c r="D353" s="34" t="n">
        <v>46227</v>
      </c>
      <c r="E353" s="0" t="n">
        <v>390.6</v>
      </c>
      <c r="F353" s="0" t="n">
        <v>0</v>
      </c>
      <c r="G353" s="0" t="n">
        <v>376.5</v>
      </c>
      <c r="H353" s="0" t="n">
        <v>18.3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10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795.4</v>
      </c>
      <c r="AH353" s="0" t="n">
        <v>795.4</v>
      </c>
      <c r="AI353" s="0" t="n">
        <v>28</v>
      </c>
    </row>
    <row r="354" customFormat="false" ht="14.9" hidden="false" customHeight="false" outlineLevel="0" collapsed="false">
      <c r="A354" s="0" t="n">
        <v>353</v>
      </c>
      <c r="B354" s="0" t="s">
        <v>320</v>
      </c>
      <c r="C354" s="33" t="s">
        <v>321</v>
      </c>
      <c r="D354" s="34" t="n">
        <v>46213</v>
      </c>
      <c r="E354" s="0" t="n">
        <v>762</v>
      </c>
      <c r="F354" s="0" t="n">
        <v>0</v>
      </c>
      <c r="G354" s="0" t="n">
        <v>312.2</v>
      </c>
      <c r="H354" s="0" t="n">
        <v>134.4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1208.6</v>
      </c>
      <c r="AH354" s="0" t="n">
        <v>1208.6</v>
      </c>
      <c r="AI354" s="0" t="n">
        <v>25</v>
      </c>
    </row>
    <row r="355" customFormat="false" ht="14.9" hidden="false" customHeight="false" outlineLevel="0" collapsed="false">
      <c r="A355" s="0" t="n">
        <v>354</v>
      </c>
      <c r="B355" s="0" t="s">
        <v>320</v>
      </c>
      <c r="C355" s="33" t="s">
        <v>321</v>
      </c>
      <c r="D355" s="34" t="n">
        <v>46233</v>
      </c>
      <c r="E355" s="0" t="n">
        <v>646.8</v>
      </c>
      <c r="F355" s="0" t="n">
        <v>0</v>
      </c>
      <c r="G355" s="0" t="n">
        <v>382.9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3.8</v>
      </c>
      <c r="W355" s="0" t="n">
        <v>100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1133.5</v>
      </c>
      <c r="AH355" s="0" t="n">
        <v>1133.5</v>
      </c>
      <c r="AI355" s="0" t="n">
        <v>28</v>
      </c>
    </row>
    <row r="356" customFormat="false" ht="14.9" hidden="false" customHeight="false" outlineLevel="0" collapsed="false">
      <c r="A356" s="0" t="n">
        <v>355</v>
      </c>
      <c r="B356" s="0" t="s">
        <v>320</v>
      </c>
      <c r="C356" s="33" t="s">
        <v>321</v>
      </c>
      <c r="D356" s="34" t="n">
        <v>46212</v>
      </c>
      <c r="E356" s="0" t="n">
        <v>1224.9</v>
      </c>
      <c r="F356" s="0" t="n">
        <v>0</v>
      </c>
      <c r="G356" s="0" t="n">
        <v>1028</v>
      </c>
      <c r="H356" s="0" t="n">
        <v>68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15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2335.9</v>
      </c>
      <c r="AH356" s="0" t="n">
        <v>2335.9</v>
      </c>
      <c r="AI356" s="0" t="n">
        <v>43</v>
      </c>
    </row>
    <row r="357" customFormat="false" ht="14.9" hidden="false" customHeight="false" outlineLevel="0" collapsed="false">
      <c r="A357" s="0" t="n">
        <v>356</v>
      </c>
      <c r="B357" s="0" t="s">
        <v>320</v>
      </c>
      <c r="C357" s="33" t="s">
        <v>321</v>
      </c>
      <c r="D357" s="34" t="n">
        <v>46220</v>
      </c>
      <c r="E357" s="0" t="n">
        <v>599.09</v>
      </c>
      <c r="F357" s="0" t="n">
        <v>0</v>
      </c>
      <c r="G357" s="0" t="n">
        <v>816.9</v>
      </c>
      <c r="H357" s="0" t="n">
        <v>122.5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1538.49</v>
      </c>
      <c r="AH357" s="0" t="n">
        <v>1538.49</v>
      </c>
      <c r="AI357" s="0" t="n">
        <v>45</v>
      </c>
    </row>
    <row r="358" customFormat="false" ht="14.9" hidden="false" customHeight="false" outlineLevel="0" collapsed="false">
      <c r="A358" s="0" t="n">
        <v>357</v>
      </c>
      <c r="B358" s="0" t="s">
        <v>320</v>
      </c>
      <c r="C358" s="33" t="s">
        <v>321</v>
      </c>
      <c r="D358" s="34" t="n">
        <v>46222</v>
      </c>
      <c r="E358" s="0" t="n">
        <v>119.3</v>
      </c>
      <c r="F358" s="0" t="n">
        <v>0</v>
      </c>
      <c r="G358" s="0" t="n">
        <v>1030.57</v>
      </c>
      <c r="H358" s="0" t="n">
        <v>108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64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1321.87</v>
      </c>
      <c r="AH358" s="0" t="n">
        <v>1321.87</v>
      </c>
      <c r="AI358" s="0" t="n">
        <v>27</v>
      </c>
    </row>
    <row r="359" customFormat="false" ht="14.9" hidden="false" customHeight="false" outlineLevel="0" collapsed="false">
      <c r="A359" s="0" t="n">
        <v>358</v>
      </c>
      <c r="B359" s="0" t="s">
        <v>320</v>
      </c>
      <c r="C359" s="33" t="s">
        <v>321</v>
      </c>
      <c r="D359" s="34" t="n">
        <v>46205</v>
      </c>
      <c r="E359" s="0" t="n">
        <v>568.1</v>
      </c>
      <c r="F359" s="0" t="n">
        <v>0</v>
      </c>
      <c r="G359" s="0" t="n">
        <v>448.1</v>
      </c>
      <c r="H359" s="0" t="n">
        <v>55.8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1072</v>
      </c>
      <c r="AH359" s="0" t="n">
        <v>1072</v>
      </c>
      <c r="AI359" s="0" t="n">
        <v>30</v>
      </c>
    </row>
    <row r="360" customFormat="false" ht="14.9" hidden="false" customHeight="false" outlineLevel="0" collapsed="false">
      <c r="A360" s="0" t="n">
        <v>359</v>
      </c>
      <c r="B360" s="0" t="s">
        <v>320</v>
      </c>
      <c r="C360" s="33" t="s">
        <v>321</v>
      </c>
      <c r="D360" s="34" t="n">
        <v>46231</v>
      </c>
      <c r="E360" s="0" t="n">
        <v>747.4</v>
      </c>
      <c r="F360" s="0" t="n">
        <v>0</v>
      </c>
      <c r="G360" s="0" t="n">
        <v>386</v>
      </c>
      <c r="H360" s="0" t="n">
        <v>37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W360" s="0" t="n">
        <v>14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1184.4</v>
      </c>
      <c r="AH360" s="0" t="n">
        <v>1184.4</v>
      </c>
      <c r="AI360" s="0" t="n">
        <v>28</v>
      </c>
    </row>
    <row r="361" customFormat="false" ht="14.9" hidden="false" customHeight="false" outlineLevel="0" collapsed="false">
      <c r="A361" s="0" t="n">
        <v>360</v>
      </c>
      <c r="B361" s="0" t="s">
        <v>320</v>
      </c>
      <c r="C361" s="33" t="s">
        <v>321</v>
      </c>
      <c r="D361" s="34" t="n">
        <v>46216</v>
      </c>
      <c r="E361" s="0" t="n">
        <v>490</v>
      </c>
      <c r="F361" s="0" t="n">
        <v>0</v>
      </c>
      <c r="G361" s="0" t="n">
        <v>451.6</v>
      </c>
      <c r="H361" s="0" t="n">
        <v>33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9</v>
      </c>
      <c r="W361" s="0" t="n">
        <v>6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989.6</v>
      </c>
      <c r="AH361" s="0" t="n">
        <v>989.6</v>
      </c>
      <c r="AI361" s="0" t="n">
        <v>25</v>
      </c>
    </row>
    <row r="362" customFormat="false" ht="14.9" hidden="false" customHeight="false" outlineLevel="0" collapsed="false">
      <c r="A362" s="0" t="n">
        <v>361</v>
      </c>
      <c r="B362" s="0" t="s">
        <v>320</v>
      </c>
      <c r="C362" s="33" t="s">
        <v>321</v>
      </c>
      <c r="D362" s="34" t="n">
        <v>46207</v>
      </c>
      <c r="E362" s="0" t="n">
        <v>665.8</v>
      </c>
      <c r="F362" s="0" t="n">
        <v>0</v>
      </c>
      <c r="G362" s="0" t="n">
        <v>886.94</v>
      </c>
      <c r="H362" s="0" t="n">
        <v>575.8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2128.54</v>
      </c>
      <c r="AH362" s="0" t="n">
        <v>2128.54</v>
      </c>
      <c r="AI362" s="0" t="n">
        <v>37</v>
      </c>
    </row>
    <row r="363" customFormat="false" ht="14.9" hidden="false" customHeight="false" outlineLevel="0" collapsed="false">
      <c r="A363" s="0" t="n">
        <v>362</v>
      </c>
      <c r="B363" s="0" t="s">
        <v>320</v>
      </c>
      <c r="C363" s="33" t="s">
        <v>321</v>
      </c>
      <c r="D363" s="34" t="n">
        <v>46209</v>
      </c>
      <c r="E363" s="0" t="n">
        <v>1300.39</v>
      </c>
      <c r="F363" s="0" t="n">
        <v>0</v>
      </c>
      <c r="G363" s="0" t="n">
        <v>510.23</v>
      </c>
      <c r="H363" s="0" t="n">
        <v>36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59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1905.62</v>
      </c>
      <c r="AH363" s="0" t="n">
        <v>1905.62</v>
      </c>
      <c r="AI363" s="0" t="n">
        <v>42</v>
      </c>
    </row>
    <row r="364" customFormat="false" ht="14.9" hidden="false" customHeight="false" outlineLevel="0" collapsed="false">
      <c r="A364" s="0" t="n">
        <v>363</v>
      </c>
      <c r="B364" s="0" t="s">
        <v>320</v>
      </c>
      <c r="C364" s="33" t="s">
        <v>321</v>
      </c>
      <c r="D364" s="34" t="n">
        <v>46219</v>
      </c>
      <c r="E364" s="0" t="n">
        <v>1666.71</v>
      </c>
      <c r="F364" s="0" t="n">
        <v>0</v>
      </c>
      <c r="G364" s="0" t="n">
        <v>883.12</v>
      </c>
      <c r="H364" s="0" t="n">
        <v>24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9.91</v>
      </c>
      <c r="W364" s="0" t="n">
        <v>78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2661.74</v>
      </c>
      <c r="AH364" s="0" t="n">
        <v>2661.74</v>
      </c>
      <c r="AI364" s="0" t="n">
        <v>45</v>
      </c>
    </row>
    <row r="365" customFormat="false" ht="14.9" hidden="false" customHeight="false" outlineLevel="0" collapsed="false">
      <c r="A365" s="0" t="n">
        <v>364</v>
      </c>
      <c r="B365" s="0" t="s">
        <v>320</v>
      </c>
      <c r="C365" s="33" t="s">
        <v>321</v>
      </c>
      <c r="D365" s="34" t="n">
        <v>46214</v>
      </c>
      <c r="E365" s="0" t="n">
        <v>2426.66</v>
      </c>
      <c r="F365" s="0" t="n">
        <v>0</v>
      </c>
      <c r="G365" s="0" t="n">
        <v>1065.43</v>
      </c>
      <c r="H365" s="0" t="n">
        <v>129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20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3641.09</v>
      </c>
      <c r="AH365" s="0" t="n">
        <v>3641.09</v>
      </c>
      <c r="AI365" s="0" t="n">
        <v>49</v>
      </c>
    </row>
    <row r="366" customFormat="false" ht="14.9" hidden="false" customHeight="false" outlineLevel="0" collapsed="false">
      <c r="A366" s="0" t="n">
        <v>365</v>
      </c>
      <c r="B366" s="0" t="s">
        <v>320</v>
      </c>
      <c r="C366" s="33" t="s">
        <v>321</v>
      </c>
      <c r="D366" s="34" t="n">
        <v>46218</v>
      </c>
      <c r="E366" s="0" t="n">
        <v>1031.5</v>
      </c>
      <c r="F366" s="0" t="n">
        <v>0</v>
      </c>
      <c r="G366" s="0" t="n">
        <v>1210.1</v>
      </c>
      <c r="H366" s="0" t="n">
        <v>61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0.01</v>
      </c>
      <c r="W366" s="0" t="n">
        <v>6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2308.61</v>
      </c>
      <c r="AH366" s="0" t="n">
        <v>2308.61</v>
      </c>
      <c r="AI366" s="0" t="n">
        <v>63</v>
      </c>
    </row>
    <row r="367" customFormat="false" ht="14.9" hidden="false" customHeight="false" outlineLevel="0" collapsed="false">
      <c r="A367" s="0" t="n">
        <v>366</v>
      </c>
      <c r="B367" s="0" t="s">
        <v>320</v>
      </c>
      <c r="C367" s="33" t="s">
        <v>321</v>
      </c>
      <c r="D367" s="34" t="n">
        <v>46230</v>
      </c>
      <c r="E367" s="0" t="n">
        <v>934.99</v>
      </c>
      <c r="F367" s="0" t="n">
        <v>0</v>
      </c>
      <c r="G367" s="0" t="n">
        <v>425.4</v>
      </c>
      <c r="H367" s="0" t="n">
        <v>28.8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6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1395.19</v>
      </c>
      <c r="AH367" s="0" t="n">
        <v>1395.19</v>
      </c>
      <c r="AI367" s="0" t="n">
        <v>34</v>
      </c>
    </row>
    <row r="368" customFormat="false" ht="14.9" hidden="false" customHeight="false" outlineLevel="0" collapsed="false">
      <c r="A368" s="0" t="n">
        <v>367</v>
      </c>
      <c r="B368" s="0" t="s">
        <v>320</v>
      </c>
      <c r="C368" s="33" t="s">
        <v>321</v>
      </c>
      <c r="D368" s="34" t="n">
        <v>46217</v>
      </c>
      <c r="E368" s="0" t="n">
        <v>343.5</v>
      </c>
      <c r="F368" s="0" t="n">
        <v>0</v>
      </c>
      <c r="G368" s="0" t="n">
        <v>800.8</v>
      </c>
      <c r="H368" s="0" t="n">
        <v>345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0.01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1489.31</v>
      </c>
      <c r="AH368" s="0" t="n">
        <v>1489.31</v>
      </c>
      <c r="AI368" s="0" t="n">
        <v>28</v>
      </c>
    </row>
    <row r="369" customFormat="false" ht="14.9" hidden="false" customHeight="false" outlineLevel="0" collapsed="false">
      <c r="A369" s="0" t="n">
        <v>368</v>
      </c>
      <c r="B369" s="0" t="s">
        <v>320</v>
      </c>
      <c r="C369" s="33" t="s">
        <v>321</v>
      </c>
      <c r="D369" s="34" t="n">
        <v>46221</v>
      </c>
      <c r="E369" s="0" t="n">
        <v>237.2</v>
      </c>
      <c r="F369" s="0" t="n">
        <v>0</v>
      </c>
      <c r="G369" s="0" t="n">
        <v>916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62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1215.2</v>
      </c>
      <c r="AH369" s="0" t="n">
        <v>1215.2</v>
      </c>
      <c r="AI369" s="0" t="n">
        <v>27</v>
      </c>
    </row>
    <row r="370" customFormat="false" ht="14.9" hidden="false" customHeight="false" outlineLevel="0" collapsed="false">
      <c r="A370" s="0" t="n">
        <v>369</v>
      </c>
      <c r="B370" s="0" t="s">
        <v>320</v>
      </c>
      <c r="C370" s="33" t="s">
        <v>321</v>
      </c>
      <c r="D370" s="34" t="n">
        <v>46226</v>
      </c>
      <c r="E370" s="0" t="n">
        <v>1089.54</v>
      </c>
      <c r="F370" s="0" t="n">
        <v>0</v>
      </c>
      <c r="G370" s="0" t="n">
        <v>283.1</v>
      </c>
      <c r="H370" s="0" t="n">
        <v>78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13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1463.64</v>
      </c>
      <c r="AH370" s="0" t="n">
        <v>1463.64</v>
      </c>
      <c r="AI370" s="0" t="n">
        <v>40</v>
      </c>
    </row>
    <row r="371" customFormat="false" ht="14.9" hidden="false" customHeight="false" outlineLevel="0" collapsed="false">
      <c r="A371" s="0" t="n">
        <v>370</v>
      </c>
      <c r="B371" s="0" t="s">
        <v>320</v>
      </c>
      <c r="C371" s="33" t="s">
        <v>321</v>
      </c>
      <c r="D371" s="34" t="n">
        <v>46204</v>
      </c>
      <c r="E371" s="0" t="n">
        <v>1169.35</v>
      </c>
      <c r="F371" s="0" t="n">
        <v>0</v>
      </c>
      <c r="G371" s="0" t="n">
        <v>460.8</v>
      </c>
      <c r="H371" s="0" t="n">
        <v>390.25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10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2030.4</v>
      </c>
      <c r="AH371" s="0" t="n">
        <v>2030.4</v>
      </c>
      <c r="AI371" s="0" t="n">
        <v>40</v>
      </c>
    </row>
    <row r="372" customFormat="false" ht="14.9" hidden="false" customHeight="false" outlineLevel="0" collapsed="false">
      <c r="A372" s="0" t="n">
        <v>371</v>
      </c>
      <c r="B372" s="0" t="s">
        <v>320</v>
      </c>
      <c r="C372" s="33" t="s">
        <v>321</v>
      </c>
      <c r="D372" s="34" t="n">
        <v>46208</v>
      </c>
      <c r="E372" s="0" t="n">
        <v>731.56</v>
      </c>
      <c r="F372" s="0" t="n">
        <v>0</v>
      </c>
      <c r="G372" s="0" t="n">
        <v>504.3</v>
      </c>
      <c r="H372" s="0" t="n">
        <v>577.2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19.8</v>
      </c>
      <c r="T372" s="0" t="n">
        <v>0</v>
      </c>
      <c r="U372" s="0" t="n">
        <v>0</v>
      </c>
      <c r="V372" s="0" t="n">
        <v>0</v>
      </c>
      <c r="W372" s="0" t="n">
        <v>33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1865.86</v>
      </c>
      <c r="AH372" s="0" t="n">
        <v>1865.86</v>
      </c>
      <c r="AI372" s="0" t="n">
        <v>32</v>
      </c>
    </row>
    <row r="373" customFormat="false" ht="14.9" hidden="false" customHeight="false" outlineLevel="0" collapsed="false">
      <c r="A373" s="0" t="n">
        <v>372</v>
      </c>
      <c r="B373" s="0" t="s">
        <v>320</v>
      </c>
      <c r="C373" s="33" t="s">
        <v>321</v>
      </c>
      <c r="D373" s="34" t="n">
        <v>46210</v>
      </c>
      <c r="E373" s="0" t="n">
        <v>371</v>
      </c>
      <c r="F373" s="0" t="n">
        <v>0</v>
      </c>
      <c r="G373" s="0" t="n">
        <v>794</v>
      </c>
      <c r="H373" s="0" t="n">
        <v>35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1200</v>
      </c>
      <c r="AH373" s="0" t="n">
        <v>1200</v>
      </c>
      <c r="AI373" s="0" t="n">
        <v>33</v>
      </c>
    </row>
    <row r="374" customFormat="false" ht="14.9" hidden="false" customHeight="false" outlineLevel="0" collapsed="false">
      <c r="A374" s="0" t="n">
        <v>373</v>
      </c>
      <c r="B374" s="0" t="s">
        <v>322</v>
      </c>
      <c r="C374" s="33" t="s">
        <v>323</v>
      </c>
      <c r="D374" s="34" t="n">
        <v>46209</v>
      </c>
      <c r="E374" s="0" t="n">
        <v>904.22</v>
      </c>
      <c r="F374" s="0" t="n">
        <v>0</v>
      </c>
      <c r="G374" s="0" t="n">
        <v>1628.17</v>
      </c>
      <c r="H374" s="0" t="n">
        <v>542.7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-0.22</v>
      </c>
      <c r="S374" s="0" t="n">
        <v>0</v>
      </c>
      <c r="T374" s="0" t="n">
        <v>0</v>
      </c>
      <c r="U374" s="0" t="n">
        <v>5</v>
      </c>
      <c r="V374" s="0" t="n">
        <v>5</v>
      </c>
      <c r="W374" s="0" t="n">
        <v>3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3087.87</v>
      </c>
      <c r="AH374" s="0" t="n">
        <v>3087.87</v>
      </c>
      <c r="AI374" s="0" t="n">
        <v>68</v>
      </c>
    </row>
    <row r="375" customFormat="false" ht="14.9" hidden="false" customHeight="false" outlineLevel="0" collapsed="false">
      <c r="A375" s="0" t="n">
        <v>374</v>
      </c>
      <c r="B375" s="0" t="s">
        <v>322</v>
      </c>
      <c r="C375" s="33" t="s">
        <v>323</v>
      </c>
      <c r="D375" s="34" t="n">
        <v>46226</v>
      </c>
      <c r="E375" s="0" t="n">
        <v>1404.56</v>
      </c>
      <c r="F375" s="0" t="n">
        <v>0</v>
      </c>
      <c r="G375" s="0" t="n">
        <v>863.4</v>
      </c>
      <c r="H375" s="0" t="n">
        <v>516.41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0.8</v>
      </c>
      <c r="S375" s="0" t="n">
        <v>0</v>
      </c>
      <c r="T375" s="0" t="n">
        <v>0</v>
      </c>
      <c r="U375" s="0" t="n">
        <v>5</v>
      </c>
      <c r="V375" s="0" t="n">
        <v>20.01</v>
      </c>
      <c r="W375" s="0" t="n">
        <v>28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2838.18</v>
      </c>
      <c r="AH375" s="0" t="n">
        <v>2838.18</v>
      </c>
      <c r="AI375" s="0" t="n">
        <v>49</v>
      </c>
    </row>
    <row r="376" customFormat="false" ht="14.9" hidden="false" customHeight="false" outlineLevel="0" collapsed="false">
      <c r="A376" s="0" t="n">
        <v>375</v>
      </c>
      <c r="B376" s="0" t="s">
        <v>322</v>
      </c>
      <c r="C376" s="33" t="s">
        <v>323</v>
      </c>
      <c r="D376" s="34" t="n">
        <v>46230</v>
      </c>
      <c r="E376" s="0" t="n">
        <v>386.9</v>
      </c>
      <c r="F376" s="0" t="n">
        <v>0</v>
      </c>
      <c r="G376" s="0" t="n">
        <v>837.6</v>
      </c>
      <c r="H376" s="0" t="n">
        <v>183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5</v>
      </c>
      <c r="V376" s="0" t="n">
        <v>0</v>
      </c>
      <c r="W376" s="0" t="n">
        <v>21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1433.5</v>
      </c>
      <c r="AH376" s="0" t="n">
        <v>1433.5</v>
      </c>
      <c r="AI376" s="0" t="n">
        <v>41</v>
      </c>
    </row>
    <row r="377" customFormat="false" ht="14.9" hidden="false" customHeight="false" outlineLevel="0" collapsed="false">
      <c r="A377" s="0" t="n">
        <v>376</v>
      </c>
      <c r="B377" s="0" t="s">
        <v>322</v>
      </c>
      <c r="C377" s="33" t="s">
        <v>323</v>
      </c>
      <c r="D377" s="34" t="n">
        <v>46213</v>
      </c>
      <c r="E377" s="0" t="n">
        <v>934.52</v>
      </c>
      <c r="F377" s="0" t="n">
        <v>0</v>
      </c>
      <c r="G377" s="0" t="n">
        <v>837.59</v>
      </c>
      <c r="H377" s="0" t="n">
        <v>55.3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-0.64</v>
      </c>
      <c r="S377" s="0" t="n">
        <v>0</v>
      </c>
      <c r="T377" s="0" t="n">
        <v>0</v>
      </c>
      <c r="U377" s="0" t="n">
        <v>0</v>
      </c>
      <c r="V377" s="0" t="n">
        <v>0.02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1826.79</v>
      </c>
      <c r="AH377" s="0" t="n">
        <v>1826.79</v>
      </c>
      <c r="AI377" s="0" t="n">
        <v>51</v>
      </c>
    </row>
    <row r="378" customFormat="false" ht="14.9" hidden="false" customHeight="false" outlineLevel="0" collapsed="false">
      <c r="A378" s="0" t="n">
        <v>377</v>
      </c>
      <c r="B378" s="0" t="s">
        <v>322</v>
      </c>
      <c r="C378" s="33" t="s">
        <v>323</v>
      </c>
      <c r="D378" s="34" t="n">
        <v>46220</v>
      </c>
      <c r="E378" s="0" t="n">
        <v>320.8</v>
      </c>
      <c r="F378" s="0" t="n">
        <v>0</v>
      </c>
      <c r="G378" s="0" t="n">
        <v>1227</v>
      </c>
      <c r="H378" s="0" t="n">
        <v>667.76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-0.7</v>
      </c>
      <c r="S378" s="0" t="n">
        <v>0</v>
      </c>
      <c r="T378" s="0" t="n">
        <v>0</v>
      </c>
      <c r="U378" s="0" t="n">
        <v>0</v>
      </c>
      <c r="V378" s="0" t="n">
        <v>37.7</v>
      </c>
      <c r="W378" s="0" t="n">
        <v>13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2265.56</v>
      </c>
      <c r="AH378" s="0" t="n">
        <v>2265.56</v>
      </c>
      <c r="AI378" s="0" t="n">
        <v>45</v>
      </c>
    </row>
    <row r="379" customFormat="false" ht="14.9" hidden="false" customHeight="false" outlineLevel="0" collapsed="false">
      <c r="A379" s="0" t="n">
        <v>378</v>
      </c>
      <c r="B379" s="0" t="s">
        <v>322</v>
      </c>
      <c r="C379" s="33" t="s">
        <v>323</v>
      </c>
      <c r="D379" s="34" t="n">
        <v>46223</v>
      </c>
      <c r="E379" s="0" t="n">
        <v>473.8</v>
      </c>
      <c r="F379" s="0" t="n">
        <v>0</v>
      </c>
      <c r="G379" s="0" t="n">
        <v>710.09</v>
      </c>
      <c r="H379" s="0" t="n">
        <v>229.3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0.5</v>
      </c>
      <c r="S379" s="0" t="n">
        <v>0</v>
      </c>
      <c r="T379" s="0" t="n">
        <v>0</v>
      </c>
      <c r="U379" s="0" t="n">
        <v>5</v>
      </c>
      <c r="V379" s="0" t="n">
        <v>5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1423.69</v>
      </c>
      <c r="AH379" s="0" t="n">
        <v>1423.69</v>
      </c>
      <c r="AI379" s="0" t="n">
        <v>43</v>
      </c>
    </row>
    <row r="380" customFormat="false" ht="14.9" hidden="false" customHeight="false" outlineLevel="0" collapsed="false">
      <c r="A380" s="0" t="n">
        <v>379</v>
      </c>
      <c r="B380" s="0" t="s">
        <v>322</v>
      </c>
      <c r="C380" s="33" t="s">
        <v>323</v>
      </c>
      <c r="D380" s="34" t="n">
        <v>46217</v>
      </c>
      <c r="E380" s="0" t="n">
        <v>360</v>
      </c>
      <c r="F380" s="0" t="n">
        <v>0</v>
      </c>
      <c r="G380" s="0" t="n">
        <v>998.2</v>
      </c>
      <c r="H380" s="0" t="n">
        <v>303.2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14.4</v>
      </c>
      <c r="W380" s="0" t="n">
        <v>11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1686.8</v>
      </c>
      <c r="AH380" s="0" t="n">
        <v>1686.8</v>
      </c>
      <c r="AI380" s="0" t="n">
        <v>36</v>
      </c>
    </row>
    <row r="381" customFormat="false" ht="14.9" hidden="false" customHeight="false" outlineLevel="0" collapsed="false">
      <c r="A381" s="0" t="n">
        <v>380</v>
      </c>
      <c r="B381" s="0" t="s">
        <v>322</v>
      </c>
      <c r="C381" s="33" t="s">
        <v>323</v>
      </c>
      <c r="D381" s="34" t="n">
        <v>46216</v>
      </c>
      <c r="E381" s="0" t="n">
        <v>653.5</v>
      </c>
      <c r="F381" s="0" t="n">
        <v>0</v>
      </c>
      <c r="G381" s="0" t="n">
        <v>2026.08</v>
      </c>
      <c r="H381" s="0" t="n">
        <v>421.6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-0.71</v>
      </c>
      <c r="S381" s="0" t="n">
        <v>0</v>
      </c>
      <c r="T381" s="0" t="n">
        <v>0</v>
      </c>
      <c r="U381" s="0" t="n">
        <v>0</v>
      </c>
      <c r="V381" s="0" t="n">
        <v>39.22</v>
      </c>
      <c r="W381" s="0" t="n">
        <v>5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3144.69</v>
      </c>
      <c r="AH381" s="0" t="n">
        <v>3144.69</v>
      </c>
      <c r="AI381" s="0" t="n">
        <v>60</v>
      </c>
    </row>
    <row r="382" customFormat="false" ht="14.9" hidden="false" customHeight="false" outlineLevel="0" collapsed="false">
      <c r="A382" s="0" t="n">
        <v>381</v>
      </c>
      <c r="B382" s="0" t="s">
        <v>322</v>
      </c>
      <c r="C382" s="33" t="s">
        <v>323</v>
      </c>
      <c r="D382" s="34" t="n">
        <v>46218</v>
      </c>
      <c r="E382" s="0" t="n">
        <v>669.4</v>
      </c>
      <c r="F382" s="0" t="n">
        <v>0</v>
      </c>
      <c r="G382" s="0" t="n">
        <v>970.11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0.3</v>
      </c>
      <c r="S382" s="0" t="n">
        <v>0</v>
      </c>
      <c r="T382" s="0" t="n">
        <v>0</v>
      </c>
      <c r="U382" s="0" t="n">
        <v>0</v>
      </c>
      <c r="V382" s="0" t="n">
        <v>3.8</v>
      </c>
      <c r="W382" s="0" t="n">
        <v>11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1654.61</v>
      </c>
      <c r="AH382" s="0" t="n">
        <v>1654.61</v>
      </c>
      <c r="AI382" s="0" t="n">
        <v>36</v>
      </c>
    </row>
    <row r="383" customFormat="false" ht="14.9" hidden="false" customHeight="false" outlineLevel="0" collapsed="false">
      <c r="A383" s="0" t="n">
        <v>382</v>
      </c>
      <c r="B383" s="0" t="s">
        <v>322</v>
      </c>
      <c r="C383" s="33" t="s">
        <v>323</v>
      </c>
      <c r="D383" s="34" t="n">
        <v>46219</v>
      </c>
      <c r="E383" s="0" t="n">
        <v>424.59</v>
      </c>
      <c r="F383" s="0" t="n">
        <v>0</v>
      </c>
      <c r="G383" s="0" t="n">
        <v>1421.62</v>
      </c>
      <c r="H383" s="0" t="n">
        <v>190.8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-0.93</v>
      </c>
      <c r="S383" s="0" t="n">
        <v>0</v>
      </c>
      <c r="T383" s="0" t="n">
        <v>0</v>
      </c>
      <c r="U383" s="0" t="n">
        <v>5</v>
      </c>
      <c r="V383" s="0" t="n">
        <v>14.9</v>
      </c>
      <c r="W383" s="0" t="n">
        <v>10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2065.98</v>
      </c>
      <c r="AH383" s="0" t="n">
        <v>2065.98</v>
      </c>
      <c r="AI383" s="0" t="n">
        <v>49</v>
      </c>
    </row>
    <row r="384" customFormat="false" ht="14.9" hidden="false" customHeight="false" outlineLevel="0" collapsed="false">
      <c r="A384" s="0" t="n">
        <v>383</v>
      </c>
      <c r="B384" s="0" t="s">
        <v>322</v>
      </c>
      <c r="C384" s="33" t="s">
        <v>323</v>
      </c>
      <c r="D384" s="34" t="n">
        <v>46206</v>
      </c>
      <c r="E384" s="0" t="n">
        <v>428.89</v>
      </c>
      <c r="F384" s="0" t="n">
        <v>0</v>
      </c>
      <c r="G384" s="0" t="n">
        <v>923.8</v>
      </c>
      <c r="H384" s="0" t="n">
        <v>151.4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-0.3</v>
      </c>
      <c r="S384" s="0" t="n">
        <v>0</v>
      </c>
      <c r="T384" s="0" t="n">
        <v>0</v>
      </c>
      <c r="U384" s="0" t="n">
        <v>0</v>
      </c>
      <c r="V384" s="0" t="n">
        <v>6.8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1510.59</v>
      </c>
      <c r="AH384" s="0" t="n">
        <v>1510.59</v>
      </c>
      <c r="AI384" s="0" t="n">
        <v>33</v>
      </c>
    </row>
    <row r="385" customFormat="false" ht="14.9" hidden="false" customHeight="false" outlineLevel="0" collapsed="false">
      <c r="A385" s="0" t="n">
        <v>384</v>
      </c>
      <c r="B385" s="0" t="s">
        <v>322</v>
      </c>
      <c r="C385" s="33" t="s">
        <v>323</v>
      </c>
      <c r="D385" s="34" t="n">
        <v>46205</v>
      </c>
      <c r="E385" s="0" t="n">
        <v>575.5</v>
      </c>
      <c r="F385" s="0" t="n">
        <v>0</v>
      </c>
      <c r="G385" s="0" t="n">
        <v>1469.4</v>
      </c>
      <c r="H385" s="0" t="n">
        <v>96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-0.5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5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2145.4</v>
      </c>
      <c r="AH385" s="0" t="n">
        <v>2145.4</v>
      </c>
      <c r="AI385" s="0" t="n">
        <v>41</v>
      </c>
    </row>
    <row r="386" customFormat="false" ht="14.9" hidden="false" customHeight="false" outlineLevel="0" collapsed="false">
      <c r="A386" s="0" t="n">
        <v>385</v>
      </c>
      <c r="B386" s="0" t="s">
        <v>322</v>
      </c>
      <c r="C386" s="33" t="s">
        <v>323</v>
      </c>
      <c r="D386" s="34" t="n">
        <v>46210</v>
      </c>
      <c r="E386" s="0" t="n">
        <v>441.71</v>
      </c>
      <c r="F386" s="0" t="n">
        <v>0</v>
      </c>
      <c r="G386" s="0" t="n">
        <v>1623.2</v>
      </c>
      <c r="H386" s="0" t="n">
        <v>110.5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0.3</v>
      </c>
      <c r="S386" s="0" t="n">
        <v>0</v>
      </c>
      <c r="T386" s="0" t="n">
        <v>0</v>
      </c>
      <c r="U386" s="0" t="n">
        <v>0</v>
      </c>
      <c r="V386" s="0" t="n">
        <v>3.82</v>
      </c>
      <c r="W386" s="0" t="n">
        <v>20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2199.53</v>
      </c>
      <c r="AH386" s="0" t="n">
        <v>2199.53</v>
      </c>
      <c r="AI386" s="0" t="n">
        <v>47</v>
      </c>
    </row>
    <row r="387" customFormat="false" ht="14.9" hidden="false" customHeight="false" outlineLevel="0" collapsed="false">
      <c r="A387" s="0" t="n">
        <v>386</v>
      </c>
      <c r="B387" s="0" t="s">
        <v>322</v>
      </c>
      <c r="C387" s="33" t="s">
        <v>323</v>
      </c>
      <c r="D387" s="34" t="n">
        <v>46215</v>
      </c>
      <c r="E387" s="0" t="n">
        <v>280.59</v>
      </c>
      <c r="F387" s="0" t="n">
        <v>0</v>
      </c>
      <c r="G387" s="0" t="n">
        <v>1552.74</v>
      </c>
      <c r="H387" s="0" t="n">
        <v>240.9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0.5</v>
      </c>
      <c r="S387" s="0" t="n">
        <v>0</v>
      </c>
      <c r="T387" s="0" t="n">
        <v>0</v>
      </c>
      <c r="U387" s="0" t="n">
        <v>0</v>
      </c>
      <c r="V387" s="0" t="n">
        <v>8.8</v>
      </c>
      <c r="W387" s="0" t="n">
        <v>43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2126.53</v>
      </c>
      <c r="AH387" s="0" t="n">
        <v>2126.53</v>
      </c>
      <c r="AI387" s="0" t="n">
        <v>50</v>
      </c>
    </row>
    <row r="388" customFormat="false" ht="14.9" hidden="false" customHeight="false" outlineLevel="0" collapsed="false">
      <c r="A388" s="0" t="n">
        <v>387</v>
      </c>
      <c r="B388" s="0" t="s">
        <v>322</v>
      </c>
      <c r="C388" s="33" t="s">
        <v>323</v>
      </c>
      <c r="D388" s="34" t="n">
        <v>46232</v>
      </c>
      <c r="E388" s="0" t="n">
        <v>759.5</v>
      </c>
      <c r="F388" s="0" t="n">
        <v>0</v>
      </c>
      <c r="G388" s="0" t="n">
        <v>1027.8</v>
      </c>
      <c r="H388" s="0" t="n">
        <v>51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-0.6</v>
      </c>
      <c r="S388" s="0" t="n">
        <v>0</v>
      </c>
      <c r="T388" s="0" t="n">
        <v>0</v>
      </c>
      <c r="U388" s="0" t="n">
        <v>0</v>
      </c>
      <c r="V388" s="0" t="n">
        <v>17.9</v>
      </c>
      <c r="W388" s="0" t="n">
        <v>136.8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1992.4</v>
      </c>
      <c r="AH388" s="0" t="n">
        <v>1992.4</v>
      </c>
      <c r="AI388" s="0" t="n">
        <v>41</v>
      </c>
    </row>
    <row r="389" customFormat="false" ht="14.9" hidden="false" customHeight="false" outlineLevel="0" collapsed="false">
      <c r="A389" s="0" t="n">
        <v>388</v>
      </c>
      <c r="B389" s="0" t="s">
        <v>322</v>
      </c>
      <c r="C389" s="33" t="s">
        <v>323</v>
      </c>
      <c r="D389" s="34" t="n">
        <v>46214</v>
      </c>
      <c r="E389" s="0" t="n">
        <v>502.02</v>
      </c>
      <c r="F389" s="0" t="n">
        <v>0</v>
      </c>
      <c r="G389" s="0" t="n">
        <v>1270.68</v>
      </c>
      <c r="H389" s="0" t="n">
        <v>184.8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0.76</v>
      </c>
      <c r="S389" s="0" t="n">
        <v>0</v>
      </c>
      <c r="T389" s="0" t="n">
        <v>0</v>
      </c>
      <c r="U389" s="0" t="n">
        <v>0</v>
      </c>
      <c r="V389" s="0" t="n">
        <v>46.1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2004.36</v>
      </c>
      <c r="AH389" s="0" t="n">
        <v>2004.36</v>
      </c>
      <c r="AI389" s="0" t="n">
        <v>57</v>
      </c>
    </row>
    <row r="390" customFormat="false" ht="14.9" hidden="false" customHeight="false" outlineLevel="0" collapsed="false">
      <c r="A390" s="0" t="n">
        <v>389</v>
      </c>
      <c r="B390" s="0" t="s">
        <v>322</v>
      </c>
      <c r="C390" s="33" t="s">
        <v>323</v>
      </c>
      <c r="D390" s="34" t="n">
        <v>46224</v>
      </c>
      <c r="E390" s="0" t="n">
        <v>1407.18</v>
      </c>
      <c r="F390" s="0" t="n">
        <v>0</v>
      </c>
      <c r="G390" s="0" t="n">
        <v>1595.52</v>
      </c>
      <c r="H390" s="0" t="n">
        <v>146.6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2.78</v>
      </c>
      <c r="S390" s="0" t="n">
        <v>0</v>
      </c>
      <c r="T390" s="0" t="n">
        <v>0</v>
      </c>
      <c r="U390" s="0" t="n">
        <v>0</v>
      </c>
      <c r="V390" s="0" t="n">
        <v>9.9</v>
      </c>
      <c r="W390" s="0" t="n">
        <v>72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3233.98</v>
      </c>
      <c r="AH390" s="0" t="n">
        <v>3233.98</v>
      </c>
      <c r="AI390" s="0" t="n">
        <v>59</v>
      </c>
    </row>
    <row r="391" customFormat="false" ht="14.9" hidden="false" customHeight="false" outlineLevel="0" collapsed="false">
      <c r="A391" s="0" t="n">
        <v>390</v>
      </c>
      <c r="B391" s="0" t="s">
        <v>322</v>
      </c>
      <c r="C391" s="33" t="s">
        <v>323</v>
      </c>
      <c r="D391" s="34" t="n">
        <v>46222</v>
      </c>
      <c r="E391" s="0" t="n">
        <v>415.2</v>
      </c>
      <c r="F391" s="0" t="n">
        <v>0</v>
      </c>
      <c r="G391" s="0" t="n">
        <v>585.3</v>
      </c>
      <c r="H391" s="0" t="n">
        <v>253.17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0.1</v>
      </c>
      <c r="S391" s="0" t="n">
        <v>0</v>
      </c>
      <c r="T391" s="0" t="n">
        <v>0</v>
      </c>
      <c r="U391" s="0" t="n">
        <v>0</v>
      </c>
      <c r="V391" s="0" t="n">
        <v>19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1272.77</v>
      </c>
      <c r="AH391" s="0" t="n">
        <v>1272.77</v>
      </c>
      <c r="AI391" s="0" t="n">
        <v>30</v>
      </c>
    </row>
    <row r="392" customFormat="false" ht="14.9" hidden="false" customHeight="false" outlineLevel="0" collapsed="false">
      <c r="A392" s="0" t="n">
        <v>391</v>
      </c>
      <c r="B392" s="0" t="s">
        <v>322</v>
      </c>
      <c r="C392" s="33" t="s">
        <v>323</v>
      </c>
      <c r="D392" s="34" t="n">
        <v>46207</v>
      </c>
      <c r="E392" s="0" t="n">
        <v>571.29</v>
      </c>
      <c r="F392" s="0" t="n">
        <v>0</v>
      </c>
      <c r="G392" s="0" t="n">
        <v>880.6</v>
      </c>
      <c r="H392" s="0" t="n">
        <v>400.5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0.3</v>
      </c>
      <c r="S392" s="0" t="n">
        <v>0</v>
      </c>
      <c r="T392" s="0" t="n">
        <v>0</v>
      </c>
      <c r="U392" s="0" t="n">
        <v>5</v>
      </c>
      <c r="V392" s="0" t="n">
        <v>35.6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1893.29</v>
      </c>
      <c r="AH392" s="0" t="n">
        <v>1893.29</v>
      </c>
      <c r="AI392" s="0" t="n">
        <v>44</v>
      </c>
    </row>
    <row r="393" customFormat="false" ht="14.9" hidden="false" customHeight="false" outlineLevel="0" collapsed="false">
      <c r="A393" s="0" t="n">
        <v>392</v>
      </c>
      <c r="B393" s="0" t="s">
        <v>322</v>
      </c>
      <c r="C393" s="33" t="s">
        <v>323</v>
      </c>
      <c r="D393" s="34" t="n">
        <v>46225</v>
      </c>
      <c r="E393" s="0" t="n">
        <v>613.5</v>
      </c>
      <c r="F393" s="0" t="n">
        <v>0</v>
      </c>
      <c r="G393" s="0" t="n">
        <v>1451.1</v>
      </c>
      <c r="H393" s="0" t="n">
        <v>47.8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0.3</v>
      </c>
      <c r="S393" s="0" t="n">
        <v>0</v>
      </c>
      <c r="T393" s="0" t="n">
        <v>0</v>
      </c>
      <c r="U393" s="0" t="n">
        <v>0</v>
      </c>
      <c r="V393" s="0" t="n">
        <v>5</v>
      </c>
      <c r="W393" s="0" t="n">
        <v>21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2138.7</v>
      </c>
      <c r="AH393" s="0" t="n">
        <v>2138.7</v>
      </c>
      <c r="AI393" s="0" t="n">
        <v>48</v>
      </c>
    </row>
    <row r="394" customFormat="false" ht="14.9" hidden="false" customHeight="false" outlineLevel="0" collapsed="false">
      <c r="A394" s="0" t="n">
        <v>393</v>
      </c>
      <c r="B394" s="0" t="s">
        <v>322</v>
      </c>
      <c r="C394" s="33" t="s">
        <v>323</v>
      </c>
      <c r="D394" s="34" t="n">
        <v>46204</v>
      </c>
      <c r="E394" s="0" t="n">
        <v>428.81</v>
      </c>
      <c r="F394" s="0" t="n">
        <v>0</v>
      </c>
      <c r="G394" s="0" t="n">
        <v>761</v>
      </c>
      <c r="H394" s="0" t="n">
        <v>31.8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-0.92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13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1233.69</v>
      </c>
      <c r="AH394" s="0" t="n">
        <v>1233.69</v>
      </c>
      <c r="AI394" s="0" t="n">
        <v>39</v>
      </c>
    </row>
    <row r="395" customFormat="false" ht="14.9" hidden="false" customHeight="false" outlineLevel="0" collapsed="false">
      <c r="A395" s="0" t="n">
        <v>394</v>
      </c>
      <c r="B395" s="0" t="s">
        <v>322</v>
      </c>
      <c r="C395" s="33" t="s">
        <v>323</v>
      </c>
      <c r="D395" s="34" t="n">
        <v>46221</v>
      </c>
      <c r="E395" s="0" t="n">
        <v>897.3</v>
      </c>
      <c r="F395" s="0" t="n">
        <v>0</v>
      </c>
      <c r="G395" s="0" t="n">
        <v>1518.94</v>
      </c>
      <c r="H395" s="0" t="n">
        <v>244.4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-1.4</v>
      </c>
      <c r="S395" s="0" t="n">
        <v>0</v>
      </c>
      <c r="T395" s="0" t="n">
        <v>0</v>
      </c>
      <c r="U395" s="0" t="n">
        <v>0</v>
      </c>
      <c r="V395" s="0" t="n">
        <v>0.01</v>
      </c>
      <c r="W395" s="0" t="n">
        <v>88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2747.25</v>
      </c>
      <c r="AH395" s="0" t="n">
        <v>2747.25</v>
      </c>
      <c r="AI395" s="0" t="n">
        <v>54</v>
      </c>
    </row>
    <row r="396" customFormat="false" ht="14.9" hidden="false" customHeight="false" outlineLevel="0" collapsed="false">
      <c r="A396" s="0" t="n">
        <v>395</v>
      </c>
      <c r="B396" s="0" t="s">
        <v>322</v>
      </c>
      <c r="C396" s="33" t="s">
        <v>323</v>
      </c>
      <c r="D396" s="34" t="n">
        <v>46211</v>
      </c>
      <c r="E396" s="0" t="n">
        <v>455.13</v>
      </c>
      <c r="F396" s="0" t="n">
        <v>0</v>
      </c>
      <c r="G396" s="0" t="n">
        <v>883.42</v>
      </c>
      <c r="H396" s="0" t="n">
        <v>1029.5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-0.4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20.1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2387.75</v>
      </c>
      <c r="AH396" s="0" t="n">
        <v>2387.75</v>
      </c>
      <c r="AI396" s="0" t="n">
        <v>43</v>
      </c>
    </row>
    <row r="397" customFormat="false" ht="14.9" hidden="false" customHeight="false" outlineLevel="0" collapsed="false">
      <c r="A397" s="0" t="n">
        <v>396</v>
      </c>
      <c r="B397" s="0" t="s">
        <v>322</v>
      </c>
      <c r="C397" s="33" t="s">
        <v>323</v>
      </c>
      <c r="D397" s="34" t="n">
        <v>46231</v>
      </c>
      <c r="E397" s="0" t="n">
        <v>1276.3</v>
      </c>
      <c r="F397" s="0" t="n">
        <v>0</v>
      </c>
      <c r="G397" s="0" t="n">
        <v>2082.09</v>
      </c>
      <c r="H397" s="0" t="n">
        <v>969.8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-0.5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546.6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4874.29</v>
      </c>
      <c r="AH397" s="0" t="n">
        <v>4874.29</v>
      </c>
      <c r="AI397" s="0" t="n">
        <v>75</v>
      </c>
    </row>
    <row r="398" customFormat="false" ht="14.9" hidden="false" customHeight="false" outlineLevel="0" collapsed="false">
      <c r="A398" s="0" t="n">
        <v>397</v>
      </c>
      <c r="B398" s="0" t="s">
        <v>322</v>
      </c>
      <c r="C398" s="33" t="s">
        <v>323</v>
      </c>
      <c r="D398" s="34" t="n">
        <v>46234</v>
      </c>
      <c r="E398" s="0" t="n">
        <v>330.7</v>
      </c>
      <c r="F398" s="0" t="n">
        <v>0</v>
      </c>
      <c r="G398" s="0" t="n">
        <v>955.27</v>
      </c>
      <c r="H398" s="0" t="n">
        <v>139.2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5</v>
      </c>
      <c r="V398" s="0" t="n">
        <v>0</v>
      </c>
      <c r="W398" s="0" t="n">
        <v>255.7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1685.87</v>
      </c>
      <c r="AH398" s="0" t="n">
        <v>1685.87</v>
      </c>
      <c r="AI398" s="0" t="n">
        <v>59</v>
      </c>
    </row>
    <row r="399" customFormat="false" ht="14.9" hidden="false" customHeight="false" outlineLevel="0" collapsed="false">
      <c r="A399" s="0" t="n">
        <v>398</v>
      </c>
      <c r="B399" s="0" t="s">
        <v>322</v>
      </c>
      <c r="C399" s="33" t="s">
        <v>323</v>
      </c>
      <c r="D399" s="34" t="n">
        <v>46229</v>
      </c>
      <c r="E399" s="0" t="n">
        <v>665.63</v>
      </c>
      <c r="F399" s="0" t="n">
        <v>0</v>
      </c>
      <c r="G399" s="0" t="n">
        <v>2562.78</v>
      </c>
      <c r="H399" s="0" t="n">
        <v>593.9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0.28</v>
      </c>
      <c r="S399" s="0" t="n">
        <v>0</v>
      </c>
      <c r="T399" s="0" t="n">
        <v>0</v>
      </c>
      <c r="U399" s="0" t="n">
        <v>0</v>
      </c>
      <c r="V399" s="0" t="n">
        <v>3.8</v>
      </c>
      <c r="W399" s="0" t="n">
        <v>30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3856.39</v>
      </c>
      <c r="AH399" s="0" t="n">
        <v>3856.39</v>
      </c>
      <c r="AI399" s="0" t="n">
        <v>54</v>
      </c>
    </row>
    <row r="400" customFormat="false" ht="14.9" hidden="false" customHeight="false" outlineLevel="0" collapsed="false">
      <c r="A400" s="0" t="n">
        <v>399</v>
      </c>
      <c r="B400" s="0" t="s">
        <v>322</v>
      </c>
      <c r="C400" s="33" t="s">
        <v>323</v>
      </c>
      <c r="D400" s="34" t="n">
        <v>46228</v>
      </c>
      <c r="E400" s="0" t="n">
        <v>597.25</v>
      </c>
      <c r="F400" s="0" t="n">
        <v>0</v>
      </c>
      <c r="G400" s="0" t="n">
        <v>1119.3</v>
      </c>
      <c r="H400" s="0" t="n">
        <v>19.8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-0.4</v>
      </c>
      <c r="S400" s="0" t="n">
        <v>0</v>
      </c>
      <c r="T400" s="0" t="n">
        <v>0</v>
      </c>
      <c r="U400" s="0" t="n">
        <v>0</v>
      </c>
      <c r="V400" s="0" t="n">
        <v>24.8</v>
      </c>
      <c r="W400" s="0" t="n">
        <v>43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1803.75</v>
      </c>
      <c r="AH400" s="0" t="n">
        <v>1803.75</v>
      </c>
      <c r="AI400" s="0" t="n">
        <v>42</v>
      </c>
    </row>
    <row r="401" customFormat="false" ht="14.9" hidden="false" customHeight="false" outlineLevel="0" collapsed="false">
      <c r="A401" s="0" t="n">
        <v>400</v>
      </c>
      <c r="B401" s="0" t="s">
        <v>322</v>
      </c>
      <c r="C401" s="33" t="s">
        <v>323</v>
      </c>
      <c r="D401" s="34" t="n">
        <v>46227</v>
      </c>
      <c r="E401" s="0" t="n">
        <v>578.02</v>
      </c>
      <c r="F401" s="0" t="n">
        <v>0</v>
      </c>
      <c r="G401" s="0" t="n">
        <v>1200.9</v>
      </c>
      <c r="H401" s="0" t="n">
        <v>331.1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10</v>
      </c>
      <c r="V401" s="0" t="n">
        <v>40.8</v>
      </c>
      <c r="W401" s="0" t="n">
        <v>32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2192.82</v>
      </c>
      <c r="AH401" s="0" t="n">
        <v>2192.82</v>
      </c>
      <c r="AI401" s="0" t="n">
        <v>42</v>
      </c>
    </row>
    <row r="402" customFormat="false" ht="14.9" hidden="false" customHeight="false" outlineLevel="0" collapsed="false">
      <c r="A402" s="0" t="n">
        <v>401</v>
      </c>
      <c r="B402" s="0" t="s">
        <v>322</v>
      </c>
      <c r="C402" s="33" t="s">
        <v>323</v>
      </c>
      <c r="D402" s="34" t="n">
        <v>46212</v>
      </c>
      <c r="E402" s="0" t="n">
        <v>750.4</v>
      </c>
      <c r="F402" s="0" t="n">
        <v>0</v>
      </c>
      <c r="G402" s="0" t="n">
        <v>645.98</v>
      </c>
      <c r="H402" s="0" t="n">
        <v>120.48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0.2</v>
      </c>
      <c r="S402" s="0" t="n">
        <v>0</v>
      </c>
      <c r="T402" s="0" t="n">
        <v>0</v>
      </c>
      <c r="U402" s="0" t="n">
        <v>5</v>
      </c>
      <c r="V402" s="0" t="n">
        <v>3.8</v>
      </c>
      <c r="W402" s="0" t="n">
        <v>20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1545.86</v>
      </c>
      <c r="AH402" s="0" t="n">
        <v>1545.86</v>
      </c>
      <c r="AI402" s="0" t="n">
        <v>33</v>
      </c>
    </row>
    <row r="403" customFormat="false" ht="14.9" hidden="false" customHeight="false" outlineLevel="0" collapsed="false">
      <c r="A403" s="0" t="n">
        <v>402</v>
      </c>
      <c r="B403" s="0" t="s">
        <v>322</v>
      </c>
      <c r="C403" s="33" t="s">
        <v>323</v>
      </c>
      <c r="D403" s="34" t="n">
        <v>46208</v>
      </c>
      <c r="E403" s="0" t="n">
        <v>652.67</v>
      </c>
      <c r="F403" s="0" t="n">
        <v>0</v>
      </c>
      <c r="G403" s="0" t="n">
        <v>933.4</v>
      </c>
      <c r="H403" s="0" t="n">
        <v>633.33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-0.48</v>
      </c>
      <c r="S403" s="0" t="n">
        <v>0</v>
      </c>
      <c r="T403" s="0" t="n">
        <v>0</v>
      </c>
      <c r="U403" s="0" t="n">
        <v>0</v>
      </c>
      <c r="V403" s="0" t="n">
        <v>3</v>
      </c>
      <c r="W403" s="0" t="n">
        <v>5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2226.92</v>
      </c>
      <c r="AH403" s="0" t="n">
        <v>2226.92</v>
      </c>
      <c r="AI403" s="0" t="n">
        <v>39</v>
      </c>
    </row>
    <row r="404" customFormat="false" ht="14.9" hidden="false" customHeight="false" outlineLevel="0" collapsed="false">
      <c r="A404" s="0" t="n">
        <v>403</v>
      </c>
      <c r="B404" s="0" t="s">
        <v>322</v>
      </c>
      <c r="C404" s="33" t="s">
        <v>323</v>
      </c>
      <c r="D404" s="34" t="n">
        <v>46233</v>
      </c>
      <c r="E404" s="0" t="n">
        <v>1964.1</v>
      </c>
      <c r="F404" s="0" t="n">
        <v>0</v>
      </c>
      <c r="G404" s="0" t="n">
        <v>623.7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-0.6</v>
      </c>
      <c r="S404" s="0" t="n">
        <v>0</v>
      </c>
      <c r="T404" s="0" t="n">
        <v>0</v>
      </c>
      <c r="U404" s="0" t="n">
        <v>0</v>
      </c>
      <c r="V404" s="0" t="n">
        <v>5</v>
      </c>
      <c r="W404" s="0" t="n">
        <v>336.8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2929</v>
      </c>
      <c r="AH404" s="0" t="n">
        <v>2929</v>
      </c>
      <c r="AI404" s="0" t="n">
        <v>43</v>
      </c>
    </row>
    <row r="405" customFormat="false" ht="14.9" hidden="false" customHeight="false" outlineLevel="0" collapsed="false">
      <c r="A405" s="0" t="n">
        <v>404</v>
      </c>
      <c r="B405" s="0" t="s">
        <v>324</v>
      </c>
      <c r="C405" s="33" t="s">
        <v>325</v>
      </c>
      <c r="D405" s="34" t="n">
        <v>46217</v>
      </c>
      <c r="E405" s="0" t="n">
        <v>976.9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976.9</v>
      </c>
      <c r="AH405" s="0" t="n">
        <v>976.9</v>
      </c>
      <c r="AI405" s="0" t="n">
        <v>16</v>
      </c>
    </row>
    <row r="406" customFormat="false" ht="14.9" hidden="false" customHeight="false" outlineLevel="0" collapsed="false">
      <c r="A406" s="0" t="n">
        <v>405</v>
      </c>
      <c r="B406" s="0" t="s">
        <v>324</v>
      </c>
      <c r="C406" s="33" t="s">
        <v>325</v>
      </c>
      <c r="D406" s="34" t="n">
        <v>46230</v>
      </c>
      <c r="E406" s="0" t="n">
        <v>158.3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158.3</v>
      </c>
      <c r="AH406" s="0" t="n">
        <v>158.3</v>
      </c>
      <c r="AI406" s="0" t="n">
        <v>6</v>
      </c>
    </row>
    <row r="407" customFormat="false" ht="14.9" hidden="false" customHeight="false" outlineLevel="0" collapsed="false">
      <c r="A407" s="0" t="n">
        <v>406</v>
      </c>
      <c r="B407" s="0" t="s">
        <v>324</v>
      </c>
      <c r="C407" s="33" t="s">
        <v>325</v>
      </c>
      <c r="D407" s="34" t="n">
        <v>46212</v>
      </c>
      <c r="E407" s="0" t="n">
        <v>831.7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831.7</v>
      </c>
      <c r="AH407" s="0" t="n">
        <v>831.7</v>
      </c>
      <c r="AI407" s="0" t="n">
        <v>17</v>
      </c>
    </row>
    <row r="408" customFormat="false" ht="14.9" hidden="false" customHeight="false" outlineLevel="0" collapsed="false">
      <c r="A408" s="0" t="n">
        <v>407</v>
      </c>
      <c r="B408" s="0" t="s">
        <v>324</v>
      </c>
      <c r="C408" s="33" t="s">
        <v>325</v>
      </c>
      <c r="D408" s="34" t="n">
        <v>46214</v>
      </c>
      <c r="E408" s="0" t="n">
        <v>992.8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992.8</v>
      </c>
      <c r="AH408" s="0" t="n">
        <v>992.8</v>
      </c>
      <c r="AI408" s="0" t="n">
        <v>17</v>
      </c>
    </row>
    <row r="409" customFormat="false" ht="14.9" hidden="false" customHeight="false" outlineLevel="0" collapsed="false">
      <c r="A409" s="0" t="n">
        <v>408</v>
      </c>
      <c r="B409" s="0" t="s">
        <v>324</v>
      </c>
      <c r="C409" s="33" t="s">
        <v>325</v>
      </c>
      <c r="D409" s="34" t="n">
        <v>46219</v>
      </c>
      <c r="E409" s="0" t="n">
        <v>647.69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647.69</v>
      </c>
      <c r="AH409" s="0" t="n">
        <v>647.69</v>
      </c>
      <c r="AI409" s="0" t="n">
        <v>14</v>
      </c>
    </row>
    <row r="410" customFormat="false" ht="14.9" hidden="false" customHeight="false" outlineLevel="0" collapsed="false">
      <c r="A410" s="0" t="n">
        <v>409</v>
      </c>
      <c r="B410" s="0" t="s">
        <v>324</v>
      </c>
      <c r="C410" s="33" t="s">
        <v>325</v>
      </c>
      <c r="D410" s="34" t="n">
        <v>46232</v>
      </c>
      <c r="E410" s="0" t="n">
        <v>346.5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346.5</v>
      </c>
      <c r="AH410" s="0" t="n">
        <v>346.5</v>
      </c>
      <c r="AI410" s="0" t="n">
        <v>8</v>
      </c>
    </row>
    <row r="411" customFormat="false" ht="14.9" hidden="false" customHeight="false" outlineLevel="0" collapsed="false">
      <c r="A411" s="0" t="n">
        <v>410</v>
      </c>
      <c r="B411" s="0" t="s">
        <v>324</v>
      </c>
      <c r="C411" s="33" t="s">
        <v>325</v>
      </c>
      <c r="D411" s="34" t="n">
        <v>46218</v>
      </c>
      <c r="E411" s="0" t="n">
        <v>694.58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694.58</v>
      </c>
      <c r="AH411" s="0" t="n">
        <v>694.58</v>
      </c>
      <c r="AI411" s="0" t="n">
        <v>13</v>
      </c>
    </row>
    <row r="412" customFormat="false" ht="14.9" hidden="false" customHeight="false" outlineLevel="0" collapsed="false">
      <c r="A412" s="0" t="n">
        <v>411</v>
      </c>
      <c r="B412" s="0" t="s">
        <v>324</v>
      </c>
      <c r="C412" s="33" t="s">
        <v>325</v>
      </c>
      <c r="D412" s="34" t="n">
        <v>46215</v>
      </c>
      <c r="E412" s="0" t="n">
        <v>1117.3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1117.3</v>
      </c>
      <c r="AH412" s="0" t="n">
        <v>1117.3</v>
      </c>
      <c r="AI412" s="0" t="n">
        <v>18</v>
      </c>
    </row>
    <row r="413" customFormat="false" ht="14.9" hidden="false" customHeight="false" outlineLevel="0" collapsed="false">
      <c r="A413" s="0" t="n">
        <v>412</v>
      </c>
      <c r="B413" s="0" t="s">
        <v>324</v>
      </c>
      <c r="C413" s="33" t="s">
        <v>325</v>
      </c>
      <c r="D413" s="34" t="n">
        <v>46223</v>
      </c>
      <c r="E413" s="0" t="n">
        <v>1253.45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1253.45</v>
      </c>
      <c r="AH413" s="0" t="n">
        <v>1253.45</v>
      </c>
      <c r="AI413" s="0" t="n">
        <v>15</v>
      </c>
    </row>
    <row r="414" customFormat="false" ht="14.9" hidden="false" customHeight="false" outlineLevel="0" collapsed="false">
      <c r="A414" s="0" t="n">
        <v>413</v>
      </c>
      <c r="B414" s="0" t="s">
        <v>324</v>
      </c>
      <c r="C414" s="33" t="s">
        <v>325</v>
      </c>
      <c r="D414" s="34" t="n">
        <v>46221</v>
      </c>
      <c r="E414" s="0" t="n">
        <v>757.1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757.1</v>
      </c>
      <c r="AH414" s="0" t="n">
        <v>757.1</v>
      </c>
      <c r="AI414" s="0" t="n">
        <v>14</v>
      </c>
    </row>
    <row r="415" customFormat="false" ht="14.9" hidden="false" customHeight="false" outlineLevel="0" collapsed="false">
      <c r="A415" s="0" t="n">
        <v>414</v>
      </c>
      <c r="B415" s="0" t="s">
        <v>324</v>
      </c>
      <c r="C415" s="33" t="s">
        <v>325</v>
      </c>
      <c r="D415" s="34" t="n">
        <v>46208</v>
      </c>
      <c r="E415" s="0" t="n">
        <v>612.4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612.4</v>
      </c>
      <c r="AH415" s="0" t="n">
        <v>612.4</v>
      </c>
      <c r="AI415" s="0" t="n">
        <v>12</v>
      </c>
    </row>
    <row r="416" customFormat="false" ht="14.9" hidden="false" customHeight="false" outlineLevel="0" collapsed="false">
      <c r="A416" s="0" t="n">
        <v>415</v>
      </c>
      <c r="B416" s="0" t="s">
        <v>324</v>
      </c>
      <c r="C416" s="33" t="s">
        <v>325</v>
      </c>
      <c r="D416" s="34" t="n">
        <v>46222</v>
      </c>
      <c r="E416" s="0" t="n">
        <v>831.6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831.6</v>
      </c>
      <c r="AH416" s="0" t="n">
        <v>831.6</v>
      </c>
      <c r="AI416" s="0" t="n">
        <v>10</v>
      </c>
    </row>
    <row r="417" customFormat="false" ht="14.9" hidden="false" customHeight="false" outlineLevel="0" collapsed="false">
      <c r="A417" s="0" t="n">
        <v>416</v>
      </c>
      <c r="B417" s="0" t="s">
        <v>324</v>
      </c>
      <c r="C417" s="33" t="s">
        <v>325</v>
      </c>
      <c r="D417" s="34" t="n">
        <v>46233</v>
      </c>
      <c r="E417" s="0" t="n">
        <v>932.9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932.9</v>
      </c>
      <c r="AH417" s="0" t="n">
        <v>932.9</v>
      </c>
      <c r="AI417" s="0" t="n">
        <v>11</v>
      </c>
    </row>
    <row r="418" customFormat="false" ht="14.9" hidden="false" customHeight="false" outlineLevel="0" collapsed="false">
      <c r="A418" s="0" t="n">
        <v>417</v>
      </c>
      <c r="B418" s="0" t="s">
        <v>324</v>
      </c>
      <c r="C418" s="33" t="s">
        <v>325</v>
      </c>
      <c r="D418" s="34" t="n">
        <v>46234</v>
      </c>
      <c r="E418" s="0" t="n">
        <v>2475.8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2475.8</v>
      </c>
      <c r="AH418" s="0" t="n">
        <v>2475.8</v>
      </c>
      <c r="AI418" s="0" t="n">
        <v>17</v>
      </c>
    </row>
    <row r="419" customFormat="false" ht="14.9" hidden="false" customHeight="false" outlineLevel="0" collapsed="false">
      <c r="A419" s="0" t="n">
        <v>418</v>
      </c>
      <c r="B419" s="0" t="s">
        <v>324</v>
      </c>
      <c r="C419" s="33" t="s">
        <v>325</v>
      </c>
      <c r="D419" s="34" t="n">
        <v>46205</v>
      </c>
      <c r="E419" s="0" t="n">
        <v>785.7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785.7</v>
      </c>
      <c r="AH419" s="0" t="n">
        <v>785.7</v>
      </c>
      <c r="AI419" s="0" t="n">
        <v>17</v>
      </c>
    </row>
    <row r="420" customFormat="false" ht="14.9" hidden="false" customHeight="false" outlineLevel="0" collapsed="false">
      <c r="A420" s="0" t="n">
        <v>419</v>
      </c>
      <c r="B420" s="0" t="s">
        <v>324</v>
      </c>
      <c r="C420" s="33" t="s">
        <v>325</v>
      </c>
      <c r="D420" s="34" t="n">
        <v>46231</v>
      </c>
      <c r="E420" s="0" t="n">
        <v>808.7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808.7</v>
      </c>
      <c r="AH420" s="0" t="n">
        <v>808.7</v>
      </c>
      <c r="AI420" s="0" t="n">
        <v>19</v>
      </c>
    </row>
    <row r="421" customFormat="false" ht="14.9" hidden="false" customHeight="false" outlineLevel="0" collapsed="false">
      <c r="A421" s="0" t="n">
        <v>420</v>
      </c>
      <c r="B421" s="0" t="s">
        <v>324</v>
      </c>
      <c r="C421" s="33" t="s">
        <v>325</v>
      </c>
      <c r="D421" s="34" t="n">
        <v>46206</v>
      </c>
      <c r="E421" s="0" t="n">
        <v>1426.75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1426.75</v>
      </c>
      <c r="AH421" s="0" t="n">
        <v>1426.75</v>
      </c>
      <c r="AI421" s="0" t="n">
        <v>26</v>
      </c>
    </row>
    <row r="422" customFormat="false" ht="14.9" hidden="false" customHeight="false" outlineLevel="0" collapsed="false">
      <c r="A422" s="0" t="n">
        <v>421</v>
      </c>
      <c r="B422" s="0" t="s">
        <v>324</v>
      </c>
      <c r="C422" s="33" t="s">
        <v>325</v>
      </c>
      <c r="D422" s="34" t="n">
        <v>46227</v>
      </c>
      <c r="E422" s="0" t="n">
        <v>732.2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732.2</v>
      </c>
      <c r="AH422" s="0" t="n">
        <v>732.2</v>
      </c>
      <c r="AI422" s="0" t="n">
        <v>16</v>
      </c>
    </row>
    <row r="423" customFormat="false" ht="14.9" hidden="false" customHeight="false" outlineLevel="0" collapsed="false">
      <c r="A423" s="0" t="n">
        <v>422</v>
      </c>
      <c r="B423" s="0" t="s">
        <v>324</v>
      </c>
      <c r="C423" s="33" t="s">
        <v>325</v>
      </c>
      <c r="D423" s="34" t="n">
        <v>46228</v>
      </c>
      <c r="E423" s="0" t="n">
        <v>1331.6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1331.6</v>
      </c>
      <c r="AH423" s="0" t="n">
        <v>1331.6</v>
      </c>
      <c r="AI423" s="0" t="n">
        <v>20</v>
      </c>
    </row>
    <row r="424" customFormat="false" ht="14.9" hidden="false" customHeight="false" outlineLevel="0" collapsed="false">
      <c r="A424" s="0" t="n">
        <v>423</v>
      </c>
      <c r="B424" s="0" t="s">
        <v>324</v>
      </c>
      <c r="C424" s="33" t="s">
        <v>325</v>
      </c>
      <c r="D424" s="34" t="n">
        <v>46204</v>
      </c>
      <c r="E424" s="0" t="n">
        <v>1162.15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1162.15</v>
      </c>
      <c r="AH424" s="0" t="n">
        <v>1162.15</v>
      </c>
      <c r="AI424" s="0" t="n">
        <v>15</v>
      </c>
    </row>
    <row r="425" customFormat="false" ht="14.9" hidden="false" customHeight="false" outlineLevel="0" collapsed="false">
      <c r="A425" s="0" t="n">
        <v>424</v>
      </c>
      <c r="B425" s="0" t="s">
        <v>324</v>
      </c>
      <c r="C425" s="33" t="s">
        <v>325</v>
      </c>
      <c r="D425" s="34" t="n">
        <v>46209</v>
      </c>
      <c r="E425" s="0" t="n">
        <v>488.96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488.96</v>
      </c>
      <c r="AH425" s="0" t="n">
        <v>488.96</v>
      </c>
      <c r="AI425" s="0" t="n">
        <v>17</v>
      </c>
    </row>
    <row r="426" customFormat="false" ht="14.9" hidden="false" customHeight="false" outlineLevel="0" collapsed="false">
      <c r="A426" s="0" t="n">
        <v>425</v>
      </c>
      <c r="B426" s="0" t="s">
        <v>324</v>
      </c>
      <c r="C426" s="33" t="s">
        <v>325</v>
      </c>
      <c r="D426" s="34" t="n">
        <v>46226</v>
      </c>
      <c r="E426" s="0" t="n">
        <v>903.95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903.95</v>
      </c>
      <c r="AH426" s="0" t="n">
        <v>903.95</v>
      </c>
      <c r="AI426" s="0" t="n">
        <v>17</v>
      </c>
    </row>
    <row r="427" customFormat="false" ht="14.9" hidden="false" customHeight="false" outlineLevel="0" collapsed="false">
      <c r="A427" s="0" t="n">
        <v>426</v>
      </c>
      <c r="B427" s="0" t="s">
        <v>324</v>
      </c>
      <c r="C427" s="33" t="s">
        <v>325</v>
      </c>
      <c r="D427" s="34" t="n">
        <v>46211</v>
      </c>
      <c r="E427" s="0" t="n">
        <v>1400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1400</v>
      </c>
      <c r="AH427" s="0" t="n">
        <v>1400</v>
      </c>
      <c r="AI427" s="0" t="n">
        <v>20</v>
      </c>
    </row>
    <row r="428" customFormat="false" ht="14.9" hidden="false" customHeight="false" outlineLevel="0" collapsed="false">
      <c r="A428" s="0" t="n">
        <v>427</v>
      </c>
      <c r="B428" s="0" t="s">
        <v>324</v>
      </c>
      <c r="C428" s="33" t="s">
        <v>325</v>
      </c>
      <c r="D428" s="34" t="n">
        <v>46216</v>
      </c>
      <c r="E428" s="0" t="n">
        <v>785.8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785.8</v>
      </c>
      <c r="AH428" s="0" t="n">
        <v>785.8</v>
      </c>
      <c r="AI428" s="0" t="n">
        <v>20</v>
      </c>
    </row>
    <row r="429" customFormat="false" ht="14.9" hidden="false" customHeight="false" outlineLevel="0" collapsed="false">
      <c r="A429" s="0" t="n">
        <v>428</v>
      </c>
      <c r="B429" s="0" t="s">
        <v>324</v>
      </c>
      <c r="C429" s="33" t="s">
        <v>325</v>
      </c>
      <c r="D429" s="34" t="n">
        <v>46207</v>
      </c>
      <c r="E429" s="0" t="n">
        <v>557.7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557.7</v>
      </c>
      <c r="AH429" s="0" t="n">
        <v>557.7</v>
      </c>
      <c r="AI429" s="0" t="n">
        <v>13</v>
      </c>
    </row>
    <row r="430" customFormat="false" ht="14.9" hidden="false" customHeight="false" outlineLevel="0" collapsed="false">
      <c r="A430" s="0" t="n">
        <v>429</v>
      </c>
      <c r="B430" s="0" t="s">
        <v>324</v>
      </c>
      <c r="C430" s="33" t="s">
        <v>325</v>
      </c>
      <c r="D430" s="34" t="n">
        <v>46213</v>
      </c>
      <c r="E430" s="0" t="n">
        <v>184.7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184.7</v>
      </c>
      <c r="AH430" s="0" t="n">
        <v>184.7</v>
      </c>
      <c r="AI430" s="0" t="n">
        <v>7</v>
      </c>
    </row>
    <row r="431" customFormat="false" ht="14.9" hidden="false" customHeight="false" outlineLevel="0" collapsed="false">
      <c r="A431" s="0" t="n">
        <v>430</v>
      </c>
      <c r="B431" s="0" t="s">
        <v>324</v>
      </c>
      <c r="C431" s="33" t="s">
        <v>325</v>
      </c>
      <c r="D431" s="34" t="n">
        <v>46224</v>
      </c>
      <c r="E431" s="0" t="n">
        <v>1077.14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1077.14</v>
      </c>
      <c r="AH431" s="0" t="n">
        <v>1077.14</v>
      </c>
      <c r="AI431" s="0" t="n">
        <v>21</v>
      </c>
    </row>
    <row r="432" customFormat="false" ht="14.9" hidden="false" customHeight="false" outlineLevel="0" collapsed="false">
      <c r="A432" s="0" t="n">
        <v>431</v>
      </c>
      <c r="B432" s="0" t="s">
        <v>324</v>
      </c>
      <c r="C432" s="33" t="s">
        <v>325</v>
      </c>
      <c r="D432" s="34" t="n">
        <v>46210</v>
      </c>
      <c r="E432" s="0" t="n">
        <v>1287.4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1287.4</v>
      </c>
      <c r="AH432" s="0" t="n">
        <v>1287.4</v>
      </c>
      <c r="AI432" s="0" t="n">
        <v>19</v>
      </c>
    </row>
    <row r="433" customFormat="false" ht="14.9" hidden="false" customHeight="false" outlineLevel="0" collapsed="false">
      <c r="A433" s="0" t="n">
        <v>432</v>
      </c>
      <c r="B433" s="0" t="s">
        <v>324</v>
      </c>
      <c r="C433" s="33" t="s">
        <v>325</v>
      </c>
      <c r="D433" s="34" t="n">
        <v>46220</v>
      </c>
      <c r="E433" s="0" t="n">
        <v>918.6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918.6</v>
      </c>
      <c r="AH433" s="0" t="n">
        <v>918.6</v>
      </c>
      <c r="AI433" s="0" t="n">
        <v>19</v>
      </c>
    </row>
    <row r="434" customFormat="false" ht="14.9" hidden="false" customHeight="false" outlineLevel="0" collapsed="false">
      <c r="A434" s="0" t="n">
        <v>433</v>
      </c>
      <c r="B434" s="0" t="s">
        <v>324</v>
      </c>
      <c r="C434" s="33" t="s">
        <v>325</v>
      </c>
      <c r="D434" s="34" t="n">
        <v>46229</v>
      </c>
      <c r="E434" s="0" t="n">
        <v>766.23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766.23</v>
      </c>
      <c r="AH434" s="0" t="n">
        <v>766.23</v>
      </c>
      <c r="AI434" s="0" t="n">
        <v>21</v>
      </c>
    </row>
    <row r="435" customFormat="false" ht="14.9" hidden="false" customHeight="false" outlineLevel="0" collapsed="false">
      <c r="A435" s="0" t="n">
        <v>434</v>
      </c>
      <c r="B435" s="0" t="s">
        <v>324</v>
      </c>
      <c r="C435" s="33" t="s">
        <v>325</v>
      </c>
      <c r="D435" s="34" t="n">
        <v>46225</v>
      </c>
      <c r="E435" s="0" t="n">
        <v>946.59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946.59</v>
      </c>
      <c r="AH435" s="0" t="n">
        <v>946.59</v>
      </c>
      <c r="AI435" s="0" t="n">
        <v>18</v>
      </c>
    </row>
    <row r="436" customFormat="false" ht="14.9" hidden="false" customHeight="false" outlineLevel="0" collapsed="false">
      <c r="A436" s="0" t="n">
        <v>435</v>
      </c>
      <c r="B436" s="0" t="s">
        <v>326</v>
      </c>
      <c r="C436" s="33" t="s">
        <v>327</v>
      </c>
      <c r="D436" s="34" t="n">
        <v>46231</v>
      </c>
      <c r="E436" s="0" t="n">
        <v>23</v>
      </c>
      <c r="F436" s="0" t="n">
        <v>0</v>
      </c>
      <c r="G436" s="0" t="n">
        <v>226.1</v>
      </c>
      <c r="H436" s="0" t="n">
        <v>31.96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35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316.06</v>
      </c>
      <c r="AH436" s="0" t="n">
        <v>316.06</v>
      </c>
      <c r="AI436" s="0" t="n">
        <v>11</v>
      </c>
    </row>
    <row r="437" customFormat="false" ht="14.9" hidden="false" customHeight="false" outlineLevel="0" collapsed="false">
      <c r="A437" s="0" t="n">
        <v>436</v>
      </c>
      <c r="B437" s="0" t="s">
        <v>326</v>
      </c>
      <c r="C437" s="33" t="s">
        <v>327</v>
      </c>
      <c r="D437" s="34" t="n">
        <v>46227</v>
      </c>
      <c r="E437" s="0" t="n">
        <v>106.5</v>
      </c>
      <c r="F437" s="0" t="n">
        <v>0</v>
      </c>
      <c r="G437" s="0" t="n">
        <v>288.9</v>
      </c>
      <c r="H437" s="0" t="n">
        <v>92.1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15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502.5</v>
      </c>
      <c r="AH437" s="0" t="n">
        <v>502.5</v>
      </c>
      <c r="AI437" s="0" t="n">
        <v>12</v>
      </c>
    </row>
    <row r="438" customFormat="false" ht="14.9" hidden="false" customHeight="false" outlineLevel="0" collapsed="false">
      <c r="A438" s="0" t="n">
        <v>437</v>
      </c>
      <c r="B438" s="0" t="s">
        <v>326</v>
      </c>
      <c r="C438" s="33" t="s">
        <v>327</v>
      </c>
      <c r="D438" s="34" t="n">
        <v>46210</v>
      </c>
      <c r="E438" s="0" t="n">
        <v>165</v>
      </c>
      <c r="F438" s="0" t="n">
        <v>0</v>
      </c>
      <c r="G438" s="0" t="n">
        <v>171.3</v>
      </c>
      <c r="H438" s="0" t="n">
        <v>38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30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404.3</v>
      </c>
      <c r="AH438" s="0" t="n">
        <v>404.3</v>
      </c>
      <c r="AI438" s="0" t="n">
        <v>13</v>
      </c>
    </row>
    <row r="439" customFormat="false" ht="14.9" hidden="false" customHeight="false" outlineLevel="0" collapsed="false">
      <c r="A439" s="0" t="n">
        <v>438</v>
      </c>
      <c r="B439" s="0" t="s">
        <v>326</v>
      </c>
      <c r="C439" s="33" t="s">
        <v>327</v>
      </c>
      <c r="D439" s="34" t="n">
        <v>46214</v>
      </c>
      <c r="E439" s="0" t="n">
        <v>23</v>
      </c>
      <c r="F439" s="0" t="n">
        <v>0</v>
      </c>
      <c r="G439" s="0" t="n">
        <v>153.7</v>
      </c>
      <c r="H439" s="0" t="n">
        <v>46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0.01</v>
      </c>
      <c r="W439" s="0" t="n">
        <v>5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227.71</v>
      </c>
      <c r="AH439" s="0" t="n">
        <v>227.71</v>
      </c>
      <c r="AI439" s="0" t="n">
        <v>5</v>
      </c>
    </row>
    <row r="440" customFormat="false" ht="14.9" hidden="false" customHeight="false" outlineLevel="0" collapsed="false">
      <c r="A440" s="0" t="n">
        <v>439</v>
      </c>
      <c r="B440" s="0" t="s">
        <v>326</v>
      </c>
      <c r="C440" s="33" t="s">
        <v>327</v>
      </c>
      <c r="D440" s="34" t="n">
        <v>46220</v>
      </c>
      <c r="E440" s="0" t="n">
        <v>25.5</v>
      </c>
      <c r="F440" s="0" t="n">
        <v>0</v>
      </c>
      <c r="G440" s="0" t="n">
        <v>237.45</v>
      </c>
      <c r="H440" s="0" t="n">
        <v>39.6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W440" s="0" t="n">
        <v>45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347.55</v>
      </c>
      <c r="AH440" s="0" t="n">
        <v>347.55</v>
      </c>
      <c r="AI440" s="0" t="n">
        <v>19</v>
      </c>
    </row>
    <row r="441" customFormat="false" ht="14.9" hidden="false" customHeight="false" outlineLevel="0" collapsed="false">
      <c r="A441" s="0" t="n">
        <v>440</v>
      </c>
      <c r="B441" s="0" t="s">
        <v>326</v>
      </c>
      <c r="C441" s="33" t="s">
        <v>327</v>
      </c>
      <c r="D441" s="34" t="n">
        <v>46226</v>
      </c>
      <c r="E441" s="0" t="n">
        <v>119.4</v>
      </c>
      <c r="F441" s="0" t="n">
        <v>0</v>
      </c>
      <c r="G441" s="0" t="n">
        <v>120</v>
      </c>
      <c r="H441" s="0" t="n">
        <v>35.8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20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295.2</v>
      </c>
      <c r="AH441" s="0" t="n">
        <v>295.2</v>
      </c>
      <c r="AI441" s="0" t="n">
        <v>9</v>
      </c>
    </row>
    <row r="442" customFormat="false" ht="14.9" hidden="false" customHeight="false" outlineLevel="0" collapsed="false">
      <c r="A442" s="0" t="n">
        <v>441</v>
      </c>
      <c r="B442" s="0" t="s">
        <v>326</v>
      </c>
      <c r="C442" s="33" t="s">
        <v>327</v>
      </c>
      <c r="D442" s="34" t="n">
        <v>46221</v>
      </c>
      <c r="E442" s="0" t="n">
        <v>73.8</v>
      </c>
      <c r="F442" s="0" t="n">
        <v>0</v>
      </c>
      <c r="G442" s="0" t="n">
        <v>334.29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40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448.09</v>
      </c>
      <c r="AH442" s="0" t="n">
        <v>448.09</v>
      </c>
      <c r="AI442" s="0" t="n">
        <v>12</v>
      </c>
    </row>
    <row r="443" customFormat="false" ht="14.9" hidden="false" customHeight="false" outlineLevel="0" collapsed="false">
      <c r="A443" s="0" t="n">
        <v>442</v>
      </c>
      <c r="B443" s="0" t="s">
        <v>326</v>
      </c>
      <c r="C443" s="33" t="s">
        <v>327</v>
      </c>
      <c r="D443" s="34" t="n">
        <v>46219</v>
      </c>
      <c r="E443" s="0" t="n">
        <v>53.9</v>
      </c>
      <c r="F443" s="0" t="n">
        <v>0</v>
      </c>
      <c r="G443" s="0" t="n">
        <v>204.57</v>
      </c>
      <c r="H443" s="0" t="n">
        <v>307.6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15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581.07</v>
      </c>
      <c r="AH443" s="0" t="n">
        <v>581.07</v>
      </c>
      <c r="AI443" s="0" t="n">
        <v>11</v>
      </c>
    </row>
    <row r="444" customFormat="false" ht="14.9" hidden="false" customHeight="false" outlineLevel="0" collapsed="false">
      <c r="A444" s="0" t="n">
        <v>443</v>
      </c>
      <c r="B444" s="0" t="s">
        <v>326</v>
      </c>
      <c r="C444" s="33" t="s">
        <v>327</v>
      </c>
      <c r="D444" s="34" t="n">
        <v>46211</v>
      </c>
      <c r="E444" s="0" t="n">
        <v>61.8</v>
      </c>
      <c r="F444" s="0" t="n">
        <v>0</v>
      </c>
      <c r="G444" s="0" t="n">
        <v>225.3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25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312.1</v>
      </c>
      <c r="AH444" s="0" t="n">
        <v>312.1</v>
      </c>
      <c r="AI444" s="0" t="n">
        <v>7</v>
      </c>
    </row>
    <row r="445" customFormat="false" ht="14.9" hidden="false" customHeight="false" outlineLevel="0" collapsed="false">
      <c r="A445" s="0" t="n">
        <v>444</v>
      </c>
      <c r="B445" s="0" t="s">
        <v>326</v>
      </c>
      <c r="C445" s="33" t="s">
        <v>327</v>
      </c>
      <c r="D445" s="34" t="n">
        <v>46222</v>
      </c>
      <c r="E445" s="0" t="n">
        <v>113.5</v>
      </c>
      <c r="F445" s="0" t="n">
        <v>0</v>
      </c>
      <c r="G445" s="0" t="n">
        <v>114.9</v>
      </c>
      <c r="H445" s="0" t="n">
        <v>43.8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45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317.2</v>
      </c>
      <c r="AH445" s="0" t="n">
        <v>317.2</v>
      </c>
      <c r="AI445" s="0" t="n">
        <v>11</v>
      </c>
    </row>
    <row r="446" customFormat="false" ht="14.9" hidden="false" customHeight="false" outlineLevel="0" collapsed="false">
      <c r="A446" s="0" t="n">
        <v>445</v>
      </c>
      <c r="B446" s="0" t="s">
        <v>326</v>
      </c>
      <c r="C446" s="33" t="s">
        <v>327</v>
      </c>
      <c r="D446" s="34" t="n">
        <v>46218</v>
      </c>
      <c r="E446" s="0" t="n">
        <v>167.03</v>
      </c>
      <c r="F446" s="0" t="n">
        <v>0</v>
      </c>
      <c r="G446" s="0" t="n">
        <v>205.6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40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412.63</v>
      </c>
      <c r="AH446" s="0" t="n">
        <v>412.63</v>
      </c>
      <c r="AI446" s="0" t="n">
        <v>10</v>
      </c>
    </row>
    <row r="447" customFormat="false" ht="14.9" hidden="false" customHeight="false" outlineLevel="0" collapsed="false">
      <c r="A447" s="0" t="n">
        <v>446</v>
      </c>
      <c r="B447" s="0" t="s">
        <v>326</v>
      </c>
      <c r="C447" s="33" t="s">
        <v>327</v>
      </c>
      <c r="D447" s="34" t="n">
        <v>46223</v>
      </c>
      <c r="E447" s="0" t="n">
        <v>24.5</v>
      </c>
      <c r="F447" s="0" t="n">
        <v>0</v>
      </c>
      <c r="G447" s="0" t="n">
        <v>54</v>
      </c>
      <c r="H447" s="0" t="n">
        <v>31.96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5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115.46</v>
      </c>
      <c r="AH447" s="0" t="n">
        <v>115.46</v>
      </c>
      <c r="AI447" s="0" t="n">
        <v>5</v>
      </c>
    </row>
    <row r="448" customFormat="false" ht="14.9" hidden="false" customHeight="false" outlineLevel="0" collapsed="false">
      <c r="A448" s="0" t="n">
        <v>447</v>
      </c>
      <c r="B448" s="0" t="s">
        <v>326</v>
      </c>
      <c r="C448" s="33" t="s">
        <v>327</v>
      </c>
      <c r="D448" s="34" t="n">
        <v>46229</v>
      </c>
      <c r="E448" s="0" t="n">
        <v>175.3</v>
      </c>
      <c r="F448" s="0" t="n">
        <v>0</v>
      </c>
      <c r="G448" s="0" t="n">
        <v>197.75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10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383.05</v>
      </c>
      <c r="AH448" s="0" t="n">
        <v>383.05</v>
      </c>
      <c r="AI448" s="0" t="n">
        <v>12</v>
      </c>
    </row>
    <row r="449" customFormat="false" ht="14.9" hidden="false" customHeight="false" outlineLevel="0" collapsed="false">
      <c r="A449" s="0" t="n">
        <v>448</v>
      </c>
      <c r="B449" s="0" t="s">
        <v>326</v>
      </c>
      <c r="C449" s="33" t="s">
        <v>327</v>
      </c>
      <c r="D449" s="34" t="n">
        <v>46224</v>
      </c>
      <c r="E449" s="0" t="n">
        <v>86.25</v>
      </c>
      <c r="F449" s="0" t="n">
        <v>0</v>
      </c>
      <c r="G449" s="0" t="n">
        <v>348.94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30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465.19</v>
      </c>
      <c r="AH449" s="0" t="n">
        <v>465.19</v>
      </c>
      <c r="AI449" s="0" t="n">
        <v>15</v>
      </c>
    </row>
    <row r="450" customFormat="false" ht="14.9" hidden="false" customHeight="false" outlineLevel="0" collapsed="false">
      <c r="A450" s="0" t="n">
        <v>449</v>
      </c>
      <c r="B450" s="0" t="s">
        <v>326</v>
      </c>
      <c r="C450" s="33" t="s">
        <v>327</v>
      </c>
      <c r="D450" s="34" t="n">
        <v>46228</v>
      </c>
      <c r="E450" s="0" t="n">
        <v>147.7</v>
      </c>
      <c r="F450" s="0" t="n">
        <v>0</v>
      </c>
      <c r="G450" s="0" t="n">
        <v>133.4</v>
      </c>
      <c r="H450" s="0" t="n">
        <v>54.2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3.8</v>
      </c>
      <c r="W450" s="0" t="n">
        <v>20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359.1</v>
      </c>
      <c r="AH450" s="0" t="n">
        <v>359.1</v>
      </c>
      <c r="AI450" s="0" t="n">
        <v>13</v>
      </c>
    </row>
    <row r="451" customFormat="false" ht="14.9" hidden="false" customHeight="false" outlineLevel="0" collapsed="false">
      <c r="A451" s="0" t="n">
        <v>450</v>
      </c>
      <c r="B451" s="0" t="s">
        <v>326</v>
      </c>
      <c r="C451" s="33" t="s">
        <v>327</v>
      </c>
      <c r="D451" s="34" t="n">
        <v>46212</v>
      </c>
      <c r="E451" s="0" t="n">
        <v>60.2</v>
      </c>
      <c r="F451" s="0" t="n">
        <v>0</v>
      </c>
      <c r="G451" s="0" t="n">
        <v>211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0.01</v>
      </c>
      <c r="W451" s="0" t="n">
        <v>15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286.21</v>
      </c>
      <c r="AH451" s="0" t="n">
        <v>286.21</v>
      </c>
      <c r="AI451" s="0" t="n">
        <v>7</v>
      </c>
    </row>
    <row r="452" customFormat="false" ht="14.9" hidden="false" customHeight="false" outlineLevel="0" collapsed="false">
      <c r="A452" s="0" t="n">
        <v>451</v>
      </c>
      <c r="B452" s="0" t="s">
        <v>326</v>
      </c>
      <c r="C452" s="33" t="s">
        <v>327</v>
      </c>
      <c r="D452" s="34" t="n">
        <v>46206</v>
      </c>
      <c r="E452" s="0" t="n">
        <v>162.7</v>
      </c>
      <c r="F452" s="0" t="n">
        <v>0</v>
      </c>
      <c r="G452" s="0" t="n">
        <v>27.4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30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220.1</v>
      </c>
      <c r="AH452" s="0" t="n">
        <v>220.1</v>
      </c>
      <c r="AI452" s="0" t="n">
        <v>9</v>
      </c>
    </row>
    <row r="453" customFormat="false" ht="14.9" hidden="false" customHeight="false" outlineLevel="0" collapsed="false">
      <c r="A453" s="0" t="n">
        <v>452</v>
      </c>
      <c r="B453" s="0" t="s">
        <v>326</v>
      </c>
      <c r="C453" s="33" t="s">
        <v>327</v>
      </c>
      <c r="D453" s="34" t="n">
        <v>46204</v>
      </c>
      <c r="E453" s="0" t="n">
        <v>133.52</v>
      </c>
      <c r="F453" s="0" t="n">
        <v>0</v>
      </c>
      <c r="G453" s="0" t="n">
        <v>63.5</v>
      </c>
      <c r="H453" s="0" t="n">
        <v>14.5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9.9</v>
      </c>
      <c r="W453" s="0" t="n">
        <v>20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241.42</v>
      </c>
      <c r="AH453" s="0" t="n">
        <v>241.42</v>
      </c>
      <c r="AI453" s="0" t="n">
        <v>8</v>
      </c>
    </row>
    <row r="454" customFormat="false" ht="14.9" hidden="false" customHeight="false" outlineLevel="0" collapsed="false">
      <c r="A454" s="0" t="n">
        <v>453</v>
      </c>
      <c r="B454" s="0" t="s">
        <v>326</v>
      </c>
      <c r="C454" s="33" t="s">
        <v>327</v>
      </c>
      <c r="D454" s="34" t="n">
        <v>46208</v>
      </c>
      <c r="E454" s="0" t="n">
        <v>104.4</v>
      </c>
      <c r="F454" s="0" t="n">
        <v>0</v>
      </c>
      <c r="G454" s="0" t="n">
        <v>176.3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40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320.7</v>
      </c>
      <c r="AH454" s="0" t="n">
        <v>320.7</v>
      </c>
      <c r="AI454" s="0" t="n">
        <v>10</v>
      </c>
    </row>
    <row r="455" customFormat="false" ht="14.9" hidden="false" customHeight="false" outlineLevel="0" collapsed="false">
      <c r="A455" s="0" t="n">
        <v>454</v>
      </c>
      <c r="B455" s="0" t="s">
        <v>326</v>
      </c>
      <c r="C455" s="33" t="s">
        <v>327</v>
      </c>
      <c r="D455" s="34" t="n">
        <v>46234</v>
      </c>
      <c r="E455" s="0" t="n">
        <v>14.8</v>
      </c>
      <c r="F455" s="0" t="n">
        <v>0</v>
      </c>
      <c r="G455" s="0" t="n">
        <v>252.6</v>
      </c>
      <c r="H455" s="0" t="n">
        <v>116.7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W455" s="0" t="n">
        <v>40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424.1</v>
      </c>
      <c r="AH455" s="0" t="n">
        <v>424.1</v>
      </c>
      <c r="AI455" s="0" t="n">
        <v>14</v>
      </c>
    </row>
    <row r="456" customFormat="false" ht="14.9" hidden="false" customHeight="false" outlineLevel="0" collapsed="false">
      <c r="A456" s="0" t="n">
        <v>455</v>
      </c>
      <c r="B456" s="0" t="s">
        <v>326</v>
      </c>
      <c r="C456" s="33" t="s">
        <v>327</v>
      </c>
      <c r="D456" s="34" t="n">
        <v>46207</v>
      </c>
      <c r="E456" s="0" t="n">
        <v>56.4</v>
      </c>
      <c r="F456" s="0" t="n">
        <v>0</v>
      </c>
      <c r="G456" s="0" t="n">
        <v>88.3</v>
      </c>
      <c r="H456" s="0" t="n">
        <v>10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15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169.7</v>
      </c>
      <c r="AH456" s="0" t="n">
        <v>169.7</v>
      </c>
      <c r="AI456" s="0" t="n">
        <v>7</v>
      </c>
    </row>
    <row r="457" customFormat="false" ht="14.9" hidden="false" customHeight="false" outlineLevel="0" collapsed="false">
      <c r="A457" s="0" t="n">
        <v>456</v>
      </c>
      <c r="B457" s="0" t="s">
        <v>326</v>
      </c>
      <c r="C457" s="33" t="s">
        <v>327</v>
      </c>
      <c r="D457" s="34" t="n">
        <v>46225</v>
      </c>
      <c r="E457" s="0" t="n">
        <v>123.3</v>
      </c>
      <c r="F457" s="0" t="n">
        <v>0</v>
      </c>
      <c r="G457" s="0" t="n">
        <v>61.8</v>
      </c>
      <c r="H457" s="0" t="n">
        <v>58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9</v>
      </c>
      <c r="W457" s="0" t="n">
        <v>10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262.1</v>
      </c>
      <c r="AH457" s="0" t="n">
        <v>262.1</v>
      </c>
      <c r="AI457" s="0" t="n">
        <v>8</v>
      </c>
    </row>
    <row r="458" customFormat="false" ht="14.9" hidden="false" customHeight="false" outlineLevel="0" collapsed="false">
      <c r="A458" s="0" t="n">
        <v>457</v>
      </c>
      <c r="B458" s="0" t="s">
        <v>326</v>
      </c>
      <c r="C458" s="33" t="s">
        <v>327</v>
      </c>
      <c r="D458" s="34" t="n">
        <v>46216</v>
      </c>
      <c r="E458" s="0" t="n">
        <v>119.8</v>
      </c>
      <c r="F458" s="0" t="n">
        <v>0</v>
      </c>
      <c r="G458" s="0" t="n">
        <v>138.1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3.8</v>
      </c>
      <c r="W458" s="0" t="n">
        <v>10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271.7</v>
      </c>
      <c r="AH458" s="0" t="n">
        <v>271.7</v>
      </c>
      <c r="AI458" s="0" t="n">
        <v>7</v>
      </c>
    </row>
    <row r="459" customFormat="false" ht="14.9" hidden="false" customHeight="false" outlineLevel="0" collapsed="false">
      <c r="A459" s="0" t="n">
        <v>458</v>
      </c>
      <c r="B459" s="0" t="s">
        <v>326</v>
      </c>
      <c r="C459" s="33" t="s">
        <v>327</v>
      </c>
      <c r="D459" s="34" t="n">
        <v>46209</v>
      </c>
      <c r="E459" s="0" t="n">
        <v>37.1</v>
      </c>
      <c r="F459" s="0" t="n">
        <v>0</v>
      </c>
      <c r="G459" s="0" t="n">
        <v>206.26</v>
      </c>
      <c r="H459" s="0" t="n">
        <v>28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30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301.36</v>
      </c>
      <c r="AH459" s="0" t="n">
        <v>301.36</v>
      </c>
      <c r="AI459" s="0" t="n">
        <v>11</v>
      </c>
    </row>
    <row r="460" customFormat="false" ht="14.9" hidden="false" customHeight="false" outlineLevel="0" collapsed="false">
      <c r="A460" s="0" t="n">
        <v>459</v>
      </c>
      <c r="B460" s="0" t="s">
        <v>326</v>
      </c>
      <c r="C460" s="33" t="s">
        <v>327</v>
      </c>
      <c r="D460" s="34" t="n">
        <v>46213</v>
      </c>
      <c r="E460" s="0" t="n">
        <v>70.1</v>
      </c>
      <c r="F460" s="0" t="n">
        <v>0</v>
      </c>
      <c r="G460" s="0" t="n">
        <v>214.7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50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334.8</v>
      </c>
      <c r="AH460" s="0" t="n">
        <v>334.8</v>
      </c>
      <c r="AI460" s="0" t="n">
        <v>12</v>
      </c>
    </row>
    <row r="461" customFormat="false" ht="14.9" hidden="false" customHeight="false" outlineLevel="0" collapsed="false">
      <c r="A461" s="0" t="n">
        <v>460</v>
      </c>
      <c r="B461" s="0" t="s">
        <v>326</v>
      </c>
      <c r="C461" s="33" t="s">
        <v>327</v>
      </c>
      <c r="D461" s="34" t="n">
        <v>46233</v>
      </c>
      <c r="E461" s="0" t="n">
        <v>105.5</v>
      </c>
      <c r="F461" s="0" t="n">
        <v>0</v>
      </c>
      <c r="G461" s="0" t="n">
        <v>235.9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45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386.4</v>
      </c>
      <c r="AH461" s="0" t="n">
        <v>386.4</v>
      </c>
      <c r="AI461" s="0" t="n">
        <v>12</v>
      </c>
    </row>
    <row r="462" customFormat="false" ht="14.9" hidden="false" customHeight="false" outlineLevel="0" collapsed="false">
      <c r="A462" s="0" t="n">
        <v>461</v>
      </c>
      <c r="B462" s="0" t="s">
        <v>326</v>
      </c>
      <c r="C462" s="33" t="s">
        <v>327</v>
      </c>
      <c r="D462" s="34" t="n">
        <v>46217</v>
      </c>
      <c r="E462" s="0" t="n">
        <v>45</v>
      </c>
      <c r="F462" s="0" t="n">
        <v>0</v>
      </c>
      <c r="G462" s="0" t="n">
        <v>128.83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23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196.83</v>
      </c>
      <c r="AH462" s="0" t="n">
        <v>196.83</v>
      </c>
      <c r="AI462" s="0" t="n">
        <v>5</v>
      </c>
    </row>
    <row r="463" customFormat="false" ht="14.9" hidden="false" customHeight="false" outlineLevel="0" collapsed="false">
      <c r="A463" s="0" t="n">
        <v>462</v>
      </c>
      <c r="B463" s="0" t="s">
        <v>326</v>
      </c>
      <c r="C463" s="33" t="s">
        <v>327</v>
      </c>
      <c r="D463" s="34" t="n">
        <v>46215</v>
      </c>
      <c r="E463" s="0" t="n">
        <v>174.4</v>
      </c>
      <c r="F463" s="0" t="n">
        <v>0</v>
      </c>
      <c r="G463" s="0" t="n">
        <v>202.1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30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406.5</v>
      </c>
      <c r="AH463" s="0" t="n">
        <v>406.5</v>
      </c>
      <c r="AI463" s="0" t="n">
        <v>10</v>
      </c>
    </row>
    <row r="464" customFormat="false" ht="14.9" hidden="false" customHeight="false" outlineLevel="0" collapsed="false">
      <c r="A464" s="0" t="n">
        <v>463</v>
      </c>
      <c r="B464" s="0" t="s">
        <v>326</v>
      </c>
      <c r="C464" s="33" t="s">
        <v>327</v>
      </c>
      <c r="D464" s="34" t="n">
        <v>46232</v>
      </c>
      <c r="E464" s="0" t="n">
        <v>69.3</v>
      </c>
      <c r="F464" s="0" t="n">
        <v>0</v>
      </c>
      <c r="G464" s="0" t="n">
        <v>128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25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222.3</v>
      </c>
      <c r="AH464" s="0" t="n">
        <v>222.3</v>
      </c>
      <c r="AI464" s="0" t="n">
        <v>8</v>
      </c>
    </row>
    <row r="465" customFormat="false" ht="14.9" hidden="false" customHeight="false" outlineLevel="0" collapsed="false">
      <c r="A465" s="0" t="n">
        <v>464</v>
      </c>
      <c r="B465" s="0" t="s">
        <v>326</v>
      </c>
      <c r="C465" s="33" t="s">
        <v>327</v>
      </c>
      <c r="D465" s="34" t="n">
        <v>46230</v>
      </c>
      <c r="E465" s="0" t="n">
        <v>136.5</v>
      </c>
      <c r="F465" s="0" t="n">
        <v>0</v>
      </c>
      <c r="G465" s="0" t="n">
        <v>86.6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20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243.1</v>
      </c>
      <c r="AH465" s="0" t="n">
        <v>243.1</v>
      </c>
      <c r="AI465" s="0" t="n">
        <v>5</v>
      </c>
    </row>
    <row r="466" customFormat="false" ht="14.9" hidden="false" customHeight="false" outlineLevel="0" collapsed="false">
      <c r="A466" s="0" t="n">
        <v>465</v>
      </c>
      <c r="B466" s="0" t="s">
        <v>326</v>
      </c>
      <c r="C466" s="33" t="s">
        <v>327</v>
      </c>
      <c r="D466" s="34" t="n">
        <v>46205</v>
      </c>
      <c r="E466" s="0" t="n">
        <v>143.5</v>
      </c>
      <c r="F466" s="0" t="n">
        <v>0</v>
      </c>
      <c r="G466" s="0" t="n">
        <v>28</v>
      </c>
      <c r="H466" s="0" t="n">
        <v>19.8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30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221.3</v>
      </c>
      <c r="AH466" s="0" t="n">
        <v>221.3</v>
      </c>
      <c r="AI466" s="0" t="n">
        <v>7</v>
      </c>
    </row>
    <row r="467" customFormat="false" ht="14.9" hidden="false" customHeight="false" outlineLevel="0" collapsed="false">
      <c r="A467" s="0" t="n">
        <v>466</v>
      </c>
      <c r="B467" s="0" t="s">
        <v>328</v>
      </c>
      <c r="C467" s="33" t="s">
        <v>329</v>
      </c>
      <c r="D467" s="34" t="n">
        <v>46206</v>
      </c>
      <c r="E467" s="0" t="n">
        <v>388.4</v>
      </c>
      <c r="F467" s="0" t="n">
        <v>0</v>
      </c>
      <c r="G467" s="0" t="n">
        <v>763.75</v>
      </c>
      <c r="H467" s="0" t="n">
        <v>54.8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5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1211.95</v>
      </c>
      <c r="AH467" s="0" t="n">
        <v>1211.95</v>
      </c>
      <c r="AI467" s="0" t="n">
        <v>33</v>
      </c>
    </row>
    <row r="468" customFormat="false" ht="14.9" hidden="false" customHeight="false" outlineLevel="0" collapsed="false">
      <c r="A468" s="0" t="n">
        <v>467</v>
      </c>
      <c r="B468" s="0" t="s">
        <v>328</v>
      </c>
      <c r="C468" s="33" t="s">
        <v>329</v>
      </c>
      <c r="D468" s="34" t="n">
        <v>46228</v>
      </c>
      <c r="E468" s="0" t="n">
        <v>480.21</v>
      </c>
      <c r="F468" s="0" t="n">
        <v>0</v>
      </c>
      <c r="G468" s="0" t="n">
        <v>828.5</v>
      </c>
      <c r="H468" s="0" t="n">
        <v>290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1598.71</v>
      </c>
      <c r="AH468" s="0" t="n">
        <v>1598.71</v>
      </c>
      <c r="AI468" s="0" t="n">
        <v>45</v>
      </c>
    </row>
    <row r="469" customFormat="false" ht="14.9" hidden="false" customHeight="false" outlineLevel="0" collapsed="false">
      <c r="A469" s="0" t="n">
        <v>468</v>
      </c>
      <c r="B469" s="0" t="s">
        <v>328</v>
      </c>
      <c r="C469" s="33" t="s">
        <v>329</v>
      </c>
      <c r="D469" s="34" t="n">
        <v>46217</v>
      </c>
      <c r="E469" s="0" t="n">
        <v>126.1</v>
      </c>
      <c r="F469" s="0" t="n">
        <v>0</v>
      </c>
      <c r="G469" s="0" t="n">
        <v>462.1</v>
      </c>
      <c r="H469" s="0" t="n">
        <v>113.8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10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712</v>
      </c>
      <c r="AH469" s="0" t="n">
        <v>712</v>
      </c>
      <c r="AI469" s="0" t="n">
        <v>22</v>
      </c>
    </row>
    <row r="470" customFormat="false" ht="14.9" hidden="false" customHeight="false" outlineLevel="0" collapsed="false">
      <c r="A470" s="0" t="n">
        <v>469</v>
      </c>
      <c r="B470" s="0" t="s">
        <v>328</v>
      </c>
      <c r="C470" s="33" t="s">
        <v>329</v>
      </c>
      <c r="D470" s="34" t="n">
        <v>46232</v>
      </c>
      <c r="E470" s="0" t="n">
        <v>418.8</v>
      </c>
      <c r="F470" s="0" t="n">
        <v>0</v>
      </c>
      <c r="G470" s="0" t="n">
        <v>462.4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20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901.2</v>
      </c>
      <c r="AH470" s="0" t="n">
        <v>901.2</v>
      </c>
      <c r="AI470" s="0" t="n">
        <v>26</v>
      </c>
    </row>
    <row r="471" customFormat="false" ht="14.9" hidden="false" customHeight="false" outlineLevel="0" collapsed="false">
      <c r="A471" s="0" t="n">
        <v>470</v>
      </c>
      <c r="B471" s="0" t="s">
        <v>328</v>
      </c>
      <c r="C471" s="33" t="s">
        <v>329</v>
      </c>
      <c r="D471" s="34" t="n">
        <v>46224</v>
      </c>
      <c r="E471" s="0" t="n">
        <v>430.77</v>
      </c>
      <c r="F471" s="0" t="n">
        <v>0</v>
      </c>
      <c r="G471" s="0" t="n">
        <v>680.41</v>
      </c>
      <c r="H471" s="0" t="n">
        <v>115.87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1227.05</v>
      </c>
      <c r="AH471" s="0" t="n">
        <v>1227.05</v>
      </c>
      <c r="AI471" s="0" t="n">
        <v>33</v>
      </c>
    </row>
    <row r="472" customFormat="false" ht="14.9" hidden="false" customHeight="false" outlineLevel="0" collapsed="false">
      <c r="A472" s="0" t="n">
        <v>471</v>
      </c>
      <c r="B472" s="0" t="s">
        <v>328</v>
      </c>
      <c r="C472" s="33" t="s">
        <v>329</v>
      </c>
      <c r="D472" s="34" t="n">
        <v>46225</v>
      </c>
      <c r="E472" s="0" t="n">
        <v>388.4</v>
      </c>
      <c r="F472" s="0" t="n">
        <v>0</v>
      </c>
      <c r="G472" s="0" t="n">
        <v>624.4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1012.8</v>
      </c>
      <c r="AH472" s="0" t="n">
        <v>1012.8</v>
      </c>
      <c r="AI472" s="0" t="n">
        <v>29</v>
      </c>
    </row>
    <row r="473" customFormat="false" ht="14.9" hidden="false" customHeight="false" outlineLevel="0" collapsed="false">
      <c r="A473" s="0" t="n">
        <v>472</v>
      </c>
      <c r="B473" s="0" t="s">
        <v>328</v>
      </c>
      <c r="C473" s="33" t="s">
        <v>329</v>
      </c>
      <c r="D473" s="34" t="n">
        <v>46231</v>
      </c>
      <c r="E473" s="0" t="n">
        <v>200.1</v>
      </c>
      <c r="F473" s="0" t="n">
        <v>0</v>
      </c>
      <c r="G473" s="0" t="n">
        <v>732.4</v>
      </c>
      <c r="H473" s="0" t="n">
        <v>125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23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1080.5</v>
      </c>
      <c r="AH473" s="0" t="n">
        <v>1080.5</v>
      </c>
      <c r="AI473" s="0" t="n">
        <v>37</v>
      </c>
    </row>
    <row r="474" customFormat="false" ht="14.9" hidden="false" customHeight="false" outlineLevel="0" collapsed="false">
      <c r="A474" s="0" t="n">
        <v>473</v>
      </c>
      <c r="B474" s="0" t="s">
        <v>328</v>
      </c>
      <c r="C474" s="33" t="s">
        <v>329</v>
      </c>
      <c r="D474" s="34" t="n">
        <v>46208</v>
      </c>
      <c r="E474" s="0" t="n">
        <v>268.3</v>
      </c>
      <c r="F474" s="0" t="n">
        <v>0</v>
      </c>
      <c r="G474" s="0" t="n">
        <v>497.7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766</v>
      </c>
      <c r="AH474" s="0" t="n">
        <v>766</v>
      </c>
      <c r="AI474" s="0" t="n">
        <v>26</v>
      </c>
    </row>
    <row r="475" customFormat="false" ht="14.9" hidden="false" customHeight="false" outlineLevel="0" collapsed="false">
      <c r="A475" s="0" t="n">
        <v>474</v>
      </c>
      <c r="B475" s="0" t="s">
        <v>328</v>
      </c>
      <c r="C475" s="33" t="s">
        <v>329</v>
      </c>
      <c r="D475" s="34" t="n">
        <v>46210</v>
      </c>
      <c r="E475" s="0" t="n">
        <v>204.7</v>
      </c>
      <c r="F475" s="0" t="n">
        <v>0</v>
      </c>
      <c r="G475" s="0" t="n">
        <v>836.55</v>
      </c>
      <c r="H475" s="0" t="n">
        <v>80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5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1126.25</v>
      </c>
      <c r="AH475" s="0" t="n">
        <v>1126.25</v>
      </c>
      <c r="AI475" s="0" t="n">
        <v>32</v>
      </c>
    </row>
    <row r="476" customFormat="false" ht="14.9" hidden="false" customHeight="false" outlineLevel="0" collapsed="false">
      <c r="A476" s="0" t="n">
        <v>475</v>
      </c>
      <c r="B476" s="0" t="s">
        <v>328</v>
      </c>
      <c r="C476" s="33" t="s">
        <v>329</v>
      </c>
      <c r="D476" s="34" t="n">
        <v>46226</v>
      </c>
      <c r="E476" s="0" t="n">
        <v>308.8</v>
      </c>
      <c r="F476" s="0" t="n">
        <v>0</v>
      </c>
      <c r="G476" s="0" t="n">
        <v>646.6</v>
      </c>
      <c r="H476" s="0" t="n">
        <v>199.5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5.1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1160</v>
      </c>
      <c r="AH476" s="0" t="n">
        <v>1160</v>
      </c>
      <c r="AI476" s="0" t="n">
        <v>32</v>
      </c>
    </row>
    <row r="477" customFormat="false" ht="14.9" hidden="false" customHeight="false" outlineLevel="0" collapsed="false">
      <c r="A477" s="0" t="n">
        <v>476</v>
      </c>
      <c r="B477" s="0" t="s">
        <v>328</v>
      </c>
      <c r="C477" s="33" t="s">
        <v>329</v>
      </c>
      <c r="D477" s="34" t="n">
        <v>46213</v>
      </c>
      <c r="E477" s="0" t="n">
        <v>161.4</v>
      </c>
      <c r="F477" s="0" t="n">
        <v>0</v>
      </c>
      <c r="G477" s="0" t="n">
        <v>510</v>
      </c>
      <c r="H477" s="0" t="n">
        <v>59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730.4</v>
      </c>
      <c r="AH477" s="0" t="n">
        <v>730.4</v>
      </c>
      <c r="AI477" s="0" t="n">
        <v>24</v>
      </c>
    </row>
    <row r="478" customFormat="false" ht="14.9" hidden="false" customHeight="false" outlineLevel="0" collapsed="false">
      <c r="A478" s="0" t="n">
        <v>477</v>
      </c>
      <c r="B478" s="0" t="s">
        <v>328</v>
      </c>
      <c r="C478" s="33" t="s">
        <v>329</v>
      </c>
      <c r="D478" s="34" t="n">
        <v>46234</v>
      </c>
      <c r="E478" s="0" t="n">
        <v>313.2</v>
      </c>
      <c r="F478" s="0" t="n">
        <v>0</v>
      </c>
      <c r="G478" s="0" t="n">
        <v>979.46</v>
      </c>
      <c r="H478" s="0" t="n">
        <v>74.7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73.1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1440.46</v>
      </c>
      <c r="AH478" s="0" t="n">
        <v>1440.46</v>
      </c>
      <c r="AI478" s="0" t="n">
        <v>31</v>
      </c>
    </row>
    <row r="479" customFormat="false" ht="14.9" hidden="false" customHeight="false" outlineLevel="0" collapsed="false">
      <c r="A479" s="0" t="n">
        <v>478</v>
      </c>
      <c r="B479" s="0" t="s">
        <v>328</v>
      </c>
      <c r="C479" s="33" t="s">
        <v>329</v>
      </c>
      <c r="D479" s="34" t="n">
        <v>46223</v>
      </c>
      <c r="E479" s="0" t="n">
        <v>760</v>
      </c>
      <c r="F479" s="0" t="n">
        <v>0</v>
      </c>
      <c r="G479" s="0" t="n">
        <v>1001.3</v>
      </c>
      <c r="H479" s="0" t="n">
        <v>256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2017.3</v>
      </c>
      <c r="AH479" s="0" t="n">
        <v>2017.3</v>
      </c>
      <c r="AI479" s="0" t="n">
        <v>40</v>
      </c>
    </row>
    <row r="480" customFormat="false" ht="14.9" hidden="false" customHeight="false" outlineLevel="0" collapsed="false">
      <c r="A480" s="0" t="n">
        <v>479</v>
      </c>
      <c r="B480" s="0" t="s">
        <v>328</v>
      </c>
      <c r="C480" s="33" t="s">
        <v>329</v>
      </c>
      <c r="D480" s="34" t="n">
        <v>46233</v>
      </c>
      <c r="E480" s="0" t="n">
        <v>524.9</v>
      </c>
      <c r="F480" s="0" t="n">
        <v>0</v>
      </c>
      <c r="G480" s="0" t="n">
        <v>1094.6</v>
      </c>
      <c r="H480" s="0" t="n">
        <v>240.4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65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1924.9</v>
      </c>
      <c r="AH480" s="0" t="n">
        <v>1924.9</v>
      </c>
      <c r="AI480" s="0" t="n">
        <v>44</v>
      </c>
    </row>
    <row r="481" customFormat="false" ht="14.9" hidden="false" customHeight="false" outlineLevel="0" collapsed="false">
      <c r="A481" s="0" t="n">
        <v>480</v>
      </c>
      <c r="B481" s="0" t="s">
        <v>328</v>
      </c>
      <c r="C481" s="33" t="s">
        <v>329</v>
      </c>
      <c r="D481" s="34" t="n">
        <v>46227</v>
      </c>
      <c r="E481" s="0" t="n">
        <v>359</v>
      </c>
      <c r="F481" s="0" t="n">
        <v>0</v>
      </c>
      <c r="G481" s="0" t="n">
        <v>558.7</v>
      </c>
      <c r="H481" s="0" t="n">
        <v>395.2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-2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1310.9</v>
      </c>
      <c r="AH481" s="0" t="n">
        <v>1310.9</v>
      </c>
      <c r="AI481" s="0" t="n">
        <v>35</v>
      </c>
    </row>
    <row r="482" customFormat="false" ht="14.9" hidden="false" customHeight="false" outlineLevel="0" collapsed="false">
      <c r="A482" s="0" t="n">
        <v>481</v>
      </c>
      <c r="B482" s="0" t="s">
        <v>328</v>
      </c>
      <c r="C482" s="33" t="s">
        <v>329</v>
      </c>
      <c r="D482" s="34" t="n">
        <v>46212</v>
      </c>
      <c r="E482" s="0" t="n">
        <v>330.95</v>
      </c>
      <c r="F482" s="0" t="n">
        <v>0</v>
      </c>
      <c r="G482" s="0" t="n">
        <v>522.5</v>
      </c>
      <c r="H482" s="0" t="n">
        <v>52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905.45</v>
      </c>
      <c r="AH482" s="0" t="n">
        <v>905.45</v>
      </c>
      <c r="AI482" s="0" t="n">
        <v>28</v>
      </c>
    </row>
    <row r="483" customFormat="false" ht="14.9" hidden="false" customHeight="false" outlineLevel="0" collapsed="false">
      <c r="A483" s="0" t="n">
        <v>482</v>
      </c>
      <c r="B483" s="0" t="s">
        <v>328</v>
      </c>
      <c r="C483" s="33" t="s">
        <v>329</v>
      </c>
      <c r="D483" s="34" t="n">
        <v>46211</v>
      </c>
      <c r="E483" s="0" t="n">
        <v>352.1</v>
      </c>
      <c r="F483" s="0" t="n">
        <v>0</v>
      </c>
      <c r="G483" s="0" t="n">
        <v>399.8</v>
      </c>
      <c r="H483" s="0" t="n">
        <v>203.9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18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973.8</v>
      </c>
      <c r="AH483" s="0" t="n">
        <v>973.8</v>
      </c>
      <c r="AI483" s="0" t="n">
        <v>26</v>
      </c>
    </row>
    <row r="484" customFormat="false" ht="14.9" hidden="false" customHeight="false" outlineLevel="0" collapsed="false">
      <c r="A484" s="0" t="n">
        <v>483</v>
      </c>
      <c r="B484" s="0" t="s">
        <v>328</v>
      </c>
      <c r="C484" s="33" t="s">
        <v>329</v>
      </c>
      <c r="D484" s="34" t="n">
        <v>46219</v>
      </c>
      <c r="E484" s="0" t="n">
        <v>422.28</v>
      </c>
      <c r="F484" s="0" t="n">
        <v>0</v>
      </c>
      <c r="G484" s="0" t="n">
        <v>1614.76</v>
      </c>
      <c r="H484" s="0" t="n">
        <v>328.5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5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2370.54</v>
      </c>
      <c r="AH484" s="0" t="n">
        <v>2370.54</v>
      </c>
      <c r="AI484" s="0" t="n">
        <v>40</v>
      </c>
    </row>
    <row r="485" customFormat="false" ht="14.9" hidden="false" customHeight="false" outlineLevel="0" collapsed="false">
      <c r="A485" s="0" t="n">
        <v>484</v>
      </c>
      <c r="B485" s="0" t="s">
        <v>328</v>
      </c>
      <c r="C485" s="33" t="s">
        <v>329</v>
      </c>
      <c r="D485" s="34" t="n">
        <v>46214</v>
      </c>
      <c r="E485" s="0" t="n">
        <v>304.94</v>
      </c>
      <c r="F485" s="0" t="n">
        <v>0</v>
      </c>
      <c r="G485" s="0" t="n">
        <v>1268.87</v>
      </c>
      <c r="H485" s="0" t="n">
        <v>119.46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1693.27</v>
      </c>
      <c r="AH485" s="0" t="n">
        <v>1693.27</v>
      </c>
      <c r="AI485" s="0" t="n">
        <v>39</v>
      </c>
    </row>
    <row r="486" customFormat="false" ht="14.9" hidden="false" customHeight="false" outlineLevel="0" collapsed="false">
      <c r="A486" s="0" t="n">
        <v>485</v>
      </c>
      <c r="B486" s="0" t="s">
        <v>328</v>
      </c>
      <c r="C486" s="33" t="s">
        <v>329</v>
      </c>
      <c r="D486" s="34" t="n">
        <v>46209</v>
      </c>
      <c r="E486" s="0" t="n">
        <v>446.11</v>
      </c>
      <c r="F486" s="0" t="n">
        <v>0</v>
      </c>
      <c r="G486" s="0" t="n">
        <v>792.17</v>
      </c>
      <c r="H486" s="0" t="n">
        <v>147.4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9.9</v>
      </c>
      <c r="W486" s="0" t="n">
        <v>15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1410.58</v>
      </c>
      <c r="AH486" s="0" t="n">
        <v>1410.58</v>
      </c>
      <c r="AI486" s="0" t="n">
        <v>37</v>
      </c>
    </row>
    <row r="487" customFormat="false" ht="14.9" hidden="false" customHeight="false" outlineLevel="0" collapsed="false">
      <c r="A487" s="0" t="n">
        <v>486</v>
      </c>
      <c r="B487" s="0" t="s">
        <v>328</v>
      </c>
      <c r="C487" s="33" t="s">
        <v>329</v>
      </c>
      <c r="D487" s="34" t="n">
        <v>46204</v>
      </c>
      <c r="E487" s="0" t="n">
        <v>968.15</v>
      </c>
      <c r="F487" s="0" t="n">
        <v>0</v>
      </c>
      <c r="G487" s="0" t="n">
        <v>1200.93</v>
      </c>
      <c r="H487" s="0" t="n">
        <v>46.16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5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2220.24</v>
      </c>
      <c r="AH487" s="0" t="n">
        <v>2220.24</v>
      </c>
      <c r="AI487" s="0" t="n">
        <v>38</v>
      </c>
    </row>
    <row r="488" customFormat="false" ht="14.9" hidden="false" customHeight="false" outlineLevel="0" collapsed="false">
      <c r="A488" s="0" t="n">
        <v>487</v>
      </c>
      <c r="B488" s="0" t="s">
        <v>328</v>
      </c>
      <c r="C488" s="33" t="s">
        <v>329</v>
      </c>
      <c r="D488" s="34" t="n">
        <v>46216</v>
      </c>
      <c r="E488" s="0" t="n">
        <v>189.6</v>
      </c>
      <c r="F488" s="0" t="n">
        <v>0</v>
      </c>
      <c r="G488" s="0" t="n">
        <v>295.7</v>
      </c>
      <c r="H488" s="0" t="n">
        <v>49.58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534.88</v>
      </c>
      <c r="AH488" s="0" t="n">
        <v>534.88</v>
      </c>
      <c r="AI488" s="0" t="n">
        <v>16</v>
      </c>
    </row>
    <row r="489" customFormat="false" ht="14.9" hidden="false" customHeight="false" outlineLevel="0" collapsed="false">
      <c r="A489" s="0" t="n">
        <v>488</v>
      </c>
      <c r="B489" s="0" t="s">
        <v>328</v>
      </c>
      <c r="C489" s="33" t="s">
        <v>329</v>
      </c>
      <c r="D489" s="34" t="n">
        <v>46215</v>
      </c>
      <c r="E489" s="0" t="n">
        <v>341.5</v>
      </c>
      <c r="F489" s="0" t="n">
        <v>0</v>
      </c>
      <c r="G489" s="0" t="n">
        <v>886</v>
      </c>
      <c r="H489" s="0" t="n">
        <v>22.6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1250.1</v>
      </c>
      <c r="AH489" s="0" t="n">
        <v>1250.1</v>
      </c>
      <c r="AI489" s="0" t="n">
        <v>16</v>
      </c>
    </row>
    <row r="490" customFormat="false" ht="14.9" hidden="false" customHeight="false" outlineLevel="0" collapsed="false">
      <c r="A490" s="0" t="n">
        <v>489</v>
      </c>
      <c r="B490" s="0" t="s">
        <v>328</v>
      </c>
      <c r="C490" s="33" t="s">
        <v>329</v>
      </c>
      <c r="D490" s="34" t="n">
        <v>46229</v>
      </c>
      <c r="E490" s="0" t="n">
        <v>273.6</v>
      </c>
      <c r="F490" s="0" t="n">
        <v>0</v>
      </c>
      <c r="G490" s="0" t="n">
        <v>970.79</v>
      </c>
      <c r="H490" s="0" t="n">
        <v>132.02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5.2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1381.61</v>
      </c>
      <c r="AH490" s="0" t="n">
        <v>1381.61</v>
      </c>
      <c r="AI490" s="0" t="n">
        <v>40</v>
      </c>
    </row>
    <row r="491" customFormat="false" ht="14.9" hidden="false" customHeight="false" outlineLevel="0" collapsed="false">
      <c r="A491" s="0" t="n">
        <v>490</v>
      </c>
      <c r="B491" s="0" t="s">
        <v>328</v>
      </c>
      <c r="C491" s="33" t="s">
        <v>329</v>
      </c>
      <c r="D491" s="34" t="n">
        <v>46207</v>
      </c>
      <c r="E491" s="0" t="n">
        <v>277.8</v>
      </c>
      <c r="F491" s="0" t="n">
        <v>0</v>
      </c>
      <c r="G491" s="0" t="n">
        <v>910.3</v>
      </c>
      <c r="H491" s="0" t="n">
        <v>150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3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1341.1</v>
      </c>
      <c r="AH491" s="0" t="n">
        <v>1341.1</v>
      </c>
      <c r="AI491" s="0" t="n">
        <v>36</v>
      </c>
    </row>
    <row r="492" customFormat="false" ht="14.9" hidden="false" customHeight="false" outlineLevel="0" collapsed="false">
      <c r="A492" s="0" t="n">
        <v>491</v>
      </c>
      <c r="B492" s="0" t="s">
        <v>328</v>
      </c>
      <c r="C492" s="33" t="s">
        <v>329</v>
      </c>
      <c r="D492" s="34" t="n">
        <v>46222</v>
      </c>
      <c r="E492" s="0" t="n">
        <v>186</v>
      </c>
      <c r="F492" s="0" t="n">
        <v>0</v>
      </c>
      <c r="G492" s="0" t="n">
        <v>1216.8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1402.8</v>
      </c>
      <c r="AH492" s="0" t="n">
        <v>1402.8</v>
      </c>
      <c r="AI492" s="0" t="n">
        <v>31</v>
      </c>
    </row>
    <row r="493" customFormat="false" ht="14.9" hidden="false" customHeight="false" outlineLevel="0" collapsed="false">
      <c r="A493" s="0" t="n">
        <v>492</v>
      </c>
      <c r="B493" s="0" t="s">
        <v>328</v>
      </c>
      <c r="C493" s="33" t="s">
        <v>329</v>
      </c>
      <c r="D493" s="34" t="n">
        <v>46220</v>
      </c>
      <c r="E493" s="0" t="n">
        <v>104.9</v>
      </c>
      <c r="F493" s="0" t="n">
        <v>0</v>
      </c>
      <c r="G493" s="0" t="n">
        <v>534.5</v>
      </c>
      <c r="H493" s="0" t="n">
        <v>39.8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0.03</v>
      </c>
      <c r="W493" s="0" t="n">
        <v>5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684.23</v>
      </c>
      <c r="AH493" s="0" t="n">
        <v>684.23</v>
      </c>
      <c r="AI493" s="0" t="n">
        <v>23</v>
      </c>
    </row>
    <row r="494" customFormat="false" ht="14.9" hidden="false" customHeight="false" outlineLevel="0" collapsed="false">
      <c r="A494" s="0" t="n">
        <v>493</v>
      </c>
      <c r="B494" s="0" t="s">
        <v>328</v>
      </c>
      <c r="C494" s="33" t="s">
        <v>329</v>
      </c>
      <c r="D494" s="34" t="n">
        <v>46221</v>
      </c>
      <c r="E494" s="0" t="n">
        <v>305.1</v>
      </c>
      <c r="F494" s="0" t="n">
        <v>0</v>
      </c>
      <c r="G494" s="0" t="n">
        <v>1089.4</v>
      </c>
      <c r="H494" s="0" t="n">
        <v>155.6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10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1560.1</v>
      </c>
      <c r="AH494" s="0" t="n">
        <v>1560.1</v>
      </c>
      <c r="AI494" s="0" t="n">
        <v>40</v>
      </c>
    </row>
    <row r="495" customFormat="false" ht="14.9" hidden="false" customHeight="false" outlineLevel="0" collapsed="false">
      <c r="A495" s="0" t="n">
        <v>494</v>
      </c>
      <c r="B495" s="0" t="s">
        <v>328</v>
      </c>
      <c r="C495" s="33" t="s">
        <v>329</v>
      </c>
      <c r="D495" s="34" t="n">
        <v>46218</v>
      </c>
      <c r="E495" s="0" t="n">
        <v>91.76</v>
      </c>
      <c r="F495" s="0" t="n">
        <v>0</v>
      </c>
      <c r="G495" s="0" t="n">
        <v>391.4</v>
      </c>
      <c r="H495" s="0" t="n">
        <v>124.8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0.01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607.97</v>
      </c>
      <c r="AH495" s="0" t="n">
        <v>607.97</v>
      </c>
      <c r="AI495" s="0" t="n">
        <v>17</v>
      </c>
    </row>
    <row r="496" customFormat="false" ht="14.9" hidden="false" customHeight="false" outlineLevel="0" collapsed="false">
      <c r="A496" s="0" t="n">
        <v>495</v>
      </c>
      <c r="B496" s="0" t="s">
        <v>328</v>
      </c>
      <c r="C496" s="33" t="s">
        <v>329</v>
      </c>
      <c r="D496" s="34" t="n">
        <v>46205</v>
      </c>
      <c r="E496" s="0" t="n">
        <v>386.9</v>
      </c>
      <c r="F496" s="0" t="n">
        <v>0</v>
      </c>
      <c r="G496" s="0" t="n">
        <v>606.7</v>
      </c>
      <c r="H496" s="0" t="n">
        <v>223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10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1226.6</v>
      </c>
      <c r="AH496" s="0" t="n">
        <v>1226.6</v>
      </c>
      <c r="AI496" s="0" t="n">
        <v>30</v>
      </c>
    </row>
    <row r="497" customFormat="false" ht="14.9" hidden="false" customHeight="false" outlineLevel="0" collapsed="false">
      <c r="A497" s="0" t="n">
        <v>496</v>
      </c>
      <c r="B497" s="0" t="s">
        <v>328</v>
      </c>
      <c r="C497" s="33" t="s">
        <v>329</v>
      </c>
      <c r="D497" s="34" t="n">
        <v>46230</v>
      </c>
      <c r="E497" s="0" t="n">
        <v>151.3</v>
      </c>
      <c r="F497" s="0" t="n">
        <v>0</v>
      </c>
      <c r="G497" s="0" t="n">
        <v>454.9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0.02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606.22</v>
      </c>
      <c r="AH497" s="0" t="n">
        <v>606.22</v>
      </c>
      <c r="AI497" s="0" t="n">
        <v>20</v>
      </c>
    </row>
    <row r="498" customFormat="false" ht="14.9" hidden="false" customHeight="false" outlineLevel="0" collapsed="false">
      <c r="A498" s="0" t="n">
        <v>497</v>
      </c>
      <c r="B498" s="0" t="s">
        <v>330</v>
      </c>
      <c r="C498" s="33" t="s">
        <v>331</v>
      </c>
      <c r="D498" s="34" t="n">
        <v>46234</v>
      </c>
      <c r="E498" s="0" t="n">
        <v>408.3</v>
      </c>
      <c r="F498" s="0" t="n">
        <v>0</v>
      </c>
      <c r="G498" s="0" t="n">
        <v>1657.5</v>
      </c>
      <c r="H498" s="0" t="n">
        <v>251.4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65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2382.2</v>
      </c>
      <c r="AH498" s="0" t="n">
        <v>2382.2</v>
      </c>
      <c r="AI498" s="0" t="n">
        <v>57</v>
      </c>
    </row>
    <row r="499" customFormat="false" ht="14.9" hidden="false" customHeight="false" outlineLevel="0" collapsed="false">
      <c r="A499" s="0" t="n">
        <v>498</v>
      </c>
      <c r="B499" s="0" t="s">
        <v>330</v>
      </c>
      <c r="C499" s="33" t="s">
        <v>331</v>
      </c>
      <c r="D499" s="34" t="n">
        <v>46231</v>
      </c>
      <c r="E499" s="0" t="n">
        <v>477.65</v>
      </c>
      <c r="F499" s="0" t="n">
        <v>0</v>
      </c>
      <c r="G499" s="0" t="n">
        <v>1893.43</v>
      </c>
      <c r="H499" s="0" t="n">
        <v>137.8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110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2618.88</v>
      </c>
      <c r="AH499" s="0" t="n">
        <v>2618.88</v>
      </c>
      <c r="AI499" s="0" t="n">
        <v>44</v>
      </c>
    </row>
    <row r="500" customFormat="false" ht="14.9" hidden="false" customHeight="false" outlineLevel="0" collapsed="false">
      <c r="A500" s="0" t="n">
        <v>499</v>
      </c>
      <c r="B500" s="0" t="s">
        <v>330</v>
      </c>
      <c r="C500" s="33" t="s">
        <v>331</v>
      </c>
      <c r="D500" s="34" t="n">
        <v>46210</v>
      </c>
      <c r="E500" s="0" t="n">
        <v>219.5</v>
      </c>
      <c r="F500" s="0" t="n">
        <v>0</v>
      </c>
      <c r="G500" s="0" t="n">
        <v>1635.7</v>
      </c>
      <c r="H500" s="0" t="n">
        <v>113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1968.2</v>
      </c>
      <c r="AH500" s="0" t="n">
        <v>1968.2</v>
      </c>
      <c r="AI500" s="0" t="n">
        <v>39</v>
      </c>
    </row>
    <row r="501" customFormat="false" ht="14.9" hidden="false" customHeight="false" outlineLevel="0" collapsed="false">
      <c r="A501" s="0" t="n">
        <v>500</v>
      </c>
      <c r="B501" s="0" t="s">
        <v>330</v>
      </c>
      <c r="C501" s="33" t="s">
        <v>331</v>
      </c>
      <c r="D501" s="34" t="n">
        <v>46218</v>
      </c>
      <c r="E501" s="0" t="n">
        <v>504.5</v>
      </c>
      <c r="F501" s="0" t="n">
        <v>0</v>
      </c>
      <c r="G501" s="0" t="n">
        <v>1225.9</v>
      </c>
      <c r="H501" s="0" t="n">
        <v>264.3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1994.7</v>
      </c>
      <c r="AH501" s="0" t="n">
        <v>1994.7</v>
      </c>
      <c r="AI501" s="0" t="n">
        <v>42</v>
      </c>
    </row>
    <row r="502" customFormat="false" ht="14.9" hidden="false" customHeight="false" outlineLevel="0" collapsed="false">
      <c r="A502" s="0" t="n">
        <v>501</v>
      </c>
      <c r="B502" s="0" t="s">
        <v>330</v>
      </c>
      <c r="C502" s="33" t="s">
        <v>331</v>
      </c>
      <c r="D502" s="34" t="n">
        <v>46225</v>
      </c>
      <c r="E502" s="0" t="n">
        <v>596.12</v>
      </c>
      <c r="F502" s="0" t="n">
        <v>0</v>
      </c>
      <c r="G502" s="0" t="n">
        <v>1175.08</v>
      </c>
      <c r="H502" s="0" t="n">
        <v>201.9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1973.1</v>
      </c>
      <c r="AH502" s="0" t="n">
        <v>1973.1</v>
      </c>
      <c r="AI502" s="0" t="n">
        <v>40</v>
      </c>
    </row>
    <row r="503" customFormat="false" ht="14.9" hidden="false" customHeight="false" outlineLevel="0" collapsed="false">
      <c r="A503" s="0" t="n">
        <v>502</v>
      </c>
      <c r="B503" s="0" t="s">
        <v>330</v>
      </c>
      <c r="C503" s="33" t="s">
        <v>331</v>
      </c>
      <c r="D503" s="34" t="n">
        <v>46212</v>
      </c>
      <c r="E503" s="0" t="n">
        <v>288</v>
      </c>
      <c r="F503" s="0" t="n">
        <v>0</v>
      </c>
      <c r="G503" s="0" t="n">
        <v>1741.4</v>
      </c>
      <c r="H503" s="0" t="n">
        <v>527.9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2557.3</v>
      </c>
      <c r="AH503" s="0" t="n">
        <v>2557.3</v>
      </c>
      <c r="AI503" s="0" t="n">
        <v>47</v>
      </c>
    </row>
    <row r="504" customFormat="false" ht="14.9" hidden="false" customHeight="false" outlineLevel="0" collapsed="false">
      <c r="A504" s="0" t="n">
        <v>503</v>
      </c>
      <c r="B504" s="0" t="s">
        <v>330</v>
      </c>
      <c r="C504" s="33" t="s">
        <v>331</v>
      </c>
      <c r="D504" s="34" t="n">
        <v>46209</v>
      </c>
      <c r="E504" s="0" t="n">
        <v>480.24</v>
      </c>
      <c r="F504" s="0" t="n">
        <v>0</v>
      </c>
      <c r="G504" s="0" t="n">
        <v>2834.8</v>
      </c>
      <c r="H504" s="0" t="n">
        <v>759.6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11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4085.64</v>
      </c>
      <c r="AH504" s="0" t="n">
        <v>4085.64</v>
      </c>
      <c r="AI504" s="0" t="n">
        <v>52</v>
      </c>
    </row>
    <row r="505" customFormat="false" ht="14.9" hidden="false" customHeight="false" outlineLevel="0" collapsed="false">
      <c r="A505" s="0" t="n">
        <v>504</v>
      </c>
      <c r="B505" s="0" t="s">
        <v>330</v>
      </c>
      <c r="C505" s="33" t="s">
        <v>331</v>
      </c>
      <c r="D505" s="34" t="n">
        <v>46230</v>
      </c>
      <c r="E505" s="0" t="n">
        <v>24.6</v>
      </c>
      <c r="F505" s="0" t="n">
        <v>0</v>
      </c>
      <c r="G505" s="0" t="n">
        <v>1921.76</v>
      </c>
      <c r="H505" s="0" t="n">
        <v>285.9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25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2257.26</v>
      </c>
      <c r="AH505" s="0" t="n">
        <v>2257.26</v>
      </c>
      <c r="AI505" s="0" t="n">
        <v>44</v>
      </c>
    </row>
    <row r="506" customFormat="false" ht="14.9" hidden="false" customHeight="false" outlineLevel="0" collapsed="false">
      <c r="A506" s="0" t="n">
        <v>505</v>
      </c>
      <c r="B506" s="0" t="s">
        <v>330</v>
      </c>
      <c r="C506" s="33" t="s">
        <v>331</v>
      </c>
      <c r="D506" s="34" t="n">
        <v>46229</v>
      </c>
      <c r="E506" s="0" t="n">
        <v>1134.41</v>
      </c>
      <c r="F506" s="0" t="n">
        <v>0</v>
      </c>
      <c r="G506" s="0" t="n">
        <v>1558.68</v>
      </c>
      <c r="H506" s="0" t="n">
        <v>154.3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10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2857.39</v>
      </c>
      <c r="AH506" s="0" t="n">
        <v>2857.39</v>
      </c>
      <c r="AI506" s="0" t="n">
        <v>58</v>
      </c>
    </row>
    <row r="507" customFormat="false" ht="14.9" hidden="false" customHeight="false" outlineLevel="0" collapsed="false">
      <c r="A507" s="0" t="n">
        <v>506</v>
      </c>
      <c r="B507" s="0" t="s">
        <v>330</v>
      </c>
      <c r="C507" s="33" t="s">
        <v>331</v>
      </c>
      <c r="D507" s="34" t="n">
        <v>46228</v>
      </c>
      <c r="E507" s="0" t="n">
        <v>523</v>
      </c>
      <c r="F507" s="0" t="n">
        <v>0</v>
      </c>
      <c r="G507" s="0" t="n">
        <v>554.7</v>
      </c>
      <c r="H507" s="0" t="n">
        <v>414.5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5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1497.2</v>
      </c>
      <c r="AH507" s="0" t="n">
        <v>1497.2</v>
      </c>
      <c r="AI507" s="0" t="n">
        <v>30</v>
      </c>
    </row>
    <row r="508" customFormat="false" ht="14.9" hidden="false" customHeight="false" outlineLevel="0" collapsed="false">
      <c r="A508" s="0" t="n">
        <v>507</v>
      </c>
      <c r="B508" s="0" t="s">
        <v>330</v>
      </c>
      <c r="C508" s="33" t="s">
        <v>331</v>
      </c>
      <c r="D508" s="34" t="n">
        <v>46227</v>
      </c>
      <c r="E508" s="0" t="n">
        <v>426.8</v>
      </c>
      <c r="F508" s="0" t="n">
        <v>0</v>
      </c>
      <c r="G508" s="0" t="n">
        <v>861.28</v>
      </c>
      <c r="H508" s="0" t="n">
        <v>106.18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1394.26</v>
      </c>
      <c r="AH508" s="0" t="n">
        <v>1394.26</v>
      </c>
      <c r="AI508" s="0" t="n">
        <v>35</v>
      </c>
    </row>
    <row r="509" customFormat="false" ht="14.9" hidden="false" customHeight="false" outlineLevel="0" collapsed="false">
      <c r="A509" s="0" t="n">
        <v>508</v>
      </c>
      <c r="B509" s="0" t="s">
        <v>330</v>
      </c>
      <c r="C509" s="33" t="s">
        <v>331</v>
      </c>
      <c r="D509" s="34" t="n">
        <v>46217</v>
      </c>
      <c r="E509" s="0" t="n">
        <v>386.1</v>
      </c>
      <c r="F509" s="0" t="n">
        <v>0</v>
      </c>
      <c r="G509" s="0" t="n">
        <v>1127.1</v>
      </c>
      <c r="H509" s="0" t="n">
        <v>116.9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0.1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1630.2</v>
      </c>
      <c r="AH509" s="0" t="n">
        <v>1630.2</v>
      </c>
      <c r="AI509" s="0" t="n">
        <v>33</v>
      </c>
    </row>
    <row r="510" customFormat="false" ht="14.9" hidden="false" customHeight="false" outlineLevel="0" collapsed="false">
      <c r="A510" s="0" t="n">
        <v>509</v>
      </c>
      <c r="B510" s="0" t="s">
        <v>330</v>
      </c>
      <c r="C510" s="33" t="s">
        <v>331</v>
      </c>
      <c r="D510" s="34" t="n">
        <v>46222</v>
      </c>
      <c r="E510" s="0" t="n">
        <v>216</v>
      </c>
      <c r="F510" s="0" t="n">
        <v>0</v>
      </c>
      <c r="G510" s="0" t="n">
        <v>2380.59</v>
      </c>
      <c r="H510" s="0" t="n">
        <v>436.1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3032.69</v>
      </c>
      <c r="AH510" s="0" t="n">
        <v>3032.69</v>
      </c>
      <c r="AI510" s="0" t="n">
        <v>58</v>
      </c>
    </row>
    <row r="511" customFormat="false" ht="14.9" hidden="false" customHeight="false" outlineLevel="0" collapsed="false">
      <c r="A511" s="0" t="n">
        <v>510</v>
      </c>
      <c r="B511" s="0" t="s">
        <v>330</v>
      </c>
      <c r="C511" s="33" t="s">
        <v>331</v>
      </c>
      <c r="D511" s="34" t="n">
        <v>46232</v>
      </c>
      <c r="E511" s="0" t="n">
        <v>727.7</v>
      </c>
      <c r="F511" s="0" t="n">
        <v>0</v>
      </c>
      <c r="G511" s="0" t="n">
        <v>1541.06</v>
      </c>
      <c r="H511" s="0" t="n">
        <v>239.5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20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2528.26</v>
      </c>
      <c r="AH511" s="0" t="n">
        <v>2528.26</v>
      </c>
      <c r="AI511" s="0" t="n">
        <v>44</v>
      </c>
    </row>
    <row r="512" customFormat="false" ht="14.9" hidden="false" customHeight="false" outlineLevel="0" collapsed="false">
      <c r="A512" s="0" t="n">
        <v>511</v>
      </c>
      <c r="B512" s="0" t="s">
        <v>330</v>
      </c>
      <c r="C512" s="33" t="s">
        <v>331</v>
      </c>
      <c r="D512" s="34" t="n">
        <v>46226</v>
      </c>
      <c r="E512" s="0" t="n">
        <v>546.6</v>
      </c>
      <c r="F512" s="0" t="n">
        <v>0</v>
      </c>
      <c r="G512" s="0" t="n">
        <v>1460.8</v>
      </c>
      <c r="H512" s="0" t="n">
        <v>107.7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2115.1</v>
      </c>
      <c r="AH512" s="0" t="n">
        <v>2115.1</v>
      </c>
      <c r="AI512" s="0" t="n">
        <v>45</v>
      </c>
    </row>
    <row r="513" customFormat="false" ht="14.9" hidden="false" customHeight="false" outlineLevel="0" collapsed="false">
      <c r="A513" s="0" t="n">
        <v>512</v>
      </c>
      <c r="B513" s="0" t="s">
        <v>330</v>
      </c>
      <c r="C513" s="33" t="s">
        <v>331</v>
      </c>
      <c r="D513" s="34" t="n">
        <v>46223</v>
      </c>
      <c r="E513" s="0" t="n">
        <v>310.1</v>
      </c>
      <c r="F513" s="0" t="n">
        <v>0</v>
      </c>
      <c r="G513" s="0" t="n">
        <v>1002.8</v>
      </c>
      <c r="H513" s="0" t="n">
        <v>74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11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1397.9</v>
      </c>
      <c r="AH513" s="0" t="n">
        <v>1397.9</v>
      </c>
      <c r="AI513" s="0" t="n">
        <v>36</v>
      </c>
    </row>
    <row r="514" customFormat="false" ht="14.9" hidden="false" customHeight="false" outlineLevel="0" collapsed="false">
      <c r="A514" s="0" t="n">
        <v>513</v>
      </c>
      <c r="B514" s="0" t="s">
        <v>330</v>
      </c>
      <c r="C514" s="33" t="s">
        <v>331</v>
      </c>
      <c r="D514" s="34" t="n">
        <v>46207</v>
      </c>
      <c r="E514" s="0" t="n">
        <v>600.2</v>
      </c>
      <c r="F514" s="0" t="n">
        <v>0</v>
      </c>
      <c r="G514" s="0" t="n">
        <v>1239.95</v>
      </c>
      <c r="H514" s="0" t="n">
        <v>321.4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2161.55</v>
      </c>
      <c r="AH514" s="0" t="n">
        <v>2161.55</v>
      </c>
      <c r="AI514" s="0" t="n">
        <v>47</v>
      </c>
    </row>
    <row r="515" customFormat="false" ht="14.9" hidden="false" customHeight="false" outlineLevel="0" collapsed="false">
      <c r="A515" s="0" t="n">
        <v>514</v>
      </c>
      <c r="B515" s="0" t="s">
        <v>330</v>
      </c>
      <c r="C515" s="33" t="s">
        <v>331</v>
      </c>
      <c r="D515" s="34" t="n">
        <v>46221</v>
      </c>
      <c r="E515" s="0" t="n">
        <v>599.18</v>
      </c>
      <c r="F515" s="0" t="n">
        <v>0</v>
      </c>
      <c r="G515" s="0" t="n">
        <v>993</v>
      </c>
      <c r="H515" s="0" t="n">
        <v>203.5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1795.68</v>
      </c>
      <c r="AH515" s="0" t="n">
        <v>1795.68</v>
      </c>
      <c r="AI515" s="0" t="n">
        <v>40</v>
      </c>
    </row>
    <row r="516" customFormat="false" ht="14.9" hidden="false" customHeight="false" outlineLevel="0" collapsed="false">
      <c r="A516" s="0" t="n">
        <v>515</v>
      </c>
      <c r="B516" s="0" t="s">
        <v>330</v>
      </c>
      <c r="C516" s="33" t="s">
        <v>331</v>
      </c>
      <c r="D516" s="34" t="n">
        <v>46219</v>
      </c>
      <c r="E516" s="0" t="n">
        <v>1163.69</v>
      </c>
      <c r="F516" s="0" t="n">
        <v>0</v>
      </c>
      <c r="G516" s="0" t="n">
        <v>1744.28</v>
      </c>
      <c r="H516" s="0" t="n">
        <v>103.4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5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3016.37</v>
      </c>
      <c r="AH516" s="0" t="n">
        <v>3016.37</v>
      </c>
      <c r="AI516" s="0" t="n">
        <v>52</v>
      </c>
    </row>
    <row r="517" customFormat="false" ht="14.9" hidden="false" customHeight="false" outlineLevel="0" collapsed="false">
      <c r="A517" s="0" t="n">
        <v>516</v>
      </c>
      <c r="B517" s="0" t="s">
        <v>330</v>
      </c>
      <c r="C517" s="33" t="s">
        <v>331</v>
      </c>
      <c r="D517" s="34" t="n">
        <v>46205</v>
      </c>
      <c r="E517" s="0" t="n">
        <v>356.9</v>
      </c>
      <c r="F517" s="0" t="n">
        <v>0</v>
      </c>
      <c r="G517" s="0" t="n">
        <v>1323</v>
      </c>
      <c r="H517" s="0" t="n">
        <v>36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33</v>
      </c>
      <c r="T517" s="0" t="n">
        <v>0</v>
      </c>
      <c r="U517" s="0" t="n">
        <v>0</v>
      </c>
      <c r="V517" s="0" t="n">
        <v>0</v>
      </c>
      <c r="W517" s="0" t="n">
        <v>5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1753.9</v>
      </c>
      <c r="AH517" s="0" t="n">
        <v>1753.9</v>
      </c>
      <c r="AI517" s="0" t="n">
        <v>40</v>
      </c>
    </row>
    <row r="518" customFormat="false" ht="14.9" hidden="false" customHeight="false" outlineLevel="0" collapsed="false">
      <c r="A518" s="0" t="n">
        <v>517</v>
      </c>
      <c r="B518" s="0" t="s">
        <v>330</v>
      </c>
      <c r="C518" s="33" t="s">
        <v>331</v>
      </c>
      <c r="D518" s="34" t="n">
        <v>46214</v>
      </c>
      <c r="E518" s="0" t="n">
        <v>403.5</v>
      </c>
      <c r="F518" s="0" t="n">
        <v>0</v>
      </c>
      <c r="G518" s="0" t="n">
        <v>3298.69</v>
      </c>
      <c r="H518" s="0" t="n">
        <v>447.57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5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4154.76</v>
      </c>
      <c r="AH518" s="0" t="n">
        <v>4154.76</v>
      </c>
      <c r="AI518" s="0" t="n">
        <v>51</v>
      </c>
    </row>
    <row r="519" customFormat="false" ht="14.9" hidden="false" customHeight="false" outlineLevel="0" collapsed="false">
      <c r="A519" s="0" t="n">
        <v>518</v>
      </c>
      <c r="B519" s="0" t="s">
        <v>330</v>
      </c>
      <c r="C519" s="33" t="s">
        <v>331</v>
      </c>
      <c r="D519" s="34" t="n">
        <v>46206</v>
      </c>
      <c r="E519" s="0" t="n">
        <v>242.2</v>
      </c>
      <c r="F519" s="0" t="n">
        <v>0</v>
      </c>
      <c r="G519" s="0" t="n">
        <v>1283.6</v>
      </c>
      <c r="H519" s="0" t="n">
        <v>439.3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1965.1</v>
      </c>
      <c r="AH519" s="0" t="n">
        <v>1965.1</v>
      </c>
      <c r="AI519" s="0" t="n">
        <v>42</v>
      </c>
    </row>
    <row r="520" customFormat="false" ht="14.9" hidden="false" customHeight="false" outlineLevel="0" collapsed="false">
      <c r="A520" s="0" t="n">
        <v>519</v>
      </c>
      <c r="B520" s="0" t="s">
        <v>330</v>
      </c>
      <c r="C520" s="33" t="s">
        <v>331</v>
      </c>
      <c r="D520" s="34" t="n">
        <v>46213</v>
      </c>
      <c r="E520" s="0" t="n">
        <v>348.4</v>
      </c>
      <c r="F520" s="0" t="n">
        <v>0</v>
      </c>
      <c r="G520" s="0" t="n">
        <v>1013.2</v>
      </c>
      <c r="H520" s="0" t="n">
        <v>29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1390.6</v>
      </c>
      <c r="AH520" s="0" t="n">
        <v>1390.6</v>
      </c>
      <c r="AI520" s="0" t="n">
        <v>32</v>
      </c>
    </row>
    <row r="521" customFormat="false" ht="14.9" hidden="false" customHeight="false" outlineLevel="0" collapsed="false">
      <c r="A521" s="0" t="n">
        <v>520</v>
      </c>
      <c r="B521" s="0" t="s">
        <v>330</v>
      </c>
      <c r="C521" s="33" t="s">
        <v>331</v>
      </c>
      <c r="D521" s="34" t="n">
        <v>46220</v>
      </c>
      <c r="E521" s="0" t="n">
        <v>264</v>
      </c>
      <c r="F521" s="0" t="n">
        <v>0</v>
      </c>
      <c r="G521" s="0" t="n">
        <v>1520.9</v>
      </c>
      <c r="H521" s="0" t="n">
        <v>237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37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2058.9</v>
      </c>
      <c r="AH521" s="0" t="n">
        <v>2058.9</v>
      </c>
      <c r="AI521" s="0" t="n">
        <v>39</v>
      </c>
    </row>
    <row r="522" customFormat="false" ht="14.9" hidden="false" customHeight="false" outlineLevel="0" collapsed="false">
      <c r="A522" s="0" t="n">
        <v>521</v>
      </c>
      <c r="B522" s="0" t="s">
        <v>330</v>
      </c>
      <c r="C522" s="33" t="s">
        <v>331</v>
      </c>
      <c r="D522" s="34" t="n">
        <v>46216</v>
      </c>
      <c r="E522" s="0" t="n">
        <v>333.8</v>
      </c>
      <c r="F522" s="0" t="n">
        <v>0</v>
      </c>
      <c r="G522" s="0" t="n">
        <v>2699.45</v>
      </c>
      <c r="H522" s="0" t="n">
        <v>127.7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3160.95</v>
      </c>
      <c r="AH522" s="0" t="n">
        <v>3160.95</v>
      </c>
      <c r="AI522" s="0" t="n">
        <v>53</v>
      </c>
    </row>
    <row r="523" customFormat="false" ht="14.9" hidden="false" customHeight="false" outlineLevel="0" collapsed="false">
      <c r="A523" s="0" t="n">
        <v>522</v>
      </c>
      <c r="B523" s="0" t="s">
        <v>330</v>
      </c>
      <c r="C523" s="33" t="s">
        <v>331</v>
      </c>
      <c r="D523" s="34" t="n">
        <v>46215</v>
      </c>
      <c r="E523" s="0" t="n">
        <v>412.9</v>
      </c>
      <c r="F523" s="0" t="n">
        <v>0</v>
      </c>
      <c r="G523" s="0" t="n">
        <v>2023.36</v>
      </c>
      <c r="H523" s="0" t="n">
        <v>569.1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16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3021.36</v>
      </c>
      <c r="AH523" s="0" t="n">
        <v>3021.36</v>
      </c>
      <c r="AI523" s="0" t="n">
        <v>53</v>
      </c>
    </row>
    <row r="524" customFormat="false" ht="14.9" hidden="false" customHeight="false" outlineLevel="0" collapsed="false">
      <c r="A524" s="0" t="n">
        <v>523</v>
      </c>
      <c r="B524" s="0" t="s">
        <v>330</v>
      </c>
      <c r="C524" s="33" t="s">
        <v>331</v>
      </c>
      <c r="D524" s="34" t="n">
        <v>46211</v>
      </c>
      <c r="E524" s="0" t="n">
        <v>484.3</v>
      </c>
      <c r="F524" s="0" t="n">
        <v>0</v>
      </c>
      <c r="G524" s="0" t="n">
        <v>763.1</v>
      </c>
      <c r="H524" s="0" t="n">
        <v>28.9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1276.3</v>
      </c>
      <c r="AH524" s="0" t="n">
        <v>1276.3</v>
      </c>
      <c r="AI524" s="0" t="n">
        <v>38</v>
      </c>
    </row>
    <row r="525" customFormat="false" ht="14.9" hidden="false" customHeight="false" outlineLevel="0" collapsed="false">
      <c r="A525" s="0" t="n">
        <v>524</v>
      </c>
      <c r="B525" s="0" t="s">
        <v>330</v>
      </c>
      <c r="C525" s="33" t="s">
        <v>331</v>
      </c>
      <c r="D525" s="34" t="n">
        <v>46204</v>
      </c>
      <c r="E525" s="0" t="n">
        <v>489.08</v>
      </c>
      <c r="F525" s="0" t="n">
        <v>0</v>
      </c>
      <c r="G525" s="0" t="n">
        <v>1179.33</v>
      </c>
      <c r="H525" s="0" t="n">
        <v>348.88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2017.29</v>
      </c>
      <c r="AH525" s="0" t="n">
        <v>2017.29</v>
      </c>
      <c r="AI525" s="0" t="n">
        <v>44</v>
      </c>
    </row>
    <row r="526" customFormat="false" ht="14.9" hidden="false" customHeight="false" outlineLevel="0" collapsed="false">
      <c r="A526" s="0" t="n">
        <v>525</v>
      </c>
      <c r="B526" s="0" t="s">
        <v>330</v>
      </c>
      <c r="C526" s="33" t="s">
        <v>331</v>
      </c>
      <c r="D526" s="34" t="n">
        <v>46208</v>
      </c>
      <c r="E526" s="0" t="n">
        <v>393.16</v>
      </c>
      <c r="F526" s="0" t="n">
        <v>0</v>
      </c>
      <c r="G526" s="0" t="n">
        <v>1023.08</v>
      </c>
      <c r="H526" s="0" t="n">
        <v>520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18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1954.24</v>
      </c>
      <c r="AH526" s="0" t="n">
        <v>1954.24</v>
      </c>
      <c r="AI526" s="0" t="n">
        <v>34</v>
      </c>
    </row>
    <row r="527" customFormat="false" ht="14.9" hidden="false" customHeight="false" outlineLevel="0" collapsed="false">
      <c r="A527" s="0" t="n">
        <v>526</v>
      </c>
      <c r="B527" s="0" t="s">
        <v>330</v>
      </c>
      <c r="C527" s="33" t="s">
        <v>331</v>
      </c>
      <c r="D527" s="34" t="n">
        <v>46233</v>
      </c>
      <c r="E527" s="0" t="n">
        <v>382.4</v>
      </c>
      <c r="F527" s="0" t="n">
        <v>0</v>
      </c>
      <c r="G527" s="0" t="n">
        <v>1498.4</v>
      </c>
      <c r="H527" s="0" t="n">
        <v>137.8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n">
        <v>45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2063.6</v>
      </c>
      <c r="AH527" s="0" t="n">
        <v>2063.6</v>
      </c>
      <c r="AI527" s="0" t="n">
        <v>45</v>
      </c>
    </row>
    <row r="528" customFormat="false" ht="14.9" hidden="false" customHeight="false" outlineLevel="0" collapsed="false">
      <c r="A528" s="0" t="n">
        <v>527</v>
      </c>
      <c r="B528" s="0" t="s">
        <v>330</v>
      </c>
      <c r="C528" s="33" t="s">
        <v>331</v>
      </c>
      <c r="D528" s="34" t="n">
        <v>46224</v>
      </c>
      <c r="E528" s="0" t="n">
        <v>625.22</v>
      </c>
      <c r="F528" s="0" t="n">
        <v>0</v>
      </c>
      <c r="G528" s="0" t="n">
        <v>1799.96</v>
      </c>
      <c r="H528" s="0" t="n">
        <v>207.89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5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2638.07</v>
      </c>
      <c r="AH528" s="0" t="n">
        <v>2638.07</v>
      </c>
      <c r="AI528" s="0" t="n">
        <v>57</v>
      </c>
    </row>
    <row r="529" customFormat="false" ht="14.9" hidden="false" customHeight="false" outlineLevel="0" collapsed="false">
      <c r="A529" s="0" t="n">
        <v>528</v>
      </c>
      <c r="B529" s="0" t="s">
        <v>332</v>
      </c>
      <c r="C529" s="33" t="s">
        <v>333</v>
      </c>
      <c r="D529" s="34" t="n">
        <v>46219</v>
      </c>
      <c r="E529" s="0" t="n">
        <v>160.5</v>
      </c>
      <c r="F529" s="0" t="n">
        <v>0</v>
      </c>
      <c r="G529" s="0" t="n">
        <v>1710.62</v>
      </c>
      <c r="H529" s="0" t="n">
        <v>172.8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3.91</v>
      </c>
      <c r="W529" s="0" t="n">
        <v>38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2085.83</v>
      </c>
      <c r="AH529" s="0" t="n">
        <v>2085.83</v>
      </c>
      <c r="AI529" s="0" t="n">
        <v>34</v>
      </c>
    </row>
    <row r="530" customFormat="false" ht="14.9" hidden="false" customHeight="false" outlineLevel="0" collapsed="false">
      <c r="A530" s="0" t="n">
        <v>529</v>
      </c>
      <c r="B530" s="0" t="s">
        <v>332</v>
      </c>
      <c r="C530" s="33" t="s">
        <v>333</v>
      </c>
      <c r="D530" s="34" t="n">
        <v>46215</v>
      </c>
      <c r="E530" s="0" t="n">
        <v>444.8</v>
      </c>
      <c r="F530" s="0" t="n">
        <v>0</v>
      </c>
      <c r="G530" s="0" t="n">
        <v>549.6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0.06</v>
      </c>
      <c r="W530" s="0" t="n">
        <v>23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1017.46</v>
      </c>
      <c r="AH530" s="0" t="n">
        <v>1017.46</v>
      </c>
      <c r="AI530" s="0" t="n">
        <v>19</v>
      </c>
    </row>
    <row r="531" customFormat="false" ht="14.9" hidden="false" customHeight="false" outlineLevel="0" collapsed="false">
      <c r="A531" s="0" t="n">
        <v>530</v>
      </c>
      <c r="B531" s="0" t="s">
        <v>332</v>
      </c>
      <c r="C531" s="33" t="s">
        <v>333</v>
      </c>
      <c r="D531" s="34" t="n">
        <v>46205</v>
      </c>
      <c r="E531" s="0" t="n">
        <v>138.5</v>
      </c>
      <c r="F531" s="0" t="n">
        <v>0</v>
      </c>
      <c r="G531" s="0" t="n">
        <v>892</v>
      </c>
      <c r="H531" s="0" t="n">
        <v>884.6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15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1930.1</v>
      </c>
      <c r="AH531" s="0" t="n">
        <v>1930.1</v>
      </c>
      <c r="AI531" s="0" t="n">
        <v>29</v>
      </c>
    </row>
    <row r="532" customFormat="false" ht="14.9" hidden="false" customHeight="false" outlineLevel="0" collapsed="false">
      <c r="A532" s="0" t="n">
        <v>531</v>
      </c>
      <c r="B532" s="0" t="s">
        <v>332</v>
      </c>
      <c r="C532" s="33" t="s">
        <v>333</v>
      </c>
      <c r="D532" s="34" t="n">
        <v>46217</v>
      </c>
      <c r="E532" s="0" t="n">
        <v>245.81</v>
      </c>
      <c r="F532" s="0" t="n">
        <v>0</v>
      </c>
      <c r="G532" s="0" t="n">
        <v>990.65</v>
      </c>
      <c r="H532" s="0" t="n">
        <v>264.6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0.02</v>
      </c>
      <c r="W532" s="0" t="n">
        <v>20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1521.08</v>
      </c>
      <c r="AH532" s="0" t="n">
        <v>1521.08</v>
      </c>
      <c r="AI532" s="0" t="n">
        <v>23</v>
      </c>
    </row>
    <row r="533" customFormat="false" ht="14.9" hidden="false" customHeight="false" outlineLevel="0" collapsed="false">
      <c r="A533" s="0" t="n">
        <v>532</v>
      </c>
      <c r="B533" s="0" t="s">
        <v>332</v>
      </c>
      <c r="C533" s="33" t="s">
        <v>333</v>
      </c>
      <c r="D533" s="34" t="n">
        <v>46207</v>
      </c>
      <c r="E533" s="0" t="n">
        <v>217.6</v>
      </c>
      <c r="F533" s="0" t="n">
        <v>0</v>
      </c>
      <c r="G533" s="0" t="n">
        <v>537.2</v>
      </c>
      <c r="H533" s="0" t="n">
        <v>39.2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794</v>
      </c>
      <c r="AH533" s="0" t="n">
        <v>794</v>
      </c>
      <c r="AI533" s="0" t="n">
        <v>16</v>
      </c>
    </row>
    <row r="534" customFormat="false" ht="14.9" hidden="false" customHeight="false" outlineLevel="0" collapsed="false">
      <c r="A534" s="0" t="n">
        <v>533</v>
      </c>
      <c r="B534" s="0" t="s">
        <v>332</v>
      </c>
      <c r="C534" s="33" t="s">
        <v>333</v>
      </c>
      <c r="D534" s="34" t="n">
        <v>46230</v>
      </c>
      <c r="E534" s="0" t="n">
        <v>372.9</v>
      </c>
      <c r="F534" s="0" t="n">
        <v>0</v>
      </c>
      <c r="G534" s="0" t="n">
        <v>1144.51</v>
      </c>
      <c r="H534" s="0" t="n">
        <v>29.7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125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1672.11</v>
      </c>
      <c r="AH534" s="0" t="n">
        <v>1672.11</v>
      </c>
      <c r="AI534" s="0" t="n">
        <v>30</v>
      </c>
    </row>
    <row r="535" customFormat="false" ht="14.9" hidden="false" customHeight="false" outlineLevel="0" collapsed="false">
      <c r="A535" s="0" t="n">
        <v>534</v>
      </c>
      <c r="B535" s="0" t="s">
        <v>332</v>
      </c>
      <c r="C535" s="33" t="s">
        <v>333</v>
      </c>
      <c r="D535" s="34" t="n">
        <v>46204</v>
      </c>
      <c r="E535" s="0" t="n">
        <v>644.45</v>
      </c>
      <c r="F535" s="0" t="n">
        <v>0</v>
      </c>
      <c r="G535" s="0" t="n">
        <v>859.18</v>
      </c>
      <c r="H535" s="0" t="n">
        <v>201.55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40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1745.18</v>
      </c>
      <c r="AH535" s="0" t="n">
        <v>1745.18</v>
      </c>
      <c r="AI535" s="0" t="n">
        <v>26</v>
      </c>
    </row>
    <row r="536" customFormat="false" ht="14.9" hidden="false" customHeight="false" outlineLevel="0" collapsed="false">
      <c r="A536" s="0" t="n">
        <v>535</v>
      </c>
      <c r="B536" s="0" t="s">
        <v>332</v>
      </c>
      <c r="C536" s="33" t="s">
        <v>333</v>
      </c>
      <c r="D536" s="34" t="n">
        <v>46218</v>
      </c>
      <c r="E536" s="0" t="n">
        <v>278.8</v>
      </c>
      <c r="F536" s="0" t="n">
        <v>0</v>
      </c>
      <c r="G536" s="0" t="n">
        <v>599.3</v>
      </c>
      <c r="H536" s="0" t="n">
        <v>490.9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0.01</v>
      </c>
      <c r="W536" s="0" t="n">
        <v>23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1392.01</v>
      </c>
      <c r="AH536" s="0" t="n">
        <v>1392.01</v>
      </c>
      <c r="AI536" s="0" t="n">
        <v>21</v>
      </c>
    </row>
    <row r="537" customFormat="false" ht="14.9" hidden="false" customHeight="false" outlineLevel="0" collapsed="false">
      <c r="A537" s="0" t="n">
        <v>536</v>
      </c>
      <c r="B537" s="0" t="s">
        <v>332</v>
      </c>
      <c r="C537" s="33" t="s">
        <v>333</v>
      </c>
      <c r="D537" s="34" t="n">
        <v>46209</v>
      </c>
      <c r="E537" s="0" t="n">
        <v>309.4</v>
      </c>
      <c r="F537" s="0" t="n">
        <v>0</v>
      </c>
      <c r="G537" s="0" t="n">
        <v>1857.6</v>
      </c>
      <c r="H537" s="0" t="n">
        <v>170.6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9.9</v>
      </c>
      <c r="W537" s="0" t="n">
        <v>28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2375.5</v>
      </c>
      <c r="AH537" s="0" t="n">
        <v>2375.5</v>
      </c>
      <c r="AI537" s="0" t="n">
        <v>25</v>
      </c>
    </row>
    <row r="538" customFormat="false" ht="14.9" hidden="false" customHeight="false" outlineLevel="0" collapsed="false">
      <c r="A538" s="0" t="n">
        <v>537</v>
      </c>
      <c r="B538" s="0" t="s">
        <v>332</v>
      </c>
      <c r="C538" s="33" t="s">
        <v>333</v>
      </c>
      <c r="D538" s="34" t="n">
        <v>46216</v>
      </c>
      <c r="E538" s="0" t="n">
        <v>373.8</v>
      </c>
      <c r="F538" s="0" t="n">
        <v>0</v>
      </c>
      <c r="G538" s="0" t="n">
        <v>379.85</v>
      </c>
      <c r="H538" s="0" t="n">
        <v>506.8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9.92</v>
      </c>
      <c r="W538" s="0" t="n">
        <v>8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1278.37</v>
      </c>
      <c r="AH538" s="0" t="n">
        <v>1278.37</v>
      </c>
      <c r="AI538" s="0" t="n">
        <v>19</v>
      </c>
    </row>
    <row r="539" customFormat="false" ht="14.9" hidden="false" customHeight="false" outlineLevel="0" collapsed="false">
      <c r="A539" s="0" t="n">
        <v>538</v>
      </c>
      <c r="B539" s="0" t="s">
        <v>332</v>
      </c>
      <c r="C539" s="33" t="s">
        <v>333</v>
      </c>
      <c r="D539" s="34" t="n">
        <v>46234</v>
      </c>
      <c r="E539" s="0" t="n">
        <v>398.7</v>
      </c>
      <c r="F539" s="0" t="n">
        <v>0</v>
      </c>
      <c r="G539" s="0" t="n">
        <v>1334</v>
      </c>
      <c r="H539" s="0" t="n">
        <v>209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340.6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2282.3</v>
      </c>
      <c r="AH539" s="0" t="n">
        <v>2282.3</v>
      </c>
      <c r="AI539" s="0" t="n">
        <v>34</v>
      </c>
    </row>
    <row r="540" customFormat="false" ht="14.9" hidden="false" customHeight="false" outlineLevel="0" collapsed="false">
      <c r="A540" s="0" t="n">
        <v>539</v>
      </c>
      <c r="B540" s="0" t="s">
        <v>332</v>
      </c>
      <c r="C540" s="33" t="s">
        <v>333</v>
      </c>
      <c r="D540" s="34" t="n">
        <v>46208</v>
      </c>
      <c r="E540" s="0" t="n">
        <v>185.51</v>
      </c>
      <c r="F540" s="0" t="n">
        <v>0</v>
      </c>
      <c r="G540" s="0" t="n">
        <v>1396.31</v>
      </c>
      <c r="H540" s="0" t="n">
        <v>104.75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30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1716.57</v>
      </c>
      <c r="AH540" s="0" t="n">
        <v>1716.57</v>
      </c>
      <c r="AI540" s="0" t="n">
        <v>24</v>
      </c>
    </row>
    <row r="541" customFormat="false" ht="14.9" hidden="false" customHeight="false" outlineLevel="0" collapsed="false">
      <c r="A541" s="0" t="n">
        <v>540</v>
      </c>
      <c r="B541" s="0" t="s">
        <v>332</v>
      </c>
      <c r="C541" s="33" t="s">
        <v>333</v>
      </c>
      <c r="D541" s="34" t="n">
        <v>46220</v>
      </c>
      <c r="E541" s="0" t="n">
        <v>204.2</v>
      </c>
      <c r="F541" s="0" t="n">
        <v>0</v>
      </c>
      <c r="G541" s="0" t="n">
        <v>1305.2</v>
      </c>
      <c r="H541" s="0" t="n">
        <v>433.1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0.02</v>
      </c>
      <c r="W541" s="0" t="n">
        <v>28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1970.52</v>
      </c>
      <c r="AH541" s="0" t="n">
        <v>1970.52</v>
      </c>
      <c r="AI541" s="0" t="n">
        <v>25</v>
      </c>
    </row>
    <row r="542" customFormat="false" ht="14.9" hidden="false" customHeight="false" outlineLevel="0" collapsed="false">
      <c r="A542" s="0" t="n">
        <v>541</v>
      </c>
      <c r="B542" s="0" t="s">
        <v>332</v>
      </c>
      <c r="C542" s="33" t="s">
        <v>333</v>
      </c>
      <c r="D542" s="34" t="n">
        <v>46226</v>
      </c>
      <c r="E542" s="0" t="n">
        <v>315.5</v>
      </c>
      <c r="F542" s="0" t="n">
        <v>0</v>
      </c>
      <c r="G542" s="0" t="n">
        <v>520.05</v>
      </c>
      <c r="H542" s="0" t="n">
        <v>256.2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18</v>
      </c>
      <c r="T542" s="0" t="n">
        <v>0</v>
      </c>
      <c r="U542" s="0" t="n">
        <v>0</v>
      </c>
      <c r="V542" s="0" t="n">
        <v>0</v>
      </c>
      <c r="W542" s="0" t="n">
        <v>25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1134.75</v>
      </c>
      <c r="AH542" s="0" t="n">
        <v>1134.75</v>
      </c>
      <c r="AI542" s="0" t="n">
        <v>22</v>
      </c>
    </row>
    <row r="543" customFormat="false" ht="14.9" hidden="false" customHeight="false" outlineLevel="0" collapsed="false">
      <c r="A543" s="0" t="n">
        <v>542</v>
      </c>
      <c r="B543" s="0" t="s">
        <v>332</v>
      </c>
      <c r="C543" s="33" t="s">
        <v>333</v>
      </c>
      <c r="D543" s="34" t="n">
        <v>46233</v>
      </c>
      <c r="E543" s="0" t="n">
        <v>361.4</v>
      </c>
      <c r="F543" s="0" t="n">
        <v>0</v>
      </c>
      <c r="G543" s="0" t="n">
        <v>1353.48</v>
      </c>
      <c r="H543" s="0" t="n">
        <v>147.92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205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2067.8</v>
      </c>
      <c r="AH543" s="0" t="n">
        <v>2067.8</v>
      </c>
      <c r="AI543" s="0" t="n">
        <v>30</v>
      </c>
    </row>
    <row r="544" customFormat="false" ht="14.9" hidden="false" customHeight="false" outlineLevel="0" collapsed="false">
      <c r="A544" s="0" t="n">
        <v>543</v>
      </c>
      <c r="B544" s="0" t="s">
        <v>332</v>
      </c>
      <c r="C544" s="33" t="s">
        <v>333</v>
      </c>
      <c r="D544" s="34" t="n">
        <v>46231</v>
      </c>
      <c r="E544" s="0" t="n">
        <v>81.9</v>
      </c>
      <c r="F544" s="0" t="n">
        <v>0</v>
      </c>
      <c r="G544" s="0" t="n">
        <v>716.9</v>
      </c>
      <c r="H544" s="0" t="n">
        <v>34.5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160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993.3</v>
      </c>
      <c r="AH544" s="0" t="n">
        <v>993.3</v>
      </c>
      <c r="AI544" s="0" t="n">
        <v>17</v>
      </c>
    </row>
    <row r="545" customFormat="false" ht="14.9" hidden="false" customHeight="false" outlineLevel="0" collapsed="false">
      <c r="A545" s="0" t="n">
        <v>544</v>
      </c>
      <c r="B545" s="0" t="s">
        <v>332</v>
      </c>
      <c r="C545" s="33" t="s">
        <v>333</v>
      </c>
      <c r="D545" s="34" t="n">
        <v>46214</v>
      </c>
      <c r="E545" s="0" t="n">
        <v>177.6</v>
      </c>
      <c r="F545" s="0" t="n">
        <v>0</v>
      </c>
      <c r="G545" s="0" t="n">
        <v>2023.64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0.02</v>
      </c>
      <c r="W545" s="0" t="n">
        <v>5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2206.26</v>
      </c>
      <c r="AH545" s="0" t="n">
        <v>2206.26</v>
      </c>
      <c r="AI545" s="0" t="n">
        <v>28</v>
      </c>
    </row>
    <row r="546" customFormat="false" ht="14.9" hidden="false" customHeight="false" outlineLevel="0" collapsed="false">
      <c r="A546" s="0" t="n">
        <v>545</v>
      </c>
      <c r="B546" s="0" t="s">
        <v>332</v>
      </c>
      <c r="C546" s="33" t="s">
        <v>333</v>
      </c>
      <c r="D546" s="34" t="n">
        <v>46221</v>
      </c>
      <c r="E546" s="0" t="n">
        <v>230.9</v>
      </c>
      <c r="F546" s="0" t="n">
        <v>0</v>
      </c>
      <c r="G546" s="0" t="n">
        <v>822.76</v>
      </c>
      <c r="H546" s="0" t="n">
        <v>194.6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9.04</v>
      </c>
      <c r="W546" s="0" t="n">
        <v>55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1312.3</v>
      </c>
      <c r="AH546" s="0" t="n">
        <v>1312.3</v>
      </c>
      <c r="AI546" s="0" t="n">
        <v>23</v>
      </c>
    </row>
    <row r="547" customFormat="false" ht="14.9" hidden="false" customHeight="false" outlineLevel="0" collapsed="false">
      <c r="A547" s="0" t="n">
        <v>546</v>
      </c>
      <c r="B547" s="0" t="s">
        <v>332</v>
      </c>
      <c r="C547" s="33" t="s">
        <v>333</v>
      </c>
      <c r="D547" s="34" t="n">
        <v>46210</v>
      </c>
      <c r="E547" s="0" t="n">
        <v>490.93</v>
      </c>
      <c r="F547" s="0" t="n">
        <v>0</v>
      </c>
      <c r="G547" s="0" t="n">
        <v>720.1</v>
      </c>
      <c r="H547" s="0" t="n">
        <v>292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0.09</v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1503.12</v>
      </c>
      <c r="AH547" s="0" t="n">
        <v>1503.12</v>
      </c>
      <c r="AI547" s="0" t="n">
        <v>26</v>
      </c>
    </row>
    <row r="548" customFormat="false" ht="14.9" hidden="false" customHeight="false" outlineLevel="0" collapsed="false">
      <c r="A548" s="0" t="n">
        <v>547</v>
      </c>
      <c r="B548" s="0" t="s">
        <v>332</v>
      </c>
      <c r="C548" s="33" t="s">
        <v>333</v>
      </c>
      <c r="D548" s="34" t="n">
        <v>46211</v>
      </c>
      <c r="E548" s="0" t="n">
        <v>105.6</v>
      </c>
      <c r="F548" s="0" t="n">
        <v>0</v>
      </c>
      <c r="G548" s="0" t="n">
        <v>343.7</v>
      </c>
      <c r="H548" s="0" t="n">
        <v>175.4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0.02</v>
      </c>
      <c r="W548" s="0" t="n">
        <v>5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629.72</v>
      </c>
      <c r="AH548" s="0" t="n">
        <v>629.72</v>
      </c>
      <c r="AI548" s="0" t="n">
        <v>16</v>
      </c>
    </row>
    <row r="549" customFormat="false" ht="14.9" hidden="false" customHeight="false" outlineLevel="0" collapsed="false">
      <c r="A549" s="0" t="n">
        <v>548</v>
      </c>
      <c r="B549" s="0" t="s">
        <v>332</v>
      </c>
      <c r="C549" s="33" t="s">
        <v>333</v>
      </c>
      <c r="D549" s="34" t="n">
        <v>46206</v>
      </c>
      <c r="E549" s="0" t="n">
        <v>267.4</v>
      </c>
      <c r="F549" s="0" t="n">
        <v>0</v>
      </c>
      <c r="G549" s="0" t="n">
        <v>986.5</v>
      </c>
      <c r="H549" s="0" t="n">
        <v>53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20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1326.9</v>
      </c>
      <c r="AH549" s="0" t="n">
        <v>1326.9</v>
      </c>
      <c r="AI549" s="0" t="n">
        <v>23</v>
      </c>
    </row>
    <row r="550" customFormat="false" ht="14.9" hidden="false" customHeight="false" outlineLevel="0" collapsed="false">
      <c r="A550" s="0" t="n">
        <v>549</v>
      </c>
      <c r="B550" s="0" t="s">
        <v>332</v>
      </c>
      <c r="C550" s="33" t="s">
        <v>333</v>
      </c>
      <c r="D550" s="34" t="n">
        <v>46232</v>
      </c>
      <c r="E550" s="0" t="n">
        <v>1043.77</v>
      </c>
      <c r="F550" s="0" t="n">
        <v>0</v>
      </c>
      <c r="G550" s="0" t="n">
        <v>1597.92</v>
      </c>
      <c r="H550" s="0" t="n">
        <v>628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361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3630.69</v>
      </c>
      <c r="AH550" s="0" t="n">
        <v>3630.69</v>
      </c>
      <c r="AI550" s="0" t="n">
        <v>50</v>
      </c>
    </row>
    <row r="551" customFormat="false" ht="14.9" hidden="false" customHeight="false" outlineLevel="0" collapsed="false">
      <c r="A551" s="0" t="n">
        <v>550</v>
      </c>
      <c r="B551" s="0" t="s">
        <v>332</v>
      </c>
      <c r="C551" s="33" t="s">
        <v>333</v>
      </c>
      <c r="D551" s="34" t="n">
        <v>46225</v>
      </c>
      <c r="E551" s="0" t="n">
        <v>592.6</v>
      </c>
      <c r="F551" s="0" t="n">
        <v>0</v>
      </c>
      <c r="G551" s="0" t="n">
        <v>1102.2</v>
      </c>
      <c r="H551" s="0" t="n">
        <v>306.6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0.12</v>
      </c>
      <c r="W551" s="0" t="n">
        <v>20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2021.52</v>
      </c>
      <c r="AH551" s="0" t="n">
        <v>2021.52</v>
      </c>
      <c r="AI551" s="0" t="n">
        <v>28</v>
      </c>
    </row>
    <row r="552" customFormat="false" ht="14.9" hidden="false" customHeight="false" outlineLevel="0" collapsed="false">
      <c r="A552" s="0" t="n">
        <v>551</v>
      </c>
      <c r="B552" s="0" t="s">
        <v>332</v>
      </c>
      <c r="C552" s="33" t="s">
        <v>333</v>
      </c>
      <c r="D552" s="34" t="n">
        <v>46228</v>
      </c>
      <c r="E552" s="0" t="n">
        <v>428.2</v>
      </c>
      <c r="F552" s="0" t="n">
        <v>0</v>
      </c>
      <c r="G552" s="0" t="n">
        <v>348.7</v>
      </c>
      <c r="H552" s="0" t="n">
        <v>171.8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0.02</v>
      </c>
      <c r="W552" s="0" t="n">
        <v>10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958.72</v>
      </c>
      <c r="AH552" s="0" t="n">
        <v>958.72</v>
      </c>
      <c r="AI552" s="0" t="n">
        <v>17</v>
      </c>
    </row>
    <row r="553" customFormat="false" ht="14.9" hidden="false" customHeight="false" outlineLevel="0" collapsed="false">
      <c r="A553" s="0" t="n">
        <v>552</v>
      </c>
      <c r="B553" s="0" t="s">
        <v>332</v>
      </c>
      <c r="C553" s="33" t="s">
        <v>333</v>
      </c>
      <c r="D553" s="34" t="n">
        <v>46213</v>
      </c>
      <c r="E553" s="0" t="n">
        <v>482.6</v>
      </c>
      <c r="F553" s="0" t="n">
        <v>0</v>
      </c>
      <c r="G553" s="0" t="n">
        <v>1083</v>
      </c>
      <c r="H553" s="0" t="n">
        <v>46.7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46.4</v>
      </c>
      <c r="T553" s="0" t="n">
        <v>0</v>
      </c>
      <c r="U553" s="0" t="n">
        <v>0</v>
      </c>
      <c r="V553" s="0" t="n">
        <v>0.05</v>
      </c>
      <c r="W553" s="0" t="n">
        <v>25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1683.75</v>
      </c>
      <c r="AH553" s="0" t="n">
        <v>1683.75</v>
      </c>
      <c r="AI553" s="0" t="n">
        <v>29</v>
      </c>
    </row>
    <row r="554" customFormat="false" ht="14.9" hidden="false" customHeight="false" outlineLevel="0" collapsed="false">
      <c r="A554" s="0" t="n">
        <v>553</v>
      </c>
      <c r="B554" s="0" t="s">
        <v>332</v>
      </c>
      <c r="C554" s="33" t="s">
        <v>333</v>
      </c>
      <c r="D554" s="34" t="n">
        <v>46222</v>
      </c>
      <c r="E554" s="0" t="n">
        <v>505.05</v>
      </c>
      <c r="F554" s="0" t="n">
        <v>0</v>
      </c>
      <c r="G554" s="0" t="n">
        <v>784.2</v>
      </c>
      <c r="H554" s="0" t="n">
        <v>235.8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0.07</v>
      </c>
      <c r="W554" s="0" t="n">
        <v>31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1556.12</v>
      </c>
      <c r="AH554" s="0" t="n">
        <v>1556.12</v>
      </c>
      <c r="AI554" s="0" t="n">
        <v>30</v>
      </c>
    </row>
    <row r="555" customFormat="false" ht="14.9" hidden="false" customHeight="false" outlineLevel="0" collapsed="false">
      <c r="A555" s="0" t="n">
        <v>554</v>
      </c>
      <c r="B555" s="0" t="s">
        <v>332</v>
      </c>
      <c r="C555" s="33" t="s">
        <v>333</v>
      </c>
      <c r="D555" s="34" t="n">
        <v>46227</v>
      </c>
      <c r="E555" s="0" t="n">
        <v>320</v>
      </c>
      <c r="F555" s="0" t="n">
        <v>0</v>
      </c>
      <c r="G555" s="0" t="n">
        <v>797.7</v>
      </c>
      <c r="H555" s="0" t="n">
        <v>657.48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0.04</v>
      </c>
      <c r="W555" s="0" t="n">
        <v>43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1818.22</v>
      </c>
      <c r="AH555" s="0" t="n">
        <v>1818.22</v>
      </c>
      <c r="AI555" s="0" t="n">
        <v>28</v>
      </c>
    </row>
    <row r="556" customFormat="false" ht="14.9" hidden="false" customHeight="false" outlineLevel="0" collapsed="false">
      <c r="A556" s="0" t="n">
        <v>555</v>
      </c>
      <c r="B556" s="0" t="s">
        <v>332</v>
      </c>
      <c r="C556" s="33" t="s">
        <v>333</v>
      </c>
      <c r="D556" s="34" t="n">
        <v>46229</v>
      </c>
      <c r="E556" s="0" t="n">
        <v>275.59</v>
      </c>
      <c r="F556" s="0" t="n">
        <v>0</v>
      </c>
      <c r="G556" s="0" t="n">
        <v>2148.09</v>
      </c>
      <c r="H556" s="0" t="n">
        <v>209.2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3.86</v>
      </c>
      <c r="W556" s="0" t="n">
        <v>33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2669.74</v>
      </c>
      <c r="AH556" s="0" t="n">
        <v>2669.74</v>
      </c>
      <c r="AI556" s="0" t="n">
        <v>35</v>
      </c>
    </row>
    <row r="557" customFormat="false" ht="14.9" hidden="false" customHeight="false" outlineLevel="0" collapsed="false">
      <c r="A557" s="0" t="n">
        <v>556</v>
      </c>
      <c r="B557" s="0" t="s">
        <v>332</v>
      </c>
      <c r="C557" s="33" t="s">
        <v>333</v>
      </c>
      <c r="D557" s="34" t="n">
        <v>46223</v>
      </c>
      <c r="E557" s="0" t="n">
        <v>299.9</v>
      </c>
      <c r="F557" s="0" t="n">
        <v>0</v>
      </c>
      <c r="G557" s="0" t="n">
        <v>343.18</v>
      </c>
      <c r="H557" s="0" t="n">
        <v>718.6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0.07</v>
      </c>
      <c r="W557" s="0" t="n">
        <v>20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1381.75</v>
      </c>
      <c r="AH557" s="0" t="n">
        <v>1381.75</v>
      </c>
      <c r="AI557" s="0" t="n">
        <v>22</v>
      </c>
    </row>
    <row r="558" customFormat="false" ht="14.9" hidden="false" customHeight="false" outlineLevel="0" collapsed="false">
      <c r="A558" s="0" t="n">
        <v>557</v>
      </c>
      <c r="B558" s="0" t="s">
        <v>332</v>
      </c>
      <c r="C558" s="33" t="s">
        <v>333</v>
      </c>
      <c r="D558" s="34" t="n">
        <v>46224</v>
      </c>
      <c r="E558" s="0" t="n">
        <v>28.32</v>
      </c>
      <c r="F558" s="0" t="n">
        <v>0</v>
      </c>
      <c r="G558" s="0" t="n">
        <v>1797.54</v>
      </c>
      <c r="H558" s="0" t="n">
        <v>155.8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13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1994.66</v>
      </c>
      <c r="AH558" s="0" t="n">
        <v>1994.66</v>
      </c>
      <c r="AI558" s="0" t="n">
        <v>18</v>
      </c>
    </row>
    <row r="559" customFormat="false" ht="14.9" hidden="false" customHeight="false" outlineLevel="0" collapsed="false">
      <c r="A559" s="0" t="n">
        <v>558</v>
      </c>
      <c r="B559" s="0" t="s">
        <v>332</v>
      </c>
      <c r="C559" s="33" t="s">
        <v>333</v>
      </c>
      <c r="D559" s="34" t="n">
        <v>46212</v>
      </c>
      <c r="E559" s="0" t="n">
        <v>382.8</v>
      </c>
      <c r="F559" s="0" t="n">
        <v>0</v>
      </c>
      <c r="G559" s="0" t="n">
        <v>745.86</v>
      </c>
      <c r="H559" s="0" t="n">
        <v>655.09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0.02</v>
      </c>
      <c r="W559" s="0" t="n">
        <v>15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1798.77</v>
      </c>
      <c r="AH559" s="0" t="n">
        <v>1798.77</v>
      </c>
      <c r="AI559" s="0" t="n">
        <v>22</v>
      </c>
    </row>
    <row r="560" customFormat="false" ht="14.9" hidden="false" customHeight="false" outlineLevel="0" collapsed="false">
      <c r="A560" s="0" t="n">
        <v>559</v>
      </c>
      <c r="B560" s="0" t="s">
        <v>334</v>
      </c>
      <c r="C560" s="33" t="s">
        <v>335</v>
      </c>
      <c r="D560" s="34" t="n">
        <v>46206</v>
      </c>
      <c r="E560" s="0" t="n">
        <v>1252.4</v>
      </c>
      <c r="F560" s="0" t="n">
        <v>0</v>
      </c>
      <c r="G560" s="0" t="n">
        <v>1458.7</v>
      </c>
      <c r="H560" s="0" t="n">
        <v>789.2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3500.3</v>
      </c>
      <c r="AH560" s="0" t="n">
        <v>3500.3</v>
      </c>
      <c r="AI560" s="0" t="n">
        <v>71</v>
      </c>
    </row>
    <row r="561" customFormat="false" ht="14.9" hidden="false" customHeight="false" outlineLevel="0" collapsed="false">
      <c r="A561" s="0" t="n">
        <v>560</v>
      </c>
      <c r="B561" s="0" t="s">
        <v>334</v>
      </c>
      <c r="C561" s="33" t="s">
        <v>335</v>
      </c>
      <c r="D561" s="34" t="n">
        <v>46220</v>
      </c>
      <c r="E561" s="0" t="n">
        <v>1414</v>
      </c>
      <c r="F561" s="0" t="n">
        <v>0</v>
      </c>
      <c r="G561" s="0" t="n">
        <v>1408.48</v>
      </c>
      <c r="H561" s="0" t="n">
        <v>171.3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9.91</v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3003.69</v>
      </c>
      <c r="AH561" s="0" t="n">
        <v>3003.69</v>
      </c>
      <c r="AI561" s="0" t="n">
        <v>68</v>
      </c>
    </row>
    <row r="562" customFormat="false" ht="14.9" hidden="false" customHeight="false" outlineLevel="0" collapsed="false">
      <c r="A562" s="0" t="n">
        <v>561</v>
      </c>
      <c r="B562" s="0" t="s">
        <v>334</v>
      </c>
      <c r="C562" s="33" t="s">
        <v>335</v>
      </c>
      <c r="D562" s="34" t="n">
        <v>46214</v>
      </c>
      <c r="E562" s="0" t="n">
        <v>2070.56</v>
      </c>
      <c r="F562" s="0" t="n">
        <v>0</v>
      </c>
      <c r="G562" s="0" t="n">
        <v>1475.15</v>
      </c>
      <c r="H562" s="0" t="n">
        <v>659.1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9.9</v>
      </c>
      <c r="W562" s="0" t="n">
        <v>13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4227.71</v>
      </c>
      <c r="AH562" s="0" t="n">
        <v>4227.71</v>
      </c>
      <c r="AI562" s="0" t="n">
        <v>111</v>
      </c>
    </row>
    <row r="563" customFormat="false" ht="14.9" hidden="false" customHeight="false" outlineLevel="0" collapsed="false">
      <c r="A563" s="0" t="n">
        <v>562</v>
      </c>
      <c r="B563" s="0" t="s">
        <v>334</v>
      </c>
      <c r="C563" s="33" t="s">
        <v>335</v>
      </c>
      <c r="D563" s="34" t="n">
        <v>46215</v>
      </c>
      <c r="E563" s="0" t="n">
        <v>542.6</v>
      </c>
      <c r="F563" s="0" t="n">
        <v>0</v>
      </c>
      <c r="G563" s="0" t="n">
        <v>890.1</v>
      </c>
      <c r="H563" s="0" t="n">
        <v>440.3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0.01</v>
      </c>
      <c r="W563" s="0" t="n">
        <v>10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1883.01</v>
      </c>
      <c r="AH563" s="0" t="n">
        <v>1883.01</v>
      </c>
      <c r="AI563" s="0" t="n">
        <v>52</v>
      </c>
    </row>
    <row r="564" customFormat="false" ht="14.9" hidden="false" customHeight="false" outlineLevel="0" collapsed="false">
      <c r="A564" s="0" t="n">
        <v>563</v>
      </c>
      <c r="B564" s="0" t="s">
        <v>334</v>
      </c>
      <c r="C564" s="33" t="s">
        <v>335</v>
      </c>
      <c r="D564" s="34" t="n">
        <v>46228</v>
      </c>
      <c r="E564" s="0" t="n">
        <v>692.66</v>
      </c>
      <c r="F564" s="0" t="n">
        <v>0</v>
      </c>
      <c r="G564" s="0" t="n">
        <v>1000.76</v>
      </c>
      <c r="H564" s="0" t="n">
        <v>870.58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5</v>
      </c>
      <c r="W564" s="0" t="n">
        <v>5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2574</v>
      </c>
      <c r="AH564" s="0" t="n">
        <v>2574</v>
      </c>
      <c r="AI564" s="0" t="n">
        <v>59</v>
      </c>
    </row>
    <row r="565" customFormat="false" ht="14.9" hidden="false" customHeight="false" outlineLevel="0" collapsed="false">
      <c r="A565" s="0" t="n">
        <v>564</v>
      </c>
      <c r="B565" s="0" t="s">
        <v>334</v>
      </c>
      <c r="C565" s="33" t="s">
        <v>335</v>
      </c>
      <c r="D565" s="34" t="n">
        <v>46224</v>
      </c>
      <c r="E565" s="0" t="n">
        <v>1518.49</v>
      </c>
      <c r="F565" s="0" t="n">
        <v>0</v>
      </c>
      <c r="G565" s="0" t="n">
        <v>1412.55</v>
      </c>
      <c r="H565" s="0" t="n">
        <v>292.8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3.8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3227.64</v>
      </c>
      <c r="AH565" s="0" t="n">
        <v>3227.64</v>
      </c>
      <c r="AI565" s="0" t="n">
        <v>63</v>
      </c>
    </row>
    <row r="566" customFormat="false" ht="14.9" hidden="false" customHeight="false" outlineLevel="0" collapsed="false">
      <c r="A566" s="0" t="n">
        <v>565</v>
      </c>
      <c r="B566" s="0" t="s">
        <v>334</v>
      </c>
      <c r="C566" s="33" t="s">
        <v>335</v>
      </c>
      <c r="D566" s="34" t="n">
        <v>46231</v>
      </c>
      <c r="E566" s="0" t="n">
        <v>1268.88</v>
      </c>
      <c r="F566" s="0" t="n">
        <v>0</v>
      </c>
      <c r="G566" s="0" t="n">
        <v>2602.54</v>
      </c>
      <c r="H566" s="0" t="n">
        <v>149.5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5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4025.92</v>
      </c>
      <c r="AH566" s="0" t="n">
        <v>4025.92</v>
      </c>
      <c r="AI566" s="0" t="n">
        <v>75</v>
      </c>
    </row>
    <row r="567" customFormat="false" ht="14.9" hidden="false" customHeight="false" outlineLevel="0" collapsed="false">
      <c r="A567" s="0" t="n">
        <v>566</v>
      </c>
      <c r="B567" s="0" t="s">
        <v>334</v>
      </c>
      <c r="C567" s="33" t="s">
        <v>335</v>
      </c>
      <c r="D567" s="34" t="n">
        <v>46232</v>
      </c>
      <c r="E567" s="0" t="n">
        <v>1281.8</v>
      </c>
      <c r="F567" s="0" t="n">
        <v>0</v>
      </c>
      <c r="G567" s="0" t="n">
        <v>1764.8</v>
      </c>
      <c r="H567" s="0" t="n">
        <v>671.5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43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3761.1</v>
      </c>
      <c r="AH567" s="0" t="n">
        <v>3761.1</v>
      </c>
      <c r="AI567" s="0" t="n">
        <v>85</v>
      </c>
    </row>
    <row r="568" customFormat="false" ht="14.9" hidden="false" customHeight="false" outlineLevel="0" collapsed="false">
      <c r="A568" s="0" t="n">
        <v>567</v>
      </c>
      <c r="B568" s="0" t="s">
        <v>334</v>
      </c>
      <c r="C568" s="33" t="s">
        <v>335</v>
      </c>
      <c r="D568" s="34" t="n">
        <v>46208</v>
      </c>
      <c r="E568" s="0" t="n">
        <v>833.9</v>
      </c>
      <c r="F568" s="0" t="n">
        <v>0</v>
      </c>
      <c r="G568" s="0" t="n">
        <v>1546.5</v>
      </c>
      <c r="H568" s="0" t="n">
        <v>135.65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20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2536.05</v>
      </c>
      <c r="AH568" s="0" t="n">
        <v>2536.05</v>
      </c>
      <c r="AI568" s="0" t="n">
        <v>52</v>
      </c>
    </row>
    <row r="569" customFormat="false" ht="14.9" hidden="false" customHeight="false" outlineLevel="0" collapsed="false">
      <c r="A569" s="0" t="n">
        <v>568</v>
      </c>
      <c r="B569" s="0" t="s">
        <v>334</v>
      </c>
      <c r="C569" s="33" t="s">
        <v>335</v>
      </c>
      <c r="D569" s="34" t="n">
        <v>46219</v>
      </c>
      <c r="E569" s="0" t="n">
        <v>1370.71</v>
      </c>
      <c r="F569" s="0" t="n">
        <v>0</v>
      </c>
      <c r="G569" s="0" t="n">
        <v>1664.09</v>
      </c>
      <c r="H569" s="0" t="n">
        <v>91.5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37.4</v>
      </c>
      <c r="W569" s="0" t="n">
        <v>3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3166.7</v>
      </c>
      <c r="AH569" s="0" t="n">
        <v>3166.7</v>
      </c>
      <c r="AI569" s="0" t="n">
        <v>77</v>
      </c>
    </row>
    <row r="570" customFormat="false" ht="14.9" hidden="false" customHeight="false" outlineLevel="0" collapsed="false">
      <c r="A570" s="0" t="n">
        <v>569</v>
      </c>
      <c r="B570" s="0" t="s">
        <v>334</v>
      </c>
      <c r="C570" s="33" t="s">
        <v>335</v>
      </c>
      <c r="D570" s="34" t="n">
        <v>46226</v>
      </c>
      <c r="E570" s="0" t="n">
        <v>1185.7</v>
      </c>
      <c r="F570" s="0" t="n">
        <v>0</v>
      </c>
      <c r="G570" s="0" t="n">
        <v>1868.38</v>
      </c>
      <c r="H570" s="0" t="n">
        <v>770.4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162.7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3987.18</v>
      </c>
      <c r="AH570" s="0" t="n">
        <v>3987.18</v>
      </c>
      <c r="AI570" s="0" t="n">
        <v>72</v>
      </c>
    </row>
    <row r="571" customFormat="false" ht="14.9" hidden="false" customHeight="false" outlineLevel="0" collapsed="false">
      <c r="A571" s="0" t="n">
        <v>570</v>
      </c>
      <c r="B571" s="0" t="s">
        <v>334</v>
      </c>
      <c r="C571" s="33" t="s">
        <v>335</v>
      </c>
      <c r="D571" s="34" t="n">
        <v>46217</v>
      </c>
      <c r="E571" s="0" t="n">
        <v>1316.4</v>
      </c>
      <c r="F571" s="0" t="n">
        <v>0</v>
      </c>
      <c r="G571" s="0" t="n">
        <v>1058.86</v>
      </c>
      <c r="H571" s="0" t="n">
        <v>366.3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5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2746.56</v>
      </c>
      <c r="AH571" s="0" t="n">
        <v>2746.56</v>
      </c>
      <c r="AI571" s="0" t="n">
        <v>52</v>
      </c>
    </row>
    <row r="572" customFormat="false" ht="14.9" hidden="false" customHeight="false" outlineLevel="0" collapsed="false">
      <c r="A572" s="0" t="n">
        <v>571</v>
      </c>
      <c r="B572" s="0" t="s">
        <v>334</v>
      </c>
      <c r="C572" s="33" t="s">
        <v>335</v>
      </c>
      <c r="D572" s="34" t="n">
        <v>46233</v>
      </c>
      <c r="E572" s="0" t="n">
        <v>108.3</v>
      </c>
      <c r="F572" s="0" t="n">
        <v>0</v>
      </c>
      <c r="G572" s="0" t="n">
        <v>2064.9</v>
      </c>
      <c r="H572" s="0" t="n">
        <v>627.06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3.8</v>
      </c>
      <c r="W572" s="0" t="n">
        <v>85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2889.06</v>
      </c>
      <c r="AH572" s="0" t="n">
        <v>2889.06</v>
      </c>
      <c r="AI572" s="0" t="n">
        <v>63</v>
      </c>
    </row>
    <row r="573" customFormat="false" ht="14.9" hidden="false" customHeight="false" outlineLevel="0" collapsed="false">
      <c r="A573" s="0" t="n">
        <v>572</v>
      </c>
      <c r="B573" s="0" t="s">
        <v>334</v>
      </c>
      <c r="C573" s="33" t="s">
        <v>335</v>
      </c>
      <c r="D573" s="34" t="n">
        <v>46225</v>
      </c>
      <c r="E573" s="0" t="n">
        <v>1062.8</v>
      </c>
      <c r="F573" s="0" t="n">
        <v>0</v>
      </c>
      <c r="G573" s="0" t="n">
        <v>1384.38</v>
      </c>
      <c r="H573" s="0" t="n">
        <v>143.1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2590.28</v>
      </c>
      <c r="AH573" s="0" t="n">
        <v>2590.28</v>
      </c>
      <c r="AI573" s="0" t="n">
        <v>69</v>
      </c>
    </row>
    <row r="574" customFormat="false" ht="14.9" hidden="false" customHeight="false" outlineLevel="0" collapsed="false">
      <c r="A574" s="0" t="n">
        <v>573</v>
      </c>
      <c r="B574" s="0" t="s">
        <v>334</v>
      </c>
      <c r="C574" s="33" t="s">
        <v>335</v>
      </c>
      <c r="D574" s="34" t="n">
        <v>46234</v>
      </c>
      <c r="E574" s="0" t="n">
        <v>891.8</v>
      </c>
      <c r="F574" s="0" t="n">
        <v>0</v>
      </c>
      <c r="G574" s="0" t="n">
        <v>1872.04</v>
      </c>
      <c r="H574" s="0" t="n">
        <v>174.76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123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3061.6</v>
      </c>
      <c r="AH574" s="0" t="n">
        <v>3061.6</v>
      </c>
      <c r="AI574" s="0" t="n">
        <v>77</v>
      </c>
    </row>
    <row r="575" customFormat="false" ht="14.9" hidden="false" customHeight="false" outlineLevel="0" collapsed="false">
      <c r="A575" s="0" t="n">
        <v>574</v>
      </c>
      <c r="B575" s="0" t="s">
        <v>334</v>
      </c>
      <c r="C575" s="33" t="s">
        <v>335</v>
      </c>
      <c r="D575" s="34" t="n">
        <v>46218</v>
      </c>
      <c r="E575" s="0" t="n">
        <v>907.2</v>
      </c>
      <c r="F575" s="0" t="n">
        <v>0</v>
      </c>
      <c r="G575" s="0" t="n">
        <v>2390.78</v>
      </c>
      <c r="H575" s="0" t="n">
        <v>582.3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3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3883.28</v>
      </c>
      <c r="AH575" s="0" t="n">
        <v>3883.28</v>
      </c>
      <c r="AI575" s="0" t="n">
        <v>84</v>
      </c>
    </row>
    <row r="576" customFormat="false" ht="14.9" hidden="false" customHeight="false" outlineLevel="0" collapsed="false">
      <c r="A576" s="0" t="n">
        <v>575</v>
      </c>
      <c r="B576" s="0" t="s">
        <v>334</v>
      </c>
      <c r="C576" s="33" t="s">
        <v>335</v>
      </c>
      <c r="D576" s="34" t="n">
        <v>46221</v>
      </c>
      <c r="E576" s="0" t="n">
        <v>918.56</v>
      </c>
      <c r="F576" s="0" t="n">
        <v>0</v>
      </c>
      <c r="G576" s="0" t="n">
        <v>1117.2</v>
      </c>
      <c r="H576" s="0" t="n">
        <v>982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0.01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3017.77</v>
      </c>
      <c r="AH576" s="0" t="n">
        <v>3017.77</v>
      </c>
      <c r="AI576" s="0" t="n">
        <v>57</v>
      </c>
    </row>
    <row r="577" customFormat="false" ht="14.9" hidden="false" customHeight="false" outlineLevel="0" collapsed="false">
      <c r="A577" s="0" t="n">
        <v>576</v>
      </c>
      <c r="B577" s="0" t="s">
        <v>334</v>
      </c>
      <c r="C577" s="33" t="s">
        <v>335</v>
      </c>
      <c r="D577" s="34" t="n">
        <v>46209</v>
      </c>
      <c r="E577" s="0" t="n">
        <v>3228.89</v>
      </c>
      <c r="F577" s="0" t="n">
        <v>0</v>
      </c>
      <c r="G577" s="0" t="n">
        <v>1358.61</v>
      </c>
      <c r="H577" s="0" t="n">
        <v>765.48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27</v>
      </c>
      <c r="W577" s="0" t="n">
        <v>18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5397.98</v>
      </c>
      <c r="AH577" s="0" t="n">
        <v>5397.98</v>
      </c>
      <c r="AI577" s="0" t="n">
        <v>99</v>
      </c>
    </row>
    <row r="578" customFormat="false" ht="14.9" hidden="false" customHeight="false" outlineLevel="0" collapsed="false">
      <c r="A578" s="0" t="n">
        <v>577</v>
      </c>
      <c r="B578" s="0" t="s">
        <v>334</v>
      </c>
      <c r="C578" s="33" t="s">
        <v>335</v>
      </c>
      <c r="D578" s="34" t="n">
        <v>46210</v>
      </c>
      <c r="E578" s="0" t="n">
        <v>1030.87</v>
      </c>
      <c r="F578" s="0" t="n">
        <v>0</v>
      </c>
      <c r="G578" s="0" t="n">
        <v>2056.2</v>
      </c>
      <c r="H578" s="0" t="n">
        <v>320.28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0.01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3407.36</v>
      </c>
      <c r="AH578" s="0" t="n">
        <v>3407.36</v>
      </c>
      <c r="AI578" s="0" t="n">
        <v>63</v>
      </c>
    </row>
    <row r="579" customFormat="false" ht="14.9" hidden="false" customHeight="false" outlineLevel="0" collapsed="false">
      <c r="A579" s="0" t="n">
        <v>578</v>
      </c>
      <c r="B579" s="0" t="s">
        <v>334</v>
      </c>
      <c r="C579" s="33" t="s">
        <v>335</v>
      </c>
      <c r="D579" s="34" t="n">
        <v>46229</v>
      </c>
      <c r="E579" s="0" t="n">
        <v>3331.54</v>
      </c>
      <c r="F579" s="0" t="n">
        <v>0</v>
      </c>
      <c r="G579" s="0" t="n">
        <v>1720.8</v>
      </c>
      <c r="H579" s="0" t="n">
        <v>308.23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20.1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5380.67</v>
      </c>
      <c r="AH579" s="0" t="n">
        <v>5380.67</v>
      </c>
      <c r="AI579" s="0" t="n">
        <v>100</v>
      </c>
    </row>
    <row r="580" customFormat="false" ht="14.9" hidden="false" customHeight="false" outlineLevel="0" collapsed="false">
      <c r="A580" s="0" t="n">
        <v>579</v>
      </c>
      <c r="B580" s="0" t="s">
        <v>334</v>
      </c>
      <c r="C580" s="33" t="s">
        <v>335</v>
      </c>
      <c r="D580" s="34" t="n">
        <v>46204</v>
      </c>
      <c r="E580" s="0" t="n">
        <v>2604.49</v>
      </c>
      <c r="F580" s="0" t="n">
        <v>0</v>
      </c>
      <c r="G580" s="0" t="n">
        <v>1733.8</v>
      </c>
      <c r="H580" s="0" t="n">
        <v>337.06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23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4698.35</v>
      </c>
      <c r="AH580" s="0" t="n">
        <v>4698.35</v>
      </c>
      <c r="AI580" s="0" t="n">
        <v>90</v>
      </c>
    </row>
    <row r="581" customFormat="false" ht="14.9" hidden="false" customHeight="false" outlineLevel="0" collapsed="false">
      <c r="A581" s="0" t="n">
        <v>580</v>
      </c>
      <c r="B581" s="0" t="s">
        <v>334</v>
      </c>
      <c r="C581" s="33" t="s">
        <v>335</v>
      </c>
      <c r="D581" s="34" t="n">
        <v>46211</v>
      </c>
      <c r="E581" s="0" t="n">
        <v>1102.33</v>
      </c>
      <c r="F581" s="0" t="n">
        <v>0</v>
      </c>
      <c r="G581" s="0" t="n">
        <v>2113.5</v>
      </c>
      <c r="H581" s="0" t="n">
        <v>231.8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3447.63</v>
      </c>
      <c r="AH581" s="0" t="n">
        <v>3447.63</v>
      </c>
      <c r="AI581" s="0" t="n">
        <v>71</v>
      </c>
    </row>
    <row r="582" customFormat="false" ht="14.9" hidden="false" customHeight="false" outlineLevel="0" collapsed="false">
      <c r="A582" s="0" t="n">
        <v>581</v>
      </c>
      <c r="B582" s="0" t="s">
        <v>334</v>
      </c>
      <c r="C582" s="33" t="s">
        <v>335</v>
      </c>
      <c r="D582" s="34" t="n">
        <v>46213</v>
      </c>
      <c r="E582" s="0" t="n">
        <v>1034.4</v>
      </c>
      <c r="F582" s="0" t="n">
        <v>0</v>
      </c>
      <c r="G582" s="0" t="n">
        <v>1234.82</v>
      </c>
      <c r="H582" s="0" t="n">
        <v>39.9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0.01</v>
      </c>
      <c r="W582" s="0" t="n">
        <v>5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2314.13</v>
      </c>
      <c r="AH582" s="0" t="n">
        <v>2314.13</v>
      </c>
      <c r="AI582" s="0" t="n">
        <v>57</v>
      </c>
    </row>
    <row r="583" customFormat="false" ht="14.9" hidden="false" customHeight="false" outlineLevel="0" collapsed="false">
      <c r="A583" s="0" t="n">
        <v>582</v>
      </c>
      <c r="B583" s="0" t="s">
        <v>334</v>
      </c>
      <c r="C583" s="33" t="s">
        <v>335</v>
      </c>
      <c r="D583" s="34" t="n">
        <v>46212</v>
      </c>
      <c r="E583" s="0" t="n">
        <v>1031.6</v>
      </c>
      <c r="F583" s="0" t="n">
        <v>0</v>
      </c>
      <c r="G583" s="0" t="n">
        <v>1552.6</v>
      </c>
      <c r="H583" s="0" t="n">
        <v>183.6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25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2792.8</v>
      </c>
      <c r="AH583" s="0" t="n">
        <v>2792.8</v>
      </c>
      <c r="AI583" s="0" t="n">
        <v>64</v>
      </c>
    </row>
    <row r="584" customFormat="false" ht="14.9" hidden="false" customHeight="false" outlineLevel="0" collapsed="false">
      <c r="A584" s="0" t="n">
        <v>583</v>
      </c>
      <c r="B584" s="0" t="s">
        <v>334</v>
      </c>
      <c r="C584" s="33" t="s">
        <v>335</v>
      </c>
      <c r="D584" s="34" t="n">
        <v>46230</v>
      </c>
      <c r="E584" s="0" t="n">
        <v>986.9</v>
      </c>
      <c r="F584" s="0" t="n">
        <v>0</v>
      </c>
      <c r="G584" s="0" t="n">
        <v>1377.6</v>
      </c>
      <c r="H584" s="0" t="n">
        <v>252.85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0.1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2617.45</v>
      </c>
      <c r="AH584" s="0" t="n">
        <v>2617.45</v>
      </c>
      <c r="AI584" s="0" t="n">
        <v>60</v>
      </c>
    </row>
    <row r="585" customFormat="false" ht="14.9" hidden="false" customHeight="false" outlineLevel="0" collapsed="false">
      <c r="A585" s="0" t="n">
        <v>584</v>
      </c>
      <c r="B585" s="0" t="s">
        <v>334</v>
      </c>
      <c r="C585" s="33" t="s">
        <v>335</v>
      </c>
      <c r="D585" s="34" t="n">
        <v>46223</v>
      </c>
      <c r="E585" s="0" t="n">
        <v>998.1</v>
      </c>
      <c r="F585" s="0" t="n">
        <v>0</v>
      </c>
      <c r="G585" s="0" t="n">
        <v>1688.38</v>
      </c>
      <c r="H585" s="0" t="n">
        <v>255.8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0.03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2942.31</v>
      </c>
      <c r="AH585" s="0" t="n">
        <v>2942.31</v>
      </c>
      <c r="AI585" s="0" t="n">
        <v>84</v>
      </c>
    </row>
    <row r="586" customFormat="false" ht="14.9" hidden="false" customHeight="false" outlineLevel="0" collapsed="false">
      <c r="A586" s="0" t="n">
        <v>585</v>
      </c>
      <c r="B586" s="0" t="s">
        <v>334</v>
      </c>
      <c r="C586" s="33" t="s">
        <v>335</v>
      </c>
      <c r="D586" s="34" t="n">
        <v>46207</v>
      </c>
      <c r="E586" s="0" t="n">
        <v>796.5</v>
      </c>
      <c r="F586" s="0" t="n">
        <v>0</v>
      </c>
      <c r="G586" s="0" t="n">
        <v>829.6</v>
      </c>
      <c r="H586" s="0" t="n">
        <v>807.1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5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2438.2</v>
      </c>
      <c r="AH586" s="0" t="n">
        <v>2438.2</v>
      </c>
      <c r="AI586" s="0" t="n">
        <v>55</v>
      </c>
    </row>
    <row r="587" customFormat="false" ht="14.9" hidden="false" customHeight="false" outlineLevel="0" collapsed="false">
      <c r="A587" s="0" t="n">
        <v>586</v>
      </c>
      <c r="B587" s="0" t="s">
        <v>334</v>
      </c>
      <c r="C587" s="33" t="s">
        <v>335</v>
      </c>
      <c r="D587" s="34" t="n">
        <v>46205</v>
      </c>
      <c r="E587" s="0" t="n">
        <v>320.7</v>
      </c>
      <c r="F587" s="0" t="n">
        <v>0</v>
      </c>
      <c r="G587" s="0" t="n">
        <v>1382.7</v>
      </c>
      <c r="H587" s="0" t="n">
        <v>526.9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2230.3</v>
      </c>
      <c r="AH587" s="0" t="n">
        <v>2230.3</v>
      </c>
      <c r="AI587" s="0" t="n">
        <v>68</v>
      </c>
    </row>
    <row r="588" customFormat="false" ht="14.9" hidden="false" customHeight="false" outlineLevel="0" collapsed="false">
      <c r="A588" s="0" t="n">
        <v>587</v>
      </c>
      <c r="B588" s="0" t="s">
        <v>334</v>
      </c>
      <c r="C588" s="33" t="s">
        <v>335</v>
      </c>
      <c r="D588" s="34" t="n">
        <v>46222</v>
      </c>
      <c r="E588" s="0" t="n">
        <v>1088.18</v>
      </c>
      <c r="F588" s="0" t="n">
        <v>0</v>
      </c>
      <c r="G588" s="0" t="n">
        <v>1679.28</v>
      </c>
      <c r="H588" s="0" t="n">
        <v>127.2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14.3</v>
      </c>
      <c r="T588" s="0" t="n">
        <v>0</v>
      </c>
      <c r="U588" s="0" t="n">
        <v>0</v>
      </c>
      <c r="V588" s="0" t="n">
        <v>0</v>
      </c>
      <c r="W588" s="0" t="n">
        <v>15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2923.96</v>
      </c>
      <c r="AH588" s="0" t="n">
        <v>2923.96</v>
      </c>
      <c r="AI588" s="0" t="n">
        <v>81</v>
      </c>
    </row>
    <row r="589" customFormat="false" ht="14.9" hidden="false" customHeight="false" outlineLevel="0" collapsed="false">
      <c r="A589" s="0" t="n">
        <v>588</v>
      </c>
      <c r="B589" s="0" t="s">
        <v>334</v>
      </c>
      <c r="C589" s="33" t="s">
        <v>335</v>
      </c>
      <c r="D589" s="34" t="n">
        <v>46227</v>
      </c>
      <c r="E589" s="0" t="n">
        <v>1098.38</v>
      </c>
      <c r="F589" s="0" t="n">
        <v>0</v>
      </c>
      <c r="G589" s="0" t="n">
        <v>753.2</v>
      </c>
      <c r="H589" s="0" t="n">
        <v>652.6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3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2507.18</v>
      </c>
      <c r="AH589" s="0" t="n">
        <v>2507.18</v>
      </c>
      <c r="AI589" s="0" t="n">
        <v>66</v>
      </c>
    </row>
    <row r="590" customFormat="false" ht="14.9" hidden="false" customHeight="false" outlineLevel="0" collapsed="false">
      <c r="A590" s="0" t="n">
        <v>589</v>
      </c>
      <c r="B590" s="0" t="s">
        <v>334</v>
      </c>
      <c r="C590" s="33" t="s">
        <v>335</v>
      </c>
      <c r="D590" s="34" t="n">
        <v>46216</v>
      </c>
      <c r="E590" s="0" t="n">
        <v>1170.1</v>
      </c>
      <c r="F590" s="0" t="n">
        <v>0</v>
      </c>
      <c r="G590" s="0" t="n">
        <v>1426.2</v>
      </c>
      <c r="H590" s="0" t="n">
        <v>2061.44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27.91</v>
      </c>
      <c r="W590" s="0" t="n">
        <v>12.1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4697.75</v>
      </c>
      <c r="AH590" s="0" t="n">
        <v>4697.75</v>
      </c>
      <c r="AI590" s="0" t="n">
        <v>77</v>
      </c>
    </row>
    <row r="591" customFormat="false" ht="14.9" hidden="false" customHeight="false" outlineLevel="0" collapsed="false">
      <c r="A591" s="0" t="n">
        <v>590</v>
      </c>
      <c r="B591" s="0" t="s">
        <v>336</v>
      </c>
      <c r="C591" s="33" t="s">
        <v>337</v>
      </c>
      <c r="D591" s="34" t="n">
        <v>46226</v>
      </c>
      <c r="E591" s="0" t="n">
        <v>334.9</v>
      </c>
      <c r="F591" s="0" t="n">
        <v>0</v>
      </c>
      <c r="G591" s="0" t="n">
        <v>694.69</v>
      </c>
      <c r="H591" s="0" t="n">
        <v>39.6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14.1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1083.29</v>
      </c>
      <c r="AH591" s="0" t="n">
        <v>1083.29</v>
      </c>
      <c r="AI591" s="0" t="n">
        <v>19</v>
      </c>
    </row>
    <row r="592" customFormat="false" ht="14.9" hidden="false" customHeight="false" outlineLevel="0" collapsed="false">
      <c r="A592" s="0" t="n">
        <v>591</v>
      </c>
      <c r="B592" s="0" t="s">
        <v>336</v>
      </c>
      <c r="C592" s="33" t="s">
        <v>337</v>
      </c>
      <c r="D592" s="34" t="n">
        <v>46221</v>
      </c>
      <c r="E592" s="0" t="n">
        <v>400.71</v>
      </c>
      <c r="F592" s="0" t="n">
        <v>0</v>
      </c>
      <c r="G592" s="0" t="n">
        <v>754.8</v>
      </c>
      <c r="H592" s="0" t="n">
        <v>231.4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5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1391.91</v>
      </c>
      <c r="AH592" s="0" t="n">
        <v>1391.91</v>
      </c>
      <c r="AI592" s="0" t="n">
        <v>19</v>
      </c>
    </row>
    <row r="593" customFormat="false" ht="14.9" hidden="false" customHeight="false" outlineLevel="0" collapsed="false">
      <c r="A593" s="0" t="n">
        <v>592</v>
      </c>
      <c r="B593" s="0" t="s">
        <v>336</v>
      </c>
      <c r="C593" s="33" t="s">
        <v>337</v>
      </c>
      <c r="D593" s="34" t="n">
        <v>46215</v>
      </c>
      <c r="E593" s="0" t="n">
        <v>342.43</v>
      </c>
      <c r="F593" s="0" t="n">
        <v>0</v>
      </c>
      <c r="G593" s="0" t="n">
        <v>1079.17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-0.2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1421.4</v>
      </c>
      <c r="AH593" s="0" t="n">
        <v>1421.4</v>
      </c>
      <c r="AI593" s="0" t="n">
        <v>21</v>
      </c>
    </row>
    <row r="594" customFormat="false" ht="14.9" hidden="false" customHeight="false" outlineLevel="0" collapsed="false">
      <c r="A594" s="0" t="n">
        <v>593</v>
      </c>
      <c r="B594" s="0" t="s">
        <v>336</v>
      </c>
      <c r="C594" s="33" t="s">
        <v>337</v>
      </c>
      <c r="D594" s="34" t="n">
        <v>46229</v>
      </c>
      <c r="E594" s="0" t="n">
        <v>373.26</v>
      </c>
      <c r="F594" s="0" t="n">
        <v>0</v>
      </c>
      <c r="G594" s="0" t="n">
        <v>1378.2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6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1757.46</v>
      </c>
      <c r="AH594" s="0" t="n">
        <v>1757.46</v>
      </c>
      <c r="AI594" s="0" t="n">
        <v>16</v>
      </c>
    </row>
    <row r="595" customFormat="false" ht="14.9" hidden="false" customHeight="false" outlineLevel="0" collapsed="false">
      <c r="A595" s="0" t="n">
        <v>594</v>
      </c>
      <c r="B595" s="0" t="s">
        <v>336</v>
      </c>
      <c r="C595" s="33" t="s">
        <v>337</v>
      </c>
      <c r="D595" s="34" t="n">
        <v>46216</v>
      </c>
      <c r="E595" s="0" t="n">
        <v>384.91</v>
      </c>
      <c r="F595" s="0" t="n">
        <v>0</v>
      </c>
      <c r="G595" s="0" t="n">
        <v>559.76</v>
      </c>
      <c r="H595" s="0" t="n">
        <v>28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40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1012.67</v>
      </c>
      <c r="AH595" s="0" t="n">
        <v>1012.67</v>
      </c>
      <c r="AI595" s="0" t="n">
        <v>22</v>
      </c>
    </row>
    <row r="596" customFormat="false" ht="14.9" hidden="false" customHeight="false" outlineLevel="0" collapsed="false">
      <c r="A596" s="0" t="n">
        <v>595</v>
      </c>
      <c r="B596" s="0" t="s">
        <v>336</v>
      </c>
      <c r="C596" s="33" t="s">
        <v>337</v>
      </c>
      <c r="D596" s="34" t="n">
        <v>46205</v>
      </c>
      <c r="E596" s="0" t="n">
        <v>264.38</v>
      </c>
      <c r="F596" s="0" t="n">
        <v>0</v>
      </c>
      <c r="G596" s="0" t="n">
        <v>551.15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11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826.53</v>
      </c>
      <c r="AH596" s="0" t="n">
        <v>826.53</v>
      </c>
      <c r="AI596" s="0" t="n">
        <v>15</v>
      </c>
    </row>
    <row r="597" customFormat="false" ht="14.9" hidden="false" customHeight="false" outlineLevel="0" collapsed="false">
      <c r="A597" s="0" t="n">
        <v>596</v>
      </c>
      <c r="B597" s="0" t="s">
        <v>336</v>
      </c>
      <c r="C597" s="33" t="s">
        <v>337</v>
      </c>
      <c r="D597" s="34" t="n">
        <v>46232</v>
      </c>
      <c r="E597" s="0" t="n">
        <v>63.4</v>
      </c>
      <c r="F597" s="0" t="n">
        <v>0</v>
      </c>
      <c r="G597" s="0" t="n">
        <v>835.05</v>
      </c>
      <c r="H597" s="0" t="n">
        <v>357.8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3.8</v>
      </c>
      <c r="W597" s="0" t="n">
        <v>100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1360.05</v>
      </c>
      <c r="AH597" s="0" t="n">
        <v>1360.05</v>
      </c>
      <c r="AI597" s="0" t="n">
        <v>22</v>
      </c>
    </row>
    <row r="598" customFormat="false" ht="14.9" hidden="false" customHeight="false" outlineLevel="0" collapsed="false">
      <c r="A598" s="0" t="n">
        <v>597</v>
      </c>
      <c r="B598" s="0" t="s">
        <v>336</v>
      </c>
      <c r="C598" s="33" t="s">
        <v>337</v>
      </c>
      <c r="D598" s="34" t="n">
        <v>46225</v>
      </c>
      <c r="E598" s="0" t="n">
        <v>354.5</v>
      </c>
      <c r="F598" s="0" t="n">
        <v>0</v>
      </c>
      <c r="G598" s="0" t="n">
        <v>133.89</v>
      </c>
      <c r="H598" s="0" t="n">
        <v>71.4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10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569.79</v>
      </c>
      <c r="AH598" s="0" t="n">
        <v>569.79</v>
      </c>
      <c r="AI598" s="0" t="n">
        <v>10</v>
      </c>
    </row>
    <row r="599" customFormat="false" ht="14.9" hidden="false" customHeight="false" outlineLevel="0" collapsed="false">
      <c r="A599" s="0" t="n">
        <v>598</v>
      </c>
      <c r="B599" s="0" t="s">
        <v>336</v>
      </c>
      <c r="C599" s="33" t="s">
        <v>337</v>
      </c>
      <c r="D599" s="34" t="n">
        <v>46227</v>
      </c>
      <c r="E599" s="0" t="n">
        <v>297.6</v>
      </c>
      <c r="F599" s="0" t="n">
        <v>0</v>
      </c>
      <c r="G599" s="0" t="n">
        <v>1123.06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1420.66</v>
      </c>
      <c r="AH599" s="0" t="n">
        <v>1420.66</v>
      </c>
      <c r="AI599" s="0" t="n">
        <v>23</v>
      </c>
    </row>
    <row r="600" customFormat="false" ht="14.9" hidden="false" customHeight="false" outlineLevel="0" collapsed="false">
      <c r="A600" s="0" t="n">
        <v>599</v>
      </c>
      <c r="B600" s="0" t="s">
        <v>336</v>
      </c>
      <c r="C600" s="33" t="s">
        <v>337</v>
      </c>
      <c r="D600" s="34" t="n">
        <v>46210</v>
      </c>
      <c r="E600" s="0" t="n">
        <v>29.9</v>
      </c>
      <c r="F600" s="0" t="n">
        <v>0</v>
      </c>
      <c r="G600" s="0" t="n">
        <v>702.51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8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740.41</v>
      </c>
      <c r="AH600" s="0" t="n">
        <v>740.41</v>
      </c>
      <c r="AI600" s="0" t="n">
        <v>14</v>
      </c>
    </row>
    <row r="601" customFormat="false" ht="14.9" hidden="false" customHeight="false" outlineLevel="0" collapsed="false">
      <c r="A601" s="0" t="n">
        <v>600</v>
      </c>
      <c r="B601" s="0" t="s">
        <v>336</v>
      </c>
      <c r="C601" s="33" t="s">
        <v>337</v>
      </c>
      <c r="D601" s="34" t="n">
        <v>46206</v>
      </c>
      <c r="E601" s="0" t="n">
        <v>480.18</v>
      </c>
      <c r="F601" s="0" t="n">
        <v>0</v>
      </c>
      <c r="G601" s="0" t="n">
        <v>716.1</v>
      </c>
      <c r="H601" s="0" t="n">
        <v>63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15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1274.28</v>
      </c>
      <c r="AH601" s="0" t="n">
        <v>1274.28</v>
      </c>
      <c r="AI601" s="0" t="n">
        <v>21</v>
      </c>
    </row>
    <row r="602" customFormat="false" ht="14.9" hidden="false" customHeight="false" outlineLevel="0" collapsed="false">
      <c r="A602" s="0" t="n">
        <v>601</v>
      </c>
      <c r="B602" s="0" t="s">
        <v>336</v>
      </c>
      <c r="C602" s="33" t="s">
        <v>337</v>
      </c>
      <c r="D602" s="34" t="n">
        <v>46218</v>
      </c>
      <c r="E602" s="0" t="n">
        <v>299</v>
      </c>
      <c r="F602" s="0" t="n">
        <v>0</v>
      </c>
      <c r="G602" s="0" t="n">
        <v>525.48</v>
      </c>
      <c r="H602" s="0" t="n">
        <v>31.96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856.44</v>
      </c>
      <c r="AH602" s="0" t="n">
        <v>856.44</v>
      </c>
      <c r="AI602" s="0" t="n">
        <v>15</v>
      </c>
    </row>
    <row r="603" customFormat="false" ht="14.9" hidden="false" customHeight="false" outlineLevel="0" collapsed="false">
      <c r="A603" s="0" t="n">
        <v>602</v>
      </c>
      <c r="B603" s="0" t="s">
        <v>336</v>
      </c>
      <c r="C603" s="33" t="s">
        <v>337</v>
      </c>
      <c r="D603" s="34" t="n">
        <v>46209</v>
      </c>
      <c r="E603" s="0" t="n">
        <v>517.17</v>
      </c>
      <c r="F603" s="0" t="n">
        <v>0</v>
      </c>
      <c r="G603" s="0" t="n">
        <v>1016.77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36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1569.94</v>
      </c>
      <c r="AH603" s="0" t="n">
        <v>1569.94</v>
      </c>
      <c r="AI603" s="0" t="n">
        <v>19</v>
      </c>
    </row>
    <row r="604" customFormat="false" ht="14.9" hidden="false" customHeight="false" outlineLevel="0" collapsed="false">
      <c r="A604" s="0" t="n">
        <v>603</v>
      </c>
      <c r="B604" s="0" t="s">
        <v>336</v>
      </c>
      <c r="C604" s="33" t="s">
        <v>337</v>
      </c>
      <c r="D604" s="34" t="n">
        <v>46230</v>
      </c>
      <c r="E604" s="0" t="n">
        <v>296.3</v>
      </c>
      <c r="F604" s="0" t="n">
        <v>0</v>
      </c>
      <c r="G604" s="0" t="n">
        <v>792.2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15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1103.5</v>
      </c>
      <c r="AH604" s="0" t="n">
        <v>1103.5</v>
      </c>
      <c r="AI604" s="0" t="n">
        <v>19</v>
      </c>
    </row>
    <row r="605" customFormat="false" ht="14.9" hidden="false" customHeight="false" outlineLevel="0" collapsed="false">
      <c r="A605" s="0" t="n">
        <v>604</v>
      </c>
      <c r="B605" s="0" t="s">
        <v>336</v>
      </c>
      <c r="C605" s="33" t="s">
        <v>337</v>
      </c>
      <c r="D605" s="34" t="n">
        <v>46212</v>
      </c>
      <c r="E605" s="0" t="n">
        <v>462.11</v>
      </c>
      <c r="F605" s="0" t="n">
        <v>0</v>
      </c>
      <c r="G605" s="0" t="n">
        <v>521.45</v>
      </c>
      <c r="H605" s="0" t="n">
        <v>111.4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1094.96</v>
      </c>
      <c r="AH605" s="0" t="n">
        <v>1094.96</v>
      </c>
      <c r="AI605" s="0" t="n">
        <v>22</v>
      </c>
    </row>
    <row r="606" customFormat="false" ht="14.9" hidden="false" customHeight="false" outlineLevel="0" collapsed="false">
      <c r="A606" s="0" t="n">
        <v>605</v>
      </c>
      <c r="B606" s="0" t="s">
        <v>336</v>
      </c>
      <c r="C606" s="33" t="s">
        <v>337</v>
      </c>
      <c r="D606" s="34" t="n">
        <v>46207</v>
      </c>
      <c r="E606" s="0" t="n">
        <v>319.4</v>
      </c>
      <c r="F606" s="0" t="n">
        <v>0</v>
      </c>
      <c r="G606" s="0" t="n">
        <v>912.95</v>
      </c>
      <c r="H606" s="0" t="n">
        <v>232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5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1469.35</v>
      </c>
      <c r="AH606" s="0" t="n">
        <v>1469.35</v>
      </c>
      <c r="AI606" s="0" t="n">
        <v>18</v>
      </c>
    </row>
    <row r="607" customFormat="false" ht="14.9" hidden="false" customHeight="false" outlineLevel="0" collapsed="false">
      <c r="A607" s="0" t="n">
        <v>606</v>
      </c>
      <c r="B607" s="0" t="s">
        <v>336</v>
      </c>
      <c r="C607" s="33" t="s">
        <v>337</v>
      </c>
      <c r="D607" s="34" t="n">
        <v>46224</v>
      </c>
      <c r="E607" s="0" t="n">
        <v>305.87</v>
      </c>
      <c r="F607" s="0" t="n">
        <v>0</v>
      </c>
      <c r="G607" s="0" t="n">
        <v>1243.6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3.8</v>
      </c>
      <c r="W607" s="0" t="n">
        <v>5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1558.27</v>
      </c>
      <c r="AH607" s="0" t="n">
        <v>1558.27</v>
      </c>
      <c r="AI607" s="0" t="n">
        <v>20</v>
      </c>
    </row>
    <row r="608" customFormat="false" ht="14.9" hidden="false" customHeight="false" outlineLevel="0" collapsed="false">
      <c r="A608" s="0" t="n">
        <v>607</v>
      </c>
      <c r="B608" s="0" t="s">
        <v>336</v>
      </c>
      <c r="C608" s="33" t="s">
        <v>337</v>
      </c>
      <c r="D608" s="34" t="n">
        <v>46233</v>
      </c>
      <c r="E608" s="0" t="n">
        <v>0</v>
      </c>
      <c r="F608" s="0" t="n">
        <v>0</v>
      </c>
      <c r="G608" s="0" t="n">
        <v>1445.8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180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1625.8</v>
      </c>
      <c r="AH608" s="0" t="n">
        <v>1625.8</v>
      </c>
      <c r="AI608" s="0" t="n">
        <v>16</v>
      </c>
    </row>
    <row r="609" customFormat="false" ht="14.9" hidden="false" customHeight="false" outlineLevel="0" collapsed="false">
      <c r="A609" s="0" t="n">
        <v>608</v>
      </c>
      <c r="B609" s="0" t="s">
        <v>336</v>
      </c>
      <c r="C609" s="33" t="s">
        <v>337</v>
      </c>
      <c r="D609" s="34" t="n">
        <v>46220</v>
      </c>
      <c r="E609" s="0" t="n">
        <v>400.52</v>
      </c>
      <c r="F609" s="0" t="n">
        <v>0</v>
      </c>
      <c r="G609" s="0" t="n">
        <v>784.5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11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1196.02</v>
      </c>
      <c r="AH609" s="0" t="n">
        <v>1196.02</v>
      </c>
      <c r="AI609" s="0" t="n">
        <v>18</v>
      </c>
    </row>
    <row r="610" customFormat="false" ht="14.9" hidden="false" customHeight="false" outlineLevel="0" collapsed="false">
      <c r="A610" s="0" t="n">
        <v>609</v>
      </c>
      <c r="B610" s="0" t="s">
        <v>336</v>
      </c>
      <c r="C610" s="33" t="s">
        <v>337</v>
      </c>
      <c r="D610" s="34" t="n">
        <v>46234</v>
      </c>
      <c r="E610" s="0" t="n">
        <v>0</v>
      </c>
      <c r="F610" s="0" t="n">
        <v>0</v>
      </c>
      <c r="G610" s="0" t="n">
        <v>976.62</v>
      </c>
      <c r="H610" s="0" t="n">
        <v>28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200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1204.62</v>
      </c>
      <c r="AH610" s="0" t="n">
        <v>1204.62</v>
      </c>
      <c r="AI610" s="0" t="n">
        <v>16</v>
      </c>
    </row>
    <row r="611" customFormat="false" ht="14.9" hidden="false" customHeight="false" outlineLevel="0" collapsed="false">
      <c r="A611" s="0" t="n">
        <v>610</v>
      </c>
      <c r="B611" s="0" t="s">
        <v>336</v>
      </c>
      <c r="C611" s="33" t="s">
        <v>337</v>
      </c>
      <c r="D611" s="34" t="n">
        <v>46217</v>
      </c>
      <c r="E611" s="0" t="n">
        <v>128.45</v>
      </c>
      <c r="F611" s="0" t="n">
        <v>0</v>
      </c>
      <c r="G611" s="0" t="n">
        <v>355.1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483.55</v>
      </c>
      <c r="AH611" s="0" t="n">
        <v>483.55</v>
      </c>
      <c r="AI611" s="0" t="n">
        <v>10</v>
      </c>
    </row>
    <row r="612" customFormat="false" ht="14.9" hidden="false" customHeight="false" outlineLevel="0" collapsed="false">
      <c r="A612" s="0" t="n">
        <v>611</v>
      </c>
      <c r="B612" s="0" t="s">
        <v>336</v>
      </c>
      <c r="C612" s="33" t="s">
        <v>337</v>
      </c>
      <c r="D612" s="34" t="n">
        <v>46219</v>
      </c>
      <c r="E612" s="0" t="n">
        <v>90.19</v>
      </c>
      <c r="F612" s="0" t="n">
        <v>0</v>
      </c>
      <c r="G612" s="0" t="n">
        <v>1404.67</v>
      </c>
      <c r="H612" s="0" t="n">
        <v>65.8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3.8</v>
      </c>
      <c r="W612" s="0" t="n">
        <v>24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1588.46</v>
      </c>
      <c r="AH612" s="0" t="n">
        <v>1588.46</v>
      </c>
      <c r="AI612" s="0" t="n">
        <v>21</v>
      </c>
    </row>
    <row r="613" customFormat="false" ht="14.9" hidden="false" customHeight="false" outlineLevel="0" collapsed="false">
      <c r="A613" s="0" t="n">
        <v>612</v>
      </c>
      <c r="B613" s="0" t="s">
        <v>336</v>
      </c>
      <c r="C613" s="33" t="s">
        <v>337</v>
      </c>
      <c r="D613" s="34" t="n">
        <v>46208</v>
      </c>
      <c r="E613" s="0" t="n">
        <v>22.5</v>
      </c>
      <c r="F613" s="0" t="n">
        <v>0</v>
      </c>
      <c r="G613" s="0" t="n">
        <v>518.2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540.7</v>
      </c>
      <c r="AH613" s="0" t="n">
        <v>540.7</v>
      </c>
      <c r="AI613" s="0" t="n">
        <v>11</v>
      </c>
    </row>
    <row r="614" customFormat="false" ht="14.9" hidden="false" customHeight="false" outlineLevel="0" collapsed="false">
      <c r="A614" s="0" t="n">
        <v>613</v>
      </c>
      <c r="B614" s="0" t="s">
        <v>336</v>
      </c>
      <c r="C614" s="33" t="s">
        <v>337</v>
      </c>
      <c r="D614" s="34" t="n">
        <v>46231</v>
      </c>
      <c r="E614" s="0" t="n">
        <v>108</v>
      </c>
      <c r="F614" s="0" t="n">
        <v>0</v>
      </c>
      <c r="G614" s="0" t="n">
        <v>860.25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85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1053.25</v>
      </c>
      <c r="AH614" s="0" t="n">
        <v>1053.25</v>
      </c>
      <c r="AI614" s="0" t="n">
        <v>14</v>
      </c>
    </row>
    <row r="615" customFormat="false" ht="14.9" hidden="false" customHeight="false" outlineLevel="0" collapsed="false">
      <c r="A615" s="0" t="n">
        <v>614</v>
      </c>
      <c r="B615" s="0" t="s">
        <v>336</v>
      </c>
      <c r="C615" s="33" t="s">
        <v>337</v>
      </c>
      <c r="D615" s="34" t="n">
        <v>46228</v>
      </c>
      <c r="E615" s="0" t="n">
        <v>201.81</v>
      </c>
      <c r="F615" s="0" t="n">
        <v>0</v>
      </c>
      <c r="G615" s="0" t="n">
        <v>626.1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15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842.91</v>
      </c>
      <c r="AH615" s="0" t="n">
        <v>842.91</v>
      </c>
      <c r="AI615" s="0" t="n">
        <v>15</v>
      </c>
    </row>
    <row r="616" customFormat="false" ht="14.9" hidden="false" customHeight="false" outlineLevel="0" collapsed="false">
      <c r="A616" s="0" t="n">
        <v>615</v>
      </c>
      <c r="B616" s="0" t="s">
        <v>336</v>
      </c>
      <c r="C616" s="33" t="s">
        <v>337</v>
      </c>
      <c r="D616" s="34" t="n">
        <v>46213</v>
      </c>
      <c r="E616" s="0" t="n">
        <v>101.51</v>
      </c>
      <c r="F616" s="0" t="n">
        <v>0</v>
      </c>
      <c r="G616" s="0" t="n">
        <v>781.7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10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893.21</v>
      </c>
      <c r="AH616" s="0" t="n">
        <v>893.21</v>
      </c>
      <c r="AI616" s="0" t="n">
        <v>19</v>
      </c>
    </row>
    <row r="617" customFormat="false" ht="14.9" hidden="false" customHeight="false" outlineLevel="0" collapsed="false">
      <c r="A617" s="0" t="n">
        <v>616</v>
      </c>
      <c r="B617" s="0" t="s">
        <v>336</v>
      </c>
      <c r="C617" s="33" t="s">
        <v>337</v>
      </c>
      <c r="D617" s="34" t="n">
        <v>46214</v>
      </c>
      <c r="E617" s="0" t="n">
        <v>358.99</v>
      </c>
      <c r="F617" s="0" t="n">
        <v>0</v>
      </c>
      <c r="G617" s="0" t="n">
        <v>1138.47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3.8</v>
      </c>
      <c r="W617" s="0" t="n">
        <v>11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1512.26</v>
      </c>
      <c r="AH617" s="0" t="n">
        <v>1512.26</v>
      </c>
      <c r="AI617" s="0" t="n">
        <v>20</v>
      </c>
    </row>
    <row r="618" customFormat="false" ht="14.9" hidden="false" customHeight="false" outlineLevel="0" collapsed="false">
      <c r="A618" s="0" t="n">
        <v>617</v>
      </c>
      <c r="B618" s="0" t="s">
        <v>336</v>
      </c>
      <c r="C618" s="33" t="s">
        <v>337</v>
      </c>
      <c r="D618" s="34" t="n">
        <v>46204</v>
      </c>
      <c r="E618" s="0" t="n">
        <v>350.44</v>
      </c>
      <c r="F618" s="0" t="n">
        <v>0</v>
      </c>
      <c r="G618" s="0" t="n">
        <v>1202.52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0</v>
      </c>
      <c r="W618" s="0" t="n">
        <v>10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1562.96</v>
      </c>
      <c r="AH618" s="0" t="n">
        <v>1562.96</v>
      </c>
      <c r="AI618" s="0" t="n">
        <v>20</v>
      </c>
    </row>
    <row r="619" customFormat="false" ht="14.9" hidden="false" customHeight="false" outlineLevel="0" collapsed="false">
      <c r="A619" s="0" t="n">
        <v>618</v>
      </c>
      <c r="B619" s="0" t="s">
        <v>336</v>
      </c>
      <c r="C619" s="33" t="s">
        <v>337</v>
      </c>
      <c r="D619" s="34" t="n">
        <v>46223</v>
      </c>
      <c r="E619" s="0" t="n">
        <v>63.1</v>
      </c>
      <c r="F619" s="0" t="n">
        <v>0</v>
      </c>
      <c r="G619" s="0" t="n">
        <v>609.5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5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677.6</v>
      </c>
      <c r="AH619" s="0" t="n">
        <v>677.6</v>
      </c>
      <c r="AI619" s="0" t="n">
        <v>14</v>
      </c>
    </row>
    <row r="620" customFormat="false" ht="14.9" hidden="false" customHeight="false" outlineLevel="0" collapsed="false">
      <c r="A620" s="0" t="n">
        <v>619</v>
      </c>
      <c r="B620" s="0" t="s">
        <v>336</v>
      </c>
      <c r="C620" s="33" t="s">
        <v>337</v>
      </c>
      <c r="D620" s="34" t="n">
        <v>46211</v>
      </c>
      <c r="E620" s="0" t="n">
        <v>161.35</v>
      </c>
      <c r="F620" s="0" t="n">
        <v>0</v>
      </c>
      <c r="G620" s="0" t="n">
        <v>516.1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5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682.45</v>
      </c>
      <c r="AH620" s="0" t="n">
        <v>682.45</v>
      </c>
      <c r="AI620" s="0" t="n">
        <v>15</v>
      </c>
    </row>
    <row r="621" customFormat="false" ht="14.9" hidden="false" customHeight="false" outlineLevel="0" collapsed="false">
      <c r="A621" s="0" t="n">
        <v>620</v>
      </c>
      <c r="B621" s="0" t="s">
        <v>336</v>
      </c>
      <c r="C621" s="33" t="s">
        <v>337</v>
      </c>
      <c r="D621" s="34" t="n">
        <v>46222</v>
      </c>
      <c r="E621" s="0" t="n">
        <v>387.4</v>
      </c>
      <c r="F621" s="0" t="n">
        <v>0</v>
      </c>
      <c r="G621" s="0" t="n">
        <v>483.6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0</v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871</v>
      </c>
      <c r="AH621" s="0" t="n">
        <v>871</v>
      </c>
      <c r="AI621" s="0" t="n">
        <v>17</v>
      </c>
    </row>
    <row r="622" customFormat="false" ht="14.9" hidden="false" customHeight="false" outlineLevel="0" collapsed="false">
      <c r="A622" s="0" t="n">
        <v>621</v>
      </c>
      <c r="B622" s="0" t="s">
        <v>338</v>
      </c>
      <c r="C622" s="33" t="s">
        <v>339</v>
      </c>
      <c r="D622" s="34" t="n">
        <v>46207</v>
      </c>
      <c r="E622" s="0" t="n">
        <v>731.7</v>
      </c>
      <c r="F622" s="0" t="n">
        <v>0</v>
      </c>
      <c r="G622" s="0" t="n">
        <v>1050.76</v>
      </c>
      <c r="H622" s="0" t="n">
        <v>215.5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15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2012.96</v>
      </c>
      <c r="AH622" s="0" t="n">
        <v>2012.96</v>
      </c>
      <c r="AI622" s="0" t="n">
        <v>33</v>
      </c>
    </row>
    <row r="623" customFormat="false" ht="14.9" hidden="false" customHeight="false" outlineLevel="0" collapsed="false">
      <c r="A623" s="0" t="n">
        <v>622</v>
      </c>
      <c r="B623" s="0" t="s">
        <v>338</v>
      </c>
      <c r="C623" s="33" t="s">
        <v>339</v>
      </c>
      <c r="D623" s="34" t="n">
        <v>46211</v>
      </c>
      <c r="E623" s="0" t="n">
        <v>283.2</v>
      </c>
      <c r="F623" s="0" t="n">
        <v>0</v>
      </c>
      <c r="G623" s="0" t="n">
        <v>132.2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415.4</v>
      </c>
      <c r="AH623" s="0" t="n">
        <v>415.4</v>
      </c>
      <c r="AI623" s="0" t="n">
        <v>9</v>
      </c>
    </row>
    <row r="624" customFormat="false" ht="14.9" hidden="false" customHeight="false" outlineLevel="0" collapsed="false">
      <c r="A624" s="0" t="n">
        <v>623</v>
      </c>
      <c r="B624" s="0" t="s">
        <v>338</v>
      </c>
      <c r="C624" s="33" t="s">
        <v>339</v>
      </c>
      <c r="D624" s="34" t="n">
        <v>46215</v>
      </c>
      <c r="E624" s="0" t="n">
        <v>637.4</v>
      </c>
      <c r="F624" s="0" t="n">
        <v>0</v>
      </c>
      <c r="G624" s="0" t="n">
        <v>779.4</v>
      </c>
      <c r="H624" s="0" t="n">
        <v>53.6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0</v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1470.4</v>
      </c>
      <c r="AH624" s="0" t="n">
        <v>1470.4</v>
      </c>
      <c r="AI624" s="0" t="n">
        <v>26</v>
      </c>
    </row>
    <row r="625" customFormat="false" ht="14.9" hidden="false" customHeight="false" outlineLevel="0" collapsed="false">
      <c r="A625" s="0" t="n">
        <v>624</v>
      </c>
      <c r="B625" s="0" t="s">
        <v>338</v>
      </c>
      <c r="C625" s="33" t="s">
        <v>339</v>
      </c>
      <c r="D625" s="34" t="n">
        <v>46224</v>
      </c>
      <c r="E625" s="0" t="n">
        <v>666.11</v>
      </c>
      <c r="F625" s="0" t="n">
        <v>0</v>
      </c>
      <c r="G625" s="0" t="n">
        <v>711</v>
      </c>
      <c r="H625" s="0" t="n">
        <v>408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1785.11</v>
      </c>
      <c r="AH625" s="0" t="n">
        <v>1785.11</v>
      </c>
      <c r="AI625" s="0" t="n">
        <v>28</v>
      </c>
    </row>
    <row r="626" customFormat="false" ht="14.9" hidden="false" customHeight="false" outlineLevel="0" collapsed="false">
      <c r="A626" s="0" t="n">
        <v>625</v>
      </c>
      <c r="B626" s="0" t="s">
        <v>338</v>
      </c>
      <c r="C626" s="33" t="s">
        <v>339</v>
      </c>
      <c r="D626" s="34" t="n">
        <v>46227</v>
      </c>
      <c r="E626" s="0" t="n">
        <v>251.35</v>
      </c>
      <c r="F626" s="0" t="n">
        <v>0</v>
      </c>
      <c r="G626" s="0" t="n">
        <v>255.4</v>
      </c>
      <c r="H626" s="0" t="n">
        <v>152.8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16.5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676.05</v>
      </c>
      <c r="AH626" s="0" t="n">
        <v>676.05</v>
      </c>
      <c r="AI626" s="0" t="n">
        <v>16</v>
      </c>
    </row>
    <row r="627" customFormat="false" ht="14.9" hidden="false" customHeight="false" outlineLevel="0" collapsed="false">
      <c r="A627" s="0" t="n">
        <v>626</v>
      </c>
      <c r="B627" s="0" t="s">
        <v>338</v>
      </c>
      <c r="C627" s="33" t="s">
        <v>339</v>
      </c>
      <c r="D627" s="34" t="n">
        <v>46204</v>
      </c>
      <c r="E627" s="0" t="n">
        <v>329.26</v>
      </c>
      <c r="F627" s="0" t="n">
        <v>0</v>
      </c>
      <c r="G627" s="0" t="n">
        <v>519.24</v>
      </c>
      <c r="H627" s="0" t="n">
        <v>129.5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978</v>
      </c>
      <c r="AH627" s="0" t="n">
        <v>978</v>
      </c>
      <c r="AI627" s="0" t="n">
        <v>31</v>
      </c>
    </row>
    <row r="628" customFormat="false" ht="14.9" hidden="false" customHeight="false" outlineLevel="0" collapsed="false">
      <c r="A628" s="0" t="n">
        <v>627</v>
      </c>
      <c r="B628" s="0" t="s">
        <v>338</v>
      </c>
      <c r="C628" s="33" t="s">
        <v>339</v>
      </c>
      <c r="D628" s="34" t="n">
        <v>46234</v>
      </c>
      <c r="E628" s="0" t="n">
        <v>164.38</v>
      </c>
      <c r="F628" s="0" t="n">
        <v>0</v>
      </c>
      <c r="G628" s="0" t="n">
        <v>600.05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n">
        <v>0</v>
      </c>
      <c r="W628" s="0" t="n">
        <v>29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793.43</v>
      </c>
      <c r="AH628" s="0" t="n">
        <v>793.43</v>
      </c>
      <c r="AI628" s="0" t="n">
        <v>18</v>
      </c>
    </row>
    <row r="629" customFormat="false" ht="14.9" hidden="false" customHeight="false" outlineLevel="0" collapsed="false">
      <c r="A629" s="0" t="n">
        <v>628</v>
      </c>
      <c r="B629" s="0" t="s">
        <v>338</v>
      </c>
      <c r="C629" s="33" t="s">
        <v>339</v>
      </c>
      <c r="D629" s="34" t="n">
        <v>46210</v>
      </c>
      <c r="E629" s="0" t="n">
        <v>362.21</v>
      </c>
      <c r="F629" s="0" t="n">
        <v>0</v>
      </c>
      <c r="G629" s="0" t="n">
        <v>473</v>
      </c>
      <c r="H629" s="0" t="n">
        <v>81.2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0.01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916.42</v>
      </c>
      <c r="AH629" s="0" t="n">
        <v>916.42</v>
      </c>
      <c r="AI629" s="0" t="n">
        <v>21</v>
      </c>
    </row>
    <row r="630" customFormat="false" ht="14.9" hidden="false" customHeight="false" outlineLevel="0" collapsed="false">
      <c r="A630" s="0" t="n">
        <v>629</v>
      </c>
      <c r="B630" s="0" t="s">
        <v>338</v>
      </c>
      <c r="C630" s="33" t="s">
        <v>339</v>
      </c>
      <c r="D630" s="34" t="n">
        <v>46209</v>
      </c>
      <c r="E630" s="0" t="n">
        <v>591.13</v>
      </c>
      <c r="F630" s="0" t="n">
        <v>0</v>
      </c>
      <c r="G630" s="0" t="n">
        <v>808.16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13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1412.29</v>
      </c>
      <c r="AH630" s="0" t="n">
        <v>1412.29</v>
      </c>
      <c r="AI630" s="0" t="n">
        <v>24</v>
      </c>
    </row>
    <row r="631" customFormat="false" ht="14.9" hidden="false" customHeight="false" outlineLevel="0" collapsed="false">
      <c r="A631" s="0" t="n">
        <v>630</v>
      </c>
      <c r="B631" s="0" t="s">
        <v>338</v>
      </c>
      <c r="C631" s="33" t="s">
        <v>339</v>
      </c>
      <c r="D631" s="34" t="n">
        <v>46206</v>
      </c>
      <c r="E631" s="0" t="n">
        <v>252.7</v>
      </c>
      <c r="F631" s="0" t="n">
        <v>0</v>
      </c>
      <c r="G631" s="0" t="n">
        <v>336.3</v>
      </c>
      <c r="H631" s="0" t="n">
        <v>49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18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656</v>
      </c>
      <c r="AH631" s="0" t="n">
        <v>656</v>
      </c>
      <c r="AI631" s="0" t="n">
        <v>17</v>
      </c>
    </row>
    <row r="632" customFormat="false" ht="14.9" hidden="false" customHeight="false" outlineLevel="0" collapsed="false">
      <c r="A632" s="0" t="n">
        <v>631</v>
      </c>
      <c r="B632" s="0" t="s">
        <v>338</v>
      </c>
      <c r="C632" s="33" t="s">
        <v>339</v>
      </c>
      <c r="D632" s="34" t="n">
        <v>46218</v>
      </c>
      <c r="E632" s="0" t="n">
        <v>200.6</v>
      </c>
      <c r="F632" s="0" t="n">
        <v>0</v>
      </c>
      <c r="G632" s="0" t="n">
        <v>600.5</v>
      </c>
      <c r="H632" s="0" t="n">
        <v>91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5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897.1</v>
      </c>
      <c r="AH632" s="0" t="n">
        <v>897.1</v>
      </c>
      <c r="AI632" s="0" t="n">
        <v>20</v>
      </c>
    </row>
    <row r="633" customFormat="false" ht="14.9" hidden="false" customHeight="false" outlineLevel="0" collapsed="false">
      <c r="A633" s="0" t="n">
        <v>632</v>
      </c>
      <c r="B633" s="0" t="s">
        <v>338</v>
      </c>
      <c r="C633" s="33" t="s">
        <v>339</v>
      </c>
      <c r="D633" s="34" t="n">
        <v>46230</v>
      </c>
      <c r="E633" s="0" t="n">
        <v>4.6</v>
      </c>
      <c r="F633" s="0" t="n">
        <v>0</v>
      </c>
      <c r="G633" s="0" t="n">
        <v>810.3</v>
      </c>
      <c r="H633" s="0" t="n">
        <v>117.6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932.5</v>
      </c>
      <c r="AH633" s="0" t="n">
        <v>932.5</v>
      </c>
      <c r="AI633" s="0" t="n">
        <v>20</v>
      </c>
    </row>
    <row r="634" customFormat="false" ht="14.9" hidden="false" customHeight="false" outlineLevel="0" collapsed="false">
      <c r="A634" s="0" t="n">
        <v>633</v>
      </c>
      <c r="B634" s="0" t="s">
        <v>338</v>
      </c>
      <c r="C634" s="33" t="s">
        <v>339</v>
      </c>
      <c r="D634" s="34" t="n">
        <v>46225</v>
      </c>
      <c r="E634" s="0" t="n">
        <v>215.2</v>
      </c>
      <c r="F634" s="0" t="n">
        <v>0</v>
      </c>
      <c r="G634" s="0" t="n">
        <v>157.5</v>
      </c>
      <c r="H634" s="0" t="n">
        <v>278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650.7</v>
      </c>
      <c r="AH634" s="0" t="n">
        <v>650.7</v>
      </c>
      <c r="AI634" s="0" t="n">
        <v>11</v>
      </c>
    </row>
    <row r="635" customFormat="false" ht="14.9" hidden="false" customHeight="false" outlineLevel="0" collapsed="false">
      <c r="A635" s="0" t="n">
        <v>634</v>
      </c>
      <c r="B635" s="0" t="s">
        <v>338</v>
      </c>
      <c r="C635" s="33" t="s">
        <v>339</v>
      </c>
      <c r="D635" s="34" t="n">
        <v>46217</v>
      </c>
      <c r="E635" s="0" t="n">
        <v>710</v>
      </c>
      <c r="F635" s="0" t="n">
        <v>0</v>
      </c>
      <c r="G635" s="0" t="n">
        <v>533.7</v>
      </c>
      <c r="H635" s="0" t="n">
        <v>193.5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48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1485.2</v>
      </c>
      <c r="AH635" s="0" t="n">
        <v>1485.2</v>
      </c>
      <c r="AI635" s="0" t="n">
        <v>21</v>
      </c>
    </row>
    <row r="636" customFormat="false" ht="14.9" hidden="false" customHeight="false" outlineLevel="0" collapsed="false">
      <c r="A636" s="0" t="n">
        <v>635</v>
      </c>
      <c r="B636" s="0" t="s">
        <v>338</v>
      </c>
      <c r="C636" s="33" t="s">
        <v>339</v>
      </c>
      <c r="D636" s="34" t="n">
        <v>46214</v>
      </c>
      <c r="E636" s="0" t="n">
        <v>218.09</v>
      </c>
      <c r="F636" s="0" t="n">
        <v>0</v>
      </c>
      <c r="G636" s="0" t="n">
        <v>1168.21</v>
      </c>
      <c r="H636" s="0" t="n">
        <v>49.9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10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1446.2</v>
      </c>
      <c r="AH636" s="0" t="n">
        <v>1446.2</v>
      </c>
      <c r="AI636" s="0" t="n">
        <v>25</v>
      </c>
    </row>
    <row r="637" customFormat="false" ht="14.9" hidden="false" customHeight="false" outlineLevel="0" collapsed="false">
      <c r="A637" s="0" t="n">
        <v>636</v>
      </c>
      <c r="B637" s="0" t="s">
        <v>338</v>
      </c>
      <c r="C637" s="33" t="s">
        <v>339</v>
      </c>
      <c r="D637" s="34" t="n">
        <v>46231</v>
      </c>
      <c r="E637" s="0" t="n">
        <v>679.1</v>
      </c>
      <c r="F637" s="0" t="n">
        <v>0</v>
      </c>
      <c r="G637" s="0" t="n">
        <v>469.2</v>
      </c>
      <c r="H637" s="0" t="n">
        <v>258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40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1446.3</v>
      </c>
      <c r="AH637" s="0" t="n">
        <v>1446.3</v>
      </c>
      <c r="AI637" s="0" t="n">
        <v>22</v>
      </c>
    </row>
    <row r="638" customFormat="false" ht="14.9" hidden="false" customHeight="false" outlineLevel="0" collapsed="false">
      <c r="A638" s="0" t="n">
        <v>637</v>
      </c>
      <c r="B638" s="0" t="s">
        <v>338</v>
      </c>
      <c r="C638" s="33" t="s">
        <v>339</v>
      </c>
      <c r="D638" s="34" t="n">
        <v>46228</v>
      </c>
      <c r="E638" s="0" t="n">
        <v>500</v>
      </c>
      <c r="F638" s="0" t="n">
        <v>0</v>
      </c>
      <c r="G638" s="0" t="n">
        <v>129.8</v>
      </c>
      <c r="H638" s="0" t="n">
        <v>23.68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3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656.48</v>
      </c>
      <c r="AH638" s="0" t="n">
        <v>656.48</v>
      </c>
      <c r="AI638" s="0" t="n">
        <v>14</v>
      </c>
    </row>
    <row r="639" customFormat="false" ht="14.9" hidden="false" customHeight="false" outlineLevel="0" collapsed="false">
      <c r="A639" s="0" t="n">
        <v>638</v>
      </c>
      <c r="B639" s="0" t="s">
        <v>338</v>
      </c>
      <c r="C639" s="33" t="s">
        <v>339</v>
      </c>
      <c r="D639" s="34" t="n">
        <v>46208</v>
      </c>
      <c r="E639" s="0" t="n">
        <v>50</v>
      </c>
      <c r="F639" s="0" t="n">
        <v>0</v>
      </c>
      <c r="G639" s="0" t="n">
        <v>768</v>
      </c>
      <c r="H639" s="0" t="n">
        <v>57.3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10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885.3</v>
      </c>
      <c r="AH639" s="0" t="n">
        <v>885.3</v>
      </c>
      <c r="AI639" s="0" t="n">
        <v>16</v>
      </c>
    </row>
    <row r="640" customFormat="false" ht="14.9" hidden="false" customHeight="false" outlineLevel="0" collapsed="false">
      <c r="A640" s="0" t="n">
        <v>639</v>
      </c>
      <c r="B640" s="0" t="s">
        <v>338</v>
      </c>
      <c r="C640" s="33" t="s">
        <v>339</v>
      </c>
      <c r="D640" s="34" t="n">
        <v>46221</v>
      </c>
      <c r="E640" s="0" t="n">
        <v>375.15</v>
      </c>
      <c r="F640" s="0" t="n">
        <v>0</v>
      </c>
      <c r="G640" s="0" t="n">
        <v>747.6</v>
      </c>
      <c r="H640" s="0" t="n">
        <v>435.6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6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1564.35</v>
      </c>
      <c r="AH640" s="0" t="n">
        <v>1564.35</v>
      </c>
      <c r="AI640" s="0" t="n">
        <v>30</v>
      </c>
    </row>
    <row r="641" customFormat="false" ht="14.9" hidden="false" customHeight="false" outlineLevel="0" collapsed="false">
      <c r="A641" s="0" t="n">
        <v>640</v>
      </c>
      <c r="B641" s="0" t="s">
        <v>338</v>
      </c>
      <c r="C641" s="33" t="s">
        <v>339</v>
      </c>
      <c r="D641" s="34" t="n">
        <v>46216</v>
      </c>
      <c r="E641" s="0" t="n">
        <v>150.1</v>
      </c>
      <c r="F641" s="0" t="n">
        <v>0</v>
      </c>
      <c r="G641" s="0" t="n">
        <v>900.58</v>
      </c>
      <c r="H641" s="0" t="n">
        <v>21.9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16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1088.58</v>
      </c>
      <c r="AH641" s="0" t="n">
        <v>1088.58</v>
      </c>
      <c r="AI641" s="0" t="n">
        <v>27</v>
      </c>
    </row>
    <row r="642" customFormat="false" ht="14.9" hidden="false" customHeight="false" outlineLevel="0" collapsed="false">
      <c r="A642" s="0" t="n">
        <v>641</v>
      </c>
      <c r="B642" s="0" t="s">
        <v>338</v>
      </c>
      <c r="C642" s="33" t="s">
        <v>339</v>
      </c>
      <c r="D642" s="34" t="n">
        <v>46229</v>
      </c>
      <c r="E642" s="0" t="n">
        <v>758.25</v>
      </c>
      <c r="F642" s="0" t="n">
        <v>0</v>
      </c>
      <c r="G642" s="0" t="n">
        <v>516.53</v>
      </c>
      <c r="H642" s="0" t="n">
        <v>90.8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23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1388.58</v>
      </c>
      <c r="AH642" s="0" t="n">
        <v>1388.58</v>
      </c>
      <c r="AI642" s="0" t="n">
        <v>24</v>
      </c>
    </row>
    <row r="643" customFormat="false" ht="14.9" hidden="false" customHeight="false" outlineLevel="0" collapsed="false">
      <c r="A643" s="0" t="n">
        <v>642</v>
      </c>
      <c r="B643" s="0" t="s">
        <v>338</v>
      </c>
      <c r="C643" s="33" t="s">
        <v>339</v>
      </c>
      <c r="D643" s="34" t="n">
        <v>46220</v>
      </c>
      <c r="E643" s="0" t="n">
        <v>202.6</v>
      </c>
      <c r="F643" s="0" t="n">
        <v>0</v>
      </c>
      <c r="G643" s="0" t="n">
        <v>296.98</v>
      </c>
      <c r="H643" s="0" t="n">
        <v>147.5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647.08</v>
      </c>
      <c r="AH643" s="0" t="n">
        <v>647.08</v>
      </c>
      <c r="AI643" s="0" t="n">
        <v>14</v>
      </c>
    </row>
    <row r="644" customFormat="false" ht="14.9" hidden="false" customHeight="false" outlineLevel="0" collapsed="false">
      <c r="A644" s="0" t="n">
        <v>643</v>
      </c>
      <c r="B644" s="0" t="s">
        <v>338</v>
      </c>
      <c r="C644" s="33" t="s">
        <v>339</v>
      </c>
      <c r="D644" s="34" t="n">
        <v>46222</v>
      </c>
      <c r="E644" s="0" t="n">
        <v>132.39</v>
      </c>
      <c r="F644" s="0" t="n">
        <v>0</v>
      </c>
      <c r="G644" s="0" t="n">
        <v>505.2</v>
      </c>
      <c r="H644" s="0" t="n">
        <v>18.4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3.8</v>
      </c>
      <c r="W644" s="0" t="n">
        <v>0.1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659.89</v>
      </c>
      <c r="AH644" s="0" t="n">
        <v>659.89</v>
      </c>
      <c r="AI644" s="0" t="n">
        <v>17</v>
      </c>
    </row>
    <row r="645" customFormat="false" ht="14.9" hidden="false" customHeight="false" outlineLevel="0" collapsed="false">
      <c r="A645" s="0" t="n">
        <v>644</v>
      </c>
      <c r="B645" s="0" t="s">
        <v>338</v>
      </c>
      <c r="C645" s="33" t="s">
        <v>339</v>
      </c>
      <c r="D645" s="34" t="n">
        <v>46213</v>
      </c>
      <c r="E645" s="0" t="n">
        <v>193.8</v>
      </c>
      <c r="F645" s="0" t="n">
        <v>0</v>
      </c>
      <c r="G645" s="0" t="n">
        <v>304.8</v>
      </c>
      <c r="H645" s="0" t="n">
        <v>128.2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3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629.8</v>
      </c>
      <c r="AH645" s="0" t="n">
        <v>629.8</v>
      </c>
      <c r="AI645" s="0" t="n">
        <v>11</v>
      </c>
    </row>
    <row r="646" customFormat="false" ht="14.9" hidden="false" customHeight="false" outlineLevel="0" collapsed="false">
      <c r="A646" s="0" t="n">
        <v>645</v>
      </c>
      <c r="B646" s="0" t="s">
        <v>338</v>
      </c>
      <c r="C646" s="33" t="s">
        <v>339</v>
      </c>
      <c r="D646" s="34" t="n">
        <v>46232</v>
      </c>
      <c r="E646" s="0" t="n">
        <v>439.4</v>
      </c>
      <c r="F646" s="0" t="n">
        <v>0</v>
      </c>
      <c r="G646" s="0" t="n">
        <v>62.8</v>
      </c>
      <c r="H646" s="0" t="n">
        <v>70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30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602.2</v>
      </c>
      <c r="AH646" s="0" t="n">
        <v>602.2</v>
      </c>
      <c r="AI646" s="0" t="n">
        <v>15</v>
      </c>
    </row>
    <row r="647" customFormat="false" ht="14.9" hidden="false" customHeight="false" outlineLevel="0" collapsed="false">
      <c r="A647" s="0" t="n">
        <v>646</v>
      </c>
      <c r="B647" s="0" t="s">
        <v>338</v>
      </c>
      <c r="C647" s="33" t="s">
        <v>339</v>
      </c>
      <c r="D647" s="34" t="n">
        <v>46212</v>
      </c>
      <c r="E647" s="0" t="n">
        <v>774.6</v>
      </c>
      <c r="F647" s="0" t="n">
        <v>0</v>
      </c>
      <c r="G647" s="0" t="n">
        <v>557.69</v>
      </c>
      <c r="H647" s="0" t="n">
        <v>117.3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29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1478.59</v>
      </c>
      <c r="AH647" s="0" t="n">
        <v>1478.59</v>
      </c>
      <c r="AI647" s="0" t="n">
        <v>24</v>
      </c>
    </row>
    <row r="648" customFormat="false" ht="14.9" hidden="false" customHeight="false" outlineLevel="0" collapsed="false">
      <c r="A648" s="0" t="n">
        <v>647</v>
      </c>
      <c r="B648" s="0" t="s">
        <v>338</v>
      </c>
      <c r="C648" s="33" t="s">
        <v>339</v>
      </c>
      <c r="D648" s="34" t="n">
        <v>46219</v>
      </c>
      <c r="E648" s="0" t="n">
        <v>232.45</v>
      </c>
      <c r="F648" s="0" t="n">
        <v>0</v>
      </c>
      <c r="G648" s="0" t="n">
        <v>387.33</v>
      </c>
      <c r="H648" s="0" t="n">
        <v>176.66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-0.2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796.24</v>
      </c>
      <c r="AH648" s="0" t="n">
        <v>796.24</v>
      </c>
      <c r="AI648" s="0" t="n">
        <v>21</v>
      </c>
    </row>
    <row r="649" customFormat="false" ht="14.9" hidden="false" customHeight="false" outlineLevel="0" collapsed="false">
      <c r="A649" s="0" t="n">
        <v>648</v>
      </c>
      <c r="B649" s="0" t="s">
        <v>338</v>
      </c>
      <c r="C649" s="33" t="s">
        <v>339</v>
      </c>
      <c r="D649" s="34" t="n">
        <v>46205</v>
      </c>
      <c r="E649" s="0" t="n">
        <v>45.7</v>
      </c>
      <c r="F649" s="0" t="n">
        <v>0</v>
      </c>
      <c r="G649" s="0" t="n">
        <v>482.4</v>
      </c>
      <c r="H649" s="0" t="n">
        <v>127.9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656</v>
      </c>
      <c r="AH649" s="0" t="n">
        <v>656</v>
      </c>
      <c r="AI649" s="0" t="n">
        <v>12</v>
      </c>
    </row>
    <row r="650" customFormat="false" ht="14.9" hidden="false" customHeight="false" outlineLevel="0" collapsed="false">
      <c r="A650" s="0" t="n">
        <v>649</v>
      </c>
      <c r="B650" s="0" t="s">
        <v>338</v>
      </c>
      <c r="C650" s="33" t="s">
        <v>339</v>
      </c>
      <c r="D650" s="34" t="n">
        <v>46226</v>
      </c>
      <c r="E650" s="0" t="n">
        <v>378.3</v>
      </c>
      <c r="F650" s="0" t="n">
        <v>0</v>
      </c>
      <c r="G650" s="0" t="n">
        <v>467.8</v>
      </c>
      <c r="H650" s="0" t="n">
        <v>65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n">
        <v>10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921.1</v>
      </c>
      <c r="AH650" s="0" t="n">
        <v>921.1</v>
      </c>
      <c r="AI650" s="0" t="n">
        <v>24</v>
      </c>
    </row>
    <row r="651" customFormat="false" ht="14.9" hidden="false" customHeight="false" outlineLevel="0" collapsed="false">
      <c r="A651" s="0" t="n">
        <v>650</v>
      </c>
      <c r="B651" s="0" t="s">
        <v>338</v>
      </c>
      <c r="C651" s="33" t="s">
        <v>339</v>
      </c>
      <c r="D651" s="34" t="n">
        <v>46223</v>
      </c>
      <c r="E651" s="0" t="n">
        <v>-595.46</v>
      </c>
      <c r="F651" s="0" t="n">
        <v>0</v>
      </c>
      <c r="G651" s="0" t="n">
        <v>1055.36</v>
      </c>
      <c r="H651" s="0" t="n">
        <v>96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555.9</v>
      </c>
      <c r="AH651" s="0" t="n">
        <v>555.9</v>
      </c>
      <c r="AI651" s="0" t="n">
        <v>10</v>
      </c>
    </row>
    <row r="652" customFormat="false" ht="14.9" hidden="false" customHeight="false" outlineLevel="0" collapsed="false">
      <c r="A652" s="0" t="n">
        <v>651</v>
      </c>
      <c r="B652" s="0" t="s">
        <v>338</v>
      </c>
      <c r="C652" s="33" t="s">
        <v>339</v>
      </c>
      <c r="D652" s="34" t="n">
        <v>46233</v>
      </c>
      <c r="E652" s="0" t="n">
        <v>643.2</v>
      </c>
      <c r="F652" s="0" t="n">
        <v>0</v>
      </c>
      <c r="G652" s="0" t="n">
        <v>472.7</v>
      </c>
      <c r="H652" s="0" t="n">
        <v>107.5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-0.5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151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1373.9</v>
      </c>
      <c r="AH652" s="0" t="n">
        <v>1373.9</v>
      </c>
      <c r="AI652" s="0" t="n">
        <v>31</v>
      </c>
    </row>
    <row r="653" customFormat="false" ht="14.9" hidden="false" customHeight="false" outlineLevel="0" collapsed="false">
      <c r="A653" s="0" t="n">
        <v>652</v>
      </c>
      <c r="B653" s="0" t="s">
        <v>340</v>
      </c>
      <c r="C653" s="33" t="s">
        <v>341</v>
      </c>
      <c r="D653" s="34" t="n">
        <v>46214</v>
      </c>
      <c r="E653" s="0" t="n">
        <v>182.6</v>
      </c>
      <c r="F653" s="0" t="n">
        <v>0</v>
      </c>
      <c r="G653" s="0" t="n">
        <v>894.84</v>
      </c>
      <c r="H653" s="0" t="n">
        <v>460.65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9.9</v>
      </c>
      <c r="W653" s="0" t="n">
        <v>56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1603.99</v>
      </c>
      <c r="AH653" s="0" t="n">
        <v>1603.99</v>
      </c>
      <c r="AI653" s="0" t="n">
        <v>25</v>
      </c>
    </row>
    <row r="654" customFormat="false" ht="14.9" hidden="false" customHeight="false" outlineLevel="0" collapsed="false">
      <c r="A654" s="0" t="n">
        <v>653</v>
      </c>
      <c r="B654" s="0" t="s">
        <v>340</v>
      </c>
      <c r="C654" s="33" t="s">
        <v>341</v>
      </c>
      <c r="D654" s="34" t="n">
        <v>46222</v>
      </c>
      <c r="E654" s="0" t="n">
        <v>58.2</v>
      </c>
      <c r="F654" s="0" t="n">
        <v>0</v>
      </c>
      <c r="G654" s="0" t="n">
        <v>447.8</v>
      </c>
      <c r="H654" s="0" t="n">
        <v>19.8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15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540.8</v>
      </c>
      <c r="AH654" s="0" t="n">
        <v>540.8</v>
      </c>
      <c r="AI654" s="0" t="n">
        <v>13</v>
      </c>
    </row>
    <row r="655" customFormat="false" ht="14.9" hidden="false" customHeight="false" outlineLevel="0" collapsed="false">
      <c r="A655" s="0" t="n">
        <v>654</v>
      </c>
      <c r="B655" s="0" t="s">
        <v>340</v>
      </c>
      <c r="C655" s="33" t="s">
        <v>341</v>
      </c>
      <c r="D655" s="34" t="n">
        <v>46204</v>
      </c>
      <c r="E655" s="0" t="n">
        <v>651.54</v>
      </c>
      <c r="F655" s="0" t="n">
        <v>0</v>
      </c>
      <c r="G655" s="0" t="n">
        <v>1305.06</v>
      </c>
      <c r="H655" s="0" t="n">
        <v>248.22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244.8</v>
      </c>
      <c r="T655" s="0" t="n">
        <v>0</v>
      </c>
      <c r="U655" s="0" t="n">
        <v>0</v>
      </c>
      <c r="V655" s="0" t="n">
        <v>19.8</v>
      </c>
      <c r="W655" s="0" t="n">
        <v>63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2532.42</v>
      </c>
      <c r="AH655" s="0" t="n">
        <v>2532.42</v>
      </c>
      <c r="AI655" s="0" t="n">
        <v>37</v>
      </c>
    </row>
    <row r="656" customFormat="false" ht="14.9" hidden="false" customHeight="false" outlineLevel="0" collapsed="false">
      <c r="A656" s="0" t="n">
        <v>655</v>
      </c>
      <c r="B656" s="0" t="s">
        <v>340</v>
      </c>
      <c r="C656" s="33" t="s">
        <v>341</v>
      </c>
      <c r="D656" s="34" t="n">
        <v>46210</v>
      </c>
      <c r="E656" s="0" t="n">
        <v>23.23</v>
      </c>
      <c r="F656" s="0" t="n">
        <v>0</v>
      </c>
      <c r="G656" s="0" t="n">
        <v>863.6</v>
      </c>
      <c r="H656" s="0" t="n">
        <v>556.7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0.02</v>
      </c>
      <c r="W656" s="0" t="n">
        <v>15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1458.55</v>
      </c>
      <c r="AH656" s="0" t="n">
        <v>1458.55</v>
      </c>
      <c r="AI656" s="0" t="n">
        <v>20</v>
      </c>
    </row>
    <row r="657" customFormat="false" ht="14.9" hidden="false" customHeight="false" outlineLevel="0" collapsed="false">
      <c r="A657" s="0" t="n">
        <v>656</v>
      </c>
      <c r="B657" s="0" t="s">
        <v>340</v>
      </c>
      <c r="C657" s="33" t="s">
        <v>341</v>
      </c>
      <c r="D657" s="34" t="n">
        <v>46212</v>
      </c>
      <c r="E657" s="0" t="n">
        <v>264.59</v>
      </c>
      <c r="F657" s="0" t="n">
        <v>0</v>
      </c>
      <c r="G657" s="0" t="n">
        <v>421.8</v>
      </c>
      <c r="H657" s="0" t="n">
        <v>87.6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0.03</v>
      </c>
      <c r="W657" s="0" t="n">
        <v>5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779.02</v>
      </c>
      <c r="AH657" s="0" t="n">
        <v>779.02</v>
      </c>
      <c r="AI657" s="0" t="n">
        <v>9</v>
      </c>
    </row>
    <row r="658" customFormat="false" ht="14.9" hidden="false" customHeight="false" outlineLevel="0" collapsed="false">
      <c r="A658" s="0" t="n">
        <v>657</v>
      </c>
      <c r="B658" s="0" t="s">
        <v>340</v>
      </c>
      <c r="C658" s="33" t="s">
        <v>341</v>
      </c>
      <c r="D658" s="34" t="n">
        <v>46220</v>
      </c>
      <c r="E658" s="0" t="n">
        <v>134.3</v>
      </c>
      <c r="F658" s="0" t="n">
        <v>0</v>
      </c>
      <c r="G658" s="0" t="n">
        <v>341.7</v>
      </c>
      <c r="H658" s="0" t="n">
        <v>434.2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0.01</v>
      </c>
      <c r="W658" s="0" t="n">
        <v>5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915.21</v>
      </c>
      <c r="AH658" s="0" t="n">
        <v>915.21</v>
      </c>
      <c r="AI658" s="0" t="n">
        <v>16</v>
      </c>
    </row>
    <row r="659" customFormat="false" ht="14.9" hidden="false" customHeight="false" outlineLevel="0" collapsed="false">
      <c r="A659" s="0" t="n">
        <v>658</v>
      </c>
      <c r="B659" s="0" t="s">
        <v>340</v>
      </c>
      <c r="C659" s="33" t="s">
        <v>341</v>
      </c>
      <c r="D659" s="34" t="n">
        <v>46229</v>
      </c>
      <c r="E659" s="0" t="n">
        <v>243.7</v>
      </c>
      <c r="F659" s="0" t="n">
        <v>0</v>
      </c>
      <c r="G659" s="0" t="n">
        <v>1245.5</v>
      </c>
      <c r="H659" s="0" t="n">
        <v>97.89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54.51</v>
      </c>
      <c r="W659" s="0" t="n">
        <v>73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1714.6</v>
      </c>
      <c r="AH659" s="0" t="n">
        <v>1714.6</v>
      </c>
      <c r="AI659" s="0" t="n">
        <v>27</v>
      </c>
    </row>
    <row r="660" customFormat="false" ht="14.9" hidden="false" customHeight="false" outlineLevel="0" collapsed="false">
      <c r="A660" s="0" t="n">
        <v>659</v>
      </c>
      <c r="B660" s="0" t="s">
        <v>340</v>
      </c>
      <c r="C660" s="33" t="s">
        <v>341</v>
      </c>
      <c r="D660" s="34" t="n">
        <v>46219</v>
      </c>
      <c r="E660" s="0" t="n">
        <v>527.45</v>
      </c>
      <c r="F660" s="0" t="n">
        <v>0</v>
      </c>
      <c r="G660" s="0" t="n">
        <v>2430.6</v>
      </c>
      <c r="H660" s="0" t="n">
        <v>232.68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332.2</v>
      </c>
      <c r="T660" s="0" t="n">
        <v>0</v>
      </c>
      <c r="U660" s="0" t="n">
        <v>0</v>
      </c>
      <c r="V660" s="0" t="n">
        <v>42.51</v>
      </c>
      <c r="W660" s="0" t="n">
        <v>98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3663.44</v>
      </c>
      <c r="AH660" s="0" t="n">
        <v>3663.44</v>
      </c>
      <c r="AI660" s="0" t="n">
        <v>36</v>
      </c>
    </row>
    <row r="661" customFormat="false" ht="14.9" hidden="false" customHeight="false" outlineLevel="0" collapsed="false">
      <c r="A661" s="0" t="n">
        <v>660</v>
      </c>
      <c r="B661" s="0" t="s">
        <v>340</v>
      </c>
      <c r="C661" s="33" t="s">
        <v>341</v>
      </c>
      <c r="D661" s="34" t="n">
        <v>46224</v>
      </c>
      <c r="E661" s="0" t="n">
        <v>1254.56</v>
      </c>
      <c r="F661" s="0" t="n">
        <v>0</v>
      </c>
      <c r="G661" s="0" t="n">
        <v>1845.39</v>
      </c>
      <c r="H661" s="0" t="n">
        <v>494.71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49.5</v>
      </c>
      <c r="W661" s="0" t="n">
        <v>83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3727.16</v>
      </c>
      <c r="AH661" s="0" t="n">
        <v>3727.16</v>
      </c>
      <c r="AI661" s="0" t="n">
        <v>38</v>
      </c>
    </row>
    <row r="662" customFormat="false" ht="14.9" hidden="false" customHeight="false" outlineLevel="0" collapsed="false">
      <c r="A662" s="0" t="n">
        <v>661</v>
      </c>
      <c r="B662" s="0" t="s">
        <v>340</v>
      </c>
      <c r="C662" s="33" t="s">
        <v>341</v>
      </c>
      <c r="D662" s="34" t="n">
        <v>46232</v>
      </c>
      <c r="E662" s="0" t="n">
        <v>9</v>
      </c>
      <c r="F662" s="0" t="n">
        <v>0</v>
      </c>
      <c r="G662" s="0" t="n">
        <v>832.3</v>
      </c>
      <c r="H662" s="0" t="n">
        <v>154.3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153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1148.6</v>
      </c>
      <c r="AH662" s="0" t="n">
        <v>1148.6</v>
      </c>
      <c r="AI662" s="0" t="n">
        <v>26</v>
      </c>
    </row>
    <row r="663" customFormat="false" ht="14.9" hidden="false" customHeight="false" outlineLevel="0" collapsed="false">
      <c r="A663" s="0" t="n">
        <v>662</v>
      </c>
      <c r="B663" s="0" t="s">
        <v>340</v>
      </c>
      <c r="C663" s="33" t="s">
        <v>341</v>
      </c>
      <c r="D663" s="34" t="n">
        <v>46221</v>
      </c>
      <c r="E663" s="0" t="n">
        <v>319.83</v>
      </c>
      <c r="F663" s="0" t="n">
        <v>0</v>
      </c>
      <c r="G663" s="0" t="n">
        <v>1110.2</v>
      </c>
      <c r="H663" s="0" t="n">
        <v>256.58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25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1711.61</v>
      </c>
      <c r="AH663" s="0" t="n">
        <v>1711.61</v>
      </c>
      <c r="AI663" s="0" t="n">
        <v>27</v>
      </c>
    </row>
    <row r="664" customFormat="false" ht="14.9" hidden="false" customHeight="false" outlineLevel="0" collapsed="false">
      <c r="A664" s="0" t="n">
        <v>663</v>
      </c>
      <c r="B664" s="0" t="s">
        <v>340</v>
      </c>
      <c r="C664" s="33" t="s">
        <v>341</v>
      </c>
      <c r="D664" s="34" t="n">
        <v>46227</v>
      </c>
      <c r="E664" s="0" t="n">
        <v>133.1</v>
      </c>
      <c r="F664" s="0" t="n">
        <v>0</v>
      </c>
      <c r="G664" s="0" t="n">
        <v>815.2</v>
      </c>
      <c r="H664" s="0" t="n">
        <v>296.2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20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1264.5</v>
      </c>
      <c r="AH664" s="0" t="n">
        <v>1264.5</v>
      </c>
      <c r="AI664" s="0" t="n">
        <v>27</v>
      </c>
    </row>
    <row r="665" customFormat="false" ht="14.9" hidden="false" customHeight="false" outlineLevel="0" collapsed="false">
      <c r="A665" s="0" t="n">
        <v>664</v>
      </c>
      <c r="B665" s="0" t="s">
        <v>340</v>
      </c>
      <c r="C665" s="33" t="s">
        <v>341</v>
      </c>
      <c r="D665" s="34" t="n">
        <v>46216</v>
      </c>
      <c r="E665" s="0" t="n">
        <v>405.8</v>
      </c>
      <c r="F665" s="0" t="n">
        <v>0</v>
      </c>
      <c r="G665" s="0" t="n">
        <v>400.1</v>
      </c>
      <c r="H665" s="0" t="n">
        <v>127.48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39.8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973.18</v>
      </c>
      <c r="AH665" s="0" t="n">
        <v>973.18</v>
      </c>
      <c r="AI665" s="0" t="n">
        <v>21</v>
      </c>
    </row>
    <row r="666" customFormat="false" ht="14.9" hidden="false" customHeight="false" outlineLevel="0" collapsed="false">
      <c r="A666" s="0" t="n">
        <v>665</v>
      </c>
      <c r="B666" s="0" t="s">
        <v>340</v>
      </c>
      <c r="C666" s="33" t="s">
        <v>341</v>
      </c>
      <c r="D666" s="34" t="n">
        <v>46213</v>
      </c>
      <c r="E666" s="0" t="n">
        <v>85.61</v>
      </c>
      <c r="F666" s="0" t="n">
        <v>0</v>
      </c>
      <c r="G666" s="0" t="n">
        <v>707.7</v>
      </c>
      <c r="H666" s="0" t="n">
        <v>194.6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0.02</v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987.93</v>
      </c>
      <c r="AH666" s="0" t="n">
        <v>987.93</v>
      </c>
      <c r="AI666" s="0" t="n">
        <v>22</v>
      </c>
    </row>
    <row r="667" customFormat="false" ht="14.9" hidden="false" customHeight="false" outlineLevel="0" collapsed="false">
      <c r="A667" s="0" t="n">
        <v>666</v>
      </c>
      <c r="B667" s="0" t="s">
        <v>340</v>
      </c>
      <c r="C667" s="33" t="s">
        <v>341</v>
      </c>
      <c r="D667" s="34" t="n">
        <v>46234</v>
      </c>
      <c r="E667" s="0" t="n">
        <v>379.9</v>
      </c>
      <c r="F667" s="0" t="n">
        <v>0</v>
      </c>
      <c r="G667" s="0" t="n">
        <v>330.9</v>
      </c>
      <c r="H667" s="0" t="n">
        <v>407.6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2.7</v>
      </c>
      <c r="T667" s="0" t="n">
        <v>0</v>
      </c>
      <c r="U667" s="0" t="n">
        <v>0</v>
      </c>
      <c r="V667" s="0" t="n">
        <v>0.02</v>
      </c>
      <c r="W667" s="0" t="n">
        <v>140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1261.12</v>
      </c>
      <c r="AH667" s="0" t="n">
        <v>1261.12</v>
      </c>
      <c r="AI667" s="0" t="n">
        <v>36</v>
      </c>
    </row>
    <row r="668" customFormat="false" ht="14.9" hidden="false" customHeight="false" outlineLevel="0" collapsed="false">
      <c r="A668" s="0" t="n">
        <v>667</v>
      </c>
      <c r="B668" s="0" t="s">
        <v>340</v>
      </c>
      <c r="C668" s="33" t="s">
        <v>341</v>
      </c>
      <c r="D668" s="34" t="n">
        <v>46233</v>
      </c>
      <c r="E668" s="0" t="n">
        <v>217.4</v>
      </c>
      <c r="F668" s="0" t="n">
        <v>0</v>
      </c>
      <c r="G668" s="0" t="n">
        <v>685.66</v>
      </c>
      <c r="H668" s="0" t="n">
        <v>258.3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244.5</v>
      </c>
      <c r="T668" s="0" t="n">
        <v>0</v>
      </c>
      <c r="U668" s="0" t="n">
        <v>0</v>
      </c>
      <c r="V668" s="0" t="n">
        <v>0</v>
      </c>
      <c r="W668" s="0" t="n">
        <v>193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1598.86</v>
      </c>
      <c r="AH668" s="0" t="n">
        <v>1598.86</v>
      </c>
      <c r="AI668" s="0" t="n">
        <v>35</v>
      </c>
    </row>
    <row r="669" customFormat="false" ht="14.9" hidden="false" customHeight="false" outlineLevel="0" collapsed="false">
      <c r="A669" s="0" t="n">
        <v>668</v>
      </c>
      <c r="B669" s="0" t="s">
        <v>340</v>
      </c>
      <c r="C669" s="33" t="s">
        <v>341</v>
      </c>
      <c r="D669" s="34" t="n">
        <v>46225</v>
      </c>
      <c r="E669" s="0" t="n">
        <v>34.07</v>
      </c>
      <c r="F669" s="0" t="n">
        <v>0</v>
      </c>
      <c r="G669" s="0" t="n">
        <v>351.7</v>
      </c>
      <c r="H669" s="0" t="n">
        <v>232.2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231.2</v>
      </c>
      <c r="T669" s="0" t="n">
        <v>0</v>
      </c>
      <c r="U669" s="0" t="n">
        <v>0</v>
      </c>
      <c r="V669" s="0" t="n">
        <v>0</v>
      </c>
      <c r="W669" s="0" t="n">
        <v>28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877.17</v>
      </c>
      <c r="AH669" s="0" t="n">
        <v>877.17</v>
      </c>
      <c r="AI669" s="0" t="n">
        <v>21</v>
      </c>
    </row>
    <row r="670" customFormat="false" ht="14.9" hidden="false" customHeight="false" outlineLevel="0" collapsed="false">
      <c r="A670" s="0" t="n">
        <v>669</v>
      </c>
      <c r="B670" s="0" t="s">
        <v>340</v>
      </c>
      <c r="C670" s="33" t="s">
        <v>341</v>
      </c>
      <c r="D670" s="34" t="n">
        <v>46226</v>
      </c>
      <c r="E670" s="0" t="n">
        <v>91</v>
      </c>
      <c r="F670" s="0" t="n">
        <v>0</v>
      </c>
      <c r="G670" s="0" t="n">
        <v>525</v>
      </c>
      <c r="H670" s="0" t="n">
        <v>217.5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10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843.5</v>
      </c>
      <c r="AH670" s="0" t="n">
        <v>843.5</v>
      </c>
      <c r="AI670" s="0" t="n">
        <v>19</v>
      </c>
    </row>
    <row r="671" customFormat="false" ht="14.9" hidden="false" customHeight="false" outlineLevel="0" collapsed="false">
      <c r="A671" s="0" t="n">
        <v>670</v>
      </c>
      <c r="B671" s="0" t="s">
        <v>340</v>
      </c>
      <c r="C671" s="33" t="s">
        <v>341</v>
      </c>
      <c r="D671" s="34" t="n">
        <v>46228</v>
      </c>
      <c r="E671" s="0" t="n">
        <v>223.5</v>
      </c>
      <c r="F671" s="0" t="n">
        <v>0</v>
      </c>
      <c r="G671" s="0" t="n">
        <v>311.1</v>
      </c>
      <c r="H671" s="0" t="n">
        <v>63.9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0.02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598.52</v>
      </c>
      <c r="AH671" s="0" t="n">
        <v>598.52</v>
      </c>
      <c r="AI671" s="0" t="n">
        <v>18</v>
      </c>
    </row>
    <row r="672" customFormat="false" ht="14.9" hidden="false" customHeight="false" outlineLevel="0" collapsed="false">
      <c r="A672" s="0" t="n">
        <v>671</v>
      </c>
      <c r="B672" s="0" t="s">
        <v>340</v>
      </c>
      <c r="C672" s="33" t="s">
        <v>341</v>
      </c>
      <c r="D672" s="34" t="n">
        <v>46208</v>
      </c>
      <c r="E672" s="0" t="n">
        <v>446.2</v>
      </c>
      <c r="F672" s="0" t="n">
        <v>0</v>
      </c>
      <c r="G672" s="0" t="n">
        <v>175.9</v>
      </c>
      <c r="H672" s="0" t="n">
        <v>105.8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727.9</v>
      </c>
      <c r="AH672" s="0" t="n">
        <v>727.9</v>
      </c>
      <c r="AI672" s="0" t="n">
        <v>15</v>
      </c>
    </row>
    <row r="673" customFormat="false" ht="14.9" hidden="false" customHeight="false" outlineLevel="0" collapsed="false">
      <c r="A673" s="0" t="n">
        <v>672</v>
      </c>
      <c r="B673" s="0" t="s">
        <v>340</v>
      </c>
      <c r="C673" s="33" t="s">
        <v>341</v>
      </c>
      <c r="D673" s="34" t="n">
        <v>46207</v>
      </c>
      <c r="E673" s="0" t="n">
        <v>216.6</v>
      </c>
      <c r="F673" s="0" t="n">
        <v>0</v>
      </c>
      <c r="G673" s="0" t="n">
        <v>421.6</v>
      </c>
      <c r="H673" s="0" t="n">
        <v>346.2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35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1019.4</v>
      </c>
      <c r="AH673" s="0" t="n">
        <v>1019.4</v>
      </c>
      <c r="AI673" s="0" t="n">
        <v>20</v>
      </c>
    </row>
    <row r="674" customFormat="false" ht="14.9" hidden="false" customHeight="false" outlineLevel="0" collapsed="false">
      <c r="A674" s="0" t="n">
        <v>673</v>
      </c>
      <c r="B674" s="0" t="s">
        <v>340</v>
      </c>
      <c r="C674" s="33" t="s">
        <v>341</v>
      </c>
      <c r="D674" s="34" t="n">
        <v>46206</v>
      </c>
      <c r="E674" s="0" t="n">
        <v>219.8</v>
      </c>
      <c r="F674" s="0" t="n">
        <v>0</v>
      </c>
      <c r="G674" s="0" t="n">
        <v>393.6</v>
      </c>
      <c r="H674" s="0" t="n">
        <v>259.8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9.9</v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883.1</v>
      </c>
      <c r="AH674" s="0" t="n">
        <v>883.1</v>
      </c>
      <c r="AI674" s="0" t="n">
        <v>17</v>
      </c>
    </row>
    <row r="675" customFormat="false" ht="14.9" hidden="false" customHeight="false" outlineLevel="0" collapsed="false">
      <c r="A675" s="0" t="n">
        <v>674</v>
      </c>
      <c r="B675" s="0" t="s">
        <v>340</v>
      </c>
      <c r="C675" s="33" t="s">
        <v>341</v>
      </c>
      <c r="D675" s="34" t="n">
        <v>46211</v>
      </c>
      <c r="E675" s="0" t="n">
        <v>136.61</v>
      </c>
      <c r="F675" s="0" t="n">
        <v>0</v>
      </c>
      <c r="G675" s="0" t="n">
        <v>252.5</v>
      </c>
      <c r="H675" s="0" t="n">
        <v>507.1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40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936.21</v>
      </c>
      <c r="AH675" s="0" t="n">
        <v>936.21</v>
      </c>
      <c r="AI675" s="0" t="n">
        <v>14</v>
      </c>
    </row>
    <row r="676" customFormat="false" ht="14.9" hidden="false" customHeight="false" outlineLevel="0" collapsed="false">
      <c r="A676" s="0" t="n">
        <v>675</v>
      </c>
      <c r="B676" s="0" t="s">
        <v>340</v>
      </c>
      <c r="C676" s="33" t="s">
        <v>341</v>
      </c>
      <c r="D676" s="34" t="n">
        <v>46223</v>
      </c>
      <c r="E676" s="0" t="n">
        <v>28.32</v>
      </c>
      <c r="F676" s="0" t="n">
        <v>0</v>
      </c>
      <c r="G676" s="0" t="n">
        <v>430.1</v>
      </c>
      <c r="H676" s="0" t="n">
        <v>545.9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97.4</v>
      </c>
      <c r="T676" s="0" t="n">
        <v>0</v>
      </c>
      <c r="U676" s="0" t="n">
        <v>0</v>
      </c>
      <c r="V676" s="0" t="n">
        <v>0.01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1101.73</v>
      </c>
      <c r="AH676" s="0" t="n">
        <v>1101.73</v>
      </c>
      <c r="AI676" s="0" t="n">
        <v>17</v>
      </c>
    </row>
    <row r="677" customFormat="false" ht="14.9" hidden="false" customHeight="false" outlineLevel="0" collapsed="false">
      <c r="A677" s="0" t="n">
        <v>676</v>
      </c>
      <c r="B677" s="0" t="s">
        <v>340</v>
      </c>
      <c r="C677" s="33" t="s">
        <v>341</v>
      </c>
      <c r="D677" s="34" t="n">
        <v>46231</v>
      </c>
      <c r="E677" s="0" t="n">
        <v>258.4</v>
      </c>
      <c r="F677" s="0" t="n">
        <v>0</v>
      </c>
      <c r="G677" s="0" t="n">
        <v>670.12</v>
      </c>
      <c r="H677" s="0" t="n">
        <v>349.7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118</v>
      </c>
      <c r="T677" s="0" t="n">
        <v>0</v>
      </c>
      <c r="U677" s="0" t="n">
        <v>0</v>
      </c>
      <c r="V677" s="0" t="n">
        <v>0</v>
      </c>
      <c r="W677" s="0" t="n">
        <v>130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1526.22</v>
      </c>
      <c r="AH677" s="0" t="n">
        <v>1526.22</v>
      </c>
      <c r="AI677" s="0" t="n">
        <v>26</v>
      </c>
    </row>
    <row r="678" customFormat="false" ht="14.9" hidden="false" customHeight="false" outlineLevel="0" collapsed="false">
      <c r="A678" s="0" t="n">
        <v>677</v>
      </c>
      <c r="B678" s="0" t="s">
        <v>340</v>
      </c>
      <c r="C678" s="33" t="s">
        <v>341</v>
      </c>
      <c r="D678" s="34" t="n">
        <v>46215</v>
      </c>
      <c r="E678" s="0" t="n">
        <v>92.12</v>
      </c>
      <c r="F678" s="0" t="n">
        <v>0</v>
      </c>
      <c r="G678" s="0" t="n">
        <v>440.2</v>
      </c>
      <c r="H678" s="0" t="n">
        <v>1355.8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21</v>
      </c>
      <c r="T678" s="0" t="n">
        <v>0</v>
      </c>
      <c r="U678" s="0" t="n">
        <v>0</v>
      </c>
      <c r="V678" s="0" t="n">
        <v>0</v>
      </c>
      <c r="W678" s="0" t="n">
        <v>13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1922.12</v>
      </c>
      <c r="AH678" s="0" t="n">
        <v>1922.12</v>
      </c>
      <c r="AI678" s="0" t="n">
        <v>27</v>
      </c>
    </row>
    <row r="679" customFormat="false" ht="14.9" hidden="false" customHeight="false" outlineLevel="0" collapsed="false">
      <c r="A679" s="0" t="n">
        <v>678</v>
      </c>
      <c r="B679" s="0" t="s">
        <v>340</v>
      </c>
      <c r="C679" s="33" t="s">
        <v>341</v>
      </c>
      <c r="D679" s="34" t="n">
        <v>46218</v>
      </c>
      <c r="E679" s="0" t="n">
        <v>454.13</v>
      </c>
      <c r="F679" s="0" t="n">
        <v>0</v>
      </c>
      <c r="G679" s="0" t="n">
        <v>696</v>
      </c>
      <c r="H679" s="0" t="n">
        <v>148.8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10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1308.93</v>
      </c>
      <c r="AH679" s="0" t="n">
        <v>1308.93</v>
      </c>
      <c r="AI679" s="0" t="n">
        <v>24</v>
      </c>
    </row>
    <row r="680" customFormat="false" ht="14.9" hidden="false" customHeight="false" outlineLevel="0" collapsed="false">
      <c r="A680" s="0" t="n">
        <v>679</v>
      </c>
      <c r="B680" s="0" t="s">
        <v>340</v>
      </c>
      <c r="C680" s="33" t="s">
        <v>341</v>
      </c>
      <c r="D680" s="34" t="n">
        <v>46205</v>
      </c>
      <c r="E680" s="0" t="n">
        <v>184.5</v>
      </c>
      <c r="F680" s="0" t="n">
        <v>0</v>
      </c>
      <c r="G680" s="0" t="n">
        <v>473.9</v>
      </c>
      <c r="H680" s="0" t="n">
        <v>172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176.5</v>
      </c>
      <c r="T680" s="0" t="n">
        <v>0</v>
      </c>
      <c r="U680" s="0" t="n">
        <v>0</v>
      </c>
      <c r="V680" s="0" t="n">
        <v>0</v>
      </c>
      <c r="W680" s="0" t="n">
        <v>25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1031.9</v>
      </c>
      <c r="AH680" s="0" t="n">
        <v>1031.9</v>
      </c>
      <c r="AI680" s="0" t="n">
        <v>18</v>
      </c>
    </row>
    <row r="681" customFormat="false" ht="14.9" hidden="false" customHeight="false" outlineLevel="0" collapsed="false">
      <c r="A681" s="0" t="n">
        <v>680</v>
      </c>
      <c r="B681" s="0" t="s">
        <v>340</v>
      </c>
      <c r="C681" s="33" t="s">
        <v>341</v>
      </c>
      <c r="D681" s="34" t="n">
        <v>46230</v>
      </c>
      <c r="E681" s="0" t="n">
        <v>295.4</v>
      </c>
      <c r="F681" s="0" t="n">
        <v>0</v>
      </c>
      <c r="G681" s="0" t="n">
        <v>552.4</v>
      </c>
      <c r="H681" s="0" t="n">
        <v>121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2.5</v>
      </c>
      <c r="T681" s="0" t="n">
        <v>0</v>
      </c>
      <c r="U681" s="0" t="n">
        <v>0</v>
      </c>
      <c r="V681" s="0" t="n">
        <v>0</v>
      </c>
      <c r="W681" s="0" t="n">
        <v>28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999.3</v>
      </c>
      <c r="AH681" s="0" t="n">
        <v>999.3</v>
      </c>
      <c r="AI681" s="0" t="n">
        <v>22</v>
      </c>
    </row>
    <row r="682" customFormat="false" ht="14.9" hidden="false" customHeight="false" outlineLevel="0" collapsed="false">
      <c r="A682" s="0" t="n">
        <v>681</v>
      </c>
      <c r="B682" s="0" t="s">
        <v>340</v>
      </c>
      <c r="C682" s="33" t="s">
        <v>341</v>
      </c>
      <c r="D682" s="34" t="n">
        <v>46209</v>
      </c>
      <c r="E682" s="0" t="n">
        <v>269.88</v>
      </c>
      <c r="F682" s="0" t="n">
        <v>0</v>
      </c>
      <c r="G682" s="0" t="n">
        <v>951.3</v>
      </c>
      <c r="H682" s="0" t="n">
        <v>925.24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357</v>
      </c>
      <c r="T682" s="0" t="n">
        <v>0</v>
      </c>
      <c r="U682" s="0" t="n">
        <v>0</v>
      </c>
      <c r="V682" s="0" t="n">
        <v>52.6</v>
      </c>
      <c r="W682" s="0" t="n">
        <v>60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2616.02</v>
      </c>
      <c r="AH682" s="0" t="n">
        <v>2616.02</v>
      </c>
      <c r="AI682" s="0" t="n">
        <v>35</v>
      </c>
    </row>
    <row r="683" customFormat="false" ht="14.9" hidden="false" customHeight="false" outlineLevel="0" collapsed="false">
      <c r="A683" s="0" t="n">
        <v>682</v>
      </c>
      <c r="B683" s="0" t="s">
        <v>340</v>
      </c>
      <c r="C683" s="33" t="s">
        <v>341</v>
      </c>
      <c r="D683" s="34" t="n">
        <v>46217</v>
      </c>
      <c r="E683" s="0" t="n">
        <v>419.52</v>
      </c>
      <c r="F683" s="0" t="n">
        <v>0</v>
      </c>
      <c r="G683" s="0" t="n">
        <v>244.5</v>
      </c>
      <c r="H683" s="0" t="n">
        <v>636.28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129.2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1429.5</v>
      </c>
      <c r="AH683" s="0" t="n">
        <v>1429.5</v>
      </c>
      <c r="AI683" s="0" t="n">
        <v>28</v>
      </c>
    </row>
    <row r="684" customFormat="false" ht="14.9" hidden="false" customHeight="false" outlineLevel="0" collapsed="false">
      <c r="A684" s="0" t="n">
        <v>683</v>
      </c>
      <c r="B684" s="0" t="s">
        <v>342</v>
      </c>
      <c r="C684" s="33" t="s">
        <v>343</v>
      </c>
      <c r="D684" s="34" t="n">
        <v>46214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15</v>
      </c>
    </row>
    <row r="685" customFormat="false" ht="14.9" hidden="false" customHeight="false" outlineLevel="0" collapsed="false">
      <c r="A685" s="0" t="n">
        <v>684</v>
      </c>
      <c r="B685" s="0" t="s">
        <v>344</v>
      </c>
      <c r="C685" s="33" t="s">
        <v>345</v>
      </c>
      <c r="D685" s="34" t="n">
        <v>46222</v>
      </c>
      <c r="E685" s="0" t="n">
        <v>1.5</v>
      </c>
      <c r="F685" s="0" t="n">
        <v>0</v>
      </c>
      <c r="G685" s="0" t="n">
        <v>904.01</v>
      </c>
      <c r="H685" s="0" t="n">
        <v>810.89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527.8</v>
      </c>
      <c r="P685" s="0" t="n">
        <v>173.9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0.01</v>
      </c>
      <c r="W685" s="0" t="n">
        <v>61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2479.11</v>
      </c>
      <c r="AH685" s="0" t="n">
        <v>2479.11</v>
      </c>
      <c r="AI685" s="0" t="n">
        <v>38</v>
      </c>
    </row>
    <row r="686" customFormat="false" ht="14.9" hidden="false" customHeight="false" outlineLevel="0" collapsed="false">
      <c r="A686" s="0" t="n">
        <v>685</v>
      </c>
      <c r="B686" s="0" t="s">
        <v>344</v>
      </c>
      <c r="C686" s="33" t="s">
        <v>345</v>
      </c>
      <c r="D686" s="34" t="n">
        <v>46208</v>
      </c>
      <c r="E686" s="0" t="n">
        <v>176.5</v>
      </c>
      <c r="F686" s="0" t="n">
        <v>0</v>
      </c>
      <c r="G686" s="0" t="n">
        <v>357.59</v>
      </c>
      <c r="H686" s="0" t="n">
        <v>151.8</v>
      </c>
      <c r="I686" s="0" t="n">
        <v>0</v>
      </c>
      <c r="J686" s="0" t="n">
        <v>65.17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313.1</v>
      </c>
      <c r="P686" s="0" t="n">
        <v>167.5</v>
      </c>
      <c r="Q686" s="0" t="n">
        <v>0</v>
      </c>
      <c r="R686" s="0" t="n">
        <v>0</v>
      </c>
      <c r="S686" s="0" t="n">
        <v>98.8</v>
      </c>
      <c r="T686" s="0" t="n">
        <v>0</v>
      </c>
      <c r="U686" s="0" t="n">
        <v>0</v>
      </c>
      <c r="V686" s="0" t="n">
        <v>0</v>
      </c>
      <c r="W686" s="0" t="n">
        <v>42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1372.46</v>
      </c>
      <c r="AH686" s="0" t="n">
        <v>1372.46</v>
      </c>
      <c r="AI686" s="0" t="n">
        <v>36</v>
      </c>
    </row>
    <row r="687" customFormat="false" ht="14.9" hidden="false" customHeight="false" outlineLevel="0" collapsed="false">
      <c r="A687" s="0" t="n">
        <v>686</v>
      </c>
      <c r="B687" s="0" t="s">
        <v>344</v>
      </c>
      <c r="C687" s="33" t="s">
        <v>345</v>
      </c>
      <c r="D687" s="34" t="n">
        <v>46210</v>
      </c>
      <c r="E687" s="0" t="n">
        <v>439.1</v>
      </c>
      <c r="F687" s="0" t="n">
        <v>0</v>
      </c>
      <c r="G687" s="0" t="n">
        <v>206</v>
      </c>
      <c r="H687" s="0" t="n">
        <v>207.9</v>
      </c>
      <c r="I687" s="0" t="n">
        <v>0</v>
      </c>
      <c r="J687" s="0" t="n">
        <v>0</v>
      </c>
      <c r="K687" s="0" t="n">
        <v>110.9</v>
      </c>
      <c r="L687" s="0" t="n">
        <v>0</v>
      </c>
      <c r="M687" s="0" t="n">
        <v>0</v>
      </c>
      <c r="N687" s="0" t="n">
        <v>0</v>
      </c>
      <c r="O687" s="0" t="n">
        <v>174.3</v>
      </c>
      <c r="P687" s="0" t="n">
        <v>234.7</v>
      </c>
      <c r="Q687" s="0" t="n">
        <v>0</v>
      </c>
      <c r="R687" s="0" t="n">
        <v>0</v>
      </c>
      <c r="S687" s="0" t="n">
        <v>35.3</v>
      </c>
      <c r="T687" s="0" t="n">
        <v>0</v>
      </c>
      <c r="U687" s="0" t="n">
        <v>0</v>
      </c>
      <c r="V687" s="0" t="n">
        <v>0.01</v>
      </c>
      <c r="W687" s="0" t="n">
        <v>16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1424.21</v>
      </c>
      <c r="AH687" s="0" t="n">
        <v>1424.21</v>
      </c>
      <c r="AI687" s="0" t="n">
        <v>33</v>
      </c>
    </row>
    <row r="688" customFormat="false" ht="14.9" hidden="false" customHeight="false" outlineLevel="0" collapsed="false">
      <c r="A688" s="0" t="n">
        <v>687</v>
      </c>
      <c r="B688" s="0" t="s">
        <v>344</v>
      </c>
      <c r="C688" s="33" t="s">
        <v>345</v>
      </c>
      <c r="D688" s="34" t="n">
        <v>46233</v>
      </c>
      <c r="E688" s="0" t="n">
        <v>881.8</v>
      </c>
      <c r="F688" s="0" t="n">
        <v>0</v>
      </c>
      <c r="G688" s="0" t="n">
        <v>569.5</v>
      </c>
      <c r="H688" s="0" t="n">
        <v>267.6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364.4</v>
      </c>
      <c r="P688" s="0" t="n">
        <v>104.5</v>
      </c>
      <c r="Q688" s="0" t="n">
        <v>75</v>
      </c>
      <c r="R688" s="0" t="n">
        <v>0</v>
      </c>
      <c r="S688" s="0" t="n">
        <v>38</v>
      </c>
      <c r="T688" s="0" t="n">
        <v>0</v>
      </c>
      <c r="U688" s="0" t="n">
        <v>0</v>
      </c>
      <c r="V688" s="0" t="n">
        <v>0</v>
      </c>
      <c r="W688" s="0" t="n">
        <v>134.8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2435.6</v>
      </c>
      <c r="AH688" s="0" t="n">
        <v>2435.6</v>
      </c>
      <c r="AI688" s="0" t="n">
        <v>39</v>
      </c>
    </row>
    <row r="689" customFormat="false" ht="14.9" hidden="false" customHeight="false" outlineLevel="0" collapsed="false">
      <c r="A689" s="0" t="n">
        <v>688</v>
      </c>
      <c r="B689" s="0" t="s">
        <v>344</v>
      </c>
      <c r="C689" s="33" t="s">
        <v>345</v>
      </c>
      <c r="D689" s="34" t="n">
        <v>46217</v>
      </c>
      <c r="E689" s="0" t="n">
        <v>237.91</v>
      </c>
      <c r="F689" s="0" t="n">
        <v>0</v>
      </c>
      <c r="G689" s="0" t="n">
        <v>378.4</v>
      </c>
      <c r="H689" s="0" t="n">
        <v>343.5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445.8</v>
      </c>
      <c r="P689" s="0" t="n">
        <v>202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21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1628.61</v>
      </c>
      <c r="AH689" s="0" t="n">
        <v>1628.61</v>
      </c>
      <c r="AI689" s="0" t="n">
        <v>38</v>
      </c>
    </row>
    <row r="690" customFormat="false" ht="14.9" hidden="false" customHeight="false" outlineLevel="0" collapsed="false">
      <c r="A690" s="0" t="n">
        <v>689</v>
      </c>
      <c r="B690" s="0" t="s">
        <v>344</v>
      </c>
      <c r="C690" s="33" t="s">
        <v>345</v>
      </c>
      <c r="D690" s="34" t="n">
        <v>46223</v>
      </c>
      <c r="E690" s="0" t="n">
        <v>130.8</v>
      </c>
      <c r="F690" s="0" t="n">
        <v>0</v>
      </c>
      <c r="G690" s="0" t="n">
        <v>356.6</v>
      </c>
      <c r="H690" s="0" t="n">
        <v>217.6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191.8</v>
      </c>
      <c r="P690" s="0" t="n">
        <v>321.2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14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1232</v>
      </c>
      <c r="AH690" s="0" t="n">
        <v>1232</v>
      </c>
      <c r="AI690" s="0" t="n">
        <v>32</v>
      </c>
    </row>
    <row r="691" customFormat="false" ht="14.9" hidden="false" customHeight="false" outlineLevel="0" collapsed="false">
      <c r="A691" s="0" t="n">
        <v>690</v>
      </c>
      <c r="B691" s="0" t="s">
        <v>344</v>
      </c>
      <c r="C691" s="33" t="s">
        <v>345</v>
      </c>
      <c r="D691" s="34" t="n">
        <v>46207</v>
      </c>
      <c r="E691" s="0" t="n">
        <v>208.6</v>
      </c>
      <c r="F691" s="0" t="n">
        <v>0</v>
      </c>
      <c r="G691" s="0" t="n">
        <v>427.6</v>
      </c>
      <c r="H691" s="0" t="n">
        <v>387.3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239.5</v>
      </c>
      <c r="P691" s="0" t="n">
        <v>155.4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10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1428.4</v>
      </c>
      <c r="AH691" s="0" t="n">
        <v>1428.4</v>
      </c>
      <c r="AI691" s="0" t="n">
        <v>31</v>
      </c>
    </row>
    <row r="692" customFormat="false" ht="14.9" hidden="false" customHeight="false" outlineLevel="0" collapsed="false">
      <c r="A692" s="0" t="n">
        <v>691</v>
      </c>
      <c r="B692" s="0" t="s">
        <v>344</v>
      </c>
      <c r="C692" s="33" t="s">
        <v>345</v>
      </c>
      <c r="D692" s="34" t="n">
        <v>46209</v>
      </c>
      <c r="E692" s="0" t="n">
        <v>365.87</v>
      </c>
      <c r="F692" s="0" t="n">
        <v>0</v>
      </c>
      <c r="G692" s="0" t="n">
        <v>949.88</v>
      </c>
      <c r="H692" s="0" t="n">
        <v>276.14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338.5</v>
      </c>
      <c r="P692" s="0" t="n">
        <v>178.8</v>
      </c>
      <c r="Q692" s="0" t="n">
        <v>0</v>
      </c>
      <c r="R692" s="0" t="n">
        <v>0</v>
      </c>
      <c r="S692" s="0" t="n">
        <v>2</v>
      </c>
      <c r="T692" s="0" t="n">
        <v>0</v>
      </c>
      <c r="U692" s="0" t="n">
        <v>0</v>
      </c>
      <c r="V692" s="0" t="n">
        <v>18.9</v>
      </c>
      <c r="W692" s="0" t="n">
        <v>20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2150.09</v>
      </c>
      <c r="AH692" s="0" t="n">
        <v>2150.09</v>
      </c>
      <c r="AI692" s="0" t="n">
        <v>47</v>
      </c>
    </row>
    <row r="693" customFormat="false" ht="14.9" hidden="false" customHeight="false" outlineLevel="0" collapsed="false">
      <c r="A693" s="0" t="n">
        <v>692</v>
      </c>
      <c r="B693" s="0" t="s">
        <v>344</v>
      </c>
      <c r="C693" s="33" t="s">
        <v>345</v>
      </c>
      <c r="D693" s="34" t="n">
        <v>46205</v>
      </c>
      <c r="E693" s="0" t="n">
        <v>177.8</v>
      </c>
      <c r="F693" s="0" t="n">
        <v>0</v>
      </c>
      <c r="G693" s="0" t="n">
        <v>347.58</v>
      </c>
      <c r="H693" s="0" t="n">
        <v>215.9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400.2</v>
      </c>
      <c r="P693" s="0" t="n">
        <v>262.4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10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1413.88</v>
      </c>
      <c r="AH693" s="0" t="n">
        <v>1413.88</v>
      </c>
      <c r="AI693" s="0" t="n">
        <v>31</v>
      </c>
    </row>
    <row r="694" customFormat="false" ht="14.9" hidden="false" customHeight="false" outlineLevel="0" collapsed="false">
      <c r="A694" s="0" t="n">
        <v>693</v>
      </c>
      <c r="B694" s="0" t="s">
        <v>344</v>
      </c>
      <c r="C694" s="33" t="s">
        <v>345</v>
      </c>
      <c r="D694" s="34" t="n">
        <v>46226</v>
      </c>
      <c r="E694" s="0" t="n">
        <v>398.7</v>
      </c>
      <c r="F694" s="0" t="n">
        <v>0</v>
      </c>
      <c r="G694" s="0" t="n">
        <v>420.2</v>
      </c>
      <c r="H694" s="0" t="n">
        <v>210.9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304.7</v>
      </c>
      <c r="P694" s="0" t="n">
        <v>393.4</v>
      </c>
      <c r="Q694" s="0" t="n">
        <v>0</v>
      </c>
      <c r="R694" s="0" t="n">
        <v>0</v>
      </c>
      <c r="S694" s="0" t="n">
        <v>137.86</v>
      </c>
      <c r="T694" s="0" t="n">
        <v>0</v>
      </c>
      <c r="U694" s="0" t="n">
        <v>0</v>
      </c>
      <c r="V694" s="0" t="n">
        <v>9.9</v>
      </c>
      <c r="W694" s="0" t="n">
        <v>5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1880.66</v>
      </c>
      <c r="AH694" s="0" t="n">
        <v>1880.66</v>
      </c>
      <c r="AI694" s="0" t="n">
        <v>35</v>
      </c>
    </row>
    <row r="695" customFormat="false" ht="14.9" hidden="false" customHeight="false" outlineLevel="0" collapsed="false">
      <c r="A695" s="0" t="n">
        <v>694</v>
      </c>
      <c r="B695" s="0" t="s">
        <v>344</v>
      </c>
      <c r="C695" s="33" t="s">
        <v>345</v>
      </c>
      <c r="D695" s="34" t="n">
        <v>46225</v>
      </c>
      <c r="E695" s="0" t="n">
        <v>262.89</v>
      </c>
      <c r="F695" s="0" t="n">
        <v>0</v>
      </c>
      <c r="G695" s="0" t="n">
        <v>163.4</v>
      </c>
      <c r="H695" s="0" t="n">
        <v>110.8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284.2</v>
      </c>
      <c r="P695" s="0" t="n">
        <v>164.3</v>
      </c>
      <c r="Q695" s="0" t="n">
        <v>0</v>
      </c>
      <c r="R695" s="0" t="n">
        <v>0</v>
      </c>
      <c r="S695" s="0" t="n">
        <v>192.3</v>
      </c>
      <c r="T695" s="0" t="n">
        <v>0</v>
      </c>
      <c r="U695" s="0" t="n">
        <v>0</v>
      </c>
      <c r="V695" s="0" t="n">
        <v>0</v>
      </c>
      <c r="W695" s="0" t="n">
        <v>35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1212.89</v>
      </c>
      <c r="AH695" s="0" t="n">
        <v>1212.89</v>
      </c>
      <c r="AI695" s="0" t="n">
        <v>23</v>
      </c>
    </row>
    <row r="696" customFormat="false" ht="14.9" hidden="false" customHeight="false" outlineLevel="0" collapsed="false">
      <c r="A696" s="0" t="n">
        <v>695</v>
      </c>
      <c r="B696" s="0" t="s">
        <v>344</v>
      </c>
      <c r="C696" s="33" t="s">
        <v>345</v>
      </c>
      <c r="D696" s="34" t="n">
        <v>46230</v>
      </c>
      <c r="E696" s="0" t="n">
        <v>197.1</v>
      </c>
      <c r="F696" s="0" t="n">
        <v>0</v>
      </c>
      <c r="G696" s="0" t="n">
        <v>393.4</v>
      </c>
      <c r="H696" s="0" t="n">
        <v>466.2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213.4</v>
      </c>
      <c r="P696" s="0" t="n">
        <v>332.6</v>
      </c>
      <c r="Q696" s="0" t="n">
        <v>0</v>
      </c>
      <c r="R696" s="0" t="n">
        <v>0</v>
      </c>
      <c r="S696" s="0" t="n">
        <v>160.4</v>
      </c>
      <c r="T696" s="0" t="n">
        <v>0</v>
      </c>
      <c r="U696" s="0" t="n">
        <v>0</v>
      </c>
      <c r="V696" s="0" t="n">
        <v>0</v>
      </c>
      <c r="W696" s="0" t="n">
        <v>152.7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1915.8</v>
      </c>
      <c r="AH696" s="0" t="n">
        <v>1915.8</v>
      </c>
      <c r="AI696" s="0" t="n">
        <v>39</v>
      </c>
    </row>
    <row r="697" customFormat="false" ht="14.9" hidden="false" customHeight="false" outlineLevel="0" collapsed="false">
      <c r="A697" s="0" t="n">
        <v>696</v>
      </c>
      <c r="B697" s="0" t="s">
        <v>344</v>
      </c>
      <c r="C697" s="33" t="s">
        <v>345</v>
      </c>
      <c r="D697" s="34" t="n">
        <v>46224</v>
      </c>
      <c r="E697" s="0" t="n">
        <v>672.5</v>
      </c>
      <c r="F697" s="0" t="n">
        <v>0</v>
      </c>
      <c r="G697" s="0" t="n">
        <v>1342.91</v>
      </c>
      <c r="H697" s="0" t="n">
        <v>168</v>
      </c>
      <c r="I697" s="0" t="n">
        <v>0</v>
      </c>
      <c r="J697" s="0" t="n">
        <v>0</v>
      </c>
      <c r="K697" s="0" t="n">
        <v>79</v>
      </c>
      <c r="L697" s="0" t="n">
        <v>0</v>
      </c>
      <c r="M697" s="0" t="n">
        <v>0</v>
      </c>
      <c r="N697" s="0" t="n">
        <v>0</v>
      </c>
      <c r="O697" s="0" t="n">
        <v>215.9</v>
      </c>
      <c r="P697" s="0" t="n">
        <v>235</v>
      </c>
      <c r="Q697" s="0" t="n">
        <v>0</v>
      </c>
      <c r="R697" s="0" t="n">
        <v>0</v>
      </c>
      <c r="S697" s="0" t="n">
        <v>28.33</v>
      </c>
      <c r="T697" s="0" t="n">
        <v>0</v>
      </c>
      <c r="U697" s="0" t="n">
        <v>0</v>
      </c>
      <c r="V697" s="0" t="n">
        <v>9.9</v>
      </c>
      <c r="W697" s="0" t="n">
        <v>104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2855.54</v>
      </c>
      <c r="AH697" s="0" t="n">
        <v>2855.54</v>
      </c>
      <c r="AI697" s="0" t="n">
        <v>55</v>
      </c>
    </row>
    <row r="698" customFormat="false" ht="14.9" hidden="false" customHeight="false" outlineLevel="0" collapsed="false">
      <c r="A698" s="0" t="n">
        <v>697</v>
      </c>
      <c r="B698" s="0" t="s">
        <v>344</v>
      </c>
      <c r="C698" s="33" t="s">
        <v>345</v>
      </c>
      <c r="D698" s="34" t="n">
        <v>46206</v>
      </c>
      <c r="E698" s="0" t="n">
        <v>144</v>
      </c>
      <c r="F698" s="0" t="n">
        <v>0</v>
      </c>
      <c r="G698" s="0" t="n">
        <v>234.4</v>
      </c>
      <c r="H698" s="0" t="n">
        <v>569.38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350.6</v>
      </c>
      <c r="P698" s="0" t="n">
        <v>207.2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9.9</v>
      </c>
      <c r="W698" s="0" t="n">
        <v>15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1530.48</v>
      </c>
      <c r="AH698" s="0" t="n">
        <v>1530.48</v>
      </c>
      <c r="AI698" s="0" t="n">
        <v>30</v>
      </c>
    </row>
    <row r="699" customFormat="false" ht="14.9" hidden="false" customHeight="false" outlineLevel="0" collapsed="false">
      <c r="A699" s="0" t="n">
        <v>698</v>
      </c>
      <c r="B699" s="0" t="s">
        <v>344</v>
      </c>
      <c r="C699" s="33" t="s">
        <v>345</v>
      </c>
      <c r="D699" s="34" t="n">
        <v>46227</v>
      </c>
      <c r="E699" s="0" t="n">
        <v>315.11</v>
      </c>
      <c r="F699" s="0" t="n">
        <v>0</v>
      </c>
      <c r="G699" s="0" t="n">
        <v>424.2</v>
      </c>
      <c r="H699" s="0" t="n">
        <v>121.7</v>
      </c>
      <c r="I699" s="0" t="n">
        <v>0</v>
      </c>
      <c r="J699" s="0" t="n">
        <v>237.69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142.8</v>
      </c>
      <c r="P699" s="0" t="n">
        <v>191.6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5.03</v>
      </c>
      <c r="W699" s="0" t="n">
        <v>12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1450.13</v>
      </c>
      <c r="AH699" s="0" t="n">
        <v>1450.13</v>
      </c>
      <c r="AI699" s="0" t="n">
        <v>39</v>
      </c>
    </row>
    <row r="700" customFormat="false" ht="14.9" hidden="false" customHeight="false" outlineLevel="0" collapsed="false">
      <c r="A700" s="0" t="n">
        <v>699</v>
      </c>
      <c r="B700" s="0" t="s">
        <v>344</v>
      </c>
      <c r="C700" s="33" t="s">
        <v>345</v>
      </c>
      <c r="D700" s="34" t="n">
        <v>46214</v>
      </c>
      <c r="E700" s="0" t="n">
        <v>550.41</v>
      </c>
      <c r="F700" s="0" t="n">
        <v>0</v>
      </c>
      <c r="G700" s="0" t="n">
        <v>540.44</v>
      </c>
      <c r="H700" s="0" t="n">
        <v>199.28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407.4</v>
      </c>
      <c r="P700" s="0" t="n">
        <v>149.4</v>
      </c>
      <c r="Q700" s="0" t="n">
        <v>0</v>
      </c>
      <c r="R700" s="0" t="n">
        <v>0</v>
      </c>
      <c r="S700" s="0" t="n">
        <v>19.5</v>
      </c>
      <c r="T700" s="0" t="n">
        <v>0</v>
      </c>
      <c r="U700" s="0" t="n">
        <v>0</v>
      </c>
      <c r="V700" s="0" t="n">
        <v>0</v>
      </c>
      <c r="W700" s="0" t="n">
        <v>41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1907.43</v>
      </c>
      <c r="AH700" s="0" t="n">
        <v>1907.43</v>
      </c>
      <c r="AI700" s="0" t="n">
        <v>45</v>
      </c>
    </row>
    <row r="701" customFormat="false" ht="14.9" hidden="false" customHeight="false" outlineLevel="0" collapsed="false">
      <c r="A701" s="0" t="n">
        <v>700</v>
      </c>
      <c r="B701" s="0" t="s">
        <v>344</v>
      </c>
      <c r="C701" s="33" t="s">
        <v>345</v>
      </c>
      <c r="D701" s="34" t="n">
        <v>46221</v>
      </c>
      <c r="E701" s="0" t="n">
        <v>195.9</v>
      </c>
      <c r="F701" s="0" t="n">
        <v>0</v>
      </c>
      <c r="G701" s="0" t="n">
        <v>828.2</v>
      </c>
      <c r="H701" s="0" t="n">
        <v>155.5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440.4</v>
      </c>
      <c r="P701" s="0" t="n">
        <v>296.2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23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1939.2</v>
      </c>
      <c r="AH701" s="0" t="n">
        <v>1939.2</v>
      </c>
      <c r="AI701" s="0" t="n">
        <v>41</v>
      </c>
    </row>
    <row r="702" customFormat="false" ht="14.9" hidden="false" customHeight="false" outlineLevel="0" collapsed="false">
      <c r="A702" s="0" t="n">
        <v>701</v>
      </c>
      <c r="B702" s="0" t="s">
        <v>344</v>
      </c>
      <c r="C702" s="33" t="s">
        <v>345</v>
      </c>
      <c r="D702" s="34" t="n">
        <v>46211</v>
      </c>
      <c r="E702" s="0" t="n">
        <v>303.57</v>
      </c>
      <c r="F702" s="0" t="n">
        <v>0</v>
      </c>
      <c r="G702" s="0" t="n">
        <v>568</v>
      </c>
      <c r="H702" s="0" t="n">
        <v>365.3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76.5</v>
      </c>
      <c r="P702" s="0" t="n">
        <v>302.1</v>
      </c>
      <c r="Q702" s="0" t="n">
        <v>0</v>
      </c>
      <c r="R702" s="0" t="n">
        <v>0</v>
      </c>
      <c r="S702" s="0" t="n">
        <v>17.3</v>
      </c>
      <c r="T702" s="0" t="n">
        <v>0</v>
      </c>
      <c r="U702" s="0" t="n">
        <v>0</v>
      </c>
      <c r="V702" s="0" t="n">
        <v>0</v>
      </c>
      <c r="W702" s="0" t="n">
        <v>27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1659.77</v>
      </c>
      <c r="AH702" s="0" t="n">
        <v>1659.77</v>
      </c>
      <c r="AI702" s="0" t="n">
        <v>31</v>
      </c>
    </row>
    <row r="703" customFormat="false" ht="14.9" hidden="false" customHeight="false" outlineLevel="0" collapsed="false">
      <c r="A703" s="0" t="n">
        <v>702</v>
      </c>
      <c r="B703" s="0" t="s">
        <v>344</v>
      </c>
      <c r="C703" s="33" t="s">
        <v>345</v>
      </c>
      <c r="D703" s="34" t="n">
        <v>46204</v>
      </c>
      <c r="E703" s="0" t="n">
        <v>42.35</v>
      </c>
      <c r="F703" s="0" t="n">
        <v>0</v>
      </c>
      <c r="G703" s="0" t="n">
        <v>366.73</v>
      </c>
      <c r="H703" s="0" t="n">
        <v>725.8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116.6</v>
      </c>
      <c r="P703" s="0" t="n">
        <v>95.4</v>
      </c>
      <c r="Q703" s="0" t="n">
        <v>0</v>
      </c>
      <c r="R703" s="0" t="n">
        <v>0</v>
      </c>
      <c r="S703" s="0" t="n">
        <v>129.8</v>
      </c>
      <c r="T703" s="0" t="n">
        <v>0</v>
      </c>
      <c r="U703" s="0" t="n">
        <v>0</v>
      </c>
      <c r="V703" s="0" t="n">
        <v>0</v>
      </c>
      <c r="W703" s="0" t="n">
        <v>60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1536.68</v>
      </c>
      <c r="AH703" s="0" t="n">
        <v>1536.68</v>
      </c>
      <c r="AI703" s="0" t="n">
        <v>39</v>
      </c>
    </row>
    <row r="704" customFormat="false" ht="14.9" hidden="false" customHeight="false" outlineLevel="0" collapsed="false">
      <c r="A704" s="0" t="n">
        <v>703</v>
      </c>
      <c r="B704" s="0" t="s">
        <v>344</v>
      </c>
      <c r="C704" s="33" t="s">
        <v>345</v>
      </c>
      <c r="D704" s="34" t="n">
        <v>46212</v>
      </c>
      <c r="E704" s="0" t="n">
        <v>221.03</v>
      </c>
      <c r="F704" s="0" t="n">
        <v>0</v>
      </c>
      <c r="G704" s="0" t="n">
        <v>154.2</v>
      </c>
      <c r="H704" s="0" t="n">
        <v>37.5</v>
      </c>
      <c r="I704" s="0" t="n">
        <v>0</v>
      </c>
      <c r="J704" s="0" t="n">
        <v>0</v>
      </c>
      <c r="K704" s="0" t="n">
        <v>31</v>
      </c>
      <c r="L704" s="0" t="n">
        <v>0</v>
      </c>
      <c r="M704" s="0" t="n">
        <v>0</v>
      </c>
      <c r="N704" s="0" t="n">
        <v>0</v>
      </c>
      <c r="O704" s="0" t="n">
        <v>387.8</v>
      </c>
      <c r="P704" s="0" t="n">
        <v>95.9</v>
      </c>
      <c r="Q704" s="0" t="n">
        <v>0</v>
      </c>
      <c r="R704" s="0" t="n">
        <v>0</v>
      </c>
      <c r="S704" s="0" t="n">
        <v>236.95</v>
      </c>
      <c r="T704" s="0" t="n">
        <v>0</v>
      </c>
      <c r="U704" s="0" t="n">
        <v>0</v>
      </c>
      <c r="V704" s="0" t="n">
        <v>0.01</v>
      </c>
      <c r="W704" s="0" t="n">
        <v>35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1199.39</v>
      </c>
      <c r="AH704" s="0" t="n">
        <v>1199.39</v>
      </c>
      <c r="AI704" s="0" t="n">
        <v>31</v>
      </c>
    </row>
    <row r="705" customFormat="false" ht="14.9" hidden="false" customHeight="false" outlineLevel="0" collapsed="false">
      <c r="A705" s="0" t="n">
        <v>704</v>
      </c>
      <c r="B705" s="0" t="s">
        <v>344</v>
      </c>
      <c r="C705" s="33" t="s">
        <v>345</v>
      </c>
      <c r="D705" s="34" t="n">
        <v>46218</v>
      </c>
      <c r="E705" s="0" t="n">
        <v>84.1</v>
      </c>
      <c r="F705" s="0" t="n">
        <v>0</v>
      </c>
      <c r="G705" s="0" t="n">
        <v>645.4</v>
      </c>
      <c r="H705" s="0" t="n">
        <v>156.38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432</v>
      </c>
      <c r="P705" s="0" t="n">
        <v>147.9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1465.78</v>
      </c>
      <c r="AH705" s="0" t="n">
        <v>1465.78</v>
      </c>
      <c r="AI705" s="0" t="n">
        <v>30</v>
      </c>
    </row>
    <row r="706" customFormat="false" ht="14.9" hidden="false" customHeight="false" outlineLevel="0" collapsed="false">
      <c r="A706" s="0" t="n">
        <v>705</v>
      </c>
      <c r="B706" s="0" t="s">
        <v>344</v>
      </c>
      <c r="C706" s="33" t="s">
        <v>345</v>
      </c>
      <c r="D706" s="34" t="n">
        <v>46220</v>
      </c>
      <c r="E706" s="0" t="n">
        <v>229</v>
      </c>
      <c r="F706" s="0" t="n">
        <v>0</v>
      </c>
      <c r="G706" s="0" t="n">
        <v>415</v>
      </c>
      <c r="H706" s="0" t="n">
        <v>201.3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230.8</v>
      </c>
      <c r="P706" s="0" t="n">
        <v>339.1</v>
      </c>
      <c r="Q706" s="0" t="n">
        <v>0</v>
      </c>
      <c r="R706" s="0" t="n">
        <v>0</v>
      </c>
      <c r="S706" s="0" t="n">
        <v>79.4</v>
      </c>
      <c r="T706" s="0" t="n">
        <v>0</v>
      </c>
      <c r="U706" s="0" t="n">
        <v>0</v>
      </c>
      <c r="V706" s="0" t="n">
        <v>0</v>
      </c>
      <c r="W706" s="0" t="n">
        <v>17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1511.6</v>
      </c>
      <c r="AH706" s="0" t="n">
        <v>1511.6</v>
      </c>
      <c r="AI706" s="0" t="n">
        <v>38</v>
      </c>
    </row>
    <row r="707" customFormat="false" ht="14.9" hidden="false" customHeight="false" outlineLevel="0" collapsed="false">
      <c r="A707" s="0" t="n">
        <v>706</v>
      </c>
      <c r="B707" s="0" t="s">
        <v>344</v>
      </c>
      <c r="C707" s="33" t="s">
        <v>345</v>
      </c>
      <c r="D707" s="34" t="n">
        <v>46213</v>
      </c>
      <c r="E707" s="0" t="n">
        <v>99.7</v>
      </c>
      <c r="F707" s="0" t="n">
        <v>0</v>
      </c>
      <c r="G707" s="0" t="n">
        <v>555.3</v>
      </c>
      <c r="H707" s="0" t="n">
        <v>757.4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105.5</v>
      </c>
      <c r="P707" s="0" t="n">
        <v>231.3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0.01</v>
      </c>
      <c r="W707" s="0" t="n">
        <v>23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1772.21</v>
      </c>
      <c r="AH707" s="0" t="n">
        <v>1772.21</v>
      </c>
      <c r="AI707" s="0" t="n">
        <v>36</v>
      </c>
    </row>
    <row r="708" customFormat="false" ht="14.9" hidden="false" customHeight="false" outlineLevel="0" collapsed="false">
      <c r="A708" s="0" t="n">
        <v>707</v>
      </c>
      <c r="B708" s="0" t="s">
        <v>344</v>
      </c>
      <c r="C708" s="33" t="s">
        <v>345</v>
      </c>
      <c r="D708" s="34" t="n">
        <v>46229</v>
      </c>
      <c r="E708" s="0" t="n">
        <v>1090.69</v>
      </c>
      <c r="F708" s="0" t="n">
        <v>0</v>
      </c>
      <c r="G708" s="0" t="n">
        <v>1010.69</v>
      </c>
      <c r="H708" s="0" t="n">
        <v>401.4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201.5</v>
      </c>
      <c r="P708" s="0" t="n">
        <v>97.7</v>
      </c>
      <c r="Q708" s="0" t="n">
        <v>0</v>
      </c>
      <c r="R708" s="0" t="n">
        <v>0</v>
      </c>
      <c r="S708" s="0" t="n">
        <v>218.24</v>
      </c>
      <c r="T708" s="0" t="n">
        <v>0</v>
      </c>
      <c r="U708" s="0" t="n">
        <v>0</v>
      </c>
      <c r="V708" s="0" t="n">
        <v>0.01</v>
      </c>
      <c r="W708" s="0" t="n">
        <v>18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3038.23</v>
      </c>
      <c r="AH708" s="0" t="n">
        <v>3038.23</v>
      </c>
      <c r="AI708" s="0" t="n">
        <v>42</v>
      </c>
    </row>
    <row r="709" customFormat="false" ht="14.9" hidden="false" customHeight="false" outlineLevel="0" collapsed="false">
      <c r="A709" s="0" t="n">
        <v>708</v>
      </c>
      <c r="B709" s="0" t="s">
        <v>344</v>
      </c>
      <c r="C709" s="33" t="s">
        <v>345</v>
      </c>
      <c r="D709" s="34" t="n">
        <v>46228</v>
      </c>
      <c r="E709" s="0" t="n">
        <v>114.7</v>
      </c>
      <c r="F709" s="0" t="n">
        <v>0</v>
      </c>
      <c r="G709" s="0" t="n">
        <v>426.8</v>
      </c>
      <c r="H709" s="0" t="n">
        <v>-64.7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433.2</v>
      </c>
      <c r="P709" s="0" t="n">
        <v>169.8</v>
      </c>
      <c r="Q709" s="0" t="n">
        <v>0</v>
      </c>
      <c r="R709" s="0" t="n">
        <v>0</v>
      </c>
      <c r="S709" s="0" t="n">
        <v>19</v>
      </c>
      <c r="T709" s="0" t="n">
        <v>0</v>
      </c>
      <c r="U709" s="0" t="n">
        <v>0</v>
      </c>
      <c r="V709" s="0" t="n">
        <v>0.01</v>
      </c>
      <c r="W709" s="0" t="n">
        <v>-15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1083.81</v>
      </c>
      <c r="AH709" s="0" t="n">
        <v>1083.81</v>
      </c>
      <c r="AI709" s="0" t="n">
        <v>36</v>
      </c>
    </row>
    <row r="710" customFormat="false" ht="14.9" hidden="false" customHeight="false" outlineLevel="0" collapsed="false">
      <c r="A710" s="0" t="n">
        <v>709</v>
      </c>
      <c r="B710" s="0" t="s">
        <v>344</v>
      </c>
      <c r="C710" s="33" t="s">
        <v>345</v>
      </c>
      <c r="D710" s="34" t="n">
        <v>46216</v>
      </c>
      <c r="E710" s="0" t="n">
        <v>45.8</v>
      </c>
      <c r="F710" s="0" t="n">
        <v>0</v>
      </c>
      <c r="G710" s="0" t="n">
        <v>635.2</v>
      </c>
      <c r="H710" s="0" t="n">
        <v>179.7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263.7</v>
      </c>
      <c r="P710" s="0" t="n">
        <v>171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0.01</v>
      </c>
      <c r="W710" s="0" t="n">
        <v>10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1305.41</v>
      </c>
      <c r="AH710" s="0" t="n">
        <v>1305.41</v>
      </c>
      <c r="AI710" s="0" t="n">
        <v>34</v>
      </c>
    </row>
    <row r="711" customFormat="false" ht="14.9" hidden="false" customHeight="false" outlineLevel="0" collapsed="false">
      <c r="A711" s="0" t="n">
        <v>710</v>
      </c>
      <c r="B711" s="0" t="s">
        <v>344</v>
      </c>
      <c r="C711" s="33" t="s">
        <v>345</v>
      </c>
      <c r="D711" s="34" t="n">
        <v>46231</v>
      </c>
      <c r="E711" s="0" t="n">
        <v>354.45</v>
      </c>
      <c r="F711" s="0" t="n">
        <v>0</v>
      </c>
      <c r="G711" s="0" t="n">
        <v>556.5</v>
      </c>
      <c r="H711" s="0" t="n">
        <v>508.15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330.5</v>
      </c>
      <c r="P711" s="0" t="n">
        <v>144.4</v>
      </c>
      <c r="Q711" s="0" t="n">
        <v>0</v>
      </c>
      <c r="R711" s="0" t="n">
        <v>0</v>
      </c>
      <c r="S711" s="0" t="n">
        <v>30</v>
      </c>
      <c r="T711" s="0" t="n">
        <v>0</v>
      </c>
      <c r="U711" s="0" t="n">
        <v>0</v>
      </c>
      <c r="V711" s="0" t="n">
        <v>0</v>
      </c>
      <c r="W711" s="0" t="n">
        <v>84.8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2008.8</v>
      </c>
      <c r="AH711" s="0" t="n">
        <v>2008.8</v>
      </c>
      <c r="AI711" s="0" t="n">
        <v>32</v>
      </c>
    </row>
    <row r="712" customFormat="false" ht="14.9" hidden="false" customHeight="false" outlineLevel="0" collapsed="false">
      <c r="A712" s="0" t="n">
        <v>711</v>
      </c>
      <c r="B712" s="0" t="s">
        <v>344</v>
      </c>
      <c r="C712" s="33" t="s">
        <v>345</v>
      </c>
      <c r="D712" s="34" t="n">
        <v>46234</v>
      </c>
      <c r="E712" s="0" t="n">
        <v>84</v>
      </c>
      <c r="F712" s="0" t="n">
        <v>0</v>
      </c>
      <c r="G712" s="0" t="n">
        <v>392.5</v>
      </c>
      <c r="H712" s="0" t="n">
        <v>490.3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425</v>
      </c>
      <c r="P712" s="0" t="n">
        <v>462.2</v>
      </c>
      <c r="Q712" s="0" t="n">
        <v>0</v>
      </c>
      <c r="R712" s="0" t="n">
        <v>0</v>
      </c>
      <c r="S712" s="0" t="n">
        <v>80</v>
      </c>
      <c r="T712" s="0" t="n">
        <v>0</v>
      </c>
      <c r="U712" s="0" t="n">
        <v>0</v>
      </c>
      <c r="V712" s="0" t="n">
        <v>0.01</v>
      </c>
      <c r="W712" s="0" t="n">
        <v>148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2082.01</v>
      </c>
      <c r="AH712" s="0" t="n">
        <v>2082.01</v>
      </c>
      <c r="AI712" s="0" t="n">
        <v>49</v>
      </c>
    </row>
    <row r="713" customFormat="false" ht="14.9" hidden="false" customHeight="false" outlineLevel="0" collapsed="false">
      <c r="A713" s="0" t="n">
        <v>712</v>
      </c>
      <c r="B713" s="0" t="s">
        <v>344</v>
      </c>
      <c r="C713" s="33" t="s">
        <v>345</v>
      </c>
      <c r="D713" s="34" t="n">
        <v>46219</v>
      </c>
      <c r="E713" s="0" t="n">
        <v>1222.15</v>
      </c>
      <c r="F713" s="0" t="n">
        <v>0</v>
      </c>
      <c r="G713" s="0" t="n">
        <v>1361.26</v>
      </c>
      <c r="H713" s="0" t="n">
        <v>635.9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330.9</v>
      </c>
      <c r="P713" s="0" t="n">
        <v>189.3</v>
      </c>
      <c r="Q713" s="0" t="n">
        <v>0</v>
      </c>
      <c r="R713" s="0" t="n">
        <v>0</v>
      </c>
      <c r="S713" s="0" t="n">
        <v>185.91</v>
      </c>
      <c r="T713" s="0" t="n">
        <v>0</v>
      </c>
      <c r="U713" s="0" t="n">
        <v>0</v>
      </c>
      <c r="V713" s="0" t="n">
        <v>12.9</v>
      </c>
      <c r="W713" s="0" t="n">
        <v>101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4039.32</v>
      </c>
      <c r="AH713" s="0" t="n">
        <v>4039.32</v>
      </c>
      <c r="AI713" s="0" t="n">
        <v>61</v>
      </c>
    </row>
    <row r="714" customFormat="false" ht="14.9" hidden="false" customHeight="false" outlineLevel="0" collapsed="false">
      <c r="A714" s="0" t="n">
        <v>713</v>
      </c>
      <c r="B714" s="0" t="s">
        <v>344</v>
      </c>
      <c r="C714" s="33" t="s">
        <v>345</v>
      </c>
      <c r="D714" s="34" t="n">
        <v>46215</v>
      </c>
      <c r="E714" s="0" t="n">
        <v>116.4</v>
      </c>
      <c r="F714" s="0" t="n">
        <v>0</v>
      </c>
      <c r="G714" s="0" t="n">
        <v>517.75</v>
      </c>
      <c r="H714" s="0" t="n">
        <v>319.7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503.6</v>
      </c>
      <c r="P714" s="0" t="n">
        <v>260.8</v>
      </c>
      <c r="Q714" s="0" t="n">
        <v>0</v>
      </c>
      <c r="R714" s="0" t="n">
        <v>0</v>
      </c>
      <c r="S714" s="0" t="n">
        <v>54.9</v>
      </c>
      <c r="T714" s="0" t="n">
        <v>0</v>
      </c>
      <c r="U714" s="0" t="n">
        <v>0</v>
      </c>
      <c r="V714" s="0" t="n">
        <v>0.01</v>
      </c>
      <c r="W714" s="0" t="n">
        <v>34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1807.16</v>
      </c>
      <c r="AH714" s="0" t="n">
        <v>1807.16</v>
      </c>
      <c r="AI714" s="0" t="n">
        <v>47</v>
      </c>
    </row>
    <row r="715" customFormat="false" ht="14.9" hidden="false" customHeight="false" outlineLevel="0" collapsed="false">
      <c r="A715" s="0" t="n">
        <v>714</v>
      </c>
      <c r="B715" s="0" t="s">
        <v>344</v>
      </c>
      <c r="C715" s="33" t="s">
        <v>345</v>
      </c>
      <c r="D715" s="34" t="n">
        <v>46232</v>
      </c>
      <c r="E715" s="0" t="n">
        <v>180.7</v>
      </c>
      <c r="F715" s="0" t="n">
        <v>0</v>
      </c>
      <c r="G715" s="0" t="n">
        <v>1053.8</v>
      </c>
      <c r="H715" s="0" t="n">
        <v>580.6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255.8</v>
      </c>
      <c r="P715" s="0" t="n">
        <v>141.4</v>
      </c>
      <c r="Q715" s="0" t="n">
        <v>0</v>
      </c>
      <c r="R715" s="0" t="n">
        <v>0</v>
      </c>
      <c r="S715" s="0" t="n">
        <v>20</v>
      </c>
      <c r="T715" s="0" t="n">
        <v>0</v>
      </c>
      <c r="U715" s="0" t="n">
        <v>0</v>
      </c>
      <c r="V715" s="0" t="n">
        <v>0</v>
      </c>
      <c r="W715" s="0" t="n">
        <v>120.8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2353.1</v>
      </c>
      <c r="AH715" s="0" t="n">
        <v>2353.1</v>
      </c>
      <c r="AI715" s="0" t="n">
        <v>40</v>
      </c>
    </row>
    <row r="716" customFormat="false" ht="14.9" hidden="false" customHeight="false" outlineLevel="0" collapsed="false">
      <c r="A716" s="0" t="n">
        <v>715</v>
      </c>
      <c r="B716" s="0" t="s">
        <v>346</v>
      </c>
      <c r="C716" s="33" t="s">
        <v>347</v>
      </c>
      <c r="D716" s="34" t="n">
        <v>46209</v>
      </c>
      <c r="E716" s="0" t="n">
        <v>470.24</v>
      </c>
      <c r="F716" s="0" t="n">
        <v>0</v>
      </c>
      <c r="G716" s="0" t="n">
        <v>1271.01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113</v>
      </c>
      <c r="T716" s="0" t="n">
        <v>0</v>
      </c>
      <c r="U716" s="0" t="n">
        <v>0</v>
      </c>
      <c r="V716" s="0" t="n">
        <v>9</v>
      </c>
      <c r="W716" s="0" t="n">
        <v>47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1910.25</v>
      </c>
      <c r="AH716" s="0" t="n">
        <v>1910.25</v>
      </c>
      <c r="AI716" s="0" t="n">
        <v>26</v>
      </c>
    </row>
    <row r="717" customFormat="false" ht="14.9" hidden="false" customHeight="false" outlineLevel="0" collapsed="false">
      <c r="A717" s="0" t="n">
        <v>716</v>
      </c>
      <c r="B717" s="0" t="s">
        <v>346</v>
      </c>
      <c r="C717" s="33" t="s">
        <v>347</v>
      </c>
      <c r="D717" s="34" t="n">
        <v>46225</v>
      </c>
      <c r="E717" s="0" t="n">
        <v>277.7</v>
      </c>
      <c r="F717" s="0" t="n">
        <v>0</v>
      </c>
      <c r="G717" s="0" t="n">
        <v>331.01</v>
      </c>
      <c r="H717" s="0" t="n">
        <v>71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178</v>
      </c>
      <c r="T717" s="0" t="n">
        <v>0</v>
      </c>
      <c r="U717" s="0" t="n">
        <v>0</v>
      </c>
      <c r="V717" s="0" t="n">
        <v>0.01</v>
      </c>
      <c r="W717" s="0" t="n">
        <v>5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862.72</v>
      </c>
      <c r="AH717" s="0" t="n">
        <v>862.72</v>
      </c>
      <c r="AI717" s="0" t="n">
        <v>15</v>
      </c>
    </row>
    <row r="718" customFormat="false" ht="14.9" hidden="false" customHeight="false" outlineLevel="0" collapsed="false">
      <c r="A718" s="0" t="n">
        <v>717</v>
      </c>
      <c r="B718" s="0" t="s">
        <v>346</v>
      </c>
      <c r="C718" s="33" t="s">
        <v>347</v>
      </c>
      <c r="D718" s="34" t="n">
        <v>46217</v>
      </c>
      <c r="E718" s="0" t="n">
        <v>278.9</v>
      </c>
      <c r="F718" s="0" t="n">
        <v>0</v>
      </c>
      <c r="G718" s="0" t="n">
        <v>459.8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3</v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741.7</v>
      </c>
      <c r="AH718" s="0" t="n">
        <v>741.7</v>
      </c>
      <c r="AI718" s="0" t="n">
        <v>15</v>
      </c>
    </row>
    <row r="719" customFormat="false" ht="14.9" hidden="false" customHeight="false" outlineLevel="0" collapsed="false">
      <c r="A719" s="0" t="n">
        <v>718</v>
      </c>
      <c r="B719" s="0" t="s">
        <v>346</v>
      </c>
      <c r="C719" s="33" t="s">
        <v>347</v>
      </c>
      <c r="D719" s="34" t="n">
        <v>46218</v>
      </c>
      <c r="E719" s="0" t="n">
        <v>299.2</v>
      </c>
      <c r="F719" s="0" t="n">
        <v>0</v>
      </c>
      <c r="G719" s="0" t="n">
        <v>409.3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708.5</v>
      </c>
      <c r="AH719" s="0" t="n">
        <v>708.5</v>
      </c>
      <c r="AI719" s="0" t="n">
        <v>12</v>
      </c>
    </row>
    <row r="720" customFormat="false" ht="14.9" hidden="false" customHeight="false" outlineLevel="0" collapsed="false">
      <c r="A720" s="0" t="n">
        <v>719</v>
      </c>
      <c r="B720" s="0" t="s">
        <v>346</v>
      </c>
      <c r="C720" s="33" t="s">
        <v>347</v>
      </c>
      <c r="D720" s="34" t="n">
        <v>46228</v>
      </c>
      <c r="E720" s="0" t="n">
        <v>122.9</v>
      </c>
      <c r="F720" s="0" t="n">
        <v>0</v>
      </c>
      <c r="G720" s="0" t="n">
        <v>309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11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442.9</v>
      </c>
      <c r="AH720" s="0" t="n">
        <v>442.9</v>
      </c>
      <c r="AI720" s="0" t="n">
        <v>11</v>
      </c>
    </row>
    <row r="721" customFormat="false" ht="14.9" hidden="false" customHeight="false" outlineLevel="0" collapsed="false">
      <c r="A721" s="0" t="n">
        <v>720</v>
      </c>
      <c r="B721" s="0" t="s">
        <v>346</v>
      </c>
      <c r="C721" s="33" t="s">
        <v>347</v>
      </c>
      <c r="D721" s="34" t="n">
        <v>46206</v>
      </c>
      <c r="E721" s="0" t="n">
        <v>148.4</v>
      </c>
      <c r="F721" s="0" t="n">
        <v>0</v>
      </c>
      <c r="G721" s="0" t="n">
        <v>355.7</v>
      </c>
      <c r="H721" s="0" t="n">
        <v>39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543.1</v>
      </c>
      <c r="AH721" s="0" t="n">
        <v>543.1</v>
      </c>
      <c r="AI721" s="0" t="n">
        <v>10</v>
      </c>
    </row>
    <row r="722" customFormat="false" ht="14.9" hidden="false" customHeight="false" outlineLevel="0" collapsed="false">
      <c r="A722" s="0" t="n">
        <v>721</v>
      </c>
      <c r="B722" s="0" t="s">
        <v>346</v>
      </c>
      <c r="C722" s="33" t="s">
        <v>347</v>
      </c>
      <c r="D722" s="34" t="n">
        <v>46212</v>
      </c>
      <c r="E722" s="0" t="n">
        <v>535.23</v>
      </c>
      <c r="F722" s="0" t="n">
        <v>0</v>
      </c>
      <c r="G722" s="0" t="n">
        <v>419.41</v>
      </c>
      <c r="H722" s="0" t="n">
        <v>94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5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1053.64</v>
      </c>
      <c r="AH722" s="0" t="n">
        <v>1053.64</v>
      </c>
      <c r="AI722" s="0" t="n">
        <v>18</v>
      </c>
    </row>
    <row r="723" customFormat="false" ht="14.9" hidden="false" customHeight="false" outlineLevel="0" collapsed="false">
      <c r="A723" s="0" t="n">
        <v>722</v>
      </c>
      <c r="B723" s="0" t="s">
        <v>346</v>
      </c>
      <c r="C723" s="33" t="s">
        <v>347</v>
      </c>
      <c r="D723" s="34" t="n">
        <v>46224</v>
      </c>
      <c r="E723" s="0" t="n">
        <v>197.6</v>
      </c>
      <c r="F723" s="0" t="n">
        <v>0</v>
      </c>
      <c r="G723" s="0" t="n">
        <v>951.2</v>
      </c>
      <c r="H723" s="0" t="n">
        <v>156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36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1340.8</v>
      </c>
      <c r="AH723" s="0" t="n">
        <v>1340.8</v>
      </c>
      <c r="AI723" s="0" t="n">
        <v>20</v>
      </c>
    </row>
    <row r="724" customFormat="false" ht="14.9" hidden="false" customHeight="false" outlineLevel="0" collapsed="false">
      <c r="A724" s="0" t="n">
        <v>723</v>
      </c>
      <c r="B724" s="0" t="s">
        <v>346</v>
      </c>
      <c r="C724" s="33" t="s">
        <v>347</v>
      </c>
      <c r="D724" s="34" t="n">
        <v>46211</v>
      </c>
      <c r="E724" s="0" t="n">
        <v>290.11</v>
      </c>
      <c r="F724" s="0" t="n">
        <v>0</v>
      </c>
      <c r="G724" s="0" t="n">
        <v>487.54</v>
      </c>
      <c r="H724" s="0" t="n">
        <v>56.7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5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839.35</v>
      </c>
      <c r="AH724" s="0" t="n">
        <v>839.35</v>
      </c>
      <c r="AI724" s="0" t="n">
        <v>20</v>
      </c>
    </row>
    <row r="725" customFormat="false" ht="14.9" hidden="false" customHeight="false" outlineLevel="0" collapsed="false">
      <c r="A725" s="0" t="n">
        <v>724</v>
      </c>
      <c r="B725" s="0" t="s">
        <v>346</v>
      </c>
      <c r="C725" s="33" t="s">
        <v>347</v>
      </c>
      <c r="D725" s="34" t="n">
        <v>46210</v>
      </c>
      <c r="E725" s="0" t="n">
        <v>155.62</v>
      </c>
      <c r="F725" s="0" t="n">
        <v>0</v>
      </c>
      <c r="G725" s="0" t="n">
        <v>753.71</v>
      </c>
      <c r="H725" s="0" t="n">
        <v>75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5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989.33</v>
      </c>
      <c r="AH725" s="0" t="n">
        <v>989.33</v>
      </c>
      <c r="AI725" s="0" t="n">
        <v>14</v>
      </c>
    </row>
    <row r="726" customFormat="false" ht="14.9" hidden="false" customHeight="false" outlineLevel="0" collapsed="false">
      <c r="A726" s="0" t="n">
        <v>725</v>
      </c>
      <c r="B726" s="0" t="s">
        <v>346</v>
      </c>
      <c r="C726" s="33" t="s">
        <v>347</v>
      </c>
      <c r="D726" s="34" t="n">
        <v>46213</v>
      </c>
      <c r="E726" s="0" t="n">
        <v>210.8</v>
      </c>
      <c r="F726" s="0" t="n">
        <v>0</v>
      </c>
      <c r="G726" s="0" t="n">
        <v>253.9</v>
      </c>
      <c r="H726" s="0" t="n">
        <v>341.8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3</v>
      </c>
      <c r="W726" s="0" t="n">
        <v>10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819.5</v>
      </c>
      <c r="AH726" s="0" t="n">
        <v>819.5</v>
      </c>
      <c r="AI726" s="0" t="n">
        <v>11</v>
      </c>
    </row>
    <row r="727" customFormat="false" ht="14.9" hidden="false" customHeight="false" outlineLevel="0" collapsed="false">
      <c r="A727" s="0" t="n">
        <v>726</v>
      </c>
      <c r="B727" s="0" t="s">
        <v>346</v>
      </c>
      <c r="C727" s="33" t="s">
        <v>347</v>
      </c>
      <c r="D727" s="34" t="n">
        <v>46226</v>
      </c>
      <c r="E727" s="0" t="n">
        <v>549.8</v>
      </c>
      <c r="F727" s="0" t="n">
        <v>0</v>
      </c>
      <c r="G727" s="0" t="n">
        <v>538.5</v>
      </c>
      <c r="H727" s="0" t="n">
        <v>19.5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5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1112.8</v>
      </c>
      <c r="AH727" s="0" t="n">
        <v>1112.8</v>
      </c>
      <c r="AI727" s="0" t="n">
        <v>18</v>
      </c>
    </row>
    <row r="728" customFormat="false" ht="14.9" hidden="false" customHeight="false" outlineLevel="0" collapsed="false">
      <c r="A728" s="0" t="n">
        <v>727</v>
      </c>
      <c r="B728" s="0" t="s">
        <v>346</v>
      </c>
      <c r="C728" s="33" t="s">
        <v>347</v>
      </c>
      <c r="D728" s="34" t="n">
        <v>46227</v>
      </c>
      <c r="E728" s="0" t="n">
        <v>640.4</v>
      </c>
      <c r="F728" s="0" t="n">
        <v>0</v>
      </c>
      <c r="G728" s="0" t="n">
        <v>610.61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9</v>
      </c>
      <c r="W728" s="0" t="n">
        <v>23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1283.01</v>
      </c>
      <c r="AH728" s="0" t="n">
        <v>1283.01</v>
      </c>
      <c r="AI728" s="0" t="n">
        <v>21</v>
      </c>
    </row>
    <row r="729" customFormat="false" ht="14.9" hidden="false" customHeight="false" outlineLevel="0" collapsed="false">
      <c r="A729" s="0" t="n">
        <v>728</v>
      </c>
      <c r="B729" s="0" t="s">
        <v>346</v>
      </c>
      <c r="C729" s="33" t="s">
        <v>347</v>
      </c>
      <c r="D729" s="34" t="n">
        <v>46207</v>
      </c>
      <c r="E729" s="0" t="n">
        <v>422.3</v>
      </c>
      <c r="F729" s="0" t="n">
        <v>0</v>
      </c>
      <c r="G729" s="0" t="n">
        <v>571.18</v>
      </c>
      <c r="H729" s="0" t="n">
        <v>45.5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20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1058.98</v>
      </c>
      <c r="AH729" s="0" t="n">
        <v>1058.98</v>
      </c>
      <c r="AI729" s="0" t="n">
        <v>19</v>
      </c>
    </row>
    <row r="730" customFormat="false" ht="14.9" hidden="false" customHeight="false" outlineLevel="0" collapsed="false">
      <c r="A730" s="0" t="n">
        <v>729</v>
      </c>
      <c r="B730" s="0" t="s">
        <v>346</v>
      </c>
      <c r="C730" s="33" t="s">
        <v>347</v>
      </c>
      <c r="D730" s="34" t="n">
        <v>46204</v>
      </c>
      <c r="E730" s="0" t="n">
        <v>473.4</v>
      </c>
      <c r="F730" s="0" t="n">
        <v>0</v>
      </c>
      <c r="G730" s="0" t="n">
        <v>397.09</v>
      </c>
      <c r="H730" s="0" t="n">
        <v>87.8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958.29</v>
      </c>
      <c r="AH730" s="0" t="n">
        <v>958.29</v>
      </c>
      <c r="AI730" s="0" t="n">
        <v>15</v>
      </c>
    </row>
    <row r="731" customFormat="false" ht="14.9" hidden="false" customHeight="false" outlineLevel="0" collapsed="false">
      <c r="A731" s="0" t="n">
        <v>730</v>
      </c>
      <c r="B731" s="0" t="s">
        <v>346</v>
      </c>
      <c r="C731" s="33" t="s">
        <v>347</v>
      </c>
      <c r="D731" s="34" t="n">
        <v>46215</v>
      </c>
      <c r="E731" s="0" t="n">
        <v>111.3</v>
      </c>
      <c r="F731" s="0" t="n">
        <v>0</v>
      </c>
      <c r="G731" s="0" t="n">
        <v>905.91</v>
      </c>
      <c r="H731" s="0" t="n">
        <v>228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1245.21</v>
      </c>
      <c r="AH731" s="0" t="n">
        <v>1245.21</v>
      </c>
      <c r="AI731" s="0" t="n">
        <v>20</v>
      </c>
    </row>
    <row r="732" customFormat="false" ht="14.9" hidden="false" customHeight="false" outlineLevel="0" collapsed="false">
      <c r="A732" s="0" t="n">
        <v>731</v>
      </c>
      <c r="B732" s="0" t="s">
        <v>346</v>
      </c>
      <c r="C732" s="33" t="s">
        <v>347</v>
      </c>
      <c r="D732" s="34" t="n">
        <v>46214</v>
      </c>
      <c r="E732" s="0" t="n">
        <v>214.35</v>
      </c>
      <c r="F732" s="0" t="n">
        <v>0</v>
      </c>
      <c r="G732" s="0" t="n">
        <v>1153.14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47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1414.49</v>
      </c>
      <c r="AH732" s="0" t="n">
        <v>1414.49</v>
      </c>
      <c r="AI732" s="0" t="n">
        <v>19</v>
      </c>
    </row>
    <row r="733" customFormat="false" ht="14.9" hidden="false" customHeight="false" outlineLevel="0" collapsed="false">
      <c r="A733" s="0" t="n">
        <v>732</v>
      </c>
      <c r="B733" s="0" t="s">
        <v>346</v>
      </c>
      <c r="C733" s="33" t="s">
        <v>347</v>
      </c>
      <c r="D733" s="34" t="n">
        <v>46232</v>
      </c>
      <c r="E733" s="0" t="n">
        <v>432.3</v>
      </c>
      <c r="F733" s="0" t="n">
        <v>0</v>
      </c>
      <c r="G733" s="0" t="n">
        <v>735.6</v>
      </c>
      <c r="H733" s="0" t="n">
        <v>80.8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40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1288.7</v>
      </c>
      <c r="AH733" s="0" t="n">
        <v>1288.7</v>
      </c>
      <c r="AI733" s="0" t="n">
        <v>18</v>
      </c>
    </row>
    <row r="734" customFormat="false" ht="14.9" hidden="false" customHeight="false" outlineLevel="0" collapsed="false">
      <c r="A734" s="0" t="n">
        <v>733</v>
      </c>
      <c r="B734" s="0" t="s">
        <v>346</v>
      </c>
      <c r="C734" s="33" t="s">
        <v>347</v>
      </c>
      <c r="D734" s="34" t="n">
        <v>46222</v>
      </c>
      <c r="E734" s="0" t="n">
        <v>183.2</v>
      </c>
      <c r="F734" s="0" t="n">
        <v>0</v>
      </c>
      <c r="G734" s="0" t="n">
        <v>682.86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866.06</v>
      </c>
      <c r="AH734" s="0" t="n">
        <v>866.06</v>
      </c>
      <c r="AI734" s="0" t="n">
        <v>15</v>
      </c>
    </row>
    <row r="735" customFormat="false" ht="14.9" hidden="false" customHeight="false" outlineLevel="0" collapsed="false">
      <c r="A735" s="0" t="n">
        <v>734</v>
      </c>
      <c r="B735" s="0" t="s">
        <v>346</v>
      </c>
      <c r="C735" s="33" t="s">
        <v>347</v>
      </c>
      <c r="D735" s="34" t="n">
        <v>46223</v>
      </c>
      <c r="E735" s="0" t="n">
        <v>399.8</v>
      </c>
      <c r="F735" s="0" t="n">
        <v>0</v>
      </c>
      <c r="G735" s="0" t="n">
        <v>549.48</v>
      </c>
      <c r="H735" s="0" t="n">
        <v>59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1008.28</v>
      </c>
      <c r="AH735" s="0" t="n">
        <v>1008.28</v>
      </c>
      <c r="AI735" s="0" t="n">
        <v>16</v>
      </c>
    </row>
    <row r="736" customFormat="false" ht="14.9" hidden="false" customHeight="false" outlineLevel="0" collapsed="false">
      <c r="A736" s="0" t="n">
        <v>735</v>
      </c>
      <c r="B736" s="0" t="s">
        <v>346</v>
      </c>
      <c r="C736" s="33" t="s">
        <v>347</v>
      </c>
      <c r="D736" s="34" t="n">
        <v>46220</v>
      </c>
      <c r="E736" s="0" t="n">
        <v>420.71</v>
      </c>
      <c r="F736" s="0" t="n">
        <v>0</v>
      </c>
      <c r="G736" s="0" t="n">
        <v>304.6</v>
      </c>
      <c r="H736" s="0" t="n">
        <v>54.8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6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786.11</v>
      </c>
      <c r="AH736" s="0" t="n">
        <v>786.11</v>
      </c>
      <c r="AI736" s="0" t="n">
        <v>15</v>
      </c>
    </row>
    <row r="737" customFormat="false" ht="14.9" hidden="false" customHeight="false" outlineLevel="0" collapsed="false">
      <c r="A737" s="0" t="n">
        <v>736</v>
      </c>
      <c r="B737" s="0" t="s">
        <v>346</v>
      </c>
      <c r="C737" s="33" t="s">
        <v>347</v>
      </c>
      <c r="D737" s="34" t="n">
        <v>46205</v>
      </c>
      <c r="E737" s="0" t="n">
        <v>309.6</v>
      </c>
      <c r="F737" s="0" t="n">
        <v>0</v>
      </c>
      <c r="G737" s="0" t="n">
        <v>797.6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1107.2</v>
      </c>
      <c r="AH737" s="0" t="n">
        <v>1107.2</v>
      </c>
      <c r="AI737" s="0" t="n">
        <v>17</v>
      </c>
    </row>
    <row r="738" customFormat="false" ht="14.9" hidden="false" customHeight="false" outlineLevel="0" collapsed="false">
      <c r="A738" s="0" t="n">
        <v>737</v>
      </c>
      <c r="B738" s="0" t="s">
        <v>346</v>
      </c>
      <c r="C738" s="33" t="s">
        <v>347</v>
      </c>
      <c r="D738" s="34" t="n">
        <v>46234</v>
      </c>
      <c r="E738" s="0" t="n">
        <v>90.35</v>
      </c>
      <c r="F738" s="0" t="n">
        <v>0</v>
      </c>
      <c r="G738" s="0" t="n">
        <v>488.2</v>
      </c>
      <c r="H738" s="0" t="n">
        <v>-1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99</v>
      </c>
      <c r="T738" s="0" t="n">
        <v>0</v>
      </c>
      <c r="U738" s="0" t="n">
        <v>0</v>
      </c>
      <c r="V738" s="0" t="n">
        <v>0</v>
      </c>
      <c r="W738" s="0" t="n">
        <v>5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681.55</v>
      </c>
      <c r="AH738" s="0" t="n">
        <v>681.55</v>
      </c>
      <c r="AI738" s="0" t="n">
        <v>13</v>
      </c>
    </row>
    <row r="739" customFormat="false" ht="14.9" hidden="false" customHeight="false" outlineLevel="0" collapsed="false">
      <c r="A739" s="0" t="n">
        <v>738</v>
      </c>
      <c r="B739" s="0" t="s">
        <v>346</v>
      </c>
      <c r="C739" s="33" t="s">
        <v>347</v>
      </c>
      <c r="D739" s="34" t="n">
        <v>46229</v>
      </c>
      <c r="E739" s="0" t="n">
        <v>672.58</v>
      </c>
      <c r="F739" s="0" t="n">
        <v>0</v>
      </c>
      <c r="G739" s="0" t="n">
        <v>1959.1</v>
      </c>
      <c r="H739" s="0" t="n">
        <v>973.9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9.9</v>
      </c>
      <c r="W739" s="0" t="n">
        <v>63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3678.48</v>
      </c>
      <c r="AH739" s="0" t="n">
        <v>3678.48</v>
      </c>
      <c r="AI739" s="0" t="n">
        <v>36</v>
      </c>
    </row>
    <row r="740" customFormat="false" ht="14.9" hidden="false" customHeight="false" outlineLevel="0" collapsed="false">
      <c r="A740" s="0" t="n">
        <v>739</v>
      </c>
      <c r="B740" s="0" t="s">
        <v>346</v>
      </c>
      <c r="C740" s="33" t="s">
        <v>347</v>
      </c>
      <c r="D740" s="34" t="n">
        <v>46231</v>
      </c>
      <c r="E740" s="0" t="n">
        <v>310.37</v>
      </c>
      <c r="F740" s="0" t="n">
        <v>0</v>
      </c>
      <c r="G740" s="0" t="n">
        <v>1174.4</v>
      </c>
      <c r="H740" s="0" t="n">
        <v>89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46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1619.77</v>
      </c>
      <c r="AH740" s="0" t="n">
        <v>1619.77</v>
      </c>
      <c r="AI740" s="0" t="n">
        <v>22</v>
      </c>
    </row>
    <row r="741" customFormat="false" ht="14.9" hidden="false" customHeight="false" outlineLevel="0" collapsed="false">
      <c r="A741" s="0" t="n">
        <v>740</v>
      </c>
      <c r="B741" s="0" t="s">
        <v>346</v>
      </c>
      <c r="C741" s="33" t="s">
        <v>347</v>
      </c>
      <c r="D741" s="34" t="n">
        <v>46208</v>
      </c>
      <c r="E741" s="0" t="n">
        <v>235.18</v>
      </c>
      <c r="F741" s="0" t="n">
        <v>0</v>
      </c>
      <c r="G741" s="0" t="n">
        <v>443.6</v>
      </c>
      <c r="H741" s="0" t="n">
        <v>159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15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852.78</v>
      </c>
      <c r="AH741" s="0" t="n">
        <v>852.78</v>
      </c>
      <c r="AI741" s="0" t="n">
        <v>13</v>
      </c>
    </row>
    <row r="742" customFormat="false" ht="14.9" hidden="false" customHeight="false" outlineLevel="0" collapsed="false">
      <c r="A742" s="0" t="n">
        <v>741</v>
      </c>
      <c r="B742" s="0" t="s">
        <v>346</v>
      </c>
      <c r="C742" s="33" t="s">
        <v>347</v>
      </c>
      <c r="D742" s="34" t="n">
        <v>46216</v>
      </c>
      <c r="E742" s="0" t="n">
        <v>23.8</v>
      </c>
      <c r="F742" s="0" t="n">
        <v>0</v>
      </c>
      <c r="G742" s="0" t="n">
        <v>462.29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5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491.09</v>
      </c>
      <c r="AH742" s="0" t="n">
        <v>491.09</v>
      </c>
      <c r="AI742" s="0" t="n">
        <v>10</v>
      </c>
    </row>
    <row r="743" customFormat="false" ht="14.9" hidden="false" customHeight="false" outlineLevel="0" collapsed="false">
      <c r="A743" s="0" t="n">
        <v>742</v>
      </c>
      <c r="B743" s="0" t="s">
        <v>346</v>
      </c>
      <c r="C743" s="33" t="s">
        <v>347</v>
      </c>
      <c r="D743" s="34" t="n">
        <v>46233</v>
      </c>
      <c r="E743" s="0" t="n">
        <v>417.2</v>
      </c>
      <c r="F743" s="0" t="n">
        <v>0</v>
      </c>
      <c r="G743" s="0" t="n">
        <v>1243.5</v>
      </c>
      <c r="H743" s="0" t="n">
        <v>903.8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10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2574.5</v>
      </c>
      <c r="AH743" s="0" t="n">
        <v>2574.5</v>
      </c>
      <c r="AI743" s="0" t="n">
        <v>29</v>
      </c>
    </row>
    <row r="744" customFormat="false" ht="14.9" hidden="false" customHeight="false" outlineLevel="0" collapsed="false">
      <c r="A744" s="0" t="n">
        <v>743</v>
      </c>
      <c r="B744" s="0" t="s">
        <v>346</v>
      </c>
      <c r="C744" s="33" t="s">
        <v>347</v>
      </c>
      <c r="D744" s="34" t="n">
        <v>46221</v>
      </c>
      <c r="E744" s="0" t="n">
        <v>242.8</v>
      </c>
      <c r="F744" s="0" t="n">
        <v>0</v>
      </c>
      <c r="G744" s="0" t="n">
        <v>1283.8</v>
      </c>
      <c r="H744" s="0" t="n">
        <v>14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0.01</v>
      </c>
      <c r="W744" s="0" t="n">
        <v>10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1550.61</v>
      </c>
      <c r="AH744" s="0" t="n">
        <v>1550.61</v>
      </c>
      <c r="AI744" s="0" t="n">
        <v>22</v>
      </c>
    </row>
    <row r="745" customFormat="false" ht="14.9" hidden="false" customHeight="false" outlineLevel="0" collapsed="false">
      <c r="A745" s="0" t="n">
        <v>744</v>
      </c>
      <c r="B745" s="0" t="s">
        <v>346</v>
      </c>
      <c r="C745" s="33" t="s">
        <v>347</v>
      </c>
      <c r="D745" s="34" t="n">
        <v>46230</v>
      </c>
      <c r="E745" s="0" t="n">
        <v>153</v>
      </c>
      <c r="F745" s="0" t="n">
        <v>0</v>
      </c>
      <c r="G745" s="0" t="n">
        <v>986.44</v>
      </c>
      <c r="H745" s="0" t="n">
        <v>52.8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42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1234.24</v>
      </c>
      <c r="AH745" s="0" t="n">
        <v>1234.24</v>
      </c>
      <c r="AI745" s="0" t="n">
        <v>17</v>
      </c>
    </row>
    <row r="746" customFormat="false" ht="14.9" hidden="false" customHeight="false" outlineLevel="0" collapsed="false">
      <c r="A746" s="0" t="n">
        <v>745</v>
      </c>
      <c r="B746" s="0" t="s">
        <v>346</v>
      </c>
      <c r="C746" s="33" t="s">
        <v>347</v>
      </c>
      <c r="D746" s="34" t="n">
        <v>46219</v>
      </c>
      <c r="E746" s="0" t="n">
        <v>171.25</v>
      </c>
      <c r="F746" s="0" t="n">
        <v>0</v>
      </c>
      <c r="G746" s="0" t="n">
        <v>1356.21</v>
      </c>
      <c r="H746" s="0" t="n">
        <v>290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3</v>
      </c>
      <c r="W746" s="0" t="n">
        <v>98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1918.46</v>
      </c>
      <c r="AH746" s="0" t="n">
        <v>1918.46</v>
      </c>
      <c r="AI746" s="0" t="n">
        <v>19</v>
      </c>
    </row>
    <row r="747" customFormat="false" ht="14.9" hidden="false" customHeight="false" outlineLevel="0" collapsed="false">
      <c r="A747" s="0" t="n">
        <v>746</v>
      </c>
      <c r="B747" s="0" t="s">
        <v>348</v>
      </c>
      <c r="C747" s="33" t="s">
        <v>349</v>
      </c>
      <c r="D747" s="34" t="n">
        <v>46228</v>
      </c>
      <c r="E747" s="0" t="n">
        <v>556.8</v>
      </c>
      <c r="F747" s="0" t="n">
        <v>0</v>
      </c>
      <c r="G747" s="0" t="n">
        <v>546.1</v>
      </c>
      <c r="H747" s="0" t="n">
        <v>37.9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0.1</v>
      </c>
      <c r="S747" s="0" t="n">
        <v>0</v>
      </c>
      <c r="T747" s="0" t="n">
        <v>0</v>
      </c>
      <c r="U747" s="0" t="n">
        <v>0</v>
      </c>
      <c r="V747" s="0" t="n">
        <v>12</v>
      </c>
      <c r="W747" s="0" t="n">
        <v>11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1163.9</v>
      </c>
      <c r="AH747" s="0" t="n">
        <v>1163.9</v>
      </c>
      <c r="AI747" s="0" t="n">
        <v>40</v>
      </c>
    </row>
    <row r="748" customFormat="false" ht="14.9" hidden="false" customHeight="false" outlineLevel="0" collapsed="false">
      <c r="A748" s="0" t="n">
        <v>747</v>
      </c>
      <c r="B748" s="0" t="s">
        <v>348</v>
      </c>
      <c r="C748" s="33" t="s">
        <v>349</v>
      </c>
      <c r="D748" s="34" t="n">
        <v>46218</v>
      </c>
      <c r="E748" s="0" t="n">
        <v>892.59</v>
      </c>
      <c r="F748" s="0" t="n">
        <v>0</v>
      </c>
      <c r="G748" s="0" t="n">
        <v>1287.1</v>
      </c>
      <c r="H748" s="0" t="n">
        <v>1331.3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0.68</v>
      </c>
      <c r="S748" s="0" t="n">
        <v>0</v>
      </c>
      <c r="T748" s="0" t="n">
        <v>0</v>
      </c>
      <c r="U748" s="0" t="n">
        <v>5</v>
      </c>
      <c r="V748" s="0" t="n">
        <v>3.84</v>
      </c>
      <c r="W748" s="0" t="n">
        <v>38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3558.51</v>
      </c>
      <c r="AH748" s="0" t="n">
        <v>3558.51</v>
      </c>
      <c r="AI748" s="0" t="n">
        <v>57</v>
      </c>
    </row>
    <row r="749" customFormat="false" ht="14.9" hidden="false" customHeight="false" outlineLevel="0" collapsed="false">
      <c r="A749" s="0" t="n">
        <v>748</v>
      </c>
      <c r="B749" s="0" t="s">
        <v>348</v>
      </c>
      <c r="C749" s="33" t="s">
        <v>349</v>
      </c>
      <c r="D749" s="34" t="n">
        <v>46209</v>
      </c>
      <c r="E749" s="0" t="n">
        <v>616.86</v>
      </c>
      <c r="F749" s="0" t="n">
        <v>0</v>
      </c>
      <c r="G749" s="0" t="n">
        <v>664.31</v>
      </c>
      <c r="H749" s="0" t="n">
        <v>165.2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0.8</v>
      </c>
      <c r="S749" s="0" t="n">
        <v>0</v>
      </c>
      <c r="T749" s="0" t="n">
        <v>0</v>
      </c>
      <c r="U749" s="0" t="n">
        <v>0</v>
      </c>
      <c r="V749" s="0" t="n">
        <v>6.8</v>
      </c>
      <c r="W749" s="0" t="n">
        <v>6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1459.97</v>
      </c>
      <c r="AH749" s="0" t="n">
        <v>1459.97</v>
      </c>
      <c r="AI749" s="0" t="n">
        <v>40</v>
      </c>
    </row>
    <row r="750" customFormat="false" ht="14.9" hidden="false" customHeight="false" outlineLevel="0" collapsed="false">
      <c r="A750" s="0" t="n">
        <v>749</v>
      </c>
      <c r="B750" s="0" t="s">
        <v>348</v>
      </c>
      <c r="C750" s="33" t="s">
        <v>349</v>
      </c>
      <c r="D750" s="34" t="n">
        <v>46222</v>
      </c>
      <c r="E750" s="0" t="n">
        <v>772.9</v>
      </c>
      <c r="F750" s="0" t="n">
        <v>0</v>
      </c>
      <c r="G750" s="0" t="n">
        <v>879.6</v>
      </c>
      <c r="H750" s="0" t="n">
        <v>108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-0.62</v>
      </c>
      <c r="S750" s="0" t="n">
        <v>0</v>
      </c>
      <c r="T750" s="0" t="n">
        <v>0</v>
      </c>
      <c r="U750" s="0" t="n">
        <v>15</v>
      </c>
      <c r="V750" s="0" t="n">
        <v>0</v>
      </c>
      <c r="W750" s="0" t="n">
        <v>13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1787.88</v>
      </c>
      <c r="AH750" s="0" t="n">
        <v>1787.88</v>
      </c>
      <c r="AI750" s="0" t="n">
        <v>40</v>
      </c>
    </row>
    <row r="751" customFormat="false" ht="14.9" hidden="false" customHeight="false" outlineLevel="0" collapsed="false">
      <c r="A751" s="0" t="n">
        <v>750</v>
      </c>
      <c r="B751" s="0" t="s">
        <v>348</v>
      </c>
      <c r="C751" s="33" t="s">
        <v>349</v>
      </c>
      <c r="D751" s="34" t="n">
        <v>46231</v>
      </c>
      <c r="E751" s="0" t="n">
        <v>663.2</v>
      </c>
      <c r="F751" s="0" t="n">
        <v>0</v>
      </c>
      <c r="G751" s="0" t="n">
        <v>1170.8</v>
      </c>
      <c r="H751" s="0" t="n">
        <v>172.09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-0.1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180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2185.99</v>
      </c>
      <c r="AH751" s="0" t="n">
        <v>2185.99</v>
      </c>
      <c r="AI751" s="0" t="n">
        <v>48</v>
      </c>
    </row>
    <row r="752" customFormat="false" ht="14.9" hidden="false" customHeight="false" outlineLevel="0" collapsed="false">
      <c r="A752" s="0" t="n">
        <v>751</v>
      </c>
      <c r="B752" s="0" t="s">
        <v>348</v>
      </c>
      <c r="C752" s="33" t="s">
        <v>349</v>
      </c>
      <c r="D752" s="34" t="n">
        <v>46224</v>
      </c>
      <c r="E752" s="0" t="n">
        <v>920.06</v>
      </c>
      <c r="F752" s="0" t="n">
        <v>0</v>
      </c>
      <c r="G752" s="0" t="n">
        <v>2767.09</v>
      </c>
      <c r="H752" s="0" t="n">
        <v>615.66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0.51</v>
      </c>
      <c r="S752" s="0" t="n">
        <v>0</v>
      </c>
      <c r="T752" s="0" t="n">
        <v>0</v>
      </c>
      <c r="U752" s="0" t="n">
        <v>0</v>
      </c>
      <c r="V752" s="0" t="n">
        <v>31.95</v>
      </c>
      <c r="W752" s="0" t="n">
        <v>26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4361.27</v>
      </c>
      <c r="AH752" s="0" t="n">
        <v>4361.27</v>
      </c>
      <c r="AI752" s="0" t="n">
        <v>55</v>
      </c>
    </row>
    <row r="753" customFormat="false" ht="14.9" hidden="false" customHeight="false" outlineLevel="0" collapsed="false">
      <c r="A753" s="0" t="n">
        <v>752</v>
      </c>
      <c r="B753" s="0" t="s">
        <v>348</v>
      </c>
      <c r="C753" s="33" t="s">
        <v>349</v>
      </c>
      <c r="D753" s="34" t="n">
        <v>46213</v>
      </c>
      <c r="E753" s="0" t="n">
        <v>1235.2</v>
      </c>
      <c r="F753" s="0" t="n">
        <v>0</v>
      </c>
      <c r="G753" s="0" t="n">
        <v>1146.5</v>
      </c>
      <c r="H753" s="0" t="n">
        <v>11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5</v>
      </c>
      <c r="V753" s="0" t="n">
        <v>6.02</v>
      </c>
      <c r="W753" s="0" t="n">
        <v>10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2414.72</v>
      </c>
      <c r="AH753" s="0" t="n">
        <v>2414.72</v>
      </c>
      <c r="AI753" s="0" t="n">
        <v>45</v>
      </c>
    </row>
    <row r="754" customFormat="false" ht="14.9" hidden="false" customHeight="false" outlineLevel="0" collapsed="false">
      <c r="A754" s="0" t="n">
        <v>753</v>
      </c>
      <c r="B754" s="0" t="s">
        <v>348</v>
      </c>
      <c r="C754" s="33" t="s">
        <v>349</v>
      </c>
      <c r="D754" s="34" t="n">
        <v>46211</v>
      </c>
      <c r="E754" s="0" t="n">
        <v>1265.3</v>
      </c>
      <c r="F754" s="0" t="n">
        <v>0</v>
      </c>
      <c r="G754" s="0" t="n">
        <v>1207.45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-1.6</v>
      </c>
      <c r="S754" s="0" t="n">
        <v>0</v>
      </c>
      <c r="T754" s="0" t="n">
        <v>0</v>
      </c>
      <c r="U754" s="0" t="n">
        <v>0</v>
      </c>
      <c r="V754" s="0" t="n">
        <v>0.03</v>
      </c>
      <c r="W754" s="0" t="n">
        <v>6.1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2477.28</v>
      </c>
      <c r="AH754" s="0" t="n">
        <v>2477.28</v>
      </c>
      <c r="AI754" s="0" t="n">
        <v>53</v>
      </c>
    </row>
    <row r="755" customFormat="false" ht="14.9" hidden="false" customHeight="false" outlineLevel="0" collapsed="false">
      <c r="A755" s="0" t="n">
        <v>754</v>
      </c>
      <c r="B755" s="0" t="s">
        <v>348</v>
      </c>
      <c r="C755" s="33" t="s">
        <v>349</v>
      </c>
      <c r="D755" s="34" t="n">
        <v>46215</v>
      </c>
      <c r="E755" s="0" t="n">
        <v>658.3</v>
      </c>
      <c r="F755" s="0" t="n">
        <v>0</v>
      </c>
      <c r="G755" s="0" t="n">
        <v>1054.2</v>
      </c>
      <c r="H755" s="0" t="n">
        <v>142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-0.1</v>
      </c>
      <c r="S755" s="0" t="n">
        <v>0</v>
      </c>
      <c r="T755" s="0" t="n">
        <v>0</v>
      </c>
      <c r="U755" s="0" t="n">
        <v>0</v>
      </c>
      <c r="V755" s="0" t="n">
        <v>3.8</v>
      </c>
      <c r="W755" s="0" t="n">
        <v>27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1885.2</v>
      </c>
      <c r="AH755" s="0" t="n">
        <v>1885.2</v>
      </c>
      <c r="AI755" s="0" t="n">
        <v>36</v>
      </c>
    </row>
    <row r="756" customFormat="false" ht="14.9" hidden="false" customHeight="false" outlineLevel="0" collapsed="false">
      <c r="A756" s="0" t="n">
        <v>755</v>
      </c>
      <c r="B756" s="0" t="s">
        <v>348</v>
      </c>
      <c r="C756" s="33" t="s">
        <v>349</v>
      </c>
      <c r="D756" s="34" t="n">
        <v>46226</v>
      </c>
      <c r="E756" s="0" t="n">
        <v>589.5</v>
      </c>
      <c r="F756" s="0" t="n">
        <v>0</v>
      </c>
      <c r="G756" s="0" t="n">
        <v>1155.74</v>
      </c>
      <c r="H756" s="0" t="n">
        <v>47.1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-0.4</v>
      </c>
      <c r="S756" s="0" t="n">
        <v>0</v>
      </c>
      <c r="T756" s="0" t="n">
        <v>0</v>
      </c>
      <c r="U756" s="0" t="n">
        <v>0</v>
      </c>
      <c r="V756" s="0" t="n">
        <v>10.02</v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1801.96</v>
      </c>
      <c r="AH756" s="0" t="n">
        <v>1801.96</v>
      </c>
      <c r="AI756" s="0" t="n">
        <v>40</v>
      </c>
    </row>
    <row r="757" customFormat="false" ht="14.9" hidden="false" customHeight="false" outlineLevel="0" collapsed="false">
      <c r="A757" s="0" t="n">
        <v>756</v>
      </c>
      <c r="B757" s="0" t="s">
        <v>348</v>
      </c>
      <c r="C757" s="33" t="s">
        <v>349</v>
      </c>
      <c r="D757" s="34" t="n">
        <v>46233</v>
      </c>
      <c r="E757" s="0" t="n">
        <v>1782.8</v>
      </c>
      <c r="F757" s="0" t="n">
        <v>0</v>
      </c>
      <c r="G757" s="0" t="n">
        <v>2361.2</v>
      </c>
      <c r="H757" s="0" t="n">
        <v>79.9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-2.2</v>
      </c>
      <c r="S757" s="0" t="n">
        <v>0</v>
      </c>
      <c r="T757" s="0" t="n">
        <v>0</v>
      </c>
      <c r="U757" s="0" t="n">
        <v>5</v>
      </c>
      <c r="V757" s="0" t="n">
        <v>0</v>
      </c>
      <c r="W757" s="0" t="n">
        <v>224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4450.7</v>
      </c>
      <c r="AH757" s="0" t="n">
        <v>4450.7</v>
      </c>
      <c r="AI757" s="0" t="n">
        <v>64</v>
      </c>
    </row>
    <row r="758" customFormat="false" ht="14.9" hidden="false" customHeight="false" outlineLevel="0" collapsed="false">
      <c r="A758" s="0" t="n">
        <v>757</v>
      </c>
      <c r="B758" s="0" t="s">
        <v>348</v>
      </c>
      <c r="C758" s="33" t="s">
        <v>349</v>
      </c>
      <c r="D758" s="34" t="n">
        <v>46219</v>
      </c>
      <c r="E758" s="0" t="n">
        <v>1507.3</v>
      </c>
      <c r="F758" s="0" t="n">
        <v>0</v>
      </c>
      <c r="G758" s="0" t="n">
        <v>1923.35</v>
      </c>
      <c r="H758" s="0" t="n">
        <v>241.8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0.36</v>
      </c>
      <c r="S758" s="0" t="n">
        <v>0</v>
      </c>
      <c r="T758" s="0" t="n">
        <v>0</v>
      </c>
      <c r="U758" s="0" t="n">
        <v>0</v>
      </c>
      <c r="V758" s="0" t="n">
        <v>36.24</v>
      </c>
      <c r="W758" s="0" t="n">
        <v>119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3828.05</v>
      </c>
      <c r="AH758" s="0" t="n">
        <v>3828.05</v>
      </c>
      <c r="AI758" s="0" t="n">
        <v>70</v>
      </c>
    </row>
    <row r="759" customFormat="false" ht="14.9" hidden="false" customHeight="false" outlineLevel="0" collapsed="false">
      <c r="A759" s="0" t="n">
        <v>758</v>
      </c>
      <c r="B759" s="0" t="s">
        <v>348</v>
      </c>
      <c r="C759" s="33" t="s">
        <v>349</v>
      </c>
      <c r="D759" s="34" t="n">
        <v>46232</v>
      </c>
      <c r="E759" s="0" t="n">
        <v>380.2</v>
      </c>
      <c r="F759" s="0" t="n">
        <v>0</v>
      </c>
      <c r="G759" s="0" t="n">
        <v>736.1</v>
      </c>
      <c r="H759" s="0" t="n">
        <v>98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-0.1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125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1339.2</v>
      </c>
      <c r="AH759" s="0" t="n">
        <v>1339.2</v>
      </c>
      <c r="AI759" s="0" t="n">
        <v>30</v>
      </c>
    </row>
    <row r="760" customFormat="false" ht="14.9" hidden="false" customHeight="false" outlineLevel="0" collapsed="false">
      <c r="A760" s="0" t="n">
        <v>759</v>
      </c>
      <c r="B760" s="0" t="s">
        <v>348</v>
      </c>
      <c r="C760" s="33" t="s">
        <v>349</v>
      </c>
      <c r="D760" s="34" t="n">
        <v>46217</v>
      </c>
      <c r="E760" s="0" t="n">
        <v>460</v>
      </c>
      <c r="F760" s="0" t="n">
        <v>0</v>
      </c>
      <c r="G760" s="0" t="n">
        <v>941.29</v>
      </c>
      <c r="H760" s="0" t="n">
        <v>82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1.9</v>
      </c>
      <c r="S760" s="0" t="n">
        <v>0</v>
      </c>
      <c r="T760" s="0" t="n">
        <v>0</v>
      </c>
      <c r="U760" s="0" t="n">
        <v>0</v>
      </c>
      <c r="V760" s="0" t="n">
        <v>9.9</v>
      </c>
      <c r="W760" s="0" t="n">
        <v>5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1500.09</v>
      </c>
      <c r="AH760" s="0" t="n">
        <v>1500.09</v>
      </c>
      <c r="AI760" s="0" t="n">
        <v>42</v>
      </c>
    </row>
    <row r="761" customFormat="false" ht="14.9" hidden="false" customHeight="false" outlineLevel="0" collapsed="false">
      <c r="A761" s="0" t="n">
        <v>760</v>
      </c>
      <c r="B761" s="0" t="s">
        <v>348</v>
      </c>
      <c r="C761" s="33" t="s">
        <v>349</v>
      </c>
      <c r="D761" s="34" t="n">
        <v>46204</v>
      </c>
      <c r="E761" s="0" t="n">
        <v>1241.9</v>
      </c>
      <c r="F761" s="0" t="n">
        <v>0</v>
      </c>
      <c r="G761" s="0" t="n">
        <v>687.23</v>
      </c>
      <c r="H761" s="0" t="n">
        <v>347.26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-0.62</v>
      </c>
      <c r="S761" s="0" t="n">
        <v>0</v>
      </c>
      <c r="T761" s="0" t="n">
        <v>0</v>
      </c>
      <c r="U761" s="0" t="n">
        <v>5</v>
      </c>
      <c r="V761" s="0" t="n">
        <v>0</v>
      </c>
      <c r="W761" s="0" t="n">
        <v>3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2283.77</v>
      </c>
      <c r="AH761" s="0" t="n">
        <v>2283.77</v>
      </c>
      <c r="AI761" s="0" t="n">
        <v>55</v>
      </c>
    </row>
    <row r="762" customFormat="false" ht="14.9" hidden="false" customHeight="false" outlineLevel="0" collapsed="false">
      <c r="A762" s="0" t="n">
        <v>761</v>
      </c>
      <c r="B762" s="0" t="s">
        <v>348</v>
      </c>
      <c r="C762" s="33" t="s">
        <v>349</v>
      </c>
      <c r="D762" s="34" t="n">
        <v>46214</v>
      </c>
      <c r="E762" s="0" t="n">
        <v>1356.33</v>
      </c>
      <c r="F762" s="0" t="n">
        <v>0</v>
      </c>
      <c r="G762" s="0" t="n">
        <v>1150.1</v>
      </c>
      <c r="H762" s="0" t="n">
        <v>142.6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-2.87</v>
      </c>
      <c r="S762" s="0" t="n">
        <v>0</v>
      </c>
      <c r="T762" s="0" t="n">
        <v>0</v>
      </c>
      <c r="U762" s="0" t="n">
        <v>0</v>
      </c>
      <c r="V762" s="0" t="n">
        <v>32.62</v>
      </c>
      <c r="W762" s="0" t="n">
        <v>58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2736.78</v>
      </c>
      <c r="AH762" s="0" t="n">
        <v>2736.78</v>
      </c>
      <c r="AI762" s="0" t="n">
        <v>55</v>
      </c>
    </row>
    <row r="763" customFormat="false" ht="14.9" hidden="false" customHeight="false" outlineLevel="0" collapsed="false">
      <c r="A763" s="0" t="n">
        <v>762</v>
      </c>
      <c r="B763" s="0" t="s">
        <v>348</v>
      </c>
      <c r="C763" s="33" t="s">
        <v>349</v>
      </c>
      <c r="D763" s="34" t="n">
        <v>46234</v>
      </c>
      <c r="E763" s="0" t="n">
        <v>617.3</v>
      </c>
      <c r="F763" s="0" t="n">
        <v>0</v>
      </c>
      <c r="G763" s="0" t="n">
        <v>1130.2</v>
      </c>
      <c r="H763" s="0" t="n">
        <v>642.2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0.6</v>
      </c>
      <c r="S763" s="0" t="n">
        <v>0</v>
      </c>
      <c r="T763" s="0" t="n">
        <v>0</v>
      </c>
      <c r="U763" s="0" t="n">
        <v>10</v>
      </c>
      <c r="V763" s="0" t="n">
        <v>0</v>
      </c>
      <c r="W763" s="0" t="n">
        <v>139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2539.3</v>
      </c>
      <c r="AH763" s="0" t="n">
        <v>2539.3</v>
      </c>
      <c r="AI763" s="0" t="n">
        <v>50</v>
      </c>
    </row>
    <row r="764" customFormat="false" ht="14.9" hidden="false" customHeight="false" outlineLevel="0" collapsed="false">
      <c r="A764" s="0" t="n">
        <v>763</v>
      </c>
      <c r="B764" s="0" t="s">
        <v>348</v>
      </c>
      <c r="C764" s="33" t="s">
        <v>349</v>
      </c>
      <c r="D764" s="34" t="n">
        <v>46208</v>
      </c>
      <c r="E764" s="0" t="n">
        <v>875.1</v>
      </c>
      <c r="F764" s="0" t="n">
        <v>0</v>
      </c>
      <c r="G764" s="0" t="n">
        <v>857.9</v>
      </c>
      <c r="H764" s="0" t="n">
        <v>136.9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0.9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20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1890.8</v>
      </c>
      <c r="AH764" s="0" t="n">
        <v>1890.8</v>
      </c>
      <c r="AI764" s="0" t="n">
        <v>43</v>
      </c>
    </row>
    <row r="765" customFormat="false" ht="14.9" hidden="false" customHeight="false" outlineLevel="0" collapsed="false">
      <c r="A765" s="0" t="n">
        <v>764</v>
      </c>
      <c r="B765" s="0" t="s">
        <v>348</v>
      </c>
      <c r="C765" s="33" t="s">
        <v>349</v>
      </c>
      <c r="D765" s="34" t="n">
        <v>46223</v>
      </c>
      <c r="E765" s="0" t="n">
        <v>891.3</v>
      </c>
      <c r="F765" s="0" t="n">
        <v>0</v>
      </c>
      <c r="G765" s="0" t="n">
        <v>946.4</v>
      </c>
      <c r="H765" s="0" t="n">
        <v>48.8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-0.6</v>
      </c>
      <c r="S765" s="0" t="n">
        <v>0</v>
      </c>
      <c r="T765" s="0" t="n">
        <v>0</v>
      </c>
      <c r="U765" s="0" t="n">
        <v>5</v>
      </c>
      <c r="V765" s="0" t="n">
        <v>0</v>
      </c>
      <c r="W765" s="0" t="n">
        <v>20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1910.9</v>
      </c>
      <c r="AH765" s="0" t="n">
        <v>1910.9</v>
      </c>
      <c r="AI765" s="0" t="n">
        <v>52</v>
      </c>
    </row>
    <row r="766" customFormat="false" ht="14.9" hidden="false" customHeight="false" outlineLevel="0" collapsed="false">
      <c r="A766" s="0" t="n">
        <v>765</v>
      </c>
      <c r="B766" s="0" t="s">
        <v>348</v>
      </c>
      <c r="C766" s="33" t="s">
        <v>349</v>
      </c>
      <c r="D766" s="34" t="n">
        <v>46210</v>
      </c>
      <c r="E766" s="0" t="n">
        <v>944.5</v>
      </c>
      <c r="F766" s="0" t="n">
        <v>0</v>
      </c>
      <c r="G766" s="0" t="n">
        <v>1357</v>
      </c>
      <c r="H766" s="0" t="n">
        <v>239.28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-1.39</v>
      </c>
      <c r="S766" s="0" t="n">
        <v>0</v>
      </c>
      <c r="T766" s="0" t="n">
        <v>0</v>
      </c>
      <c r="U766" s="0" t="n">
        <v>0</v>
      </c>
      <c r="V766" s="0" t="n">
        <v>0.02</v>
      </c>
      <c r="W766" s="0" t="n">
        <v>23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2562.41</v>
      </c>
      <c r="AH766" s="0" t="n">
        <v>2562.41</v>
      </c>
      <c r="AI766" s="0" t="n">
        <v>53</v>
      </c>
    </row>
    <row r="767" customFormat="false" ht="14.9" hidden="false" customHeight="false" outlineLevel="0" collapsed="false">
      <c r="A767" s="0" t="n">
        <v>766</v>
      </c>
      <c r="B767" s="0" t="s">
        <v>348</v>
      </c>
      <c r="C767" s="33" t="s">
        <v>349</v>
      </c>
      <c r="D767" s="34" t="n">
        <v>46230</v>
      </c>
      <c r="E767" s="0" t="n">
        <v>1280.4</v>
      </c>
      <c r="F767" s="0" t="n">
        <v>0</v>
      </c>
      <c r="G767" s="0" t="n">
        <v>1375.8</v>
      </c>
      <c r="H767" s="0" t="n">
        <v>43.5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-0.9</v>
      </c>
      <c r="S767" s="0" t="n">
        <v>0</v>
      </c>
      <c r="T767" s="0" t="n">
        <v>0</v>
      </c>
      <c r="U767" s="0" t="n">
        <v>5</v>
      </c>
      <c r="V767" s="0" t="n">
        <v>9.9</v>
      </c>
      <c r="W767" s="0" t="n">
        <v>59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2772.7</v>
      </c>
      <c r="AH767" s="0" t="n">
        <v>2772.7</v>
      </c>
      <c r="AI767" s="0" t="n">
        <v>53</v>
      </c>
    </row>
    <row r="768" customFormat="false" ht="14.9" hidden="false" customHeight="false" outlineLevel="0" collapsed="false">
      <c r="A768" s="0" t="n">
        <v>767</v>
      </c>
      <c r="B768" s="0" t="s">
        <v>348</v>
      </c>
      <c r="C768" s="33" t="s">
        <v>349</v>
      </c>
      <c r="D768" s="34" t="n">
        <v>46229</v>
      </c>
      <c r="E768" s="0" t="n">
        <v>939.08</v>
      </c>
      <c r="F768" s="0" t="n">
        <v>0</v>
      </c>
      <c r="G768" s="0" t="n">
        <v>2586.14</v>
      </c>
      <c r="H768" s="0" t="n">
        <v>207.1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0.39</v>
      </c>
      <c r="S768" s="0" t="n">
        <v>0</v>
      </c>
      <c r="T768" s="0" t="n">
        <v>0</v>
      </c>
      <c r="U768" s="0" t="n">
        <v>0</v>
      </c>
      <c r="V768" s="0" t="n">
        <v>9.9</v>
      </c>
      <c r="W768" s="0" t="n">
        <v>28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3770.61</v>
      </c>
      <c r="AH768" s="0" t="n">
        <v>3770.61</v>
      </c>
      <c r="AI768" s="0" t="n">
        <v>64</v>
      </c>
    </row>
    <row r="769" customFormat="false" ht="14.9" hidden="false" customHeight="false" outlineLevel="0" collapsed="false">
      <c r="A769" s="0" t="n">
        <v>768</v>
      </c>
      <c r="B769" s="0" t="s">
        <v>348</v>
      </c>
      <c r="C769" s="33" t="s">
        <v>349</v>
      </c>
      <c r="D769" s="34" t="n">
        <v>46220</v>
      </c>
      <c r="E769" s="0" t="n">
        <v>289.9</v>
      </c>
      <c r="F769" s="0" t="n">
        <v>0</v>
      </c>
      <c r="G769" s="0" t="n">
        <v>441</v>
      </c>
      <c r="H769" s="0" t="n">
        <v>237.3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-0.9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8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975.3</v>
      </c>
      <c r="AH769" s="0" t="n">
        <v>975.3</v>
      </c>
      <c r="AI769" s="0" t="n">
        <v>28</v>
      </c>
    </row>
    <row r="770" customFormat="false" ht="14.9" hidden="false" customHeight="false" outlineLevel="0" collapsed="false">
      <c r="A770" s="0" t="n">
        <v>769</v>
      </c>
      <c r="B770" s="0" t="s">
        <v>348</v>
      </c>
      <c r="C770" s="33" t="s">
        <v>349</v>
      </c>
      <c r="D770" s="34" t="n">
        <v>46216</v>
      </c>
      <c r="E770" s="0" t="n">
        <v>684.61</v>
      </c>
      <c r="F770" s="0" t="n">
        <v>0</v>
      </c>
      <c r="G770" s="0" t="n">
        <v>1199.4</v>
      </c>
      <c r="H770" s="0" t="n">
        <v>321.6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1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23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2229.61</v>
      </c>
      <c r="AH770" s="0" t="n">
        <v>2229.61</v>
      </c>
      <c r="AI770" s="0" t="n">
        <v>40</v>
      </c>
    </row>
    <row r="771" customFormat="false" ht="14.9" hidden="false" customHeight="false" outlineLevel="0" collapsed="false">
      <c r="A771" s="0" t="n">
        <v>770</v>
      </c>
      <c r="B771" s="0" t="s">
        <v>348</v>
      </c>
      <c r="C771" s="33" t="s">
        <v>349</v>
      </c>
      <c r="D771" s="34" t="n">
        <v>46227</v>
      </c>
      <c r="E771" s="0" t="n">
        <v>2138</v>
      </c>
      <c r="F771" s="0" t="n">
        <v>0</v>
      </c>
      <c r="G771" s="0" t="n">
        <v>2973.15</v>
      </c>
      <c r="H771" s="0" t="n">
        <v>480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2.54</v>
      </c>
      <c r="S771" s="0" t="n">
        <v>0</v>
      </c>
      <c r="T771" s="0" t="n">
        <v>0</v>
      </c>
      <c r="U771" s="0" t="n">
        <v>5</v>
      </c>
      <c r="V771" s="0" t="n">
        <v>57.62</v>
      </c>
      <c r="W771" s="0" t="n">
        <v>52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5708.31</v>
      </c>
      <c r="AH771" s="0" t="n">
        <v>5708.31</v>
      </c>
      <c r="AI771" s="0" t="n">
        <v>81</v>
      </c>
    </row>
    <row r="772" customFormat="false" ht="14.9" hidden="false" customHeight="false" outlineLevel="0" collapsed="false">
      <c r="A772" s="0" t="n">
        <v>771</v>
      </c>
      <c r="B772" s="0" t="s">
        <v>348</v>
      </c>
      <c r="C772" s="33" t="s">
        <v>349</v>
      </c>
      <c r="D772" s="34" t="n">
        <v>46225</v>
      </c>
      <c r="E772" s="0" t="n">
        <v>610.2</v>
      </c>
      <c r="F772" s="0" t="n">
        <v>0</v>
      </c>
      <c r="G772" s="0" t="n">
        <v>868.6</v>
      </c>
      <c r="H772" s="0" t="n">
        <v>47.8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0.86</v>
      </c>
      <c r="S772" s="0" t="n">
        <v>0</v>
      </c>
      <c r="T772" s="0" t="n">
        <v>0</v>
      </c>
      <c r="U772" s="0" t="n">
        <v>0</v>
      </c>
      <c r="V772" s="0" t="n">
        <v>3.02</v>
      </c>
      <c r="W772" s="0" t="n">
        <v>16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1546.48</v>
      </c>
      <c r="AH772" s="0" t="n">
        <v>1546.48</v>
      </c>
      <c r="AI772" s="0" t="n">
        <v>42</v>
      </c>
    </row>
    <row r="773" customFormat="false" ht="14.9" hidden="false" customHeight="false" outlineLevel="0" collapsed="false">
      <c r="A773" s="0" t="n">
        <v>772</v>
      </c>
      <c r="B773" s="0" t="s">
        <v>348</v>
      </c>
      <c r="C773" s="33" t="s">
        <v>349</v>
      </c>
      <c r="D773" s="34" t="n">
        <v>46212</v>
      </c>
      <c r="E773" s="0" t="n">
        <v>614.6</v>
      </c>
      <c r="F773" s="0" t="n">
        <v>0</v>
      </c>
      <c r="G773" s="0" t="n">
        <v>460.48</v>
      </c>
      <c r="H773" s="0" t="n">
        <v>68.5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0.5</v>
      </c>
      <c r="S773" s="0" t="n">
        <v>0</v>
      </c>
      <c r="T773" s="0" t="n">
        <v>0</v>
      </c>
      <c r="U773" s="0" t="n">
        <v>0</v>
      </c>
      <c r="V773" s="0" t="n">
        <v>9</v>
      </c>
      <c r="W773" s="0" t="n">
        <v>3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1156.08</v>
      </c>
      <c r="AH773" s="0" t="n">
        <v>1156.08</v>
      </c>
      <c r="AI773" s="0" t="n">
        <v>30</v>
      </c>
    </row>
    <row r="774" customFormat="false" ht="14.9" hidden="false" customHeight="false" outlineLevel="0" collapsed="false">
      <c r="A774" s="0" t="n">
        <v>773</v>
      </c>
      <c r="B774" s="0" t="s">
        <v>348</v>
      </c>
      <c r="C774" s="33" t="s">
        <v>349</v>
      </c>
      <c r="D774" s="34" t="n">
        <v>46205</v>
      </c>
      <c r="E774" s="0" t="n">
        <v>712</v>
      </c>
      <c r="F774" s="0" t="n">
        <v>0</v>
      </c>
      <c r="G774" s="0" t="n">
        <v>686.9</v>
      </c>
      <c r="H774" s="0" t="n">
        <v>482.1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-0.4</v>
      </c>
      <c r="S774" s="0" t="n">
        <v>0</v>
      </c>
      <c r="T774" s="0" t="n">
        <v>0</v>
      </c>
      <c r="U774" s="0" t="n">
        <v>5</v>
      </c>
      <c r="V774" s="0" t="n">
        <v>0</v>
      </c>
      <c r="W774" s="0" t="n">
        <v>11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1896.6</v>
      </c>
      <c r="AH774" s="0" t="n">
        <v>1896.6</v>
      </c>
      <c r="AI774" s="0" t="n">
        <v>29</v>
      </c>
    </row>
    <row r="775" customFormat="false" ht="14.9" hidden="false" customHeight="false" outlineLevel="0" collapsed="false">
      <c r="A775" s="0" t="n">
        <v>774</v>
      </c>
      <c r="B775" s="0" t="s">
        <v>348</v>
      </c>
      <c r="C775" s="33" t="s">
        <v>349</v>
      </c>
      <c r="D775" s="34" t="n">
        <v>46206</v>
      </c>
      <c r="E775" s="0" t="n">
        <v>767.9</v>
      </c>
      <c r="F775" s="0" t="n">
        <v>0</v>
      </c>
      <c r="G775" s="0" t="n">
        <v>888.6</v>
      </c>
      <c r="H775" s="0" t="n">
        <v>101.4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-0.9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10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1767</v>
      </c>
      <c r="AH775" s="0" t="n">
        <v>1767</v>
      </c>
      <c r="AI775" s="0" t="n">
        <v>40</v>
      </c>
    </row>
    <row r="776" customFormat="false" ht="14.9" hidden="false" customHeight="false" outlineLevel="0" collapsed="false">
      <c r="A776" s="0" t="n">
        <v>775</v>
      </c>
      <c r="B776" s="0" t="s">
        <v>348</v>
      </c>
      <c r="C776" s="33" t="s">
        <v>349</v>
      </c>
      <c r="D776" s="34" t="n">
        <v>46221</v>
      </c>
      <c r="E776" s="0" t="n">
        <v>780.9</v>
      </c>
      <c r="F776" s="0" t="n">
        <v>0</v>
      </c>
      <c r="G776" s="0" t="n">
        <v>1061.3</v>
      </c>
      <c r="H776" s="0" t="n">
        <v>196.5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1.1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45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2084.8</v>
      </c>
      <c r="AH776" s="0" t="n">
        <v>2084.8</v>
      </c>
      <c r="AI776" s="0" t="n">
        <v>51</v>
      </c>
    </row>
    <row r="777" customFormat="false" ht="14.9" hidden="false" customHeight="false" outlineLevel="0" collapsed="false">
      <c r="A777" s="0" t="n">
        <v>776</v>
      </c>
      <c r="B777" s="0" t="s">
        <v>348</v>
      </c>
      <c r="C777" s="33" t="s">
        <v>349</v>
      </c>
      <c r="D777" s="34" t="n">
        <v>46207</v>
      </c>
      <c r="E777" s="0" t="n">
        <v>165.55</v>
      </c>
      <c r="F777" s="0" t="n">
        <v>0</v>
      </c>
      <c r="G777" s="0" t="n">
        <v>1527</v>
      </c>
      <c r="H777" s="0" t="n">
        <v>150.5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0.2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28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1871.25</v>
      </c>
      <c r="AH777" s="0" t="n">
        <v>1871.25</v>
      </c>
      <c r="AI777" s="0" t="n">
        <v>36</v>
      </c>
    </row>
    <row r="778" customFormat="false" ht="14.9" hidden="false" customHeight="false" outlineLevel="0" collapsed="false">
      <c r="A778" s="0" t="n">
        <v>777</v>
      </c>
      <c r="B778" s="0" t="s">
        <v>350</v>
      </c>
      <c r="C778" s="33" t="s">
        <v>351</v>
      </c>
      <c r="D778" s="34" t="n">
        <v>46227</v>
      </c>
      <c r="E778" s="0" t="n">
        <v>588.21</v>
      </c>
      <c r="F778" s="0" t="n">
        <v>0</v>
      </c>
      <c r="G778" s="0" t="n">
        <v>1528.5</v>
      </c>
      <c r="H778" s="0" t="n">
        <v>90.8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2207.51</v>
      </c>
      <c r="AH778" s="0" t="n">
        <v>2207.51</v>
      </c>
      <c r="AI778" s="0" t="n">
        <v>53</v>
      </c>
    </row>
    <row r="779" customFormat="false" ht="14.9" hidden="false" customHeight="false" outlineLevel="0" collapsed="false">
      <c r="A779" s="0" t="n">
        <v>778</v>
      </c>
      <c r="B779" s="0" t="s">
        <v>350</v>
      </c>
      <c r="C779" s="33" t="s">
        <v>351</v>
      </c>
      <c r="D779" s="34" t="n">
        <v>46219</v>
      </c>
      <c r="E779" s="0" t="n">
        <v>1487</v>
      </c>
      <c r="F779" s="0" t="n">
        <v>0</v>
      </c>
      <c r="G779" s="0" t="n">
        <v>2043.18</v>
      </c>
      <c r="H779" s="0" t="n">
        <v>524.61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177</v>
      </c>
      <c r="T779" s="0" t="n">
        <v>0</v>
      </c>
      <c r="U779" s="0" t="n">
        <v>0</v>
      </c>
      <c r="V779" s="0" t="n">
        <v>0</v>
      </c>
      <c r="W779" s="0" t="n">
        <v>3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4234.79</v>
      </c>
      <c r="AH779" s="0" t="n">
        <v>4234.79</v>
      </c>
      <c r="AI779" s="0" t="n">
        <v>87</v>
      </c>
    </row>
    <row r="780" customFormat="false" ht="14.9" hidden="false" customHeight="false" outlineLevel="0" collapsed="false">
      <c r="A780" s="0" t="n">
        <v>779</v>
      </c>
      <c r="B780" s="0" t="s">
        <v>350</v>
      </c>
      <c r="C780" s="33" t="s">
        <v>351</v>
      </c>
      <c r="D780" s="34" t="n">
        <v>46214</v>
      </c>
      <c r="E780" s="0" t="n">
        <v>590.5</v>
      </c>
      <c r="F780" s="0" t="n">
        <v>0</v>
      </c>
      <c r="G780" s="0" t="n">
        <v>1546.3</v>
      </c>
      <c r="H780" s="0" t="n">
        <v>271.74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-0.7</v>
      </c>
      <c r="S780" s="0" t="n">
        <v>0</v>
      </c>
      <c r="T780" s="0" t="n">
        <v>0</v>
      </c>
      <c r="U780" s="0" t="n">
        <v>0</v>
      </c>
      <c r="V780" s="0" t="n">
        <v>3</v>
      </c>
      <c r="W780" s="0" t="n">
        <v>5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2415.84</v>
      </c>
      <c r="AH780" s="0" t="n">
        <v>2415.84</v>
      </c>
      <c r="AI780" s="0" t="n">
        <v>53</v>
      </c>
    </row>
    <row r="781" customFormat="false" ht="14.9" hidden="false" customHeight="false" outlineLevel="0" collapsed="false">
      <c r="A781" s="0" t="n">
        <v>780</v>
      </c>
      <c r="B781" s="0" t="s">
        <v>350</v>
      </c>
      <c r="C781" s="33" t="s">
        <v>351</v>
      </c>
      <c r="D781" s="34" t="n">
        <v>46216</v>
      </c>
      <c r="E781" s="0" t="n">
        <v>468.91</v>
      </c>
      <c r="F781" s="0" t="n">
        <v>0</v>
      </c>
      <c r="G781" s="0" t="n">
        <v>1264.4</v>
      </c>
      <c r="H781" s="0" t="n">
        <v>129.8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0.8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6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1869.91</v>
      </c>
      <c r="AH781" s="0" t="n">
        <v>1869.91</v>
      </c>
      <c r="AI781" s="0" t="n">
        <v>51</v>
      </c>
    </row>
    <row r="782" customFormat="false" ht="14.9" hidden="false" customHeight="false" outlineLevel="0" collapsed="false">
      <c r="A782" s="0" t="n">
        <v>781</v>
      </c>
      <c r="B782" s="0" t="s">
        <v>350</v>
      </c>
      <c r="C782" s="33" t="s">
        <v>351</v>
      </c>
      <c r="D782" s="34" t="n">
        <v>46213</v>
      </c>
      <c r="E782" s="0" t="n">
        <v>917.58</v>
      </c>
      <c r="F782" s="0" t="n">
        <v>0</v>
      </c>
      <c r="G782" s="0" t="n">
        <v>1912.6</v>
      </c>
      <c r="H782" s="0" t="n">
        <v>120.7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0.6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5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2956.48</v>
      </c>
      <c r="AH782" s="0" t="n">
        <v>2956.48</v>
      </c>
      <c r="AI782" s="0" t="n">
        <v>59</v>
      </c>
    </row>
    <row r="783" customFormat="false" ht="14.9" hidden="false" customHeight="false" outlineLevel="0" collapsed="false">
      <c r="A783" s="0" t="n">
        <v>782</v>
      </c>
      <c r="B783" s="0" t="s">
        <v>350</v>
      </c>
      <c r="C783" s="33" t="s">
        <v>351</v>
      </c>
      <c r="D783" s="34" t="n">
        <v>46206</v>
      </c>
      <c r="E783" s="0" t="n">
        <v>545.66</v>
      </c>
      <c r="F783" s="0" t="n">
        <v>0</v>
      </c>
      <c r="G783" s="0" t="n">
        <v>2059.48</v>
      </c>
      <c r="H783" s="0" t="n">
        <v>245.5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20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2870.64</v>
      </c>
      <c r="AH783" s="0" t="n">
        <v>2870.64</v>
      </c>
      <c r="AI783" s="0" t="n">
        <v>57</v>
      </c>
    </row>
    <row r="784" customFormat="false" ht="14.9" hidden="false" customHeight="false" outlineLevel="0" collapsed="false">
      <c r="A784" s="0" t="n">
        <v>783</v>
      </c>
      <c r="B784" s="0" t="s">
        <v>350</v>
      </c>
      <c r="C784" s="33" t="s">
        <v>351</v>
      </c>
      <c r="D784" s="34" t="n">
        <v>46217</v>
      </c>
      <c r="E784" s="0" t="n">
        <v>375.86</v>
      </c>
      <c r="F784" s="0" t="n">
        <v>0</v>
      </c>
      <c r="G784" s="0" t="n">
        <v>1683.9</v>
      </c>
      <c r="H784" s="0" t="n">
        <v>290.9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13.1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2363.76</v>
      </c>
      <c r="AH784" s="0" t="n">
        <v>2363.76</v>
      </c>
      <c r="AI784" s="0" t="n">
        <v>51</v>
      </c>
    </row>
    <row r="785" customFormat="false" ht="14.9" hidden="false" customHeight="false" outlineLevel="0" collapsed="false">
      <c r="A785" s="0" t="n">
        <v>784</v>
      </c>
      <c r="B785" s="0" t="s">
        <v>350</v>
      </c>
      <c r="C785" s="33" t="s">
        <v>351</v>
      </c>
      <c r="D785" s="34" t="n">
        <v>46209</v>
      </c>
      <c r="E785" s="0" t="n">
        <v>1053.82</v>
      </c>
      <c r="F785" s="0" t="n">
        <v>0</v>
      </c>
      <c r="G785" s="0" t="n">
        <v>3366.94</v>
      </c>
      <c r="H785" s="0" t="n">
        <v>367.43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-0.34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15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4802.85</v>
      </c>
      <c r="AH785" s="0" t="n">
        <v>4802.85</v>
      </c>
      <c r="AI785" s="0" t="n">
        <v>82</v>
      </c>
    </row>
    <row r="786" customFormat="false" ht="14.9" hidden="false" customHeight="false" outlineLevel="0" collapsed="false">
      <c r="A786" s="0" t="n">
        <v>785</v>
      </c>
      <c r="B786" s="0" t="s">
        <v>350</v>
      </c>
      <c r="C786" s="33" t="s">
        <v>351</v>
      </c>
      <c r="D786" s="34" t="n">
        <v>46204</v>
      </c>
      <c r="E786" s="0" t="n">
        <v>949.48</v>
      </c>
      <c r="F786" s="0" t="n">
        <v>0</v>
      </c>
      <c r="G786" s="0" t="n">
        <v>1393.01</v>
      </c>
      <c r="H786" s="0" t="n">
        <v>463.06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2805.55</v>
      </c>
      <c r="AH786" s="0" t="n">
        <v>2805.55</v>
      </c>
      <c r="AI786" s="0" t="n">
        <v>68</v>
      </c>
    </row>
    <row r="787" customFormat="false" ht="14.9" hidden="false" customHeight="false" outlineLevel="0" collapsed="false">
      <c r="A787" s="0" t="n">
        <v>786</v>
      </c>
      <c r="B787" s="0" t="s">
        <v>350</v>
      </c>
      <c r="C787" s="33" t="s">
        <v>351</v>
      </c>
      <c r="D787" s="34" t="n">
        <v>46231</v>
      </c>
      <c r="E787" s="0" t="n">
        <v>595.4</v>
      </c>
      <c r="F787" s="0" t="n">
        <v>0</v>
      </c>
      <c r="G787" s="0" t="n">
        <v>1685.28</v>
      </c>
      <c r="H787" s="0" t="n">
        <v>600.7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0.5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80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2961.88</v>
      </c>
      <c r="AH787" s="0" t="n">
        <v>2961.88</v>
      </c>
      <c r="AI787" s="0" t="n">
        <v>70</v>
      </c>
    </row>
    <row r="788" customFormat="false" ht="14.9" hidden="false" customHeight="false" outlineLevel="0" collapsed="false">
      <c r="A788" s="0" t="n">
        <v>787</v>
      </c>
      <c r="B788" s="0" t="s">
        <v>350</v>
      </c>
      <c r="C788" s="33" t="s">
        <v>351</v>
      </c>
      <c r="D788" s="34" t="n">
        <v>46205</v>
      </c>
      <c r="E788" s="0" t="n">
        <v>504.1</v>
      </c>
      <c r="F788" s="0" t="n">
        <v>0</v>
      </c>
      <c r="G788" s="0" t="n">
        <v>2872</v>
      </c>
      <c r="H788" s="0" t="n">
        <v>373.8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5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3754.9</v>
      </c>
      <c r="AH788" s="0" t="n">
        <v>3754.9</v>
      </c>
      <c r="AI788" s="0" t="n">
        <v>66</v>
      </c>
    </row>
    <row r="789" customFormat="false" ht="14.9" hidden="false" customHeight="false" outlineLevel="0" collapsed="false">
      <c r="A789" s="0" t="n">
        <v>788</v>
      </c>
      <c r="B789" s="0" t="s">
        <v>350</v>
      </c>
      <c r="C789" s="33" t="s">
        <v>351</v>
      </c>
      <c r="D789" s="34" t="n">
        <v>46223</v>
      </c>
      <c r="E789" s="0" t="n">
        <v>714.4</v>
      </c>
      <c r="F789" s="0" t="n">
        <v>0</v>
      </c>
      <c r="G789" s="0" t="n">
        <v>1400.05</v>
      </c>
      <c r="H789" s="0" t="n">
        <v>173.3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2287.75</v>
      </c>
      <c r="AH789" s="0" t="n">
        <v>2287.75</v>
      </c>
      <c r="AI789" s="0" t="n">
        <v>52</v>
      </c>
    </row>
    <row r="790" customFormat="false" ht="14.9" hidden="false" customHeight="false" outlineLevel="0" collapsed="false">
      <c r="A790" s="0" t="n">
        <v>789</v>
      </c>
      <c r="B790" s="0" t="s">
        <v>350</v>
      </c>
      <c r="C790" s="33" t="s">
        <v>351</v>
      </c>
      <c r="D790" s="34" t="n">
        <v>46215</v>
      </c>
      <c r="E790" s="0" t="n">
        <v>984.5</v>
      </c>
      <c r="F790" s="0" t="n">
        <v>0</v>
      </c>
      <c r="G790" s="0" t="n">
        <v>1613.69</v>
      </c>
      <c r="H790" s="0" t="n">
        <v>639.59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0.3</v>
      </c>
      <c r="S790" s="0" t="n">
        <v>0</v>
      </c>
      <c r="T790" s="0" t="n">
        <v>0</v>
      </c>
      <c r="U790" s="0" t="n">
        <v>0</v>
      </c>
      <c r="V790" s="0" t="n">
        <v>0.02</v>
      </c>
      <c r="W790" s="0" t="n">
        <v>3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3241.1</v>
      </c>
      <c r="AH790" s="0" t="n">
        <v>3241.1</v>
      </c>
      <c r="AI790" s="0" t="n">
        <v>71</v>
      </c>
    </row>
    <row r="791" customFormat="false" ht="14.9" hidden="false" customHeight="false" outlineLevel="0" collapsed="false">
      <c r="A791" s="0" t="n">
        <v>790</v>
      </c>
      <c r="B791" s="0" t="s">
        <v>350</v>
      </c>
      <c r="C791" s="33" t="s">
        <v>351</v>
      </c>
      <c r="D791" s="34" t="n">
        <v>46232</v>
      </c>
      <c r="E791" s="0" t="n">
        <v>356.8</v>
      </c>
      <c r="F791" s="0" t="n">
        <v>0</v>
      </c>
      <c r="G791" s="0" t="n">
        <v>1712.4</v>
      </c>
      <c r="H791" s="0" t="n">
        <v>152.6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2221.8</v>
      </c>
      <c r="AH791" s="0" t="n">
        <v>2221.8</v>
      </c>
      <c r="AI791" s="0" t="n">
        <v>48</v>
      </c>
    </row>
    <row r="792" customFormat="false" ht="14.9" hidden="false" customHeight="false" outlineLevel="0" collapsed="false">
      <c r="A792" s="0" t="n">
        <v>791</v>
      </c>
      <c r="B792" s="0" t="s">
        <v>350</v>
      </c>
      <c r="C792" s="33" t="s">
        <v>351</v>
      </c>
      <c r="D792" s="34" t="n">
        <v>46211</v>
      </c>
      <c r="E792" s="0" t="n">
        <v>395.99</v>
      </c>
      <c r="F792" s="0" t="n">
        <v>0</v>
      </c>
      <c r="G792" s="0" t="n">
        <v>1527.19</v>
      </c>
      <c r="H792" s="0" t="n">
        <v>471.9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-0.7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2394.38</v>
      </c>
      <c r="AH792" s="0" t="n">
        <v>2394.38</v>
      </c>
      <c r="AI792" s="0" t="n">
        <v>62</v>
      </c>
    </row>
    <row r="793" customFormat="false" ht="14.9" hidden="false" customHeight="false" outlineLevel="0" collapsed="false">
      <c r="A793" s="0" t="n">
        <v>792</v>
      </c>
      <c r="B793" s="0" t="s">
        <v>350</v>
      </c>
      <c r="C793" s="33" t="s">
        <v>351</v>
      </c>
      <c r="D793" s="34" t="n">
        <v>46212</v>
      </c>
      <c r="E793" s="0" t="n">
        <v>805.7</v>
      </c>
      <c r="F793" s="0" t="n">
        <v>0</v>
      </c>
      <c r="G793" s="0" t="n">
        <v>1903.49</v>
      </c>
      <c r="H793" s="0" t="n">
        <v>23.9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5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2738.09</v>
      </c>
      <c r="AH793" s="0" t="n">
        <v>2738.09</v>
      </c>
      <c r="AI793" s="0" t="n">
        <v>53</v>
      </c>
    </row>
    <row r="794" customFormat="false" ht="14.9" hidden="false" customHeight="false" outlineLevel="0" collapsed="false">
      <c r="A794" s="0" t="n">
        <v>793</v>
      </c>
      <c r="B794" s="0" t="s">
        <v>350</v>
      </c>
      <c r="C794" s="33" t="s">
        <v>351</v>
      </c>
      <c r="D794" s="34" t="n">
        <v>46224</v>
      </c>
      <c r="E794" s="0" t="n">
        <v>1703.47</v>
      </c>
      <c r="F794" s="0" t="n">
        <v>0</v>
      </c>
      <c r="G794" s="0" t="n">
        <v>2831.48</v>
      </c>
      <c r="H794" s="0" t="n">
        <v>673.06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39.6</v>
      </c>
      <c r="W794" s="0" t="n">
        <v>23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5270.61</v>
      </c>
      <c r="AH794" s="0" t="n">
        <v>5270.61</v>
      </c>
      <c r="AI794" s="0" t="n">
        <v>87</v>
      </c>
    </row>
    <row r="795" customFormat="false" ht="14.9" hidden="false" customHeight="false" outlineLevel="0" collapsed="false">
      <c r="A795" s="0" t="n">
        <v>794</v>
      </c>
      <c r="B795" s="0" t="s">
        <v>350</v>
      </c>
      <c r="C795" s="33" t="s">
        <v>351</v>
      </c>
      <c r="D795" s="34" t="n">
        <v>46226</v>
      </c>
      <c r="E795" s="0" t="n">
        <v>679.4</v>
      </c>
      <c r="F795" s="0" t="n">
        <v>0</v>
      </c>
      <c r="G795" s="0" t="n">
        <v>1686.1</v>
      </c>
      <c r="H795" s="0" t="n">
        <v>295.2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-0.5</v>
      </c>
      <c r="S795" s="0" t="n">
        <v>0</v>
      </c>
      <c r="T795" s="0" t="n">
        <v>0</v>
      </c>
      <c r="U795" s="0" t="n">
        <v>0</v>
      </c>
      <c r="V795" s="0" t="n">
        <v>0.04</v>
      </c>
      <c r="W795" s="0" t="n">
        <v>5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2665.24</v>
      </c>
      <c r="AH795" s="0" t="n">
        <v>2665.24</v>
      </c>
      <c r="AI795" s="0" t="n">
        <v>62</v>
      </c>
    </row>
    <row r="796" customFormat="false" ht="14.9" hidden="false" customHeight="false" outlineLevel="0" collapsed="false">
      <c r="A796" s="0" t="n">
        <v>795</v>
      </c>
      <c r="B796" s="0" t="s">
        <v>350</v>
      </c>
      <c r="C796" s="33" t="s">
        <v>351</v>
      </c>
      <c r="D796" s="34" t="n">
        <v>46225</v>
      </c>
      <c r="E796" s="0" t="n">
        <v>165.9</v>
      </c>
      <c r="F796" s="0" t="n">
        <v>0</v>
      </c>
      <c r="G796" s="0" t="n">
        <v>1110.2</v>
      </c>
      <c r="H796" s="0" t="n">
        <v>5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0.5</v>
      </c>
      <c r="S796" s="0" t="n">
        <v>0</v>
      </c>
      <c r="T796" s="0" t="n">
        <v>0</v>
      </c>
      <c r="U796" s="0" t="n">
        <v>0</v>
      </c>
      <c r="V796" s="0" t="n">
        <v>0</v>
      </c>
      <c r="W796" s="0" t="n">
        <v>5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1286.6</v>
      </c>
      <c r="AH796" s="0" t="n">
        <v>1286.6</v>
      </c>
      <c r="AI796" s="0" t="n">
        <v>50</v>
      </c>
    </row>
    <row r="797" customFormat="false" ht="14.9" hidden="false" customHeight="false" outlineLevel="0" collapsed="false">
      <c r="A797" s="0" t="n">
        <v>796</v>
      </c>
      <c r="B797" s="0" t="s">
        <v>350</v>
      </c>
      <c r="C797" s="33" t="s">
        <v>351</v>
      </c>
      <c r="D797" s="34" t="n">
        <v>46207</v>
      </c>
      <c r="E797" s="0" t="n">
        <v>573.43</v>
      </c>
      <c r="F797" s="0" t="n">
        <v>0</v>
      </c>
      <c r="G797" s="0" t="n">
        <v>1309</v>
      </c>
      <c r="H797" s="0" t="n">
        <v>659.35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0.5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15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2557.28</v>
      </c>
      <c r="AH797" s="0" t="n">
        <v>2557.28</v>
      </c>
      <c r="AI797" s="0" t="n">
        <v>59</v>
      </c>
    </row>
    <row r="798" customFormat="false" ht="14.9" hidden="false" customHeight="false" outlineLevel="0" collapsed="false">
      <c r="A798" s="0" t="n">
        <v>797</v>
      </c>
      <c r="B798" s="0" t="s">
        <v>350</v>
      </c>
      <c r="C798" s="33" t="s">
        <v>351</v>
      </c>
      <c r="D798" s="34" t="n">
        <v>46221</v>
      </c>
      <c r="E798" s="0" t="n">
        <v>1711.87</v>
      </c>
      <c r="F798" s="0" t="n">
        <v>0</v>
      </c>
      <c r="G798" s="0" t="n">
        <v>2133.7</v>
      </c>
      <c r="H798" s="0" t="n">
        <v>136.8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3982.37</v>
      </c>
      <c r="AH798" s="0" t="n">
        <v>3982.37</v>
      </c>
      <c r="AI798" s="0" t="n">
        <v>72</v>
      </c>
    </row>
    <row r="799" customFormat="false" ht="14.9" hidden="false" customHeight="false" outlineLevel="0" collapsed="false">
      <c r="A799" s="0" t="n">
        <v>798</v>
      </c>
      <c r="B799" s="0" t="s">
        <v>350</v>
      </c>
      <c r="C799" s="33" t="s">
        <v>351</v>
      </c>
      <c r="D799" s="34" t="n">
        <v>46229</v>
      </c>
      <c r="E799" s="0" t="n">
        <v>1775.34</v>
      </c>
      <c r="F799" s="0" t="n">
        <v>0</v>
      </c>
      <c r="G799" s="0" t="n">
        <v>3107.47</v>
      </c>
      <c r="H799" s="0" t="n">
        <v>683.5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3.8</v>
      </c>
      <c r="W799" s="0" t="n">
        <v>8.1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5578.21</v>
      </c>
      <c r="AH799" s="0" t="n">
        <v>5578.21</v>
      </c>
      <c r="AI799" s="0" t="n">
        <v>86</v>
      </c>
    </row>
    <row r="800" customFormat="false" ht="14.9" hidden="false" customHeight="false" outlineLevel="0" collapsed="false">
      <c r="A800" s="0" t="n">
        <v>799</v>
      </c>
      <c r="B800" s="0" t="s">
        <v>350</v>
      </c>
      <c r="C800" s="33" t="s">
        <v>351</v>
      </c>
      <c r="D800" s="34" t="n">
        <v>46228</v>
      </c>
      <c r="E800" s="0" t="n">
        <v>628.26</v>
      </c>
      <c r="F800" s="0" t="n">
        <v>0</v>
      </c>
      <c r="G800" s="0" t="n">
        <v>1251.48</v>
      </c>
      <c r="H800" s="0" t="n">
        <v>263.1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-0.5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2142.34</v>
      </c>
      <c r="AH800" s="0" t="n">
        <v>2142.34</v>
      </c>
      <c r="AI800" s="0" t="n">
        <v>59</v>
      </c>
    </row>
    <row r="801" customFormat="false" ht="14.9" hidden="false" customHeight="false" outlineLevel="0" collapsed="false">
      <c r="A801" s="0" t="n">
        <v>800</v>
      </c>
      <c r="B801" s="0" t="s">
        <v>350</v>
      </c>
      <c r="C801" s="33" t="s">
        <v>351</v>
      </c>
      <c r="D801" s="34" t="n">
        <v>46222</v>
      </c>
      <c r="E801" s="0" t="n">
        <v>339.8</v>
      </c>
      <c r="F801" s="0" t="n">
        <v>0</v>
      </c>
      <c r="G801" s="0" t="n">
        <v>1168.38</v>
      </c>
      <c r="H801" s="0" t="n">
        <v>1199.94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2708.12</v>
      </c>
      <c r="AH801" s="0" t="n">
        <v>2708.12</v>
      </c>
      <c r="AI801" s="0" t="n">
        <v>59</v>
      </c>
    </row>
    <row r="802" customFormat="false" ht="14.9" hidden="false" customHeight="false" outlineLevel="0" collapsed="false">
      <c r="A802" s="0" t="n">
        <v>801</v>
      </c>
      <c r="B802" s="0" t="s">
        <v>350</v>
      </c>
      <c r="C802" s="33" t="s">
        <v>351</v>
      </c>
      <c r="D802" s="34" t="n">
        <v>46210</v>
      </c>
      <c r="E802" s="0" t="n">
        <v>939.91</v>
      </c>
      <c r="F802" s="0" t="n">
        <v>0</v>
      </c>
      <c r="G802" s="0" t="n">
        <v>1476.29</v>
      </c>
      <c r="H802" s="0" t="n">
        <v>589.69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-0.7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10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3015.19</v>
      </c>
      <c r="AH802" s="0" t="n">
        <v>3015.19</v>
      </c>
      <c r="AI802" s="0" t="n">
        <v>52</v>
      </c>
    </row>
    <row r="803" customFormat="false" ht="14.9" hidden="false" customHeight="false" outlineLevel="0" collapsed="false">
      <c r="A803" s="0" t="n">
        <v>802</v>
      </c>
      <c r="B803" s="0" t="s">
        <v>350</v>
      </c>
      <c r="C803" s="33" t="s">
        <v>351</v>
      </c>
      <c r="D803" s="34" t="n">
        <v>46208</v>
      </c>
      <c r="E803" s="0" t="n">
        <v>521.7</v>
      </c>
      <c r="F803" s="0" t="n">
        <v>0</v>
      </c>
      <c r="G803" s="0" t="n">
        <v>2041</v>
      </c>
      <c r="H803" s="0" t="n">
        <v>32.3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0.1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15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2610.1</v>
      </c>
      <c r="AH803" s="0" t="n">
        <v>2610.1</v>
      </c>
      <c r="AI803" s="0" t="n">
        <v>56</v>
      </c>
    </row>
    <row r="804" customFormat="false" ht="14.9" hidden="false" customHeight="false" outlineLevel="0" collapsed="false">
      <c r="A804" s="0" t="n">
        <v>803</v>
      </c>
      <c r="B804" s="0" t="s">
        <v>350</v>
      </c>
      <c r="C804" s="33" t="s">
        <v>351</v>
      </c>
      <c r="D804" s="34" t="n">
        <v>46234</v>
      </c>
      <c r="E804" s="0" t="n">
        <v>2119.7</v>
      </c>
      <c r="F804" s="0" t="n">
        <v>0</v>
      </c>
      <c r="G804" s="0" t="n">
        <v>3688.76</v>
      </c>
      <c r="H804" s="0" t="n">
        <v>303.7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-0.7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445.1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6556.56</v>
      </c>
      <c r="AH804" s="0" t="n">
        <v>6556.56</v>
      </c>
      <c r="AI804" s="0" t="n">
        <v>116</v>
      </c>
    </row>
    <row r="805" customFormat="false" ht="14.9" hidden="false" customHeight="false" outlineLevel="0" collapsed="false">
      <c r="A805" s="0" t="n">
        <v>804</v>
      </c>
      <c r="B805" s="0" t="s">
        <v>350</v>
      </c>
      <c r="C805" s="33" t="s">
        <v>351</v>
      </c>
      <c r="D805" s="34" t="n">
        <v>46220</v>
      </c>
      <c r="E805" s="0" t="n">
        <v>411.2</v>
      </c>
      <c r="F805" s="0" t="n">
        <v>0</v>
      </c>
      <c r="G805" s="0" t="n">
        <v>1190.8</v>
      </c>
      <c r="H805" s="0" t="n">
        <v>28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1630</v>
      </c>
      <c r="AH805" s="0" t="n">
        <v>1630</v>
      </c>
      <c r="AI805" s="0" t="n">
        <v>44</v>
      </c>
    </row>
    <row r="806" customFormat="false" ht="14.9" hidden="false" customHeight="false" outlineLevel="0" collapsed="false">
      <c r="A806" s="0" t="n">
        <v>805</v>
      </c>
      <c r="B806" s="0" t="s">
        <v>350</v>
      </c>
      <c r="C806" s="33" t="s">
        <v>351</v>
      </c>
      <c r="D806" s="34" t="n">
        <v>46218</v>
      </c>
      <c r="E806" s="0" t="n">
        <v>404.61</v>
      </c>
      <c r="F806" s="0" t="n">
        <v>0</v>
      </c>
      <c r="G806" s="0" t="n">
        <v>1170.9</v>
      </c>
      <c r="H806" s="0" t="n">
        <v>281.8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10.1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1867.41</v>
      </c>
      <c r="AH806" s="0" t="n">
        <v>1867.41</v>
      </c>
      <c r="AI806" s="0" t="n">
        <v>62</v>
      </c>
    </row>
    <row r="807" customFormat="false" ht="14.9" hidden="false" customHeight="false" outlineLevel="0" collapsed="false">
      <c r="A807" s="0" t="n">
        <v>806</v>
      </c>
      <c r="B807" s="0" t="s">
        <v>350</v>
      </c>
      <c r="C807" s="33" t="s">
        <v>351</v>
      </c>
      <c r="D807" s="34" t="n">
        <v>46233</v>
      </c>
      <c r="E807" s="0" t="n">
        <v>997.08</v>
      </c>
      <c r="F807" s="0" t="n">
        <v>0</v>
      </c>
      <c r="G807" s="0" t="n">
        <v>1266.99</v>
      </c>
      <c r="H807" s="0" t="n">
        <v>237.4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-0.41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46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2547.06</v>
      </c>
      <c r="AH807" s="0" t="n">
        <v>2547.06</v>
      </c>
      <c r="AI807" s="0" t="n">
        <v>57</v>
      </c>
    </row>
    <row r="808" customFormat="false" ht="14.9" hidden="false" customHeight="false" outlineLevel="0" collapsed="false">
      <c r="A808" s="0" t="n">
        <v>807</v>
      </c>
      <c r="B808" s="0" t="s">
        <v>350</v>
      </c>
      <c r="C808" s="33" t="s">
        <v>351</v>
      </c>
      <c r="D808" s="34" t="n">
        <v>46230</v>
      </c>
      <c r="E808" s="0" t="n">
        <v>310.6</v>
      </c>
      <c r="F808" s="0" t="n">
        <v>0</v>
      </c>
      <c r="G808" s="0" t="n">
        <v>1207.99</v>
      </c>
      <c r="H808" s="0" t="n">
        <v>284.5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0.1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3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1806.19</v>
      </c>
      <c r="AH808" s="0" t="n">
        <v>1806.19</v>
      </c>
      <c r="AI808" s="0" t="n">
        <v>48</v>
      </c>
    </row>
    <row r="809" customFormat="false" ht="14.9" hidden="false" customHeight="false" outlineLevel="0" collapsed="false">
      <c r="A809" s="0" t="n">
        <v>808</v>
      </c>
      <c r="B809" s="0" t="s">
        <v>352</v>
      </c>
      <c r="C809" s="33" t="s">
        <v>353</v>
      </c>
      <c r="D809" s="34" t="n">
        <v>46234</v>
      </c>
      <c r="E809" s="0" t="n">
        <v>627.2</v>
      </c>
      <c r="F809" s="0" t="n">
        <v>0</v>
      </c>
      <c r="G809" s="0" t="n">
        <v>592.1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-0.1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60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1279.2</v>
      </c>
      <c r="AH809" s="0" t="n">
        <v>1279.2</v>
      </c>
      <c r="AI809" s="0" t="n">
        <v>27</v>
      </c>
    </row>
    <row r="810" customFormat="false" ht="14.9" hidden="false" customHeight="false" outlineLevel="0" collapsed="false">
      <c r="A810" s="0" t="n">
        <v>809</v>
      </c>
      <c r="B810" s="0" t="s">
        <v>352</v>
      </c>
      <c r="C810" s="33" t="s">
        <v>353</v>
      </c>
      <c r="D810" s="34" t="n">
        <v>46218</v>
      </c>
      <c r="E810" s="0" t="n">
        <v>101.6</v>
      </c>
      <c r="F810" s="0" t="n">
        <v>0</v>
      </c>
      <c r="G810" s="0" t="n">
        <v>552.38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-0.4</v>
      </c>
      <c r="S810" s="0" t="n">
        <v>0</v>
      </c>
      <c r="T810" s="0" t="n">
        <v>0</v>
      </c>
      <c r="U810" s="0" t="n">
        <v>0</v>
      </c>
      <c r="V810" s="0" t="n">
        <v>9</v>
      </c>
      <c r="W810" s="0" t="n">
        <v>5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667.58</v>
      </c>
      <c r="AH810" s="0" t="n">
        <v>667.58</v>
      </c>
      <c r="AI810" s="0" t="n">
        <v>21</v>
      </c>
    </row>
    <row r="811" customFormat="false" ht="14.9" hidden="false" customHeight="false" outlineLevel="0" collapsed="false">
      <c r="A811" s="0" t="n">
        <v>810</v>
      </c>
      <c r="B811" s="0" t="s">
        <v>352</v>
      </c>
      <c r="C811" s="33" t="s">
        <v>353</v>
      </c>
      <c r="D811" s="34" t="n">
        <v>46232</v>
      </c>
      <c r="E811" s="0" t="n">
        <v>805.8</v>
      </c>
      <c r="F811" s="0" t="n">
        <v>0</v>
      </c>
      <c r="G811" s="0" t="n">
        <v>1126.2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-0.64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133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2064.36</v>
      </c>
      <c r="AH811" s="0" t="n">
        <v>2064.36</v>
      </c>
      <c r="AI811" s="0" t="n">
        <v>40</v>
      </c>
    </row>
    <row r="812" customFormat="false" ht="14.9" hidden="false" customHeight="false" outlineLevel="0" collapsed="false">
      <c r="A812" s="0" t="n">
        <v>811</v>
      </c>
      <c r="B812" s="0" t="s">
        <v>352</v>
      </c>
      <c r="C812" s="33" t="s">
        <v>353</v>
      </c>
      <c r="D812" s="34" t="n">
        <v>46233</v>
      </c>
      <c r="E812" s="0" t="n">
        <v>552.6</v>
      </c>
      <c r="F812" s="0" t="n">
        <v>0</v>
      </c>
      <c r="G812" s="0" t="n">
        <v>1457.76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0.7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175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2186.06</v>
      </c>
      <c r="AH812" s="0" t="n">
        <v>2186.06</v>
      </c>
      <c r="AI812" s="0" t="n">
        <v>54</v>
      </c>
    </row>
    <row r="813" customFormat="false" ht="14.9" hidden="false" customHeight="false" outlineLevel="0" collapsed="false">
      <c r="A813" s="0" t="n">
        <v>812</v>
      </c>
      <c r="B813" s="0" t="s">
        <v>352</v>
      </c>
      <c r="C813" s="33" t="s">
        <v>353</v>
      </c>
      <c r="D813" s="34" t="n">
        <v>46217</v>
      </c>
      <c r="E813" s="0" t="n">
        <v>418.9</v>
      </c>
      <c r="F813" s="0" t="n">
        <v>0</v>
      </c>
      <c r="G813" s="0" t="n">
        <v>1325.1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0.2</v>
      </c>
      <c r="S813" s="0" t="n">
        <v>0</v>
      </c>
      <c r="T813" s="0" t="n">
        <v>0</v>
      </c>
      <c r="U813" s="0" t="n">
        <v>0</v>
      </c>
      <c r="V813" s="0" t="n">
        <v>12.8</v>
      </c>
      <c r="W813" s="0" t="n">
        <v>20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1777</v>
      </c>
      <c r="AH813" s="0" t="n">
        <v>1777</v>
      </c>
      <c r="AI813" s="0" t="n">
        <v>39</v>
      </c>
    </row>
    <row r="814" customFormat="false" ht="14.9" hidden="false" customHeight="false" outlineLevel="0" collapsed="false">
      <c r="A814" s="0" t="n">
        <v>813</v>
      </c>
      <c r="B814" s="0" t="s">
        <v>352</v>
      </c>
      <c r="C814" s="33" t="s">
        <v>353</v>
      </c>
      <c r="D814" s="34" t="n">
        <v>46204</v>
      </c>
      <c r="E814" s="0" t="n">
        <v>329.67</v>
      </c>
      <c r="F814" s="0" t="n">
        <v>0</v>
      </c>
      <c r="G814" s="0" t="n">
        <v>1247.85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-0.23</v>
      </c>
      <c r="S814" s="0" t="n">
        <v>0</v>
      </c>
      <c r="T814" s="0" t="n">
        <v>0</v>
      </c>
      <c r="U814" s="0" t="n">
        <v>0</v>
      </c>
      <c r="V814" s="0" t="n">
        <v>9</v>
      </c>
      <c r="W814" s="0" t="n">
        <v>20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1606.29</v>
      </c>
      <c r="AH814" s="0" t="n">
        <v>1606.29</v>
      </c>
      <c r="AI814" s="0" t="n">
        <v>36</v>
      </c>
    </row>
    <row r="815" customFormat="false" ht="14.9" hidden="false" customHeight="false" outlineLevel="0" collapsed="false">
      <c r="A815" s="0" t="n">
        <v>814</v>
      </c>
      <c r="B815" s="0" t="s">
        <v>352</v>
      </c>
      <c r="C815" s="33" t="s">
        <v>353</v>
      </c>
      <c r="D815" s="34" t="n">
        <v>46224</v>
      </c>
      <c r="E815" s="0" t="n">
        <v>281.31</v>
      </c>
      <c r="F815" s="0" t="n">
        <v>0</v>
      </c>
      <c r="G815" s="0" t="n">
        <v>1794.91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9</v>
      </c>
      <c r="W815" s="0" t="n">
        <v>20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2105.22</v>
      </c>
      <c r="AH815" s="0" t="n">
        <v>2105.22</v>
      </c>
      <c r="AI815" s="0" t="n">
        <v>37</v>
      </c>
    </row>
    <row r="816" customFormat="false" ht="14.9" hidden="false" customHeight="false" outlineLevel="0" collapsed="false">
      <c r="A816" s="0" t="n">
        <v>815</v>
      </c>
      <c r="B816" s="0" t="s">
        <v>352</v>
      </c>
      <c r="C816" s="33" t="s">
        <v>353</v>
      </c>
      <c r="D816" s="34" t="n">
        <v>46209</v>
      </c>
      <c r="E816" s="0" t="n">
        <v>584.7</v>
      </c>
      <c r="F816" s="0" t="n">
        <v>0</v>
      </c>
      <c r="G816" s="0" t="n">
        <v>1576.46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-0.24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15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2175.92</v>
      </c>
      <c r="AH816" s="0" t="n">
        <v>2175.92</v>
      </c>
      <c r="AI816" s="0" t="n">
        <v>37</v>
      </c>
    </row>
    <row r="817" customFormat="false" ht="14.9" hidden="false" customHeight="false" outlineLevel="0" collapsed="false">
      <c r="A817" s="0" t="n">
        <v>816</v>
      </c>
      <c r="B817" s="0" t="s">
        <v>352</v>
      </c>
      <c r="C817" s="33" t="s">
        <v>353</v>
      </c>
      <c r="D817" s="34" t="n">
        <v>46222</v>
      </c>
      <c r="E817" s="0" t="n">
        <v>209</v>
      </c>
      <c r="F817" s="0" t="n">
        <v>0</v>
      </c>
      <c r="G817" s="0" t="n">
        <v>1221.5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-1.1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1429.4</v>
      </c>
      <c r="AH817" s="0" t="n">
        <v>1429.4</v>
      </c>
      <c r="AI817" s="0" t="n">
        <v>43</v>
      </c>
    </row>
    <row r="818" customFormat="false" ht="14.9" hidden="false" customHeight="false" outlineLevel="0" collapsed="false">
      <c r="A818" s="0" t="n">
        <v>817</v>
      </c>
      <c r="B818" s="0" t="s">
        <v>352</v>
      </c>
      <c r="C818" s="33" t="s">
        <v>353</v>
      </c>
      <c r="D818" s="34" t="n">
        <v>46216</v>
      </c>
      <c r="E818" s="0" t="n">
        <v>802.06</v>
      </c>
      <c r="F818" s="0" t="n">
        <v>0</v>
      </c>
      <c r="G818" s="0" t="n">
        <v>1353.1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1.6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23.1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2179.86</v>
      </c>
      <c r="AH818" s="0" t="n">
        <v>2179.86</v>
      </c>
      <c r="AI818" s="0" t="n">
        <v>59</v>
      </c>
    </row>
    <row r="819" customFormat="false" ht="14.9" hidden="false" customHeight="false" outlineLevel="0" collapsed="false">
      <c r="A819" s="0" t="n">
        <v>818</v>
      </c>
      <c r="B819" s="0" t="s">
        <v>352</v>
      </c>
      <c r="C819" s="33" t="s">
        <v>353</v>
      </c>
      <c r="D819" s="34" t="n">
        <v>46228</v>
      </c>
      <c r="E819" s="0" t="n">
        <v>518.71</v>
      </c>
      <c r="F819" s="0" t="n">
        <v>0</v>
      </c>
      <c r="G819" s="0" t="n">
        <v>925.5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-0.66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5.1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1448.65</v>
      </c>
      <c r="AH819" s="0" t="n">
        <v>1448.65</v>
      </c>
      <c r="AI819" s="0" t="n">
        <v>35</v>
      </c>
    </row>
    <row r="820" customFormat="false" ht="14.9" hidden="false" customHeight="false" outlineLevel="0" collapsed="false">
      <c r="A820" s="0" t="n">
        <v>819</v>
      </c>
      <c r="B820" s="0" t="s">
        <v>352</v>
      </c>
      <c r="C820" s="33" t="s">
        <v>353</v>
      </c>
      <c r="D820" s="34" t="n">
        <v>46210</v>
      </c>
      <c r="E820" s="0" t="n">
        <v>211.22</v>
      </c>
      <c r="F820" s="0" t="n">
        <v>0</v>
      </c>
      <c r="G820" s="0" t="n">
        <v>637.7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-0.9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15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863.02</v>
      </c>
      <c r="AH820" s="0" t="n">
        <v>863.02</v>
      </c>
      <c r="AI820" s="0" t="n">
        <v>26</v>
      </c>
    </row>
    <row r="821" customFormat="false" ht="14.9" hidden="false" customHeight="false" outlineLevel="0" collapsed="false">
      <c r="A821" s="0" t="n">
        <v>820</v>
      </c>
      <c r="B821" s="0" t="s">
        <v>352</v>
      </c>
      <c r="C821" s="33" t="s">
        <v>353</v>
      </c>
      <c r="D821" s="34" t="n">
        <v>46220</v>
      </c>
      <c r="E821" s="0" t="n">
        <v>556.7</v>
      </c>
      <c r="F821" s="0" t="n">
        <v>0</v>
      </c>
      <c r="G821" s="0" t="n">
        <v>720.4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-0.78</v>
      </c>
      <c r="S821" s="0" t="n">
        <v>0</v>
      </c>
      <c r="T821" s="0" t="n">
        <v>0</v>
      </c>
      <c r="U821" s="0" t="n">
        <v>0</v>
      </c>
      <c r="V821" s="0" t="n">
        <v>9.9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1286.22</v>
      </c>
      <c r="AH821" s="0" t="n">
        <v>1286.22</v>
      </c>
      <c r="AI821" s="0" t="n">
        <v>32</v>
      </c>
    </row>
    <row r="822" customFormat="false" ht="14.9" hidden="false" customHeight="false" outlineLevel="0" collapsed="false">
      <c r="A822" s="0" t="n">
        <v>821</v>
      </c>
      <c r="B822" s="0" t="s">
        <v>352</v>
      </c>
      <c r="C822" s="33" t="s">
        <v>353</v>
      </c>
      <c r="D822" s="34" t="n">
        <v>46208</v>
      </c>
      <c r="E822" s="0" t="n">
        <v>157.3</v>
      </c>
      <c r="F822" s="0" t="n">
        <v>0</v>
      </c>
      <c r="G822" s="0" t="n">
        <v>1710.96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9.9</v>
      </c>
      <c r="W822" s="0" t="n">
        <v>10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1888.16</v>
      </c>
      <c r="AH822" s="0" t="n">
        <v>1888.16</v>
      </c>
      <c r="AI822" s="0" t="n">
        <v>34</v>
      </c>
    </row>
    <row r="823" customFormat="false" ht="14.9" hidden="false" customHeight="false" outlineLevel="0" collapsed="false">
      <c r="A823" s="0" t="n">
        <v>822</v>
      </c>
      <c r="B823" s="0" t="s">
        <v>352</v>
      </c>
      <c r="C823" s="33" t="s">
        <v>353</v>
      </c>
      <c r="D823" s="34" t="n">
        <v>46206</v>
      </c>
      <c r="E823" s="0" t="n">
        <v>943.26</v>
      </c>
      <c r="F823" s="0" t="n">
        <v>0</v>
      </c>
      <c r="G823" s="0" t="n">
        <v>1441.9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-1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10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2394.16</v>
      </c>
      <c r="AH823" s="0" t="n">
        <v>2394.16</v>
      </c>
      <c r="AI823" s="0" t="n">
        <v>48</v>
      </c>
    </row>
    <row r="824" customFormat="false" ht="14.9" hidden="false" customHeight="false" outlineLevel="0" collapsed="false">
      <c r="A824" s="0" t="n">
        <v>823</v>
      </c>
      <c r="B824" s="0" t="s">
        <v>352</v>
      </c>
      <c r="C824" s="33" t="s">
        <v>353</v>
      </c>
      <c r="D824" s="34" t="n">
        <v>46211</v>
      </c>
      <c r="E824" s="0" t="n">
        <v>1050.3</v>
      </c>
      <c r="F824" s="0" t="n">
        <v>0</v>
      </c>
      <c r="G824" s="0" t="n">
        <v>1713.5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-2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30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2791.8</v>
      </c>
      <c r="AH824" s="0" t="n">
        <v>2791.8</v>
      </c>
      <c r="AI824" s="0" t="n">
        <v>62</v>
      </c>
    </row>
    <row r="825" customFormat="false" ht="14.9" hidden="false" customHeight="false" outlineLevel="0" collapsed="false">
      <c r="A825" s="0" t="n">
        <v>824</v>
      </c>
      <c r="B825" s="0" t="s">
        <v>352</v>
      </c>
      <c r="C825" s="33" t="s">
        <v>353</v>
      </c>
      <c r="D825" s="34" t="n">
        <v>46227</v>
      </c>
      <c r="E825" s="0" t="n">
        <v>401.8</v>
      </c>
      <c r="F825" s="0" t="n">
        <v>0</v>
      </c>
      <c r="G825" s="0" t="n">
        <v>785.2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-0.2</v>
      </c>
      <c r="S825" s="0" t="n">
        <v>0</v>
      </c>
      <c r="T825" s="0" t="n">
        <v>0</v>
      </c>
      <c r="U825" s="0" t="n">
        <v>0</v>
      </c>
      <c r="V825" s="0" t="n">
        <v>0.04</v>
      </c>
      <c r="W825" s="0" t="n">
        <v>30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1216.84</v>
      </c>
      <c r="AH825" s="0" t="n">
        <v>1216.84</v>
      </c>
      <c r="AI825" s="0" t="n">
        <v>37</v>
      </c>
    </row>
    <row r="826" customFormat="false" ht="14.9" hidden="false" customHeight="false" outlineLevel="0" collapsed="false">
      <c r="A826" s="0" t="n">
        <v>825</v>
      </c>
      <c r="B826" s="0" t="s">
        <v>352</v>
      </c>
      <c r="C826" s="33" t="s">
        <v>353</v>
      </c>
      <c r="D826" s="34" t="n">
        <v>46213</v>
      </c>
      <c r="E826" s="0" t="n">
        <v>206.8</v>
      </c>
      <c r="F826" s="0" t="n">
        <v>0</v>
      </c>
      <c r="G826" s="0" t="n">
        <v>1283.29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0.6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20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1510.69</v>
      </c>
      <c r="AH826" s="0" t="n">
        <v>1510.69</v>
      </c>
      <c r="AI826" s="0" t="n">
        <v>21</v>
      </c>
    </row>
    <row r="827" customFormat="false" ht="14.9" hidden="false" customHeight="false" outlineLevel="0" collapsed="false">
      <c r="A827" s="0" t="n">
        <v>826</v>
      </c>
      <c r="B827" s="0" t="s">
        <v>352</v>
      </c>
      <c r="C827" s="33" t="s">
        <v>353</v>
      </c>
      <c r="D827" s="34" t="n">
        <v>46221</v>
      </c>
      <c r="E827" s="0" t="n">
        <v>428.71</v>
      </c>
      <c r="F827" s="0" t="n">
        <v>0</v>
      </c>
      <c r="G827" s="0" t="n">
        <v>1009.39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0.2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10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1448.3</v>
      </c>
      <c r="AH827" s="0" t="n">
        <v>1448.3</v>
      </c>
      <c r="AI827" s="0" t="n">
        <v>34</v>
      </c>
    </row>
    <row r="828" customFormat="false" ht="14.9" hidden="false" customHeight="false" outlineLevel="0" collapsed="false">
      <c r="A828" s="0" t="n">
        <v>827</v>
      </c>
      <c r="B828" s="0" t="s">
        <v>352</v>
      </c>
      <c r="C828" s="33" t="s">
        <v>353</v>
      </c>
      <c r="D828" s="34" t="n">
        <v>46225</v>
      </c>
      <c r="E828" s="0" t="n">
        <v>1469.67</v>
      </c>
      <c r="F828" s="0" t="n">
        <v>0</v>
      </c>
      <c r="G828" s="0" t="n">
        <v>1099.1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2.51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10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2581.28</v>
      </c>
      <c r="AH828" s="0" t="n">
        <v>2581.28</v>
      </c>
      <c r="AI828" s="0" t="n">
        <v>66</v>
      </c>
    </row>
    <row r="829" customFormat="false" ht="14.9" hidden="false" customHeight="false" outlineLevel="0" collapsed="false">
      <c r="A829" s="0" t="n">
        <v>828</v>
      </c>
      <c r="B829" s="0" t="s">
        <v>352</v>
      </c>
      <c r="C829" s="33" t="s">
        <v>353</v>
      </c>
      <c r="D829" s="34" t="n">
        <v>46229</v>
      </c>
      <c r="E829" s="0" t="n">
        <v>646.9</v>
      </c>
      <c r="F829" s="0" t="n">
        <v>0</v>
      </c>
      <c r="G829" s="0" t="n">
        <v>1853.15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0.85</v>
      </c>
      <c r="S829" s="0" t="n">
        <v>0</v>
      </c>
      <c r="T829" s="0" t="n">
        <v>0</v>
      </c>
      <c r="U829" s="0" t="n">
        <v>0</v>
      </c>
      <c r="V829" s="0" t="n">
        <v>9.9</v>
      </c>
      <c r="W829" s="0" t="n">
        <v>38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2548.8</v>
      </c>
      <c r="AH829" s="0" t="n">
        <v>2548.8</v>
      </c>
      <c r="AI829" s="0" t="n">
        <v>47</v>
      </c>
    </row>
    <row r="830" customFormat="false" ht="14.9" hidden="false" customHeight="false" outlineLevel="0" collapsed="false">
      <c r="A830" s="0" t="n">
        <v>829</v>
      </c>
      <c r="B830" s="0" t="s">
        <v>352</v>
      </c>
      <c r="C830" s="33" t="s">
        <v>353</v>
      </c>
      <c r="D830" s="34" t="n">
        <v>46223</v>
      </c>
      <c r="E830" s="0" t="n">
        <v>187.93</v>
      </c>
      <c r="F830" s="0" t="n">
        <v>0</v>
      </c>
      <c r="G830" s="0" t="n">
        <v>540.8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-0.5</v>
      </c>
      <c r="S830" s="0" t="n">
        <v>0</v>
      </c>
      <c r="T830" s="0" t="n">
        <v>0</v>
      </c>
      <c r="U830" s="0" t="n">
        <v>0</v>
      </c>
      <c r="V830" s="0" t="n">
        <v>0.01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728.24</v>
      </c>
      <c r="AH830" s="0" t="n">
        <v>728.24</v>
      </c>
      <c r="AI830" s="0" t="n">
        <v>36</v>
      </c>
    </row>
    <row r="831" customFormat="false" ht="14.9" hidden="false" customHeight="false" outlineLevel="0" collapsed="false">
      <c r="A831" s="0" t="n">
        <v>830</v>
      </c>
      <c r="B831" s="0" t="s">
        <v>352</v>
      </c>
      <c r="C831" s="33" t="s">
        <v>353</v>
      </c>
      <c r="D831" s="34" t="n">
        <v>46215</v>
      </c>
      <c r="E831" s="0" t="n">
        <v>114.02</v>
      </c>
      <c r="F831" s="0" t="n">
        <v>0</v>
      </c>
      <c r="G831" s="0" t="n">
        <v>1324.6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-0.1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3.1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1441.62</v>
      </c>
      <c r="AH831" s="0" t="n">
        <v>1441.62</v>
      </c>
      <c r="AI831" s="0" t="n">
        <v>39</v>
      </c>
    </row>
    <row r="832" customFormat="false" ht="14.9" hidden="false" customHeight="false" outlineLevel="0" collapsed="false">
      <c r="A832" s="0" t="n">
        <v>831</v>
      </c>
      <c r="B832" s="0" t="s">
        <v>352</v>
      </c>
      <c r="C832" s="33" t="s">
        <v>353</v>
      </c>
      <c r="D832" s="34" t="n">
        <v>46214</v>
      </c>
      <c r="E832" s="0" t="n">
        <v>448.05</v>
      </c>
      <c r="F832" s="0" t="n">
        <v>0</v>
      </c>
      <c r="G832" s="0" t="n">
        <v>2525.13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-0.7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45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3017.48</v>
      </c>
      <c r="AH832" s="0" t="n">
        <v>3017.48</v>
      </c>
      <c r="AI832" s="0" t="n">
        <v>44</v>
      </c>
    </row>
    <row r="833" customFormat="false" ht="14.9" hidden="false" customHeight="false" outlineLevel="0" collapsed="false">
      <c r="A833" s="0" t="n">
        <v>832</v>
      </c>
      <c r="B833" s="0" t="s">
        <v>352</v>
      </c>
      <c r="C833" s="33" t="s">
        <v>353</v>
      </c>
      <c r="D833" s="34" t="n">
        <v>46212</v>
      </c>
      <c r="E833" s="0" t="n">
        <v>352.5</v>
      </c>
      <c r="F833" s="0" t="n">
        <v>0</v>
      </c>
      <c r="G833" s="0" t="n">
        <v>890.92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-1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45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1287.42</v>
      </c>
      <c r="AH833" s="0" t="n">
        <v>1287.42</v>
      </c>
      <c r="AI833" s="0" t="n">
        <v>31</v>
      </c>
    </row>
    <row r="834" customFormat="false" ht="14.9" hidden="false" customHeight="false" outlineLevel="0" collapsed="false">
      <c r="A834" s="0" t="n">
        <v>833</v>
      </c>
      <c r="B834" s="0" t="s">
        <v>352</v>
      </c>
      <c r="C834" s="33" t="s">
        <v>353</v>
      </c>
      <c r="D834" s="34" t="n">
        <v>46231</v>
      </c>
      <c r="E834" s="0" t="n">
        <v>217.9</v>
      </c>
      <c r="F834" s="0" t="n">
        <v>0</v>
      </c>
      <c r="G834" s="0" t="n">
        <v>1042.6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n">
        <v>48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1308.5</v>
      </c>
      <c r="AH834" s="0" t="n">
        <v>1308.5</v>
      </c>
      <c r="AI834" s="0" t="n">
        <v>39</v>
      </c>
    </row>
    <row r="835" customFormat="false" ht="14.9" hidden="false" customHeight="false" outlineLevel="0" collapsed="false">
      <c r="A835" s="0" t="n">
        <v>834</v>
      </c>
      <c r="B835" s="0" t="s">
        <v>352</v>
      </c>
      <c r="C835" s="33" t="s">
        <v>353</v>
      </c>
      <c r="D835" s="34" t="n">
        <v>46205</v>
      </c>
      <c r="E835" s="0" t="n">
        <v>58</v>
      </c>
      <c r="F835" s="0" t="n">
        <v>0</v>
      </c>
      <c r="G835" s="0" t="n">
        <v>856.66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30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944.66</v>
      </c>
      <c r="AH835" s="0" t="n">
        <v>944.66</v>
      </c>
      <c r="AI835" s="0" t="n">
        <v>24</v>
      </c>
    </row>
    <row r="836" customFormat="false" ht="14.9" hidden="false" customHeight="false" outlineLevel="0" collapsed="false">
      <c r="A836" s="0" t="n">
        <v>835</v>
      </c>
      <c r="B836" s="0" t="s">
        <v>352</v>
      </c>
      <c r="C836" s="33" t="s">
        <v>353</v>
      </c>
      <c r="D836" s="34" t="n">
        <v>46207</v>
      </c>
      <c r="E836" s="0" t="n">
        <v>405</v>
      </c>
      <c r="F836" s="0" t="n">
        <v>0</v>
      </c>
      <c r="G836" s="0" t="n">
        <v>1308.6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-0.4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30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1743.2</v>
      </c>
      <c r="AH836" s="0" t="n">
        <v>1743.2</v>
      </c>
      <c r="AI836" s="0" t="n">
        <v>32</v>
      </c>
    </row>
    <row r="837" customFormat="false" ht="14.9" hidden="false" customHeight="false" outlineLevel="0" collapsed="false">
      <c r="A837" s="0" t="n">
        <v>836</v>
      </c>
      <c r="B837" s="0" t="s">
        <v>352</v>
      </c>
      <c r="C837" s="33" t="s">
        <v>353</v>
      </c>
      <c r="D837" s="34" t="n">
        <v>46219</v>
      </c>
      <c r="E837" s="0" t="n">
        <v>295.84</v>
      </c>
      <c r="F837" s="0" t="n">
        <v>0</v>
      </c>
      <c r="G837" s="0" t="n">
        <v>2192.24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0.53</v>
      </c>
      <c r="S837" s="0" t="n">
        <v>138</v>
      </c>
      <c r="T837" s="0" t="n">
        <v>0</v>
      </c>
      <c r="U837" s="0" t="n">
        <v>0</v>
      </c>
      <c r="V837" s="0" t="n">
        <v>0</v>
      </c>
      <c r="W837" s="0" t="n">
        <v>5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2631.61</v>
      </c>
      <c r="AH837" s="0" t="n">
        <v>2631.61</v>
      </c>
      <c r="AI837" s="0" t="n">
        <v>45</v>
      </c>
    </row>
    <row r="838" customFormat="false" ht="14.9" hidden="false" customHeight="false" outlineLevel="0" collapsed="false">
      <c r="A838" s="0" t="n">
        <v>837</v>
      </c>
      <c r="B838" s="0" t="s">
        <v>352</v>
      </c>
      <c r="C838" s="33" t="s">
        <v>353</v>
      </c>
      <c r="D838" s="34" t="n">
        <v>46230</v>
      </c>
      <c r="E838" s="0" t="n">
        <v>847.7</v>
      </c>
      <c r="F838" s="0" t="n">
        <v>0</v>
      </c>
      <c r="G838" s="0" t="n">
        <v>993.59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-4.4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78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1914.89</v>
      </c>
      <c r="AH838" s="0" t="n">
        <v>1914.89</v>
      </c>
      <c r="AI838" s="0" t="n">
        <v>58</v>
      </c>
    </row>
    <row r="839" customFormat="false" ht="14.9" hidden="false" customHeight="false" outlineLevel="0" collapsed="false">
      <c r="A839" s="0" t="n">
        <v>838</v>
      </c>
      <c r="B839" s="0" t="s">
        <v>352</v>
      </c>
      <c r="C839" s="33" t="s">
        <v>353</v>
      </c>
      <c r="D839" s="34" t="n">
        <v>46226</v>
      </c>
      <c r="E839" s="0" t="n">
        <v>543.1</v>
      </c>
      <c r="F839" s="0" t="n">
        <v>0</v>
      </c>
      <c r="G839" s="0" t="n">
        <v>620.08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-1.2</v>
      </c>
      <c r="S839" s="0" t="n">
        <v>0</v>
      </c>
      <c r="T839" s="0" t="n">
        <v>0</v>
      </c>
      <c r="U839" s="0" t="n">
        <v>0</v>
      </c>
      <c r="V839" s="0" t="n">
        <v>0.01</v>
      </c>
      <c r="W839" s="0" t="n">
        <v>5.1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1167.09</v>
      </c>
      <c r="AH839" s="0" t="n">
        <v>1167.09</v>
      </c>
      <c r="AI839" s="0" t="n">
        <v>35</v>
      </c>
    </row>
    <row r="840" customFormat="false" ht="14.9" hidden="false" customHeight="false" outlineLevel="0" collapsed="false">
      <c r="A840" s="0" t="n">
        <v>839</v>
      </c>
      <c r="B840" s="0" t="s">
        <v>354</v>
      </c>
      <c r="C840" s="33" t="s">
        <v>355</v>
      </c>
      <c r="D840" s="34" t="n">
        <v>46214</v>
      </c>
      <c r="E840" s="0" t="n">
        <v>743.93</v>
      </c>
      <c r="F840" s="0" t="n">
        <v>0</v>
      </c>
      <c r="G840" s="0" t="n">
        <v>1394.3</v>
      </c>
      <c r="H840" s="0" t="n">
        <v>73.22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113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2324.45</v>
      </c>
      <c r="AH840" s="0" t="n">
        <v>2324.45</v>
      </c>
      <c r="AI840" s="0" t="n">
        <v>42</v>
      </c>
    </row>
    <row r="841" customFormat="false" ht="14.9" hidden="false" customHeight="false" outlineLevel="0" collapsed="false">
      <c r="A841" s="0" t="n">
        <v>840</v>
      </c>
      <c r="B841" s="0" t="s">
        <v>354</v>
      </c>
      <c r="C841" s="33" t="s">
        <v>355</v>
      </c>
      <c r="D841" s="34" t="n">
        <v>46228</v>
      </c>
      <c r="E841" s="0" t="n">
        <v>141.12</v>
      </c>
      <c r="F841" s="0" t="n">
        <v>0</v>
      </c>
      <c r="G841" s="0" t="n">
        <v>417.6</v>
      </c>
      <c r="H841" s="0" t="n">
        <v>857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35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1450.72</v>
      </c>
      <c r="AH841" s="0" t="n">
        <v>1450.72</v>
      </c>
      <c r="AI841" s="0" t="n">
        <v>24</v>
      </c>
    </row>
    <row r="842" customFormat="false" ht="14.9" hidden="false" customHeight="false" outlineLevel="0" collapsed="false">
      <c r="A842" s="0" t="n">
        <v>841</v>
      </c>
      <c r="B842" s="0" t="s">
        <v>354</v>
      </c>
      <c r="C842" s="33" t="s">
        <v>355</v>
      </c>
      <c r="D842" s="34" t="n">
        <v>46208</v>
      </c>
      <c r="E842" s="0" t="n">
        <v>86.4</v>
      </c>
      <c r="F842" s="0" t="n">
        <v>0</v>
      </c>
      <c r="G842" s="0" t="n">
        <v>479.9</v>
      </c>
      <c r="H842" s="0" t="n">
        <v>323.4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889.7</v>
      </c>
      <c r="AH842" s="0" t="n">
        <v>889.7</v>
      </c>
      <c r="AI842" s="0" t="n">
        <v>21</v>
      </c>
    </row>
    <row r="843" customFormat="false" ht="14.9" hidden="false" customHeight="false" outlineLevel="0" collapsed="false">
      <c r="A843" s="0" t="n">
        <v>842</v>
      </c>
      <c r="B843" s="0" t="s">
        <v>354</v>
      </c>
      <c r="C843" s="33" t="s">
        <v>355</v>
      </c>
      <c r="D843" s="34" t="n">
        <v>46217</v>
      </c>
      <c r="E843" s="0" t="n">
        <v>280</v>
      </c>
      <c r="F843" s="0" t="n">
        <v>0</v>
      </c>
      <c r="G843" s="0" t="n">
        <v>509.3</v>
      </c>
      <c r="H843" s="0" t="n">
        <v>116.1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35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940.4</v>
      </c>
      <c r="AH843" s="0" t="n">
        <v>940.4</v>
      </c>
      <c r="AI843" s="0" t="n">
        <v>20</v>
      </c>
    </row>
    <row r="844" customFormat="false" ht="14.9" hidden="false" customHeight="false" outlineLevel="0" collapsed="false">
      <c r="A844" s="0" t="n">
        <v>843</v>
      </c>
      <c r="B844" s="0" t="s">
        <v>354</v>
      </c>
      <c r="C844" s="33" t="s">
        <v>355</v>
      </c>
      <c r="D844" s="34" t="n">
        <v>46215</v>
      </c>
      <c r="E844" s="0" t="n">
        <v>391.62</v>
      </c>
      <c r="F844" s="0" t="n">
        <v>0</v>
      </c>
      <c r="G844" s="0" t="n">
        <v>1100</v>
      </c>
      <c r="H844" s="0" t="n">
        <v>32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84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1607.62</v>
      </c>
      <c r="AH844" s="0" t="n">
        <v>1607.62</v>
      </c>
      <c r="AI844" s="0" t="n">
        <v>45</v>
      </c>
    </row>
    <row r="845" customFormat="false" ht="14.9" hidden="false" customHeight="false" outlineLevel="0" collapsed="false">
      <c r="A845" s="0" t="n">
        <v>844</v>
      </c>
      <c r="B845" s="0" t="s">
        <v>354</v>
      </c>
      <c r="C845" s="33" t="s">
        <v>355</v>
      </c>
      <c r="D845" s="34" t="n">
        <v>46233</v>
      </c>
      <c r="E845" s="0" t="n">
        <v>455.69</v>
      </c>
      <c r="F845" s="0" t="n">
        <v>0</v>
      </c>
      <c r="G845" s="0" t="n">
        <v>1676.6</v>
      </c>
      <c r="H845" s="0" t="n">
        <v>132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55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2319.29</v>
      </c>
      <c r="AH845" s="0" t="n">
        <v>2319.29</v>
      </c>
      <c r="AI845" s="0" t="n">
        <v>25</v>
      </c>
    </row>
    <row r="846" customFormat="false" ht="14.9" hidden="false" customHeight="false" outlineLevel="0" collapsed="false">
      <c r="A846" s="0" t="n">
        <v>845</v>
      </c>
      <c r="B846" s="0" t="s">
        <v>354</v>
      </c>
      <c r="C846" s="33" t="s">
        <v>355</v>
      </c>
      <c r="D846" s="34" t="n">
        <v>46209</v>
      </c>
      <c r="E846" s="0" t="n">
        <v>723.35</v>
      </c>
      <c r="F846" s="0" t="n">
        <v>0</v>
      </c>
      <c r="G846" s="0" t="n">
        <v>1134.8</v>
      </c>
      <c r="H846" s="0" t="n">
        <v>32.8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9</v>
      </c>
      <c r="W846" s="0" t="n">
        <v>78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1977.95</v>
      </c>
      <c r="AH846" s="0" t="n">
        <v>1977.95</v>
      </c>
      <c r="AI846" s="0" t="n">
        <v>41</v>
      </c>
    </row>
    <row r="847" customFormat="false" ht="14.9" hidden="false" customHeight="false" outlineLevel="0" collapsed="false">
      <c r="A847" s="0" t="n">
        <v>846</v>
      </c>
      <c r="B847" s="0" t="s">
        <v>354</v>
      </c>
      <c r="C847" s="33" t="s">
        <v>355</v>
      </c>
      <c r="D847" s="34" t="n">
        <v>46223</v>
      </c>
      <c r="E847" s="0" t="n">
        <v>284.76</v>
      </c>
      <c r="F847" s="0" t="n">
        <v>0</v>
      </c>
      <c r="G847" s="0" t="n">
        <v>430.6</v>
      </c>
      <c r="H847" s="0" t="n">
        <v>36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38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789.36</v>
      </c>
      <c r="AH847" s="0" t="n">
        <v>789.36</v>
      </c>
      <c r="AI847" s="0" t="n">
        <v>26</v>
      </c>
    </row>
    <row r="848" customFormat="false" ht="14.9" hidden="false" customHeight="false" outlineLevel="0" collapsed="false">
      <c r="A848" s="0" t="n">
        <v>847</v>
      </c>
      <c r="B848" s="0" t="s">
        <v>354</v>
      </c>
      <c r="C848" s="33" t="s">
        <v>355</v>
      </c>
      <c r="D848" s="34" t="n">
        <v>46212</v>
      </c>
      <c r="E848" s="0" t="n">
        <v>227.52</v>
      </c>
      <c r="F848" s="0" t="n">
        <v>0</v>
      </c>
      <c r="G848" s="0" t="n">
        <v>1292.26</v>
      </c>
      <c r="H848" s="0" t="n">
        <v>446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65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2030.78</v>
      </c>
      <c r="AH848" s="0" t="n">
        <v>2030.78</v>
      </c>
      <c r="AI848" s="0" t="n">
        <v>43</v>
      </c>
    </row>
    <row r="849" customFormat="false" ht="14.9" hidden="false" customHeight="false" outlineLevel="0" collapsed="false">
      <c r="A849" s="0" t="n">
        <v>848</v>
      </c>
      <c r="B849" s="0" t="s">
        <v>354</v>
      </c>
      <c r="C849" s="33" t="s">
        <v>355</v>
      </c>
      <c r="D849" s="34" t="n">
        <v>46219</v>
      </c>
      <c r="E849" s="0" t="n">
        <v>834.43</v>
      </c>
      <c r="F849" s="0" t="n">
        <v>0</v>
      </c>
      <c r="G849" s="0" t="n">
        <v>376.4</v>
      </c>
      <c r="H849" s="0" t="n">
        <v>124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40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1374.83</v>
      </c>
      <c r="AH849" s="0" t="n">
        <v>1374.83</v>
      </c>
      <c r="AI849" s="0" t="n">
        <v>30</v>
      </c>
    </row>
    <row r="850" customFormat="false" ht="14.9" hidden="false" customHeight="false" outlineLevel="0" collapsed="false">
      <c r="A850" s="0" t="n">
        <v>849</v>
      </c>
      <c r="B850" s="0" t="s">
        <v>354</v>
      </c>
      <c r="C850" s="33" t="s">
        <v>355</v>
      </c>
      <c r="D850" s="34" t="n">
        <v>46220</v>
      </c>
      <c r="E850" s="0" t="n">
        <v>241.7</v>
      </c>
      <c r="F850" s="0" t="n">
        <v>0</v>
      </c>
      <c r="G850" s="0" t="n">
        <v>988.26</v>
      </c>
      <c r="H850" s="0" t="n">
        <v>557.4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88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1875.36</v>
      </c>
      <c r="AH850" s="0" t="n">
        <v>1875.36</v>
      </c>
      <c r="AI850" s="0" t="n">
        <v>31</v>
      </c>
    </row>
    <row r="851" customFormat="false" ht="14.9" hidden="false" customHeight="false" outlineLevel="0" collapsed="false">
      <c r="A851" s="0" t="n">
        <v>850</v>
      </c>
      <c r="B851" s="0" t="s">
        <v>354</v>
      </c>
      <c r="C851" s="33" t="s">
        <v>355</v>
      </c>
      <c r="D851" s="34" t="n">
        <v>46205</v>
      </c>
      <c r="E851" s="0" t="n">
        <v>581.5</v>
      </c>
      <c r="F851" s="0" t="n">
        <v>0</v>
      </c>
      <c r="G851" s="0" t="n">
        <v>1131.48</v>
      </c>
      <c r="H851" s="0" t="n">
        <v>363.8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63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2139.78</v>
      </c>
      <c r="AH851" s="0" t="n">
        <v>2139.78</v>
      </c>
      <c r="AI851" s="0" t="n">
        <v>47</v>
      </c>
    </row>
    <row r="852" customFormat="false" ht="14.9" hidden="false" customHeight="false" outlineLevel="0" collapsed="false">
      <c r="A852" s="0" t="n">
        <v>851</v>
      </c>
      <c r="B852" s="0" t="s">
        <v>354</v>
      </c>
      <c r="C852" s="33" t="s">
        <v>355</v>
      </c>
      <c r="D852" s="34" t="n">
        <v>46210</v>
      </c>
      <c r="E852" s="0" t="n">
        <v>539.11</v>
      </c>
      <c r="F852" s="0" t="n">
        <v>0</v>
      </c>
      <c r="G852" s="0" t="n">
        <v>246.5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28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813.61</v>
      </c>
      <c r="AH852" s="0" t="n">
        <v>813.61</v>
      </c>
      <c r="AI852" s="0" t="n">
        <v>26</v>
      </c>
    </row>
    <row r="853" customFormat="false" ht="14.9" hidden="false" customHeight="false" outlineLevel="0" collapsed="false">
      <c r="A853" s="0" t="n">
        <v>852</v>
      </c>
      <c r="B853" s="0" t="s">
        <v>354</v>
      </c>
      <c r="C853" s="33" t="s">
        <v>355</v>
      </c>
      <c r="D853" s="34" t="n">
        <v>46213</v>
      </c>
      <c r="E853" s="0" t="n">
        <v>434.3</v>
      </c>
      <c r="F853" s="0" t="n">
        <v>0</v>
      </c>
      <c r="G853" s="0" t="n">
        <v>537</v>
      </c>
      <c r="H853" s="0" t="n">
        <v>156.1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35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1162.4</v>
      </c>
      <c r="AH853" s="0" t="n">
        <v>1162.4</v>
      </c>
      <c r="AI853" s="0" t="n">
        <v>29</v>
      </c>
    </row>
    <row r="854" customFormat="false" ht="14.9" hidden="false" customHeight="false" outlineLevel="0" collapsed="false">
      <c r="A854" s="0" t="n">
        <v>853</v>
      </c>
      <c r="B854" s="0" t="s">
        <v>354</v>
      </c>
      <c r="C854" s="33" t="s">
        <v>355</v>
      </c>
      <c r="D854" s="34" t="n">
        <v>46234</v>
      </c>
      <c r="E854" s="0" t="n">
        <v>731.6</v>
      </c>
      <c r="F854" s="0" t="n">
        <v>0</v>
      </c>
      <c r="G854" s="0" t="n">
        <v>1317.08</v>
      </c>
      <c r="H854" s="0" t="n">
        <v>35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0</v>
      </c>
      <c r="W854" s="0" t="n">
        <v>140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2223.68</v>
      </c>
      <c r="AH854" s="0" t="n">
        <v>2223.68</v>
      </c>
      <c r="AI854" s="0" t="n">
        <v>29</v>
      </c>
    </row>
    <row r="855" customFormat="false" ht="14.9" hidden="false" customHeight="false" outlineLevel="0" collapsed="false">
      <c r="A855" s="0" t="n">
        <v>854</v>
      </c>
      <c r="B855" s="0" t="s">
        <v>354</v>
      </c>
      <c r="C855" s="33" t="s">
        <v>355</v>
      </c>
      <c r="D855" s="34" t="n">
        <v>46207</v>
      </c>
      <c r="E855" s="0" t="n">
        <v>345.4</v>
      </c>
      <c r="F855" s="0" t="n">
        <v>0</v>
      </c>
      <c r="G855" s="0" t="n">
        <v>1254.9</v>
      </c>
      <c r="H855" s="0" t="n">
        <v>94.5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5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1699.8</v>
      </c>
      <c r="AH855" s="0" t="n">
        <v>1699.8</v>
      </c>
      <c r="AI855" s="0" t="n">
        <v>28</v>
      </c>
    </row>
    <row r="856" customFormat="false" ht="14.9" hidden="false" customHeight="false" outlineLevel="0" collapsed="false">
      <c r="A856" s="0" t="n">
        <v>855</v>
      </c>
      <c r="B856" s="0" t="s">
        <v>354</v>
      </c>
      <c r="C856" s="33" t="s">
        <v>355</v>
      </c>
      <c r="D856" s="34" t="n">
        <v>46231</v>
      </c>
      <c r="E856" s="0" t="n">
        <v>274.2</v>
      </c>
      <c r="F856" s="0" t="n">
        <v>0</v>
      </c>
      <c r="G856" s="0" t="n">
        <v>1150.44</v>
      </c>
      <c r="H856" s="0" t="n">
        <v>392.7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170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1987.34</v>
      </c>
      <c r="AH856" s="0" t="n">
        <v>1987.34</v>
      </c>
      <c r="AI856" s="0" t="n">
        <v>32</v>
      </c>
    </row>
    <row r="857" customFormat="false" ht="14.9" hidden="false" customHeight="false" outlineLevel="0" collapsed="false">
      <c r="A857" s="0" t="n">
        <v>856</v>
      </c>
      <c r="B857" s="0" t="s">
        <v>354</v>
      </c>
      <c r="C857" s="33" t="s">
        <v>355</v>
      </c>
      <c r="D857" s="34" t="n">
        <v>46232</v>
      </c>
      <c r="E857" s="0" t="n">
        <v>534.6</v>
      </c>
      <c r="F857" s="0" t="n">
        <v>0</v>
      </c>
      <c r="G857" s="0" t="n">
        <v>386.9</v>
      </c>
      <c r="H857" s="0" t="n">
        <v>163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0</v>
      </c>
      <c r="W857" s="0" t="n">
        <v>110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1194.5</v>
      </c>
      <c r="AH857" s="0" t="n">
        <v>1194.5</v>
      </c>
      <c r="AI857" s="0" t="n">
        <v>26</v>
      </c>
    </row>
    <row r="858" customFormat="false" ht="14.9" hidden="false" customHeight="false" outlineLevel="0" collapsed="false">
      <c r="A858" s="0" t="n">
        <v>857</v>
      </c>
      <c r="B858" s="0" t="s">
        <v>354</v>
      </c>
      <c r="C858" s="33" t="s">
        <v>355</v>
      </c>
      <c r="D858" s="34" t="n">
        <v>46216</v>
      </c>
      <c r="E858" s="0" t="n">
        <v>471.64</v>
      </c>
      <c r="F858" s="0" t="n">
        <v>0</v>
      </c>
      <c r="G858" s="0" t="n">
        <v>499.88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21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992.52</v>
      </c>
      <c r="AH858" s="0" t="n">
        <v>992.52</v>
      </c>
      <c r="AI858" s="0" t="n">
        <v>40</v>
      </c>
    </row>
    <row r="859" customFormat="false" ht="14.9" hidden="false" customHeight="false" outlineLevel="0" collapsed="false">
      <c r="A859" s="0" t="n">
        <v>858</v>
      </c>
      <c r="B859" s="0" t="s">
        <v>354</v>
      </c>
      <c r="C859" s="33" t="s">
        <v>355</v>
      </c>
      <c r="D859" s="34" t="n">
        <v>46225</v>
      </c>
      <c r="E859" s="0" t="n">
        <v>436.88</v>
      </c>
      <c r="F859" s="0" t="n">
        <v>0</v>
      </c>
      <c r="G859" s="0" t="n">
        <v>581.88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48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1066.76</v>
      </c>
      <c r="AH859" s="0" t="n">
        <v>1066.76</v>
      </c>
      <c r="AI859" s="0" t="n">
        <v>29</v>
      </c>
    </row>
    <row r="860" customFormat="false" ht="14.9" hidden="false" customHeight="false" outlineLevel="0" collapsed="false">
      <c r="A860" s="0" t="n">
        <v>859</v>
      </c>
      <c r="B860" s="0" t="s">
        <v>354</v>
      </c>
      <c r="C860" s="33" t="s">
        <v>355</v>
      </c>
      <c r="D860" s="34" t="n">
        <v>46227</v>
      </c>
      <c r="E860" s="0" t="n">
        <v>500.8</v>
      </c>
      <c r="F860" s="0" t="n">
        <v>0</v>
      </c>
      <c r="G860" s="0" t="n">
        <v>991.3</v>
      </c>
      <c r="H860" s="0" t="n">
        <v>166.8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14.2</v>
      </c>
      <c r="T860" s="0" t="n">
        <v>0</v>
      </c>
      <c r="U860" s="0" t="n">
        <v>0</v>
      </c>
      <c r="V860" s="0" t="n">
        <v>0</v>
      </c>
      <c r="W860" s="0" t="n">
        <v>25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1698.1</v>
      </c>
      <c r="AH860" s="0" t="n">
        <v>1698.1</v>
      </c>
      <c r="AI860" s="0" t="n">
        <v>35</v>
      </c>
    </row>
    <row r="861" customFormat="false" ht="14.9" hidden="false" customHeight="false" outlineLevel="0" collapsed="false">
      <c r="A861" s="0" t="n">
        <v>860</v>
      </c>
      <c r="B861" s="0" t="s">
        <v>354</v>
      </c>
      <c r="C861" s="33" t="s">
        <v>355</v>
      </c>
      <c r="D861" s="34" t="n">
        <v>46218</v>
      </c>
      <c r="E861" s="0" t="n">
        <v>465</v>
      </c>
      <c r="F861" s="0" t="n">
        <v>0</v>
      </c>
      <c r="G861" s="0" t="n">
        <v>570.3</v>
      </c>
      <c r="H861" s="0" t="n">
        <v>58.6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45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1138.9</v>
      </c>
      <c r="AH861" s="0" t="n">
        <v>1138.9</v>
      </c>
      <c r="AI861" s="0" t="n">
        <v>37</v>
      </c>
    </row>
    <row r="862" customFormat="false" ht="14.9" hidden="false" customHeight="false" outlineLevel="0" collapsed="false">
      <c r="A862" s="0" t="n">
        <v>861</v>
      </c>
      <c r="B862" s="0" t="s">
        <v>354</v>
      </c>
      <c r="C862" s="33" t="s">
        <v>355</v>
      </c>
      <c r="D862" s="34" t="n">
        <v>46211</v>
      </c>
      <c r="E862" s="0" t="n">
        <v>469.42</v>
      </c>
      <c r="F862" s="0" t="n">
        <v>0</v>
      </c>
      <c r="G862" s="0" t="n">
        <v>229.3</v>
      </c>
      <c r="H862" s="0" t="n">
        <v>329.5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23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1051.22</v>
      </c>
      <c r="AH862" s="0" t="n">
        <v>1051.22</v>
      </c>
      <c r="AI862" s="0" t="n">
        <v>25</v>
      </c>
    </row>
    <row r="863" customFormat="false" ht="14.9" hidden="false" customHeight="false" outlineLevel="0" collapsed="false">
      <c r="A863" s="0" t="n">
        <v>862</v>
      </c>
      <c r="B863" s="0" t="s">
        <v>354</v>
      </c>
      <c r="C863" s="33" t="s">
        <v>355</v>
      </c>
      <c r="D863" s="34" t="n">
        <v>46230</v>
      </c>
      <c r="E863" s="0" t="n">
        <v>193.6</v>
      </c>
      <c r="F863" s="0" t="n">
        <v>0</v>
      </c>
      <c r="G863" s="0" t="n">
        <v>1084.6</v>
      </c>
      <c r="H863" s="0" t="n">
        <v>85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55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1418.2</v>
      </c>
      <c r="AH863" s="0" t="n">
        <v>1418.2</v>
      </c>
      <c r="AI863" s="0" t="n">
        <v>24</v>
      </c>
    </row>
    <row r="864" customFormat="false" ht="14.9" hidden="false" customHeight="false" outlineLevel="0" collapsed="false">
      <c r="A864" s="0" t="n">
        <v>863</v>
      </c>
      <c r="B864" s="0" t="s">
        <v>354</v>
      </c>
      <c r="C864" s="33" t="s">
        <v>355</v>
      </c>
      <c r="D864" s="34" t="n">
        <v>46224</v>
      </c>
      <c r="E864" s="0" t="n">
        <v>1150.4</v>
      </c>
      <c r="F864" s="0" t="n">
        <v>0</v>
      </c>
      <c r="G864" s="0" t="n">
        <v>2220.7</v>
      </c>
      <c r="H864" s="0" t="n">
        <v>85.78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2</v>
      </c>
      <c r="T864" s="0" t="n">
        <v>0</v>
      </c>
      <c r="U864" s="0" t="n">
        <v>0</v>
      </c>
      <c r="V864" s="0" t="n">
        <v>0</v>
      </c>
      <c r="W864" s="0" t="n">
        <v>176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3634.88</v>
      </c>
      <c r="AH864" s="0" t="n">
        <v>3634.88</v>
      </c>
      <c r="AI864" s="0" t="n">
        <v>47</v>
      </c>
    </row>
    <row r="865" customFormat="false" ht="14.9" hidden="false" customHeight="false" outlineLevel="0" collapsed="false">
      <c r="A865" s="0" t="n">
        <v>864</v>
      </c>
      <c r="B865" s="0" t="s">
        <v>354</v>
      </c>
      <c r="C865" s="33" t="s">
        <v>355</v>
      </c>
      <c r="D865" s="34" t="n">
        <v>46226</v>
      </c>
      <c r="E865" s="0" t="n">
        <v>558.71</v>
      </c>
      <c r="F865" s="0" t="n">
        <v>0</v>
      </c>
      <c r="G865" s="0" t="n">
        <v>1138.3</v>
      </c>
      <c r="H865" s="0" t="n">
        <v>14.5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43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1754.51</v>
      </c>
      <c r="AH865" s="0" t="n">
        <v>1754.51</v>
      </c>
      <c r="AI865" s="0" t="n">
        <v>37</v>
      </c>
    </row>
    <row r="866" customFormat="false" ht="14.9" hidden="false" customHeight="false" outlineLevel="0" collapsed="false">
      <c r="A866" s="0" t="n">
        <v>865</v>
      </c>
      <c r="B866" s="0" t="s">
        <v>354</v>
      </c>
      <c r="C866" s="33" t="s">
        <v>355</v>
      </c>
      <c r="D866" s="34" t="n">
        <v>46222</v>
      </c>
      <c r="E866" s="0" t="n">
        <v>62</v>
      </c>
      <c r="F866" s="0" t="n">
        <v>0</v>
      </c>
      <c r="G866" s="0" t="n">
        <v>690.3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8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760.3</v>
      </c>
      <c r="AH866" s="0" t="n">
        <v>760.3</v>
      </c>
      <c r="AI866" s="0" t="n">
        <v>24</v>
      </c>
    </row>
    <row r="867" customFormat="false" ht="14.9" hidden="false" customHeight="false" outlineLevel="0" collapsed="false">
      <c r="A867" s="0" t="n">
        <v>866</v>
      </c>
      <c r="B867" s="0" t="s">
        <v>354</v>
      </c>
      <c r="C867" s="33" t="s">
        <v>355</v>
      </c>
      <c r="D867" s="34" t="n">
        <v>46204</v>
      </c>
      <c r="E867" s="0" t="n">
        <v>903.44</v>
      </c>
      <c r="F867" s="0" t="n">
        <v>0</v>
      </c>
      <c r="G867" s="0" t="n">
        <v>962.93</v>
      </c>
      <c r="H867" s="0" t="n">
        <v>55.2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90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2011.57</v>
      </c>
      <c r="AH867" s="0" t="n">
        <v>2011.57</v>
      </c>
      <c r="AI867" s="0" t="n">
        <v>62</v>
      </c>
    </row>
    <row r="868" customFormat="false" ht="14.9" hidden="false" customHeight="false" outlineLevel="0" collapsed="false">
      <c r="A868" s="0" t="n">
        <v>867</v>
      </c>
      <c r="B868" s="0" t="s">
        <v>354</v>
      </c>
      <c r="C868" s="33" t="s">
        <v>355</v>
      </c>
      <c r="D868" s="34" t="n">
        <v>46229</v>
      </c>
      <c r="E868" s="0" t="n">
        <v>993.11</v>
      </c>
      <c r="F868" s="0" t="n">
        <v>0</v>
      </c>
      <c r="G868" s="0" t="n">
        <v>1157.9</v>
      </c>
      <c r="H868" s="0" t="n">
        <v>502.6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84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2737.61</v>
      </c>
      <c r="AH868" s="0" t="n">
        <v>2737.61</v>
      </c>
      <c r="AI868" s="0" t="n">
        <v>44</v>
      </c>
    </row>
    <row r="869" customFormat="false" ht="14.9" hidden="false" customHeight="false" outlineLevel="0" collapsed="false">
      <c r="A869" s="0" t="n">
        <v>868</v>
      </c>
      <c r="B869" s="0" t="s">
        <v>354</v>
      </c>
      <c r="C869" s="33" t="s">
        <v>355</v>
      </c>
      <c r="D869" s="34" t="n">
        <v>46206</v>
      </c>
      <c r="E869" s="0" t="n">
        <v>368.5</v>
      </c>
      <c r="F869" s="0" t="n">
        <v>0</v>
      </c>
      <c r="G869" s="0" t="n">
        <v>610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9</v>
      </c>
      <c r="W869" s="0" t="n">
        <v>25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1012.5</v>
      </c>
      <c r="AH869" s="0" t="n">
        <v>1012.5</v>
      </c>
      <c r="AI869" s="0" t="n">
        <v>27</v>
      </c>
    </row>
    <row r="870" customFormat="false" ht="14.9" hidden="false" customHeight="false" outlineLevel="0" collapsed="false">
      <c r="A870" s="0" t="n">
        <v>869</v>
      </c>
      <c r="B870" s="0" t="s">
        <v>354</v>
      </c>
      <c r="C870" s="33" t="s">
        <v>355</v>
      </c>
      <c r="D870" s="34" t="n">
        <v>46221</v>
      </c>
      <c r="E870" s="0" t="n">
        <v>477.2</v>
      </c>
      <c r="F870" s="0" t="n">
        <v>0</v>
      </c>
      <c r="G870" s="0" t="n">
        <v>997.26</v>
      </c>
      <c r="H870" s="0" t="n">
        <v>64.9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40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1579.36</v>
      </c>
      <c r="AH870" s="0" t="n">
        <v>1579.36</v>
      </c>
      <c r="AI870" s="0" t="n">
        <v>27</v>
      </c>
    </row>
    <row r="871" customFormat="false" ht="14.9" hidden="false" customHeight="false" outlineLevel="0" collapsed="false">
      <c r="A871" s="0" t="n">
        <v>870</v>
      </c>
      <c r="B871" s="0" t="s">
        <v>356</v>
      </c>
      <c r="C871" s="33" t="s">
        <v>357</v>
      </c>
      <c r="D871" s="34" t="n">
        <v>46223</v>
      </c>
      <c r="E871" s="0" t="n">
        <v>159.95</v>
      </c>
      <c r="F871" s="0" t="n">
        <v>0</v>
      </c>
      <c r="G871" s="0" t="n">
        <v>910.98</v>
      </c>
      <c r="H871" s="0" t="n">
        <v>986.4</v>
      </c>
      <c r="I871" s="0" t="n">
        <v>0</v>
      </c>
      <c r="J871" s="0" t="n">
        <v>78.47</v>
      </c>
      <c r="K871" s="0" t="n">
        <v>0</v>
      </c>
      <c r="L871" s="0" t="n">
        <v>0</v>
      </c>
      <c r="M871" s="0" t="n">
        <v>84.6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94.2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2314.6</v>
      </c>
      <c r="AH871" s="0" t="n">
        <v>2314.6</v>
      </c>
      <c r="AI871" s="0" t="n">
        <v>43</v>
      </c>
    </row>
    <row r="872" customFormat="false" ht="14.9" hidden="false" customHeight="false" outlineLevel="0" collapsed="false">
      <c r="A872" s="0" t="n">
        <v>871</v>
      </c>
      <c r="B872" s="0" t="s">
        <v>356</v>
      </c>
      <c r="C872" s="33" t="s">
        <v>357</v>
      </c>
      <c r="D872" s="34" t="n">
        <v>46222</v>
      </c>
      <c r="E872" s="0" t="n">
        <v>82.5</v>
      </c>
      <c r="F872" s="0" t="n">
        <v>0</v>
      </c>
      <c r="G872" s="0" t="n">
        <v>617.58</v>
      </c>
      <c r="H872" s="0" t="n">
        <v>664.3</v>
      </c>
      <c r="I872" s="0" t="n">
        <v>0</v>
      </c>
      <c r="J872" s="0" t="n">
        <v>1904.98</v>
      </c>
      <c r="K872" s="0" t="n">
        <v>0</v>
      </c>
      <c r="L872" s="0" t="n">
        <v>0</v>
      </c>
      <c r="M872" s="0" t="n">
        <v>64.5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141.06</v>
      </c>
      <c r="T872" s="0" t="n">
        <v>0</v>
      </c>
      <c r="U872" s="0" t="n">
        <v>0</v>
      </c>
      <c r="V872" s="0" t="n">
        <v>0</v>
      </c>
      <c r="W872" s="0" t="n">
        <v>35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3509.92</v>
      </c>
      <c r="AH872" s="0" t="n">
        <v>3509.92</v>
      </c>
      <c r="AI872" s="0" t="n">
        <v>46</v>
      </c>
    </row>
    <row r="873" customFormat="false" ht="14.9" hidden="false" customHeight="false" outlineLevel="0" collapsed="false">
      <c r="A873" s="0" t="n">
        <v>872</v>
      </c>
      <c r="B873" s="0" t="s">
        <v>356</v>
      </c>
      <c r="C873" s="33" t="s">
        <v>357</v>
      </c>
      <c r="D873" s="34" t="n">
        <v>46208</v>
      </c>
      <c r="E873" s="0" t="n">
        <v>13.8</v>
      </c>
      <c r="F873" s="0" t="n">
        <v>0</v>
      </c>
      <c r="G873" s="0" t="n">
        <v>652.28</v>
      </c>
      <c r="H873" s="0" t="n">
        <v>181.3</v>
      </c>
      <c r="I873" s="0" t="n">
        <v>0</v>
      </c>
      <c r="J873" s="0" t="n">
        <v>349.6</v>
      </c>
      <c r="K873" s="0" t="n">
        <v>0</v>
      </c>
      <c r="L873" s="0" t="n">
        <v>0</v>
      </c>
      <c r="M873" s="0" t="n">
        <v>90.7</v>
      </c>
      <c r="N873" s="0" t="n">
        <v>0</v>
      </c>
      <c r="O873" s="0" t="n">
        <v>21</v>
      </c>
      <c r="P873" s="0" t="n">
        <v>0</v>
      </c>
      <c r="Q873" s="0" t="n">
        <v>0</v>
      </c>
      <c r="R873" s="0" t="n">
        <v>0</v>
      </c>
      <c r="S873" s="0" t="n">
        <v>369.6</v>
      </c>
      <c r="T873" s="0" t="n">
        <v>0</v>
      </c>
      <c r="U873" s="0" t="n">
        <v>0</v>
      </c>
      <c r="V873" s="0" t="n">
        <v>0</v>
      </c>
      <c r="W873" s="0" t="n">
        <v>5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1683.28</v>
      </c>
      <c r="AH873" s="0" t="n">
        <v>1683.28</v>
      </c>
      <c r="AI873" s="0" t="n">
        <v>27</v>
      </c>
    </row>
    <row r="874" customFormat="false" ht="14.9" hidden="false" customHeight="false" outlineLevel="0" collapsed="false">
      <c r="A874" s="0" t="n">
        <v>873</v>
      </c>
      <c r="B874" s="0" t="s">
        <v>356</v>
      </c>
      <c r="C874" s="33" t="s">
        <v>357</v>
      </c>
      <c r="D874" s="34" t="n">
        <v>46218</v>
      </c>
      <c r="E874" s="0" t="n">
        <v>24.66</v>
      </c>
      <c r="F874" s="0" t="n">
        <v>0</v>
      </c>
      <c r="G874" s="0" t="n">
        <v>635.45</v>
      </c>
      <c r="H874" s="0" t="n">
        <v>288.5</v>
      </c>
      <c r="I874" s="0" t="n">
        <v>0</v>
      </c>
      <c r="J874" s="0" t="n">
        <v>199.89</v>
      </c>
      <c r="K874" s="0" t="n">
        <v>0</v>
      </c>
      <c r="L874" s="0" t="n">
        <v>0</v>
      </c>
      <c r="M874" s="0" t="n">
        <v>49.9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186.68</v>
      </c>
      <c r="T874" s="0" t="n">
        <v>0</v>
      </c>
      <c r="U874" s="0" t="n">
        <v>0</v>
      </c>
      <c r="V874" s="0" t="n">
        <v>0</v>
      </c>
      <c r="W874" s="0" t="n">
        <v>21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1406.08</v>
      </c>
      <c r="AH874" s="0" t="n">
        <v>1406.08</v>
      </c>
      <c r="AI874" s="0" t="n">
        <v>28</v>
      </c>
    </row>
    <row r="875" customFormat="false" ht="14.9" hidden="false" customHeight="false" outlineLevel="0" collapsed="false">
      <c r="A875" s="0" t="n">
        <v>874</v>
      </c>
      <c r="B875" s="0" t="s">
        <v>356</v>
      </c>
      <c r="C875" s="33" t="s">
        <v>357</v>
      </c>
      <c r="D875" s="34" t="n">
        <v>46233</v>
      </c>
      <c r="E875" s="0" t="n">
        <v>12.6</v>
      </c>
      <c r="F875" s="0" t="n">
        <v>0</v>
      </c>
      <c r="G875" s="0" t="n">
        <v>440.2</v>
      </c>
      <c r="H875" s="0" t="n">
        <v>619.1</v>
      </c>
      <c r="I875" s="0" t="n">
        <v>0</v>
      </c>
      <c r="J875" s="0" t="n">
        <v>150.2</v>
      </c>
      <c r="K875" s="0" t="n">
        <v>0</v>
      </c>
      <c r="L875" s="0" t="n">
        <v>0</v>
      </c>
      <c r="M875" s="0" t="n">
        <v>39.2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26.8</v>
      </c>
      <c r="T875" s="0" t="n">
        <v>0</v>
      </c>
      <c r="U875" s="0" t="n">
        <v>0</v>
      </c>
      <c r="V875" s="0" t="n">
        <v>0</v>
      </c>
      <c r="W875" s="0" t="n">
        <v>95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1383.1</v>
      </c>
      <c r="AH875" s="0" t="n">
        <v>1383.1</v>
      </c>
      <c r="AI875" s="0" t="n">
        <v>30</v>
      </c>
    </row>
    <row r="876" customFormat="false" ht="14.9" hidden="false" customHeight="false" outlineLevel="0" collapsed="false">
      <c r="A876" s="0" t="n">
        <v>875</v>
      </c>
      <c r="B876" s="0" t="s">
        <v>356</v>
      </c>
      <c r="C876" s="33" t="s">
        <v>357</v>
      </c>
      <c r="D876" s="34" t="n">
        <v>46232</v>
      </c>
      <c r="E876" s="0" t="n">
        <v>35.72</v>
      </c>
      <c r="F876" s="0" t="n">
        <v>0</v>
      </c>
      <c r="G876" s="0" t="n">
        <v>463</v>
      </c>
      <c r="H876" s="0" t="n">
        <v>763.28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69.8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342.8</v>
      </c>
      <c r="T876" s="0" t="n">
        <v>0</v>
      </c>
      <c r="U876" s="0" t="n">
        <v>0</v>
      </c>
      <c r="V876" s="0" t="n">
        <v>0</v>
      </c>
      <c r="W876" s="0" t="n">
        <v>55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1729.6</v>
      </c>
      <c r="AH876" s="0" t="n">
        <v>1729.6</v>
      </c>
      <c r="AI876" s="0" t="n">
        <v>23</v>
      </c>
    </row>
    <row r="877" customFormat="false" ht="14.9" hidden="false" customHeight="false" outlineLevel="0" collapsed="false">
      <c r="A877" s="0" t="n">
        <v>876</v>
      </c>
      <c r="B877" s="0" t="s">
        <v>356</v>
      </c>
      <c r="C877" s="33" t="s">
        <v>357</v>
      </c>
      <c r="D877" s="34" t="n">
        <v>46226</v>
      </c>
      <c r="E877" s="0" t="n">
        <v>-20.59</v>
      </c>
      <c r="F877" s="0" t="n">
        <v>0</v>
      </c>
      <c r="G877" s="0" t="n">
        <v>942.13</v>
      </c>
      <c r="H877" s="0" t="n">
        <v>118.3</v>
      </c>
      <c r="I877" s="0" t="n">
        <v>0</v>
      </c>
      <c r="J877" s="0" t="n">
        <v>1376.17</v>
      </c>
      <c r="K877" s="0" t="n">
        <v>0</v>
      </c>
      <c r="L877" s="0" t="n">
        <v>0</v>
      </c>
      <c r="M877" s="0" t="n">
        <v>61.5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810.6</v>
      </c>
      <c r="T877" s="0" t="n">
        <v>0</v>
      </c>
      <c r="U877" s="0" t="n">
        <v>0</v>
      </c>
      <c r="V877" s="0" t="n">
        <v>0</v>
      </c>
      <c r="W877" s="0" t="n">
        <v>55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3343.11</v>
      </c>
      <c r="AH877" s="0" t="n">
        <v>3343.11</v>
      </c>
      <c r="AI877" s="0" t="n">
        <v>46</v>
      </c>
    </row>
    <row r="878" customFormat="false" ht="14.9" hidden="false" customHeight="false" outlineLevel="0" collapsed="false">
      <c r="A878" s="0" t="n">
        <v>877</v>
      </c>
      <c r="B878" s="0" t="s">
        <v>356</v>
      </c>
      <c r="C878" s="33" t="s">
        <v>357</v>
      </c>
      <c r="D878" s="34" t="n">
        <v>46230</v>
      </c>
      <c r="E878" s="0" t="n">
        <v>456.3</v>
      </c>
      <c r="F878" s="0" t="n">
        <v>0</v>
      </c>
      <c r="G878" s="0" t="n">
        <v>1814.57</v>
      </c>
      <c r="H878" s="0" t="n">
        <v>570.36</v>
      </c>
      <c r="I878" s="0" t="n">
        <v>0</v>
      </c>
      <c r="J878" s="0" t="n">
        <v>612.75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147.5</v>
      </c>
      <c r="T878" s="0" t="n">
        <v>0</v>
      </c>
      <c r="U878" s="0" t="n">
        <v>0</v>
      </c>
      <c r="V878" s="0" t="n">
        <v>0</v>
      </c>
      <c r="W878" s="0" t="n">
        <v>60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3661.48</v>
      </c>
      <c r="AH878" s="0" t="n">
        <v>3661.48</v>
      </c>
      <c r="AI878" s="0" t="n">
        <v>35</v>
      </c>
    </row>
    <row r="879" customFormat="false" ht="14.9" hidden="false" customHeight="false" outlineLevel="0" collapsed="false">
      <c r="A879" s="0" t="n">
        <v>878</v>
      </c>
      <c r="B879" s="0" t="s">
        <v>356</v>
      </c>
      <c r="C879" s="33" t="s">
        <v>357</v>
      </c>
      <c r="D879" s="34" t="n">
        <v>46217</v>
      </c>
      <c r="E879" s="0" t="n">
        <v>69.08</v>
      </c>
      <c r="F879" s="0" t="n">
        <v>0</v>
      </c>
      <c r="G879" s="0" t="n">
        <v>1024.37</v>
      </c>
      <c r="H879" s="0" t="n">
        <v>122.1</v>
      </c>
      <c r="I879" s="0" t="n">
        <v>0</v>
      </c>
      <c r="J879" s="0" t="n">
        <v>554.53</v>
      </c>
      <c r="K879" s="0" t="n">
        <v>0</v>
      </c>
      <c r="L879" s="0" t="n">
        <v>0</v>
      </c>
      <c r="M879" s="0" t="n">
        <v>40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1589.9</v>
      </c>
      <c r="T879" s="0" t="n">
        <v>0</v>
      </c>
      <c r="U879" s="0" t="n">
        <v>0</v>
      </c>
      <c r="V879" s="0" t="n">
        <v>0</v>
      </c>
      <c r="W879" s="0" t="n">
        <v>15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3414.98</v>
      </c>
      <c r="AH879" s="0" t="n">
        <v>3414.98</v>
      </c>
      <c r="AI879" s="0" t="n">
        <v>45</v>
      </c>
    </row>
    <row r="880" customFormat="false" ht="14.9" hidden="false" customHeight="false" outlineLevel="0" collapsed="false">
      <c r="A880" s="0" t="n">
        <v>879</v>
      </c>
      <c r="B880" s="0" t="s">
        <v>356</v>
      </c>
      <c r="C880" s="33" t="s">
        <v>357</v>
      </c>
      <c r="D880" s="34" t="n">
        <v>46213</v>
      </c>
      <c r="E880" s="0" t="n">
        <v>163</v>
      </c>
      <c r="F880" s="0" t="n">
        <v>0</v>
      </c>
      <c r="G880" s="0" t="n">
        <v>430.03</v>
      </c>
      <c r="H880" s="0" t="n">
        <v>9.9</v>
      </c>
      <c r="I880" s="0" t="n">
        <v>0</v>
      </c>
      <c r="J880" s="0" t="n">
        <v>645.62</v>
      </c>
      <c r="K880" s="0" t="n">
        <v>0</v>
      </c>
      <c r="L880" s="0" t="n">
        <v>0</v>
      </c>
      <c r="M880" s="0" t="n">
        <v>34.8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1.6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1284.95</v>
      </c>
      <c r="AH880" s="0" t="n">
        <v>1284.95</v>
      </c>
      <c r="AI880" s="0" t="n">
        <v>16</v>
      </c>
    </row>
    <row r="881" customFormat="false" ht="14.9" hidden="false" customHeight="false" outlineLevel="0" collapsed="false">
      <c r="A881" s="0" t="n">
        <v>880</v>
      </c>
      <c r="B881" s="0" t="s">
        <v>356</v>
      </c>
      <c r="C881" s="33" t="s">
        <v>357</v>
      </c>
      <c r="D881" s="34" t="n">
        <v>46210</v>
      </c>
      <c r="E881" s="0" t="n">
        <v>364.91</v>
      </c>
      <c r="F881" s="0" t="n">
        <v>0</v>
      </c>
      <c r="G881" s="0" t="n">
        <v>788.43</v>
      </c>
      <c r="H881" s="0" t="n">
        <v>151</v>
      </c>
      <c r="I881" s="0" t="n">
        <v>0</v>
      </c>
      <c r="J881" s="0" t="n">
        <v>854.61</v>
      </c>
      <c r="K881" s="0" t="n">
        <v>0</v>
      </c>
      <c r="L881" s="0" t="n">
        <v>0</v>
      </c>
      <c r="M881" s="0" t="n">
        <v>61.5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218.9</v>
      </c>
      <c r="T881" s="0" t="n">
        <v>0</v>
      </c>
      <c r="U881" s="0" t="n">
        <v>0</v>
      </c>
      <c r="V881" s="0" t="n">
        <v>0.02</v>
      </c>
      <c r="W881" s="0" t="n">
        <v>15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2454.37</v>
      </c>
      <c r="AH881" s="0" t="n">
        <v>2454.37</v>
      </c>
      <c r="AI881" s="0" t="n">
        <v>35</v>
      </c>
    </row>
    <row r="882" customFormat="false" ht="14.9" hidden="false" customHeight="false" outlineLevel="0" collapsed="false">
      <c r="A882" s="0" t="n">
        <v>881</v>
      </c>
      <c r="B882" s="0" t="s">
        <v>356</v>
      </c>
      <c r="C882" s="33" t="s">
        <v>357</v>
      </c>
      <c r="D882" s="34" t="n">
        <v>46224</v>
      </c>
      <c r="E882" s="0" t="n">
        <v>213.26</v>
      </c>
      <c r="F882" s="0" t="n">
        <v>0</v>
      </c>
      <c r="G882" s="0" t="n">
        <v>806.01</v>
      </c>
      <c r="H882" s="0" t="n">
        <v>586.7</v>
      </c>
      <c r="I882" s="0" t="n">
        <v>0</v>
      </c>
      <c r="J882" s="0" t="n">
        <v>354.41</v>
      </c>
      <c r="K882" s="0" t="n">
        <v>0</v>
      </c>
      <c r="L882" s="0" t="n">
        <v>0</v>
      </c>
      <c r="M882" s="0" t="n">
        <v>72.8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265.81</v>
      </c>
      <c r="T882" s="0" t="n">
        <v>0</v>
      </c>
      <c r="U882" s="0" t="n">
        <v>0</v>
      </c>
      <c r="V882" s="0" t="n">
        <v>0</v>
      </c>
      <c r="W882" s="0" t="n">
        <v>5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2303.99</v>
      </c>
      <c r="AH882" s="0" t="n">
        <v>2303.99</v>
      </c>
      <c r="AI882" s="0" t="n">
        <v>37</v>
      </c>
    </row>
    <row r="883" customFormat="false" ht="14.9" hidden="false" customHeight="false" outlineLevel="0" collapsed="false">
      <c r="A883" s="0" t="n">
        <v>882</v>
      </c>
      <c r="B883" s="0" t="s">
        <v>356</v>
      </c>
      <c r="C883" s="33" t="s">
        <v>357</v>
      </c>
      <c r="D883" s="34" t="n">
        <v>46225</v>
      </c>
      <c r="E883" s="0" t="n">
        <v>222.4</v>
      </c>
      <c r="F883" s="0" t="n">
        <v>0</v>
      </c>
      <c r="G883" s="0" t="n">
        <v>471.2</v>
      </c>
      <c r="H883" s="0" t="n">
        <v>214.3</v>
      </c>
      <c r="I883" s="0" t="n">
        <v>0</v>
      </c>
      <c r="J883" s="0" t="n">
        <v>120</v>
      </c>
      <c r="K883" s="0" t="n">
        <v>0</v>
      </c>
      <c r="L883" s="0" t="n">
        <v>0</v>
      </c>
      <c r="M883" s="0" t="n">
        <v>58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1085.9</v>
      </c>
      <c r="AH883" s="0" t="n">
        <v>1085.9</v>
      </c>
      <c r="AI883" s="0" t="n">
        <v>24</v>
      </c>
    </row>
    <row r="884" customFormat="false" ht="14.9" hidden="false" customHeight="false" outlineLevel="0" collapsed="false">
      <c r="A884" s="0" t="n">
        <v>883</v>
      </c>
      <c r="B884" s="0" t="s">
        <v>356</v>
      </c>
      <c r="C884" s="33" t="s">
        <v>357</v>
      </c>
      <c r="D884" s="34" t="n">
        <v>46205</v>
      </c>
      <c r="E884" s="0" t="n">
        <v>294.52</v>
      </c>
      <c r="F884" s="0" t="n">
        <v>0</v>
      </c>
      <c r="G884" s="0" t="n">
        <v>529.78</v>
      </c>
      <c r="H884" s="0" t="n">
        <v>476.28</v>
      </c>
      <c r="I884" s="0" t="n">
        <v>0</v>
      </c>
      <c r="J884" s="0" t="n">
        <v>160.56</v>
      </c>
      <c r="K884" s="0" t="n">
        <v>0</v>
      </c>
      <c r="L884" s="0" t="n">
        <v>0</v>
      </c>
      <c r="M884" s="0" t="n">
        <v>172.2</v>
      </c>
      <c r="N884" s="0" t="n">
        <v>0</v>
      </c>
      <c r="O884" s="0" t="n">
        <v>23.5</v>
      </c>
      <c r="P884" s="0" t="n">
        <v>0</v>
      </c>
      <c r="Q884" s="0" t="n">
        <v>0</v>
      </c>
      <c r="R884" s="0" t="n">
        <v>0</v>
      </c>
      <c r="S884" s="0" t="n">
        <v>582.1</v>
      </c>
      <c r="T884" s="0" t="n">
        <v>0</v>
      </c>
      <c r="U884" s="0" t="n">
        <v>0</v>
      </c>
      <c r="V884" s="0" t="n">
        <v>0</v>
      </c>
      <c r="W884" s="0" t="n">
        <v>15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2253.94</v>
      </c>
      <c r="AH884" s="0" t="n">
        <v>2253.94</v>
      </c>
      <c r="AI884" s="0" t="n">
        <v>31</v>
      </c>
    </row>
    <row r="885" customFormat="false" ht="14.9" hidden="false" customHeight="false" outlineLevel="0" collapsed="false">
      <c r="A885" s="0" t="n">
        <v>884</v>
      </c>
      <c r="B885" s="0" t="s">
        <v>356</v>
      </c>
      <c r="C885" s="33" t="s">
        <v>357</v>
      </c>
      <c r="D885" s="34" t="n">
        <v>46231</v>
      </c>
      <c r="E885" s="0" t="n">
        <v>285.4</v>
      </c>
      <c r="F885" s="0" t="n">
        <v>0</v>
      </c>
      <c r="G885" s="0" t="n">
        <v>699.65</v>
      </c>
      <c r="H885" s="0" t="n">
        <v>145</v>
      </c>
      <c r="I885" s="0" t="n">
        <v>0</v>
      </c>
      <c r="J885" s="0" t="n">
        <v>272.65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262.5</v>
      </c>
      <c r="T885" s="0" t="n">
        <v>0</v>
      </c>
      <c r="U885" s="0" t="n">
        <v>0</v>
      </c>
      <c r="V885" s="0" t="n">
        <v>0</v>
      </c>
      <c r="W885" s="0" t="n">
        <v>100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1765.2</v>
      </c>
      <c r="AH885" s="0" t="n">
        <v>1765.2</v>
      </c>
      <c r="AI885" s="0" t="n">
        <v>37</v>
      </c>
    </row>
    <row r="886" customFormat="false" ht="14.9" hidden="false" customHeight="false" outlineLevel="0" collapsed="false">
      <c r="A886" s="0" t="n">
        <v>885</v>
      </c>
      <c r="B886" s="0" t="s">
        <v>356</v>
      </c>
      <c r="C886" s="33" t="s">
        <v>357</v>
      </c>
      <c r="D886" s="34" t="n">
        <v>46234</v>
      </c>
      <c r="E886" s="0" t="n">
        <v>-10.18</v>
      </c>
      <c r="F886" s="0" t="n">
        <v>0</v>
      </c>
      <c r="G886" s="0" t="n">
        <v>922.42</v>
      </c>
      <c r="H886" s="0" t="n">
        <v>421.4</v>
      </c>
      <c r="I886" s="0" t="n">
        <v>0</v>
      </c>
      <c r="J886" s="0" t="n">
        <v>43.36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109.5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1486.5</v>
      </c>
      <c r="AH886" s="0" t="n">
        <v>1486.5</v>
      </c>
      <c r="AI886" s="0" t="n">
        <v>40</v>
      </c>
    </row>
    <row r="887" customFormat="false" ht="14.9" hidden="false" customHeight="false" outlineLevel="0" collapsed="false">
      <c r="A887" s="0" t="n">
        <v>886</v>
      </c>
      <c r="B887" s="0" t="s">
        <v>356</v>
      </c>
      <c r="C887" s="33" t="s">
        <v>357</v>
      </c>
      <c r="D887" s="34" t="n">
        <v>46221</v>
      </c>
      <c r="E887" s="0" t="n">
        <v>64.71</v>
      </c>
      <c r="F887" s="0" t="n">
        <v>0</v>
      </c>
      <c r="G887" s="0" t="n">
        <v>918.75</v>
      </c>
      <c r="H887" s="0" t="n">
        <v>180.7</v>
      </c>
      <c r="I887" s="0" t="n">
        <v>0</v>
      </c>
      <c r="J887" s="0" t="n">
        <v>362.75</v>
      </c>
      <c r="K887" s="0" t="n">
        <v>0</v>
      </c>
      <c r="L887" s="0" t="n">
        <v>0</v>
      </c>
      <c r="M887" s="0" t="n">
        <v>138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309</v>
      </c>
      <c r="T887" s="0" t="n">
        <v>0</v>
      </c>
      <c r="U887" s="0" t="n">
        <v>0</v>
      </c>
      <c r="V887" s="0" t="n">
        <v>3.8</v>
      </c>
      <c r="W887" s="0" t="n">
        <v>20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1997.71</v>
      </c>
      <c r="AH887" s="0" t="n">
        <v>1997.71</v>
      </c>
      <c r="AI887" s="0" t="n">
        <v>40</v>
      </c>
    </row>
    <row r="888" customFormat="false" ht="14.9" hidden="false" customHeight="false" outlineLevel="0" collapsed="false">
      <c r="A888" s="0" t="n">
        <v>887</v>
      </c>
      <c r="B888" s="0" t="s">
        <v>356</v>
      </c>
      <c r="C888" s="33" t="s">
        <v>357</v>
      </c>
      <c r="D888" s="34" t="n">
        <v>46211</v>
      </c>
      <c r="E888" s="0" t="n">
        <v>250.01</v>
      </c>
      <c r="F888" s="0" t="n">
        <v>0</v>
      </c>
      <c r="G888" s="0" t="n">
        <v>1250.49</v>
      </c>
      <c r="H888" s="0" t="n">
        <v>177.6</v>
      </c>
      <c r="I888" s="0" t="n">
        <v>0</v>
      </c>
      <c r="J888" s="0" t="n">
        <v>113.62</v>
      </c>
      <c r="K888" s="0" t="n">
        <v>0</v>
      </c>
      <c r="L888" s="0" t="n">
        <v>0</v>
      </c>
      <c r="M888" s="0" t="n">
        <v>157.8</v>
      </c>
      <c r="N888" s="0" t="n">
        <v>0</v>
      </c>
      <c r="O888" s="0" t="n">
        <v>31</v>
      </c>
      <c r="P888" s="0" t="n">
        <v>0</v>
      </c>
      <c r="Q888" s="0" t="n">
        <v>0</v>
      </c>
      <c r="R888" s="0" t="n">
        <v>0</v>
      </c>
      <c r="S888" s="0" t="n">
        <v>240</v>
      </c>
      <c r="T888" s="0" t="n">
        <v>0</v>
      </c>
      <c r="U888" s="0" t="n">
        <v>0</v>
      </c>
      <c r="V888" s="0" t="n">
        <v>0</v>
      </c>
      <c r="W888" s="0" t="n">
        <v>20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2240.52</v>
      </c>
      <c r="AH888" s="0" t="n">
        <v>2240.52</v>
      </c>
      <c r="AI888" s="0" t="n">
        <v>39</v>
      </c>
    </row>
    <row r="889" customFormat="false" ht="14.9" hidden="false" customHeight="false" outlineLevel="0" collapsed="false">
      <c r="A889" s="0" t="n">
        <v>888</v>
      </c>
      <c r="B889" s="0" t="s">
        <v>356</v>
      </c>
      <c r="C889" s="33" t="s">
        <v>357</v>
      </c>
      <c r="D889" s="34" t="n">
        <v>46209</v>
      </c>
      <c r="E889" s="0" t="n">
        <v>222.8</v>
      </c>
      <c r="F889" s="0" t="n">
        <v>0</v>
      </c>
      <c r="G889" s="0" t="n">
        <v>819.37</v>
      </c>
      <c r="H889" s="0" t="n">
        <v>67</v>
      </c>
      <c r="I889" s="0" t="n">
        <v>0</v>
      </c>
      <c r="J889" s="0" t="n">
        <v>86.83</v>
      </c>
      <c r="K889" s="0" t="n">
        <v>0</v>
      </c>
      <c r="L889" s="0" t="n">
        <v>0</v>
      </c>
      <c r="M889" s="0" t="n">
        <v>91.6</v>
      </c>
      <c r="N889" s="0" t="n">
        <v>0</v>
      </c>
      <c r="O889" s="0" t="n">
        <v>23.8</v>
      </c>
      <c r="P889" s="0" t="n">
        <v>0</v>
      </c>
      <c r="Q889" s="0" t="n">
        <v>0</v>
      </c>
      <c r="R889" s="0" t="n">
        <v>0</v>
      </c>
      <c r="S889" s="0" t="n">
        <v>579.5</v>
      </c>
      <c r="T889" s="0" t="n">
        <v>0</v>
      </c>
      <c r="U889" s="0" t="n">
        <v>0</v>
      </c>
      <c r="V889" s="0" t="n">
        <v>0</v>
      </c>
      <c r="W889" s="0" t="n">
        <v>20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1910.9</v>
      </c>
      <c r="AH889" s="0" t="n">
        <v>1910.9</v>
      </c>
      <c r="AI889" s="0" t="n">
        <v>32</v>
      </c>
    </row>
    <row r="890" customFormat="false" ht="14.9" hidden="false" customHeight="false" outlineLevel="0" collapsed="false">
      <c r="A890" s="0" t="n">
        <v>889</v>
      </c>
      <c r="B890" s="0" t="s">
        <v>356</v>
      </c>
      <c r="C890" s="33" t="s">
        <v>357</v>
      </c>
      <c r="D890" s="34" t="n">
        <v>46215</v>
      </c>
      <c r="E890" s="0" t="n">
        <v>149.82</v>
      </c>
      <c r="F890" s="0" t="n">
        <v>0</v>
      </c>
      <c r="G890" s="0" t="n">
        <v>1007.14</v>
      </c>
      <c r="H890" s="0" t="n">
        <v>14</v>
      </c>
      <c r="I890" s="0" t="n">
        <v>0</v>
      </c>
      <c r="J890" s="0" t="n">
        <v>1425.67</v>
      </c>
      <c r="K890" s="0" t="n">
        <v>0</v>
      </c>
      <c r="L890" s="0" t="n">
        <v>0</v>
      </c>
      <c r="M890" s="0" t="n">
        <v>78.2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280.3</v>
      </c>
      <c r="T890" s="0" t="n">
        <v>0</v>
      </c>
      <c r="U890" s="0" t="n">
        <v>0</v>
      </c>
      <c r="V890" s="0" t="n">
        <v>0</v>
      </c>
      <c r="W890" s="0" t="n">
        <v>20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2975.13</v>
      </c>
      <c r="AH890" s="0" t="n">
        <v>2975.13</v>
      </c>
      <c r="AI890" s="0" t="n">
        <v>36</v>
      </c>
    </row>
    <row r="891" customFormat="false" ht="14.9" hidden="false" customHeight="false" outlineLevel="0" collapsed="false">
      <c r="A891" s="0" t="n">
        <v>890</v>
      </c>
      <c r="B891" s="0" t="s">
        <v>356</v>
      </c>
      <c r="C891" s="33" t="s">
        <v>357</v>
      </c>
      <c r="D891" s="34" t="n">
        <v>46216</v>
      </c>
      <c r="E891" s="0" t="n">
        <v>493.63</v>
      </c>
      <c r="F891" s="0" t="n">
        <v>0</v>
      </c>
      <c r="G891" s="0" t="n">
        <v>829.87</v>
      </c>
      <c r="H891" s="0" t="n">
        <v>253</v>
      </c>
      <c r="I891" s="0" t="n">
        <v>0</v>
      </c>
      <c r="J891" s="0" t="n">
        <v>591.09</v>
      </c>
      <c r="K891" s="0" t="n">
        <v>0</v>
      </c>
      <c r="L891" s="0" t="n">
        <v>0</v>
      </c>
      <c r="M891" s="0" t="n">
        <v>149.4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25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2341.99</v>
      </c>
      <c r="AH891" s="0" t="n">
        <v>2341.99</v>
      </c>
      <c r="AI891" s="0" t="n">
        <v>30</v>
      </c>
    </row>
    <row r="892" customFormat="false" ht="14.9" hidden="false" customHeight="false" outlineLevel="0" collapsed="false">
      <c r="A892" s="0" t="n">
        <v>891</v>
      </c>
      <c r="B892" s="0" t="s">
        <v>356</v>
      </c>
      <c r="C892" s="33" t="s">
        <v>357</v>
      </c>
      <c r="D892" s="34" t="n">
        <v>46228</v>
      </c>
      <c r="E892" s="0" t="n">
        <v>50.31</v>
      </c>
      <c r="F892" s="0" t="n">
        <v>0</v>
      </c>
      <c r="G892" s="0" t="n">
        <v>716.04</v>
      </c>
      <c r="H892" s="0" t="n">
        <v>663.33</v>
      </c>
      <c r="I892" s="0" t="n">
        <v>0</v>
      </c>
      <c r="J892" s="0" t="n">
        <v>278.88</v>
      </c>
      <c r="K892" s="0" t="n">
        <v>0</v>
      </c>
      <c r="L892" s="0" t="n">
        <v>0</v>
      </c>
      <c r="M892" s="0" t="n">
        <v>82.3</v>
      </c>
      <c r="N892" s="0" t="n">
        <v>0</v>
      </c>
      <c r="O892" s="0" t="n">
        <v>48</v>
      </c>
      <c r="P892" s="0" t="n">
        <v>0</v>
      </c>
      <c r="Q892" s="0" t="n">
        <v>0</v>
      </c>
      <c r="R892" s="0" t="n">
        <v>0</v>
      </c>
      <c r="S892" s="0" t="n">
        <v>89.4</v>
      </c>
      <c r="T892" s="0" t="n">
        <v>0</v>
      </c>
      <c r="U892" s="0" t="n">
        <v>0</v>
      </c>
      <c r="V892" s="0" t="n">
        <v>3.8</v>
      </c>
      <c r="W892" s="0" t="n">
        <v>25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1957.06</v>
      </c>
      <c r="AH892" s="0" t="n">
        <v>1957.06</v>
      </c>
      <c r="AI892" s="0" t="n">
        <v>32</v>
      </c>
    </row>
    <row r="893" customFormat="false" ht="14.9" hidden="false" customHeight="false" outlineLevel="0" collapsed="false">
      <c r="A893" s="0" t="n">
        <v>892</v>
      </c>
      <c r="B893" s="0" t="s">
        <v>356</v>
      </c>
      <c r="C893" s="33" t="s">
        <v>357</v>
      </c>
      <c r="D893" s="34" t="n">
        <v>46229</v>
      </c>
      <c r="E893" s="0" t="n">
        <v>626.5</v>
      </c>
      <c r="F893" s="0" t="n">
        <v>0</v>
      </c>
      <c r="G893" s="0" t="n">
        <v>830.77</v>
      </c>
      <c r="H893" s="0" t="n">
        <v>304.5</v>
      </c>
      <c r="I893" s="0" t="n">
        <v>0</v>
      </c>
      <c r="J893" s="0" t="n">
        <v>2489.98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1028.56</v>
      </c>
      <c r="T893" s="0" t="n">
        <v>0</v>
      </c>
      <c r="U893" s="0" t="n">
        <v>0</v>
      </c>
      <c r="V893" s="0" t="n">
        <v>0</v>
      </c>
      <c r="W893" s="0" t="n">
        <v>25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5305.31</v>
      </c>
      <c r="AH893" s="0" t="n">
        <v>5305.31</v>
      </c>
      <c r="AI893" s="0" t="n">
        <v>44</v>
      </c>
    </row>
    <row r="894" customFormat="false" ht="14.9" hidden="false" customHeight="false" outlineLevel="0" collapsed="false">
      <c r="A894" s="0" t="n">
        <v>893</v>
      </c>
      <c r="B894" s="0" t="s">
        <v>356</v>
      </c>
      <c r="C894" s="33" t="s">
        <v>357</v>
      </c>
      <c r="D894" s="34" t="n">
        <v>46206</v>
      </c>
      <c r="E894" s="0" t="n">
        <v>23.61</v>
      </c>
      <c r="F894" s="0" t="n">
        <v>0</v>
      </c>
      <c r="G894" s="0" t="n">
        <v>676.77</v>
      </c>
      <c r="H894" s="0" t="n">
        <v>230.8</v>
      </c>
      <c r="I894" s="0" t="n">
        <v>0</v>
      </c>
      <c r="J894" s="0" t="n">
        <v>576.92</v>
      </c>
      <c r="K894" s="0" t="n">
        <v>0</v>
      </c>
      <c r="L894" s="0" t="n">
        <v>0</v>
      </c>
      <c r="M894" s="0" t="n">
        <v>10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151.2</v>
      </c>
      <c r="T894" s="0" t="n">
        <v>0</v>
      </c>
      <c r="U894" s="0" t="n">
        <v>0</v>
      </c>
      <c r="V894" s="0" t="n">
        <v>0</v>
      </c>
      <c r="W894" s="0" t="n">
        <v>25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1694.3</v>
      </c>
      <c r="AH894" s="0" t="n">
        <v>1694.3</v>
      </c>
      <c r="AI894" s="0" t="n">
        <v>33</v>
      </c>
    </row>
    <row r="895" customFormat="false" ht="14.9" hidden="false" customHeight="false" outlineLevel="0" collapsed="false">
      <c r="A895" s="0" t="n">
        <v>894</v>
      </c>
      <c r="B895" s="0" t="s">
        <v>356</v>
      </c>
      <c r="C895" s="33" t="s">
        <v>357</v>
      </c>
      <c r="D895" s="34" t="n">
        <v>46204</v>
      </c>
      <c r="E895" s="0" t="n">
        <v>109.3</v>
      </c>
      <c r="F895" s="0" t="n">
        <v>0</v>
      </c>
      <c r="G895" s="0" t="n">
        <v>929.94</v>
      </c>
      <c r="H895" s="0" t="n">
        <v>206.8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67.8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342.23</v>
      </c>
      <c r="T895" s="0" t="n">
        <v>0</v>
      </c>
      <c r="U895" s="0" t="n">
        <v>0</v>
      </c>
      <c r="V895" s="0" t="n">
        <v>0</v>
      </c>
      <c r="W895" s="0" t="n">
        <v>26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1682.07</v>
      </c>
      <c r="AH895" s="0" t="n">
        <v>1682.07</v>
      </c>
      <c r="AI895" s="0" t="n">
        <v>33</v>
      </c>
    </row>
    <row r="896" customFormat="false" ht="14.9" hidden="false" customHeight="false" outlineLevel="0" collapsed="false">
      <c r="A896" s="0" t="n">
        <v>895</v>
      </c>
      <c r="B896" s="0" t="s">
        <v>356</v>
      </c>
      <c r="C896" s="33" t="s">
        <v>357</v>
      </c>
      <c r="D896" s="34" t="n">
        <v>46214</v>
      </c>
      <c r="E896" s="0" t="n">
        <v>428.13</v>
      </c>
      <c r="F896" s="0" t="n">
        <v>0</v>
      </c>
      <c r="G896" s="0" t="n">
        <v>686.99</v>
      </c>
      <c r="H896" s="0" t="n">
        <v>146.7</v>
      </c>
      <c r="I896" s="0" t="n">
        <v>0</v>
      </c>
      <c r="J896" s="0" t="n">
        <v>901.94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154.85</v>
      </c>
      <c r="T896" s="0" t="n">
        <v>0</v>
      </c>
      <c r="U896" s="0" t="n">
        <v>0</v>
      </c>
      <c r="V896" s="0" t="n">
        <v>-0.02</v>
      </c>
      <c r="W896" s="0" t="n">
        <v>10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2328.59</v>
      </c>
      <c r="AH896" s="0" t="n">
        <v>2328.59</v>
      </c>
      <c r="AI896" s="0" t="n">
        <v>39</v>
      </c>
    </row>
    <row r="897" customFormat="false" ht="14.9" hidden="false" customHeight="false" outlineLevel="0" collapsed="false">
      <c r="A897" s="0" t="n">
        <v>896</v>
      </c>
      <c r="B897" s="0" t="s">
        <v>356</v>
      </c>
      <c r="C897" s="33" t="s">
        <v>357</v>
      </c>
      <c r="D897" s="34" t="n">
        <v>46212</v>
      </c>
      <c r="E897" s="0" t="n">
        <v>121.01</v>
      </c>
      <c r="F897" s="0" t="n">
        <v>0</v>
      </c>
      <c r="G897" s="0" t="n">
        <v>753.62</v>
      </c>
      <c r="H897" s="0" t="n">
        <v>474.1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309.9</v>
      </c>
      <c r="T897" s="0" t="n">
        <v>0</v>
      </c>
      <c r="U897" s="0" t="n">
        <v>0</v>
      </c>
      <c r="V897" s="0" t="n">
        <v>0</v>
      </c>
      <c r="W897" s="0" t="n">
        <v>30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1688.63</v>
      </c>
      <c r="AH897" s="0" t="n">
        <v>1688.63</v>
      </c>
      <c r="AI897" s="0" t="n">
        <v>41</v>
      </c>
    </row>
    <row r="898" customFormat="false" ht="14.9" hidden="false" customHeight="false" outlineLevel="0" collapsed="false">
      <c r="A898" s="0" t="n">
        <v>897</v>
      </c>
      <c r="B898" s="0" t="s">
        <v>356</v>
      </c>
      <c r="C898" s="33" t="s">
        <v>357</v>
      </c>
      <c r="D898" s="34" t="n">
        <v>46227</v>
      </c>
      <c r="E898" s="0" t="n">
        <v>92.5</v>
      </c>
      <c r="F898" s="0" t="n">
        <v>0</v>
      </c>
      <c r="G898" s="0" t="n">
        <v>742.08</v>
      </c>
      <c r="H898" s="0" t="n">
        <v>939.2</v>
      </c>
      <c r="I898" s="0" t="n">
        <v>0</v>
      </c>
      <c r="J898" s="0" t="n">
        <v>253.18</v>
      </c>
      <c r="K898" s="0" t="n">
        <v>0</v>
      </c>
      <c r="L898" s="0" t="n">
        <v>0</v>
      </c>
      <c r="M898" s="0" t="n">
        <v>137.3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35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2199.26</v>
      </c>
      <c r="AH898" s="0" t="n">
        <v>2199.26</v>
      </c>
      <c r="AI898" s="0" t="n">
        <v>31</v>
      </c>
    </row>
    <row r="899" customFormat="false" ht="14.9" hidden="false" customHeight="false" outlineLevel="0" collapsed="false">
      <c r="A899" s="0" t="n">
        <v>898</v>
      </c>
      <c r="B899" s="0" t="s">
        <v>356</v>
      </c>
      <c r="C899" s="33" t="s">
        <v>357</v>
      </c>
      <c r="D899" s="34" t="n">
        <v>46219</v>
      </c>
      <c r="E899" s="0" t="n">
        <v>60.21</v>
      </c>
      <c r="F899" s="0" t="n">
        <v>0</v>
      </c>
      <c r="G899" s="0" t="n">
        <v>2697.48</v>
      </c>
      <c r="H899" s="0" t="n">
        <v>48.8</v>
      </c>
      <c r="I899" s="0" t="n">
        <v>0</v>
      </c>
      <c r="J899" s="0" t="n">
        <v>828.43</v>
      </c>
      <c r="K899" s="0" t="n">
        <v>0</v>
      </c>
      <c r="L899" s="0" t="n">
        <v>0</v>
      </c>
      <c r="M899" s="0" t="n">
        <v>108.5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44</v>
      </c>
      <c r="T899" s="0" t="n">
        <v>0</v>
      </c>
      <c r="U899" s="0" t="n">
        <v>0</v>
      </c>
      <c r="V899" s="0" t="n">
        <v>0</v>
      </c>
      <c r="W899" s="0" t="n">
        <v>35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3822.42</v>
      </c>
      <c r="AH899" s="0" t="n">
        <v>3822.42</v>
      </c>
      <c r="AI899" s="0" t="n">
        <v>46</v>
      </c>
    </row>
    <row r="900" customFormat="false" ht="14.9" hidden="false" customHeight="false" outlineLevel="0" collapsed="false">
      <c r="A900" s="0" t="n">
        <v>899</v>
      </c>
      <c r="B900" s="0" t="s">
        <v>356</v>
      </c>
      <c r="C900" s="33" t="s">
        <v>357</v>
      </c>
      <c r="D900" s="34" t="n">
        <v>46207</v>
      </c>
      <c r="E900" s="0" t="n">
        <v>151</v>
      </c>
      <c r="F900" s="0" t="n">
        <v>0</v>
      </c>
      <c r="G900" s="0" t="n">
        <v>472.56</v>
      </c>
      <c r="H900" s="0" t="n">
        <v>276</v>
      </c>
      <c r="I900" s="0" t="n">
        <v>0</v>
      </c>
      <c r="J900" s="0" t="n">
        <v>284.9</v>
      </c>
      <c r="K900" s="0" t="n">
        <v>0</v>
      </c>
      <c r="L900" s="0" t="n">
        <v>0</v>
      </c>
      <c r="M900" s="0" t="n">
        <v>141.6</v>
      </c>
      <c r="N900" s="0" t="n">
        <v>0</v>
      </c>
      <c r="O900" s="0" t="n">
        <v>59</v>
      </c>
      <c r="P900" s="0" t="n">
        <v>0</v>
      </c>
      <c r="Q900" s="0" t="n">
        <v>0</v>
      </c>
      <c r="R900" s="0" t="n">
        <v>0</v>
      </c>
      <c r="S900" s="0" t="n">
        <v>23.2</v>
      </c>
      <c r="T900" s="0" t="n">
        <v>0</v>
      </c>
      <c r="U900" s="0" t="n">
        <v>0</v>
      </c>
      <c r="V900" s="0" t="n">
        <v>0</v>
      </c>
      <c r="W900" s="0" t="n">
        <v>10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1418.26</v>
      </c>
      <c r="AH900" s="0" t="n">
        <v>1418.26</v>
      </c>
      <c r="AI900" s="0" t="n">
        <v>32</v>
      </c>
    </row>
    <row r="901" customFormat="false" ht="14.9" hidden="false" customHeight="false" outlineLevel="0" collapsed="false">
      <c r="A901" s="0" t="n">
        <v>900</v>
      </c>
      <c r="B901" s="0" t="s">
        <v>356</v>
      </c>
      <c r="C901" s="33" t="s">
        <v>357</v>
      </c>
      <c r="D901" s="34" t="n">
        <v>46220</v>
      </c>
      <c r="E901" s="0" t="n">
        <v>250.2</v>
      </c>
      <c r="F901" s="0" t="n">
        <v>0</v>
      </c>
      <c r="G901" s="0" t="n">
        <v>940.49</v>
      </c>
      <c r="H901" s="0" t="n">
        <v>72.5</v>
      </c>
      <c r="I901" s="0" t="n">
        <v>0</v>
      </c>
      <c r="J901" s="0" t="n">
        <v>119.61</v>
      </c>
      <c r="K901" s="0" t="n">
        <v>0</v>
      </c>
      <c r="L901" s="0" t="n">
        <v>0</v>
      </c>
      <c r="M901" s="0" t="n">
        <v>106.8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60</v>
      </c>
      <c r="T901" s="0" t="n">
        <v>0</v>
      </c>
      <c r="U901" s="0" t="n">
        <v>0</v>
      </c>
      <c r="V901" s="0" t="n">
        <v>0</v>
      </c>
      <c r="W901" s="0" t="n">
        <v>13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1562.6</v>
      </c>
      <c r="AH901" s="0" t="n">
        <v>1562.6</v>
      </c>
      <c r="AI901" s="0" t="n">
        <v>28</v>
      </c>
    </row>
    <row r="902" customFormat="false" ht="14.9" hidden="false" customHeight="false" outlineLevel="0" collapsed="false">
      <c r="A902" s="0" t="n">
        <v>901</v>
      </c>
      <c r="B902" s="0" t="s">
        <v>358</v>
      </c>
      <c r="C902" s="33" t="s">
        <v>359</v>
      </c>
      <c r="D902" s="34" t="n">
        <v>46204</v>
      </c>
      <c r="E902" s="0" t="n">
        <v>1153.95</v>
      </c>
      <c r="F902" s="0" t="n">
        <v>0</v>
      </c>
      <c r="G902" s="0" t="n">
        <v>549.26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n">
        <v>20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1723.21</v>
      </c>
      <c r="AH902" s="0" t="n">
        <v>1723.21</v>
      </c>
      <c r="AI902" s="0" t="n">
        <v>29</v>
      </c>
    </row>
    <row r="903" customFormat="false" ht="14.9" hidden="false" customHeight="false" outlineLevel="0" collapsed="false">
      <c r="A903" s="0" t="n">
        <v>902</v>
      </c>
      <c r="B903" s="0" t="s">
        <v>358</v>
      </c>
      <c r="C903" s="33" t="s">
        <v>359</v>
      </c>
      <c r="D903" s="34" t="n">
        <v>46221</v>
      </c>
      <c r="E903" s="0" t="n">
        <v>578.77</v>
      </c>
      <c r="F903" s="0" t="n">
        <v>0</v>
      </c>
      <c r="G903" s="0" t="n">
        <v>601.5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3.8</v>
      </c>
      <c r="W903" s="0" t="n">
        <v>36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1220.07</v>
      </c>
      <c r="AH903" s="0" t="n">
        <v>1220.07</v>
      </c>
      <c r="AI903" s="0" t="n">
        <v>32</v>
      </c>
    </row>
    <row r="904" customFormat="false" ht="14.9" hidden="false" customHeight="false" outlineLevel="0" collapsed="false">
      <c r="A904" s="0" t="n">
        <v>903</v>
      </c>
      <c r="B904" s="0" t="s">
        <v>358</v>
      </c>
      <c r="C904" s="33" t="s">
        <v>359</v>
      </c>
      <c r="D904" s="34" t="n">
        <v>46207</v>
      </c>
      <c r="E904" s="0" t="n">
        <v>400.55</v>
      </c>
      <c r="F904" s="0" t="n">
        <v>0</v>
      </c>
      <c r="G904" s="0" t="n">
        <v>1073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12.8</v>
      </c>
      <c r="W904" s="0" t="n">
        <v>46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1532.35</v>
      </c>
      <c r="AH904" s="0" t="n">
        <v>1532.35</v>
      </c>
      <c r="AI904" s="0" t="n">
        <v>32</v>
      </c>
    </row>
    <row r="905" customFormat="false" ht="14.9" hidden="false" customHeight="false" outlineLevel="0" collapsed="false">
      <c r="A905" s="0" t="n">
        <v>904</v>
      </c>
      <c r="B905" s="0" t="s">
        <v>358</v>
      </c>
      <c r="C905" s="33" t="s">
        <v>359</v>
      </c>
      <c r="D905" s="34" t="n">
        <v>46212</v>
      </c>
      <c r="E905" s="0" t="n">
        <v>609.25</v>
      </c>
      <c r="F905" s="0" t="n">
        <v>0</v>
      </c>
      <c r="G905" s="0" t="n">
        <v>1093.85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0.02</v>
      </c>
      <c r="W905" s="0" t="n">
        <v>43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1746.12</v>
      </c>
      <c r="AH905" s="0" t="n">
        <v>1746.12</v>
      </c>
      <c r="AI905" s="0" t="n">
        <v>35</v>
      </c>
    </row>
    <row r="906" customFormat="false" ht="14.9" hidden="false" customHeight="false" outlineLevel="0" collapsed="false">
      <c r="A906" s="0" t="n">
        <v>905</v>
      </c>
      <c r="B906" s="0" t="s">
        <v>358</v>
      </c>
      <c r="C906" s="33" t="s">
        <v>359</v>
      </c>
      <c r="D906" s="34" t="n">
        <v>46231</v>
      </c>
      <c r="E906" s="0" t="n">
        <v>427.3</v>
      </c>
      <c r="F906" s="0" t="n">
        <v>0</v>
      </c>
      <c r="G906" s="0" t="n">
        <v>780.9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W906" s="0" t="n">
        <v>40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1248.2</v>
      </c>
      <c r="AH906" s="0" t="n">
        <v>1248.2</v>
      </c>
      <c r="AI906" s="0" t="n">
        <v>32</v>
      </c>
    </row>
    <row r="907" customFormat="false" ht="14.9" hidden="false" customHeight="false" outlineLevel="0" collapsed="false">
      <c r="A907" s="0" t="n">
        <v>906</v>
      </c>
      <c r="B907" s="0" t="s">
        <v>358</v>
      </c>
      <c r="C907" s="33" t="s">
        <v>359</v>
      </c>
      <c r="D907" s="34" t="n">
        <v>46223</v>
      </c>
      <c r="E907" s="0" t="n">
        <v>322</v>
      </c>
      <c r="F907" s="0" t="n">
        <v>0</v>
      </c>
      <c r="G907" s="0" t="n">
        <v>606.52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40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968.52</v>
      </c>
      <c r="AH907" s="0" t="n">
        <v>968.52</v>
      </c>
      <c r="AI907" s="0" t="n">
        <v>24</v>
      </c>
    </row>
    <row r="908" customFormat="false" ht="14.9" hidden="false" customHeight="false" outlineLevel="0" collapsed="false">
      <c r="A908" s="0" t="n">
        <v>907</v>
      </c>
      <c r="B908" s="0" t="s">
        <v>358</v>
      </c>
      <c r="C908" s="33" t="s">
        <v>359</v>
      </c>
      <c r="D908" s="34" t="n">
        <v>46211</v>
      </c>
      <c r="E908" s="0" t="n">
        <v>263.81</v>
      </c>
      <c r="F908" s="0" t="n">
        <v>0</v>
      </c>
      <c r="G908" s="0" t="n">
        <v>1277.8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0.02</v>
      </c>
      <c r="W908" s="0" t="n">
        <v>60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1601.63</v>
      </c>
      <c r="AH908" s="0" t="n">
        <v>1601.63</v>
      </c>
      <c r="AI908" s="0" t="n">
        <v>34</v>
      </c>
    </row>
    <row r="909" customFormat="false" ht="14.9" hidden="false" customHeight="false" outlineLevel="0" collapsed="false">
      <c r="A909" s="0" t="n">
        <v>908</v>
      </c>
      <c r="B909" s="0" t="s">
        <v>358</v>
      </c>
      <c r="C909" s="33" t="s">
        <v>359</v>
      </c>
      <c r="D909" s="34" t="n">
        <v>46214</v>
      </c>
      <c r="E909" s="0" t="n">
        <v>321.63</v>
      </c>
      <c r="F909" s="0" t="n">
        <v>0</v>
      </c>
      <c r="G909" s="0" t="n">
        <v>495.53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15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832.16</v>
      </c>
      <c r="AH909" s="0" t="n">
        <v>832.16</v>
      </c>
      <c r="AI909" s="0" t="n">
        <v>29</v>
      </c>
    </row>
    <row r="910" customFormat="false" ht="14.9" hidden="false" customHeight="false" outlineLevel="0" collapsed="false">
      <c r="A910" s="0" t="n">
        <v>909</v>
      </c>
      <c r="B910" s="0" t="s">
        <v>358</v>
      </c>
      <c r="C910" s="33" t="s">
        <v>359</v>
      </c>
      <c r="D910" s="34" t="n">
        <v>46234</v>
      </c>
      <c r="E910" s="0" t="n">
        <v>559.5</v>
      </c>
      <c r="F910" s="0" t="n">
        <v>0</v>
      </c>
      <c r="G910" s="0" t="n">
        <v>478.9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n">
        <v>104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1142.4</v>
      </c>
      <c r="AH910" s="0" t="n">
        <v>1142.4</v>
      </c>
      <c r="AI910" s="0" t="n">
        <v>22</v>
      </c>
    </row>
    <row r="911" customFormat="false" ht="14.9" hidden="false" customHeight="false" outlineLevel="0" collapsed="false">
      <c r="A911" s="0" t="n">
        <v>910</v>
      </c>
      <c r="B911" s="0" t="s">
        <v>358</v>
      </c>
      <c r="C911" s="33" t="s">
        <v>359</v>
      </c>
      <c r="D911" s="34" t="n">
        <v>46233</v>
      </c>
      <c r="E911" s="0" t="n">
        <v>1043.59</v>
      </c>
      <c r="F911" s="0" t="n">
        <v>0</v>
      </c>
      <c r="G911" s="0" t="n">
        <v>1131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n">
        <v>200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2374.59</v>
      </c>
      <c r="AH911" s="0" t="n">
        <v>2374.59</v>
      </c>
      <c r="AI911" s="0" t="n">
        <v>38</v>
      </c>
    </row>
    <row r="912" customFormat="false" ht="14.9" hidden="false" customHeight="false" outlineLevel="0" collapsed="false">
      <c r="A912" s="0" t="n">
        <v>911</v>
      </c>
      <c r="B912" s="0" t="s">
        <v>358</v>
      </c>
      <c r="C912" s="33" t="s">
        <v>359</v>
      </c>
      <c r="D912" s="34" t="n">
        <v>46224</v>
      </c>
      <c r="E912" s="0" t="n">
        <v>598.64</v>
      </c>
      <c r="F912" s="0" t="n">
        <v>0</v>
      </c>
      <c r="G912" s="0" t="n">
        <v>363.3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49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1010.94</v>
      </c>
      <c r="AH912" s="0" t="n">
        <v>1010.94</v>
      </c>
      <c r="AI912" s="0" t="n">
        <v>22</v>
      </c>
    </row>
    <row r="913" customFormat="false" ht="14.9" hidden="false" customHeight="false" outlineLevel="0" collapsed="false">
      <c r="A913" s="0" t="n">
        <v>912</v>
      </c>
      <c r="B913" s="0" t="s">
        <v>358</v>
      </c>
      <c r="C913" s="33" t="s">
        <v>359</v>
      </c>
      <c r="D913" s="34" t="n">
        <v>46205</v>
      </c>
      <c r="E913" s="0" t="n">
        <v>902.7</v>
      </c>
      <c r="F913" s="0" t="n">
        <v>0</v>
      </c>
      <c r="G913" s="0" t="n">
        <v>304.2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28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1234.9</v>
      </c>
      <c r="AH913" s="0" t="n">
        <v>1234.9</v>
      </c>
      <c r="AI913" s="0" t="n">
        <v>25</v>
      </c>
    </row>
    <row r="914" customFormat="false" ht="14.9" hidden="false" customHeight="false" outlineLevel="0" collapsed="false">
      <c r="A914" s="0" t="n">
        <v>913</v>
      </c>
      <c r="B914" s="0" t="s">
        <v>358</v>
      </c>
      <c r="C914" s="33" t="s">
        <v>359</v>
      </c>
      <c r="D914" s="34" t="n">
        <v>46215</v>
      </c>
      <c r="E914" s="0" t="n">
        <v>473.9</v>
      </c>
      <c r="F914" s="0" t="n">
        <v>0</v>
      </c>
      <c r="G914" s="0" t="n">
        <v>1212.19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3.8</v>
      </c>
      <c r="W914" s="0" t="n">
        <v>38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1727.89</v>
      </c>
      <c r="AH914" s="0" t="n">
        <v>1727.89</v>
      </c>
      <c r="AI914" s="0" t="n">
        <v>35</v>
      </c>
    </row>
    <row r="915" customFormat="false" ht="14.9" hidden="false" customHeight="false" outlineLevel="0" collapsed="false">
      <c r="A915" s="0" t="n">
        <v>914</v>
      </c>
      <c r="B915" s="0" t="s">
        <v>358</v>
      </c>
      <c r="C915" s="33" t="s">
        <v>359</v>
      </c>
      <c r="D915" s="34" t="n">
        <v>46209</v>
      </c>
      <c r="E915" s="0" t="n">
        <v>330.8</v>
      </c>
      <c r="F915" s="0" t="n">
        <v>0</v>
      </c>
      <c r="G915" s="0" t="n">
        <v>320.32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44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695.12</v>
      </c>
      <c r="AH915" s="0" t="n">
        <v>695.12</v>
      </c>
      <c r="AI915" s="0" t="n">
        <v>24</v>
      </c>
    </row>
    <row r="916" customFormat="false" ht="14.9" hidden="false" customHeight="false" outlineLevel="0" collapsed="false">
      <c r="A916" s="0" t="n">
        <v>915</v>
      </c>
      <c r="B916" s="0" t="s">
        <v>358</v>
      </c>
      <c r="C916" s="33" t="s">
        <v>359</v>
      </c>
      <c r="D916" s="34" t="n">
        <v>46230</v>
      </c>
      <c r="E916" s="0" t="n">
        <v>226.62</v>
      </c>
      <c r="F916" s="0" t="n">
        <v>0</v>
      </c>
      <c r="G916" s="0" t="n">
        <v>574.88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6.8</v>
      </c>
      <c r="W916" s="0" t="n">
        <v>41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849.3</v>
      </c>
      <c r="AH916" s="0" t="n">
        <v>849.3</v>
      </c>
      <c r="AI916" s="0" t="n">
        <v>23</v>
      </c>
    </row>
    <row r="917" customFormat="false" ht="14.9" hidden="false" customHeight="false" outlineLevel="0" collapsed="false">
      <c r="A917" s="0" t="n">
        <v>916</v>
      </c>
      <c r="B917" s="0" t="s">
        <v>358</v>
      </c>
      <c r="C917" s="33" t="s">
        <v>359</v>
      </c>
      <c r="D917" s="34" t="n">
        <v>46225</v>
      </c>
      <c r="E917" s="0" t="n">
        <v>648.86</v>
      </c>
      <c r="F917" s="0" t="n">
        <v>0</v>
      </c>
      <c r="G917" s="0" t="n">
        <v>876.4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0.01</v>
      </c>
      <c r="W917" s="0" t="n">
        <v>41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1566.27</v>
      </c>
      <c r="AH917" s="0" t="n">
        <v>1566.27</v>
      </c>
      <c r="AI917" s="0" t="n">
        <v>37</v>
      </c>
    </row>
    <row r="918" customFormat="false" ht="14.9" hidden="false" customHeight="false" outlineLevel="0" collapsed="false">
      <c r="A918" s="0" t="n">
        <v>917</v>
      </c>
      <c r="B918" s="0" t="s">
        <v>358</v>
      </c>
      <c r="C918" s="33" t="s">
        <v>359</v>
      </c>
      <c r="D918" s="34" t="n">
        <v>46226</v>
      </c>
      <c r="E918" s="0" t="n">
        <v>517.4</v>
      </c>
      <c r="F918" s="0" t="n">
        <v>0</v>
      </c>
      <c r="G918" s="0" t="n">
        <v>740.7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43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1301.1</v>
      </c>
      <c r="AH918" s="0" t="n">
        <v>1301.1</v>
      </c>
      <c r="AI918" s="0" t="n">
        <v>30</v>
      </c>
    </row>
    <row r="919" customFormat="false" ht="14.9" hidden="false" customHeight="false" outlineLevel="0" collapsed="false">
      <c r="A919" s="0" t="n">
        <v>918</v>
      </c>
      <c r="B919" s="0" t="s">
        <v>358</v>
      </c>
      <c r="C919" s="33" t="s">
        <v>359</v>
      </c>
      <c r="D919" s="34" t="n">
        <v>46228</v>
      </c>
      <c r="E919" s="0" t="n">
        <v>295.91</v>
      </c>
      <c r="F919" s="0" t="n">
        <v>0</v>
      </c>
      <c r="G919" s="0" t="n">
        <v>631.76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50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977.67</v>
      </c>
      <c r="AH919" s="0" t="n">
        <v>977.67</v>
      </c>
      <c r="AI919" s="0" t="n">
        <v>27</v>
      </c>
    </row>
    <row r="920" customFormat="false" ht="14.9" hidden="false" customHeight="false" outlineLevel="0" collapsed="false">
      <c r="A920" s="0" t="n">
        <v>919</v>
      </c>
      <c r="B920" s="0" t="s">
        <v>358</v>
      </c>
      <c r="C920" s="33" t="s">
        <v>359</v>
      </c>
      <c r="D920" s="34" t="n">
        <v>46216</v>
      </c>
      <c r="E920" s="0" t="n">
        <v>254.5</v>
      </c>
      <c r="F920" s="0" t="n">
        <v>0</v>
      </c>
      <c r="G920" s="0" t="n">
        <v>250.45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0</v>
      </c>
      <c r="W920" s="0" t="n">
        <v>50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554.95</v>
      </c>
      <c r="AH920" s="0" t="n">
        <v>554.95</v>
      </c>
      <c r="AI920" s="0" t="n">
        <v>16</v>
      </c>
    </row>
    <row r="921" customFormat="false" ht="14.9" hidden="false" customHeight="false" outlineLevel="0" collapsed="false">
      <c r="A921" s="0" t="n">
        <v>920</v>
      </c>
      <c r="B921" s="0" t="s">
        <v>358</v>
      </c>
      <c r="C921" s="33" t="s">
        <v>359</v>
      </c>
      <c r="D921" s="34" t="n">
        <v>46220</v>
      </c>
      <c r="E921" s="0" t="n">
        <v>274.5</v>
      </c>
      <c r="F921" s="0" t="n">
        <v>0</v>
      </c>
      <c r="G921" s="0" t="n">
        <v>576.5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48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899</v>
      </c>
      <c r="AH921" s="0" t="n">
        <v>899</v>
      </c>
      <c r="AI921" s="0" t="n">
        <v>19</v>
      </c>
    </row>
    <row r="922" customFormat="false" ht="14.9" hidden="false" customHeight="false" outlineLevel="0" collapsed="false">
      <c r="A922" s="0" t="n">
        <v>921</v>
      </c>
      <c r="B922" s="0" t="s">
        <v>358</v>
      </c>
      <c r="C922" s="33" t="s">
        <v>359</v>
      </c>
      <c r="D922" s="34" t="n">
        <v>46206</v>
      </c>
      <c r="E922" s="0" t="n">
        <v>369.7</v>
      </c>
      <c r="F922" s="0" t="n">
        <v>0</v>
      </c>
      <c r="G922" s="0" t="n">
        <v>758.6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56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1184.3</v>
      </c>
      <c r="AH922" s="0" t="n">
        <v>1184.3</v>
      </c>
      <c r="AI922" s="0" t="n">
        <v>24</v>
      </c>
    </row>
    <row r="923" customFormat="false" ht="14.9" hidden="false" customHeight="false" outlineLevel="0" collapsed="false">
      <c r="A923" s="0" t="n">
        <v>922</v>
      </c>
      <c r="B923" s="0" t="s">
        <v>358</v>
      </c>
      <c r="C923" s="33" t="s">
        <v>359</v>
      </c>
      <c r="D923" s="34" t="n">
        <v>46213</v>
      </c>
      <c r="E923" s="0" t="n">
        <v>745.65</v>
      </c>
      <c r="F923" s="0" t="n">
        <v>0</v>
      </c>
      <c r="G923" s="0" t="n">
        <v>297.6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33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1076.25</v>
      </c>
      <c r="AH923" s="0" t="n">
        <v>1076.25</v>
      </c>
      <c r="AI923" s="0" t="n">
        <v>23</v>
      </c>
    </row>
    <row r="924" customFormat="false" ht="14.9" hidden="false" customHeight="false" outlineLevel="0" collapsed="false">
      <c r="A924" s="0" t="n">
        <v>923</v>
      </c>
      <c r="B924" s="0" t="s">
        <v>358</v>
      </c>
      <c r="C924" s="33" t="s">
        <v>359</v>
      </c>
      <c r="D924" s="34" t="n">
        <v>46229</v>
      </c>
      <c r="E924" s="0" t="n">
        <v>824.67</v>
      </c>
      <c r="F924" s="0" t="n">
        <v>0</v>
      </c>
      <c r="G924" s="0" t="n">
        <v>975.3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157</v>
      </c>
      <c r="T924" s="0" t="n">
        <v>0</v>
      </c>
      <c r="U924" s="0" t="n">
        <v>0</v>
      </c>
      <c r="V924" s="0" t="n">
        <v>0</v>
      </c>
      <c r="W924" s="0" t="n">
        <v>40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1996.97</v>
      </c>
      <c r="AH924" s="0" t="n">
        <v>1996.97</v>
      </c>
      <c r="AI924" s="0" t="n">
        <v>39</v>
      </c>
    </row>
    <row r="925" customFormat="false" ht="14.9" hidden="false" customHeight="false" outlineLevel="0" collapsed="false">
      <c r="A925" s="0" t="n">
        <v>924</v>
      </c>
      <c r="B925" s="0" t="s">
        <v>358</v>
      </c>
      <c r="C925" s="33" t="s">
        <v>359</v>
      </c>
      <c r="D925" s="34" t="n">
        <v>46210</v>
      </c>
      <c r="E925" s="0" t="n">
        <v>200.5</v>
      </c>
      <c r="F925" s="0" t="n">
        <v>0</v>
      </c>
      <c r="G925" s="0" t="n">
        <v>644.1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41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885.6</v>
      </c>
      <c r="AH925" s="0" t="n">
        <v>885.6</v>
      </c>
      <c r="AI925" s="0" t="n">
        <v>21</v>
      </c>
    </row>
    <row r="926" customFormat="false" ht="14.9" hidden="false" customHeight="false" outlineLevel="0" collapsed="false">
      <c r="A926" s="0" t="n">
        <v>925</v>
      </c>
      <c r="B926" s="0" t="s">
        <v>358</v>
      </c>
      <c r="C926" s="33" t="s">
        <v>359</v>
      </c>
      <c r="D926" s="34" t="n">
        <v>46208</v>
      </c>
      <c r="E926" s="0" t="n">
        <v>266.39</v>
      </c>
      <c r="F926" s="0" t="n">
        <v>0</v>
      </c>
      <c r="G926" s="0" t="n">
        <v>1139.5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30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1435.89</v>
      </c>
      <c r="AH926" s="0" t="n">
        <v>1435.89</v>
      </c>
      <c r="AI926" s="0" t="n">
        <v>25</v>
      </c>
    </row>
    <row r="927" customFormat="false" ht="14.9" hidden="false" customHeight="false" outlineLevel="0" collapsed="false">
      <c r="A927" s="0" t="n">
        <v>926</v>
      </c>
      <c r="B927" s="0" t="s">
        <v>358</v>
      </c>
      <c r="C927" s="33" t="s">
        <v>359</v>
      </c>
      <c r="D927" s="34" t="n">
        <v>46217</v>
      </c>
      <c r="E927" s="0" t="n">
        <v>365.1</v>
      </c>
      <c r="F927" s="0" t="n">
        <v>0</v>
      </c>
      <c r="G927" s="0" t="n">
        <v>535.65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3</v>
      </c>
      <c r="W927" s="0" t="n">
        <v>38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941.75</v>
      </c>
      <c r="AH927" s="0" t="n">
        <v>941.75</v>
      </c>
      <c r="AI927" s="0" t="n">
        <v>28</v>
      </c>
    </row>
    <row r="928" customFormat="false" ht="14.9" hidden="false" customHeight="false" outlineLevel="0" collapsed="false">
      <c r="A928" s="0" t="n">
        <v>927</v>
      </c>
      <c r="B928" s="0" t="s">
        <v>358</v>
      </c>
      <c r="C928" s="33" t="s">
        <v>359</v>
      </c>
      <c r="D928" s="34" t="n">
        <v>46227</v>
      </c>
      <c r="E928" s="0" t="n">
        <v>705.3</v>
      </c>
      <c r="F928" s="0" t="n">
        <v>0</v>
      </c>
      <c r="G928" s="0" t="n">
        <v>783.6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44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1532.9</v>
      </c>
      <c r="AH928" s="0" t="n">
        <v>1532.9</v>
      </c>
      <c r="AI928" s="0" t="n">
        <v>39</v>
      </c>
    </row>
    <row r="929" customFormat="false" ht="14.9" hidden="false" customHeight="false" outlineLevel="0" collapsed="false">
      <c r="A929" s="0" t="n">
        <v>928</v>
      </c>
      <c r="B929" s="0" t="s">
        <v>358</v>
      </c>
      <c r="C929" s="33" t="s">
        <v>359</v>
      </c>
      <c r="D929" s="34" t="n">
        <v>46219</v>
      </c>
      <c r="E929" s="0" t="n">
        <v>485.5</v>
      </c>
      <c r="F929" s="0" t="n">
        <v>0</v>
      </c>
      <c r="G929" s="0" t="n">
        <v>764.46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89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1338.96</v>
      </c>
      <c r="AH929" s="0" t="n">
        <v>1338.96</v>
      </c>
      <c r="AI929" s="0" t="n">
        <v>31</v>
      </c>
    </row>
    <row r="930" customFormat="false" ht="14.9" hidden="false" customHeight="false" outlineLevel="0" collapsed="false">
      <c r="A930" s="0" t="n">
        <v>929</v>
      </c>
      <c r="B930" s="0" t="s">
        <v>358</v>
      </c>
      <c r="C930" s="33" t="s">
        <v>359</v>
      </c>
      <c r="D930" s="34" t="n">
        <v>46222</v>
      </c>
      <c r="E930" s="0" t="n">
        <v>200.6</v>
      </c>
      <c r="F930" s="0" t="n">
        <v>0</v>
      </c>
      <c r="G930" s="0" t="n">
        <v>800.6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20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1021.2</v>
      </c>
      <c r="AH930" s="0" t="n">
        <v>1021.2</v>
      </c>
      <c r="AI930" s="0" t="n">
        <v>24</v>
      </c>
    </row>
    <row r="931" customFormat="false" ht="14.9" hidden="false" customHeight="false" outlineLevel="0" collapsed="false">
      <c r="A931" s="0" t="n">
        <v>930</v>
      </c>
      <c r="B931" s="0" t="s">
        <v>358</v>
      </c>
      <c r="C931" s="33" t="s">
        <v>359</v>
      </c>
      <c r="D931" s="34" t="n">
        <v>46218</v>
      </c>
      <c r="E931" s="0" t="n">
        <v>289.3</v>
      </c>
      <c r="F931" s="0" t="n">
        <v>0</v>
      </c>
      <c r="G931" s="0" t="n">
        <v>408.4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25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722.7</v>
      </c>
      <c r="AH931" s="0" t="n">
        <v>722.7</v>
      </c>
      <c r="AI931" s="0" t="n">
        <v>20</v>
      </c>
    </row>
    <row r="932" customFormat="false" ht="14.9" hidden="false" customHeight="false" outlineLevel="0" collapsed="false">
      <c r="A932" s="0" t="n">
        <v>931</v>
      </c>
      <c r="B932" s="0" t="s">
        <v>360</v>
      </c>
      <c r="C932" s="33" t="s">
        <v>361</v>
      </c>
      <c r="D932" s="34" t="n">
        <v>46209</v>
      </c>
      <c r="E932" s="0" t="n">
        <v>96.2</v>
      </c>
      <c r="F932" s="0" t="n">
        <v>0</v>
      </c>
      <c r="G932" s="0" t="n">
        <v>1026.57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43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1165.77</v>
      </c>
      <c r="AH932" s="0" t="n">
        <v>1165.77</v>
      </c>
      <c r="AI932" s="0" t="n">
        <v>18</v>
      </c>
    </row>
    <row r="933" customFormat="false" ht="14.9" hidden="false" customHeight="false" outlineLevel="0" collapsed="false">
      <c r="A933" s="0" t="n">
        <v>932</v>
      </c>
      <c r="B933" s="0" t="s">
        <v>360</v>
      </c>
      <c r="C933" s="33" t="s">
        <v>361</v>
      </c>
      <c r="D933" s="34" t="n">
        <v>46229</v>
      </c>
      <c r="E933" s="0" t="n">
        <v>156.12</v>
      </c>
      <c r="F933" s="0" t="n">
        <v>0</v>
      </c>
      <c r="G933" s="0" t="n">
        <v>925.7</v>
      </c>
      <c r="H933" s="0" t="n">
        <v>0</v>
      </c>
      <c r="I933" s="0" t="n">
        <v>0</v>
      </c>
      <c r="J933" s="0" t="n">
        <v>0</v>
      </c>
      <c r="K933" s="0" t="n">
        <v>72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10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1163.82</v>
      </c>
      <c r="AH933" s="0" t="n">
        <v>1163.82</v>
      </c>
      <c r="AI933" s="0" t="n">
        <v>14</v>
      </c>
    </row>
    <row r="934" customFormat="false" ht="14.9" hidden="false" customHeight="false" outlineLevel="0" collapsed="false">
      <c r="A934" s="0" t="n">
        <v>933</v>
      </c>
      <c r="B934" s="0" t="s">
        <v>360</v>
      </c>
      <c r="C934" s="33" t="s">
        <v>361</v>
      </c>
      <c r="D934" s="34" t="n">
        <v>46233</v>
      </c>
      <c r="E934" s="0" t="n">
        <v>176.4</v>
      </c>
      <c r="F934" s="0" t="n">
        <v>0</v>
      </c>
      <c r="G934" s="0" t="n">
        <v>292.4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25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493.8</v>
      </c>
      <c r="AH934" s="0" t="n">
        <v>493.8</v>
      </c>
      <c r="AI934" s="0" t="n">
        <v>11</v>
      </c>
    </row>
    <row r="935" customFormat="false" ht="14.9" hidden="false" customHeight="false" outlineLevel="0" collapsed="false">
      <c r="A935" s="0" t="n">
        <v>934</v>
      </c>
      <c r="B935" s="0" t="s">
        <v>360</v>
      </c>
      <c r="C935" s="33" t="s">
        <v>361</v>
      </c>
      <c r="D935" s="34" t="n">
        <v>46228</v>
      </c>
      <c r="E935" s="0" t="n">
        <v>76.8</v>
      </c>
      <c r="F935" s="0" t="n">
        <v>0</v>
      </c>
      <c r="G935" s="0" t="n">
        <v>369.56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n">
        <v>26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472.36</v>
      </c>
      <c r="AH935" s="0" t="n">
        <v>472.36</v>
      </c>
      <c r="AI935" s="0" t="n">
        <v>10</v>
      </c>
    </row>
    <row r="936" customFormat="false" ht="14.9" hidden="false" customHeight="false" outlineLevel="0" collapsed="false">
      <c r="A936" s="0" t="n">
        <v>935</v>
      </c>
      <c r="B936" s="0" t="s">
        <v>360</v>
      </c>
      <c r="C936" s="33" t="s">
        <v>361</v>
      </c>
      <c r="D936" s="34" t="n">
        <v>46226</v>
      </c>
      <c r="E936" s="0" t="n">
        <v>1</v>
      </c>
      <c r="F936" s="0" t="n">
        <v>0</v>
      </c>
      <c r="G936" s="0" t="n">
        <v>744.63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15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760.63</v>
      </c>
      <c r="AH936" s="0" t="n">
        <v>760.63</v>
      </c>
      <c r="AI936" s="0" t="n">
        <v>15</v>
      </c>
    </row>
    <row r="937" customFormat="false" ht="14.9" hidden="false" customHeight="false" outlineLevel="0" collapsed="false">
      <c r="A937" s="0" t="n">
        <v>936</v>
      </c>
      <c r="B937" s="0" t="s">
        <v>360</v>
      </c>
      <c r="C937" s="33" t="s">
        <v>361</v>
      </c>
      <c r="D937" s="34" t="n">
        <v>46208</v>
      </c>
      <c r="E937" s="0" t="n">
        <v>418.3</v>
      </c>
      <c r="F937" s="0" t="n">
        <v>0</v>
      </c>
      <c r="G937" s="0" t="n">
        <v>228.3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5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651.6</v>
      </c>
      <c r="AH937" s="0" t="n">
        <v>651.6</v>
      </c>
      <c r="AI937" s="0" t="n">
        <v>11</v>
      </c>
    </row>
    <row r="938" customFormat="false" ht="14.9" hidden="false" customHeight="false" outlineLevel="0" collapsed="false">
      <c r="A938" s="0" t="n">
        <v>937</v>
      </c>
      <c r="B938" s="0" t="s">
        <v>360</v>
      </c>
      <c r="C938" s="33" t="s">
        <v>361</v>
      </c>
      <c r="D938" s="34" t="n">
        <v>46218</v>
      </c>
      <c r="E938" s="0" t="n">
        <v>270.2</v>
      </c>
      <c r="F938" s="0" t="n">
        <v>0</v>
      </c>
      <c r="G938" s="0" t="n">
        <v>415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40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19.8</v>
      </c>
      <c r="W938" s="0" t="n">
        <v>15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760</v>
      </c>
      <c r="AH938" s="0" t="n">
        <v>760</v>
      </c>
      <c r="AI938" s="0" t="n">
        <v>14</v>
      </c>
    </row>
    <row r="939" customFormat="false" ht="14.9" hidden="false" customHeight="false" outlineLevel="0" collapsed="false">
      <c r="A939" s="0" t="n">
        <v>938</v>
      </c>
      <c r="B939" s="0" t="s">
        <v>360</v>
      </c>
      <c r="C939" s="33" t="s">
        <v>361</v>
      </c>
      <c r="D939" s="34" t="n">
        <v>46230</v>
      </c>
      <c r="E939" s="0" t="n">
        <v>82.6</v>
      </c>
      <c r="F939" s="0" t="n">
        <v>0</v>
      </c>
      <c r="G939" s="0" t="n">
        <v>732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9.9</v>
      </c>
      <c r="W939" s="0" t="n">
        <v>60</v>
      </c>
      <c r="X939" s="0" t="n">
        <v>0</v>
      </c>
      <c r="Y939" s="0" t="n">
        <v>0</v>
      </c>
      <c r="Z939" s="0" t="n">
        <v>0</v>
      </c>
      <c r="AA939" s="0" t="n">
        <v>0</v>
      </c>
      <c r="AB939" s="0" t="n">
        <v>0</v>
      </c>
      <c r="AC939" s="0" t="n">
        <v>0</v>
      </c>
      <c r="AD939" s="0" t="n">
        <v>0</v>
      </c>
      <c r="AE939" s="0" t="n">
        <v>0</v>
      </c>
      <c r="AF939" s="0" t="n">
        <v>0</v>
      </c>
      <c r="AG939" s="0" t="n">
        <v>884.5</v>
      </c>
      <c r="AH939" s="0" t="n">
        <v>884.5</v>
      </c>
      <c r="AI939" s="0" t="n">
        <v>15</v>
      </c>
    </row>
    <row r="940" customFormat="false" ht="14.9" hidden="false" customHeight="false" outlineLevel="0" collapsed="false">
      <c r="A940" s="0" t="n">
        <v>939</v>
      </c>
      <c r="B940" s="0" t="s">
        <v>360</v>
      </c>
      <c r="C940" s="33" t="s">
        <v>361</v>
      </c>
      <c r="D940" s="34" t="n">
        <v>46221</v>
      </c>
      <c r="E940" s="0" t="n">
        <v>70.8</v>
      </c>
      <c r="F940" s="0" t="n">
        <v>0</v>
      </c>
      <c r="G940" s="0" t="n">
        <v>432.9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15</v>
      </c>
      <c r="X940" s="0" t="n">
        <v>0</v>
      </c>
      <c r="Y940" s="0" t="n">
        <v>0</v>
      </c>
      <c r="Z940" s="0" t="n">
        <v>0</v>
      </c>
      <c r="AA940" s="0" t="n">
        <v>0</v>
      </c>
      <c r="AB940" s="0" t="n">
        <v>0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518.7</v>
      </c>
      <c r="AH940" s="0" t="n">
        <v>518.7</v>
      </c>
      <c r="AI940" s="0" t="n">
        <v>14</v>
      </c>
    </row>
    <row r="941" customFormat="false" ht="14.9" hidden="false" customHeight="false" outlineLevel="0" collapsed="false">
      <c r="A941" s="0" t="n">
        <v>940</v>
      </c>
      <c r="B941" s="0" t="s">
        <v>360</v>
      </c>
      <c r="C941" s="33" t="s">
        <v>361</v>
      </c>
      <c r="D941" s="34" t="n">
        <v>46234</v>
      </c>
      <c r="E941" s="0" t="n">
        <v>444.73</v>
      </c>
      <c r="F941" s="0" t="n">
        <v>0</v>
      </c>
      <c r="G941" s="0" t="n">
        <v>743.58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1.17</v>
      </c>
      <c r="T941" s="0" t="n">
        <v>0</v>
      </c>
      <c r="U941" s="0" t="n">
        <v>0</v>
      </c>
      <c r="V941" s="0" t="n">
        <v>0</v>
      </c>
      <c r="W941" s="0" t="n">
        <v>80</v>
      </c>
      <c r="X941" s="0" t="n">
        <v>0</v>
      </c>
      <c r="Y941" s="0" t="n">
        <v>0</v>
      </c>
      <c r="Z941" s="0" t="n">
        <v>0</v>
      </c>
      <c r="AA941" s="0" t="n">
        <v>0</v>
      </c>
      <c r="AB941" s="0" t="n">
        <v>0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1269.48</v>
      </c>
      <c r="AH941" s="0" t="n">
        <v>1269.48</v>
      </c>
      <c r="AI941" s="0" t="n">
        <v>21</v>
      </c>
    </row>
    <row r="942" customFormat="false" ht="14.9" hidden="false" customHeight="false" outlineLevel="0" collapsed="false">
      <c r="A942" s="0" t="n">
        <v>941</v>
      </c>
      <c r="B942" s="0" t="s">
        <v>360</v>
      </c>
      <c r="C942" s="33" t="s">
        <v>361</v>
      </c>
      <c r="D942" s="34" t="n">
        <v>46214</v>
      </c>
      <c r="E942" s="0" t="n">
        <v>258.89</v>
      </c>
      <c r="F942" s="0" t="n">
        <v>0</v>
      </c>
      <c r="G942" s="0" t="n">
        <v>660.3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9</v>
      </c>
      <c r="W942" s="0" t="n">
        <v>15</v>
      </c>
      <c r="X942" s="0" t="n">
        <v>0</v>
      </c>
      <c r="Y942" s="0" t="n">
        <v>0</v>
      </c>
      <c r="Z942" s="0" t="n">
        <v>0</v>
      </c>
      <c r="AA942" s="0" t="n">
        <v>0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943.19</v>
      </c>
      <c r="AH942" s="0" t="n">
        <v>943.19</v>
      </c>
      <c r="AI942" s="0" t="n">
        <v>21</v>
      </c>
    </row>
    <row r="943" customFormat="false" ht="14.9" hidden="false" customHeight="false" outlineLevel="0" collapsed="false">
      <c r="A943" s="0" t="n">
        <v>942</v>
      </c>
      <c r="B943" s="0" t="s">
        <v>360</v>
      </c>
      <c r="C943" s="33" t="s">
        <v>361</v>
      </c>
      <c r="D943" s="34" t="n">
        <v>46213</v>
      </c>
      <c r="E943" s="0" t="n">
        <v>7</v>
      </c>
      <c r="F943" s="0" t="n">
        <v>0</v>
      </c>
      <c r="G943" s="0" t="n">
        <v>559.59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n">
        <v>20</v>
      </c>
      <c r="X943" s="0" t="n">
        <v>0</v>
      </c>
      <c r="Y943" s="0" t="n">
        <v>0</v>
      </c>
      <c r="Z943" s="0" t="n">
        <v>0</v>
      </c>
      <c r="AA943" s="0" t="n">
        <v>0</v>
      </c>
      <c r="AB943" s="0" t="n">
        <v>0</v>
      </c>
      <c r="AC943" s="0" t="n">
        <v>0</v>
      </c>
      <c r="AD943" s="0" t="n">
        <v>0</v>
      </c>
      <c r="AE943" s="0" t="n">
        <v>0</v>
      </c>
      <c r="AF943" s="0" t="n">
        <v>0</v>
      </c>
      <c r="AG943" s="0" t="n">
        <v>586.59</v>
      </c>
      <c r="AH943" s="0" t="n">
        <v>586.59</v>
      </c>
      <c r="AI943" s="0" t="n">
        <v>11</v>
      </c>
    </row>
    <row r="944" customFormat="false" ht="14.9" hidden="false" customHeight="false" outlineLevel="0" collapsed="false">
      <c r="A944" s="0" t="n">
        <v>943</v>
      </c>
      <c r="B944" s="0" t="s">
        <v>360</v>
      </c>
      <c r="C944" s="33" t="s">
        <v>361</v>
      </c>
      <c r="D944" s="34" t="n">
        <v>46231</v>
      </c>
      <c r="E944" s="0" t="n">
        <v>377.18</v>
      </c>
      <c r="F944" s="0" t="n">
        <v>0</v>
      </c>
      <c r="G944" s="0" t="n">
        <v>622.36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55</v>
      </c>
      <c r="X944" s="0" t="n">
        <v>0</v>
      </c>
      <c r="Y944" s="0" t="n">
        <v>0</v>
      </c>
      <c r="Z944" s="0" t="n">
        <v>0</v>
      </c>
      <c r="AA944" s="0" t="n">
        <v>0</v>
      </c>
      <c r="AB944" s="0" t="n">
        <v>0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1054.54</v>
      </c>
      <c r="AH944" s="0" t="n">
        <v>1054.54</v>
      </c>
      <c r="AI944" s="0" t="n">
        <v>15</v>
      </c>
    </row>
    <row r="945" customFormat="false" ht="14.9" hidden="false" customHeight="false" outlineLevel="0" collapsed="false">
      <c r="A945" s="0" t="n">
        <v>944</v>
      </c>
      <c r="B945" s="0" t="s">
        <v>360</v>
      </c>
      <c r="C945" s="33" t="s">
        <v>361</v>
      </c>
      <c r="D945" s="34" t="n">
        <v>46211</v>
      </c>
      <c r="E945" s="0" t="n">
        <v>12.8</v>
      </c>
      <c r="F945" s="0" t="n">
        <v>0</v>
      </c>
      <c r="G945" s="0" t="n">
        <v>463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5</v>
      </c>
      <c r="X945" s="0" t="n">
        <v>0</v>
      </c>
      <c r="Y945" s="0" t="n">
        <v>0</v>
      </c>
      <c r="Z945" s="0" t="n">
        <v>0</v>
      </c>
      <c r="AA945" s="0" t="n">
        <v>0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480.8</v>
      </c>
      <c r="AH945" s="0" t="n">
        <v>480.8</v>
      </c>
      <c r="AI945" s="0" t="n">
        <v>8</v>
      </c>
    </row>
    <row r="946" customFormat="false" ht="14.9" hidden="false" customHeight="false" outlineLevel="0" collapsed="false">
      <c r="A946" s="0" t="n">
        <v>945</v>
      </c>
      <c r="B946" s="0" t="s">
        <v>360</v>
      </c>
      <c r="C946" s="33" t="s">
        <v>361</v>
      </c>
      <c r="D946" s="34" t="n">
        <v>46217</v>
      </c>
      <c r="E946" s="0" t="n">
        <v>31.4</v>
      </c>
      <c r="F946" s="0" t="n">
        <v>0</v>
      </c>
      <c r="G946" s="0" t="n">
        <v>153.3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5</v>
      </c>
      <c r="X946" s="0" t="n">
        <v>0</v>
      </c>
      <c r="Y946" s="0" t="n">
        <v>0</v>
      </c>
      <c r="Z946" s="0" t="n">
        <v>0</v>
      </c>
      <c r="AA946" s="0" t="n">
        <v>0</v>
      </c>
      <c r="AB946" s="0" t="n">
        <v>0</v>
      </c>
      <c r="AC946" s="0" t="n">
        <v>0</v>
      </c>
      <c r="AD946" s="0" t="n">
        <v>0</v>
      </c>
      <c r="AE946" s="0" t="n">
        <v>0</v>
      </c>
      <c r="AF946" s="0" t="n">
        <v>0</v>
      </c>
      <c r="AG946" s="0" t="n">
        <v>189.7</v>
      </c>
      <c r="AH946" s="0" t="n">
        <v>189.7</v>
      </c>
      <c r="AI946" s="0" t="n">
        <v>6</v>
      </c>
    </row>
    <row r="947" customFormat="false" ht="14.9" hidden="false" customHeight="false" outlineLevel="0" collapsed="false">
      <c r="A947" s="0" t="n">
        <v>946</v>
      </c>
      <c r="B947" s="0" t="s">
        <v>360</v>
      </c>
      <c r="C947" s="33" t="s">
        <v>361</v>
      </c>
      <c r="D947" s="34" t="n">
        <v>46223</v>
      </c>
      <c r="E947" s="0" t="n">
        <v>113.01</v>
      </c>
      <c r="F947" s="0" t="n">
        <v>0</v>
      </c>
      <c r="G947" s="0" t="n">
        <v>1004.89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5</v>
      </c>
      <c r="X947" s="0" t="n">
        <v>0</v>
      </c>
      <c r="Y947" s="0" t="n">
        <v>0</v>
      </c>
      <c r="Z947" s="0" t="n">
        <v>0</v>
      </c>
      <c r="AA947" s="0" t="n">
        <v>0</v>
      </c>
      <c r="AB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G947" s="0" t="n">
        <v>1122.9</v>
      </c>
      <c r="AH947" s="0" t="n">
        <v>1122.9</v>
      </c>
      <c r="AI947" s="0" t="n">
        <v>15</v>
      </c>
    </row>
    <row r="948" customFormat="false" ht="14.9" hidden="false" customHeight="false" outlineLevel="0" collapsed="false">
      <c r="A948" s="0" t="n">
        <v>947</v>
      </c>
      <c r="B948" s="0" t="s">
        <v>360</v>
      </c>
      <c r="C948" s="33" t="s">
        <v>361</v>
      </c>
      <c r="D948" s="34" t="n">
        <v>46225</v>
      </c>
      <c r="E948" s="0" t="n">
        <v>231.31</v>
      </c>
      <c r="F948" s="0" t="n">
        <v>0</v>
      </c>
      <c r="G948" s="0" t="n">
        <v>970.5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5</v>
      </c>
      <c r="X948" s="0" t="n">
        <v>0</v>
      </c>
      <c r="Y948" s="0" t="n">
        <v>0</v>
      </c>
      <c r="Z948" s="0" t="n">
        <v>0</v>
      </c>
      <c r="AA948" s="0" t="n">
        <v>0</v>
      </c>
      <c r="AB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1206.81</v>
      </c>
      <c r="AH948" s="0" t="n">
        <v>1206.81</v>
      </c>
      <c r="AI948" s="0" t="n">
        <v>12</v>
      </c>
    </row>
    <row r="949" customFormat="false" ht="14.9" hidden="false" customHeight="false" outlineLevel="0" collapsed="false">
      <c r="A949" s="0" t="n">
        <v>948</v>
      </c>
      <c r="B949" s="0" t="s">
        <v>360</v>
      </c>
      <c r="C949" s="33" t="s">
        <v>361</v>
      </c>
      <c r="D949" s="34" t="n">
        <v>46204</v>
      </c>
      <c r="E949" s="0" t="n">
        <v>517.5</v>
      </c>
      <c r="F949" s="0" t="n">
        <v>0</v>
      </c>
      <c r="G949" s="0" t="n">
        <v>478.35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5</v>
      </c>
      <c r="W949" s="0" t="n">
        <v>0</v>
      </c>
      <c r="X949" s="0" t="n">
        <v>0</v>
      </c>
      <c r="Y949" s="0" t="n">
        <v>0</v>
      </c>
      <c r="Z949" s="0" t="n">
        <v>0</v>
      </c>
      <c r="AA949" s="0" t="n">
        <v>0</v>
      </c>
      <c r="AB949" s="0" t="n">
        <v>0</v>
      </c>
      <c r="AC949" s="0" t="n">
        <v>0</v>
      </c>
      <c r="AD949" s="0" t="n">
        <v>0</v>
      </c>
      <c r="AE949" s="0" t="n">
        <v>0</v>
      </c>
      <c r="AF949" s="0" t="n">
        <v>0</v>
      </c>
      <c r="AG949" s="0" t="n">
        <v>1000.85</v>
      </c>
      <c r="AH949" s="0" t="n">
        <v>1000.85</v>
      </c>
      <c r="AI949" s="0" t="n">
        <v>16</v>
      </c>
    </row>
    <row r="950" customFormat="false" ht="14.9" hidden="false" customHeight="false" outlineLevel="0" collapsed="false">
      <c r="A950" s="0" t="n">
        <v>949</v>
      </c>
      <c r="B950" s="0" t="s">
        <v>360</v>
      </c>
      <c r="C950" s="33" t="s">
        <v>361</v>
      </c>
      <c r="D950" s="34" t="n">
        <v>46212</v>
      </c>
      <c r="E950" s="0" t="n">
        <v>214.41</v>
      </c>
      <c r="F950" s="0" t="n">
        <v>0</v>
      </c>
      <c r="G950" s="0" t="n">
        <v>525.21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25</v>
      </c>
      <c r="X950" s="0" t="n">
        <v>0</v>
      </c>
      <c r="Y950" s="0" t="n">
        <v>0</v>
      </c>
      <c r="Z950" s="0" t="n">
        <v>0</v>
      </c>
      <c r="AA950" s="0" t="n">
        <v>0</v>
      </c>
      <c r="AB950" s="0" t="n">
        <v>0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764.62</v>
      </c>
      <c r="AH950" s="0" t="n">
        <v>764.62</v>
      </c>
      <c r="AI950" s="0" t="n">
        <v>15</v>
      </c>
    </row>
    <row r="951" customFormat="false" ht="14.9" hidden="false" customHeight="false" outlineLevel="0" collapsed="false">
      <c r="A951" s="0" t="n">
        <v>950</v>
      </c>
      <c r="B951" s="0" t="s">
        <v>360</v>
      </c>
      <c r="C951" s="33" t="s">
        <v>361</v>
      </c>
      <c r="D951" s="34" t="n">
        <v>46219</v>
      </c>
      <c r="E951" s="0" t="n">
        <v>55.8</v>
      </c>
      <c r="F951" s="0" t="n">
        <v>0</v>
      </c>
      <c r="G951" s="0" t="n">
        <v>813.62</v>
      </c>
      <c r="H951" s="0" t="n">
        <v>0</v>
      </c>
      <c r="I951" s="0" t="n">
        <v>0</v>
      </c>
      <c r="J951" s="0" t="n">
        <v>0</v>
      </c>
      <c r="K951" s="0" t="n">
        <v>315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28</v>
      </c>
      <c r="X951" s="0" t="n">
        <v>0</v>
      </c>
      <c r="Y951" s="0" t="n">
        <v>0</v>
      </c>
      <c r="Z951" s="0" t="n">
        <v>0</v>
      </c>
      <c r="AA951" s="0" t="n">
        <v>0</v>
      </c>
      <c r="AB951" s="0" t="n">
        <v>0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1212.42</v>
      </c>
      <c r="AH951" s="0" t="n">
        <v>1212.42</v>
      </c>
      <c r="AI951" s="0" t="n">
        <v>14</v>
      </c>
    </row>
    <row r="952" customFormat="false" ht="14.9" hidden="false" customHeight="false" outlineLevel="0" collapsed="false">
      <c r="A952" s="0" t="n">
        <v>951</v>
      </c>
      <c r="B952" s="0" t="s">
        <v>360</v>
      </c>
      <c r="C952" s="33" t="s">
        <v>361</v>
      </c>
      <c r="D952" s="34" t="n">
        <v>46224</v>
      </c>
      <c r="E952" s="0" t="n">
        <v>230.35</v>
      </c>
      <c r="F952" s="0" t="n">
        <v>0</v>
      </c>
      <c r="G952" s="0" t="n">
        <v>1040.14</v>
      </c>
      <c r="H952" s="0" t="n">
        <v>0</v>
      </c>
      <c r="I952" s="0" t="n">
        <v>0</v>
      </c>
      <c r="J952" s="0" t="n">
        <v>0</v>
      </c>
      <c r="K952" s="0" t="n">
        <v>144.2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5</v>
      </c>
      <c r="W952" s="0" t="n">
        <v>28</v>
      </c>
      <c r="X952" s="0" t="n">
        <v>0</v>
      </c>
      <c r="Y952" s="0" t="n">
        <v>0</v>
      </c>
      <c r="Z952" s="0" t="n">
        <v>0</v>
      </c>
      <c r="AA952" s="0" t="n">
        <v>0</v>
      </c>
      <c r="AB952" s="0" t="n">
        <v>0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1447.69</v>
      </c>
      <c r="AH952" s="0" t="n">
        <v>1447.69</v>
      </c>
      <c r="AI952" s="0" t="n">
        <v>28</v>
      </c>
    </row>
    <row r="953" customFormat="false" ht="14.9" hidden="false" customHeight="false" outlineLevel="0" collapsed="false">
      <c r="A953" s="0" t="n">
        <v>952</v>
      </c>
      <c r="B953" s="0" t="s">
        <v>360</v>
      </c>
      <c r="C953" s="33" t="s">
        <v>361</v>
      </c>
      <c r="D953" s="34" t="n">
        <v>46215</v>
      </c>
      <c r="E953" s="0" t="n">
        <v>112.01</v>
      </c>
      <c r="F953" s="0" t="n">
        <v>0</v>
      </c>
      <c r="G953" s="0" t="n">
        <v>991</v>
      </c>
      <c r="H953" s="0" t="n">
        <v>0</v>
      </c>
      <c r="I953" s="0" t="n">
        <v>0</v>
      </c>
      <c r="J953" s="0" t="n">
        <v>0</v>
      </c>
      <c r="K953" s="0" t="n">
        <v>59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30</v>
      </c>
      <c r="X953" s="0" t="n">
        <v>0</v>
      </c>
      <c r="Y953" s="0" t="n">
        <v>0</v>
      </c>
      <c r="Z953" s="0" t="n">
        <v>0</v>
      </c>
      <c r="AA953" s="0" t="n">
        <v>0</v>
      </c>
      <c r="AB953" s="0" t="n">
        <v>0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1192.01</v>
      </c>
      <c r="AH953" s="0" t="n">
        <v>1192.01</v>
      </c>
      <c r="AI953" s="0" t="n">
        <v>19</v>
      </c>
    </row>
    <row r="954" customFormat="false" ht="14.9" hidden="false" customHeight="false" outlineLevel="0" collapsed="false">
      <c r="A954" s="0" t="n">
        <v>953</v>
      </c>
      <c r="B954" s="0" t="s">
        <v>360</v>
      </c>
      <c r="C954" s="33" t="s">
        <v>361</v>
      </c>
      <c r="D954" s="34" t="n">
        <v>46206</v>
      </c>
      <c r="E954" s="0" t="n">
        <v>149.7</v>
      </c>
      <c r="F954" s="0" t="n">
        <v>0</v>
      </c>
      <c r="G954" s="0" t="n">
        <v>542.7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W954" s="0" t="n">
        <v>30</v>
      </c>
      <c r="X954" s="0" t="n">
        <v>0</v>
      </c>
      <c r="Y954" s="0" t="n">
        <v>0</v>
      </c>
      <c r="Z954" s="0" t="n">
        <v>0</v>
      </c>
      <c r="AA954" s="0" t="n">
        <v>0</v>
      </c>
      <c r="AB954" s="0" t="n">
        <v>0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722.4</v>
      </c>
      <c r="AH954" s="0" t="n">
        <v>722.4</v>
      </c>
      <c r="AI954" s="0" t="n">
        <v>17</v>
      </c>
    </row>
    <row r="955" customFormat="false" ht="14.9" hidden="false" customHeight="false" outlineLevel="0" collapsed="false">
      <c r="A955" s="0" t="n">
        <v>954</v>
      </c>
      <c r="B955" s="0" t="s">
        <v>360</v>
      </c>
      <c r="C955" s="33" t="s">
        <v>361</v>
      </c>
      <c r="D955" s="34" t="n">
        <v>46222</v>
      </c>
      <c r="E955" s="0" t="n">
        <v>252.51</v>
      </c>
      <c r="F955" s="0" t="n">
        <v>0</v>
      </c>
      <c r="G955" s="0" t="n">
        <v>331.31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3.8</v>
      </c>
      <c r="W955" s="0" t="n">
        <v>10</v>
      </c>
      <c r="X955" s="0" t="n">
        <v>0</v>
      </c>
      <c r="Y955" s="0" t="n">
        <v>0</v>
      </c>
      <c r="Z955" s="0" t="n">
        <v>0</v>
      </c>
      <c r="AA955" s="0" t="n">
        <v>0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0</v>
      </c>
      <c r="AG955" s="0" t="n">
        <v>597.62</v>
      </c>
      <c r="AH955" s="0" t="n">
        <v>597.62</v>
      </c>
      <c r="AI955" s="0" t="n">
        <v>12</v>
      </c>
    </row>
    <row r="956" customFormat="false" ht="14.9" hidden="false" customHeight="false" outlineLevel="0" collapsed="false">
      <c r="A956" s="0" t="n">
        <v>955</v>
      </c>
      <c r="B956" s="0" t="s">
        <v>360</v>
      </c>
      <c r="C956" s="33" t="s">
        <v>361</v>
      </c>
      <c r="D956" s="34" t="n">
        <v>46205</v>
      </c>
      <c r="E956" s="0" t="n">
        <v>151</v>
      </c>
      <c r="F956" s="0" t="n">
        <v>0</v>
      </c>
      <c r="G956" s="0" t="n">
        <v>1063.18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30</v>
      </c>
      <c r="X956" s="0" t="n">
        <v>0</v>
      </c>
      <c r="Y956" s="0" t="n">
        <v>0</v>
      </c>
      <c r="Z956" s="0" t="n">
        <v>0</v>
      </c>
      <c r="AA956" s="0" t="n">
        <v>0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1244.18</v>
      </c>
      <c r="AH956" s="0" t="n">
        <v>1244.18</v>
      </c>
      <c r="AI956" s="0" t="n">
        <v>17</v>
      </c>
    </row>
    <row r="957" customFormat="false" ht="14.9" hidden="false" customHeight="false" outlineLevel="0" collapsed="false">
      <c r="A957" s="0" t="n">
        <v>956</v>
      </c>
      <c r="B957" s="0" t="s">
        <v>360</v>
      </c>
      <c r="C957" s="33" t="s">
        <v>361</v>
      </c>
      <c r="D957" s="34" t="n">
        <v>46216</v>
      </c>
      <c r="E957" s="0" t="n">
        <v>32.8</v>
      </c>
      <c r="F957" s="0" t="n">
        <v>0</v>
      </c>
      <c r="G957" s="0" t="n">
        <v>386.3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10</v>
      </c>
      <c r="X957" s="0" t="n">
        <v>0</v>
      </c>
      <c r="Y957" s="0" t="n">
        <v>0</v>
      </c>
      <c r="Z957" s="0" t="n">
        <v>0</v>
      </c>
      <c r="AA957" s="0" t="n">
        <v>0</v>
      </c>
      <c r="AB957" s="0" t="n">
        <v>0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429.1</v>
      </c>
      <c r="AH957" s="0" t="n">
        <v>429.1</v>
      </c>
      <c r="AI957" s="0" t="n">
        <v>10</v>
      </c>
    </row>
    <row r="958" customFormat="false" ht="14.9" hidden="false" customHeight="false" outlineLevel="0" collapsed="false">
      <c r="A958" s="0" t="n">
        <v>957</v>
      </c>
      <c r="B958" s="0" t="s">
        <v>360</v>
      </c>
      <c r="C958" s="33" t="s">
        <v>361</v>
      </c>
      <c r="D958" s="34" t="n">
        <v>46207</v>
      </c>
      <c r="E958" s="0" t="n">
        <v>23</v>
      </c>
      <c r="F958" s="0" t="n">
        <v>0</v>
      </c>
      <c r="G958" s="0" t="n">
        <v>242.5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10</v>
      </c>
      <c r="X958" s="0" t="n">
        <v>0</v>
      </c>
      <c r="Y958" s="0" t="n">
        <v>0</v>
      </c>
      <c r="Z958" s="0" t="n">
        <v>0</v>
      </c>
      <c r="AA958" s="0" t="n">
        <v>0</v>
      </c>
      <c r="AB958" s="0" t="n">
        <v>0</v>
      </c>
      <c r="AC958" s="0" t="n">
        <v>0</v>
      </c>
      <c r="AD958" s="0" t="n">
        <v>0</v>
      </c>
      <c r="AE958" s="0" t="n">
        <v>0</v>
      </c>
      <c r="AF958" s="0" t="n">
        <v>0</v>
      </c>
      <c r="AG958" s="0" t="n">
        <v>275.5</v>
      </c>
      <c r="AH958" s="0" t="n">
        <v>275.5</v>
      </c>
      <c r="AI958" s="0" t="n">
        <v>9</v>
      </c>
    </row>
    <row r="959" customFormat="false" ht="14.9" hidden="false" customHeight="false" outlineLevel="0" collapsed="false">
      <c r="A959" s="0" t="n">
        <v>958</v>
      </c>
      <c r="B959" s="0" t="s">
        <v>360</v>
      </c>
      <c r="C959" s="33" t="s">
        <v>361</v>
      </c>
      <c r="D959" s="34" t="n">
        <v>46227</v>
      </c>
      <c r="E959" s="0" t="n">
        <v>1</v>
      </c>
      <c r="F959" s="0" t="n">
        <v>0</v>
      </c>
      <c r="G959" s="0" t="n">
        <v>680.58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  <c r="W959" s="0" t="n">
        <v>10</v>
      </c>
      <c r="X959" s="0" t="n">
        <v>0</v>
      </c>
      <c r="Y959" s="0" t="n">
        <v>0</v>
      </c>
      <c r="Z959" s="0" t="n">
        <v>0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691.58</v>
      </c>
      <c r="AH959" s="0" t="n">
        <v>691.58</v>
      </c>
      <c r="AI959" s="0" t="n">
        <v>13</v>
      </c>
    </row>
    <row r="960" customFormat="false" ht="14.9" hidden="false" customHeight="false" outlineLevel="0" collapsed="false">
      <c r="A960" s="0" t="n">
        <v>959</v>
      </c>
      <c r="B960" s="0" t="s">
        <v>360</v>
      </c>
      <c r="C960" s="33" t="s">
        <v>361</v>
      </c>
      <c r="D960" s="34" t="n">
        <v>46220</v>
      </c>
      <c r="E960" s="0" t="n">
        <v>1.5</v>
      </c>
      <c r="F960" s="0" t="n">
        <v>0</v>
      </c>
      <c r="G960" s="0" t="n">
        <v>438.8</v>
      </c>
      <c r="H960" s="0" t="n">
        <v>0</v>
      </c>
      <c r="I960" s="0" t="n">
        <v>0</v>
      </c>
      <c r="J960" s="0" t="n">
        <v>0</v>
      </c>
      <c r="K960" s="0" t="n">
        <v>14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10</v>
      </c>
      <c r="X960" s="0" t="n">
        <v>0</v>
      </c>
      <c r="Y960" s="0" t="n">
        <v>0</v>
      </c>
      <c r="Z960" s="0" t="n">
        <v>0</v>
      </c>
      <c r="AA960" s="0" t="n">
        <v>0</v>
      </c>
      <c r="AB960" s="0" t="n">
        <v>0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464.3</v>
      </c>
      <c r="AH960" s="0" t="n">
        <v>464.3</v>
      </c>
      <c r="AI960" s="0" t="n">
        <v>10</v>
      </c>
    </row>
    <row r="961" customFormat="false" ht="14.9" hidden="false" customHeight="false" outlineLevel="0" collapsed="false">
      <c r="A961" s="0" t="n">
        <v>960</v>
      </c>
      <c r="B961" s="0" t="s">
        <v>360</v>
      </c>
      <c r="C961" s="33" t="s">
        <v>361</v>
      </c>
      <c r="D961" s="34" t="n">
        <v>46210</v>
      </c>
      <c r="E961" s="0" t="n">
        <v>419.93</v>
      </c>
      <c r="F961" s="0" t="n">
        <v>0</v>
      </c>
      <c r="G961" s="0" t="n">
        <v>538.91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10</v>
      </c>
      <c r="X961" s="0" t="n">
        <v>0</v>
      </c>
      <c r="Y961" s="0" t="n">
        <v>0</v>
      </c>
      <c r="Z961" s="0" t="n">
        <v>0</v>
      </c>
      <c r="AA961" s="0" t="n">
        <v>0</v>
      </c>
      <c r="AB961" s="0" t="n">
        <v>0</v>
      </c>
      <c r="AC961" s="0" t="n">
        <v>0</v>
      </c>
      <c r="AD961" s="0" t="n">
        <v>0</v>
      </c>
      <c r="AE961" s="0" t="n">
        <v>0</v>
      </c>
      <c r="AF961" s="0" t="n">
        <v>0</v>
      </c>
      <c r="AG961" s="0" t="n">
        <v>968.84</v>
      </c>
      <c r="AH961" s="0" t="n">
        <v>968.84</v>
      </c>
      <c r="AI961" s="0" t="n">
        <v>23</v>
      </c>
    </row>
    <row r="962" customFormat="false" ht="14.9" hidden="false" customHeight="false" outlineLevel="0" collapsed="false">
      <c r="A962" s="0" t="n">
        <v>961</v>
      </c>
      <c r="B962" s="0" t="s">
        <v>360</v>
      </c>
      <c r="C962" s="33" t="s">
        <v>361</v>
      </c>
      <c r="D962" s="34" t="n">
        <v>46232</v>
      </c>
      <c r="E962" s="0" t="n">
        <v>62.2</v>
      </c>
      <c r="F962" s="0" t="n">
        <v>0</v>
      </c>
      <c r="G962" s="0" t="n">
        <v>580.2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50</v>
      </c>
      <c r="X962" s="0" t="n">
        <v>0</v>
      </c>
      <c r="Y962" s="0" t="n">
        <v>0</v>
      </c>
      <c r="Z962" s="0" t="n">
        <v>0</v>
      </c>
      <c r="AA962" s="0" t="n">
        <v>0</v>
      </c>
      <c r="AB962" s="0" t="n">
        <v>0</v>
      </c>
      <c r="AC962" s="0" t="n">
        <v>0</v>
      </c>
      <c r="AD962" s="0" t="n">
        <v>0</v>
      </c>
      <c r="AE962" s="0" t="n">
        <v>0</v>
      </c>
      <c r="AF962" s="0" t="n">
        <v>0</v>
      </c>
      <c r="AG962" s="0" t="n">
        <v>692.4</v>
      </c>
      <c r="AH962" s="0" t="n">
        <v>692.4</v>
      </c>
      <c r="AI962" s="0" t="n">
        <v>12</v>
      </c>
    </row>
    <row r="963" customFormat="false" ht="14.9" hidden="false" customHeight="false" outlineLevel="0" collapsed="false">
      <c r="A963" s="0" t="n">
        <v>962</v>
      </c>
      <c r="B963" s="0" t="s">
        <v>362</v>
      </c>
      <c r="C963" s="33" t="s">
        <v>363</v>
      </c>
      <c r="D963" s="34" t="n">
        <v>46221</v>
      </c>
      <c r="E963" s="0" t="n">
        <v>4.9</v>
      </c>
      <c r="F963" s="0" t="n">
        <v>0</v>
      </c>
      <c r="G963" s="0" t="n">
        <v>645.1</v>
      </c>
      <c r="H963" s="0" t="n">
        <v>157.7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25</v>
      </c>
      <c r="V963" s="0" t="n">
        <v>0</v>
      </c>
      <c r="W963" s="0" t="n">
        <v>0</v>
      </c>
      <c r="X963" s="0" t="n">
        <v>0</v>
      </c>
      <c r="Y963" s="0" t="n">
        <v>0</v>
      </c>
      <c r="Z963" s="0" t="n">
        <v>0</v>
      </c>
      <c r="AA963" s="0" t="n">
        <v>0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832.7</v>
      </c>
      <c r="AH963" s="0" t="n">
        <v>832.7</v>
      </c>
      <c r="AI963" s="0" t="n">
        <v>21</v>
      </c>
    </row>
    <row r="964" customFormat="false" ht="14.9" hidden="false" customHeight="false" outlineLevel="0" collapsed="false">
      <c r="A964" s="0" t="n">
        <v>963</v>
      </c>
      <c r="B964" s="0" t="s">
        <v>362</v>
      </c>
      <c r="C964" s="33" t="s">
        <v>363</v>
      </c>
      <c r="D964" s="34" t="n">
        <v>46210</v>
      </c>
      <c r="E964" s="0" t="n">
        <v>21.3</v>
      </c>
      <c r="F964" s="0" t="n">
        <v>0</v>
      </c>
      <c r="G964" s="0" t="n">
        <v>216.1</v>
      </c>
      <c r="H964" s="0" t="n">
        <v>136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10</v>
      </c>
      <c r="V964" s="0" t="n">
        <v>0</v>
      </c>
      <c r="W964" s="0" t="n">
        <v>0</v>
      </c>
      <c r="X964" s="0" t="n">
        <v>0</v>
      </c>
      <c r="Y964" s="0" t="n">
        <v>0</v>
      </c>
      <c r="Z964" s="0" t="n">
        <v>0</v>
      </c>
      <c r="AA964" s="0" t="n">
        <v>0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383.4</v>
      </c>
      <c r="AH964" s="0" t="n">
        <v>383.4</v>
      </c>
      <c r="AI964" s="0" t="n">
        <v>13</v>
      </c>
    </row>
    <row r="965" customFormat="false" ht="14.9" hidden="false" customHeight="false" outlineLevel="0" collapsed="false">
      <c r="A965" s="0" t="n">
        <v>964</v>
      </c>
      <c r="B965" s="0" t="s">
        <v>362</v>
      </c>
      <c r="C965" s="33" t="s">
        <v>363</v>
      </c>
      <c r="D965" s="34" t="n">
        <v>46232</v>
      </c>
      <c r="E965" s="0" t="n">
        <v>2.8</v>
      </c>
      <c r="F965" s="0" t="n">
        <v>0</v>
      </c>
      <c r="G965" s="0" t="n">
        <v>251.4</v>
      </c>
      <c r="H965" s="0" t="n">
        <v>127.1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5</v>
      </c>
      <c r="V965" s="0" t="n">
        <v>0</v>
      </c>
      <c r="W965" s="0" t="n">
        <v>0</v>
      </c>
      <c r="X965" s="0" t="n">
        <v>0</v>
      </c>
      <c r="Y965" s="0" t="n">
        <v>0</v>
      </c>
      <c r="Z965" s="0" t="n">
        <v>0</v>
      </c>
      <c r="AA965" s="0" t="n">
        <v>0</v>
      </c>
      <c r="AB965" s="0" t="n">
        <v>0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386.3</v>
      </c>
      <c r="AH965" s="0" t="n">
        <v>386.3</v>
      </c>
      <c r="AI965" s="0" t="n">
        <v>12</v>
      </c>
    </row>
    <row r="966" customFormat="false" ht="14.9" hidden="false" customHeight="false" outlineLevel="0" collapsed="false">
      <c r="A966" s="0" t="n">
        <v>965</v>
      </c>
      <c r="B966" s="0" t="s">
        <v>362</v>
      </c>
      <c r="C966" s="33" t="s">
        <v>363</v>
      </c>
      <c r="D966" s="34" t="n">
        <v>46209</v>
      </c>
      <c r="E966" s="0" t="n">
        <v>229</v>
      </c>
      <c r="F966" s="0" t="n">
        <v>0</v>
      </c>
      <c r="G966" s="0" t="n">
        <v>473</v>
      </c>
      <c r="H966" s="0" t="n">
        <v>104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20</v>
      </c>
      <c r="V966" s="0" t="n">
        <v>0</v>
      </c>
      <c r="W966" s="0" t="n">
        <v>0</v>
      </c>
      <c r="X966" s="0" t="n">
        <v>0</v>
      </c>
      <c r="Y966" s="0" t="n">
        <v>0</v>
      </c>
      <c r="Z966" s="0" t="n">
        <v>0</v>
      </c>
      <c r="AA966" s="0" t="n">
        <v>0</v>
      </c>
      <c r="AB966" s="0" t="n">
        <v>0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826</v>
      </c>
      <c r="AH966" s="0" t="n">
        <v>826</v>
      </c>
      <c r="AI966" s="0" t="n">
        <v>29</v>
      </c>
    </row>
    <row r="967" customFormat="false" ht="14.9" hidden="false" customHeight="false" outlineLevel="0" collapsed="false">
      <c r="A967" s="0" t="n">
        <v>966</v>
      </c>
      <c r="B967" s="0" t="s">
        <v>362</v>
      </c>
      <c r="C967" s="33" t="s">
        <v>363</v>
      </c>
      <c r="D967" s="34" t="n">
        <v>46212</v>
      </c>
      <c r="E967" s="0" t="n">
        <v>172.41</v>
      </c>
      <c r="F967" s="0" t="n">
        <v>0</v>
      </c>
      <c r="G967" s="0" t="n">
        <v>438.3</v>
      </c>
      <c r="H967" s="0" t="n">
        <v>525.4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20</v>
      </c>
      <c r="V967" s="0" t="n">
        <v>0</v>
      </c>
      <c r="W967" s="0" t="n">
        <v>0</v>
      </c>
      <c r="X967" s="0" t="n">
        <v>0</v>
      </c>
      <c r="Y967" s="0" t="n">
        <v>0</v>
      </c>
      <c r="Z967" s="0" t="n">
        <v>0</v>
      </c>
      <c r="AA967" s="0" t="n">
        <v>0</v>
      </c>
      <c r="AB967" s="0" t="n">
        <v>0</v>
      </c>
      <c r="AC967" s="0" t="n">
        <v>0</v>
      </c>
      <c r="AD967" s="0" t="n">
        <v>0</v>
      </c>
      <c r="AE967" s="0" t="n">
        <v>0</v>
      </c>
      <c r="AF967" s="0" t="n">
        <v>0</v>
      </c>
      <c r="AG967" s="0" t="n">
        <v>1156.11</v>
      </c>
      <c r="AH967" s="0" t="n">
        <v>1156.11</v>
      </c>
      <c r="AI967" s="0" t="n">
        <v>32</v>
      </c>
    </row>
    <row r="968" customFormat="false" ht="14.9" hidden="false" customHeight="false" outlineLevel="0" collapsed="false">
      <c r="A968" s="0" t="n">
        <v>967</v>
      </c>
      <c r="B968" s="0" t="s">
        <v>362</v>
      </c>
      <c r="C968" s="33" t="s">
        <v>363</v>
      </c>
      <c r="D968" s="34" t="n">
        <v>46230</v>
      </c>
      <c r="E968" s="0" t="n">
        <v>21</v>
      </c>
      <c r="F968" s="0" t="n">
        <v>0</v>
      </c>
      <c r="G968" s="0" t="n">
        <v>393.2</v>
      </c>
      <c r="H968" s="0" t="n">
        <v>25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  <c r="Y968" s="0" t="n">
        <v>0</v>
      </c>
      <c r="Z968" s="0" t="n">
        <v>0</v>
      </c>
      <c r="AA968" s="0" t="n">
        <v>0</v>
      </c>
      <c r="AB968" s="0" t="n">
        <v>0</v>
      </c>
      <c r="AC968" s="0" t="n">
        <v>0</v>
      </c>
      <c r="AD968" s="0" t="n">
        <v>0</v>
      </c>
      <c r="AE968" s="0" t="n">
        <v>0</v>
      </c>
      <c r="AF968" s="0" t="n">
        <v>0</v>
      </c>
      <c r="AG968" s="0" t="n">
        <v>439.2</v>
      </c>
      <c r="AH968" s="0" t="n">
        <v>439.2</v>
      </c>
      <c r="AI968" s="0" t="n">
        <v>21</v>
      </c>
    </row>
    <row r="969" customFormat="false" ht="14.9" hidden="false" customHeight="false" outlineLevel="0" collapsed="false">
      <c r="A969" s="0" t="n">
        <v>968</v>
      </c>
      <c r="B969" s="0" t="s">
        <v>362</v>
      </c>
      <c r="C969" s="33" t="s">
        <v>363</v>
      </c>
      <c r="D969" s="34" t="n">
        <v>46225</v>
      </c>
      <c r="E969" s="0" t="n">
        <v>93.6</v>
      </c>
      <c r="F969" s="0" t="n">
        <v>0</v>
      </c>
      <c r="G969" s="0" t="n">
        <v>295.5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5</v>
      </c>
      <c r="V969" s="0" t="n">
        <v>0</v>
      </c>
      <c r="W969" s="0" t="n">
        <v>0</v>
      </c>
      <c r="X969" s="0" t="n">
        <v>0</v>
      </c>
      <c r="Y969" s="0" t="n">
        <v>0</v>
      </c>
      <c r="Z969" s="0" t="n">
        <v>0</v>
      </c>
      <c r="AA969" s="0" t="n">
        <v>0</v>
      </c>
      <c r="AB969" s="0" t="n">
        <v>0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394.1</v>
      </c>
      <c r="AH969" s="0" t="n">
        <v>394.1</v>
      </c>
      <c r="AI969" s="0" t="n">
        <v>17</v>
      </c>
    </row>
    <row r="970" customFormat="false" ht="14.9" hidden="false" customHeight="false" outlineLevel="0" collapsed="false">
      <c r="A970" s="0" t="n">
        <v>969</v>
      </c>
      <c r="B970" s="0" t="s">
        <v>362</v>
      </c>
      <c r="C970" s="33" t="s">
        <v>363</v>
      </c>
      <c r="D970" s="34" t="n">
        <v>46222</v>
      </c>
      <c r="E970" s="0" t="n">
        <v>70.3</v>
      </c>
      <c r="F970" s="0" t="n">
        <v>0</v>
      </c>
      <c r="G970" s="0" t="n">
        <v>302.9</v>
      </c>
      <c r="H970" s="0" t="n">
        <v>167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0</v>
      </c>
      <c r="Z970" s="0" t="n">
        <v>0</v>
      </c>
      <c r="AA970" s="0" t="n">
        <v>0</v>
      </c>
      <c r="AB970" s="0" t="n">
        <v>0</v>
      </c>
      <c r="AC970" s="0" t="n">
        <v>0</v>
      </c>
      <c r="AD970" s="0" t="n">
        <v>0</v>
      </c>
      <c r="AE970" s="0" t="n">
        <v>0</v>
      </c>
      <c r="AF970" s="0" t="n">
        <v>0</v>
      </c>
      <c r="AG970" s="0" t="n">
        <v>540.2</v>
      </c>
      <c r="AH970" s="0" t="n">
        <v>540.2</v>
      </c>
      <c r="AI970" s="0" t="n">
        <v>19</v>
      </c>
    </row>
    <row r="971" customFormat="false" ht="14.9" hidden="false" customHeight="false" outlineLevel="0" collapsed="false">
      <c r="A971" s="0" t="n">
        <v>970</v>
      </c>
      <c r="B971" s="0" t="s">
        <v>362</v>
      </c>
      <c r="C971" s="33" t="s">
        <v>363</v>
      </c>
      <c r="D971" s="34" t="n">
        <v>46231</v>
      </c>
      <c r="E971" s="0" t="n">
        <v>210.1</v>
      </c>
      <c r="F971" s="0" t="n">
        <v>0</v>
      </c>
      <c r="G971" s="0" t="n">
        <v>543.6</v>
      </c>
      <c r="H971" s="0" t="n">
        <v>223.6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25</v>
      </c>
      <c r="V971" s="0" t="n">
        <v>0</v>
      </c>
      <c r="W971" s="0" t="n">
        <v>0</v>
      </c>
      <c r="X971" s="0" t="n">
        <v>0</v>
      </c>
      <c r="Y971" s="0" t="n">
        <v>0</v>
      </c>
      <c r="Z971" s="0" t="n">
        <v>0</v>
      </c>
      <c r="AA971" s="0" t="n">
        <v>0</v>
      </c>
      <c r="AB971" s="0" t="n">
        <v>0</v>
      </c>
      <c r="AC971" s="0" t="n">
        <v>0</v>
      </c>
      <c r="AD971" s="0" t="n">
        <v>0</v>
      </c>
      <c r="AE971" s="0" t="n">
        <v>0</v>
      </c>
      <c r="AF971" s="0" t="n">
        <v>0</v>
      </c>
      <c r="AG971" s="0" t="n">
        <v>1002.3</v>
      </c>
      <c r="AH971" s="0" t="n">
        <v>1002.3</v>
      </c>
      <c r="AI971" s="0" t="n">
        <v>28</v>
      </c>
    </row>
    <row r="972" customFormat="false" ht="14.9" hidden="false" customHeight="false" outlineLevel="0" collapsed="false">
      <c r="A972" s="0" t="n">
        <v>971</v>
      </c>
      <c r="B972" s="0" t="s">
        <v>362</v>
      </c>
      <c r="C972" s="33" t="s">
        <v>363</v>
      </c>
      <c r="D972" s="34" t="n">
        <v>46213</v>
      </c>
      <c r="E972" s="0" t="n">
        <v>67.8</v>
      </c>
      <c r="F972" s="0" t="n">
        <v>0</v>
      </c>
      <c r="G972" s="0" t="n">
        <v>623.8</v>
      </c>
      <c r="H972" s="0" t="n">
        <v>112.28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15</v>
      </c>
      <c r="V972" s="0" t="n">
        <v>0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818.88</v>
      </c>
      <c r="AH972" s="0" t="n">
        <v>818.88</v>
      </c>
      <c r="AI972" s="0" t="n">
        <v>24</v>
      </c>
    </row>
    <row r="973" customFormat="false" ht="14.9" hidden="false" customHeight="false" outlineLevel="0" collapsed="false">
      <c r="A973" s="0" t="n">
        <v>972</v>
      </c>
      <c r="B973" s="0" t="s">
        <v>362</v>
      </c>
      <c r="C973" s="33" t="s">
        <v>363</v>
      </c>
      <c r="D973" s="34" t="n">
        <v>46214</v>
      </c>
      <c r="E973" s="0" t="n">
        <v>15</v>
      </c>
      <c r="F973" s="0" t="n">
        <v>0</v>
      </c>
      <c r="G973" s="0" t="n">
        <v>370.98</v>
      </c>
      <c r="H973" s="0" t="n">
        <v>181.1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5</v>
      </c>
      <c r="V973" s="0" t="n">
        <v>0</v>
      </c>
      <c r="W973" s="0" t="n">
        <v>0</v>
      </c>
      <c r="X973" s="0" t="n">
        <v>0</v>
      </c>
      <c r="Y973" s="0" t="n">
        <v>0</v>
      </c>
      <c r="Z973" s="0" t="n">
        <v>0</v>
      </c>
      <c r="AA973" s="0" t="n">
        <v>0</v>
      </c>
      <c r="AB973" s="0" t="n">
        <v>0</v>
      </c>
      <c r="AC973" s="0" t="n">
        <v>0</v>
      </c>
      <c r="AD973" s="0" t="n">
        <v>0</v>
      </c>
      <c r="AE973" s="0" t="n">
        <v>0</v>
      </c>
      <c r="AF973" s="0" t="n">
        <v>0</v>
      </c>
      <c r="AG973" s="0" t="n">
        <v>572.08</v>
      </c>
      <c r="AH973" s="0" t="n">
        <v>572.08</v>
      </c>
      <c r="AI973" s="0" t="n">
        <v>18</v>
      </c>
    </row>
    <row r="974" customFormat="false" ht="14.9" hidden="false" customHeight="false" outlineLevel="0" collapsed="false">
      <c r="A974" s="0" t="n">
        <v>973</v>
      </c>
      <c r="B974" s="0" t="s">
        <v>362</v>
      </c>
      <c r="C974" s="33" t="s">
        <v>363</v>
      </c>
      <c r="D974" s="34" t="n">
        <v>46227</v>
      </c>
      <c r="E974" s="0" t="n">
        <v>24.66</v>
      </c>
      <c r="F974" s="0" t="n">
        <v>0</v>
      </c>
      <c r="G974" s="0" t="n">
        <v>207.3</v>
      </c>
      <c r="H974" s="0" t="n">
        <v>254.3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10</v>
      </c>
      <c r="V974" s="0" t="n">
        <v>0</v>
      </c>
      <c r="W974" s="0" t="n">
        <v>0</v>
      </c>
      <c r="X974" s="0" t="n">
        <v>0</v>
      </c>
      <c r="Y974" s="0" t="n">
        <v>0</v>
      </c>
      <c r="Z974" s="0" t="n">
        <v>0</v>
      </c>
      <c r="AA974" s="0" t="n">
        <v>0</v>
      </c>
      <c r="AB974" s="0" t="n">
        <v>0</v>
      </c>
      <c r="AC974" s="0" t="n">
        <v>0</v>
      </c>
      <c r="AD974" s="0" t="n">
        <v>0</v>
      </c>
      <c r="AE974" s="0" t="n">
        <v>0</v>
      </c>
      <c r="AF974" s="0" t="n">
        <v>0</v>
      </c>
      <c r="AG974" s="0" t="n">
        <v>496.26</v>
      </c>
      <c r="AH974" s="0" t="n">
        <v>496.26</v>
      </c>
      <c r="AI974" s="0" t="n">
        <v>16</v>
      </c>
    </row>
    <row r="975" customFormat="false" ht="14.9" hidden="false" customHeight="false" outlineLevel="0" collapsed="false">
      <c r="A975" s="0" t="n">
        <v>974</v>
      </c>
      <c r="B975" s="0" t="s">
        <v>362</v>
      </c>
      <c r="C975" s="33" t="s">
        <v>363</v>
      </c>
      <c r="D975" s="34" t="n">
        <v>46207</v>
      </c>
      <c r="E975" s="0" t="n">
        <v>83.9</v>
      </c>
      <c r="F975" s="0" t="n">
        <v>0</v>
      </c>
      <c r="G975" s="0" t="n">
        <v>355.5</v>
      </c>
      <c r="H975" s="0" t="n">
        <v>25.8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10</v>
      </c>
      <c r="V975" s="0" t="n">
        <v>0</v>
      </c>
      <c r="W975" s="0" t="n">
        <v>0</v>
      </c>
      <c r="X975" s="0" t="n">
        <v>0</v>
      </c>
      <c r="Y975" s="0" t="n">
        <v>0</v>
      </c>
      <c r="Z975" s="0" t="n">
        <v>0</v>
      </c>
      <c r="AA975" s="0" t="n">
        <v>0</v>
      </c>
      <c r="AB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G975" s="0" t="n">
        <v>475.2</v>
      </c>
      <c r="AH975" s="0" t="n">
        <v>475.2</v>
      </c>
      <c r="AI975" s="0" t="n">
        <v>18</v>
      </c>
    </row>
    <row r="976" customFormat="false" ht="14.9" hidden="false" customHeight="false" outlineLevel="0" collapsed="false">
      <c r="A976" s="0" t="n">
        <v>975</v>
      </c>
      <c r="B976" s="0" t="s">
        <v>362</v>
      </c>
      <c r="C976" s="33" t="s">
        <v>363</v>
      </c>
      <c r="D976" s="34" t="n">
        <v>46217</v>
      </c>
      <c r="E976" s="0" t="n">
        <v>62.5</v>
      </c>
      <c r="F976" s="0" t="n">
        <v>0</v>
      </c>
      <c r="G976" s="0" t="n">
        <v>551.9</v>
      </c>
      <c r="H976" s="0" t="n">
        <v>238.8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10</v>
      </c>
      <c r="V976" s="0" t="n">
        <v>0</v>
      </c>
      <c r="W976" s="0" t="n">
        <v>0</v>
      </c>
      <c r="X976" s="0" t="n">
        <v>0</v>
      </c>
      <c r="Y976" s="0" t="n">
        <v>0</v>
      </c>
      <c r="Z976" s="0" t="n">
        <v>0</v>
      </c>
      <c r="AA976" s="0" t="n">
        <v>0</v>
      </c>
      <c r="AB976" s="0" t="n">
        <v>0</v>
      </c>
      <c r="AC976" s="0" t="n">
        <v>0</v>
      </c>
      <c r="AD976" s="0" t="n">
        <v>0</v>
      </c>
      <c r="AE976" s="0" t="n">
        <v>0</v>
      </c>
      <c r="AF976" s="0" t="n">
        <v>0</v>
      </c>
      <c r="AG976" s="0" t="n">
        <v>863.2</v>
      </c>
      <c r="AH976" s="0" t="n">
        <v>863.2</v>
      </c>
      <c r="AI976" s="0" t="n">
        <v>18</v>
      </c>
    </row>
    <row r="977" customFormat="false" ht="14.9" hidden="false" customHeight="false" outlineLevel="0" collapsed="false">
      <c r="A977" s="0" t="n">
        <v>976</v>
      </c>
      <c r="B977" s="0" t="s">
        <v>362</v>
      </c>
      <c r="C977" s="33" t="s">
        <v>363</v>
      </c>
      <c r="D977" s="34" t="n">
        <v>46220</v>
      </c>
      <c r="E977" s="0" t="n">
        <v>53.9</v>
      </c>
      <c r="F977" s="0" t="n">
        <v>0</v>
      </c>
      <c r="G977" s="0" t="n">
        <v>451.78</v>
      </c>
      <c r="H977" s="0" t="n">
        <v>213.5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15</v>
      </c>
      <c r="V977" s="0" t="n">
        <v>0</v>
      </c>
      <c r="W977" s="0" t="n">
        <v>0</v>
      </c>
      <c r="X977" s="0" t="n">
        <v>0</v>
      </c>
      <c r="Y977" s="0" t="n">
        <v>0</v>
      </c>
      <c r="Z977" s="0" t="n">
        <v>0</v>
      </c>
      <c r="AA977" s="0" t="n">
        <v>0</v>
      </c>
      <c r="AB977" s="0" t="n">
        <v>0</v>
      </c>
      <c r="AC977" s="0" t="n">
        <v>0</v>
      </c>
      <c r="AD977" s="0" t="n">
        <v>0</v>
      </c>
      <c r="AE977" s="0" t="n">
        <v>0</v>
      </c>
      <c r="AF977" s="0" t="n">
        <v>0</v>
      </c>
      <c r="AG977" s="0" t="n">
        <v>734.18</v>
      </c>
      <c r="AH977" s="0" t="n">
        <v>734.18</v>
      </c>
      <c r="AI977" s="0" t="n">
        <v>24</v>
      </c>
    </row>
    <row r="978" customFormat="false" ht="14.9" hidden="false" customHeight="false" outlineLevel="0" collapsed="false">
      <c r="A978" s="0" t="n">
        <v>977</v>
      </c>
      <c r="B978" s="0" t="s">
        <v>362</v>
      </c>
      <c r="C978" s="33" t="s">
        <v>363</v>
      </c>
      <c r="D978" s="34" t="n">
        <v>46229</v>
      </c>
      <c r="E978" s="0" t="n">
        <v>185.11</v>
      </c>
      <c r="F978" s="0" t="n">
        <v>0</v>
      </c>
      <c r="G978" s="0" t="n">
        <v>516.27</v>
      </c>
      <c r="H978" s="0" t="n">
        <v>54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13</v>
      </c>
      <c r="V978" s="0" t="n">
        <v>0</v>
      </c>
      <c r="W978" s="0" t="n">
        <v>0</v>
      </c>
      <c r="X978" s="0" t="n">
        <v>0</v>
      </c>
      <c r="Y978" s="0" t="n">
        <v>0</v>
      </c>
      <c r="Z978" s="0" t="n">
        <v>0</v>
      </c>
      <c r="AA978" s="0" t="n">
        <v>0</v>
      </c>
      <c r="AB978" s="0" t="n">
        <v>0</v>
      </c>
      <c r="AC978" s="0" t="n">
        <v>0</v>
      </c>
      <c r="AD978" s="0" t="n">
        <v>0</v>
      </c>
      <c r="AE978" s="0" t="n">
        <v>0</v>
      </c>
      <c r="AF978" s="0" t="n">
        <v>0</v>
      </c>
      <c r="AG978" s="0" t="n">
        <v>768.38</v>
      </c>
      <c r="AH978" s="0" t="n">
        <v>768.38</v>
      </c>
      <c r="AI978" s="0" t="n">
        <v>16</v>
      </c>
    </row>
    <row r="979" customFormat="false" ht="14.9" hidden="false" customHeight="false" outlineLevel="0" collapsed="false">
      <c r="A979" s="0" t="n">
        <v>978</v>
      </c>
      <c r="B979" s="0" t="s">
        <v>362</v>
      </c>
      <c r="C979" s="33" t="s">
        <v>363</v>
      </c>
      <c r="D979" s="34" t="n">
        <v>46218</v>
      </c>
      <c r="E979" s="0" t="n">
        <v>80.1</v>
      </c>
      <c r="F979" s="0" t="n">
        <v>0</v>
      </c>
      <c r="G979" s="0" t="n">
        <v>648.9</v>
      </c>
      <c r="H979" s="0" t="n">
        <v>106.5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5</v>
      </c>
      <c r="V979" s="0" t="n">
        <v>0</v>
      </c>
      <c r="W979" s="0" t="n">
        <v>0</v>
      </c>
      <c r="X979" s="0" t="n">
        <v>0</v>
      </c>
      <c r="Y979" s="0" t="n">
        <v>0</v>
      </c>
      <c r="Z979" s="0" t="n">
        <v>0</v>
      </c>
      <c r="AA979" s="0" t="n">
        <v>0</v>
      </c>
      <c r="AB979" s="0" t="n">
        <v>0</v>
      </c>
      <c r="AC979" s="0" t="n">
        <v>0</v>
      </c>
      <c r="AD979" s="0" t="n">
        <v>0</v>
      </c>
      <c r="AE979" s="0" t="n">
        <v>0</v>
      </c>
      <c r="AF979" s="0" t="n">
        <v>0</v>
      </c>
      <c r="AG979" s="0" t="n">
        <v>840.5</v>
      </c>
      <c r="AH979" s="0" t="n">
        <v>840.5</v>
      </c>
      <c r="AI979" s="0" t="n">
        <v>25</v>
      </c>
    </row>
    <row r="980" customFormat="false" ht="14.9" hidden="false" customHeight="false" outlineLevel="0" collapsed="false">
      <c r="A980" s="0" t="n">
        <v>979</v>
      </c>
      <c r="B980" s="0" t="s">
        <v>362</v>
      </c>
      <c r="C980" s="33" t="s">
        <v>363</v>
      </c>
      <c r="D980" s="34" t="n">
        <v>46215</v>
      </c>
      <c r="E980" s="0" t="n">
        <v>69.3</v>
      </c>
      <c r="F980" s="0" t="n">
        <v>0</v>
      </c>
      <c r="G980" s="0" t="n">
        <v>306.5</v>
      </c>
      <c r="H980" s="0" t="n">
        <v>131.8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20</v>
      </c>
      <c r="V980" s="0" t="n">
        <v>0</v>
      </c>
      <c r="W980" s="0" t="n">
        <v>0</v>
      </c>
      <c r="X980" s="0" t="n">
        <v>0</v>
      </c>
      <c r="Y980" s="0" t="n">
        <v>0</v>
      </c>
      <c r="Z980" s="0" t="n">
        <v>0</v>
      </c>
      <c r="AA980" s="0" t="n">
        <v>0</v>
      </c>
      <c r="AB980" s="0" t="n">
        <v>0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527.6</v>
      </c>
      <c r="AH980" s="0" t="n">
        <v>527.6</v>
      </c>
      <c r="AI980" s="0" t="n">
        <v>18</v>
      </c>
    </row>
    <row r="981" customFormat="false" ht="14.9" hidden="false" customHeight="false" outlineLevel="0" collapsed="false">
      <c r="A981" s="0" t="n">
        <v>980</v>
      </c>
      <c r="B981" s="0" t="s">
        <v>362</v>
      </c>
      <c r="C981" s="33" t="s">
        <v>363</v>
      </c>
      <c r="D981" s="34" t="n">
        <v>46216</v>
      </c>
      <c r="E981" s="0" t="n">
        <v>0</v>
      </c>
      <c r="F981" s="0" t="n">
        <v>0</v>
      </c>
      <c r="G981" s="0" t="n">
        <v>476.1</v>
      </c>
      <c r="H981" s="0" t="n">
        <v>47.2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13</v>
      </c>
      <c r="V981" s="0" t="n">
        <v>0</v>
      </c>
      <c r="W981" s="0" t="n">
        <v>0</v>
      </c>
      <c r="X981" s="0" t="n">
        <v>0</v>
      </c>
      <c r="Y981" s="0" t="n">
        <v>0</v>
      </c>
      <c r="Z981" s="0" t="n">
        <v>0</v>
      </c>
      <c r="AA981" s="0" t="n">
        <v>0</v>
      </c>
      <c r="AB981" s="0" t="n">
        <v>0</v>
      </c>
      <c r="AC981" s="0" t="n">
        <v>0</v>
      </c>
      <c r="AD981" s="0" t="n">
        <v>0</v>
      </c>
      <c r="AE981" s="0" t="n">
        <v>0</v>
      </c>
      <c r="AF981" s="0" t="n">
        <v>0</v>
      </c>
      <c r="AG981" s="0" t="n">
        <v>536.3</v>
      </c>
      <c r="AH981" s="0" t="n">
        <v>536.3</v>
      </c>
      <c r="AI981" s="0" t="n">
        <v>18</v>
      </c>
    </row>
    <row r="982" customFormat="false" ht="14.9" hidden="false" customHeight="false" outlineLevel="0" collapsed="false">
      <c r="A982" s="0" t="n">
        <v>981</v>
      </c>
      <c r="B982" s="0" t="s">
        <v>362</v>
      </c>
      <c r="C982" s="33" t="s">
        <v>363</v>
      </c>
      <c r="D982" s="34" t="n">
        <v>46228</v>
      </c>
      <c r="E982" s="0" t="n">
        <v>142.9</v>
      </c>
      <c r="F982" s="0" t="n">
        <v>0</v>
      </c>
      <c r="G982" s="0" t="n">
        <v>540.97</v>
      </c>
      <c r="H982" s="0" t="n">
        <v>151.93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10</v>
      </c>
      <c r="V982" s="0" t="n">
        <v>0</v>
      </c>
      <c r="W982" s="0" t="n">
        <v>0</v>
      </c>
      <c r="X982" s="0" t="n">
        <v>0</v>
      </c>
      <c r="Y982" s="0" t="n">
        <v>0</v>
      </c>
      <c r="Z982" s="0" t="n">
        <v>0</v>
      </c>
      <c r="AA982" s="0" t="n">
        <v>0</v>
      </c>
      <c r="AB982" s="0" t="n">
        <v>0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845.8</v>
      </c>
      <c r="AH982" s="0" t="n">
        <v>845.8</v>
      </c>
      <c r="AI982" s="0" t="n">
        <v>17</v>
      </c>
    </row>
    <row r="983" customFormat="false" ht="14.9" hidden="false" customHeight="false" outlineLevel="0" collapsed="false">
      <c r="A983" s="0" t="n">
        <v>982</v>
      </c>
      <c r="B983" s="0" t="s">
        <v>362</v>
      </c>
      <c r="C983" s="33" t="s">
        <v>363</v>
      </c>
      <c r="D983" s="34" t="n">
        <v>46224</v>
      </c>
      <c r="E983" s="0" t="n">
        <v>150.35</v>
      </c>
      <c r="F983" s="0" t="n">
        <v>0</v>
      </c>
      <c r="G983" s="0" t="n">
        <v>738.52</v>
      </c>
      <c r="H983" s="0" t="n">
        <v>36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20</v>
      </c>
      <c r="V983" s="0" t="n">
        <v>0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0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944.87</v>
      </c>
      <c r="AH983" s="0" t="n">
        <v>944.87</v>
      </c>
      <c r="AI983" s="0" t="n">
        <v>27</v>
      </c>
    </row>
    <row r="984" customFormat="false" ht="14.9" hidden="false" customHeight="false" outlineLevel="0" collapsed="false">
      <c r="A984" s="0" t="n">
        <v>983</v>
      </c>
      <c r="B984" s="0" t="s">
        <v>362</v>
      </c>
      <c r="C984" s="33" t="s">
        <v>363</v>
      </c>
      <c r="D984" s="34" t="n">
        <v>46204</v>
      </c>
      <c r="E984" s="0" t="n">
        <v>310.41</v>
      </c>
      <c r="F984" s="0" t="n">
        <v>0</v>
      </c>
      <c r="G984" s="0" t="n">
        <v>476.94</v>
      </c>
      <c r="H984" s="0" t="n">
        <v>67.3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10</v>
      </c>
      <c r="V984" s="0" t="n">
        <v>0</v>
      </c>
      <c r="W984" s="0" t="n">
        <v>0</v>
      </c>
      <c r="X984" s="0" t="n">
        <v>0</v>
      </c>
      <c r="Y984" s="0" t="n">
        <v>0</v>
      </c>
      <c r="Z984" s="0" t="n">
        <v>0</v>
      </c>
      <c r="AA984" s="0" t="n">
        <v>0</v>
      </c>
      <c r="AB984" s="0" t="n">
        <v>0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864.65</v>
      </c>
      <c r="AH984" s="0" t="n">
        <v>864.65</v>
      </c>
      <c r="AI984" s="0" t="n">
        <v>18</v>
      </c>
    </row>
    <row r="985" customFormat="false" ht="14.9" hidden="false" customHeight="false" outlineLevel="0" collapsed="false">
      <c r="A985" s="0" t="n">
        <v>984</v>
      </c>
      <c r="B985" s="0" t="s">
        <v>362</v>
      </c>
      <c r="C985" s="33" t="s">
        <v>363</v>
      </c>
      <c r="D985" s="34" t="n">
        <v>46219</v>
      </c>
      <c r="E985" s="0" t="n">
        <v>260.49</v>
      </c>
      <c r="F985" s="0" t="n">
        <v>0</v>
      </c>
      <c r="G985" s="0" t="n">
        <v>171.29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10</v>
      </c>
      <c r="V985" s="0" t="n">
        <v>0</v>
      </c>
      <c r="W985" s="0" t="n">
        <v>0</v>
      </c>
      <c r="X985" s="0" t="n">
        <v>0</v>
      </c>
      <c r="Y985" s="0" t="n">
        <v>0</v>
      </c>
      <c r="Z985" s="0" t="n">
        <v>0</v>
      </c>
      <c r="AA985" s="0" t="n">
        <v>0</v>
      </c>
      <c r="AB985" s="0" t="n">
        <v>0</v>
      </c>
      <c r="AC985" s="0" t="n">
        <v>0</v>
      </c>
      <c r="AD985" s="0" t="n">
        <v>0</v>
      </c>
      <c r="AE985" s="0" t="n">
        <v>0</v>
      </c>
      <c r="AF985" s="0" t="n">
        <v>0</v>
      </c>
      <c r="AG985" s="0" t="n">
        <v>441.78</v>
      </c>
      <c r="AH985" s="0" t="n">
        <v>441.78</v>
      </c>
      <c r="AI985" s="0" t="n">
        <v>14</v>
      </c>
    </row>
    <row r="986" customFormat="false" ht="14.9" hidden="false" customHeight="false" outlineLevel="0" collapsed="false">
      <c r="A986" s="0" t="n">
        <v>985</v>
      </c>
      <c r="B986" s="0" t="s">
        <v>362</v>
      </c>
      <c r="C986" s="33" t="s">
        <v>363</v>
      </c>
      <c r="D986" s="34" t="n">
        <v>46234</v>
      </c>
      <c r="E986" s="0" t="n">
        <v>50</v>
      </c>
      <c r="F986" s="0" t="n">
        <v>0</v>
      </c>
      <c r="G986" s="0" t="n">
        <v>83.5</v>
      </c>
      <c r="H986" s="0" t="n">
        <v>418.5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5</v>
      </c>
      <c r="V986" s="0" t="n">
        <v>0</v>
      </c>
      <c r="W986" s="0" t="n">
        <v>0</v>
      </c>
      <c r="X986" s="0" t="n">
        <v>0</v>
      </c>
      <c r="Y986" s="0" t="n">
        <v>0</v>
      </c>
      <c r="Z986" s="0" t="n">
        <v>0</v>
      </c>
      <c r="AA986" s="0" t="n">
        <v>0</v>
      </c>
      <c r="AB986" s="0" t="n">
        <v>0</v>
      </c>
      <c r="AC986" s="0" t="n">
        <v>0</v>
      </c>
      <c r="AD986" s="0" t="n">
        <v>0</v>
      </c>
      <c r="AE986" s="0" t="n">
        <v>0</v>
      </c>
      <c r="AF986" s="0" t="n">
        <v>0</v>
      </c>
      <c r="AG986" s="0" t="n">
        <v>557</v>
      </c>
      <c r="AH986" s="0" t="n">
        <v>557</v>
      </c>
      <c r="AI986" s="0" t="n">
        <v>6</v>
      </c>
    </row>
    <row r="987" customFormat="false" ht="14.9" hidden="false" customHeight="false" outlineLevel="0" collapsed="false">
      <c r="A987" s="0" t="n">
        <v>986</v>
      </c>
      <c r="B987" s="0" t="s">
        <v>362</v>
      </c>
      <c r="C987" s="33" t="s">
        <v>363</v>
      </c>
      <c r="D987" s="34" t="n">
        <v>46233</v>
      </c>
      <c r="E987" s="0" t="n">
        <v>233.1</v>
      </c>
      <c r="F987" s="0" t="n">
        <v>0</v>
      </c>
      <c r="G987" s="0" t="n">
        <v>318.7</v>
      </c>
      <c r="H987" s="0" t="n">
        <v>98.7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20</v>
      </c>
      <c r="V987" s="0" t="n">
        <v>0</v>
      </c>
      <c r="W987" s="0" t="n">
        <v>0</v>
      </c>
      <c r="X987" s="0" t="n">
        <v>0</v>
      </c>
      <c r="Y987" s="0" t="n">
        <v>0</v>
      </c>
      <c r="Z987" s="0" t="n">
        <v>0</v>
      </c>
      <c r="AA987" s="0" t="n">
        <v>0</v>
      </c>
      <c r="AB987" s="0" t="n">
        <v>0</v>
      </c>
      <c r="AC987" s="0" t="n">
        <v>0</v>
      </c>
      <c r="AD987" s="0" t="n">
        <v>0</v>
      </c>
      <c r="AE987" s="0" t="n">
        <v>0</v>
      </c>
      <c r="AF987" s="0" t="n">
        <v>0</v>
      </c>
      <c r="AG987" s="0" t="n">
        <v>670.5</v>
      </c>
      <c r="AH987" s="0" t="n">
        <v>670.5</v>
      </c>
      <c r="AI987" s="0" t="n">
        <v>15</v>
      </c>
    </row>
    <row r="988" customFormat="false" ht="14.9" hidden="false" customHeight="false" outlineLevel="0" collapsed="false">
      <c r="A988" s="0" t="n">
        <v>987</v>
      </c>
      <c r="B988" s="0" t="s">
        <v>362</v>
      </c>
      <c r="C988" s="33" t="s">
        <v>363</v>
      </c>
      <c r="D988" s="34" t="n">
        <v>46211</v>
      </c>
      <c r="E988" s="0" t="n">
        <v>67.5</v>
      </c>
      <c r="F988" s="0" t="n">
        <v>0</v>
      </c>
      <c r="G988" s="0" t="n">
        <v>354.89</v>
      </c>
      <c r="H988" s="0" t="n">
        <v>116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15</v>
      </c>
      <c r="V988" s="0" t="n">
        <v>0.01</v>
      </c>
      <c r="W988" s="0" t="n">
        <v>0</v>
      </c>
      <c r="X988" s="0" t="n">
        <v>0</v>
      </c>
      <c r="Y988" s="0" t="n">
        <v>0</v>
      </c>
      <c r="Z988" s="0" t="n">
        <v>0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0</v>
      </c>
      <c r="AF988" s="0" t="n">
        <v>0</v>
      </c>
      <c r="AG988" s="0" t="n">
        <v>553.4</v>
      </c>
      <c r="AH988" s="0" t="n">
        <v>553.4</v>
      </c>
      <c r="AI988" s="0" t="n">
        <v>21</v>
      </c>
    </row>
    <row r="989" customFormat="false" ht="14.9" hidden="false" customHeight="false" outlineLevel="0" collapsed="false">
      <c r="A989" s="0" t="n">
        <v>988</v>
      </c>
      <c r="B989" s="0" t="s">
        <v>362</v>
      </c>
      <c r="C989" s="33" t="s">
        <v>363</v>
      </c>
      <c r="D989" s="34" t="n">
        <v>46223</v>
      </c>
      <c r="E989" s="0" t="n">
        <v>29.9</v>
      </c>
      <c r="F989" s="0" t="n">
        <v>0</v>
      </c>
      <c r="G989" s="0" t="n">
        <v>204.7</v>
      </c>
      <c r="H989" s="0" t="n">
        <v>184.8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5</v>
      </c>
      <c r="V989" s="0" t="n">
        <v>0</v>
      </c>
      <c r="W989" s="0" t="n">
        <v>0</v>
      </c>
      <c r="X989" s="0" t="n">
        <v>0</v>
      </c>
      <c r="Y989" s="0" t="n">
        <v>0</v>
      </c>
      <c r="Z989" s="0" t="n">
        <v>0</v>
      </c>
      <c r="AA989" s="0" t="n">
        <v>0</v>
      </c>
      <c r="AB989" s="0" t="n">
        <v>0</v>
      </c>
      <c r="AC989" s="0" t="n">
        <v>0</v>
      </c>
      <c r="AD989" s="0" t="n">
        <v>0</v>
      </c>
      <c r="AE989" s="0" t="n">
        <v>0</v>
      </c>
      <c r="AF989" s="0" t="n">
        <v>0</v>
      </c>
      <c r="AG989" s="0" t="n">
        <v>424.4</v>
      </c>
      <c r="AH989" s="0" t="n">
        <v>424.4</v>
      </c>
      <c r="AI989" s="0" t="n">
        <v>17</v>
      </c>
    </row>
    <row r="990" customFormat="false" ht="14.9" hidden="false" customHeight="false" outlineLevel="0" collapsed="false">
      <c r="A990" s="0" t="n">
        <v>989</v>
      </c>
      <c r="B990" s="0" t="s">
        <v>362</v>
      </c>
      <c r="C990" s="33" t="s">
        <v>363</v>
      </c>
      <c r="D990" s="34" t="n">
        <v>46208</v>
      </c>
      <c r="E990" s="0" t="n">
        <v>15</v>
      </c>
      <c r="F990" s="0" t="n">
        <v>0</v>
      </c>
      <c r="G990" s="0" t="n">
        <v>767.08</v>
      </c>
      <c r="H990" s="0" t="n">
        <v>55.8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10</v>
      </c>
      <c r="V990" s="0" t="n">
        <v>0</v>
      </c>
      <c r="W990" s="0" t="n">
        <v>0</v>
      </c>
      <c r="X990" s="0" t="n">
        <v>0</v>
      </c>
      <c r="Y990" s="0" t="n">
        <v>0</v>
      </c>
      <c r="Z990" s="0" t="n">
        <v>0</v>
      </c>
      <c r="AA990" s="0" t="n">
        <v>0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847.88</v>
      </c>
      <c r="AH990" s="0" t="n">
        <v>847.88</v>
      </c>
      <c r="AI990" s="0" t="n">
        <v>18</v>
      </c>
    </row>
    <row r="991" customFormat="false" ht="14.9" hidden="false" customHeight="false" outlineLevel="0" collapsed="false">
      <c r="A991" s="0" t="n">
        <v>990</v>
      </c>
      <c r="B991" s="0" t="s">
        <v>362</v>
      </c>
      <c r="C991" s="33" t="s">
        <v>363</v>
      </c>
      <c r="D991" s="34" t="n">
        <v>46206</v>
      </c>
      <c r="E991" s="0" t="n">
        <v>59.3</v>
      </c>
      <c r="F991" s="0" t="n">
        <v>0</v>
      </c>
      <c r="G991" s="0" t="n">
        <v>551.6</v>
      </c>
      <c r="H991" s="0" t="n">
        <v>107.5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25</v>
      </c>
      <c r="V991" s="0" t="n">
        <v>0</v>
      </c>
      <c r="W991" s="0" t="n">
        <v>0</v>
      </c>
      <c r="X991" s="0" t="n">
        <v>0</v>
      </c>
      <c r="Y991" s="0" t="n">
        <v>0</v>
      </c>
      <c r="Z991" s="0" t="n">
        <v>0</v>
      </c>
      <c r="AA991" s="0" t="n">
        <v>0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743.4</v>
      </c>
      <c r="AH991" s="0" t="n">
        <v>743.4</v>
      </c>
      <c r="AI991" s="0" t="n">
        <v>26</v>
      </c>
    </row>
    <row r="992" customFormat="false" ht="14.9" hidden="false" customHeight="false" outlineLevel="0" collapsed="false">
      <c r="A992" s="0" t="n">
        <v>991</v>
      </c>
      <c r="B992" s="0" t="s">
        <v>362</v>
      </c>
      <c r="C992" s="33" t="s">
        <v>363</v>
      </c>
      <c r="D992" s="34" t="n">
        <v>46205</v>
      </c>
      <c r="E992" s="0" t="n">
        <v>43.9</v>
      </c>
      <c r="F992" s="0" t="n">
        <v>0</v>
      </c>
      <c r="G992" s="0" t="n">
        <v>635.9</v>
      </c>
      <c r="H992" s="0" t="n">
        <v>239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26</v>
      </c>
      <c r="V992" s="0" t="n">
        <v>0</v>
      </c>
      <c r="W992" s="0" t="n">
        <v>0</v>
      </c>
      <c r="X992" s="0" t="n">
        <v>0</v>
      </c>
      <c r="Y992" s="0" t="n">
        <v>0</v>
      </c>
      <c r="Z992" s="0" t="n">
        <v>0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0</v>
      </c>
      <c r="AG992" s="0" t="n">
        <v>944.8</v>
      </c>
      <c r="AH992" s="0" t="n">
        <v>944.8</v>
      </c>
      <c r="AI992" s="0" t="n">
        <v>23</v>
      </c>
    </row>
    <row r="993" customFormat="false" ht="14.9" hidden="false" customHeight="false" outlineLevel="0" collapsed="false">
      <c r="A993" s="0" t="n">
        <v>992</v>
      </c>
      <c r="B993" s="0" t="s">
        <v>362</v>
      </c>
      <c r="C993" s="33" t="s">
        <v>363</v>
      </c>
      <c r="D993" s="34" t="n">
        <v>46226</v>
      </c>
      <c r="E993" s="0" t="n">
        <v>42.4</v>
      </c>
      <c r="F993" s="0" t="n">
        <v>0</v>
      </c>
      <c r="G993" s="0" t="n">
        <v>321.1</v>
      </c>
      <c r="H993" s="0" t="n">
        <v>122.8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5</v>
      </c>
      <c r="V993" s="0" t="n">
        <v>0</v>
      </c>
      <c r="W993" s="0" t="n">
        <v>0</v>
      </c>
      <c r="X993" s="0" t="n">
        <v>0</v>
      </c>
      <c r="Y993" s="0" t="n">
        <v>0</v>
      </c>
      <c r="Z993" s="0" t="n">
        <v>0</v>
      </c>
      <c r="AA993" s="0" t="n">
        <v>0</v>
      </c>
      <c r="AB993" s="0" t="n">
        <v>0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491.3</v>
      </c>
      <c r="AH993" s="0" t="n">
        <v>491.3</v>
      </c>
      <c r="AI993" s="0" t="n">
        <v>17</v>
      </c>
    </row>
    <row r="994" customFormat="false" ht="14.9" hidden="false" customHeight="false" outlineLevel="0" collapsed="false">
      <c r="A994" s="0" t="n">
        <v>993</v>
      </c>
      <c r="B994" s="0" t="s">
        <v>364</v>
      </c>
      <c r="C994" s="33" t="s">
        <v>365</v>
      </c>
      <c r="D994" s="34" t="n">
        <v>46211</v>
      </c>
      <c r="E994" s="0" t="n">
        <v>617.06</v>
      </c>
      <c r="F994" s="0" t="n">
        <v>0</v>
      </c>
      <c r="G994" s="0" t="n">
        <v>393.19</v>
      </c>
      <c r="H994" s="0" t="n">
        <v>41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10</v>
      </c>
      <c r="X994" s="0" t="n">
        <v>0</v>
      </c>
      <c r="Y994" s="0" t="n">
        <v>0</v>
      </c>
      <c r="Z994" s="0" t="n">
        <v>0</v>
      </c>
      <c r="AA994" s="0" t="n">
        <v>0</v>
      </c>
      <c r="AB994" s="0" t="n">
        <v>0</v>
      </c>
      <c r="AC994" s="0" t="n">
        <v>0</v>
      </c>
      <c r="AD994" s="0" t="n">
        <v>0</v>
      </c>
      <c r="AE994" s="0" t="n">
        <v>0</v>
      </c>
      <c r="AF994" s="0" t="n">
        <v>0</v>
      </c>
      <c r="AG994" s="0" t="n">
        <v>1061.25</v>
      </c>
      <c r="AH994" s="0" t="n">
        <v>1061.25</v>
      </c>
      <c r="AI994" s="0" t="n">
        <v>14</v>
      </c>
    </row>
    <row r="995" customFormat="false" ht="14.9" hidden="false" customHeight="false" outlineLevel="0" collapsed="false">
      <c r="A995" s="0" t="n">
        <v>994</v>
      </c>
      <c r="B995" s="0" t="s">
        <v>364</v>
      </c>
      <c r="C995" s="33" t="s">
        <v>365</v>
      </c>
      <c r="D995" s="34" t="n">
        <v>46221</v>
      </c>
      <c r="E995" s="0" t="n">
        <v>57</v>
      </c>
      <c r="F995" s="0" t="n">
        <v>0</v>
      </c>
      <c r="G995" s="0" t="n">
        <v>499.87</v>
      </c>
      <c r="H995" s="0" t="n">
        <v>205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86.6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18</v>
      </c>
      <c r="X995" s="0" t="n">
        <v>0</v>
      </c>
      <c r="Y995" s="0" t="n">
        <v>0</v>
      </c>
      <c r="Z995" s="0" t="n">
        <v>0</v>
      </c>
      <c r="AA995" s="0" t="n">
        <v>0</v>
      </c>
      <c r="AB995" s="0" t="n">
        <v>0</v>
      </c>
      <c r="AC995" s="0" t="n">
        <v>0</v>
      </c>
      <c r="AD995" s="0" t="n">
        <v>0</v>
      </c>
      <c r="AE995" s="0" t="n">
        <v>0</v>
      </c>
      <c r="AF995" s="0" t="n">
        <v>0</v>
      </c>
      <c r="AG995" s="0" t="n">
        <v>866.47</v>
      </c>
      <c r="AH995" s="0" t="n">
        <v>866.47</v>
      </c>
      <c r="AI995" s="0" t="n">
        <v>14</v>
      </c>
    </row>
    <row r="996" customFormat="false" ht="14.9" hidden="false" customHeight="false" outlineLevel="0" collapsed="false">
      <c r="A996" s="0" t="n">
        <v>995</v>
      </c>
      <c r="B996" s="0" t="s">
        <v>364</v>
      </c>
      <c r="C996" s="33" t="s">
        <v>365</v>
      </c>
      <c r="D996" s="34" t="n">
        <v>46228</v>
      </c>
      <c r="E996" s="0" t="n">
        <v>46</v>
      </c>
      <c r="F996" s="0" t="n">
        <v>0</v>
      </c>
      <c r="G996" s="0" t="n">
        <v>270.3</v>
      </c>
      <c r="H996" s="0" t="n">
        <v>66.8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5</v>
      </c>
      <c r="X996" s="0" t="n">
        <v>0</v>
      </c>
      <c r="Y996" s="0" t="n">
        <v>0</v>
      </c>
      <c r="Z996" s="0" t="n">
        <v>0</v>
      </c>
      <c r="AA996" s="0" t="n">
        <v>0</v>
      </c>
      <c r="AB996" s="0" t="n">
        <v>0</v>
      </c>
      <c r="AC996" s="0" t="n">
        <v>0</v>
      </c>
      <c r="AD996" s="0" t="n">
        <v>0</v>
      </c>
      <c r="AE996" s="0" t="n">
        <v>0</v>
      </c>
      <c r="AF996" s="0" t="n">
        <v>0</v>
      </c>
      <c r="AG996" s="0" t="n">
        <v>388.1</v>
      </c>
      <c r="AH996" s="0" t="n">
        <v>388.1</v>
      </c>
      <c r="AI996" s="0" t="n">
        <v>11</v>
      </c>
    </row>
    <row r="997" customFormat="false" ht="14.9" hidden="false" customHeight="false" outlineLevel="0" collapsed="false">
      <c r="A997" s="0" t="n">
        <v>996</v>
      </c>
      <c r="B997" s="0" t="s">
        <v>364</v>
      </c>
      <c r="C997" s="33" t="s">
        <v>365</v>
      </c>
      <c r="D997" s="34" t="n">
        <v>46216</v>
      </c>
      <c r="E997" s="0" t="n">
        <v>151.06</v>
      </c>
      <c r="F997" s="0" t="n">
        <v>0</v>
      </c>
      <c r="G997" s="0" t="n">
        <v>708</v>
      </c>
      <c r="H997" s="0" t="n">
        <v>242</v>
      </c>
      <c r="I997" s="0" t="n">
        <v>0</v>
      </c>
      <c r="J997" s="0" t="n">
        <v>0</v>
      </c>
      <c r="K997" s="0" t="n">
        <v>38</v>
      </c>
      <c r="L997" s="0" t="n">
        <v>0</v>
      </c>
      <c r="M997" s="0" t="n">
        <v>0</v>
      </c>
      <c r="N997" s="0" t="n">
        <v>0</v>
      </c>
      <c r="O997" s="0" t="n">
        <v>27.2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28</v>
      </c>
      <c r="X997" s="0" t="n">
        <v>0</v>
      </c>
      <c r="Y997" s="0" t="n">
        <v>0</v>
      </c>
      <c r="Z997" s="0" t="n">
        <v>0</v>
      </c>
      <c r="AA997" s="0" t="n">
        <v>0</v>
      </c>
      <c r="AB997" s="0" t="n">
        <v>0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1194.26</v>
      </c>
      <c r="AH997" s="0" t="n">
        <v>1194.26</v>
      </c>
      <c r="AI997" s="0" t="n">
        <v>15</v>
      </c>
    </row>
    <row r="998" customFormat="false" ht="14.9" hidden="false" customHeight="false" outlineLevel="0" collapsed="false">
      <c r="A998" s="0" t="n">
        <v>997</v>
      </c>
      <c r="B998" s="0" t="s">
        <v>364</v>
      </c>
      <c r="C998" s="33" t="s">
        <v>365</v>
      </c>
      <c r="D998" s="34" t="n">
        <v>46214</v>
      </c>
      <c r="E998" s="0" t="n">
        <v>304.04</v>
      </c>
      <c r="F998" s="0" t="n">
        <v>0</v>
      </c>
      <c r="G998" s="0" t="n">
        <v>602.95</v>
      </c>
      <c r="H998" s="0" t="n">
        <v>311.44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25</v>
      </c>
      <c r="X998" s="0" t="n">
        <v>0</v>
      </c>
      <c r="Y998" s="0" t="n">
        <v>0</v>
      </c>
      <c r="Z998" s="0" t="n">
        <v>0</v>
      </c>
      <c r="AA998" s="0" t="n">
        <v>0</v>
      </c>
      <c r="AB998" s="0" t="n">
        <v>0</v>
      </c>
      <c r="AC998" s="0" t="n">
        <v>0</v>
      </c>
      <c r="AD998" s="0" t="n">
        <v>0</v>
      </c>
      <c r="AE998" s="0" t="n">
        <v>0</v>
      </c>
      <c r="AF998" s="0" t="n">
        <v>0</v>
      </c>
      <c r="AG998" s="0" t="n">
        <v>1243.43</v>
      </c>
      <c r="AH998" s="0" t="n">
        <v>1243.43</v>
      </c>
      <c r="AI998" s="0" t="n">
        <v>16</v>
      </c>
    </row>
    <row r="999" customFormat="false" ht="14.9" hidden="false" customHeight="false" outlineLevel="0" collapsed="false">
      <c r="A999" s="0" t="n">
        <v>998</v>
      </c>
      <c r="B999" s="0" t="s">
        <v>364</v>
      </c>
      <c r="C999" s="33" t="s">
        <v>365</v>
      </c>
      <c r="D999" s="34" t="n">
        <v>46209</v>
      </c>
      <c r="E999" s="0" t="n">
        <v>0</v>
      </c>
      <c r="F999" s="0" t="n">
        <v>0</v>
      </c>
      <c r="G999" s="0" t="n">
        <v>872.41</v>
      </c>
      <c r="H999" s="0" t="n">
        <v>95.6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W999" s="0" t="n">
        <v>33</v>
      </c>
      <c r="X999" s="0" t="n">
        <v>0</v>
      </c>
      <c r="Y999" s="0" t="n">
        <v>0</v>
      </c>
      <c r="Z999" s="0" t="n">
        <v>0</v>
      </c>
      <c r="AA999" s="0" t="n">
        <v>0</v>
      </c>
      <c r="AB999" s="0" t="n">
        <v>0</v>
      </c>
      <c r="AC999" s="0" t="n">
        <v>0</v>
      </c>
      <c r="AD999" s="0" t="n">
        <v>0</v>
      </c>
      <c r="AE999" s="0" t="n">
        <v>0</v>
      </c>
      <c r="AF999" s="0" t="n">
        <v>0</v>
      </c>
      <c r="AG999" s="0" t="n">
        <v>1001.01</v>
      </c>
      <c r="AH999" s="0" t="n">
        <v>1001.01</v>
      </c>
      <c r="AI999" s="0" t="n">
        <v>15</v>
      </c>
    </row>
    <row r="1000" customFormat="false" ht="14.9" hidden="false" customHeight="false" outlineLevel="0" collapsed="false">
      <c r="A1000" s="0" t="n">
        <v>999</v>
      </c>
      <c r="B1000" s="0" t="s">
        <v>364</v>
      </c>
      <c r="C1000" s="33" t="s">
        <v>365</v>
      </c>
      <c r="D1000" s="34" t="n">
        <v>46232</v>
      </c>
      <c r="E1000" s="0" t="n">
        <v>-45.1</v>
      </c>
      <c r="F1000" s="0" t="n">
        <v>0</v>
      </c>
      <c r="G1000" s="0" t="n">
        <v>233.32</v>
      </c>
      <c r="H1000" s="0" t="n">
        <v>1308.38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0.01</v>
      </c>
      <c r="W1000" s="0" t="n">
        <v>16</v>
      </c>
      <c r="X1000" s="0" t="n">
        <v>0</v>
      </c>
      <c r="Y1000" s="0" t="n">
        <v>0</v>
      </c>
      <c r="Z1000" s="0" t="n">
        <v>0</v>
      </c>
      <c r="AA1000" s="0" t="n">
        <v>0</v>
      </c>
      <c r="AB1000" s="0" t="n">
        <v>0</v>
      </c>
      <c r="AC1000" s="0" t="n">
        <v>0</v>
      </c>
      <c r="AD1000" s="0" t="n">
        <v>0</v>
      </c>
      <c r="AE1000" s="0" t="n">
        <v>0</v>
      </c>
      <c r="AF1000" s="0" t="n">
        <v>0</v>
      </c>
      <c r="AG1000" s="0" t="n">
        <v>1512.61</v>
      </c>
      <c r="AH1000" s="0" t="n">
        <v>1512.61</v>
      </c>
      <c r="AI1000" s="0" t="n">
        <v>12</v>
      </c>
    </row>
    <row r="1001" customFormat="false" ht="14.9" hidden="false" customHeight="false" outlineLevel="0" collapsed="false">
      <c r="A1001" s="0" t="n">
        <v>1000</v>
      </c>
      <c r="B1001" s="0" t="s">
        <v>364</v>
      </c>
      <c r="C1001" s="33" t="s">
        <v>365</v>
      </c>
      <c r="D1001" s="34" t="n">
        <v>46208</v>
      </c>
      <c r="E1001" s="0" t="n">
        <v>109.2</v>
      </c>
      <c r="F1001" s="0" t="n">
        <v>0</v>
      </c>
      <c r="G1001" s="0" t="n">
        <v>511.4</v>
      </c>
      <c r="H1001" s="0" t="n">
        <v>161.9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5</v>
      </c>
      <c r="X1001" s="0" t="n">
        <v>0</v>
      </c>
      <c r="Y1001" s="0" t="n">
        <v>0</v>
      </c>
      <c r="Z1001" s="0" t="n">
        <v>0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0</v>
      </c>
      <c r="AG1001" s="0" t="n">
        <v>787.5</v>
      </c>
      <c r="AH1001" s="0" t="n">
        <v>787.5</v>
      </c>
      <c r="AI1001" s="0" t="n">
        <v>11</v>
      </c>
    </row>
    <row r="1002" customFormat="false" ht="14.9" hidden="false" customHeight="false" outlineLevel="0" collapsed="false">
      <c r="A1002" s="0" t="n">
        <v>1001</v>
      </c>
      <c r="B1002" s="0" t="s">
        <v>364</v>
      </c>
      <c r="C1002" s="33" t="s">
        <v>365</v>
      </c>
      <c r="D1002" s="34" t="n">
        <v>46217</v>
      </c>
      <c r="E1002" s="0" t="n">
        <v>282.55</v>
      </c>
      <c r="F1002" s="0" t="n">
        <v>0</v>
      </c>
      <c r="G1002" s="0" t="n">
        <v>299.2</v>
      </c>
      <c r="H1002" s="0" t="n">
        <v>504.55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123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25</v>
      </c>
      <c r="X1002" s="0" t="n">
        <v>0</v>
      </c>
      <c r="Y1002" s="0" t="n">
        <v>0</v>
      </c>
      <c r="Z1002" s="0" t="n">
        <v>0</v>
      </c>
      <c r="AA1002" s="0" t="n">
        <v>0</v>
      </c>
      <c r="AB1002" s="0" t="n">
        <v>0</v>
      </c>
      <c r="AC1002" s="0" t="n">
        <v>0</v>
      </c>
      <c r="AD1002" s="0" t="n">
        <v>0</v>
      </c>
      <c r="AE1002" s="0" t="n">
        <v>0</v>
      </c>
      <c r="AF1002" s="0" t="n">
        <v>0</v>
      </c>
      <c r="AG1002" s="0" t="n">
        <v>1234.3</v>
      </c>
      <c r="AH1002" s="0" t="n">
        <v>1234.3</v>
      </c>
      <c r="AI1002" s="0" t="n">
        <v>16</v>
      </c>
    </row>
    <row r="1003" customFormat="false" ht="14.9" hidden="false" customHeight="false" outlineLevel="0" collapsed="false">
      <c r="A1003" s="0" t="n">
        <v>1002</v>
      </c>
      <c r="B1003" s="0" t="s">
        <v>364</v>
      </c>
      <c r="C1003" s="33" t="s">
        <v>365</v>
      </c>
      <c r="D1003" s="34" t="n">
        <v>46230</v>
      </c>
      <c r="E1003" s="0" t="n">
        <v>39</v>
      </c>
      <c r="F1003" s="0" t="n">
        <v>0</v>
      </c>
      <c r="G1003" s="0" t="n">
        <v>627</v>
      </c>
      <c r="H1003" s="0" t="n">
        <v>282.2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56.1</v>
      </c>
      <c r="X1003" s="0" t="n">
        <v>0</v>
      </c>
      <c r="Y1003" s="0" t="n">
        <v>0</v>
      </c>
      <c r="Z1003" s="0" t="n">
        <v>0</v>
      </c>
      <c r="AA1003" s="0" t="n">
        <v>0</v>
      </c>
      <c r="AB1003" s="0" t="n">
        <v>0</v>
      </c>
      <c r="AC1003" s="0" t="n">
        <v>0</v>
      </c>
      <c r="AD1003" s="0" t="n">
        <v>0</v>
      </c>
      <c r="AE1003" s="0" t="n">
        <v>0</v>
      </c>
      <c r="AF1003" s="0" t="n">
        <v>0</v>
      </c>
      <c r="AG1003" s="0" t="n">
        <v>1004.3</v>
      </c>
      <c r="AH1003" s="0" t="n">
        <v>1004.3</v>
      </c>
      <c r="AI1003" s="0" t="n">
        <v>13</v>
      </c>
    </row>
    <row r="1004" customFormat="false" ht="14.9" hidden="false" customHeight="false" outlineLevel="0" collapsed="false">
      <c r="A1004" s="0" t="n">
        <v>1003</v>
      </c>
      <c r="B1004" s="0" t="s">
        <v>364</v>
      </c>
      <c r="C1004" s="33" t="s">
        <v>365</v>
      </c>
      <c r="D1004" s="34" t="n">
        <v>46223</v>
      </c>
      <c r="E1004" s="0" t="n">
        <v>276.3</v>
      </c>
      <c r="F1004" s="0" t="n">
        <v>0</v>
      </c>
      <c r="G1004" s="0" t="n">
        <v>471.12</v>
      </c>
      <c r="H1004" s="0" t="n">
        <v>379.94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62.8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25</v>
      </c>
      <c r="X1004" s="0" t="n">
        <v>0</v>
      </c>
      <c r="Y1004" s="0" t="n">
        <v>0</v>
      </c>
      <c r="Z1004" s="0" t="n">
        <v>0</v>
      </c>
      <c r="AA1004" s="0" t="n">
        <v>0</v>
      </c>
      <c r="AB1004" s="0" t="n">
        <v>0</v>
      </c>
      <c r="AC1004" s="0" t="n">
        <v>0</v>
      </c>
      <c r="AD1004" s="0" t="n">
        <v>0</v>
      </c>
      <c r="AE1004" s="0" t="n">
        <v>0</v>
      </c>
      <c r="AF1004" s="0" t="n">
        <v>0</v>
      </c>
      <c r="AG1004" s="0" t="n">
        <v>1215.16</v>
      </c>
      <c r="AH1004" s="0" t="n">
        <v>1215.16</v>
      </c>
      <c r="AI1004" s="0" t="n">
        <v>13</v>
      </c>
    </row>
    <row r="1005" customFormat="false" ht="14.9" hidden="false" customHeight="false" outlineLevel="0" collapsed="false">
      <c r="A1005" s="0" t="n">
        <v>1004</v>
      </c>
      <c r="B1005" s="0" t="s">
        <v>364</v>
      </c>
      <c r="C1005" s="33" t="s">
        <v>365</v>
      </c>
      <c r="D1005" s="34" t="n">
        <v>46218</v>
      </c>
      <c r="E1005" s="0" t="n">
        <v>92.48</v>
      </c>
      <c r="F1005" s="0" t="n">
        <v>0</v>
      </c>
      <c r="G1005" s="0" t="n">
        <v>313.98</v>
      </c>
      <c r="H1005" s="0" t="n">
        <v>421.42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38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20</v>
      </c>
      <c r="X1005" s="0" t="n">
        <v>0</v>
      </c>
      <c r="Y1005" s="0" t="n">
        <v>0</v>
      </c>
      <c r="Z1005" s="0" t="n">
        <v>0</v>
      </c>
      <c r="AA1005" s="0" t="n">
        <v>0</v>
      </c>
      <c r="AB1005" s="0" t="n">
        <v>0</v>
      </c>
      <c r="AC1005" s="0" t="n">
        <v>0</v>
      </c>
      <c r="AD1005" s="0" t="n">
        <v>0</v>
      </c>
      <c r="AE1005" s="0" t="n">
        <v>0</v>
      </c>
      <c r="AF1005" s="0" t="n">
        <v>0</v>
      </c>
      <c r="AG1005" s="0" t="n">
        <v>885.88</v>
      </c>
      <c r="AH1005" s="0" t="n">
        <v>885.88</v>
      </c>
      <c r="AI1005" s="0" t="n">
        <v>12</v>
      </c>
    </row>
    <row r="1006" customFormat="false" ht="14.9" hidden="false" customHeight="false" outlineLevel="0" collapsed="false">
      <c r="A1006" s="0" t="n">
        <v>1005</v>
      </c>
      <c r="B1006" s="0" t="s">
        <v>364</v>
      </c>
      <c r="C1006" s="33" t="s">
        <v>365</v>
      </c>
      <c r="D1006" s="34" t="n">
        <v>46210</v>
      </c>
      <c r="E1006" s="0" t="n">
        <v>126.1</v>
      </c>
      <c r="F1006" s="0" t="n">
        <v>0</v>
      </c>
      <c r="G1006" s="0" t="n">
        <v>555.61</v>
      </c>
      <c r="H1006" s="0" t="n">
        <v>188.1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20</v>
      </c>
      <c r="X1006" s="0" t="n">
        <v>0</v>
      </c>
      <c r="Y1006" s="0" t="n">
        <v>0</v>
      </c>
      <c r="Z1006" s="0" t="n">
        <v>0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889.81</v>
      </c>
      <c r="AH1006" s="0" t="n">
        <v>889.81</v>
      </c>
      <c r="AI1006" s="0" t="n">
        <v>13</v>
      </c>
    </row>
    <row r="1007" customFormat="false" ht="14.9" hidden="false" customHeight="false" outlineLevel="0" collapsed="false">
      <c r="A1007" s="0" t="n">
        <v>1006</v>
      </c>
      <c r="B1007" s="0" t="s">
        <v>364</v>
      </c>
      <c r="C1007" s="33" t="s">
        <v>365</v>
      </c>
      <c r="D1007" s="34" t="n">
        <v>46229</v>
      </c>
      <c r="E1007" s="0" t="n">
        <v>15</v>
      </c>
      <c r="F1007" s="0" t="n">
        <v>0</v>
      </c>
      <c r="G1007" s="0" t="n">
        <v>1278.71</v>
      </c>
      <c r="H1007" s="0" t="n">
        <v>208.08</v>
      </c>
      <c r="I1007" s="0" t="n">
        <v>0</v>
      </c>
      <c r="J1007" s="0" t="n">
        <v>0</v>
      </c>
      <c r="K1007" s="0" t="n">
        <v>116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23.66</v>
      </c>
      <c r="W1007" s="0" t="n">
        <v>56</v>
      </c>
      <c r="X1007" s="0" t="n">
        <v>0</v>
      </c>
      <c r="Y1007" s="0" t="n">
        <v>0</v>
      </c>
      <c r="Z1007" s="0" t="n">
        <v>0</v>
      </c>
      <c r="AA1007" s="0" t="n">
        <v>0</v>
      </c>
      <c r="AB1007" s="0" t="n">
        <v>0</v>
      </c>
      <c r="AC1007" s="0" t="n">
        <v>0</v>
      </c>
      <c r="AD1007" s="0" t="n">
        <v>0</v>
      </c>
      <c r="AE1007" s="0" t="n">
        <v>0</v>
      </c>
      <c r="AF1007" s="0" t="n">
        <v>0</v>
      </c>
      <c r="AG1007" s="0" t="n">
        <v>1697.45</v>
      </c>
      <c r="AH1007" s="0" t="n">
        <v>1697.45</v>
      </c>
      <c r="AI1007" s="0" t="n">
        <v>21</v>
      </c>
    </row>
    <row r="1008" customFormat="false" ht="14.9" hidden="false" customHeight="false" outlineLevel="0" collapsed="false">
      <c r="A1008" s="0" t="n">
        <v>1007</v>
      </c>
      <c r="B1008" s="0" t="s">
        <v>364</v>
      </c>
      <c r="C1008" s="33" t="s">
        <v>365</v>
      </c>
      <c r="D1008" s="34" t="n">
        <v>46225</v>
      </c>
      <c r="E1008" s="0" t="n">
        <v>290.92</v>
      </c>
      <c r="F1008" s="0" t="n">
        <v>0</v>
      </c>
      <c r="G1008" s="0" t="n">
        <v>394.5</v>
      </c>
      <c r="H1008" s="0" t="n">
        <v>209.8</v>
      </c>
      <c r="I1008" s="0" t="n">
        <v>0</v>
      </c>
      <c r="J1008" s="0" t="n">
        <v>0</v>
      </c>
      <c r="K1008" s="0" t="n">
        <v>166.68</v>
      </c>
      <c r="L1008" s="0" t="n">
        <v>0</v>
      </c>
      <c r="M1008" s="0" t="n">
        <v>0</v>
      </c>
      <c r="N1008" s="0" t="n">
        <v>0</v>
      </c>
      <c r="O1008" s="0" t="n">
        <v>21.8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23</v>
      </c>
      <c r="X1008" s="0" t="n">
        <v>0</v>
      </c>
      <c r="Y1008" s="0" t="n">
        <v>0</v>
      </c>
      <c r="Z1008" s="0" t="n">
        <v>0</v>
      </c>
      <c r="AA1008" s="0" t="n">
        <v>0</v>
      </c>
      <c r="AB1008" s="0" t="n">
        <v>0</v>
      </c>
      <c r="AC1008" s="0" t="n">
        <v>0</v>
      </c>
      <c r="AD1008" s="0" t="n">
        <v>0</v>
      </c>
      <c r="AE1008" s="0" t="n">
        <v>0</v>
      </c>
      <c r="AF1008" s="0" t="n">
        <v>0</v>
      </c>
      <c r="AG1008" s="0" t="n">
        <v>1106.7</v>
      </c>
      <c r="AH1008" s="0" t="n">
        <v>1106.7</v>
      </c>
      <c r="AI1008" s="0" t="n">
        <v>11</v>
      </c>
    </row>
    <row r="1009" customFormat="false" ht="14.9" hidden="false" customHeight="false" outlineLevel="0" collapsed="false">
      <c r="A1009" s="0" t="n">
        <v>1008</v>
      </c>
      <c r="B1009" s="0" t="s">
        <v>364</v>
      </c>
      <c r="C1009" s="33" t="s">
        <v>365</v>
      </c>
      <c r="D1009" s="34" t="n">
        <v>46226</v>
      </c>
      <c r="E1009" s="0" t="n">
        <v>102.35</v>
      </c>
      <c r="F1009" s="0" t="n">
        <v>0</v>
      </c>
      <c r="G1009" s="0" t="n">
        <v>604</v>
      </c>
      <c r="H1009" s="0" t="n">
        <v>14.5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33</v>
      </c>
      <c r="X1009" s="0" t="n">
        <v>0</v>
      </c>
      <c r="Y1009" s="0" t="n">
        <v>0</v>
      </c>
      <c r="Z1009" s="0" t="n">
        <v>0</v>
      </c>
      <c r="AA1009" s="0" t="n">
        <v>0</v>
      </c>
      <c r="AB1009" s="0" t="n">
        <v>0</v>
      </c>
      <c r="AC1009" s="0" t="n">
        <v>0</v>
      </c>
      <c r="AD1009" s="0" t="n">
        <v>0</v>
      </c>
      <c r="AE1009" s="0" t="n">
        <v>0</v>
      </c>
      <c r="AF1009" s="0" t="n">
        <v>0</v>
      </c>
      <c r="AG1009" s="0" t="n">
        <v>753.85</v>
      </c>
      <c r="AH1009" s="0" t="n">
        <v>753.85</v>
      </c>
      <c r="AI1009" s="0" t="n">
        <v>11</v>
      </c>
    </row>
    <row r="1010" customFormat="false" ht="14.9" hidden="false" customHeight="false" outlineLevel="0" collapsed="false">
      <c r="A1010" s="0" t="n">
        <v>1009</v>
      </c>
      <c r="B1010" s="0" t="s">
        <v>364</v>
      </c>
      <c r="C1010" s="33" t="s">
        <v>365</v>
      </c>
      <c r="D1010" s="34" t="n">
        <v>46205</v>
      </c>
      <c r="E1010" s="0" t="n">
        <v>166</v>
      </c>
      <c r="F1010" s="0" t="n">
        <v>0</v>
      </c>
      <c r="G1010" s="0" t="n">
        <v>446.1</v>
      </c>
      <c r="H1010" s="0" t="n">
        <v>190.9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26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60</v>
      </c>
      <c r="X1010" s="0" t="n">
        <v>0</v>
      </c>
      <c r="Y1010" s="0" t="n">
        <v>0</v>
      </c>
      <c r="Z1010" s="0" t="n">
        <v>0</v>
      </c>
      <c r="AA1010" s="0" t="n">
        <v>0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0</v>
      </c>
      <c r="AG1010" s="0" t="n">
        <v>889</v>
      </c>
      <c r="AH1010" s="0" t="n">
        <v>889</v>
      </c>
      <c r="AI1010" s="0" t="n">
        <v>13</v>
      </c>
    </row>
    <row r="1011" customFormat="false" ht="14.9" hidden="false" customHeight="false" outlineLevel="0" collapsed="false">
      <c r="A1011" s="0" t="n">
        <v>1010</v>
      </c>
      <c r="B1011" s="0" t="s">
        <v>364</v>
      </c>
      <c r="C1011" s="33" t="s">
        <v>365</v>
      </c>
      <c r="D1011" s="34" t="n">
        <v>46215</v>
      </c>
      <c r="E1011" s="0" t="n">
        <v>52.5</v>
      </c>
      <c r="F1011" s="0" t="n">
        <v>0</v>
      </c>
      <c r="G1011" s="0" t="n">
        <v>607.1</v>
      </c>
      <c r="H1011" s="0" t="n">
        <v>58.6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22.8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20</v>
      </c>
      <c r="X1011" s="0" t="n">
        <v>0</v>
      </c>
      <c r="Y1011" s="0" t="n">
        <v>0</v>
      </c>
      <c r="Z1011" s="0" t="n">
        <v>0</v>
      </c>
      <c r="AA1011" s="0" t="n">
        <v>0</v>
      </c>
      <c r="AB1011" s="0" t="n">
        <v>0</v>
      </c>
      <c r="AC1011" s="0" t="n">
        <v>0</v>
      </c>
      <c r="AD1011" s="0" t="n">
        <v>0</v>
      </c>
      <c r="AE1011" s="0" t="n">
        <v>0</v>
      </c>
      <c r="AF1011" s="0" t="n">
        <v>0</v>
      </c>
      <c r="AG1011" s="0" t="n">
        <v>761</v>
      </c>
      <c r="AH1011" s="0" t="n">
        <v>761</v>
      </c>
      <c r="AI1011" s="0" t="n">
        <v>17</v>
      </c>
    </row>
    <row r="1012" customFormat="false" ht="14.9" hidden="false" customHeight="false" outlineLevel="0" collapsed="false">
      <c r="A1012" s="0" t="n">
        <v>1011</v>
      </c>
      <c r="B1012" s="0" t="s">
        <v>364</v>
      </c>
      <c r="C1012" s="33" t="s">
        <v>365</v>
      </c>
      <c r="D1012" s="34" t="n">
        <v>46227</v>
      </c>
      <c r="E1012" s="0" t="n">
        <v>285.92</v>
      </c>
      <c r="F1012" s="0" t="n">
        <v>0</v>
      </c>
      <c r="G1012" s="0" t="n">
        <v>193.7</v>
      </c>
      <c r="H1012" s="0" t="n">
        <v>319.38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0</v>
      </c>
      <c r="Y1012" s="0" t="n">
        <v>0</v>
      </c>
      <c r="Z1012" s="0" t="n">
        <v>0</v>
      </c>
      <c r="AA1012" s="0" t="n">
        <v>0</v>
      </c>
      <c r="AB1012" s="0" t="n">
        <v>0</v>
      </c>
      <c r="AC1012" s="0" t="n">
        <v>0</v>
      </c>
      <c r="AD1012" s="0" t="n">
        <v>0</v>
      </c>
      <c r="AE1012" s="0" t="n">
        <v>0</v>
      </c>
      <c r="AF1012" s="0" t="n">
        <v>0</v>
      </c>
      <c r="AG1012" s="0" t="n">
        <v>799</v>
      </c>
      <c r="AH1012" s="0" t="n">
        <v>799</v>
      </c>
      <c r="AI1012" s="0" t="n">
        <v>9</v>
      </c>
    </row>
    <row r="1013" customFormat="false" ht="14.9" hidden="false" customHeight="false" outlineLevel="0" collapsed="false">
      <c r="A1013" s="0" t="n">
        <v>1012</v>
      </c>
      <c r="B1013" s="0" t="s">
        <v>364</v>
      </c>
      <c r="C1013" s="33" t="s">
        <v>365</v>
      </c>
      <c r="D1013" s="34" t="n">
        <v>46206</v>
      </c>
      <c r="E1013" s="0" t="n">
        <v>134.8</v>
      </c>
      <c r="F1013" s="0" t="n">
        <v>0</v>
      </c>
      <c r="G1013" s="0" t="n">
        <v>255.6</v>
      </c>
      <c r="H1013" s="0" t="n">
        <v>69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20</v>
      </c>
      <c r="X1013" s="0" t="n">
        <v>0</v>
      </c>
      <c r="Y1013" s="0" t="n">
        <v>0</v>
      </c>
      <c r="Z1013" s="0" t="n">
        <v>0</v>
      </c>
      <c r="AA1013" s="0" t="n">
        <v>0</v>
      </c>
      <c r="AB1013" s="0" t="n">
        <v>0</v>
      </c>
      <c r="AC1013" s="0" t="n">
        <v>0</v>
      </c>
      <c r="AD1013" s="0" t="n">
        <v>0</v>
      </c>
      <c r="AE1013" s="0" t="n">
        <v>0</v>
      </c>
      <c r="AF1013" s="0" t="n">
        <v>0</v>
      </c>
      <c r="AG1013" s="0" t="n">
        <v>479.4</v>
      </c>
      <c r="AH1013" s="0" t="n">
        <v>479.4</v>
      </c>
      <c r="AI1013" s="0" t="n">
        <v>11</v>
      </c>
    </row>
    <row r="1014" customFormat="false" ht="14.9" hidden="false" customHeight="false" outlineLevel="0" collapsed="false">
      <c r="A1014" s="0" t="n">
        <v>1013</v>
      </c>
      <c r="B1014" s="0" t="s">
        <v>364</v>
      </c>
      <c r="C1014" s="33" t="s">
        <v>365</v>
      </c>
      <c r="D1014" s="34" t="n">
        <v>46231</v>
      </c>
      <c r="E1014" s="0" t="n">
        <v>193.8</v>
      </c>
      <c r="F1014" s="0" t="n">
        <v>0</v>
      </c>
      <c r="G1014" s="0" t="n">
        <v>404.29</v>
      </c>
      <c r="H1014" s="0" t="n">
        <v>410.26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30</v>
      </c>
      <c r="X1014" s="0" t="n">
        <v>0</v>
      </c>
      <c r="Y1014" s="0" t="n">
        <v>0</v>
      </c>
      <c r="Z1014" s="0" t="n">
        <v>0</v>
      </c>
      <c r="AA1014" s="0" t="n">
        <v>0</v>
      </c>
      <c r="AB1014" s="0" t="n">
        <v>0</v>
      </c>
      <c r="AC1014" s="0" t="n">
        <v>0</v>
      </c>
      <c r="AD1014" s="0" t="n">
        <v>0</v>
      </c>
      <c r="AE1014" s="0" t="n">
        <v>0</v>
      </c>
      <c r="AF1014" s="0" t="n">
        <v>0</v>
      </c>
      <c r="AG1014" s="0" t="n">
        <v>1038.35</v>
      </c>
      <c r="AH1014" s="0" t="n">
        <v>1038.35</v>
      </c>
      <c r="AI1014" s="0" t="n">
        <v>15</v>
      </c>
    </row>
    <row r="1015" customFormat="false" ht="14.9" hidden="false" customHeight="false" outlineLevel="0" collapsed="false">
      <c r="A1015" s="0" t="n">
        <v>1014</v>
      </c>
      <c r="B1015" s="0" t="s">
        <v>364</v>
      </c>
      <c r="C1015" s="33" t="s">
        <v>365</v>
      </c>
      <c r="D1015" s="34" t="n">
        <v>46222</v>
      </c>
      <c r="E1015" s="0" t="n">
        <v>195.21</v>
      </c>
      <c r="F1015" s="0" t="n">
        <v>0</v>
      </c>
      <c r="G1015" s="0" t="n">
        <v>385.04</v>
      </c>
      <c r="H1015" s="0" t="n">
        <v>544.66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45.3</v>
      </c>
      <c r="P1015" s="0" t="n">
        <v>0</v>
      </c>
      <c r="Q1015" s="0" t="n">
        <v>0</v>
      </c>
      <c r="R1015" s="0" t="n">
        <v>0</v>
      </c>
      <c r="S1015" s="0" t="n">
        <v>47</v>
      </c>
      <c r="T1015" s="0" t="n">
        <v>0</v>
      </c>
      <c r="U1015" s="0" t="n">
        <v>0</v>
      </c>
      <c r="V1015" s="0" t="n">
        <v>0</v>
      </c>
      <c r="W1015" s="0" t="n">
        <v>28</v>
      </c>
      <c r="X1015" s="0" t="n">
        <v>0</v>
      </c>
      <c r="Y1015" s="0" t="n">
        <v>0</v>
      </c>
      <c r="Z1015" s="0" t="n">
        <v>0</v>
      </c>
      <c r="AA1015" s="0" t="n">
        <v>0</v>
      </c>
      <c r="AB1015" s="0" t="n">
        <v>0</v>
      </c>
      <c r="AC1015" s="0" t="n">
        <v>0</v>
      </c>
      <c r="AD1015" s="0" t="n">
        <v>0</v>
      </c>
      <c r="AE1015" s="0" t="n">
        <v>0</v>
      </c>
      <c r="AF1015" s="0" t="n">
        <v>0</v>
      </c>
      <c r="AG1015" s="0" t="n">
        <v>1245.21</v>
      </c>
      <c r="AH1015" s="0" t="n">
        <v>1245.21</v>
      </c>
      <c r="AI1015" s="0" t="n">
        <v>16</v>
      </c>
    </row>
    <row r="1016" customFormat="false" ht="14.9" hidden="false" customHeight="false" outlineLevel="0" collapsed="false">
      <c r="A1016" s="0" t="n">
        <v>1015</v>
      </c>
      <c r="B1016" s="0" t="s">
        <v>364</v>
      </c>
      <c r="C1016" s="33" t="s">
        <v>365</v>
      </c>
      <c r="D1016" s="34" t="n">
        <v>46219</v>
      </c>
      <c r="E1016" s="0" t="n">
        <v>136.86</v>
      </c>
      <c r="F1016" s="0" t="n">
        <v>0</v>
      </c>
      <c r="G1016" s="0" t="n">
        <v>670.54</v>
      </c>
      <c r="H1016" s="0" t="n">
        <v>354.89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52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9.9</v>
      </c>
      <c r="W1016" s="0" t="n">
        <v>45</v>
      </c>
      <c r="X1016" s="0" t="n">
        <v>0</v>
      </c>
      <c r="Y1016" s="0" t="n">
        <v>0</v>
      </c>
      <c r="Z1016" s="0" t="n">
        <v>0</v>
      </c>
      <c r="AA1016" s="0" t="n">
        <v>0</v>
      </c>
      <c r="AB1016" s="0" t="n">
        <v>0</v>
      </c>
      <c r="AC1016" s="0" t="n">
        <v>0</v>
      </c>
      <c r="AD1016" s="0" t="n">
        <v>0</v>
      </c>
      <c r="AE1016" s="0" t="n">
        <v>0</v>
      </c>
      <c r="AF1016" s="0" t="n">
        <v>0</v>
      </c>
      <c r="AG1016" s="0" t="n">
        <v>1269.19</v>
      </c>
      <c r="AH1016" s="0" t="n">
        <v>1269.19</v>
      </c>
      <c r="AI1016" s="0" t="n">
        <v>14</v>
      </c>
    </row>
    <row r="1017" customFormat="false" ht="14.9" hidden="false" customHeight="false" outlineLevel="0" collapsed="false">
      <c r="A1017" s="0" t="n">
        <v>1016</v>
      </c>
      <c r="B1017" s="0" t="s">
        <v>364</v>
      </c>
      <c r="C1017" s="33" t="s">
        <v>365</v>
      </c>
      <c r="D1017" s="34" t="n">
        <v>46204</v>
      </c>
      <c r="E1017" s="0" t="n">
        <v>378.74</v>
      </c>
      <c r="F1017" s="0" t="n">
        <v>0</v>
      </c>
      <c r="G1017" s="0" t="n">
        <v>367.17</v>
      </c>
      <c r="H1017" s="0" t="n">
        <v>87.5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5</v>
      </c>
      <c r="X1017" s="0" t="n">
        <v>0</v>
      </c>
      <c r="Y1017" s="0" t="n">
        <v>0</v>
      </c>
      <c r="Z1017" s="0" t="n">
        <v>0</v>
      </c>
      <c r="AA1017" s="0" t="n">
        <v>0</v>
      </c>
      <c r="AB1017" s="0" t="n">
        <v>0</v>
      </c>
      <c r="AC1017" s="0" t="n">
        <v>0</v>
      </c>
      <c r="AD1017" s="0" t="n">
        <v>0</v>
      </c>
      <c r="AE1017" s="0" t="n">
        <v>0</v>
      </c>
      <c r="AF1017" s="0" t="n">
        <v>0</v>
      </c>
      <c r="AG1017" s="0" t="n">
        <v>838.41</v>
      </c>
      <c r="AH1017" s="0" t="n">
        <v>838.41</v>
      </c>
      <c r="AI1017" s="0" t="n">
        <v>12</v>
      </c>
    </row>
    <row r="1018" customFormat="false" ht="14.9" hidden="false" customHeight="false" outlineLevel="0" collapsed="false">
      <c r="A1018" s="0" t="n">
        <v>1017</v>
      </c>
      <c r="B1018" s="0" t="s">
        <v>364</v>
      </c>
      <c r="C1018" s="33" t="s">
        <v>365</v>
      </c>
      <c r="D1018" s="34" t="n">
        <v>46207</v>
      </c>
      <c r="E1018" s="0" t="n">
        <v>53.1</v>
      </c>
      <c r="F1018" s="0" t="n">
        <v>0</v>
      </c>
      <c r="G1018" s="0" t="n">
        <v>325.15</v>
      </c>
      <c r="H1018" s="0" t="n">
        <v>163.8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95.5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20</v>
      </c>
      <c r="X1018" s="0" t="n">
        <v>0</v>
      </c>
      <c r="Y1018" s="0" t="n">
        <v>0</v>
      </c>
      <c r="Z1018" s="0" t="n">
        <v>0</v>
      </c>
      <c r="AA1018" s="0" t="n">
        <v>0</v>
      </c>
      <c r="AB1018" s="0" t="n">
        <v>0</v>
      </c>
      <c r="AC1018" s="0" t="n">
        <v>0</v>
      </c>
      <c r="AD1018" s="0" t="n">
        <v>0</v>
      </c>
      <c r="AE1018" s="0" t="n">
        <v>0</v>
      </c>
      <c r="AF1018" s="0" t="n">
        <v>0</v>
      </c>
      <c r="AG1018" s="0" t="n">
        <v>657.55</v>
      </c>
      <c r="AH1018" s="0" t="n">
        <v>657.55</v>
      </c>
      <c r="AI1018" s="0" t="n">
        <v>11</v>
      </c>
    </row>
    <row r="1019" customFormat="false" ht="14.9" hidden="false" customHeight="false" outlineLevel="0" collapsed="false">
      <c r="A1019" s="0" t="n">
        <v>1018</v>
      </c>
      <c r="B1019" s="0" t="s">
        <v>364</v>
      </c>
      <c r="C1019" s="33" t="s">
        <v>365</v>
      </c>
      <c r="D1019" s="34" t="n">
        <v>46234</v>
      </c>
      <c r="E1019" s="0" t="n">
        <v>106.88</v>
      </c>
      <c r="F1019" s="0" t="n">
        <v>0</v>
      </c>
      <c r="G1019" s="0" t="n">
        <v>796.7</v>
      </c>
      <c r="H1019" s="0" t="n">
        <v>647.6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7</v>
      </c>
      <c r="T1019" s="0" t="n">
        <v>0</v>
      </c>
      <c r="U1019" s="0" t="n">
        <v>0</v>
      </c>
      <c r="V1019" s="0" t="n">
        <v>0</v>
      </c>
      <c r="W1019" s="0" t="n">
        <v>155</v>
      </c>
      <c r="X1019" s="0" t="n">
        <v>0</v>
      </c>
      <c r="Y1019" s="0" t="n">
        <v>0</v>
      </c>
      <c r="Z1019" s="0" t="n">
        <v>0</v>
      </c>
      <c r="AA1019" s="0" t="n">
        <v>0</v>
      </c>
      <c r="AB1019" s="0" t="n">
        <v>0</v>
      </c>
      <c r="AC1019" s="0" t="n">
        <v>0</v>
      </c>
      <c r="AD1019" s="0" t="n">
        <v>0</v>
      </c>
      <c r="AE1019" s="0" t="n">
        <v>0</v>
      </c>
      <c r="AF1019" s="0" t="n">
        <v>0</v>
      </c>
      <c r="AG1019" s="0" t="n">
        <v>1713.18</v>
      </c>
      <c r="AH1019" s="0" t="n">
        <v>1713.18</v>
      </c>
      <c r="AI1019" s="0" t="n">
        <v>26</v>
      </c>
    </row>
    <row r="1020" customFormat="false" ht="14.9" hidden="false" customHeight="false" outlineLevel="0" collapsed="false">
      <c r="A1020" s="0" t="n">
        <v>1019</v>
      </c>
      <c r="B1020" s="0" t="s">
        <v>364</v>
      </c>
      <c r="C1020" s="33" t="s">
        <v>365</v>
      </c>
      <c r="D1020" s="34" t="n">
        <v>46213</v>
      </c>
      <c r="E1020" s="0" t="n">
        <v>55.6</v>
      </c>
      <c r="F1020" s="0" t="n">
        <v>0</v>
      </c>
      <c r="G1020" s="0" t="n">
        <v>450.38</v>
      </c>
      <c r="H1020" s="0" t="n">
        <v>32.8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30.4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3.8</v>
      </c>
      <c r="W1020" s="0" t="n">
        <v>10</v>
      </c>
      <c r="X1020" s="0" t="n">
        <v>0</v>
      </c>
      <c r="Y1020" s="0" t="n">
        <v>0</v>
      </c>
      <c r="Z1020" s="0" t="n">
        <v>0</v>
      </c>
      <c r="AA1020" s="0" t="n">
        <v>0</v>
      </c>
      <c r="AB1020" s="0" t="n">
        <v>0</v>
      </c>
      <c r="AC1020" s="0" t="n">
        <v>0</v>
      </c>
      <c r="AD1020" s="0" t="n">
        <v>0</v>
      </c>
      <c r="AE1020" s="0" t="n">
        <v>0</v>
      </c>
      <c r="AF1020" s="0" t="n">
        <v>0</v>
      </c>
      <c r="AG1020" s="0" t="n">
        <v>582.98</v>
      </c>
      <c r="AH1020" s="0" t="n">
        <v>582.98</v>
      </c>
      <c r="AI1020" s="0" t="n">
        <v>14</v>
      </c>
    </row>
    <row r="1021" customFormat="false" ht="14.9" hidden="false" customHeight="false" outlineLevel="0" collapsed="false">
      <c r="A1021" s="0" t="n">
        <v>1020</v>
      </c>
      <c r="B1021" s="0" t="s">
        <v>364</v>
      </c>
      <c r="C1021" s="33" t="s">
        <v>365</v>
      </c>
      <c r="D1021" s="34" t="n">
        <v>46220</v>
      </c>
      <c r="E1021" s="0" t="n">
        <v>2.46</v>
      </c>
      <c r="F1021" s="0" t="n">
        <v>0</v>
      </c>
      <c r="G1021" s="0" t="n">
        <v>849</v>
      </c>
      <c r="H1021" s="0" t="n">
        <v>358.64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0</v>
      </c>
      <c r="W1021" s="0" t="n">
        <v>30</v>
      </c>
      <c r="X1021" s="0" t="n">
        <v>0</v>
      </c>
      <c r="Y1021" s="0" t="n">
        <v>0</v>
      </c>
      <c r="Z1021" s="0" t="n">
        <v>0</v>
      </c>
      <c r="AA1021" s="0" t="n">
        <v>0</v>
      </c>
      <c r="AB1021" s="0" t="n">
        <v>0</v>
      </c>
      <c r="AC1021" s="0" t="n">
        <v>0</v>
      </c>
      <c r="AD1021" s="0" t="n">
        <v>0</v>
      </c>
      <c r="AE1021" s="0" t="n">
        <v>0</v>
      </c>
      <c r="AF1021" s="0" t="n">
        <v>0</v>
      </c>
      <c r="AG1021" s="0" t="n">
        <v>1240.1</v>
      </c>
      <c r="AH1021" s="0" t="n">
        <v>1240.1</v>
      </c>
      <c r="AI1021" s="0" t="n">
        <v>18</v>
      </c>
    </row>
    <row r="1022" customFormat="false" ht="14.9" hidden="false" customHeight="false" outlineLevel="0" collapsed="false">
      <c r="A1022" s="0" t="n">
        <v>1021</v>
      </c>
      <c r="B1022" s="0" t="s">
        <v>364</v>
      </c>
      <c r="C1022" s="33" t="s">
        <v>365</v>
      </c>
      <c r="D1022" s="34" t="n">
        <v>46224</v>
      </c>
      <c r="E1022" s="0" t="n">
        <v>183</v>
      </c>
      <c r="F1022" s="0" t="n">
        <v>0</v>
      </c>
      <c r="G1022" s="0" t="n">
        <v>788.75</v>
      </c>
      <c r="H1022" s="0" t="n">
        <v>222.2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89</v>
      </c>
      <c r="T1022" s="0" t="n">
        <v>0</v>
      </c>
      <c r="U1022" s="0" t="n">
        <v>0</v>
      </c>
      <c r="V1022" s="0" t="n">
        <v>3.81</v>
      </c>
      <c r="W1022" s="0" t="n">
        <v>49</v>
      </c>
      <c r="X1022" s="0" t="n">
        <v>0</v>
      </c>
      <c r="Y1022" s="0" t="n">
        <v>0</v>
      </c>
      <c r="Z1022" s="0" t="n">
        <v>0</v>
      </c>
      <c r="AA1022" s="0" t="n">
        <v>0</v>
      </c>
      <c r="AB1022" s="0" t="n">
        <v>0</v>
      </c>
      <c r="AC1022" s="0" t="n">
        <v>0</v>
      </c>
      <c r="AD1022" s="0" t="n">
        <v>0</v>
      </c>
      <c r="AE1022" s="0" t="n">
        <v>0</v>
      </c>
      <c r="AF1022" s="0" t="n">
        <v>0</v>
      </c>
      <c r="AG1022" s="0" t="n">
        <v>1335.76</v>
      </c>
      <c r="AH1022" s="0" t="n">
        <v>1335.76</v>
      </c>
      <c r="AI1022" s="0" t="n">
        <v>23</v>
      </c>
    </row>
    <row r="1023" customFormat="false" ht="14.9" hidden="false" customHeight="false" outlineLevel="0" collapsed="false">
      <c r="A1023" s="0" t="n">
        <v>1022</v>
      </c>
      <c r="B1023" s="0" t="s">
        <v>364</v>
      </c>
      <c r="C1023" s="33" t="s">
        <v>365</v>
      </c>
      <c r="D1023" s="34" t="n">
        <v>46212</v>
      </c>
      <c r="E1023" s="0" t="n">
        <v>152.7</v>
      </c>
      <c r="F1023" s="0" t="n">
        <v>0</v>
      </c>
      <c r="G1023" s="0" t="n">
        <v>511.95</v>
      </c>
      <c r="H1023" s="0" t="n">
        <v>213.65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25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10</v>
      </c>
      <c r="X1023" s="0" t="n">
        <v>0</v>
      </c>
      <c r="Y1023" s="0" t="n">
        <v>0</v>
      </c>
      <c r="Z1023" s="0" t="n">
        <v>0</v>
      </c>
      <c r="AA1023" s="0" t="n">
        <v>0</v>
      </c>
      <c r="AB1023" s="0" t="n">
        <v>0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913.3</v>
      </c>
      <c r="AH1023" s="0" t="n">
        <v>913.3</v>
      </c>
      <c r="AI1023" s="0" t="n">
        <v>14</v>
      </c>
    </row>
    <row r="1024" customFormat="false" ht="14.9" hidden="false" customHeight="false" outlineLevel="0" collapsed="false">
      <c r="A1024" s="0" t="n">
        <v>1023</v>
      </c>
      <c r="B1024" s="0" t="s">
        <v>364</v>
      </c>
      <c r="C1024" s="33" t="s">
        <v>365</v>
      </c>
      <c r="D1024" s="34" t="n">
        <v>46233</v>
      </c>
      <c r="E1024" s="0" t="n">
        <v>206.16</v>
      </c>
      <c r="F1024" s="0" t="n">
        <v>0</v>
      </c>
      <c r="G1024" s="0" t="n">
        <v>449.4</v>
      </c>
      <c r="H1024" s="0" t="n">
        <v>425.9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122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3.8</v>
      </c>
      <c r="W1024" s="0" t="n">
        <v>68</v>
      </c>
      <c r="X1024" s="0" t="n">
        <v>0</v>
      </c>
      <c r="Y1024" s="0" t="n">
        <v>0</v>
      </c>
      <c r="Z1024" s="0" t="n">
        <v>0</v>
      </c>
      <c r="AA1024" s="0" t="n">
        <v>0</v>
      </c>
      <c r="AB1024" s="0" t="n">
        <v>0</v>
      </c>
      <c r="AC1024" s="0" t="n">
        <v>0</v>
      </c>
      <c r="AD1024" s="0" t="n">
        <v>0</v>
      </c>
      <c r="AE1024" s="0" t="n">
        <v>0</v>
      </c>
      <c r="AF1024" s="0" t="n">
        <v>0</v>
      </c>
      <c r="AG1024" s="0" t="n">
        <v>1275.26</v>
      </c>
      <c r="AH1024" s="0" t="n">
        <v>1275.26</v>
      </c>
      <c r="AI1024" s="0" t="n">
        <v>25</v>
      </c>
    </row>
    <row r="1025" customFormat="false" ht="14.9" hidden="false" customHeight="false" outlineLevel="0" collapsed="false">
      <c r="A1025" s="0" t="n">
        <v>1024</v>
      </c>
      <c r="B1025" s="0" t="s">
        <v>366</v>
      </c>
      <c r="C1025" s="33" t="s">
        <v>367</v>
      </c>
      <c r="D1025" s="34" t="n">
        <v>46210</v>
      </c>
      <c r="E1025" s="0" t="n">
        <v>196.37</v>
      </c>
      <c r="F1025" s="0" t="n">
        <v>0</v>
      </c>
      <c r="G1025" s="0" t="n">
        <v>594.79</v>
      </c>
      <c r="H1025" s="0" t="n">
        <v>282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-0.2</v>
      </c>
      <c r="S1025" s="0" t="n">
        <v>29.7</v>
      </c>
      <c r="T1025" s="0" t="n">
        <v>0</v>
      </c>
      <c r="U1025" s="0" t="n">
        <v>0</v>
      </c>
      <c r="V1025" s="0" t="n">
        <v>0</v>
      </c>
      <c r="W1025" s="0" t="n">
        <v>0</v>
      </c>
      <c r="X1025" s="0" t="n">
        <v>0</v>
      </c>
      <c r="Y1025" s="0" t="n">
        <v>0</v>
      </c>
      <c r="Z1025" s="0" t="n">
        <v>0</v>
      </c>
      <c r="AA1025" s="0" t="n">
        <v>0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0</v>
      </c>
      <c r="AG1025" s="0" t="n">
        <v>1102.66</v>
      </c>
      <c r="AH1025" s="0" t="n">
        <v>1102.66</v>
      </c>
      <c r="AI1025" s="0" t="n">
        <v>21</v>
      </c>
    </row>
    <row r="1026" customFormat="false" ht="14.9" hidden="false" customHeight="false" outlineLevel="0" collapsed="false">
      <c r="A1026" s="0" t="n">
        <v>1025</v>
      </c>
      <c r="B1026" s="0" t="s">
        <v>366</v>
      </c>
      <c r="C1026" s="33" t="s">
        <v>367</v>
      </c>
      <c r="D1026" s="34" t="n">
        <v>46204</v>
      </c>
      <c r="E1026" s="0" t="n">
        <v>323.08</v>
      </c>
      <c r="F1026" s="0" t="n">
        <v>0</v>
      </c>
      <c r="G1026" s="0" t="n">
        <v>1559.5</v>
      </c>
      <c r="H1026" s="0" t="n">
        <v>118.53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365.98</v>
      </c>
      <c r="T1026" s="0" t="n">
        <v>0</v>
      </c>
      <c r="U1026" s="0" t="n">
        <v>0</v>
      </c>
      <c r="V1026" s="0" t="n">
        <v>9.9</v>
      </c>
      <c r="W1026" s="0" t="n">
        <v>0</v>
      </c>
      <c r="X1026" s="0" t="n">
        <v>0</v>
      </c>
      <c r="Y1026" s="0" t="n">
        <v>0</v>
      </c>
      <c r="Z1026" s="0" t="n">
        <v>0</v>
      </c>
      <c r="AA1026" s="0" t="n">
        <v>0</v>
      </c>
      <c r="AB1026" s="0" t="n">
        <v>0</v>
      </c>
      <c r="AC1026" s="0" t="n">
        <v>0</v>
      </c>
      <c r="AD1026" s="0" t="n">
        <v>0</v>
      </c>
      <c r="AE1026" s="0" t="n">
        <v>0</v>
      </c>
      <c r="AF1026" s="0" t="n">
        <v>0</v>
      </c>
      <c r="AG1026" s="0" t="n">
        <v>2376.99</v>
      </c>
      <c r="AH1026" s="0" t="n">
        <v>2376.99</v>
      </c>
      <c r="AI1026" s="0" t="n">
        <v>34</v>
      </c>
    </row>
    <row r="1027" customFormat="false" ht="14.9" hidden="false" customHeight="false" outlineLevel="0" collapsed="false">
      <c r="A1027" s="0" t="n">
        <v>1026</v>
      </c>
      <c r="B1027" s="0" t="s">
        <v>366</v>
      </c>
      <c r="C1027" s="33" t="s">
        <v>367</v>
      </c>
      <c r="D1027" s="34" t="n">
        <v>46226</v>
      </c>
      <c r="E1027" s="0" t="n">
        <v>196.02</v>
      </c>
      <c r="F1027" s="0" t="n">
        <v>0</v>
      </c>
      <c r="G1027" s="0" t="n">
        <v>303.9</v>
      </c>
      <c r="H1027" s="0" t="n">
        <v>37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5</v>
      </c>
      <c r="X1027" s="0" t="n">
        <v>0</v>
      </c>
      <c r="Y1027" s="0" t="n">
        <v>0</v>
      </c>
      <c r="Z1027" s="0" t="n">
        <v>0</v>
      </c>
      <c r="AA1027" s="0" t="n">
        <v>0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541.92</v>
      </c>
      <c r="AH1027" s="0" t="n">
        <v>541.92</v>
      </c>
      <c r="AI1027" s="0" t="n">
        <v>12</v>
      </c>
    </row>
    <row r="1028" customFormat="false" ht="14.9" hidden="false" customHeight="false" outlineLevel="0" collapsed="false">
      <c r="A1028" s="0" t="n">
        <v>1027</v>
      </c>
      <c r="B1028" s="0" t="s">
        <v>366</v>
      </c>
      <c r="C1028" s="33" t="s">
        <v>367</v>
      </c>
      <c r="D1028" s="34" t="n">
        <v>46218</v>
      </c>
      <c r="E1028" s="0" t="n">
        <v>25.7</v>
      </c>
      <c r="F1028" s="0" t="n">
        <v>0</v>
      </c>
      <c r="G1028" s="0" t="n">
        <v>549.3</v>
      </c>
      <c r="H1028" s="0" t="n">
        <v>292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0</v>
      </c>
      <c r="W1028" s="0" t="n">
        <v>0</v>
      </c>
      <c r="X1028" s="0" t="n">
        <v>0</v>
      </c>
      <c r="Y1028" s="0" t="n">
        <v>0</v>
      </c>
      <c r="Z1028" s="0" t="n">
        <v>0</v>
      </c>
      <c r="AA1028" s="0" t="n">
        <v>0</v>
      </c>
      <c r="AB1028" s="0" t="n">
        <v>0</v>
      </c>
      <c r="AC1028" s="0" t="n">
        <v>0</v>
      </c>
      <c r="AD1028" s="0" t="n">
        <v>0</v>
      </c>
      <c r="AE1028" s="0" t="n">
        <v>0</v>
      </c>
      <c r="AF1028" s="0" t="n">
        <v>0</v>
      </c>
      <c r="AG1028" s="0" t="n">
        <v>867</v>
      </c>
      <c r="AH1028" s="0" t="n">
        <v>867</v>
      </c>
      <c r="AI1028" s="0" t="n">
        <v>15</v>
      </c>
    </row>
    <row r="1029" customFormat="false" ht="14.9" hidden="false" customHeight="false" outlineLevel="0" collapsed="false">
      <c r="A1029" s="0" t="n">
        <v>1028</v>
      </c>
      <c r="B1029" s="0" t="s">
        <v>366</v>
      </c>
      <c r="C1029" s="33" t="s">
        <v>367</v>
      </c>
      <c r="D1029" s="34" t="n">
        <v>46231</v>
      </c>
      <c r="E1029" s="0" t="n">
        <v>110.5</v>
      </c>
      <c r="F1029" s="0" t="n">
        <v>0</v>
      </c>
      <c r="G1029" s="0" t="n">
        <v>994.5</v>
      </c>
      <c r="H1029" s="0" t="n">
        <v>13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29.6</v>
      </c>
      <c r="T1029" s="0" t="n">
        <v>0</v>
      </c>
      <c r="U1029" s="0" t="n">
        <v>0</v>
      </c>
      <c r="V1029" s="0" t="n">
        <v>0</v>
      </c>
      <c r="W1029" s="0" t="n">
        <v>20</v>
      </c>
      <c r="X1029" s="0" t="n">
        <v>0</v>
      </c>
      <c r="Y1029" s="0" t="n">
        <v>0</v>
      </c>
      <c r="Z1029" s="0" t="n">
        <v>0</v>
      </c>
      <c r="AA1029" s="0" t="n">
        <v>0</v>
      </c>
      <c r="AB1029" s="0" t="n">
        <v>0</v>
      </c>
      <c r="AC1029" s="0" t="n">
        <v>0</v>
      </c>
      <c r="AD1029" s="0" t="n">
        <v>0</v>
      </c>
      <c r="AE1029" s="0" t="n">
        <v>0</v>
      </c>
      <c r="AF1029" s="0" t="n">
        <v>0</v>
      </c>
      <c r="AG1029" s="0" t="n">
        <v>1167.6</v>
      </c>
      <c r="AH1029" s="0" t="n">
        <v>1167.6</v>
      </c>
      <c r="AI1029" s="0" t="n">
        <v>22</v>
      </c>
    </row>
    <row r="1030" customFormat="false" ht="14.9" hidden="false" customHeight="false" outlineLevel="0" collapsed="false">
      <c r="A1030" s="0" t="n">
        <v>1029</v>
      </c>
      <c r="B1030" s="0" t="s">
        <v>366</v>
      </c>
      <c r="C1030" s="33" t="s">
        <v>367</v>
      </c>
      <c r="D1030" s="34" t="n">
        <v>46219</v>
      </c>
      <c r="E1030" s="0" t="n">
        <v>522.34</v>
      </c>
      <c r="F1030" s="0" t="n">
        <v>0</v>
      </c>
      <c r="G1030" s="0" t="n">
        <v>1443.69</v>
      </c>
      <c r="H1030" s="0" t="n">
        <v>316.9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-0.64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29</v>
      </c>
      <c r="X1030" s="0" t="n">
        <v>0</v>
      </c>
      <c r="Y1030" s="0" t="n">
        <v>0</v>
      </c>
      <c r="Z1030" s="0" t="n">
        <v>0</v>
      </c>
      <c r="AA1030" s="0" t="n">
        <v>0</v>
      </c>
      <c r="AB1030" s="0" t="n">
        <v>0</v>
      </c>
      <c r="AC1030" s="0" t="n">
        <v>0</v>
      </c>
      <c r="AD1030" s="0" t="n">
        <v>0</v>
      </c>
      <c r="AE1030" s="0" t="n">
        <v>0</v>
      </c>
      <c r="AF1030" s="0" t="n">
        <v>0</v>
      </c>
      <c r="AG1030" s="0" t="n">
        <v>2311.29</v>
      </c>
      <c r="AH1030" s="0" t="n">
        <v>2311.29</v>
      </c>
      <c r="AI1030" s="0" t="n">
        <v>33</v>
      </c>
    </row>
    <row r="1031" customFormat="false" ht="14.9" hidden="false" customHeight="false" outlineLevel="0" collapsed="false">
      <c r="A1031" s="0" t="n">
        <v>1030</v>
      </c>
      <c r="B1031" s="0" t="s">
        <v>366</v>
      </c>
      <c r="C1031" s="33" t="s">
        <v>367</v>
      </c>
      <c r="D1031" s="34" t="n">
        <v>46222</v>
      </c>
      <c r="E1031" s="0" t="n">
        <v>102.7</v>
      </c>
      <c r="F1031" s="0" t="n">
        <v>0</v>
      </c>
      <c r="G1031" s="0" t="n">
        <v>420.76</v>
      </c>
      <c r="H1031" s="0" t="n">
        <v>207.7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49.8</v>
      </c>
      <c r="T1031" s="0" t="n">
        <v>0</v>
      </c>
      <c r="U1031" s="0" t="n">
        <v>0</v>
      </c>
      <c r="V1031" s="0" t="n">
        <v>0</v>
      </c>
      <c r="W1031" s="0" t="n">
        <v>5</v>
      </c>
      <c r="X1031" s="0" t="n">
        <v>0</v>
      </c>
      <c r="Y1031" s="0" t="n">
        <v>0</v>
      </c>
      <c r="Z1031" s="0" t="n">
        <v>0</v>
      </c>
      <c r="AA1031" s="0" t="n">
        <v>0</v>
      </c>
      <c r="AB1031" s="0" t="n">
        <v>0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785.96</v>
      </c>
      <c r="AH1031" s="0" t="n">
        <v>785.96</v>
      </c>
      <c r="AI1031" s="0" t="n">
        <v>18</v>
      </c>
    </row>
    <row r="1032" customFormat="false" ht="14.9" hidden="false" customHeight="false" outlineLevel="0" collapsed="false">
      <c r="A1032" s="0" t="n">
        <v>1031</v>
      </c>
      <c r="B1032" s="0" t="s">
        <v>366</v>
      </c>
      <c r="C1032" s="33" t="s">
        <v>367</v>
      </c>
      <c r="D1032" s="34" t="n">
        <v>46216</v>
      </c>
      <c r="E1032" s="0" t="n">
        <v>202.8</v>
      </c>
      <c r="F1032" s="0" t="n">
        <v>0</v>
      </c>
      <c r="G1032" s="0" t="n">
        <v>1022.2</v>
      </c>
      <c r="H1032" s="0" t="n">
        <v>182.6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8</v>
      </c>
      <c r="T1032" s="0" t="n">
        <v>0</v>
      </c>
      <c r="U1032" s="0" t="n">
        <v>0</v>
      </c>
      <c r="V1032" s="0" t="n">
        <v>0</v>
      </c>
      <c r="W1032" s="0" t="n">
        <v>5</v>
      </c>
      <c r="X1032" s="0" t="n">
        <v>0</v>
      </c>
      <c r="Y1032" s="0" t="n">
        <v>0</v>
      </c>
      <c r="Z1032" s="0" t="n">
        <v>0</v>
      </c>
      <c r="AA1032" s="0" t="n">
        <v>0</v>
      </c>
      <c r="AB1032" s="0" t="n">
        <v>0</v>
      </c>
      <c r="AC1032" s="0" t="n">
        <v>0</v>
      </c>
      <c r="AD1032" s="0" t="n">
        <v>0</v>
      </c>
      <c r="AE1032" s="0" t="n">
        <v>0</v>
      </c>
      <c r="AF1032" s="0" t="n">
        <v>0</v>
      </c>
      <c r="AG1032" s="0" t="n">
        <v>1420.6</v>
      </c>
      <c r="AH1032" s="0" t="n">
        <v>1420.6</v>
      </c>
      <c r="AI1032" s="0" t="n">
        <v>22</v>
      </c>
    </row>
    <row r="1033" customFormat="false" ht="14.9" hidden="false" customHeight="false" outlineLevel="0" collapsed="false">
      <c r="A1033" s="0" t="n">
        <v>1032</v>
      </c>
      <c r="B1033" s="0" t="s">
        <v>366</v>
      </c>
      <c r="C1033" s="33" t="s">
        <v>367</v>
      </c>
      <c r="D1033" s="34" t="n">
        <v>46209</v>
      </c>
      <c r="E1033" s="0" t="n">
        <v>130.37</v>
      </c>
      <c r="F1033" s="0" t="n">
        <v>0</v>
      </c>
      <c r="G1033" s="0" t="n">
        <v>1274.58</v>
      </c>
      <c r="H1033" s="0" t="n">
        <v>270.53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5</v>
      </c>
      <c r="X1033" s="0" t="n">
        <v>0</v>
      </c>
      <c r="Y1033" s="0" t="n">
        <v>0</v>
      </c>
      <c r="Z1033" s="0" t="n">
        <v>0</v>
      </c>
      <c r="AA1033" s="0" t="n">
        <v>0</v>
      </c>
      <c r="AB1033" s="0" t="n">
        <v>0</v>
      </c>
      <c r="AC1033" s="0" t="n">
        <v>0</v>
      </c>
      <c r="AD1033" s="0" t="n">
        <v>0</v>
      </c>
      <c r="AE1033" s="0" t="n">
        <v>0</v>
      </c>
      <c r="AF1033" s="0" t="n">
        <v>0</v>
      </c>
      <c r="AG1033" s="0" t="n">
        <v>1680.48</v>
      </c>
      <c r="AH1033" s="0" t="n">
        <v>1680.48</v>
      </c>
      <c r="AI1033" s="0" t="n">
        <v>35</v>
      </c>
    </row>
    <row r="1034" customFormat="false" ht="14.9" hidden="false" customHeight="false" outlineLevel="0" collapsed="false">
      <c r="A1034" s="0" t="n">
        <v>1033</v>
      </c>
      <c r="B1034" s="0" t="s">
        <v>366</v>
      </c>
      <c r="C1034" s="33" t="s">
        <v>367</v>
      </c>
      <c r="D1034" s="34" t="n">
        <v>46229</v>
      </c>
      <c r="E1034" s="0" t="n">
        <v>208.25</v>
      </c>
      <c r="F1034" s="0" t="n">
        <v>0</v>
      </c>
      <c r="G1034" s="0" t="n">
        <v>2774.58</v>
      </c>
      <c r="H1034" s="0" t="n">
        <v>234.1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11</v>
      </c>
      <c r="X1034" s="0" t="n">
        <v>0</v>
      </c>
      <c r="Y1034" s="0" t="n">
        <v>0</v>
      </c>
      <c r="Z1034" s="0" t="n">
        <v>0</v>
      </c>
      <c r="AA1034" s="0" t="n">
        <v>0</v>
      </c>
      <c r="AB1034" s="0" t="n">
        <v>0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3227.93</v>
      </c>
      <c r="AH1034" s="0" t="n">
        <v>3227.93</v>
      </c>
      <c r="AI1034" s="0" t="n">
        <v>40</v>
      </c>
    </row>
    <row r="1035" customFormat="false" ht="14.9" hidden="false" customHeight="false" outlineLevel="0" collapsed="false">
      <c r="A1035" s="0" t="n">
        <v>1034</v>
      </c>
      <c r="B1035" s="0" t="s">
        <v>366</v>
      </c>
      <c r="C1035" s="33" t="s">
        <v>367</v>
      </c>
      <c r="D1035" s="34" t="n">
        <v>46230</v>
      </c>
      <c r="E1035" s="0" t="n">
        <v>751.3</v>
      </c>
      <c r="F1035" s="0" t="n">
        <v>0</v>
      </c>
      <c r="G1035" s="0" t="n">
        <v>319.68</v>
      </c>
      <c r="H1035" s="0" t="n">
        <v>88.4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139.6</v>
      </c>
      <c r="T1035" s="0" t="n">
        <v>0</v>
      </c>
      <c r="U1035" s="0" t="n">
        <v>0</v>
      </c>
      <c r="V1035" s="0" t="n">
        <v>0</v>
      </c>
      <c r="W1035" s="0" t="n">
        <v>70</v>
      </c>
      <c r="X1035" s="0" t="n">
        <v>0</v>
      </c>
      <c r="Y1035" s="0" t="n">
        <v>0</v>
      </c>
      <c r="Z1035" s="0" t="n">
        <v>0</v>
      </c>
      <c r="AA1035" s="0" t="n">
        <v>0</v>
      </c>
      <c r="AB1035" s="0" t="n">
        <v>0</v>
      </c>
      <c r="AC1035" s="0" t="n">
        <v>0</v>
      </c>
      <c r="AD1035" s="0" t="n">
        <v>0</v>
      </c>
      <c r="AE1035" s="0" t="n">
        <v>0</v>
      </c>
      <c r="AF1035" s="0" t="n">
        <v>0</v>
      </c>
      <c r="AG1035" s="0" t="n">
        <v>1368.98</v>
      </c>
      <c r="AH1035" s="0" t="n">
        <v>1368.98</v>
      </c>
      <c r="AI1035" s="0" t="n">
        <v>21</v>
      </c>
    </row>
    <row r="1036" customFormat="false" ht="14.9" hidden="false" customHeight="false" outlineLevel="0" collapsed="false">
      <c r="A1036" s="0" t="n">
        <v>1035</v>
      </c>
      <c r="B1036" s="0" t="s">
        <v>366</v>
      </c>
      <c r="C1036" s="33" t="s">
        <v>367</v>
      </c>
      <c r="D1036" s="34" t="n">
        <v>46215</v>
      </c>
      <c r="E1036" s="0" t="n">
        <v>186.52</v>
      </c>
      <c r="F1036" s="0" t="n">
        <v>0</v>
      </c>
      <c r="G1036" s="0" t="n">
        <v>950.1</v>
      </c>
      <c r="H1036" s="0" t="n">
        <v>416.4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45.8</v>
      </c>
      <c r="T1036" s="0" t="n">
        <v>0</v>
      </c>
      <c r="U1036" s="0" t="n">
        <v>0</v>
      </c>
      <c r="V1036" s="0" t="n">
        <v>0</v>
      </c>
      <c r="W1036" s="0" t="n">
        <v>20</v>
      </c>
      <c r="X1036" s="0" t="n">
        <v>0</v>
      </c>
      <c r="Y1036" s="0" t="n">
        <v>0</v>
      </c>
      <c r="Z1036" s="0" t="n">
        <v>0</v>
      </c>
      <c r="AA1036" s="0" t="n">
        <v>0</v>
      </c>
      <c r="AB1036" s="0" t="n">
        <v>0</v>
      </c>
      <c r="AC1036" s="0" t="n">
        <v>0</v>
      </c>
      <c r="AD1036" s="0" t="n">
        <v>0</v>
      </c>
      <c r="AE1036" s="0" t="n">
        <v>0</v>
      </c>
      <c r="AF1036" s="0" t="n">
        <v>0</v>
      </c>
      <c r="AG1036" s="0" t="n">
        <v>1618.82</v>
      </c>
      <c r="AH1036" s="0" t="n">
        <v>1618.82</v>
      </c>
      <c r="AI1036" s="0" t="n">
        <v>26</v>
      </c>
    </row>
    <row r="1037" customFormat="false" ht="14.9" hidden="false" customHeight="false" outlineLevel="0" collapsed="false">
      <c r="A1037" s="0" t="n">
        <v>1036</v>
      </c>
      <c r="B1037" s="0" t="s">
        <v>366</v>
      </c>
      <c r="C1037" s="33" t="s">
        <v>367</v>
      </c>
      <c r="D1037" s="34" t="n">
        <v>46228</v>
      </c>
      <c r="E1037" s="0" t="n">
        <v>73.5</v>
      </c>
      <c r="F1037" s="0" t="n">
        <v>0</v>
      </c>
      <c r="G1037" s="0" t="n">
        <v>667.2</v>
      </c>
      <c r="H1037" s="0" t="n">
        <v>408.6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15</v>
      </c>
      <c r="X1037" s="0" t="n">
        <v>0</v>
      </c>
      <c r="Y1037" s="0" t="n">
        <v>0</v>
      </c>
      <c r="Z1037" s="0" t="n">
        <v>0</v>
      </c>
      <c r="AA1037" s="0" t="n">
        <v>0</v>
      </c>
      <c r="AB1037" s="0" t="n">
        <v>0</v>
      </c>
      <c r="AC1037" s="0" t="n">
        <v>0</v>
      </c>
      <c r="AD1037" s="0" t="n">
        <v>0</v>
      </c>
      <c r="AE1037" s="0" t="n">
        <v>0</v>
      </c>
      <c r="AF1037" s="0" t="n">
        <v>0</v>
      </c>
      <c r="AG1037" s="0" t="n">
        <v>1164.3</v>
      </c>
      <c r="AH1037" s="0" t="n">
        <v>1164.3</v>
      </c>
      <c r="AI1037" s="0" t="n">
        <v>21</v>
      </c>
    </row>
    <row r="1038" customFormat="false" ht="14.9" hidden="false" customHeight="false" outlineLevel="0" collapsed="false">
      <c r="A1038" s="0" t="n">
        <v>1037</v>
      </c>
      <c r="B1038" s="0" t="s">
        <v>366</v>
      </c>
      <c r="C1038" s="33" t="s">
        <v>367</v>
      </c>
      <c r="D1038" s="34" t="n">
        <v>46214</v>
      </c>
      <c r="E1038" s="0" t="n">
        <v>34.1</v>
      </c>
      <c r="F1038" s="0" t="n">
        <v>0</v>
      </c>
      <c r="G1038" s="0" t="n">
        <v>531.7</v>
      </c>
      <c r="H1038" s="0" t="n">
        <v>225.35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3.8</v>
      </c>
      <c r="W1038" s="0" t="n">
        <v>38</v>
      </c>
      <c r="X1038" s="0" t="n">
        <v>0</v>
      </c>
      <c r="Y1038" s="0" t="n">
        <v>0</v>
      </c>
      <c r="Z1038" s="0" t="n">
        <v>0</v>
      </c>
      <c r="AA1038" s="0" t="n">
        <v>0</v>
      </c>
      <c r="AB1038" s="0" t="n">
        <v>0</v>
      </c>
      <c r="AC1038" s="0" t="n">
        <v>0</v>
      </c>
      <c r="AD1038" s="0" t="n">
        <v>0</v>
      </c>
      <c r="AE1038" s="0" t="n">
        <v>0</v>
      </c>
      <c r="AF1038" s="0" t="n">
        <v>0</v>
      </c>
      <c r="AG1038" s="0" t="n">
        <v>832.95</v>
      </c>
      <c r="AH1038" s="0" t="n">
        <v>832.95</v>
      </c>
      <c r="AI1038" s="0" t="n">
        <v>19</v>
      </c>
    </row>
    <row r="1039" customFormat="false" ht="14.9" hidden="false" customHeight="false" outlineLevel="0" collapsed="false">
      <c r="A1039" s="0" t="n">
        <v>1038</v>
      </c>
      <c r="B1039" s="0" t="s">
        <v>366</v>
      </c>
      <c r="C1039" s="33" t="s">
        <v>367</v>
      </c>
      <c r="D1039" s="34" t="n">
        <v>46207</v>
      </c>
      <c r="E1039" s="0" t="n">
        <v>132.7</v>
      </c>
      <c r="F1039" s="0" t="n">
        <v>0</v>
      </c>
      <c r="G1039" s="0" t="n">
        <v>1060.94</v>
      </c>
      <c r="H1039" s="0" t="n">
        <v>315.86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61.8</v>
      </c>
      <c r="T1039" s="0" t="n">
        <v>0</v>
      </c>
      <c r="U1039" s="0" t="n">
        <v>0</v>
      </c>
      <c r="V1039" s="0" t="n">
        <v>0</v>
      </c>
      <c r="W1039" s="0" t="n">
        <v>13</v>
      </c>
      <c r="X1039" s="0" t="n">
        <v>0</v>
      </c>
      <c r="Y1039" s="0" t="n">
        <v>0</v>
      </c>
      <c r="Z1039" s="0" t="n">
        <v>0</v>
      </c>
      <c r="AA1039" s="0" t="n">
        <v>0</v>
      </c>
      <c r="AB1039" s="0" t="n">
        <v>0</v>
      </c>
      <c r="AC1039" s="0" t="n">
        <v>0</v>
      </c>
      <c r="AD1039" s="0" t="n">
        <v>0</v>
      </c>
      <c r="AE1039" s="0" t="n">
        <v>0</v>
      </c>
      <c r="AF1039" s="0" t="n">
        <v>0</v>
      </c>
      <c r="AG1039" s="0" t="n">
        <v>1584.3</v>
      </c>
      <c r="AH1039" s="0" t="n">
        <v>1584.3</v>
      </c>
      <c r="AI1039" s="0" t="n">
        <v>25</v>
      </c>
    </row>
    <row r="1040" customFormat="false" ht="14.9" hidden="false" customHeight="false" outlineLevel="0" collapsed="false">
      <c r="A1040" s="0" t="n">
        <v>1039</v>
      </c>
      <c r="B1040" s="0" t="s">
        <v>366</v>
      </c>
      <c r="C1040" s="33" t="s">
        <v>367</v>
      </c>
      <c r="D1040" s="34" t="n">
        <v>46205</v>
      </c>
      <c r="E1040" s="0" t="n">
        <v>15.6</v>
      </c>
      <c r="F1040" s="0" t="n">
        <v>0</v>
      </c>
      <c r="G1040" s="0" t="n">
        <v>1367.3</v>
      </c>
      <c r="H1040" s="0" t="n">
        <v>80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22.2</v>
      </c>
      <c r="P1040" s="0" t="n">
        <v>0</v>
      </c>
      <c r="Q1040" s="0" t="n">
        <v>0</v>
      </c>
      <c r="R1040" s="0" t="n">
        <v>0</v>
      </c>
      <c r="S1040" s="0" t="n">
        <v>100</v>
      </c>
      <c r="T1040" s="0" t="n">
        <v>0</v>
      </c>
      <c r="U1040" s="0" t="n">
        <v>0</v>
      </c>
      <c r="V1040" s="0" t="n">
        <v>0</v>
      </c>
      <c r="W1040" s="0" t="n">
        <v>0</v>
      </c>
      <c r="X1040" s="0" t="n">
        <v>0</v>
      </c>
      <c r="Y1040" s="0" t="n">
        <v>0</v>
      </c>
      <c r="Z1040" s="0" t="n">
        <v>0</v>
      </c>
      <c r="AA1040" s="0" t="n">
        <v>0</v>
      </c>
      <c r="AB1040" s="0" t="n">
        <v>0</v>
      </c>
      <c r="AC1040" s="0" t="n">
        <v>0</v>
      </c>
      <c r="AD1040" s="0" t="n">
        <v>0</v>
      </c>
      <c r="AE1040" s="0" t="n">
        <v>0</v>
      </c>
      <c r="AF1040" s="0" t="n">
        <v>0</v>
      </c>
      <c r="AG1040" s="0" t="n">
        <v>1585.1</v>
      </c>
      <c r="AH1040" s="0" t="n">
        <v>1585.1</v>
      </c>
      <c r="AI1040" s="0" t="n">
        <v>21</v>
      </c>
    </row>
    <row r="1041" customFormat="false" ht="14.9" hidden="false" customHeight="false" outlineLevel="0" collapsed="false">
      <c r="A1041" s="0" t="n">
        <v>1040</v>
      </c>
      <c r="B1041" s="0" t="s">
        <v>366</v>
      </c>
      <c r="C1041" s="33" t="s">
        <v>367</v>
      </c>
      <c r="D1041" s="34" t="n">
        <v>46224</v>
      </c>
      <c r="E1041" s="0" t="n">
        <v>283.08</v>
      </c>
      <c r="F1041" s="0" t="n">
        <v>0</v>
      </c>
      <c r="G1041" s="0" t="n">
        <v>1991.06</v>
      </c>
      <c r="H1041" s="0" t="n">
        <v>146.47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70</v>
      </c>
      <c r="X1041" s="0" t="n">
        <v>0</v>
      </c>
      <c r="Y1041" s="0" t="n">
        <v>0</v>
      </c>
      <c r="Z1041" s="0" t="n">
        <v>0</v>
      </c>
      <c r="AA1041" s="0" t="n">
        <v>0</v>
      </c>
      <c r="AB1041" s="0" t="n">
        <v>0</v>
      </c>
      <c r="AC1041" s="0" t="n">
        <v>0</v>
      </c>
      <c r="AD1041" s="0" t="n">
        <v>0</v>
      </c>
      <c r="AE1041" s="0" t="n">
        <v>0</v>
      </c>
      <c r="AF1041" s="0" t="n">
        <v>0</v>
      </c>
      <c r="AG1041" s="0" t="n">
        <v>2490.61</v>
      </c>
      <c r="AH1041" s="0" t="n">
        <v>2490.61</v>
      </c>
      <c r="AI1041" s="0" t="n">
        <v>35</v>
      </c>
    </row>
    <row r="1042" customFormat="false" ht="14.9" hidden="false" customHeight="false" outlineLevel="0" collapsed="false">
      <c r="A1042" s="0" t="n">
        <v>1041</v>
      </c>
      <c r="B1042" s="0" t="s">
        <v>366</v>
      </c>
      <c r="C1042" s="33" t="s">
        <v>367</v>
      </c>
      <c r="D1042" s="34" t="n">
        <v>46206</v>
      </c>
      <c r="E1042" s="0" t="n">
        <v>56.7</v>
      </c>
      <c r="F1042" s="0" t="n">
        <v>0</v>
      </c>
      <c r="G1042" s="0" t="n">
        <v>758.48</v>
      </c>
      <c r="H1042" s="0" t="n">
        <v>181.5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27</v>
      </c>
      <c r="X1042" s="0" t="n">
        <v>0</v>
      </c>
      <c r="Y1042" s="0" t="n">
        <v>0</v>
      </c>
      <c r="Z1042" s="0" t="n">
        <v>0</v>
      </c>
      <c r="AA1042" s="0" t="n">
        <v>0</v>
      </c>
      <c r="AB1042" s="0" t="n">
        <v>0</v>
      </c>
      <c r="AC1042" s="0" t="n">
        <v>0</v>
      </c>
      <c r="AD1042" s="0" t="n">
        <v>0</v>
      </c>
      <c r="AE1042" s="0" t="n">
        <v>0</v>
      </c>
      <c r="AF1042" s="0" t="n">
        <v>0</v>
      </c>
      <c r="AG1042" s="0" t="n">
        <v>1023.68</v>
      </c>
      <c r="AH1042" s="0" t="n">
        <v>1023.68</v>
      </c>
      <c r="AI1042" s="0" t="n">
        <v>19</v>
      </c>
    </row>
    <row r="1043" customFormat="false" ht="14.9" hidden="false" customHeight="false" outlineLevel="0" collapsed="false">
      <c r="A1043" s="0" t="n">
        <v>1042</v>
      </c>
      <c r="B1043" s="0" t="s">
        <v>366</v>
      </c>
      <c r="C1043" s="33" t="s">
        <v>367</v>
      </c>
      <c r="D1043" s="34" t="n">
        <v>46213</v>
      </c>
      <c r="E1043" s="0" t="n">
        <v>1668.44</v>
      </c>
      <c r="F1043" s="0" t="n">
        <v>0</v>
      </c>
      <c r="G1043" s="0" t="n">
        <v>714.5</v>
      </c>
      <c r="H1043" s="0" t="n">
        <v>80.96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10</v>
      </c>
      <c r="X1043" s="0" t="n">
        <v>0</v>
      </c>
      <c r="Y1043" s="0" t="n">
        <v>0</v>
      </c>
      <c r="Z1043" s="0" t="n">
        <v>0</v>
      </c>
      <c r="AA1043" s="0" t="n">
        <v>0</v>
      </c>
      <c r="AB1043" s="0" t="n">
        <v>0</v>
      </c>
      <c r="AC1043" s="0" t="n">
        <v>0</v>
      </c>
      <c r="AD1043" s="0" t="n">
        <v>0</v>
      </c>
      <c r="AE1043" s="0" t="n">
        <v>0</v>
      </c>
      <c r="AF1043" s="0" t="n">
        <v>0</v>
      </c>
      <c r="AG1043" s="0" t="n">
        <v>2473.9</v>
      </c>
      <c r="AH1043" s="0" t="n">
        <v>2473.9</v>
      </c>
      <c r="AI1043" s="0" t="n">
        <v>21</v>
      </c>
    </row>
    <row r="1044" customFormat="false" ht="14.9" hidden="false" customHeight="false" outlineLevel="0" collapsed="false">
      <c r="A1044" s="0" t="n">
        <v>1043</v>
      </c>
      <c r="B1044" s="0" t="s">
        <v>366</v>
      </c>
      <c r="C1044" s="33" t="s">
        <v>367</v>
      </c>
      <c r="D1044" s="34" t="n">
        <v>46227</v>
      </c>
      <c r="E1044" s="0" t="n">
        <v>212.7</v>
      </c>
      <c r="F1044" s="0" t="n">
        <v>0</v>
      </c>
      <c r="G1044" s="0" t="n">
        <v>688.3</v>
      </c>
      <c r="H1044" s="0" t="n">
        <v>245.2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0.02</v>
      </c>
      <c r="W1044" s="0" t="n">
        <v>10</v>
      </c>
      <c r="X1044" s="0" t="n">
        <v>0</v>
      </c>
      <c r="Y1044" s="0" t="n">
        <v>0</v>
      </c>
      <c r="Z1044" s="0" t="n">
        <v>0</v>
      </c>
      <c r="AA1044" s="0" t="n">
        <v>0</v>
      </c>
      <c r="AB1044" s="0" t="n">
        <v>0</v>
      </c>
      <c r="AC1044" s="0" t="n">
        <v>0</v>
      </c>
      <c r="AD1044" s="0" t="n">
        <v>0</v>
      </c>
      <c r="AE1044" s="0" t="n">
        <v>0</v>
      </c>
      <c r="AF1044" s="0" t="n">
        <v>0</v>
      </c>
      <c r="AG1044" s="0" t="n">
        <v>1156.22</v>
      </c>
      <c r="AH1044" s="0" t="n">
        <v>1156.22</v>
      </c>
      <c r="AI1044" s="0" t="n">
        <v>25</v>
      </c>
    </row>
    <row r="1045" customFormat="false" ht="14.9" hidden="false" customHeight="false" outlineLevel="0" collapsed="false">
      <c r="A1045" s="0" t="n">
        <v>1044</v>
      </c>
      <c r="B1045" s="0" t="s">
        <v>366</v>
      </c>
      <c r="C1045" s="33" t="s">
        <v>367</v>
      </c>
      <c r="D1045" s="34" t="n">
        <v>46234</v>
      </c>
      <c r="E1045" s="0" t="n">
        <v>57.8</v>
      </c>
      <c r="F1045" s="0" t="n">
        <v>0</v>
      </c>
      <c r="G1045" s="0" t="n">
        <v>538.2</v>
      </c>
      <c r="H1045" s="0" t="n">
        <v>208.8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0</v>
      </c>
      <c r="W1045" s="0" t="n">
        <v>60</v>
      </c>
      <c r="X1045" s="0" t="n">
        <v>0</v>
      </c>
      <c r="Y1045" s="0" t="n">
        <v>0</v>
      </c>
      <c r="Z1045" s="0" t="n">
        <v>0</v>
      </c>
      <c r="AA1045" s="0" t="n">
        <v>0</v>
      </c>
      <c r="AB1045" s="0" t="n">
        <v>0</v>
      </c>
      <c r="AC1045" s="0" t="n">
        <v>0</v>
      </c>
      <c r="AD1045" s="0" t="n">
        <v>0</v>
      </c>
      <c r="AE1045" s="0" t="n">
        <v>0</v>
      </c>
      <c r="AF1045" s="0" t="n">
        <v>0</v>
      </c>
      <c r="AG1045" s="0" t="n">
        <v>864.8</v>
      </c>
      <c r="AH1045" s="0" t="n">
        <v>864.8</v>
      </c>
      <c r="AI1045" s="0" t="n">
        <v>19</v>
      </c>
    </row>
    <row r="1046" customFormat="false" ht="14.9" hidden="false" customHeight="false" outlineLevel="0" collapsed="false">
      <c r="A1046" s="0" t="n">
        <v>1045</v>
      </c>
      <c r="B1046" s="0" t="s">
        <v>366</v>
      </c>
      <c r="C1046" s="33" t="s">
        <v>367</v>
      </c>
      <c r="D1046" s="34" t="n">
        <v>46232</v>
      </c>
      <c r="E1046" s="0" t="n">
        <v>35.1</v>
      </c>
      <c r="F1046" s="0" t="n">
        <v>0</v>
      </c>
      <c r="G1046" s="0" t="n">
        <v>737.75</v>
      </c>
      <c r="H1046" s="0" t="n">
        <v>285.7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  <c r="V1046" s="0" t="n">
        <v>0</v>
      </c>
      <c r="W1046" s="0" t="n">
        <v>20</v>
      </c>
      <c r="X1046" s="0" t="n">
        <v>0</v>
      </c>
      <c r="Y1046" s="0" t="n">
        <v>0</v>
      </c>
      <c r="Z1046" s="0" t="n">
        <v>0</v>
      </c>
      <c r="AA1046" s="0" t="n">
        <v>0</v>
      </c>
      <c r="AB1046" s="0" t="n">
        <v>0</v>
      </c>
      <c r="AC1046" s="0" t="n">
        <v>0</v>
      </c>
      <c r="AD1046" s="0" t="n">
        <v>0</v>
      </c>
      <c r="AE1046" s="0" t="n">
        <v>0</v>
      </c>
      <c r="AF1046" s="0" t="n">
        <v>0</v>
      </c>
      <c r="AG1046" s="0" t="n">
        <v>1078.55</v>
      </c>
      <c r="AH1046" s="0" t="n">
        <v>1078.55</v>
      </c>
      <c r="AI1046" s="0" t="n">
        <v>20</v>
      </c>
    </row>
    <row r="1047" customFormat="false" ht="14.9" hidden="false" customHeight="false" outlineLevel="0" collapsed="false">
      <c r="A1047" s="0" t="n">
        <v>1046</v>
      </c>
      <c r="B1047" s="0" t="s">
        <v>366</v>
      </c>
      <c r="C1047" s="33" t="s">
        <v>367</v>
      </c>
      <c r="D1047" s="34" t="n">
        <v>46233</v>
      </c>
      <c r="E1047" s="0" t="n">
        <v>23.5</v>
      </c>
      <c r="F1047" s="0" t="n">
        <v>0</v>
      </c>
      <c r="G1047" s="0" t="n">
        <v>535.98</v>
      </c>
      <c r="H1047" s="0" t="n">
        <v>311.9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85.8</v>
      </c>
      <c r="T1047" s="0" t="n">
        <v>0</v>
      </c>
      <c r="U1047" s="0" t="n">
        <v>0</v>
      </c>
      <c r="V1047" s="0" t="n">
        <v>0</v>
      </c>
      <c r="W1047" s="0" t="n">
        <v>61</v>
      </c>
      <c r="X1047" s="0" t="n">
        <v>0</v>
      </c>
      <c r="Y1047" s="0" t="n">
        <v>0</v>
      </c>
      <c r="Z1047" s="0" t="n">
        <v>0</v>
      </c>
      <c r="AA1047" s="0" t="n">
        <v>0</v>
      </c>
      <c r="AB1047" s="0" t="n">
        <v>0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1018.18</v>
      </c>
      <c r="AH1047" s="0" t="n">
        <v>1018.18</v>
      </c>
      <c r="AI1047" s="0" t="n">
        <v>23</v>
      </c>
    </row>
    <row r="1048" customFormat="false" ht="14.9" hidden="false" customHeight="false" outlineLevel="0" collapsed="false">
      <c r="A1048" s="0" t="n">
        <v>1047</v>
      </c>
      <c r="B1048" s="0" t="s">
        <v>366</v>
      </c>
      <c r="C1048" s="33" t="s">
        <v>367</v>
      </c>
      <c r="D1048" s="34" t="n">
        <v>46212</v>
      </c>
      <c r="E1048" s="0" t="n">
        <v>17.52</v>
      </c>
      <c r="F1048" s="0" t="n">
        <v>0</v>
      </c>
      <c r="G1048" s="0" t="n">
        <v>733.5</v>
      </c>
      <c r="H1048" s="0" t="n">
        <v>118.96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5</v>
      </c>
      <c r="X1048" s="0" t="n">
        <v>0</v>
      </c>
      <c r="Y1048" s="0" t="n">
        <v>0</v>
      </c>
      <c r="Z1048" s="0" t="n">
        <v>0</v>
      </c>
      <c r="AA1048" s="0" t="n">
        <v>0</v>
      </c>
      <c r="AB1048" s="0" t="n">
        <v>0</v>
      </c>
      <c r="AC1048" s="0" t="n">
        <v>0</v>
      </c>
      <c r="AD1048" s="0" t="n">
        <v>0</v>
      </c>
      <c r="AE1048" s="0" t="n">
        <v>0</v>
      </c>
      <c r="AF1048" s="0" t="n">
        <v>0</v>
      </c>
      <c r="AG1048" s="0" t="n">
        <v>874.98</v>
      </c>
      <c r="AH1048" s="0" t="n">
        <v>874.98</v>
      </c>
      <c r="AI1048" s="0" t="n">
        <v>16</v>
      </c>
    </row>
    <row r="1049" customFormat="false" ht="14.9" hidden="false" customHeight="false" outlineLevel="0" collapsed="false">
      <c r="A1049" s="0" t="n">
        <v>1048</v>
      </c>
      <c r="B1049" s="0" t="s">
        <v>366</v>
      </c>
      <c r="C1049" s="33" t="s">
        <v>367</v>
      </c>
      <c r="D1049" s="34" t="n">
        <v>46211</v>
      </c>
      <c r="E1049" s="0" t="n">
        <v>22.54</v>
      </c>
      <c r="F1049" s="0" t="n">
        <v>0</v>
      </c>
      <c r="G1049" s="0" t="n">
        <v>857.9</v>
      </c>
      <c r="H1049" s="0" t="n">
        <v>125.9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Y1049" s="0" t="n">
        <v>0</v>
      </c>
      <c r="Z1049" s="0" t="n">
        <v>0</v>
      </c>
      <c r="AA1049" s="0" t="n">
        <v>0</v>
      </c>
      <c r="AB1049" s="0" t="n">
        <v>0</v>
      </c>
      <c r="AC1049" s="0" t="n">
        <v>0</v>
      </c>
      <c r="AD1049" s="0" t="n">
        <v>0</v>
      </c>
      <c r="AE1049" s="0" t="n">
        <v>0</v>
      </c>
      <c r="AF1049" s="0" t="n">
        <v>0</v>
      </c>
      <c r="AG1049" s="0" t="n">
        <v>1006.34</v>
      </c>
      <c r="AH1049" s="0" t="n">
        <v>1006.34</v>
      </c>
      <c r="AI1049" s="0" t="n">
        <v>19</v>
      </c>
    </row>
    <row r="1050" customFormat="false" ht="14.9" hidden="false" customHeight="false" outlineLevel="0" collapsed="false">
      <c r="A1050" s="0" t="n">
        <v>1049</v>
      </c>
      <c r="B1050" s="0" t="s">
        <v>366</v>
      </c>
      <c r="C1050" s="33" t="s">
        <v>367</v>
      </c>
      <c r="D1050" s="34" t="n">
        <v>46217</v>
      </c>
      <c r="E1050" s="0" t="n">
        <v>180.2</v>
      </c>
      <c r="F1050" s="0" t="n">
        <v>0</v>
      </c>
      <c r="G1050" s="0" t="n">
        <v>873.9</v>
      </c>
      <c r="H1050" s="0" t="n">
        <v>251.9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5</v>
      </c>
      <c r="X1050" s="0" t="n">
        <v>0</v>
      </c>
      <c r="Y1050" s="0" t="n">
        <v>0</v>
      </c>
      <c r="Z1050" s="0" t="n">
        <v>0</v>
      </c>
      <c r="AA1050" s="0" t="n">
        <v>0</v>
      </c>
      <c r="AB1050" s="0" t="n">
        <v>0</v>
      </c>
      <c r="AC1050" s="0" t="n">
        <v>0</v>
      </c>
      <c r="AD1050" s="0" t="n">
        <v>0</v>
      </c>
      <c r="AE1050" s="0" t="n">
        <v>0</v>
      </c>
      <c r="AF1050" s="0" t="n">
        <v>0</v>
      </c>
      <c r="AG1050" s="0" t="n">
        <v>1311</v>
      </c>
      <c r="AH1050" s="0" t="n">
        <v>1311</v>
      </c>
      <c r="AI1050" s="0" t="n">
        <v>25</v>
      </c>
    </row>
    <row r="1051" customFormat="false" ht="14.9" hidden="false" customHeight="false" outlineLevel="0" collapsed="false">
      <c r="A1051" s="0" t="n">
        <v>1050</v>
      </c>
      <c r="B1051" s="0" t="s">
        <v>366</v>
      </c>
      <c r="C1051" s="33" t="s">
        <v>367</v>
      </c>
      <c r="D1051" s="34" t="n">
        <v>46208</v>
      </c>
      <c r="E1051" s="0" t="n">
        <v>267.26</v>
      </c>
      <c r="F1051" s="0" t="n">
        <v>0</v>
      </c>
      <c r="G1051" s="0" t="n">
        <v>275.5</v>
      </c>
      <c r="H1051" s="0" t="n">
        <v>59.9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5</v>
      </c>
      <c r="X1051" s="0" t="n">
        <v>0</v>
      </c>
      <c r="Y1051" s="0" t="n">
        <v>0</v>
      </c>
      <c r="Z1051" s="0" t="n">
        <v>0</v>
      </c>
      <c r="AA1051" s="0" t="n">
        <v>0</v>
      </c>
      <c r="AB1051" s="0" t="n">
        <v>0</v>
      </c>
      <c r="AC1051" s="0" t="n">
        <v>0</v>
      </c>
      <c r="AD1051" s="0" t="n">
        <v>0</v>
      </c>
      <c r="AE1051" s="0" t="n">
        <v>0</v>
      </c>
      <c r="AF1051" s="0" t="n">
        <v>0</v>
      </c>
      <c r="AG1051" s="0" t="n">
        <v>607.66</v>
      </c>
      <c r="AH1051" s="0" t="n">
        <v>607.66</v>
      </c>
      <c r="AI1051" s="0" t="n">
        <v>10</v>
      </c>
    </row>
    <row r="1052" customFormat="false" ht="14.9" hidden="false" customHeight="false" outlineLevel="0" collapsed="false">
      <c r="A1052" s="0" t="n">
        <v>1051</v>
      </c>
      <c r="B1052" s="0" t="s">
        <v>366</v>
      </c>
      <c r="C1052" s="33" t="s">
        <v>367</v>
      </c>
      <c r="D1052" s="34" t="n">
        <v>46223</v>
      </c>
      <c r="E1052" s="0" t="n">
        <v>233.6</v>
      </c>
      <c r="F1052" s="0" t="n">
        <v>0</v>
      </c>
      <c r="G1052" s="0" t="n">
        <v>260.5</v>
      </c>
      <c r="H1052" s="0" t="n">
        <v>254.48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85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0</v>
      </c>
      <c r="X1052" s="0" t="n">
        <v>0</v>
      </c>
      <c r="Y1052" s="0" t="n">
        <v>0</v>
      </c>
      <c r="Z1052" s="0" t="n">
        <v>0</v>
      </c>
      <c r="AA1052" s="0" t="n">
        <v>0</v>
      </c>
      <c r="AB1052" s="0" t="n">
        <v>0</v>
      </c>
      <c r="AC1052" s="0" t="n">
        <v>0</v>
      </c>
      <c r="AD1052" s="0" t="n">
        <v>0</v>
      </c>
      <c r="AE1052" s="0" t="n">
        <v>0</v>
      </c>
      <c r="AF1052" s="0" t="n">
        <v>0</v>
      </c>
      <c r="AG1052" s="0" t="n">
        <v>833.58</v>
      </c>
      <c r="AH1052" s="0" t="n">
        <v>833.58</v>
      </c>
      <c r="AI1052" s="0" t="n">
        <v>17</v>
      </c>
    </row>
    <row r="1053" customFormat="false" ht="14.9" hidden="false" customHeight="false" outlineLevel="0" collapsed="false">
      <c r="A1053" s="0" t="n">
        <v>1052</v>
      </c>
      <c r="B1053" s="0" t="s">
        <v>366</v>
      </c>
      <c r="C1053" s="33" t="s">
        <v>367</v>
      </c>
      <c r="D1053" s="34" t="n">
        <v>46225</v>
      </c>
      <c r="E1053" s="0" t="n">
        <v>140.71</v>
      </c>
      <c r="F1053" s="0" t="n">
        <v>0</v>
      </c>
      <c r="G1053" s="0" t="n">
        <v>489</v>
      </c>
      <c r="H1053" s="0" t="n">
        <v>441.6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0</v>
      </c>
      <c r="Y1053" s="0" t="n">
        <v>0</v>
      </c>
      <c r="Z1053" s="0" t="n">
        <v>0</v>
      </c>
      <c r="AA1053" s="0" t="n">
        <v>0</v>
      </c>
      <c r="AB1053" s="0" t="n">
        <v>0</v>
      </c>
      <c r="AC1053" s="0" t="n">
        <v>0</v>
      </c>
      <c r="AD1053" s="0" t="n">
        <v>0</v>
      </c>
      <c r="AE1053" s="0" t="n">
        <v>0</v>
      </c>
      <c r="AF1053" s="0" t="n">
        <v>0</v>
      </c>
      <c r="AG1053" s="0" t="n">
        <v>1071.31</v>
      </c>
      <c r="AH1053" s="0" t="n">
        <v>1071.31</v>
      </c>
      <c r="AI1053" s="0" t="n">
        <v>14</v>
      </c>
    </row>
    <row r="1054" customFormat="false" ht="14.9" hidden="false" customHeight="false" outlineLevel="0" collapsed="false">
      <c r="A1054" s="0" t="n">
        <v>1053</v>
      </c>
      <c r="B1054" s="0" t="s">
        <v>366</v>
      </c>
      <c r="C1054" s="33" t="s">
        <v>367</v>
      </c>
      <c r="D1054" s="34" t="n">
        <v>46220</v>
      </c>
      <c r="E1054" s="0" t="n">
        <v>51.2</v>
      </c>
      <c r="F1054" s="0" t="n">
        <v>0</v>
      </c>
      <c r="G1054" s="0" t="n">
        <v>524.4</v>
      </c>
      <c r="H1054" s="0" t="n">
        <v>148.6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10</v>
      </c>
      <c r="X1054" s="0" t="n">
        <v>0</v>
      </c>
      <c r="Y1054" s="0" t="n">
        <v>0</v>
      </c>
      <c r="Z1054" s="0" t="n">
        <v>0</v>
      </c>
      <c r="AA1054" s="0" t="n">
        <v>0</v>
      </c>
      <c r="AB1054" s="0" t="n">
        <v>0</v>
      </c>
      <c r="AC1054" s="0" t="n">
        <v>0</v>
      </c>
      <c r="AD1054" s="0" t="n">
        <v>0</v>
      </c>
      <c r="AE1054" s="0" t="n">
        <v>0</v>
      </c>
      <c r="AF1054" s="0" t="n">
        <v>0</v>
      </c>
      <c r="AG1054" s="0" t="n">
        <v>734.2</v>
      </c>
      <c r="AH1054" s="0" t="n">
        <v>734.2</v>
      </c>
      <c r="AI1054" s="0" t="n">
        <v>17</v>
      </c>
    </row>
    <row r="1055" customFormat="false" ht="14.9" hidden="false" customHeight="false" outlineLevel="0" collapsed="false">
      <c r="A1055" s="0" t="n">
        <v>1054</v>
      </c>
      <c r="B1055" s="0" t="s">
        <v>366</v>
      </c>
      <c r="C1055" s="33" t="s">
        <v>367</v>
      </c>
      <c r="D1055" s="34" t="n">
        <v>46221</v>
      </c>
      <c r="E1055" s="0" t="n">
        <v>65.4</v>
      </c>
      <c r="F1055" s="0" t="n">
        <v>0</v>
      </c>
      <c r="G1055" s="0" t="n">
        <v>504.5</v>
      </c>
      <c r="H1055" s="0" t="n">
        <v>480.8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W1055" s="0" t="n">
        <v>0</v>
      </c>
      <c r="X1055" s="0" t="n">
        <v>0</v>
      </c>
      <c r="Y1055" s="0" t="n">
        <v>0</v>
      </c>
      <c r="Z1055" s="0" t="n">
        <v>0</v>
      </c>
      <c r="AA1055" s="0" t="n">
        <v>0</v>
      </c>
      <c r="AB1055" s="0" t="n">
        <v>0</v>
      </c>
      <c r="AC1055" s="0" t="n">
        <v>0</v>
      </c>
      <c r="AD1055" s="0" t="n">
        <v>0</v>
      </c>
      <c r="AE1055" s="0" t="n">
        <v>0</v>
      </c>
      <c r="AF1055" s="0" t="n">
        <v>0</v>
      </c>
      <c r="AG1055" s="0" t="n">
        <v>1050.7</v>
      </c>
      <c r="AH1055" s="0" t="n">
        <v>1050.7</v>
      </c>
      <c r="AI1055" s="0" t="n">
        <v>16</v>
      </c>
    </row>
    <row r="1056" customFormat="false" ht="14.9" hidden="false" customHeight="false" outlineLevel="0" collapsed="false">
      <c r="A1056" s="0" t="n">
        <v>1055</v>
      </c>
      <c r="B1056" s="0" t="s">
        <v>368</v>
      </c>
      <c r="C1056" s="33" t="s">
        <v>369</v>
      </c>
      <c r="D1056" s="34" t="n">
        <v>46214</v>
      </c>
      <c r="E1056" s="0" t="n">
        <v>810.04</v>
      </c>
      <c r="F1056" s="0" t="n">
        <v>0</v>
      </c>
      <c r="G1056" s="0" t="n">
        <v>2429.31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15.3</v>
      </c>
      <c r="T1056" s="0" t="n">
        <v>0</v>
      </c>
      <c r="U1056" s="0" t="n">
        <v>0</v>
      </c>
      <c r="V1056" s="0" t="n">
        <v>0</v>
      </c>
      <c r="W1056" s="0" t="n">
        <v>3</v>
      </c>
      <c r="X1056" s="0" t="n">
        <v>0</v>
      </c>
      <c r="Y1056" s="0" t="n">
        <v>0</v>
      </c>
      <c r="Z1056" s="0" t="n">
        <v>0</v>
      </c>
      <c r="AA1056" s="0" t="n">
        <v>0</v>
      </c>
      <c r="AB1056" s="0" t="n">
        <v>0</v>
      </c>
      <c r="AC1056" s="0" t="n">
        <v>0</v>
      </c>
      <c r="AD1056" s="0" t="n">
        <v>0</v>
      </c>
      <c r="AE1056" s="0" t="n">
        <v>0</v>
      </c>
      <c r="AF1056" s="0" t="n">
        <v>0</v>
      </c>
      <c r="AG1056" s="0" t="n">
        <v>3257.65</v>
      </c>
      <c r="AH1056" s="0" t="n">
        <v>3257.65</v>
      </c>
      <c r="AI1056" s="0" t="n">
        <v>40</v>
      </c>
    </row>
    <row r="1057" customFormat="false" ht="14.9" hidden="false" customHeight="false" outlineLevel="0" collapsed="false">
      <c r="A1057" s="0" t="n">
        <v>1056</v>
      </c>
      <c r="B1057" s="0" t="s">
        <v>368</v>
      </c>
      <c r="C1057" s="33" t="s">
        <v>369</v>
      </c>
      <c r="D1057" s="34" t="n">
        <v>46212</v>
      </c>
      <c r="E1057" s="0" t="n">
        <v>272.5</v>
      </c>
      <c r="F1057" s="0" t="n">
        <v>0</v>
      </c>
      <c r="G1057" s="0" t="n">
        <v>824.4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0</v>
      </c>
      <c r="X1057" s="0" t="n">
        <v>0</v>
      </c>
      <c r="Y1057" s="0" t="n">
        <v>0</v>
      </c>
      <c r="Z1057" s="0" t="n">
        <v>0</v>
      </c>
      <c r="AA1057" s="0" t="n">
        <v>0</v>
      </c>
      <c r="AB1057" s="0" t="n">
        <v>0</v>
      </c>
      <c r="AC1057" s="0" t="n">
        <v>0</v>
      </c>
      <c r="AD1057" s="0" t="n">
        <v>0</v>
      </c>
      <c r="AE1057" s="0" t="n">
        <v>0</v>
      </c>
      <c r="AF1057" s="0" t="n">
        <v>0</v>
      </c>
      <c r="AG1057" s="0" t="n">
        <v>1096.9</v>
      </c>
      <c r="AH1057" s="0" t="n">
        <v>1096.9</v>
      </c>
      <c r="AI1057" s="0" t="n">
        <v>25</v>
      </c>
    </row>
    <row r="1058" customFormat="false" ht="14.9" hidden="false" customHeight="false" outlineLevel="0" collapsed="false">
      <c r="A1058" s="0" t="n">
        <v>1057</v>
      </c>
      <c r="B1058" s="0" t="s">
        <v>368</v>
      </c>
      <c r="C1058" s="33" t="s">
        <v>369</v>
      </c>
      <c r="D1058" s="34" t="n">
        <v>46219</v>
      </c>
      <c r="E1058" s="0" t="n">
        <v>232.9</v>
      </c>
      <c r="F1058" s="0" t="n">
        <v>0</v>
      </c>
      <c r="G1058" s="0" t="n">
        <v>764.09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9.9</v>
      </c>
      <c r="W1058" s="0" t="n">
        <v>0</v>
      </c>
      <c r="X1058" s="0" t="n">
        <v>0</v>
      </c>
      <c r="Y1058" s="0" t="n">
        <v>0</v>
      </c>
      <c r="Z1058" s="0" t="n">
        <v>0</v>
      </c>
      <c r="AA1058" s="0" t="n">
        <v>0</v>
      </c>
      <c r="AB1058" s="0" t="n">
        <v>0</v>
      </c>
      <c r="AC1058" s="0" t="n">
        <v>0</v>
      </c>
      <c r="AD1058" s="0" t="n">
        <v>0</v>
      </c>
      <c r="AE1058" s="0" t="n">
        <v>0</v>
      </c>
      <c r="AF1058" s="0" t="n">
        <v>0</v>
      </c>
      <c r="AG1058" s="0" t="n">
        <v>1006.89</v>
      </c>
      <c r="AH1058" s="0" t="n">
        <v>1006.89</v>
      </c>
      <c r="AI1058" s="0" t="n">
        <v>28</v>
      </c>
    </row>
    <row r="1059" customFormat="false" ht="14.9" hidden="false" customHeight="false" outlineLevel="0" collapsed="false">
      <c r="A1059" s="0" t="n">
        <v>1058</v>
      </c>
      <c r="B1059" s="0" t="s">
        <v>368</v>
      </c>
      <c r="C1059" s="33" t="s">
        <v>369</v>
      </c>
      <c r="D1059" s="34" t="n">
        <v>46218</v>
      </c>
      <c r="E1059" s="0" t="n">
        <v>172.5</v>
      </c>
      <c r="F1059" s="0" t="n">
        <v>0</v>
      </c>
      <c r="G1059" s="0" t="n">
        <v>621.7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0</v>
      </c>
      <c r="W1059" s="0" t="n">
        <v>11</v>
      </c>
      <c r="X1059" s="0" t="n">
        <v>0</v>
      </c>
      <c r="Y1059" s="0" t="n">
        <v>0</v>
      </c>
      <c r="Z1059" s="0" t="n">
        <v>0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0</v>
      </c>
      <c r="AG1059" s="0" t="n">
        <v>805.2</v>
      </c>
      <c r="AH1059" s="0" t="n">
        <v>805.2</v>
      </c>
      <c r="AI1059" s="0" t="n">
        <v>25</v>
      </c>
    </row>
    <row r="1060" customFormat="false" ht="14.9" hidden="false" customHeight="false" outlineLevel="0" collapsed="false">
      <c r="A1060" s="0" t="n">
        <v>1059</v>
      </c>
      <c r="B1060" s="0" t="s">
        <v>368</v>
      </c>
      <c r="C1060" s="33" t="s">
        <v>369</v>
      </c>
      <c r="D1060" s="34" t="n">
        <v>46213</v>
      </c>
      <c r="E1060" s="0" t="n">
        <v>430.12</v>
      </c>
      <c r="F1060" s="0" t="n">
        <v>0</v>
      </c>
      <c r="G1060" s="0" t="n">
        <v>815.25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0</v>
      </c>
      <c r="W1060" s="0" t="n">
        <v>0</v>
      </c>
      <c r="X1060" s="0" t="n">
        <v>0</v>
      </c>
      <c r="Y1060" s="0" t="n">
        <v>0</v>
      </c>
      <c r="Z1060" s="0" t="n">
        <v>0</v>
      </c>
      <c r="AA1060" s="0" t="n">
        <v>0</v>
      </c>
      <c r="AB1060" s="0" t="n">
        <v>0</v>
      </c>
      <c r="AC1060" s="0" t="n">
        <v>0</v>
      </c>
      <c r="AD1060" s="0" t="n">
        <v>0</v>
      </c>
      <c r="AE1060" s="0" t="n">
        <v>0</v>
      </c>
      <c r="AF1060" s="0" t="n">
        <v>0</v>
      </c>
      <c r="AG1060" s="0" t="n">
        <v>1245.37</v>
      </c>
      <c r="AH1060" s="0" t="n">
        <v>1245.37</v>
      </c>
      <c r="AI1060" s="0" t="n">
        <v>22</v>
      </c>
    </row>
    <row r="1061" customFormat="false" ht="14.9" hidden="false" customHeight="false" outlineLevel="0" collapsed="false">
      <c r="A1061" s="0" t="n">
        <v>1060</v>
      </c>
      <c r="B1061" s="0" t="s">
        <v>368</v>
      </c>
      <c r="C1061" s="33" t="s">
        <v>369</v>
      </c>
      <c r="D1061" s="34" t="n">
        <v>46233</v>
      </c>
      <c r="E1061" s="0" t="n">
        <v>384.4</v>
      </c>
      <c r="F1061" s="0" t="n">
        <v>0</v>
      </c>
      <c r="G1061" s="0" t="n">
        <v>777.8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36</v>
      </c>
      <c r="X1061" s="0" t="n">
        <v>0</v>
      </c>
      <c r="Y1061" s="0" t="n">
        <v>0</v>
      </c>
      <c r="Z1061" s="0" t="n">
        <v>0</v>
      </c>
      <c r="AA1061" s="0" t="n">
        <v>0</v>
      </c>
      <c r="AB1061" s="0" t="n">
        <v>0</v>
      </c>
      <c r="AC1061" s="0" t="n">
        <v>0</v>
      </c>
      <c r="AD1061" s="0" t="n">
        <v>0</v>
      </c>
      <c r="AE1061" s="0" t="n">
        <v>0</v>
      </c>
      <c r="AF1061" s="0" t="n">
        <v>0</v>
      </c>
      <c r="AG1061" s="0" t="n">
        <v>1198.2</v>
      </c>
      <c r="AH1061" s="0" t="n">
        <v>1198.2</v>
      </c>
      <c r="AI1061" s="0" t="n">
        <v>25</v>
      </c>
    </row>
    <row r="1062" customFormat="false" ht="14.9" hidden="false" customHeight="false" outlineLevel="0" collapsed="false">
      <c r="A1062" s="0" t="n">
        <v>1061</v>
      </c>
      <c r="B1062" s="0" t="s">
        <v>368</v>
      </c>
      <c r="C1062" s="33" t="s">
        <v>369</v>
      </c>
      <c r="D1062" s="34" t="n">
        <v>46225</v>
      </c>
      <c r="E1062" s="0" t="n">
        <v>455.46</v>
      </c>
      <c r="F1062" s="0" t="n">
        <v>0</v>
      </c>
      <c r="G1062" s="0" t="n">
        <v>352.6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  <c r="V1062" s="0" t="n">
        <v>0</v>
      </c>
      <c r="W1062" s="0" t="n">
        <v>0</v>
      </c>
      <c r="X1062" s="0" t="n">
        <v>0</v>
      </c>
      <c r="Y1062" s="0" t="n">
        <v>0</v>
      </c>
      <c r="Z1062" s="0" t="n">
        <v>0</v>
      </c>
      <c r="AA1062" s="0" t="n">
        <v>0</v>
      </c>
      <c r="AB1062" s="0" t="n">
        <v>0</v>
      </c>
      <c r="AC1062" s="0" t="n">
        <v>0</v>
      </c>
      <c r="AD1062" s="0" t="n">
        <v>0</v>
      </c>
      <c r="AE1062" s="0" t="n">
        <v>0</v>
      </c>
      <c r="AF1062" s="0" t="n">
        <v>0</v>
      </c>
      <c r="AG1062" s="0" t="n">
        <v>808.06</v>
      </c>
      <c r="AH1062" s="0" t="n">
        <v>808.06</v>
      </c>
      <c r="AI1062" s="0" t="n">
        <v>23</v>
      </c>
    </row>
    <row r="1063" customFormat="false" ht="14.9" hidden="false" customHeight="false" outlineLevel="0" collapsed="false">
      <c r="A1063" s="0" t="n">
        <v>1062</v>
      </c>
      <c r="B1063" s="0" t="s">
        <v>368</v>
      </c>
      <c r="C1063" s="33" t="s">
        <v>369</v>
      </c>
      <c r="D1063" s="34" t="n">
        <v>46216</v>
      </c>
      <c r="E1063" s="0" t="n">
        <v>155.5</v>
      </c>
      <c r="F1063" s="0" t="n">
        <v>0</v>
      </c>
      <c r="G1063" s="0" t="n">
        <v>656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0</v>
      </c>
      <c r="W1063" s="0" t="n">
        <v>0</v>
      </c>
      <c r="X1063" s="0" t="n">
        <v>0</v>
      </c>
      <c r="Y1063" s="0" t="n">
        <v>0</v>
      </c>
      <c r="Z1063" s="0" t="n">
        <v>0</v>
      </c>
      <c r="AA1063" s="0" t="n">
        <v>0</v>
      </c>
      <c r="AB1063" s="0" t="n">
        <v>0</v>
      </c>
      <c r="AC1063" s="0" t="n">
        <v>0</v>
      </c>
      <c r="AD1063" s="0" t="n">
        <v>0</v>
      </c>
      <c r="AE1063" s="0" t="n">
        <v>0</v>
      </c>
      <c r="AF1063" s="0" t="n">
        <v>0</v>
      </c>
      <c r="AG1063" s="0" t="n">
        <v>811.5</v>
      </c>
      <c r="AH1063" s="0" t="n">
        <v>811.5</v>
      </c>
      <c r="AI1063" s="0" t="n">
        <v>22</v>
      </c>
    </row>
    <row r="1064" customFormat="false" ht="14.9" hidden="false" customHeight="false" outlineLevel="0" collapsed="false">
      <c r="A1064" s="0" t="n">
        <v>1063</v>
      </c>
      <c r="B1064" s="0" t="s">
        <v>368</v>
      </c>
      <c r="C1064" s="33" t="s">
        <v>369</v>
      </c>
      <c r="D1064" s="34" t="n">
        <v>46230</v>
      </c>
      <c r="E1064" s="0" t="n">
        <v>91.1</v>
      </c>
      <c r="F1064" s="0" t="n">
        <v>0</v>
      </c>
      <c r="G1064" s="0" t="n">
        <v>526.3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12.8</v>
      </c>
      <c r="W1064" s="0" t="n">
        <v>0</v>
      </c>
      <c r="X1064" s="0" t="n">
        <v>0</v>
      </c>
      <c r="Y1064" s="0" t="n">
        <v>0</v>
      </c>
      <c r="Z1064" s="0" t="n">
        <v>0</v>
      </c>
      <c r="AA1064" s="0" t="n">
        <v>0</v>
      </c>
      <c r="AB1064" s="0" t="n">
        <v>0</v>
      </c>
      <c r="AC1064" s="0" t="n">
        <v>0</v>
      </c>
      <c r="AD1064" s="0" t="n">
        <v>0</v>
      </c>
      <c r="AE1064" s="0" t="n">
        <v>0</v>
      </c>
      <c r="AF1064" s="0" t="n">
        <v>0</v>
      </c>
      <c r="AG1064" s="0" t="n">
        <v>630.2</v>
      </c>
      <c r="AH1064" s="0" t="n">
        <v>630.2</v>
      </c>
      <c r="AI1064" s="0" t="n">
        <v>21</v>
      </c>
    </row>
    <row r="1065" customFormat="false" ht="14.9" hidden="false" customHeight="false" outlineLevel="0" collapsed="false">
      <c r="A1065" s="0" t="n">
        <v>1064</v>
      </c>
      <c r="B1065" s="0" t="s">
        <v>368</v>
      </c>
      <c r="C1065" s="33" t="s">
        <v>369</v>
      </c>
      <c r="D1065" s="34" t="n">
        <v>46223</v>
      </c>
      <c r="E1065" s="0" t="n">
        <v>859.7</v>
      </c>
      <c r="F1065" s="0" t="n">
        <v>0</v>
      </c>
      <c r="G1065" s="0" t="n">
        <v>818.1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8</v>
      </c>
      <c r="X1065" s="0" t="n">
        <v>0</v>
      </c>
      <c r="Y1065" s="0" t="n">
        <v>0</v>
      </c>
      <c r="Z1065" s="0" t="n">
        <v>0</v>
      </c>
      <c r="AA1065" s="0" t="n">
        <v>0</v>
      </c>
      <c r="AB1065" s="0" t="n">
        <v>0</v>
      </c>
      <c r="AC1065" s="0" t="n">
        <v>0</v>
      </c>
      <c r="AD1065" s="0" t="n">
        <v>0</v>
      </c>
      <c r="AE1065" s="0" t="n">
        <v>0</v>
      </c>
      <c r="AF1065" s="0" t="n">
        <v>0</v>
      </c>
      <c r="AG1065" s="0" t="n">
        <v>1685.8</v>
      </c>
      <c r="AH1065" s="0" t="n">
        <v>1685.8</v>
      </c>
      <c r="AI1065" s="0" t="n">
        <v>40</v>
      </c>
    </row>
    <row r="1066" customFormat="false" ht="14.9" hidden="false" customHeight="false" outlineLevel="0" collapsed="false">
      <c r="A1066" s="0" t="n">
        <v>1065</v>
      </c>
      <c r="B1066" s="0" t="s">
        <v>368</v>
      </c>
      <c r="C1066" s="33" t="s">
        <v>369</v>
      </c>
      <c r="D1066" s="34" t="n">
        <v>46209</v>
      </c>
      <c r="E1066" s="0" t="n">
        <v>274.38</v>
      </c>
      <c r="F1066" s="0" t="n">
        <v>0</v>
      </c>
      <c r="G1066" s="0" t="n">
        <v>851.55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X1066" s="0" t="n">
        <v>0</v>
      </c>
      <c r="Y1066" s="0" t="n">
        <v>0</v>
      </c>
      <c r="Z1066" s="0" t="n">
        <v>0</v>
      </c>
      <c r="AA1066" s="0" t="n">
        <v>0</v>
      </c>
      <c r="AB1066" s="0" t="n">
        <v>0</v>
      </c>
      <c r="AC1066" s="0" t="n">
        <v>0</v>
      </c>
      <c r="AD1066" s="0" t="n">
        <v>0</v>
      </c>
      <c r="AE1066" s="0" t="n">
        <v>0</v>
      </c>
      <c r="AF1066" s="0" t="n">
        <v>0</v>
      </c>
      <c r="AG1066" s="0" t="n">
        <v>1125.93</v>
      </c>
      <c r="AH1066" s="0" t="n">
        <v>1125.93</v>
      </c>
      <c r="AI1066" s="0" t="n">
        <v>20</v>
      </c>
    </row>
    <row r="1067" customFormat="false" ht="14.9" hidden="false" customHeight="false" outlineLevel="0" collapsed="false">
      <c r="A1067" s="0" t="n">
        <v>1066</v>
      </c>
      <c r="B1067" s="0" t="s">
        <v>368</v>
      </c>
      <c r="C1067" s="33" t="s">
        <v>369</v>
      </c>
      <c r="D1067" s="34" t="n">
        <v>46207</v>
      </c>
      <c r="E1067" s="0" t="n">
        <v>91.1</v>
      </c>
      <c r="F1067" s="0" t="n">
        <v>0</v>
      </c>
      <c r="G1067" s="0" t="n">
        <v>1548.1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3</v>
      </c>
      <c r="X1067" s="0" t="n">
        <v>0</v>
      </c>
      <c r="Y1067" s="0" t="n">
        <v>0</v>
      </c>
      <c r="Z1067" s="0" t="n">
        <v>0</v>
      </c>
      <c r="AA1067" s="0" t="n">
        <v>0</v>
      </c>
      <c r="AB1067" s="0" t="n">
        <v>0</v>
      </c>
      <c r="AC1067" s="0" t="n">
        <v>0</v>
      </c>
      <c r="AD1067" s="0" t="n">
        <v>0</v>
      </c>
      <c r="AE1067" s="0" t="n">
        <v>0</v>
      </c>
      <c r="AF1067" s="0" t="n">
        <v>0</v>
      </c>
      <c r="AG1067" s="0" t="n">
        <v>1642.2</v>
      </c>
      <c r="AH1067" s="0" t="n">
        <v>1642.2</v>
      </c>
      <c r="AI1067" s="0" t="n">
        <v>29</v>
      </c>
    </row>
    <row r="1068" customFormat="false" ht="14.9" hidden="false" customHeight="false" outlineLevel="0" collapsed="false">
      <c r="A1068" s="0" t="n">
        <v>1067</v>
      </c>
      <c r="B1068" s="0" t="s">
        <v>368</v>
      </c>
      <c r="C1068" s="33" t="s">
        <v>369</v>
      </c>
      <c r="D1068" s="34" t="n">
        <v>46210</v>
      </c>
      <c r="E1068" s="0" t="n">
        <v>575.62</v>
      </c>
      <c r="F1068" s="0" t="n">
        <v>0</v>
      </c>
      <c r="G1068" s="0" t="n">
        <v>228.8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Y1068" s="0" t="n">
        <v>0</v>
      </c>
      <c r="Z1068" s="0" t="n">
        <v>0</v>
      </c>
      <c r="AA1068" s="0" t="n">
        <v>0</v>
      </c>
      <c r="AB1068" s="0" t="n">
        <v>0</v>
      </c>
      <c r="AC1068" s="0" t="n">
        <v>0</v>
      </c>
      <c r="AD1068" s="0" t="n">
        <v>0</v>
      </c>
      <c r="AE1068" s="0" t="n">
        <v>0</v>
      </c>
      <c r="AF1068" s="0" t="n">
        <v>0</v>
      </c>
      <c r="AG1068" s="0" t="n">
        <v>804.42</v>
      </c>
      <c r="AH1068" s="0" t="n">
        <v>804.42</v>
      </c>
      <c r="AI1068" s="0" t="n">
        <v>17</v>
      </c>
    </row>
    <row r="1069" customFormat="false" ht="14.9" hidden="false" customHeight="false" outlineLevel="0" collapsed="false">
      <c r="A1069" s="0" t="n">
        <v>1068</v>
      </c>
      <c r="B1069" s="0" t="s">
        <v>368</v>
      </c>
      <c r="C1069" s="33" t="s">
        <v>369</v>
      </c>
      <c r="D1069" s="34" t="n">
        <v>46222</v>
      </c>
      <c r="E1069" s="0" t="n">
        <v>112.98</v>
      </c>
      <c r="F1069" s="0" t="n">
        <v>0</v>
      </c>
      <c r="G1069" s="0" t="n">
        <v>672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Y1069" s="0" t="n">
        <v>0</v>
      </c>
      <c r="Z1069" s="0" t="n">
        <v>0</v>
      </c>
      <c r="AA1069" s="0" t="n">
        <v>0</v>
      </c>
      <c r="AB1069" s="0" t="n">
        <v>0</v>
      </c>
      <c r="AC1069" s="0" t="n">
        <v>0</v>
      </c>
      <c r="AD1069" s="0" t="n">
        <v>0</v>
      </c>
      <c r="AE1069" s="0" t="n">
        <v>0</v>
      </c>
      <c r="AF1069" s="0" t="n">
        <v>0</v>
      </c>
      <c r="AG1069" s="0" t="n">
        <v>784.98</v>
      </c>
      <c r="AH1069" s="0" t="n">
        <v>784.98</v>
      </c>
      <c r="AI1069" s="0" t="n">
        <v>14</v>
      </c>
    </row>
    <row r="1070" customFormat="false" ht="14.9" hidden="false" customHeight="false" outlineLevel="0" collapsed="false">
      <c r="A1070" s="0" t="n">
        <v>1069</v>
      </c>
      <c r="B1070" s="0" t="s">
        <v>368</v>
      </c>
      <c r="C1070" s="33" t="s">
        <v>369</v>
      </c>
      <c r="D1070" s="34" t="n">
        <v>46232</v>
      </c>
      <c r="E1070" s="0" t="n">
        <v>151.5</v>
      </c>
      <c r="F1070" s="0" t="n">
        <v>0</v>
      </c>
      <c r="G1070" s="0" t="n">
        <v>702.98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15</v>
      </c>
      <c r="X1070" s="0" t="n">
        <v>0</v>
      </c>
      <c r="Y1070" s="0" t="n">
        <v>0</v>
      </c>
      <c r="Z1070" s="0" t="n">
        <v>0</v>
      </c>
      <c r="AA1070" s="0" t="n">
        <v>0</v>
      </c>
      <c r="AB1070" s="0" t="n">
        <v>0</v>
      </c>
      <c r="AC1070" s="0" t="n">
        <v>0</v>
      </c>
      <c r="AD1070" s="0" t="n">
        <v>0</v>
      </c>
      <c r="AE1070" s="0" t="n">
        <v>0</v>
      </c>
      <c r="AF1070" s="0" t="n">
        <v>0</v>
      </c>
      <c r="AG1070" s="0" t="n">
        <v>869.48</v>
      </c>
      <c r="AH1070" s="0" t="n">
        <v>869.48</v>
      </c>
      <c r="AI1070" s="0" t="n">
        <v>34</v>
      </c>
    </row>
    <row r="1071" customFormat="false" ht="14.9" hidden="false" customHeight="false" outlineLevel="0" collapsed="false">
      <c r="A1071" s="0" t="n">
        <v>1070</v>
      </c>
      <c r="B1071" s="0" t="s">
        <v>368</v>
      </c>
      <c r="C1071" s="33" t="s">
        <v>369</v>
      </c>
      <c r="D1071" s="34" t="n">
        <v>46234</v>
      </c>
      <c r="E1071" s="0" t="n">
        <v>470.3</v>
      </c>
      <c r="F1071" s="0" t="n">
        <v>0</v>
      </c>
      <c r="G1071" s="0" t="n">
        <v>750.8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23</v>
      </c>
      <c r="X1071" s="0" t="n">
        <v>0</v>
      </c>
      <c r="Y1071" s="0" t="n">
        <v>0</v>
      </c>
      <c r="Z1071" s="0" t="n">
        <v>0</v>
      </c>
      <c r="AA1071" s="0" t="n">
        <v>0</v>
      </c>
      <c r="AB1071" s="0" t="n">
        <v>0</v>
      </c>
      <c r="AC1071" s="0" t="n">
        <v>0</v>
      </c>
      <c r="AD1071" s="0" t="n">
        <v>0</v>
      </c>
      <c r="AE1071" s="0" t="n">
        <v>0</v>
      </c>
      <c r="AF1071" s="0" t="n">
        <v>0</v>
      </c>
      <c r="AG1071" s="0" t="n">
        <v>1244.1</v>
      </c>
      <c r="AH1071" s="0" t="n">
        <v>1244.1</v>
      </c>
      <c r="AI1071" s="0" t="n">
        <v>26</v>
      </c>
    </row>
    <row r="1072" customFormat="false" ht="14.9" hidden="false" customHeight="false" outlineLevel="0" collapsed="false">
      <c r="A1072" s="0" t="n">
        <v>1071</v>
      </c>
      <c r="B1072" s="0" t="s">
        <v>368</v>
      </c>
      <c r="C1072" s="33" t="s">
        <v>369</v>
      </c>
      <c r="D1072" s="34" t="n">
        <v>46205</v>
      </c>
      <c r="E1072" s="0" t="n">
        <v>324.68</v>
      </c>
      <c r="F1072" s="0" t="n">
        <v>0</v>
      </c>
      <c r="G1072" s="0" t="n">
        <v>1123.82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0</v>
      </c>
      <c r="Y1072" s="0" t="n">
        <v>0</v>
      </c>
      <c r="Z1072" s="0" t="n">
        <v>0</v>
      </c>
      <c r="AA1072" s="0" t="n">
        <v>0</v>
      </c>
      <c r="AB1072" s="0" t="n">
        <v>0</v>
      </c>
      <c r="AC1072" s="0" t="n">
        <v>0</v>
      </c>
      <c r="AD1072" s="0" t="n">
        <v>0</v>
      </c>
      <c r="AE1072" s="0" t="n">
        <v>0</v>
      </c>
      <c r="AF1072" s="0" t="n">
        <v>0</v>
      </c>
      <c r="AG1072" s="0" t="n">
        <v>1448.5</v>
      </c>
      <c r="AH1072" s="0" t="n">
        <v>1448.5</v>
      </c>
      <c r="AI1072" s="0" t="n">
        <v>21</v>
      </c>
    </row>
    <row r="1073" customFormat="false" ht="14.9" hidden="false" customHeight="false" outlineLevel="0" collapsed="false">
      <c r="A1073" s="0" t="n">
        <v>1072</v>
      </c>
      <c r="B1073" s="0" t="s">
        <v>368</v>
      </c>
      <c r="C1073" s="33" t="s">
        <v>369</v>
      </c>
      <c r="D1073" s="34" t="n">
        <v>46229</v>
      </c>
      <c r="E1073" s="0" t="n">
        <v>678.15</v>
      </c>
      <c r="F1073" s="0" t="n">
        <v>0</v>
      </c>
      <c r="G1073" s="0" t="n">
        <v>1075.7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6</v>
      </c>
      <c r="X1073" s="0" t="n">
        <v>0</v>
      </c>
      <c r="Y1073" s="0" t="n">
        <v>0</v>
      </c>
      <c r="Z1073" s="0" t="n">
        <v>0</v>
      </c>
      <c r="AA1073" s="0" t="n">
        <v>0</v>
      </c>
      <c r="AB1073" s="0" t="n">
        <v>0</v>
      </c>
      <c r="AC1073" s="0" t="n">
        <v>0</v>
      </c>
      <c r="AD1073" s="0" t="n">
        <v>0</v>
      </c>
      <c r="AE1073" s="0" t="n">
        <v>0</v>
      </c>
      <c r="AF1073" s="0" t="n">
        <v>0</v>
      </c>
      <c r="AG1073" s="0" t="n">
        <v>1759.85</v>
      </c>
      <c r="AH1073" s="0" t="n">
        <v>1759.85</v>
      </c>
      <c r="AI1073" s="0" t="n">
        <v>26</v>
      </c>
    </row>
    <row r="1074" customFormat="false" ht="14.9" hidden="false" customHeight="false" outlineLevel="0" collapsed="false">
      <c r="A1074" s="0" t="n">
        <v>1073</v>
      </c>
      <c r="B1074" s="0" t="s">
        <v>368</v>
      </c>
      <c r="C1074" s="33" t="s">
        <v>369</v>
      </c>
      <c r="D1074" s="34" t="n">
        <v>46208</v>
      </c>
      <c r="E1074" s="0" t="n">
        <v>646.9</v>
      </c>
      <c r="F1074" s="0" t="n">
        <v>0</v>
      </c>
      <c r="G1074" s="0" t="n">
        <v>966.48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0</v>
      </c>
      <c r="Y1074" s="0" t="n">
        <v>0</v>
      </c>
      <c r="Z1074" s="0" t="n">
        <v>0</v>
      </c>
      <c r="AA1074" s="0" t="n">
        <v>0</v>
      </c>
      <c r="AB1074" s="0" t="n">
        <v>0</v>
      </c>
      <c r="AC1074" s="0" t="n">
        <v>0</v>
      </c>
      <c r="AD1074" s="0" t="n">
        <v>0</v>
      </c>
      <c r="AE1074" s="0" t="n">
        <v>0</v>
      </c>
      <c r="AF1074" s="0" t="n">
        <v>0</v>
      </c>
      <c r="AG1074" s="0" t="n">
        <v>1613.38</v>
      </c>
      <c r="AH1074" s="0" t="n">
        <v>1613.38</v>
      </c>
      <c r="AI1074" s="0" t="n">
        <v>20</v>
      </c>
    </row>
    <row r="1075" customFormat="false" ht="14.9" hidden="false" customHeight="false" outlineLevel="0" collapsed="false">
      <c r="A1075" s="0" t="n">
        <v>1074</v>
      </c>
      <c r="B1075" s="0" t="s">
        <v>368</v>
      </c>
      <c r="C1075" s="33" t="s">
        <v>369</v>
      </c>
      <c r="D1075" s="34" t="n">
        <v>46220</v>
      </c>
      <c r="E1075" s="0" t="n">
        <v>145.4</v>
      </c>
      <c r="F1075" s="0" t="n">
        <v>0</v>
      </c>
      <c r="G1075" s="0" t="n">
        <v>633.49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5</v>
      </c>
      <c r="W1075" s="0" t="n">
        <v>8</v>
      </c>
      <c r="X1075" s="0" t="n">
        <v>0</v>
      </c>
      <c r="Y1075" s="0" t="n">
        <v>0</v>
      </c>
      <c r="Z1075" s="0" t="n">
        <v>0</v>
      </c>
      <c r="AA1075" s="0" t="n">
        <v>0</v>
      </c>
      <c r="AB1075" s="0" t="n">
        <v>0</v>
      </c>
      <c r="AC1075" s="0" t="n">
        <v>0</v>
      </c>
      <c r="AD1075" s="0" t="n">
        <v>0</v>
      </c>
      <c r="AE1075" s="0" t="n">
        <v>0</v>
      </c>
      <c r="AF1075" s="0" t="n">
        <v>0</v>
      </c>
      <c r="AG1075" s="0" t="n">
        <v>791.89</v>
      </c>
      <c r="AH1075" s="0" t="n">
        <v>791.89</v>
      </c>
      <c r="AI1075" s="0" t="n">
        <v>22</v>
      </c>
    </row>
    <row r="1076" customFormat="false" ht="14.9" hidden="false" customHeight="false" outlineLevel="0" collapsed="false">
      <c r="A1076" s="0" t="n">
        <v>1075</v>
      </c>
      <c r="B1076" s="0" t="s">
        <v>368</v>
      </c>
      <c r="C1076" s="33" t="s">
        <v>369</v>
      </c>
      <c r="D1076" s="34" t="n">
        <v>46226</v>
      </c>
      <c r="E1076" s="0" t="n">
        <v>153.8</v>
      </c>
      <c r="F1076" s="0" t="n">
        <v>0</v>
      </c>
      <c r="G1076" s="0" t="n">
        <v>492.9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10</v>
      </c>
      <c r="X1076" s="0" t="n">
        <v>0</v>
      </c>
      <c r="Y1076" s="0" t="n">
        <v>0</v>
      </c>
      <c r="Z1076" s="0" t="n">
        <v>0</v>
      </c>
      <c r="AA1076" s="0" t="n">
        <v>0</v>
      </c>
      <c r="AB1076" s="0" t="n">
        <v>0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656.7</v>
      </c>
      <c r="AH1076" s="0" t="n">
        <v>656.7</v>
      </c>
      <c r="AI1076" s="0" t="n">
        <v>18</v>
      </c>
    </row>
    <row r="1077" customFormat="false" ht="14.9" hidden="false" customHeight="false" outlineLevel="0" collapsed="false">
      <c r="A1077" s="0" t="n">
        <v>1076</v>
      </c>
      <c r="B1077" s="0" t="s">
        <v>368</v>
      </c>
      <c r="C1077" s="33" t="s">
        <v>369</v>
      </c>
      <c r="D1077" s="34" t="n">
        <v>46227</v>
      </c>
      <c r="E1077" s="0" t="n">
        <v>84.8</v>
      </c>
      <c r="F1077" s="0" t="n">
        <v>0</v>
      </c>
      <c r="G1077" s="0" t="n">
        <v>456.9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X1077" s="0" t="n">
        <v>0</v>
      </c>
      <c r="Y1077" s="0" t="n">
        <v>0</v>
      </c>
      <c r="Z1077" s="0" t="n">
        <v>0</v>
      </c>
      <c r="AA1077" s="0" t="n">
        <v>0</v>
      </c>
      <c r="AB1077" s="0" t="n">
        <v>0</v>
      </c>
      <c r="AC1077" s="0" t="n">
        <v>0</v>
      </c>
      <c r="AD1077" s="0" t="n">
        <v>0</v>
      </c>
      <c r="AE1077" s="0" t="n">
        <v>0</v>
      </c>
      <c r="AF1077" s="0" t="n">
        <v>0</v>
      </c>
      <c r="AG1077" s="0" t="n">
        <v>541.7</v>
      </c>
      <c r="AH1077" s="0" t="n">
        <v>541.7</v>
      </c>
      <c r="AI1077" s="0" t="n">
        <v>22</v>
      </c>
    </row>
    <row r="1078" customFormat="false" ht="14.9" hidden="false" customHeight="false" outlineLevel="0" collapsed="false">
      <c r="A1078" s="0" t="n">
        <v>1077</v>
      </c>
      <c r="B1078" s="0" t="s">
        <v>368</v>
      </c>
      <c r="C1078" s="33" t="s">
        <v>369</v>
      </c>
      <c r="D1078" s="34" t="n">
        <v>46221</v>
      </c>
      <c r="E1078" s="0" t="n">
        <v>193.6</v>
      </c>
      <c r="F1078" s="0" t="n">
        <v>0</v>
      </c>
      <c r="G1078" s="0" t="n">
        <v>390.35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0</v>
      </c>
      <c r="X1078" s="0" t="n">
        <v>0</v>
      </c>
      <c r="Y1078" s="0" t="n">
        <v>0</v>
      </c>
      <c r="Z1078" s="0" t="n">
        <v>0</v>
      </c>
      <c r="AA1078" s="0" t="n">
        <v>0</v>
      </c>
      <c r="AB1078" s="0" t="n">
        <v>0</v>
      </c>
      <c r="AC1078" s="0" t="n">
        <v>0</v>
      </c>
      <c r="AD1078" s="0" t="n">
        <v>0</v>
      </c>
      <c r="AE1078" s="0" t="n">
        <v>0</v>
      </c>
      <c r="AF1078" s="0" t="n">
        <v>0</v>
      </c>
      <c r="AG1078" s="0" t="n">
        <v>583.95</v>
      </c>
      <c r="AH1078" s="0" t="n">
        <v>583.95</v>
      </c>
      <c r="AI1078" s="0" t="n">
        <v>15</v>
      </c>
    </row>
    <row r="1079" customFormat="false" ht="14.9" hidden="false" customHeight="false" outlineLevel="0" collapsed="false">
      <c r="A1079" s="0" t="n">
        <v>1078</v>
      </c>
      <c r="B1079" s="0" t="s">
        <v>368</v>
      </c>
      <c r="C1079" s="33" t="s">
        <v>369</v>
      </c>
      <c r="D1079" s="34" t="n">
        <v>46204</v>
      </c>
      <c r="E1079" s="0" t="n">
        <v>126.8</v>
      </c>
      <c r="F1079" s="0" t="n">
        <v>0</v>
      </c>
      <c r="G1079" s="0" t="n">
        <v>790.08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3</v>
      </c>
      <c r="X1079" s="0" t="n">
        <v>0</v>
      </c>
      <c r="Y1079" s="0" t="n">
        <v>0</v>
      </c>
      <c r="Z1079" s="0" t="n">
        <v>0</v>
      </c>
      <c r="AA1079" s="0" t="n">
        <v>0</v>
      </c>
      <c r="AB1079" s="0" t="n">
        <v>0</v>
      </c>
      <c r="AC1079" s="0" t="n">
        <v>0</v>
      </c>
      <c r="AD1079" s="0" t="n">
        <v>0</v>
      </c>
      <c r="AE1079" s="0" t="n">
        <v>0</v>
      </c>
      <c r="AF1079" s="0" t="n">
        <v>0</v>
      </c>
      <c r="AG1079" s="0" t="n">
        <v>919.88</v>
      </c>
      <c r="AH1079" s="0" t="n">
        <v>919.88</v>
      </c>
      <c r="AI1079" s="0" t="n">
        <v>20</v>
      </c>
    </row>
    <row r="1080" customFormat="false" ht="14.9" hidden="false" customHeight="false" outlineLevel="0" collapsed="false">
      <c r="A1080" s="0" t="n">
        <v>1079</v>
      </c>
      <c r="B1080" s="0" t="s">
        <v>368</v>
      </c>
      <c r="C1080" s="33" t="s">
        <v>369</v>
      </c>
      <c r="D1080" s="34" t="n">
        <v>46228</v>
      </c>
      <c r="E1080" s="0" t="n">
        <v>83.8</v>
      </c>
      <c r="F1080" s="0" t="n">
        <v>0</v>
      </c>
      <c r="G1080" s="0" t="n">
        <v>577.58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0</v>
      </c>
      <c r="W1080" s="0" t="n">
        <v>5</v>
      </c>
      <c r="X1080" s="0" t="n">
        <v>0</v>
      </c>
      <c r="Y1080" s="0" t="n">
        <v>0</v>
      </c>
      <c r="Z1080" s="0" t="n">
        <v>0</v>
      </c>
      <c r="AA1080" s="0" t="n">
        <v>0</v>
      </c>
      <c r="AB1080" s="0" t="n">
        <v>0</v>
      </c>
      <c r="AC1080" s="0" t="n">
        <v>0</v>
      </c>
      <c r="AD1080" s="0" t="n">
        <v>0</v>
      </c>
      <c r="AE1080" s="0" t="n">
        <v>0</v>
      </c>
      <c r="AF1080" s="0" t="n">
        <v>0</v>
      </c>
      <c r="AG1080" s="0" t="n">
        <v>666.38</v>
      </c>
      <c r="AH1080" s="0" t="n">
        <v>666.38</v>
      </c>
      <c r="AI1080" s="0" t="n">
        <v>23</v>
      </c>
    </row>
    <row r="1081" customFormat="false" ht="14.9" hidden="false" customHeight="false" outlineLevel="0" collapsed="false">
      <c r="A1081" s="0" t="n">
        <v>1080</v>
      </c>
      <c r="B1081" s="0" t="s">
        <v>368</v>
      </c>
      <c r="C1081" s="33" t="s">
        <v>369</v>
      </c>
      <c r="D1081" s="34" t="n">
        <v>46211</v>
      </c>
      <c r="E1081" s="0" t="n">
        <v>90.11</v>
      </c>
      <c r="F1081" s="0" t="n">
        <v>0</v>
      </c>
      <c r="G1081" s="0" t="n">
        <v>1097.3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0" t="n">
        <v>0</v>
      </c>
      <c r="X1081" s="0" t="n">
        <v>0</v>
      </c>
      <c r="Y1081" s="0" t="n">
        <v>0</v>
      </c>
      <c r="Z1081" s="0" t="n">
        <v>0</v>
      </c>
      <c r="AA1081" s="0" t="n">
        <v>0</v>
      </c>
      <c r="AB1081" s="0" t="n">
        <v>0</v>
      </c>
      <c r="AC1081" s="0" t="n">
        <v>0</v>
      </c>
      <c r="AD1081" s="0" t="n">
        <v>0</v>
      </c>
      <c r="AE1081" s="0" t="n">
        <v>0</v>
      </c>
      <c r="AF1081" s="0" t="n">
        <v>0</v>
      </c>
      <c r="AG1081" s="0" t="n">
        <v>1187.41</v>
      </c>
      <c r="AH1081" s="0" t="n">
        <v>1187.41</v>
      </c>
      <c r="AI1081" s="0" t="n">
        <v>23</v>
      </c>
    </row>
    <row r="1082" customFormat="false" ht="14.9" hidden="false" customHeight="false" outlineLevel="0" collapsed="false">
      <c r="A1082" s="0" t="n">
        <v>1081</v>
      </c>
      <c r="B1082" s="0" t="s">
        <v>368</v>
      </c>
      <c r="C1082" s="33" t="s">
        <v>369</v>
      </c>
      <c r="D1082" s="34" t="n">
        <v>46217</v>
      </c>
      <c r="E1082" s="0" t="n">
        <v>348.5</v>
      </c>
      <c r="F1082" s="0" t="n">
        <v>0</v>
      </c>
      <c r="G1082" s="0" t="n">
        <v>1050.38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9.9</v>
      </c>
      <c r="W1082" s="0" t="n">
        <v>0</v>
      </c>
      <c r="X1082" s="0" t="n">
        <v>0</v>
      </c>
      <c r="Y1082" s="0" t="n">
        <v>0</v>
      </c>
      <c r="Z1082" s="0" t="n">
        <v>0</v>
      </c>
      <c r="AA1082" s="0" t="n">
        <v>0</v>
      </c>
      <c r="AB1082" s="0" t="n">
        <v>0</v>
      </c>
      <c r="AC1082" s="0" t="n">
        <v>0</v>
      </c>
      <c r="AD1082" s="0" t="n">
        <v>0</v>
      </c>
      <c r="AE1082" s="0" t="n">
        <v>0</v>
      </c>
      <c r="AF1082" s="0" t="n">
        <v>0</v>
      </c>
      <c r="AG1082" s="0" t="n">
        <v>1408.78</v>
      </c>
      <c r="AH1082" s="0" t="n">
        <v>1408.78</v>
      </c>
      <c r="AI1082" s="0" t="n">
        <v>26</v>
      </c>
    </row>
    <row r="1083" customFormat="false" ht="14.9" hidden="false" customHeight="false" outlineLevel="0" collapsed="false">
      <c r="A1083" s="0" t="n">
        <v>1082</v>
      </c>
      <c r="B1083" s="0" t="s">
        <v>368</v>
      </c>
      <c r="C1083" s="33" t="s">
        <v>369</v>
      </c>
      <c r="D1083" s="34" t="n">
        <v>46206</v>
      </c>
      <c r="E1083" s="0" t="n">
        <v>0</v>
      </c>
      <c r="F1083" s="0" t="n">
        <v>0</v>
      </c>
      <c r="G1083" s="0" t="n">
        <v>915.46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0</v>
      </c>
      <c r="Z1083" s="0" t="n">
        <v>0</v>
      </c>
      <c r="AA1083" s="0" t="n">
        <v>0</v>
      </c>
      <c r="AB1083" s="0" t="n">
        <v>0</v>
      </c>
      <c r="AC1083" s="0" t="n">
        <v>0</v>
      </c>
      <c r="AD1083" s="0" t="n">
        <v>0</v>
      </c>
      <c r="AE1083" s="0" t="n">
        <v>0</v>
      </c>
      <c r="AF1083" s="0" t="n">
        <v>0</v>
      </c>
      <c r="AG1083" s="0" t="n">
        <v>915.46</v>
      </c>
      <c r="AH1083" s="0" t="n">
        <v>915.46</v>
      </c>
      <c r="AI1083" s="0" t="n">
        <v>18</v>
      </c>
    </row>
    <row r="1084" customFormat="false" ht="14.9" hidden="false" customHeight="false" outlineLevel="0" collapsed="false">
      <c r="A1084" s="0" t="n">
        <v>1083</v>
      </c>
      <c r="B1084" s="0" t="s">
        <v>368</v>
      </c>
      <c r="C1084" s="33" t="s">
        <v>369</v>
      </c>
      <c r="D1084" s="34" t="n">
        <v>46224</v>
      </c>
      <c r="E1084" s="0" t="n">
        <v>881.34</v>
      </c>
      <c r="F1084" s="0" t="n">
        <v>0</v>
      </c>
      <c r="G1084" s="0" t="n">
        <v>923.42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8</v>
      </c>
      <c r="X1084" s="0" t="n">
        <v>0</v>
      </c>
      <c r="Y1084" s="0" t="n">
        <v>0</v>
      </c>
      <c r="Z1084" s="0" t="n">
        <v>0</v>
      </c>
      <c r="AA1084" s="0" t="n">
        <v>0</v>
      </c>
      <c r="AB1084" s="0" t="n">
        <v>0</v>
      </c>
      <c r="AC1084" s="0" t="n">
        <v>0</v>
      </c>
      <c r="AD1084" s="0" t="n">
        <v>0</v>
      </c>
      <c r="AE1084" s="0" t="n">
        <v>0</v>
      </c>
      <c r="AF1084" s="0" t="n">
        <v>0</v>
      </c>
      <c r="AG1084" s="0" t="n">
        <v>1812.76</v>
      </c>
      <c r="AH1084" s="0" t="n">
        <v>1812.76</v>
      </c>
      <c r="AI1084" s="0" t="n">
        <v>34</v>
      </c>
    </row>
    <row r="1085" customFormat="false" ht="14.9" hidden="false" customHeight="false" outlineLevel="0" collapsed="false">
      <c r="A1085" s="0" t="n">
        <v>1084</v>
      </c>
      <c r="B1085" s="0" t="s">
        <v>368</v>
      </c>
      <c r="C1085" s="33" t="s">
        <v>369</v>
      </c>
      <c r="D1085" s="34" t="n">
        <v>46231</v>
      </c>
      <c r="E1085" s="0" t="n">
        <v>577.75</v>
      </c>
      <c r="F1085" s="0" t="n">
        <v>0</v>
      </c>
      <c r="G1085" s="0" t="n">
        <v>1014.78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0" t="n">
        <v>16</v>
      </c>
      <c r="X1085" s="0" t="n">
        <v>0</v>
      </c>
      <c r="Y1085" s="0" t="n">
        <v>0</v>
      </c>
      <c r="Z1085" s="0" t="n">
        <v>0</v>
      </c>
      <c r="AA1085" s="0" t="n">
        <v>0</v>
      </c>
      <c r="AB1085" s="0" t="n">
        <v>0</v>
      </c>
      <c r="AC1085" s="0" t="n">
        <v>0</v>
      </c>
      <c r="AD1085" s="0" t="n">
        <v>0</v>
      </c>
      <c r="AE1085" s="0" t="n">
        <v>0</v>
      </c>
      <c r="AF1085" s="0" t="n">
        <v>0</v>
      </c>
      <c r="AG1085" s="0" t="n">
        <v>1608.53</v>
      </c>
      <c r="AH1085" s="0" t="n">
        <v>1608.53</v>
      </c>
      <c r="AI1085" s="0" t="n">
        <v>25</v>
      </c>
    </row>
    <row r="1086" customFormat="false" ht="14.9" hidden="false" customHeight="false" outlineLevel="0" collapsed="false">
      <c r="A1086" s="0" t="n">
        <v>1085</v>
      </c>
      <c r="B1086" s="0" t="s">
        <v>368</v>
      </c>
      <c r="C1086" s="33" t="s">
        <v>369</v>
      </c>
      <c r="D1086" s="34" t="n">
        <v>46215</v>
      </c>
      <c r="E1086" s="0" t="n">
        <v>134.7</v>
      </c>
      <c r="F1086" s="0" t="n">
        <v>0</v>
      </c>
      <c r="G1086" s="0" t="n">
        <v>645.7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0</v>
      </c>
      <c r="Z1086" s="0" t="n">
        <v>0</v>
      </c>
      <c r="AA1086" s="0" t="n">
        <v>0</v>
      </c>
      <c r="AB1086" s="0" t="n">
        <v>0</v>
      </c>
      <c r="AC1086" s="0" t="n">
        <v>0</v>
      </c>
      <c r="AD1086" s="0" t="n">
        <v>0</v>
      </c>
      <c r="AE1086" s="0" t="n">
        <v>0</v>
      </c>
      <c r="AF1086" s="0" t="n">
        <v>0</v>
      </c>
      <c r="AG1086" s="0" t="n">
        <v>780.4</v>
      </c>
      <c r="AH1086" s="0" t="n">
        <v>780.4</v>
      </c>
      <c r="AI1086" s="0" t="n">
        <v>22</v>
      </c>
    </row>
    <row r="1087" customFormat="false" ht="14.9" hidden="false" customHeight="false" outlineLevel="0" collapsed="false">
      <c r="A1087" s="0" t="n">
        <v>1086</v>
      </c>
      <c r="B1087" s="0" t="s">
        <v>370</v>
      </c>
      <c r="C1087" s="33" t="s">
        <v>371</v>
      </c>
      <c r="D1087" s="34" t="n">
        <v>46218</v>
      </c>
      <c r="E1087" s="0" t="n">
        <v>850.81</v>
      </c>
      <c r="F1087" s="0" t="n">
        <v>0</v>
      </c>
      <c r="G1087" s="0" t="n">
        <v>252.5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0" t="n">
        <v>6</v>
      </c>
      <c r="X1087" s="0" t="n">
        <v>0</v>
      </c>
      <c r="Y1087" s="0" t="n">
        <v>0</v>
      </c>
      <c r="Z1087" s="0" t="n">
        <v>0</v>
      </c>
      <c r="AA1087" s="0" t="n">
        <v>0</v>
      </c>
      <c r="AB1087" s="0" t="n">
        <v>0</v>
      </c>
      <c r="AC1087" s="0" t="n">
        <v>0</v>
      </c>
      <c r="AD1087" s="0" t="n">
        <v>0</v>
      </c>
      <c r="AE1087" s="0" t="n">
        <v>0</v>
      </c>
      <c r="AF1087" s="0" t="n">
        <v>0</v>
      </c>
      <c r="AG1087" s="0" t="n">
        <v>1109.31</v>
      </c>
      <c r="AH1087" s="0" t="n">
        <v>1109.31</v>
      </c>
      <c r="AI1087" s="0" t="n">
        <v>26</v>
      </c>
    </row>
    <row r="1088" customFormat="false" ht="14.9" hidden="false" customHeight="false" outlineLevel="0" collapsed="false">
      <c r="A1088" s="0" t="n">
        <v>1087</v>
      </c>
      <c r="B1088" s="0" t="s">
        <v>370</v>
      </c>
      <c r="C1088" s="33" t="s">
        <v>371</v>
      </c>
      <c r="D1088" s="34" t="n">
        <v>46208</v>
      </c>
      <c r="E1088" s="0" t="n">
        <v>615.45</v>
      </c>
      <c r="F1088" s="0" t="n">
        <v>0</v>
      </c>
      <c r="G1088" s="0" t="n">
        <v>306.6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0</v>
      </c>
      <c r="X1088" s="0" t="n">
        <v>0</v>
      </c>
      <c r="Y1088" s="0" t="n">
        <v>0</v>
      </c>
      <c r="Z1088" s="0" t="n">
        <v>0</v>
      </c>
      <c r="AA1088" s="0" t="n">
        <v>0</v>
      </c>
      <c r="AB1088" s="0" t="n">
        <v>0</v>
      </c>
      <c r="AC1088" s="0" t="n">
        <v>0</v>
      </c>
      <c r="AD1088" s="0" t="n">
        <v>0</v>
      </c>
      <c r="AE1088" s="0" t="n">
        <v>0</v>
      </c>
      <c r="AF1088" s="0" t="n">
        <v>0</v>
      </c>
      <c r="AG1088" s="0" t="n">
        <v>922.05</v>
      </c>
      <c r="AH1088" s="0" t="n">
        <v>922.05</v>
      </c>
      <c r="AI1088" s="0" t="n">
        <v>21</v>
      </c>
    </row>
    <row r="1089" customFormat="false" ht="14.9" hidden="false" customHeight="false" outlineLevel="0" collapsed="false">
      <c r="A1089" s="0" t="n">
        <v>1088</v>
      </c>
      <c r="B1089" s="0" t="s">
        <v>370</v>
      </c>
      <c r="C1089" s="33" t="s">
        <v>371</v>
      </c>
      <c r="D1089" s="34" t="n">
        <v>46222</v>
      </c>
      <c r="E1089" s="0" t="n">
        <v>1396.74</v>
      </c>
      <c r="F1089" s="0" t="n">
        <v>0</v>
      </c>
      <c r="G1089" s="0" t="n">
        <v>81.2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0.02</v>
      </c>
      <c r="W1089" s="0" t="n">
        <v>10</v>
      </c>
      <c r="X1089" s="0" t="n">
        <v>0</v>
      </c>
      <c r="Y1089" s="0" t="n">
        <v>0</v>
      </c>
      <c r="Z1089" s="0" t="n">
        <v>0</v>
      </c>
      <c r="AA1089" s="0" t="n">
        <v>0</v>
      </c>
      <c r="AB1089" s="0" t="n">
        <v>0</v>
      </c>
      <c r="AC1089" s="0" t="n">
        <v>0</v>
      </c>
      <c r="AD1089" s="0" t="n">
        <v>0</v>
      </c>
      <c r="AE1089" s="0" t="n">
        <v>0</v>
      </c>
      <c r="AF1089" s="0" t="n">
        <v>0</v>
      </c>
      <c r="AG1089" s="0" t="n">
        <v>1487.96</v>
      </c>
      <c r="AH1089" s="0" t="n">
        <v>1487.96</v>
      </c>
      <c r="AI1089" s="0" t="n">
        <v>32</v>
      </c>
    </row>
    <row r="1090" customFormat="false" ht="14.9" hidden="false" customHeight="false" outlineLevel="0" collapsed="false">
      <c r="A1090" s="0" t="n">
        <v>1089</v>
      </c>
      <c r="B1090" s="0" t="s">
        <v>370</v>
      </c>
      <c r="C1090" s="33" t="s">
        <v>371</v>
      </c>
      <c r="D1090" s="34" t="n">
        <v>46227</v>
      </c>
      <c r="E1090" s="0" t="n">
        <v>793.6</v>
      </c>
      <c r="F1090" s="0" t="n">
        <v>0</v>
      </c>
      <c r="G1090" s="0" t="n">
        <v>509.7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30</v>
      </c>
      <c r="X1090" s="0" t="n">
        <v>0</v>
      </c>
      <c r="Y1090" s="0" t="n">
        <v>0</v>
      </c>
      <c r="Z1090" s="0" t="n">
        <v>0</v>
      </c>
      <c r="AA1090" s="0" t="n">
        <v>0</v>
      </c>
      <c r="AB1090" s="0" t="n">
        <v>0</v>
      </c>
      <c r="AC1090" s="0" t="n">
        <v>0</v>
      </c>
      <c r="AD1090" s="0" t="n">
        <v>0</v>
      </c>
      <c r="AE1090" s="0" t="n">
        <v>0</v>
      </c>
      <c r="AF1090" s="0" t="n">
        <v>0</v>
      </c>
      <c r="AG1090" s="0" t="n">
        <v>1333.3</v>
      </c>
      <c r="AH1090" s="0" t="n">
        <v>1333.3</v>
      </c>
      <c r="AI1090" s="0" t="n">
        <v>24</v>
      </c>
    </row>
    <row r="1091" customFormat="false" ht="14.9" hidden="false" customHeight="false" outlineLevel="0" collapsed="false">
      <c r="A1091" s="0" t="n">
        <v>1090</v>
      </c>
      <c r="B1091" s="0" t="s">
        <v>370</v>
      </c>
      <c r="C1091" s="33" t="s">
        <v>371</v>
      </c>
      <c r="D1091" s="34" t="n">
        <v>46217</v>
      </c>
      <c r="E1091" s="0" t="n">
        <v>853.5</v>
      </c>
      <c r="F1091" s="0" t="n">
        <v>0</v>
      </c>
      <c r="G1091" s="0" t="n">
        <v>701.4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30</v>
      </c>
      <c r="X1091" s="0" t="n">
        <v>0</v>
      </c>
      <c r="Y1091" s="0" t="n">
        <v>0</v>
      </c>
      <c r="Z1091" s="0" t="n">
        <v>0</v>
      </c>
      <c r="AA1091" s="0" t="n">
        <v>0</v>
      </c>
      <c r="AB1091" s="0" t="n">
        <v>0</v>
      </c>
      <c r="AC1091" s="0" t="n">
        <v>0</v>
      </c>
      <c r="AD1091" s="0" t="n">
        <v>0</v>
      </c>
      <c r="AE1091" s="0" t="n">
        <v>0</v>
      </c>
      <c r="AF1091" s="0" t="n">
        <v>0</v>
      </c>
      <c r="AG1091" s="0" t="n">
        <v>1584.9</v>
      </c>
      <c r="AH1091" s="0" t="n">
        <v>1584.9</v>
      </c>
      <c r="AI1091" s="0" t="n">
        <v>33</v>
      </c>
    </row>
    <row r="1092" customFormat="false" ht="14.9" hidden="false" customHeight="false" outlineLevel="0" collapsed="false">
      <c r="A1092" s="0" t="n">
        <v>1091</v>
      </c>
      <c r="B1092" s="0" t="s">
        <v>370</v>
      </c>
      <c r="C1092" s="33" t="s">
        <v>371</v>
      </c>
      <c r="D1092" s="34" t="n">
        <v>46216</v>
      </c>
      <c r="E1092" s="0" t="n">
        <v>1485.1</v>
      </c>
      <c r="F1092" s="0" t="n">
        <v>0</v>
      </c>
      <c r="G1092" s="0" t="n">
        <v>1641.72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9.9</v>
      </c>
      <c r="W1092" s="0" t="n">
        <v>31</v>
      </c>
      <c r="X1092" s="0" t="n">
        <v>0</v>
      </c>
      <c r="Y1092" s="0" t="n">
        <v>0</v>
      </c>
      <c r="Z1092" s="0" t="n">
        <v>0</v>
      </c>
      <c r="AA1092" s="0" t="n">
        <v>0</v>
      </c>
      <c r="AB1092" s="0" t="n">
        <v>0</v>
      </c>
      <c r="AC1092" s="0" t="n">
        <v>0</v>
      </c>
      <c r="AD1092" s="0" t="n">
        <v>0</v>
      </c>
      <c r="AE1092" s="0" t="n">
        <v>0</v>
      </c>
      <c r="AF1092" s="0" t="n">
        <v>0</v>
      </c>
      <c r="AG1092" s="0" t="n">
        <v>3167.72</v>
      </c>
      <c r="AH1092" s="0" t="n">
        <v>3167.72</v>
      </c>
      <c r="AI1092" s="0" t="n">
        <v>46</v>
      </c>
    </row>
    <row r="1093" customFormat="false" ht="14.9" hidden="false" customHeight="false" outlineLevel="0" collapsed="false">
      <c r="A1093" s="0" t="n">
        <v>1092</v>
      </c>
      <c r="B1093" s="0" t="s">
        <v>370</v>
      </c>
      <c r="C1093" s="33" t="s">
        <v>371</v>
      </c>
      <c r="D1093" s="34" t="n">
        <v>46219</v>
      </c>
      <c r="E1093" s="0" t="n">
        <v>1391.28</v>
      </c>
      <c r="F1093" s="0" t="n">
        <v>0</v>
      </c>
      <c r="G1093" s="0" t="n">
        <v>161.2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-0.8</v>
      </c>
      <c r="S1093" s="0" t="n">
        <v>0</v>
      </c>
      <c r="T1093" s="0" t="n">
        <v>0</v>
      </c>
      <c r="U1093" s="0" t="n">
        <v>0</v>
      </c>
      <c r="V1093" s="0" t="n">
        <v>-0.02</v>
      </c>
      <c r="W1093" s="0" t="n">
        <v>10</v>
      </c>
      <c r="X1093" s="0" t="n">
        <v>0</v>
      </c>
      <c r="Y1093" s="0" t="n">
        <v>0</v>
      </c>
      <c r="Z1093" s="0" t="n">
        <v>0</v>
      </c>
      <c r="AA1093" s="0" t="n">
        <v>0</v>
      </c>
      <c r="AB1093" s="0" t="n">
        <v>0</v>
      </c>
      <c r="AC1093" s="0" t="n">
        <v>0</v>
      </c>
      <c r="AD1093" s="0" t="n">
        <v>0</v>
      </c>
      <c r="AE1093" s="0" t="n">
        <v>0</v>
      </c>
      <c r="AF1093" s="0" t="n">
        <v>0</v>
      </c>
      <c r="AG1093" s="0" t="n">
        <v>1561.66</v>
      </c>
      <c r="AH1093" s="0" t="n">
        <v>1561.66</v>
      </c>
      <c r="AI1093" s="0" t="n">
        <v>31</v>
      </c>
    </row>
    <row r="1094" customFormat="false" ht="14.9" hidden="false" customHeight="false" outlineLevel="0" collapsed="false">
      <c r="A1094" s="0" t="n">
        <v>1093</v>
      </c>
      <c r="B1094" s="0" t="s">
        <v>370</v>
      </c>
      <c r="C1094" s="33" t="s">
        <v>371</v>
      </c>
      <c r="D1094" s="34" t="n">
        <v>46212</v>
      </c>
      <c r="E1094" s="0" t="n">
        <v>796.4</v>
      </c>
      <c r="F1094" s="0" t="n">
        <v>0</v>
      </c>
      <c r="G1094" s="0" t="n">
        <v>656.1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0</v>
      </c>
      <c r="W1094" s="0" t="n">
        <v>40</v>
      </c>
      <c r="X1094" s="0" t="n">
        <v>0</v>
      </c>
      <c r="Y1094" s="0" t="n">
        <v>0</v>
      </c>
      <c r="Z1094" s="0" t="n">
        <v>0</v>
      </c>
      <c r="AA1094" s="0" t="n">
        <v>0</v>
      </c>
      <c r="AB1094" s="0" t="n">
        <v>0</v>
      </c>
      <c r="AC1094" s="0" t="n">
        <v>0</v>
      </c>
      <c r="AD1094" s="0" t="n">
        <v>0</v>
      </c>
      <c r="AE1094" s="0" t="n">
        <v>0</v>
      </c>
      <c r="AF1094" s="0" t="n">
        <v>0</v>
      </c>
      <c r="AG1094" s="0" t="n">
        <v>1492.5</v>
      </c>
      <c r="AH1094" s="0" t="n">
        <v>1492.5</v>
      </c>
      <c r="AI1094" s="0" t="n">
        <v>31</v>
      </c>
    </row>
    <row r="1095" customFormat="false" ht="14.9" hidden="false" customHeight="false" outlineLevel="0" collapsed="false">
      <c r="A1095" s="0" t="n">
        <v>1094</v>
      </c>
      <c r="B1095" s="0" t="s">
        <v>370</v>
      </c>
      <c r="C1095" s="33" t="s">
        <v>371</v>
      </c>
      <c r="D1095" s="34" t="n">
        <v>46210</v>
      </c>
      <c r="E1095" s="0" t="n">
        <v>1474.42</v>
      </c>
      <c r="F1095" s="0" t="n">
        <v>0</v>
      </c>
      <c r="G1095" s="0" t="n">
        <v>202.2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0.02</v>
      </c>
      <c r="W1095" s="0" t="n">
        <v>10</v>
      </c>
      <c r="X1095" s="0" t="n">
        <v>0</v>
      </c>
      <c r="Y1095" s="0" t="n">
        <v>0</v>
      </c>
      <c r="Z1095" s="0" t="n">
        <v>0</v>
      </c>
      <c r="AA1095" s="0" t="n">
        <v>0</v>
      </c>
      <c r="AB1095" s="0" t="n">
        <v>0</v>
      </c>
      <c r="AC1095" s="0" t="n">
        <v>0</v>
      </c>
      <c r="AD1095" s="0" t="n">
        <v>0</v>
      </c>
      <c r="AE1095" s="0" t="n">
        <v>0</v>
      </c>
      <c r="AF1095" s="0" t="n">
        <v>0</v>
      </c>
      <c r="AG1095" s="0" t="n">
        <v>1686.64</v>
      </c>
      <c r="AH1095" s="0" t="n">
        <v>1686.64</v>
      </c>
      <c r="AI1095" s="0" t="n">
        <v>35</v>
      </c>
    </row>
    <row r="1096" customFormat="false" ht="14.9" hidden="false" customHeight="false" outlineLevel="0" collapsed="false">
      <c r="A1096" s="0" t="n">
        <v>1095</v>
      </c>
      <c r="B1096" s="0" t="s">
        <v>370</v>
      </c>
      <c r="C1096" s="33" t="s">
        <v>371</v>
      </c>
      <c r="D1096" s="34" t="n">
        <v>46211</v>
      </c>
      <c r="E1096" s="0" t="n">
        <v>622.95</v>
      </c>
      <c r="F1096" s="0" t="n">
        <v>0</v>
      </c>
      <c r="G1096" s="0" t="n">
        <v>1011.6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0</v>
      </c>
      <c r="W1096" s="0" t="n">
        <v>10</v>
      </c>
      <c r="X1096" s="0" t="n">
        <v>0</v>
      </c>
      <c r="Y1096" s="0" t="n">
        <v>0</v>
      </c>
      <c r="Z1096" s="0" t="n">
        <v>0</v>
      </c>
      <c r="AA1096" s="0" t="n">
        <v>0</v>
      </c>
      <c r="AB1096" s="0" t="n">
        <v>0</v>
      </c>
      <c r="AC1096" s="0" t="n">
        <v>0</v>
      </c>
      <c r="AD1096" s="0" t="n">
        <v>0</v>
      </c>
      <c r="AE1096" s="0" t="n">
        <v>0</v>
      </c>
      <c r="AF1096" s="0" t="n">
        <v>0</v>
      </c>
      <c r="AG1096" s="0" t="n">
        <v>1644.55</v>
      </c>
      <c r="AH1096" s="0" t="n">
        <v>1644.55</v>
      </c>
      <c r="AI1096" s="0" t="n">
        <v>36</v>
      </c>
    </row>
    <row r="1097" customFormat="false" ht="14.9" hidden="false" customHeight="false" outlineLevel="0" collapsed="false">
      <c r="A1097" s="0" t="n">
        <v>1096</v>
      </c>
      <c r="B1097" s="0" t="s">
        <v>370</v>
      </c>
      <c r="C1097" s="33" t="s">
        <v>371</v>
      </c>
      <c r="D1097" s="34" t="n">
        <v>46231</v>
      </c>
      <c r="E1097" s="0" t="n">
        <v>1689.65</v>
      </c>
      <c r="F1097" s="0" t="n">
        <v>0</v>
      </c>
      <c r="G1097" s="0" t="n">
        <v>1837.46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9.9</v>
      </c>
      <c r="W1097" s="0" t="n">
        <v>45</v>
      </c>
      <c r="X1097" s="0" t="n">
        <v>0</v>
      </c>
      <c r="Y1097" s="0" t="n">
        <v>0</v>
      </c>
      <c r="Z1097" s="0" t="n">
        <v>0</v>
      </c>
      <c r="AA1097" s="0" t="n">
        <v>0</v>
      </c>
      <c r="AB1097" s="0" t="n">
        <v>0</v>
      </c>
      <c r="AC1097" s="0" t="n">
        <v>0</v>
      </c>
      <c r="AD1097" s="0" t="n">
        <v>0</v>
      </c>
      <c r="AE1097" s="0" t="n">
        <v>0</v>
      </c>
      <c r="AF1097" s="0" t="n">
        <v>0</v>
      </c>
      <c r="AG1097" s="0" t="n">
        <v>3582.01</v>
      </c>
      <c r="AH1097" s="0" t="n">
        <v>3582.01</v>
      </c>
      <c r="AI1097" s="0" t="n">
        <v>45</v>
      </c>
    </row>
    <row r="1098" customFormat="false" ht="14.9" hidden="false" customHeight="false" outlineLevel="0" collapsed="false">
      <c r="A1098" s="0" t="n">
        <v>1097</v>
      </c>
      <c r="B1098" s="0" t="s">
        <v>370</v>
      </c>
      <c r="C1098" s="33" t="s">
        <v>371</v>
      </c>
      <c r="D1098" s="34" t="n">
        <v>46220</v>
      </c>
      <c r="E1098" s="0" t="n">
        <v>978.8</v>
      </c>
      <c r="F1098" s="0" t="n">
        <v>0</v>
      </c>
      <c r="G1098" s="0" t="n">
        <v>587.5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25</v>
      </c>
      <c r="X1098" s="0" t="n">
        <v>0</v>
      </c>
      <c r="Y1098" s="0" t="n">
        <v>0</v>
      </c>
      <c r="Z1098" s="0" t="n">
        <v>0</v>
      </c>
      <c r="AA1098" s="0" t="n">
        <v>0</v>
      </c>
      <c r="AB1098" s="0" t="n">
        <v>0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1591.3</v>
      </c>
      <c r="AH1098" s="0" t="n">
        <v>1591.3</v>
      </c>
      <c r="AI1098" s="0" t="n">
        <v>27</v>
      </c>
    </row>
    <row r="1099" customFormat="false" ht="14.9" hidden="false" customHeight="false" outlineLevel="0" collapsed="false">
      <c r="A1099" s="0" t="n">
        <v>1098</v>
      </c>
      <c r="B1099" s="0" t="s">
        <v>370</v>
      </c>
      <c r="C1099" s="33" t="s">
        <v>371</v>
      </c>
      <c r="D1099" s="34" t="n">
        <v>46226</v>
      </c>
      <c r="E1099" s="0" t="n">
        <v>975.6</v>
      </c>
      <c r="F1099" s="0" t="n">
        <v>0</v>
      </c>
      <c r="G1099" s="0" t="n">
        <v>101.7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0" t="n">
        <v>5</v>
      </c>
      <c r="X1099" s="0" t="n">
        <v>0</v>
      </c>
      <c r="Y1099" s="0" t="n">
        <v>0</v>
      </c>
      <c r="Z1099" s="0" t="n">
        <v>0</v>
      </c>
      <c r="AA1099" s="0" t="n">
        <v>0</v>
      </c>
      <c r="AB1099" s="0" t="n">
        <v>0</v>
      </c>
      <c r="AC1099" s="0" t="n">
        <v>0</v>
      </c>
      <c r="AD1099" s="0" t="n">
        <v>0</v>
      </c>
      <c r="AE1099" s="0" t="n">
        <v>0</v>
      </c>
      <c r="AF1099" s="0" t="n">
        <v>0</v>
      </c>
      <c r="AG1099" s="0" t="n">
        <v>1082.3</v>
      </c>
      <c r="AH1099" s="0" t="n">
        <v>1082.3</v>
      </c>
      <c r="AI1099" s="0" t="n">
        <v>19</v>
      </c>
    </row>
    <row r="1100" customFormat="false" ht="14.9" hidden="false" customHeight="false" outlineLevel="0" collapsed="false">
      <c r="A1100" s="0" t="n">
        <v>1099</v>
      </c>
      <c r="B1100" s="0" t="s">
        <v>370</v>
      </c>
      <c r="C1100" s="33" t="s">
        <v>371</v>
      </c>
      <c r="D1100" s="34" t="n">
        <v>46213</v>
      </c>
      <c r="E1100" s="0" t="n">
        <v>751.61</v>
      </c>
      <c r="F1100" s="0" t="n">
        <v>0</v>
      </c>
      <c r="G1100" s="0" t="n">
        <v>259.9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20</v>
      </c>
      <c r="X1100" s="0" t="n">
        <v>0</v>
      </c>
      <c r="Y1100" s="0" t="n">
        <v>0</v>
      </c>
      <c r="Z1100" s="0" t="n">
        <v>0</v>
      </c>
      <c r="AA1100" s="0" t="n">
        <v>0</v>
      </c>
      <c r="AB1100" s="0" t="n">
        <v>0</v>
      </c>
      <c r="AC1100" s="0" t="n">
        <v>0</v>
      </c>
      <c r="AD1100" s="0" t="n">
        <v>0</v>
      </c>
      <c r="AE1100" s="0" t="n">
        <v>0</v>
      </c>
      <c r="AF1100" s="0" t="n">
        <v>0</v>
      </c>
      <c r="AG1100" s="0" t="n">
        <v>1031.51</v>
      </c>
      <c r="AH1100" s="0" t="n">
        <v>1031.51</v>
      </c>
      <c r="AI1100" s="0" t="n">
        <v>21</v>
      </c>
    </row>
    <row r="1101" customFormat="false" ht="14.9" hidden="false" customHeight="false" outlineLevel="0" collapsed="false">
      <c r="A1101" s="0" t="n">
        <v>1100</v>
      </c>
      <c r="B1101" s="0" t="s">
        <v>370</v>
      </c>
      <c r="C1101" s="33" t="s">
        <v>371</v>
      </c>
      <c r="D1101" s="34" t="n">
        <v>46209</v>
      </c>
      <c r="E1101" s="0" t="n">
        <v>1365.46</v>
      </c>
      <c r="F1101" s="0" t="n">
        <v>0</v>
      </c>
      <c r="G1101" s="0" t="n">
        <v>569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0</v>
      </c>
      <c r="W1101" s="0" t="n">
        <v>15</v>
      </c>
      <c r="X1101" s="0" t="n">
        <v>0</v>
      </c>
      <c r="Y1101" s="0" t="n">
        <v>0</v>
      </c>
      <c r="Z1101" s="0" t="n">
        <v>0</v>
      </c>
      <c r="AA1101" s="0" t="n">
        <v>0</v>
      </c>
      <c r="AB1101" s="0" t="n">
        <v>0</v>
      </c>
      <c r="AC1101" s="0" t="n">
        <v>0</v>
      </c>
      <c r="AD1101" s="0" t="n">
        <v>0</v>
      </c>
      <c r="AE1101" s="0" t="n">
        <v>0</v>
      </c>
      <c r="AF1101" s="0" t="n">
        <v>0</v>
      </c>
      <c r="AG1101" s="0" t="n">
        <v>1949.46</v>
      </c>
      <c r="AH1101" s="0" t="n">
        <v>1949.46</v>
      </c>
      <c r="AI1101" s="0" t="n">
        <v>25</v>
      </c>
    </row>
    <row r="1102" customFormat="false" ht="14.9" hidden="false" customHeight="false" outlineLevel="0" collapsed="false">
      <c r="A1102" s="0" t="n">
        <v>1101</v>
      </c>
      <c r="B1102" s="0" t="s">
        <v>370</v>
      </c>
      <c r="C1102" s="33" t="s">
        <v>371</v>
      </c>
      <c r="D1102" s="34" t="n">
        <v>46214</v>
      </c>
      <c r="E1102" s="0" t="n">
        <v>929.92</v>
      </c>
      <c r="F1102" s="0" t="n">
        <v>0</v>
      </c>
      <c r="G1102" s="0" t="n">
        <v>827.71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10</v>
      </c>
      <c r="X1102" s="0" t="n">
        <v>0</v>
      </c>
      <c r="Y1102" s="0" t="n">
        <v>0</v>
      </c>
      <c r="Z1102" s="0" t="n">
        <v>0</v>
      </c>
      <c r="AA1102" s="0" t="n">
        <v>0</v>
      </c>
      <c r="AB1102" s="0" t="n">
        <v>0</v>
      </c>
      <c r="AC1102" s="0" t="n">
        <v>0</v>
      </c>
      <c r="AD1102" s="0" t="n">
        <v>0</v>
      </c>
      <c r="AE1102" s="0" t="n">
        <v>0</v>
      </c>
      <c r="AF1102" s="0" t="n">
        <v>0</v>
      </c>
      <c r="AG1102" s="0" t="n">
        <v>1767.63</v>
      </c>
      <c r="AH1102" s="0" t="n">
        <v>1767.63</v>
      </c>
      <c r="AI1102" s="0" t="n">
        <v>33</v>
      </c>
    </row>
    <row r="1103" customFormat="false" ht="14.9" hidden="false" customHeight="false" outlineLevel="0" collapsed="false">
      <c r="A1103" s="0" t="n">
        <v>1102</v>
      </c>
      <c r="B1103" s="0" t="s">
        <v>370</v>
      </c>
      <c r="C1103" s="33" t="s">
        <v>371</v>
      </c>
      <c r="D1103" s="34" t="n">
        <v>46232</v>
      </c>
      <c r="E1103" s="0" t="n">
        <v>1287.05</v>
      </c>
      <c r="F1103" s="0" t="n">
        <v>0</v>
      </c>
      <c r="G1103" s="0" t="n">
        <v>246.9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0" t="n">
        <v>45</v>
      </c>
      <c r="X1103" s="0" t="n">
        <v>0</v>
      </c>
      <c r="Y1103" s="0" t="n">
        <v>0</v>
      </c>
      <c r="Z1103" s="0" t="n">
        <v>0</v>
      </c>
      <c r="AA1103" s="0" t="n">
        <v>0</v>
      </c>
      <c r="AB1103" s="0" t="n">
        <v>0</v>
      </c>
      <c r="AC1103" s="0" t="n">
        <v>0</v>
      </c>
      <c r="AD1103" s="0" t="n">
        <v>0</v>
      </c>
      <c r="AE1103" s="0" t="n">
        <v>0</v>
      </c>
      <c r="AF1103" s="0" t="n">
        <v>0</v>
      </c>
      <c r="AG1103" s="0" t="n">
        <v>1578.95</v>
      </c>
      <c r="AH1103" s="0" t="n">
        <v>1578.95</v>
      </c>
      <c r="AI1103" s="0" t="n">
        <v>35</v>
      </c>
    </row>
    <row r="1104" customFormat="false" ht="14.9" hidden="false" customHeight="false" outlineLevel="0" collapsed="false">
      <c r="A1104" s="0" t="n">
        <v>1103</v>
      </c>
      <c r="B1104" s="0" t="s">
        <v>370</v>
      </c>
      <c r="C1104" s="33" t="s">
        <v>371</v>
      </c>
      <c r="D1104" s="34" t="n">
        <v>46207</v>
      </c>
      <c r="E1104" s="0" t="n">
        <v>657.2</v>
      </c>
      <c r="F1104" s="0" t="n">
        <v>0</v>
      </c>
      <c r="G1104" s="0" t="n">
        <v>223.4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0" t="n">
        <v>15</v>
      </c>
      <c r="X1104" s="0" t="n">
        <v>0</v>
      </c>
      <c r="Y1104" s="0" t="n">
        <v>0</v>
      </c>
      <c r="Z1104" s="0" t="n">
        <v>0</v>
      </c>
      <c r="AA1104" s="0" t="n">
        <v>0</v>
      </c>
      <c r="AB1104" s="0" t="n">
        <v>0</v>
      </c>
      <c r="AC1104" s="0" t="n">
        <v>0</v>
      </c>
      <c r="AD1104" s="0" t="n">
        <v>0</v>
      </c>
      <c r="AE1104" s="0" t="n">
        <v>0</v>
      </c>
      <c r="AF1104" s="0" t="n">
        <v>0</v>
      </c>
      <c r="AG1104" s="0" t="n">
        <v>895.6</v>
      </c>
      <c r="AH1104" s="0" t="n">
        <v>895.6</v>
      </c>
      <c r="AI1104" s="0" t="n">
        <v>20</v>
      </c>
    </row>
    <row r="1105" customFormat="false" ht="14.9" hidden="false" customHeight="false" outlineLevel="0" collapsed="false">
      <c r="A1105" s="0" t="n">
        <v>1104</v>
      </c>
      <c r="B1105" s="0" t="s">
        <v>370</v>
      </c>
      <c r="C1105" s="33" t="s">
        <v>371</v>
      </c>
      <c r="D1105" s="34" t="n">
        <v>46230</v>
      </c>
      <c r="E1105" s="0" t="n">
        <v>2493.94</v>
      </c>
      <c r="F1105" s="0" t="n">
        <v>0</v>
      </c>
      <c r="G1105" s="0" t="n">
        <v>217.9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0.02</v>
      </c>
      <c r="W1105" s="0" t="n">
        <v>76</v>
      </c>
      <c r="X1105" s="0" t="n">
        <v>0</v>
      </c>
      <c r="Y1105" s="0" t="n">
        <v>0</v>
      </c>
      <c r="Z1105" s="0" t="n">
        <v>0</v>
      </c>
      <c r="AA1105" s="0" t="n">
        <v>0</v>
      </c>
      <c r="AB1105" s="0" t="n">
        <v>0</v>
      </c>
      <c r="AC1105" s="0" t="n">
        <v>0</v>
      </c>
      <c r="AD1105" s="0" t="n">
        <v>0</v>
      </c>
      <c r="AE1105" s="0" t="n">
        <v>0</v>
      </c>
      <c r="AF1105" s="0" t="n">
        <v>0</v>
      </c>
      <c r="AG1105" s="0" t="n">
        <v>2787.86</v>
      </c>
      <c r="AH1105" s="0" t="n">
        <v>2787.86</v>
      </c>
      <c r="AI1105" s="0" t="n">
        <v>36</v>
      </c>
    </row>
    <row r="1106" customFormat="false" ht="14.9" hidden="false" customHeight="false" outlineLevel="0" collapsed="false">
      <c r="A1106" s="0" t="n">
        <v>1105</v>
      </c>
      <c r="B1106" s="0" t="s">
        <v>370</v>
      </c>
      <c r="C1106" s="33" t="s">
        <v>371</v>
      </c>
      <c r="D1106" s="34" t="n">
        <v>46206</v>
      </c>
      <c r="E1106" s="0" t="n">
        <v>1608.4</v>
      </c>
      <c r="F1106" s="0" t="n">
        <v>0</v>
      </c>
      <c r="G1106" s="0" t="n">
        <v>396.1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19.8</v>
      </c>
      <c r="W1106" s="0" t="n">
        <v>5</v>
      </c>
      <c r="X1106" s="0" t="n">
        <v>0</v>
      </c>
      <c r="Y1106" s="0" t="n">
        <v>0</v>
      </c>
      <c r="Z1106" s="0" t="n">
        <v>0</v>
      </c>
      <c r="AA1106" s="0" t="n">
        <v>0</v>
      </c>
      <c r="AB1106" s="0" t="n">
        <v>0</v>
      </c>
      <c r="AC1106" s="0" t="n">
        <v>0</v>
      </c>
      <c r="AD1106" s="0" t="n">
        <v>0</v>
      </c>
      <c r="AE1106" s="0" t="n">
        <v>0</v>
      </c>
      <c r="AF1106" s="0" t="n">
        <v>0</v>
      </c>
      <c r="AG1106" s="0" t="n">
        <v>2029.3</v>
      </c>
      <c r="AH1106" s="0" t="n">
        <v>2029.3</v>
      </c>
      <c r="AI1106" s="0" t="n">
        <v>41</v>
      </c>
    </row>
    <row r="1107" customFormat="false" ht="14.9" hidden="false" customHeight="false" outlineLevel="0" collapsed="false">
      <c r="A1107" s="0" t="n">
        <v>1106</v>
      </c>
      <c r="B1107" s="0" t="s">
        <v>370</v>
      </c>
      <c r="C1107" s="33" t="s">
        <v>371</v>
      </c>
      <c r="D1107" s="34" t="n">
        <v>46205</v>
      </c>
      <c r="E1107" s="0" t="n">
        <v>858</v>
      </c>
      <c r="F1107" s="0" t="n">
        <v>0</v>
      </c>
      <c r="G1107" s="0" t="n">
        <v>423.5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15</v>
      </c>
      <c r="X1107" s="0" t="n">
        <v>0</v>
      </c>
      <c r="Y1107" s="0" t="n">
        <v>0</v>
      </c>
      <c r="Z1107" s="0" t="n">
        <v>0</v>
      </c>
      <c r="AA1107" s="0" t="n">
        <v>0</v>
      </c>
      <c r="AB1107" s="0" t="n">
        <v>0</v>
      </c>
      <c r="AC1107" s="0" t="n">
        <v>0</v>
      </c>
      <c r="AD1107" s="0" t="n">
        <v>0</v>
      </c>
      <c r="AE1107" s="0" t="n">
        <v>0</v>
      </c>
      <c r="AF1107" s="0" t="n">
        <v>0</v>
      </c>
      <c r="AG1107" s="0" t="n">
        <v>1296.5</v>
      </c>
      <c r="AH1107" s="0" t="n">
        <v>1296.5</v>
      </c>
      <c r="AI1107" s="0" t="n">
        <v>29</v>
      </c>
    </row>
    <row r="1108" customFormat="false" ht="14.9" hidden="false" customHeight="false" outlineLevel="0" collapsed="false">
      <c r="A1108" s="0" t="n">
        <v>1107</v>
      </c>
      <c r="B1108" s="0" t="s">
        <v>370</v>
      </c>
      <c r="C1108" s="33" t="s">
        <v>371</v>
      </c>
      <c r="D1108" s="34" t="n">
        <v>46228</v>
      </c>
      <c r="E1108" s="0" t="n">
        <v>1111.7</v>
      </c>
      <c r="F1108" s="0" t="n">
        <v>0</v>
      </c>
      <c r="G1108" s="0" t="n">
        <v>174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15</v>
      </c>
      <c r="X1108" s="0" t="n">
        <v>0</v>
      </c>
      <c r="Y1108" s="0" t="n">
        <v>0</v>
      </c>
      <c r="Z1108" s="0" t="n">
        <v>0</v>
      </c>
      <c r="AA1108" s="0" t="n">
        <v>0</v>
      </c>
      <c r="AB1108" s="0" t="n">
        <v>0</v>
      </c>
      <c r="AC1108" s="0" t="n">
        <v>0</v>
      </c>
      <c r="AD1108" s="0" t="n">
        <v>0</v>
      </c>
      <c r="AE1108" s="0" t="n">
        <v>0</v>
      </c>
      <c r="AF1108" s="0" t="n">
        <v>0</v>
      </c>
      <c r="AG1108" s="0" t="n">
        <v>1300.7</v>
      </c>
      <c r="AH1108" s="0" t="n">
        <v>1300.7</v>
      </c>
      <c r="AI1108" s="0" t="n">
        <v>26</v>
      </c>
    </row>
    <row r="1109" customFormat="false" ht="14.9" hidden="false" customHeight="false" outlineLevel="0" collapsed="false">
      <c r="A1109" s="0" t="n">
        <v>1108</v>
      </c>
      <c r="B1109" s="0" t="s">
        <v>370</v>
      </c>
      <c r="C1109" s="33" t="s">
        <v>371</v>
      </c>
      <c r="D1109" s="34" t="n">
        <v>46233</v>
      </c>
      <c r="E1109" s="0" t="n">
        <v>1190.15</v>
      </c>
      <c r="F1109" s="0" t="n">
        <v>0</v>
      </c>
      <c r="G1109" s="0" t="n">
        <v>220.5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132</v>
      </c>
      <c r="X1109" s="0" t="n">
        <v>0</v>
      </c>
      <c r="Y1109" s="0" t="n">
        <v>0</v>
      </c>
      <c r="Z1109" s="0" t="n">
        <v>0</v>
      </c>
      <c r="AA1109" s="0" t="n">
        <v>0</v>
      </c>
      <c r="AB1109" s="0" t="n">
        <v>0</v>
      </c>
      <c r="AC1109" s="0" t="n">
        <v>0</v>
      </c>
      <c r="AD1109" s="0" t="n">
        <v>0</v>
      </c>
      <c r="AE1109" s="0" t="n">
        <v>0</v>
      </c>
      <c r="AF1109" s="0" t="n">
        <v>0</v>
      </c>
      <c r="AG1109" s="0" t="n">
        <v>1542.65</v>
      </c>
      <c r="AH1109" s="0" t="n">
        <v>1542.65</v>
      </c>
      <c r="AI1109" s="0" t="n">
        <v>36</v>
      </c>
    </row>
    <row r="1110" customFormat="false" ht="14.9" hidden="false" customHeight="false" outlineLevel="0" collapsed="false">
      <c r="A1110" s="0" t="n">
        <v>1109</v>
      </c>
      <c r="B1110" s="0" t="s">
        <v>370</v>
      </c>
      <c r="C1110" s="33" t="s">
        <v>371</v>
      </c>
      <c r="D1110" s="34" t="n">
        <v>46234</v>
      </c>
      <c r="E1110" s="0" t="n">
        <v>1036.7</v>
      </c>
      <c r="F1110" s="0" t="n">
        <v>0</v>
      </c>
      <c r="G1110" s="0" t="n">
        <v>243.3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151</v>
      </c>
      <c r="X1110" s="0" t="n">
        <v>0</v>
      </c>
      <c r="Y1110" s="0" t="n">
        <v>0</v>
      </c>
      <c r="Z1110" s="0" t="n">
        <v>0</v>
      </c>
      <c r="AA1110" s="0" t="n">
        <v>0</v>
      </c>
      <c r="AB1110" s="0" t="n">
        <v>0</v>
      </c>
      <c r="AC1110" s="0" t="n">
        <v>0</v>
      </c>
      <c r="AD1110" s="0" t="n">
        <v>0</v>
      </c>
      <c r="AE1110" s="0" t="n">
        <v>0</v>
      </c>
      <c r="AF1110" s="0" t="n">
        <v>0</v>
      </c>
      <c r="AG1110" s="0" t="n">
        <v>1431</v>
      </c>
      <c r="AH1110" s="0" t="n">
        <v>1431</v>
      </c>
      <c r="AI1110" s="0" t="n">
        <v>35</v>
      </c>
    </row>
    <row r="1111" customFormat="false" ht="14.9" hidden="false" customHeight="false" outlineLevel="0" collapsed="false">
      <c r="A1111" s="0" t="n">
        <v>1110</v>
      </c>
      <c r="B1111" s="0" t="s">
        <v>370</v>
      </c>
      <c r="C1111" s="33" t="s">
        <v>371</v>
      </c>
      <c r="D1111" s="34" t="n">
        <v>46225</v>
      </c>
      <c r="E1111" s="0" t="n">
        <v>1460.01</v>
      </c>
      <c r="F1111" s="0" t="n">
        <v>0</v>
      </c>
      <c r="G1111" s="0" t="n">
        <v>623.4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-0.2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20</v>
      </c>
      <c r="X1111" s="0" t="n">
        <v>0</v>
      </c>
      <c r="Y1111" s="0" t="n">
        <v>0</v>
      </c>
      <c r="Z1111" s="0" t="n">
        <v>0</v>
      </c>
      <c r="AA1111" s="0" t="n">
        <v>0</v>
      </c>
      <c r="AB1111" s="0" t="n">
        <v>0</v>
      </c>
      <c r="AC1111" s="0" t="n">
        <v>0</v>
      </c>
      <c r="AD1111" s="0" t="n">
        <v>0</v>
      </c>
      <c r="AE1111" s="0" t="n">
        <v>0</v>
      </c>
      <c r="AF1111" s="0" t="n">
        <v>0</v>
      </c>
      <c r="AG1111" s="0" t="n">
        <v>2103.21</v>
      </c>
      <c r="AH1111" s="0" t="n">
        <v>2103.21</v>
      </c>
      <c r="AI1111" s="0" t="n">
        <v>37</v>
      </c>
    </row>
    <row r="1112" customFormat="false" ht="14.9" hidden="false" customHeight="false" outlineLevel="0" collapsed="false">
      <c r="A1112" s="0" t="n">
        <v>1111</v>
      </c>
      <c r="B1112" s="0" t="s">
        <v>370</v>
      </c>
      <c r="C1112" s="33" t="s">
        <v>371</v>
      </c>
      <c r="D1112" s="34" t="n">
        <v>46221</v>
      </c>
      <c r="E1112" s="0" t="n">
        <v>815.93</v>
      </c>
      <c r="F1112" s="0" t="n">
        <v>0</v>
      </c>
      <c r="G1112" s="0" t="n">
        <v>446.7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5</v>
      </c>
      <c r="X1112" s="0" t="n">
        <v>0</v>
      </c>
      <c r="Y1112" s="0" t="n">
        <v>0</v>
      </c>
      <c r="Z1112" s="0" t="n">
        <v>0</v>
      </c>
      <c r="AA1112" s="0" t="n">
        <v>0</v>
      </c>
      <c r="AB1112" s="0" t="n">
        <v>0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1267.63</v>
      </c>
      <c r="AH1112" s="0" t="n">
        <v>1267.63</v>
      </c>
      <c r="AI1112" s="0" t="n">
        <v>27</v>
      </c>
    </row>
    <row r="1113" customFormat="false" ht="14.9" hidden="false" customHeight="false" outlineLevel="0" collapsed="false">
      <c r="A1113" s="0" t="n">
        <v>1112</v>
      </c>
      <c r="B1113" s="0" t="s">
        <v>370</v>
      </c>
      <c r="C1113" s="33" t="s">
        <v>371</v>
      </c>
      <c r="D1113" s="34" t="n">
        <v>46224</v>
      </c>
      <c r="E1113" s="0" t="n">
        <v>1194.62</v>
      </c>
      <c r="F1113" s="0" t="n">
        <v>0</v>
      </c>
      <c r="G1113" s="0" t="n">
        <v>236.08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9.9</v>
      </c>
      <c r="W1113" s="0" t="n">
        <v>21</v>
      </c>
      <c r="X1113" s="0" t="n">
        <v>0</v>
      </c>
      <c r="Y1113" s="0" t="n">
        <v>0</v>
      </c>
      <c r="Z1113" s="0" t="n">
        <v>0</v>
      </c>
      <c r="AA1113" s="0" t="n">
        <v>0</v>
      </c>
      <c r="AB1113" s="0" t="n">
        <v>0</v>
      </c>
      <c r="AC1113" s="0" t="n">
        <v>0</v>
      </c>
      <c r="AD1113" s="0" t="n">
        <v>0</v>
      </c>
      <c r="AE1113" s="0" t="n">
        <v>0</v>
      </c>
      <c r="AF1113" s="0" t="n">
        <v>0</v>
      </c>
      <c r="AG1113" s="0" t="n">
        <v>1461.6</v>
      </c>
      <c r="AH1113" s="0" t="n">
        <v>1461.6</v>
      </c>
      <c r="AI1113" s="0" t="n">
        <v>32</v>
      </c>
    </row>
    <row r="1114" customFormat="false" ht="14.9" hidden="false" customHeight="false" outlineLevel="0" collapsed="false">
      <c r="A1114" s="0" t="n">
        <v>1113</v>
      </c>
      <c r="B1114" s="0" t="s">
        <v>370</v>
      </c>
      <c r="C1114" s="33" t="s">
        <v>371</v>
      </c>
      <c r="D1114" s="34" t="n">
        <v>46229</v>
      </c>
      <c r="E1114" s="0" t="n">
        <v>1697.29</v>
      </c>
      <c r="F1114" s="0" t="n">
        <v>0</v>
      </c>
      <c r="G1114" s="0" t="n">
        <v>1133.38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21</v>
      </c>
      <c r="X1114" s="0" t="n">
        <v>0</v>
      </c>
      <c r="Y1114" s="0" t="n">
        <v>0</v>
      </c>
      <c r="Z1114" s="0" t="n">
        <v>0</v>
      </c>
      <c r="AA1114" s="0" t="n">
        <v>0</v>
      </c>
      <c r="AB1114" s="0" t="n">
        <v>0</v>
      </c>
      <c r="AC1114" s="0" t="n">
        <v>0</v>
      </c>
      <c r="AD1114" s="0" t="n">
        <v>0</v>
      </c>
      <c r="AE1114" s="0" t="n">
        <v>0</v>
      </c>
      <c r="AF1114" s="0" t="n">
        <v>0</v>
      </c>
      <c r="AG1114" s="0" t="n">
        <v>2851.67</v>
      </c>
      <c r="AH1114" s="0" t="n">
        <v>2851.67</v>
      </c>
      <c r="AI1114" s="0" t="n">
        <v>33</v>
      </c>
    </row>
    <row r="1115" customFormat="false" ht="14.9" hidden="false" customHeight="false" outlineLevel="0" collapsed="false">
      <c r="A1115" s="0" t="n">
        <v>1114</v>
      </c>
      <c r="B1115" s="0" t="s">
        <v>370</v>
      </c>
      <c r="C1115" s="33" t="s">
        <v>371</v>
      </c>
      <c r="D1115" s="34" t="n">
        <v>46204</v>
      </c>
      <c r="E1115" s="0" t="n">
        <v>1271.58</v>
      </c>
      <c r="F1115" s="0" t="n">
        <v>0</v>
      </c>
      <c r="G1115" s="0" t="n">
        <v>218.4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0" t="n">
        <v>5</v>
      </c>
      <c r="X1115" s="0" t="n">
        <v>0</v>
      </c>
      <c r="Y1115" s="0" t="n">
        <v>0</v>
      </c>
      <c r="Z1115" s="0" t="n">
        <v>0</v>
      </c>
      <c r="AA1115" s="0" t="n">
        <v>0</v>
      </c>
      <c r="AB1115" s="0" t="n">
        <v>0</v>
      </c>
      <c r="AC1115" s="0" t="n">
        <v>0</v>
      </c>
      <c r="AD1115" s="0" t="n">
        <v>0</v>
      </c>
      <c r="AE1115" s="0" t="n">
        <v>0</v>
      </c>
      <c r="AF1115" s="0" t="n">
        <v>0</v>
      </c>
      <c r="AG1115" s="0" t="n">
        <v>1494.98</v>
      </c>
      <c r="AH1115" s="0" t="n">
        <v>1494.98</v>
      </c>
      <c r="AI1115" s="0" t="n">
        <v>26</v>
      </c>
    </row>
    <row r="1116" customFormat="false" ht="14.9" hidden="false" customHeight="false" outlineLevel="0" collapsed="false">
      <c r="A1116" s="0" t="n">
        <v>1115</v>
      </c>
      <c r="B1116" s="0" t="s">
        <v>370</v>
      </c>
      <c r="C1116" s="33" t="s">
        <v>371</v>
      </c>
      <c r="D1116" s="34" t="n">
        <v>46215</v>
      </c>
      <c r="E1116" s="0" t="n">
        <v>870.11</v>
      </c>
      <c r="F1116" s="0" t="n">
        <v>0</v>
      </c>
      <c r="G1116" s="0" t="n">
        <v>273.1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X1116" s="0" t="n">
        <v>0</v>
      </c>
      <c r="Y1116" s="0" t="n">
        <v>0</v>
      </c>
      <c r="Z1116" s="0" t="n">
        <v>0</v>
      </c>
      <c r="AA1116" s="0" t="n">
        <v>0</v>
      </c>
      <c r="AB1116" s="0" t="n">
        <v>0</v>
      </c>
      <c r="AC1116" s="0" t="n">
        <v>0</v>
      </c>
      <c r="AD1116" s="0" t="n">
        <v>0</v>
      </c>
      <c r="AE1116" s="0" t="n">
        <v>0</v>
      </c>
      <c r="AF1116" s="0" t="n">
        <v>0</v>
      </c>
      <c r="AG1116" s="0" t="n">
        <v>1143.21</v>
      </c>
      <c r="AH1116" s="0" t="n">
        <v>1143.21</v>
      </c>
      <c r="AI1116" s="0" t="n">
        <v>23</v>
      </c>
    </row>
    <row r="1117" customFormat="false" ht="14.9" hidden="false" customHeight="false" outlineLevel="0" collapsed="false">
      <c r="A1117" s="0" t="n">
        <v>1116</v>
      </c>
      <c r="B1117" s="0" t="s">
        <v>370</v>
      </c>
      <c r="C1117" s="33" t="s">
        <v>371</v>
      </c>
      <c r="D1117" s="34" t="n">
        <v>46223</v>
      </c>
      <c r="E1117" s="0" t="n">
        <v>1249.5</v>
      </c>
      <c r="F1117" s="0" t="n">
        <v>0</v>
      </c>
      <c r="G1117" s="0" t="n">
        <v>361.7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9.9</v>
      </c>
      <c r="W1117" s="0" t="n">
        <v>25</v>
      </c>
      <c r="X1117" s="0" t="n">
        <v>0</v>
      </c>
      <c r="Y1117" s="0" t="n">
        <v>0</v>
      </c>
      <c r="Z1117" s="0" t="n">
        <v>0</v>
      </c>
      <c r="AA1117" s="0" t="n">
        <v>0</v>
      </c>
      <c r="AB1117" s="0" t="n">
        <v>0</v>
      </c>
      <c r="AC1117" s="0" t="n">
        <v>0</v>
      </c>
      <c r="AD1117" s="0" t="n">
        <v>0</v>
      </c>
      <c r="AE1117" s="0" t="n">
        <v>0</v>
      </c>
      <c r="AF1117" s="0" t="n">
        <v>0</v>
      </c>
      <c r="AG1117" s="0" t="n">
        <v>1646.1</v>
      </c>
      <c r="AH1117" s="0" t="n">
        <v>1646.1</v>
      </c>
      <c r="AI1117" s="0" t="n">
        <v>33</v>
      </c>
    </row>
    <row r="1118" customFormat="false" ht="14.9" hidden="false" customHeight="false" outlineLevel="0" collapsed="false">
      <c r="A1118" s="0" t="n">
        <v>1117</v>
      </c>
      <c r="B1118" s="0" t="s">
        <v>372</v>
      </c>
      <c r="C1118" s="33" t="s">
        <v>373</v>
      </c>
      <c r="D1118" s="34" t="n">
        <v>46229</v>
      </c>
      <c r="E1118" s="0" t="n">
        <v>96.34</v>
      </c>
      <c r="F1118" s="0" t="n">
        <v>0</v>
      </c>
      <c r="G1118" s="0" t="n">
        <v>1011.44</v>
      </c>
      <c r="H1118" s="0" t="n">
        <v>106.46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14.25</v>
      </c>
      <c r="T1118" s="0" t="n">
        <v>0</v>
      </c>
      <c r="U1118" s="0" t="n">
        <v>0</v>
      </c>
      <c r="V1118" s="0" t="n">
        <v>0</v>
      </c>
      <c r="W1118" s="0" t="n">
        <v>43</v>
      </c>
      <c r="X1118" s="0" t="n">
        <v>0</v>
      </c>
      <c r="Y1118" s="0" t="n">
        <v>0</v>
      </c>
      <c r="Z1118" s="0" t="n">
        <v>0</v>
      </c>
      <c r="AA1118" s="0" t="n">
        <v>0</v>
      </c>
      <c r="AB1118" s="0" t="n">
        <v>0</v>
      </c>
      <c r="AC1118" s="0" t="n">
        <v>0</v>
      </c>
      <c r="AD1118" s="0" t="n">
        <v>0</v>
      </c>
      <c r="AE1118" s="0" t="n">
        <v>0</v>
      </c>
      <c r="AF1118" s="0" t="n">
        <v>0</v>
      </c>
      <c r="AG1118" s="0" t="n">
        <v>1271.49</v>
      </c>
      <c r="AH1118" s="0" t="n">
        <v>1271.49</v>
      </c>
      <c r="AI1118" s="0" t="n">
        <v>27</v>
      </c>
    </row>
    <row r="1119" customFormat="false" ht="14.9" hidden="false" customHeight="false" outlineLevel="0" collapsed="false">
      <c r="A1119" s="0" t="n">
        <v>1118</v>
      </c>
      <c r="B1119" s="0" t="s">
        <v>372</v>
      </c>
      <c r="C1119" s="33" t="s">
        <v>373</v>
      </c>
      <c r="D1119" s="34" t="n">
        <v>46227</v>
      </c>
      <c r="E1119" s="0" t="n">
        <v>256</v>
      </c>
      <c r="F1119" s="0" t="n">
        <v>0</v>
      </c>
      <c r="G1119" s="0" t="n">
        <v>708.9</v>
      </c>
      <c r="H1119" s="0" t="n">
        <v>303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80</v>
      </c>
      <c r="X1119" s="0" t="n">
        <v>0</v>
      </c>
      <c r="Y1119" s="0" t="n">
        <v>0</v>
      </c>
      <c r="Z1119" s="0" t="n">
        <v>0</v>
      </c>
      <c r="AA1119" s="0" t="n">
        <v>0</v>
      </c>
      <c r="AB1119" s="0" t="n">
        <v>0</v>
      </c>
      <c r="AC1119" s="0" t="n">
        <v>0</v>
      </c>
      <c r="AD1119" s="0" t="n">
        <v>0</v>
      </c>
      <c r="AE1119" s="0" t="n">
        <v>0</v>
      </c>
      <c r="AF1119" s="0" t="n">
        <v>0</v>
      </c>
      <c r="AG1119" s="0" t="n">
        <v>1347.9</v>
      </c>
      <c r="AH1119" s="0" t="n">
        <v>1347.9</v>
      </c>
      <c r="AI1119" s="0" t="n">
        <v>28</v>
      </c>
    </row>
    <row r="1120" customFormat="false" ht="14.9" hidden="false" customHeight="false" outlineLevel="0" collapsed="false">
      <c r="A1120" s="0" t="n">
        <v>1119</v>
      </c>
      <c r="B1120" s="0" t="s">
        <v>372</v>
      </c>
      <c r="C1120" s="33" t="s">
        <v>373</v>
      </c>
      <c r="D1120" s="34" t="n">
        <v>46222</v>
      </c>
      <c r="E1120" s="0" t="n">
        <v>198.76</v>
      </c>
      <c r="F1120" s="0" t="n">
        <v>0</v>
      </c>
      <c r="G1120" s="0" t="n">
        <v>483.7</v>
      </c>
      <c r="H1120" s="0" t="n">
        <v>332.2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28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0</v>
      </c>
      <c r="W1120" s="0" t="n">
        <v>45</v>
      </c>
      <c r="X1120" s="0" t="n">
        <v>0</v>
      </c>
      <c r="Y1120" s="0" t="n">
        <v>0</v>
      </c>
      <c r="Z1120" s="0" t="n">
        <v>0</v>
      </c>
      <c r="AA1120" s="0" t="n">
        <v>0</v>
      </c>
      <c r="AB1120" s="0" t="n">
        <v>0</v>
      </c>
      <c r="AC1120" s="0" t="n">
        <v>0</v>
      </c>
      <c r="AD1120" s="0" t="n">
        <v>0</v>
      </c>
      <c r="AE1120" s="0" t="n">
        <v>0</v>
      </c>
      <c r="AF1120" s="0" t="n">
        <v>0</v>
      </c>
      <c r="AG1120" s="0" t="n">
        <v>1087.66</v>
      </c>
      <c r="AH1120" s="0" t="n">
        <v>1087.66</v>
      </c>
      <c r="AI1120" s="0" t="n">
        <v>23</v>
      </c>
    </row>
    <row r="1121" customFormat="false" ht="14.9" hidden="false" customHeight="false" outlineLevel="0" collapsed="false">
      <c r="A1121" s="0" t="n">
        <v>1120</v>
      </c>
      <c r="B1121" s="0" t="s">
        <v>372</v>
      </c>
      <c r="C1121" s="33" t="s">
        <v>373</v>
      </c>
      <c r="D1121" s="34" t="n">
        <v>46206</v>
      </c>
      <c r="E1121" s="0" t="n">
        <v>234.21</v>
      </c>
      <c r="F1121" s="0" t="n">
        <v>0</v>
      </c>
      <c r="G1121" s="0" t="n">
        <v>1110.9</v>
      </c>
      <c r="H1121" s="0" t="n">
        <v>168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30</v>
      </c>
      <c r="X1121" s="0" t="n">
        <v>0</v>
      </c>
      <c r="Y1121" s="0" t="n">
        <v>0</v>
      </c>
      <c r="Z1121" s="0" t="n">
        <v>0</v>
      </c>
      <c r="AA1121" s="0" t="n">
        <v>0</v>
      </c>
      <c r="AB1121" s="0" t="n">
        <v>0</v>
      </c>
      <c r="AC1121" s="0" t="n">
        <v>0</v>
      </c>
      <c r="AD1121" s="0" t="n">
        <v>0</v>
      </c>
      <c r="AE1121" s="0" t="n">
        <v>0</v>
      </c>
      <c r="AF1121" s="0" t="n">
        <v>0</v>
      </c>
      <c r="AG1121" s="0" t="n">
        <v>1543.11</v>
      </c>
      <c r="AH1121" s="0" t="n">
        <v>1543.11</v>
      </c>
      <c r="AI1121" s="0" t="n">
        <v>25</v>
      </c>
    </row>
    <row r="1122" customFormat="false" ht="14.9" hidden="false" customHeight="false" outlineLevel="0" collapsed="false">
      <c r="A1122" s="0" t="n">
        <v>1121</v>
      </c>
      <c r="B1122" s="0" t="s">
        <v>372</v>
      </c>
      <c r="C1122" s="33" t="s">
        <v>373</v>
      </c>
      <c r="D1122" s="34" t="n">
        <v>46221</v>
      </c>
      <c r="E1122" s="0" t="n">
        <v>155.2</v>
      </c>
      <c r="F1122" s="0" t="n">
        <v>0</v>
      </c>
      <c r="G1122" s="0" t="n">
        <v>606.76</v>
      </c>
      <c r="H1122" s="0" t="n">
        <v>291.36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28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W1122" s="0" t="n">
        <v>41</v>
      </c>
      <c r="X1122" s="0" t="n">
        <v>0</v>
      </c>
      <c r="Y1122" s="0" t="n">
        <v>0</v>
      </c>
      <c r="Z1122" s="0" t="n">
        <v>0</v>
      </c>
      <c r="AA1122" s="0" t="n">
        <v>0</v>
      </c>
      <c r="AB1122" s="0" t="n">
        <v>0</v>
      </c>
      <c r="AC1122" s="0" t="n">
        <v>0</v>
      </c>
      <c r="AD1122" s="0" t="n">
        <v>0</v>
      </c>
      <c r="AE1122" s="0" t="n">
        <v>0</v>
      </c>
      <c r="AF1122" s="0" t="n">
        <v>0</v>
      </c>
      <c r="AG1122" s="0" t="n">
        <v>1122.32</v>
      </c>
      <c r="AH1122" s="0" t="n">
        <v>1122.32</v>
      </c>
      <c r="AI1122" s="0" t="n">
        <v>28</v>
      </c>
    </row>
    <row r="1123" customFormat="false" ht="14.9" hidden="false" customHeight="false" outlineLevel="0" collapsed="false">
      <c r="A1123" s="0" t="n">
        <v>1122</v>
      </c>
      <c r="B1123" s="0" t="s">
        <v>372</v>
      </c>
      <c r="C1123" s="33" t="s">
        <v>373</v>
      </c>
      <c r="D1123" s="34" t="n">
        <v>46231</v>
      </c>
      <c r="E1123" s="0" t="n">
        <v>333.3</v>
      </c>
      <c r="F1123" s="0" t="n">
        <v>0</v>
      </c>
      <c r="G1123" s="0" t="n">
        <v>628.68</v>
      </c>
      <c r="H1123" s="0" t="n">
        <v>120.3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130</v>
      </c>
      <c r="X1123" s="0" t="n">
        <v>0</v>
      </c>
      <c r="Y1123" s="0" t="n">
        <v>0</v>
      </c>
      <c r="Z1123" s="0" t="n">
        <v>0</v>
      </c>
      <c r="AA1123" s="0" t="n">
        <v>0</v>
      </c>
      <c r="AB1123" s="0" t="n">
        <v>0</v>
      </c>
      <c r="AC1123" s="0" t="n">
        <v>0</v>
      </c>
      <c r="AD1123" s="0" t="n">
        <v>0</v>
      </c>
      <c r="AE1123" s="0" t="n">
        <v>0</v>
      </c>
      <c r="AF1123" s="0" t="n">
        <v>0</v>
      </c>
      <c r="AG1123" s="0" t="n">
        <v>1212.28</v>
      </c>
      <c r="AH1123" s="0" t="n">
        <v>1212.28</v>
      </c>
      <c r="AI1123" s="0" t="n">
        <v>26</v>
      </c>
    </row>
    <row r="1124" customFormat="false" ht="14.9" hidden="false" customHeight="false" outlineLevel="0" collapsed="false">
      <c r="A1124" s="0" t="n">
        <v>1123</v>
      </c>
      <c r="B1124" s="0" t="s">
        <v>372</v>
      </c>
      <c r="C1124" s="33" t="s">
        <v>373</v>
      </c>
      <c r="D1124" s="34" t="n">
        <v>46207</v>
      </c>
      <c r="E1124" s="0" t="n">
        <v>142.3</v>
      </c>
      <c r="F1124" s="0" t="n">
        <v>0</v>
      </c>
      <c r="G1124" s="0" t="n">
        <v>628.34</v>
      </c>
      <c r="H1124" s="0" t="n">
        <v>95.8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X1124" s="0" t="n">
        <v>0</v>
      </c>
      <c r="Y1124" s="0" t="n">
        <v>0</v>
      </c>
      <c r="Z1124" s="0" t="n">
        <v>0</v>
      </c>
      <c r="AA1124" s="0" t="n">
        <v>0</v>
      </c>
      <c r="AB1124" s="0" t="n">
        <v>0</v>
      </c>
      <c r="AC1124" s="0" t="n">
        <v>0</v>
      </c>
      <c r="AD1124" s="0" t="n">
        <v>0</v>
      </c>
      <c r="AE1124" s="0" t="n">
        <v>0</v>
      </c>
      <c r="AF1124" s="0" t="n">
        <v>0</v>
      </c>
      <c r="AG1124" s="0" t="n">
        <v>866.44</v>
      </c>
      <c r="AH1124" s="0" t="n">
        <v>866.44</v>
      </c>
      <c r="AI1124" s="0" t="n">
        <v>19</v>
      </c>
    </row>
    <row r="1125" customFormat="false" ht="14.9" hidden="false" customHeight="false" outlineLevel="0" collapsed="false">
      <c r="A1125" s="0" t="n">
        <v>1124</v>
      </c>
      <c r="B1125" s="0" t="s">
        <v>372</v>
      </c>
      <c r="C1125" s="33" t="s">
        <v>373</v>
      </c>
      <c r="D1125" s="34" t="n">
        <v>46205</v>
      </c>
      <c r="E1125" s="0" t="n">
        <v>202.65</v>
      </c>
      <c r="F1125" s="0" t="n">
        <v>0</v>
      </c>
      <c r="G1125" s="0" t="n">
        <v>1943.9</v>
      </c>
      <c r="H1125" s="0" t="n">
        <v>220.9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36.8</v>
      </c>
      <c r="T1125" s="0" t="n">
        <v>0</v>
      </c>
      <c r="U1125" s="0" t="n">
        <v>0</v>
      </c>
      <c r="V1125" s="0" t="n">
        <v>0</v>
      </c>
      <c r="W1125" s="0" t="n">
        <v>48</v>
      </c>
      <c r="X1125" s="0" t="n">
        <v>0</v>
      </c>
      <c r="Y1125" s="0" t="n">
        <v>0</v>
      </c>
      <c r="Z1125" s="0" t="n">
        <v>0</v>
      </c>
      <c r="AA1125" s="0" t="n">
        <v>0</v>
      </c>
      <c r="AB1125" s="0" t="n">
        <v>0</v>
      </c>
      <c r="AC1125" s="0" t="n">
        <v>0</v>
      </c>
      <c r="AD1125" s="0" t="n">
        <v>0</v>
      </c>
      <c r="AE1125" s="0" t="n">
        <v>0</v>
      </c>
      <c r="AF1125" s="0" t="n">
        <v>0</v>
      </c>
      <c r="AG1125" s="0" t="n">
        <v>2452.25</v>
      </c>
      <c r="AH1125" s="0" t="n">
        <v>2452.25</v>
      </c>
      <c r="AI1125" s="0" t="n">
        <v>30</v>
      </c>
    </row>
    <row r="1126" customFormat="false" ht="14.9" hidden="false" customHeight="false" outlineLevel="0" collapsed="false">
      <c r="A1126" s="0" t="n">
        <v>1125</v>
      </c>
      <c r="B1126" s="0" t="s">
        <v>372</v>
      </c>
      <c r="C1126" s="33" t="s">
        <v>373</v>
      </c>
      <c r="D1126" s="34" t="n">
        <v>46223</v>
      </c>
      <c r="E1126" s="0" t="n">
        <v>142.69</v>
      </c>
      <c r="F1126" s="0" t="n">
        <v>0</v>
      </c>
      <c r="G1126" s="0" t="n">
        <v>787.1</v>
      </c>
      <c r="H1126" s="0" t="n">
        <v>160.1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0.02</v>
      </c>
      <c r="W1126" s="0" t="n">
        <v>112</v>
      </c>
      <c r="X1126" s="0" t="n">
        <v>0</v>
      </c>
      <c r="Y1126" s="0" t="n">
        <v>0</v>
      </c>
      <c r="Z1126" s="0" t="n">
        <v>0</v>
      </c>
      <c r="AA1126" s="0" t="n">
        <v>0</v>
      </c>
      <c r="AB1126" s="0" t="n">
        <v>0</v>
      </c>
      <c r="AC1126" s="0" t="n">
        <v>0</v>
      </c>
      <c r="AD1126" s="0" t="n">
        <v>0</v>
      </c>
      <c r="AE1126" s="0" t="n">
        <v>0</v>
      </c>
      <c r="AF1126" s="0" t="n">
        <v>0</v>
      </c>
      <c r="AG1126" s="0" t="n">
        <v>1201.91</v>
      </c>
      <c r="AH1126" s="0" t="n">
        <v>1201.91</v>
      </c>
      <c r="AI1126" s="0" t="n">
        <v>32</v>
      </c>
    </row>
    <row r="1127" customFormat="false" ht="14.9" hidden="false" customHeight="false" outlineLevel="0" collapsed="false">
      <c r="A1127" s="0" t="n">
        <v>1126</v>
      </c>
      <c r="B1127" s="0" t="s">
        <v>372</v>
      </c>
      <c r="C1127" s="33" t="s">
        <v>373</v>
      </c>
      <c r="D1127" s="34" t="n">
        <v>46215</v>
      </c>
      <c r="E1127" s="0" t="n">
        <v>37.5</v>
      </c>
      <c r="F1127" s="0" t="n">
        <v>0</v>
      </c>
      <c r="G1127" s="0" t="n">
        <v>478</v>
      </c>
      <c r="H1127" s="0" t="n">
        <v>365.1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0</v>
      </c>
      <c r="W1127" s="0" t="n">
        <v>71</v>
      </c>
      <c r="X1127" s="0" t="n">
        <v>0</v>
      </c>
      <c r="Y1127" s="0" t="n">
        <v>0</v>
      </c>
      <c r="Z1127" s="0" t="n">
        <v>0</v>
      </c>
      <c r="AA1127" s="0" t="n">
        <v>0</v>
      </c>
      <c r="AB1127" s="0" t="n">
        <v>0</v>
      </c>
      <c r="AC1127" s="0" t="n">
        <v>0</v>
      </c>
      <c r="AD1127" s="0" t="n">
        <v>0</v>
      </c>
      <c r="AE1127" s="0" t="n">
        <v>0</v>
      </c>
      <c r="AF1127" s="0" t="n">
        <v>0</v>
      </c>
      <c r="AG1127" s="0" t="n">
        <v>951.6</v>
      </c>
      <c r="AH1127" s="0" t="n">
        <v>951.6</v>
      </c>
      <c r="AI1127" s="0" t="n">
        <v>17</v>
      </c>
    </row>
    <row r="1128" customFormat="false" ht="14.9" hidden="false" customHeight="false" outlineLevel="0" collapsed="false">
      <c r="A1128" s="0" t="n">
        <v>1127</v>
      </c>
      <c r="B1128" s="0" t="s">
        <v>372</v>
      </c>
      <c r="C1128" s="33" t="s">
        <v>373</v>
      </c>
      <c r="D1128" s="34" t="n">
        <v>46212</v>
      </c>
      <c r="E1128" s="0" t="n">
        <v>3.8</v>
      </c>
      <c r="F1128" s="0" t="n">
        <v>0</v>
      </c>
      <c r="G1128" s="0" t="n">
        <v>361.1</v>
      </c>
      <c r="H1128" s="0" t="n">
        <v>28.5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28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5</v>
      </c>
      <c r="X1128" s="0" t="n">
        <v>0</v>
      </c>
      <c r="Y1128" s="0" t="n">
        <v>0</v>
      </c>
      <c r="Z1128" s="0" t="n">
        <v>0</v>
      </c>
      <c r="AA1128" s="0" t="n">
        <v>0</v>
      </c>
      <c r="AB1128" s="0" t="n">
        <v>0</v>
      </c>
      <c r="AC1128" s="0" t="n">
        <v>0</v>
      </c>
      <c r="AD1128" s="0" t="n">
        <v>0</v>
      </c>
      <c r="AE1128" s="0" t="n">
        <v>0</v>
      </c>
      <c r="AF1128" s="0" t="n">
        <v>0</v>
      </c>
      <c r="AG1128" s="0" t="n">
        <v>426.4</v>
      </c>
      <c r="AH1128" s="0" t="n">
        <v>426.4</v>
      </c>
      <c r="AI1128" s="0" t="n">
        <v>10</v>
      </c>
    </row>
    <row r="1129" customFormat="false" ht="14.9" hidden="false" customHeight="false" outlineLevel="0" collapsed="false">
      <c r="A1129" s="0" t="n">
        <v>1128</v>
      </c>
      <c r="B1129" s="0" t="s">
        <v>372</v>
      </c>
      <c r="C1129" s="33" t="s">
        <v>373</v>
      </c>
      <c r="D1129" s="34" t="n">
        <v>46220</v>
      </c>
      <c r="E1129" s="0" t="n">
        <v>149.9</v>
      </c>
      <c r="F1129" s="0" t="n">
        <v>0</v>
      </c>
      <c r="G1129" s="0" t="n">
        <v>259.9</v>
      </c>
      <c r="H1129" s="0" t="n">
        <v>79.6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33</v>
      </c>
      <c r="X1129" s="0" t="n">
        <v>0</v>
      </c>
      <c r="Y1129" s="0" t="n">
        <v>0</v>
      </c>
      <c r="Z1129" s="0" t="n">
        <v>0</v>
      </c>
      <c r="AA1129" s="0" t="n">
        <v>0</v>
      </c>
      <c r="AB1129" s="0" t="n">
        <v>0</v>
      </c>
      <c r="AC1129" s="0" t="n">
        <v>0</v>
      </c>
      <c r="AD1129" s="0" t="n">
        <v>0</v>
      </c>
      <c r="AE1129" s="0" t="n">
        <v>0</v>
      </c>
      <c r="AF1129" s="0" t="n">
        <v>0</v>
      </c>
      <c r="AG1129" s="0" t="n">
        <v>522.4</v>
      </c>
      <c r="AH1129" s="0" t="n">
        <v>522.4</v>
      </c>
      <c r="AI1129" s="0" t="n">
        <v>13</v>
      </c>
    </row>
    <row r="1130" customFormat="false" ht="14.9" hidden="false" customHeight="false" outlineLevel="0" collapsed="false">
      <c r="A1130" s="0" t="n">
        <v>1129</v>
      </c>
      <c r="B1130" s="0" t="s">
        <v>372</v>
      </c>
      <c r="C1130" s="33" t="s">
        <v>373</v>
      </c>
      <c r="D1130" s="34" t="n">
        <v>46225</v>
      </c>
      <c r="E1130" s="0" t="n">
        <v>88.75</v>
      </c>
      <c r="F1130" s="0" t="n">
        <v>0</v>
      </c>
      <c r="G1130" s="0" t="n">
        <v>526.98</v>
      </c>
      <c r="H1130" s="0" t="n">
        <v>171.9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133</v>
      </c>
      <c r="T1130" s="0" t="n">
        <v>0</v>
      </c>
      <c r="U1130" s="0" t="n">
        <v>0</v>
      </c>
      <c r="V1130" s="0" t="n">
        <v>0</v>
      </c>
      <c r="W1130" s="0" t="n">
        <v>33</v>
      </c>
      <c r="X1130" s="0" t="n">
        <v>0</v>
      </c>
      <c r="Y1130" s="0" t="n">
        <v>0</v>
      </c>
      <c r="Z1130" s="0" t="n">
        <v>0</v>
      </c>
      <c r="AA1130" s="0" t="n">
        <v>0</v>
      </c>
      <c r="AB1130" s="0" t="n">
        <v>0</v>
      </c>
      <c r="AC1130" s="0" t="n">
        <v>0</v>
      </c>
      <c r="AD1130" s="0" t="n">
        <v>0</v>
      </c>
      <c r="AE1130" s="0" t="n">
        <v>0</v>
      </c>
      <c r="AF1130" s="0" t="n">
        <v>0</v>
      </c>
      <c r="AG1130" s="0" t="n">
        <v>953.63</v>
      </c>
      <c r="AH1130" s="0" t="n">
        <v>953.63</v>
      </c>
      <c r="AI1130" s="0" t="n">
        <v>21</v>
      </c>
    </row>
    <row r="1131" customFormat="false" ht="14.9" hidden="false" customHeight="false" outlineLevel="0" collapsed="false">
      <c r="A1131" s="0" t="n">
        <v>1130</v>
      </c>
      <c r="B1131" s="0" t="s">
        <v>372</v>
      </c>
      <c r="C1131" s="33" t="s">
        <v>373</v>
      </c>
      <c r="D1131" s="34" t="n">
        <v>46211</v>
      </c>
      <c r="E1131" s="0" t="n">
        <v>3</v>
      </c>
      <c r="F1131" s="0" t="n">
        <v>0</v>
      </c>
      <c r="G1131" s="0" t="n">
        <v>265.3</v>
      </c>
      <c r="H1131" s="0" t="n">
        <v>140.1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15</v>
      </c>
      <c r="X1131" s="0" t="n">
        <v>0</v>
      </c>
      <c r="Y1131" s="0" t="n">
        <v>0</v>
      </c>
      <c r="Z1131" s="0" t="n">
        <v>0</v>
      </c>
      <c r="AA1131" s="0" t="n">
        <v>0</v>
      </c>
      <c r="AB1131" s="0" t="n">
        <v>0</v>
      </c>
      <c r="AC1131" s="0" t="n">
        <v>0</v>
      </c>
      <c r="AD1131" s="0" t="n">
        <v>0</v>
      </c>
      <c r="AE1131" s="0" t="n">
        <v>0</v>
      </c>
      <c r="AF1131" s="0" t="n">
        <v>0</v>
      </c>
      <c r="AG1131" s="0" t="n">
        <v>423.4</v>
      </c>
      <c r="AH1131" s="0" t="n">
        <v>423.4</v>
      </c>
      <c r="AI1131" s="0" t="n">
        <v>12</v>
      </c>
    </row>
    <row r="1132" customFormat="false" ht="14.9" hidden="false" customHeight="false" outlineLevel="0" collapsed="false">
      <c r="A1132" s="0" t="n">
        <v>1131</v>
      </c>
      <c r="B1132" s="0" t="s">
        <v>372</v>
      </c>
      <c r="C1132" s="33" t="s">
        <v>373</v>
      </c>
      <c r="D1132" s="34" t="n">
        <v>46208</v>
      </c>
      <c r="E1132" s="0" t="n">
        <v>203.4</v>
      </c>
      <c r="F1132" s="0" t="n">
        <v>0</v>
      </c>
      <c r="G1132" s="0" t="n">
        <v>195.91</v>
      </c>
      <c r="H1132" s="0" t="n">
        <v>136.47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68</v>
      </c>
      <c r="T1132" s="0" t="n">
        <v>0</v>
      </c>
      <c r="U1132" s="0" t="n">
        <v>0</v>
      </c>
      <c r="V1132" s="0" t="n">
        <v>0</v>
      </c>
      <c r="W1132" s="0" t="n">
        <v>25</v>
      </c>
      <c r="X1132" s="0" t="n">
        <v>0</v>
      </c>
      <c r="Y1132" s="0" t="n">
        <v>0</v>
      </c>
      <c r="Z1132" s="0" t="n">
        <v>0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0</v>
      </c>
      <c r="AF1132" s="0" t="n">
        <v>0</v>
      </c>
      <c r="AG1132" s="0" t="n">
        <v>628.78</v>
      </c>
      <c r="AH1132" s="0" t="n">
        <v>628.78</v>
      </c>
      <c r="AI1132" s="0" t="n">
        <v>15</v>
      </c>
    </row>
    <row r="1133" customFormat="false" ht="14.9" hidden="false" customHeight="false" outlineLevel="0" collapsed="false">
      <c r="A1133" s="0" t="n">
        <v>1132</v>
      </c>
      <c r="B1133" s="0" t="s">
        <v>372</v>
      </c>
      <c r="C1133" s="33" t="s">
        <v>373</v>
      </c>
      <c r="D1133" s="34" t="n">
        <v>46224</v>
      </c>
      <c r="E1133" s="0" t="n">
        <v>319.8</v>
      </c>
      <c r="F1133" s="0" t="n">
        <v>0</v>
      </c>
      <c r="G1133" s="0" t="n">
        <v>1439.31</v>
      </c>
      <c r="H1133" s="0" t="n">
        <v>274.83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0" t="n">
        <v>71</v>
      </c>
      <c r="X1133" s="0" t="n">
        <v>0</v>
      </c>
      <c r="Y1133" s="0" t="n">
        <v>0</v>
      </c>
      <c r="Z1133" s="0" t="n">
        <v>0</v>
      </c>
      <c r="AA1133" s="0" t="n">
        <v>0</v>
      </c>
      <c r="AB1133" s="0" t="n">
        <v>0</v>
      </c>
      <c r="AC1133" s="0" t="n">
        <v>0</v>
      </c>
      <c r="AD1133" s="0" t="n">
        <v>0</v>
      </c>
      <c r="AE1133" s="0" t="n">
        <v>0</v>
      </c>
      <c r="AF1133" s="0" t="n">
        <v>0</v>
      </c>
      <c r="AG1133" s="0" t="n">
        <v>2104.94</v>
      </c>
      <c r="AH1133" s="0" t="n">
        <v>2104.94</v>
      </c>
      <c r="AI1133" s="0" t="n">
        <v>28</v>
      </c>
    </row>
    <row r="1134" customFormat="false" ht="14.9" hidden="false" customHeight="false" outlineLevel="0" collapsed="false">
      <c r="A1134" s="0" t="n">
        <v>1133</v>
      </c>
      <c r="B1134" s="0" t="s">
        <v>372</v>
      </c>
      <c r="C1134" s="33" t="s">
        <v>373</v>
      </c>
      <c r="D1134" s="34" t="n">
        <v>46213</v>
      </c>
      <c r="E1134" s="0" t="n">
        <v>360.4</v>
      </c>
      <c r="F1134" s="0" t="n">
        <v>0</v>
      </c>
      <c r="G1134" s="0" t="n">
        <v>820.93</v>
      </c>
      <c r="H1134" s="0" t="n">
        <v>194.6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20.5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3.8</v>
      </c>
      <c r="W1134" s="0" t="n">
        <v>26</v>
      </c>
      <c r="X1134" s="0" t="n">
        <v>0</v>
      </c>
      <c r="Y1134" s="0" t="n">
        <v>0</v>
      </c>
      <c r="Z1134" s="0" t="n">
        <v>0</v>
      </c>
      <c r="AA1134" s="0" t="n">
        <v>0</v>
      </c>
      <c r="AB1134" s="0" t="n">
        <v>0</v>
      </c>
      <c r="AC1134" s="0" t="n">
        <v>0</v>
      </c>
      <c r="AD1134" s="0" t="n">
        <v>0</v>
      </c>
      <c r="AE1134" s="0" t="n">
        <v>0</v>
      </c>
      <c r="AF1134" s="0" t="n">
        <v>0</v>
      </c>
      <c r="AG1134" s="0" t="n">
        <v>1426.23</v>
      </c>
      <c r="AH1134" s="0" t="n">
        <v>1426.23</v>
      </c>
      <c r="AI1134" s="0" t="n">
        <v>27</v>
      </c>
    </row>
    <row r="1135" customFormat="false" ht="14.9" hidden="false" customHeight="false" outlineLevel="0" collapsed="false">
      <c r="A1135" s="0" t="n">
        <v>1134</v>
      </c>
      <c r="B1135" s="0" t="s">
        <v>372</v>
      </c>
      <c r="C1135" s="33" t="s">
        <v>373</v>
      </c>
      <c r="D1135" s="34" t="n">
        <v>46210</v>
      </c>
      <c r="E1135" s="0" t="n">
        <v>155.5</v>
      </c>
      <c r="F1135" s="0" t="n">
        <v>0</v>
      </c>
      <c r="G1135" s="0" t="n">
        <v>247</v>
      </c>
      <c r="H1135" s="0" t="n">
        <v>363.2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26</v>
      </c>
      <c r="X1135" s="0" t="n">
        <v>0</v>
      </c>
      <c r="Y1135" s="0" t="n">
        <v>0</v>
      </c>
      <c r="Z1135" s="0" t="n">
        <v>0</v>
      </c>
      <c r="AA1135" s="0" t="n">
        <v>0</v>
      </c>
      <c r="AB1135" s="0" t="n">
        <v>0</v>
      </c>
      <c r="AC1135" s="0" t="n">
        <v>0</v>
      </c>
      <c r="AD1135" s="0" t="n">
        <v>0</v>
      </c>
      <c r="AE1135" s="0" t="n">
        <v>0</v>
      </c>
      <c r="AF1135" s="0" t="n">
        <v>0</v>
      </c>
      <c r="AG1135" s="0" t="n">
        <v>791.7</v>
      </c>
      <c r="AH1135" s="0" t="n">
        <v>791.7</v>
      </c>
      <c r="AI1135" s="0" t="n">
        <v>12</v>
      </c>
    </row>
    <row r="1136" customFormat="false" ht="14.9" hidden="false" customHeight="false" outlineLevel="0" collapsed="false">
      <c r="A1136" s="0" t="n">
        <v>1135</v>
      </c>
      <c r="B1136" s="0" t="s">
        <v>372</v>
      </c>
      <c r="C1136" s="33" t="s">
        <v>373</v>
      </c>
      <c r="D1136" s="34" t="n">
        <v>46216</v>
      </c>
      <c r="E1136" s="0" t="n">
        <v>123.4</v>
      </c>
      <c r="F1136" s="0" t="n">
        <v>0</v>
      </c>
      <c r="G1136" s="0" t="n">
        <v>362.2</v>
      </c>
      <c r="H1136" s="0" t="n">
        <v>223.8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38</v>
      </c>
      <c r="X1136" s="0" t="n">
        <v>0</v>
      </c>
      <c r="Y1136" s="0" t="n">
        <v>0</v>
      </c>
      <c r="Z1136" s="0" t="n">
        <v>0</v>
      </c>
      <c r="AA1136" s="0" t="n">
        <v>0</v>
      </c>
      <c r="AB1136" s="0" t="n">
        <v>0</v>
      </c>
      <c r="AC1136" s="0" t="n">
        <v>0</v>
      </c>
      <c r="AD1136" s="0" t="n">
        <v>0</v>
      </c>
      <c r="AE1136" s="0" t="n">
        <v>0</v>
      </c>
      <c r="AF1136" s="0" t="n">
        <v>0</v>
      </c>
      <c r="AG1136" s="0" t="n">
        <v>747.4</v>
      </c>
      <c r="AH1136" s="0" t="n">
        <v>747.4</v>
      </c>
      <c r="AI1136" s="0" t="n">
        <v>16</v>
      </c>
    </row>
    <row r="1137" customFormat="false" ht="14.9" hidden="false" customHeight="false" outlineLevel="0" collapsed="false">
      <c r="A1137" s="0" t="n">
        <v>1136</v>
      </c>
      <c r="B1137" s="0" t="s">
        <v>372</v>
      </c>
      <c r="C1137" s="33" t="s">
        <v>373</v>
      </c>
      <c r="D1137" s="34" t="n">
        <v>46233</v>
      </c>
      <c r="E1137" s="0" t="n">
        <v>232.9</v>
      </c>
      <c r="F1137" s="0" t="n">
        <v>0</v>
      </c>
      <c r="G1137" s="0" t="n">
        <v>613.6</v>
      </c>
      <c r="H1137" s="0" t="n">
        <v>167.5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75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205</v>
      </c>
      <c r="X1137" s="0" t="n">
        <v>0</v>
      </c>
      <c r="Y1137" s="0" t="n">
        <v>0</v>
      </c>
      <c r="Z1137" s="0" t="n">
        <v>0</v>
      </c>
      <c r="AA1137" s="0" t="n">
        <v>0</v>
      </c>
      <c r="AB1137" s="0" t="n">
        <v>0</v>
      </c>
      <c r="AC1137" s="0" t="n">
        <v>0</v>
      </c>
      <c r="AD1137" s="0" t="n">
        <v>0</v>
      </c>
      <c r="AE1137" s="0" t="n">
        <v>0</v>
      </c>
      <c r="AF1137" s="0" t="n">
        <v>0</v>
      </c>
      <c r="AG1137" s="0" t="n">
        <v>1294</v>
      </c>
      <c r="AH1137" s="0" t="n">
        <v>1294</v>
      </c>
      <c r="AI1137" s="0" t="n">
        <v>31</v>
      </c>
    </row>
    <row r="1138" customFormat="false" ht="14.9" hidden="false" customHeight="false" outlineLevel="0" collapsed="false">
      <c r="A1138" s="0" t="n">
        <v>1137</v>
      </c>
      <c r="B1138" s="0" t="s">
        <v>372</v>
      </c>
      <c r="C1138" s="33" t="s">
        <v>373</v>
      </c>
      <c r="D1138" s="34" t="n">
        <v>46230</v>
      </c>
      <c r="E1138" s="0" t="n">
        <v>71.6</v>
      </c>
      <c r="F1138" s="0" t="n">
        <v>0</v>
      </c>
      <c r="G1138" s="0" t="n">
        <v>388.6</v>
      </c>
      <c r="H1138" s="0" t="n">
        <v>40.3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75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25</v>
      </c>
      <c r="X1138" s="0" t="n">
        <v>0</v>
      </c>
      <c r="Y1138" s="0" t="n">
        <v>0</v>
      </c>
      <c r="Z1138" s="0" t="n">
        <v>0</v>
      </c>
      <c r="AA1138" s="0" t="n">
        <v>0</v>
      </c>
      <c r="AB1138" s="0" t="n">
        <v>0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600.5</v>
      </c>
      <c r="AH1138" s="0" t="n">
        <v>600.5</v>
      </c>
      <c r="AI1138" s="0" t="n">
        <v>18</v>
      </c>
    </row>
    <row r="1139" customFormat="false" ht="14.9" hidden="false" customHeight="false" outlineLevel="0" collapsed="false">
      <c r="A1139" s="0" t="n">
        <v>1138</v>
      </c>
      <c r="B1139" s="0" t="s">
        <v>372</v>
      </c>
      <c r="C1139" s="33" t="s">
        <v>373</v>
      </c>
      <c r="D1139" s="34" t="n">
        <v>46226</v>
      </c>
      <c r="E1139" s="0" t="n">
        <v>283.4</v>
      </c>
      <c r="F1139" s="0" t="n">
        <v>0</v>
      </c>
      <c r="G1139" s="0" t="n">
        <v>555</v>
      </c>
      <c r="H1139" s="0" t="n">
        <v>277.6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0</v>
      </c>
      <c r="W1139" s="0" t="n">
        <v>20</v>
      </c>
      <c r="X1139" s="0" t="n">
        <v>0</v>
      </c>
      <c r="Y1139" s="0" t="n">
        <v>0</v>
      </c>
      <c r="Z1139" s="0" t="n">
        <v>0</v>
      </c>
      <c r="AA1139" s="0" t="n">
        <v>0</v>
      </c>
      <c r="AB1139" s="0" t="n">
        <v>0</v>
      </c>
      <c r="AC1139" s="0" t="n">
        <v>0</v>
      </c>
      <c r="AD1139" s="0" t="n">
        <v>0</v>
      </c>
      <c r="AE1139" s="0" t="n">
        <v>0</v>
      </c>
      <c r="AF1139" s="0" t="n">
        <v>0</v>
      </c>
      <c r="AG1139" s="0" t="n">
        <v>1136</v>
      </c>
      <c r="AH1139" s="0" t="n">
        <v>1136</v>
      </c>
      <c r="AI1139" s="0" t="n">
        <v>24</v>
      </c>
    </row>
    <row r="1140" customFormat="false" ht="14.9" hidden="false" customHeight="false" outlineLevel="0" collapsed="false">
      <c r="A1140" s="0" t="n">
        <v>1139</v>
      </c>
      <c r="B1140" s="0" t="s">
        <v>372</v>
      </c>
      <c r="C1140" s="33" t="s">
        <v>373</v>
      </c>
      <c r="D1140" s="34" t="n">
        <v>46209</v>
      </c>
      <c r="E1140" s="0" t="n">
        <v>163.07</v>
      </c>
      <c r="F1140" s="0" t="n">
        <v>0</v>
      </c>
      <c r="G1140" s="0" t="n">
        <v>1008.96</v>
      </c>
      <c r="H1140" s="0" t="n">
        <v>377.07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8.42</v>
      </c>
      <c r="T1140" s="0" t="n">
        <v>0</v>
      </c>
      <c r="U1140" s="0" t="n">
        <v>0</v>
      </c>
      <c r="V1140" s="0" t="n">
        <v>3.8</v>
      </c>
      <c r="W1140" s="0" t="n">
        <v>41</v>
      </c>
      <c r="X1140" s="0" t="n">
        <v>0</v>
      </c>
      <c r="Y1140" s="0" t="n">
        <v>0</v>
      </c>
      <c r="Z1140" s="0" t="n">
        <v>0</v>
      </c>
      <c r="AA1140" s="0" t="n">
        <v>0</v>
      </c>
      <c r="AB1140" s="0" t="n">
        <v>0</v>
      </c>
      <c r="AC1140" s="0" t="n">
        <v>0</v>
      </c>
      <c r="AD1140" s="0" t="n">
        <v>0</v>
      </c>
      <c r="AE1140" s="0" t="n">
        <v>0</v>
      </c>
      <c r="AF1140" s="0" t="n">
        <v>0</v>
      </c>
      <c r="AG1140" s="0" t="n">
        <v>1602.32</v>
      </c>
      <c r="AH1140" s="0" t="n">
        <v>1602.32</v>
      </c>
      <c r="AI1140" s="0" t="n">
        <v>28</v>
      </c>
    </row>
    <row r="1141" customFormat="false" ht="14.9" hidden="false" customHeight="false" outlineLevel="0" collapsed="false">
      <c r="A1141" s="0" t="n">
        <v>1140</v>
      </c>
      <c r="B1141" s="0" t="s">
        <v>372</v>
      </c>
      <c r="C1141" s="33" t="s">
        <v>373</v>
      </c>
      <c r="D1141" s="34" t="n">
        <v>46232</v>
      </c>
      <c r="E1141" s="0" t="n">
        <v>111.9</v>
      </c>
      <c r="F1141" s="0" t="n">
        <v>0</v>
      </c>
      <c r="G1141" s="0" t="n">
        <v>1754.16</v>
      </c>
      <c r="H1141" s="0" t="n">
        <v>202.8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181</v>
      </c>
      <c r="X1141" s="0" t="n">
        <v>0</v>
      </c>
      <c r="Y1141" s="0" t="n">
        <v>0</v>
      </c>
      <c r="Z1141" s="0" t="n">
        <v>0</v>
      </c>
      <c r="AA1141" s="0" t="n">
        <v>0</v>
      </c>
      <c r="AB1141" s="0" t="n">
        <v>0</v>
      </c>
      <c r="AC1141" s="0" t="n">
        <v>0</v>
      </c>
      <c r="AD1141" s="0" t="n">
        <v>0</v>
      </c>
      <c r="AE1141" s="0" t="n">
        <v>0</v>
      </c>
      <c r="AF1141" s="0" t="n">
        <v>0</v>
      </c>
      <c r="AG1141" s="0" t="n">
        <v>2249.86</v>
      </c>
      <c r="AH1141" s="0" t="n">
        <v>2249.86</v>
      </c>
      <c r="AI1141" s="0" t="n">
        <v>25</v>
      </c>
    </row>
    <row r="1142" customFormat="false" ht="14.9" hidden="false" customHeight="false" outlineLevel="0" collapsed="false">
      <c r="A1142" s="0" t="n">
        <v>1141</v>
      </c>
      <c r="B1142" s="0" t="s">
        <v>372</v>
      </c>
      <c r="C1142" s="33" t="s">
        <v>373</v>
      </c>
      <c r="D1142" s="34" t="n">
        <v>46228</v>
      </c>
      <c r="E1142" s="0" t="n">
        <v>47.7</v>
      </c>
      <c r="F1142" s="0" t="n">
        <v>0</v>
      </c>
      <c r="G1142" s="0" t="n">
        <v>485.2</v>
      </c>
      <c r="H1142" s="0" t="n">
        <v>402.5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17.3</v>
      </c>
      <c r="T1142" s="0" t="n">
        <v>0</v>
      </c>
      <c r="U1142" s="0" t="n">
        <v>0</v>
      </c>
      <c r="V1142" s="0" t="n">
        <v>9.9</v>
      </c>
      <c r="W1142" s="0" t="n">
        <v>26</v>
      </c>
      <c r="X1142" s="0" t="n">
        <v>0</v>
      </c>
      <c r="Y1142" s="0" t="n">
        <v>0</v>
      </c>
      <c r="Z1142" s="0" t="n">
        <v>0</v>
      </c>
      <c r="AA1142" s="0" t="n">
        <v>0</v>
      </c>
      <c r="AB1142" s="0" t="n">
        <v>0</v>
      </c>
      <c r="AC1142" s="0" t="n">
        <v>0</v>
      </c>
      <c r="AD1142" s="0" t="n">
        <v>0</v>
      </c>
      <c r="AE1142" s="0" t="n">
        <v>0</v>
      </c>
      <c r="AF1142" s="0" t="n">
        <v>0</v>
      </c>
      <c r="AG1142" s="0" t="n">
        <v>988.6</v>
      </c>
      <c r="AH1142" s="0" t="n">
        <v>988.6</v>
      </c>
      <c r="AI1142" s="0" t="n">
        <v>22</v>
      </c>
    </row>
    <row r="1143" customFormat="false" ht="14.9" hidden="false" customHeight="false" outlineLevel="0" collapsed="false">
      <c r="A1143" s="0" t="n">
        <v>1142</v>
      </c>
      <c r="B1143" s="0" t="s">
        <v>372</v>
      </c>
      <c r="C1143" s="33" t="s">
        <v>373</v>
      </c>
      <c r="D1143" s="34" t="n">
        <v>46219</v>
      </c>
      <c r="E1143" s="0" t="n">
        <v>251.48</v>
      </c>
      <c r="F1143" s="0" t="n">
        <v>0</v>
      </c>
      <c r="G1143" s="0" t="n">
        <v>913.1</v>
      </c>
      <c r="H1143" s="0" t="n">
        <v>396.85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55</v>
      </c>
      <c r="X1143" s="0" t="n">
        <v>0</v>
      </c>
      <c r="Y1143" s="0" t="n">
        <v>0</v>
      </c>
      <c r="Z1143" s="0" t="n">
        <v>0</v>
      </c>
      <c r="AA1143" s="0" t="n">
        <v>0</v>
      </c>
      <c r="AB1143" s="0" t="n">
        <v>0</v>
      </c>
      <c r="AC1143" s="0" t="n">
        <v>0</v>
      </c>
      <c r="AD1143" s="0" t="n">
        <v>0</v>
      </c>
      <c r="AE1143" s="0" t="n">
        <v>0</v>
      </c>
      <c r="AF1143" s="0" t="n">
        <v>0</v>
      </c>
      <c r="AG1143" s="0" t="n">
        <v>1616.43</v>
      </c>
      <c r="AH1143" s="0" t="n">
        <v>1616.43</v>
      </c>
      <c r="AI1143" s="0" t="n">
        <v>31</v>
      </c>
    </row>
    <row r="1144" customFormat="false" ht="14.9" hidden="false" customHeight="false" outlineLevel="0" collapsed="false">
      <c r="A1144" s="0" t="n">
        <v>1143</v>
      </c>
      <c r="B1144" s="0" t="s">
        <v>372</v>
      </c>
      <c r="C1144" s="33" t="s">
        <v>373</v>
      </c>
      <c r="D1144" s="34" t="n">
        <v>46234</v>
      </c>
      <c r="E1144" s="0" t="n">
        <v>53.36</v>
      </c>
      <c r="F1144" s="0" t="n">
        <v>0</v>
      </c>
      <c r="G1144" s="0" t="n">
        <v>720.3</v>
      </c>
      <c r="H1144" s="0" t="n">
        <v>400.8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18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0.02</v>
      </c>
      <c r="W1144" s="0" t="n">
        <v>165</v>
      </c>
      <c r="X1144" s="0" t="n">
        <v>0</v>
      </c>
      <c r="Y1144" s="0" t="n">
        <v>0</v>
      </c>
      <c r="Z1144" s="0" t="n">
        <v>0</v>
      </c>
      <c r="AA1144" s="0" t="n">
        <v>0</v>
      </c>
      <c r="AB1144" s="0" t="n">
        <v>0</v>
      </c>
      <c r="AC1144" s="0" t="n">
        <v>0</v>
      </c>
      <c r="AD1144" s="0" t="n">
        <v>0</v>
      </c>
      <c r="AE1144" s="0" t="n">
        <v>0</v>
      </c>
      <c r="AF1144" s="0" t="n">
        <v>0</v>
      </c>
      <c r="AG1144" s="0" t="n">
        <v>1357.48</v>
      </c>
      <c r="AH1144" s="0" t="n">
        <v>1357.48</v>
      </c>
      <c r="AI1144" s="0" t="n">
        <v>31</v>
      </c>
    </row>
    <row r="1145" customFormat="false" ht="14.9" hidden="false" customHeight="false" outlineLevel="0" collapsed="false">
      <c r="A1145" s="0" t="n">
        <v>1144</v>
      </c>
      <c r="B1145" s="0" t="s">
        <v>372</v>
      </c>
      <c r="C1145" s="33" t="s">
        <v>373</v>
      </c>
      <c r="D1145" s="34" t="n">
        <v>46218</v>
      </c>
      <c r="E1145" s="0" t="n">
        <v>187</v>
      </c>
      <c r="F1145" s="0" t="n">
        <v>0</v>
      </c>
      <c r="G1145" s="0" t="n">
        <v>331.6</v>
      </c>
      <c r="H1145" s="0" t="n">
        <v>302.9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0.02</v>
      </c>
      <c r="W1145" s="0" t="n">
        <v>50</v>
      </c>
      <c r="X1145" s="0" t="n">
        <v>0</v>
      </c>
      <c r="Y1145" s="0" t="n">
        <v>0</v>
      </c>
      <c r="Z1145" s="0" t="n">
        <v>0</v>
      </c>
      <c r="AA1145" s="0" t="n">
        <v>0</v>
      </c>
      <c r="AB1145" s="0" t="n">
        <v>0</v>
      </c>
      <c r="AC1145" s="0" t="n">
        <v>0</v>
      </c>
      <c r="AD1145" s="0" t="n">
        <v>0</v>
      </c>
      <c r="AE1145" s="0" t="n">
        <v>0</v>
      </c>
      <c r="AF1145" s="0" t="n">
        <v>0</v>
      </c>
      <c r="AG1145" s="0" t="n">
        <v>871.52</v>
      </c>
      <c r="AH1145" s="0" t="n">
        <v>871.52</v>
      </c>
      <c r="AI1145" s="0" t="n">
        <v>17</v>
      </c>
    </row>
    <row r="1146" customFormat="false" ht="14.9" hidden="false" customHeight="false" outlineLevel="0" collapsed="false">
      <c r="A1146" s="0" t="n">
        <v>1145</v>
      </c>
      <c r="B1146" s="0" t="s">
        <v>372</v>
      </c>
      <c r="C1146" s="33" t="s">
        <v>373</v>
      </c>
      <c r="D1146" s="34" t="n">
        <v>46214</v>
      </c>
      <c r="E1146" s="0" t="n">
        <v>58.3</v>
      </c>
      <c r="F1146" s="0" t="n">
        <v>0</v>
      </c>
      <c r="G1146" s="0" t="n">
        <v>907.53</v>
      </c>
      <c r="H1146" s="0" t="n">
        <v>359.8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223.23</v>
      </c>
      <c r="T1146" s="0" t="n">
        <v>0</v>
      </c>
      <c r="U1146" s="0" t="n">
        <v>0</v>
      </c>
      <c r="V1146" s="0" t="n">
        <v>0</v>
      </c>
      <c r="W1146" s="0" t="n">
        <v>35</v>
      </c>
      <c r="X1146" s="0" t="n">
        <v>0</v>
      </c>
      <c r="Y1146" s="0" t="n">
        <v>0</v>
      </c>
      <c r="Z1146" s="0" t="n">
        <v>0</v>
      </c>
      <c r="AA1146" s="0" t="n">
        <v>0</v>
      </c>
      <c r="AB1146" s="0" t="n">
        <v>0</v>
      </c>
      <c r="AC1146" s="0" t="n">
        <v>0</v>
      </c>
      <c r="AD1146" s="0" t="n">
        <v>0</v>
      </c>
      <c r="AE1146" s="0" t="n">
        <v>0</v>
      </c>
      <c r="AF1146" s="0" t="n">
        <v>0</v>
      </c>
      <c r="AG1146" s="0" t="n">
        <v>1583.86</v>
      </c>
      <c r="AH1146" s="0" t="n">
        <v>1583.86</v>
      </c>
      <c r="AI1146" s="0" t="n">
        <v>30</v>
      </c>
    </row>
    <row r="1147" customFormat="false" ht="14.9" hidden="false" customHeight="false" outlineLevel="0" collapsed="false">
      <c r="A1147" s="0" t="n">
        <v>1146</v>
      </c>
      <c r="B1147" s="0" t="s">
        <v>372</v>
      </c>
      <c r="C1147" s="33" t="s">
        <v>373</v>
      </c>
      <c r="D1147" s="34" t="n">
        <v>46217</v>
      </c>
      <c r="E1147" s="0" t="n">
        <v>178.3</v>
      </c>
      <c r="F1147" s="0" t="n">
        <v>0</v>
      </c>
      <c r="G1147" s="0" t="n">
        <v>548.9</v>
      </c>
      <c r="H1147" s="0" t="n">
        <v>211.3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0.02</v>
      </c>
      <c r="W1147" s="0" t="n">
        <v>51</v>
      </c>
      <c r="X1147" s="0" t="n">
        <v>0</v>
      </c>
      <c r="Y1147" s="0" t="n">
        <v>0</v>
      </c>
      <c r="Z1147" s="0" t="n">
        <v>0</v>
      </c>
      <c r="AA1147" s="0" t="n">
        <v>0</v>
      </c>
      <c r="AB1147" s="0" t="n">
        <v>0</v>
      </c>
      <c r="AC1147" s="0" t="n">
        <v>0</v>
      </c>
      <c r="AD1147" s="0" t="n">
        <v>0</v>
      </c>
      <c r="AE1147" s="0" t="n">
        <v>0</v>
      </c>
      <c r="AF1147" s="0" t="n">
        <v>0</v>
      </c>
      <c r="AG1147" s="0" t="n">
        <v>989.52</v>
      </c>
      <c r="AH1147" s="0" t="n">
        <v>989.52</v>
      </c>
      <c r="AI1147" s="0" t="n">
        <v>23</v>
      </c>
    </row>
    <row r="1148" customFormat="false" ht="14.9" hidden="false" customHeight="false" outlineLevel="0" collapsed="false">
      <c r="A1148" s="0" t="n">
        <v>1147</v>
      </c>
      <c r="B1148" s="0" t="s">
        <v>372</v>
      </c>
      <c r="C1148" s="33" t="s">
        <v>373</v>
      </c>
      <c r="D1148" s="34" t="n">
        <v>46204</v>
      </c>
      <c r="E1148" s="0" t="n">
        <v>118.57</v>
      </c>
      <c r="F1148" s="0" t="n">
        <v>0</v>
      </c>
      <c r="G1148" s="0" t="n">
        <v>745.43</v>
      </c>
      <c r="H1148" s="0" t="n">
        <v>196.88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0</v>
      </c>
      <c r="V1148" s="0" t="n">
        <v>0</v>
      </c>
      <c r="W1148" s="0" t="n">
        <v>75</v>
      </c>
      <c r="X1148" s="0" t="n">
        <v>0</v>
      </c>
      <c r="Y1148" s="0" t="n">
        <v>0</v>
      </c>
      <c r="Z1148" s="0" t="n">
        <v>0</v>
      </c>
      <c r="AA1148" s="0" t="n">
        <v>0</v>
      </c>
      <c r="AB1148" s="0" t="n">
        <v>0</v>
      </c>
      <c r="AC1148" s="0" t="n">
        <v>0</v>
      </c>
      <c r="AD1148" s="0" t="n">
        <v>0</v>
      </c>
      <c r="AE1148" s="0" t="n">
        <v>0</v>
      </c>
      <c r="AF1148" s="0" t="n">
        <v>0</v>
      </c>
      <c r="AG1148" s="0" t="n">
        <v>1135.88</v>
      </c>
      <c r="AH1148" s="0" t="n">
        <v>1135.88</v>
      </c>
      <c r="AI1148" s="0" t="n">
        <v>25</v>
      </c>
    </row>
    <row r="1149" customFormat="false" ht="14.9" hidden="false" customHeight="false" outlineLevel="0" collapsed="false">
      <c r="A1149" s="0" t="n">
        <v>1148</v>
      </c>
      <c r="B1149" s="0" t="s">
        <v>374</v>
      </c>
      <c r="C1149" s="33" t="s">
        <v>375</v>
      </c>
      <c r="D1149" s="34" t="n">
        <v>46231</v>
      </c>
      <c r="E1149" s="0" t="n">
        <v>294</v>
      </c>
      <c r="F1149" s="0" t="n">
        <v>0</v>
      </c>
      <c r="G1149" s="0" t="n">
        <v>1271.48</v>
      </c>
      <c r="H1149" s="0" t="n">
        <v>229.8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0</v>
      </c>
      <c r="W1149" s="0" t="n">
        <v>130</v>
      </c>
      <c r="X1149" s="0" t="n">
        <v>0</v>
      </c>
      <c r="Y1149" s="0" t="n">
        <v>0</v>
      </c>
      <c r="Z1149" s="0" t="n">
        <v>0</v>
      </c>
      <c r="AA1149" s="0" t="n">
        <v>0</v>
      </c>
      <c r="AB1149" s="0" t="n">
        <v>0</v>
      </c>
      <c r="AC1149" s="0" t="n">
        <v>0</v>
      </c>
      <c r="AD1149" s="0" t="n">
        <v>0</v>
      </c>
      <c r="AE1149" s="0" t="n">
        <v>0</v>
      </c>
      <c r="AF1149" s="0" t="n">
        <v>0</v>
      </c>
      <c r="AG1149" s="0" t="n">
        <v>1925.28</v>
      </c>
      <c r="AH1149" s="0" t="n">
        <v>1925.28</v>
      </c>
      <c r="AI1149" s="0" t="n">
        <v>38</v>
      </c>
    </row>
    <row r="1150" customFormat="false" ht="14.9" hidden="false" customHeight="false" outlineLevel="0" collapsed="false">
      <c r="A1150" s="0" t="n">
        <v>1149</v>
      </c>
      <c r="B1150" s="0" t="s">
        <v>374</v>
      </c>
      <c r="C1150" s="33" t="s">
        <v>375</v>
      </c>
      <c r="D1150" s="34" t="n">
        <v>46225</v>
      </c>
      <c r="E1150" s="0" t="n">
        <v>394.3</v>
      </c>
      <c r="F1150" s="0" t="n">
        <v>0</v>
      </c>
      <c r="G1150" s="0" t="n">
        <v>1769.39</v>
      </c>
      <c r="H1150" s="0" t="n">
        <v>99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0.01</v>
      </c>
      <c r="W1150" s="0" t="n">
        <v>55</v>
      </c>
      <c r="X1150" s="0" t="n">
        <v>0</v>
      </c>
      <c r="Y1150" s="0" t="n">
        <v>0</v>
      </c>
      <c r="Z1150" s="0" t="n">
        <v>0</v>
      </c>
      <c r="AA1150" s="0" t="n">
        <v>0</v>
      </c>
      <c r="AB1150" s="0" t="n">
        <v>0</v>
      </c>
      <c r="AC1150" s="0" t="n">
        <v>0</v>
      </c>
      <c r="AD1150" s="0" t="n">
        <v>0</v>
      </c>
      <c r="AE1150" s="0" t="n">
        <v>0</v>
      </c>
      <c r="AF1150" s="0" t="n">
        <v>0</v>
      </c>
      <c r="AG1150" s="0" t="n">
        <v>2317.7</v>
      </c>
      <c r="AH1150" s="0" t="n">
        <v>2317.7</v>
      </c>
      <c r="AI1150" s="0" t="n">
        <v>37</v>
      </c>
    </row>
    <row r="1151" customFormat="false" ht="14.9" hidden="false" customHeight="false" outlineLevel="0" collapsed="false">
      <c r="A1151" s="0" t="n">
        <v>1150</v>
      </c>
      <c r="B1151" s="0" t="s">
        <v>374</v>
      </c>
      <c r="C1151" s="33" t="s">
        <v>375</v>
      </c>
      <c r="D1151" s="34" t="n">
        <v>46234</v>
      </c>
      <c r="E1151" s="0" t="n">
        <v>92.4</v>
      </c>
      <c r="F1151" s="0" t="n">
        <v>0</v>
      </c>
      <c r="G1151" s="0" t="n">
        <v>1142.5</v>
      </c>
      <c r="H1151" s="0" t="n">
        <v>139.3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0</v>
      </c>
      <c r="V1151" s="0" t="n">
        <v>0</v>
      </c>
      <c r="W1151" s="0" t="n">
        <v>100</v>
      </c>
      <c r="X1151" s="0" t="n">
        <v>0</v>
      </c>
      <c r="Y1151" s="0" t="n">
        <v>0</v>
      </c>
      <c r="Z1151" s="0" t="n">
        <v>0</v>
      </c>
      <c r="AA1151" s="0" t="n">
        <v>0</v>
      </c>
      <c r="AB1151" s="0" t="n">
        <v>0</v>
      </c>
      <c r="AC1151" s="0" t="n">
        <v>0</v>
      </c>
      <c r="AD1151" s="0" t="n">
        <v>0</v>
      </c>
      <c r="AE1151" s="0" t="n">
        <v>0</v>
      </c>
      <c r="AF1151" s="0" t="n">
        <v>0</v>
      </c>
      <c r="AG1151" s="0" t="n">
        <v>1474.2</v>
      </c>
      <c r="AH1151" s="0" t="n">
        <v>1474.2</v>
      </c>
      <c r="AI1151" s="0" t="n">
        <v>36</v>
      </c>
    </row>
    <row r="1152" customFormat="false" ht="14.9" hidden="false" customHeight="false" outlineLevel="0" collapsed="false">
      <c r="A1152" s="0" t="n">
        <v>1151</v>
      </c>
      <c r="B1152" s="0" t="s">
        <v>374</v>
      </c>
      <c r="C1152" s="33" t="s">
        <v>375</v>
      </c>
      <c r="D1152" s="34" t="n">
        <v>46211</v>
      </c>
      <c r="E1152" s="0" t="n">
        <v>123.5</v>
      </c>
      <c r="F1152" s="0" t="n">
        <v>0</v>
      </c>
      <c r="G1152" s="0" t="n">
        <v>1832.4</v>
      </c>
      <c r="H1152" s="0" t="n">
        <v>667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43.8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5</v>
      </c>
      <c r="X1152" s="0" t="n">
        <v>0</v>
      </c>
      <c r="Y1152" s="0" t="n">
        <v>0</v>
      </c>
      <c r="Z1152" s="0" t="n">
        <v>0</v>
      </c>
      <c r="AA1152" s="0" t="n">
        <v>0</v>
      </c>
      <c r="AB1152" s="0" t="n">
        <v>0</v>
      </c>
      <c r="AC1152" s="0" t="n">
        <v>0</v>
      </c>
      <c r="AD1152" s="0" t="n">
        <v>0</v>
      </c>
      <c r="AE1152" s="0" t="n">
        <v>0</v>
      </c>
      <c r="AF1152" s="0" t="n">
        <v>0</v>
      </c>
      <c r="AG1152" s="0" t="n">
        <v>2671.7</v>
      </c>
      <c r="AH1152" s="0" t="n">
        <v>2671.7</v>
      </c>
      <c r="AI1152" s="0" t="n">
        <v>47</v>
      </c>
    </row>
    <row r="1153" customFormat="false" ht="14.9" hidden="false" customHeight="false" outlineLevel="0" collapsed="false">
      <c r="A1153" s="0" t="n">
        <v>1152</v>
      </c>
      <c r="B1153" s="0" t="s">
        <v>374</v>
      </c>
      <c r="C1153" s="33" t="s">
        <v>375</v>
      </c>
      <c r="D1153" s="34" t="n">
        <v>46210</v>
      </c>
      <c r="E1153" s="0" t="n">
        <v>101.1</v>
      </c>
      <c r="F1153" s="0" t="n">
        <v>0</v>
      </c>
      <c r="G1153" s="0" t="n">
        <v>1463.45</v>
      </c>
      <c r="H1153" s="0" t="n">
        <v>179.6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25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0" t="n">
        <v>10</v>
      </c>
      <c r="X1153" s="0" t="n">
        <v>0</v>
      </c>
      <c r="Y1153" s="0" t="n">
        <v>0</v>
      </c>
      <c r="Z1153" s="0" t="n">
        <v>0</v>
      </c>
      <c r="AA1153" s="0" t="n">
        <v>0</v>
      </c>
      <c r="AB1153" s="0" t="n">
        <v>0</v>
      </c>
      <c r="AC1153" s="0" t="n">
        <v>0</v>
      </c>
      <c r="AD1153" s="0" t="n">
        <v>0</v>
      </c>
      <c r="AE1153" s="0" t="n">
        <v>0</v>
      </c>
      <c r="AF1153" s="0" t="n">
        <v>0</v>
      </c>
      <c r="AG1153" s="0" t="n">
        <v>1779.15</v>
      </c>
      <c r="AH1153" s="0" t="n">
        <v>1779.15</v>
      </c>
      <c r="AI1153" s="0" t="n">
        <v>35</v>
      </c>
    </row>
    <row r="1154" customFormat="false" ht="14.9" hidden="false" customHeight="false" outlineLevel="0" collapsed="false">
      <c r="A1154" s="0" t="n">
        <v>1153</v>
      </c>
      <c r="B1154" s="0" t="s">
        <v>374</v>
      </c>
      <c r="C1154" s="33" t="s">
        <v>375</v>
      </c>
      <c r="D1154" s="34" t="n">
        <v>46222</v>
      </c>
      <c r="E1154" s="0" t="n">
        <v>235.9</v>
      </c>
      <c r="F1154" s="0" t="n">
        <v>0</v>
      </c>
      <c r="G1154" s="0" t="n">
        <v>1682.43</v>
      </c>
      <c r="H1154" s="0" t="n">
        <v>285.6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0.03</v>
      </c>
      <c r="W1154" s="0" t="n">
        <v>10</v>
      </c>
      <c r="X1154" s="0" t="n">
        <v>0</v>
      </c>
      <c r="Y1154" s="0" t="n">
        <v>0</v>
      </c>
      <c r="Z1154" s="0" t="n">
        <v>0</v>
      </c>
      <c r="AA1154" s="0" t="n">
        <v>0</v>
      </c>
      <c r="AB1154" s="0" t="n">
        <v>0</v>
      </c>
      <c r="AC1154" s="0" t="n">
        <v>0</v>
      </c>
      <c r="AD1154" s="0" t="n">
        <v>0</v>
      </c>
      <c r="AE1154" s="0" t="n">
        <v>0</v>
      </c>
      <c r="AF1154" s="0" t="n">
        <v>0</v>
      </c>
      <c r="AG1154" s="0" t="n">
        <v>2213.96</v>
      </c>
      <c r="AH1154" s="0" t="n">
        <v>2213.96</v>
      </c>
      <c r="AI1154" s="0" t="n">
        <v>38</v>
      </c>
    </row>
    <row r="1155" customFormat="false" ht="14.9" hidden="false" customHeight="false" outlineLevel="0" collapsed="false">
      <c r="A1155" s="0" t="n">
        <v>1154</v>
      </c>
      <c r="B1155" s="0" t="s">
        <v>374</v>
      </c>
      <c r="C1155" s="33" t="s">
        <v>375</v>
      </c>
      <c r="D1155" s="34" t="n">
        <v>46230</v>
      </c>
      <c r="E1155" s="0" t="n">
        <v>15</v>
      </c>
      <c r="F1155" s="0" t="n">
        <v>0</v>
      </c>
      <c r="G1155" s="0" t="n">
        <v>1754.5</v>
      </c>
      <c r="H1155" s="0" t="n">
        <v>409.5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0.01</v>
      </c>
      <c r="W1155" s="0" t="n">
        <v>100</v>
      </c>
      <c r="X1155" s="0" t="n">
        <v>0</v>
      </c>
      <c r="Y1155" s="0" t="n">
        <v>0</v>
      </c>
      <c r="Z1155" s="0" t="n">
        <v>0</v>
      </c>
      <c r="AA1155" s="0" t="n">
        <v>0</v>
      </c>
      <c r="AB1155" s="0" t="n">
        <v>0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n">
        <v>2279.01</v>
      </c>
      <c r="AH1155" s="0" t="n">
        <v>2279.01</v>
      </c>
      <c r="AI1155" s="0" t="n">
        <v>43</v>
      </c>
    </row>
    <row r="1156" customFormat="false" ht="14.9" hidden="false" customHeight="false" outlineLevel="0" collapsed="false">
      <c r="A1156" s="0" t="n">
        <v>1155</v>
      </c>
      <c r="B1156" s="0" t="s">
        <v>374</v>
      </c>
      <c r="C1156" s="33" t="s">
        <v>375</v>
      </c>
      <c r="D1156" s="34" t="n">
        <v>46213</v>
      </c>
      <c r="E1156" s="0" t="n">
        <v>106.4</v>
      </c>
      <c r="F1156" s="0" t="n">
        <v>0</v>
      </c>
      <c r="G1156" s="0" t="n">
        <v>1550.6</v>
      </c>
      <c r="H1156" s="0" t="n">
        <v>169.6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29.6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0</v>
      </c>
      <c r="W1156" s="0" t="n">
        <v>10</v>
      </c>
      <c r="X1156" s="0" t="n">
        <v>0</v>
      </c>
      <c r="Y1156" s="0" t="n">
        <v>0</v>
      </c>
      <c r="Z1156" s="0" t="n">
        <v>0</v>
      </c>
      <c r="AA1156" s="0" t="n">
        <v>0</v>
      </c>
      <c r="AB1156" s="0" t="n">
        <v>0</v>
      </c>
      <c r="AC1156" s="0" t="n">
        <v>0</v>
      </c>
      <c r="AD1156" s="0" t="n">
        <v>0</v>
      </c>
      <c r="AE1156" s="0" t="n">
        <v>0</v>
      </c>
      <c r="AF1156" s="0" t="n">
        <v>0</v>
      </c>
      <c r="AG1156" s="0" t="n">
        <v>1866.2</v>
      </c>
      <c r="AH1156" s="0" t="n">
        <v>1866.2</v>
      </c>
      <c r="AI1156" s="0" t="n">
        <v>37</v>
      </c>
    </row>
    <row r="1157" customFormat="false" ht="14.9" hidden="false" customHeight="false" outlineLevel="0" collapsed="false">
      <c r="A1157" s="0" t="n">
        <v>1156</v>
      </c>
      <c r="B1157" s="0" t="s">
        <v>374</v>
      </c>
      <c r="C1157" s="33" t="s">
        <v>375</v>
      </c>
      <c r="D1157" s="34" t="n">
        <v>46212</v>
      </c>
      <c r="E1157" s="0" t="n">
        <v>445.7</v>
      </c>
      <c r="F1157" s="0" t="n">
        <v>0</v>
      </c>
      <c r="G1157" s="0" t="n">
        <v>2051.9</v>
      </c>
      <c r="H1157" s="0" t="n">
        <v>704.5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93.2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0.02</v>
      </c>
      <c r="W1157" s="0" t="n">
        <v>10</v>
      </c>
      <c r="X1157" s="0" t="n">
        <v>0</v>
      </c>
      <c r="Y1157" s="0" t="n">
        <v>0</v>
      </c>
      <c r="Z1157" s="0" t="n">
        <v>0</v>
      </c>
      <c r="AA1157" s="0" t="n">
        <v>0</v>
      </c>
      <c r="AB1157" s="0" t="n">
        <v>0</v>
      </c>
      <c r="AC1157" s="0" t="n">
        <v>0</v>
      </c>
      <c r="AD1157" s="0" t="n">
        <v>0</v>
      </c>
      <c r="AE1157" s="0" t="n">
        <v>0</v>
      </c>
      <c r="AF1157" s="0" t="n">
        <v>0</v>
      </c>
      <c r="AG1157" s="0" t="n">
        <v>3305.32</v>
      </c>
      <c r="AH1157" s="0" t="n">
        <v>3305.32</v>
      </c>
      <c r="AI1157" s="0" t="n">
        <v>44</v>
      </c>
    </row>
    <row r="1158" customFormat="false" ht="14.9" hidden="false" customHeight="false" outlineLevel="0" collapsed="false">
      <c r="A1158" s="0" t="n">
        <v>1157</v>
      </c>
      <c r="B1158" s="0" t="s">
        <v>374</v>
      </c>
      <c r="C1158" s="33" t="s">
        <v>375</v>
      </c>
      <c r="D1158" s="34" t="n">
        <v>46220</v>
      </c>
      <c r="E1158" s="0" t="n">
        <v>322.6</v>
      </c>
      <c r="F1158" s="0" t="n">
        <v>0</v>
      </c>
      <c r="G1158" s="0" t="n">
        <v>977.28</v>
      </c>
      <c r="H1158" s="0" t="n">
        <v>514.4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W1158" s="0" t="n">
        <v>10</v>
      </c>
      <c r="X1158" s="0" t="n">
        <v>0</v>
      </c>
      <c r="Y1158" s="0" t="n">
        <v>0</v>
      </c>
      <c r="Z1158" s="0" t="n">
        <v>0</v>
      </c>
      <c r="AA1158" s="0" t="n">
        <v>0</v>
      </c>
      <c r="AB1158" s="0" t="n">
        <v>0</v>
      </c>
      <c r="AC1158" s="0" t="n">
        <v>0</v>
      </c>
      <c r="AD1158" s="0" t="n">
        <v>0</v>
      </c>
      <c r="AE1158" s="0" t="n">
        <v>0</v>
      </c>
      <c r="AF1158" s="0" t="n">
        <v>0</v>
      </c>
      <c r="AG1158" s="0" t="n">
        <v>1824.28</v>
      </c>
      <c r="AH1158" s="0" t="n">
        <v>1824.28</v>
      </c>
      <c r="AI1158" s="0" t="n">
        <v>34</v>
      </c>
    </row>
    <row r="1159" customFormat="false" ht="14.9" hidden="false" customHeight="false" outlineLevel="0" collapsed="false">
      <c r="A1159" s="0" t="n">
        <v>1158</v>
      </c>
      <c r="B1159" s="0" t="s">
        <v>374</v>
      </c>
      <c r="C1159" s="33" t="s">
        <v>375</v>
      </c>
      <c r="D1159" s="34" t="n">
        <v>46218</v>
      </c>
      <c r="E1159" s="0" t="n">
        <v>246.7</v>
      </c>
      <c r="F1159" s="0" t="n">
        <v>0</v>
      </c>
      <c r="G1159" s="0" t="n">
        <v>1403.92</v>
      </c>
      <c r="H1159" s="0" t="n">
        <v>249.3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55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0.01</v>
      </c>
      <c r="W1159" s="0" t="n">
        <v>18</v>
      </c>
      <c r="X1159" s="0" t="n">
        <v>0</v>
      </c>
      <c r="Y1159" s="0" t="n">
        <v>0</v>
      </c>
      <c r="Z1159" s="0" t="n">
        <v>0</v>
      </c>
      <c r="AA1159" s="0" t="n">
        <v>0</v>
      </c>
      <c r="AB1159" s="0" t="n">
        <v>0</v>
      </c>
      <c r="AC1159" s="0" t="n">
        <v>0</v>
      </c>
      <c r="AD1159" s="0" t="n">
        <v>0</v>
      </c>
      <c r="AE1159" s="0" t="n">
        <v>0</v>
      </c>
      <c r="AF1159" s="0" t="n">
        <v>0</v>
      </c>
      <c r="AG1159" s="0" t="n">
        <v>1972.93</v>
      </c>
      <c r="AH1159" s="0" t="n">
        <v>1972.93</v>
      </c>
      <c r="AI1159" s="0" t="n">
        <v>40</v>
      </c>
    </row>
    <row r="1160" customFormat="false" ht="14.9" hidden="false" customHeight="false" outlineLevel="0" collapsed="false">
      <c r="A1160" s="0" t="n">
        <v>1159</v>
      </c>
      <c r="B1160" s="0" t="s">
        <v>374</v>
      </c>
      <c r="C1160" s="33" t="s">
        <v>375</v>
      </c>
      <c r="D1160" s="34" t="n">
        <v>46228</v>
      </c>
      <c r="E1160" s="0" t="n">
        <v>141.4</v>
      </c>
      <c r="F1160" s="0" t="n">
        <v>0</v>
      </c>
      <c r="G1160" s="0" t="n">
        <v>1355.12</v>
      </c>
      <c r="H1160" s="0" t="n">
        <v>123.9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0.01</v>
      </c>
      <c r="W1160" s="0" t="n">
        <v>25</v>
      </c>
      <c r="X1160" s="0" t="n">
        <v>0</v>
      </c>
      <c r="Y1160" s="0" t="n">
        <v>0</v>
      </c>
      <c r="Z1160" s="0" t="n">
        <v>0</v>
      </c>
      <c r="AA1160" s="0" t="n">
        <v>0</v>
      </c>
      <c r="AB1160" s="0" t="n">
        <v>0</v>
      </c>
      <c r="AC1160" s="0" t="n">
        <v>0</v>
      </c>
      <c r="AD1160" s="0" t="n">
        <v>0</v>
      </c>
      <c r="AE1160" s="0" t="n">
        <v>0</v>
      </c>
      <c r="AF1160" s="0" t="n">
        <v>0</v>
      </c>
      <c r="AG1160" s="0" t="n">
        <v>1645.43</v>
      </c>
      <c r="AH1160" s="0" t="n">
        <v>1645.43</v>
      </c>
      <c r="AI1160" s="0" t="n">
        <v>41</v>
      </c>
    </row>
    <row r="1161" customFormat="false" ht="14.9" hidden="false" customHeight="false" outlineLevel="0" collapsed="false">
      <c r="A1161" s="0" t="n">
        <v>1160</v>
      </c>
      <c r="B1161" s="0" t="s">
        <v>374</v>
      </c>
      <c r="C1161" s="33" t="s">
        <v>375</v>
      </c>
      <c r="D1161" s="34" t="n">
        <v>46224</v>
      </c>
      <c r="E1161" s="0" t="n">
        <v>628.78</v>
      </c>
      <c r="F1161" s="0" t="n">
        <v>0</v>
      </c>
      <c r="G1161" s="0" t="n">
        <v>1642.85</v>
      </c>
      <c r="H1161" s="0" t="n">
        <v>643.46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25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40</v>
      </c>
      <c r="X1161" s="0" t="n">
        <v>0</v>
      </c>
      <c r="Y1161" s="0" t="n">
        <v>0</v>
      </c>
      <c r="Z1161" s="0" t="n">
        <v>0</v>
      </c>
      <c r="AA1161" s="0" t="n">
        <v>0</v>
      </c>
      <c r="AB1161" s="0" t="n">
        <v>0</v>
      </c>
      <c r="AC1161" s="0" t="n">
        <v>0</v>
      </c>
      <c r="AD1161" s="0" t="n">
        <v>0</v>
      </c>
      <c r="AE1161" s="0" t="n">
        <v>0</v>
      </c>
      <c r="AF1161" s="0" t="n">
        <v>0</v>
      </c>
      <c r="AG1161" s="0" t="n">
        <v>2980.09</v>
      </c>
      <c r="AH1161" s="0" t="n">
        <v>2980.09</v>
      </c>
      <c r="AI1161" s="0" t="n">
        <v>42</v>
      </c>
    </row>
    <row r="1162" customFormat="false" ht="14.9" hidden="false" customHeight="false" outlineLevel="0" collapsed="false">
      <c r="A1162" s="0" t="n">
        <v>1161</v>
      </c>
      <c r="B1162" s="0" t="s">
        <v>374</v>
      </c>
      <c r="C1162" s="33" t="s">
        <v>375</v>
      </c>
      <c r="D1162" s="34" t="n">
        <v>46206</v>
      </c>
      <c r="E1162" s="0" t="n">
        <v>308.3</v>
      </c>
      <c r="F1162" s="0" t="n">
        <v>0</v>
      </c>
      <c r="G1162" s="0" t="n">
        <v>897.4</v>
      </c>
      <c r="H1162" s="0" t="n">
        <v>260.9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12.5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20</v>
      </c>
      <c r="X1162" s="0" t="n">
        <v>0</v>
      </c>
      <c r="Y1162" s="0" t="n">
        <v>0</v>
      </c>
      <c r="Z1162" s="0" t="n">
        <v>0</v>
      </c>
      <c r="AA1162" s="0" t="n">
        <v>0</v>
      </c>
      <c r="AB1162" s="0" t="n">
        <v>0</v>
      </c>
      <c r="AC1162" s="0" t="n">
        <v>0</v>
      </c>
      <c r="AD1162" s="0" t="n">
        <v>0</v>
      </c>
      <c r="AE1162" s="0" t="n">
        <v>0</v>
      </c>
      <c r="AF1162" s="0" t="n">
        <v>0</v>
      </c>
      <c r="AG1162" s="0" t="n">
        <v>1499.1</v>
      </c>
      <c r="AH1162" s="0" t="n">
        <v>1499.1</v>
      </c>
      <c r="AI1162" s="0" t="n">
        <v>33</v>
      </c>
    </row>
    <row r="1163" customFormat="false" ht="14.9" hidden="false" customHeight="false" outlineLevel="0" collapsed="false">
      <c r="A1163" s="0" t="n">
        <v>1162</v>
      </c>
      <c r="B1163" s="0" t="s">
        <v>374</v>
      </c>
      <c r="C1163" s="33" t="s">
        <v>375</v>
      </c>
      <c r="D1163" s="34" t="n">
        <v>46221</v>
      </c>
      <c r="E1163" s="0" t="n">
        <v>188.1</v>
      </c>
      <c r="F1163" s="0" t="n">
        <v>0</v>
      </c>
      <c r="G1163" s="0" t="n">
        <v>1689.3</v>
      </c>
      <c r="H1163" s="0" t="n">
        <v>432.9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34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0.02</v>
      </c>
      <c r="W1163" s="0" t="n">
        <v>15</v>
      </c>
      <c r="X1163" s="0" t="n">
        <v>0</v>
      </c>
      <c r="Y1163" s="0" t="n">
        <v>0</v>
      </c>
      <c r="Z1163" s="0" t="n">
        <v>0</v>
      </c>
      <c r="AA1163" s="0" t="n">
        <v>0</v>
      </c>
      <c r="AB1163" s="0" t="n">
        <v>0</v>
      </c>
      <c r="AC1163" s="0" t="n">
        <v>0</v>
      </c>
      <c r="AD1163" s="0" t="n">
        <v>0</v>
      </c>
      <c r="AE1163" s="0" t="n">
        <v>0</v>
      </c>
      <c r="AF1163" s="0" t="n">
        <v>0</v>
      </c>
      <c r="AG1163" s="0" t="n">
        <v>2359.32</v>
      </c>
      <c r="AH1163" s="0" t="n">
        <v>2359.32</v>
      </c>
      <c r="AI1163" s="0" t="n">
        <v>40</v>
      </c>
    </row>
    <row r="1164" customFormat="false" ht="14.9" hidden="false" customHeight="false" outlineLevel="0" collapsed="false">
      <c r="A1164" s="0" t="n">
        <v>1163</v>
      </c>
      <c r="B1164" s="0" t="s">
        <v>374</v>
      </c>
      <c r="C1164" s="33" t="s">
        <v>375</v>
      </c>
      <c r="D1164" s="34" t="n">
        <v>46205</v>
      </c>
      <c r="E1164" s="0" t="n">
        <v>159.1</v>
      </c>
      <c r="F1164" s="0" t="n">
        <v>0</v>
      </c>
      <c r="G1164" s="0" t="n">
        <v>2135.1</v>
      </c>
      <c r="H1164" s="0" t="n">
        <v>629.4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21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0</v>
      </c>
      <c r="W1164" s="0" t="n">
        <v>5</v>
      </c>
      <c r="X1164" s="0" t="n">
        <v>0</v>
      </c>
      <c r="Y1164" s="0" t="n">
        <v>0</v>
      </c>
      <c r="Z1164" s="0" t="n">
        <v>0</v>
      </c>
      <c r="AA1164" s="0" t="n">
        <v>0</v>
      </c>
      <c r="AB1164" s="0" t="n">
        <v>0</v>
      </c>
      <c r="AC1164" s="0" t="n">
        <v>0</v>
      </c>
      <c r="AD1164" s="0" t="n">
        <v>0</v>
      </c>
      <c r="AE1164" s="0" t="n">
        <v>0</v>
      </c>
      <c r="AF1164" s="0" t="n">
        <v>0</v>
      </c>
      <c r="AG1164" s="0" t="n">
        <v>2949.6</v>
      </c>
      <c r="AH1164" s="0" t="n">
        <v>2949.6</v>
      </c>
      <c r="AI1164" s="0" t="n">
        <v>41</v>
      </c>
    </row>
    <row r="1165" customFormat="false" ht="14.9" hidden="false" customHeight="false" outlineLevel="0" collapsed="false">
      <c r="A1165" s="0" t="n">
        <v>1164</v>
      </c>
      <c r="B1165" s="0" t="s">
        <v>374</v>
      </c>
      <c r="C1165" s="33" t="s">
        <v>375</v>
      </c>
      <c r="D1165" s="34" t="n">
        <v>46214</v>
      </c>
      <c r="E1165" s="0" t="n">
        <v>295.49</v>
      </c>
      <c r="F1165" s="0" t="n">
        <v>0</v>
      </c>
      <c r="G1165" s="0" t="n">
        <v>2434.6</v>
      </c>
      <c r="H1165" s="0" t="n">
        <v>427.1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97.6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3.8</v>
      </c>
      <c r="W1165" s="0" t="n">
        <v>87.1</v>
      </c>
      <c r="X1165" s="0" t="n">
        <v>0</v>
      </c>
      <c r="Y1165" s="0" t="n">
        <v>0</v>
      </c>
      <c r="Z1165" s="0" t="n">
        <v>0</v>
      </c>
      <c r="AA1165" s="0" t="n">
        <v>0</v>
      </c>
      <c r="AB1165" s="0" t="n">
        <v>0</v>
      </c>
      <c r="AC1165" s="0" t="n">
        <v>0</v>
      </c>
      <c r="AD1165" s="0" t="n">
        <v>0</v>
      </c>
      <c r="AE1165" s="0" t="n">
        <v>0</v>
      </c>
      <c r="AF1165" s="0" t="n">
        <v>0</v>
      </c>
      <c r="AG1165" s="0" t="n">
        <v>3345.69</v>
      </c>
      <c r="AH1165" s="0" t="n">
        <v>3345.69</v>
      </c>
      <c r="AI1165" s="0" t="n">
        <v>59</v>
      </c>
    </row>
    <row r="1166" customFormat="false" ht="14.9" hidden="false" customHeight="false" outlineLevel="0" collapsed="false">
      <c r="A1166" s="0" t="n">
        <v>1165</v>
      </c>
      <c r="B1166" s="0" t="s">
        <v>374</v>
      </c>
      <c r="C1166" s="33" t="s">
        <v>375</v>
      </c>
      <c r="D1166" s="34" t="n">
        <v>46207</v>
      </c>
      <c r="E1166" s="0" t="n">
        <v>192.2</v>
      </c>
      <c r="F1166" s="0" t="n">
        <v>0</v>
      </c>
      <c r="G1166" s="0" t="n">
        <v>1943.19</v>
      </c>
      <c r="H1166" s="0" t="n">
        <v>209.8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31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0" t="n">
        <v>10</v>
      </c>
      <c r="X1166" s="0" t="n">
        <v>0</v>
      </c>
      <c r="Y1166" s="0" t="n">
        <v>0</v>
      </c>
      <c r="Z1166" s="0" t="n">
        <v>0</v>
      </c>
      <c r="AA1166" s="0" t="n">
        <v>0</v>
      </c>
      <c r="AB1166" s="0" t="n">
        <v>0</v>
      </c>
      <c r="AC1166" s="0" t="n">
        <v>0</v>
      </c>
      <c r="AD1166" s="0" t="n">
        <v>0</v>
      </c>
      <c r="AE1166" s="0" t="n">
        <v>0</v>
      </c>
      <c r="AF1166" s="0" t="n">
        <v>0</v>
      </c>
      <c r="AG1166" s="0" t="n">
        <v>2386.19</v>
      </c>
      <c r="AH1166" s="0" t="n">
        <v>2386.19</v>
      </c>
      <c r="AI1166" s="0" t="n">
        <v>43</v>
      </c>
    </row>
    <row r="1167" customFormat="false" ht="14.9" hidden="false" customHeight="false" outlineLevel="0" collapsed="false">
      <c r="A1167" s="0" t="n">
        <v>1166</v>
      </c>
      <c r="B1167" s="0" t="s">
        <v>374</v>
      </c>
      <c r="C1167" s="33" t="s">
        <v>375</v>
      </c>
      <c r="D1167" s="34" t="n">
        <v>46215</v>
      </c>
      <c r="E1167" s="0" t="n">
        <v>11.01</v>
      </c>
      <c r="F1167" s="0" t="n">
        <v>0</v>
      </c>
      <c r="G1167" s="0" t="n">
        <v>1944.98</v>
      </c>
      <c r="H1167" s="0" t="n">
        <v>358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10.7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0.02</v>
      </c>
      <c r="W1167" s="0" t="n">
        <v>25</v>
      </c>
      <c r="X1167" s="0" t="n">
        <v>0</v>
      </c>
      <c r="Y1167" s="0" t="n">
        <v>0</v>
      </c>
      <c r="Z1167" s="0" t="n">
        <v>0</v>
      </c>
      <c r="AA1167" s="0" t="n">
        <v>0</v>
      </c>
      <c r="AB1167" s="0" t="n">
        <v>0</v>
      </c>
      <c r="AC1167" s="0" t="n">
        <v>0</v>
      </c>
      <c r="AD1167" s="0" t="n">
        <v>0</v>
      </c>
      <c r="AE1167" s="0" t="n">
        <v>0</v>
      </c>
      <c r="AF1167" s="0" t="n">
        <v>0</v>
      </c>
      <c r="AG1167" s="0" t="n">
        <v>2349.71</v>
      </c>
      <c r="AH1167" s="0" t="n">
        <v>2349.71</v>
      </c>
      <c r="AI1167" s="0" t="n">
        <v>36</v>
      </c>
    </row>
    <row r="1168" customFormat="false" ht="14.9" hidden="false" customHeight="false" outlineLevel="0" collapsed="false">
      <c r="A1168" s="0" t="n">
        <v>1167</v>
      </c>
      <c r="B1168" s="0" t="s">
        <v>374</v>
      </c>
      <c r="C1168" s="33" t="s">
        <v>375</v>
      </c>
      <c r="D1168" s="34" t="n">
        <v>46227</v>
      </c>
      <c r="E1168" s="0" t="n">
        <v>300.4</v>
      </c>
      <c r="F1168" s="0" t="n">
        <v>0</v>
      </c>
      <c r="G1168" s="0" t="n">
        <v>1320.58</v>
      </c>
      <c r="H1168" s="0" t="n">
        <v>421.3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0</v>
      </c>
      <c r="V1168" s="0" t="n">
        <v>0.02</v>
      </c>
      <c r="W1168" s="0" t="n">
        <v>38</v>
      </c>
      <c r="X1168" s="0" t="n">
        <v>0</v>
      </c>
      <c r="Y1168" s="0" t="n">
        <v>0</v>
      </c>
      <c r="Z1168" s="0" t="n">
        <v>0</v>
      </c>
      <c r="AA1168" s="0" t="n">
        <v>0</v>
      </c>
      <c r="AB1168" s="0" t="n">
        <v>0</v>
      </c>
      <c r="AC1168" s="0" t="n">
        <v>0</v>
      </c>
      <c r="AD1168" s="0" t="n">
        <v>0</v>
      </c>
      <c r="AE1168" s="0" t="n">
        <v>0</v>
      </c>
      <c r="AF1168" s="0" t="n">
        <v>0</v>
      </c>
      <c r="AG1168" s="0" t="n">
        <v>2080.3</v>
      </c>
      <c r="AH1168" s="0" t="n">
        <v>2080.3</v>
      </c>
      <c r="AI1168" s="0" t="n">
        <v>42</v>
      </c>
    </row>
    <row r="1169" customFormat="false" ht="14.9" hidden="false" customHeight="false" outlineLevel="0" collapsed="false">
      <c r="A1169" s="0" t="n">
        <v>1168</v>
      </c>
      <c r="B1169" s="0" t="s">
        <v>374</v>
      </c>
      <c r="C1169" s="33" t="s">
        <v>375</v>
      </c>
      <c r="D1169" s="34" t="n">
        <v>46209</v>
      </c>
      <c r="E1169" s="0" t="n">
        <v>341.7</v>
      </c>
      <c r="F1169" s="0" t="n">
        <v>0</v>
      </c>
      <c r="G1169" s="0" t="n">
        <v>2231.12</v>
      </c>
      <c r="H1169" s="0" t="n">
        <v>529.1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40</v>
      </c>
      <c r="X1169" s="0" t="n">
        <v>0</v>
      </c>
      <c r="Y1169" s="0" t="n">
        <v>0</v>
      </c>
      <c r="Z1169" s="0" t="n">
        <v>0</v>
      </c>
      <c r="AA1169" s="0" t="n">
        <v>0</v>
      </c>
      <c r="AB1169" s="0" t="n">
        <v>0</v>
      </c>
      <c r="AC1169" s="0" t="n">
        <v>0</v>
      </c>
      <c r="AD1169" s="0" t="n">
        <v>0</v>
      </c>
      <c r="AE1169" s="0" t="n">
        <v>0</v>
      </c>
      <c r="AF1169" s="0" t="n">
        <v>0</v>
      </c>
      <c r="AG1169" s="0" t="n">
        <v>3141.92</v>
      </c>
      <c r="AH1169" s="0" t="n">
        <v>3141.92</v>
      </c>
      <c r="AI1169" s="0" t="n">
        <v>48</v>
      </c>
    </row>
    <row r="1170" customFormat="false" ht="14.9" hidden="false" customHeight="false" outlineLevel="0" collapsed="false">
      <c r="A1170" s="0" t="n">
        <v>1169</v>
      </c>
      <c r="B1170" s="0" t="s">
        <v>374</v>
      </c>
      <c r="C1170" s="33" t="s">
        <v>375</v>
      </c>
      <c r="D1170" s="34" t="n">
        <v>46229</v>
      </c>
      <c r="E1170" s="0" t="n">
        <v>241.92</v>
      </c>
      <c r="F1170" s="0" t="n">
        <v>0</v>
      </c>
      <c r="G1170" s="0" t="n">
        <v>2303.45</v>
      </c>
      <c r="H1170" s="0" t="n">
        <v>352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29.5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0.02</v>
      </c>
      <c r="W1170" s="0" t="n">
        <v>75</v>
      </c>
      <c r="X1170" s="0" t="n">
        <v>0</v>
      </c>
      <c r="Y1170" s="0" t="n">
        <v>0</v>
      </c>
      <c r="Z1170" s="0" t="n">
        <v>0</v>
      </c>
      <c r="AA1170" s="0" t="n">
        <v>0</v>
      </c>
      <c r="AB1170" s="0" t="n">
        <v>0</v>
      </c>
      <c r="AC1170" s="0" t="n">
        <v>0</v>
      </c>
      <c r="AD1170" s="0" t="n">
        <v>0</v>
      </c>
      <c r="AE1170" s="0" t="n">
        <v>0</v>
      </c>
      <c r="AF1170" s="0" t="n">
        <v>0</v>
      </c>
      <c r="AG1170" s="0" t="n">
        <v>3001.89</v>
      </c>
      <c r="AH1170" s="0" t="n">
        <v>3001.89</v>
      </c>
      <c r="AI1170" s="0" t="n">
        <v>42</v>
      </c>
    </row>
    <row r="1171" customFormat="false" ht="14.9" hidden="false" customHeight="false" outlineLevel="0" collapsed="false">
      <c r="A1171" s="0" t="n">
        <v>1170</v>
      </c>
      <c r="B1171" s="0" t="s">
        <v>374</v>
      </c>
      <c r="C1171" s="33" t="s">
        <v>375</v>
      </c>
      <c r="D1171" s="34" t="n">
        <v>46226</v>
      </c>
      <c r="E1171" s="0" t="n">
        <v>136.3</v>
      </c>
      <c r="F1171" s="0" t="n">
        <v>0</v>
      </c>
      <c r="G1171" s="0" t="n">
        <v>1087.1</v>
      </c>
      <c r="H1171" s="0" t="n">
        <v>270.4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30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0.01</v>
      </c>
      <c r="W1171" s="0" t="n">
        <v>15</v>
      </c>
      <c r="X1171" s="0" t="n">
        <v>0</v>
      </c>
      <c r="Y1171" s="0" t="n">
        <v>0</v>
      </c>
      <c r="Z1171" s="0" t="n">
        <v>0</v>
      </c>
      <c r="AA1171" s="0" t="n">
        <v>0</v>
      </c>
      <c r="AB1171" s="0" t="n">
        <v>0</v>
      </c>
      <c r="AC1171" s="0" t="n">
        <v>0</v>
      </c>
      <c r="AD1171" s="0" t="n">
        <v>0</v>
      </c>
      <c r="AE1171" s="0" t="n">
        <v>0</v>
      </c>
      <c r="AF1171" s="0" t="n">
        <v>0</v>
      </c>
      <c r="AG1171" s="0" t="n">
        <v>1538.81</v>
      </c>
      <c r="AH1171" s="0" t="n">
        <v>1538.81</v>
      </c>
      <c r="AI1171" s="0" t="n">
        <v>35</v>
      </c>
    </row>
    <row r="1172" customFormat="false" ht="14.9" hidden="false" customHeight="false" outlineLevel="0" collapsed="false">
      <c r="A1172" s="0" t="n">
        <v>1171</v>
      </c>
      <c r="B1172" s="0" t="s">
        <v>374</v>
      </c>
      <c r="C1172" s="33" t="s">
        <v>375</v>
      </c>
      <c r="D1172" s="34" t="n">
        <v>46232</v>
      </c>
      <c r="E1172" s="0" t="n">
        <v>89.6</v>
      </c>
      <c r="F1172" s="0" t="n">
        <v>0</v>
      </c>
      <c r="G1172" s="0" t="n">
        <v>1514.7</v>
      </c>
      <c r="H1172" s="0" t="n">
        <v>176.4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60</v>
      </c>
      <c r="X1172" s="0" t="n">
        <v>0</v>
      </c>
      <c r="Y1172" s="0" t="n">
        <v>0</v>
      </c>
      <c r="Z1172" s="0" t="n">
        <v>0</v>
      </c>
      <c r="AA1172" s="0" t="n">
        <v>0</v>
      </c>
      <c r="AB1172" s="0" t="n">
        <v>0</v>
      </c>
      <c r="AC1172" s="0" t="n">
        <v>0</v>
      </c>
      <c r="AD1172" s="0" t="n">
        <v>0</v>
      </c>
      <c r="AE1172" s="0" t="n">
        <v>0</v>
      </c>
      <c r="AF1172" s="0" t="n">
        <v>0</v>
      </c>
      <c r="AG1172" s="0" t="n">
        <v>1840.7</v>
      </c>
      <c r="AH1172" s="0" t="n">
        <v>1840.7</v>
      </c>
      <c r="AI1172" s="0" t="n">
        <v>39</v>
      </c>
    </row>
    <row r="1173" customFormat="false" ht="14.9" hidden="false" customHeight="false" outlineLevel="0" collapsed="false">
      <c r="A1173" s="0" t="n">
        <v>1172</v>
      </c>
      <c r="B1173" s="0" t="s">
        <v>374</v>
      </c>
      <c r="C1173" s="33" t="s">
        <v>375</v>
      </c>
      <c r="D1173" s="34" t="n">
        <v>46223</v>
      </c>
      <c r="E1173" s="0" t="n">
        <v>200.6</v>
      </c>
      <c r="F1173" s="0" t="n">
        <v>0</v>
      </c>
      <c r="G1173" s="0" t="n">
        <v>1782.3</v>
      </c>
      <c r="H1173" s="0" t="n">
        <v>506.3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53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0.02</v>
      </c>
      <c r="W1173" s="0" t="n">
        <v>20</v>
      </c>
      <c r="X1173" s="0" t="n">
        <v>0</v>
      </c>
      <c r="Y1173" s="0" t="n">
        <v>0</v>
      </c>
      <c r="Z1173" s="0" t="n">
        <v>0</v>
      </c>
      <c r="AA1173" s="0" t="n">
        <v>0</v>
      </c>
      <c r="AB1173" s="0" t="n">
        <v>0</v>
      </c>
      <c r="AC1173" s="0" t="n">
        <v>0</v>
      </c>
      <c r="AD1173" s="0" t="n">
        <v>0</v>
      </c>
      <c r="AE1173" s="0" t="n">
        <v>0</v>
      </c>
      <c r="AF1173" s="0" t="n">
        <v>0</v>
      </c>
      <c r="AG1173" s="0" t="n">
        <v>2562.22</v>
      </c>
      <c r="AH1173" s="0" t="n">
        <v>2562.22</v>
      </c>
      <c r="AI1173" s="0" t="n">
        <v>45</v>
      </c>
    </row>
    <row r="1174" customFormat="false" ht="14.9" hidden="false" customHeight="false" outlineLevel="0" collapsed="false">
      <c r="A1174" s="0" t="n">
        <v>1173</v>
      </c>
      <c r="B1174" s="0" t="s">
        <v>374</v>
      </c>
      <c r="C1174" s="33" t="s">
        <v>375</v>
      </c>
      <c r="D1174" s="34" t="n">
        <v>46216</v>
      </c>
      <c r="E1174" s="0" t="n">
        <v>165.9</v>
      </c>
      <c r="F1174" s="0" t="n">
        <v>0</v>
      </c>
      <c r="G1174" s="0" t="n">
        <v>1100.4</v>
      </c>
      <c r="H1174" s="0" t="n">
        <v>378.6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0.02</v>
      </c>
      <c r="W1174" s="0" t="n">
        <v>30</v>
      </c>
      <c r="X1174" s="0" t="n">
        <v>0</v>
      </c>
      <c r="Y1174" s="0" t="n">
        <v>0</v>
      </c>
      <c r="Z1174" s="0" t="n">
        <v>0</v>
      </c>
      <c r="AA1174" s="0" t="n">
        <v>0</v>
      </c>
      <c r="AB1174" s="0" t="n">
        <v>0</v>
      </c>
      <c r="AC1174" s="0" t="n">
        <v>0</v>
      </c>
      <c r="AD1174" s="0" t="n">
        <v>0</v>
      </c>
      <c r="AE1174" s="0" t="n">
        <v>0</v>
      </c>
      <c r="AF1174" s="0" t="n">
        <v>0</v>
      </c>
      <c r="AG1174" s="0" t="n">
        <v>1674.92</v>
      </c>
      <c r="AH1174" s="0" t="n">
        <v>1674.92</v>
      </c>
      <c r="AI1174" s="0" t="n">
        <v>30</v>
      </c>
    </row>
    <row r="1175" customFormat="false" ht="14.9" hidden="false" customHeight="false" outlineLevel="0" collapsed="false">
      <c r="A1175" s="0" t="n">
        <v>1174</v>
      </c>
      <c r="B1175" s="0" t="s">
        <v>374</v>
      </c>
      <c r="C1175" s="33" t="s">
        <v>375</v>
      </c>
      <c r="D1175" s="34" t="n">
        <v>46217</v>
      </c>
      <c r="E1175" s="0" t="n">
        <v>72.6</v>
      </c>
      <c r="F1175" s="0" t="n">
        <v>0</v>
      </c>
      <c r="G1175" s="0" t="n">
        <v>1613.1</v>
      </c>
      <c r="H1175" s="0" t="n">
        <v>185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20.6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10</v>
      </c>
      <c r="X1175" s="0" t="n">
        <v>0</v>
      </c>
      <c r="Y1175" s="0" t="n">
        <v>0</v>
      </c>
      <c r="Z1175" s="0" t="n">
        <v>0</v>
      </c>
      <c r="AA1175" s="0" t="n">
        <v>0</v>
      </c>
      <c r="AB1175" s="0" t="n">
        <v>0</v>
      </c>
      <c r="AC1175" s="0" t="n">
        <v>0</v>
      </c>
      <c r="AD1175" s="0" t="n">
        <v>0</v>
      </c>
      <c r="AE1175" s="0" t="n">
        <v>0</v>
      </c>
      <c r="AF1175" s="0" t="n">
        <v>0</v>
      </c>
      <c r="AG1175" s="0" t="n">
        <v>1901.3</v>
      </c>
      <c r="AH1175" s="0" t="n">
        <v>1901.3</v>
      </c>
      <c r="AI1175" s="0" t="n">
        <v>42</v>
      </c>
    </row>
    <row r="1176" customFormat="false" ht="14.9" hidden="false" customHeight="false" outlineLevel="0" collapsed="false">
      <c r="A1176" s="0" t="n">
        <v>1175</v>
      </c>
      <c r="B1176" s="0" t="s">
        <v>374</v>
      </c>
      <c r="C1176" s="33" t="s">
        <v>375</v>
      </c>
      <c r="D1176" s="34" t="n">
        <v>46233</v>
      </c>
      <c r="E1176" s="0" t="n">
        <v>400.5</v>
      </c>
      <c r="F1176" s="0" t="n">
        <v>0</v>
      </c>
      <c r="G1176" s="0" t="n">
        <v>1120.79</v>
      </c>
      <c r="H1176" s="0" t="n">
        <v>269.3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115</v>
      </c>
      <c r="X1176" s="0" t="n">
        <v>0</v>
      </c>
      <c r="Y1176" s="0" t="n">
        <v>0</v>
      </c>
      <c r="Z1176" s="0" t="n">
        <v>0</v>
      </c>
      <c r="AA1176" s="0" t="n">
        <v>0</v>
      </c>
      <c r="AB1176" s="0" t="n">
        <v>0</v>
      </c>
      <c r="AC1176" s="0" t="n">
        <v>0</v>
      </c>
      <c r="AD1176" s="0" t="n">
        <v>0</v>
      </c>
      <c r="AE1176" s="0" t="n">
        <v>0</v>
      </c>
      <c r="AF1176" s="0" t="n">
        <v>0</v>
      </c>
      <c r="AG1176" s="0" t="n">
        <v>1905.59</v>
      </c>
      <c r="AH1176" s="0" t="n">
        <v>1905.59</v>
      </c>
      <c r="AI1176" s="0" t="n">
        <v>37</v>
      </c>
    </row>
    <row r="1177" customFormat="false" ht="14.9" hidden="false" customHeight="false" outlineLevel="0" collapsed="false">
      <c r="A1177" s="0" t="n">
        <v>1176</v>
      </c>
      <c r="B1177" s="0" t="s">
        <v>374</v>
      </c>
      <c r="C1177" s="33" t="s">
        <v>375</v>
      </c>
      <c r="D1177" s="34" t="n">
        <v>46204</v>
      </c>
      <c r="E1177" s="0" t="n">
        <v>176.8</v>
      </c>
      <c r="F1177" s="0" t="n">
        <v>0</v>
      </c>
      <c r="G1177" s="0" t="n">
        <v>2487.74</v>
      </c>
      <c r="H1177" s="0" t="n">
        <v>365.8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25</v>
      </c>
      <c r="X1177" s="0" t="n">
        <v>0</v>
      </c>
      <c r="Y1177" s="0" t="n">
        <v>0</v>
      </c>
      <c r="Z1177" s="0" t="n">
        <v>0</v>
      </c>
      <c r="AA1177" s="0" t="n">
        <v>0</v>
      </c>
      <c r="AB1177" s="0" t="n">
        <v>0</v>
      </c>
      <c r="AC1177" s="0" t="n">
        <v>0</v>
      </c>
      <c r="AD1177" s="0" t="n">
        <v>0</v>
      </c>
      <c r="AE1177" s="0" t="n">
        <v>0</v>
      </c>
      <c r="AF1177" s="0" t="n">
        <v>0</v>
      </c>
      <c r="AG1177" s="0" t="n">
        <v>3055.34</v>
      </c>
      <c r="AH1177" s="0" t="n">
        <v>3055.34</v>
      </c>
      <c r="AI1177" s="0" t="n">
        <v>53</v>
      </c>
    </row>
    <row r="1178" customFormat="false" ht="14.9" hidden="false" customHeight="false" outlineLevel="0" collapsed="false">
      <c r="A1178" s="0" t="n">
        <v>1177</v>
      </c>
      <c r="B1178" s="0" t="s">
        <v>374</v>
      </c>
      <c r="C1178" s="33" t="s">
        <v>375</v>
      </c>
      <c r="D1178" s="34" t="n">
        <v>46208</v>
      </c>
      <c r="E1178" s="0" t="n">
        <v>-26.2</v>
      </c>
      <c r="F1178" s="0" t="n">
        <v>0</v>
      </c>
      <c r="G1178" s="0" t="n">
        <v>1348.4</v>
      </c>
      <c r="H1178" s="0" t="n">
        <v>121.6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20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15</v>
      </c>
      <c r="X1178" s="0" t="n">
        <v>0</v>
      </c>
      <c r="Y1178" s="0" t="n">
        <v>0</v>
      </c>
      <c r="Z1178" s="0" t="n">
        <v>0</v>
      </c>
      <c r="AA1178" s="0" t="n">
        <v>0</v>
      </c>
      <c r="AB1178" s="0" t="n">
        <v>0</v>
      </c>
      <c r="AC1178" s="0" t="n">
        <v>0</v>
      </c>
      <c r="AD1178" s="0" t="n">
        <v>0</v>
      </c>
      <c r="AE1178" s="0" t="n">
        <v>0</v>
      </c>
      <c r="AF1178" s="0" t="n">
        <v>0</v>
      </c>
      <c r="AG1178" s="0" t="n">
        <v>1478.8</v>
      </c>
      <c r="AH1178" s="0" t="n">
        <v>1478.8</v>
      </c>
      <c r="AI1178" s="0" t="n">
        <v>28</v>
      </c>
    </row>
    <row r="1179" customFormat="false" ht="14.9" hidden="false" customHeight="false" outlineLevel="0" collapsed="false">
      <c r="A1179" s="0" t="n">
        <v>1178</v>
      </c>
      <c r="B1179" s="0" t="s">
        <v>374</v>
      </c>
      <c r="C1179" s="33" t="s">
        <v>375</v>
      </c>
      <c r="D1179" s="34" t="n">
        <v>46219</v>
      </c>
      <c r="E1179" s="0" t="n">
        <v>126.25</v>
      </c>
      <c r="F1179" s="0" t="n">
        <v>0</v>
      </c>
      <c r="G1179" s="0" t="n">
        <v>1695.95</v>
      </c>
      <c r="H1179" s="0" t="n">
        <v>628.7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50.3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7.6</v>
      </c>
      <c r="W1179" s="0" t="n">
        <v>69</v>
      </c>
      <c r="X1179" s="0" t="n">
        <v>0</v>
      </c>
      <c r="Y1179" s="0" t="n">
        <v>0</v>
      </c>
      <c r="Z1179" s="0" t="n">
        <v>0</v>
      </c>
      <c r="AA1179" s="0" t="n">
        <v>0</v>
      </c>
      <c r="AB1179" s="0" t="n">
        <v>0</v>
      </c>
      <c r="AC1179" s="0" t="n">
        <v>0</v>
      </c>
      <c r="AD1179" s="0" t="n">
        <v>0</v>
      </c>
      <c r="AE1179" s="0" t="n">
        <v>0</v>
      </c>
      <c r="AF1179" s="0" t="n">
        <v>0</v>
      </c>
      <c r="AG1179" s="0" t="n">
        <v>2577.8</v>
      </c>
      <c r="AH1179" s="0" t="n">
        <v>2577.8</v>
      </c>
      <c r="AI1179" s="0" t="n">
        <v>45</v>
      </c>
    </row>
    <row r="1180" customFormat="false" ht="14.9" hidden="false" customHeight="false" outlineLevel="0" collapsed="false">
      <c r="A1180" s="0" t="n">
        <v>1179</v>
      </c>
      <c r="B1180" s="0" t="s">
        <v>376</v>
      </c>
      <c r="C1180" s="33" t="s">
        <v>377</v>
      </c>
      <c r="D1180" s="34" t="n">
        <v>46226</v>
      </c>
      <c r="E1180" s="0" t="n">
        <v>89.16</v>
      </c>
      <c r="F1180" s="0" t="n">
        <v>1028.8</v>
      </c>
      <c r="G1180" s="0" t="n">
        <v>355.4</v>
      </c>
      <c r="H1180" s="0" t="n">
        <v>1053.58</v>
      </c>
      <c r="I1180" s="0" t="n">
        <v>0</v>
      </c>
      <c r="J1180" s="0" t="n">
        <v>258.31</v>
      </c>
      <c r="K1180" s="0" t="n">
        <v>0</v>
      </c>
      <c r="L1180" s="0" t="n">
        <v>0</v>
      </c>
      <c r="M1180" s="0" t="n">
        <v>67.8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40.19</v>
      </c>
      <c r="T1180" s="0" t="n">
        <v>0</v>
      </c>
      <c r="U1180" s="0" t="n">
        <v>0</v>
      </c>
      <c r="V1180" s="0" t="n">
        <v>0</v>
      </c>
      <c r="W1180" s="0" t="n">
        <v>59.1</v>
      </c>
      <c r="X1180" s="0" t="n">
        <v>0</v>
      </c>
      <c r="Y1180" s="0" t="n">
        <v>0</v>
      </c>
      <c r="Z1180" s="0" t="n">
        <v>0</v>
      </c>
      <c r="AA1180" s="0" t="n">
        <v>0</v>
      </c>
      <c r="AB1180" s="0" t="n">
        <v>0</v>
      </c>
      <c r="AC1180" s="0" t="n">
        <v>0</v>
      </c>
      <c r="AD1180" s="0" t="n">
        <v>0</v>
      </c>
      <c r="AE1180" s="0" t="n">
        <v>0</v>
      </c>
      <c r="AF1180" s="0" t="n">
        <v>0</v>
      </c>
      <c r="AG1180" s="0" t="n">
        <v>2952.34</v>
      </c>
      <c r="AH1180" s="0" t="n">
        <v>2952.34</v>
      </c>
      <c r="AI1180" s="0" t="n">
        <v>50</v>
      </c>
    </row>
    <row r="1181" customFormat="false" ht="14.9" hidden="false" customHeight="false" outlineLevel="0" collapsed="false">
      <c r="A1181" s="0" t="n">
        <v>1180</v>
      </c>
      <c r="B1181" s="0" t="s">
        <v>376</v>
      </c>
      <c r="C1181" s="33" t="s">
        <v>377</v>
      </c>
      <c r="D1181" s="34" t="n">
        <v>46218</v>
      </c>
      <c r="E1181" s="0" t="n">
        <v>343.61</v>
      </c>
      <c r="F1181" s="0" t="n">
        <v>548.6</v>
      </c>
      <c r="G1181" s="0" t="n">
        <v>29.7</v>
      </c>
      <c r="H1181" s="0" t="n">
        <v>1144.2</v>
      </c>
      <c r="I1181" s="0" t="n">
        <v>0</v>
      </c>
      <c r="J1181" s="0" t="n">
        <v>456.86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692.04</v>
      </c>
      <c r="T1181" s="0" t="n">
        <v>0</v>
      </c>
      <c r="U1181" s="0" t="n">
        <v>0</v>
      </c>
      <c r="V1181" s="0" t="n">
        <v>0</v>
      </c>
      <c r="W1181" s="0" t="n">
        <v>62.1</v>
      </c>
      <c r="X1181" s="0" t="n">
        <v>0</v>
      </c>
      <c r="Y1181" s="0" t="n">
        <v>0</v>
      </c>
      <c r="Z1181" s="0" t="n">
        <v>0</v>
      </c>
      <c r="AA1181" s="0" t="n">
        <v>0</v>
      </c>
      <c r="AB1181" s="0" t="n">
        <v>0</v>
      </c>
      <c r="AC1181" s="0" t="n">
        <v>0</v>
      </c>
      <c r="AD1181" s="0" t="n">
        <v>0</v>
      </c>
      <c r="AE1181" s="0" t="n">
        <v>0</v>
      </c>
      <c r="AF1181" s="0" t="n">
        <v>0</v>
      </c>
      <c r="AG1181" s="0" t="n">
        <v>3277.11</v>
      </c>
      <c r="AH1181" s="0" t="n">
        <v>3277.11</v>
      </c>
      <c r="AI1181" s="0" t="n">
        <v>57</v>
      </c>
    </row>
    <row r="1182" customFormat="false" ht="14.9" hidden="false" customHeight="false" outlineLevel="0" collapsed="false">
      <c r="A1182" s="0" t="n">
        <v>1181</v>
      </c>
      <c r="B1182" s="0" t="s">
        <v>376</v>
      </c>
      <c r="C1182" s="33" t="s">
        <v>377</v>
      </c>
      <c r="D1182" s="34" t="n">
        <v>46223</v>
      </c>
      <c r="E1182" s="0" t="n">
        <v>389.01</v>
      </c>
      <c r="F1182" s="0" t="n">
        <v>1109.14</v>
      </c>
      <c r="G1182" s="0" t="n">
        <v>32</v>
      </c>
      <c r="H1182" s="0" t="n">
        <v>699</v>
      </c>
      <c r="I1182" s="0" t="n">
        <v>0</v>
      </c>
      <c r="J1182" s="0" t="n">
        <v>339.54</v>
      </c>
      <c r="K1182" s="0" t="n">
        <v>0</v>
      </c>
      <c r="L1182" s="0" t="n">
        <v>0</v>
      </c>
      <c r="M1182" s="0" t="n">
        <v>12.5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54.25</v>
      </c>
      <c r="T1182" s="0" t="n">
        <v>0</v>
      </c>
      <c r="U1182" s="0" t="n">
        <v>0</v>
      </c>
      <c r="V1182" s="0" t="n">
        <v>0</v>
      </c>
      <c r="W1182" s="0" t="n">
        <v>69</v>
      </c>
      <c r="X1182" s="0" t="n">
        <v>0</v>
      </c>
      <c r="Y1182" s="0" t="n">
        <v>0</v>
      </c>
      <c r="Z1182" s="0" t="n">
        <v>0</v>
      </c>
      <c r="AA1182" s="0" t="n">
        <v>0</v>
      </c>
      <c r="AB1182" s="0" t="n">
        <v>0</v>
      </c>
      <c r="AC1182" s="0" t="n">
        <v>0</v>
      </c>
      <c r="AD1182" s="0" t="n">
        <v>0</v>
      </c>
      <c r="AE1182" s="0" t="n">
        <v>0</v>
      </c>
      <c r="AF1182" s="0" t="n">
        <v>0</v>
      </c>
      <c r="AG1182" s="0" t="n">
        <v>2704.44</v>
      </c>
      <c r="AH1182" s="0" t="n">
        <v>2704.44</v>
      </c>
      <c r="AI1182" s="0" t="n">
        <v>58</v>
      </c>
    </row>
    <row r="1183" customFormat="false" ht="14.9" hidden="false" customHeight="false" outlineLevel="0" collapsed="false">
      <c r="A1183" s="0" t="n">
        <v>1182</v>
      </c>
      <c r="B1183" s="0" t="s">
        <v>376</v>
      </c>
      <c r="C1183" s="33" t="s">
        <v>377</v>
      </c>
      <c r="D1183" s="34" t="n">
        <v>46216</v>
      </c>
      <c r="E1183" s="0" t="n">
        <v>121.52</v>
      </c>
      <c r="F1183" s="0" t="n">
        <v>1053.23</v>
      </c>
      <c r="G1183" s="0" t="n">
        <v>419.14</v>
      </c>
      <c r="H1183" s="0" t="n">
        <v>597.96</v>
      </c>
      <c r="I1183" s="0" t="n">
        <v>0</v>
      </c>
      <c r="J1183" s="0" t="n">
        <v>145.07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366.7</v>
      </c>
      <c r="T1183" s="0" t="n">
        <v>0</v>
      </c>
      <c r="U1183" s="0" t="n">
        <v>0</v>
      </c>
      <c r="V1183" s="0" t="n">
        <v>0.02</v>
      </c>
      <c r="W1183" s="0" t="n">
        <v>69.1</v>
      </c>
      <c r="X1183" s="0" t="n">
        <v>0</v>
      </c>
      <c r="Y1183" s="0" t="n">
        <v>0</v>
      </c>
      <c r="Z1183" s="0" t="n">
        <v>0</v>
      </c>
      <c r="AA1183" s="0" t="n">
        <v>0</v>
      </c>
      <c r="AB1183" s="0" t="n">
        <v>0</v>
      </c>
      <c r="AC1183" s="0" t="n">
        <v>0</v>
      </c>
      <c r="AD1183" s="0" t="n">
        <v>0</v>
      </c>
      <c r="AE1183" s="0" t="n">
        <v>0</v>
      </c>
      <c r="AF1183" s="0" t="n">
        <v>0</v>
      </c>
      <c r="AG1183" s="0" t="n">
        <v>2772.74</v>
      </c>
      <c r="AH1183" s="0" t="n">
        <v>2772.74</v>
      </c>
      <c r="AI1183" s="0" t="n">
        <v>54</v>
      </c>
    </row>
    <row r="1184" customFormat="false" ht="14.9" hidden="false" customHeight="false" outlineLevel="0" collapsed="false">
      <c r="A1184" s="0" t="n">
        <v>1183</v>
      </c>
      <c r="B1184" s="0" t="s">
        <v>376</v>
      </c>
      <c r="C1184" s="33" t="s">
        <v>377</v>
      </c>
      <c r="D1184" s="34" t="n">
        <v>46220</v>
      </c>
      <c r="E1184" s="0" t="n">
        <v>194.96</v>
      </c>
      <c r="F1184" s="0" t="n">
        <v>927.06</v>
      </c>
      <c r="G1184" s="0" t="n">
        <v>204</v>
      </c>
      <c r="H1184" s="0" t="n">
        <v>499.19</v>
      </c>
      <c r="I1184" s="0" t="n">
        <v>0</v>
      </c>
      <c r="J1184" s="0" t="n">
        <v>888.7</v>
      </c>
      <c r="K1184" s="0" t="n">
        <v>0</v>
      </c>
      <c r="L1184" s="0" t="n">
        <v>0</v>
      </c>
      <c r="M1184" s="0" t="n">
        <v>74.3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237.9</v>
      </c>
      <c r="T1184" s="0" t="n">
        <v>0</v>
      </c>
      <c r="U1184" s="0" t="n">
        <v>0</v>
      </c>
      <c r="V1184" s="0" t="n">
        <v>0</v>
      </c>
      <c r="W1184" s="0" t="n">
        <v>72.1</v>
      </c>
      <c r="X1184" s="0" t="n">
        <v>0</v>
      </c>
      <c r="Y1184" s="0" t="n">
        <v>0</v>
      </c>
      <c r="Z1184" s="0" t="n">
        <v>0</v>
      </c>
      <c r="AA1184" s="0" t="n">
        <v>0</v>
      </c>
      <c r="AB1184" s="0" t="n">
        <v>0</v>
      </c>
      <c r="AC1184" s="0" t="n">
        <v>0</v>
      </c>
      <c r="AD1184" s="0" t="n">
        <v>0</v>
      </c>
      <c r="AE1184" s="0" t="n">
        <v>0</v>
      </c>
      <c r="AF1184" s="0" t="n">
        <v>0</v>
      </c>
      <c r="AG1184" s="0" t="n">
        <v>3098.21</v>
      </c>
      <c r="AH1184" s="0" t="n">
        <v>3098.21</v>
      </c>
      <c r="AI1184" s="0" t="n">
        <v>58</v>
      </c>
    </row>
    <row r="1185" customFormat="false" ht="14.9" hidden="false" customHeight="false" outlineLevel="0" collapsed="false">
      <c r="A1185" s="0" t="n">
        <v>1184</v>
      </c>
      <c r="B1185" s="0" t="s">
        <v>376</v>
      </c>
      <c r="C1185" s="33" t="s">
        <v>377</v>
      </c>
      <c r="D1185" s="34" t="n">
        <v>46231</v>
      </c>
      <c r="E1185" s="0" t="n">
        <v>594.6</v>
      </c>
      <c r="F1185" s="0" t="n">
        <v>965.4</v>
      </c>
      <c r="G1185" s="0" t="n">
        <v>37.8</v>
      </c>
      <c r="H1185" s="0" t="n">
        <v>1968</v>
      </c>
      <c r="I1185" s="0" t="n">
        <v>0</v>
      </c>
      <c r="J1185" s="0" t="n">
        <v>259.32</v>
      </c>
      <c r="K1185" s="0" t="n">
        <v>0</v>
      </c>
      <c r="L1185" s="0" t="n">
        <v>0</v>
      </c>
      <c r="M1185" s="0" t="n">
        <v>77.8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170.58</v>
      </c>
      <c r="T1185" s="0" t="n">
        <v>0</v>
      </c>
      <c r="U1185" s="0" t="n">
        <v>0</v>
      </c>
      <c r="V1185" s="0" t="n">
        <v>0</v>
      </c>
      <c r="W1185" s="0" t="n">
        <v>459</v>
      </c>
      <c r="X1185" s="0" t="n">
        <v>0</v>
      </c>
      <c r="Y1185" s="0" t="n">
        <v>0</v>
      </c>
      <c r="Z1185" s="0" t="n">
        <v>0</v>
      </c>
      <c r="AA1185" s="0" t="n">
        <v>0</v>
      </c>
      <c r="AB1185" s="0" t="n">
        <v>0</v>
      </c>
      <c r="AC1185" s="0" t="n">
        <v>0</v>
      </c>
      <c r="AD1185" s="0" t="n">
        <v>0</v>
      </c>
      <c r="AE1185" s="0" t="n">
        <v>0</v>
      </c>
      <c r="AF1185" s="0" t="n">
        <v>0</v>
      </c>
      <c r="AG1185" s="0" t="n">
        <v>4532.5</v>
      </c>
      <c r="AH1185" s="0" t="n">
        <v>4532.5</v>
      </c>
      <c r="AI1185" s="0" t="n">
        <v>64</v>
      </c>
    </row>
    <row r="1186" customFormat="false" ht="14.9" hidden="false" customHeight="false" outlineLevel="0" collapsed="false">
      <c r="A1186" s="0" t="n">
        <v>1185</v>
      </c>
      <c r="B1186" s="0" t="s">
        <v>376</v>
      </c>
      <c r="C1186" s="33" t="s">
        <v>377</v>
      </c>
      <c r="D1186" s="34" t="n">
        <v>46210</v>
      </c>
      <c r="E1186" s="0" t="n">
        <v>473.21</v>
      </c>
      <c r="F1186" s="0" t="n">
        <v>1818.9</v>
      </c>
      <c r="G1186" s="0" t="n">
        <v>62.5</v>
      </c>
      <c r="H1186" s="0" t="n">
        <v>798.06</v>
      </c>
      <c r="I1186" s="0" t="n">
        <v>0</v>
      </c>
      <c r="J1186" s="0" t="n">
        <v>987.05</v>
      </c>
      <c r="K1186" s="0" t="n">
        <v>0</v>
      </c>
      <c r="L1186" s="0" t="n">
        <v>0</v>
      </c>
      <c r="M1186" s="0" t="n">
        <v>62.3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122.81</v>
      </c>
      <c r="T1186" s="0" t="n">
        <v>0</v>
      </c>
      <c r="U1186" s="0" t="n">
        <v>0</v>
      </c>
      <c r="V1186" s="0" t="n">
        <v>0.02</v>
      </c>
      <c r="W1186" s="0" t="n">
        <v>15</v>
      </c>
      <c r="X1186" s="0" t="n">
        <v>0</v>
      </c>
      <c r="Y1186" s="0" t="n">
        <v>0</v>
      </c>
      <c r="Z1186" s="0" t="n">
        <v>0</v>
      </c>
      <c r="AA1186" s="0" t="n">
        <v>0</v>
      </c>
      <c r="AB1186" s="0" t="n">
        <v>0</v>
      </c>
      <c r="AC1186" s="0" t="n">
        <v>0</v>
      </c>
      <c r="AD1186" s="0" t="n">
        <v>0</v>
      </c>
      <c r="AE1186" s="0" t="n">
        <v>0</v>
      </c>
      <c r="AF1186" s="0" t="n">
        <v>0</v>
      </c>
      <c r="AG1186" s="0" t="n">
        <v>4339.85</v>
      </c>
      <c r="AH1186" s="0" t="n">
        <v>4339.85</v>
      </c>
      <c r="AI1186" s="0" t="n">
        <v>57</v>
      </c>
    </row>
    <row r="1187" customFormat="false" ht="14.9" hidden="false" customHeight="false" outlineLevel="0" collapsed="false">
      <c r="A1187" s="0" t="n">
        <v>1186</v>
      </c>
      <c r="B1187" s="0" t="s">
        <v>376</v>
      </c>
      <c r="C1187" s="33" t="s">
        <v>377</v>
      </c>
      <c r="D1187" s="34" t="n">
        <v>46219</v>
      </c>
      <c r="E1187" s="0" t="n">
        <v>564.63</v>
      </c>
      <c r="F1187" s="0" t="n">
        <v>792.22</v>
      </c>
      <c r="G1187" s="0" t="n">
        <v>1263.77</v>
      </c>
      <c r="H1187" s="0" t="n">
        <v>711.44</v>
      </c>
      <c r="I1187" s="0" t="n">
        <v>0</v>
      </c>
      <c r="J1187" s="0" t="n">
        <v>89.11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48.4</v>
      </c>
      <c r="T1187" s="0" t="n">
        <v>0</v>
      </c>
      <c r="U1187" s="0" t="n">
        <v>0</v>
      </c>
      <c r="V1187" s="0" t="n">
        <v>33.52</v>
      </c>
      <c r="W1187" s="0" t="n">
        <v>91</v>
      </c>
      <c r="X1187" s="0" t="n">
        <v>0</v>
      </c>
      <c r="Y1187" s="0" t="n">
        <v>0</v>
      </c>
      <c r="Z1187" s="0" t="n">
        <v>0</v>
      </c>
      <c r="AA1187" s="0" t="n">
        <v>0</v>
      </c>
      <c r="AB1187" s="0" t="n">
        <v>0</v>
      </c>
      <c r="AC1187" s="0" t="n">
        <v>0</v>
      </c>
      <c r="AD1187" s="0" t="n">
        <v>0</v>
      </c>
      <c r="AE1187" s="0" t="n">
        <v>0</v>
      </c>
      <c r="AF1187" s="0" t="n">
        <v>0</v>
      </c>
      <c r="AG1187" s="0" t="n">
        <v>3594.09</v>
      </c>
      <c r="AH1187" s="0" t="n">
        <v>3594.09</v>
      </c>
      <c r="AI1187" s="0" t="n">
        <v>59</v>
      </c>
    </row>
    <row r="1188" customFormat="false" ht="14.9" hidden="false" customHeight="false" outlineLevel="0" collapsed="false">
      <c r="A1188" s="0" t="n">
        <v>1187</v>
      </c>
      <c r="B1188" s="0" t="s">
        <v>376</v>
      </c>
      <c r="C1188" s="33" t="s">
        <v>377</v>
      </c>
      <c r="D1188" s="34" t="n">
        <v>46227</v>
      </c>
      <c r="E1188" s="0" t="n">
        <v>418</v>
      </c>
      <c r="F1188" s="0" t="n">
        <v>849.2</v>
      </c>
      <c r="G1188" s="0" t="n">
        <v>472</v>
      </c>
      <c r="H1188" s="0" t="n">
        <v>1048.6</v>
      </c>
      <c r="I1188" s="0" t="n">
        <v>0</v>
      </c>
      <c r="J1188" s="0" t="n">
        <v>7.6</v>
      </c>
      <c r="K1188" s="0" t="n">
        <v>0</v>
      </c>
      <c r="L1188" s="0" t="n">
        <v>0</v>
      </c>
      <c r="M1188" s="0" t="n">
        <v>131.2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376.4</v>
      </c>
      <c r="T1188" s="0" t="n">
        <v>0</v>
      </c>
      <c r="U1188" s="0" t="n">
        <v>0</v>
      </c>
      <c r="V1188" s="0" t="n">
        <v>0</v>
      </c>
      <c r="W1188" s="0" t="n">
        <v>98</v>
      </c>
      <c r="X1188" s="0" t="n">
        <v>0</v>
      </c>
      <c r="Y1188" s="0" t="n">
        <v>0</v>
      </c>
      <c r="Z1188" s="0" t="n">
        <v>0</v>
      </c>
      <c r="AA1188" s="0" t="n">
        <v>0</v>
      </c>
      <c r="AB1188" s="0" t="n">
        <v>0</v>
      </c>
      <c r="AC1188" s="0" t="n">
        <v>0</v>
      </c>
      <c r="AD1188" s="0" t="n">
        <v>0</v>
      </c>
      <c r="AE1188" s="0" t="n">
        <v>0</v>
      </c>
      <c r="AF1188" s="0" t="n">
        <v>0</v>
      </c>
      <c r="AG1188" s="0" t="n">
        <v>3401</v>
      </c>
      <c r="AH1188" s="0" t="n">
        <v>3401</v>
      </c>
      <c r="AI1188" s="0" t="n">
        <v>57</v>
      </c>
    </row>
    <row r="1189" customFormat="false" ht="14.9" hidden="false" customHeight="false" outlineLevel="0" collapsed="false">
      <c r="A1189" s="0" t="n">
        <v>1188</v>
      </c>
      <c r="B1189" s="0" t="s">
        <v>376</v>
      </c>
      <c r="C1189" s="33" t="s">
        <v>377</v>
      </c>
      <c r="D1189" s="34" t="n">
        <v>46209</v>
      </c>
      <c r="E1189" s="0" t="n">
        <v>2025.05</v>
      </c>
      <c r="F1189" s="0" t="n">
        <v>2306.02</v>
      </c>
      <c r="G1189" s="0" t="n">
        <v>130.6</v>
      </c>
      <c r="H1189" s="0" t="n">
        <v>1058.1</v>
      </c>
      <c r="I1189" s="0" t="n">
        <v>0</v>
      </c>
      <c r="J1189" s="0" t="n">
        <v>322.44</v>
      </c>
      <c r="K1189" s="0" t="n">
        <v>0</v>
      </c>
      <c r="L1189" s="0" t="n">
        <v>0</v>
      </c>
      <c r="M1189" s="0" t="n">
        <v>86.5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187</v>
      </c>
      <c r="T1189" s="0" t="n">
        <v>0</v>
      </c>
      <c r="U1189" s="0" t="n">
        <v>0</v>
      </c>
      <c r="V1189" s="0" t="n">
        <v>9.9</v>
      </c>
      <c r="W1189" s="0" t="n">
        <v>134</v>
      </c>
      <c r="X1189" s="0" t="n">
        <v>0</v>
      </c>
      <c r="Y1189" s="0" t="n">
        <v>0</v>
      </c>
      <c r="Z1189" s="0" t="n">
        <v>0</v>
      </c>
      <c r="AA1189" s="0" t="n">
        <v>0</v>
      </c>
      <c r="AB1189" s="0" t="n">
        <v>0</v>
      </c>
      <c r="AC1189" s="0" t="n">
        <v>0</v>
      </c>
      <c r="AD1189" s="0" t="n">
        <v>0</v>
      </c>
      <c r="AE1189" s="0" t="n">
        <v>0</v>
      </c>
      <c r="AF1189" s="0" t="n">
        <v>0</v>
      </c>
      <c r="AG1189" s="0" t="n">
        <v>6259.61</v>
      </c>
      <c r="AH1189" s="0" t="n">
        <v>6259.61</v>
      </c>
      <c r="AI1189" s="0" t="n">
        <v>77</v>
      </c>
    </row>
    <row r="1190" customFormat="false" ht="14.9" hidden="false" customHeight="false" outlineLevel="0" collapsed="false">
      <c r="A1190" s="0" t="n">
        <v>1189</v>
      </c>
      <c r="B1190" s="0" t="s">
        <v>376</v>
      </c>
      <c r="C1190" s="33" t="s">
        <v>377</v>
      </c>
      <c r="D1190" s="34" t="n">
        <v>46225</v>
      </c>
      <c r="E1190" s="0" t="n">
        <v>211.86</v>
      </c>
      <c r="F1190" s="0" t="n">
        <v>1187.97</v>
      </c>
      <c r="G1190" s="0" t="n">
        <v>230.9</v>
      </c>
      <c r="H1190" s="0" t="n">
        <v>1305.16</v>
      </c>
      <c r="I1190" s="0" t="n">
        <v>0</v>
      </c>
      <c r="J1190" s="0" t="n">
        <v>50.35</v>
      </c>
      <c r="K1190" s="0" t="n">
        <v>0</v>
      </c>
      <c r="L1190" s="0" t="n">
        <v>0</v>
      </c>
      <c r="M1190" s="0" t="n">
        <v>126.8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568.3</v>
      </c>
      <c r="T1190" s="0" t="n">
        <v>0</v>
      </c>
      <c r="U1190" s="0" t="n">
        <v>0</v>
      </c>
      <c r="V1190" s="0" t="n">
        <v>0</v>
      </c>
      <c r="W1190" s="0" t="n">
        <v>20</v>
      </c>
      <c r="X1190" s="0" t="n">
        <v>0</v>
      </c>
      <c r="Y1190" s="0" t="n">
        <v>0</v>
      </c>
      <c r="Z1190" s="0" t="n">
        <v>0</v>
      </c>
      <c r="AA1190" s="0" t="n">
        <v>0</v>
      </c>
      <c r="AB1190" s="0" t="n">
        <v>0</v>
      </c>
      <c r="AC1190" s="0" t="n">
        <v>0</v>
      </c>
      <c r="AD1190" s="0" t="n">
        <v>0</v>
      </c>
      <c r="AE1190" s="0" t="n">
        <v>0</v>
      </c>
      <c r="AF1190" s="0" t="n">
        <v>0</v>
      </c>
      <c r="AG1190" s="0" t="n">
        <v>3701.34</v>
      </c>
      <c r="AH1190" s="0" t="n">
        <v>3701.34</v>
      </c>
      <c r="AI1190" s="0" t="n">
        <v>55</v>
      </c>
    </row>
    <row r="1191" customFormat="false" ht="14.9" hidden="false" customHeight="false" outlineLevel="0" collapsed="false">
      <c r="A1191" s="0" t="n">
        <v>1190</v>
      </c>
      <c r="B1191" s="0" t="s">
        <v>376</v>
      </c>
      <c r="C1191" s="33" t="s">
        <v>377</v>
      </c>
      <c r="D1191" s="34" t="n">
        <v>46206</v>
      </c>
      <c r="E1191" s="0" t="n">
        <v>22.2</v>
      </c>
      <c r="F1191" s="0" t="n">
        <v>544.6</v>
      </c>
      <c r="G1191" s="0" t="n">
        <v>242.9</v>
      </c>
      <c r="H1191" s="0" t="n">
        <v>526.3</v>
      </c>
      <c r="I1191" s="0" t="n">
        <v>0</v>
      </c>
      <c r="J1191" s="0" t="n">
        <v>320.82</v>
      </c>
      <c r="K1191" s="0" t="n">
        <v>0</v>
      </c>
      <c r="L1191" s="0" t="n">
        <v>0</v>
      </c>
      <c r="M1191" s="0" t="n">
        <v>128.2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619.68</v>
      </c>
      <c r="T1191" s="0" t="n">
        <v>0</v>
      </c>
      <c r="U1191" s="0" t="n">
        <v>0</v>
      </c>
      <c r="V1191" s="0" t="n">
        <v>0</v>
      </c>
      <c r="W1191" s="0" t="n">
        <v>15</v>
      </c>
      <c r="X1191" s="0" t="n">
        <v>0</v>
      </c>
      <c r="Y1191" s="0" t="n">
        <v>0</v>
      </c>
      <c r="Z1191" s="0" t="n">
        <v>0</v>
      </c>
      <c r="AA1191" s="0" t="n">
        <v>0</v>
      </c>
      <c r="AB1191" s="0" t="n">
        <v>0</v>
      </c>
      <c r="AC1191" s="0" t="n">
        <v>0</v>
      </c>
      <c r="AD1191" s="0" t="n">
        <v>0</v>
      </c>
      <c r="AE1191" s="0" t="n">
        <v>0</v>
      </c>
      <c r="AF1191" s="0" t="n">
        <v>0</v>
      </c>
      <c r="AG1191" s="0" t="n">
        <v>2419.7</v>
      </c>
      <c r="AH1191" s="0" t="n">
        <v>2419.7</v>
      </c>
      <c r="AI1191" s="0" t="n">
        <v>36</v>
      </c>
    </row>
    <row r="1192" customFormat="false" ht="14.9" hidden="false" customHeight="false" outlineLevel="0" collapsed="false">
      <c r="A1192" s="0" t="n">
        <v>1191</v>
      </c>
      <c r="B1192" s="0" t="s">
        <v>376</v>
      </c>
      <c r="C1192" s="33" t="s">
        <v>377</v>
      </c>
      <c r="D1192" s="34" t="n">
        <v>46232</v>
      </c>
      <c r="E1192" s="0" t="n">
        <v>189.19</v>
      </c>
      <c r="F1192" s="0" t="n">
        <v>1419.9</v>
      </c>
      <c r="G1192" s="0" t="n">
        <v>134.4</v>
      </c>
      <c r="H1192" s="0" t="n">
        <v>2455.79</v>
      </c>
      <c r="I1192" s="0" t="n">
        <v>0</v>
      </c>
      <c r="J1192" s="0" t="n">
        <v>394.06</v>
      </c>
      <c r="K1192" s="0" t="n">
        <v>0</v>
      </c>
      <c r="L1192" s="0" t="n">
        <v>0</v>
      </c>
      <c r="M1192" s="0" t="n">
        <v>103.8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226.74</v>
      </c>
      <c r="T1192" s="0" t="n">
        <v>0</v>
      </c>
      <c r="U1192" s="0" t="n">
        <v>0</v>
      </c>
      <c r="V1192" s="0" t="n">
        <v>0</v>
      </c>
      <c r="W1192" s="0" t="n">
        <v>540</v>
      </c>
      <c r="X1192" s="0" t="n">
        <v>0</v>
      </c>
      <c r="Y1192" s="0" t="n">
        <v>0</v>
      </c>
      <c r="Z1192" s="0" t="n">
        <v>0</v>
      </c>
      <c r="AA1192" s="0" t="n">
        <v>0</v>
      </c>
      <c r="AB1192" s="0" t="n">
        <v>0</v>
      </c>
      <c r="AC1192" s="0" t="n">
        <v>0</v>
      </c>
      <c r="AD1192" s="0" t="n">
        <v>0</v>
      </c>
      <c r="AE1192" s="0" t="n">
        <v>0</v>
      </c>
      <c r="AF1192" s="0" t="n">
        <v>0</v>
      </c>
      <c r="AG1192" s="0" t="n">
        <v>5463.88</v>
      </c>
      <c r="AH1192" s="0" t="n">
        <v>5463.88</v>
      </c>
      <c r="AI1192" s="0" t="n">
        <v>58</v>
      </c>
    </row>
    <row r="1193" customFormat="false" ht="14.9" hidden="false" customHeight="false" outlineLevel="0" collapsed="false">
      <c r="A1193" s="0" t="n">
        <v>1192</v>
      </c>
      <c r="B1193" s="0" t="s">
        <v>376</v>
      </c>
      <c r="C1193" s="33" t="s">
        <v>377</v>
      </c>
      <c r="D1193" s="34" t="n">
        <v>46222</v>
      </c>
      <c r="E1193" s="0" t="n">
        <v>466.13</v>
      </c>
      <c r="F1193" s="0" t="n">
        <v>628.3</v>
      </c>
      <c r="G1193" s="0" t="n">
        <v>260.77</v>
      </c>
      <c r="H1193" s="0" t="n">
        <v>1131.68</v>
      </c>
      <c r="I1193" s="0" t="n">
        <v>0</v>
      </c>
      <c r="J1193" s="0" t="n">
        <v>17.1</v>
      </c>
      <c r="K1193" s="0" t="n">
        <v>0</v>
      </c>
      <c r="L1193" s="0" t="n">
        <v>0</v>
      </c>
      <c r="M1193" s="0" t="n">
        <v>53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163.1</v>
      </c>
      <c r="T1193" s="0" t="n">
        <v>0</v>
      </c>
      <c r="U1193" s="0" t="n">
        <v>0</v>
      </c>
      <c r="V1193" s="0" t="n">
        <v>0</v>
      </c>
      <c r="W1193" s="0" t="n">
        <v>131.3</v>
      </c>
      <c r="X1193" s="0" t="n">
        <v>0</v>
      </c>
      <c r="Y1193" s="0" t="n">
        <v>0</v>
      </c>
      <c r="Z1193" s="0" t="n">
        <v>0</v>
      </c>
      <c r="AA1193" s="0" t="n">
        <v>0</v>
      </c>
      <c r="AB1193" s="0" t="n">
        <v>0</v>
      </c>
      <c r="AC1193" s="0" t="n">
        <v>0</v>
      </c>
      <c r="AD1193" s="0" t="n">
        <v>0</v>
      </c>
      <c r="AE1193" s="0" t="n">
        <v>0</v>
      </c>
      <c r="AF1193" s="0" t="n">
        <v>0</v>
      </c>
      <c r="AG1193" s="0" t="n">
        <v>2851.38</v>
      </c>
      <c r="AH1193" s="0" t="n">
        <v>2851.38</v>
      </c>
      <c r="AI1193" s="0" t="n">
        <v>70</v>
      </c>
    </row>
    <row r="1194" customFormat="false" ht="14.9" hidden="false" customHeight="false" outlineLevel="0" collapsed="false">
      <c r="A1194" s="0" t="n">
        <v>1193</v>
      </c>
      <c r="B1194" s="0" t="s">
        <v>376</v>
      </c>
      <c r="C1194" s="33" t="s">
        <v>377</v>
      </c>
      <c r="D1194" s="34" t="n">
        <v>46214</v>
      </c>
      <c r="E1194" s="0" t="n">
        <v>939.55</v>
      </c>
      <c r="F1194" s="0" t="n">
        <v>1477.3</v>
      </c>
      <c r="G1194" s="0" t="n">
        <v>705.28</v>
      </c>
      <c r="H1194" s="0" t="n">
        <v>1204.96</v>
      </c>
      <c r="I1194" s="0" t="n">
        <v>0</v>
      </c>
      <c r="J1194" s="0" t="n">
        <v>692.89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946.58</v>
      </c>
      <c r="T1194" s="0" t="n">
        <v>0</v>
      </c>
      <c r="U1194" s="0" t="n">
        <v>0</v>
      </c>
      <c r="V1194" s="0" t="n">
        <v>9.9</v>
      </c>
      <c r="W1194" s="0" t="n">
        <v>209</v>
      </c>
      <c r="X1194" s="0" t="n">
        <v>0</v>
      </c>
      <c r="Y1194" s="0" t="n">
        <v>0</v>
      </c>
      <c r="Z1194" s="0" t="n">
        <v>0</v>
      </c>
      <c r="AA1194" s="0" t="n">
        <v>0</v>
      </c>
      <c r="AB1194" s="0" t="n">
        <v>0</v>
      </c>
      <c r="AC1194" s="0" t="n">
        <v>0</v>
      </c>
      <c r="AD1194" s="0" t="n">
        <v>0</v>
      </c>
      <c r="AE1194" s="0" t="n">
        <v>0</v>
      </c>
      <c r="AF1194" s="0" t="n">
        <v>0</v>
      </c>
      <c r="AG1194" s="0" t="n">
        <v>6185.46</v>
      </c>
      <c r="AH1194" s="0" t="n">
        <v>6185.46</v>
      </c>
      <c r="AI1194" s="0" t="n">
        <v>86</v>
      </c>
    </row>
    <row r="1195" customFormat="false" ht="14.9" hidden="false" customHeight="false" outlineLevel="0" collapsed="false">
      <c r="A1195" s="0" t="n">
        <v>1194</v>
      </c>
      <c r="B1195" s="0" t="s">
        <v>376</v>
      </c>
      <c r="C1195" s="33" t="s">
        <v>377</v>
      </c>
      <c r="D1195" s="34" t="n">
        <v>46233</v>
      </c>
      <c r="E1195" s="0" t="n">
        <v>140</v>
      </c>
      <c r="F1195" s="0" t="n">
        <v>987.76</v>
      </c>
      <c r="G1195" s="0" t="n">
        <v>223.38</v>
      </c>
      <c r="H1195" s="0" t="n">
        <v>708.7</v>
      </c>
      <c r="I1195" s="0" t="n">
        <v>0</v>
      </c>
      <c r="J1195" s="0" t="n">
        <v>416.1</v>
      </c>
      <c r="K1195" s="0" t="n">
        <v>0</v>
      </c>
      <c r="L1195" s="0" t="n">
        <v>0</v>
      </c>
      <c r="M1195" s="0" t="n">
        <v>46.9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310.6</v>
      </c>
      <c r="T1195" s="0" t="n">
        <v>0</v>
      </c>
      <c r="U1195" s="0" t="n">
        <v>0</v>
      </c>
      <c r="V1195" s="0" t="n">
        <v>0.02</v>
      </c>
      <c r="W1195" s="0" t="n">
        <v>530.4</v>
      </c>
      <c r="X1195" s="0" t="n">
        <v>0</v>
      </c>
      <c r="Y1195" s="0" t="n">
        <v>0</v>
      </c>
      <c r="Z1195" s="0" t="n">
        <v>0</v>
      </c>
      <c r="AA1195" s="0" t="n">
        <v>0</v>
      </c>
      <c r="AB1195" s="0" t="n">
        <v>0</v>
      </c>
      <c r="AC1195" s="0" t="n">
        <v>0</v>
      </c>
      <c r="AD1195" s="0" t="n">
        <v>0</v>
      </c>
      <c r="AE1195" s="0" t="n">
        <v>0</v>
      </c>
      <c r="AF1195" s="0" t="n">
        <v>0</v>
      </c>
      <c r="AG1195" s="0" t="n">
        <v>3363.86</v>
      </c>
      <c r="AH1195" s="0" t="n">
        <v>3363.86</v>
      </c>
      <c r="AI1195" s="0" t="n">
        <v>61</v>
      </c>
    </row>
    <row r="1196" customFormat="false" ht="14.9" hidden="false" customHeight="false" outlineLevel="0" collapsed="false">
      <c r="A1196" s="0" t="n">
        <v>1195</v>
      </c>
      <c r="B1196" s="0" t="s">
        <v>376</v>
      </c>
      <c r="C1196" s="33" t="s">
        <v>377</v>
      </c>
      <c r="D1196" s="34" t="n">
        <v>46213</v>
      </c>
      <c r="E1196" s="0" t="n">
        <v>374.82</v>
      </c>
      <c r="F1196" s="0" t="n">
        <v>1112.9</v>
      </c>
      <c r="G1196" s="0" t="n">
        <v>120.4</v>
      </c>
      <c r="H1196" s="0" t="n">
        <v>1544.58</v>
      </c>
      <c r="I1196" s="0" t="n">
        <v>0</v>
      </c>
      <c r="J1196" s="0" t="n">
        <v>376.2</v>
      </c>
      <c r="K1196" s="0" t="n">
        <v>0</v>
      </c>
      <c r="L1196" s="0" t="n">
        <v>0</v>
      </c>
      <c r="M1196" s="0" t="n">
        <v>34.4</v>
      </c>
      <c r="N1196" s="0" t="n">
        <v>0</v>
      </c>
      <c r="O1196" s="0" t="n">
        <v>59</v>
      </c>
      <c r="P1196" s="0" t="n">
        <v>0</v>
      </c>
      <c r="Q1196" s="0" t="n">
        <v>0</v>
      </c>
      <c r="R1196" s="0" t="n">
        <v>0</v>
      </c>
      <c r="S1196" s="0" t="n">
        <v>655.7</v>
      </c>
      <c r="T1196" s="0" t="n">
        <v>0</v>
      </c>
      <c r="U1196" s="0" t="n">
        <v>0</v>
      </c>
      <c r="V1196" s="0" t="n">
        <v>0</v>
      </c>
      <c r="W1196" s="0" t="n">
        <v>21.1</v>
      </c>
      <c r="X1196" s="0" t="n">
        <v>0</v>
      </c>
      <c r="Y1196" s="0" t="n">
        <v>0</v>
      </c>
      <c r="Z1196" s="0" t="n">
        <v>0</v>
      </c>
      <c r="AA1196" s="0" t="n">
        <v>0</v>
      </c>
      <c r="AB1196" s="0" t="n">
        <v>0</v>
      </c>
      <c r="AC1196" s="0" t="n">
        <v>0</v>
      </c>
      <c r="AD1196" s="0" t="n">
        <v>0</v>
      </c>
      <c r="AE1196" s="0" t="n">
        <v>0</v>
      </c>
      <c r="AF1196" s="0" t="n">
        <v>0</v>
      </c>
      <c r="AG1196" s="0" t="n">
        <v>4299.1</v>
      </c>
      <c r="AH1196" s="0" t="n">
        <v>4299.1</v>
      </c>
      <c r="AI1196" s="0" t="n">
        <v>60</v>
      </c>
    </row>
    <row r="1197" customFormat="false" ht="14.9" hidden="false" customHeight="false" outlineLevel="0" collapsed="false">
      <c r="A1197" s="0" t="n">
        <v>1196</v>
      </c>
      <c r="B1197" s="0" t="s">
        <v>376</v>
      </c>
      <c r="C1197" s="33" t="s">
        <v>377</v>
      </c>
      <c r="D1197" s="34" t="n">
        <v>46208</v>
      </c>
      <c r="E1197" s="0" t="n">
        <v>216.7</v>
      </c>
      <c r="F1197" s="0" t="n">
        <v>1552.4</v>
      </c>
      <c r="G1197" s="0" t="n">
        <v>-64.78</v>
      </c>
      <c r="H1197" s="0" t="n">
        <v>1081.68</v>
      </c>
      <c r="I1197" s="0" t="n">
        <v>0</v>
      </c>
      <c r="J1197" s="0" t="n">
        <v>904.55</v>
      </c>
      <c r="K1197" s="0" t="n">
        <v>0</v>
      </c>
      <c r="L1197" s="0" t="n">
        <v>0</v>
      </c>
      <c r="M1197" s="0" t="n">
        <v>24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778.22</v>
      </c>
      <c r="T1197" s="0" t="n">
        <v>0</v>
      </c>
      <c r="U1197" s="0" t="n">
        <v>0</v>
      </c>
      <c r="V1197" s="0" t="n">
        <v>0</v>
      </c>
      <c r="W1197" s="0" t="n">
        <v>18</v>
      </c>
      <c r="X1197" s="0" t="n">
        <v>0</v>
      </c>
      <c r="Y1197" s="0" t="n">
        <v>0</v>
      </c>
      <c r="Z1197" s="0" t="n">
        <v>0</v>
      </c>
      <c r="AA1197" s="0" t="n">
        <v>0</v>
      </c>
      <c r="AB1197" s="0" t="n">
        <v>0</v>
      </c>
      <c r="AC1197" s="0" t="n">
        <v>0</v>
      </c>
      <c r="AD1197" s="0" t="n">
        <v>0</v>
      </c>
      <c r="AE1197" s="0" t="n">
        <v>0</v>
      </c>
      <c r="AF1197" s="0" t="n">
        <v>0</v>
      </c>
      <c r="AG1197" s="0" t="n">
        <v>4510.77</v>
      </c>
      <c r="AH1197" s="0" t="n">
        <v>4510.77</v>
      </c>
      <c r="AI1197" s="0" t="n">
        <v>45</v>
      </c>
    </row>
    <row r="1198" customFormat="false" ht="14.9" hidden="false" customHeight="false" outlineLevel="0" collapsed="false">
      <c r="A1198" s="0" t="n">
        <v>1197</v>
      </c>
      <c r="B1198" s="0" t="s">
        <v>376</v>
      </c>
      <c r="C1198" s="33" t="s">
        <v>377</v>
      </c>
      <c r="D1198" s="34" t="n">
        <v>46211</v>
      </c>
      <c r="E1198" s="0" t="n">
        <v>476.02</v>
      </c>
      <c r="F1198" s="0" t="n">
        <v>1283.84</v>
      </c>
      <c r="G1198" s="0" t="n">
        <v>249.1</v>
      </c>
      <c r="H1198" s="0" t="n">
        <v>756.66</v>
      </c>
      <c r="I1198" s="0" t="n">
        <v>0</v>
      </c>
      <c r="J1198" s="0" t="n">
        <v>495.9</v>
      </c>
      <c r="K1198" s="0" t="n">
        <v>0</v>
      </c>
      <c r="L1198" s="0" t="n">
        <v>0</v>
      </c>
      <c r="M1198" s="0" t="n">
        <v>84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459.02</v>
      </c>
      <c r="T1198" s="0" t="n">
        <v>0</v>
      </c>
      <c r="U1198" s="0" t="n">
        <v>0</v>
      </c>
      <c r="V1198" s="0" t="n">
        <v>0</v>
      </c>
      <c r="W1198" s="0" t="n">
        <v>28</v>
      </c>
      <c r="X1198" s="0" t="n">
        <v>0</v>
      </c>
      <c r="Y1198" s="0" t="n">
        <v>0</v>
      </c>
      <c r="Z1198" s="0" t="n">
        <v>0</v>
      </c>
      <c r="AA1198" s="0" t="n">
        <v>0</v>
      </c>
      <c r="AB1198" s="0" t="n">
        <v>0</v>
      </c>
      <c r="AC1198" s="0" t="n">
        <v>0</v>
      </c>
      <c r="AD1198" s="0" t="n">
        <v>0</v>
      </c>
      <c r="AE1198" s="0" t="n">
        <v>0</v>
      </c>
      <c r="AF1198" s="0" t="n">
        <v>0</v>
      </c>
      <c r="AG1198" s="0" t="n">
        <v>3832.54</v>
      </c>
      <c r="AH1198" s="0" t="n">
        <v>3832.54</v>
      </c>
      <c r="AI1198" s="0" t="n">
        <v>63</v>
      </c>
    </row>
    <row r="1199" customFormat="false" ht="14.9" hidden="false" customHeight="false" outlineLevel="0" collapsed="false">
      <c r="A1199" s="0" t="n">
        <v>1198</v>
      </c>
      <c r="B1199" s="0" t="s">
        <v>376</v>
      </c>
      <c r="C1199" s="33" t="s">
        <v>377</v>
      </c>
      <c r="D1199" s="34" t="n">
        <v>46229</v>
      </c>
      <c r="E1199" s="0" t="n">
        <v>559.56</v>
      </c>
      <c r="F1199" s="0" t="n">
        <v>1926.38</v>
      </c>
      <c r="G1199" s="0" t="n">
        <v>264.68</v>
      </c>
      <c r="H1199" s="0" t="n">
        <v>1419.55</v>
      </c>
      <c r="I1199" s="0" t="n">
        <v>0</v>
      </c>
      <c r="J1199" s="0" t="n">
        <v>907.07</v>
      </c>
      <c r="K1199" s="0" t="n">
        <v>0</v>
      </c>
      <c r="L1199" s="0" t="n">
        <v>0</v>
      </c>
      <c r="M1199" s="0" t="n">
        <v>98.8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1166</v>
      </c>
      <c r="T1199" s="0" t="n">
        <v>0</v>
      </c>
      <c r="U1199" s="0" t="n">
        <v>0</v>
      </c>
      <c r="V1199" s="0" t="n">
        <v>43.4</v>
      </c>
      <c r="W1199" s="0" t="n">
        <v>177</v>
      </c>
      <c r="X1199" s="0" t="n">
        <v>0</v>
      </c>
      <c r="Y1199" s="0" t="n">
        <v>0</v>
      </c>
      <c r="Z1199" s="0" t="n">
        <v>0</v>
      </c>
      <c r="AA1199" s="0" t="n">
        <v>0</v>
      </c>
      <c r="AB1199" s="0" t="n">
        <v>0</v>
      </c>
      <c r="AC1199" s="0" t="n">
        <v>0</v>
      </c>
      <c r="AD1199" s="0" t="n">
        <v>0</v>
      </c>
      <c r="AE1199" s="0" t="n">
        <v>0</v>
      </c>
      <c r="AF1199" s="0" t="n">
        <v>0</v>
      </c>
      <c r="AG1199" s="0" t="n">
        <v>6562.44</v>
      </c>
      <c r="AH1199" s="0" t="n">
        <v>6562.44</v>
      </c>
      <c r="AI1199" s="0" t="n">
        <v>79</v>
      </c>
    </row>
    <row r="1200" customFormat="false" ht="14.9" hidden="false" customHeight="false" outlineLevel="0" collapsed="false">
      <c r="A1200" s="0" t="n">
        <v>1199</v>
      </c>
      <c r="B1200" s="0" t="s">
        <v>376</v>
      </c>
      <c r="C1200" s="33" t="s">
        <v>377</v>
      </c>
      <c r="D1200" s="34" t="n">
        <v>46228</v>
      </c>
      <c r="E1200" s="0" t="n">
        <v>64.13</v>
      </c>
      <c r="F1200" s="0" t="n">
        <v>669.65</v>
      </c>
      <c r="G1200" s="0" t="n">
        <v>217.88</v>
      </c>
      <c r="H1200" s="0" t="n">
        <v>862.1</v>
      </c>
      <c r="I1200" s="0" t="n">
        <v>0</v>
      </c>
      <c r="J1200" s="0" t="n">
        <v>1447.72</v>
      </c>
      <c r="K1200" s="0" t="n">
        <v>0</v>
      </c>
      <c r="L1200" s="0" t="n">
        <v>0</v>
      </c>
      <c r="M1200" s="0" t="n">
        <v>26.64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293.56</v>
      </c>
      <c r="T1200" s="0" t="n">
        <v>0</v>
      </c>
      <c r="U1200" s="0" t="n">
        <v>0</v>
      </c>
      <c r="V1200" s="0" t="n">
        <v>0</v>
      </c>
      <c r="W1200" s="0" t="n">
        <v>34</v>
      </c>
      <c r="X1200" s="0" t="n">
        <v>0</v>
      </c>
      <c r="Y1200" s="0" t="n">
        <v>0</v>
      </c>
      <c r="Z1200" s="0" t="n">
        <v>0</v>
      </c>
      <c r="AA1200" s="0" t="n">
        <v>0</v>
      </c>
      <c r="AB1200" s="0" t="n">
        <v>0</v>
      </c>
      <c r="AC1200" s="0" t="n">
        <v>0</v>
      </c>
      <c r="AD1200" s="0" t="n">
        <v>0</v>
      </c>
      <c r="AE1200" s="0" t="n">
        <v>0</v>
      </c>
      <c r="AF1200" s="0" t="n">
        <v>0</v>
      </c>
      <c r="AG1200" s="0" t="n">
        <v>3615.68</v>
      </c>
      <c r="AH1200" s="0" t="n">
        <v>3615.68</v>
      </c>
      <c r="AI1200" s="0" t="n">
        <v>57</v>
      </c>
    </row>
    <row r="1201" customFormat="false" ht="14.9" hidden="false" customHeight="false" outlineLevel="0" collapsed="false">
      <c r="A1201" s="0" t="n">
        <v>1200</v>
      </c>
      <c r="B1201" s="0" t="s">
        <v>376</v>
      </c>
      <c r="C1201" s="33" t="s">
        <v>377</v>
      </c>
      <c r="D1201" s="34" t="n">
        <v>46207</v>
      </c>
      <c r="E1201" s="0" t="n">
        <v>358</v>
      </c>
      <c r="F1201" s="0" t="n">
        <v>735.24</v>
      </c>
      <c r="G1201" s="0" t="n">
        <v>446</v>
      </c>
      <c r="H1201" s="0" t="n">
        <v>1599.5</v>
      </c>
      <c r="I1201" s="0" t="n">
        <v>0</v>
      </c>
      <c r="J1201" s="0" t="n">
        <v>709.08</v>
      </c>
      <c r="K1201" s="0" t="n">
        <v>0</v>
      </c>
      <c r="L1201" s="0" t="n">
        <v>0</v>
      </c>
      <c r="M1201" s="0" t="n">
        <v>137.6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265.08</v>
      </c>
      <c r="T1201" s="0" t="n">
        <v>0</v>
      </c>
      <c r="U1201" s="0" t="n">
        <v>0</v>
      </c>
      <c r="V1201" s="0" t="n">
        <v>0</v>
      </c>
      <c r="W1201" s="0" t="n">
        <v>16</v>
      </c>
      <c r="X1201" s="0" t="n">
        <v>0</v>
      </c>
      <c r="Y1201" s="0" t="n">
        <v>0</v>
      </c>
      <c r="Z1201" s="0" t="n">
        <v>0</v>
      </c>
      <c r="AA1201" s="0" t="n">
        <v>0</v>
      </c>
      <c r="AB1201" s="0" t="n">
        <v>0</v>
      </c>
      <c r="AC1201" s="0" t="n">
        <v>0</v>
      </c>
      <c r="AD1201" s="0" t="n">
        <v>0</v>
      </c>
      <c r="AE1201" s="0" t="n">
        <v>0</v>
      </c>
      <c r="AF1201" s="0" t="n">
        <v>0</v>
      </c>
      <c r="AG1201" s="0" t="n">
        <v>4266.5</v>
      </c>
      <c r="AH1201" s="0" t="n">
        <v>4266.5</v>
      </c>
      <c r="AI1201" s="0" t="n">
        <v>51</v>
      </c>
    </row>
    <row r="1202" customFormat="false" ht="14.9" hidden="false" customHeight="false" outlineLevel="0" collapsed="false">
      <c r="A1202" s="0" t="n">
        <v>1201</v>
      </c>
      <c r="B1202" s="0" t="s">
        <v>376</v>
      </c>
      <c r="C1202" s="33" t="s">
        <v>377</v>
      </c>
      <c r="D1202" s="34" t="n">
        <v>46234</v>
      </c>
      <c r="E1202" s="0" t="n">
        <v>735.42</v>
      </c>
      <c r="F1202" s="0" t="n">
        <v>1082.2</v>
      </c>
      <c r="G1202" s="0" t="n">
        <v>352.3</v>
      </c>
      <c r="H1202" s="0" t="n">
        <v>531.98</v>
      </c>
      <c r="I1202" s="0" t="n">
        <v>0</v>
      </c>
      <c r="J1202" s="0" t="n">
        <v>96.71</v>
      </c>
      <c r="K1202" s="0" t="n">
        <v>0</v>
      </c>
      <c r="L1202" s="0" t="n">
        <v>0</v>
      </c>
      <c r="M1202" s="0" t="n">
        <v>170.4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50.29</v>
      </c>
      <c r="T1202" s="0" t="n">
        <v>0</v>
      </c>
      <c r="U1202" s="0" t="n">
        <v>0</v>
      </c>
      <c r="V1202" s="0" t="n">
        <v>0</v>
      </c>
      <c r="W1202" s="0" t="n">
        <v>269.8</v>
      </c>
      <c r="X1202" s="0" t="n">
        <v>0</v>
      </c>
      <c r="Y1202" s="0" t="n">
        <v>0</v>
      </c>
      <c r="Z1202" s="0" t="n">
        <v>0</v>
      </c>
      <c r="AA1202" s="0" t="n">
        <v>0</v>
      </c>
      <c r="AB1202" s="0" t="n">
        <v>0</v>
      </c>
      <c r="AC1202" s="0" t="n">
        <v>0</v>
      </c>
      <c r="AD1202" s="0" t="n">
        <v>0</v>
      </c>
      <c r="AE1202" s="0" t="n">
        <v>0</v>
      </c>
      <c r="AF1202" s="0" t="n">
        <v>0</v>
      </c>
      <c r="AG1202" s="0" t="n">
        <v>3289.1</v>
      </c>
      <c r="AH1202" s="0" t="n">
        <v>3289.1</v>
      </c>
      <c r="AI1202" s="0" t="n">
        <v>55</v>
      </c>
    </row>
    <row r="1203" customFormat="false" ht="14.9" hidden="false" customHeight="false" outlineLevel="0" collapsed="false">
      <c r="A1203" s="0" t="n">
        <v>1202</v>
      </c>
      <c r="B1203" s="0" t="s">
        <v>376</v>
      </c>
      <c r="C1203" s="33" t="s">
        <v>377</v>
      </c>
      <c r="D1203" s="34" t="n">
        <v>46212</v>
      </c>
      <c r="E1203" s="0" t="n">
        <v>386.64</v>
      </c>
      <c r="F1203" s="0" t="n">
        <v>454.2</v>
      </c>
      <c r="G1203" s="0" t="n">
        <v>68.8</v>
      </c>
      <c r="H1203" s="0" t="n">
        <v>684.24</v>
      </c>
      <c r="I1203" s="0" t="n">
        <v>0</v>
      </c>
      <c r="J1203" s="0" t="n">
        <v>38.76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182.74</v>
      </c>
      <c r="T1203" s="0" t="n">
        <v>0</v>
      </c>
      <c r="U1203" s="0" t="n">
        <v>0</v>
      </c>
      <c r="V1203" s="0" t="n">
        <v>0</v>
      </c>
      <c r="W1203" s="0" t="n">
        <v>8.1</v>
      </c>
      <c r="X1203" s="0" t="n">
        <v>0</v>
      </c>
      <c r="Y1203" s="0" t="n">
        <v>0</v>
      </c>
      <c r="Z1203" s="0" t="n">
        <v>0</v>
      </c>
      <c r="AA1203" s="0" t="n">
        <v>0</v>
      </c>
      <c r="AB1203" s="0" t="n">
        <v>0</v>
      </c>
      <c r="AC1203" s="0" t="n">
        <v>0</v>
      </c>
      <c r="AD1203" s="0" t="n">
        <v>0</v>
      </c>
      <c r="AE1203" s="0" t="n">
        <v>0</v>
      </c>
      <c r="AF1203" s="0" t="n">
        <v>0</v>
      </c>
      <c r="AG1203" s="0" t="n">
        <v>1823.48</v>
      </c>
      <c r="AH1203" s="0" t="n">
        <v>1823.48</v>
      </c>
      <c r="AI1203" s="0" t="n">
        <v>35</v>
      </c>
    </row>
    <row r="1204" customFormat="false" ht="14.9" hidden="false" customHeight="false" outlineLevel="0" collapsed="false">
      <c r="A1204" s="0" t="n">
        <v>1203</v>
      </c>
      <c r="B1204" s="0" t="s">
        <v>376</v>
      </c>
      <c r="C1204" s="33" t="s">
        <v>377</v>
      </c>
      <c r="D1204" s="34" t="n">
        <v>46215</v>
      </c>
      <c r="E1204" s="0" t="n">
        <v>110.74</v>
      </c>
      <c r="F1204" s="0" t="n">
        <v>1038.9</v>
      </c>
      <c r="G1204" s="0" t="n">
        <v>117.2</v>
      </c>
      <c r="H1204" s="0" t="n">
        <v>845.78</v>
      </c>
      <c r="I1204" s="0" t="n">
        <v>0</v>
      </c>
      <c r="J1204" s="0" t="n">
        <v>433.78</v>
      </c>
      <c r="K1204" s="0" t="n">
        <v>0</v>
      </c>
      <c r="L1204" s="0" t="n">
        <v>0</v>
      </c>
      <c r="M1204" s="0" t="n">
        <v>140.2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1221.25</v>
      </c>
      <c r="T1204" s="0" t="n">
        <v>0</v>
      </c>
      <c r="U1204" s="0" t="n">
        <v>0</v>
      </c>
      <c r="V1204" s="0" t="n">
        <v>0</v>
      </c>
      <c r="W1204" s="0" t="n">
        <v>51</v>
      </c>
      <c r="X1204" s="0" t="n">
        <v>0</v>
      </c>
      <c r="Y1204" s="0" t="n">
        <v>0</v>
      </c>
      <c r="Z1204" s="0" t="n">
        <v>0</v>
      </c>
      <c r="AA1204" s="0" t="n">
        <v>0</v>
      </c>
      <c r="AB1204" s="0" t="n">
        <v>0</v>
      </c>
      <c r="AC1204" s="0" t="n">
        <v>0</v>
      </c>
      <c r="AD1204" s="0" t="n">
        <v>0</v>
      </c>
      <c r="AE1204" s="0" t="n">
        <v>0</v>
      </c>
      <c r="AF1204" s="0" t="n">
        <v>0</v>
      </c>
      <c r="AG1204" s="0" t="n">
        <v>3958.85</v>
      </c>
      <c r="AH1204" s="0" t="n">
        <v>3958.85</v>
      </c>
      <c r="AI1204" s="0" t="n">
        <v>60</v>
      </c>
    </row>
    <row r="1205" customFormat="false" ht="14.9" hidden="false" customHeight="false" outlineLevel="0" collapsed="false">
      <c r="A1205" s="0" t="n">
        <v>1204</v>
      </c>
      <c r="B1205" s="0" t="s">
        <v>376</v>
      </c>
      <c r="C1205" s="33" t="s">
        <v>377</v>
      </c>
      <c r="D1205" s="34" t="n">
        <v>46204</v>
      </c>
      <c r="E1205" s="0" t="n">
        <v>289.98</v>
      </c>
      <c r="F1205" s="0" t="n">
        <v>944.33</v>
      </c>
      <c r="G1205" s="0" t="n">
        <v>2296.5</v>
      </c>
      <c r="H1205" s="0" t="n">
        <v>657.88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57.3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140.83</v>
      </c>
      <c r="T1205" s="0" t="n">
        <v>0</v>
      </c>
      <c r="U1205" s="0" t="n">
        <v>0</v>
      </c>
      <c r="V1205" s="0" t="n">
        <v>29.7</v>
      </c>
      <c r="W1205" s="0" t="n">
        <v>109</v>
      </c>
      <c r="X1205" s="0" t="n">
        <v>0</v>
      </c>
      <c r="Y1205" s="0" t="n">
        <v>0</v>
      </c>
      <c r="Z1205" s="0" t="n">
        <v>0</v>
      </c>
      <c r="AA1205" s="0" t="n">
        <v>0</v>
      </c>
      <c r="AB1205" s="0" t="n">
        <v>0</v>
      </c>
      <c r="AC1205" s="0" t="n">
        <v>0</v>
      </c>
      <c r="AD1205" s="0" t="n">
        <v>0</v>
      </c>
      <c r="AE1205" s="0" t="n">
        <v>0</v>
      </c>
      <c r="AF1205" s="0" t="n">
        <v>0</v>
      </c>
      <c r="AG1205" s="0" t="n">
        <v>4525.52</v>
      </c>
      <c r="AH1205" s="0" t="n">
        <v>4525.52</v>
      </c>
      <c r="AI1205" s="0" t="n">
        <v>71</v>
      </c>
    </row>
    <row r="1206" customFormat="false" ht="14.9" hidden="false" customHeight="false" outlineLevel="0" collapsed="false">
      <c r="A1206" s="0" t="n">
        <v>1205</v>
      </c>
      <c r="B1206" s="0" t="s">
        <v>376</v>
      </c>
      <c r="C1206" s="33" t="s">
        <v>377</v>
      </c>
      <c r="D1206" s="34" t="n">
        <v>46224</v>
      </c>
      <c r="E1206" s="0" t="n">
        <v>892.81</v>
      </c>
      <c r="F1206" s="0" t="n">
        <v>1652.83</v>
      </c>
      <c r="G1206" s="0" t="n">
        <v>1944.6</v>
      </c>
      <c r="H1206" s="0" t="n">
        <v>825.61</v>
      </c>
      <c r="I1206" s="0" t="n">
        <v>0</v>
      </c>
      <c r="J1206" s="0" t="n">
        <v>301.35</v>
      </c>
      <c r="K1206" s="0" t="n">
        <v>0</v>
      </c>
      <c r="L1206" s="0" t="n">
        <v>0</v>
      </c>
      <c r="M1206" s="0" t="n">
        <v>46.5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266.13</v>
      </c>
      <c r="T1206" s="0" t="n">
        <v>0</v>
      </c>
      <c r="U1206" s="0" t="n">
        <v>0</v>
      </c>
      <c r="V1206" s="0" t="n">
        <v>9.9</v>
      </c>
      <c r="W1206" s="0" t="n">
        <v>320</v>
      </c>
      <c r="X1206" s="0" t="n">
        <v>0</v>
      </c>
      <c r="Y1206" s="0" t="n">
        <v>0</v>
      </c>
      <c r="Z1206" s="0" t="n">
        <v>0</v>
      </c>
      <c r="AA1206" s="0" t="n">
        <v>0</v>
      </c>
      <c r="AB1206" s="0" t="n">
        <v>0</v>
      </c>
      <c r="AC1206" s="0" t="n">
        <v>0</v>
      </c>
      <c r="AD1206" s="0" t="n">
        <v>0</v>
      </c>
      <c r="AE1206" s="0" t="n">
        <v>0</v>
      </c>
      <c r="AF1206" s="0" t="n">
        <v>0</v>
      </c>
      <c r="AG1206" s="0" t="n">
        <v>6259.73</v>
      </c>
      <c r="AH1206" s="0" t="n">
        <v>6259.73</v>
      </c>
      <c r="AI1206" s="0" t="n">
        <v>90</v>
      </c>
    </row>
    <row r="1207" customFormat="false" ht="14.9" hidden="false" customHeight="false" outlineLevel="0" collapsed="false">
      <c r="A1207" s="0" t="n">
        <v>1206</v>
      </c>
      <c r="B1207" s="0" t="s">
        <v>376</v>
      </c>
      <c r="C1207" s="33" t="s">
        <v>377</v>
      </c>
      <c r="D1207" s="34" t="n">
        <v>46230</v>
      </c>
      <c r="E1207" s="0" t="n">
        <v>281.61</v>
      </c>
      <c r="F1207" s="0" t="n">
        <v>1264.8</v>
      </c>
      <c r="G1207" s="0" t="n">
        <v>10.9</v>
      </c>
      <c r="H1207" s="0" t="n">
        <v>1004.5</v>
      </c>
      <c r="I1207" s="0" t="n">
        <v>0</v>
      </c>
      <c r="J1207" s="0" t="n">
        <v>106.02</v>
      </c>
      <c r="K1207" s="0" t="n">
        <v>0</v>
      </c>
      <c r="L1207" s="0" t="n">
        <v>0</v>
      </c>
      <c r="M1207" s="0" t="n">
        <v>13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12.8</v>
      </c>
      <c r="T1207" s="0" t="n">
        <v>0</v>
      </c>
      <c r="U1207" s="0" t="n">
        <v>0</v>
      </c>
      <c r="V1207" s="0" t="n">
        <v>0.01</v>
      </c>
      <c r="W1207" s="0" t="n">
        <v>359.17</v>
      </c>
      <c r="X1207" s="0" t="n">
        <v>0</v>
      </c>
      <c r="Y1207" s="0" t="n">
        <v>0</v>
      </c>
      <c r="Z1207" s="0" t="n">
        <v>0</v>
      </c>
      <c r="AA1207" s="0" t="n">
        <v>0</v>
      </c>
      <c r="AB1207" s="0" t="n">
        <v>0</v>
      </c>
      <c r="AC1207" s="0" t="n">
        <v>0</v>
      </c>
      <c r="AD1207" s="0" t="n">
        <v>0</v>
      </c>
      <c r="AE1207" s="0" t="n">
        <v>0</v>
      </c>
      <c r="AF1207" s="0" t="n">
        <v>0</v>
      </c>
      <c r="AG1207" s="0" t="n">
        <v>3052.81</v>
      </c>
      <c r="AH1207" s="0" t="n">
        <v>3052.81</v>
      </c>
      <c r="AI1207" s="0" t="n">
        <v>51</v>
      </c>
    </row>
    <row r="1208" customFormat="false" ht="14.9" hidden="false" customHeight="false" outlineLevel="0" collapsed="false">
      <c r="A1208" s="0" t="n">
        <v>1207</v>
      </c>
      <c r="B1208" s="0" t="s">
        <v>376</v>
      </c>
      <c r="C1208" s="33" t="s">
        <v>377</v>
      </c>
      <c r="D1208" s="34" t="n">
        <v>46217</v>
      </c>
      <c r="E1208" s="0" t="n">
        <v>218.97</v>
      </c>
      <c r="F1208" s="0" t="n">
        <v>726.49</v>
      </c>
      <c r="G1208" s="0" t="n">
        <v>216.39</v>
      </c>
      <c r="H1208" s="0" t="n">
        <v>370.6</v>
      </c>
      <c r="I1208" s="0" t="n">
        <v>0</v>
      </c>
      <c r="J1208" s="0" t="n">
        <v>577.06</v>
      </c>
      <c r="K1208" s="0" t="n">
        <v>0</v>
      </c>
      <c r="L1208" s="0" t="n">
        <v>0</v>
      </c>
      <c r="M1208" s="0" t="n">
        <v>182.1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44.88</v>
      </c>
      <c r="T1208" s="0" t="n">
        <v>0</v>
      </c>
      <c r="U1208" s="0" t="n">
        <v>0</v>
      </c>
      <c r="V1208" s="0" t="n">
        <v>0</v>
      </c>
      <c r="W1208" s="0" t="n">
        <v>86</v>
      </c>
      <c r="X1208" s="0" t="n">
        <v>0</v>
      </c>
      <c r="Y1208" s="0" t="n">
        <v>0</v>
      </c>
      <c r="Z1208" s="0" t="n">
        <v>0</v>
      </c>
      <c r="AA1208" s="0" t="n">
        <v>0</v>
      </c>
      <c r="AB1208" s="0" t="n">
        <v>0</v>
      </c>
      <c r="AC1208" s="0" t="n">
        <v>0</v>
      </c>
      <c r="AD1208" s="0" t="n">
        <v>0</v>
      </c>
      <c r="AE1208" s="0" t="n">
        <v>0</v>
      </c>
      <c r="AF1208" s="0" t="n">
        <v>0</v>
      </c>
      <c r="AG1208" s="0" t="n">
        <v>2422.49</v>
      </c>
      <c r="AH1208" s="0" t="n">
        <v>2422.49</v>
      </c>
      <c r="AI1208" s="0" t="n">
        <v>42</v>
      </c>
    </row>
    <row r="1209" customFormat="false" ht="14.9" hidden="false" customHeight="false" outlineLevel="0" collapsed="false">
      <c r="A1209" s="0" t="n">
        <v>1208</v>
      </c>
      <c r="B1209" s="0" t="s">
        <v>376</v>
      </c>
      <c r="C1209" s="33" t="s">
        <v>377</v>
      </c>
      <c r="D1209" s="34" t="n">
        <v>46205</v>
      </c>
      <c r="E1209" s="0" t="n">
        <v>191.4</v>
      </c>
      <c r="F1209" s="0" t="n">
        <v>1025.7</v>
      </c>
      <c r="G1209" s="0" t="n">
        <v>112.9</v>
      </c>
      <c r="H1209" s="0" t="n">
        <v>318.18</v>
      </c>
      <c r="I1209" s="0" t="n">
        <v>0</v>
      </c>
      <c r="J1209" s="0" t="n">
        <v>110.96</v>
      </c>
      <c r="K1209" s="0" t="n">
        <v>0</v>
      </c>
      <c r="L1209" s="0" t="n">
        <v>0</v>
      </c>
      <c r="M1209" s="0" t="n">
        <v>116.86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192.88</v>
      </c>
      <c r="T1209" s="0" t="n">
        <v>0</v>
      </c>
      <c r="U1209" s="0" t="n">
        <v>0</v>
      </c>
      <c r="V1209" s="0" t="n">
        <v>0</v>
      </c>
      <c r="W1209" s="0" t="n">
        <v>60</v>
      </c>
      <c r="X1209" s="0" t="n">
        <v>0</v>
      </c>
      <c r="Y1209" s="0" t="n">
        <v>0</v>
      </c>
      <c r="Z1209" s="0" t="n">
        <v>0</v>
      </c>
      <c r="AA1209" s="0" t="n">
        <v>0</v>
      </c>
      <c r="AB1209" s="0" t="n">
        <v>0</v>
      </c>
      <c r="AC1209" s="0" t="n">
        <v>0</v>
      </c>
      <c r="AD1209" s="0" t="n">
        <v>0</v>
      </c>
      <c r="AE1209" s="0" t="n">
        <v>0</v>
      </c>
      <c r="AF1209" s="0" t="n">
        <v>0</v>
      </c>
      <c r="AG1209" s="0" t="n">
        <v>2128.88</v>
      </c>
      <c r="AH1209" s="0" t="n">
        <v>2128.88</v>
      </c>
      <c r="AI1209" s="0" t="n">
        <v>45</v>
      </c>
    </row>
    <row r="1210" customFormat="false" ht="14.9" hidden="false" customHeight="false" outlineLevel="0" collapsed="false">
      <c r="A1210" s="0" t="n">
        <v>1209</v>
      </c>
      <c r="B1210" s="0" t="s">
        <v>376</v>
      </c>
      <c r="C1210" s="33" t="s">
        <v>377</v>
      </c>
      <c r="D1210" s="34" t="n">
        <v>46221</v>
      </c>
      <c r="E1210" s="0" t="n">
        <v>432.24</v>
      </c>
      <c r="F1210" s="0" t="n">
        <v>601.36</v>
      </c>
      <c r="G1210" s="0" t="n">
        <v>531.6</v>
      </c>
      <c r="H1210" s="0" t="n">
        <v>757.5</v>
      </c>
      <c r="I1210" s="0" t="n">
        <v>0</v>
      </c>
      <c r="J1210" s="0" t="n">
        <v>58.71</v>
      </c>
      <c r="K1210" s="0" t="n">
        <v>0</v>
      </c>
      <c r="L1210" s="0" t="n">
        <v>0</v>
      </c>
      <c r="M1210" s="0" t="n">
        <v>165.8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459.28</v>
      </c>
      <c r="T1210" s="0" t="n">
        <v>0</v>
      </c>
      <c r="U1210" s="0" t="n">
        <v>0</v>
      </c>
      <c r="V1210" s="0" t="n">
        <v>0</v>
      </c>
      <c r="W1210" s="0" t="n">
        <v>72</v>
      </c>
      <c r="X1210" s="0" t="n">
        <v>0</v>
      </c>
      <c r="Y1210" s="0" t="n">
        <v>0</v>
      </c>
      <c r="Z1210" s="0" t="n">
        <v>0</v>
      </c>
      <c r="AA1210" s="0" t="n">
        <v>0</v>
      </c>
      <c r="AB1210" s="0" t="n">
        <v>0</v>
      </c>
      <c r="AC1210" s="0" t="n">
        <v>0</v>
      </c>
      <c r="AD1210" s="0" t="n">
        <v>0</v>
      </c>
      <c r="AE1210" s="0" t="n">
        <v>0</v>
      </c>
      <c r="AF1210" s="0" t="n">
        <v>0</v>
      </c>
      <c r="AG1210" s="0" t="n">
        <v>3078.49</v>
      </c>
      <c r="AH1210" s="0" t="n">
        <v>3078.49</v>
      </c>
      <c r="AI1210" s="0" t="n">
        <v>67</v>
      </c>
    </row>
    <row r="1211" customFormat="false" ht="13.5" hidden="false" customHeight="false" outlineLevel="0" collapsed="false">
      <c r="A1211" s="0" t="n">
        <v>1210</v>
      </c>
      <c r="B1211" s="0" t="s">
        <v>378</v>
      </c>
      <c r="C1211" s="33" t="s">
        <v>177</v>
      </c>
      <c r="D1211" s="34" t="n">
        <v>46227</v>
      </c>
      <c r="E1211" s="0" t="n">
        <v>699.75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  <c r="Y1211" s="0" t="n">
        <v>0</v>
      </c>
      <c r="Z1211" s="0" t="n">
        <v>0</v>
      </c>
      <c r="AA1211" s="0" t="n">
        <v>0</v>
      </c>
      <c r="AB1211" s="0" t="n">
        <v>0</v>
      </c>
      <c r="AC1211" s="0" t="n">
        <v>0</v>
      </c>
      <c r="AD1211" s="0" t="n">
        <v>0</v>
      </c>
      <c r="AE1211" s="0" t="n">
        <v>0</v>
      </c>
      <c r="AF1211" s="0" t="n">
        <v>0</v>
      </c>
      <c r="AG1211" s="0" t="n">
        <v>699.75</v>
      </c>
      <c r="AH1211" s="0" t="n">
        <v>699.75</v>
      </c>
      <c r="AI1211" s="0" t="n">
        <v>1</v>
      </c>
    </row>
    <row r="1212" customFormat="false" ht="14.9" hidden="false" customHeight="false" outlineLevel="0" collapsed="false">
      <c r="A1212" s="0" t="n">
        <v>1211</v>
      </c>
      <c r="B1212" s="0" t="s">
        <v>379</v>
      </c>
      <c r="C1212" s="33" t="s">
        <v>380</v>
      </c>
      <c r="D1212" s="34" t="n">
        <v>46204</v>
      </c>
      <c r="E1212" s="0" t="n">
        <v>347.29</v>
      </c>
      <c r="F1212" s="0" t="n">
        <v>0</v>
      </c>
      <c r="G1212" s="0" t="n">
        <v>1396.9</v>
      </c>
      <c r="H1212" s="0" t="n">
        <v>372.9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20</v>
      </c>
      <c r="X1212" s="0" t="n">
        <v>0</v>
      </c>
      <c r="Y1212" s="0" t="n">
        <v>0</v>
      </c>
      <c r="Z1212" s="0" t="n">
        <v>0</v>
      </c>
      <c r="AA1212" s="0" t="n">
        <v>0</v>
      </c>
      <c r="AB1212" s="0" t="n">
        <v>0</v>
      </c>
      <c r="AC1212" s="0" t="n">
        <v>0</v>
      </c>
      <c r="AD1212" s="0" t="n">
        <v>0</v>
      </c>
      <c r="AE1212" s="0" t="n">
        <v>0</v>
      </c>
      <c r="AF1212" s="0" t="n">
        <v>0</v>
      </c>
      <c r="AG1212" s="0" t="n">
        <v>2137.09</v>
      </c>
      <c r="AH1212" s="0" t="n">
        <v>2137.09</v>
      </c>
      <c r="AI1212" s="0" t="n">
        <v>43</v>
      </c>
    </row>
    <row r="1213" customFormat="false" ht="14.9" hidden="false" customHeight="false" outlineLevel="0" collapsed="false">
      <c r="A1213" s="0" t="n">
        <v>1212</v>
      </c>
      <c r="B1213" s="0" t="s">
        <v>379</v>
      </c>
      <c r="C1213" s="33" t="s">
        <v>380</v>
      </c>
      <c r="D1213" s="34" t="n">
        <v>46225</v>
      </c>
      <c r="E1213" s="0" t="n">
        <v>222.7</v>
      </c>
      <c r="F1213" s="0" t="n">
        <v>0</v>
      </c>
      <c r="G1213" s="0" t="n">
        <v>1082.4</v>
      </c>
      <c r="H1213" s="0" t="n">
        <v>37.5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35</v>
      </c>
      <c r="T1213" s="0" t="n">
        <v>0</v>
      </c>
      <c r="U1213" s="0" t="n">
        <v>0</v>
      </c>
      <c r="V1213" s="0" t="n">
        <v>0</v>
      </c>
      <c r="W1213" s="0" t="n">
        <v>47</v>
      </c>
      <c r="X1213" s="0" t="n">
        <v>0</v>
      </c>
      <c r="Y1213" s="0" t="n">
        <v>0</v>
      </c>
      <c r="Z1213" s="0" t="n">
        <v>0</v>
      </c>
      <c r="AA1213" s="0" t="n">
        <v>0</v>
      </c>
      <c r="AB1213" s="0" t="n">
        <v>0</v>
      </c>
      <c r="AC1213" s="0" t="n">
        <v>0</v>
      </c>
      <c r="AD1213" s="0" t="n">
        <v>0</v>
      </c>
      <c r="AE1213" s="0" t="n">
        <v>0</v>
      </c>
      <c r="AF1213" s="0" t="n">
        <v>0</v>
      </c>
      <c r="AG1213" s="0" t="n">
        <v>1424.6</v>
      </c>
      <c r="AH1213" s="0" t="n">
        <v>1424.6</v>
      </c>
      <c r="AI1213" s="0" t="n">
        <v>24</v>
      </c>
    </row>
    <row r="1214" customFormat="false" ht="14.9" hidden="false" customHeight="false" outlineLevel="0" collapsed="false">
      <c r="A1214" s="0" t="n">
        <v>1213</v>
      </c>
      <c r="B1214" s="0" t="s">
        <v>379</v>
      </c>
      <c r="C1214" s="33" t="s">
        <v>380</v>
      </c>
      <c r="D1214" s="34" t="n">
        <v>46230</v>
      </c>
      <c r="E1214" s="0" t="n">
        <v>252.42</v>
      </c>
      <c r="F1214" s="0" t="n">
        <v>0</v>
      </c>
      <c r="G1214" s="0" t="n">
        <v>1042.6</v>
      </c>
      <c r="H1214" s="0" t="n">
        <v>434.38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250</v>
      </c>
      <c r="X1214" s="0" t="n">
        <v>0</v>
      </c>
      <c r="Y1214" s="0" t="n">
        <v>0</v>
      </c>
      <c r="Z1214" s="0" t="n">
        <v>0</v>
      </c>
      <c r="AA1214" s="0" t="n">
        <v>0</v>
      </c>
      <c r="AB1214" s="0" t="n">
        <v>0</v>
      </c>
      <c r="AC1214" s="0" t="n">
        <v>0</v>
      </c>
      <c r="AD1214" s="0" t="n">
        <v>0</v>
      </c>
      <c r="AE1214" s="0" t="n">
        <v>0</v>
      </c>
      <c r="AF1214" s="0" t="n">
        <v>0</v>
      </c>
      <c r="AG1214" s="0" t="n">
        <v>1979.4</v>
      </c>
      <c r="AH1214" s="0" t="n">
        <v>1979.4</v>
      </c>
      <c r="AI1214" s="0" t="n">
        <v>37</v>
      </c>
    </row>
    <row r="1215" customFormat="false" ht="14.9" hidden="false" customHeight="false" outlineLevel="0" collapsed="false">
      <c r="A1215" s="0" t="n">
        <v>1214</v>
      </c>
      <c r="B1215" s="0" t="s">
        <v>379</v>
      </c>
      <c r="C1215" s="33" t="s">
        <v>380</v>
      </c>
      <c r="D1215" s="34" t="n">
        <v>46216</v>
      </c>
      <c r="E1215" s="0" t="n">
        <v>186.4</v>
      </c>
      <c r="F1215" s="0" t="n">
        <v>0</v>
      </c>
      <c r="G1215" s="0" t="n">
        <v>942.91</v>
      </c>
      <c r="H1215" s="0" t="n">
        <v>518.3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0.01</v>
      </c>
      <c r="W1215" s="0" t="n">
        <v>54</v>
      </c>
      <c r="X1215" s="0" t="n">
        <v>0</v>
      </c>
      <c r="Y1215" s="0" t="n">
        <v>0</v>
      </c>
      <c r="Z1215" s="0" t="n">
        <v>0</v>
      </c>
      <c r="AA1215" s="0" t="n">
        <v>0</v>
      </c>
      <c r="AB1215" s="0" t="n">
        <v>0</v>
      </c>
      <c r="AC1215" s="0" t="n">
        <v>0</v>
      </c>
      <c r="AD1215" s="0" t="n">
        <v>0</v>
      </c>
      <c r="AE1215" s="0" t="n">
        <v>0</v>
      </c>
      <c r="AF1215" s="0" t="n">
        <v>0</v>
      </c>
      <c r="AG1215" s="0" t="n">
        <v>1701.62</v>
      </c>
      <c r="AH1215" s="0" t="n">
        <v>1701.62</v>
      </c>
      <c r="AI1215" s="0" t="n">
        <v>29</v>
      </c>
    </row>
    <row r="1216" customFormat="false" ht="14.9" hidden="false" customHeight="false" outlineLevel="0" collapsed="false">
      <c r="A1216" s="0" t="n">
        <v>1215</v>
      </c>
      <c r="B1216" s="0" t="s">
        <v>379</v>
      </c>
      <c r="C1216" s="33" t="s">
        <v>380</v>
      </c>
      <c r="D1216" s="34" t="n">
        <v>46205</v>
      </c>
      <c r="E1216" s="0" t="n">
        <v>223.5</v>
      </c>
      <c r="F1216" s="0" t="n">
        <v>0</v>
      </c>
      <c r="G1216" s="0" t="n">
        <v>1399.8</v>
      </c>
      <c r="H1216" s="0" t="n">
        <v>354.2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26.5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30</v>
      </c>
      <c r="X1216" s="0" t="n">
        <v>0</v>
      </c>
      <c r="Y1216" s="0" t="n">
        <v>0</v>
      </c>
      <c r="Z1216" s="0" t="n">
        <v>0</v>
      </c>
      <c r="AA1216" s="0" t="n">
        <v>0</v>
      </c>
      <c r="AB1216" s="0" t="n">
        <v>0</v>
      </c>
      <c r="AC1216" s="0" t="n">
        <v>0</v>
      </c>
      <c r="AD1216" s="0" t="n">
        <v>0</v>
      </c>
      <c r="AE1216" s="0" t="n">
        <v>0</v>
      </c>
      <c r="AF1216" s="0" t="n">
        <v>0</v>
      </c>
      <c r="AG1216" s="0" t="n">
        <v>2034</v>
      </c>
      <c r="AH1216" s="0" t="n">
        <v>2034</v>
      </c>
      <c r="AI1216" s="0" t="n">
        <v>41</v>
      </c>
    </row>
    <row r="1217" customFormat="false" ht="14.9" hidden="false" customHeight="false" outlineLevel="0" collapsed="false">
      <c r="A1217" s="0" t="n">
        <v>1216</v>
      </c>
      <c r="B1217" s="0" t="s">
        <v>379</v>
      </c>
      <c r="C1217" s="33" t="s">
        <v>380</v>
      </c>
      <c r="D1217" s="34" t="n">
        <v>46228</v>
      </c>
      <c r="E1217" s="0" t="n">
        <v>150.5</v>
      </c>
      <c r="F1217" s="0" t="n">
        <v>0</v>
      </c>
      <c r="G1217" s="0" t="n">
        <v>1148</v>
      </c>
      <c r="H1217" s="0" t="n">
        <v>749.3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134.1</v>
      </c>
      <c r="T1217" s="0" t="n">
        <v>0</v>
      </c>
      <c r="U1217" s="0" t="n">
        <v>0</v>
      </c>
      <c r="V1217" s="0" t="n">
        <v>0</v>
      </c>
      <c r="W1217" s="0" t="n">
        <v>31</v>
      </c>
      <c r="X1217" s="0" t="n">
        <v>0</v>
      </c>
      <c r="Y1217" s="0" t="n">
        <v>0</v>
      </c>
      <c r="Z1217" s="0" t="n">
        <v>0</v>
      </c>
      <c r="AA1217" s="0" t="n">
        <v>0</v>
      </c>
      <c r="AB1217" s="0" t="n">
        <v>0</v>
      </c>
      <c r="AC1217" s="0" t="n">
        <v>0</v>
      </c>
      <c r="AD1217" s="0" t="n">
        <v>0</v>
      </c>
      <c r="AE1217" s="0" t="n">
        <v>0</v>
      </c>
      <c r="AF1217" s="0" t="n">
        <v>0</v>
      </c>
      <c r="AG1217" s="0" t="n">
        <v>2212.9</v>
      </c>
      <c r="AH1217" s="0" t="n">
        <v>2212.9</v>
      </c>
      <c r="AI1217" s="0" t="n">
        <v>24</v>
      </c>
    </row>
    <row r="1218" customFormat="false" ht="14.9" hidden="false" customHeight="false" outlineLevel="0" collapsed="false">
      <c r="A1218" s="0" t="n">
        <v>1217</v>
      </c>
      <c r="B1218" s="0" t="s">
        <v>379</v>
      </c>
      <c r="C1218" s="33" t="s">
        <v>380</v>
      </c>
      <c r="D1218" s="34" t="n">
        <v>46208</v>
      </c>
      <c r="E1218" s="0" t="n">
        <v>130.8</v>
      </c>
      <c r="F1218" s="0" t="n">
        <v>0</v>
      </c>
      <c r="G1218" s="0" t="n">
        <v>459.95</v>
      </c>
      <c r="H1218" s="0" t="n">
        <v>117.3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15</v>
      </c>
      <c r="X1218" s="0" t="n">
        <v>0</v>
      </c>
      <c r="Y1218" s="0" t="n">
        <v>0</v>
      </c>
      <c r="Z1218" s="0" t="n">
        <v>0</v>
      </c>
      <c r="AA1218" s="0" t="n">
        <v>0</v>
      </c>
      <c r="AB1218" s="0" t="n">
        <v>0</v>
      </c>
      <c r="AC1218" s="0" t="n">
        <v>0</v>
      </c>
      <c r="AD1218" s="0" t="n">
        <v>0</v>
      </c>
      <c r="AE1218" s="0" t="n">
        <v>0</v>
      </c>
      <c r="AF1218" s="0" t="n">
        <v>0</v>
      </c>
      <c r="AG1218" s="0" t="n">
        <v>723.05</v>
      </c>
      <c r="AH1218" s="0" t="n">
        <v>723.05</v>
      </c>
      <c r="AI1218" s="0" t="n">
        <v>16</v>
      </c>
    </row>
    <row r="1219" customFormat="false" ht="14.9" hidden="false" customHeight="false" outlineLevel="0" collapsed="false">
      <c r="A1219" s="0" t="n">
        <v>1218</v>
      </c>
      <c r="B1219" s="0" t="s">
        <v>379</v>
      </c>
      <c r="C1219" s="33" t="s">
        <v>380</v>
      </c>
      <c r="D1219" s="34" t="n">
        <v>46213</v>
      </c>
      <c r="E1219" s="0" t="n">
        <v>456.21</v>
      </c>
      <c r="F1219" s="0" t="n">
        <v>0</v>
      </c>
      <c r="G1219" s="0" t="n">
        <v>628.9</v>
      </c>
      <c r="H1219" s="0" t="n">
        <v>384.5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0.01</v>
      </c>
      <c r="W1219" s="0" t="n">
        <v>35</v>
      </c>
      <c r="X1219" s="0" t="n">
        <v>0</v>
      </c>
      <c r="Y1219" s="0" t="n">
        <v>0</v>
      </c>
      <c r="Z1219" s="0" t="n">
        <v>0</v>
      </c>
      <c r="AA1219" s="0" t="n">
        <v>0</v>
      </c>
      <c r="AB1219" s="0" t="n">
        <v>0</v>
      </c>
      <c r="AC1219" s="0" t="n">
        <v>0</v>
      </c>
      <c r="AD1219" s="0" t="n">
        <v>0</v>
      </c>
      <c r="AE1219" s="0" t="n">
        <v>0</v>
      </c>
      <c r="AF1219" s="0" t="n">
        <v>0</v>
      </c>
      <c r="AG1219" s="0" t="n">
        <v>1504.62</v>
      </c>
      <c r="AH1219" s="0" t="n">
        <v>1504.62</v>
      </c>
      <c r="AI1219" s="0" t="n">
        <v>30</v>
      </c>
    </row>
    <row r="1220" customFormat="false" ht="14.9" hidden="false" customHeight="false" outlineLevel="0" collapsed="false">
      <c r="A1220" s="0" t="n">
        <v>1219</v>
      </c>
      <c r="B1220" s="0" t="s">
        <v>379</v>
      </c>
      <c r="C1220" s="33" t="s">
        <v>380</v>
      </c>
      <c r="D1220" s="34" t="n">
        <v>46221</v>
      </c>
      <c r="E1220" s="0" t="n">
        <v>267.8</v>
      </c>
      <c r="F1220" s="0" t="n">
        <v>0</v>
      </c>
      <c r="G1220" s="0" t="n">
        <v>811.3</v>
      </c>
      <c r="H1220" s="0" t="n">
        <v>194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45</v>
      </c>
      <c r="X1220" s="0" t="n">
        <v>0</v>
      </c>
      <c r="Y1220" s="0" t="n">
        <v>0</v>
      </c>
      <c r="Z1220" s="0" t="n">
        <v>0</v>
      </c>
      <c r="AA1220" s="0" t="n">
        <v>0</v>
      </c>
      <c r="AB1220" s="0" t="n">
        <v>0</v>
      </c>
      <c r="AC1220" s="0" t="n">
        <v>0</v>
      </c>
      <c r="AD1220" s="0" t="n">
        <v>0</v>
      </c>
      <c r="AE1220" s="0" t="n">
        <v>0</v>
      </c>
      <c r="AF1220" s="0" t="n">
        <v>0</v>
      </c>
      <c r="AG1220" s="0" t="n">
        <v>1318.1</v>
      </c>
      <c r="AH1220" s="0" t="n">
        <v>1318.1</v>
      </c>
      <c r="AI1220" s="0" t="n">
        <v>25</v>
      </c>
    </row>
    <row r="1221" customFormat="false" ht="14.9" hidden="false" customHeight="false" outlineLevel="0" collapsed="false">
      <c r="A1221" s="0" t="n">
        <v>1220</v>
      </c>
      <c r="B1221" s="0" t="s">
        <v>379</v>
      </c>
      <c r="C1221" s="33" t="s">
        <v>380</v>
      </c>
      <c r="D1221" s="34" t="n">
        <v>46218</v>
      </c>
      <c r="E1221" s="0" t="n">
        <v>417.21</v>
      </c>
      <c r="F1221" s="0" t="n">
        <v>0</v>
      </c>
      <c r="G1221" s="0" t="n">
        <v>967.02</v>
      </c>
      <c r="H1221" s="0" t="n">
        <v>266.2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48</v>
      </c>
      <c r="T1221" s="0" t="n">
        <v>0</v>
      </c>
      <c r="U1221" s="0" t="n">
        <v>0</v>
      </c>
      <c r="V1221" s="0" t="n">
        <v>0.02</v>
      </c>
      <c r="W1221" s="0" t="n">
        <v>43</v>
      </c>
      <c r="X1221" s="0" t="n">
        <v>0</v>
      </c>
      <c r="Y1221" s="0" t="n">
        <v>0</v>
      </c>
      <c r="Z1221" s="0" t="n">
        <v>0</v>
      </c>
      <c r="AA1221" s="0" t="n">
        <v>0</v>
      </c>
      <c r="AB1221" s="0" t="n">
        <v>0</v>
      </c>
      <c r="AC1221" s="0" t="n">
        <v>0</v>
      </c>
      <c r="AD1221" s="0" t="n">
        <v>0</v>
      </c>
      <c r="AE1221" s="0" t="n">
        <v>0</v>
      </c>
      <c r="AF1221" s="0" t="n">
        <v>0</v>
      </c>
      <c r="AG1221" s="0" t="n">
        <v>1741.45</v>
      </c>
      <c r="AH1221" s="0" t="n">
        <v>1741.45</v>
      </c>
      <c r="AI1221" s="0" t="n">
        <v>35</v>
      </c>
    </row>
    <row r="1222" customFormat="false" ht="14.9" hidden="false" customHeight="false" outlineLevel="0" collapsed="false">
      <c r="A1222" s="0" t="n">
        <v>1221</v>
      </c>
      <c r="B1222" s="0" t="s">
        <v>379</v>
      </c>
      <c r="C1222" s="33" t="s">
        <v>380</v>
      </c>
      <c r="D1222" s="34" t="n">
        <v>46217</v>
      </c>
      <c r="E1222" s="0" t="n">
        <v>157.5</v>
      </c>
      <c r="F1222" s="0" t="n">
        <v>0</v>
      </c>
      <c r="G1222" s="0" t="n">
        <v>878.7</v>
      </c>
      <c r="H1222" s="0" t="n">
        <v>396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0</v>
      </c>
      <c r="W1222" s="0" t="n">
        <v>67</v>
      </c>
      <c r="X1222" s="0" t="n">
        <v>0</v>
      </c>
      <c r="Y1222" s="0" t="n">
        <v>0</v>
      </c>
      <c r="Z1222" s="0" t="n">
        <v>0</v>
      </c>
      <c r="AA1222" s="0" t="n">
        <v>0</v>
      </c>
      <c r="AB1222" s="0" t="n">
        <v>0</v>
      </c>
      <c r="AC1222" s="0" t="n">
        <v>0</v>
      </c>
      <c r="AD1222" s="0" t="n">
        <v>0</v>
      </c>
      <c r="AE1222" s="0" t="n">
        <v>0</v>
      </c>
      <c r="AF1222" s="0" t="n">
        <v>0</v>
      </c>
      <c r="AG1222" s="0" t="n">
        <v>1499.2</v>
      </c>
      <c r="AH1222" s="0" t="n">
        <v>1499.2</v>
      </c>
      <c r="AI1222" s="0" t="n">
        <v>26</v>
      </c>
    </row>
    <row r="1223" customFormat="false" ht="14.9" hidden="false" customHeight="false" outlineLevel="0" collapsed="false">
      <c r="A1223" s="0" t="n">
        <v>1222</v>
      </c>
      <c r="B1223" s="0" t="s">
        <v>379</v>
      </c>
      <c r="C1223" s="33" t="s">
        <v>380</v>
      </c>
      <c r="D1223" s="34" t="n">
        <v>46220</v>
      </c>
      <c r="E1223" s="0" t="n">
        <v>1186.2</v>
      </c>
      <c r="F1223" s="0" t="n">
        <v>0</v>
      </c>
      <c r="G1223" s="0" t="n">
        <v>778.74</v>
      </c>
      <c r="H1223" s="0" t="n">
        <v>267.8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40</v>
      </c>
      <c r="X1223" s="0" t="n">
        <v>0</v>
      </c>
      <c r="Y1223" s="0" t="n">
        <v>0</v>
      </c>
      <c r="Z1223" s="0" t="n">
        <v>0</v>
      </c>
      <c r="AA1223" s="0" t="n">
        <v>0</v>
      </c>
      <c r="AB1223" s="0" t="n">
        <v>0</v>
      </c>
      <c r="AC1223" s="0" t="n">
        <v>0</v>
      </c>
      <c r="AD1223" s="0" t="n">
        <v>0</v>
      </c>
      <c r="AE1223" s="0" t="n">
        <v>0</v>
      </c>
      <c r="AF1223" s="0" t="n">
        <v>0</v>
      </c>
      <c r="AG1223" s="0" t="n">
        <v>2272.74</v>
      </c>
      <c r="AH1223" s="0" t="n">
        <v>2272.74</v>
      </c>
      <c r="AI1223" s="0" t="n">
        <v>29</v>
      </c>
    </row>
    <row r="1224" customFormat="false" ht="14.9" hidden="false" customHeight="false" outlineLevel="0" collapsed="false">
      <c r="A1224" s="0" t="n">
        <v>1223</v>
      </c>
      <c r="B1224" s="0" t="s">
        <v>379</v>
      </c>
      <c r="C1224" s="33" t="s">
        <v>380</v>
      </c>
      <c r="D1224" s="34" t="n">
        <v>46214</v>
      </c>
      <c r="E1224" s="0" t="n">
        <v>1337.42</v>
      </c>
      <c r="F1224" s="0" t="n">
        <v>0</v>
      </c>
      <c r="G1224" s="0" t="n">
        <v>1390.74</v>
      </c>
      <c r="H1224" s="0" t="n">
        <v>651.4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0.01</v>
      </c>
      <c r="W1224" s="0" t="n">
        <v>62</v>
      </c>
      <c r="X1224" s="0" t="n">
        <v>0</v>
      </c>
      <c r="Y1224" s="0" t="n">
        <v>0</v>
      </c>
      <c r="Z1224" s="0" t="n">
        <v>0</v>
      </c>
      <c r="AA1224" s="0" t="n">
        <v>0</v>
      </c>
      <c r="AB1224" s="0" t="n">
        <v>0</v>
      </c>
      <c r="AC1224" s="0" t="n">
        <v>0</v>
      </c>
      <c r="AD1224" s="0" t="n">
        <v>0</v>
      </c>
      <c r="AE1224" s="0" t="n">
        <v>0</v>
      </c>
      <c r="AF1224" s="0" t="n">
        <v>0</v>
      </c>
      <c r="AG1224" s="0" t="n">
        <v>3441.57</v>
      </c>
      <c r="AH1224" s="0" t="n">
        <v>3441.57</v>
      </c>
      <c r="AI1224" s="0" t="n">
        <v>49</v>
      </c>
    </row>
    <row r="1225" customFormat="false" ht="14.9" hidden="false" customHeight="false" outlineLevel="0" collapsed="false">
      <c r="A1225" s="0" t="n">
        <v>1224</v>
      </c>
      <c r="B1225" s="0" t="s">
        <v>379</v>
      </c>
      <c r="C1225" s="33" t="s">
        <v>380</v>
      </c>
      <c r="D1225" s="34" t="n">
        <v>46211</v>
      </c>
      <c r="E1225" s="0" t="n">
        <v>409.21</v>
      </c>
      <c r="F1225" s="0" t="n">
        <v>0</v>
      </c>
      <c r="G1225" s="0" t="n">
        <v>1046.51</v>
      </c>
      <c r="H1225" s="0" t="n">
        <v>97.3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0.01</v>
      </c>
      <c r="W1225" s="0" t="n">
        <v>38.1</v>
      </c>
      <c r="X1225" s="0" t="n">
        <v>0</v>
      </c>
      <c r="Y1225" s="0" t="n">
        <v>0</v>
      </c>
      <c r="Z1225" s="0" t="n">
        <v>0</v>
      </c>
      <c r="AA1225" s="0" t="n">
        <v>0</v>
      </c>
      <c r="AB1225" s="0" t="n">
        <v>0</v>
      </c>
      <c r="AC1225" s="0" t="n">
        <v>0</v>
      </c>
      <c r="AD1225" s="0" t="n">
        <v>0</v>
      </c>
      <c r="AE1225" s="0" t="n">
        <v>0</v>
      </c>
      <c r="AF1225" s="0" t="n">
        <v>0</v>
      </c>
      <c r="AG1225" s="0" t="n">
        <v>1591.13</v>
      </c>
      <c r="AH1225" s="0" t="n">
        <v>1591.13</v>
      </c>
      <c r="AI1225" s="0" t="n">
        <v>30</v>
      </c>
    </row>
    <row r="1226" customFormat="false" ht="14.9" hidden="false" customHeight="false" outlineLevel="0" collapsed="false">
      <c r="A1226" s="0" t="n">
        <v>1225</v>
      </c>
      <c r="B1226" s="0" t="s">
        <v>379</v>
      </c>
      <c r="C1226" s="33" t="s">
        <v>380</v>
      </c>
      <c r="D1226" s="34" t="n">
        <v>46229</v>
      </c>
      <c r="E1226" s="0" t="n">
        <v>394.87</v>
      </c>
      <c r="F1226" s="0" t="n">
        <v>0</v>
      </c>
      <c r="G1226" s="0" t="n">
        <v>1699.51</v>
      </c>
      <c r="H1226" s="0" t="n">
        <v>547.3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9.9</v>
      </c>
      <c r="W1226" s="0" t="n">
        <v>61</v>
      </c>
      <c r="X1226" s="0" t="n">
        <v>0</v>
      </c>
      <c r="Y1226" s="0" t="n">
        <v>0</v>
      </c>
      <c r="Z1226" s="0" t="n">
        <v>0</v>
      </c>
      <c r="AA1226" s="0" t="n">
        <v>0</v>
      </c>
      <c r="AB1226" s="0" t="n">
        <v>0</v>
      </c>
      <c r="AC1226" s="0" t="n">
        <v>0</v>
      </c>
      <c r="AD1226" s="0" t="n">
        <v>0</v>
      </c>
      <c r="AE1226" s="0" t="n">
        <v>0</v>
      </c>
      <c r="AF1226" s="0" t="n">
        <v>0</v>
      </c>
      <c r="AG1226" s="0" t="n">
        <v>2712.58</v>
      </c>
      <c r="AH1226" s="0" t="n">
        <v>2712.58</v>
      </c>
      <c r="AI1226" s="0" t="n">
        <v>45</v>
      </c>
    </row>
    <row r="1227" customFormat="false" ht="14.9" hidden="false" customHeight="false" outlineLevel="0" collapsed="false">
      <c r="A1227" s="0" t="n">
        <v>1226</v>
      </c>
      <c r="B1227" s="0" t="s">
        <v>379</v>
      </c>
      <c r="C1227" s="33" t="s">
        <v>380</v>
      </c>
      <c r="D1227" s="34" t="n">
        <v>46215</v>
      </c>
      <c r="E1227" s="0" t="n">
        <v>846.7</v>
      </c>
      <c r="F1227" s="0" t="n">
        <v>0</v>
      </c>
      <c r="G1227" s="0" t="n">
        <v>884.7</v>
      </c>
      <c r="H1227" s="0" t="n">
        <v>602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53</v>
      </c>
      <c r="X1227" s="0" t="n">
        <v>0</v>
      </c>
      <c r="Y1227" s="0" t="n">
        <v>0</v>
      </c>
      <c r="Z1227" s="0" t="n">
        <v>0</v>
      </c>
      <c r="AA1227" s="0" t="n">
        <v>0</v>
      </c>
      <c r="AB1227" s="0" t="n">
        <v>0</v>
      </c>
      <c r="AC1227" s="0" t="n">
        <v>0</v>
      </c>
      <c r="AD1227" s="0" t="n">
        <v>0</v>
      </c>
      <c r="AE1227" s="0" t="n">
        <v>0</v>
      </c>
      <c r="AF1227" s="0" t="n">
        <v>0</v>
      </c>
      <c r="AG1227" s="0" t="n">
        <v>2386.4</v>
      </c>
      <c r="AH1227" s="0" t="n">
        <v>2386.4</v>
      </c>
      <c r="AI1227" s="0" t="n">
        <v>31</v>
      </c>
    </row>
    <row r="1228" customFormat="false" ht="14.9" hidden="false" customHeight="false" outlineLevel="0" collapsed="false">
      <c r="A1228" s="0" t="n">
        <v>1227</v>
      </c>
      <c r="B1228" s="0" t="s">
        <v>379</v>
      </c>
      <c r="C1228" s="33" t="s">
        <v>380</v>
      </c>
      <c r="D1228" s="34" t="n">
        <v>46222</v>
      </c>
      <c r="E1228" s="0" t="n">
        <v>402</v>
      </c>
      <c r="F1228" s="0" t="n">
        <v>0</v>
      </c>
      <c r="G1228" s="0" t="n">
        <v>899.5</v>
      </c>
      <c r="H1228" s="0" t="n">
        <v>138.4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60</v>
      </c>
      <c r="X1228" s="0" t="n">
        <v>0</v>
      </c>
      <c r="Y1228" s="0" t="n">
        <v>0</v>
      </c>
      <c r="Z1228" s="0" t="n">
        <v>0</v>
      </c>
      <c r="AA1228" s="0" t="n">
        <v>0</v>
      </c>
      <c r="AB1228" s="0" t="n">
        <v>0</v>
      </c>
      <c r="AC1228" s="0" t="n">
        <v>0</v>
      </c>
      <c r="AD1228" s="0" t="n">
        <v>0</v>
      </c>
      <c r="AE1228" s="0" t="n">
        <v>0</v>
      </c>
      <c r="AF1228" s="0" t="n">
        <v>0</v>
      </c>
      <c r="AG1228" s="0" t="n">
        <v>1499.9</v>
      </c>
      <c r="AH1228" s="0" t="n">
        <v>1499.9</v>
      </c>
      <c r="AI1228" s="0" t="n">
        <v>33</v>
      </c>
    </row>
    <row r="1229" customFormat="false" ht="14.9" hidden="false" customHeight="false" outlineLevel="0" collapsed="false">
      <c r="A1229" s="0" t="n">
        <v>1228</v>
      </c>
      <c r="B1229" s="0" t="s">
        <v>379</v>
      </c>
      <c r="C1229" s="33" t="s">
        <v>380</v>
      </c>
      <c r="D1229" s="34" t="n">
        <v>46212</v>
      </c>
      <c r="E1229" s="0" t="n">
        <v>349.5</v>
      </c>
      <c r="F1229" s="0" t="n">
        <v>0</v>
      </c>
      <c r="G1229" s="0" t="n">
        <v>1347.1</v>
      </c>
      <c r="H1229" s="0" t="n">
        <v>138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80</v>
      </c>
      <c r="X1229" s="0" t="n">
        <v>0</v>
      </c>
      <c r="Y1229" s="0" t="n">
        <v>0</v>
      </c>
      <c r="Z1229" s="0" t="n">
        <v>0</v>
      </c>
      <c r="AA1229" s="0" t="n">
        <v>0</v>
      </c>
      <c r="AB1229" s="0" t="n">
        <v>0</v>
      </c>
      <c r="AC1229" s="0" t="n">
        <v>0</v>
      </c>
      <c r="AD1229" s="0" t="n">
        <v>0</v>
      </c>
      <c r="AE1229" s="0" t="n">
        <v>0</v>
      </c>
      <c r="AF1229" s="0" t="n">
        <v>0</v>
      </c>
      <c r="AG1229" s="0" t="n">
        <v>1914.6</v>
      </c>
      <c r="AH1229" s="0" t="n">
        <v>1914.6</v>
      </c>
      <c r="AI1229" s="0" t="n">
        <v>33</v>
      </c>
    </row>
    <row r="1230" customFormat="false" ht="14.9" hidden="false" customHeight="false" outlineLevel="0" collapsed="false">
      <c r="A1230" s="0" t="n">
        <v>1229</v>
      </c>
      <c r="B1230" s="0" t="s">
        <v>379</v>
      </c>
      <c r="C1230" s="33" t="s">
        <v>380</v>
      </c>
      <c r="D1230" s="34" t="n">
        <v>46224</v>
      </c>
      <c r="E1230" s="0" t="n">
        <v>703.94</v>
      </c>
      <c r="F1230" s="0" t="n">
        <v>0</v>
      </c>
      <c r="G1230" s="0" t="n">
        <v>1861.97</v>
      </c>
      <c r="H1230" s="0" t="n">
        <v>239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  <c r="V1230" s="0" t="n">
        <v>9</v>
      </c>
      <c r="W1230" s="0" t="n">
        <v>74</v>
      </c>
      <c r="X1230" s="0" t="n">
        <v>0</v>
      </c>
      <c r="Y1230" s="0" t="n">
        <v>0</v>
      </c>
      <c r="Z1230" s="0" t="n">
        <v>0</v>
      </c>
      <c r="AA1230" s="0" t="n">
        <v>0</v>
      </c>
      <c r="AB1230" s="0" t="n">
        <v>0</v>
      </c>
      <c r="AC1230" s="0" t="n">
        <v>0</v>
      </c>
      <c r="AD1230" s="0" t="n">
        <v>0</v>
      </c>
      <c r="AE1230" s="0" t="n">
        <v>0</v>
      </c>
      <c r="AF1230" s="0" t="n">
        <v>0</v>
      </c>
      <c r="AG1230" s="0" t="n">
        <v>2887.91</v>
      </c>
      <c r="AH1230" s="0" t="n">
        <v>2887.91</v>
      </c>
      <c r="AI1230" s="0" t="n">
        <v>41</v>
      </c>
    </row>
    <row r="1231" customFormat="false" ht="14.9" hidden="false" customHeight="false" outlineLevel="0" collapsed="false">
      <c r="A1231" s="0" t="n">
        <v>1230</v>
      </c>
      <c r="B1231" s="0" t="s">
        <v>379</v>
      </c>
      <c r="C1231" s="33" t="s">
        <v>380</v>
      </c>
      <c r="D1231" s="34" t="n">
        <v>46227</v>
      </c>
      <c r="E1231" s="0" t="n">
        <v>505.8</v>
      </c>
      <c r="F1231" s="0" t="n">
        <v>0</v>
      </c>
      <c r="G1231" s="0" t="n">
        <v>493.3</v>
      </c>
      <c r="H1231" s="0" t="n">
        <v>495.6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25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11</v>
      </c>
      <c r="X1231" s="0" t="n">
        <v>0</v>
      </c>
      <c r="Y1231" s="0" t="n">
        <v>0</v>
      </c>
      <c r="Z1231" s="0" t="n">
        <v>0</v>
      </c>
      <c r="AA1231" s="0" t="n">
        <v>0</v>
      </c>
      <c r="AB1231" s="0" t="n">
        <v>0</v>
      </c>
      <c r="AC1231" s="0" t="n">
        <v>0</v>
      </c>
      <c r="AD1231" s="0" t="n">
        <v>0</v>
      </c>
      <c r="AE1231" s="0" t="n">
        <v>0</v>
      </c>
      <c r="AF1231" s="0" t="n">
        <v>0</v>
      </c>
      <c r="AG1231" s="0" t="n">
        <v>1530.7</v>
      </c>
      <c r="AH1231" s="0" t="n">
        <v>1530.7</v>
      </c>
      <c r="AI1231" s="0" t="n">
        <v>32</v>
      </c>
    </row>
    <row r="1232" customFormat="false" ht="14.9" hidden="false" customHeight="false" outlineLevel="0" collapsed="false">
      <c r="A1232" s="0" t="n">
        <v>1231</v>
      </c>
      <c r="B1232" s="0" t="s">
        <v>379</v>
      </c>
      <c r="C1232" s="33" t="s">
        <v>380</v>
      </c>
      <c r="D1232" s="34" t="n">
        <v>46219</v>
      </c>
      <c r="E1232" s="0" t="n">
        <v>1168.74</v>
      </c>
      <c r="F1232" s="0" t="n">
        <v>0</v>
      </c>
      <c r="G1232" s="0" t="n">
        <v>1448.88</v>
      </c>
      <c r="H1232" s="0" t="n">
        <v>838.63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9.91</v>
      </c>
      <c r="W1232" s="0" t="n">
        <v>73</v>
      </c>
      <c r="X1232" s="0" t="n">
        <v>0</v>
      </c>
      <c r="Y1232" s="0" t="n">
        <v>0</v>
      </c>
      <c r="Z1232" s="0" t="n">
        <v>0</v>
      </c>
      <c r="AA1232" s="0" t="n">
        <v>0</v>
      </c>
      <c r="AB1232" s="0" t="n">
        <v>0</v>
      </c>
      <c r="AC1232" s="0" t="n">
        <v>0</v>
      </c>
      <c r="AD1232" s="0" t="n">
        <v>0</v>
      </c>
      <c r="AE1232" s="0" t="n">
        <v>0</v>
      </c>
      <c r="AF1232" s="0" t="n">
        <v>0</v>
      </c>
      <c r="AG1232" s="0" t="n">
        <v>3539.16</v>
      </c>
      <c r="AH1232" s="0" t="n">
        <v>3539.16</v>
      </c>
      <c r="AI1232" s="0" t="n">
        <v>51</v>
      </c>
    </row>
    <row r="1233" customFormat="false" ht="14.9" hidden="false" customHeight="false" outlineLevel="0" collapsed="false">
      <c r="A1233" s="0" t="n">
        <v>1232</v>
      </c>
      <c r="B1233" s="0" t="s">
        <v>379</v>
      </c>
      <c r="C1233" s="33" t="s">
        <v>380</v>
      </c>
      <c r="D1233" s="34" t="n">
        <v>46206</v>
      </c>
      <c r="E1233" s="0" t="n">
        <v>442.3</v>
      </c>
      <c r="F1233" s="0" t="n">
        <v>0</v>
      </c>
      <c r="G1233" s="0" t="n">
        <v>1359.59</v>
      </c>
      <c r="H1233" s="0" t="n">
        <v>128.9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27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0</v>
      </c>
      <c r="W1233" s="0" t="n">
        <v>63</v>
      </c>
      <c r="X1233" s="0" t="n">
        <v>0</v>
      </c>
      <c r="Y1233" s="0" t="n">
        <v>0</v>
      </c>
      <c r="Z1233" s="0" t="n">
        <v>0</v>
      </c>
      <c r="AA1233" s="0" t="n">
        <v>0</v>
      </c>
      <c r="AB1233" s="0" t="n">
        <v>0</v>
      </c>
      <c r="AC1233" s="0" t="n">
        <v>0</v>
      </c>
      <c r="AD1233" s="0" t="n">
        <v>0</v>
      </c>
      <c r="AE1233" s="0" t="n">
        <v>0</v>
      </c>
      <c r="AF1233" s="0" t="n">
        <v>0</v>
      </c>
      <c r="AG1233" s="0" t="n">
        <v>2020.79</v>
      </c>
      <c r="AH1233" s="0" t="n">
        <v>2020.79</v>
      </c>
      <c r="AI1233" s="0" t="n">
        <v>30</v>
      </c>
    </row>
    <row r="1234" customFormat="false" ht="14.9" hidden="false" customHeight="false" outlineLevel="0" collapsed="false">
      <c r="A1234" s="0" t="n">
        <v>1233</v>
      </c>
      <c r="B1234" s="0" t="s">
        <v>379</v>
      </c>
      <c r="C1234" s="33" t="s">
        <v>380</v>
      </c>
      <c r="D1234" s="34" t="n">
        <v>46226</v>
      </c>
      <c r="E1234" s="0" t="n">
        <v>572.64</v>
      </c>
      <c r="F1234" s="0" t="n">
        <v>0</v>
      </c>
      <c r="G1234" s="0" t="n">
        <v>659.5</v>
      </c>
      <c r="H1234" s="0" t="n">
        <v>616.2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0.04</v>
      </c>
      <c r="W1234" s="0" t="n">
        <v>70</v>
      </c>
      <c r="X1234" s="0" t="n">
        <v>0</v>
      </c>
      <c r="Y1234" s="0" t="n">
        <v>0</v>
      </c>
      <c r="Z1234" s="0" t="n">
        <v>0</v>
      </c>
      <c r="AA1234" s="0" t="n">
        <v>0</v>
      </c>
      <c r="AB1234" s="0" t="n">
        <v>0</v>
      </c>
      <c r="AC1234" s="0" t="n">
        <v>0</v>
      </c>
      <c r="AD1234" s="0" t="n">
        <v>0</v>
      </c>
      <c r="AE1234" s="0" t="n">
        <v>0</v>
      </c>
      <c r="AF1234" s="0" t="n">
        <v>0</v>
      </c>
      <c r="AG1234" s="0" t="n">
        <v>1918.38</v>
      </c>
      <c r="AH1234" s="0" t="n">
        <v>1918.38</v>
      </c>
      <c r="AI1234" s="0" t="n">
        <v>29</v>
      </c>
    </row>
    <row r="1235" customFormat="false" ht="14.9" hidden="false" customHeight="false" outlineLevel="0" collapsed="false">
      <c r="A1235" s="0" t="n">
        <v>1234</v>
      </c>
      <c r="B1235" s="0" t="s">
        <v>379</v>
      </c>
      <c r="C1235" s="33" t="s">
        <v>380</v>
      </c>
      <c r="D1235" s="34" t="n">
        <v>46233</v>
      </c>
      <c r="E1235" s="0" t="n">
        <v>462.45</v>
      </c>
      <c r="F1235" s="0" t="n">
        <v>0</v>
      </c>
      <c r="G1235" s="0" t="n">
        <v>1157.4</v>
      </c>
      <c r="H1235" s="0" t="n">
        <v>171.3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16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358</v>
      </c>
      <c r="X1235" s="0" t="n">
        <v>0</v>
      </c>
      <c r="Y1235" s="0" t="n">
        <v>0</v>
      </c>
      <c r="Z1235" s="0" t="n">
        <v>0</v>
      </c>
      <c r="AA1235" s="0" t="n">
        <v>0</v>
      </c>
      <c r="AB1235" s="0" t="n">
        <v>0</v>
      </c>
      <c r="AC1235" s="0" t="n">
        <v>0</v>
      </c>
      <c r="AD1235" s="0" t="n">
        <v>0</v>
      </c>
      <c r="AE1235" s="0" t="n">
        <v>0</v>
      </c>
      <c r="AF1235" s="0" t="n">
        <v>0</v>
      </c>
      <c r="AG1235" s="0" t="n">
        <v>2165.15</v>
      </c>
      <c r="AH1235" s="0" t="n">
        <v>2165.15</v>
      </c>
      <c r="AI1235" s="0" t="n">
        <v>39</v>
      </c>
    </row>
    <row r="1236" customFormat="false" ht="14.9" hidden="false" customHeight="false" outlineLevel="0" collapsed="false">
      <c r="A1236" s="0" t="n">
        <v>1235</v>
      </c>
      <c r="B1236" s="0" t="s">
        <v>379</v>
      </c>
      <c r="C1236" s="33" t="s">
        <v>380</v>
      </c>
      <c r="D1236" s="34" t="n">
        <v>46232</v>
      </c>
      <c r="E1236" s="0" t="n">
        <v>695.3</v>
      </c>
      <c r="F1236" s="0" t="n">
        <v>0</v>
      </c>
      <c r="G1236" s="0" t="n">
        <v>1263.6</v>
      </c>
      <c r="H1236" s="0" t="n">
        <v>230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40.9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295</v>
      </c>
      <c r="X1236" s="0" t="n">
        <v>0</v>
      </c>
      <c r="Y1236" s="0" t="n">
        <v>0</v>
      </c>
      <c r="Z1236" s="0" t="n">
        <v>0</v>
      </c>
      <c r="AA1236" s="0" t="n">
        <v>0</v>
      </c>
      <c r="AB1236" s="0" t="n">
        <v>0</v>
      </c>
      <c r="AC1236" s="0" t="n">
        <v>0</v>
      </c>
      <c r="AD1236" s="0" t="n">
        <v>0</v>
      </c>
      <c r="AE1236" s="0" t="n">
        <v>0</v>
      </c>
      <c r="AF1236" s="0" t="n">
        <v>0</v>
      </c>
      <c r="AG1236" s="0" t="n">
        <v>2524.8</v>
      </c>
      <c r="AH1236" s="0" t="n">
        <v>2524.8</v>
      </c>
      <c r="AI1236" s="0" t="n">
        <v>39</v>
      </c>
    </row>
    <row r="1237" customFormat="false" ht="14.9" hidden="false" customHeight="false" outlineLevel="0" collapsed="false">
      <c r="A1237" s="0" t="n">
        <v>1236</v>
      </c>
      <c r="B1237" s="0" t="s">
        <v>379</v>
      </c>
      <c r="C1237" s="33" t="s">
        <v>380</v>
      </c>
      <c r="D1237" s="34" t="n">
        <v>46231</v>
      </c>
      <c r="E1237" s="0" t="n">
        <v>600.8</v>
      </c>
      <c r="F1237" s="0" t="n">
        <v>0</v>
      </c>
      <c r="G1237" s="0" t="n">
        <v>596.7</v>
      </c>
      <c r="H1237" s="0" t="n">
        <v>360.9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0</v>
      </c>
      <c r="W1237" s="0" t="n">
        <v>110</v>
      </c>
      <c r="X1237" s="0" t="n">
        <v>0</v>
      </c>
      <c r="Y1237" s="0" t="n">
        <v>0</v>
      </c>
      <c r="Z1237" s="0" t="n">
        <v>0</v>
      </c>
      <c r="AA1237" s="0" t="n">
        <v>0</v>
      </c>
      <c r="AB1237" s="0" t="n">
        <v>0</v>
      </c>
      <c r="AC1237" s="0" t="n">
        <v>0</v>
      </c>
      <c r="AD1237" s="0" t="n">
        <v>0</v>
      </c>
      <c r="AE1237" s="0" t="n">
        <v>0</v>
      </c>
      <c r="AF1237" s="0" t="n">
        <v>0</v>
      </c>
      <c r="AG1237" s="0" t="n">
        <v>1668.4</v>
      </c>
      <c r="AH1237" s="0" t="n">
        <v>1668.4</v>
      </c>
      <c r="AI1237" s="0" t="n">
        <v>32</v>
      </c>
    </row>
    <row r="1238" customFormat="false" ht="14.9" hidden="false" customHeight="false" outlineLevel="0" collapsed="false">
      <c r="A1238" s="0" t="n">
        <v>1237</v>
      </c>
      <c r="B1238" s="0" t="s">
        <v>379</v>
      </c>
      <c r="C1238" s="33" t="s">
        <v>380</v>
      </c>
      <c r="D1238" s="34" t="n">
        <v>46209</v>
      </c>
      <c r="E1238" s="0" t="n">
        <v>971.09</v>
      </c>
      <c r="F1238" s="0" t="n">
        <v>0</v>
      </c>
      <c r="G1238" s="0" t="n">
        <v>1874.63</v>
      </c>
      <c r="H1238" s="0" t="n">
        <v>751.13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45</v>
      </c>
      <c r="X1238" s="0" t="n">
        <v>0</v>
      </c>
      <c r="Y1238" s="0" t="n">
        <v>0</v>
      </c>
      <c r="Z1238" s="0" t="n">
        <v>0</v>
      </c>
      <c r="AA1238" s="0" t="n">
        <v>0</v>
      </c>
      <c r="AB1238" s="0" t="n">
        <v>0</v>
      </c>
      <c r="AC1238" s="0" t="n">
        <v>0</v>
      </c>
      <c r="AD1238" s="0" t="n">
        <v>0</v>
      </c>
      <c r="AE1238" s="0" t="n">
        <v>0</v>
      </c>
      <c r="AF1238" s="0" t="n">
        <v>0</v>
      </c>
      <c r="AG1238" s="0" t="n">
        <v>3641.85</v>
      </c>
      <c r="AH1238" s="0" t="n">
        <v>3641.85</v>
      </c>
      <c r="AI1238" s="0" t="n">
        <v>45</v>
      </c>
    </row>
    <row r="1239" customFormat="false" ht="14.9" hidden="false" customHeight="false" outlineLevel="0" collapsed="false">
      <c r="A1239" s="0" t="n">
        <v>1238</v>
      </c>
      <c r="B1239" s="0" t="s">
        <v>379</v>
      </c>
      <c r="C1239" s="33" t="s">
        <v>380</v>
      </c>
      <c r="D1239" s="34" t="n">
        <v>46207</v>
      </c>
      <c r="E1239" s="0" t="n">
        <v>218.8</v>
      </c>
      <c r="F1239" s="0" t="n">
        <v>0</v>
      </c>
      <c r="G1239" s="0" t="n">
        <v>1038.12</v>
      </c>
      <c r="H1239" s="0" t="n">
        <v>314.9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0</v>
      </c>
      <c r="W1239" s="0" t="n">
        <v>10</v>
      </c>
      <c r="X1239" s="0" t="n">
        <v>0</v>
      </c>
      <c r="Y1239" s="0" t="n">
        <v>0</v>
      </c>
      <c r="Z1239" s="0" t="n">
        <v>0</v>
      </c>
      <c r="AA1239" s="0" t="n">
        <v>0</v>
      </c>
      <c r="AB1239" s="0" t="n">
        <v>0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n">
        <v>1581.82</v>
      </c>
      <c r="AH1239" s="0" t="n">
        <v>1581.82</v>
      </c>
      <c r="AI1239" s="0" t="n">
        <v>30</v>
      </c>
    </row>
    <row r="1240" customFormat="false" ht="14.9" hidden="false" customHeight="false" outlineLevel="0" collapsed="false">
      <c r="A1240" s="0" t="n">
        <v>1239</v>
      </c>
      <c r="B1240" s="0" t="s">
        <v>379</v>
      </c>
      <c r="C1240" s="33" t="s">
        <v>380</v>
      </c>
      <c r="D1240" s="34" t="n">
        <v>46234</v>
      </c>
      <c r="E1240" s="0" t="n">
        <v>314.45</v>
      </c>
      <c r="F1240" s="0" t="n">
        <v>0</v>
      </c>
      <c r="G1240" s="0" t="n">
        <v>1761.4</v>
      </c>
      <c r="H1240" s="0" t="n">
        <v>554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13</v>
      </c>
      <c r="T1240" s="0" t="n">
        <v>0</v>
      </c>
      <c r="U1240" s="0" t="n">
        <v>0</v>
      </c>
      <c r="V1240" s="0" t="n">
        <v>0</v>
      </c>
      <c r="W1240" s="0" t="n">
        <v>279</v>
      </c>
      <c r="X1240" s="0" t="n">
        <v>0</v>
      </c>
      <c r="Y1240" s="0" t="n">
        <v>0</v>
      </c>
      <c r="Z1240" s="0" t="n">
        <v>0</v>
      </c>
      <c r="AA1240" s="0" t="n">
        <v>0</v>
      </c>
      <c r="AB1240" s="0" t="n">
        <v>0</v>
      </c>
      <c r="AC1240" s="0" t="n">
        <v>0</v>
      </c>
      <c r="AD1240" s="0" t="n">
        <v>0</v>
      </c>
      <c r="AE1240" s="0" t="n">
        <v>0</v>
      </c>
      <c r="AF1240" s="0" t="n">
        <v>0</v>
      </c>
      <c r="AG1240" s="0" t="n">
        <v>2921.85</v>
      </c>
      <c r="AH1240" s="0" t="n">
        <v>2921.85</v>
      </c>
      <c r="AI1240" s="0" t="n">
        <v>28</v>
      </c>
    </row>
    <row r="1241" customFormat="false" ht="14.9" hidden="false" customHeight="false" outlineLevel="0" collapsed="false">
      <c r="A1241" s="0" t="n">
        <v>1240</v>
      </c>
      <c r="B1241" s="0" t="s">
        <v>379</v>
      </c>
      <c r="C1241" s="33" t="s">
        <v>380</v>
      </c>
      <c r="D1241" s="34" t="n">
        <v>46210</v>
      </c>
      <c r="E1241" s="0" t="n">
        <v>57.01</v>
      </c>
      <c r="F1241" s="0" t="n">
        <v>0</v>
      </c>
      <c r="G1241" s="0" t="n">
        <v>1190.51</v>
      </c>
      <c r="H1241" s="0" t="n">
        <v>544.5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0</v>
      </c>
      <c r="W1241" s="0" t="n">
        <v>35.1</v>
      </c>
      <c r="X1241" s="0" t="n">
        <v>0</v>
      </c>
      <c r="Y1241" s="0" t="n">
        <v>0</v>
      </c>
      <c r="Z1241" s="0" t="n">
        <v>0</v>
      </c>
      <c r="AA1241" s="0" t="n">
        <v>0</v>
      </c>
      <c r="AB1241" s="0" t="n">
        <v>0</v>
      </c>
      <c r="AC1241" s="0" t="n">
        <v>0</v>
      </c>
      <c r="AD1241" s="0" t="n">
        <v>0</v>
      </c>
      <c r="AE1241" s="0" t="n">
        <v>0</v>
      </c>
      <c r="AF1241" s="0" t="n">
        <v>0</v>
      </c>
      <c r="AG1241" s="0" t="n">
        <v>1827.12</v>
      </c>
      <c r="AH1241" s="0" t="n">
        <v>1827.12</v>
      </c>
      <c r="AI1241" s="0" t="n">
        <v>37</v>
      </c>
    </row>
    <row r="1242" customFormat="false" ht="14.9" hidden="false" customHeight="false" outlineLevel="0" collapsed="false">
      <c r="A1242" s="0" t="n">
        <v>1241</v>
      </c>
      <c r="B1242" s="0" t="s">
        <v>379</v>
      </c>
      <c r="C1242" s="33" t="s">
        <v>380</v>
      </c>
      <c r="D1242" s="34" t="n">
        <v>46223</v>
      </c>
      <c r="E1242" s="0" t="n">
        <v>445.33</v>
      </c>
      <c r="F1242" s="0" t="n">
        <v>0</v>
      </c>
      <c r="G1242" s="0" t="n">
        <v>757.7</v>
      </c>
      <c r="H1242" s="0" t="n">
        <v>146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0.02</v>
      </c>
      <c r="W1242" s="0" t="n">
        <v>48</v>
      </c>
      <c r="X1242" s="0" t="n">
        <v>0</v>
      </c>
      <c r="Y1242" s="0" t="n">
        <v>0</v>
      </c>
      <c r="Z1242" s="0" t="n">
        <v>0</v>
      </c>
      <c r="AA1242" s="0" t="n">
        <v>0</v>
      </c>
      <c r="AB1242" s="0" t="n">
        <v>0</v>
      </c>
      <c r="AC1242" s="0" t="n">
        <v>0</v>
      </c>
      <c r="AD1242" s="0" t="n">
        <v>0</v>
      </c>
      <c r="AE1242" s="0" t="n">
        <v>0</v>
      </c>
      <c r="AF1242" s="0" t="n">
        <v>0</v>
      </c>
      <c r="AG1242" s="0" t="n">
        <v>1397.05</v>
      </c>
      <c r="AH1242" s="0" t="n">
        <v>1397.05</v>
      </c>
      <c r="AI1242" s="0" t="n">
        <v>29</v>
      </c>
    </row>
    <row r="1243" customFormat="false" ht="14.9" hidden="false" customHeight="false" outlineLevel="0" collapsed="false">
      <c r="A1243" s="0" t="n">
        <v>1242</v>
      </c>
      <c r="B1243" s="0" t="s">
        <v>381</v>
      </c>
      <c r="C1243" s="33" t="s">
        <v>382</v>
      </c>
      <c r="D1243" s="34" t="n">
        <v>46234</v>
      </c>
      <c r="E1243" s="0" t="n">
        <v>113.9</v>
      </c>
      <c r="F1243" s="0" t="n">
        <v>0</v>
      </c>
      <c r="G1243" s="0" t="n">
        <v>555.5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36.2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3.8</v>
      </c>
      <c r="W1243" s="0" t="n">
        <v>36</v>
      </c>
      <c r="X1243" s="0" t="n">
        <v>0</v>
      </c>
      <c r="Y1243" s="0" t="n">
        <v>0</v>
      </c>
      <c r="Z1243" s="0" t="n">
        <v>0</v>
      </c>
      <c r="AA1243" s="0" t="n">
        <v>0</v>
      </c>
      <c r="AB1243" s="0" t="n">
        <v>0</v>
      </c>
      <c r="AC1243" s="0" t="n">
        <v>0</v>
      </c>
      <c r="AD1243" s="0" t="n">
        <v>0</v>
      </c>
      <c r="AE1243" s="0" t="n">
        <v>0</v>
      </c>
      <c r="AF1243" s="0" t="n">
        <v>0</v>
      </c>
      <c r="AG1243" s="0" t="n">
        <v>745.4</v>
      </c>
      <c r="AH1243" s="0" t="n">
        <v>745.4</v>
      </c>
      <c r="AI1243" s="0" t="n">
        <v>16</v>
      </c>
    </row>
    <row r="1244" customFormat="false" ht="14.9" hidden="false" customHeight="false" outlineLevel="0" collapsed="false">
      <c r="A1244" s="0" t="n">
        <v>1243</v>
      </c>
      <c r="B1244" s="0" t="s">
        <v>381</v>
      </c>
      <c r="C1244" s="33" t="s">
        <v>382</v>
      </c>
      <c r="D1244" s="34" t="n">
        <v>46216</v>
      </c>
      <c r="E1244" s="0" t="n">
        <v>6.5</v>
      </c>
      <c r="F1244" s="0" t="n">
        <v>0</v>
      </c>
      <c r="G1244" s="0" t="n">
        <v>882.96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21.5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0.02</v>
      </c>
      <c r="W1244" s="0" t="n">
        <v>5</v>
      </c>
      <c r="X1244" s="0" t="n">
        <v>0</v>
      </c>
      <c r="Y1244" s="0" t="n">
        <v>0</v>
      </c>
      <c r="Z1244" s="0" t="n">
        <v>0</v>
      </c>
      <c r="AA1244" s="0" t="n">
        <v>0</v>
      </c>
      <c r="AB1244" s="0" t="n">
        <v>0</v>
      </c>
      <c r="AC1244" s="0" t="n">
        <v>0</v>
      </c>
      <c r="AD1244" s="0" t="n">
        <v>0</v>
      </c>
      <c r="AE1244" s="0" t="n">
        <v>0</v>
      </c>
      <c r="AF1244" s="0" t="n">
        <v>0</v>
      </c>
      <c r="AG1244" s="0" t="n">
        <v>915.98</v>
      </c>
      <c r="AH1244" s="0" t="n">
        <v>915.98</v>
      </c>
      <c r="AI1244" s="0" t="n">
        <v>19</v>
      </c>
    </row>
    <row r="1245" customFormat="false" ht="14.9" hidden="false" customHeight="false" outlineLevel="0" collapsed="false">
      <c r="A1245" s="0" t="n">
        <v>1244</v>
      </c>
      <c r="B1245" s="0" t="s">
        <v>381</v>
      </c>
      <c r="C1245" s="33" t="s">
        <v>382</v>
      </c>
      <c r="D1245" s="34" t="n">
        <v>46232</v>
      </c>
      <c r="E1245" s="0" t="n">
        <v>109</v>
      </c>
      <c r="F1245" s="0" t="n">
        <v>0</v>
      </c>
      <c r="G1245" s="0" t="n">
        <v>924.6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80</v>
      </c>
      <c r="X1245" s="0" t="n">
        <v>0</v>
      </c>
      <c r="Y1245" s="0" t="n">
        <v>0</v>
      </c>
      <c r="Z1245" s="0" t="n">
        <v>0</v>
      </c>
      <c r="AA1245" s="0" t="n">
        <v>0</v>
      </c>
      <c r="AB1245" s="0" t="n">
        <v>0</v>
      </c>
      <c r="AC1245" s="0" t="n">
        <v>0</v>
      </c>
      <c r="AD1245" s="0" t="n">
        <v>0</v>
      </c>
      <c r="AE1245" s="0" t="n">
        <v>0</v>
      </c>
      <c r="AF1245" s="0" t="n">
        <v>0</v>
      </c>
      <c r="AG1245" s="0" t="n">
        <v>1113.6</v>
      </c>
      <c r="AH1245" s="0" t="n">
        <v>1113.6</v>
      </c>
      <c r="AI1245" s="0" t="n">
        <v>15</v>
      </c>
    </row>
    <row r="1246" customFormat="false" ht="14.9" hidden="false" customHeight="false" outlineLevel="0" collapsed="false">
      <c r="A1246" s="0" t="n">
        <v>1245</v>
      </c>
      <c r="B1246" s="0" t="s">
        <v>381</v>
      </c>
      <c r="C1246" s="33" t="s">
        <v>382</v>
      </c>
      <c r="D1246" s="34" t="n">
        <v>46209</v>
      </c>
      <c r="E1246" s="0" t="n">
        <v>376.05</v>
      </c>
      <c r="F1246" s="0" t="n">
        <v>0</v>
      </c>
      <c r="G1246" s="0" t="n">
        <v>919.06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n">
        <v>10</v>
      </c>
      <c r="X1246" s="0" t="n">
        <v>0</v>
      </c>
      <c r="Y1246" s="0" t="n">
        <v>0</v>
      </c>
      <c r="Z1246" s="0" t="n">
        <v>0</v>
      </c>
      <c r="AA1246" s="0" t="n">
        <v>0</v>
      </c>
      <c r="AB1246" s="0" t="n">
        <v>0</v>
      </c>
      <c r="AC1246" s="0" t="n">
        <v>0</v>
      </c>
      <c r="AD1246" s="0" t="n">
        <v>0</v>
      </c>
      <c r="AE1246" s="0" t="n">
        <v>0</v>
      </c>
      <c r="AF1246" s="0" t="n">
        <v>0</v>
      </c>
      <c r="AG1246" s="0" t="n">
        <v>1305.11</v>
      </c>
      <c r="AH1246" s="0" t="n">
        <v>1305.11</v>
      </c>
      <c r="AI1246" s="0" t="n">
        <v>21</v>
      </c>
    </row>
    <row r="1247" customFormat="false" ht="14.9" hidden="false" customHeight="false" outlineLevel="0" collapsed="false">
      <c r="A1247" s="0" t="n">
        <v>1246</v>
      </c>
      <c r="B1247" s="0" t="s">
        <v>381</v>
      </c>
      <c r="C1247" s="33" t="s">
        <v>382</v>
      </c>
      <c r="D1247" s="34" t="n">
        <v>46223</v>
      </c>
      <c r="E1247" s="0" t="n">
        <v>419.3</v>
      </c>
      <c r="F1247" s="0" t="n">
        <v>0</v>
      </c>
      <c r="G1247" s="0" t="n">
        <v>937.4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33.5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10</v>
      </c>
      <c r="X1247" s="0" t="n">
        <v>0</v>
      </c>
      <c r="Y1247" s="0" t="n">
        <v>0</v>
      </c>
      <c r="Z1247" s="0" t="n">
        <v>0</v>
      </c>
      <c r="AA1247" s="0" t="n">
        <v>0</v>
      </c>
      <c r="AB1247" s="0" t="n">
        <v>0</v>
      </c>
      <c r="AC1247" s="0" t="n">
        <v>0</v>
      </c>
      <c r="AD1247" s="0" t="n">
        <v>0</v>
      </c>
      <c r="AE1247" s="0" t="n">
        <v>0</v>
      </c>
      <c r="AF1247" s="0" t="n">
        <v>0</v>
      </c>
      <c r="AG1247" s="0" t="n">
        <v>1400.2</v>
      </c>
      <c r="AH1247" s="0" t="n">
        <v>1400.2</v>
      </c>
      <c r="AI1247" s="0" t="n">
        <v>25</v>
      </c>
    </row>
    <row r="1248" customFormat="false" ht="14.9" hidden="false" customHeight="false" outlineLevel="0" collapsed="false">
      <c r="A1248" s="0" t="n">
        <v>1247</v>
      </c>
      <c r="B1248" s="0" t="s">
        <v>381</v>
      </c>
      <c r="C1248" s="33" t="s">
        <v>382</v>
      </c>
      <c r="D1248" s="34" t="n">
        <v>46225</v>
      </c>
      <c r="E1248" s="0" t="n">
        <v>68.3</v>
      </c>
      <c r="F1248" s="0" t="n">
        <v>0</v>
      </c>
      <c r="G1248" s="0" t="n">
        <v>265.4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118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n">
        <v>15</v>
      </c>
      <c r="X1248" s="0" t="n">
        <v>0</v>
      </c>
      <c r="Y1248" s="0" t="n">
        <v>0</v>
      </c>
      <c r="Z1248" s="0" t="n">
        <v>0</v>
      </c>
      <c r="AA1248" s="0" t="n">
        <v>0</v>
      </c>
      <c r="AB1248" s="0" t="n">
        <v>0</v>
      </c>
      <c r="AC1248" s="0" t="n">
        <v>0</v>
      </c>
      <c r="AD1248" s="0" t="n">
        <v>0</v>
      </c>
      <c r="AE1248" s="0" t="n">
        <v>0</v>
      </c>
      <c r="AF1248" s="0" t="n">
        <v>0</v>
      </c>
      <c r="AG1248" s="0" t="n">
        <v>466.7</v>
      </c>
      <c r="AH1248" s="0" t="n">
        <v>466.7</v>
      </c>
      <c r="AI1248" s="0" t="n">
        <v>11</v>
      </c>
    </row>
    <row r="1249" customFormat="false" ht="14.9" hidden="false" customHeight="false" outlineLevel="0" collapsed="false">
      <c r="A1249" s="0" t="n">
        <v>1248</v>
      </c>
      <c r="B1249" s="0" t="s">
        <v>381</v>
      </c>
      <c r="C1249" s="33" t="s">
        <v>382</v>
      </c>
      <c r="D1249" s="34" t="n">
        <v>46219</v>
      </c>
      <c r="E1249" s="0" t="n">
        <v>35.4</v>
      </c>
      <c r="F1249" s="0" t="n">
        <v>0</v>
      </c>
      <c r="G1249" s="0" t="n">
        <v>783.44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38.1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0</v>
      </c>
      <c r="W1249" s="0" t="n">
        <v>5</v>
      </c>
      <c r="X1249" s="0" t="n">
        <v>0</v>
      </c>
      <c r="Y1249" s="0" t="n">
        <v>0</v>
      </c>
      <c r="Z1249" s="0" t="n">
        <v>0</v>
      </c>
      <c r="AA1249" s="0" t="n">
        <v>0</v>
      </c>
      <c r="AB1249" s="0" t="n">
        <v>0</v>
      </c>
      <c r="AC1249" s="0" t="n">
        <v>0</v>
      </c>
      <c r="AD1249" s="0" t="n">
        <v>0</v>
      </c>
      <c r="AE1249" s="0" t="n">
        <v>0</v>
      </c>
      <c r="AF1249" s="0" t="n">
        <v>0</v>
      </c>
      <c r="AG1249" s="0" t="n">
        <v>861.94</v>
      </c>
      <c r="AH1249" s="0" t="n">
        <v>861.94</v>
      </c>
      <c r="AI1249" s="0" t="n">
        <v>22</v>
      </c>
    </row>
    <row r="1250" customFormat="false" ht="14.9" hidden="false" customHeight="false" outlineLevel="0" collapsed="false">
      <c r="A1250" s="0" t="n">
        <v>1249</v>
      </c>
      <c r="B1250" s="0" t="s">
        <v>381</v>
      </c>
      <c r="C1250" s="33" t="s">
        <v>382</v>
      </c>
      <c r="D1250" s="34" t="n">
        <v>46207</v>
      </c>
      <c r="E1250" s="0" t="n">
        <v>130.9</v>
      </c>
      <c r="F1250" s="0" t="n">
        <v>0</v>
      </c>
      <c r="G1250" s="0" t="n">
        <v>768.15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110.8</v>
      </c>
      <c r="T1250" s="0" t="n">
        <v>0</v>
      </c>
      <c r="U1250" s="0" t="n">
        <v>5</v>
      </c>
      <c r="V1250" s="0" t="n">
        <v>0</v>
      </c>
      <c r="W1250" s="0" t="n">
        <v>30</v>
      </c>
      <c r="X1250" s="0" t="n">
        <v>0</v>
      </c>
      <c r="Y1250" s="0" t="n">
        <v>0</v>
      </c>
      <c r="Z1250" s="0" t="n">
        <v>0</v>
      </c>
      <c r="AA1250" s="0" t="n">
        <v>0</v>
      </c>
      <c r="AB1250" s="0" t="n">
        <v>0</v>
      </c>
      <c r="AC1250" s="0" t="n">
        <v>0</v>
      </c>
      <c r="AD1250" s="0" t="n">
        <v>0</v>
      </c>
      <c r="AE1250" s="0" t="n">
        <v>0</v>
      </c>
      <c r="AF1250" s="0" t="n">
        <v>0</v>
      </c>
      <c r="AG1250" s="0" t="n">
        <v>1044.85</v>
      </c>
      <c r="AH1250" s="0" t="n">
        <v>1044.85</v>
      </c>
      <c r="AI1250" s="0" t="n">
        <v>19</v>
      </c>
    </row>
    <row r="1251" customFormat="false" ht="14.9" hidden="false" customHeight="false" outlineLevel="0" collapsed="false">
      <c r="A1251" s="0" t="n">
        <v>1250</v>
      </c>
      <c r="B1251" s="0" t="s">
        <v>381</v>
      </c>
      <c r="C1251" s="33" t="s">
        <v>382</v>
      </c>
      <c r="D1251" s="34" t="n">
        <v>46229</v>
      </c>
      <c r="E1251" s="0" t="n">
        <v>58</v>
      </c>
      <c r="F1251" s="0" t="n">
        <v>0</v>
      </c>
      <c r="G1251" s="0" t="n">
        <v>932.5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0.02</v>
      </c>
      <c r="W1251" s="0" t="n">
        <v>5</v>
      </c>
      <c r="X1251" s="0" t="n">
        <v>0</v>
      </c>
      <c r="Y1251" s="0" t="n">
        <v>0</v>
      </c>
      <c r="Z1251" s="0" t="n">
        <v>0</v>
      </c>
      <c r="AA1251" s="0" t="n">
        <v>0</v>
      </c>
      <c r="AB1251" s="0" t="n">
        <v>0</v>
      </c>
      <c r="AC1251" s="0" t="n">
        <v>0</v>
      </c>
      <c r="AD1251" s="0" t="n">
        <v>0</v>
      </c>
      <c r="AE1251" s="0" t="n">
        <v>0</v>
      </c>
      <c r="AF1251" s="0" t="n">
        <v>0</v>
      </c>
      <c r="AG1251" s="0" t="n">
        <v>995.52</v>
      </c>
      <c r="AH1251" s="0" t="n">
        <v>995.52</v>
      </c>
      <c r="AI1251" s="0" t="n">
        <v>16</v>
      </c>
    </row>
    <row r="1252" customFormat="false" ht="14.9" hidden="false" customHeight="false" outlineLevel="0" collapsed="false">
      <c r="A1252" s="0" t="n">
        <v>1251</v>
      </c>
      <c r="B1252" s="0" t="s">
        <v>381</v>
      </c>
      <c r="C1252" s="33" t="s">
        <v>382</v>
      </c>
      <c r="D1252" s="34" t="n">
        <v>46231</v>
      </c>
      <c r="E1252" s="0" t="n">
        <v>554.6</v>
      </c>
      <c r="F1252" s="0" t="n">
        <v>0</v>
      </c>
      <c r="G1252" s="0" t="n">
        <v>1600.12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24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167</v>
      </c>
      <c r="X1252" s="0" t="n">
        <v>0</v>
      </c>
      <c r="Y1252" s="0" t="n">
        <v>0</v>
      </c>
      <c r="Z1252" s="0" t="n">
        <v>0</v>
      </c>
      <c r="AA1252" s="0" t="n">
        <v>0</v>
      </c>
      <c r="AB1252" s="0" t="n">
        <v>0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2345.72</v>
      </c>
      <c r="AH1252" s="0" t="n">
        <v>2345.72</v>
      </c>
      <c r="AI1252" s="0" t="n">
        <v>33</v>
      </c>
    </row>
    <row r="1253" customFormat="false" ht="14.9" hidden="false" customHeight="false" outlineLevel="0" collapsed="false">
      <c r="A1253" s="0" t="n">
        <v>1252</v>
      </c>
      <c r="B1253" s="0" t="s">
        <v>381</v>
      </c>
      <c r="C1253" s="33" t="s">
        <v>382</v>
      </c>
      <c r="D1253" s="34" t="n">
        <v>46230</v>
      </c>
      <c r="E1253" s="0" t="n">
        <v>345.3</v>
      </c>
      <c r="F1253" s="0" t="n">
        <v>0</v>
      </c>
      <c r="G1253" s="0" t="n">
        <v>758.96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2</v>
      </c>
      <c r="T1253" s="0" t="n">
        <v>0</v>
      </c>
      <c r="U1253" s="0" t="n">
        <v>0</v>
      </c>
      <c r="V1253" s="0" t="n">
        <v>0</v>
      </c>
      <c r="W1253" s="0" t="n">
        <v>53</v>
      </c>
      <c r="X1253" s="0" t="n">
        <v>0</v>
      </c>
      <c r="Y1253" s="0" t="n">
        <v>0</v>
      </c>
      <c r="Z1253" s="0" t="n">
        <v>0</v>
      </c>
      <c r="AA1253" s="0" t="n">
        <v>0</v>
      </c>
      <c r="AB1253" s="0" t="n">
        <v>0</v>
      </c>
      <c r="AC1253" s="0" t="n">
        <v>0</v>
      </c>
      <c r="AD1253" s="0" t="n">
        <v>0</v>
      </c>
      <c r="AE1253" s="0" t="n">
        <v>0</v>
      </c>
      <c r="AF1253" s="0" t="n">
        <v>0</v>
      </c>
      <c r="AG1253" s="0" t="n">
        <v>1159.26</v>
      </c>
      <c r="AH1253" s="0" t="n">
        <v>1159.26</v>
      </c>
      <c r="AI1253" s="0" t="n">
        <v>21</v>
      </c>
    </row>
    <row r="1254" customFormat="false" ht="14.9" hidden="false" customHeight="false" outlineLevel="0" collapsed="false">
      <c r="A1254" s="0" t="n">
        <v>1253</v>
      </c>
      <c r="B1254" s="0" t="s">
        <v>381</v>
      </c>
      <c r="C1254" s="33" t="s">
        <v>382</v>
      </c>
      <c r="D1254" s="34" t="n">
        <v>46220</v>
      </c>
      <c r="E1254" s="0" t="n">
        <v>0</v>
      </c>
      <c r="F1254" s="0" t="n">
        <v>0</v>
      </c>
      <c r="G1254" s="0" t="n">
        <v>645.7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106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0</v>
      </c>
      <c r="W1254" s="0" t="n">
        <v>58</v>
      </c>
      <c r="X1254" s="0" t="n">
        <v>0</v>
      </c>
      <c r="Y1254" s="0" t="n">
        <v>0</v>
      </c>
      <c r="Z1254" s="0" t="n">
        <v>0</v>
      </c>
      <c r="AA1254" s="0" t="n">
        <v>0</v>
      </c>
      <c r="AB1254" s="0" t="n">
        <v>0</v>
      </c>
      <c r="AC1254" s="0" t="n">
        <v>0</v>
      </c>
      <c r="AD1254" s="0" t="n">
        <v>0</v>
      </c>
      <c r="AE1254" s="0" t="n">
        <v>0</v>
      </c>
      <c r="AF1254" s="0" t="n">
        <v>0</v>
      </c>
      <c r="AG1254" s="0" t="n">
        <v>809.7</v>
      </c>
      <c r="AH1254" s="0" t="n">
        <v>809.7</v>
      </c>
      <c r="AI1254" s="0" t="n">
        <v>17</v>
      </c>
    </row>
    <row r="1255" customFormat="false" ht="14.9" hidden="false" customHeight="false" outlineLevel="0" collapsed="false">
      <c r="A1255" s="0" t="n">
        <v>1254</v>
      </c>
      <c r="B1255" s="0" t="s">
        <v>381</v>
      </c>
      <c r="C1255" s="33" t="s">
        <v>382</v>
      </c>
      <c r="D1255" s="34" t="n">
        <v>46205</v>
      </c>
      <c r="E1255" s="0" t="n">
        <v>18.9</v>
      </c>
      <c r="F1255" s="0" t="n">
        <v>0</v>
      </c>
      <c r="G1255" s="0" t="n">
        <v>857.59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30</v>
      </c>
      <c r="X1255" s="0" t="n">
        <v>0</v>
      </c>
      <c r="Y1255" s="0" t="n">
        <v>0</v>
      </c>
      <c r="Z1255" s="0" t="n">
        <v>0</v>
      </c>
      <c r="AA1255" s="0" t="n">
        <v>0</v>
      </c>
      <c r="AB1255" s="0" t="n">
        <v>0</v>
      </c>
      <c r="AC1255" s="0" t="n">
        <v>0</v>
      </c>
      <c r="AD1255" s="0" t="n">
        <v>0</v>
      </c>
      <c r="AE1255" s="0" t="n">
        <v>0</v>
      </c>
      <c r="AF1255" s="0" t="n">
        <v>0</v>
      </c>
      <c r="AG1255" s="0" t="n">
        <v>906.49</v>
      </c>
      <c r="AH1255" s="0" t="n">
        <v>906.49</v>
      </c>
      <c r="AI1255" s="0" t="n">
        <v>19</v>
      </c>
    </row>
    <row r="1256" customFormat="false" ht="14.9" hidden="false" customHeight="false" outlineLevel="0" collapsed="false">
      <c r="A1256" s="0" t="n">
        <v>1255</v>
      </c>
      <c r="B1256" s="0" t="s">
        <v>381</v>
      </c>
      <c r="C1256" s="33" t="s">
        <v>382</v>
      </c>
      <c r="D1256" s="34" t="n">
        <v>46212</v>
      </c>
      <c r="E1256" s="0" t="n">
        <v>3</v>
      </c>
      <c r="F1256" s="0" t="n">
        <v>0</v>
      </c>
      <c r="G1256" s="0" t="n">
        <v>381.2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10</v>
      </c>
      <c r="X1256" s="0" t="n">
        <v>0</v>
      </c>
      <c r="Y1256" s="0" t="n">
        <v>0</v>
      </c>
      <c r="Z1256" s="0" t="n">
        <v>0</v>
      </c>
      <c r="AA1256" s="0" t="n">
        <v>0</v>
      </c>
      <c r="AB1256" s="0" t="n">
        <v>0</v>
      </c>
      <c r="AC1256" s="0" t="n">
        <v>0</v>
      </c>
      <c r="AD1256" s="0" t="n">
        <v>0</v>
      </c>
      <c r="AE1256" s="0" t="n">
        <v>0</v>
      </c>
      <c r="AF1256" s="0" t="n">
        <v>0</v>
      </c>
      <c r="AG1256" s="0" t="n">
        <v>394.2</v>
      </c>
      <c r="AH1256" s="0" t="n">
        <v>394.2</v>
      </c>
      <c r="AI1256" s="0" t="n">
        <v>8</v>
      </c>
    </row>
    <row r="1257" customFormat="false" ht="14.9" hidden="false" customHeight="false" outlineLevel="0" collapsed="false">
      <c r="A1257" s="0" t="n">
        <v>1256</v>
      </c>
      <c r="B1257" s="0" t="s">
        <v>381</v>
      </c>
      <c r="C1257" s="33" t="s">
        <v>382</v>
      </c>
      <c r="D1257" s="34" t="n">
        <v>46208</v>
      </c>
      <c r="E1257" s="0" t="n">
        <v>37.5</v>
      </c>
      <c r="F1257" s="0" t="n">
        <v>0</v>
      </c>
      <c r="G1257" s="0" t="n">
        <v>384.5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10</v>
      </c>
      <c r="X1257" s="0" t="n">
        <v>0</v>
      </c>
      <c r="Y1257" s="0" t="n">
        <v>0</v>
      </c>
      <c r="Z1257" s="0" t="n">
        <v>0</v>
      </c>
      <c r="AA1257" s="0" t="n">
        <v>0</v>
      </c>
      <c r="AB1257" s="0" t="n">
        <v>0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n">
        <v>432</v>
      </c>
      <c r="AH1257" s="0" t="n">
        <v>432</v>
      </c>
      <c r="AI1257" s="0" t="n">
        <v>12</v>
      </c>
    </row>
    <row r="1258" customFormat="false" ht="14.9" hidden="false" customHeight="false" outlineLevel="0" collapsed="false">
      <c r="A1258" s="0" t="n">
        <v>1257</v>
      </c>
      <c r="B1258" s="0" t="s">
        <v>381</v>
      </c>
      <c r="C1258" s="33" t="s">
        <v>382</v>
      </c>
      <c r="D1258" s="34" t="n">
        <v>46210</v>
      </c>
      <c r="E1258" s="0" t="n">
        <v>172.1</v>
      </c>
      <c r="F1258" s="0" t="n">
        <v>0</v>
      </c>
      <c r="G1258" s="0" t="n">
        <v>549.86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36</v>
      </c>
      <c r="X1258" s="0" t="n">
        <v>0</v>
      </c>
      <c r="Y1258" s="0" t="n">
        <v>0</v>
      </c>
      <c r="Z1258" s="0" t="n">
        <v>0</v>
      </c>
      <c r="AA1258" s="0" t="n">
        <v>0</v>
      </c>
      <c r="AB1258" s="0" t="n">
        <v>0</v>
      </c>
      <c r="AC1258" s="0" t="n">
        <v>0</v>
      </c>
      <c r="AD1258" s="0" t="n">
        <v>0</v>
      </c>
      <c r="AE1258" s="0" t="n">
        <v>0</v>
      </c>
      <c r="AF1258" s="0" t="n">
        <v>0</v>
      </c>
      <c r="AG1258" s="0" t="n">
        <v>757.96</v>
      </c>
      <c r="AH1258" s="0" t="n">
        <v>757.96</v>
      </c>
      <c r="AI1258" s="0" t="n">
        <v>14</v>
      </c>
    </row>
    <row r="1259" customFormat="false" ht="14.9" hidden="false" customHeight="false" outlineLevel="0" collapsed="false">
      <c r="A1259" s="0" t="n">
        <v>1258</v>
      </c>
      <c r="B1259" s="0" t="s">
        <v>381</v>
      </c>
      <c r="C1259" s="33" t="s">
        <v>382</v>
      </c>
      <c r="D1259" s="34" t="n">
        <v>46221</v>
      </c>
      <c r="E1259" s="0" t="n">
        <v>80.9</v>
      </c>
      <c r="F1259" s="0" t="n">
        <v>0</v>
      </c>
      <c r="G1259" s="0" t="n">
        <v>1194.4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39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0.01</v>
      </c>
      <c r="W1259" s="0" t="n">
        <v>68</v>
      </c>
      <c r="X1259" s="0" t="n">
        <v>0</v>
      </c>
      <c r="Y1259" s="0" t="n">
        <v>0</v>
      </c>
      <c r="Z1259" s="0" t="n">
        <v>0</v>
      </c>
      <c r="AA1259" s="0" t="n">
        <v>0</v>
      </c>
      <c r="AB1259" s="0" t="n">
        <v>0</v>
      </c>
      <c r="AC1259" s="0" t="n">
        <v>0</v>
      </c>
      <c r="AD1259" s="0" t="n">
        <v>0</v>
      </c>
      <c r="AE1259" s="0" t="n">
        <v>0</v>
      </c>
      <c r="AF1259" s="0" t="n">
        <v>0</v>
      </c>
      <c r="AG1259" s="0" t="n">
        <v>1382.31</v>
      </c>
      <c r="AH1259" s="0" t="n">
        <v>1382.31</v>
      </c>
      <c r="AI1259" s="0" t="n">
        <v>19</v>
      </c>
    </row>
    <row r="1260" customFormat="false" ht="14.9" hidden="false" customHeight="false" outlineLevel="0" collapsed="false">
      <c r="A1260" s="0" t="n">
        <v>1259</v>
      </c>
      <c r="B1260" s="0" t="s">
        <v>381</v>
      </c>
      <c r="C1260" s="33" t="s">
        <v>382</v>
      </c>
      <c r="D1260" s="34" t="n">
        <v>46215</v>
      </c>
      <c r="E1260" s="0" t="n">
        <v>11</v>
      </c>
      <c r="F1260" s="0" t="n">
        <v>0</v>
      </c>
      <c r="G1260" s="0" t="n">
        <v>727.04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24</v>
      </c>
      <c r="P1260" s="0" t="n">
        <v>0</v>
      </c>
      <c r="Q1260" s="0" t="n">
        <v>0</v>
      </c>
      <c r="R1260" s="0" t="n">
        <v>0</v>
      </c>
      <c r="S1260" s="0" t="n">
        <v>70</v>
      </c>
      <c r="T1260" s="0" t="n">
        <v>0</v>
      </c>
      <c r="U1260" s="0" t="n">
        <v>0</v>
      </c>
      <c r="V1260" s="0" t="n">
        <v>0</v>
      </c>
      <c r="W1260" s="0" t="n">
        <v>10</v>
      </c>
      <c r="X1260" s="0" t="n">
        <v>0</v>
      </c>
      <c r="Y1260" s="0" t="n">
        <v>0</v>
      </c>
      <c r="Z1260" s="0" t="n">
        <v>0</v>
      </c>
      <c r="AA1260" s="0" t="n">
        <v>0</v>
      </c>
      <c r="AB1260" s="0" t="n">
        <v>0</v>
      </c>
      <c r="AC1260" s="0" t="n">
        <v>0</v>
      </c>
      <c r="AD1260" s="0" t="n">
        <v>0</v>
      </c>
      <c r="AE1260" s="0" t="n">
        <v>0</v>
      </c>
      <c r="AF1260" s="0" t="n">
        <v>0</v>
      </c>
      <c r="AG1260" s="0" t="n">
        <v>842.04</v>
      </c>
      <c r="AH1260" s="0" t="n">
        <v>842.04</v>
      </c>
      <c r="AI1260" s="0" t="n">
        <v>19</v>
      </c>
    </row>
    <row r="1261" customFormat="false" ht="14.9" hidden="false" customHeight="false" outlineLevel="0" collapsed="false">
      <c r="A1261" s="0" t="n">
        <v>1260</v>
      </c>
      <c r="B1261" s="0" t="s">
        <v>381</v>
      </c>
      <c r="C1261" s="33" t="s">
        <v>382</v>
      </c>
      <c r="D1261" s="34" t="n">
        <v>46218</v>
      </c>
      <c r="E1261" s="0" t="n">
        <v>64.01</v>
      </c>
      <c r="F1261" s="0" t="n">
        <v>0</v>
      </c>
      <c r="G1261" s="0" t="n">
        <v>317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35</v>
      </c>
      <c r="X1261" s="0" t="n">
        <v>0</v>
      </c>
      <c r="Y1261" s="0" t="n">
        <v>0</v>
      </c>
      <c r="Z1261" s="0" t="n">
        <v>0</v>
      </c>
      <c r="AA1261" s="0" t="n">
        <v>0</v>
      </c>
      <c r="AB1261" s="0" t="n">
        <v>0</v>
      </c>
      <c r="AC1261" s="0" t="n">
        <v>0</v>
      </c>
      <c r="AD1261" s="0" t="n">
        <v>0</v>
      </c>
      <c r="AE1261" s="0" t="n">
        <v>0</v>
      </c>
      <c r="AF1261" s="0" t="n">
        <v>0</v>
      </c>
      <c r="AG1261" s="0" t="n">
        <v>416.01</v>
      </c>
      <c r="AH1261" s="0" t="n">
        <v>416.01</v>
      </c>
      <c r="AI1261" s="0" t="n">
        <v>9</v>
      </c>
    </row>
    <row r="1262" customFormat="false" ht="14.9" hidden="false" customHeight="false" outlineLevel="0" collapsed="false">
      <c r="A1262" s="0" t="n">
        <v>1261</v>
      </c>
      <c r="B1262" s="0" t="s">
        <v>381</v>
      </c>
      <c r="C1262" s="33" t="s">
        <v>382</v>
      </c>
      <c r="D1262" s="34" t="n">
        <v>46227</v>
      </c>
      <c r="E1262" s="0" t="n">
        <v>29.5</v>
      </c>
      <c r="F1262" s="0" t="n">
        <v>0</v>
      </c>
      <c r="G1262" s="0" t="n">
        <v>552.3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23.5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0.02</v>
      </c>
      <c r="W1262" s="0" t="n">
        <v>5</v>
      </c>
      <c r="X1262" s="0" t="n">
        <v>0</v>
      </c>
      <c r="Y1262" s="0" t="n">
        <v>0</v>
      </c>
      <c r="Z1262" s="0" t="n">
        <v>0</v>
      </c>
      <c r="AA1262" s="0" t="n">
        <v>0</v>
      </c>
      <c r="AB1262" s="0" t="n">
        <v>0</v>
      </c>
      <c r="AC1262" s="0" t="n">
        <v>0</v>
      </c>
      <c r="AD1262" s="0" t="n">
        <v>0</v>
      </c>
      <c r="AE1262" s="0" t="n">
        <v>0</v>
      </c>
      <c r="AF1262" s="0" t="n">
        <v>0</v>
      </c>
      <c r="AG1262" s="0" t="n">
        <v>610.32</v>
      </c>
      <c r="AH1262" s="0" t="n">
        <v>610.32</v>
      </c>
      <c r="AI1262" s="0" t="n">
        <v>15</v>
      </c>
    </row>
    <row r="1263" customFormat="false" ht="14.9" hidden="false" customHeight="false" outlineLevel="0" collapsed="false">
      <c r="A1263" s="0" t="n">
        <v>1262</v>
      </c>
      <c r="B1263" s="0" t="s">
        <v>381</v>
      </c>
      <c r="C1263" s="33" t="s">
        <v>382</v>
      </c>
      <c r="D1263" s="34" t="n">
        <v>46233</v>
      </c>
      <c r="E1263" s="0" t="n">
        <v>32.8</v>
      </c>
      <c r="F1263" s="0" t="n">
        <v>0</v>
      </c>
      <c r="G1263" s="0" t="n">
        <v>333.7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85</v>
      </c>
      <c r="X1263" s="0" t="n">
        <v>0</v>
      </c>
      <c r="Y1263" s="0" t="n">
        <v>0</v>
      </c>
      <c r="Z1263" s="0" t="n">
        <v>0</v>
      </c>
      <c r="AA1263" s="0" t="n">
        <v>0</v>
      </c>
      <c r="AB1263" s="0" t="n">
        <v>0</v>
      </c>
      <c r="AC1263" s="0" t="n">
        <v>0</v>
      </c>
      <c r="AD1263" s="0" t="n">
        <v>0</v>
      </c>
      <c r="AE1263" s="0" t="n">
        <v>0</v>
      </c>
      <c r="AF1263" s="0" t="n">
        <v>0</v>
      </c>
      <c r="AG1263" s="0" t="n">
        <v>451.5</v>
      </c>
      <c r="AH1263" s="0" t="n">
        <v>451.5</v>
      </c>
      <c r="AI1263" s="0" t="n">
        <v>11</v>
      </c>
    </row>
    <row r="1264" customFormat="false" ht="14.9" hidden="false" customHeight="false" outlineLevel="0" collapsed="false">
      <c r="A1264" s="0" t="n">
        <v>1263</v>
      </c>
      <c r="B1264" s="0" t="s">
        <v>381</v>
      </c>
      <c r="C1264" s="33" t="s">
        <v>382</v>
      </c>
      <c r="D1264" s="34" t="n">
        <v>46226</v>
      </c>
      <c r="E1264" s="0" t="n">
        <v>106.5</v>
      </c>
      <c r="F1264" s="0" t="n">
        <v>0</v>
      </c>
      <c r="G1264" s="0" t="n">
        <v>833.92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28</v>
      </c>
      <c r="X1264" s="0" t="n">
        <v>0</v>
      </c>
      <c r="Y1264" s="0" t="n">
        <v>0</v>
      </c>
      <c r="Z1264" s="0" t="n">
        <v>0</v>
      </c>
      <c r="AA1264" s="0" t="n">
        <v>0</v>
      </c>
      <c r="AB1264" s="0" t="n">
        <v>0</v>
      </c>
      <c r="AC1264" s="0" t="n">
        <v>0</v>
      </c>
      <c r="AD1264" s="0" t="n">
        <v>0</v>
      </c>
      <c r="AE1264" s="0" t="n">
        <v>0</v>
      </c>
      <c r="AF1264" s="0" t="n">
        <v>0</v>
      </c>
      <c r="AG1264" s="0" t="n">
        <v>968.42</v>
      </c>
      <c r="AH1264" s="0" t="n">
        <v>968.42</v>
      </c>
      <c r="AI1264" s="0" t="n">
        <v>22</v>
      </c>
    </row>
    <row r="1265" customFormat="false" ht="14.9" hidden="false" customHeight="false" outlineLevel="0" collapsed="false">
      <c r="A1265" s="0" t="n">
        <v>1264</v>
      </c>
      <c r="B1265" s="0" t="s">
        <v>381</v>
      </c>
      <c r="C1265" s="33" t="s">
        <v>382</v>
      </c>
      <c r="D1265" s="34" t="n">
        <v>46213</v>
      </c>
      <c r="E1265" s="0" t="n">
        <v>102.6</v>
      </c>
      <c r="F1265" s="0" t="n">
        <v>0</v>
      </c>
      <c r="G1265" s="0" t="n">
        <v>600.7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30</v>
      </c>
      <c r="X1265" s="0" t="n">
        <v>0</v>
      </c>
      <c r="Y1265" s="0" t="n">
        <v>0</v>
      </c>
      <c r="Z1265" s="0" t="n">
        <v>0</v>
      </c>
      <c r="AA1265" s="0" t="n">
        <v>0</v>
      </c>
      <c r="AB1265" s="0" t="n">
        <v>0</v>
      </c>
      <c r="AC1265" s="0" t="n">
        <v>0</v>
      </c>
      <c r="AD1265" s="0" t="n">
        <v>0</v>
      </c>
      <c r="AE1265" s="0" t="n">
        <v>0</v>
      </c>
      <c r="AF1265" s="0" t="n">
        <v>0</v>
      </c>
      <c r="AG1265" s="0" t="n">
        <v>733.3</v>
      </c>
      <c r="AH1265" s="0" t="n">
        <v>733.3</v>
      </c>
      <c r="AI1265" s="0" t="n">
        <v>16</v>
      </c>
    </row>
    <row r="1266" customFormat="false" ht="14.9" hidden="false" customHeight="false" outlineLevel="0" collapsed="false">
      <c r="A1266" s="0" t="n">
        <v>1265</v>
      </c>
      <c r="B1266" s="0" t="s">
        <v>381</v>
      </c>
      <c r="C1266" s="33" t="s">
        <v>382</v>
      </c>
      <c r="D1266" s="34" t="n">
        <v>46206</v>
      </c>
      <c r="E1266" s="0" t="n">
        <v>78.5</v>
      </c>
      <c r="F1266" s="0" t="n">
        <v>0</v>
      </c>
      <c r="G1266" s="0" t="n">
        <v>608.6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35</v>
      </c>
      <c r="X1266" s="0" t="n">
        <v>0</v>
      </c>
      <c r="Y1266" s="0" t="n">
        <v>0</v>
      </c>
      <c r="Z1266" s="0" t="n">
        <v>0</v>
      </c>
      <c r="AA1266" s="0" t="n">
        <v>0</v>
      </c>
      <c r="AB1266" s="0" t="n">
        <v>0</v>
      </c>
      <c r="AC1266" s="0" t="n">
        <v>0</v>
      </c>
      <c r="AD1266" s="0" t="n">
        <v>0</v>
      </c>
      <c r="AE1266" s="0" t="n">
        <v>0</v>
      </c>
      <c r="AF1266" s="0" t="n">
        <v>0</v>
      </c>
      <c r="AG1266" s="0" t="n">
        <v>722.1</v>
      </c>
      <c r="AH1266" s="0" t="n">
        <v>722.1</v>
      </c>
      <c r="AI1266" s="0" t="n">
        <v>16</v>
      </c>
    </row>
    <row r="1267" customFormat="false" ht="14.9" hidden="false" customHeight="false" outlineLevel="0" collapsed="false">
      <c r="A1267" s="0" t="n">
        <v>1266</v>
      </c>
      <c r="B1267" s="0" t="s">
        <v>381</v>
      </c>
      <c r="C1267" s="33" t="s">
        <v>382</v>
      </c>
      <c r="D1267" s="34" t="n">
        <v>46222</v>
      </c>
      <c r="E1267" s="0" t="n">
        <v>64</v>
      </c>
      <c r="F1267" s="0" t="n">
        <v>0</v>
      </c>
      <c r="G1267" s="0" t="n">
        <v>741.13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75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0</v>
      </c>
      <c r="W1267" s="0" t="n">
        <v>25</v>
      </c>
      <c r="X1267" s="0" t="n">
        <v>0</v>
      </c>
      <c r="Y1267" s="0" t="n">
        <v>0</v>
      </c>
      <c r="Z1267" s="0" t="n">
        <v>0</v>
      </c>
      <c r="AA1267" s="0" t="n">
        <v>0</v>
      </c>
      <c r="AB1267" s="0" t="n">
        <v>0</v>
      </c>
      <c r="AC1267" s="0" t="n">
        <v>0</v>
      </c>
      <c r="AD1267" s="0" t="n">
        <v>0</v>
      </c>
      <c r="AE1267" s="0" t="n">
        <v>0</v>
      </c>
      <c r="AF1267" s="0" t="n">
        <v>0</v>
      </c>
      <c r="AG1267" s="0" t="n">
        <v>905.13</v>
      </c>
      <c r="AH1267" s="0" t="n">
        <v>905.13</v>
      </c>
      <c r="AI1267" s="0" t="n">
        <v>20</v>
      </c>
    </row>
    <row r="1268" customFormat="false" ht="14.9" hidden="false" customHeight="false" outlineLevel="0" collapsed="false">
      <c r="A1268" s="0" t="n">
        <v>1267</v>
      </c>
      <c r="B1268" s="0" t="s">
        <v>381</v>
      </c>
      <c r="C1268" s="33" t="s">
        <v>382</v>
      </c>
      <c r="D1268" s="34" t="n">
        <v>46211</v>
      </c>
      <c r="E1268" s="0" t="n">
        <v>207.5</v>
      </c>
      <c r="F1268" s="0" t="n">
        <v>0</v>
      </c>
      <c r="G1268" s="0" t="n">
        <v>496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0.04</v>
      </c>
      <c r="W1268" s="0" t="n">
        <v>15</v>
      </c>
      <c r="X1268" s="0" t="n">
        <v>0</v>
      </c>
      <c r="Y1268" s="0" t="n">
        <v>0</v>
      </c>
      <c r="Z1268" s="0" t="n">
        <v>0</v>
      </c>
      <c r="AA1268" s="0" t="n">
        <v>0</v>
      </c>
      <c r="AB1268" s="0" t="n">
        <v>0</v>
      </c>
      <c r="AC1268" s="0" t="n">
        <v>0</v>
      </c>
      <c r="AD1268" s="0" t="n">
        <v>0</v>
      </c>
      <c r="AE1268" s="0" t="n">
        <v>0</v>
      </c>
      <c r="AF1268" s="0" t="n">
        <v>0</v>
      </c>
      <c r="AG1268" s="0" t="n">
        <v>718.54</v>
      </c>
      <c r="AH1268" s="0" t="n">
        <v>718.54</v>
      </c>
      <c r="AI1268" s="0" t="n">
        <v>16</v>
      </c>
    </row>
    <row r="1269" customFormat="false" ht="14.9" hidden="false" customHeight="false" outlineLevel="0" collapsed="false">
      <c r="A1269" s="0" t="n">
        <v>1268</v>
      </c>
      <c r="B1269" s="0" t="s">
        <v>381</v>
      </c>
      <c r="C1269" s="33" t="s">
        <v>382</v>
      </c>
      <c r="D1269" s="34" t="n">
        <v>46224</v>
      </c>
      <c r="E1269" s="0" t="n">
        <v>49</v>
      </c>
      <c r="F1269" s="0" t="n">
        <v>0</v>
      </c>
      <c r="G1269" s="0" t="n">
        <v>437.36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38.5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0.02</v>
      </c>
      <c r="W1269" s="0" t="n">
        <v>5</v>
      </c>
      <c r="X1269" s="0" t="n">
        <v>0</v>
      </c>
      <c r="Y1269" s="0" t="n">
        <v>0</v>
      </c>
      <c r="Z1269" s="0" t="n">
        <v>0</v>
      </c>
      <c r="AA1269" s="0" t="n">
        <v>0</v>
      </c>
      <c r="AB1269" s="0" t="n">
        <v>0</v>
      </c>
      <c r="AC1269" s="0" t="n">
        <v>0</v>
      </c>
      <c r="AD1269" s="0" t="n">
        <v>0</v>
      </c>
      <c r="AE1269" s="0" t="n">
        <v>0</v>
      </c>
      <c r="AF1269" s="0" t="n">
        <v>0</v>
      </c>
      <c r="AG1269" s="0" t="n">
        <v>529.88</v>
      </c>
      <c r="AH1269" s="0" t="n">
        <v>529.88</v>
      </c>
      <c r="AI1269" s="0" t="n">
        <v>13</v>
      </c>
    </row>
    <row r="1270" customFormat="false" ht="14.9" hidden="false" customHeight="false" outlineLevel="0" collapsed="false">
      <c r="A1270" s="0" t="n">
        <v>1269</v>
      </c>
      <c r="B1270" s="0" t="s">
        <v>381</v>
      </c>
      <c r="C1270" s="33" t="s">
        <v>382</v>
      </c>
      <c r="D1270" s="34" t="n">
        <v>46214</v>
      </c>
      <c r="E1270" s="0" t="n">
        <v>302.22</v>
      </c>
      <c r="F1270" s="0" t="n">
        <v>0</v>
      </c>
      <c r="G1270" s="0" t="n">
        <v>1158.55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36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9</v>
      </c>
      <c r="W1270" s="0" t="n">
        <v>15</v>
      </c>
      <c r="X1270" s="0" t="n">
        <v>0</v>
      </c>
      <c r="Y1270" s="0" t="n">
        <v>0</v>
      </c>
      <c r="Z1270" s="0" t="n">
        <v>0</v>
      </c>
      <c r="AA1270" s="0" t="n">
        <v>0</v>
      </c>
      <c r="AB1270" s="0" t="n">
        <v>0</v>
      </c>
      <c r="AC1270" s="0" t="n">
        <v>0</v>
      </c>
      <c r="AD1270" s="0" t="n">
        <v>0</v>
      </c>
      <c r="AE1270" s="0" t="n">
        <v>0</v>
      </c>
      <c r="AF1270" s="0" t="n">
        <v>0</v>
      </c>
      <c r="AG1270" s="0" t="n">
        <v>1520.77</v>
      </c>
      <c r="AH1270" s="0" t="n">
        <v>1520.77</v>
      </c>
      <c r="AI1270" s="0" t="n">
        <v>25</v>
      </c>
    </row>
    <row r="1271" customFormat="false" ht="14.9" hidden="false" customHeight="false" outlineLevel="0" collapsed="false">
      <c r="A1271" s="0" t="n">
        <v>1270</v>
      </c>
      <c r="B1271" s="0" t="s">
        <v>381</v>
      </c>
      <c r="C1271" s="33" t="s">
        <v>382</v>
      </c>
      <c r="D1271" s="34" t="n">
        <v>46204</v>
      </c>
      <c r="E1271" s="0" t="n">
        <v>11.6</v>
      </c>
      <c r="F1271" s="0" t="n">
        <v>0</v>
      </c>
      <c r="G1271" s="0" t="n">
        <v>457.51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5</v>
      </c>
      <c r="X1271" s="0" t="n">
        <v>0</v>
      </c>
      <c r="Y1271" s="0" t="n">
        <v>0</v>
      </c>
      <c r="Z1271" s="0" t="n">
        <v>0</v>
      </c>
      <c r="AA1271" s="0" t="n">
        <v>0</v>
      </c>
      <c r="AB1271" s="0" t="n">
        <v>0</v>
      </c>
      <c r="AC1271" s="0" t="n">
        <v>0</v>
      </c>
      <c r="AD1271" s="0" t="n">
        <v>0</v>
      </c>
      <c r="AE1271" s="0" t="n">
        <v>0</v>
      </c>
      <c r="AF1271" s="0" t="n">
        <v>0</v>
      </c>
      <c r="AG1271" s="0" t="n">
        <v>474.11</v>
      </c>
      <c r="AH1271" s="0" t="n">
        <v>474.11</v>
      </c>
      <c r="AI1271" s="0" t="n">
        <v>13</v>
      </c>
    </row>
    <row r="1272" customFormat="false" ht="14.9" hidden="false" customHeight="false" outlineLevel="0" collapsed="false">
      <c r="A1272" s="0" t="n">
        <v>1271</v>
      </c>
      <c r="B1272" s="0" t="s">
        <v>381</v>
      </c>
      <c r="C1272" s="33" t="s">
        <v>382</v>
      </c>
      <c r="D1272" s="34" t="n">
        <v>46217</v>
      </c>
      <c r="E1272" s="0" t="n">
        <v>6.5</v>
      </c>
      <c r="F1272" s="0" t="n">
        <v>0</v>
      </c>
      <c r="G1272" s="0" t="n">
        <v>1263.76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5</v>
      </c>
      <c r="X1272" s="0" t="n">
        <v>0</v>
      </c>
      <c r="Y1272" s="0" t="n">
        <v>0</v>
      </c>
      <c r="Z1272" s="0" t="n">
        <v>0</v>
      </c>
      <c r="AA1272" s="0" t="n">
        <v>0</v>
      </c>
      <c r="AB1272" s="0" t="n">
        <v>0</v>
      </c>
      <c r="AC1272" s="0" t="n">
        <v>0</v>
      </c>
      <c r="AD1272" s="0" t="n">
        <v>0</v>
      </c>
      <c r="AE1272" s="0" t="n">
        <v>0</v>
      </c>
      <c r="AF1272" s="0" t="n">
        <v>0</v>
      </c>
      <c r="AG1272" s="0" t="n">
        <v>1275.26</v>
      </c>
      <c r="AH1272" s="0" t="n">
        <v>1275.26</v>
      </c>
      <c r="AI1272" s="0" t="n">
        <v>14</v>
      </c>
    </row>
    <row r="1273" customFormat="false" ht="14.9" hidden="false" customHeight="false" outlineLevel="0" collapsed="false">
      <c r="A1273" s="0" t="n">
        <v>1272</v>
      </c>
      <c r="B1273" s="0" t="s">
        <v>381</v>
      </c>
      <c r="C1273" s="33" t="s">
        <v>382</v>
      </c>
      <c r="D1273" s="34" t="n">
        <v>46228</v>
      </c>
      <c r="E1273" s="0" t="n">
        <v>37.5</v>
      </c>
      <c r="F1273" s="0" t="n">
        <v>0</v>
      </c>
      <c r="G1273" s="0" t="n">
        <v>1806.27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55</v>
      </c>
      <c r="X1273" s="0" t="n">
        <v>0</v>
      </c>
      <c r="Y1273" s="0" t="n">
        <v>0</v>
      </c>
      <c r="Z1273" s="0" t="n">
        <v>0</v>
      </c>
      <c r="AA1273" s="0" t="n">
        <v>0</v>
      </c>
      <c r="AB1273" s="0" t="n">
        <v>0</v>
      </c>
      <c r="AC1273" s="0" t="n">
        <v>0</v>
      </c>
      <c r="AD1273" s="0" t="n">
        <v>0</v>
      </c>
      <c r="AE1273" s="0" t="n">
        <v>0</v>
      </c>
      <c r="AF1273" s="0" t="n">
        <v>0</v>
      </c>
      <c r="AG1273" s="0" t="n">
        <v>1898.77</v>
      </c>
      <c r="AH1273" s="0" t="n">
        <v>1898.77</v>
      </c>
      <c r="AI1273" s="0" t="n">
        <v>15</v>
      </c>
    </row>
    <row r="1274" customFormat="false" ht="14.9" hidden="false" customHeight="false" outlineLevel="0" collapsed="false">
      <c r="A1274" s="0" t="n">
        <v>1273</v>
      </c>
      <c r="B1274" s="0" t="s">
        <v>383</v>
      </c>
      <c r="C1274" s="33" t="s">
        <v>384</v>
      </c>
      <c r="D1274" s="34" t="n">
        <v>46233</v>
      </c>
      <c r="E1274" s="0" t="n">
        <v>20.9</v>
      </c>
      <c r="F1274" s="0" t="n">
        <v>0</v>
      </c>
      <c r="G1274" s="0" t="n">
        <v>1826.5</v>
      </c>
      <c r="H1274" s="0" t="n">
        <v>279.1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49.5</v>
      </c>
      <c r="T1274" s="0" t="n">
        <v>0</v>
      </c>
      <c r="U1274" s="0" t="n">
        <v>0</v>
      </c>
      <c r="V1274" s="0" t="n">
        <v>0</v>
      </c>
      <c r="W1274" s="0" t="n">
        <v>265</v>
      </c>
      <c r="X1274" s="0" t="n">
        <v>0</v>
      </c>
      <c r="Y1274" s="0" t="n">
        <v>0</v>
      </c>
      <c r="Z1274" s="0" t="n">
        <v>0</v>
      </c>
      <c r="AA1274" s="0" t="n">
        <v>0</v>
      </c>
      <c r="AB1274" s="0" t="n">
        <v>0</v>
      </c>
      <c r="AC1274" s="0" t="n">
        <v>0</v>
      </c>
      <c r="AD1274" s="0" t="n">
        <v>0</v>
      </c>
      <c r="AE1274" s="0" t="n">
        <v>0</v>
      </c>
      <c r="AF1274" s="0" t="n">
        <v>0</v>
      </c>
      <c r="AG1274" s="0" t="n">
        <v>2441</v>
      </c>
      <c r="AH1274" s="0" t="n">
        <v>2441</v>
      </c>
      <c r="AI1274" s="0" t="n">
        <v>41</v>
      </c>
    </row>
    <row r="1275" customFormat="false" ht="14.9" hidden="false" customHeight="false" outlineLevel="0" collapsed="false">
      <c r="A1275" s="0" t="n">
        <v>1274</v>
      </c>
      <c r="B1275" s="0" t="s">
        <v>383</v>
      </c>
      <c r="C1275" s="33" t="s">
        <v>384</v>
      </c>
      <c r="D1275" s="34" t="n">
        <v>46210</v>
      </c>
      <c r="E1275" s="0" t="n">
        <v>425</v>
      </c>
      <c r="F1275" s="0" t="n">
        <v>0</v>
      </c>
      <c r="G1275" s="0" t="n">
        <v>874.91</v>
      </c>
      <c r="H1275" s="0" t="n">
        <v>257.4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0.04</v>
      </c>
      <c r="W1275" s="0" t="n">
        <v>55.1</v>
      </c>
      <c r="X1275" s="0" t="n">
        <v>0</v>
      </c>
      <c r="Y1275" s="0" t="n">
        <v>0</v>
      </c>
      <c r="Z1275" s="0" t="n">
        <v>0</v>
      </c>
      <c r="AA1275" s="0" t="n">
        <v>0</v>
      </c>
      <c r="AB1275" s="0" t="n">
        <v>0</v>
      </c>
      <c r="AC1275" s="0" t="n">
        <v>0</v>
      </c>
      <c r="AD1275" s="0" t="n">
        <v>0</v>
      </c>
      <c r="AE1275" s="0" t="n">
        <v>0</v>
      </c>
      <c r="AF1275" s="0" t="n">
        <v>0</v>
      </c>
      <c r="AG1275" s="0" t="n">
        <v>1612.45</v>
      </c>
      <c r="AH1275" s="0" t="n">
        <v>1612.45</v>
      </c>
      <c r="AI1275" s="0" t="n">
        <v>37</v>
      </c>
    </row>
    <row r="1276" customFormat="false" ht="14.9" hidden="false" customHeight="false" outlineLevel="0" collapsed="false">
      <c r="A1276" s="0" t="n">
        <v>1275</v>
      </c>
      <c r="B1276" s="0" t="s">
        <v>383</v>
      </c>
      <c r="C1276" s="33" t="s">
        <v>384</v>
      </c>
      <c r="D1276" s="34" t="n">
        <v>46226</v>
      </c>
      <c r="E1276" s="0" t="n">
        <v>476.5</v>
      </c>
      <c r="F1276" s="0" t="n">
        <v>0</v>
      </c>
      <c r="G1276" s="0" t="n">
        <v>695.6</v>
      </c>
      <c r="H1276" s="0" t="n">
        <v>458.4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20</v>
      </c>
      <c r="X1276" s="0" t="n">
        <v>0</v>
      </c>
      <c r="Y1276" s="0" t="n">
        <v>0</v>
      </c>
      <c r="Z1276" s="0" t="n">
        <v>0</v>
      </c>
      <c r="AA1276" s="0" t="n">
        <v>0</v>
      </c>
      <c r="AB1276" s="0" t="n">
        <v>0</v>
      </c>
      <c r="AC1276" s="0" t="n">
        <v>0</v>
      </c>
      <c r="AD1276" s="0" t="n">
        <v>0</v>
      </c>
      <c r="AE1276" s="0" t="n">
        <v>0</v>
      </c>
      <c r="AF1276" s="0" t="n">
        <v>0</v>
      </c>
      <c r="AG1276" s="0" t="n">
        <v>1650.5</v>
      </c>
      <c r="AH1276" s="0" t="n">
        <v>1650.5</v>
      </c>
      <c r="AI1276" s="0" t="n">
        <v>26</v>
      </c>
    </row>
    <row r="1277" customFormat="false" ht="14.9" hidden="false" customHeight="false" outlineLevel="0" collapsed="false">
      <c r="A1277" s="0" t="n">
        <v>1276</v>
      </c>
      <c r="B1277" s="0" t="s">
        <v>383</v>
      </c>
      <c r="C1277" s="33" t="s">
        <v>384</v>
      </c>
      <c r="D1277" s="34" t="n">
        <v>46218</v>
      </c>
      <c r="E1277" s="0" t="n">
        <v>156.2</v>
      </c>
      <c r="F1277" s="0" t="n">
        <v>0</v>
      </c>
      <c r="G1277" s="0" t="n">
        <v>973.46</v>
      </c>
      <c r="H1277" s="0" t="n">
        <v>86.4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0.04</v>
      </c>
      <c r="W1277" s="0" t="n">
        <v>10.1</v>
      </c>
      <c r="X1277" s="0" t="n">
        <v>0</v>
      </c>
      <c r="Y1277" s="0" t="n">
        <v>0</v>
      </c>
      <c r="Z1277" s="0" t="n">
        <v>0</v>
      </c>
      <c r="AA1277" s="0" t="n">
        <v>0</v>
      </c>
      <c r="AB1277" s="0" t="n">
        <v>0</v>
      </c>
      <c r="AC1277" s="0" t="n">
        <v>0</v>
      </c>
      <c r="AD1277" s="0" t="n">
        <v>0</v>
      </c>
      <c r="AE1277" s="0" t="n">
        <v>0</v>
      </c>
      <c r="AF1277" s="0" t="n">
        <v>0</v>
      </c>
      <c r="AG1277" s="0" t="n">
        <v>1226.2</v>
      </c>
      <c r="AH1277" s="0" t="n">
        <v>1226.2</v>
      </c>
      <c r="AI1277" s="0" t="n">
        <v>31</v>
      </c>
    </row>
    <row r="1278" customFormat="false" ht="14.9" hidden="false" customHeight="false" outlineLevel="0" collapsed="false">
      <c r="A1278" s="0" t="n">
        <v>1277</v>
      </c>
      <c r="B1278" s="0" t="s">
        <v>383</v>
      </c>
      <c r="C1278" s="33" t="s">
        <v>384</v>
      </c>
      <c r="D1278" s="34" t="n">
        <v>46213</v>
      </c>
      <c r="E1278" s="0" t="n">
        <v>17</v>
      </c>
      <c r="F1278" s="0" t="n">
        <v>0</v>
      </c>
      <c r="G1278" s="0" t="n">
        <v>1020.38</v>
      </c>
      <c r="H1278" s="0" t="n">
        <v>415.1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22</v>
      </c>
      <c r="T1278" s="0" t="n">
        <v>0</v>
      </c>
      <c r="U1278" s="0" t="n">
        <v>0</v>
      </c>
      <c r="V1278" s="0" t="n">
        <v>0.05</v>
      </c>
      <c r="W1278" s="0" t="n">
        <v>25</v>
      </c>
      <c r="X1278" s="0" t="n">
        <v>0</v>
      </c>
      <c r="Y1278" s="0" t="n">
        <v>0</v>
      </c>
      <c r="Z1278" s="0" t="n">
        <v>0</v>
      </c>
      <c r="AA1278" s="0" t="n">
        <v>0</v>
      </c>
      <c r="AB1278" s="0" t="n">
        <v>0</v>
      </c>
      <c r="AC1278" s="0" t="n">
        <v>0</v>
      </c>
      <c r="AD1278" s="0" t="n">
        <v>0</v>
      </c>
      <c r="AE1278" s="0" t="n">
        <v>0</v>
      </c>
      <c r="AF1278" s="0" t="n">
        <v>0</v>
      </c>
      <c r="AG1278" s="0" t="n">
        <v>1499.53</v>
      </c>
      <c r="AH1278" s="0" t="n">
        <v>1499.53</v>
      </c>
      <c r="AI1278" s="0" t="n">
        <v>30</v>
      </c>
    </row>
    <row r="1279" customFormat="false" ht="14.9" hidden="false" customHeight="false" outlineLevel="0" collapsed="false">
      <c r="A1279" s="0" t="n">
        <v>1278</v>
      </c>
      <c r="B1279" s="0" t="s">
        <v>383</v>
      </c>
      <c r="C1279" s="33" t="s">
        <v>384</v>
      </c>
      <c r="D1279" s="34" t="n">
        <v>46209</v>
      </c>
      <c r="E1279" s="0" t="n">
        <v>303.05</v>
      </c>
      <c r="F1279" s="0" t="n">
        <v>0</v>
      </c>
      <c r="G1279" s="0" t="n">
        <v>3265.71</v>
      </c>
      <c r="H1279" s="0" t="n">
        <v>915.38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5</v>
      </c>
      <c r="W1279" s="0" t="n">
        <v>46</v>
      </c>
      <c r="X1279" s="0" t="n">
        <v>0</v>
      </c>
      <c r="Y1279" s="0" t="n">
        <v>0</v>
      </c>
      <c r="Z1279" s="0" t="n">
        <v>0</v>
      </c>
      <c r="AA1279" s="0" t="n">
        <v>0</v>
      </c>
      <c r="AB1279" s="0" t="n">
        <v>0</v>
      </c>
      <c r="AC1279" s="0" t="n">
        <v>0</v>
      </c>
      <c r="AD1279" s="0" t="n">
        <v>0</v>
      </c>
      <c r="AE1279" s="0" t="n">
        <v>0</v>
      </c>
      <c r="AF1279" s="0" t="n">
        <v>0</v>
      </c>
      <c r="AG1279" s="0" t="n">
        <v>4535.14</v>
      </c>
      <c r="AH1279" s="0" t="n">
        <v>4535.14</v>
      </c>
      <c r="AI1279" s="0" t="n">
        <v>56</v>
      </c>
    </row>
    <row r="1280" customFormat="false" ht="14.9" hidden="false" customHeight="false" outlineLevel="0" collapsed="false">
      <c r="A1280" s="0" t="n">
        <v>1279</v>
      </c>
      <c r="B1280" s="0" t="s">
        <v>383</v>
      </c>
      <c r="C1280" s="33" t="s">
        <v>384</v>
      </c>
      <c r="D1280" s="34" t="n">
        <v>46212</v>
      </c>
      <c r="E1280" s="0" t="n">
        <v>120.4</v>
      </c>
      <c r="F1280" s="0" t="n">
        <v>0</v>
      </c>
      <c r="G1280" s="0" t="n">
        <v>842.4</v>
      </c>
      <c r="H1280" s="0" t="n">
        <v>355.9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0.07</v>
      </c>
      <c r="W1280" s="0" t="n">
        <v>38</v>
      </c>
      <c r="X1280" s="0" t="n">
        <v>0</v>
      </c>
      <c r="Y1280" s="0" t="n">
        <v>0</v>
      </c>
      <c r="Z1280" s="0" t="n">
        <v>0</v>
      </c>
      <c r="AA1280" s="0" t="n">
        <v>0</v>
      </c>
      <c r="AB1280" s="0" t="n">
        <v>0</v>
      </c>
      <c r="AC1280" s="0" t="n">
        <v>0</v>
      </c>
      <c r="AD1280" s="0" t="n">
        <v>0</v>
      </c>
      <c r="AE1280" s="0" t="n">
        <v>0</v>
      </c>
      <c r="AF1280" s="0" t="n">
        <v>0</v>
      </c>
      <c r="AG1280" s="0" t="n">
        <v>1356.77</v>
      </c>
      <c r="AH1280" s="0" t="n">
        <v>1356.77</v>
      </c>
      <c r="AI1280" s="0" t="n">
        <v>31</v>
      </c>
    </row>
    <row r="1281" customFormat="false" ht="14.9" hidden="false" customHeight="false" outlineLevel="0" collapsed="false">
      <c r="A1281" s="0" t="n">
        <v>1280</v>
      </c>
      <c r="B1281" s="0" t="s">
        <v>383</v>
      </c>
      <c r="C1281" s="33" t="s">
        <v>384</v>
      </c>
      <c r="D1281" s="34" t="n">
        <v>46204</v>
      </c>
      <c r="E1281" s="0" t="n">
        <v>157.62</v>
      </c>
      <c r="F1281" s="0" t="n">
        <v>0</v>
      </c>
      <c r="G1281" s="0" t="n">
        <v>1405.69</v>
      </c>
      <c r="H1281" s="0" t="n">
        <v>427.18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3</v>
      </c>
      <c r="W1281" s="0" t="n">
        <v>20</v>
      </c>
      <c r="X1281" s="0" t="n">
        <v>0</v>
      </c>
      <c r="Y1281" s="0" t="n">
        <v>0</v>
      </c>
      <c r="Z1281" s="0" t="n">
        <v>0</v>
      </c>
      <c r="AA1281" s="0" t="n">
        <v>0</v>
      </c>
      <c r="AB1281" s="0" t="n">
        <v>0</v>
      </c>
      <c r="AC1281" s="0" t="n">
        <v>0</v>
      </c>
      <c r="AD1281" s="0" t="n">
        <v>0</v>
      </c>
      <c r="AE1281" s="0" t="n">
        <v>0</v>
      </c>
      <c r="AF1281" s="0" t="n">
        <v>0</v>
      </c>
      <c r="AG1281" s="0" t="n">
        <v>2013.49</v>
      </c>
      <c r="AH1281" s="0" t="n">
        <v>2013.49</v>
      </c>
      <c r="AI1281" s="0" t="n">
        <v>35</v>
      </c>
    </row>
    <row r="1282" customFormat="false" ht="14.9" hidden="false" customHeight="false" outlineLevel="0" collapsed="false">
      <c r="A1282" s="0" t="n">
        <v>1281</v>
      </c>
      <c r="B1282" s="0" t="s">
        <v>383</v>
      </c>
      <c r="C1282" s="33" t="s">
        <v>384</v>
      </c>
      <c r="D1282" s="34" t="n">
        <v>46215</v>
      </c>
      <c r="E1282" s="0" t="n">
        <v>440.15</v>
      </c>
      <c r="F1282" s="0" t="n">
        <v>0</v>
      </c>
      <c r="G1282" s="0" t="n">
        <v>966.33</v>
      </c>
      <c r="H1282" s="0" t="n">
        <v>682.3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0.01</v>
      </c>
      <c r="W1282" s="0" t="n">
        <v>68</v>
      </c>
      <c r="X1282" s="0" t="n">
        <v>0</v>
      </c>
      <c r="Y1282" s="0" t="n">
        <v>0</v>
      </c>
      <c r="Z1282" s="0" t="n">
        <v>0</v>
      </c>
      <c r="AA1282" s="0" t="n">
        <v>0</v>
      </c>
      <c r="AB1282" s="0" t="n">
        <v>0</v>
      </c>
      <c r="AC1282" s="0" t="n">
        <v>0</v>
      </c>
      <c r="AD1282" s="0" t="n">
        <v>0</v>
      </c>
      <c r="AE1282" s="0" t="n">
        <v>0</v>
      </c>
      <c r="AF1282" s="0" t="n">
        <v>0</v>
      </c>
      <c r="AG1282" s="0" t="n">
        <v>2156.79</v>
      </c>
      <c r="AH1282" s="0" t="n">
        <v>2156.79</v>
      </c>
      <c r="AI1282" s="0" t="n">
        <v>28</v>
      </c>
    </row>
    <row r="1283" customFormat="false" ht="14.9" hidden="false" customHeight="false" outlineLevel="0" collapsed="false">
      <c r="A1283" s="0" t="n">
        <v>1282</v>
      </c>
      <c r="B1283" s="0" t="s">
        <v>383</v>
      </c>
      <c r="C1283" s="33" t="s">
        <v>384</v>
      </c>
      <c r="D1283" s="34" t="n">
        <v>46223</v>
      </c>
      <c r="E1283" s="0" t="n">
        <v>375.91</v>
      </c>
      <c r="F1283" s="0" t="n">
        <v>0</v>
      </c>
      <c r="G1283" s="0" t="n">
        <v>545</v>
      </c>
      <c r="H1283" s="0" t="n">
        <v>191.5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0.04</v>
      </c>
      <c r="W1283" s="0" t="n">
        <v>10</v>
      </c>
      <c r="X1283" s="0" t="n">
        <v>0</v>
      </c>
      <c r="Y1283" s="0" t="n">
        <v>0</v>
      </c>
      <c r="Z1283" s="0" t="n">
        <v>0</v>
      </c>
      <c r="AA1283" s="0" t="n">
        <v>0</v>
      </c>
      <c r="AB1283" s="0" t="n">
        <v>0</v>
      </c>
      <c r="AC1283" s="0" t="n">
        <v>0</v>
      </c>
      <c r="AD1283" s="0" t="n">
        <v>0</v>
      </c>
      <c r="AE1283" s="0" t="n">
        <v>0</v>
      </c>
      <c r="AF1283" s="0" t="n">
        <v>0</v>
      </c>
      <c r="AG1283" s="0" t="n">
        <v>1122.45</v>
      </c>
      <c r="AH1283" s="0" t="n">
        <v>1122.45</v>
      </c>
      <c r="AI1283" s="0" t="n">
        <v>25</v>
      </c>
    </row>
    <row r="1284" customFormat="false" ht="14.9" hidden="false" customHeight="false" outlineLevel="0" collapsed="false">
      <c r="A1284" s="0" t="n">
        <v>1283</v>
      </c>
      <c r="B1284" s="0" t="s">
        <v>383</v>
      </c>
      <c r="C1284" s="33" t="s">
        <v>384</v>
      </c>
      <c r="D1284" s="34" t="n">
        <v>46206</v>
      </c>
      <c r="E1284" s="0" t="n">
        <v>193.3</v>
      </c>
      <c r="F1284" s="0" t="n">
        <v>0</v>
      </c>
      <c r="G1284" s="0" t="n">
        <v>868.6</v>
      </c>
      <c r="H1284" s="0" t="n">
        <v>180.88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n">
        <v>30</v>
      </c>
      <c r="X1284" s="0" t="n">
        <v>0</v>
      </c>
      <c r="Y1284" s="0" t="n">
        <v>0</v>
      </c>
      <c r="Z1284" s="0" t="n">
        <v>0</v>
      </c>
      <c r="AA1284" s="0" t="n">
        <v>0</v>
      </c>
      <c r="AB1284" s="0" t="n">
        <v>0</v>
      </c>
      <c r="AC1284" s="0" t="n">
        <v>0</v>
      </c>
      <c r="AD1284" s="0" t="n">
        <v>0</v>
      </c>
      <c r="AE1284" s="0" t="n">
        <v>0</v>
      </c>
      <c r="AF1284" s="0" t="n">
        <v>0</v>
      </c>
      <c r="AG1284" s="0" t="n">
        <v>1272.78</v>
      </c>
      <c r="AH1284" s="0" t="n">
        <v>1272.78</v>
      </c>
      <c r="AI1284" s="0" t="n">
        <v>30</v>
      </c>
    </row>
    <row r="1285" customFormat="false" ht="14.9" hidden="false" customHeight="false" outlineLevel="0" collapsed="false">
      <c r="A1285" s="0" t="n">
        <v>1284</v>
      </c>
      <c r="B1285" s="0" t="s">
        <v>383</v>
      </c>
      <c r="C1285" s="33" t="s">
        <v>384</v>
      </c>
      <c r="D1285" s="34" t="n">
        <v>46225</v>
      </c>
      <c r="E1285" s="0" t="n">
        <v>746.45</v>
      </c>
      <c r="F1285" s="0" t="n">
        <v>0</v>
      </c>
      <c r="G1285" s="0" t="n">
        <v>1994.64</v>
      </c>
      <c r="H1285" s="0" t="n">
        <v>103.1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0.05</v>
      </c>
      <c r="W1285" s="0" t="n">
        <v>35</v>
      </c>
      <c r="X1285" s="0" t="n">
        <v>0</v>
      </c>
      <c r="Y1285" s="0" t="n">
        <v>0</v>
      </c>
      <c r="Z1285" s="0" t="n">
        <v>0</v>
      </c>
      <c r="AA1285" s="0" t="n">
        <v>0</v>
      </c>
      <c r="AB1285" s="0" t="n">
        <v>0</v>
      </c>
      <c r="AC1285" s="0" t="n">
        <v>0</v>
      </c>
      <c r="AD1285" s="0" t="n">
        <v>0</v>
      </c>
      <c r="AE1285" s="0" t="n">
        <v>0</v>
      </c>
      <c r="AF1285" s="0" t="n">
        <v>0</v>
      </c>
      <c r="AG1285" s="0" t="n">
        <v>2879.24</v>
      </c>
      <c r="AH1285" s="0" t="n">
        <v>2879.24</v>
      </c>
      <c r="AI1285" s="0" t="n">
        <v>35</v>
      </c>
    </row>
    <row r="1286" customFormat="false" ht="14.9" hidden="false" customHeight="false" outlineLevel="0" collapsed="false">
      <c r="A1286" s="0" t="n">
        <v>1285</v>
      </c>
      <c r="B1286" s="0" t="s">
        <v>383</v>
      </c>
      <c r="C1286" s="33" t="s">
        <v>384</v>
      </c>
      <c r="D1286" s="34" t="n">
        <v>46228</v>
      </c>
      <c r="E1286" s="0" t="n">
        <v>298</v>
      </c>
      <c r="F1286" s="0" t="n">
        <v>0</v>
      </c>
      <c r="G1286" s="0" t="n">
        <v>934.45</v>
      </c>
      <c r="H1286" s="0" t="n">
        <v>1075.2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15.8</v>
      </c>
      <c r="T1286" s="0" t="n">
        <v>0</v>
      </c>
      <c r="U1286" s="0" t="n">
        <v>0</v>
      </c>
      <c r="V1286" s="0" t="n">
        <v>0.04</v>
      </c>
      <c r="W1286" s="0" t="n">
        <v>38</v>
      </c>
      <c r="X1286" s="0" t="n">
        <v>0</v>
      </c>
      <c r="Y1286" s="0" t="n">
        <v>0</v>
      </c>
      <c r="Z1286" s="0" t="n">
        <v>0</v>
      </c>
      <c r="AA1286" s="0" t="n">
        <v>0</v>
      </c>
      <c r="AB1286" s="0" t="n">
        <v>0</v>
      </c>
      <c r="AC1286" s="0" t="n">
        <v>0</v>
      </c>
      <c r="AD1286" s="0" t="n">
        <v>0</v>
      </c>
      <c r="AE1286" s="0" t="n">
        <v>0</v>
      </c>
      <c r="AF1286" s="0" t="n">
        <v>0</v>
      </c>
      <c r="AG1286" s="0" t="n">
        <v>2361.49</v>
      </c>
      <c r="AH1286" s="0" t="n">
        <v>2361.49</v>
      </c>
      <c r="AI1286" s="0" t="n">
        <v>34</v>
      </c>
    </row>
    <row r="1287" customFormat="false" ht="14.9" hidden="false" customHeight="false" outlineLevel="0" collapsed="false">
      <c r="A1287" s="0" t="n">
        <v>1286</v>
      </c>
      <c r="B1287" s="0" t="s">
        <v>383</v>
      </c>
      <c r="C1287" s="33" t="s">
        <v>384</v>
      </c>
      <c r="D1287" s="34" t="n">
        <v>46221</v>
      </c>
      <c r="E1287" s="0" t="n">
        <v>49.9</v>
      </c>
      <c r="F1287" s="0" t="n">
        <v>0</v>
      </c>
      <c r="G1287" s="0" t="n">
        <v>1543</v>
      </c>
      <c r="H1287" s="0" t="n">
        <v>191.7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0.02</v>
      </c>
      <c r="W1287" s="0" t="n">
        <v>35</v>
      </c>
      <c r="X1287" s="0" t="n">
        <v>0</v>
      </c>
      <c r="Y1287" s="0" t="n">
        <v>0</v>
      </c>
      <c r="Z1287" s="0" t="n">
        <v>0</v>
      </c>
      <c r="AA1287" s="0" t="n">
        <v>0</v>
      </c>
      <c r="AB1287" s="0" t="n">
        <v>0</v>
      </c>
      <c r="AC1287" s="0" t="n">
        <v>0</v>
      </c>
      <c r="AD1287" s="0" t="n">
        <v>0</v>
      </c>
      <c r="AE1287" s="0" t="n">
        <v>0</v>
      </c>
      <c r="AF1287" s="0" t="n">
        <v>0</v>
      </c>
      <c r="AG1287" s="0" t="n">
        <v>1819.62</v>
      </c>
      <c r="AH1287" s="0" t="n">
        <v>1819.62</v>
      </c>
      <c r="AI1287" s="0" t="n">
        <v>32</v>
      </c>
    </row>
    <row r="1288" customFormat="false" ht="14.9" hidden="false" customHeight="false" outlineLevel="0" collapsed="false">
      <c r="A1288" s="0" t="n">
        <v>1287</v>
      </c>
      <c r="B1288" s="0" t="s">
        <v>383</v>
      </c>
      <c r="C1288" s="33" t="s">
        <v>384</v>
      </c>
      <c r="D1288" s="34" t="n">
        <v>46229</v>
      </c>
      <c r="E1288" s="0" t="n">
        <v>404.23</v>
      </c>
      <c r="F1288" s="0" t="n">
        <v>0</v>
      </c>
      <c r="G1288" s="0" t="n">
        <v>3993.81</v>
      </c>
      <c r="H1288" s="0" t="n">
        <v>313.98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29.58</v>
      </c>
      <c r="T1288" s="0" t="n">
        <v>0</v>
      </c>
      <c r="U1288" s="0" t="n">
        <v>0</v>
      </c>
      <c r="V1288" s="0" t="n">
        <v>0</v>
      </c>
      <c r="W1288" s="0" t="n">
        <v>102</v>
      </c>
      <c r="X1288" s="0" t="n">
        <v>0</v>
      </c>
      <c r="Y1288" s="0" t="n">
        <v>0</v>
      </c>
      <c r="Z1288" s="0" t="n">
        <v>0</v>
      </c>
      <c r="AA1288" s="0" t="n">
        <v>0</v>
      </c>
      <c r="AB1288" s="0" t="n">
        <v>0</v>
      </c>
      <c r="AC1288" s="0" t="n">
        <v>0</v>
      </c>
      <c r="AD1288" s="0" t="n">
        <v>0</v>
      </c>
      <c r="AE1288" s="0" t="n">
        <v>0</v>
      </c>
      <c r="AF1288" s="0" t="n">
        <v>0</v>
      </c>
      <c r="AG1288" s="0" t="n">
        <v>4843.6</v>
      </c>
      <c r="AH1288" s="0" t="n">
        <v>4843.6</v>
      </c>
      <c r="AI1288" s="0" t="n">
        <v>58</v>
      </c>
    </row>
    <row r="1289" customFormat="false" ht="14.9" hidden="false" customHeight="false" outlineLevel="0" collapsed="false">
      <c r="A1289" s="0" t="n">
        <v>1288</v>
      </c>
      <c r="B1289" s="0" t="s">
        <v>383</v>
      </c>
      <c r="C1289" s="33" t="s">
        <v>384</v>
      </c>
      <c r="D1289" s="34" t="n">
        <v>46224</v>
      </c>
      <c r="E1289" s="0" t="n">
        <v>2056.61</v>
      </c>
      <c r="F1289" s="0" t="n">
        <v>0</v>
      </c>
      <c r="G1289" s="0" t="n">
        <v>647.47</v>
      </c>
      <c r="H1289" s="0" t="n">
        <v>106.7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21.02</v>
      </c>
      <c r="W1289" s="0" t="n">
        <v>76</v>
      </c>
      <c r="X1289" s="0" t="n">
        <v>0</v>
      </c>
      <c r="Y1289" s="0" t="n">
        <v>0</v>
      </c>
      <c r="Z1289" s="0" t="n">
        <v>0</v>
      </c>
      <c r="AA1289" s="0" t="n">
        <v>0</v>
      </c>
      <c r="AB1289" s="0" t="n">
        <v>0</v>
      </c>
      <c r="AC1289" s="0" t="n">
        <v>0</v>
      </c>
      <c r="AD1289" s="0" t="n">
        <v>0</v>
      </c>
      <c r="AE1289" s="0" t="n">
        <v>0</v>
      </c>
      <c r="AF1289" s="0" t="n">
        <v>0</v>
      </c>
      <c r="AG1289" s="0" t="n">
        <v>2907.8</v>
      </c>
      <c r="AH1289" s="0" t="n">
        <v>2907.8</v>
      </c>
      <c r="AI1289" s="0" t="n">
        <v>39</v>
      </c>
    </row>
    <row r="1290" customFormat="false" ht="14.9" hidden="false" customHeight="false" outlineLevel="0" collapsed="false">
      <c r="A1290" s="0" t="n">
        <v>1289</v>
      </c>
      <c r="B1290" s="0" t="s">
        <v>383</v>
      </c>
      <c r="C1290" s="33" t="s">
        <v>384</v>
      </c>
      <c r="D1290" s="34" t="n">
        <v>46208</v>
      </c>
      <c r="E1290" s="0" t="n">
        <v>37</v>
      </c>
      <c r="F1290" s="0" t="n">
        <v>0</v>
      </c>
      <c r="G1290" s="0" t="n">
        <v>717</v>
      </c>
      <c r="H1290" s="0" t="n">
        <v>280.3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30</v>
      </c>
      <c r="X1290" s="0" t="n">
        <v>0</v>
      </c>
      <c r="Y1290" s="0" t="n">
        <v>0</v>
      </c>
      <c r="Z1290" s="0" t="n">
        <v>0</v>
      </c>
      <c r="AA1290" s="0" t="n">
        <v>0</v>
      </c>
      <c r="AB1290" s="0" t="n">
        <v>0</v>
      </c>
      <c r="AC1290" s="0" t="n">
        <v>0</v>
      </c>
      <c r="AD1290" s="0" t="n">
        <v>0</v>
      </c>
      <c r="AE1290" s="0" t="n">
        <v>0</v>
      </c>
      <c r="AF1290" s="0" t="n">
        <v>0</v>
      </c>
      <c r="AG1290" s="0" t="n">
        <v>1064.3</v>
      </c>
      <c r="AH1290" s="0" t="n">
        <v>1064.3</v>
      </c>
      <c r="AI1290" s="0" t="n">
        <v>24</v>
      </c>
    </row>
    <row r="1291" customFormat="false" ht="14.9" hidden="false" customHeight="false" outlineLevel="0" collapsed="false">
      <c r="A1291" s="0" t="n">
        <v>1290</v>
      </c>
      <c r="B1291" s="0" t="s">
        <v>383</v>
      </c>
      <c r="C1291" s="33" t="s">
        <v>384</v>
      </c>
      <c r="D1291" s="34" t="n">
        <v>46234</v>
      </c>
      <c r="E1291" s="0" t="n">
        <v>125.4</v>
      </c>
      <c r="F1291" s="0" t="n">
        <v>0</v>
      </c>
      <c r="G1291" s="0" t="n">
        <v>1494.35</v>
      </c>
      <c r="H1291" s="0" t="n">
        <v>332.5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408</v>
      </c>
      <c r="X1291" s="0" t="n">
        <v>0</v>
      </c>
      <c r="Y1291" s="0" t="n">
        <v>0</v>
      </c>
      <c r="Z1291" s="0" t="n">
        <v>0</v>
      </c>
      <c r="AA1291" s="0" t="n">
        <v>0</v>
      </c>
      <c r="AB1291" s="0" t="n">
        <v>0</v>
      </c>
      <c r="AC1291" s="0" t="n">
        <v>0</v>
      </c>
      <c r="AD1291" s="0" t="n">
        <v>0</v>
      </c>
      <c r="AE1291" s="0" t="n">
        <v>0</v>
      </c>
      <c r="AF1291" s="0" t="n">
        <v>0</v>
      </c>
      <c r="AG1291" s="0" t="n">
        <v>2360.25</v>
      </c>
      <c r="AH1291" s="0" t="n">
        <v>2360.25</v>
      </c>
      <c r="AI1291" s="0" t="n">
        <v>31</v>
      </c>
    </row>
    <row r="1292" customFormat="false" ht="14.9" hidden="false" customHeight="false" outlineLevel="0" collapsed="false">
      <c r="A1292" s="0" t="n">
        <v>1291</v>
      </c>
      <c r="B1292" s="0" t="s">
        <v>383</v>
      </c>
      <c r="C1292" s="33" t="s">
        <v>384</v>
      </c>
      <c r="D1292" s="34" t="n">
        <v>46219</v>
      </c>
      <c r="E1292" s="0" t="n">
        <v>116.51</v>
      </c>
      <c r="F1292" s="0" t="n">
        <v>0</v>
      </c>
      <c r="G1292" s="0" t="n">
        <v>2382.53</v>
      </c>
      <c r="H1292" s="0" t="n">
        <v>631.53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  <c r="V1292" s="0" t="n">
        <v>0.01</v>
      </c>
      <c r="W1292" s="0" t="n">
        <v>36</v>
      </c>
      <c r="X1292" s="0" t="n">
        <v>0</v>
      </c>
      <c r="Y1292" s="0" t="n">
        <v>0</v>
      </c>
      <c r="Z1292" s="0" t="n">
        <v>0</v>
      </c>
      <c r="AA1292" s="0" t="n">
        <v>0</v>
      </c>
      <c r="AB1292" s="0" t="n">
        <v>0</v>
      </c>
      <c r="AC1292" s="0" t="n">
        <v>0</v>
      </c>
      <c r="AD1292" s="0" t="n">
        <v>0</v>
      </c>
      <c r="AE1292" s="0" t="n">
        <v>0</v>
      </c>
      <c r="AF1292" s="0" t="n">
        <v>0</v>
      </c>
      <c r="AG1292" s="0" t="n">
        <v>3166.58</v>
      </c>
      <c r="AH1292" s="0" t="n">
        <v>3166.58</v>
      </c>
      <c r="AI1292" s="0" t="n">
        <v>39</v>
      </c>
    </row>
    <row r="1293" customFormat="false" ht="14.9" hidden="false" customHeight="false" outlineLevel="0" collapsed="false">
      <c r="A1293" s="0" t="n">
        <v>1292</v>
      </c>
      <c r="B1293" s="0" t="s">
        <v>383</v>
      </c>
      <c r="C1293" s="33" t="s">
        <v>384</v>
      </c>
      <c r="D1293" s="34" t="n">
        <v>46207</v>
      </c>
      <c r="E1293" s="0" t="n">
        <v>243.3</v>
      </c>
      <c r="F1293" s="0" t="n">
        <v>0</v>
      </c>
      <c r="G1293" s="0" t="n">
        <v>926.98</v>
      </c>
      <c r="H1293" s="0" t="n">
        <v>528.5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0</v>
      </c>
      <c r="W1293" s="0" t="n">
        <v>26</v>
      </c>
      <c r="X1293" s="0" t="n">
        <v>0</v>
      </c>
      <c r="Y1293" s="0" t="n">
        <v>0</v>
      </c>
      <c r="Z1293" s="0" t="n">
        <v>0</v>
      </c>
      <c r="AA1293" s="0" t="n">
        <v>0</v>
      </c>
      <c r="AB1293" s="0" t="n">
        <v>0</v>
      </c>
      <c r="AC1293" s="0" t="n">
        <v>0</v>
      </c>
      <c r="AD1293" s="0" t="n">
        <v>0</v>
      </c>
      <c r="AE1293" s="0" t="n">
        <v>0</v>
      </c>
      <c r="AF1293" s="0" t="n">
        <v>0</v>
      </c>
      <c r="AG1293" s="0" t="n">
        <v>1724.78</v>
      </c>
      <c r="AH1293" s="0" t="n">
        <v>1724.78</v>
      </c>
      <c r="AI1293" s="0" t="n">
        <v>31</v>
      </c>
    </row>
    <row r="1294" customFormat="false" ht="14.9" hidden="false" customHeight="false" outlineLevel="0" collapsed="false">
      <c r="A1294" s="0" t="n">
        <v>1293</v>
      </c>
      <c r="B1294" s="0" t="s">
        <v>383</v>
      </c>
      <c r="C1294" s="33" t="s">
        <v>384</v>
      </c>
      <c r="D1294" s="34" t="n">
        <v>46230</v>
      </c>
      <c r="E1294" s="0" t="n">
        <v>0</v>
      </c>
      <c r="F1294" s="0" t="n">
        <v>0</v>
      </c>
      <c r="G1294" s="0" t="n">
        <v>815</v>
      </c>
      <c r="H1294" s="0" t="n">
        <v>321.5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9.9</v>
      </c>
      <c r="W1294" s="0" t="n">
        <v>100</v>
      </c>
      <c r="X1294" s="0" t="n">
        <v>0</v>
      </c>
      <c r="Y1294" s="0" t="n">
        <v>0</v>
      </c>
      <c r="Z1294" s="0" t="n">
        <v>0</v>
      </c>
      <c r="AA1294" s="0" t="n">
        <v>0</v>
      </c>
      <c r="AB1294" s="0" t="n">
        <v>0</v>
      </c>
      <c r="AC1294" s="0" t="n">
        <v>0</v>
      </c>
      <c r="AD1294" s="0" t="n">
        <v>0</v>
      </c>
      <c r="AE1294" s="0" t="n">
        <v>0</v>
      </c>
      <c r="AF1294" s="0" t="n">
        <v>0</v>
      </c>
      <c r="AG1294" s="0" t="n">
        <v>1246.4</v>
      </c>
      <c r="AH1294" s="0" t="n">
        <v>1246.4</v>
      </c>
      <c r="AI1294" s="0" t="n">
        <v>34</v>
      </c>
    </row>
    <row r="1295" customFormat="false" ht="14.9" hidden="false" customHeight="false" outlineLevel="0" collapsed="false">
      <c r="A1295" s="0" t="n">
        <v>1294</v>
      </c>
      <c r="B1295" s="0" t="s">
        <v>383</v>
      </c>
      <c r="C1295" s="33" t="s">
        <v>384</v>
      </c>
      <c r="D1295" s="34" t="n">
        <v>46217</v>
      </c>
      <c r="E1295" s="0" t="n">
        <v>172.4</v>
      </c>
      <c r="F1295" s="0" t="n">
        <v>0</v>
      </c>
      <c r="G1295" s="0" t="n">
        <v>567.5</v>
      </c>
      <c r="H1295" s="0" t="n">
        <v>865.4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0.04</v>
      </c>
      <c r="W1295" s="0" t="n">
        <v>65</v>
      </c>
      <c r="X1295" s="0" t="n">
        <v>0</v>
      </c>
      <c r="Y1295" s="0" t="n">
        <v>0</v>
      </c>
      <c r="Z1295" s="0" t="n">
        <v>0</v>
      </c>
      <c r="AA1295" s="0" t="n">
        <v>0</v>
      </c>
      <c r="AB1295" s="0" t="n">
        <v>0</v>
      </c>
      <c r="AC1295" s="0" t="n">
        <v>0</v>
      </c>
      <c r="AD1295" s="0" t="n">
        <v>0</v>
      </c>
      <c r="AE1295" s="0" t="n">
        <v>0</v>
      </c>
      <c r="AF1295" s="0" t="n">
        <v>0</v>
      </c>
      <c r="AG1295" s="0" t="n">
        <v>1670.34</v>
      </c>
      <c r="AH1295" s="0" t="n">
        <v>1670.34</v>
      </c>
      <c r="AI1295" s="0" t="n">
        <v>26</v>
      </c>
    </row>
    <row r="1296" customFormat="false" ht="14.9" hidden="false" customHeight="false" outlineLevel="0" collapsed="false">
      <c r="A1296" s="0" t="n">
        <v>1295</v>
      </c>
      <c r="B1296" s="0" t="s">
        <v>383</v>
      </c>
      <c r="C1296" s="33" t="s">
        <v>384</v>
      </c>
      <c r="D1296" s="34" t="n">
        <v>46205</v>
      </c>
      <c r="E1296" s="0" t="n">
        <v>372.94</v>
      </c>
      <c r="F1296" s="0" t="n">
        <v>0</v>
      </c>
      <c r="G1296" s="0" t="n">
        <v>854.78</v>
      </c>
      <c r="H1296" s="0" t="n">
        <v>479.96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  <c r="V1296" s="0" t="n">
        <v>0</v>
      </c>
      <c r="W1296" s="0" t="n">
        <v>35</v>
      </c>
      <c r="X1296" s="0" t="n">
        <v>0</v>
      </c>
      <c r="Y1296" s="0" t="n">
        <v>0</v>
      </c>
      <c r="Z1296" s="0" t="n">
        <v>0</v>
      </c>
      <c r="AA1296" s="0" t="n">
        <v>0</v>
      </c>
      <c r="AB1296" s="0" t="n">
        <v>0</v>
      </c>
      <c r="AC1296" s="0" t="n">
        <v>0</v>
      </c>
      <c r="AD1296" s="0" t="n">
        <v>0</v>
      </c>
      <c r="AE1296" s="0" t="n">
        <v>0</v>
      </c>
      <c r="AF1296" s="0" t="n">
        <v>0</v>
      </c>
      <c r="AG1296" s="0" t="n">
        <v>1742.68</v>
      </c>
      <c r="AH1296" s="0" t="n">
        <v>1742.68</v>
      </c>
      <c r="AI1296" s="0" t="n">
        <v>34</v>
      </c>
    </row>
    <row r="1297" customFormat="false" ht="14.9" hidden="false" customHeight="false" outlineLevel="0" collapsed="false">
      <c r="A1297" s="0" t="n">
        <v>1296</v>
      </c>
      <c r="B1297" s="0" t="s">
        <v>383</v>
      </c>
      <c r="C1297" s="33" t="s">
        <v>384</v>
      </c>
      <c r="D1297" s="34" t="n">
        <v>46222</v>
      </c>
      <c r="E1297" s="0" t="n">
        <v>148</v>
      </c>
      <c r="F1297" s="0" t="n">
        <v>0</v>
      </c>
      <c r="G1297" s="0" t="n">
        <v>913.61</v>
      </c>
      <c r="H1297" s="0" t="n">
        <v>389.06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0</v>
      </c>
      <c r="V1297" s="0" t="n">
        <v>0</v>
      </c>
      <c r="W1297" s="0" t="n">
        <v>21</v>
      </c>
      <c r="X1297" s="0" t="n">
        <v>0</v>
      </c>
      <c r="Y1297" s="0" t="n">
        <v>0</v>
      </c>
      <c r="Z1297" s="0" t="n">
        <v>0</v>
      </c>
      <c r="AA1297" s="0" t="n">
        <v>0</v>
      </c>
      <c r="AB1297" s="0" t="n">
        <v>0</v>
      </c>
      <c r="AC1297" s="0" t="n">
        <v>0</v>
      </c>
      <c r="AD1297" s="0" t="n">
        <v>0</v>
      </c>
      <c r="AE1297" s="0" t="n">
        <v>0</v>
      </c>
      <c r="AF1297" s="0" t="n">
        <v>0</v>
      </c>
      <c r="AG1297" s="0" t="n">
        <v>1471.67</v>
      </c>
      <c r="AH1297" s="0" t="n">
        <v>1471.67</v>
      </c>
      <c r="AI1297" s="0" t="n">
        <v>30</v>
      </c>
    </row>
    <row r="1298" customFormat="false" ht="14.9" hidden="false" customHeight="false" outlineLevel="0" collapsed="false">
      <c r="A1298" s="0" t="n">
        <v>1297</v>
      </c>
      <c r="B1298" s="0" t="s">
        <v>383</v>
      </c>
      <c r="C1298" s="33" t="s">
        <v>384</v>
      </c>
      <c r="D1298" s="34" t="n">
        <v>46231</v>
      </c>
      <c r="E1298" s="0" t="n">
        <v>298.3</v>
      </c>
      <c r="F1298" s="0" t="n">
        <v>0</v>
      </c>
      <c r="G1298" s="0" t="n">
        <v>693.9</v>
      </c>
      <c r="H1298" s="0" t="n">
        <v>159.68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96</v>
      </c>
      <c r="X1298" s="0" t="n">
        <v>0</v>
      </c>
      <c r="Y1298" s="0" t="n">
        <v>0</v>
      </c>
      <c r="Z1298" s="0" t="n">
        <v>0</v>
      </c>
      <c r="AA1298" s="0" t="n">
        <v>0</v>
      </c>
      <c r="AB1298" s="0" t="n">
        <v>0</v>
      </c>
      <c r="AC1298" s="0" t="n">
        <v>0</v>
      </c>
      <c r="AD1298" s="0" t="n">
        <v>0</v>
      </c>
      <c r="AE1298" s="0" t="n">
        <v>0</v>
      </c>
      <c r="AF1298" s="0" t="n">
        <v>0</v>
      </c>
      <c r="AG1298" s="0" t="n">
        <v>1247.88</v>
      </c>
      <c r="AH1298" s="0" t="n">
        <v>1247.88</v>
      </c>
      <c r="AI1298" s="0" t="n">
        <v>23</v>
      </c>
    </row>
    <row r="1299" customFormat="false" ht="14.9" hidden="false" customHeight="false" outlineLevel="0" collapsed="false">
      <c r="A1299" s="0" t="n">
        <v>1298</v>
      </c>
      <c r="B1299" s="0" t="s">
        <v>383</v>
      </c>
      <c r="C1299" s="33" t="s">
        <v>384</v>
      </c>
      <c r="D1299" s="34" t="n">
        <v>46220</v>
      </c>
      <c r="E1299" s="0" t="n">
        <v>319.3</v>
      </c>
      <c r="F1299" s="0" t="n">
        <v>0</v>
      </c>
      <c r="G1299" s="0" t="n">
        <v>1107.52</v>
      </c>
      <c r="H1299" s="0" t="n">
        <v>211.78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16.2</v>
      </c>
      <c r="T1299" s="0" t="n">
        <v>0</v>
      </c>
      <c r="U1299" s="0" t="n">
        <v>5</v>
      </c>
      <c r="V1299" s="0" t="n">
        <v>0</v>
      </c>
      <c r="W1299" s="0" t="n">
        <v>30</v>
      </c>
      <c r="X1299" s="0" t="n">
        <v>0</v>
      </c>
      <c r="Y1299" s="0" t="n">
        <v>0</v>
      </c>
      <c r="Z1299" s="0" t="n">
        <v>0</v>
      </c>
      <c r="AA1299" s="0" t="n">
        <v>0</v>
      </c>
      <c r="AB1299" s="0" t="n">
        <v>0</v>
      </c>
      <c r="AC1299" s="0" t="n">
        <v>0</v>
      </c>
      <c r="AD1299" s="0" t="n">
        <v>0</v>
      </c>
      <c r="AE1299" s="0" t="n">
        <v>0</v>
      </c>
      <c r="AF1299" s="0" t="n">
        <v>0</v>
      </c>
      <c r="AG1299" s="0" t="n">
        <v>1689.8</v>
      </c>
      <c r="AH1299" s="0" t="n">
        <v>1689.8</v>
      </c>
      <c r="AI1299" s="0" t="n">
        <v>27</v>
      </c>
    </row>
    <row r="1300" customFormat="false" ht="14.9" hidden="false" customHeight="false" outlineLevel="0" collapsed="false">
      <c r="A1300" s="0" t="n">
        <v>1299</v>
      </c>
      <c r="B1300" s="0" t="s">
        <v>383</v>
      </c>
      <c r="C1300" s="33" t="s">
        <v>384</v>
      </c>
      <c r="D1300" s="34" t="n">
        <v>46232</v>
      </c>
      <c r="E1300" s="0" t="n">
        <v>524.3</v>
      </c>
      <c r="F1300" s="0" t="n">
        <v>0</v>
      </c>
      <c r="G1300" s="0" t="n">
        <v>1241.9</v>
      </c>
      <c r="H1300" s="0" t="n">
        <v>440.5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97</v>
      </c>
      <c r="X1300" s="0" t="n">
        <v>0</v>
      </c>
      <c r="Y1300" s="0" t="n">
        <v>0</v>
      </c>
      <c r="Z1300" s="0" t="n">
        <v>0</v>
      </c>
      <c r="AA1300" s="0" t="n">
        <v>0</v>
      </c>
      <c r="AB1300" s="0" t="n">
        <v>0</v>
      </c>
      <c r="AC1300" s="0" t="n">
        <v>0</v>
      </c>
      <c r="AD1300" s="0" t="n">
        <v>0</v>
      </c>
      <c r="AE1300" s="0" t="n">
        <v>0</v>
      </c>
      <c r="AF1300" s="0" t="n">
        <v>0</v>
      </c>
      <c r="AG1300" s="0" t="n">
        <v>2303.7</v>
      </c>
      <c r="AH1300" s="0" t="n">
        <v>2303.7</v>
      </c>
      <c r="AI1300" s="0" t="n">
        <v>37</v>
      </c>
    </row>
    <row r="1301" customFormat="false" ht="14.9" hidden="false" customHeight="false" outlineLevel="0" collapsed="false">
      <c r="A1301" s="0" t="n">
        <v>1300</v>
      </c>
      <c r="B1301" s="0" t="s">
        <v>383</v>
      </c>
      <c r="C1301" s="33" t="s">
        <v>384</v>
      </c>
      <c r="D1301" s="34" t="n">
        <v>46227</v>
      </c>
      <c r="E1301" s="0" t="n">
        <v>68.8</v>
      </c>
      <c r="F1301" s="0" t="n">
        <v>0</v>
      </c>
      <c r="G1301" s="0" t="n">
        <v>765.5</v>
      </c>
      <c r="H1301" s="0" t="n">
        <v>128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35</v>
      </c>
      <c r="X1301" s="0" t="n">
        <v>0</v>
      </c>
      <c r="Y1301" s="0" t="n">
        <v>0</v>
      </c>
      <c r="Z1301" s="0" t="n">
        <v>0</v>
      </c>
      <c r="AA1301" s="0" t="n">
        <v>0</v>
      </c>
      <c r="AB1301" s="0" t="n">
        <v>0</v>
      </c>
      <c r="AC1301" s="0" t="n">
        <v>0</v>
      </c>
      <c r="AD1301" s="0" t="n">
        <v>0</v>
      </c>
      <c r="AE1301" s="0" t="n">
        <v>0</v>
      </c>
      <c r="AF1301" s="0" t="n">
        <v>0</v>
      </c>
      <c r="AG1301" s="0" t="n">
        <v>997.3</v>
      </c>
      <c r="AH1301" s="0" t="n">
        <v>997.3</v>
      </c>
      <c r="AI1301" s="0" t="n">
        <v>26</v>
      </c>
    </row>
    <row r="1302" customFormat="false" ht="14.9" hidden="false" customHeight="false" outlineLevel="0" collapsed="false">
      <c r="A1302" s="0" t="n">
        <v>1301</v>
      </c>
      <c r="B1302" s="0" t="s">
        <v>383</v>
      </c>
      <c r="C1302" s="33" t="s">
        <v>384</v>
      </c>
      <c r="D1302" s="34" t="n">
        <v>46211</v>
      </c>
      <c r="E1302" s="0" t="n">
        <v>455.1</v>
      </c>
      <c r="F1302" s="0" t="n">
        <v>0</v>
      </c>
      <c r="G1302" s="0" t="n">
        <v>744.43</v>
      </c>
      <c r="H1302" s="0" t="n">
        <v>576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5</v>
      </c>
      <c r="V1302" s="0" t="n">
        <v>0.02</v>
      </c>
      <c r="W1302" s="0" t="n">
        <v>5</v>
      </c>
      <c r="X1302" s="0" t="n">
        <v>0</v>
      </c>
      <c r="Y1302" s="0" t="n">
        <v>0</v>
      </c>
      <c r="Z1302" s="0" t="n">
        <v>0</v>
      </c>
      <c r="AA1302" s="0" t="n">
        <v>0</v>
      </c>
      <c r="AB1302" s="0" t="n">
        <v>0</v>
      </c>
      <c r="AC1302" s="0" t="n">
        <v>0</v>
      </c>
      <c r="AD1302" s="0" t="n">
        <v>0</v>
      </c>
      <c r="AE1302" s="0" t="n">
        <v>0</v>
      </c>
      <c r="AF1302" s="0" t="n">
        <v>0</v>
      </c>
      <c r="AG1302" s="0" t="n">
        <v>1785.55</v>
      </c>
      <c r="AH1302" s="0" t="n">
        <v>1785.55</v>
      </c>
      <c r="AI1302" s="0" t="n">
        <v>28</v>
      </c>
    </row>
    <row r="1303" customFormat="false" ht="14.9" hidden="false" customHeight="false" outlineLevel="0" collapsed="false">
      <c r="A1303" s="0" t="n">
        <v>1302</v>
      </c>
      <c r="B1303" s="0" t="s">
        <v>383</v>
      </c>
      <c r="C1303" s="33" t="s">
        <v>384</v>
      </c>
      <c r="D1303" s="34" t="n">
        <v>46216</v>
      </c>
      <c r="E1303" s="0" t="n">
        <v>212.8</v>
      </c>
      <c r="F1303" s="0" t="n">
        <v>0</v>
      </c>
      <c r="G1303" s="0" t="n">
        <v>1088.8</v>
      </c>
      <c r="H1303" s="0" t="n">
        <v>294.26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0</v>
      </c>
      <c r="W1303" s="0" t="n">
        <v>41.1</v>
      </c>
      <c r="X1303" s="0" t="n">
        <v>0</v>
      </c>
      <c r="Y1303" s="0" t="n">
        <v>0</v>
      </c>
      <c r="Z1303" s="0" t="n">
        <v>0</v>
      </c>
      <c r="AA1303" s="0" t="n">
        <v>0</v>
      </c>
      <c r="AB1303" s="0" t="n">
        <v>0</v>
      </c>
      <c r="AC1303" s="0" t="n">
        <v>0</v>
      </c>
      <c r="AD1303" s="0" t="n">
        <v>0</v>
      </c>
      <c r="AE1303" s="0" t="n">
        <v>0</v>
      </c>
      <c r="AF1303" s="0" t="n">
        <v>0</v>
      </c>
      <c r="AG1303" s="0" t="n">
        <v>1636.96</v>
      </c>
      <c r="AH1303" s="0" t="n">
        <v>1636.96</v>
      </c>
      <c r="AI1303" s="0" t="n">
        <v>34</v>
      </c>
    </row>
    <row r="1304" customFormat="false" ht="14.9" hidden="false" customHeight="false" outlineLevel="0" collapsed="false">
      <c r="A1304" s="0" t="n">
        <v>1303</v>
      </c>
      <c r="B1304" s="0" t="s">
        <v>383</v>
      </c>
      <c r="C1304" s="33" t="s">
        <v>384</v>
      </c>
      <c r="D1304" s="34" t="n">
        <v>46214</v>
      </c>
      <c r="E1304" s="0" t="n">
        <v>349.53</v>
      </c>
      <c r="F1304" s="0" t="n">
        <v>0</v>
      </c>
      <c r="G1304" s="0" t="n">
        <v>2659.04</v>
      </c>
      <c r="H1304" s="0" t="n">
        <v>280.76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-0.1</v>
      </c>
      <c r="S1304" s="0" t="n">
        <v>0</v>
      </c>
      <c r="T1304" s="0" t="n">
        <v>0</v>
      </c>
      <c r="U1304" s="0" t="n">
        <v>0</v>
      </c>
      <c r="V1304" s="0" t="n">
        <v>9.09</v>
      </c>
      <c r="W1304" s="0" t="n">
        <v>53</v>
      </c>
      <c r="X1304" s="0" t="n">
        <v>0</v>
      </c>
      <c r="Y1304" s="0" t="n">
        <v>0</v>
      </c>
      <c r="Z1304" s="0" t="n">
        <v>0</v>
      </c>
      <c r="AA1304" s="0" t="n">
        <v>0</v>
      </c>
      <c r="AB1304" s="0" t="n">
        <v>0</v>
      </c>
      <c r="AC1304" s="0" t="n">
        <v>0</v>
      </c>
      <c r="AD1304" s="0" t="n">
        <v>0</v>
      </c>
      <c r="AE1304" s="0" t="n">
        <v>0</v>
      </c>
      <c r="AF1304" s="0" t="n">
        <v>0</v>
      </c>
      <c r="AG1304" s="0" t="n">
        <v>3351.32</v>
      </c>
      <c r="AH1304" s="0" t="n">
        <v>3351.32</v>
      </c>
      <c r="AI1304" s="0" t="n">
        <v>51</v>
      </c>
    </row>
    <row r="1305" customFormat="false" ht="14.9" hidden="false" customHeight="false" outlineLevel="0" collapsed="false">
      <c r="A1305" s="0" t="n">
        <v>1304</v>
      </c>
      <c r="B1305" s="0" t="s">
        <v>385</v>
      </c>
      <c r="C1305" s="33" t="s">
        <v>386</v>
      </c>
      <c r="D1305" s="34" t="n">
        <v>46227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X1305" s="0" t="n">
        <v>0</v>
      </c>
      <c r="Y1305" s="0" t="n">
        <v>0</v>
      </c>
      <c r="Z1305" s="0" t="n">
        <v>0</v>
      </c>
      <c r="AA1305" s="0" t="n">
        <v>0</v>
      </c>
      <c r="AB1305" s="0" t="n">
        <v>0</v>
      </c>
      <c r="AC1305" s="0" t="n">
        <v>0</v>
      </c>
      <c r="AD1305" s="0" t="n">
        <v>0</v>
      </c>
      <c r="AE1305" s="0" t="n">
        <v>0</v>
      </c>
      <c r="AF1305" s="0" t="n">
        <v>0</v>
      </c>
      <c r="AG1305" s="0" t="n">
        <v>0</v>
      </c>
      <c r="AH1305" s="0" t="n">
        <v>0</v>
      </c>
      <c r="AI1305" s="0" t="n">
        <v>3</v>
      </c>
    </row>
    <row r="1306" customFormat="false" ht="13.5" hidden="false" customHeight="false" outlineLevel="0" collapsed="false">
      <c r="D1306" s="34"/>
    </row>
    <row r="1307" customFormat="false" ht="13.5" hidden="false" customHeight="false" outlineLevel="0" collapsed="false">
      <c r="D1307" s="34"/>
    </row>
    <row r="1308" customFormat="false" ht="13.5" hidden="false" customHeight="false" outlineLevel="0" collapsed="false">
      <c r="D1308" s="34"/>
    </row>
    <row r="1309" customFormat="false" ht="13.5" hidden="false" customHeight="false" outlineLevel="0" collapsed="false">
      <c r="D1309" s="34"/>
    </row>
    <row r="1310" customFormat="false" ht="13.5" hidden="false" customHeight="false" outlineLevel="0" collapsed="false">
      <c r="D1310" s="34"/>
    </row>
    <row r="1311" customFormat="false" ht="13.5" hidden="false" customHeight="false" outlineLevel="0" collapsed="false">
      <c r="D1311" s="34"/>
    </row>
    <row r="1312" customFormat="false" ht="13.5" hidden="false" customHeight="false" outlineLevel="0" collapsed="false">
      <c r="D1312" s="34"/>
    </row>
    <row r="1313" customFormat="false" ht="13.5" hidden="false" customHeight="false" outlineLevel="0" collapsed="false">
      <c r="D1313" s="34"/>
    </row>
    <row r="1314" customFormat="false" ht="13.5" hidden="false" customHeight="false" outlineLevel="0" collapsed="false">
      <c r="D1314" s="34"/>
    </row>
    <row r="1315" customFormat="false" ht="13.5" hidden="false" customHeight="false" outlineLevel="0" collapsed="false">
      <c r="D1315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32" activePane="bottomLeft" state="frozen"/>
      <selection pane="topLeft" activeCell="A1" activeCellId="0" sqref="A1"/>
      <selection pane="bottomLeft" activeCell="A43" activeCellId="0" sqref="A43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4.9" hidden="false" customHeight="false" outlineLevel="0" collapsed="false">
      <c r="A1" s="17" t="s">
        <v>88</v>
      </c>
      <c r="B1" s="17" t="s">
        <v>284</v>
      </c>
      <c r="C1" s="17" t="s">
        <v>387</v>
      </c>
      <c r="D1" s="17" t="s">
        <v>388</v>
      </c>
      <c r="F1" s="11" t="s">
        <v>389</v>
      </c>
    </row>
    <row r="2" customFormat="false" ht="14.9" hidden="false" customHeight="false" outlineLevel="0" collapsed="false">
      <c r="A2" s="35" t="n">
        <v>2001</v>
      </c>
      <c r="B2" s="36" t="s">
        <v>93</v>
      </c>
      <c r="C2" s="37" t="n">
        <v>22768.52</v>
      </c>
      <c r="D2" s="37" t="n">
        <v>61.48</v>
      </c>
    </row>
    <row r="3" customFormat="false" ht="14.9" hidden="false" customHeight="false" outlineLevel="0" collapsed="false">
      <c r="A3" s="35" t="n">
        <v>2002</v>
      </c>
      <c r="B3" s="36" t="s">
        <v>96</v>
      </c>
      <c r="C3" s="37" t="n">
        <v>103203.75</v>
      </c>
      <c r="D3" s="37" t="n">
        <v>278.65</v>
      </c>
    </row>
    <row r="4" customFormat="false" ht="14.9" hidden="false" customHeight="false" outlineLevel="0" collapsed="false">
      <c r="A4" s="35" t="n">
        <v>2003</v>
      </c>
      <c r="B4" s="36" t="s">
        <v>99</v>
      </c>
      <c r="C4" s="37" t="n">
        <v>9808.79</v>
      </c>
      <c r="D4" s="37" t="n">
        <v>26.48</v>
      </c>
    </row>
    <row r="5" customFormat="false" ht="14.9" hidden="false" customHeight="false" outlineLevel="0" collapsed="false">
      <c r="A5" s="35" t="n">
        <v>2004</v>
      </c>
      <c r="B5" s="36" t="s">
        <v>102</v>
      </c>
      <c r="C5" s="37" t="n">
        <v>5004.6</v>
      </c>
      <c r="D5" s="37" t="n">
        <v>13.51</v>
      </c>
    </row>
    <row r="6" customFormat="false" ht="14.9" hidden="false" customHeight="false" outlineLevel="0" collapsed="false">
      <c r="A6" s="35" t="n">
        <v>2005</v>
      </c>
      <c r="B6" s="36" t="s">
        <v>105</v>
      </c>
      <c r="C6" s="37" t="n">
        <v>18036.9</v>
      </c>
      <c r="D6" s="37" t="n">
        <v>48.7</v>
      </c>
    </row>
    <row r="7" customFormat="false" ht="14.9" hidden="false" customHeight="false" outlineLevel="0" collapsed="false">
      <c r="A7" s="35" t="n">
        <v>2006</v>
      </c>
      <c r="B7" s="36" t="s">
        <v>107</v>
      </c>
      <c r="C7" s="37" t="n">
        <v>33428.3</v>
      </c>
      <c r="D7" s="37" t="n">
        <v>90.26</v>
      </c>
    </row>
    <row r="8" customFormat="false" ht="14.9" hidden="false" customHeight="false" outlineLevel="0" collapsed="false">
      <c r="A8" s="35" t="n">
        <v>2007</v>
      </c>
      <c r="B8" s="36" t="s">
        <v>109</v>
      </c>
      <c r="C8" s="37" t="n">
        <v>33811.43</v>
      </c>
      <c r="D8" s="37" t="n">
        <v>91.29</v>
      </c>
    </row>
    <row r="9" customFormat="false" ht="14.9" hidden="false" customHeight="false" outlineLevel="0" collapsed="false">
      <c r="A9" s="35" t="n">
        <v>2008</v>
      </c>
      <c r="B9" s="36" t="s">
        <v>111</v>
      </c>
      <c r="C9" s="37" t="n">
        <v>53118.64</v>
      </c>
      <c r="D9" s="37" t="n">
        <v>143.42</v>
      </c>
    </row>
    <row r="10" customFormat="false" ht="14.9" hidden="false" customHeight="false" outlineLevel="0" collapsed="false">
      <c r="A10" s="35" t="n">
        <v>2009</v>
      </c>
      <c r="B10" s="36" t="s">
        <v>113</v>
      </c>
      <c r="C10" s="37" t="n">
        <v>22410.18</v>
      </c>
      <c r="D10" s="37" t="n">
        <v>60.51</v>
      </c>
    </row>
    <row r="11" customFormat="false" ht="14.9" hidden="false" customHeight="false" outlineLevel="0" collapsed="false">
      <c r="A11" s="35" t="n">
        <v>2010</v>
      </c>
      <c r="B11" s="36" t="s">
        <v>115</v>
      </c>
      <c r="C11" s="37" t="n">
        <v>67547.35</v>
      </c>
      <c r="D11" s="37" t="n">
        <v>182.38</v>
      </c>
    </row>
    <row r="12" customFormat="false" ht="14.9" hidden="false" customHeight="false" outlineLevel="0" collapsed="false">
      <c r="A12" s="35" t="n">
        <v>2011</v>
      </c>
      <c r="B12" s="36" t="s">
        <v>117</v>
      </c>
      <c r="C12" s="37" t="n">
        <v>14193.02</v>
      </c>
      <c r="D12" s="37" t="n">
        <v>38.32</v>
      </c>
    </row>
    <row r="13" customFormat="false" ht="14.9" hidden="false" customHeight="false" outlineLevel="0" collapsed="false">
      <c r="A13" s="35" t="n">
        <v>2012</v>
      </c>
      <c r="B13" s="36" t="s">
        <v>119</v>
      </c>
      <c r="C13" s="37" t="n">
        <v>20343.83</v>
      </c>
      <c r="D13" s="37" t="n">
        <v>54.93</v>
      </c>
    </row>
    <row r="14" customFormat="false" ht="14.9" hidden="false" customHeight="false" outlineLevel="0" collapsed="false">
      <c r="A14" s="35" t="n">
        <v>2014</v>
      </c>
      <c r="B14" s="36" t="s">
        <v>121</v>
      </c>
      <c r="C14" s="37" t="n">
        <v>37186.78</v>
      </c>
      <c r="D14" s="37" t="n">
        <v>100.4</v>
      </c>
    </row>
    <row r="15" customFormat="false" ht="14.9" hidden="false" customHeight="false" outlineLevel="0" collapsed="false">
      <c r="A15" s="35" t="n">
        <v>2017</v>
      </c>
      <c r="B15" s="36" t="s">
        <v>125</v>
      </c>
      <c r="C15" s="37" t="n">
        <v>5265.59</v>
      </c>
      <c r="D15" s="37" t="n">
        <v>14.22</v>
      </c>
    </row>
    <row r="16" customFormat="false" ht="14.9" hidden="false" customHeight="false" outlineLevel="0" collapsed="false">
      <c r="A16" s="35" t="n">
        <v>2018</v>
      </c>
      <c r="B16" s="36" t="s">
        <v>127</v>
      </c>
      <c r="C16" s="37" t="n">
        <v>23834.39</v>
      </c>
      <c r="D16" s="37" t="n">
        <v>64.35</v>
      </c>
    </row>
    <row r="17" customFormat="false" ht="14.9" hidden="false" customHeight="false" outlineLevel="0" collapsed="false">
      <c r="A17" s="35" t="n">
        <v>2022</v>
      </c>
      <c r="B17" s="36" t="s">
        <v>129</v>
      </c>
      <c r="C17" s="37" t="n">
        <v>47975.88</v>
      </c>
      <c r="D17" s="37" t="n">
        <v>129.53</v>
      </c>
    </row>
    <row r="18" customFormat="false" ht="14.9" hidden="false" customHeight="false" outlineLevel="0" collapsed="false">
      <c r="A18" s="35" t="n">
        <v>2023</v>
      </c>
      <c r="B18" s="36" t="s">
        <v>131</v>
      </c>
      <c r="C18" s="37" t="n">
        <v>31791.54</v>
      </c>
      <c r="D18" s="37" t="n">
        <v>85.84</v>
      </c>
    </row>
    <row r="19" customFormat="false" ht="14.9" hidden="false" customHeight="false" outlineLevel="0" collapsed="false">
      <c r="A19" s="35" t="n">
        <v>2024</v>
      </c>
      <c r="B19" s="36" t="s">
        <v>133</v>
      </c>
      <c r="C19" s="37" t="n">
        <v>47887.5</v>
      </c>
      <c r="D19" s="37" t="n">
        <v>129.3</v>
      </c>
    </row>
    <row r="20" customFormat="false" ht="14.9" hidden="false" customHeight="false" outlineLevel="0" collapsed="false">
      <c r="A20" s="35" t="n">
        <v>2026</v>
      </c>
      <c r="B20" s="36" t="s">
        <v>135</v>
      </c>
      <c r="C20" s="37" t="n">
        <v>25243.96</v>
      </c>
      <c r="D20" s="37" t="n">
        <v>68.16</v>
      </c>
    </row>
    <row r="21" customFormat="false" ht="14.9" hidden="false" customHeight="false" outlineLevel="0" collapsed="false">
      <c r="A21" s="35" t="n">
        <v>2030</v>
      </c>
      <c r="B21" s="36" t="s">
        <v>137</v>
      </c>
      <c r="C21" s="37" t="n">
        <v>17060.49</v>
      </c>
      <c r="D21" s="37" t="n">
        <v>46.06</v>
      </c>
    </row>
    <row r="22" customFormat="false" ht="14.9" hidden="false" customHeight="false" outlineLevel="0" collapsed="false">
      <c r="A22" s="35" t="n">
        <v>2032</v>
      </c>
      <c r="B22" s="36" t="s">
        <v>139</v>
      </c>
      <c r="C22" s="37" t="n">
        <v>21568.27</v>
      </c>
      <c r="D22" s="37" t="n">
        <v>58.23</v>
      </c>
    </row>
    <row r="23" customFormat="false" ht="14.9" hidden="false" customHeight="false" outlineLevel="0" collapsed="false">
      <c r="A23" s="35" t="n">
        <v>2037</v>
      </c>
      <c r="B23" s="36" t="s">
        <v>143</v>
      </c>
      <c r="C23" s="37" t="n">
        <v>17503.44</v>
      </c>
      <c r="D23" s="37" t="n">
        <v>47.26</v>
      </c>
    </row>
    <row r="24" customFormat="false" ht="14.9" hidden="false" customHeight="false" outlineLevel="0" collapsed="false">
      <c r="A24" s="35" t="n">
        <v>2038</v>
      </c>
      <c r="B24" s="36" t="s">
        <v>145</v>
      </c>
      <c r="C24" s="37" t="n">
        <v>22645.69</v>
      </c>
      <c r="D24" s="37" t="n">
        <v>61.14</v>
      </c>
    </row>
    <row r="25" customFormat="false" ht="14.9" hidden="false" customHeight="false" outlineLevel="0" collapsed="false">
      <c r="A25" s="35" t="n">
        <v>2039</v>
      </c>
      <c r="B25" s="36" t="s">
        <v>147</v>
      </c>
      <c r="C25" s="37" t="n">
        <v>38038.03</v>
      </c>
      <c r="D25" s="37" t="n">
        <v>102.7</v>
      </c>
    </row>
    <row r="26" customFormat="false" ht="14.9" hidden="false" customHeight="false" outlineLevel="0" collapsed="false">
      <c r="A26" s="35" t="n">
        <v>2040</v>
      </c>
      <c r="B26" s="36" t="s">
        <v>149</v>
      </c>
      <c r="C26" s="37" t="n">
        <v>56152.95</v>
      </c>
      <c r="D26" s="37" t="n">
        <v>151.61</v>
      </c>
    </row>
    <row r="27" customFormat="false" ht="14.9" hidden="false" customHeight="false" outlineLevel="0" collapsed="false">
      <c r="A27" s="35" t="n">
        <v>2041</v>
      </c>
      <c r="B27" s="36" t="s">
        <v>151</v>
      </c>
      <c r="C27" s="37" t="n">
        <v>37722.67</v>
      </c>
      <c r="D27" s="37" t="n">
        <v>101.85</v>
      </c>
    </row>
    <row r="28" customFormat="false" ht="14.9" hidden="false" customHeight="false" outlineLevel="0" collapsed="false">
      <c r="A28" s="35" t="n">
        <v>2042</v>
      </c>
      <c r="B28" s="36" t="s">
        <v>153</v>
      </c>
      <c r="C28" s="37" t="n">
        <v>27558.97</v>
      </c>
      <c r="D28" s="37" t="n">
        <v>74.41</v>
      </c>
    </row>
    <row r="29" customFormat="false" ht="14.9" hidden="false" customHeight="false" outlineLevel="0" collapsed="false">
      <c r="A29" s="35" t="n">
        <v>2043</v>
      </c>
      <c r="B29" s="36" t="s">
        <v>155</v>
      </c>
      <c r="C29" s="37" t="n">
        <v>26420.44</v>
      </c>
      <c r="D29" s="37" t="n">
        <v>71.34</v>
      </c>
    </row>
    <row r="30" customFormat="false" ht="14.9" hidden="false" customHeight="false" outlineLevel="0" collapsed="false">
      <c r="A30" s="35" t="n">
        <v>2044</v>
      </c>
      <c r="B30" s="36" t="s">
        <v>157</v>
      </c>
      <c r="C30" s="37" t="n">
        <v>21046.77</v>
      </c>
      <c r="D30" s="37" t="n">
        <v>56.83</v>
      </c>
    </row>
    <row r="31" customFormat="false" ht="14.9" hidden="false" customHeight="false" outlineLevel="0" collapsed="false">
      <c r="A31" s="35" t="n">
        <v>2046</v>
      </c>
      <c r="B31" s="36" t="s">
        <v>159</v>
      </c>
      <c r="C31" s="37" t="n">
        <v>18997.38</v>
      </c>
      <c r="D31" s="37" t="n">
        <v>51.29</v>
      </c>
    </row>
    <row r="32" customFormat="false" ht="14.9" hidden="false" customHeight="false" outlineLevel="0" collapsed="false">
      <c r="A32" s="35" t="n">
        <v>2047</v>
      </c>
      <c r="B32" s="36" t="s">
        <v>161</v>
      </c>
      <c r="C32" s="37" t="n">
        <v>13233.32</v>
      </c>
      <c r="D32" s="37" t="n">
        <v>35.73</v>
      </c>
    </row>
    <row r="33" customFormat="false" ht="14.9" hidden="false" customHeight="false" outlineLevel="0" collapsed="false">
      <c r="A33" s="35" t="n">
        <v>2050</v>
      </c>
      <c r="B33" s="36" t="s">
        <v>163</v>
      </c>
      <c r="C33" s="37" t="n">
        <v>16136.43</v>
      </c>
      <c r="D33" s="37" t="n">
        <v>43.57</v>
      </c>
    </row>
    <row r="34" customFormat="false" ht="14.9" hidden="false" customHeight="false" outlineLevel="0" collapsed="false">
      <c r="A34" s="35" t="n">
        <v>2053</v>
      </c>
      <c r="B34" s="36" t="s">
        <v>165</v>
      </c>
      <c r="C34" s="37" t="n">
        <v>26318.19</v>
      </c>
      <c r="D34" s="37" t="n">
        <v>71.06</v>
      </c>
    </row>
    <row r="35" customFormat="false" ht="14.9" hidden="false" customHeight="false" outlineLevel="0" collapsed="false">
      <c r="A35" s="35" t="n">
        <v>2055</v>
      </c>
      <c r="B35" s="36" t="s">
        <v>167</v>
      </c>
      <c r="C35" s="37" t="n">
        <v>25494.12</v>
      </c>
      <c r="D35" s="37" t="n">
        <v>68.83</v>
      </c>
    </row>
    <row r="36" customFormat="false" ht="14.9" hidden="false" customHeight="false" outlineLevel="0" collapsed="false">
      <c r="A36" s="35" t="n">
        <v>2057</v>
      </c>
      <c r="B36" s="36" t="s">
        <v>169</v>
      </c>
      <c r="C36" s="37" t="n">
        <v>15145.85</v>
      </c>
      <c r="D36" s="37" t="n">
        <v>40.89</v>
      </c>
    </row>
    <row r="37" customFormat="false" ht="14.9" hidden="false" customHeight="false" outlineLevel="0" collapsed="false">
      <c r="A37" s="35" t="n">
        <v>2060</v>
      </c>
      <c r="B37" s="36" t="s">
        <v>171</v>
      </c>
      <c r="C37" s="37" t="n">
        <v>21838.73</v>
      </c>
      <c r="D37" s="37" t="n">
        <v>58.96</v>
      </c>
    </row>
    <row r="38" customFormat="false" ht="14.9" hidden="false" customHeight="false" outlineLevel="0" collapsed="false">
      <c r="A38" s="35" t="n">
        <v>2062</v>
      </c>
      <c r="B38" s="36" t="s">
        <v>173</v>
      </c>
      <c r="C38" s="37" t="n">
        <v>50548.02</v>
      </c>
      <c r="D38" s="37" t="n">
        <v>136.48</v>
      </c>
    </row>
    <row r="39" customFormat="false" ht="14.9" hidden="false" customHeight="false" outlineLevel="0" collapsed="false">
      <c r="A39" s="35" t="n">
        <v>2063</v>
      </c>
      <c r="B39" s="36" t="s">
        <v>175</v>
      </c>
      <c r="C39" s="37" t="n">
        <v>11689.01</v>
      </c>
      <c r="D39" s="37" t="n">
        <v>31.56</v>
      </c>
    </row>
    <row r="40" customFormat="false" ht="14.9" hidden="false" customHeight="false" outlineLevel="0" collapsed="false">
      <c r="A40" s="35" t="n">
        <v>2066</v>
      </c>
      <c r="B40" s="36" t="s">
        <v>179</v>
      </c>
      <c r="C40" s="37" t="n">
        <v>34268.58</v>
      </c>
      <c r="D40" s="37" t="n">
        <v>92.53</v>
      </c>
    </row>
    <row r="41" customFormat="false" ht="14.9" hidden="false" customHeight="false" outlineLevel="0" collapsed="false">
      <c r="A41" s="35" t="n">
        <v>2067</v>
      </c>
      <c r="B41" s="36" t="s">
        <v>181</v>
      </c>
      <c r="C41" s="37" t="n">
        <v>23675.18</v>
      </c>
      <c r="D41" s="37" t="n">
        <v>63.92</v>
      </c>
    </row>
    <row r="42" customFormat="false" ht="14.9" hidden="false" customHeight="false" outlineLevel="0" collapsed="false">
      <c r="A42" s="35" t="n">
        <v>2068</v>
      </c>
      <c r="B42" s="36" t="s">
        <v>183</v>
      </c>
      <c r="C42" s="37" t="n">
        <v>39370.79</v>
      </c>
      <c r="D42" s="37" t="n">
        <v>106.3</v>
      </c>
    </row>
    <row r="43" customFormat="false" ht="13.5" hidden="false" customHeight="false" outlineLevel="0" collapsed="false">
      <c r="A43" s="35"/>
      <c r="B43" s="35"/>
      <c r="C43" s="37"/>
      <c r="D43" s="37"/>
    </row>
    <row r="44" customFormat="false" ht="13.5" hidden="false" customHeight="false" outlineLevel="0" collapsed="false">
      <c r="A44" s="35"/>
      <c r="B44" s="35"/>
      <c r="C44" s="37"/>
      <c r="D44" s="37"/>
    </row>
    <row r="45" customFormat="false" ht="13.5" hidden="false" customHeight="false" outlineLevel="0" collapsed="false">
      <c r="A45" s="35"/>
      <c r="B45" s="35"/>
      <c r="C45" s="37"/>
      <c r="D45" s="37"/>
    </row>
    <row r="46" customFormat="false" ht="13.5" hidden="false" customHeight="false" outlineLevel="0" collapsed="false">
      <c r="A46" s="35"/>
      <c r="B46" s="35"/>
      <c r="C46" s="37"/>
      <c r="D46" s="37"/>
    </row>
    <row r="47" customFormat="false" ht="13.5" hidden="false" customHeight="false" outlineLevel="0" collapsed="false">
      <c r="A47" s="35"/>
      <c r="B47" s="35"/>
      <c r="C47" s="37"/>
      <c r="D47" s="37"/>
    </row>
    <row r="48" customFormat="false" ht="13.5" hidden="false" customHeight="false" outlineLevel="0" collapsed="false">
      <c r="A48" s="35"/>
      <c r="B48" s="35"/>
      <c r="C48" s="37"/>
      <c r="D48" s="37"/>
    </row>
    <row r="49" customFormat="false" ht="13.5" hidden="false" customHeight="false" outlineLevel="0" collapsed="false">
      <c r="A49" s="35"/>
      <c r="B49" s="35"/>
      <c r="C49" s="37"/>
      <c r="D49" s="37"/>
    </row>
    <row r="50" customFormat="false" ht="13.5" hidden="false" customHeight="false" outlineLevel="0" collapsed="false">
      <c r="A50" s="35"/>
      <c r="B50" s="35"/>
      <c r="C50" s="37"/>
      <c r="D50" s="37"/>
    </row>
    <row r="51" customFormat="false" ht="13.5" hidden="false" customHeight="false" outlineLevel="0" collapsed="false">
      <c r="A51" s="35"/>
      <c r="B51" s="35"/>
      <c r="C51" s="37"/>
      <c r="D51" s="37"/>
    </row>
    <row r="52" customFormat="false" ht="13.5" hidden="false" customHeight="false" outlineLevel="0" collapsed="false">
      <c r="A52" s="35"/>
      <c r="B52" s="35"/>
      <c r="C52" s="37"/>
      <c r="D52" s="37"/>
    </row>
    <row r="53" customFormat="false" ht="13.5" hidden="false" customHeight="false" outlineLevel="0" collapsed="false">
      <c r="A53" s="35"/>
      <c r="B53" s="35"/>
      <c r="C53" s="37"/>
      <c r="D53" s="37"/>
    </row>
    <row r="54" customFormat="false" ht="13.5" hidden="false" customHeight="false" outlineLevel="0" collapsed="false">
      <c r="A54" s="35"/>
      <c r="B54" s="35"/>
      <c r="C54" s="37"/>
      <c r="D54" s="37"/>
    </row>
    <row r="55" customFormat="false" ht="13.5" hidden="false" customHeight="false" outlineLevel="0" collapsed="false">
      <c r="A55" s="35"/>
      <c r="B55" s="35"/>
      <c r="C55" s="37"/>
      <c r="D55" s="37"/>
    </row>
    <row r="56" customFormat="false" ht="13.5" hidden="false" customHeight="false" outlineLevel="0" collapsed="false">
      <c r="A56" s="35"/>
      <c r="B56" s="35"/>
      <c r="C56" s="37"/>
      <c r="D56" s="37"/>
    </row>
    <row r="57" customFormat="false" ht="13.5" hidden="false" customHeight="false" outlineLevel="0" collapsed="false">
      <c r="A57" s="35"/>
      <c r="B57" s="35"/>
      <c r="C57" s="37"/>
      <c r="D57" s="37"/>
    </row>
    <row r="58" customFormat="false" ht="13.5" hidden="false" customHeight="false" outlineLevel="0" collapsed="false">
      <c r="A58" s="35"/>
      <c r="B58" s="35"/>
      <c r="C58" s="37"/>
      <c r="D58" s="37"/>
    </row>
    <row r="59" customFormat="false" ht="13.5" hidden="false" customHeight="false" outlineLevel="0" collapsed="false">
      <c r="A59" s="35"/>
      <c r="B59" s="35"/>
      <c r="C59" s="37"/>
      <c r="D59" s="37"/>
    </row>
    <row r="60" customFormat="false" ht="13.5" hidden="false" customHeight="false" outlineLevel="0" collapsed="false">
      <c r="A60" s="35"/>
      <c r="B60" s="35"/>
      <c r="C60" s="37"/>
      <c r="D60" s="37"/>
    </row>
    <row r="61" customFormat="false" ht="13.5" hidden="false" customHeight="false" outlineLevel="0" collapsed="false">
      <c r="A61" s="35"/>
      <c r="B61" s="35"/>
      <c r="C61" s="37"/>
      <c r="D61" s="37"/>
    </row>
    <row r="62" customFormat="false" ht="13.5" hidden="false" customHeight="false" outlineLevel="0" collapsed="false">
      <c r="A62" s="35"/>
      <c r="B62" s="35"/>
      <c r="C62" s="37"/>
      <c r="D62" s="37"/>
    </row>
    <row r="63" customFormat="false" ht="13.5" hidden="false" customHeight="false" outlineLevel="0" collapsed="false">
      <c r="A63" s="35"/>
      <c r="B63" s="35"/>
      <c r="C63" s="37"/>
      <c r="D63" s="37"/>
    </row>
    <row r="64" customFormat="false" ht="13.5" hidden="false" customHeight="false" outlineLevel="0" collapsed="false">
      <c r="A64" s="35"/>
      <c r="B64" s="35"/>
      <c r="C64" s="37"/>
      <c r="D64" s="37"/>
    </row>
    <row r="65" customFormat="false" ht="13.5" hidden="false" customHeight="false" outlineLevel="0" collapsed="false">
      <c r="A65" s="35"/>
      <c r="B65" s="35"/>
      <c r="C65" s="37"/>
      <c r="D65" s="37"/>
    </row>
    <row r="66" customFormat="false" ht="13.5" hidden="false" customHeight="false" outlineLevel="0" collapsed="false">
      <c r="A66" s="35"/>
      <c r="B66" s="35"/>
      <c r="C66" s="37"/>
      <c r="D66" s="37"/>
    </row>
    <row r="67" customFormat="false" ht="13.5" hidden="false" customHeight="false" outlineLevel="0" collapsed="false">
      <c r="A67" s="35"/>
      <c r="B67" s="35"/>
      <c r="C67" s="37"/>
      <c r="D67" s="37"/>
    </row>
    <row r="68" customFormat="false" ht="13.5" hidden="false" customHeight="false" outlineLevel="0" collapsed="false">
      <c r="A68" s="35"/>
      <c r="B68" s="35"/>
      <c r="C68" s="37"/>
      <c r="D68" s="37"/>
    </row>
    <row r="69" customFormat="false" ht="13.5" hidden="false" customHeight="false" outlineLevel="0" collapsed="false">
      <c r="A69" s="35"/>
      <c r="B69" s="35"/>
      <c r="C69" s="37"/>
      <c r="D69" s="37"/>
    </row>
    <row r="70" customFormat="false" ht="13.5" hidden="false" customHeight="false" outlineLevel="0" collapsed="false">
      <c r="A70" s="35"/>
      <c r="B70" s="35"/>
      <c r="C70" s="37"/>
      <c r="D70" s="37"/>
    </row>
    <row r="71" customFormat="false" ht="13.5" hidden="false" customHeight="false" outlineLevel="0" collapsed="false">
      <c r="A71" s="35"/>
      <c r="B71" s="35"/>
      <c r="C71" s="37"/>
      <c r="D71" s="37"/>
    </row>
    <row r="72" customFormat="false" ht="13.5" hidden="false" customHeight="false" outlineLevel="0" collapsed="false">
      <c r="A72" s="35"/>
      <c r="B72" s="35"/>
      <c r="C72" s="37"/>
      <c r="D72" s="37"/>
    </row>
    <row r="73" customFormat="false" ht="13.5" hidden="false" customHeight="false" outlineLevel="0" collapsed="false">
      <c r="A73" s="35"/>
      <c r="B73" s="35"/>
      <c r="C73" s="37"/>
      <c r="D73" s="37"/>
    </row>
    <row r="74" customFormat="false" ht="13.5" hidden="false" customHeight="false" outlineLevel="0" collapsed="false">
      <c r="A74" s="35"/>
      <c r="B74" s="35"/>
      <c r="C74" s="37"/>
      <c r="D74" s="37"/>
    </row>
    <row r="75" customFormat="false" ht="13.5" hidden="false" customHeight="false" outlineLevel="0" collapsed="false">
      <c r="A75" s="35"/>
      <c r="B75" s="35"/>
      <c r="C75" s="37"/>
      <c r="D75" s="37"/>
    </row>
    <row r="76" customFormat="false" ht="13.5" hidden="false" customHeight="false" outlineLevel="0" collapsed="false">
      <c r="A76" s="35"/>
      <c r="B76" s="35"/>
      <c r="C76" s="37"/>
      <c r="D76" s="37"/>
    </row>
    <row r="77" customFormat="false" ht="13.5" hidden="false" customHeight="false" outlineLevel="0" collapsed="false">
      <c r="A77" s="35"/>
      <c r="B77" s="35"/>
      <c r="C77" s="37"/>
      <c r="D77" s="37"/>
    </row>
    <row r="78" customFormat="false" ht="13.5" hidden="false" customHeight="false" outlineLevel="0" collapsed="false">
      <c r="A78" s="35"/>
      <c r="B78" s="35"/>
      <c r="C78" s="37"/>
      <c r="D78" s="37"/>
    </row>
    <row r="79" customFormat="false" ht="13.5" hidden="false" customHeight="false" outlineLevel="0" collapsed="false">
      <c r="A79" s="35"/>
      <c r="B79" s="35"/>
      <c r="C79" s="37"/>
      <c r="D79" s="37"/>
    </row>
    <row r="80" customFormat="false" ht="13.5" hidden="false" customHeight="false" outlineLevel="0" collapsed="false">
      <c r="A80" s="35"/>
      <c r="B80" s="35"/>
      <c r="C80" s="37"/>
      <c r="D80" s="37"/>
    </row>
    <row r="81" customFormat="false" ht="13.5" hidden="false" customHeight="false" outlineLevel="0" collapsed="false">
      <c r="A81" s="35"/>
      <c r="B81" s="35"/>
      <c r="C81" s="37"/>
      <c r="D81" s="37"/>
    </row>
    <row r="82" customFormat="false" ht="13.5" hidden="false" customHeight="false" outlineLevel="0" collapsed="false">
      <c r="A82" s="35"/>
      <c r="B82" s="35"/>
      <c r="C82" s="37"/>
      <c r="D82" s="37"/>
    </row>
    <row r="83" customFormat="false" ht="13.5" hidden="false" customHeight="false" outlineLevel="0" collapsed="false">
      <c r="A83" s="35"/>
      <c r="B83" s="35"/>
      <c r="C83" s="37"/>
      <c r="D83" s="37"/>
    </row>
    <row r="84" customFormat="false" ht="13.5" hidden="false" customHeight="false" outlineLevel="0" collapsed="false">
      <c r="A84" s="35"/>
      <c r="B84" s="35"/>
      <c r="C84" s="37"/>
      <c r="D84" s="37"/>
    </row>
    <row r="85" customFormat="false" ht="13.5" hidden="false" customHeight="false" outlineLevel="0" collapsed="false">
      <c r="A85" s="35"/>
      <c r="B85" s="35"/>
      <c r="C85" s="37"/>
      <c r="D85" s="37"/>
    </row>
    <row r="86" customFormat="false" ht="13.5" hidden="false" customHeight="false" outlineLevel="0" collapsed="false">
      <c r="A86" s="35"/>
      <c r="B86" s="35"/>
      <c r="C86" s="37"/>
      <c r="D86" s="37"/>
    </row>
    <row r="87" customFormat="false" ht="13.5" hidden="false" customHeight="false" outlineLevel="0" collapsed="false">
      <c r="A87" s="35"/>
      <c r="B87" s="35"/>
      <c r="C87" s="37"/>
      <c r="D87" s="37"/>
    </row>
    <row r="88" customFormat="false" ht="13.5" hidden="false" customHeight="false" outlineLevel="0" collapsed="false">
      <c r="A88" s="35"/>
      <c r="B88" s="35"/>
      <c r="C88" s="37"/>
      <c r="D88" s="37"/>
    </row>
    <row r="89" customFormat="false" ht="13.5" hidden="false" customHeight="false" outlineLevel="0" collapsed="false">
      <c r="A89" s="35"/>
      <c r="B89" s="35"/>
      <c r="C89" s="37"/>
      <c r="D89" s="37"/>
    </row>
    <row r="90" customFormat="false" ht="13.5" hidden="false" customHeight="false" outlineLevel="0" collapsed="false">
      <c r="A90" s="35"/>
      <c r="B90" s="35"/>
      <c r="C90" s="37"/>
      <c r="D90" s="37"/>
    </row>
    <row r="91" customFormat="false" ht="13.5" hidden="false" customHeight="false" outlineLevel="0" collapsed="false">
      <c r="A91" s="35"/>
      <c r="B91" s="35"/>
      <c r="C91" s="37"/>
      <c r="D91" s="37"/>
    </row>
    <row r="92" customFormat="false" ht="13.5" hidden="false" customHeight="false" outlineLevel="0" collapsed="false">
      <c r="A92" s="35"/>
      <c r="B92" s="35"/>
      <c r="C92" s="37"/>
      <c r="D92" s="37"/>
    </row>
    <row r="93" customFormat="false" ht="13.5" hidden="false" customHeight="false" outlineLevel="0" collapsed="false">
      <c r="A93" s="35"/>
      <c r="B93" s="35"/>
      <c r="C93" s="37"/>
      <c r="D93" s="37"/>
    </row>
    <row r="94" customFormat="false" ht="13.5" hidden="false" customHeight="false" outlineLevel="0" collapsed="false">
      <c r="A94" s="35"/>
      <c r="B94" s="35"/>
      <c r="C94" s="37"/>
      <c r="D94" s="37"/>
    </row>
    <row r="95" customFormat="false" ht="13.5" hidden="false" customHeight="false" outlineLevel="0" collapsed="false">
      <c r="A95" s="35"/>
      <c r="B95" s="35"/>
      <c r="C95" s="37"/>
      <c r="D95" s="37"/>
    </row>
    <row r="96" customFormat="false" ht="13.5" hidden="false" customHeight="false" outlineLevel="0" collapsed="false">
      <c r="A96" s="35"/>
      <c r="B96" s="35"/>
      <c r="C96" s="37"/>
      <c r="D96" s="37"/>
    </row>
    <row r="97" customFormat="false" ht="13.5" hidden="false" customHeight="false" outlineLevel="0" collapsed="false">
      <c r="A97" s="35"/>
      <c r="B97" s="35"/>
      <c r="C97" s="37"/>
      <c r="D97" s="37"/>
    </row>
    <row r="98" customFormat="false" ht="13.5" hidden="false" customHeight="false" outlineLevel="0" collapsed="false">
      <c r="A98" s="35"/>
      <c r="B98" s="35"/>
      <c r="C98" s="37"/>
      <c r="D98" s="37"/>
    </row>
    <row r="99" customFormat="false" ht="13.5" hidden="false" customHeight="false" outlineLevel="0" collapsed="false">
      <c r="A99" s="35"/>
      <c r="B99" s="35"/>
      <c r="C99" s="37"/>
      <c r="D99" s="37"/>
    </row>
    <row r="100" customFormat="false" ht="13.5" hidden="false" customHeight="false" outlineLevel="0" collapsed="false">
      <c r="A100" s="35"/>
      <c r="B100" s="35"/>
      <c r="C100" s="37"/>
      <c r="D100" s="37"/>
    </row>
    <row r="101" customFormat="false" ht="13.5" hidden="false" customHeight="false" outlineLevel="0" collapsed="false">
      <c r="A101" s="35"/>
      <c r="B101" s="35"/>
      <c r="C101" s="37"/>
      <c r="D101" s="37"/>
    </row>
    <row r="102" customFormat="false" ht="13.5" hidden="false" customHeight="false" outlineLevel="0" collapsed="false">
      <c r="A102" s="35"/>
      <c r="B102" s="35"/>
      <c r="C102" s="37"/>
      <c r="D102" s="37"/>
    </row>
    <row r="103" customFormat="false" ht="13.5" hidden="false" customHeight="false" outlineLevel="0" collapsed="false">
      <c r="A103" s="35"/>
      <c r="B103" s="35"/>
      <c r="C103" s="37"/>
      <c r="D103" s="37"/>
    </row>
    <row r="104" customFormat="false" ht="13.5" hidden="false" customHeight="false" outlineLevel="0" collapsed="false">
      <c r="A104" s="35"/>
      <c r="B104" s="35"/>
      <c r="C104" s="37"/>
      <c r="D104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1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27" hidden="false" customHeight="true" outlineLevel="0" collapsed="false">
      <c r="A1" s="17" t="s">
        <v>88</v>
      </c>
      <c r="B1" s="17" t="s">
        <v>390</v>
      </c>
      <c r="C1" s="17" t="s">
        <v>391</v>
      </c>
      <c r="D1" s="17" t="s">
        <v>392</v>
      </c>
      <c r="E1" s="17" t="s">
        <v>393</v>
      </c>
      <c r="F1" s="17" t="s">
        <v>394</v>
      </c>
      <c r="H1" s="18" t="s">
        <v>395</v>
      </c>
    </row>
    <row r="2" customFormat="false" ht="13.5" hidden="false" customHeight="false" outlineLevel="0" collapsed="false">
      <c r="A2" s="35"/>
      <c r="B2" s="35"/>
      <c r="C2" s="37"/>
      <c r="D2" s="15" t="str">
        <f aca="false">IF(OR($A2="",$B2=""),"",ROUND(IFERROR(INDEX(海典汇总!$C$3:$AE$67,MATCH($A2,海典汇总!$A$3:$A$67,0),MATCH(INDEX(科目对照收入!$F$2:$F$23,MATCH($B2,科目对照收入!$B$2:$B$23,0)),海典汇总!$C$1:$AE$1,0)),0)+IFERROR(INDEX(海典汇总!$C$3:$AE$67,MATCH($A2,海典汇总!$A$3:$A$67,0),MATCH(INDEX(科目对照收入!$G$2:$G$23,MATCH($B2,科目对照收入!$B$2:$B$23,0)),海典汇总!$C$1:$AE$1,0)),0)+IFERROR(INDEX(海典汇总!$C$3:$AE$67,MATCH($A2,海典汇总!$A$3:$A$67,0),MATCH(INDEX(科目对照收入!$H$2:$H$23,MATCH($B2,科目对照收入!$B$2:$B$23,0)),海典汇总!$C$1:$AE$1,0)),0),2))</f>
        <v/>
      </c>
      <c r="E2" s="15" t="str">
        <f aca="false">IF($D2="","",ROUND($C2-$D2,2))</f>
        <v/>
      </c>
      <c r="F2" s="38" t="str">
        <f aca="false">IF($A2&amp;$B2="","",IF(COUNTIF(门店对照!$A$2:$A$66,$A2)=0,"× 门店编码不对",IF(COUNTIF(科目对照收入!$B$2:$B$23,$B2)=0,"× 渠道名不对",IF(INDEX(科目对照收入!$E$2:$E$23,MATCH($B2,科目对照收入!$B$2:$B$23,0))&lt;&gt;"平台优先","× 该项目不按平台金额",IF(COUNTIFS($A$2:$A$601,$A2,$B$2:$B$601,$B2)&gt;1,"× 同店同渠道重复","√")))))</f>
        <v/>
      </c>
      <c r="H2" s="11" t="s">
        <v>396</v>
      </c>
    </row>
    <row r="3" customFormat="false" ht="13.5" hidden="false" customHeight="false" outlineLevel="0" collapsed="false">
      <c r="A3" s="35"/>
      <c r="B3" s="35"/>
      <c r="C3" s="37"/>
      <c r="D3" s="15" t="str">
        <f aca="false">IF(OR($A3="",$B3=""),"",ROUND(IFERROR(INDEX(海典汇总!$C$3:$AE$67,MATCH($A3,海典汇总!$A$3:$A$67,0),MATCH(INDEX(科目对照收入!$F$2:$F$23,MATCH($B3,科目对照收入!$B$2:$B$23,0)),海典汇总!$C$1:$AE$1,0)),0)+IFERROR(INDEX(海典汇总!$C$3:$AE$67,MATCH($A3,海典汇总!$A$3:$A$67,0),MATCH(INDEX(科目对照收入!$G$2:$G$23,MATCH($B3,科目对照收入!$B$2:$B$23,0)),海典汇总!$C$1:$AE$1,0)),0)+IFERROR(INDEX(海典汇总!$C$3:$AE$67,MATCH($A3,海典汇总!$A$3:$A$67,0),MATCH(INDEX(科目对照收入!$H$2:$H$23,MATCH($B3,科目对照收入!$B$2:$B$23,0)),海典汇总!$C$1:$AE$1,0)),0),2))</f>
        <v/>
      </c>
      <c r="E3" s="15" t="str">
        <f aca="false">IF($D3="","",ROUND($C3-$D3,2))</f>
        <v/>
      </c>
      <c r="F3" s="38" t="str">
        <f aca="false">IF($A3&amp;$B3="","",IF(COUNTIF(门店对照!$A$2:$A$66,$A3)=0,"× 门店编码不对",IF(COUNTIF(科目对照收入!$B$2:$B$23,$B3)=0,"× 渠道名不对",IF(INDEX(科目对照收入!$E$2:$E$23,MATCH($B3,科目对照收入!$B$2:$B$23,0))&lt;&gt;"平台优先","× 该项目不按平台金额",IF(COUNTIFS($A$2:$A$601,$A3,$B$2:$B$601,$B3)&gt;1,"× 同店同渠道重复","√")))))</f>
        <v/>
      </c>
      <c r="H3" s="11" t="s">
        <v>397</v>
      </c>
    </row>
    <row r="4" customFormat="false" ht="13.5" hidden="false" customHeight="false" outlineLevel="0" collapsed="false">
      <c r="A4" s="35"/>
      <c r="B4" s="35"/>
      <c r="C4" s="37"/>
      <c r="D4" s="15" t="str">
        <f aca="false">IF(OR($A4="",$B4=""),"",ROUND(IFERROR(INDEX(海典汇总!$C$3:$AE$67,MATCH($A4,海典汇总!$A$3:$A$67,0),MATCH(INDEX(科目对照收入!$F$2:$F$23,MATCH($B4,科目对照收入!$B$2:$B$23,0)),海典汇总!$C$1:$AE$1,0)),0)+IFERROR(INDEX(海典汇总!$C$3:$AE$67,MATCH($A4,海典汇总!$A$3:$A$67,0),MATCH(INDEX(科目对照收入!$G$2:$G$23,MATCH($B4,科目对照收入!$B$2:$B$23,0)),海典汇总!$C$1:$AE$1,0)),0)+IFERROR(INDEX(海典汇总!$C$3:$AE$67,MATCH($A4,海典汇总!$A$3:$A$67,0),MATCH(INDEX(科目对照收入!$H$2:$H$23,MATCH($B4,科目对照收入!$B$2:$B$23,0)),海典汇总!$C$1:$AE$1,0)),0),2))</f>
        <v/>
      </c>
      <c r="E4" s="15" t="str">
        <f aca="false">IF($D4="","",ROUND($C4-$D4,2))</f>
        <v/>
      </c>
      <c r="F4" s="38" t="str">
        <f aca="false">IF($A4&amp;$B4="","",IF(COUNTIF(门店对照!$A$2:$A$66,$A4)=0,"× 门店编码不对",IF(COUNTIF(科目对照收入!$B$2:$B$23,$B4)=0,"× 渠道名不对",IF(INDEX(科目对照收入!$E$2:$E$23,MATCH($B4,科目对照收入!$B$2:$B$23,0))&lt;&gt;"平台优先","× 该项目不按平台金额",IF(COUNTIFS($A$2:$A$601,$A4,$B$2:$B$601,$B4)&gt;1,"× 同店同渠道重复","√")))))</f>
        <v/>
      </c>
      <c r="H4" s="11" t="s">
        <v>398</v>
      </c>
    </row>
    <row r="5" customFormat="false" ht="13.5" hidden="false" customHeight="false" outlineLevel="0" collapsed="false">
      <c r="A5" s="35"/>
      <c r="B5" s="35"/>
      <c r="C5" s="37"/>
      <c r="D5" s="15" t="str">
        <f aca="false">IF(OR($A5="",$B5=""),"",ROUND(IFERROR(INDEX(海典汇总!$C$3:$AE$67,MATCH($A5,海典汇总!$A$3:$A$67,0),MATCH(INDEX(科目对照收入!$F$2:$F$23,MATCH($B5,科目对照收入!$B$2:$B$23,0)),海典汇总!$C$1:$AE$1,0)),0)+IFERROR(INDEX(海典汇总!$C$3:$AE$67,MATCH($A5,海典汇总!$A$3:$A$67,0),MATCH(INDEX(科目对照收入!$G$2:$G$23,MATCH($B5,科目对照收入!$B$2:$B$23,0)),海典汇总!$C$1:$AE$1,0)),0)+IFERROR(INDEX(海典汇总!$C$3:$AE$67,MATCH($A5,海典汇总!$A$3:$A$67,0),MATCH(INDEX(科目对照收入!$H$2:$H$23,MATCH($B5,科目对照收入!$B$2:$B$23,0)),海典汇总!$C$1:$AE$1,0)),0),2))</f>
        <v/>
      </c>
      <c r="E5" s="15" t="str">
        <f aca="false">IF($D5="","",ROUND($C5-$D5,2))</f>
        <v/>
      </c>
      <c r="F5" s="38" t="str">
        <f aca="false">IF($A5&amp;$B5="","",IF(COUNTIF(门店对照!$A$2:$A$66,$A5)=0,"× 门店编码不对",IF(COUNTIF(科目对照收入!$B$2:$B$23,$B5)=0,"× 渠道名不对",IF(INDEX(科目对照收入!$E$2:$E$23,MATCH($B5,科目对照收入!$B$2:$B$23,0))&lt;&gt;"平台优先","× 该项目不按平台金额",IF(COUNTIFS($A$2:$A$601,$A5,$B$2:$B$601,$B5)&gt;1,"× 同店同渠道重复","√")))))</f>
        <v/>
      </c>
      <c r="H5" s="11" t="s">
        <v>399</v>
      </c>
    </row>
    <row r="6" customFormat="false" ht="13.5" hidden="false" customHeight="false" outlineLevel="0" collapsed="false">
      <c r="A6" s="35"/>
      <c r="B6" s="35"/>
      <c r="C6" s="37"/>
      <c r="D6" s="15" t="str">
        <f aca="false">IF(OR($A6="",$B6=""),"",ROUND(IFERROR(INDEX(海典汇总!$C$3:$AE$67,MATCH($A6,海典汇总!$A$3:$A$67,0),MATCH(INDEX(科目对照收入!$F$2:$F$23,MATCH($B6,科目对照收入!$B$2:$B$23,0)),海典汇总!$C$1:$AE$1,0)),0)+IFERROR(INDEX(海典汇总!$C$3:$AE$67,MATCH($A6,海典汇总!$A$3:$A$67,0),MATCH(INDEX(科目对照收入!$G$2:$G$23,MATCH($B6,科目对照收入!$B$2:$B$23,0)),海典汇总!$C$1:$AE$1,0)),0)+IFERROR(INDEX(海典汇总!$C$3:$AE$67,MATCH($A6,海典汇总!$A$3:$A$67,0),MATCH(INDEX(科目对照收入!$H$2:$H$23,MATCH($B6,科目对照收入!$B$2:$B$23,0)),海典汇总!$C$1:$AE$1,0)),0),2))</f>
        <v/>
      </c>
      <c r="E6" s="15" t="str">
        <f aca="false">IF($D6="","",ROUND($C6-$D6,2))</f>
        <v/>
      </c>
      <c r="F6" s="38" t="str">
        <f aca="false">IF($A6&amp;$B6="","",IF(COUNTIF(门店对照!$A$2:$A$66,$A6)=0,"× 门店编码不对",IF(COUNTIF(科目对照收入!$B$2:$B$23,$B6)=0,"× 渠道名不对",IF(INDEX(科目对照收入!$E$2:$E$23,MATCH($B6,科目对照收入!$B$2:$B$23,0))&lt;&gt;"平台优先","× 该项目不按平台金额",IF(COUNTIFS($A$2:$A$601,$A6,$B$2:$B$601,$B6)&gt;1,"× 同店同渠道重复","√")))))</f>
        <v/>
      </c>
      <c r="H6" s="11" t="s">
        <v>400</v>
      </c>
    </row>
    <row r="7" customFormat="false" ht="13.5" hidden="false" customHeight="false" outlineLevel="0" collapsed="false">
      <c r="A7" s="35"/>
      <c r="B7" s="35"/>
      <c r="C7" s="37"/>
      <c r="D7" s="15" t="str">
        <f aca="false">IF(OR($A7="",$B7=""),"",ROUND(IFERROR(INDEX(海典汇总!$C$3:$AE$67,MATCH($A7,海典汇总!$A$3:$A$67,0),MATCH(INDEX(科目对照收入!$F$2:$F$23,MATCH($B7,科目对照收入!$B$2:$B$23,0)),海典汇总!$C$1:$AE$1,0)),0)+IFERROR(INDEX(海典汇总!$C$3:$AE$67,MATCH($A7,海典汇总!$A$3:$A$67,0),MATCH(INDEX(科目对照收入!$G$2:$G$23,MATCH($B7,科目对照收入!$B$2:$B$23,0)),海典汇总!$C$1:$AE$1,0)),0)+IFERROR(INDEX(海典汇总!$C$3:$AE$67,MATCH($A7,海典汇总!$A$3:$A$67,0),MATCH(INDEX(科目对照收入!$H$2:$H$23,MATCH($B7,科目对照收入!$B$2:$B$23,0)),海典汇总!$C$1:$AE$1,0)),0),2))</f>
        <v/>
      </c>
      <c r="E7" s="15" t="str">
        <f aca="false">IF($D7="","",ROUND($C7-$D7,2))</f>
        <v/>
      </c>
      <c r="F7" s="38" t="str">
        <f aca="false">IF($A7&amp;$B7="","",IF(COUNTIF(门店对照!$A$2:$A$66,$A7)=0,"× 门店编码不对",IF(COUNTIF(科目对照收入!$B$2:$B$23,$B7)=0,"× 渠道名不对",IF(INDEX(科目对照收入!$E$2:$E$23,MATCH($B7,科目对照收入!$B$2:$B$23,0))&lt;&gt;"平台优先","× 该项目不按平台金额",IF(COUNTIFS($A$2:$A$601,$A7,$B$2:$B$601,$B7)&gt;1,"× 同店同渠道重复","√")))))</f>
        <v/>
      </c>
    </row>
    <row r="8" customFormat="false" ht="13.5" hidden="false" customHeight="false" outlineLevel="0" collapsed="false">
      <c r="A8" s="35"/>
      <c r="B8" s="35"/>
      <c r="C8" s="37"/>
      <c r="D8" s="15" t="str">
        <f aca="false">IF(OR($A8="",$B8=""),"",ROUND(IFERROR(INDEX(海典汇总!$C$3:$AE$67,MATCH($A8,海典汇总!$A$3:$A$67,0),MATCH(INDEX(科目对照收入!$F$2:$F$23,MATCH($B8,科目对照收入!$B$2:$B$23,0)),海典汇总!$C$1:$AE$1,0)),0)+IFERROR(INDEX(海典汇总!$C$3:$AE$67,MATCH($A8,海典汇总!$A$3:$A$67,0),MATCH(INDEX(科目对照收入!$G$2:$G$23,MATCH($B8,科目对照收入!$B$2:$B$23,0)),海典汇总!$C$1:$AE$1,0)),0)+IFERROR(INDEX(海典汇总!$C$3:$AE$67,MATCH($A8,海典汇总!$A$3:$A$67,0),MATCH(INDEX(科目对照收入!$H$2:$H$23,MATCH($B8,科目对照收入!$B$2:$B$23,0)),海典汇总!$C$1:$AE$1,0)),0),2))</f>
        <v/>
      </c>
      <c r="E8" s="15" t="str">
        <f aca="false">IF($D8="","",ROUND($C8-$D8,2))</f>
        <v/>
      </c>
      <c r="F8" s="38" t="str">
        <f aca="false">IF($A8&amp;$B8="","",IF(COUNTIF(门店对照!$A$2:$A$66,$A8)=0,"× 门店编码不对",IF(COUNTIF(科目对照收入!$B$2:$B$23,$B8)=0,"× 渠道名不对",IF(INDEX(科目对照收入!$E$2:$E$23,MATCH($B8,科目对照收入!$B$2:$B$23,0))&lt;&gt;"平台优先","× 该项目不按平台金额",IF(COUNTIFS($A$2:$A$601,$A8,$B$2:$B$601,$B8)&gt;1,"× 同店同渠道重复","√")))))</f>
        <v/>
      </c>
    </row>
    <row r="9" customFormat="false" ht="13.5" hidden="false" customHeight="false" outlineLevel="0" collapsed="false">
      <c r="A9" s="35"/>
      <c r="B9" s="35"/>
      <c r="C9" s="37"/>
      <c r="D9" s="15" t="str">
        <f aca="false">IF(OR($A9="",$B9=""),"",ROUND(IFERROR(INDEX(海典汇总!$C$3:$AE$67,MATCH($A9,海典汇总!$A$3:$A$67,0),MATCH(INDEX(科目对照收入!$F$2:$F$23,MATCH($B9,科目对照收入!$B$2:$B$23,0)),海典汇总!$C$1:$AE$1,0)),0)+IFERROR(INDEX(海典汇总!$C$3:$AE$67,MATCH($A9,海典汇总!$A$3:$A$67,0),MATCH(INDEX(科目对照收入!$G$2:$G$23,MATCH($B9,科目对照收入!$B$2:$B$23,0)),海典汇总!$C$1:$AE$1,0)),0)+IFERROR(INDEX(海典汇总!$C$3:$AE$67,MATCH($A9,海典汇总!$A$3:$A$67,0),MATCH(INDEX(科目对照收入!$H$2:$H$23,MATCH($B9,科目对照收入!$B$2:$B$23,0)),海典汇总!$C$1:$AE$1,0)),0),2))</f>
        <v/>
      </c>
      <c r="E9" s="15" t="str">
        <f aca="false">IF($D9="","",ROUND($C9-$D9,2))</f>
        <v/>
      </c>
      <c r="F9" s="38" t="str">
        <f aca="false">IF($A9&amp;$B9="","",IF(COUNTIF(门店对照!$A$2:$A$66,$A9)=0,"× 门店编码不对",IF(COUNTIF(科目对照收入!$B$2:$B$23,$B9)=0,"× 渠道名不对",IF(INDEX(科目对照收入!$E$2:$E$23,MATCH($B9,科目对照收入!$B$2:$B$23,0))&lt;&gt;"平台优先","× 该项目不按平台金额",IF(COUNTIFS($A$2:$A$601,$A9,$B$2:$B$601,$B9)&gt;1,"× 同店同渠道重复","√")))))</f>
        <v/>
      </c>
    </row>
    <row r="10" customFormat="false" ht="13.5" hidden="false" customHeight="false" outlineLevel="0" collapsed="false">
      <c r="A10" s="35"/>
      <c r="B10" s="35"/>
      <c r="C10" s="37"/>
      <c r="D10" s="15" t="str">
        <f aca="false">IF(OR($A10="",$B10=""),"",ROUND(IFERROR(INDEX(海典汇总!$C$3:$AE$67,MATCH($A10,海典汇总!$A$3:$A$67,0),MATCH(INDEX(科目对照收入!$F$2:$F$23,MATCH($B10,科目对照收入!$B$2:$B$23,0)),海典汇总!$C$1:$AE$1,0)),0)+IFERROR(INDEX(海典汇总!$C$3:$AE$67,MATCH($A10,海典汇总!$A$3:$A$67,0),MATCH(INDEX(科目对照收入!$G$2:$G$23,MATCH($B10,科目对照收入!$B$2:$B$23,0)),海典汇总!$C$1:$AE$1,0)),0)+IFERROR(INDEX(海典汇总!$C$3:$AE$67,MATCH($A10,海典汇总!$A$3:$A$67,0),MATCH(INDEX(科目对照收入!$H$2:$H$23,MATCH($B10,科目对照收入!$B$2:$B$23,0)),海典汇总!$C$1:$AE$1,0)),0),2))</f>
        <v/>
      </c>
      <c r="E10" s="15" t="str">
        <f aca="false">IF($D10="","",ROUND($C10-$D10,2))</f>
        <v/>
      </c>
      <c r="F10" s="38" t="str">
        <f aca="false">IF($A10&amp;$B10="","",IF(COUNTIF(门店对照!$A$2:$A$66,$A10)=0,"× 门店编码不对",IF(COUNTIF(科目对照收入!$B$2:$B$23,$B10)=0,"× 渠道名不对",IF(INDEX(科目对照收入!$E$2:$E$23,MATCH($B10,科目对照收入!$B$2:$B$23,0))&lt;&gt;"平台优先","× 该项目不按平台金额",IF(COUNTIFS($A$2:$A$601,$A10,$B$2:$B$601,$B10)&gt;1,"× 同店同渠道重复","√")))))</f>
        <v/>
      </c>
    </row>
    <row r="11" customFormat="false" ht="13.5" hidden="false" customHeight="false" outlineLevel="0" collapsed="false">
      <c r="A11" s="35"/>
      <c r="B11" s="35"/>
      <c r="C11" s="37"/>
      <c r="D11" s="15" t="str">
        <f aca="false">IF(OR($A11="",$B11=""),"",ROUND(IFERROR(INDEX(海典汇总!$C$3:$AE$67,MATCH($A11,海典汇总!$A$3:$A$67,0),MATCH(INDEX(科目对照收入!$F$2:$F$23,MATCH($B11,科目对照收入!$B$2:$B$23,0)),海典汇总!$C$1:$AE$1,0)),0)+IFERROR(INDEX(海典汇总!$C$3:$AE$67,MATCH($A11,海典汇总!$A$3:$A$67,0),MATCH(INDEX(科目对照收入!$G$2:$G$23,MATCH($B11,科目对照收入!$B$2:$B$23,0)),海典汇总!$C$1:$AE$1,0)),0)+IFERROR(INDEX(海典汇总!$C$3:$AE$67,MATCH($A11,海典汇总!$A$3:$A$67,0),MATCH(INDEX(科目对照收入!$H$2:$H$23,MATCH($B11,科目对照收入!$B$2:$B$23,0)),海典汇总!$C$1:$AE$1,0)),0),2))</f>
        <v/>
      </c>
      <c r="E11" s="15" t="str">
        <f aca="false">IF($D11="","",ROUND($C11-$D11,2))</f>
        <v/>
      </c>
      <c r="F11" s="38" t="str">
        <f aca="false">IF($A11&amp;$B11="","",IF(COUNTIF(门店对照!$A$2:$A$66,$A11)=0,"× 门店编码不对",IF(COUNTIF(科目对照收入!$B$2:$B$23,$B11)=0,"× 渠道名不对",IF(INDEX(科目对照收入!$E$2:$E$23,MATCH($B11,科目对照收入!$B$2:$B$23,0))&lt;&gt;"平台优先","× 该项目不按平台金额",IF(COUNTIFS($A$2:$A$601,$A11,$B$2:$B$601,$B11)&gt;1,"× 同店同渠道重复","√")))))</f>
        <v/>
      </c>
    </row>
    <row r="12" customFormat="false" ht="13.5" hidden="false" customHeight="false" outlineLevel="0" collapsed="false">
      <c r="A12" s="35"/>
      <c r="B12" s="35"/>
      <c r="C12" s="37"/>
      <c r="D12" s="15" t="str">
        <f aca="false">IF(OR($A12="",$B12=""),"",ROUND(IFERROR(INDEX(海典汇总!$C$3:$AE$67,MATCH($A12,海典汇总!$A$3:$A$67,0),MATCH(INDEX(科目对照收入!$F$2:$F$23,MATCH($B12,科目对照收入!$B$2:$B$23,0)),海典汇总!$C$1:$AE$1,0)),0)+IFERROR(INDEX(海典汇总!$C$3:$AE$67,MATCH($A12,海典汇总!$A$3:$A$67,0),MATCH(INDEX(科目对照收入!$G$2:$G$23,MATCH($B12,科目对照收入!$B$2:$B$23,0)),海典汇总!$C$1:$AE$1,0)),0)+IFERROR(INDEX(海典汇总!$C$3:$AE$67,MATCH($A12,海典汇总!$A$3:$A$67,0),MATCH(INDEX(科目对照收入!$H$2:$H$23,MATCH($B12,科目对照收入!$B$2:$B$23,0)),海典汇总!$C$1:$AE$1,0)),0),2))</f>
        <v/>
      </c>
      <c r="E12" s="15" t="str">
        <f aca="false">IF($D12="","",ROUND($C12-$D12,2))</f>
        <v/>
      </c>
      <c r="F12" s="38" t="str">
        <f aca="false">IF($A12&amp;$B12="","",IF(COUNTIF(门店对照!$A$2:$A$66,$A12)=0,"× 门店编码不对",IF(COUNTIF(科目对照收入!$B$2:$B$23,$B12)=0,"× 渠道名不对",IF(INDEX(科目对照收入!$E$2:$E$23,MATCH($B12,科目对照收入!$B$2:$B$23,0))&lt;&gt;"平台优先","× 该项目不按平台金额",IF(COUNTIFS($A$2:$A$601,$A12,$B$2:$B$601,$B12)&gt;1,"× 同店同渠道重复","√")))))</f>
        <v/>
      </c>
    </row>
    <row r="13" customFormat="false" ht="13.5" hidden="false" customHeight="false" outlineLevel="0" collapsed="false">
      <c r="A13" s="35"/>
      <c r="B13" s="35"/>
      <c r="C13" s="37"/>
      <c r="D13" s="15" t="str">
        <f aca="false">IF(OR($A13="",$B13=""),"",ROUND(IFERROR(INDEX(海典汇总!$C$3:$AE$67,MATCH($A13,海典汇总!$A$3:$A$67,0),MATCH(INDEX(科目对照收入!$F$2:$F$23,MATCH($B13,科目对照收入!$B$2:$B$23,0)),海典汇总!$C$1:$AE$1,0)),0)+IFERROR(INDEX(海典汇总!$C$3:$AE$67,MATCH($A13,海典汇总!$A$3:$A$67,0),MATCH(INDEX(科目对照收入!$G$2:$G$23,MATCH($B13,科目对照收入!$B$2:$B$23,0)),海典汇总!$C$1:$AE$1,0)),0)+IFERROR(INDEX(海典汇总!$C$3:$AE$67,MATCH($A13,海典汇总!$A$3:$A$67,0),MATCH(INDEX(科目对照收入!$H$2:$H$23,MATCH($B13,科目对照收入!$B$2:$B$23,0)),海典汇总!$C$1:$AE$1,0)),0),2))</f>
        <v/>
      </c>
      <c r="E13" s="15" t="str">
        <f aca="false">IF($D13="","",ROUND($C13-$D13,2))</f>
        <v/>
      </c>
      <c r="F13" s="38" t="str">
        <f aca="false">IF($A13&amp;$B13="","",IF(COUNTIF(门店对照!$A$2:$A$66,$A13)=0,"× 门店编码不对",IF(COUNTIF(科目对照收入!$B$2:$B$23,$B13)=0,"× 渠道名不对",IF(INDEX(科目对照收入!$E$2:$E$23,MATCH($B13,科目对照收入!$B$2:$B$23,0))&lt;&gt;"平台优先","× 该项目不按平台金额",IF(COUNTIFS($A$2:$A$601,$A13,$B$2:$B$601,$B13)&gt;1,"× 同店同渠道重复","√")))))</f>
        <v/>
      </c>
    </row>
    <row r="14" customFormat="false" ht="13.5" hidden="false" customHeight="false" outlineLevel="0" collapsed="false">
      <c r="A14" s="35"/>
      <c r="B14" s="35"/>
      <c r="C14" s="37"/>
      <c r="D14" s="15" t="str">
        <f aca="false">IF(OR($A14="",$B14=""),"",ROUND(IFERROR(INDEX(海典汇总!$C$3:$AE$67,MATCH($A14,海典汇总!$A$3:$A$67,0),MATCH(INDEX(科目对照收入!$F$2:$F$23,MATCH($B14,科目对照收入!$B$2:$B$23,0)),海典汇总!$C$1:$AE$1,0)),0)+IFERROR(INDEX(海典汇总!$C$3:$AE$67,MATCH($A14,海典汇总!$A$3:$A$67,0),MATCH(INDEX(科目对照收入!$G$2:$G$23,MATCH($B14,科目对照收入!$B$2:$B$23,0)),海典汇总!$C$1:$AE$1,0)),0)+IFERROR(INDEX(海典汇总!$C$3:$AE$67,MATCH($A14,海典汇总!$A$3:$A$67,0),MATCH(INDEX(科目对照收入!$H$2:$H$23,MATCH($B14,科目对照收入!$B$2:$B$23,0)),海典汇总!$C$1:$AE$1,0)),0),2))</f>
        <v/>
      </c>
      <c r="E14" s="15" t="str">
        <f aca="false">IF($D14="","",ROUND($C14-$D14,2))</f>
        <v/>
      </c>
      <c r="F14" s="38" t="str">
        <f aca="false">IF($A14&amp;$B14="","",IF(COUNTIF(门店对照!$A$2:$A$66,$A14)=0,"× 门店编码不对",IF(COUNTIF(科目对照收入!$B$2:$B$23,$B14)=0,"× 渠道名不对",IF(INDEX(科目对照收入!$E$2:$E$23,MATCH($B14,科目对照收入!$B$2:$B$23,0))&lt;&gt;"平台优先","× 该项目不按平台金额",IF(COUNTIFS($A$2:$A$601,$A14,$B$2:$B$601,$B14)&gt;1,"× 同店同渠道重复","√")))))</f>
        <v/>
      </c>
    </row>
    <row r="15" customFormat="false" ht="13.5" hidden="false" customHeight="false" outlineLevel="0" collapsed="false">
      <c r="A15" s="35"/>
      <c r="B15" s="35"/>
      <c r="C15" s="37"/>
      <c r="D15" s="15" t="str">
        <f aca="false">IF(OR($A15="",$B15=""),"",ROUND(IFERROR(INDEX(海典汇总!$C$3:$AE$67,MATCH($A15,海典汇总!$A$3:$A$67,0),MATCH(INDEX(科目对照收入!$F$2:$F$23,MATCH($B15,科目对照收入!$B$2:$B$23,0)),海典汇总!$C$1:$AE$1,0)),0)+IFERROR(INDEX(海典汇总!$C$3:$AE$67,MATCH($A15,海典汇总!$A$3:$A$67,0),MATCH(INDEX(科目对照收入!$G$2:$G$23,MATCH($B15,科目对照收入!$B$2:$B$23,0)),海典汇总!$C$1:$AE$1,0)),0)+IFERROR(INDEX(海典汇总!$C$3:$AE$67,MATCH($A15,海典汇总!$A$3:$A$67,0),MATCH(INDEX(科目对照收入!$H$2:$H$23,MATCH($B15,科目对照收入!$B$2:$B$23,0)),海典汇总!$C$1:$AE$1,0)),0),2))</f>
        <v/>
      </c>
      <c r="E15" s="15" t="str">
        <f aca="false">IF($D15="","",ROUND($C15-$D15,2))</f>
        <v/>
      </c>
      <c r="F15" s="38" t="str">
        <f aca="false">IF($A15&amp;$B15="","",IF(COUNTIF(门店对照!$A$2:$A$66,$A15)=0,"× 门店编码不对",IF(COUNTIF(科目对照收入!$B$2:$B$23,$B15)=0,"× 渠道名不对",IF(INDEX(科目对照收入!$E$2:$E$23,MATCH($B15,科目对照收入!$B$2:$B$23,0))&lt;&gt;"平台优先","× 该项目不按平台金额",IF(COUNTIFS($A$2:$A$601,$A15,$B$2:$B$601,$B15)&gt;1,"× 同店同渠道重复","√")))))</f>
        <v/>
      </c>
    </row>
    <row r="16" customFormat="false" ht="13.5" hidden="false" customHeight="false" outlineLevel="0" collapsed="false">
      <c r="A16" s="35"/>
      <c r="B16" s="35"/>
      <c r="C16" s="37"/>
      <c r="D16" s="15" t="str">
        <f aca="false">IF(OR($A16="",$B16=""),"",ROUND(IFERROR(INDEX(海典汇总!$C$3:$AE$67,MATCH($A16,海典汇总!$A$3:$A$67,0),MATCH(INDEX(科目对照收入!$F$2:$F$23,MATCH($B16,科目对照收入!$B$2:$B$23,0)),海典汇总!$C$1:$AE$1,0)),0)+IFERROR(INDEX(海典汇总!$C$3:$AE$67,MATCH($A16,海典汇总!$A$3:$A$67,0),MATCH(INDEX(科目对照收入!$G$2:$G$23,MATCH($B16,科目对照收入!$B$2:$B$23,0)),海典汇总!$C$1:$AE$1,0)),0)+IFERROR(INDEX(海典汇总!$C$3:$AE$67,MATCH($A16,海典汇总!$A$3:$A$67,0),MATCH(INDEX(科目对照收入!$H$2:$H$23,MATCH($B16,科目对照收入!$B$2:$B$23,0)),海典汇总!$C$1:$AE$1,0)),0),2))</f>
        <v/>
      </c>
      <c r="E16" s="15" t="str">
        <f aca="false">IF($D16="","",ROUND($C16-$D16,2))</f>
        <v/>
      </c>
      <c r="F16" s="38" t="str">
        <f aca="false">IF($A16&amp;$B16="","",IF(COUNTIF(门店对照!$A$2:$A$66,$A16)=0,"× 门店编码不对",IF(COUNTIF(科目对照收入!$B$2:$B$23,$B16)=0,"× 渠道名不对",IF(INDEX(科目对照收入!$E$2:$E$23,MATCH($B16,科目对照收入!$B$2:$B$23,0))&lt;&gt;"平台优先","× 该项目不按平台金额",IF(COUNTIFS($A$2:$A$601,$A16,$B$2:$B$601,$B16)&gt;1,"× 同店同渠道重复","√")))))</f>
        <v/>
      </c>
    </row>
    <row r="17" customFormat="false" ht="13.5" hidden="false" customHeight="false" outlineLevel="0" collapsed="false">
      <c r="A17" s="35"/>
      <c r="B17" s="35"/>
      <c r="C17" s="37"/>
      <c r="D17" s="15" t="str">
        <f aca="false">IF(OR($A17="",$B17=""),"",ROUND(IFERROR(INDEX(海典汇总!$C$3:$AE$67,MATCH($A17,海典汇总!$A$3:$A$67,0),MATCH(INDEX(科目对照收入!$F$2:$F$23,MATCH($B17,科目对照收入!$B$2:$B$23,0)),海典汇总!$C$1:$AE$1,0)),0)+IFERROR(INDEX(海典汇总!$C$3:$AE$67,MATCH($A17,海典汇总!$A$3:$A$67,0),MATCH(INDEX(科目对照收入!$G$2:$G$23,MATCH($B17,科目对照收入!$B$2:$B$23,0)),海典汇总!$C$1:$AE$1,0)),0)+IFERROR(INDEX(海典汇总!$C$3:$AE$67,MATCH($A17,海典汇总!$A$3:$A$67,0),MATCH(INDEX(科目对照收入!$H$2:$H$23,MATCH($B17,科目对照收入!$B$2:$B$23,0)),海典汇总!$C$1:$AE$1,0)),0),2))</f>
        <v/>
      </c>
      <c r="E17" s="15" t="str">
        <f aca="false">IF($D17="","",ROUND($C17-$D17,2))</f>
        <v/>
      </c>
      <c r="F17" s="38" t="str">
        <f aca="false">IF($A17&amp;$B17="","",IF(COUNTIF(门店对照!$A$2:$A$66,$A17)=0,"× 门店编码不对",IF(COUNTIF(科目对照收入!$B$2:$B$23,$B17)=0,"× 渠道名不对",IF(INDEX(科目对照收入!$E$2:$E$23,MATCH($B17,科目对照收入!$B$2:$B$23,0))&lt;&gt;"平台优先","× 该项目不按平台金额",IF(COUNTIFS($A$2:$A$601,$A17,$B$2:$B$601,$B17)&gt;1,"× 同店同渠道重复","√")))))</f>
        <v/>
      </c>
    </row>
    <row r="18" customFormat="false" ht="13.5" hidden="false" customHeight="false" outlineLevel="0" collapsed="false">
      <c r="A18" s="35"/>
      <c r="B18" s="35"/>
      <c r="C18" s="37"/>
      <c r="D18" s="15" t="str">
        <f aca="false">IF(OR($A18="",$B18=""),"",ROUND(IFERROR(INDEX(海典汇总!$C$3:$AE$67,MATCH($A18,海典汇总!$A$3:$A$67,0),MATCH(INDEX(科目对照收入!$F$2:$F$23,MATCH($B18,科目对照收入!$B$2:$B$23,0)),海典汇总!$C$1:$AE$1,0)),0)+IFERROR(INDEX(海典汇总!$C$3:$AE$67,MATCH($A18,海典汇总!$A$3:$A$67,0),MATCH(INDEX(科目对照收入!$G$2:$G$23,MATCH($B18,科目对照收入!$B$2:$B$23,0)),海典汇总!$C$1:$AE$1,0)),0)+IFERROR(INDEX(海典汇总!$C$3:$AE$67,MATCH($A18,海典汇总!$A$3:$A$67,0),MATCH(INDEX(科目对照收入!$H$2:$H$23,MATCH($B18,科目对照收入!$B$2:$B$23,0)),海典汇总!$C$1:$AE$1,0)),0),2))</f>
        <v/>
      </c>
      <c r="E18" s="15" t="str">
        <f aca="false">IF($D18="","",ROUND($C18-$D18,2))</f>
        <v/>
      </c>
      <c r="F18" s="38" t="str">
        <f aca="false">IF($A18&amp;$B18="","",IF(COUNTIF(门店对照!$A$2:$A$66,$A18)=0,"× 门店编码不对",IF(COUNTIF(科目对照收入!$B$2:$B$23,$B18)=0,"× 渠道名不对",IF(INDEX(科目对照收入!$E$2:$E$23,MATCH($B18,科目对照收入!$B$2:$B$23,0))&lt;&gt;"平台优先","× 该项目不按平台金额",IF(COUNTIFS($A$2:$A$601,$A18,$B$2:$B$601,$B18)&gt;1,"× 同店同渠道重复","√")))))</f>
        <v/>
      </c>
    </row>
    <row r="19" customFormat="false" ht="13.5" hidden="false" customHeight="false" outlineLevel="0" collapsed="false">
      <c r="A19" s="35"/>
      <c r="B19" s="35"/>
      <c r="C19" s="37"/>
      <c r="D19" s="15" t="str">
        <f aca="false">IF(OR($A19="",$B19=""),"",ROUND(IFERROR(INDEX(海典汇总!$C$3:$AE$67,MATCH($A19,海典汇总!$A$3:$A$67,0),MATCH(INDEX(科目对照收入!$F$2:$F$23,MATCH($B19,科目对照收入!$B$2:$B$23,0)),海典汇总!$C$1:$AE$1,0)),0)+IFERROR(INDEX(海典汇总!$C$3:$AE$67,MATCH($A19,海典汇总!$A$3:$A$67,0),MATCH(INDEX(科目对照收入!$G$2:$G$23,MATCH($B19,科目对照收入!$B$2:$B$23,0)),海典汇总!$C$1:$AE$1,0)),0)+IFERROR(INDEX(海典汇总!$C$3:$AE$67,MATCH($A19,海典汇总!$A$3:$A$67,0),MATCH(INDEX(科目对照收入!$H$2:$H$23,MATCH($B19,科目对照收入!$B$2:$B$23,0)),海典汇总!$C$1:$AE$1,0)),0),2))</f>
        <v/>
      </c>
      <c r="E19" s="15" t="str">
        <f aca="false">IF($D19="","",ROUND($C19-$D19,2))</f>
        <v/>
      </c>
      <c r="F19" s="38" t="str">
        <f aca="false">IF($A19&amp;$B19="","",IF(COUNTIF(门店对照!$A$2:$A$66,$A19)=0,"× 门店编码不对",IF(COUNTIF(科目对照收入!$B$2:$B$23,$B19)=0,"× 渠道名不对",IF(INDEX(科目对照收入!$E$2:$E$23,MATCH($B19,科目对照收入!$B$2:$B$23,0))&lt;&gt;"平台优先","× 该项目不按平台金额",IF(COUNTIFS($A$2:$A$601,$A19,$B$2:$B$601,$B19)&gt;1,"× 同店同渠道重复","√")))))</f>
        <v/>
      </c>
    </row>
    <row r="20" customFormat="false" ht="13.5" hidden="false" customHeight="false" outlineLevel="0" collapsed="false">
      <c r="A20" s="35"/>
      <c r="B20" s="35"/>
      <c r="C20" s="37"/>
      <c r="D20" s="15" t="str">
        <f aca="false">IF(OR($A20="",$B20=""),"",ROUND(IFERROR(INDEX(海典汇总!$C$3:$AE$67,MATCH($A20,海典汇总!$A$3:$A$67,0),MATCH(INDEX(科目对照收入!$F$2:$F$23,MATCH($B20,科目对照收入!$B$2:$B$23,0)),海典汇总!$C$1:$AE$1,0)),0)+IFERROR(INDEX(海典汇总!$C$3:$AE$67,MATCH($A20,海典汇总!$A$3:$A$67,0),MATCH(INDEX(科目对照收入!$G$2:$G$23,MATCH($B20,科目对照收入!$B$2:$B$23,0)),海典汇总!$C$1:$AE$1,0)),0)+IFERROR(INDEX(海典汇总!$C$3:$AE$67,MATCH($A20,海典汇总!$A$3:$A$67,0),MATCH(INDEX(科目对照收入!$H$2:$H$23,MATCH($B20,科目对照收入!$B$2:$B$23,0)),海典汇总!$C$1:$AE$1,0)),0),2))</f>
        <v/>
      </c>
      <c r="E20" s="15" t="str">
        <f aca="false">IF($D20="","",ROUND($C20-$D20,2))</f>
        <v/>
      </c>
      <c r="F20" s="38" t="str">
        <f aca="false">IF($A20&amp;$B20="","",IF(COUNTIF(门店对照!$A$2:$A$66,$A20)=0,"× 门店编码不对",IF(COUNTIF(科目对照收入!$B$2:$B$23,$B20)=0,"× 渠道名不对",IF(INDEX(科目对照收入!$E$2:$E$23,MATCH($B20,科目对照收入!$B$2:$B$23,0))&lt;&gt;"平台优先","× 该项目不按平台金额",IF(COUNTIFS($A$2:$A$601,$A20,$B$2:$B$601,$B20)&gt;1,"× 同店同渠道重复","√")))))</f>
        <v/>
      </c>
    </row>
    <row r="21" customFormat="false" ht="13.5" hidden="false" customHeight="false" outlineLevel="0" collapsed="false">
      <c r="A21" s="35"/>
      <c r="B21" s="35"/>
      <c r="C21" s="37"/>
      <c r="D21" s="15" t="str">
        <f aca="false">IF(OR($A21="",$B21=""),"",ROUND(IFERROR(INDEX(海典汇总!$C$3:$AE$67,MATCH($A21,海典汇总!$A$3:$A$67,0),MATCH(INDEX(科目对照收入!$F$2:$F$23,MATCH($B21,科目对照收入!$B$2:$B$23,0)),海典汇总!$C$1:$AE$1,0)),0)+IFERROR(INDEX(海典汇总!$C$3:$AE$67,MATCH($A21,海典汇总!$A$3:$A$67,0),MATCH(INDEX(科目对照收入!$G$2:$G$23,MATCH($B21,科目对照收入!$B$2:$B$23,0)),海典汇总!$C$1:$AE$1,0)),0)+IFERROR(INDEX(海典汇总!$C$3:$AE$67,MATCH($A21,海典汇总!$A$3:$A$67,0),MATCH(INDEX(科目对照收入!$H$2:$H$23,MATCH($B21,科目对照收入!$B$2:$B$23,0)),海典汇总!$C$1:$AE$1,0)),0),2))</f>
        <v/>
      </c>
      <c r="E21" s="15" t="str">
        <f aca="false">IF($D21="","",ROUND($C21-$D21,2))</f>
        <v/>
      </c>
      <c r="F21" s="38" t="str">
        <f aca="false">IF($A21&amp;$B21="","",IF(COUNTIF(门店对照!$A$2:$A$66,$A21)=0,"× 门店编码不对",IF(COUNTIF(科目对照收入!$B$2:$B$23,$B21)=0,"× 渠道名不对",IF(INDEX(科目对照收入!$E$2:$E$23,MATCH($B21,科目对照收入!$B$2:$B$23,0))&lt;&gt;"平台优先","× 该项目不按平台金额",IF(COUNTIFS($A$2:$A$601,$A21,$B$2:$B$601,$B21)&gt;1,"× 同店同渠道重复","√")))))</f>
        <v/>
      </c>
    </row>
    <row r="22" customFormat="false" ht="13.5" hidden="false" customHeight="false" outlineLevel="0" collapsed="false">
      <c r="A22" s="35"/>
      <c r="B22" s="35"/>
      <c r="C22" s="37"/>
      <c r="D22" s="15" t="str">
        <f aca="false">IF(OR($A22="",$B22=""),"",ROUND(IFERROR(INDEX(海典汇总!$C$3:$AE$67,MATCH($A22,海典汇总!$A$3:$A$67,0),MATCH(INDEX(科目对照收入!$F$2:$F$23,MATCH($B22,科目对照收入!$B$2:$B$23,0)),海典汇总!$C$1:$AE$1,0)),0)+IFERROR(INDEX(海典汇总!$C$3:$AE$67,MATCH($A22,海典汇总!$A$3:$A$67,0),MATCH(INDEX(科目对照收入!$G$2:$G$23,MATCH($B22,科目对照收入!$B$2:$B$23,0)),海典汇总!$C$1:$AE$1,0)),0)+IFERROR(INDEX(海典汇总!$C$3:$AE$67,MATCH($A22,海典汇总!$A$3:$A$67,0),MATCH(INDEX(科目对照收入!$H$2:$H$23,MATCH($B22,科目对照收入!$B$2:$B$23,0)),海典汇总!$C$1:$AE$1,0)),0),2))</f>
        <v/>
      </c>
      <c r="E22" s="15" t="str">
        <f aca="false">IF($D22="","",ROUND($C22-$D22,2))</f>
        <v/>
      </c>
      <c r="F22" s="38" t="str">
        <f aca="false">IF($A22&amp;$B22="","",IF(COUNTIF(门店对照!$A$2:$A$66,$A22)=0,"× 门店编码不对",IF(COUNTIF(科目对照收入!$B$2:$B$23,$B22)=0,"× 渠道名不对",IF(INDEX(科目对照收入!$E$2:$E$23,MATCH($B22,科目对照收入!$B$2:$B$23,0))&lt;&gt;"平台优先","× 该项目不按平台金额",IF(COUNTIFS($A$2:$A$601,$A22,$B$2:$B$601,$B22)&gt;1,"× 同店同渠道重复","√")))))</f>
        <v/>
      </c>
    </row>
    <row r="23" customFormat="false" ht="13.5" hidden="false" customHeight="false" outlineLevel="0" collapsed="false">
      <c r="A23" s="35"/>
      <c r="B23" s="35"/>
      <c r="C23" s="37"/>
      <c r="D23" s="15" t="str">
        <f aca="false">IF(OR($A23="",$B23=""),"",ROUND(IFERROR(INDEX(海典汇总!$C$3:$AE$67,MATCH($A23,海典汇总!$A$3:$A$67,0),MATCH(INDEX(科目对照收入!$F$2:$F$23,MATCH($B23,科目对照收入!$B$2:$B$23,0)),海典汇总!$C$1:$AE$1,0)),0)+IFERROR(INDEX(海典汇总!$C$3:$AE$67,MATCH($A23,海典汇总!$A$3:$A$67,0),MATCH(INDEX(科目对照收入!$G$2:$G$23,MATCH($B23,科目对照收入!$B$2:$B$23,0)),海典汇总!$C$1:$AE$1,0)),0)+IFERROR(INDEX(海典汇总!$C$3:$AE$67,MATCH($A23,海典汇总!$A$3:$A$67,0),MATCH(INDEX(科目对照收入!$H$2:$H$23,MATCH($B23,科目对照收入!$B$2:$B$23,0)),海典汇总!$C$1:$AE$1,0)),0),2))</f>
        <v/>
      </c>
      <c r="E23" s="15" t="str">
        <f aca="false">IF($D23="","",ROUND($C23-$D23,2))</f>
        <v/>
      </c>
      <c r="F23" s="38" t="str">
        <f aca="false">IF($A23&amp;$B23="","",IF(COUNTIF(门店对照!$A$2:$A$66,$A23)=0,"× 门店编码不对",IF(COUNTIF(科目对照收入!$B$2:$B$23,$B23)=0,"× 渠道名不对",IF(INDEX(科目对照收入!$E$2:$E$23,MATCH($B23,科目对照收入!$B$2:$B$23,0))&lt;&gt;"平台优先","× 该项目不按平台金额",IF(COUNTIFS($A$2:$A$601,$A23,$B$2:$B$601,$B23)&gt;1,"× 同店同渠道重复","√")))))</f>
        <v/>
      </c>
    </row>
    <row r="24" customFormat="false" ht="13.5" hidden="false" customHeight="false" outlineLevel="0" collapsed="false">
      <c r="A24" s="35"/>
      <c r="B24" s="35"/>
      <c r="C24" s="37"/>
      <c r="D24" s="15" t="str">
        <f aca="false">IF(OR($A24="",$B24=""),"",ROUND(IFERROR(INDEX(海典汇总!$C$3:$AE$67,MATCH($A24,海典汇总!$A$3:$A$67,0),MATCH(INDEX(科目对照收入!$F$2:$F$23,MATCH($B24,科目对照收入!$B$2:$B$23,0)),海典汇总!$C$1:$AE$1,0)),0)+IFERROR(INDEX(海典汇总!$C$3:$AE$67,MATCH($A24,海典汇总!$A$3:$A$67,0),MATCH(INDEX(科目对照收入!$G$2:$G$23,MATCH($B24,科目对照收入!$B$2:$B$23,0)),海典汇总!$C$1:$AE$1,0)),0)+IFERROR(INDEX(海典汇总!$C$3:$AE$67,MATCH($A24,海典汇总!$A$3:$A$67,0),MATCH(INDEX(科目对照收入!$H$2:$H$23,MATCH($B24,科目对照收入!$B$2:$B$23,0)),海典汇总!$C$1:$AE$1,0)),0),2))</f>
        <v/>
      </c>
      <c r="E24" s="15" t="str">
        <f aca="false">IF($D24="","",ROUND($C24-$D24,2))</f>
        <v/>
      </c>
      <c r="F24" s="38" t="str">
        <f aca="false">IF($A24&amp;$B24="","",IF(COUNTIF(门店对照!$A$2:$A$66,$A24)=0,"× 门店编码不对",IF(COUNTIF(科目对照收入!$B$2:$B$23,$B24)=0,"× 渠道名不对",IF(INDEX(科目对照收入!$E$2:$E$23,MATCH($B24,科目对照收入!$B$2:$B$23,0))&lt;&gt;"平台优先","× 该项目不按平台金额",IF(COUNTIFS($A$2:$A$601,$A24,$B$2:$B$601,$B24)&gt;1,"× 同店同渠道重复","√")))))</f>
        <v/>
      </c>
    </row>
    <row r="25" customFormat="false" ht="13.5" hidden="false" customHeight="false" outlineLevel="0" collapsed="false">
      <c r="A25" s="35"/>
      <c r="B25" s="35"/>
      <c r="C25" s="37"/>
      <c r="D25" s="15" t="str">
        <f aca="false">IF(OR($A25="",$B25=""),"",ROUND(IFERROR(INDEX(海典汇总!$C$3:$AE$67,MATCH($A25,海典汇总!$A$3:$A$67,0),MATCH(INDEX(科目对照收入!$F$2:$F$23,MATCH($B25,科目对照收入!$B$2:$B$23,0)),海典汇总!$C$1:$AE$1,0)),0)+IFERROR(INDEX(海典汇总!$C$3:$AE$67,MATCH($A25,海典汇总!$A$3:$A$67,0),MATCH(INDEX(科目对照收入!$G$2:$G$23,MATCH($B25,科目对照收入!$B$2:$B$23,0)),海典汇总!$C$1:$AE$1,0)),0)+IFERROR(INDEX(海典汇总!$C$3:$AE$67,MATCH($A25,海典汇总!$A$3:$A$67,0),MATCH(INDEX(科目对照收入!$H$2:$H$23,MATCH($B25,科目对照收入!$B$2:$B$23,0)),海典汇总!$C$1:$AE$1,0)),0),2))</f>
        <v/>
      </c>
      <c r="E25" s="15" t="str">
        <f aca="false">IF($D25="","",ROUND($C25-$D25,2))</f>
        <v/>
      </c>
      <c r="F25" s="38" t="str">
        <f aca="false">IF($A25&amp;$B25="","",IF(COUNTIF(门店对照!$A$2:$A$66,$A25)=0,"× 门店编码不对",IF(COUNTIF(科目对照收入!$B$2:$B$23,$B25)=0,"× 渠道名不对",IF(INDEX(科目对照收入!$E$2:$E$23,MATCH($B25,科目对照收入!$B$2:$B$23,0))&lt;&gt;"平台优先","× 该项目不按平台金额",IF(COUNTIFS($A$2:$A$601,$A25,$B$2:$B$601,$B25)&gt;1,"× 同店同渠道重复","√")))))</f>
        <v/>
      </c>
    </row>
    <row r="26" customFormat="false" ht="13.5" hidden="false" customHeight="false" outlineLevel="0" collapsed="false">
      <c r="A26" s="35"/>
      <c r="B26" s="35"/>
      <c r="C26" s="37"/>
      <c r="D26" s="15" t="str">
        <f aca="false">IF(OR($A26="",$B26=""),"",ROUND(IFERROR(INDEX(海典汇总!$C$3:$AE$67,MATCH($A26,海典汇总!$A$3:$A$67,0),MATCH(INDEX(科目对照收入!$F$2:$F$23,MATCH($B26,科目对照收入!$B$2:$B$23,0)),海典汇总!$C$1:$AE$1,0)),0)+IFERROR(INDEX(海典汇总!$C$3:$AE$67,MATCH($A26,海典汇总!$A$3:$A$67,0),MATCH(INDEX(科目对照收入!$G$2:$G$23,MATCH($B26,科目对照收入!$B$2:$B$23,0)),海典汇总!$C$1:$AE$1,0)),0)+IFERROR(INDEX(海典汇总!$C$3:$AE$67,MATCH($A26,海典汇总!$A$3:$A$67,0),MATCH(INDEX(科目对照收入!$H$2:$H$23,MATCH($B26,科目对照收入!$B$2:$B$23,0)),海典汇总!$C$1:$AE$1,0)),0),2))</f>
        <v/>
      </c>
      <c r="E26" s="15" t="str">
        <f aca="false">IF($D26="","",ROUND($C26-$D26,2))</f>
        <v/>
      </c>
      <c r="F26" s="38" t="str">
        <f aca="false">IF($A26&amp;$B26="","",IF(COUNTIF(门店对照!$A$2:$A$66,$A26)=0,"× 门店编码不对",IF(COUNTIF(科目对照收入!$B$2:$B$23,$B26)=0,"× 渠道名不对",IF(INDEX(科目对照收入!$E$2:$E$23,MATCH($B26,科目对照收入!$B$2:$B$23,0))&lt;&gt;"平台优先","× 该项目不按平台金额",IF(COUNTIFS($A$2:$A$601,$A26,$B$2:$B$601,$B26)&gt;1,"× 同店同渠道重复","√")))))</f>
        <v/>
      </c>
    </row>
    <row r="27" customFormat="false" ht="13.5" hidden="false" customHeight="false" outlineLevel="0" collapsed="false">
      <c r="A27" s="35"/>
      <c r="B27" s="35"/>
      <c r="C27" s="37"/>
      <c r="D27" s="15" t="str">
        <f aca="false">IF(OR($A27="",$B27=""),"",ROUND(IFERROR(INDEX(海典汇总!$C$3:$AE$67,MATCH($A27,海典汇总!$A$3:$A$67,0),MATCH(INDEX(科目对照收入!$F$2:$F$23,MATCH($B27,科目对照收入!$B$2:$B$23,0)),海典汇总!$C$1:$AE$1,0)),0)+IFERROR(INDEX(海典汇总!$C$3:$AE$67,MATCH($A27,海典汇总!$A$3:$A$67,0),MATCH(INDEX(科目对照收入!$G$2:$G$23,MATCH($B27,科目对照收入!$B$2:$B$23,0)),海典汇总!$C$1:$AE$1,0)),0)+IFERROR(INDEX(海典汇总!$C$3:$AE$67,MATCH($A27,海典汇总!$A$3:$A$67,0),MATCH(INDEX(科目对照收入!$H$2:$H$23,MATCH($B27,科目对照收入!$B$2:$B$23,0)),海典汇总!$C$1:$AE$1,0)),0),2))</f>
        <v/>
      </c>
      <c r="E27" s="15" t="str">
        <f aca="false">IF($D27="","",ROUND($C27-$D27,2))</f>
        <v/>
      </c>
      <c r="F27" s="38" t="str">
        <f aca="false">IF($A27&amp;$B27="","",IF(COUNTIF(门店对照!$A$2:$A$66,$A27)=0,"× 门店编码不对",IF(COUNTIF(科目对照收入!$B$2:$B$23,$B27)=0,"× 渠道名不对",IF(INDEX(科目对照收入!$E$2:$E$23,MATCH($B27,科目对照收入!$B$2:$B$23,0))&lt;&gt;"平台优先","× 该项目不按平台金额",IF(COUNTIFS($A$2:$A$601,$A27,$B$2:$B$601,$B27)&gt;1,"× 同店同渠道重复","√")))))</f>
        <v/>
      </c>
    </row>
    <row r="28" customFormat="false" ht="13.5" hidden="false" customHeight="false" outlineLevel="0" collapsed="false">
      <c r="A28" s="35"/>
      <c r="B28" s="35"/>
      <c r="C28" s="37"/>
      <c r="D28" s="15" t="str">
        <f aca="false">IF(OR($A28="",$B28=""),"",ROUND(IFERROR(INDEX(海典汇总!$C$3:$AE$67,MATCH($A28,海典汇总!$A$3:$A$67,0),MATCH(INDEX(科目对照收入!$F$2:$F$23,MATCH($B28,科目对照收入!$B$2:$B$23,0)),海典汇总!$C$1:$AE$1,0)),0)+IFERROR(INDEX(海典汇总!$C$3:$AE$67,MATCH($A28,海典汇总!$A$3:$A$67,0),MATCH(INDEX(科目对照收入!$G$2:$G$23,MATCH($B28,科目对照收入!$B$2:$B$23,0)),海典汇总!$C$1:$AE$1,0)),0)+IFERROR(INDEX(海典汇总!$C$3:$AE$67,MATCH($A28,海典汇总!$A$3:$A$67,0),MATCH(INDEX(科目对照收入!$H$2:$H$23,MATCH($B28,科目对照收入!$B$2:$B$23,0)),海典汇总!$C$1:$AE$1,0)),0),2))</f>
        <v/>
      </c>
      <c r="E28" s="15" t="str">
        <f aca="false">IF($D28="","",ROUND($C28-$D28,2))</f>
        <v/>
      </c>
      <c r="F28" s="38" t="str">
        <f aca="false">IF($A28&amp;$B28="","",IF(COUNTIF(门店对照!$A$2:$A$66,$A28)=0,"× 门店编码不对",IF(COUNTIF(科目对照收入!$B$2:$B$23,$B28)=0,"× 渠道名不对",IF(INDEX(科目对照收入!$E$2:$E$23,MATCH($B28,科目对照收入!$B$2:$B$23,0))&lt;&gt;"平台优先","× 该项目不按平台金额",IF(COUNTIFS($A$2:$A$601,$A28,$B$2:$B$601,$B28)&gt;1,"× 同店同渠道重复","√")))))</f>
        <v/>
      </c>
    </row>
    <row r="29" customFormat="false" ht="13.5" hidden="false" customHeight="false" outlineLevel="0" collapsed="false">
      <c r="A29" s="35"/>
      <c r="B29" s="35"/>
      <c r="C29" s="37"/>
      <c r="D29" s="15" t="str">
        <f aca="false">IF(OR($A29="",$B29=""),"",ROUND(IFERROR(INDEX(海典汇总!$C$3:$AE$67,MATCH($A29,海典汇总!$A$3:$A$67,0),MATCH(INDEX(科目对照收入!$F$2:$F$23,MATCH($B29,科目对照收入!$B$2:$B$23,0)),海典汇总!$C$1:$AE$1,0)),0)+IFERROR(INDEX(海典汇总!$C$3:$AE$67,MATCH($A29,海典汇总!$A$3:$A$67,0),MATCH(INDEX(科目对照收入!$G$2:$G$23,MATCH($B29,科目对照收入!$B$2:$B$23,0)),海典汇总!$C$1:$AE$1,0)),0)+IFERROR(INDEX(海典汇总!$C$3:$AE$67,MATCH($A29,海典汇总!$A$3:$A$67,0),MATCH(INDEX(科目对照收入!$H$2:$H$23,MATCH($B29,科目对照收入!$B$2:$B$23,0)),海典汇总!$C$1:$AE$1,0)),0),2))</f>
        <v/>
      </c>
      <c r="E29" s="15" t="str">
        <f aca="false">IF($D29="","",ROUND($C29-$D29,2))</f>
        <v/>
      </c>
      <c r="F29" s="38" t="str">
        <f aca="false">IF($A29&amp;$B29="","",IF(COUNTIF(门店对照!$A$2:$A$66,$A29)=0,"× 门店编码不对",IF(COUNTIF(科目对照收入!$B$2:$B$23,$B29)=0,"× 渠道名不对",IF(INDEX(科目对照收入!$E$2:$E$23,MATCH($B29,科目对照收入!$B$2:$B$23,0))&lt;&gt;"平台优先","× 该项目不按平台金额",IF(COUNTIFS($A$2:$A$601,$A29,$B$2:$B$601,$B29)&gt;1,"× 同店同渠道重复","√")))))</f>
        <v/>
      </c>
    </row>
    <row r="30" customFormat="false" ht="13.5" hidden="false" customHeight="false" outlineLevel="0" collapsed="false">
      <c r="A30" s="35"/>
      <c r="B30" s="35"/>
      <c r="C30" s="37"/>
      <c r="D30" s="15" t="str">
        <f aca="false">IF(OR($A30="",$B30=""),"",ROUND(IFERROR(INDEX(海典汇总!$C$3:$AE$67,MATCH($A30,海典汇总!$A$3:$A$67,0),MATCH(INDEX(科目对照收入!$F$2:$F$23,MATCH($B30,科目对照收入!$B$2:$B$23,0)),海典汇总!$C$1:$AE$1,0)),0)+IFERROR(INDEX(海典汇总!$C$3:$AE$67,MATCH($A30,海典汇总!$A$3:$A$67,0),MATCH(INDEX(科目对照收入!$G$2:$G$23,MATCH($B30,科目对照收入!$B$2:$B$23,0)),海典汇总!$C$1:$AE$1,0)),0)+IFERROR(INDEX(海典汇总!$C$3:$AE$67,MATCH($A30,海典汇总!$A$3:$A$67,0),MATCH(INDEX(科目对照收入!$H$2:$H$23,MATCH($B30,科目对照收入!$B$2:$B$23,0)),海典汇总!$C$1:$AE$1,0)),0),2))</f>
        <v/>
      </c>
      <c r="E30" s="15" t="str">
        <f aca="false">IF($D30="","",ROUND($C30-$D30,2))</f>
        <v/>
      </c>
      <c r="F30" s="38" t="str">
        <f aca="false">IF($A30&amp;$B30="","",IF(COUNTIF(门店对照!$A$2:$A$66,$A30)=0,"× 门店编码不对",IF(COUNTIF(科目对照收入!$B$2:$B$23,$B30)=0,"× 渠道名不对",IF(INDEX(科目对照收入!$E$2:$E$23,MATCH($B30,科目对照收入!$B$2:$B$23,0))&lt;&gt;"平台优先","× 该项目不按平台金额",IF(COUNTIFS($A$2:$A$601,$A30,$B$2:$B$601,$B30)&gt;1,"× 同店同渠道重复","√")))))</f>
        <v/>
      </c>
    </row>
    <row r="31" customFormat="false" ht="13.5" hidden="false" customHeight="false" outlineLevel="0" collapsed="false">
      <c r="A31" s="35"/>
      <c r="B31" s="35"/>
      <c r="C31" s="37"/>
      <c r="D31" s="15" t="str">
        <f aca="false">IF(OR($A31="",$B31=""),"",ROUND(IFERROR(INDEX(海典汇总!$C$3:$AE$67,MATCH($A31,海典汇总!$A$3:$A$67,0),MATCH(INDEX(科目对照收入!$F$2:$F$23,MATCH($B31,科目对照收入!$B$2:$B$23,0)),海典汇总!$C$1:$AE$1,0)),0)+IFERROR(INDEX(海典汇总!$C$3:$AE$67,MATCH($A31,海典汇总!$A$3:$A$67,0),MATCH(INDEX(科目对照收入!$G$2:$G$23,MATCH($B31,科目对照收入!$B$2:$B$23,0)),海典汇总!$C$1:$AE$1,0)),0)+IFERROR(INDEX(海典汇总!$C$3:$AE$67,MATCH($A31,海典汇总!$A$3:$A$67,0),MATCH(INDEX(科目对照收入!$H$2:$H$23,MATCH($B31,科目对照收入!$B$2:$B$23,0)),海典汇总!$C$1:$AE$1,0)),0),2))</f>
        <v/>
      </c>
      <c r="E31" s="15" t="str">
        <f aca="false">IF($D31="","",ROUND($C31-$D31,2))</f>
        <v/>
      </c>
      <c r="F31" s="38" t="str">
        <f aca="false">IF($A31&amp;$B31="","",IF(COUNTIF(门店对照!$A$2:$A$66,$A31)=0,"× 门店编码不对",IF(COUNTIF(科目对照收入!$B$2:$B$23,$B31)=0,"× 渠道名不对",IF(INDEX(科目对照收入!$E$2:$E$23,MATCH($B31,科目对照收入!$B$2:$B$23,0))&lt;&gt;"平台优先","× 该项目不按平台金额",IF(COUNTIFS($A$2:$A$601,$A31,$B$2:$B$601,$B31)&gt;1,"× 同店同渠道重复","√")))))</f>
        <v/>
      </c>
    </row>
    <row r="32" customFormat="false" ht="13.5" hidden="false" customHeight="false" outlineLevel="0" collapsed="false">
      <c r="A32" s="35"/>
      <c r="B32" s="35"/>
      <c r="C32" s="37"/>
      <c r="D32" s="15" t="str">
        <f aca="false">IF(OR($A32="",$B32=""),"",ROUND(IFERROR(INDEX(海典汇总!$C$3:$AE$67,MATCH($A32,海典汇总!$A$3:$A$67,0),MATCH(INDEX(科目对照收入!$F$2:$F$23,MATCH($B32,科目对照收入!$B$2:$B$23,0)),海典汇总!$C$1:$AE$1,0)),0)+IFERROR(INDEX(海典汇总!$C$3:$AE$67,MATCH($A32,海典汇总!$A$3:$A$67,0),MATCH(INDEX(科目对照收入!$G$2:$G$23,MATCH($B32,科目对照收入!$B$2:$B$23,0)),海典汇总!$C$1:$AE$1,0)),0)+IFERROR(INDEX(海典汇总!$C$3:$AE$67,MATCH($A32,海典汇总!$A$3:$A$67,0),MATCH(INDEX(科目对照收入!$H$2:$H$23,MATCH($B32,科目对照收入!$B$2:$B$23,0)),海典汇总!$C$1:$AE$1,0)),0),2))</f>
        <v/>
      </c>
      <c r="E32" s="15" t="str">
        <f aca="false">IF($D32="","",ROUND($C32-$D32,2))</f>
        <v/>
      </c>
      <c r="F32" s="38" t="str">
        <f aca="false">IF($A32&amp;$B32="","",IF(COUNTIF(门店对照!$A$2:$A$66,$A32)=0,"× 门店编码不对",IF(COUNTIF(科目对照收入!$B$2:$B$23,$B32)=0,"× 渠道名不对",IF(INDEX(科目对照收入!$E$2:$E$23,MATCH($B32,科目对照收入!$B$2:$B$23,0))&lt;&gt;"平台优先","× 该项目不按平台金额",IF(COUNTIFS($A$2:$A$601,$A32,$B$2:$B$601,$B32)&gt;1,"× 同店同渠道重复","√")))))</f>
        <v/>
      </c>
    </row>
    <row r="33" customFormat="false" ht="13.5" hidden="false" customHeight="false" outlineLevel="0" collapsed="false">
      <c r="A33" s="35"/>
      <c r="B33" s="35"/>
      <c r="C33" s="37"/>
      <c r="D33" s="15" t="str">
        <f aca="false">IF(OR($A33="",$B33=""),"",ROUND(IFERROR(INDEX(海典汇总!$C$3:$AE$67,MATCH($A33,海典汇总!$A$3:$A$67,0),MATCH(INDEX(科目对照收入!$F$2:$F$23,MATCH($B33,科目对照收入!$B$2:$B$23,0)),海典汇总!$C$1:$AE$1,0)),0)+IFERROR(INDEX(海典汇总!$C$3:$AE$67,MATCH($A33,海典汇总!$A$3:$A$67,0),MATCH(INDEX(科目对照收入!$G$2:$G$23,MATCH($B33,科目对照收入!$B$2:$B$23,0)),海典汇总!$C$1:$AE$1,0)),0)+IFERROR(INDEX(海典汇总!$C$3:$AE$67,MATCH($A33,海典汇总!$A$3:$A$67,0),MATCH(INDEX(科目对照收入!$H$2:$H$23,MATCH($B33,科目对照收入!$B$2:$B$23,0)),海典汇总!$C$1:$AE$1,0)),0),2))</f>
        <v/>
      </c>
      <c r="E33" s="15" t="str">
        <f aca="false">IF($D33="","",ROUND($C33-$D33,2))</f>
        <v/>
      </c>
      <c r="F33" s="38" t="str">
        <f aca="false">IF($A33&amp;$B33="","",IF(COUNTIF(门店对照!$A$2:$A$66,$A33)=0,"× 门店编码不对",IF(COUNTIF(科目对照收入!$B$2:$B$23,$B33)=0,"× 渠道名不对",IF(INDEX(科目对照收入!$E$2:$E$23,MATCH($B33,科目对照收入!$B$2:$B$23,0))&lt;&gt;"平台优先","× 该项目不按平台金额",IF(COUNTIFS($A$2:$A$601,$A33,$B$2:$B$601,$B33)&gt;1,"× 同店同渠道重复","√")))))</f>
        <v/>
      </c>
    </row>
    <row r="34" customFormat="false" ht="13.5" hidden="false" customHeight="false" outlineLevel="0" collapsed="false">
      <c r="A34" s="35"/>
      <c r="B34" s="35"/>
      <c r="C34" s="37"/>
      <c r="D34" s="15" t="str">
        <f aca="false">IF(OR($A34="",$B34=""),"",ROUND(IFERROR(INDEX(海典汇总!$C$3:$AE$67,MATCH($A34,海典汇总!$A$3:$A$67,0),MATCH(INDEX(科目对照收入!$F$2:$F$23,MATCH($B34,科目对照收入!$B$2:$B$23,0)),海典汇总!$C$1:$AE$1,0)),0)+IFERROR(INDEX(海典汇总!$C$3:$AE$67,MATCH($A34,海典汇总!$A$3:$A$67,0),MATCH(INDEX(科目对照收入!$G$2:$G$23,MATCH($B34,科目对照收入!$B$2:$B$23,0)),海典汇总!$C$1:$AE$1,0)),0)+IFERROR(INDEX(海典汇总!$C$3:$AE$67,MATCH($A34,海典汇总!$A$3:$A$67,0),MATCH(INDEX(科目对照收入!$H$2:$H$23,MATCH($B34,科目对照收入!$B$2:$B$23,0)),海典汇总!$C$1:$AE$1,0)),0),2))</f>
        <v/>
      </c>
      <c r="E34" s="15" t="str">
        <f aca="false">IF($D34="","",ROUND($C34-$D34,2))</f>
        <v/>
      </c>
      <c r="F34" s="38" t="str">
        <f aca="false">IF($A34&amp;$B34="","",IF(COUNTIF(门店对照!$A$2:$A$66,$A34)=0,"× 门店编码不对",IF(COUNTIF(科目对照收入!$B$2:$B$23,$B34)=0,"× 渠道名不对",IF(INDEX(科目对照收入!$E$2:$E$23,MATCH($B34,科目对照收入!$B$2:$B$23,0))&lt;&gt;"平台优先","× 该项目不按平台金额",IF(COUNTIFS($A$2:$A$601,$A34,$B$2:$B$601,$B34)&gt;1,"× 同店同渠道重复","√")))))</f>
        <v/>
      </c>
    </row>
    <row r="35" customFormat="false" ht="13.5" hidden="false" customHeight="false" outlineLevel="0" collapsed="false">
      <c r="A35" s="35"/>
      <c r="B35" s="35"/>
      <c r="C35" s="37"/>
      <c r="D35" s="15" t="str">
        <f aca="false">IF(OR($A35="",$B35=""),"",ROUND(IFERROR(INDEX(海典汇总!$C$3:$AE$67,MATCH($A35,海典汇总!$A$3:$A$67,0),MATCH(INDEX(科目对照收入!$F$2:$F$23,MATCH($B35,科目对照收入!$B$2:$B$23,0)),海典汇总!$C$1:$AE$1,0)),0)+IFERROR(INDEX(海典汇总!$C$3:$AE$67,MATCH($A35,海典汇总!$A$3:$A$67,0),MATCH(INDEX(科目对照收入!$G$2:$G$23,MATCH($B35,科目对照收入!$B$2:$B$23,0)),海典汇总!$C$1:$AE$1,0)),0)+IFERROR(INDEX(海典汇总!$C$3:$AE$67,MATCH($A35,海典汇总!$A$3:$A$67,0),MATCH(INDEX(科目对照收入!$H$2:$H$23,MATCH($B35,科目对照收入!$B$2:$B$23,0)),海典汇总!$C$1:$AE$1,0)),0),2))</f>
        <v/>
      </c>
      <c r="E35" s="15" t="str">
        <f aca="false">IF($D35="","",ROUND($C35-$D35,2))</f>
        <v/>
      </c>
      <c r="F35" s="38" t="str">
        <f aca="false">IF($A35&amp;$B35="","",IF(COUNTIF(门店对照!$A$2:$A$66,$A35)=0,"× 门店编码不对",IF(COUNTIF(科目对照收入!$B$2:$B$23,$B35)=0,"× 渠道名不对",IF(INDEX(科目对照收入!$E$2:$E$23,MATCH($B35,科目对照收入!$B$2:$B$23,0))&lt;&gt;"平台优先","× 该项目不按平台金额",IF(COUNTIFS($A$2:$A$601,$A35,$B$2:$B$601,$B35)&gt;1,"× 同店同渠道重复","√")))))</f>
        <v/>
      </c>
    </row>
    <row r="36" customFormat="false" ht="13.5" hidden="false" customHeight="false" outlineLevel="0" collapsed="false">
      <c r="A36" s="35"/>
      <c r="B36" s="35"/>
      <c r="C36" s="37"/>
      <c r="D36" s="15" t="str">
        <f aca="false">IF(OR($A36="",$B36=""),"",ROUND(IFERROR(INDEX(海典汇总!$C$3:$AE$67,MATCH($A36,海典汇总!$A$3:$A$67,0),MATCH(INDEX(科目对照收入!$F$2:$F$23,MATCH($B36,科目对照收入!$B$2:$B$23,0)),海典汇总!$C$1:$AE$1,0)),0)+IFERROR(INDEX(海典汇总!$C$3:$AE$67,MATCH($A36,海典汇总!$A$3:$A$67,0),MATCH(INDEX(科目对照收入!$G$2:$G$23,MATCH($B36,科目对照收入!$B$2:$B$23,0)),海典汇总!$C$1:$AE$1,0)),0)+IFERROR(INDEX(海典汇总!$C$3:$AE$67,MATCH($A36,海典汇总!$A$3:$A$67,0),MATCH(INDEX(科目对照收入!$H$2:$H$23,MATCH($B36,科目对照收入!$B$2:$B$23,0)),海典汇总!$C$1:$AE$1,0)),0),2))</f>
        <v/>
      </c>
      <c r="E36" s="15" t="str">
        <f aca="false">IF($D36="","",ROUND($C36-$D36,2))</f>
        <v/>
      </c>
      <c r="F36" s="38" t="str">
        <f aca="false">IF($A36&amp;$B36="","",IF(COUNTIF(门店对照!$A$2:$A$66,$A36)=0,"× 门店编码不对",IF(COUNTIF(科目对照收入!$B$2:$B$23,$B36)=0,"× 渠道名不对",IF(INDEX(科目对照收入!$E$2:$E$23,MATCH($B36,科目对照收入!$B$2:$B$23,0))&lt;&gt;"平台优先","× 该项目不按平台金额",IF(COUNTIFS($A$2:$A$601,$A36,$B$2:$B$601,$B36)&gt;1,"× 同店同渠道重复","√")))))</f>
        <v/>
      </c>
    </row>
    <row r="37" customFormat="false" ht="13.5" hidden="false" customHeight="false" outlineLevel="0" collapsed="false">
      <c r="A37" s="35"/>
      <c r="B37" s="35"/>
      <c r="C37" s="37"/>
      <c r="D37" s="15" t="str">
        <f aca="false">IF(OR($A37="",$B37=""),"",ROUND(IFERROR(INDEX(海典汇总!$C$3:$AE$67,MATCH($A37,海典汇总!$A$3:$A$67,0),MATCH(INDEX(科目对照收入!$F$2:$F$23,MATCH($B37,科目对照收入!$B$2:$B$23,0)),海典汇总!$C$1:$AE$1,0)),0)+IFERROR(INDEX(海典汇总!$C$3:$AE$67,MATCH($A37,海典汇总!$A$3:$A$67,0),MATCH(INDEX(科目对照收入!$G$2:$G$23,MATCH($B37,科目对照收入!$B$2:$B$23,0)),海典汇总!$C$1:$AE$1,0)),0)+IFERROR(INDEX(海典汇总!$C$3:$AE$67,MATCH($A37,海典汇总!$A$3:$A$67,0),MATCH(INDEX(科目对照收入!$H$2:$H$23,MATCH($B37,科目对照收入!$B$2:$B$23,0)),海典汇总!$C$1:$AE$1,0)),0),2))</f>
        <v/>
      </c>
      <c r="E37" s="15" t="str">
        <f aca="false">IF($D37="","",ROUND($C37-$D37,2))</f>
        <v/>
      </c>
      <c r="F37" s="38" t="str">
        <f aca="false">IF($A37&amp;$B37="","",IF(COUNTIF(门店对照!$A$2:$A$66,$A37)=0,"× 门店编码不对",IF(COUNTIF(科目对照收入!$B$2:$B$23,$B37)=0,"× 渠道名不对",IF(INDEX(科目对照收入!$E$2:$E$23,MATCH($B37,科目对照收入!$B$2:$B$23,0))&lt;&gt;"平台优先","× 该项目不按平台金额",IF(COUNTIFS($A$2:$A$601,$A37,$B$2:$B$601,$B37)&gt;1,"× 同店同渠道重复","√")))))</f>
        <v/>
      </c>
    </row>
    <row r="38" customFormat="false" ht="13.5" hidden="false" customHeight="false" outlineLevel="0" collapsed="false">
      <c r="A38" s="35"/>
      <c r="B38" s="35"/>
      <c r="C38" s="37"/>
      <c r="D38" s="15" t="str">
        <f aca="false">IF(OR($A38="",$B38=""),"",ROUND(IFERROR(INDEX(海典汇总!$C$3:$AE$67,MATCH($A38,海典汇总!$A$3:$A$67,0),MATCH(INDEX(科目对照收入!$F$2:$F$23,MATCH($B38,科目对照收入!$B$2:$B$23,0)),海典汇总!$C$1:$AE$1,0)),0)+IFERROR(INDEX(海典汇总!$C$3:$AE$67,MATCH($A38,海典汇总!$A$3:$A$67,0),MATCH(INDEX(科目对照收入!$G$2:$G$23,MATCH($B38,科目对照收入!$B$2:$B$23,0)),海典汇总!$C$1:$AE$1,0)),0)+IFERROR(INDEX(海典汇总!$C$3:$AE$67,MATCH($A38,海典汇总!$A$3:$A$67,0),MATCH(INDEX(科目对照收入!$H$2:$H$23,MATCH($B38,科目对照收入!$B$2:$B$23,0)),海典汇总!$C$1:$AE$1,0)),0),2))</f>
        <v/>
      </c>
      <c r="E38" s="15" t="str">
        <f aca="false">IF($D38="","",ROUND($C38-$D38,2))</f>
        <v/>
      </c>
      <c r="F38" s="38" t="str">
        <f aca="false">IF($A38&amp;$B38="","",IF(COUNTIF(门店对照!$A$2:$A$66,$A38)=0,"× 门店编码不对",IF(COUNTIF(科目对照收入!$B$2:$B$23,$B38)=0,"× 渠道名不对",IF(INDEX(科目对照收入!$E$2:$E$23,MATCH($B38,科目对照收入!$B$2:$B$23,0))&lt;&gt;"平台优先","× 该项目不按平台金额",IF(COUNTIFS($A$2:$A$601,$A38,$B$2:$B$601,$B38)&gt;1,"× 同店同渠道重复","√")))))</f>
        <v/>
      </c>
    </row>
    <row r="39" customFormat="false" ht="13.5" hidden="false" customHeight="false" outlineLevel="0" collapsed="false">
      <c r="A39" s="35"/>
      <c r="B39" s="35"/>
      <c r="C39" s="37"/>
      <c r="D39" s="15" t="str">
        <f aca="false">IF(OR($A39="",$B39=""),"",ROUND(IFERROR(INDEX(海典汇总!$C$3:$AE$67,MATCH($A39,海典汇总!$A$3:$A$67,0),MATCH(INDEX(科目对照收入!$F$2:$F$23,MATCH($B39,科目对照收入!$B$2:$B$23,0)),海典汇总!$C$1:$AE$1,0)),0)+IFERROR(INDEX(海典汇总!$C$3:$AE$67,MATCH($A39,海典汇总!$A$3:$A$67,0),MATCH(INDEX(科目对照收入!$G$2:$G$23,MATCH($B39,科目对照收入!$B$2:$B$23,0)),海典汇总!$C$1:$AE$1,0)),0)+IFERROR(INDEX(海典汇总!$C$3:$AE$67,MATCH($A39,海典汇总!$A$3:$A$67,0),MATCH(INDEX(科目对照收入!$H$2:$H$23,MATCH($B39,科目对照收入!$B$2:$B$23,0)),海典汇总!$C$1:$AE$1,0)),0),2))</f>
        <v/>
      </c>
      <c r="E39" s="15" t="str">
        <f aca="false">IF($D39="","",ROUND($C39-$D39,2))</f>
        <v/>
      </c>
      <c r="F39" s="38" t="str">
        <f aca="false">IF($A39&amp;$B39="","",IF(COUNTIF(门店对照!$A$2:$A$66,$A39)=0,"× 门店编码不对",IF(COUNTIF(科目对照收入!$B$2:$B$23,$B39)=0,"× 渠道名不对",IF(INDEX(科目对照收入!$E$2:$E$23,MATCH($B39,科目对照收入!$B$2:$B$23,0))&lt;&gt;"平台优先","× 该项目不按平台金额",IF(COUNTIFS($A$2:$A$601,$A39,$B$2:$B$601,$B39)&gt;1,"× 同店同渠道重复","√")))))</f>
        <v/>
      </c>
    </row>
    <row r="40" customFormat="false" ht="13.5" hidden="false" customHeight="false" outlineLevel="0" collapsed="false">
      <c r="A40" s="35"/>
      <c r="B40" s="35"/>
      <c r="C40" s="37"/>
      <c r="D40" s="15" t="str">
        <f aca="false">IF(OR($A40="",$B40=""),"",ROUND(IFERROR(INDEX(海典汇总!$C$3:$AE$67,MATCH($A40,海典汇总!$A$3:$A$67,0),MATCH(INDEX(科目对照收入!$F$2:$F$23,MATCH($B40,科目对照收入!$B$2:$B$23,0)),海典汇总!$C$1:$AE$1,0)),0)+IFERROR(INDEX(海典汇总!$C$3:$AE$67,MATCH($A40,海典汇总!$A$3:$A$67,0),MATCH(INDEX(科目对照收入!$G$2:$G$23,MATCH($B40,科目对照收入!$B$2:$B$23,0)),海典汇总!$C$1:$AE$1,0)),0)+IFERROR(INDEX(海典汇总!$C$3:$AE$67,MATCH($A40,海典汇总!$A$3:$A$67,0),MATCH(INDEX(科目对照收入!$H$2:$H$23,MATCH($B40,科目对照收入!$B$2:$B$23,0)),海典汇总!$C$1:$AE$1,0)),0),2))</f>
        <v/>
      </c>
      <c r="E40" s="15" t="str">
        <f aca="false">IF($D40="","",ROUND($C40-$D40,2))</f>
        <v/>
      </c>
      <c r="F40" s="38" t="str">
        <f aca="false">IF($A40&amp;$B40="","",IF(COUNTIF(门店对照!$A$2:$A$66,$A40)=0,"× 门店编码不对",IF(COUNTIF(科目对照收入!$B$2:$B$23,$B40)=0,"× 渠道名不对",IF(INDEX(科目对照收入!$E$2:$E$23,MATCH($B40,科目对照收入!$B$2:$B$23,0))&lt;&gt;"平台优先","× 该项目不按平台金额",IF(COUNTIFS($A$2:$A$601,$A40,$B$2:$B$601,$B40)&gt;1,"× 同店同渠道重复","√")))))</f>
        <v/>
      </c>
    </row>
    <row r="41" customFormat="false" ht="13.5" hidden="false" customHeight="false" outlineLevel="0" collapsed="false">
      <c r="A41" s="35"/>
      <c r="B41" s="35"/>
      <c r="C41" s="37"/>
      <c r="D41" s="15" t="str">
        <f aca="false">IF(OR($A41="",$B41=""),"",ROUND(IFERROR(INDEX(海典汇总!$C$3:$AE$67,MATCH($A41,海典汇总!$A$3:$A$67,0),MATCH(INDEX(科目对照收入!$F$2:$F$23,MATCH($B41,科目对照收入!$B$2:$B$23,0)),海典汇总!$C$1:$AE$1,0)),0)+IFERROR(INDEX(海典汇总!$C$3:$AE$67,MATCH($A41,海典汇总!$A$3:$A$67,0),MATCH(INDEX(科目对照收入!$G$2:$G$23,MATCH($B41,科目对照收入!$B$2:$B$23,0)),海典汇总!$C$1:$AE$1,0)),0)+IFERROR(INDEX(海典汇总!$C$3:$AE$67,MATCH($A41,海典汇总!$A$3:$A$67,0),MATCH(INDEX(科目对照收入!$H$2:$H$23,MATCH($B41,科目对照收入!$B$2:$B$23,0)),海典汇总!$C$1:$AE$1,0)),0),2))</f>
        <v/>
      </c>
      <c r="E41" s="15" t="str">
        <f aca="false">IF($D41="","",ROUND($C41-$D41,2))</f>
        <v/>
      </c>
      <c r="F41" s="38" t="str">
        <f aca="false">IF($A41&amp;$B41="","",IF(COUNTIF(门店对照!$A$2:$A$66,$A41)=0,"× 门店编码不对",IF(COUNTIF(科目对照收入!$B$2:$B$23,$B41)=0,"× 渠道名不对",IF(INDEX(科目对照收入!$E$2:$E$23,MATCH($B41,科目对照收入!$B$2:$B$23,0))&lt;&gt;"平台优先","× 该项目不按平台金额",IF(COUNTIFS($A$2:$A$601,$A41,$B$2:$B$601,$B41)&gt;1,"× 同店同渠道重复","√")))))</f>
        <v/>
      </c>
    </row>
    <row r="42" customFormat="false" ht="13.5" hidden="false" customHeight="false" outlineLevel="0" collapsed="false">
      <c r="A42" s="35"/>
      <c r="B42" s="35"/>
      <c r="C42" s="37"/>
      <c r="D42" s="15" t="str">
        <f aca="false">IF(OR($A42="",$B42=""),"",ROUND(IFERROR(INDEX(海典汇总!$C$3:$AE$67,MATCH($A42,海典汇总!$A$3:$A$67,0),MATCH(INDEX(科目对照收入!$F$2:$F$23,MATCH($B42,科目对照收入!$B$2:$B$23,0)),海典汇总!$C$1:$AE$1,0)),0)+IFERROR(INDEX(海典汇总!$C$3:$AE$67,MATCH($A42,海典汇总!$A$3:$A$67,0),MATCH(INDEX(科目对照收入!$G$2:$G$23,MATCH($B42,科目对照收入!$B$2:$B$23,0)),海典汇总!$C$1:$AE$1,0)),0)+IFERROR(INDEX(海典汇总!$C$3:$AE$67,MATCH($A42,海典汇总!$A$3:$A$67,0),MATCH(INDEX(科目对照收入!$H$2:$H$23,MATCH($B42,科目对照收入!$B$2:$B$23,0)),海典汇总!$C$1:$AE$1,0)),0),2))</f>
        <v/>
      </c>
      <c r="E42" s="15" t="str">
        <f aca="false">IF($D42="","",ROUND($C42-$D42,2))</f>
        <v/>
      </c>
      <c r="F42" s="38" t="str">
        <f aca="false">IF($A42&amp;$B42="","",IF(COUNTIF(门店对照!$A$2:$A$66,$A42)=0,"× 门店编码不对",IF(COUNTIF(科目对照收入!$B$2:$B$23,$B42)=0,"× 渠道名不对",IF(INDEX(科目对照收入!$E$2:$E$23,MATCH($B42,科目对照收入!$B$2:$B$23,0))&lt;&gt;"平台优先","× 该项目不按平台金额",IF(COUNTIFS($A$2:$A$601,$A42,$B$2:$B$601,$B42)&gt;1,"× 同店同渠道重复","√")))))</f>
        <v/>
      </c>
    </row>
    <row r="43" customFormat="false" ht="13.5" hidden="false" customHeight="false" outlineLevel="0" collapsed="false">
      <c r="A43" s="35"/>
      <c r="B43" s="35"/>
      <c r="C43" s="37"/>
      <c r="D43" s="15" t="str">
        <f aca="false">IF(OR($A43="",$B43=""),"",ROUND(IFERROR(INDEX(海典汇总!$C$3:$AE$67,MATCH($A43,海典汇总!$A$3:$A$67,0),MATCH(INDEX(科目对照收入!$F$2:$F$23,MATCH($B43,科目对照收入!$B$2:$B$23,0)),海典汇总!$C$1:$AE$1,0)),0)+IFERROR(INDEX(海典汇总!$C$3:$AE$67,MATCH($A43,海典汇总!$A$3:$A$67,0),MATCH(INDEX(科目对照收入!$G$2:$G$23,MATCH($B43,科目对照收入!$B$2:$B$23,0)),海典汇总!$C$1:$AE$1,0)),0)+IFERROR(INDEX(海典汇总!$C$3:$AE$67,MATCH($A43,海典汇总!$A$3:$A$67,0),MATCH(INDEX(科目对照收入!$H$2:$H$23,MATCH($B43,科目对照收入!$B$2:$B$23,0)),海典汇总!$C$1:$AE$1,0)),0),2))</f>
        <v/>
      </c>
      <c r="E43" s="15" t="str">
        <f aca="false">IF($D43="","",ROUND($C43-$D43,2))</f>
        <v/>
      </c>
      <c r="F43" s="38" t="str">
        <f aca="false">IF($A43&amp;$B43="","",IF(COUNTIF(门店对照!$A$2:$A$66,$A43)=0,"× 门店编码不对",IF(COUNTIF(科目对照收入!$B$2:$B$23,$B43)=0,"× 渠道名不对",IF(INDEX(科目对照收入!$E$2:$E$23,MATCH($B43,科目对照收入!$B$2:$B$23,0))&lt;&gt;"平台优先","× 该项目不按平台金额",IF(COUNTIFS($A$2:$A$601,$A43,$B$2:$B$601,$B43)&gt;1,"× 同店同渠道重复","√")))))</f>
        <v/>
      </c>
    </row>
    <row r="44" customFormat="false" ht="13.5" hidden="false" customHeight="false" outlineLevel="0" collapsed="false">
      <c r="A44" s="35"/>
      <c r="B44" s="35"/>
      <c r="C44" s="37"/>
      <c r="D44" s="15" t="str">
        <f aca="false">IF(OR($A44="",$B44=""),"",ROUND(IFERROR(INDEX(海典汇总!$C$3:$AE$67,MATCH($A44,海典汇总!$A$3:$A$67,0),MATCH(INDEX(科目对照收入!$F$2:$F$23,MATCH($B44,科目对照收入!$B$2:$B$23,0)),海典汇总!$C$1:$AE$1,0)),0)+IFERROR(INDEX(海典汇总!$C$3:$AE$67,MATCH($A44,海典汇总!$A$3:$A$67,0),MATCH(INDEX(科目对照收入!$G$2:$G$23,MATCH($B44,科目对照收入!$B$2:$B$23,0)),海典汇总!$C$1:$AE$1,0)),0)+IFERROR(INDEX(海典汇总!$C$3:$AE$67,MATCH($A44,海典汇总!$A$3:$A$67,0),MATCH(INDEX(科目对照收入!$H$2:$H$23,MATCH($B44,科目对照收入!$B$2:$B$23,0)),海典汇总!$C$1:$AE$1,0)),0),2))</f>
        <v/>
      </c>
      <c r="E44" s="15" t="str">
        <f aca="false">IF($D44="","",ROUND($C44-$D44,2))</f>
        <v/>
      </c>
      <c r="F44" s="38" t="str">
        <f aca="false">IF($A44&amp;$B44="","",IF(COUNTIF(门店对照!$A$2:$A$66,$A44)=0,"× 门店编码不对",IF(COUNTIF(科目对照收入!$B$2:$B$23,$B44)=0,"× 渠道名不对",IF(INDEX(科目对照收入!$E$2:$E$23,MATCH($B44,科目对照收入!$B$2:$B$23,0))&lt;&gt;"平台优先","× 该项目不按平台金额",IF(COUNTIFS($A$2:$A$601,$A44,$B$2:$B$601,$B44)&gt;1,"× 同店同渠道重复","√")))))</f>
        <v/>
      </c>
    </row>
    <row r="45" customFormat="false" ht="13.5" hidden="false" customHeight="false" outlineLevel="0" collapsed="false">
      <c r="A45" s="35"/>
      <c r="B45" s="35"/>
      <c r="C45" s="37"/>
      <c r="D45" s="15" t="str">
        <f aca="false">IF(OR($A45="",$B45=""),"",ROUND(IFERROR(INDEX(海典汇总!$C$3:$AE$67,MATCH($A45,海典汇总!$A$3:$A$67,0),MATCH(INDEX(科目对照收入!$F$2:$F$23,MATCH($B45,科目对照收入!$B$2:$B$23,0)),海典汇总!$C$1:$AE$1,0)),0)+IFERROR(INDEX(海典汇总!$C$3:$AE$67,MATCH($A45,海典汇总!$A$3:$A$67,0),MATCH(INDEX(科目对照收入!$G$2:$G$23,MATCH($B45,科目对照收入!$B$2:$B$23,0)),海典汇总!$C$1:$AE$1,0)),0)+IFERROR(INDEX(海典汇总!$C$3:$AE$67,MATCH($A45,海典汇总!$A$3:$A$67,0),MATCH(INDEX(科目对照收入!$H$2:$H$23,MATCH($B45,科目对照收入!$B$2:$B$23,0)),海典汇总!$C$1:$AE$1,0)),0),2))</f>
        <v/>
      </c>
      <c r="E45" s="15" t="str">
        <f aca="false">IF($D45="","",ROUND($C45-$D45,2))</f>
        <v/>
      </c>
      <c r="F45" s="38" t="str">
        <f aca="false">IF($A45&amp;$B45="","",IF(COUNTIF(门店对照!$A$2:$A$66,$A45)=0,"× 门店编码不对",IF(COUNTIF(科目对照收入!$B$2:$B$23,$B45)=0,"× 渠道名不对",IF(INDEX(科目对照收入!$E$2:$E$23,MATCH($B45,科目对照收入!$B$2:$B$23,0))&lt;&gt;"平台优先","× 该项目不按平台金额",IF(COUNTIFS($A$2:$A$601,$A45,$B$2:$B$601,$B45)&gt;1,"× 同店同渠道重复","√")))))</f>
        <v/>
      </c>
    </row>
    <row r="46" customFormat="false" ht="13.5" hidden="false" customHeight="false" outlineLevel="0" collapsed="false">
      <c r="A46" s="35"/>
      <c r="B46" s="35"/>
      <c r="C46" s="37"/>
      <c r="D46" s="15" t="str">
        <f aca="false">IF(OR($A46="",$B46=""),"",ROUND(IFERROR(INDEX(海典汇总!$C$3:$AE$67,MATCH($A46,海典汇总!$A$3:$A$67,0),MATCH(INDEX(科目对照收入!$F$2:$F$23,MATCH($B46,科目对照收入!$B$2:$B$23,0)),海典汇总!$C$1:$AE$1,0)),0)+IFERROR(INDEX(海典汇总!$C$3:$AE$67,MATCH($A46,海典汇总!$A$3:$A$67,0),MATCH(INDEX(科目对照收入!$G$2:$G$23,MATCH($B46,科目对照收入!$B$2:$B$23,0)),海典汇总!$C$1:$AE$1,0)),0)+IFERROR(INDEX(海典汇总!$C$3:$AE$67,MATCH($A46,海典汇总!$A$3:$A$67,0),MATCH(INDEX(科目对照收入!$H$2:$H$23,MATCH($B46,科目对照收入!$B$2:$B$23,0)),海典汇总!$C$1:$AE$1,0)),0),2))</f>
        <v/>
      </c>
      <c r="E46" s="15" t="str">
        <f aca="false">IF($D46="","",ROUND($C46-$D46,2))</f>
        <v/>
      </c>
      <c r="F46" s="38" t="str">
        <f aca="false">IF($A46&amp;$B46="","",IF(COUNTIF(门店对照!$A$2:$A$66,$A46)=0,"× 门店编码不对",IF(COUNTIF(科目对照收入!$B$2:$B$23,$B46)=0,"× 渠道名不对",IF(INDEX(科目对照收入!$E$2:$E$23,MATCH($B46,科目对照收入!$B$2:$B$23,0))&lt;&gt;"平台优先","× 该项目不按平台金额",IF(COUNTIFS($A$2:$A$601,$A46,$B$2:$B$601,$B46)&gt;1,"× 同店同渠道重复","√")))))</f>
        <v/>
      </c>
    </row>
    <row r="47" customFormat="false" ht="13.5" hidden="false" customHeight="false" outlineLevel="0" collapsed="false">
      <c r="A47" s="35"/>
      <c r="B47" s="35"/>
      <c r="C47" s="37"/>
      <c r="D47" s="15" t="str">
        <f aca="false">IF(OR($A47="",$B47=""),"",ROUND(IFERROR(INDEX(海典汇总!$C$3:$AE$67,MATCH($A47,海典汇总!$A$3:$A$67,0),MATCH(INDEX(科目对照收入!$F$2:$F$23,MATCH($B47,科目对照收入!$B$2:$B$23,0)),海典汇总!$C$1:$AE$1,0)),0)+IFERROR(INDEX(海典汇总!$C$3:$AE$67,MATCH($A47,海典汇总!$A$3:$A$67,0),MATCH(INDEX(科目对照收入!$G$2:$G$23,MATCH($B47,科目对照收入!$B$2:$B$23,0)),海典汇总!$C$1:$AE$1,0)),0)+IFERROR(INDEX(海典汇总!$C$3:$AE$67,MATCH($A47,海典汇总!$A$3:$A$67,0),MATCH(INDEX(科目对照收入!$H$2:$H$23,MATCH($B47,科目对照收入!$B$2:$B$23,0)),海典汇总!$C$1:$AE$1,0)),0),2))</f>
        <v/>
      </c>
      <c r="E47" s="15" t="str">
        <f aca="false">IF($D47="","",ROUND($C47-$D47,2))</f>
        <v/>
      </c>
      <c r="F47" s="38" t="str">
        <f aca="false">IF($A47&amp;$B47="","",IF(COUNTIF(门店对照!$A$2:$A$66,$A47)=0,"× 门店编码不对",IF(COUNTIF(科目对照收入!$B$2:$B$23,$B47)=0,"× 渠道名不对",IF(INDEX(科目对照收入!$E$2:$E$23,MATCH($B47,科目对照收入!$B$2:$B$23,0))&lt;&gt;"平台优先","× 该项目不按平台金额",IF(COUNTIFS($A$2:$A$601,$A47,$B$2:$B$601,$B47)&gt;1,"× 同店同渠道重复","√")))))</f>
        <v/>
      </c>
    </row>
    <row r="48" customFormat="false" ht="13.5" hidden="false" customHeight="false" outlineLevel="0" collapsed="false">
      <c r="A48" s="35"/>
      <c r="B48" s="35"/>
      <c r="C48" s="37"/>
      <c r="D48" s="15" t="str">
        <f aca="false">IF(OR($A48="",$B48=""),"",ROUND(IFERROR(INDEX(海典汇总!$C$3:$AE$67,MATCH($A48,海典汇总!$A$3:$A$67,0),MATCH(INDEX(科目对照收入!$F$2:$F$23,MATCH($B48,科目对照收入!$B$2:$B$23,0)),海典汇总!$C$1:$AE$1,0)),0)+IFERROR(INDEX(海典汇总!$C$3:$AE$67,MATCH($A48,海典汇总!$A$3:$A$67,0),MATCH(INDEX(科目对照收入!$G$2:$G$23,MATCH($B48,科目对照收入!$B$2:$B$23,0)),海典汇总!$C$1:$AE$1,0)),0)+IFERROR(INDEX(海典汇总!$C$3:$AE$67,MATCH($A48,海典汇总!$A$3:$A$67,0),MATCH(INDEX(科目对照收入!$H$2:$H$23,MATCH($B48,科目对照收入!$B$2:$B$23,0)),海典汇总!$C$1:$AE$1,0)),0),2))</f>
        <v/>
      </c>
      <c r="E48" s="15" t="str">
        <f aca="false">IF($D48="","",ROUND($C48-$D48,2))</f>
        <v/>
      </c>
      <c r="F48" s="38" t="str">
        <f aca="false">IF($A48&amp;$B48="","",IF(COUNTIF(门店对照!$A$2:$A$66,$A48)=0,"× 门店编码不对",IF(COUNTIF(科目对照收入!$B$2:$B$23,$B48)=0,"× 渠道名不对",IF(INDEX(科目对照收入!$E$2:$E$23,MATCH($B48,科目对照收入!$B$2:$B$23,0))&lt;&gt;"平台优先","× 该项目不按平台金额",IF(COUNTIFS($A$2:$A$601,$A48,$B$2:$B$601,$B48)&gt;1,"× 同店同渠道重复","√")))))</f>
        <v/>
      </c>
    </row>
    <row r="49" customFormat="false" ht="13.5" hidden="false" customHeight="false" outlineLevel="0" collapsed="false">
      <c r="A49" s="35"/>
      <c r="B49" s="35"/>
      <c r="C49" s="37"/>
      <c r="D49" s="15" t="str">
        <f aca="false">IF(OR($A49="",$B49=""),"",ROUND(IFERROR(INDEX(海典汇总!$C$3:$AE$67,MATCH($A49,海典汇总!$A$3:$A$67,0),MATCH(INDEX(科目对照收入!$F$2:$F$23,MATCH($B49,科目对照收入!$B$2:$B$23,0)),海典汇总!$C$1:$AE$1,0)),0)+IFERROR(INDEX(海典汇总!$C$3:$AE$67,MATCH($A49,海典汇总!$A$3:$A$67,0),MATCH(INDEX(科目对照收入!$G$2:$G$23,MATCH($B49,科目对照收入!$B$2:$B$23,0)),海典汇总!$C$1:$AE$1,0)),0)+IFERROR(INDEX(海典汇总!$C$3:$AE$67,MATCH($A49,海典汇总!$A$3:$A$67,0),MATCH(INDEX(科目对照收入!$H$2:$H$23,MATCH($B49,科目对照收入!$B$2:$B$23,0)),海典汇总!$C$1:$AE$1,0)),0),2))</f>
        <v/>
      </c>
      <c r="E49" s="15" t="str">
        <f aca="false">IF($D49="","",ROUND($C49-$D49,2))</f>
        <v/>
      </c>
      <c r="F49" s="38" t="str">
        <f aca="false">IF($A49&amp;$B49="","",IF(COUNTIF(门店对照!$A$2:$A$66,$A49)=0,"× 门店编码不对",IF(COUNTIF(科目对照收入!$B$2:$B$23,$B49)=0,"× 渠道名不对",IF(INDEX(科目对照收入!$E$2:$E$23,MATCH($B49,科目对照收入!$B$2:$B$23,0))&lt;&gt;"平台优先","× 该项目不按平台金额",IF(COUNTIFS($A$2:$A$601,$A49,$B$2:$B$601,$B49)&gt;1,"× 同店同渠道重复","√")))))</f>
        <v/>
      </c>
    </row>
    <row r="50" customFormat="false" ht="13.5" hidden="false" customHeight="false" outlineLevel="0" collapsed="false">
      <c r="A50" s="35"/>
      <c r="B50" s="35"/>
      <c r="C50" s="37"/>
      <c r="D50" s="15" t="str">
        <f aca="false">IF(OR($A50="",$B50=""),"",ROUND(IFERROR(INDEX(海典汇总!$C$3:$AE$67,MATCH($A50,海典汇总!$A$3:$A$67,0),MATCH(INDEX(科目对照收入!$F$2:$F$23,MATCH($B50,科目对照收入!$B$2:$B$23,0)),海典汇总!$C$1:$AE$1,0)),0)+IFERROR(INDEX(海典汇总!$C$3:$AE$67,MATCH($A50,海典汇总!$A$3:$A$67,0),MATCH(INDEX(科目对照收入!$G$2:$G$23,MATCH($B50,科目对照收入!$B$2:$B$23,0)),海典汇总!$C$1:$AE$1,0)),0)+IFERROR(INDEX(海典汇总!$C$3:$AE$67,MATCH($A50,海典汇总!$A$3:$A$67,0),MATCH(INDEX(科目对照收入!$H$2:$H$23,MATCH($B50,科目对照收入!$B$2:$B$23,0)),海典汇总!$C$1:$AE$1,0)),0),2))</f>
        <v/>
      </c>
      <c r="E50" s="15" t="str">
        <f aca="false">IF($D50="","",ROUND($C50-$D50,2))</f>
        <v/>
      </c>
      <c r="F50" s="38" t="str">
        <f aca="false">IF($A50&amp;$B50="","",IF(COUNTIF(门店对照!$A$2:$A$66,$A50)=0,"× 门店编码不对",IF(COUNTIF(科目对照收入!$B$2:$B$23,$B50)=0,"× 渠道名不对",IF(INDEX(科目对照收入!$E$2:$E$23,MATCH($B50,科目对照收入!$B$2:$B$23,0))&lt;&gt;"平台优先","× 该项目不按平台金额",IF(COUNTIFS($A$2:$A$601,$A50,$B$2:$B$601,$B50)&gt;1,"× 同店同渠道重复","√")))))</f>
        <v/>
      </c>
    </row>
    <row r="51" customFormat="false" ht="13.5" hidden="false" customHeight="false" outlineLevel="0" collapsed="false">
      <c r="A51" s="35"/>
      <c r="B51" s="35"/>
      <c r="C51" s="37"/>
      <c r="D51" s="15" t="str">
        <f aca="false">IF(OR($A51="",$B51=""),"",ROUND(IFERROR(INDEX(海典汇总!$C$3:$AE$67,MATCH($A51,海典汇总!$A$3:$A$67,0),MATCH(INDEX(科目对照收入!$F$2:$F$23,MATCH($B51,科目对照收入!$B$2:$B$23,0)),海典汇总!$C$1:$AE$1,0)),0)+IFERROR(INDEX(海典汇总!$C$3:$AE$67,MATCH($A51,海典汇总!$A$3:$A$67,0),MATCH(INDEX(科目对照收入!$G$2:$G$23,MATCH($B51,科目对照收入!$B$2:$B$23,0)),海典汇总!$C$1:$AE$1,0)),0)+IFERROR(INDEX(海典汇总!$C$3:$AE$67,MATCH($A51,海典汇总!$A$3:$A$67,0),MATCH(INDEX(科目对照收入!$H$2:$H$23,MATCH($B51,科目对照收入!$B$2:$B$23,0)),海典汇总!$C$1:$AE$1,0)),0),2))</f>
        <v/>
      </c>
      <c r="E51" s="15" t="str">
        <f aca="false">IF($D51="","",ROUND($C51-$D51,2))</f>
        <v/>
      </c>
      <c r="F51" s="38" t="str">
        <f aca="false">IF($A51&amp;$B51="","",IF(COUNTIF(门店对照!$A$2:$A$66,$A51)=0,"× 门店编码不对",IF(COUNTIF(科目对照收入!$B$2:$B$23,$B51)=0,"× 渠道名不对",IF(INDEX(科目对照收入!$E$2:$E$23,MATCH($B51,科目对照收入!$B$2:$B$23,0))&lt;&gt;"平台优先","× 该项目不按平台金额",IF(COUNTIFS($A$2:$A$601,$A51,$B$2:$B$601,$B51)&gt;1,"× 同店同渠道重复","√")))))</f>
        <v/>
      </c>
    </row>
    <row r="52" customFormat="false" ht="13.5" hidden="false" customHeight="false" outlineLevel="0" collapsed="false">
      <c r="A52" s="35"/>
      <c r="B52" s="35"/>
      <c r="C52" s="37"/>
      <c r="D52" s="15" t="str">
        <f aca="false">IF(OR($A52="",$B52=""),"",ROUND(IFERROR(INDEX(海典汇总!$C$3:$AE$67,MATCH($A52,海典汇总!$A$3:$A$67,0),MATCH(INDEX(科目对照收入!$F$2:$F$23,MATCH($B52,科目对照收入!$B$2:$B$23,0)),海典汇总!$C$1:$AE$1,0)),0)+IFERROR(INDEX(海典汇总!$C$3:$AE$67,MATCH($A52,海典汇总!$A$3:$A$67,0),MATCH(INDEX(科目对照收入!$G$2:$G$23,MATCH($B52,科目对照收入!$B$2:$B$23,0)),海典汇总!$C$1:$AE$1,0)),0)+IFERROR(INDEX(海典汇总!$C$3:$AE$67,MATCH($A52,海典汇总!$A$3:$A$67,0),MATCH(INDEX(科目对照收入!$H$2:$H$23,MATCH($B52,科目对照收入!$B$2:$B$23,0)),海典汇总!$C$1:$AE$1,0)),0),2))</f>
        <v/>
      </c>
      <c r="E52" s="15" t="str">
        <f aca="false">IF($D52="","",ROUND($C52-$D52,2))</f>
        <v/>
      </c>
      <c r="F52" s="38" t="str">
        <f aca="false">IF($A52&amp;$B52="","",IF(COUNTIF(门店对照!$A$2:$A$66,$A52)=0,"× 门店编码不对",IF(COUNTIF(科目对照收入!$B$2:$B$23,$B52)=0,"× 渠道名不对",IF(INDEX(科目对照收入!$E$2:$E$23,MATCH($B52,科目对照收入!$B$2:$B$23,0))&lt;&gt;"平台优先","× 该项目不按平台金额",IF(COUNTIFS($A$2:$A$601,$A52,$B$2:$B$601,$B52)&gt;1,"× 同店同渠道重复","√")))))</f>
        <v/>
      </c>
    </row>
    <row r="53" customFormat="false" ht="13.5" hidden="false" customHeight="false" outlineLevel="0" collapsed="false">
      <c r="A53" s="35"/>
      <c r="B53" s="35"/>
      <c r="C53" s="37"/>
      <c r="D53" s="15" t="str">
        <f aca="false">IF(OR($A53="",$B53=""),"",ROUND(IFERROR(INDEX(海典汇总!$C$3:$AE$67,MATCH($A53,海典汇总!$A$3:$A$67,0),MATCH(INDEX(科目对照收入!$F$2:$F$23,MATCH($B53,科目对照收入!$B$2:$B$23,0)),海典汇总!$C$1:$AE$1,0)),0)+IFERROR(INDEX(海典汇总!$C$3:$AE$67,MATCH($A53,海典汇总!$A$3:$A$67,0),MATCH(INDEX(科目对照收入!$G$2:$G$23,MATCH($B53,科目对照收入!$B$2:$B$23,0)),海典汇总!$C$1:$AE$1,0)),0)+IFERROR(INDEX(海典汇总!$C$3:$AE$67,MATCH($A53,海典汇总!$A$3:$A$67,0),MATCH(INDEX(科目对照收入!$H$2:$H$23,MATCH($B53,科目对照收入!$B$2:$B$23,0)),海典汇总!$C$1:$AE$1,0)),0),2))</f>
        <v/>
      </c>
      <c r="E53" s="15" t="str">
        <f aca="false">IF($D53="","",ROUND($C53-$D53,2))</f>
        <v/>
      </c>
      <c r="F53" s="38" t="str">
        <f aca="false">IF($A53&amp;$B53="","",IF(COUNTIF(门店对照!$A$2:$A$66,$A53)=0,"× 门店编码不对",IF(COUNTIF(科目对照收入!$B$2:$B$23,$B53)=0,"× 渠道名不对",IF(INDEX(科目对照收入!$E$2:$E$23,MATCH($B53,科目对照收入!$B$2:$B$23,0))&lt;&gt;"平台优先","× 该项目不按平台金额",IF(COUNTIFS($A$2:$A$601,$A53,$B$2:$B$601,$B53)&gt;1,"× 同店同渠道重复","√")))))</f>
        <v/>
      </c>
    </row>
    <row r="54" customFormat="false" ht="13.5" hidden="false" customHeight="false" outlineLevel="0" collapsed="false">
      <c r="A54" s="35"/>
      <c r="B54" s="35"/>
      <c r="C54" s="37"/>
      <c r="D54" s="15" t="str">
        <f aca="false">IF(OR($A54="",$B54=""),"",ROUND(IFERROR(INDEX(海典汇总!$C$3:$AE$67,MATCH($A54,海典汇总!$A$3:$A$67,0),MATCH(INDEX(科目对照收入!$F$2:$F$23,MATCH($B54,科目对照收入!$B$2:$B$23,0)),海典汇总!$C$1:$AE$1,0)),0)+IFERROR(INDEX(海典汇总!$C$3:$AE$67,MATCH($A54,海典汇总!$A$3:$A$67,0),MATCH(INDEX(科目对照收入!$G$2:$G$23,MATCH($B54,科目对照收入!$B$2:$B$23,0)),海典汇总!$C$1:$AE$1,0)),0)+IFERROR(INDEX(海典汇总!$C$3:$AE$67,MATCH($A54,海典汇总!$A$3:$A$67,0),MATCH(INDEX(科目对照收入!$H$2:$H$23,MATCH($B54,科目对照收入!$B$2:$B$23,0)),海典汇总!$C$1:$AE$1,0)),0),2))</f>
        <v/>
      </c>
      <c r="E54" s="15" t="str">
        <f aca="false">IF($D54="","",ROUND($C54-$D54,2))</f>
        <v/>
      </c>
      <c r="F54" s="38" t="str">
        <f aca="false">IF($A54&amp;$B54="","",IF(COUNTIF(门店对照!$A$2:$A$66,$A54)=0,"× 门店编码不对",IF(COUNTIF(科目对照收入!$B$2:$B$23,$B54)=0,"× 渠道名不对",IF(INDEX(科目对照收入!$E$2:$E$23,MATCH($B54,科目对照收入!$B$2:$B$23,0))&lt;&gt;"平台优先","× 该项目不按平台金额",IF(COUNTIFS($A$2:$A$601,$A54,$B$2:$B$601,$B54)&gt;1,"× 同店同渠道重复","√")))))</f>
        <v/>
      </c>
    </row>
    <row r="55" customFormat="false" ht="13.5" hidden="false" customHeight="false" outlineLevel="0" collapsed="false">
      <c r="A55" s="35"/>
      <c r="B55" s="35"/>
      <c r="C55" s="37"/>
      <c r="D55" s="15" t="str">
        <f aca="false">IF(OR($A55="",$B55=""),"",ROUND(IFERROR(INDEX(海典汇总!$C$3:$AE$67,MATCH($A55,海典汇总!$A$3:$A$67,0),MATCH(INDEX(科目对照收入!$F$2:$F$23,MATCH($B55,科目对照收入!$B$2:$B$23,0)),海典汇总!$C$1:$AE$1,0)),0)+IFERROR(INDEX(海典汇总!$C$3:$AE$67,MATCH($A55,海典汇总!$A$3:$A$67,0),MATCH(INDEX(科目对照收入!$G$2:$G$23,MATCH($B55,科目对照收入!$B$2:$B$23,0)),海典汇总!$C$1:$AE$1,0)),0)+IFERROR(INDEX(海典汇总!$C$3:$AE$67,MATCH($A55,海典汇总!$A$3:$A$67,0),MATCH(INDEX(科目对照收入!$H$2:$H$23,MATCH($B55,科目对照收入!$B$2:$B$23,0)),海典汇总!$C$1:$AE$1,0)),0),2))</f>
        <v/>
      </c>
      <c r="E55" s="15" t="str">
        <f aca="false">IF($D55="","",ROUND($C55-$D55,2))</f>
        <v/>
      </c>
      <c r="F55" s="38" t="str">
        <f aca="false">IF($A55&amp;$B55="","",IF(COUNTIF(门店对照!$A$2:$A$66,$A55)=0,"× 门店编码不对",IF(COUNTIF(科目对照收入!$B$2:$B$23,$B55)=0,"× 渠道名不对",IF(INDEX(科目对照收入!$E$2:$E$23,MATCH($B55,科目对照收入!$B$2:$B$23,0))&lt;&gt;"平台优先","× 该项目不按平台金额",IF(COUNTIFS($A$2:$A$601,$A55,$B$2:$B$601,$B55)&gt;1,"× 同店同渠道重复","√")))))</f>
        <v/>
      </c>
    </row>
    <row r="56" customFormat="false" ht="13.5" hidden="false" customHeight="false" outlineLevel="0" collapsed="false">
      <c r="A56" s="35"/>
      <c r="B56" s="35"/>
      <c r="C56" s="37"/>
      <c r="D56" s="15" t="str">
        <f aca="false">IF(OR($A56="",$B56=""),"",ROUND(IFERROR(INDEX(海典汇总!$C$3:$AE$67,MATCH($A56,海典汇总!$A$3:$A$67,0),MATCH(INDEX(科目对照收入!$F$2:$F$23,MATCH($B56,科目对照收入!$B$2:$B$23,0)),海典汇总!$C$1:$AE$1,0)),0)+IFERROR(INDEX(海典汇总!$C$3:$AE$67,MATCH($A56,海典汇总!$A$3:$A$67,0),MATCH(INDEX(科目对照收入!$G$2:$G$23,MATCH($B56,科目对照收入!$B$2:$B$23,0)),海典汇总!$C$1:$AE$1,0)),0)+IFERROR(INDEX(海典汇总!$C$3:$AE$67,MATCH($A56,海典汇总!$A$3:$A$67,0),MATCH(INDEX(科目对照收入!$H$2:$H$23,MATCH($B56,科目对照收入!$B$2:$B$23,0)),海典汇总!$C$1:$AE$1,0)),0),2))</f>
        <v/>
      </c>
      <c r="E56" s="15" t="str">
        <f aca="false">IF($D56="","",ROUND($C56-$D56,2))</f>
        <v/>
      </c>
      <c r="F56" s="38" t="str">
        <f aca="false">IF($A56&amp;$B56="","",IF(COUNTIF(门店对照!$A$2:$A$66,$A56)=0,"× 门店编码不对",IF(COUNTIF(科目对照收入!$B$2:$B$23,$B56)=0,"× 渠道名不对",IF(INDEX(科目对照收入!$E$2:$E$23,MATCH($B56,科目对照收入!$B$2:$B$23,0))&lt;&gt;"平台优先","× 该项目不按平台金额",IF(COUNTIFS($A$2:$A$601,$A56,$B$2:$B$601,$B56)&gt;1,"× 同店同渠道重复","√")))))</f>
        <v/>
      </c>
    </row>
    <row r="57" customFormat="false" ht="13.5" hidden="false" customHeight="false" outlineLevel="0" collapsed="false">
      <c r="A57" s="35"/>
      <c r="B57" s="35"/>
      <c r="C57" s="37"/>
      <c r="D57" s="15" t="str">
        <f aca="false">IF(OR($A57="",$B57=""),"",ROUND(IFERROR(INDEX(海典汇总!$C$3:$AE$67,MATCH($A57,海典汇总!$A$3:$A$67,0),MATCH(INDEX(科目对照收入!$F$2:$F$23,MATCH($B57,科目对照收入!$B$2:$B$23,0)),海典汇总!$C$1:$AE$1,0)),0)+IFERROR(INDEX(海典汇总!$C$3:$AE$67,MATCH($A57,海典汇总!$A$3:$A$67,0),MATCH(INDEX(科目对照收入!$G$2:$G$23,MATCH($B57,科目对照收入!$B$2:$B$23,0)),海典汇总!$C$1:$AE$1,0)),0)+IFERROR(INDEX(海典汇总!$C$3:$AE$67,MATCH($A57,海典汇总!$A$3:$A$67,0),MATCH(INDEX(科目对照收入!$H$2:$H$23,MATCH($B57,科目对照收入!$B$2:$B$23,0)),海典汇总!$C$1:$AE$1,0)),0),2))</f>
        <v/>
      </c>
      <c r="E57" s="15" t="str">
        <f aca="false">IF($D57="","",ROUND($C57-$D57,2))</f>
        <v/>
      </c>
      <c r="F57" s="38" t="str">
        <f aca="false">IF($A57&amp;$B57="","",IF(COUNTIF(门店对照!$A$2:$A$66,$A57)=0,"× 门店编码不对",IF(COUNTIF(科目对照收入!$B$2:$B$23,$B57)=0,"× 渠道名不对",IF(INDEX(科目对照收入!$E$2:$E$23,MATCH($B57,科目对照收入!$B$2:$B$23,0))&lt;&gt;"平台优先","× 该项目不按平台金额",IF(COUNTIFS($A$2:$A$601,$A57,$B$2:$B$601,$B57)&gt;1,"× 同店同渠道重复","√")))))</f>
        <v/>
      </c>
    </row>
    <row r="58" customFormat="false" ht="13.5" hidden="false" customHeight="false" outlineLevel="0" collapsed="false">
      <c r="A58" s="35"/>
      <c r="B58" s="35"/>
      <c r="C58" s="37"/>
      <c r="D58" s="15" t="str">
        <f aca="false">IF(OR($A58="",$B58=""),"",ROUND(IFERROR(INDEX(海典汇总!$C$3:$AE$67,MATCH($A58,海典汇总!$A$3:$A$67,0),MATCH(INDEX(科目对照收入!$F$2:$F$23,MATCH($B58,科目对照收入!$B$2:$B$23,0)),海典汇总!$C$1:$AE$1,0)),0)+IFERROR(INDEX(海典汇总!$C$3:$AE$67,MATCH($A58,海典汇总!$A$3:$A$67,0),MATCH(INDEX(科目对照收入!$G$2:$G$23,MATCH($B58,科目对照收入!$B$2:$B$23,0)),海典汇总!$C$1:$AE$1,0)),0)+IFERROR(INDEX(海典汇总!$C$3:$AE$67,MATCH($A58,海典汇总!$A$3:$A$67,0),MATCH(INDEX(科目对照收入!$H$2:$H$23,MATCH($B58,科目对照收入!$B$2:$B$23,0)),海典汇总!$C$1:$AE$1,0)),0),2))</f>
        <v/>
      </c>
      <c r="E58" s="15" t="str">
        <f aca="false">IF($D58="","",ROUND($C58-$D58,2))</f>
        <v/>
      </c>
      <c r="F58" s="38" t="str">
        <f aca="false">IF($A58&amp;$B58="","",IF(COUNTIF(门店对照!$A$2:$A$66,$A58)=0,"× 门店编码不对",IF(COUNTIF(科目对照收入!$B$2:$B$23,$B58)=0,"× 渠道名不对",IF(INDEX(科目对照收入!$E$2:$E$23,MATCH($B58,科目对照收入!$B$2:$B$23,0))&lt;&gt;"平台优先","× 该项目不按平台金额",IF(COUNTIFS($A$2:$A$601,$A58,$B$2:$B$601,$B58)&gt;1,"× 同店同渠道重复","√")))))</f>
        <v/>
      </c>
    </row>
    <row r="59" customFormat="false" ht="13.5" hidden="false" customHeight="false" outlineLevel="0" collapsed="false">
      <c r="A59" s="35"/>
      <c r="B59" s="35"/>
      <c r="C59" s="37"/>
      <c r="D59" s="15" t="str">
        <f aca="false">IF(OR($A59="",$B59=""),"",ROUND(IFERROR(INDEX(海典汇总!$C$3:$AE$67,MATCH($A59,海典汇总!$A$3:$A$67,0),MATCH(INDEX(科目对照收入!$F$2:$F$23,MATCH($B59,科目对照收入!$B$2:$B$23,0)),海典汇总!$C$1:$AE$1,0)),0)+IFERROR(INDEX(海典汇总!$C$3:$AE$67,MATCH($A59,海典汇总!$A$3:$A$67,0),MATCH(INDEX(科目对照收入!$G$2:$G$23,MATCH($B59,科目对照收入!$B$2:$B$23,0)),海典汇总!$C$1:$AE$1,0)),0)+IFERROR(INDEX(海典汇总!$C$3:$AE$67,MATCH($A59,海典汇总!$A$3:$A$67,0),MATCH(INDEX(科目对照收入!$H$2:$H$23,MATCH($B59,科目对照收入!$B$2:$B$23,0)),海典汇总!$C$1:$AE$1,0)),0),2))</f>
        <v/>
      </c>
      <c r="E59" s="15" t="str">
        <f aca="false">IF($D59="","",ROUND($C59-$D59,2))</f>
        <v/>
      </c>
      <c r="F59" s="38" t="str">
        <f aca="false">IF($A59&amp;$B59="","",IF(COUNTIF(门店对照!$A$2:$A$66,$A59)=0,"× 门店编码不对",IF(COUNTIF(科目对照收入!$B$2:$B$23,$B59)=0,"× 渠道名不对",IF(INDEX(科目对照收入!$E$2:$E$23,MATCH($B59,科目对照收入!$B$2:$B$23,0))&lt;&gt;"平台优先","× 该项目不按平台金额",IF(COUNTIFS($A$2:$A$601,$A59,$B$2:$B$601,$B59)&gt;1,"× 同店同渠道重复","√")))))</f>
        <v/>
      </c>
    </row>
    <row r="60" customFormat="false" ht="13.5" hidden="false" customHeight="false" outlineLevel="0" collapsed="false">
      <c r="A60" s="35"/>
      <c r="B60" s="35"/>
      <c r="C60" s="37"/>
      <c r="D60" s="15" t="str">
        <f aca="false">IF(OR($A60="",$B60=""),"",ROUND(IFERROR(INDEX(海典汇总!$C$3:$AE$67,MATCH($A60,海典汇总!$A$3:$A$67,0),MATCH(INDEX(科目对照收入!$F$2:$F$23,MATCH($B60,科目对照收入!$B$2:$B$23,0)),海典汇总!$C$1:$AE$1,0)),0)+IFERROR(INDEX(海典汇总!$C$3:$AE$67,MATCH($A60,海典汇总!$A$3:$A$67,0),MATCH(INDEX(科目对照收入!$G$2:$G$23,MATCH($B60,科目对照收入!$B$2:$B$23,0)),海典汇总!$C$1:$AE$1,0)),0)+IFERROR(INDEX(海典汇总!$C$3:$AE$67,MATCH($A60,海典汇总!$A$3:$A$67,0),MATCH(INDEX(科目对照收入!$H$2:$H$23,MATCH($B60,科目对照收入!$B$2:$B$23,0)),海典汇总!$C$1:$AE$1,0)),0),2))</f>
        <v/>
      </c>
      <c r="E60" s="15" t="str">
        <f aca="false">IF($D60="","",ROUND($C60-$D60,2))</f>
        <v/>
      </c>
      <c r="F60" s="38" t="str">
        <f aca="false">IF($A60&amp;$B60="","",IF(COUNTIF(门店对照!$A$2:$A$66,$A60)=0,"× 门店编码不对",IF(COUNTIF(科目对照收入!$B$2:$B$23,$B60)=0,"× 渠道名不对",IF(INDEX(科目对照收入!$E$2:$E$23,MATCH($B60,科目对照收入!$B$2:$B$23,0))&lt;&gt;"平台优先","× 该项目不按平台金额",IF(COUNTIFS($A$2:$A$601,$A60,$B$2:$B$601,$B60)&gt;1,"× 同店同渠道重复","√")))))</f>
        <v/>
      </c>
    </row>
    <row r="61" customFormat="false" ht="13.5" hidden="false" customHeight="false" outlineLevel="0" collapsed="false">
      <c r="A61" s="35"/>
      <c r="B61" s="35"/>
      <c r="C61" s="37"/>
      <c r="D61" s="15" t="str">
        <f aca="false">IF(OR($A61="",$B61=""),"",ROUND(IFERROR(INDEX(海典汇总!$C$3:$AE$67,MATCH($A61,海典汇总!$A$3:$A$67,0),MATCH(INDEX(科目对照收入!$F$2:$F$23,MATCH($B61,科目对照收入!$B$2:$B$23,0)),海典汇总!$C$1:$AE$1,0)),0)+IFERROR(INDEX(海典汇总!$C$3:$AE$67,MATCH($A61,海典汇总!$A$3:$A$67,0),MATCH(INDEX(科目对照收入!$G$2:$G$23,MATCH($B61,科目对照收入!$B$2:$B$23,0)),海典汇总!$C$1:$AE$1,0)),0)+IFERROR(INDEX(海典汇总!$C$3:$AE$67,MATCH($A61,海典汇总!$A$3:$A$67,0),MATCH(INDEX(科目对照收入!$H$2:$H$23,MATCH($B61,科目对照收入!$B$2:$B$23,0)),海典汇总!$C$1:$AE$1,0)),0),2))</f>
        <v/>
      </c>
      <c r="E61" s="15" t="str">
        <f aca="false">IF($D61="","",ROUND($C61-$D61,2))</f>
        <v/>
      </c>
      <c r="F61" s="38" t="str">
        <f aca="false">IF($A61&amp;$B61="","",IF(COUNTIF(门店对照!$A$2:$A$66,$A61)=0,"× 门店编码不对",IF(COUNTIF(科目对照收入!$B$2:$B$23,$B61)=0,"× 渠道名不对",IF(INDEX(科目对照收入!$E$2:$E$23,MATCH($B61,科目对照收入!$B$2:$B$23,0))&lt;&gt;"平台优先","× 该项目不按平台金额",IF(COUNTIFS($A$2:$A$601,$A61,$B$2:$B$601,$B61)&gt;1,"× 同店同渠道重复","√")))))</f>
        <v/>
      </c>
    </row>
    <row r="62" customFormat="false" ht="13.5" hidden="false" customHeight="false" outlineLevel="0" collapsed="false">
      <c r="A62" s="35"/>
      <c r="B62" s="35"/>
      <c r="C62" s="37"/>
      <c r="D62" s="15" t="str">
        <f aca="false">IF(OR($A62="",$B62=""),"",ROUND(IFERROR(INDEX(海典汇总!$C$3:$AE$67,MATCH($A62,海典汇总!$A$3:$A$67,0),MATCH(INDEX(科目对照收入!$F$2:$F$23,MATCH($B62,科目对照收入!$B$2:$B$23,0)),海典汇总!$C$1:$AE$1,0)),0)+IFERROR(INDEX(海典汇总!$C$3:$AE$67,MATCH($A62,海典汇总!$A$3:$A$67,0),MATCH(INDEX(科目对照收入!$G$2:$G$23,MATCH($B62,科目对照收入!$B$2:$B$23,0)),海典汇总!$C$1:$AE$1,0)),0)+IFERROR(INDEX(海典汇总!$C$3:$AE$67,MATCH($A62,海典汇总!$A$3:$A$67,0),MATCH(INDEX(科目对照收入!$H$2:$H$23,MATCH($B62,科目对照收入!$B$2:$B$23,0)),海典汇总!$C$1:$AE$1,0)),0),2))</f>
        <v/>
      </c>
      <c r="E62" s="15" t="str">
        <f aca="false">IF($D62="","",ROUND($C62-$D62,2))</f>
        <v/>
      </c>
      <c r="F62" s="38" t="str">
        <f aca="false">IF($A62&amp;$B62="","",IF(COUNTIF(门店对照!$A$2:$A$66,$A62)=0,"× 门店编码不对",IF(COUNTIF(科目对照收入!$B$2:$B$23,$B62)=0,"× 渠道名不对",IF(INDEX(科目对照收入!$E$2:$E$23,MATCH($B62,科目对照收入!$B$2:$B$23,0))&lt;&gt;"平台优先","× 该项目不按平台金额",IF(COUNTIFS($A$2:$A$601,$A62,$B$2:$B$601,$B62)&gt;1,"× 同店同渠道重复","√")))))</f>
        <v/>
      </c>
    </row>
    <row r="63" customFormat="false" ht="13.5" hidden="false" customHeight="false" outlineLevel="0" collapsed="false">
      <c r="A63" s="35"/>
      <c r="B63" s="35"/>
      <c r="C63" s="37"/>
      <c r="D63" s="15" t="str">
        <f aca="false">IF(OR($A63="",$B63=""),"",ROUND(IFERROR(INDEX(海典汇总!$C$3:$AE$67,MATCH($A63,海典汇总!$A$3:$A$67,0),MATCH(INDEX(科目对照收入!$F$2:$F$23,MATCH($B63,科目对照收入!$B$2:$B$23,0)),海典汇总!$C$1:$AE$1,0)),0)+IFERROR(INDEX(海典汇总!$C$3:$AE$67,MATCH($A63,海典汇总!$A$3:$A$67,0),MATCH(INDEX(科目对照收入!$G$2:$G$23,MATCH($B63,科目对照收入!$B$2:$B$23,0)),海典汇总!$C$1:$AE$1,0)),0)+IFERROR(INDEX(海典汇总!$C$3:$AE$67,MATCH($A63,海典汇总!$A$3:$A$67,0),MATCH(INDEX(科目对照收入!$H$2:$H$23,MATCH($B63,科目对照收入!$B$2:$B$23,0)),海典汇总!$C$1:$AE$1,0)),0),2))</f>
        <v/>
      </c>
      <c r="E63" s="15" t="str">
        <f aca="false">IF($D63="","",ROUND($C63-$D63,2))</f>
        <v/>
      </c>
      <c r="F63" s="38" t="str">
        <f aca="false">IF($A63&amp;$B63="","",IF(COUNTIF(门店对照!$A$2:$A$66,$A63)=0,"× 门店编码不对",IF(COUNTIF(科目对照收入!$B$2:$B$23,$B63)=0,"× 渠道名不对",IF(INDEX(科目对照收入!$E$2:$E$23,MATCH($B63,科目对照收入!$B$2:$B$23,0))&lt;&gt;"平台优先","× 该项目不按平台金额",IF(COUNTIFS($A$2:$A$601,$A63,$B$2:$B$601,$B63)&gt;1,"× 同店同渠道重复","√")))))</f>
        <v/>
      </c>
    </row>
    <row r="64" customFormat="false" ht="13.5" hidden="false" customHeight="false" outlineLevel="0" collapsed="false">
      <c r="A64" s="35"/>
      <c r="B64" s="35"/>
      <c r="C64" s="37"/>
      <c r="D64" s="15" t="str">
        <f aca="false">IF(OR($A64="",$B64=""),"",ROUND(IFERROR(INDEX(海典汇总!$C$3:$AE$67,MATCH($A64,海典汇总!$A$3:$A$67,0),MATCH(INDEX(科目对照收入!$F$2:$F$23,MATCH($B64,科目对照收入!$B$2:$B$23,0)),海典汇总!$C$1:$AE$1,0)),0)+IFERROR(INDEX(海典汇总!$C$3:$AE$67,MATCH($A64,海典汇总!$A$3:$A$67,0),MATCH(INDEX(科目对照收入!$G$2:$G$23,MATCH($B64,科目对照收入!$B$2:$B$23,0)),海典汇总!$C$1:$AE$1,0)),0)+IFERROR(INDEX(海典汇总!$C$3:$AE$67,MATCH($A64,海典汇总!$A$3:$A$67,0),MATCH(INDEX(科目对照收入!$H$2:$H$23,MATCH($B64,科目对照收入!$B$2:$B$23,0)),海典汇总!$C$1:$AE$1,0)),0),2))</f>
        <v/>
      </c>
      <c r="E64" s="15" t="str">
        <f aca="false">IF($D64="","",ROUND($C64-$D64,2))</f>
        <v/>
      </c>
      <c r="F64" s="38" t="str">
        <f aca="false">IF($A64&amp;$B64="","",IF(COUNTIF(门店对照!$A$2:$A$66,$A64)=0,"× 门店编码不对",IF(COUNTIF(科目对照收入!$B$2:$B$23,$B64)=0,"× 渠道名不对",IF(INDEX(科目对照收入!$E$2:$E$23,MATCH($B64,科目对照收入!$B$2:$B$23,0))&lt;&gt;"平台优先","× 该项目不按平台金额",IF(COUNTIFS($A$2:$A$601,$A64,$B$2:$B$601,$B64)&gt;1,"× 同店同渠道重复","√")))))</f>
        <v/>
      </c>
    </row>
    <row r="65" customFormat="false" ht="13.5" hidden="false" customHeight="false" outlineLevel="0" collapsed="false">
      <c r="A65" s="35"/>
      <c r="B65" s="35"/>
      <c r="C65" s="37"/>
      <c r="D65" s="15" t="str">
        <f aca="false">IF(OR($A65="",$B65=""),"",ROUND(IFERROR(INDEX(海典汇总!$C$3:$AE$67,MATCH($A65,海典汇总!$A$3:$A$67,0),MATCH(INDEX(科目对照收入!$F$2:$F$23,MATCH($B65,科目对照收入!$B$2:$B$23,0)),海典汇总!$C$1:$AE$1,0)),0)+IFERROR(INDEX(海典汇总!$C$3:$AE$67,MATCH($A65,海典汇总!$A$3:$A$67,0),MATCH(INDEX(科目对照收入!$G$2:$G$23,MATCH($B65,科目对照收入!$B$2:$B$23,0)),海典汇总!$C$1:$AE$1,0)),0)+IFERROR(INDEX(海典汇总!$C$3:$AE$67,MATCH($A65,海典汇总!$A$3:$A$67,0),MATCH(INDEX(科目对照收入!$H$2:$H$23,MATCH($B65,科目对照收入!$B$2:$B$23,0)),海典汇总!$C$1:$AE$1,0)),0),2))</f>
        <v/>
      </c>
      <c r="E65" s="15" t="str">
        <f aca="false">IF($D65="","",ROUND($C65-$D65,2))</f>
        <v/>
      </c>
      <c r="F65" s="38" t="str">
        <f aca="false">IF($A65&amp;$B65="","",IF(COUNTIF(门店对照!$A$2:$A$66,$A65)=0,"× 门店编码不对",IF(COUNTIF(科目对照收入!$B$2:$B$23,$B65)=0,"× 渠道名不对",IF(INDEX(科目对照收入!$E$2:$E$23,MATCH($B65,科目对照收入!$B$2:$B$23,0))&lt;&gt;"平台优先","× 该项目不按平台金额",IF(COUNTIFS($A$2:$A$601,$A65,$B$2:$B$601,$B65)&gt;1,"× 同店同渠道重复","√")))))</f>
        <v/>
      </c>
    </row>
    <row r="66" customFormat="false" ht="13.5" hidden="false" customHeight="false" outlineLevel="0" collapsed="false">
      <c r="A66" s="35"/>
      <c r="B66" s="35"/>
      <c r="C66" s="37"/>
      <c r="D66" s="15" t="str">
        <f aca="false">IF(OR($A66="",$B66=""),"",ROUND(IFERROR(INDEX(海典汇总!$C$3:$AE$67,MATCH($A66,海典汇总!$A$3:$A$67,0),MATCH(INDEX(科目对照收入!$F$2:$F$23,MATCH($B66,科目对照收入!$B$2:$B$23,0)),海典汇总!$C$1:$AE$1,0)),0)+IFERROR(INDEX(海典汇总!$C$3:$AE$67,MATCH($A66,海典汇总!$A$3:$A$67,0),MATCH(INDEX(科目对照收入!$G$2:$G$23,MATCH($B66,科目对照收入!$B$2:$B$23,0)),海典汇总!$C$1:$AE$1,0)),0)+IFERROR(INDEX(海典汇总!$C$3:$AE$67,MATCH($A66,海典汇总!$A$3:$A$67,0),MATCH(INDEX(科目对照收入!$H$2:$H$23,MATCH($B66,科目对照收入!$B$2:$B$23,0)),海典汇总!$C$1:$AE$1,0)),0),2))</f>
        <v/>
      </c>
      <c r="E66" s="15" t="str">
        <f aca="false">IF($D66="","",ROUND($C66-$D66,2))</f>
        <v/>
      </c>
      <c r="F66" s="38" t="str">
        <f aca="false">IF($A66&amp;$B66="","",IF(COUNTIF(门店对照!$A$2:$A$66,$A66)=0,"× 门店编码不对",IF(COUNTIF(科目对照收入!$B$2:$B$23,$B66)=0,"× 渠道名不对",IF(INDEX(科目对照收入!$E$2:$E$23,MATCH($B66,科目对照收入!$B$2:$B$23,0))&lt;&gt;"平台优先","× 该项目不按平台金额",IF(COUNTIFS($A$2:$A$601,$A66,$B$2:$B$601,$B66)&gt;1,"× 同店同渠道重复","√")))))</f>
        <v/>
      </c>
    </row>
    <row r="67" customFormat="false" ht="13.5" hidden="false" customHeight="false" outlineLevel="0" collapsed="false">
      <c r="A67" s="35"/>
      <c r="B67" s="35"/>
      <c r="C67" s="37"/>
      <c r="D67" s="15" t="str">
        <f aca="false">IF(OR($A67="",$B67=""),"",ROUND(IFERROR(INDEX(海典汇总!$C$3:$AE$67,MATCH($A67,海典汇总!$A$3:$A$67,0),MATCH(INDEX(科目对照收入!$F$2:$F$23,MATCH($B67,科目对照收入!$B$2:$B$23,0)),海典汇总!$C$1:$AE$1,0)),0)+IFERROR(INDEX(海典汇总!$C$3:$AE$67,MATCH($A67,海典汇总!$A$3:$A$67,0),MATCH(INDEX(科目对照收入!$G$2:$G$23,MATCH($B67,科目对照收入!$B$2:$B$23,0)),海典汇总!$C$1:$AE$1,0)),0)+IFERROR(INDEX(海典汇总!$C$3:$AE$67,MATCH($A67,海典汇总!$A$3:$A$67,0),MATCH(INDEX(科目对照收入!$H$2:$H$23,MATCH($B67,科目对照收入!$B$2:$B$23,0)),海典汇总!$C$1:$AE$1,0)),0),2))</f>
        <v/>
      </c>
      <c r="E67" s="15" t="str">
        <f aca="false">IF($D67="","",ROUND($C67-$D67,2))</f>
        <v/>
      </c>
      <c r="F67" s="38" t="str">
        <f aca="false">IF($A67&amp;$B67="","",IF(COUNTIF(门店对照!$A$2:$A$66,$A67)=0,"× 门店编码不对",IF(COUNTIF(科目对照收入!$B$2:$B$23,$B67)=0,"× 渠道名不对",IF(INDEX(科目对照收入!$E$2:$E$23,MATCH($B67,科目对照收入!$B$2:$B$23,0))&lt;&gt;"平台优先","× 该项目不按平台金额",IF(COUNTIFS($A$2:$A$601,$A67,$B$2:$B$601,$B67)&gt;1,"× 同店同渠道重复","√")))))</f>
        <v/>
      </c>
    </row>
    <row r="68" customFormat="false" ht="13.5" hidden="false" customHeight="false" outlineLevel="0" collapsed="false">
      <c r="A68" s="35"/>
      <c r="B68" s="35"/>
      <c r="C68" s="37"/>
      <c r="D68" s="15" t="str">
        <f aca="false">IF(OR($A68="",$B68=""),"",ROUND(IFERROR(INDEX(海典汇总!$C$3:$AE$67,MATCH($A68,海典汇总!$A$3:$A$67,0),MATCH(INDEX(科目对照收入!$F$2:$F$23,MATCH($B68,科目对照收入!$B$2:$B$23,0)),海典汇总!$C$1:$AE$1,0)),0)+IFERROR(INDEX(海典汇总!$C$3:$AE$67,MATCH($A68,海典汇总!$A$3:$A$67,0),MATCH(INDEX(科目对照收入!$G$2:$G$23,MATCH($B68,科目对照收入!$B$2:$B$23,0)),海典汇总!$C$1:$AE$1,0)),0)+IFERROR(INDEX(海典汇总!$C$3:$AE$67,MATCH($A68,海典汇总!$A$3:$A$67,0),MATCH(INDEX(科目对照收入!$H$2:$H$23,MATCH($B68,科目对照收入!$B$2:$B$23,0)),海典汇总!$C$1:$AE$1,0)),0),2))</f>
        <v/>
      </c>
      <c r="E68" s="15" t="str">
        <f aca="false">IF($D68="","",ROUND($C68-$D68,2))</f>
        <v/>
      </c>
      <c r="F68" s="38" t="str">
        <f aca="false">IF($A68&amp;$B68="","",IF(COUNTIF(门店对照!$A$2:$A$66,$A68)=0,"× 门店编码不对",IF(COUNTIF(科目对照收入!$B$2:$B$23,$B68)=0,"× 渠道名不对",IF(INDEX(科目对照收入!$E$2:$E$23,MATCH($B68,科目对照收入!$B$2:$B$23,0))&lt;&gt;"平台优先","× 该项目不按平台金额",IF(COUNTIFS($A$2:$A$601,$A68,$B$2:$B$601,$B68)&gt;1,"× 同店同渠道重复","√")))))</f>
        <v/>
      </c>
    </row>
    <row r="69" customFormat="false" ht="13.5" hidden="false" customHeight="false" outlineLevel="0" collapsed="false">
      <c r="A69" s="35"/>
      <c r="B69" s="35"/>
      <c r="C69" s="37"/>
      <c r="D69" s="15" t="str">
        <f aca="false">IF(OR($A69="",$B69=""),"",ROUND(IFERROR(INDEX(海典汇总!$C$3:$AE$67,MATCH($A69,海典汇总!$A$3:$A$67,0),MATCH(INDEX(科目对照收入!$F$2:$F$23,MATCH($B69,科目对照收入!$B$2:$B$23,0)),海典汇总!$C$1:$AE$1,0)),0)+IFERROR(INDEX(海典汇总!$C$3:$AE$67,MATCH($A69,海典汇总!$A$3:$A$67,0),MATCH(INDEX(科目对照收入!$G$2:$G$23,MATCH($B69,科目对照收入!$B$2:$B$23,0)),海典汇总!$C$1:$AE$1,0)),0)+IFERROR(INDEX(海典汇总!$C$3:$AE$67,MATCH($A69,海典汇总!$A$3:$A$67,0),MATCH(INDEX(科目对照收入!$H$2:$H$23,MATCH($B69,科目对照收入!$B$2:$B$23,0)),海典汇总!$C$1:$AE$1,0)),0),2))</f>
        <v/>
      </c>
      <c r="E69" s="15" t="str">
        <f aca="false">IF($D69="","",ROUND($C69-$D69,2))</f>
        <v/>
      </c>
      <c r="F69" s="38" t="str">
        <f aca="false">IF($A69&amp;$B69="","",IF(COUNTIF(门店对照!$A$2:$A$66,$A69)=0,"× 门店编码不对",IF(COUNTIF(科目对照收入!$B$2:$B$23,$B69)=0,"× 渠道名不对",IF(INDEX(科目对照收入!$E$2:$E$23,MATCH($B69,科目对照收入!$B$2:$B$23,0))&lt;&gt;"平台优先","× 该项目不按平台金额",IF(COUNTIFS($A$2:$A$601,$A69,$B$2:$B$601,$B69)&gt;1,"× 同店同渠道重复","√")))))</f>
        <v/>
      </c>
    </row>
    <row r="70" customFormat="false" ht="13.5" hidden="false" customHeight="false" outlineLevel="0" collapsed="false">
      <c r="A70" s="35"/>
      <c r="B70" s="35"/>
      <c r="C70" s="37"/>
      <c r="D70" s="15" t="str">
        <f aca="false">IF(OR($A70="",$B70=""),"",ROUND(IFERROR(INDEX(海典汇总!$C$3:$AE$67,MATCH($A70,海典汇总!$A$3:$A$67,0),MATCH(INDEX(科目对照收入!$F$2:$F$23,MATCH($B70,科目对照收入!$B$2:$B$23,0)),海典汇总!$C$1:$AE$1,0)),0)+IFERROR(INDEX(海典汇总!$C$3:$AE$67,MATCH($A70,海典汇总!$A$3:$A$67,0),MATCH(INDEX(科目对照收入!$G$2:$G$23,MATCH($B70,科目对照收入!$B$2:$B$23,0)),海典汇总!$C$1:$AE$1,0)),0)+IFERROR(INDEX(海典汇总!$C$3:$AE$67,MATCH($A70,海典汇总!$A$3:$A$67,0),MATCH(INDEX(科目对照收入!$H$2:$H$23,MATCH($B70,科目对照收入!$B$2:$B$23,0)),海典汇总!$C$1:$AE$1,0)),0),2))</f>
        <v/>
      </c>
      <c r="E70" s="15" t="str">
        <f aca="false">IF($D70="","",ROUND($C70-$D70,2))</f>
        <v/>
      </c>
      <c r="F70" s="38" t="str">
        <f aca="false">IF($A70&amp;$B70="","",IF(COUNTIF(门店对照!$A$2:$A$66,$A70)=0,"× 门店编码不对",IF(COUNTIF(科目对照收入!$B$2:$B$23,$B70)=0,"× 渠道名不对",IF(INDEX(科目对照收入!$E$2:$E$23,MATCH($B70,科目对照收入!$B$2:$B$23,0))&lt;&gt;"平台优先","× 该项目不按平台金额",IF(COUNTIFS($A$2:$A$601,$A70,$B$2:$B$601,$B70)&gt;1,"× 同店同渠道重复","√")))))</f>
        <v/>
      </c>
    </row>
    <row r="71" customFormat="false" ht="13.5" hidden="false" customHeight="false" outlineLevel="0" collapsed="false">
      <c r="A71" s="35"/>
      <c r="B71" s="35"/>
      <c r="C71" s="37"/>
      <c r="D71" s="15" t="str">
        <f aca="false">IF(OR($A71="",$B71=""),"",ROUND(IFERROR(INDEX(海典汇总!$C$3:$AE$67,MATCH($A71,海典汇总!$A$3:$A$67,0),MATCH(INDEX(科目对照收入!$F$2:$F$23,MATCH($B71,科目对照收入!$B$2:$B$23,0)),海典汇总!$C$1:$AE$1,0)),0)+IFERROR(INDEX(海典汇总!$C$3:$AE$67,MATCH($A71,海典汇总!$A$3:$A$67,0),MATCH(INDEX(科目对照收入!$G$2:$G$23,MATCH($B71,科目对照收入!$B$2:$B$23,0)),海典汇总!$C$1:$AE$1,0)),0)+IFERROR(INDEX(海典汇总!$C$3:$AE$67,MATCH($A71,海典汇总!$A$3:$A$67,0),MATCH(INDEX(科目对照收入!$H$2:$H$23,MATCH($B71,科目对照收入!$B$2:$B$23,0)),海典汇总!$C$1:$AE$1,0)),0),2))</f>
        <v/>
      </c>
      <c r="E71" s="15" t="str">
        <f aca="false">IF($D71="","",ROUND($C71-$D71,2))</f>
        <v/>
      </c>
      <c r="F71" s="38" t="str">
        <f aca="false">IF($A71&amp;$B71="","",IF(COUNTIF(门店对照!$A$2:$A$66,$A71)=0,"× 门店编码不对",IF(COUNTIF(科目对照收入!$B$2:$B$23,$B71)=0,"× 渠道名不对",IF(INDEX(科目对照收入!$E$2:$E$23,MATCH($B71,科目对照收入!$B$2:$B$23,0))&lt;&gt;"平台优先","× 该项目不按平台金额",IF(COUNTIFS($A$2:$A$601,$A71,$B$2:$B$601,$B71)&gt;1,"× 同店同渠道重复","√")))))</f>
        <v/>
      </c>
    </row>
    <row r="72" customFormat="false" ht="13.5" hidden="false" customHeight="false" outlineLevel="0" collapsed="false">
      <c r="A72" s="35"/>
      <c r="B72" s="35"/>
      <c r="C72" s="37"/>
      <c r="D72" s="15" t="str">
        <f aca="false">IF(OR($A72="",$B72=""),"",ROUND(IFERROR(INDEX(海典汇总!$C$3:$AE$67,MATCH($A72,海典汇总!$A$3:$A$67,0),MATCH(INDEX(科目对照收入!$F$2:$F$23,MATCH($B72,科目对照收入!$B$2:$B$23,0)),海典汇总!$C$1:$AE$1,0)),0)+IFERROR(INDEX(海典汇总!$C$3:$AE$67,MATCH($A72,海典汇总!$A$3:$A$67,0),MATCH(INDEX(科目对照收入!$G$2:$G$23,MATCH($B72,科目对照收入!$B$2:$B$23,0)),海典汇总!$C$1:$AE$1,0)),0)+IFERROR(INDEX(海典汇总!$C$3:$AE$67,MATCH($A72,海典汇总!$A$3:$A$67,0),MATCH(INDEX(科目对照收入!$H$2:$H$23,MATCH($B72,科目对照收入!$B$2:$B$23,0)),海典汇总!$C$1:$AE$1,0)),0),2))</f>
        <v/>
      </c>
      <c r="E72" s="15" t="str">
        <f aca="false">IF($D72="","",ROUND($C72-$D72,2))</f>
        <v/>
      </c>
      <c r="F72" s="38" t="str">
        <f aca="false">IF($A72&amp;$B72="","",IF(COUNTIF(门店对照!$A$2:$A$66,$A72)=0,"× 门店编码不对",IF(COUNTIF(科目对照收入!$B$2:$B$23,$B72)=0,"× 渠道名不对",IF(INDEX(科目对照收入!$E$2:$E$23,MATCH($B72,科目对照收入!$B$2:$B$23,0))&lt;&gt;"平台优先","× 该项目不按平台金额",IF(COUNTIFS($A$2:$A$601,$A72,$B$2:$B$601,$B72)&gt;1,"× 同店同渠道重复","√")))))</f>
        <v/>
      </c>
    </row>
    <row r="73" customFormat="false" ht="13.5" hidden="false" customHeight="false" outlineLevel="0" collapsed="false">
      <c r="A73" s="35"/>
      <c r="B73" s="35"/>
      <c r="C73" s="37"/>
      <c r="D73" s="15" t="str">
        <f aca="false">IF(OR($A73="",$B73=""),"",ROUND(IFERROR(INDEX(海典汇总!$C$3:$AE$67,MATCH($A73,海典汇总!$A$3:$A$67,0),MATCH(INDEX(科目对照收入!$F$2:$F$23,MATCH($B73,科目对照收入!$B$2:$B$23,0)),海典汇总!$C$1:$AE$1,0)),0)+IFERROR(INDEX(海典汇总!$C$3:$AE$67,MATCH($A73,海典汇总!$A$3:$A$67,0),MATCH(INDEX(科目对照收入!$G$2:$G$23,MATCH($B73,科目对照收入!$B$2:$B$23,0)),海典汇总!$C$1:$AE$1,0)),0)+IFERROR(INDEX(海典汇总!$C$3:$AE$67,MATCH($A73,海典汇总!$A$3:$A$67,0),MATCH(INDEX(科目对照收入!$H$2:$H$23,MATCH($B73,科目对照收入!$B$2:$B$23,0)),海典汇总!$C$1:$AE$1,0)),0),2))</f>
        <v/>
      </c>
      <c r="E73" s="15" t="str">
        <f aca="false">IF($D73="","",ROUND($C73-$D73,2))</f>
        <v/>
      </c>
      <c r="F73" s="38" t="str">
        <f aca="false">IF($A73&amp;$B73="","",IF(COUNTIF(门店对照!$A$2:$A$66,$A73)=0,"× 门店编码不对",IF(COUNTIF(科目对照收入!$B$2:$B$23,$B73)=0,"× 渠道名不对",IF(INDEX(科目对照收入!$E$2:$E$23,MATCH($B73,科目对照收入!$B$2:$B$23,0))&lt;&gt;"平台优先","× 该项目不按平台金额",IF(COUNTIFS($A$2:$A$601,$A73,$B$2:$B$601,$B73)&gt;1,"× 同店同渠道重复","√")))))</f>
        <v/>
      </c>
    </row>
    <row r="74" customFormat="false" ht="13.5" hidden="false" customHeight="false" outlineLevel="0" collapsed="false">
      <c r="A74" s="35"/>
      <c r="B74" s="35"/>
      <c r="C74" s="37"/>
      <c r="D74" s="15" t="str">
        <f aca="false">IF(OR($A74="",$B74=""),"",ROUND(IFERROR(INDEX(海典汇总!$C$3:$AE$67,MATCH($A74,海典汇总!$A$3:$A$67,0),MATCH(INDEX(科目对照收入!$F$2:$F$23,MATCH($B74,科目对照收入!$B$2:$B$23,0)),海典汇总!$C$1:$AE$1,0)),0)+IFERROR(INDEX(海典汇总!$C$3:$AE$67,MATCH($A74,海典汇总!$A$3:$A$67,0),MATCH(INDEX(科目对照收入!$G$2:$G$23,MATCH($B74,科目对照收入!$B$2:$B$23,0)),海典汇总!$C$1:$AE$1,0)),0)+IFERROR(INDEX(海典汇总!$C$3:$AE$67,MATCH($A74,海典汇总!$A$3:$A$67,0),MATCH(INDEX(科目对照收入!$H$2:$H$23,MATCH($B74,科目对照收入!$B$2:$B$23,0)),海典汇总!$C$1:$AE$1,0)),0),2))</f>
        <v/>
      </c>
      <c r="E74" s="15" t="str">
        <f aca="false">IF($D74="","",ROUND($C74-$D74,2))</f>
        <v/>
      </c>
      <c r="F74" s="38" t="str">
        <f aca="false">IF($A74&amp;$B74="","",IF(COUNTIF(门店对照!$A$2:$A$66,$A74)=0,"× 门店编码不对",IF(COUNTIF(科目对照收入!$B$2:$B$23,$B74)=0,"× 渠道名不对",IF(INDEX(科目对照收入!$E$2:$E$23,MATCH($B74,科目对照收入!$B$2:$B$23,0))&lt;&gt;"平台优先","× 该项目不按平台金额",IF(COUNTIFS($A$2:$A$601,$A74,$B$2:$B$601,$B74)&gt;1,"× 同店同渠道重复","√")))))</f>
        <v/>
      </c>
    </row>
    <row r="75" customFormat="false" ht="13.5" hidden="false" customHeight="false" outlineLevel="0" collapsed="false">
      <c r="A75" s="35"/>
      <c r="B75" s="35"/>
      <c r="C75" s="37"/>
      <c r="D75" s="15" t="str">
        <f aca="false">IF(OR($A75="",$B75=""),"",ROUND(IFERROR(INDEX(海典汇总!$C$3:$AE$67,MATCH($A75,海典汇总!$A$3:$A$67,0),MATCH(INDEX(科目对照收入!$F$2:$F$23,MATCH($B75,科目对照收入!$B$2:$B$23,0)),海典汇总!$C$1:$AE$1,0)),0)+IFERROR(INDEX(海典汇总!$C$3:$AE$67,MATCH($A75,海典汇总!$A$3:$A$67,0),MATCH(INDEX(科目对照收入!$G$2:$G$23,MATCH($B75,科目对照收入!$B$2:$B$23,0)),海典汇总!$C$1:$AE$1,0)),0)+IFERROR(INDEX(海典汇总!$C$3:$AE$67,MATCH($A75,海典汇总!$A$3:$A$67,0),MATCH(INDEX(科目对照收入!$H$2:$H$23,MATCH($B75,科目对照收入!$B$2:$B$23,0)),海典汇总!$C$1:$AE$1,0)),0),2))</f>
        <v/>
      </c>
      <c r="E75" s="15" t="str">
        <f aca="false">IF($D75="","",ROUND($C75-$D75,2))</f>
        <v/>
      </c>
      <c r="F75" s="38" t="str">
        <f aca="false">IF($A75&amp;$B75="","",IF(COUNTIF(门店对照!$A$2:$A$66,$A75)=0,"× 门店编码不对",IF(COUNTIF(科目对照收入!$B$2:$B$23,$B75)=0,"× 渠道名不对",IF(INDEX(科目对照收入!$E$2:$E$23,MATCH($B75,科目对照收入!$B$2:$B$23,0))&lt;&gt;"平台优先","× 该项目不按平台金额",IF(COUNTIFS($A$2:$A$601,$A75,$B$2:$B$601,$B75)&gt;1,"× 同店同渠道重复","√")))))</f>
        <v/>
      </c>
    </row>
    <row r="76" customFormat="false" ht="13.5" hidden="false" customHeight="false" outlineLevel="0" collapsed="false">
      <c r="A76" s="35"/>
      <c r="B76" s="35"/>
      <c r="C76" s="37"/>
      <c r="D76" s="15" t="str">
        <f aca="false">IF(OR($A76="",$B76=""),"",ROUND(IFERROR(INDEX(海典汇总!$C$3:$AE$67,MATCH($A76,海典汇总!$A$3:$A$67,0),MATCH(INDEX(科目对照收入!$F$2:$F$23,MATCH($B76,科目对照收入!$B$2:$B$23,0)),海典汇总!$C$1:$AE$1,0)),0)+IFERROR(INDEX(海典汇总!$C$3:$AE$67,MATCH($A76,海典汇总!$A$3:$A$67,0),MATCH(INDEX(科目对照收入!$G$2:$G$23,MATCH($B76,科目对照收入!$B$2:$B$23,0)),海典汇总!$C$1:$AE$1,0)),0)+IFERROR(INDEX(海典汇总!$C$3:$AE$67,MATCH($A76,海典汇总!$A$3:$A$67,0),MATCH(INDEX(科目对照收入!$H$2:$H$23,MATCH($B76,科目对照收入!$B$2:$B$23,0)),海典汇总!$C$1:$AE$1,0)),0),2))</f>
        <v/>
      </c>
      <c r="E76" s="15" t="str">
        <f aca="false">IF($D76="","",ROUND($C76-$D76,2))</f>
        <v/>
      </c>
      <c r="F76" s="38" t="str">
        <f aca="false">IF($A76&amp;$B76="","",IF(COUNTIF(门店对照!$A$2:$A$66,$A76)=0,"× 门店编码不对",IF(COUNTIF(科目对照收入!$B$2:$B$23,$B76)=0,"× 渠道名不对",IF(INDEX(科目对照收入!$E$2:$E$23,MATCH($B76,科目对照收入!$B$2:$B$23,0))&lt;&gt;"平台优先","× 该项目不按平台金额",IF(COUNTIFS($A$2:$A$601,$A76,$B$2:$B$601,$B76)&gt;1,"× 同店同渠道重复","√")))))</f>
        <v/>
      </c>
    </row>
    <row r="77" customFormat="false" ht="13.5" hidden="false" customHeight="false" outlineLevel="0" collapsed="false">
      <c r="A77" s="35"/>
      <c r="B77" s="35"/>
      <c r="C77" s="37"/>
      <c r="D77" s="15" t="str">
        <f aca="false">IF(OR($A77="",$B77=""),"",ROUND(IFERROR(INDEX(海典汇总!$C$3:$AE$67,MATCH($A77,海典汇总!$A$3:$A$67,0),MATCH(INDEX(科目对照收入!$F$2:$F$23,MATCH($B77,科目对照收入!$B$2:$B$23,0)),海典汇总!$C$1:$AE$1,0)),0)+IFERROR(INDEX(海典汇总!$C$3:$AE$67,MATCH($A77,海典汇总!$A$3:$A$67,0),MATCH(INDEX(科目对照收入!$G$2:$G$23,MATCH($B77,科目对照收入!$B$2:$B$23,0)),海典汇总!$C$1:$AE$1,0)),0)+IFERROR(INDEX(海典汇总!$C$3:$AE$67,MATCH($A77,海典汇总!$A$3:$A$67,0),MATCH(INDEX(科目对照收入!$H$2:$H$23,MATCH($B77,科目对照收入!$B$2:$B$23,0)),海典汇总!$C$1:$AE$1,0)),0),2))</f>
        <v/>
      </c>
      <c r="E77" s="15" t="str">
        <f aca="false">IF($D77="","",ROUND($C77-$D77,2))</f>
        <v/>
      </c>
      <c r="F77" s="38" t="str">
        <f aca="false">IF($A77&amp;$B77="","",IF(COUNTIF(门店对照!$A$2:$A$66,$A77)=0,"× 门店编码不对",IF(COUNTIF(科目对照收入!$B$2:$B$23,$B77)=0,"× 渠道名不对",IF(INDEX(科目对照收入!$E$2:$E$23,MATCH($B77,科目对照收入!$B$2:$B$23,0))&lt;&gt;"平台优先","× 该项目不按平台金额",IF(COUNTIFS($A$2:$A$601,$A77,$B$2:$B$601,$B77)&gt;1,"× 同店同渠道重复","√")))))</f>
        <v/>
      </c>
    </row>
    <row r="78" customFormat="false" ht="13.5" hidden="false" customHeight="false" outlineLevel="0" collapsed="false">
      <c r="A78" s="35"/>
      <c r="B78" s="35"/>
      <c r="C78" s="37"/>
      <c r="D78" s="15" t="str">
        <f aca="false">IF(OR($A78="",$B78=""),"",ROUND(IFERROR(INDEX(海典汇总!$C$3:$AE$67,MATCH($A78,海典汇总!$A$3:$A$67,0),MATCH(INDEX(科目对照收入!$F$2:$F$23,MATCH($B78,科目对照收入!$B$2:$B$23,0)),海典汇总!$C$1:$AE$1,0)),0)+IFERROR(INDEX(海典汇总!$C$3:$AE$67,MATCH($A78,海典汇总!$A$3:$A$67,0),MATCH(INDEX(科目对照收入!$G$2:$G$23,MATCH($B78,科目对照收入!$B$2:$B$23,0)),海典汇总!$C$1:$AE$1,0)),0)+IFERROR(INDEX(海典汇总!$C$3:$AE$67,MATCH($A78,海典汇总!$A$3:$A$67,0),MATCH(INDEX(科目对照收入!$H$2:$H$23,MATCH($B78,科目对照收入!$B$2:$B$23,0)),海典汇总!$C$1:$AE$1,0)),0),2))</f>
        <v/>
      </c>
      <c r="E78" s="15" t="str">
        <f aca="false">IF($D78="","",ROUND($C78-$D78,2))</f>
        <v/>
      </c>
      <c r="F78" s="38" t="str">
        <f aca="false">IF($A78&amp;$B78="","",IF(COUNTIF(门店对照!$A$2:$A$66,$A78)=0,"× 门店编码不对",IF(COUNTIF(科目对照收入!$B$2:$B$23,$B78)=0,"× 渠道名不对",IF(INDEX(科目对照收入!$E$2:$E$23,MATCH($B78,科目对照收入!$B$2:$B$23,0))&lt;&gt;"平台优先","× 该项目不按平台金额",IF(COUNTIFS($A$2:$A$601,$A78,$B$2:$B$601,$B78)&gt;1,"× 同店同渠道重复","√")))))</f>
        <v/>
      </c>
    </row>
    <row r="79" customFormat="false" ht="13.5" hidden="false" customHeight="false" outlineLevel="0" collapsed="false">
      <c r="A79" s="35"/>
      <c r="B79" s="35"/>
      <c r="C79" s="37"/>
      <c r="D79" s="15" t="str">
        <f aca="false">IF(OR($A79="",$B79=""),"",ROUND(IFERROR(INDEX(海典汇总!$C$3:$AE$67,MATCH($A79,海典汇总!$A$3:$A$67,0),MATCH(INDEX(科目对照收入!$F$2:$F$23,MATCH($B79,科目对照收入!$B$2:$B$23,0)),海典汇总!$C$1:$AE$1,0)),0)+IFERROR(INDEX(海典汇总!$C$3:$AE$67,MATCH($A79,海典汇总!$A$3:$A$67,0),MATCH(INDEX(科目对照收入!$G$2:$G$23,MATCH($B79,科目对照收入!$B$2:$B$23,0)),海典汇总!$C$1:$AE$1,0)),0)+IFERROR(INDEX(海典汇总!$C$3:$AE$67,MATCH($A79,海典汇总!$A$3:$A$67,0),MATCH(INDEX(科目对照收入!$H$2:$H$23,MATCH($B79,科目对照收入!$B$2:$B$23,0)),海典汇总!$C$1:$AE$1,0)),0),2))</f>
        <v/>
      </c>
      <c r="E79" s="15" t="str">
        <f aca="false">IF($D79="","",ROUND($C79-$D79,2))</f>
        <v/>
      </c>
      <c r="F79" s="38" t="str">
        <f aca="false">IF($A79&amp;$B79="","",IF(COUNTIF(门店对照!$A$2:$A$66,$A79)=0,"× 门店编码不对",IF(COUNTIF(科目对照收入!$B$2:$B$23,$B79)=0,"× 渠道名不对",IF(INDEX(科目对照收入!$E$2:$E$23,MATCH($B79,科目对照收入!$B$2:$B$23,0))&lt;&gt;"平台优先","× 该项目不按平台金额",IF(COUNTIFS($A$2:$A$601,$A79,$B$2:$B$601,$B79)&gt;1,"× 同店同渠道重复","√")))))</f>
        <v/>
      </c>
    </row>
    <row r="80" customFormat="false" ht="13.5" hidden="false" customHeight="false" outlineLevel="0" collapsed="false">
      <c r="A80" s="35"/>
      <c r="B80" s="35"/>
      <c r="C80" s="37"/>
      <c r="D80" s="15" t="str">
        <f aca="false">IF(OR($A80="",$B80=""),"",ROUND(IFERROR(INDEX(海典汇总!$C$3:$AE$67,MATCH($A80,海典汇总!$A$3:$A$67,0),MATCH(INDEX(科目对照收入!$F$2:$F$23,MATCH($B80,科目对照收入!$B$2:$B$23,0)),海典汇总!$C$1:$AE$1,0)),0)+IFERROR(INDEX(海典汇总!$C$3:$AE$67,MATCH($A80,海典汇总!$A$3:$A$67,0),MATCH(INDEX(科目对照收入!$G$2:$G$23,MATCH($B80,科目对照收入!$B$2:$B$23,0)),海典汇总!$C$1:$AE$1,0)),0)+IFERROR(INDEX(海典汇总!$C$3:$AE$67,MATCH($A80,海典汇总!$A$3:$A$67,0),MATCH(INDEX(科目对照收入!$H$2:$H$23,MATCH($B80,科目对照收入!$B$2:$B$23,0)),海典汇总!$C$1:$AE$1,0)),0),2))</f>
        <v/>
      </c>
      <c r="E80" s="15" t="str">
        <f aca="false">IF($D80="","",ROUND($C80-$D80,2))</f>
        <v/>
      </c>
      <c r="F80" s="38" t="str">
        <f aca="false">IF($A80&amp;$B80="","",IF(COUNTIF(门店对照!$A$2:$A$66,$A80)=0,"× 门店编码不对",IF(COUNTIF(科目对照收入!$B$2:$B$23,$B80)=0,"× 渠道名不对",IF(INDEX(科目对照收入!$E$2:$E$23,MATCH($B80,科目对照收入!$B$2:$B$23,0))&lt;&gt;"平台优先","× 该项目不按平台金额",IF(COUNTIFS($A$2:$A$601,$A80,$B$2:$B$601,$B80)&gt;1,"× 同店同渠道重复","√")))))</f>
        <v/>
      </c>
    </row>
    <row r="81" customFormat="false" ht="13.5" hidden="false" customHeight="false" outlineLevel="0" collapsed="false">
      <c r="A81" s="35"/>
      <c r="B81" s="35"/>
      <c r="C81" s="37"/>
      <c r="D81" s="15" t="str">
        <f aca="false">IF(OR($A81="",$B81=""),"",ROUND(IFERROR(INDEX(海典汇总!$C$3:$AE$67,MATCH($A81,海典汇总!$A$3:$A$67,0),MATCH(INDEX(科目对照收入!$F$2:$F$23,MATCH($B81,科目对照收入!$B$2:$B$23,0)),海典汇总!$C$1:$AE$1,0)),0)+IFERROR(INDEX(海典汇总!$C$3:$AE$67,MATCH($A81,海典汇总!$A$3:$A$67,0),MATCH(INDEX(科目对照收入!$G$2:$G$23,MATCH($B81,科目对照收入!$B$2:$B$23,0)),海典汇总!$C$1:$AE$1,0)),0)+IFERROR(INDEX(海典汇总!$C$3:$AE$67,MATCH($A81,海典汇总!$A$3:$A$67,0),MATCH(INDEX(科目对照收入!$H$2:$H$23,MATCH($B81,科目对照收入!$B$2:$B$23,0)),海典汇总!$C$1:$AE$1,0)),0),2))</f>
        <v/>
      </c>
      <c r="E81" s="15" t="str">
        <f aca="false">IF($D81="","",ROUND($C81-$D81,2))</f>
        <v/>
      </c>
      <c r="F81" s="38" t="str">
        <f aca="false">IF($A81&amp;$B81="","",IF(COUNTIF(门店对照!$A$2:$A$66,$A81)=0,"× 门店编码不对",IF(COUNTIF(科目对照收入!$B$2:$B$23,$B81)=0,"× 渠道名不对",IF(INDEX(科目对照收入!$E$2:$E$23,MATCH($B81,科目对照收入!$B$2:$B$23,0))&lt;&gt;"平台优先","× 该项目不按平台金额",IF(COUNTIFS($A$2:$A$601,$A81,$B$2:$B$601,$B81)&gt;1,"× 同店同渠道重复","√")))))</f>
        <v/>
      </c>
    </row>
    <row r="82" customFormat="false" ht="13.5" hidden="false" customHeight="false" outlineLevel="0" collapsed="false">
      <c r="A82" s="35"/>
      <c r="B82" s="35"/>
      <c r="C82" s="37"/>
      <c r="D82" s="15" t="str">
        <f aca="false">IF(OR($A82="",$B82=""),"",ROUND(IFERROR(INDEX(海典汇总!$C$3:$AE$67,MATCH($A82,海典汇总!$A$3:$A$67,0),MATCH(INDEX(科目对照收入!$F$2:$F$23,MATCH($B82,科目对照收入!$B$2:$B$23,0)),海典汇总!$C$1:$AE$1,0)),0)+IFERROR(INDEX(海典汇总!$C$3:$AE$67,MATCH($A82,海典汇总!$A$3:$A$67,0),MATCH(INDEX(科目对照收入!$G$2:$G$23,MATCH($B82,科目对照收入!$B$2:$B$23,0)),海典汇总!$C$1:$AE$1,0)),0)+IFERROR(INDEX(海典汇总!$C$3:$AE$67,MATCH($A82,海典汇总!$A$3:$A$67,0),MATCH(INDEX(科目对照收入!$H$2:$H$23,MATCH($B82,科目对照收入!$B$2:$B$23,0)),海典汇总!$C$1:$AE$1,0)),0),2))</f>
        <v/>
      </c>
      <c r="E82" s="15" t="str">
        <f aca="false">IF($D82="","",ROUND($C82-$D82,2))</f>
        <v/>
      </c>
      <c r="F82" s="38" t="str">
        <f aca="false">IF($A82&amp;$B82="","",IF(COUNTIF(门店对照!$A$2:$A$66,$A82)=0,"× 门店编码不对",IF(COUNTIF(科目对照收入!$B$2:$B$23,$B82)=0,"× 渠道名不对",IF(INDEX(科目对照收入!$E$2:$E$23,MATCH($B82,科目对照收入!$B$2:$B$23,0))&lt;&gt;"平台优先","× 该项目不按平台金额",IF(COUNTIFS($A$2:$A$601,$A82,$B$2:$B$601,$B82)&gt;1,"× 同店同渠道重复","√")))))</f>
        <v/>
      </c>
    </row>
    <row r="83" customFormat="false" ht="13.5" hidden="false" customHeight="false" outlineLevel="0" collapsed="false">
      <c r="A83" s="35"/>
      <c r="B83" s="35"/>
      <c r="C83" s="37"/>
      <c r="D83" s="15" t="str">
        <f aca="false">IF(OR($A83="",$B83=""),"",ROUND(IFERROR(INDEX(海典汇总!$C$3:$AE$67,MATCH($A83,海典汇总!$A$3:$A$67,0),MATCH(INDEX(科目对照收入!$F$2:$F$23,MATCH($B83,科目对照收入!$B$2:$B$23,0)),海典汇总!$C$1:$AE$1,0)),0)+IFERROR(INDEX(海典汇总!$C$3:$AE$67,MATCH($A83,海典汇总!$A$3:$A$67,0),MATCH(INDEX(科目对照收入!$G$2:$G$23,MATCH($B83,科目对照收入!$B$2:$B$23,0)),海典汇总!$C$1:$AE$1,0)),0)+IFERROR(INDEX(海典汇总!$C$3:$AE$67,MATCH($A83,海典汇总!$A$3:$A$67,0),MATCH(INDEX(科目对照收入!$H$2:$H$23,MATCH($B83,科目对照收入!$B$2:$B$23,0)),海典汇总!$C$1:$AE$1,0)),0),2))</f>
        <v/>
      </c>
      <c r="E83" s="15" t="str">
        <f aca="false">IF($D83="","",ROUND($C83-$D83,2))</f>
        <v/>
      </c>
      <c r="F83" s="38" t="str">
        <f aca="false">IF($A83&amp;$B83="","",IF(COUNTIF(门店对照!$A$2:$A$66,$A83)=0,"× 门店编码不对",IF(COUNTIF(科目对照收入!$B$2:$B$23,$B83)=0,"× 渠道名不对",IF(INDEX(科目对照收入!$E$2:$E$23,MATCH($B83,科目对照收入!$B$2:$B$23,0))&lt;&gt;"平台优先","× 该项目不按平台金额",IF(COUNTIFS($A$2:$A$601,$A83,$B$2:$B$601,$B83)&gt;1,"× 同店同渠道重复","√")))))</f>
        <v/>
      </c>
    </row>
    <row r="84" customFormat="false" ht="13.5" hidden="false" customHeight="false" outlineLevel="0" collapsed="false">
      <c r="A84" s="35"/>
      <c r="B84" s="35"/>
      <c r="C84" s="37"/>
      <c r="D84" s="15" t="str">
        <f aca="false">IF(OR($A84="",$B84=""),"",ROUND(IFERROR(INDEX(海典汇总!$C$3:$AE$67,MATCH($A84,海典汇总!$A$3:$A$67,0),MATCH(INDEX(科目对照收入!$F$2:$F$23,MATCH($B84,科目对照收入!$B$2:$B$23,0)),海典汇总!$C$1:$AE$1,0)),0)+IFERROR(INDEX(海典汇总!$C$3:$AE$67,MATCH($A84,海典汇总!$A$3:$A$67,0),MATCH(INDEX(科目对照收入!$G$2:$G$23,MATCH($B84,科目对照收入!$B$2:$B$23,0)),海典汇总!$C$1:$AE$1,0)),0)+IFERROR(INDEX(海典汇总!$C$3:$AE$67,MATCH($A84,海典汇总!$A$3:$A$67,0),MATCH(INDEX(科目对照收入!$H$2:$H$23,MATCH($B84,科目对照收入!$B$2:$B$23,0)),海典汇总!$C$1:$AE$1,0)),0),2))</f>
        <v/>
      </c>
      <c r="E84" s="15" t="str">
        <f aca="false">IF($D84="","",ROUND($C84-$D84,2))</f>
        <v/>
      </c>
      <c r="F84" s="38" t="str">
        <f aca="false">IF($A84&amp;$B84="","",IF(COUNTIF(门店对照!$A$2:$A$66,$A84)=0,"× 门店编码不对",IF(COUNTIF(科目对照收入!$B$2:$B$23,$B84)=0,"× 渠道名不对",IF(INDEX(科目对照收入!$E$2:$E$23,MATCH($B84,科目对照收入!$B$2:$B$23,0))&lt;&gt;"平台优先","× 该项目不按平台金额",IF(COUNTIFS($A$2:$A$601,$A84,$B$2:$B$601,$B84)&gt;1,"× 同店同渠道重复","√")))))</f>
        <v/>
      </c>
    </row>
    <row r="85" customFormat="false" ht="13.5" hidden="false" customHeight="false" outlineLevel="0" collapsed="false">
      <c r="A85" s="35"/>
      <c r="B85" s="35"/>
      <c r="C85" s="37"/>
      <c r="D85" s="15" t="str">
        <f aca="false">IF(OR($A85="",$B85=""),"",ROUND(IFERROR(INDEX(海典汇总!$C$3:$AE$67,MATCH($A85,海典汇总!$A$3:$A$67,0),MATCH(INDEX(科目对照收入!$F$2:$F$23,MATCH($B85,科目对照收入!$B$2:$B$23,0)),海典汇总!$C$1:$AE$1,0)),0)+IFERROR(INDEX(海典汇总!$C$3:$AE$67,MATCH($A85,海典汇总!$A$3:$A$67,0),MATCH(INDEX(科目对照收入!$G$2:$G$23,MATCH($B85,科目对照收入!$B$2:$B$23,0)),海典汇总!$C$1:$AE$1,0)),0)+IFERROR(INDEX(海典汇总!$C$3:$AE$67,MATCH($A85,海典汇总!$A$3:$A$67,0),MATCH(INDEX(科目对照收入!$H$2:$H$23,MATCH($B85,科目对照收入!$B$2:$B$23,0)),海典汇总!$C$1:$AE$1,0)),0),2))</f>
        <v/>
      </c>
      <c r="E85" s="15" t="str">
        <f aca="false">IF($D85="","",ROUND($C85-$D85,2))</f>
        <v/>
      </c>
      <c r="F85" s="38" t="str">
        <f aca="false">IF($A85&amp;$B85="","",IF(COUNTIF(门店对照!$A$2:$A$66,$A85)=0,"× 门店编码不对",IF(COUNTIF(科目对照收入!$B$2:$B$23,$B85)=0,"× 渠道名不对",IF(INDEX(科目对照收入!$E$2:$E$23,MATCH($B85,科目对照收入!$B$2:$B$23,0))&lt;&gt;"平台优先","× 该项目不按平台金额",IF(COUNTIFS($A$2:$A$601,$A85,$B$2:$B$601,$B85)&gt;1,"× 同店同渠道重复","√")))))</f>
        <v/>
      </c>
    </row>
    <row r="86" customFormat="false" ht="13.5" hidden="false" customHeight="false" outlineLevel="0" collapsed="false">
      <c r="A86" s="35"/>
      <c r="B86" s="35"/>
      <c r="C86" s="37"/>
      <c r="D86" s="15" t="str">
        <f aca="false">IF(OR($A86="",$B86=""),"",ROUND(IFERROR(INDEX(海典汇总!$C$3:$AE$67,MATCH($A86,海典汇总!$A$3:$A$67,0),MATCH(INDEX(科目对照收入!$F$2:$F$23,MATCH($B86,科目对照收入!$B$2:$B$23,0)),海典汇总!$C$1:$AE$1,0)),0)+IFERROR(INDEX(海典汇总!$C$3:$AE$67,MATCH($A86,海典汇总!$A$3:$A$67,0),MATCH(INDEX(科目对照收入!$G$2:$G$23,MATCH($B86,科目对照收入!$B$2:$B$23,0)),海典汇总!$C$1:$AE$1,0)),0)+IFERROR(INDEX(海典汇总!$C$3:$AE$67,MATCH($A86,海典汇总!$A$3:$A$67,0),MATCH(INDEX(科目对照收入!$H$2:$H$23,MATCH($B86,科目对照收入!$B$2:$B$23,0)),海典汇总!$C$1:$AE$1,0)),0),2))</f>
        <v/>
      </c>
      <c r="E86" s="15" t="str">
        <f aca="false">IF($D86="","",ROUND($C86-$D86,2))</f>
        <v/>
      </c>
      <c r="F86" s="38" t="str">
        <f aca="false">IF($A86&amp;$B86="","",IF(COUNTIF(门店对照!$A$2:$A$66,$A86)=0,"× 门店编码不对",IF(COUNTIF(科目对照收入!$B$2:$B$23,$B86)=0,"× 渠道名不对",IF(INDEX(科目对照收入!$E$2:$E$23,MATCH($B86,科目对照收入!$B$2:$B$23,0))&lt;&gt;"平台优先","× 该项目不按平台金额",IF(COUNTIFS($A$2:$A$601,$A86,$B$2:$B$601,$B86)&gt;1,"× 同店同渠道重复","√")))))</f>
        <v/>
      </c>
    </row>
    <row r="87" customFormat="false" ht="13.5" hidden="false" customHeight="false" outlineLevel="0" collapsed="false">
      <c r="A87" s="35"/>
      <c r="B87" s="35"/>
      <c r="C87" s="37"/>
      <c r="D87" s="15" t="str">
        <f aca="false">IF(OR($A87="",$B87=""),"",ROUND(IFERROR(INDEX(海典汇总!$C$3:$AE$67,MATCH($A87,海典汇总!$A$3:$A$67,0),MATCH(INDEX(科目对照收入!$F$2:$F$23,MATCH($B87,科目对照收入!$B$2:$B$23,0)),海典汇总!$C$1:$AE$1,0)),0)+IFERROR(INDEX(海典汇总!$C$3:$AE$67,MATCH($A87,海典汇总!$A$3:$A$67,0),MATCH(INDEX(科目对照收入!$G$2:$G$23,MATCH($B87,科目对照收入!$B$2:$B$23,0)),海典汇总!$C$1:$AE$1,0)),0)+IFERROR(INDEX(海典汇总!$C$3:$AE$67,MATCH($A87,海典汇总!$A$3:$A$67,0),MATCH(INDEX(科目对照收入!$H$2:$H$23,MATCH($B87,科目对照收入!$B$2:$B$23,0)),海典汇总!$C$1:$AE$1,0)),0),2))</f>
        <v/>
      </c>
      <c r="E87" s="15" t="str">
        <f aca="false">IF($D87="","",ROUND($C87-$D87,2))</f>
        <v/>
      </c>
      <c r="F87" s="38" t="str">
        <f aca="false">IF($A87&amp;$B87="","",IF(COUNTIF(门店对照!$A$2:$A$66,$A87)=0,"× 门店编码不对",IF(COUNTIF(科目对照收入!$B$2:$B$23,$B87)=0,"× 渠道名不对",IF(INDEX(科目对照收入!$E$2:$E$23,MATCH($B87,科目对照收入!$B$2:$B$23,0))&lt;&gt;"平台优先","× 该项目不按平台金额",IF(COUNTIFS($A$2:$A$601,$A87,$B$2:$B$601,$B87)&gt;1,"× 同店同渠道重复","√")))))</f>
        <v/>
      </c>
    </row>
    <row r="88" customFormat="false" ht="13.5" hidden="false" customHeight="false" outlineLevel="0" collapsed="false">
      <c r="A88" s="35"/>
      <c r="B88" s="35"/>
      <c r="C88" s="37"/>
      <c r="D88" s="15" t="str">
        <f aca="false">IF(OR($A88="",$B88=""),"",ROUND(IFERROR(INDEX(海典汇总!$C$3:$AE$67,MATCH($A88,海典汇总!$A$3:$A$67,0),MATCH(INDEX(科目对照收入!$F$2:$F$23,MATCH($B88,科目对照收入!$B$2:$B$23,0)),海典汇总!$C$1:$AE$1,0)),0)+IFERROR(INDEX(海典汇总!$C$3:$AE$67,MATCH($A88,海典汇总!$A$3:$A$67,0),MATCH(INDEX(科目对照收入!$G$2:$G$23,MATCH($B88,科目对照收入!$B$2:$B$23,0)),海典汇总!$C$1:$AE$1,0)),0)+IFERROR(INDEX(海典汇总!$C$3:$AE$67,MATCH($A88,海典汇总!$A$3:$A$67,0),MATCH(INDEX(科目对照收入!$H$2:$H$23,MATCH($B88,科目对照收入!$B$2:$B$23,0)),海典汇总!$C$1:$AE$1,0)),0),2))</f>
        <v/>
      </c>
      <c r="E88" s="15" t="str">
        <f aca="false">IF($D88="","",ROUND($C88-$D88,2))</f>
        <v/>
      </c>
      <c r="F88" s="38" t="str">
        <f aca="false">IF($A88&amp;$B88="","",IF(COUNTIF(门店对照!$A$2:$A$66,$A88)=0,"× 门店编码不对",IF(COUNTIF(科目对照收入!$B$2:$B$23,$B88)=0,"× 渠道名不对",IF(INDEX(科目对照收入!$E$2:$E$23,MATCH($B88,科目对照收入!$B$2:$B$23,0))&lt;&gt;"平台优先","× 该项目不按平台金额",IF(COUNTIFS($A$2:$A$601,$A88,$B$2:$B$601,$B88)&gt;1,"× 同店同渠道重复","√")))))</f>
        <v/>
      </c>
    </row>
    <row r="89" customFormat="false" ht="13.5" hidden="false" customHeight="false" outlineLevel="0" collapsed="false">
      <c r="A89" s="35"/>
      <c r="B89" s="35"/>
      <c r="C89" s="37"/>
      <c r="D89" s="15" t="str">
        <f aca="false">IF(OR($A89="",$B89=""),"",ROUND(IFERROR(INDEX(海典汇总!$C$3:$AE$67,MATCH($A89,海典汇总!$A$3:$A$67,0),MATCH(INDEX(科目对照收入!$F$2:$F$23,MATCH($B89,科目对照收入!$B$2:$B$23,0)),海典汇总!$C$1:$AE$1,0)),0)+IFERROR(INDEX(海典汇总!$C$3:$AE$67,MATCH($A89,海典汇总!$A$3:$A$67,0),MATCH(INDEX(科目对照收入!$G$2:$G$23,MATCH($B89,科目对照收入!$B$2:$B$23,0)),海典汇总!$C$1:$AE$1,0)),0)+IFERROR(INDEX(海典汇总!$C$3:$AE$67,MATCH($A89,海典汇总!$A$3:$A$67,0),MATCH(INDEX(科目对照收入!$H$2:$H$23,MATCH($B89,科目对照收入!$B$2:$B$23,0)),海典汇总!$C$1:$AE$1,0)),0),2))</f>
        <v/>
      </c>
      <c r="E89" s="15" t="str">
        <f aca="false">IF($D89="","",ROUND($C89-$D89,2))</f>
        <v/>
      </c>
      <c r="F89" s="38" t="str">
        <f aca="false">IF($A89&amp;$B89="","",IF(COUNTIF(门店对照!$A$2:$A$66,$A89)=0,"× 门店编码不对",IF(COUNTIF(科目对照收入!$B$2:$B$23,$B89)=0,"× 渠道名不对",IF(INDEX(科目对照收入!$E$2:$E$23,MATCH($B89,科目对照收入!$B$2:$B$23,0))&lt;&gt;"平台优先","× 该项目不按平台金额",IF(COUNTIFS($A$2:$A$601,$A89,$B$2:$B$601,$B89)&gt;1,"× 同店同渠道重复","√")))))</f>
        <v/>
      </c>
    </row>
    <row r="90" customFormat="false" ht="13.5" hidden="false" customHeight="false" outlineLevel="0" collapsed="false">
      <c r="A90" s="35"/>
      <c r="B90" s="35"/>
      <c r="C90" s="37"/>
      <c r="D90" s="15" t="str">
        <f aca="false">IF(OR($A90="",$B90=""),"",ROUND(IFERROR(INDEX(海典汇总!$C$3:$AE$67,MATCH($A90,海典汇总!$A$3:$A$67,0),MATCH(INDEX(科目对照收入!$F$2:$F$23,MATCH($B90,科目对照收入!$B$2:$B$23,0)),海典汇总!$C$1:$AE$1,0)),0)+IFERROR(INDEX(海典汇总!$C$3:$AE$67,MATCH($A90,海典汇总!$A$3:$A$67,0),MATCH(INDEX(科目对照收入!$G$2:$G$23,MATCH($B90,科目对照收入!$B$2:$B$23,0)),海典汇总!$C$1:$AE$1,0)),0)+IFERROR(INDEX(海典汇总!$C$3:$AE$67,MATCH($A90,海典汇总!$A$3:$A$67,0),MATCH(INDEX(科目对照收入!$H$2:$H$23,MATCH($B90,科目对照收入!$B$2:$B$23,0)),海典汇总!$C$1:$AE$1,0)),0),2))</f>
        <v/>
      </c>
      <c r="E90" s="15" t="str">
        <f aca="false">IF($D90="","",ROUND($C90-$D90,2))</f>
        <v/>
      </c>
      <c r="F90" s="38" t="str">
        <f aca="false">IF($A90&amp;$B90="","",IF(COUNTIF(门店对照!$A$2:$A$66,$A90)=0,"× 门店编码不对",IF(COUNTIF(科目对照收入!$B$2:$B$23,$B90)=0,"× 渠道名不对",IF(INDEX(科目对照收入!$E$2:$E$23,MATCH($B90,科目对照收入!$B$2:$B$23,0))&lt;&gt;"平台优先","× 该项目不按平台金额",IF(COUNTIFS($A$2:$A$601,$A90,$B$2:$B$601,$B90)&gt;1,"× 同店同渠道重复","√")))))</f>
        <v/>
      </c>
    </row>
    <row r="91" customFormat="false" ht="13.5" hidden="false" customHeight="false" outlineLevel="0" collapsed="false">
      <c r="A91" s="35"/>
      <c r="B91" s="35"/>
      <c r="C91" s="37"/>
      <c r="D91" s="15" t="str">
        <f aca="false">IF(OR($A91="",$B91=""),"",ROUND(IFERROR(INDEX(海典汇总!$C$3:$AE$67,MATCH($A91,海典汇总!$A$3:$A$67,0),MATCH(INDEX(科目对照收入!$F$2:$F$23,MATCH($B91,科目对照收入!$B$2:$B$23,0)),海典汇总!$C$1:$AE$1,0)),0)+IFERROR(INDEX(海典汇总!$C$3:$AE$67,MATCH($A91,海典汇总!$A$3:$A$67,0),MATCH(INDEX(科目对照收入!$G$2:$G$23,MATCH($B91,科目对照收入!$B$2:$B$23,0)),海典汇总!$C$1:$AE$1,0)),0)+IFERROR(INDEX(海典汇总!$C$3:$AE$67,MATCH($A91,海典汇总!$A$3:$A$67,0),MATCH(INDEX(科目对照收入!$H$2:$H$23,MATCH($B91,科目对照收入!$B$2:$B$23,0)),海典汇总!$C$1:$AE$1,0)),0),2))</f>
        <v/>
      </c>
      <c r="E91" s="15" t="str">
        <f aca="false">IF($D91="","",ROUND($C91-$D91,2))</f>
        <v/>
      </c>
      <c r="F91" s="38" t="str">
        <f aca="false">IF($A91&amp;$B91="","",IF(COUNTIF(门店对照!$A$2:$A$66,$A91)=0,"× 门店编码不对",IF(COUNTIF(科目对照收入!$B$2:$B$23,$B91)=0,"× 渠道名不对",IF(INDEX(科目对照收入!$E$2:$E$23,MATCH($B91,科目对照收入!$B$2:$B$23,0))&lt;&gt;"平台优先","× 该项目不按平台金额",IF(COUNTIFS($A$2:$A$601,$A91,$B$2:$B$601,$B91)&gt;1,"× 同店同渠道重复","√")))))</f>
        <v/>
      </c>
    </row>
    <row r="92" customFormat="false" ht="13.5" hidden="false" customHeight="false" outlineLevel="0" collapsed="false">
      <c r="A92" s="35"/>
      <c r="B92" s="35"/>
      <c r="C92" s="37"/>
      <c r="D92" s="15" t="str">
        <f aca="false">IF(OR($A92="",$B92=""),"",ROUND(IFERROR(INDEX(海典汇总!$C$3:$AE$67,MATCH($A92,海典汇总!$A$3:$A$67,0),MATCH(INDEX(科目对照收入!$F$2:$F$23,MATCH($B92,科目对照收入!$B$2:$B$23,0)),海典汇总!$C$1:$AE$1,0)),0)+IFERROR(INDEX(海典汇总!$C$3:$AE$67,MATCH($A92,海典汇总!$A$3:$A$67,0),MATCH(INDEX(科目对照收入!$G$2:$G$23,MATCH($B92,科目对照收入!$B$2:$B$23,0)),海典汇总!$C$1:$AE$1,0)),0)+IFERROR(INDEX(海典汇总!$C$3:$AE$67,MATCH($A92,海典汇总!$A$3:$A$67,0),MATCH(INDEX(科目对照收入!$H$2:$H$23,MATCH($B92,科目对照收入!$B$2:$B$23,0)),海典汇总!$C$1:$AE$1,0)),0),2))</f>
        <v/>
      </c>
      <c r="E92" s="15" t="str">
        <f aca="false">IF($D92="","",ROUND($C92-$D92,2))</f>
        <v/>
      </c>
      <c r="F92" s="38" t="str">
        <f aca="false">IF($A92&amp;$B92="","",IF(COUNTIF(门店对照!$A$2:$A$66,$A92)=0,"× 门店编码不对",IF(COUNTIF(科目对照收入!$B$2:$B$23,$B92)=0,"× 渠道名不对",IF(INDEX(科目对照收入!$E$2:$E$23,MATCH($B92,科目对照收入!$B$2:$B$23,0))&lt;&gt;"平台优先","× 该项目不按平台金额",IF(COUNTIFS($A$2:$A$601,$A92,$B$2:$B$601,$B92)&gt;1,"× 同店同渠道重复","√")))))</f>
        <v/>
      </c>
    </row>
    <row r="93" customFormat="false" ht="13.5" hidden="false" customHeight="false" outlineLevel="0" collapsed="false">
      <c r="A93" s="35"/>
      <c r="B93" s="35"/>
      <c r="C93" s="37"/>
      <c r="D93" s="15" t="str">
        <f aca="false">IF(OR($A93="",$B93=""),"",ROUND(IFERROR(INDEX(海典汇总!$C$3:$AE$67,MATCH($A93,海典汇总!$A$3:$A$67,0),MATCH(INDEX(科目对照收入!$F$2:$F$23,MATCH($B93,科目对照收入!$B$2:$B$23,0)),海典汇总!$C$1:$AE$1,0)),0)+IFERROR(INDEX(海典汇总!$C$3:$AE$67,MATCH($A93,海典汇总!$A$3:$A$67,0),MATCH(INDEX(科目对照收入!$G$2:$G$23,MATCH($B93,科目对照收入!$B$2:$B$23,0)),海典汇总!$C$1:$AE$1,0)),0)+IFERROR(INDEX(海典汇总!$C$3:$AE$67,MATCH($A93,海典汇总!$A$3:$A$67,0),MATCH(INDEX(科目对照收入!$H$2:$H$23,MATCH($B93,科目对照收入!$B$2:$B$23,0)),海典汇总!$C$1:$AE$1,0)),0),2))</f>
        <v/>
      </c>
      <c r="E93" s="15" t="str">
        <f aca="false">IF($D93="","",ROUND($C93-$D93,2))</f>
        <v/>
      </c>
      <c r="F93" s="38" t="str">
        <f aca="false">IF($A93&amp;$B93="","",IF(COUNTIF(门店对照!$A$2:$A$66,$A93)=0,"× 门店编码不对",IF(COUNTIF(科目对照收入!$B$2:$B$23,$B93)=0,"× 渠道名不对",IF(INDEX(科目对照收入!$E$2:$E$23,MATCH($B93,科目对照收入!$B$2:$B$23,0))&lt;&gt;"平台优先","× 该项目不按平台金额",IF(COUNTIFS($A$2:$A$601,$A93,$B$2:$B$601,$B93)&gt;1,"× 同店同渠道重复","√")))))</f>
        <v/>
      </c>
    </row>
    <row r="94" customFormat="false" ht="13.5" hidden="false" customHeight="false" outlineLevel="0" collapsed="false">
      <c r="A94" s="35"/>
      <c r="B94" s="35"/>
      <c r="C94" s="37"/>
      <c r="D94" s="15" t="str">
        <f aca="false">IF(OR($A94="",$B94=""),"",ROUND(IFERROR(INDEX(海典汇总!$C$3:$AE$67,MATCH($A94,海典汇总!$A$3:$A$67,0),MATCH(INDEX(科目对照收入!$F$2:$F$23,MATCH($B94,科目对照收入!$B$2:$B$23,0)),海典汇总!$C$1:$AE$1,0)),0)+IFERROR(INDEX(海典汇总!$C$3:$AE$67,MATCH($A94,海典汇总!$A$3:$A$67,0),MATCH(INDEX(科目对照收入!$G$2:$G$23,MATCH($B94,科目对照收入!$B$2:$B$23,0)),海典汇总!$C$1:$AE$1,0)),0)+IFERROR(INDEX(海典汇总!$C$3:$AE$67,MATCH($A94,海典汇总!$A$3:$A$67,0),MATCH(INDEX(科目对照收入!$H$2:$H$23,MATCH($B94,科目对照收入!$B$2:$B$23,0)),海典汇总!$C$1:$AE$1,0)),0),2))</f>
        <v/>
      </c>
      <c r="E94" s="15" t="str">
        <f aca="false">IF($D94="","",ROUND($C94-$D94,2))</f>
        <v/>
      </c>
      <c r="F94" s="38" t="str">
        <f aca="false">IF($A94&amp;$B94="","",IF(COUNTIF(门店对照!$A$2:$A$66,$A94)=0,"× 门店编码不对",IF(COUNTIF(科目对照收入!$B$2:$B$23,$B94)=0,"× 渠道名不对",IF(INDEX(科目对照收入!$E$2:$E$23,MATCH($B94,科目对照收入!$B$2:$B$23,0))&lt;&gt;"平台优先","× 该项目不按平台金额",IF(COUNTIFS($A$2:$A$601,$A94,$B$2:$B$601,$B94)&gt;1,"× 同店同渠道重复","√")))))</f>
        <v/>
      </c>
    </row>
    <row r="95" customFormat="false" ht="13.5" hidden="false" customHeight="false" outlineLevel="0" collapsed="false">
      <c r="A95" s="35"/>
      <c r="B95" s="35"/>
      <c r="C95" s="37"/>
      <c r="D95" s="15" t="str">
        <f aca="false">IF(OR($A95="",$B95=""),"",ROUND(IFERROR(INDEX(海典汇总!$C$3:$AE$67,MATCH($A95,海典汇总!$A$3:$A$67,0),MATCH(INDEX(科目对照收入!$F$2:$F$23,MATCH($B95,科目对照收入!$B$2:$B$23,0)),海典汇总!$C$1:$AE$1,0)),0)+IFERROR(INDEX(海典汇总!$C$3:$AE$67,MATCH($A95,海典汇总!$A$3:$A$67,0),MATCH(INDEX(科目对照收入!$G$2:$G$23,MATCH($B95,科目对照收入!$B$2:$B$23,0)),海典汇总!$C$1:$AE$1,0)),0)+IFERROR(INDEX(海典汇总!$C$3:$AE$67,MATCH($A95,海典汇总!$A$3:$A$67,0),MATCH(INDEX(科目对照收入!$H$2:$H$23,MATCH($B95,科目对照收入!$B$2:$B$23,0)),海典汇总!$C$1:$AE$1,0)),0),2))</f>
        <v/>
      </c>
      <c r="E95" s="15" t="str">
        <f aca="false">IF($D95="","",ROUND($C95-$D95,2))</f>
        <v/>
      </c>
      <c r="F95" s="38" t="str">
        <f aca="false">IF($A95&amp;$B95="","",IF(COUNTIF(门店对照!$A$2:$A$66,$A95)=0,"× 门店编码不对",IF(COUNTIF(科目对照收入!$B$2:$B$23,$B95)=0,"× 渠道名不对",IF(INDEX(科目对照收入!$E$2:$E$23,MATCH($B95,科目对照收入!$B$2:$B$23,0))&lt;&gt;"平台优先","× 该项目不按平台金额",IF(COUNTIFS($A$2:$A$601,$A95,$B$2:$B$601,$B95)&gt;1,"× 同店同渠道重复","√")))))</f>
        <v/>
      </c>
    </row>
    <row r="96" customFormat="false" ht="13.5" hidden="false" customHeight="false" outlineLevel="0" collapsed="false">
      <c r="A96" s="35"/>
      <c r="B96" s="35"/>
      <c r="C96" s="37"/>
      <c r="D96" s="15" t="str">
        <f aca="false">IF(OR($A96="",$B96=""),"",ROUND(IFERROR(INDEX(海典汇总!$C$3:$AE$67,MATCH($A96,海典汇总!$A$3:$A$67,0),MATCH(INDEX(科目对照收入!$F$2:$F$23,MATCH($B96,科目对照收入!$B$2:$B$23,0)),海典汇总!$C$1:$AE$1,0)),0)+IFERROR(INDEX(海典汇总!$C$3:$AE$67,MATCH($A96,海典汇总!$A$3:$A$67,0),MATCH(INDEX(科目对照收入!$G$2:$G$23,MATCH($B96,科目对照收入!$B$2:$B$23,0)),海典汇总!$C$1:$AE$1,0)),0)+IFERROR(INDEX(海典汇总!$C$3:$AE$67,MATCH($A96,海典汇总!$A$3:$A$67,0),MATCH(INDEX(科目对照收入!$H$2:$H$23,MATCH($B96,科目对照收入!$B$2:$B$23,0)),海典汇总!$C$1:$AE$1,0)),0),2))</f>
        <v/>
      </c>
      <c r="E96" s="15" t="str">
        <f aca="false">IF($D96="","",ROUND($C96-$D96,2))</f>
        <v/>
      </c>
      <c r="F96" s="38" t="str">
        <f aca="false">IF($A96&amp;$B96="","",IF(COUNTIF(门店对照!$A$2:$A$66,$A96)=0,"× 门店编码不对",IF(COUNTIF(科目对照收入!$B$2:$B$23,$B96)=0,"× 渠道名不对",IF(INDEX(科目对照收入!$E$2:$E$23,MATCH($B96,科目对照收入!$B$2:$B$23,0))&lt;&gt;"平台优先","× 该项目不按平台金额",IF(COUNTIFS($A$2:$A$601,$A96,$B$2:$B$601,$B96)&gt;1,"× 同店同渠道重复","√")))))</f>
        <v/>
      </c>
    </row>
    <row r="97" customFormat="false" ht="13.5" hidden="false" customHeight="false" outlineLevel="0" collapsed="false">
      <c r="A97" s="35"/>
      <c r="B97" s="35"/>
      <c r="C97" s="37"/>
      <c r="D97" s="15" t="str">
        <f aca="false">IF(OR($A97="",$B97=""),"",ROUND(IFERROR(INDEX(海典汇总!$C$3:$AE$67,MATCH($A97,海典汇总!$A$3:$A$67,0),MATCH(INDEX(科目对照收入!$F$2:$F$23,MATCH($B97,科目对照收入!$B$2:$B$23,0)),海典汇总!$C$1:$AE$1,0)),0)+IFERROR(INDEX(海典汇总!$C$3:$AE$67,MATCH($A97,海典汇总!$A$3:$A$67,0),MATCH(INDEX(科目对照收入!$G$2:$G$23,MATCH($B97,科目对照收入!$B$2:$B$23,0)),海典汇总!$C$1:$AE$1,0)),0)+IFERROR(INDEX(海典汇总!$C$3:$AE$67,MATCH($A97,海典汇总!$A$3:$A$67,0),MATCH(INDEX(科目对照收入!$H$2:$H$23,MATCH($B97,科目对照收入!$B$2:$B$23,0)),海典汇总!$C$1:$AE$1,0)),0),2))</f>
        <v/>
      </c>
      <c r="E97" s="15" t="str">
        <f aca="false">IF($D97="","",ROUND($C97-$D97,2))</f>
        <v/>
      </c>
      <c r="F97" s="38" t="str">
        <f aca="false">IF($A97&amp;$B97="","",IF(COUNTIF(门店对照!$A$2:$A$66,$A97)=0,"× 门店编码不对",IF(COUNTIF(科目对照收入!$B$2:$B$23,$B97)=0,"× 渠道名不对",IF(INDEX(科目对照收入!$E$2:$E$23,MATCH($B97,科目对照收入!$B$2:$B$23,0))&lt;&gt;"平台优先","× 该项目不按平台金额",IF(COUNTIFS($A$2:$A$601,$A97,$B$2:$B$601,$B97)&gt;1,"× 同店同渠道重复","√")))))</f>
        <v/>
      </c>
    </row>
    <row r="98" customFormat="false" ht="13.5" hidden="false" customHeight="false" outlineLevel="0" collapsed="false">
      <c r="A98" s="35"/>
      <c r="B98" s="35"/>
      <c r="C98" s="37"/>
      <c r="D98" s="15" t="str">
        <f aca="false">IF(OR($A98="",$B98=""),"",ROUND(IFERROR(INDEX(海典汇总!$C$3:$AE$67,MATCH($A98,海典汇总!$A$3:$A$67,0),MATCH(INDEX(科目对照收入!$F$2:$F$23,MATCH($B98,科目对照收入!$B$2:$B$23,0)),海典汇总!$C$1:$AE$1,0)),0)+IFERROR(INDEX(海典汇总!$C$3:$AE$67,MATCH($A98,海典汇总!$A$3:$A$67,0),MATCH(INDEX(科目对照收入!$G$2:$G$23,MATCH($B98,科目对照收入!$B$2:$B$23,0)),海典汇总!$C$1:$AE$1,0)),0)+IFERROR(INDEX(海典汇总!$C$3:$AE$67,MATCH($A98,海典汇总!$A$3:$A$67,0),MATCH(INDEX(科目对照收入!$H$2:$H$23,MATCH($B98,科目对照收入!$B$2:$B$23,0)),海典汇总!$C$1:$AE$1,0)),0),2))</f>
        <v/>
      </c>
      <c r="E98" s="15" t="str">
        <f aca="false">IF($D98="","",ROUND($C98-$D98,2))</f>
        <v/>
      </c>
      <c r="F98" s="38" t="str">
        <f aca="false">IF($A98&amp;$B98="","",IF(COUNTIF(门店对照!$A$2:$A$66,$A98)=0,"× 门店编码不对",IF(COUNTIF(科目对照收入!$B$2:$B$23,$B98)=0,"× 渠道名不对",IF(INDEX(科目对照收入!$E$2:$E$23,MATCH($B98,科目对照收入!$B$2:$B$23,0))&lt;&gt;"平台优先","× 该项目不按平台金额",IF(COUNTIFS($A$2:$A$601,$A98,$B$2:$B$601,$B98)&gt;1,"× 同店同渠道重复","√")))))</f>
        <v/>
      </c>
    </row>
    <row r="99" customFormat="false" ht="13.5" hidden="false" customHeight="false" outlineLevel="0" collapsed="false">
      <c r="A99" s="35"/>
      <c r="B99" s="35"/>
      <c r="C99" s="37"/>
      <c r="D99" s="15" t="str">
        <f aca="false">IF(OR($A99="",$B99=""),"",ROUND(IFERROR(INDEX(海典汇总!$C$3:$AE$67,MATCH($A99,海典汇总!$A$3:$A$67,0),MATCH(INDEX(科目对照收入!$F$2:$F$23,MATCH($B99,科目对照收入!$B$2:$B$23,0)),海典汇总!$C$1:$AE$1,0)),0)+IFERROR(INDEX(海典汇总!$C$3:$AE$67,MATCH($A99,海典汇总!$A$3:$A$67,0),MATCH(INDEX(科目对照收入!$G$2:$G$23,MATCH($B99,科目对照收入!$B$2:$B$23,0)),海典汇总!$C$1:$AE$1,0)),0)+IFERROR(INDEX(海典汇总!$C$3:$AE$67,MATCH($A99,海典汇总!$A$3:$A$67,0),MATCH(INDEX(科目对照收入!$H$2:$H$23,MATCH($B99,科目对照收入!$B$2:$B$23,0)),海典汇总!$C$1:$AE$1,0)),0),2))</f>
        <v/>
      </c>
      <c r="E99" s="15" t="str">
        <f aca="false">IF($D99="","",ROUND($C99-$D99,2))</f>
        <v/>
      </c>
      <c r="F99" s="38" t="str">
        <f aca="false">IF($A99&amp;$B99="","",IF(COUNTIF(门店对照!$A$2:$A$66,$A99)=0,"× 门店编码不对",IF(COUNTIF(科目对照收入!$B$2:$B$23,$B99)=0,"× 渠道名不对",IF(INDEX(科目对照收入!$E$2:$E$23,MATCH($B99,科目对照收入!$B$2:$B$23,0))&lt;&gt;"平台优先","× 该项目不按平台金额",IF(COUNTIFS($A$2:$A$601,$A99,$B$2:$B$601,$B99)&gt;1,"× 同店同渠道重复","√")))))</f>
        <v/>
      </c>
    </row>
    <row r="100" customFormat="false" ht="13.5" hidden="false" customHeight="false" outlineLevel="0" collapsed="false">
      <c r="A100" s="35"/>
      <c r="B100" s="35"/>
      <c r="C100" s="37"/>
      <c r="D100" s="15" t="str">
        <f aca="false">IF(OR($A100="",$B100=""),"",ROUND(IFERROR(INDEX(海典汇总!$C$3:$AE$67,MATCH($A100,海典汇总!$A$3:$A$67,0),MATCH(INDEX(科目对照收入!$F$2:$F$23,MATCH($B100,科目对照收入!$B$2:$B$23,0)),海典汇总!$C$1:$AE$1,0)),0)+IFERROR(INDEX(海典汇总!$C$3:$AE$67,MATCH($A100,海典汇总!$A$3:$A$67,0),MATCH(INDEX(科目对照收入!$G$2:$G$23,MATCH($B100,科目对照收入!$B$2:$B$23,0)),海典汇总!$C$1:$AE$1,0)),0)+IFERROR(INDEX(海典汇总!$C$3:$AE$67,MATCH($A100,海典汇总!$A$3:$A$67,0),MATCH(INDEX(科目对照收入!$H$2:$H$23,MATCH($B100,科目对照收入!$B$2:$B$23,0)),海典汇总!$C$1:$AE$1,0)),0),2))</f>
        <v/>
      </c>
      <c r="E100" s="15" t="str">
        <f aca="false">IF($D100="","",ROUND($C100-$D100,2))</f>
        <v/>
      </c>
      <c r="F100" s="38" t="str">
        <f aca="false">IF($A100&amp;$B100="","",IF(COUNTIF(门店对照!$A$2:$A$66,$A100)=0,"× 门店编码不对",IF(COUNTIF(科目对照收入!$B$2:$B$23,$B100)=0,"× 渠道名不对",IF(INDEX(科目对照收入!$E$2:$E$23,MATCH($B100,科目对照收入!$B$2:$B$23,0))&lt;&gt;"平台优先","× 该项目不按平台金额",IF(COUNTIFS($A$2:$A$601,$A100,$B$2:$B$601,$B100)&gt;1,"× 同店同渠道重复","√")))))</f>
        <v/>
      </c>
    </row>
    <row r="101" customFormat="false" ht="13.5" hidden="false" customHeight="false" outlineLevel="0" collapsed="false">
      <c r="A101" s="35"/>
      <c r="B101" s="35"/>
      <c r="C101" s="37"/>
      <c r="D101" s="15" t="str">
        <f aca="false">IF(OR($A101="",$B101=""),"",ROUND(IFERROR(INDEX(海典汇总!$C$3:$AE$67,MATCH($A101,海典汇总!$A$3:$A$67,0),MATCH(INDEX(科目对照收入!$F$2:$F$23,MATCH($B101,科目对照收入!$B$2:$B$23,0)),海典汇总!$C$1:$AE$1,0)),0)+IFERROR(INDEX(海典汇总!$C$3:$AE$67,MATCH($A101,海典汇总!$A$3:$A$67,0),MATCH(INDEX(科目对照收入!$G$2:$G$23,MATCH($B101,科目对照收入!$B$2:$B$23,0)),海典汇总!$C$1:$AE$1,0)),0)+IFERROR(INDEX(海典汇总!$C$3:$AE$67,MATCH($A101,海典汇总!$A$3:$A$67,0),MATCH(INDEX(科目对照收入!$H$2:$H$23,MATCH($B101,科目对照收入!$B$2:$B$23,0)),海典汇总!$C$1:$AE$1,0)),0),2))</f>
        <v/>
      </c>
      <c r="E101" s="15" t="str">
        <f aca="false">IF($D101="","",ROUND($C101-$D101,2))</f>
        <v/>
      </c>
      <c r="F101" s="38" t="str">
        <f aca="false">IF($A101&amp;$B101="","",IF(COUNTIF(门店对照!$A$2:$A$66,$A101)=0,"× 门店编码不对",IF(COUNTIF(科目对照收入!$B$2:$B$23,$B101)=0,"× 渠道名不对",IF(INDEX(科目对照收入!$E$2:$E$23,MATCH($B101,科目对照收入!$B$2:$B$23,0))&lt;&gt;"平台优先","× 该项目不按平台金额",IF(COUNTIFS($A$2:$A$601,$A101,$B$2:$B$601,$B101)&gt;1,"× 同店同渠道重复","√")))))</f>
        <v/>
      </c>
    </row>
    <row r="102" customFormat="false" ht="13.5" hidden="false" customHeight="false" outlineLevel="0" collapsed="false">
      <c r="A102" s="35"/>
      <c r="B102" s="35"/>
      <c r="C102" s="37"/>
      <c r="D102" s="15" t="str">
        <f aca="false">IF(OR($A102="",$B102=""),"",ROUND(IFERROR(INDEX(海典汇总!$C$3:$AE$67,MATCH($A102,海典汇总!$A$3:$A$67,0),MATCH(INDEX(科目对照收入!$F$2:$F$23,MATCH($B102,科目对照收入!$B$2:$B$23,0)),海典汇总!$C$1:$AE$1,0)),0)+IFERROR(INDEX(海典汇总!$C$3:$AE$67,MATCH($A102,海典汇总!$A$3:$A$67,0),MATCH(INDEX(科目对照收入!$G$2:$G$23,MATCH($B102,科目对照收入!$B$2:$B$23,0)),海典汇总!$C$1:$AE$1,0)),0)+IFERROR(INDEX(海典汇总!$C$3:$AE$67,MATCH($A102,海典汇总!$A$3:$A$67,0),MATCH(INDEX(科目对照收入!$H$2:$H$23,MATCH($B102,科目对照收入!$B$2:$B$23,0)),海典汇总!$C$1:$AE$1,0)),0),2))</f>
        <v/>
      </c>
      <c r="E102" s="15" t="str">
        <f aca="false">IF($D102="","",ROUND($C102-$D102,2))</f>
        <v/>
      </c>
      <c r="F102" s="38" t="str">
        <f aca="false">IF($A102&amp;$B102="","",IF(COUNTIF(门店对照!$A$2:$A$66,$A102)=0,"× 门店编码不对",IF(COUNTIF(科目对照收入!$B$2:$B$23,$B102)=0,"× 渠道名不对",IF(INDEX(科目对照收入!$E$2:$E$23,MATCH($B102,科目对照收入!$B$2:$B$23,0))&lt;&gt;"平台优先","× 该项目不按平台金额",IF(COUNTIFS($A$2:$A$601,$A102,$B$2:$B$601,$B102)&gt;1,"× 同店同渠道重复","√")))))</f>
        <v/>
      </c>
    </row>
    <row r="103" customFormat="false" ht="13.5" hidden="false" customHeight="false" outlineLevel="0" collapsed="false">
      <c r="A103" s="35"/>
      <c r="B103" s="35"/>
      <c r="C103" s="37"/>
      <c r="D103" s="15" t="str">
        <f aca="false">IF(OR($A103="",$B103=""),"",ROUND(IFERROR(INDEX(海典汇总!$C$3:$AE$67,MATCH($A103,海典汇总!$A$3:$A$67,0),MATCH(INDEX(科目对照收入!$F$2:$F$23,MATCH($B103,科目对照收入!$B$2:$B$23,0)),海典汇总!$C$1:$AE$1,0)),0)+IFERROR(INDEX(海典汇总!$C$3:$AE$67,MATCH($A103,海典汇总!$A$3:$A$67,0),MATCH(INDEX(科目对照收入!$G$2:$G$23,MATCH($B103,科目对照收入!$B$2:$B$23,0)),海典汇总!$C$1:$AE$1,0)),0)+IFERROR(INDEX(海典汇总!$C$3:$AE$67,MATCH($A103,海典汇总!$A$3:$A$67,0),MATCH(INDEX(科目对照收入!$H$2:$H$23,MATCH($B103,科目对照收入!$B$2:$B$23,0)),海典汇总!$C$1:$AE$1,0)),0),2))</f>
        <v/>
      </c>
      <c r="E103" s="15" t="str">
        <f aca="false">IF($D103="","",ROUND($C103-$D103,2))</f>
        <v/>
      </c>
      <c r="F103" s="38" t="str">
        <f aca="false">IF($A103&amp;$B103="","",IF(COUNTIF(门店对照!$A$2:$A$66,$A103)=0,"× 门店编码不对",IF(COUNTIF(科目对照收入!$B$2:$B$23,$B103)=0,"× 渠道名不对",IF(INDEX(科目对照收入!$E$2:$E$23,MATCH($B103,科目对照收入!$B$2:$B$23,0))&lt;&gt;"平台优先","× 该项目不按平台金额",IF(COUNTIFS($A$2:$A$601,$A103,$B$2:$B$601,$B103)&gt;1,"× 同店同渠道重复","√")))))</f>
        <v/>
      </c>
    </row>
    <row r="104" customFormat="false" ht="13.5" hidden="false" customHeight="false" outlineLevel="0" collapsed="false">
      <c r="A104" s="35"/>
      <c r="B104" s="35"/>
      <c r="C104" s="37"/>
      <c r="D104" s="15" t="str">
        <f aca="false">IF(OR($A104="",$B104=""),"",ROUND(IFERROR(INDEX(海典汇总!$C$3:$AE$67,MATCH($A104,海典汇总!$A$3:$A$67,0),MATCH(INDEX(科目对照收入!$F$2:$F$23,MATCH($B104,科目对照收入!$B$2:$B$23,0)),海典汇总!$C$1:$AE$1,0)),0)+IFERROR(INDEX(海典汇总!$C$3:$AE$67,MATCH($A104,海典汇总!$A$3:$A$67,0),MATCH(INDEX(科目对照收入!$G$2:$G$23,MATCH($B104,科目对照收入!$B$2:$B$23,0)),海典汇总!$C$1:$AE$1,0)),0)+IFERROR(INDEX(海典汇总!$C$3:$AE$67,MATCH($A104,海典汇总!$A$3:$A$67,0),MATCH(INDEX(科目对照收入!$H$2:$H$23,MATCH($B104,科目对照收入!$B$2:$B$23,0)),海典汇总!$C$1:$AE$1,0)),0),2))</f>
        <v/>
      </c>
      <c r="E104" s="15" t="str">
        <f aca="false">IF($D104="","",ROUND($C104-$D104,2))</f>
        <v/>
      </c>
      <c r="F104" s="38" t="str">
        <f aca="false">IF($A104&amp;$B104="","",IF(COUNTIF(门店对照!$A$2:$A$66,$A104)=0,"× 门店编码不对",IF(COUNTIF(科目对照收入!$B$2:$B$23,$B104)=0,"× 渠道名不对",IF(INDEX(科目对照收入!$E$2:$E$23,MATCH($B104,科目对照收入!$B$2:$B$23,0))&lt;&gt;"平台优先","× 该项目不按平台金额",IF(COUNTIFS($A$2:$A$601,$A104,$B$2:$B$601,$B104)&gt;1,"× 同店同渠道重复","√")))))</f>
        <v/>
      </c>
    </row>
    <row r="105" customFormat="false" ht="13.5" hidden="false" customHeight="false" outlineLevel="0" collapsed="false">
      <c r="A105" s="35"/>
      <c r="B105" s="35"/>
      <c r="C105" s="37"/>
      <c r="D105" s="15" t="str">
        <f aca="false">IF(OR($A105="",$B105=""),"",ROUND(IFERROR(INDEX(海典汇总!$C$3:$AE$67,MATCH($A105,海典汇总!$A$3:$A$67,0),MATCH(INDEX(科目对照收入!$F$2:$F$23,MATCH($B105,科目对照收入!$B$2:$B$23,0)),海典汇总!$C$1:$AE$1,0)),0)+IFERROR(INDEX(海典汇总!$C$3:$AE$67,MATCH($A105,海典汇总!$A$3:$A$67,0),MATCH(INDEX(科目对照收入!$G$2:$G$23,MATCH($B105,科目对照收入!$B$2:$B$23,0)),海典汇总!$C$1:$AE$1,0)),0)+IFERROR(INDEX(海典汇总!$C$3:$AE$67,MATCH($A105,海典汇总!$A$3:$A$67,0),MATCH(INDEX(科目对照收入!$H$2:$H$23,MATCH($B105,科目对照收入!$B$2:$B$23,0)),海典汇总!$C$1:$AE$1,0)),0),2))</f>
        <v/>
      </c>
      <c r="E105" s="15" t="str">
        <f aca="false">IF($D105="","",ROUND($C105-$D105,2))</f>
        <v/>
      </c>
      <c r="F105" s="38" t="str">
        <f aca="false">IF($A105&amp;$B105="","",IF(COUNTIF(门店对照!$A$2:$A$66,$A105)=0,"× 门店编码不对",IF(COUNTIF(科目对照收入!$B$2:$B$23,$B105)=0,"× 渠道名不对",IF(INDEX(科目对照收入!$E$2:$E$23,MATCH($B105,科目对照收入!$B$2:$B$23,0))&lt;&gt;"平台优先","× 该项目不按平台金额",IF(COUNTIFS($A$2:$A$601,$A105,$B$2:$B$601,$B105)&gt;1,"× 同店同渠道重复","√")))))</f>
        <v/>
      </c>
    </row>
    <row r="106" customFormat="false" ht="13.5" hidden="false" customHeight="false" outlineLevel="0" collapsed="false">
      <c r="A106" s="35"/>
      <c r="B106" s="35"/>
      <c r="C106" s="37"/>
      <c r="D106" s="15" t="str">
        <f aca="false">IF(OR($A106="",$B106=""),"",ROUND(IFERROR(INDEX(海典汇总!$C$3:$AE$67,MATCH($A106,海典汇总!$A$3:$A$67,0),MATCH(INDEX(科目对照收入!$F$2:$F$23,MATCH($B106,科目对照收入!$B$2:$B$23,0)),海典汇总!$C$1:$AE$1,0)),0)+IFERROR(INDEX(海典汇总!$C$3:$AE$67,MATCH($A106,海典汇总!$A$3:$A$67,0),MATCH(INDEX(科目对照收入!$G$2:$G$23,MATCH($B106,科目对照收入!$B$2:$B$23,0)),海典汇总!$C$1:$AE$1,0)),0)+IFERROR(INDEX(海典汇总!$C$3:$AE$67,MATCH($A106,海典汇总!$A$3:$A$67,0),MATCH(INDEX(科目对照收入!$H$2:$H$23,MATCH($B106,科目对照收入!$B$2:$B$23,0)),海典汇总!$C$1:$AE$1,0)),0),2))</f>
        <v/>
      </c>
      <c r="E106" s="15" t="str">
        <f aca="false">IF($D106="","",ROUND($C106-$D106,2))</f>
        <v/>
      </c>
      <c r="F106" s="38" t="str">
        <f aca="false">IF($A106&amp;$B106="","",IF(COUNTIF(门店对照!$A$2:$A$66,$A106)=0,"× 门店编码不对",IF(COUNTIF(科目对照收入!$B$2:$B$23,$B106)=0,"× 渠道名不对",IF(INDEX(科目对照收入!$E$2:$E$23,MATCH($B106,科目对照收入!$B$2:$B$23,0))&lt;&gt;"平台优先","× 该项目不按平台金额",IF(COUNTIFS($A$2:$A$601,$A106,$B$2:$B$601,$B106)&gt;1,"× 同店同渠道重复","√")))))</f>
        <v/>
      </c>
    </row>
    <row r="107" customFormat="false" ht="13.5" hidden="false" customHeight="false" outlineLevel="0" collapsed="false">
      <c r="A107" s="35"/>
      <c r="B107" s="35"/>
      <c r="C107" s="37"/>
      <c r="D107" s="15" t="str">
        <f aca="false">IF(OR($A107="",$B107=""),"",ROUND(IFERROR(INDEX(海典汇总!$C$3:$AE$67,MATCH($A107,海典汇总!$A$3:$A$67,0),MATCH(INDEX(科目对照收入!$F$2:$F$23,MATCH($B107,科目对照收入!$B$2:$B$23,0)),海典汇总!$C$1:$AE$1,0)),0)+IFERROR(INDEX(海典汇总!$C$3:$AE$67,MATCH($A107,海典汇总!$A$3:$A$67,0),MATCH(INDEX(科目对照收入!$G$2:$G$23,MATCH($B107,科目对照收入!$B$2:$B$23,0)),海典汇总!$C$1:$AE$1,0)),0)+IFERROR(INDEX(海典汇总!$C$3:$AE$67,MATCH($A107,海典汇总!$A$3:$A$67,0),MATCH(INDEX(科目对照收入!$H$2:$H$23,MATCH($B107,科目对照收入!$B$2:$B$23,0)),海典汇总!$C$1:$AE$1,0)),0),2))</f>
        <v/>
      </c>
      <c r="E107" s="15" t="str">
        <f aca="false">IF($D107="","",ROUND($C107-$D107,2))</f>
        <v/>
      </c>
      <c r="F107" s="38" t="str">
        <f aca="false">IF($A107&amp;$B107="","",IF(COUNTIF(门店对照!$A$2:$A$66,$A107)=0,"× 门店编码不对",IF(COUNTIF(科目对照收入!$B$2:$B$23,$B107)=0,"× 渠道名不对",IF(INDEX(科目对照收入!$E$2:$E$23,MATCH($B107,科目对照收入!$B$2:$B$23,0))&lt;&gt;"平台优先","× 该项目不按平台金额",IF(COUNTIFS($A$2:$A$601,$A107,$B$2:$B$601,$B107)&gt;1,"× 同店同渠道重复","√")))))</f>
        <v/>
      </c>
    </row>
    <row r="108" customFormat="false" ht="13.5" hidden="false" customHeight="false" outlineLevel="0" collapsed="false">
      <c r="A108" s="35"/>
      <c r="B108" s="35"/>
      <c r="C108" s="37"/>
      <c r="D108" s="15" t="str">
        <f aca="false">IF(OR($A108="",$B108=""),"",ROUND(IFERROR(INDEX(海典汇总!$C$3:$AE$67,MATCH($A108,海典汇总!$A$3:$A$67,0),MATCH(INDEX(科目对照收入!$F$2:$F$23,MATCH($B108,科目对照收入!$B$2:$B$23,0)),海典汇总!$C$1:$AE$1,0)),0)+IFERROR(INDEX(海典汇总!$C$3:$AE$67,MATCH($A108,海典汇总!$A$3:$A$67,0),MATCH(INDEX(科目对照收入!$G$2:$G$23,MATCH($B108,科目对照收入!$B$2:$B$23,0)),海典汇总!$C$1:$AE$1,0)),0)+IFERROR(INDEX(海典汇总!$C$3:$AE$67,MATCH($A108,海典汇总!$A$3:$A$67,0),MATCH(INDEX(科目对照收入!$H$2:$H$23,MATCH($B108,科目对照收入!$B$2:$B$23,0)),海典汇总!$C$1:$AE$1,0)),0),2))</f>
        <v/>
      </c>
      <c r="E108" s="15" t="str">
        <f aca="false">IF($D108="","",ROUND($C108-$D108,2))</f>
        <v/>
      </c>
      <c r="F108" s="38" t="str">
        <f aca="false">IF($A108&amp;$B108="","",IF(COUNTIF(门店对照!$A$2:$A$66,$A108)=0,"× 门店编码不对",IF(COUNTIF(科目对照收入!$B$2:$B$23,$B108)=0,"× 渠道名不对",IF(INDEX(科目对照收入!$E$2:$E$23,MATCH($B108,科目对照收入!$B$2:$B$23,0))&lt;&gt;"平台优先","× 该项目不按平台金额",IF(COUNTIFS($A$2:$A$601,$A108,$B$2:$B$601,$B108)&gt;1,"× 同店同渠道重复","√")))))</f>
        <v/>
      </c>
    </row>
    <row r="109" customFormat="false" ht="13.5" hidden="false" customHeight="false" outlineLevel="0" collapsed="false">
      <c r="A109" s="35"/>
      <c r="B109" s="35"/>
      <c r="C109" s="37"/>
      <c r="D109" s="15" t="str">
        <f aca="false">IF(OR($A109="",$B109=""),"",ROUND(IFERROR(INDEX(海典汇总!$C$3:$AE$67,MATCH($A109,海典汇总!$A$3:$A$67,0),MATCH(INDEX(科目对照收入!$F$2:$F$23,MATCH($B109,科目对照收入!$B$2:$B$23,0)),海典汇总!$C$1:$AE$1,0)),0)+IFERROR(INDEX(海典汇总!$C$3:$AE$67,MATCH($A109,海典汇总!$A$3:$A$67,0),MATCH(INDEX(科目对照收入!$G$2:$G$23,MATCH($B109,科目对照收入!$B$2:$B$23,0)),海典汇总!$C$1:$AE$1,0)),0)+IFERROR(INDEX(海典汇总!$C$3:$AE$67,MATCH($A109,海典汇总!$A$3:$A$67,0),MATCH(INDEX(科目对照收入!$H$2:$H$23,MATCH($B109,科目对照收入!$B$2:$B$23,0)),海典汇总!$C$1:$AE$1,0)),0),2))</f>
        <v/>
      </c>
      <c r="E109" s="15" t="str">
        <f aca="false">IF($D109="","",ROUND($C109-$D109,2))</f>
        <v/>
      </c>
      <c r="F109" s="38" t="str">
        <f aca="false">IF($A109&amp;$B109="","",IF(COUNTIF(门店对照!$A$2:$A$66,$A109)=0,"× 门店编码不对",IF(COUNTIF(科目对照收入!$B$2:$B$23,$B109)=0,"× 渠道名不对",IF(INDEX(科目对照收入!$E$2:$E$23,MATCH($B109,科目对照收入!$B$2:$B$23,0))&lt;&gt;"平台优先","× 该项目不按平台金额",IF(COUNTIFS($A$2:$A$601,$A109,$B$2:$B$601,$B109)&gt;1,"× 同店同渠道重复","√")))))</f>
        <v/>
      </c>
    </row>
    <row r="110" customFormat="false" ht="13.5" hidden="false" customHeight="false" outlineLevel="0" collapsed="false">
      <c r="A110" s="35"/>
      <c r="B110" s="35"/>
      <c r="C110" s="37"/>
      <c r="D110" s="15" t="str">
        <f aca="false">IF(OR($A110="",$B110=""),"",ROUND(IFERROR(INDEX(海典汇总!$C$3:$AE$67,MATCH($A110,海典汇总!$A$3:$A$67,0),MATCH(INDEX(科目对照收入!$F$2:$F$23,MATCH($B110,科目对照收入!$B$2:$B$23,0)),海典汇总!$C$1:$AE$1,0)),0)+IFERROR(INDEX(海典汇总!$C$3:$AE$67,MATCH($A110,海典汇总!$A$3:$A$67,0),MATCH(INDEX(科目对照收入!$G$2:$G$23,MATCH($B110,科目对照收入!$B$2:$B$23,0)),海典汇总!$C$1:$AE$1,0)),0)+IFERROR(INDEX(海典汇总!$C$3:$AE$67,MATCH($A110,海典汇总!$A$3:$A$67,0),MATCH(INDEX(科目对照收入!$H$2:$H$23,MATCH($B110,科目对照收入!$B$2:$B$23,0)),海典汇总!$C$1:$AE$1,0)),0),2))</f>
        <v/>
      </c>
      <c r="E110" s="15" t="str">
        <f aca="false">IF($D110="","",ROUND($C110-$D110,2))</f>
        <v/>
      </c>
      <c r="F110" s="38" t="str">
        <f aca="false">IF($A110&amp;$B110="","",IF(COUNTIF(门店对照!$A$2:$A$66,$A110)=0,"× 门店编码不对",IF(COUNTIF(科目对照收入!$B$2:$B$23,$B110)=0,"× 渠道名不对",IF(INDEX(科目对照收入!$E$2:$E$23,MATCH($B110,科目对照收入!$B$2:$B$23,0))&lt;&gt;"平台优先","× 该项目不按平台金额",IF(COUNTIFS($A$2:$A$601,$A110,$B$2:$B$601,$B110)&gt;1,"× 同店同渠道重复","√")))))</f>
        <v/>
      </c>
    </row>
    <row r="111" customFormat="false" ht="13.5" hidden="false" customHeight="false" outlineLevel="0" collapsed="false">
      <c r="A111" s="35"/>
      <c r="B111" s="35"/>
      <c r="C111" s="37"/>
      <c r="D111" s="15" t="str">
        <f aca="false">IF(OR($A111="",$B111=""),"",ROUND(IFERROR(INDEX(海典汇总!$C$3:$AE$67,MATCH($A111,海典汇总!$A$3:$A$67,0),MATCH(INDEX(科目对照收入!$F$2:$F$23,MATCH($B111,科目对照收入!$B$2:$B$23,0)),海典汇总!$C$1:$AE$1,0)),0)+IFERROR(INDEX(海典汇总!$C$3:$AE$67,MATCH($A111,海典汇总!$A$3:$A$67,0),MATCH(INDEX(科目对照收入!$G$2:$G$23,MATCH($B111,科目对照收入!$B$2:$B$23,0)),海典汇总!$C$1:$AE$1,0)),0)+IFERROR(INDEX(海典汇总!$C$3:$AE$67,MATCH($A111,海典汇总!$A$3:$A$67,0),MATCH(INDEX(科目对照收入!$H$2:$H$23,MATCH($B111,科目对照收入!$B$2:$B$23,0)),海典汇总!$C$1:$AE$1,0)),0),2))</f>
        <v/>
      </c>
      <c r="E111" s="15" t="str">
        <f aca="false">IF($D111="","",ROUND($C111-$D111,2))</f>
        <v/>
      </c>
      <c r="F111" s="38" t="str">
        <f aca="false">IF($A111&amp;$B111="","",IF(COUNTIF(门店对照!$A$2:$A$66,$A111)=0,"× 门店编码不对",IF(COUNTIF(科目对照收入!$B$2:$B$23,$B111)=0,"× 渠道名不对",IF(INDEX(科目对照收入!$E$2:$E$23,MATCH($B111,科目对照收入!$B$2:$B$23,0))&lt;&gt;"平台优先","× 该项目不按平台金额",IF(COUNTIFS($A$2:$A$601,$A111,$B$2:$B$601,$B111)&gt;1,"× 同店同渠道重复","√")))))</f>
        <v/>
      </c>
    </row>
    <row r="112" customFormat="false" ht="13.5" hidden="false" customHeight="false" outlineLevel="0" collapsed="false">
      <c r="A112" s="35"/>
      <c r="B112" s="35"/>
      <c r="C112" s="37"/>
      <c r="D112" s="15" t="str">
        <f aca="false">IF(OR($A112="",$B112=""),"",ROUND(IFERROR(INDEX(海典汇总!$C$3:$AE$67,MATCH($A112,海典汇总!$A$3:$A$67,0),MATCH(INDEX(科目对照收入!$F$2:$F$23,MATCH($B112,科目对照收入!$B$2:$B$23,0)),海典汇总!$C$1:$AE$1,0)),0)+IFERROR(INDEX(海典汇总!$C$3:$AE$67,MATCH($A112,海典汇总!$A$3:$A$67,0),MATCH(INDEX(科目对照收入!$G$2:$G$23,MATCH($B112,科目对照收入!$B$2:$B$23,0)),海典汇总!$C$1:$AE$1,0)),0)+IFERROR(INDEX(海典汇总!$C$3:$AE$67,MATCH($A112,海典汇总!$A$3:$A$67,0),MATCH(INDEX(科目对照收入!$H$2:$H$23,MATCH($B112,科目对照收入!$B$2:$B$23,0)),海典汇总!$C$1:$AE$1,0)),0),2))</f>
        <v/>
      </c>
      <c r="E112" s="15" t="str">
        <f aca="false">IF($D112="","",ROUND($C112-$D112,2))</f>
        <v/>
      </c>
      <c r="F112" s="38" t="str">
        <f aca="false">IF($A112&amp;$B112="","",IF(COUNTIF(门店对照!$A$2:$A$66,$A112)=0,"× 门店编码不对",IF(COUNTIF(科目对照收入!$B$2:$B$23,$B112)=0,"× 渠道名不对",IF(INDEX(科目对照收入!$E$2:$E$23,MATCH($B112,科目对照收入!$B$2:$B$23,0))&lt;&gt;"平台优先","× 该项目不按平台金额",IF(COUNTIFS($A$2:$A$601,$A112,$B$2:$B$601,$B112)&gt;1,"× 同店同渠道重复","√")))))</f>
        <v/>
      </c>
    </row>
    <row r="113" customFormat="false" ht="13.5" hidden="false" customHeight="false" outlineLevel="0" collapsed="false">
      <c r="A113" s="35"/>
      <c r="B113" s="35"/>
      <c r="C113" s="37"/>
      <c r="D113" s="15" t="str">
        <f aca="false">IF(OR($A113="",$B113=""),"",ROUND(IFERROR(INDEX(海典汇总!$C$3:$AE$67,MATCH($A113,海典汇总!$A$3:$A$67,0),MATCH(INDEX(科目对照收入!$F$2:$F$23,MATCH($B113,科目对照收入!$B$2:$B$23,0)),海典汇总!$C$1:$AE$1,0)),0)+IFERROR(INDEX(海典汇总!$C$3:$AE$67,MATCH($A113,海典汇总!$A$3:$A$67,0),MATCH(INDEX(科目对照收入!$G$2:$G$23,MATCH($B113,科目对照收入!$B$2:$B$23,0)),海典汇总!$C$1:$AE$1,0)),0)+IFERROR(INDEX(海典汇总!$C$3:$AE$67,MATCH($A113,海典汇总!$A$3:$A$67,0),MATCH(INDEX(科目对照收入!$H$2:$H$23,MATCH($B113,科目对照收入!$B$2:$B$23,0)),海典汇总!$C$1:$AE$1,0)),0),2))</f>
        <v/>
      </c>
      <c r="E113" s="15" t="str">
        <f aca="false">IF($D113="","",ROUND($C113-$D113,2))</f>
        <v/>
      </c>
      <c r="F113" s="38" t="str">
        <f aca="false">IF($A113&amp;$B113="","",IF(COUNTIF(门店对照!$A$2:$A$66,$A113)=0,"× 门店编码不对",IF(COUNTIF(科目对照收入!$B$2:$B$23,$B113)=0,"× 渠道名不对",IF(INDEX(科目对照收入!$E$2:$E$23,MATCH($B113,科目对照收入!$B$2:$B$23,0))&lt;&gt;"平台优先","× 该项目不按平台金额",IF(COUNTIFS($A$2:$A$601,$A113,$B$2:$B$601,$B113)&gt;1,"× 同店同渠道重复","√")))))</f>
        <v/>
      </c>
    </row>
    <row r="114" customFormat="false" ht="13.5" hidden="false" customHeight="false" outlineLevel="0" collapsed="false">
      <c r="A114" s="35"/>
      <c r="B114" s="35"/>
      <c r="C114" s="37"/>
      <c r="D114" s="15" t="str">
        <f aca="false">IF(OR($A114="",$B114=""),"",ROUND(IFERROR(INDEX(海典汇总!$C$3:$AE$67,MATCH($A114,海典汇总!$A$3:$A$67,0),MATCH(INDEX(科目对照收入!$F$2:$F$23,MATCH($B114,科目对照收入!$B$2:$B$23,0)),海典汇总!$C$1:$AE$1,0)),0)+IFERROR(INDEX(海典汇总!$C$3:$AE$67,MATCH($A114,海典汇总!$A$3:$A$67,0),MATCH(INDEX(科目对照收入!$G$2:$G$23,MATCH($B114,科目对照收入!$B$2:$B$23,0)),海典汇总!$C$1:$AE$1,0)),0)+IFERROR(INDEX(海典汇总!$C$3:$AE$67,MATCH($A114,海典汇总!$A$3:$A$67,0),MATCH(INDEX(科目对照收入!$H$2:$H$23,MATCH($B114,科目对照收入!$B$2:$B$23,0)),海典汇总!$C$1:$AE$1,0)),0),2))</f>
        <v/>
      </c>
      <c r="E114" s="15" t="str">
        <f aca="false">IF($D114="","",ROUND($C114-$D114,2))</f>
        <v/>
      </c>
      <c r="F114" s="38" t="str">
        <f aca="false">IF($A114&amp;$B114="","",IF(COUNTIF(门店对照!$A$2:$A$66,$A114)=0,"× 门店编码不对",IF(COUNTIF(科目对照收入!$B$2:$B$23,$B114)=0,"× 渠道名不对",IF(INDEX(科目对照收入!$E$2:$E$23,MATCH($B114,科目对照收入!$B$2:$B$23,0))&lt;&gt;"平台优先","× 该项目不按平台金额",IF(COUNTIFS($A$2:$A$601,$A114,$B$2:$B$601,$B114)&gt;1,"× 同店同渠道重复","√")))))</f>
        <v/>
      </c>
    </row>
    <row r="115" customFormat="false" ht="13.5" hidden="false" customHeight="false" outlineLevel="0" collapsed="false">
      <c r="A115" s="35"/>
      <c r="B115" s="35"/>
      <c r="C115" s="37"/>
      <c r="D115" s="15" t="str">
        <f aca="false">IF(OR($A115="",$B115=""),"",ROUND(IFERROR(INDEX(海典汇总!$C$3:$AE$67,MATCH($A115,海典汇总!$A$3:$A$67,0),MATCH(INDEX(科目对照收入!$F$2:$F$23,MATCH($B115,科目对照收入!$B$2:$B$23,0)),海典汇总!$C$1:$AE$1,0)),0)+IFERROR(INDEX(海典汇总!$C$3:$AE$67,MATCH($A115,海典汇总!$A$3:$A$67,0),MATCH(INDEX(科目对照收入!$G$2:$G$23,MATCH($B115,科目对照收入!$B$2:$B$23,0)),海典汇总!$C$1:$AE$1,0)),0)+IFERROR(INDEX(海典汇总!$C$3:$AE$67,MATCH($A115,海典汇总!$A$3:$A$67,0),MATCH(INDEX(科目对照收入!$H$2:$H$23,MATCH($B115,科目对照收入!$B$2:$B$23,0)),海典汇总!$C$1:$AE$1,0)),0),2))</f>
        <v/>
      </c>
      <c r="E115" s="15" t="str">
        <f aca="false">IF($D115="","",ROUND($C115-$D115,2))</f>
        <v/>
      </c>
      <c r="F115" s="38" t="str">
        <f aca="false">IF($A115&amp;$B115="","",IF(COUNTIF(门店对照!$A$2:$A$66,$A115)=0,"× 门店编码不对",IF(COUNTIF(科目对照收入!$B$2:$B$23,$B115)=0,"× 渠道名不对",IF(INDEX(科目对照收入!$E$2:$E$23,MATCH($B115,科目对照收入!$B$2:$B$23,0))&lt;&gt;"平台优先","× 该项目不按平台金额",IF(COUNTIFS($A$2:$A$601,$A115,$B$2:$B$601,$B115)&gt;1,"× 同店同渠道重复","√")))))</f>
        <v/>
      </c>
    </row>
    <row r="116" customFormat="false" ht="13.5" hidden="false" customHeight="false" outlineLevel="0" collapsed="false">
      <c r="A116" s="35"/>
      <c r="B116" s="35"/>
      <c r="C116" s="37"/>
      <c r="D116" s="15" t="str">
        <f aca="false">IF(OR($A116="",$B116=""),"",ROUND(IFERROR(INDEX(海典汇总!$C$3:$AE$67,MATCH($A116,海典汇总!$A$3:$A$67,0),MATCH(INDEX(科目对照收入!$F$2:$F$23,MATCH($B116,科目对照收入!$B$2:$B$23,0)),海典汇总!$C$1:$AE$1,0)),0)+IFERROR(INDEX(海典汇总!$C$3:$AE$67,MATCH($A116,海典汇总!$A$3:$A$67,0),MATCH(INDEX(科目对照收入!$G$2:$G$23,MATCH($B116,科目对照收入!$B$2:$B$23,0)),海典汇总!$C$1:$AE$1,0)),0)+IFERROR(INDEX(海典汇总!$C$3:$AE$67,MATCH($A116,海典汇总!$A$3:$A$67,0),MATCH(INDEX(科目对照收入!$H$2:$H$23,MATCH($B116,科目对照收入!$B$2:$B$23,0)),海典汇总!$C$1:$AE$1,0)),0),2))</f>
        <v/>
      </c>
      <c r="E116" s="15" t="str">
        <f aca="false">IF($D116="","",ROUND($C116-$D116,2))</f>
        <v/>
      </c>
      <c r="F116" s="38" t="str">
        <f aca="false">IF($A116&amp;$B116="","",IF(COUNTIF(门店对照!$A$2:$A$66,$A116)=0,"× 门店编码不对",IF(COUNTIF(科目对照收入!$B$2:$B$23,$B116)=0,"× 渠道名不对",IF(INDEX(科目对照收入!$E$2:$E$23,MATCH($B116,科目对照收入!$B$2:$B$23,0))&lt;&gt;"平台优先","× 该项目不按平台金额",IF(COUNTIFS($A$2:$A$601,$A116,$B$2:$B$601,$B116)&gt;1,"× 同店同渠道重复","√")))))</f>
        <v/>
      </c>
    </row>
    <row r="117" customFormat="false" ht="13.5" hidden="false" customHeight="false" outlineLevel="0" collapsed="false">
      <c r="A117" s="35"/>
      <c r="B117" s="35"/>
      <c r="C117" s="37"/>
      <c r="D117" s="15" t="str">
        <f aca="false">IF(OR($A117="",$B117=""),"",ROUND(IFERROR(INDEX(海典汇总!$C$3:$AE$67,MATCH($A117,海典汇总!$A$3:$A$67,0),MATCH(INDEX(科目对照收入!$F$2:$F$23,MATCH($B117,科目对照收入!$B$2:$B$23,0)),海典汇总!$C$1:$AE$1,0)),0)+IFERROR(INDEX(海典汇总!$C$3:$AE$67,MATCH($A117,海典汇总!$A$3:$A$67,0),MATCH(INDEX(科目对照收入!$G$2:$G$23,MATCH($B117,科目对照收入!$B$2:$B$23,0)),海典汇总!$C$1:$AE$1,0)),0)+IFERROR(INDEX(海典汇总!$C$3:$AE$67,MATCH($A117,海典汇总!$A$3:$A$67,0),MATCH(INDEX(科目对照收入!$H$2:$H$23,MATCH($B117,科目对照收入!$B$2:$B$23,0)),海典汇总!$C$1:$AE$1,0)),0),2))</f>
        <v/>
      </c>
      <c r="E117" s="15" t="str">
        <f aca="false">IF($D117="","",ROUND($C117-$D117,2))</f>
        <v/>
      </c>
      <c r="F117" s="38" t="str">
        <f aca="false">IF($A117&amp;$B117="","",IF(COUNTIF(门店对照!$A$2:$A$66,$A117)=0,"× 门店编码不对",IF(COUNTIF(科目对照收入!$B$2:$B$23,$B117)=0,"× 渠道名不对",IF(INDEX(科目对照收入!$E$2:$E$23,MATCH($B117,科目对照收入!$B$2:$B$23,0))&lt;&gt;"平台优先","× 该项目不按平台金额",IF(COUNTIFS($A$2:$A$601,$A117,$B$2:$B$601,$B117)&gt;1,"× 同店同渠道重复","√")))))</f>
        <v/>
      </c>
    </row>
    <row r="118" customFormat="false" ht="13.5" hidden="false" customHeight="false" outlineLevel="0" collapsed="false">
      <c r="A118" s="35"/>
      <c r="B118" s="35"/>
      <c r="C118" s="37"/>
      <c r="D118" s="15" t="str">
        <f aca="false">IF(OR($A118="",$B118=""),"",ROUND(IFERROR(INDEX(海典汇总!$C$3:$AE$67,MATCH($A118,海典汇总!$A$3:$A$67,0),MATCH(INDEX(科目对照收入!$F$2:$F$23,MATCH($B118,科目对照收入!$B$2:$B$23,0)),海典汇总!$C$1:$AE$1,0)),0)+IFERROR(INDEX(海典汇总!$C$3:$AE$67,MATCH($A118,海典汇总!$A$3:$A$67,0),MATCH(INDEX(科目对照收入!$G$2:$G$23,MATCH($B118,科目对照收入!$B$2:$B$23,0)),海典汇总!$C$1:$AE$1,0)),0)+IFERROR(INDEX(海典汇总!$C$3:$AE$67,MATCH($A118,海典汇总!$A$3:$A$67,0),MATCH(INDEX(科目对照收入!$H$2:$H$23,MATCH($B118,科目对照收入!$B$2:$B$23,0)),海典汇总!$C$1:$AE$1,0)),0),2))</f>
        <v/>
      </c>
      <c r="E118" s="15" t="str">
        <f aca="false">IF($D118="","",ROUND($C118-$D118,2))</f>
        <v/>
      </c>
      <c r="F118" s="38" t="str">
        <f aca="false">IF($A118&amp;$B118="","",IF(COUNTIF(门店对照!$A$2:$A$66,$A118)=0,"× 门店编码不对",IF(COUNTIF(科目对照收入!$B$2:$B$23,$B118)=0,"× 渠道名不对",IF(INDEX(科目对照收入!$E$2:$E$23,MATCH($B118,科目对照收入!$B$2:$B$23,0))&lt;&gt;"平台优先","× 该项目不按平台金额",IF(COUNTIFS($A$2:$A$601,$A118,$B$2:$B$601,$B118)&gt;1,"× 同店同渠道重复","√")))))</f>
        <v/>
      </c>
    </row>
    <row r="119" customFormat="false" ht="13.5" hidden="false" customHeight="false" outlineLevel="0" collapsed="false">
      <c r="A119" s="35"/>
      <c r="B119" s="35"/>
      <c r="C119" s="37"/>
      <c r="D119" s="15" t="str">
        <f aca="false">IF(OR($A119="",$B119=""),"",ROUND(IFERROR(INDEX(海典汇总!$C$3:$AE$67,MATCH($A119,海典汇总!$A$3:$A$67,0),MATCH(INDEX(科目对照收入!$F$2:$F$23,MATCH($B119,科目对照收入!$B$2:$B$23,0)),海典汇总!$C$1:$AE$1,0)),0)+IFERROR(INDEX(海典汇总!$C$3:$AE$67,MATCH($A119,海典汇总!$A$3:$A$67,0),MATCH(INDEX(科目对照收入!$G$2:$G$23,MATCH($B119,科目对照收入!$B$2:$B$23,0)),海典汇总!$C$1:$AE$1,0)),0)+IFERROR(INDEX(海典汇总!$C$3:$AE$67,MATCH($A119,海典汇总!$A$3:$A$67,0),MATCH(INDEX(科目对照收入!$H$2:$H$23,MATCH($B119,科目对照收入!$B$2:$B$23,0)),海典汇总!$C$1:$AE$1,0)),0),2))</f>
        <v/>
      </c>
      <c r="E119" s="15" t="str">
        <f aca="false">IF($D119="","",ROUND($C119-$D119,2))</f>
        <v/>
      </c>
      <c r="F119" s="38" t="str">
        <f aca="false">IF($A119&amp;$B119="","",IF(COUNTIF(门店对照!$A$2:$A$66,$A119)=0,"× 门店编码不对",IF(COUNTIF(科目对照收入!$B$2:$B$23,$B119)=0,"× 渠道名不对",IF(INDEX(科目对照收入!$E$2:$E$23,MATCH($B119,科目对照收入!$B$2:$B$23,0))&lt;&gt;"平台优先","× 该项目不按平台金额",IF(COUNTIFS($A$2:$A$601,$A119,$B$2:$B$601,$B119)&gt;1,"× 同店同渠道重复","√")))))</f>
        <v/>
      </c>
    </row>
    <row r="120" customFormat="false" ht="13.5" hidden="false" customHeight="false" outlineLevel="0" collapsed="false">
      <c r="A120" s="35"/>
      <c r="B120" s="35"/>
      <c r="C120" s="37"/>
      <c r="D120" s="15" t="str">
        <f aca="false">IF(OR($A120="",$B120=""),"",ROUND(IFERROR(INDEX(海典汇总!$C$3:$AE$67,MATCH($A120,海典汇总!$A$3:$A$67,0),MATCH(INDEX(科目对照收入!$F$2:$F$23,MATCH($B120,科目对照收入!$B$2:$B$23,0)),海典汇总!$C$1:$AE$1,0)),0)+IFERROR(INDEX(海典汇总!$C$3:$AE$67,MATCH($A120,海典汇总!$A$3:$A$67,0),MATCH(INDEX(科目对照收入!$G$2:$G$23,MATCH($B120,科目对照收入!$B$2:$B$23,0)),海典汇总!$C$1:$AE$1,0)),0)+IFERROR(INDEX(海典汇总!$C$3:$AE$67,MATCH($A120,海典汇总!$A$3:$A$67,0),MATCH(INDEX(科目对照收入!$H$2:$H$23,MATCH($B120,科目对照收入!$B$2:$B$23,0)),海典汇总!$C$1:$AE$1,0)),0),2))</f>
        <v/>
      </c>
      <c r="E120" s="15" t="str">
        <f aca="false">IF($D120="","",ROUND($C120-$D120,2))</f>
        <v/>
      </c>
      <c r="F120" s="38" t="str">
        <f aca="false">IF($A120&amp;$B120="","",IF(COUNTIF(门店对照!$A$2:$A$66,$A120)=0,"× 门店编码不对",IF(COUNTIF(科目对照收入!$B$2:$B$23,$B120)=0,"× 渠道名不对",IF(INDEX(科目对照收入!$E$2:$E$23,MATCH($B120,科目对照收入!$B$2:$B$23,0))&lt;&gt;"平台优先","× 该项目不按平台金额",IF(COUNTIFS($A$2:$A$601,$A120,$B$2:$B$601,$B120)&gt;1,"× 同店同渠道重复","√")))))</f>
        <v/>
      </c>
    </row>
    <row r="121" customFormat="false" ht="13.5" hidden="false" customHeight="false" outlineLevel="0" collapsed="false">
      <c r="A121" s="35"/>
      <c r="B121" s="35"/>
      <c r="C121" s="37"/>
      <c r="D121" s="15" t="str">
        <f aca="false">IF(OR($A121="",$B121=""),"",ROUND(IFERROR(INDEX(海典汇总!$C$3:$AE$67,MATCH($A121,海典汇总!$A$3:$A$67,0),MATCH(INDEX(科目对照收入!$F$2:$F$23,MATCH($B121,科目对照收入!$B$2:$B$23,0)),海典汇总!$C$1:$AE$1,0)),0)+IFERROR(INDEX(海典汇总!$C$3:$AE$67,MATCH($A121,海典汇总!$A$3:$A$67,0),MATCH(INDEX(科目对照收入!$G$2:$G$23,MATCH($B121,科目对照收入!$B$2:$B$23,0)),海典汇总!$C$1:$AE$1,0)),0)+IFERROR(INDEX(海典汇总!$C$3:$AE$67,MATCH($A121,海典汇总!$A$3:$A$67,0),MATCH(INDEX(科目对照收入!$H$2:$H$23,MATCH($B121,科目对照收入!$B$2:$B$23,0)),海典汇总!$C$1:$AE$1,0)),0),2))</f>
        <v/>
      </c>
      <c r="E121" s="15" t="str">
        <f aca="false">IF($D121="","",ROUND($C121-$D121,2))</f>
        <v/>
      </c>
      <c r="F121" s="38" t="str">
        <f aca="false">IF($A121&amp;$B121="","",IF(COUNTIF(门店对照!$A$2:$A$66,$A121)=0,"× 门店编码不对",IF(COUNTIF(科目对照收入!$B$2:$B$23,$B121)=0,"× 渠道名不对",IF(INDEX(科目对照收入!$E$2:$E$23,MATCH($B121,科目对照收入!$B$2:$B$23,0))&lt;&gt;"平台优先","× 该项目不按平台金额",IF(COUNTIFS($A$2:$A$601,$A121,$B$2:$B$601,$B121)&gt;1,"× 同店同渠道重复","√")))))</f>
        <v/>
      </c>
    </row>
    <row r="122" customFormat="false" ht="13.5" hidden="false" customHeight="false" outlineLevel="0" collapsed="false">
      <c r="A122" s="35"/>
      <c r="B122" s="35"/>
      <c r="C122" s="37"/>
      <c r="D122" s="15" t="str">
        <f aca="false">IF(OR($A122="",$B122=""),"",ROUND(IFERROR(INDEX(海典汇总!$C$3:$AE$67,MATCH($A122,海典汇总!$A$3:$A$67,0),MATCH(INDEX(科目对照收入!$F$2:$F$23,MATCH($B122,科目对照收入!$B$2:$B$23,0)),海典汇总!$C$1:$AE$1,0)),0)+IFERROR(INDEX(海典汇总!$C$3:$AE$67,MATCH($A122,海典汇总!$A$3:$A$67,0),MATCH(INDEX(科目对照收入!$G$2:$G$23,MATCH($B122,科目对照收入!$B$2:$B$23,0)),海典汇总!$C$1:$AE$1,0)),0)+IFERROR(INDEX(海典汇总!$C$3:$AE$67,MATCH($A122,海典汇总!$A$3:$A$67,0),MATCH(INDEX(科目对照收入!$H$2:$H$23,MATCH($B122,科目对照收入!$B$2:$B$23,0)),海典汇总!$C$1:$AE$1,0)),0),2))</f>
        <v/>
      </c>
      <c r="E122" s="15" t="str">
        <f aca="false">IF($D122="","",ROUND($C122-$D122,2))</f>
        <v/>
      </c>
      <c r="F122" s="38" t="str">
        <f aca="false">IF($A122&amp;$B122="","",IF(COUNTIF(门店对照!$A$2:$A$66,$A122)=0,"× 门店编码不对",IF(COUNTIF(科目对照收入!$B$2:$B$23,$B122)=0,"× 渠道名不对",IF(INDEX(科目对照收入!$E$2:$E$23,MATCH($B122,科目对照收入!$B$2:$B$23,0))&lt;&gt;"平台优先","× 该项目不按平台金额",IF(COUNTIFS($A$2:$A$601,$A122,$B$2:$B$601,$B122)&gt;1,"× 同店同渠道重复","√")))))</f>
        <v/>
      </c>
    </row>
    <row r="123" customFormat="false" ht="13.5" hidden="false" customHeight="false" outlineLevel="0" collapsed="false">
      <c r="A123" s="35"/>
      <c r="B123" s="35"/>
      <c r="C123" s="37"/>
      <c r="D123" s="15" t="str">
        <f aca="false">IF(OR($A123="",$B123=""),"",ROUND(IFERROR(INDEX(海典汇总!$C$3:$AE$67,MATCH($A123,海典汇总!$A$3:$A$67,0),MATCH(INDEX(科目对照收入!$F$2:$F$23,MATCH($B123,科目对照收入!$B$2:$B$23,0)),海典汇总!$C$1:$AE$1,0)),0)+IFERROR(INDEX(海典汇总!$C$3:$AE$67,MATCH($A123,海典汇总!$A$3:$A$67,0),MATCH(INDEX(科目对照收入!$G$2:$G$23,MATCH($B123,科目对照收入!$B$2:$B$23,0)),海典汇总!$C$1:$AE$1,0)),0)+IFERROR(INDEX(海典汇总!$C$3:$AE$67,MATCH($A123,海典汇总!$A$3:$A$67,0),MATCH(INDEX(科目对照收入!$H$2:$H$23,MATCH($B123,科目对照收入!$B$2:$B$23,0)),海典汇总!$C$1:$AE$1,0)),0),2))</f>
        <v/>
      </c>
      <c r="E123" s="15" t="str">
        <f aca="false">IF($D123="","",ROUND($C123-$D123,2))</f>
        <v/>
      </c>
      <c r="F123" s="38" t="str">
        <f aca="false">IF($A123&amp;$B123="","",IF(COUNTIF(门店对照!$A$2:$A$66,$A123)=0,"× 门店编码不对",IF(COUNTIF(科目对照收入!$B$2:$B$23,$B123)=0,"× 渠道名不对",IF(INDEX(科目对照收入!$E$2:$E$23,MATCH($B123,科目对照收入!$B$2:$B$23,0))&lt;&gt;"平台优先","× 该项目不按平台金额",IF(COUNTIFS($A$2:$A$601,$A123,$B$2:$B$601,$B123)&gt;1,"× 同店同渠道重复","√")))))</f>
        <v/>
      </c>
    </row>
    <row r="124" customFormat="false" ht="13.5" hidden="false" customHeight="false" outlineLevel="0" collapsed="false">
      <c r="A124" s="35"/>
      <c r="B124" s="35"/>
      <c r="C124" s="37"/>
      <c r="D124" s="15" t="str">
        <f aca="false">IF(OR($A124="",$B124=""),"",ROUND(IFERROR(INDEX(海典汇总!$C$3:$AE$67,MATCH($A124,海典汇总!$A$3:$A$67,0),MATCH(INDEX(科目对照收入!$F$2:$F$23,MATCH($B124,科目对照收入!$B$2:$B$23,0)),海典汇总!$C$1:$AE$1,0)),0)+IFERROR(INDEX(海典汇总!$C$3:$AE$67,MATCH($A124,海典汇总!$A$3:$A$67,0),MATCH(INDEX(科目对照收入!$G$2:$G$23,MATCH($B124,科目对照收入!$B$2:$B$23,0)),海典汇总!$C$1:$AE$1,0)),0)+IFERROR(INDEX(海典汇总!$C$3:$AE$67,MATCH($A124,海典汇总!$A$3:$A$67,0),MATCH(INDEX(科目对照收入!$H$2:$H$23,MATCH($B124,科目对照收入!$B$2:$B$23,0)),海典汇总!$C$1:$AE$1,0)),0),2))</f>
        <v/>
      </c>
      <c r="E124" s="15" t="str">
        <f aca="false">IF($D124="","",ROUND($C124-$D124,2))</f>
        <v/>
      </c>
      <c r="F124" s="38" t="str">
        <f aca="false">IF($A124&amp;$B124="","",IF(COUNTIF(门店对照!$A$2:$A$66,$A124)=0,"× 门店编码不对",IF(COUNTIF(科目对照收入!$B$2:$B$23,$B124)=0,"× 渠道名不对",IF(INDEX(科目对照收入!$E$2:$E$23,MATCH($B124,科目对照收入!$B$2:$B$23,0))&lt;&gt;"平台优先","× 该项目不按平台金额",IF(COUNTIFS($A$2:$A$601,$A124,$B$2:$B$601,$B124)&gt;1,"× 同店同渠道重复","√")))))</f>
        <v/>
      </c>
    </row>
    <row r="125" customFormat="false" ht="13.5" hidden="false" customHeight="false" outlineLevel="0" collapsed="false">
      <c r="A125" s="35"/>
      <c r="B125" s="35"/>
      <c r="C125" s="37"/>
      <c r="D125" s="15" t="str">
        <f aca="false">IF(OR($A125="",$B125=""),"",ROUND(IFERROR(INDEX(海典汇总!$C$3:$AE$67,MATCH($A125,海典汇总!$A$3:$A$67,0),MATCH(INDEX(科目对照收入!$F$2:$F$23,MATCH($B125,科目对照收入!$B$2:$B$23,0)),海典汇总!$C$1:$AE$1,0)),0)+IFERROR(INDEX(海典汇总!$C$3:$AE$67,MATCH($A125,海典汇总!$A$3:$A$67,0),MATCH(INDEX(科目对照收入!$G$2:$G$23,MATCH($B125,科目对照收入!$B$2:$B$23,0)),海典汇总!$C$1:$AE$1,0)),0)+IFERROR(INDEX(海典汇总!$C$3:$AE$67,MATCH($A125,海典汇总!$A$3:$A$67,0),MATCH(INDEX(科目对照收入!$H$2:$H$23,MATCH($B125,科目对照收入!$B$2:$B$23,0)),海典汇总!$C$1:$AE$1,0)),0),2))</f>
        <v/>
      </c>
      <c r="E125" s="15" t="str">
        <f aca="false">IF($D125="","",ROUND($C125-$D125,2))</f>
        <v/>
      </c>
      <c r="F125" s="38" t="str">
        <f aca="false">IF($A125&amp;$B125="","",IF(COUNTIF(门店对照!$A$2:$A$66,$A125)=0,"× 门店编码不对",IF(COUNTIF(科目对照收入!$B$2:$B$23,$B125)=0,"× 渠道名不对",IF(INDEX(科目对照收入!$E$2:$E$23,MATCH($B125,科目对照收入!$B$2:$B$23,0))&lt;&gt;"平台优先","× 该项目不按平台金额",IF(COUNTIFS($A$2:$A$601,$A125,$B$2:$B$601,$B125)&gt;1,"× 同店同渠道重复","√")))))</f>
        <v/>
      </c>
    </row>
    <row r="126" customFormat="false" ht="13.5" hidden="false" customHeight="false" outlineLevel="0" collapsed="false">
      <c r="A126" s="35"/>
      <c r="B126" s="35"/>
      <c r="C126" s="37"/>
      <c r="D126" s="15" t="str">
        <f aca="false">IF(OR($A126="",$B126=""),"",ROUND(IFERROR(INDEX(海典汇总!$C$3:$AE$67,MATCH($A126,海典汇总!$A$3:$A$67,0),MATCH(INDEX(科目对照收入!$F$2:$F$23,MATCH($B126,科目对照收入!$B$2:$B$23,0)),海典汇总!$C$1:$AE$1,0)),0)+IFERROR(INDEX(海典汇总!$C$3:$AE$67,MATCH($A126,海典汇总!$A$3:$A$67,0),MATCH(INDEX(科目对照收入!$G$2:$G$23,MATCH($B126,科目对照收入!$B$2:$B$23,0)),海典汇总!$C$1:$AE$1,0)),0)+IFERROR(INDEX(海典汇总!$C$3:$AE$67,MATCH($A126,海典汇总!$A$3:$A$67,0),MATCH(INDEX(科目对照收入!$H$2:$H$23,MATCH($B126,科目对照收入!$B$2:$B$23,0)),海典汇总!$C$1:$AE$1,0)),0),2))</f>
        <v/>
      </c>
      <c r="E126" s="15" t="str">
        <f aca="false">IF($D126="","",ROUND($C126-$D126,2))</f>
        <v/>
      </c>
      <c r="F126" s="38" t="str">
        <f aca="false">IF($A126&amp;$B126="","",IF(COUNTIF(门店对照!$A$2:$A$66,$A126)=0,"× 门店编码不对",IF(COUNTIF(科目对照收入!$B$2:$B$23,$B126)=0,"× 渠道名不对",IF(INDEX(科目对照收入!$E$2:$E$23,MATCH($B126,科目对照收入!$B$2:$B$23,0))&lt;&gt;"平台优先","× 该项目不按平台金额",IF(COUNTIFS($A$2:$A$601,$A126,$B$2:$B$601,$B126)&gt;1,"× 同店同渠道重复","√")))))</f>
        <v/>
      </c>
    </row>
    <row r="127" customFormat="false" ht="13.5" hidden="false" customHeight="false" outlineLevel="0" collapsed="false">
      <c r="A127" s="35"/>
      <c r="B127" s="35"/>
      <c r="C127" s="37"/>
      <c r="D127" s="15" t="str">
        <f aca="false">IF(OR($A127="",$B127=""),"",ROUND(IFERROR(INDEX(海典汇总!$C$3:$AE$67,MATCH($A127,海典汇总!$A$3:$A$67,0),MATCH(INDEX(科目对照收入!$F$2:$F$23,MATCH($B127,科目对照收入!$B$2:$B$23,0)),海典汇总!$C$1:$AE$1,0)),0)+IFERROR(INDEX(海典汇总!$C$3:$AE$67,MATCH($A127,海典汇总!$A$3:$A$67,0),MATCH(INDEX(科目对照收入!$G$2:$G$23,MATCH($B127,科目对照收入!$B$2:$B$23,0)),海典汇总!$C$1:$AE$1,0)),0)+IFERROR(INDEX(海典汇总!$C$3:$AE$67,MATCH($A127,海典汇总!$A$3:$A$67,0),MATCH(INDEX(科目对照收入!$H$2:$H$23,MATCH($B127,科目对照收入!$B$2:$B$23,0)),海典汇总!$C$1:$AE$1,0)),0),2))</f>
        <v/>
      </c>
      <c r="E127" s="15" t="str">
        <f aca="false">IF($D127="","",ROUND($C127-$D127,2))</f>
        <v/>
      </c>
      <c r="F127" s="38" t="str">
        <f aca="false">IF($A127&amp;$B127="","",IF(COUNTIF(门店对照!$A$2:$A$66,$A127)=0,"× 门店编码不对",IF(COUNTIF(科目对照收入!$B$2:$B$23,$B127)=0,"× 渠道名不对",IF(INDEX(科目对照收入!$E$2:$E$23,MATCH($B127,科目对照收入!$B$2:$B$23,0))&lt;&gt;"平台优先","× 该项目不按平台金额",IF(COUNTIFS($A$2:$A$601,$A127,$B$2:$B$601,$B127)&gt;1,"× 同店同渠道重复","√")))))</f>
        <v/>
      </c>
    </row>
    <row r="128" customFormat="false" ht="13.5" hidden="false" customHeight="false" outlineLevel="0" collapsed="false">
      <c r="A128" s="35"/>
      <c r="B128" s="35"/>
      <c r="C128" s="37"/>
      <c r="D128" s="15" t="str">
        <f aca="false">IF(OR($A128="",$B128=""),"",ROUND(IFERROR(INDEX(海典汇总!$C$3:$AE$67,MATCH($A128,海典汇总!$A$3:$A$67,0),MATCH(INDEX(科目对照收入!$F$2:$F$23,MATCH($B128,科目对照收入!$B$2:$B$23,0)),海典汇总!$C$1:$AE$1,0)),0)+IFERROR(INDEX(海典汇总!$C$3:$AE$67,MATCH($A128,海典汇总!$A$3:$A$67,0),MATCH(INDEX(科目对照收入!$G$2:$G$23,MATCH($B128,科目对照收入!$B$2:$B$23,0)),海典汇总!$C$1:$AE$1,0)),0)+IFERROR(INDEX(海典汇总!$C$3:$AE$67,MATCH($A128,海典汇总!$A$3:$A$67,0),MATCH(INDEX(科目对照收入!$H$2:$H$23,MATCH($B128,科目对照收入!$B$2:$B$23,0)),海典汇总!$C$1:$AE$1,0)),0),2))</f>
        <v/>
      </c>
      <c r="E128" s="15" t="str">
        <f aca="false">IF($D128="","",ROUND($C128-$D128,2))</f>
        <v/>
      </c>
      <c r="F128" s="38" t="str">
        <f aca="false">IF($A128&amp;$B128="","",IF(COUNTIF(门店对照!$A$2:$A$66,$A128)=0,"× 门店编码不对",IF(COUNTIF(科目对照收入!$B$2:$B$23,$B128)=0,"× 渠道名不对",IF(INDEX(科目对照收入!$E$2:$E$23,MATCH($B128,科目对照收入!$B$2:$B$23,0))&lt;&gt;"平台优先","× 该项目不按平台金额",IF(COUNTIFS($A$2:$A$601,$A128,$B$2:$B$601,$B128)&gt;1,"× 同店同渠道重复","√")))))</f>
        <v/>
      </c>
    </row>
    <row r="129" customFormat="false" ht="13.5" hidden="false" customHeight="false" outlineLevel="0" collapsed="false">
      <c r="A129" s="35"/>
      <c r="B129" s="35"/>
      <c r="C129" s="37"/>
      <c r="D129" s="15" t="str">
        <f aca="false">IF(OR($A129="",$B129=""),"",ROUND(IFERROR(INDEX(海典汇总!$C$3:$AE$67,MATCH($A129,海典汇总!$A$3:$A$67,0),MATCH(INDEX(科目对照收入!$F$2:$F$23,MATCH($B129,科目对照收入!$B$2:$B$23,0)),海典汇总!$C$1:$AE$1,0)),0)+IFERROR(INDEX(海典汇总!$C$3:$AE$67,MATCH($A129,海典汇总!$A$3:$A$67,0),MATCH(INDEX(科目对照收入!$G$2:$G$23,MATCH($B129,科目对照收入!$B$2:$B$23,0)),海典汇总!$C$1:$AE$1,0)),0)+IFERROR(INDEX(海典汇总!$C$3:$AE$67,MATCH($A129,海典汇总!$A$3:$A$67,0),MATCH(INDEX(科目对照收入!$H$2:$H$23,MATCH($B129,科目对照收入!$B$2:$B$23,0)),海典汇总!$C$1:$AE$1,0)),0),2))</f>
        <v/>
      </c>
      <c r="E129" s="15" t="str">
        <f aca="false">IF($D129="","",ROUND($C129-$D129,2))</f>
        <v/>
      </c>
      <c r="F129" s="38" t="str">
        <f aca="false">IF($A129&amp;$B129="","",IF(COUNTIF(门店对照!$A$2:$A$66,$A129)=0,"× 门店编码不对",IF(COUNTIF(科目对照收入!$B$2:$B$23,$B129)=0,"× 渠道名不对",IF(INDEX(科目对照收入!$E$2:$E$23,MATCH($B129,科目对照收入!$B$2:$B$23,0))&lt;&gt;"平台优先","× 该项目不按平台金额",IF(COUNTIFS($A$2:$A$601,$A129,$B$2:$B$601,$B129)&gt;1,"× 同店同渠道重复","√")))))</f>
        <v/>
      </c>
    </row>
    <row r="130" customFormat="false" ht="13.5" hidden="false" customHeight="false" outlineLevel="0" collapsed="false">
      <c r="A130" s="35"/>
      <c r="B130" s="35"/>
      <c r="C130" s="37"/>
      <c r="D130" s="15" t="str">
        <f aca="false">IF(OR($A130="",$B130=""),"",ROUND(IFERROR(INDEX(海典汇总!$C$3:$AE$67,MATCH($A130,海典汇总!$A$3:$A$67,0),MATCH(INDEX(科目对照收入!$F$2:$F$23,MATCH($B130,科目对照收入!$B$2:$B$23,0)),海典汇总!$C$1:$AE$1,0)),0)+IFERROR(INDEX(海典汇总!$C$3:$AE$67,MATCH($A130,海典汇总!$A$3:$A$67,0),MATCH(INDEX(科目对照收入!$G$2:$G$23,MATCH($B130,科目对照收入!$B$2:$B$23,0)),海典汇总!$C$1:$AE$1,0)),0)+IFERROR(INDEX(海典汇总!$C$3:$AE$67,MATCH($A130,海典汇总!$A$3:$A$67,0),MATCH(INDEX(科目对照收入!$H$2:$H$23,MATCH($B130,科目对照收入!$B$2:$B$23,0)),海典汇总!$C$1:$AE$1,0)),0),2))</f>
        <v/>
      </c>
      <c r="E130" s="15" t="str">
        <f aca="false">IF($D130="","",ROUND($C130-$D130,2))</f>
        <v/>
      </c>
      <c r="F130" s="38" t="str">
        <f aca="false">IF($A130&amp;$B130="","",IF(COUNTIF(门店对照!$A$2:$A$66,$A130)=0,"× 门店编码不对",IF(COUNTIF(科目对照收入!$B$2:$B$23,$B130)=0,"× 渠道名不对",IF(INDEX(科目对照收入!$E$2:$E$23,MATCH($B130,科目对照收入!$B$2:$B$23,0))&lt;&gt;"平台优先","× 该项目不按平台金额",IF(COUNTIFS($A$2:$A$601,$A130,$B$2:$B$601,$B130)&gt;1,"× 同店同渠道重复","√")))))</f>
        <v/>
      </c>
    </row>
    <row r="131" customFormat="false" ht="13.5" hidden="false" customHeight="false" outlineLevel="0" collapsed="false">
      <c r="A131" s="35"/>
      <c r="B131" s="35"/>
      <c r="C131" s="37"/>
      <c r="D131" s="15" t="str">
        <f aca="false">IF(OR($A131="",$B131=""),"",ROUND(IFERROR(INDEX(海典汇总!$C$3:$AE$67,MATCH($A131,海典汇总!$A$3:$A$67,0),MATCH(INDEX(科目对照收入!$F$2:$F$23,MATCH($B131,科目对照收入!$B$2:$B$23,0)),海典汇总!$C$1:$AE$1,0)),0)+IFERROR(INDEX(海典汇总!$C$3:$AE$67,MATCH($A131,海典汇总!$A$3:$A$67,0),MATCH(INDEX(科目对照收入!$G$2:$G$23,MATCH($B131,科目对照收入!$B$2:$B$23,0)),海典汇总!$C$1:$AE$1,0)),0)+IFERROR(INDEX(海典汇总!$C$3:$AE$67,MATCH($A131,海典汇总!$A$3:$A$67,0),MATCH(INDEX(科目对照收入!$H$2:$H$23,MATCH($B131,科目对照收入!$B$2:$B$23,0)),海典汇总!$C$1:$AE$1,0)),0),2))</f>
        <v/>
      </c>
      <c r="E131" s="15" t="str">
        <f aca="false">IF($D131="","",ROUND($C131-$D131,2))</f>
        <v/>
      </c>
      <c r="F131" s="38" t="str">
        <f aca="false">IF($A131&amp;$B131="","",IF(COUNTIF(门店对照!$A$2:$A$66,$A131)=0,"× 门店编码不对",IF(COUNTIF(科目对照收入!$B$2:$B$23,$B131)=0,"× 渠道名不对",IF(INDEX(科目对照收入!$E$2:$E$23,MATCH($B131,科目对照收入!$B$2:$B$23,0))&lt;&gt;"平台优先","× 该项目不按平台金额",IF(COUNTIFS($A$2:$A$601,$A131,$B$2:$B$601,$B131)&gt;1,"× 同店同渠道重复","√")))))</f>
        <v/>
      </c>
    </row>
    <row r="132" customFormat="false" ht="13.5" hidden="false" customHeight="false" outlineLevel="0" collapsed="false">
      <c r="A132" s="35"/>
      <c r="B132" s="35"/>
      <c r="C132" s="37"/>
      <c r="D132" s="15" t="str">
        <f aca="false">IF(OR($A132="",$B132=""),"",ROUND(IFERROR(INDEX(海典汇总!$C$3:$AE$67,MATCH($A132,海典汇总!$A$3:$A$67,0),MATCH(INDEX(科目对照收入!$F$2:$F$23,MATCH($B132,科目对照收入!$B$2:$B$23,0)),海典汇总!$C$1:$AE$1,0)),0)+IFERROR(INDEX(海典汇总!$C$3:$AE$67,MATCH($A132,海典汇总!$A$3:$A$67,0),MATCH(INDEX(科目对照收入!$G$2:$G$23,MATCH($B132,科目对照收入!$B$2:$B$23,0)),海典汇总!$C$1:$AE$1,0)),0)+IFERROR(INDEX(海典汇总!$C$3:$AE$67,MATCH($A132,海典汇总!$A$3:$A$67,0),MATCH(INDEX(科目对照收入!$H$2:$H$23,MATCH($B132,科目对照收入!$B$2:$B$23,0)),海典汇总!$C$1:$AE$1,0)),0),2))</f>
        <v/>
      </c>
      <c r="E132" s="15" t="str">
        <f aca="false">IF($D132="","",ROUND($C132-$D132,2))</f>
        <v/>
      </c>
      <c r="F132" s="38" t="str">
        <f aca="false">IF($A132&amp;$B132="","",IF(COUNTIF(门店对照!$A$2:$A$66,$A132)=0,"× 门店编码不对",IF(COUNTIF(科目对照收入!$B$2:$B$23,$B132)=0,"× 渠道名不对",IF(INDEX(科目对照收入!$E$2:$E$23,MATCH($B132,科目对照收入!$B$2:$B$23,0))&lt;&gt;"平台优先","× 该项目不按平台金额",IF(COUNTIFS($A$2:$A$601,$A132,$B$2:$B$601,$B132)&gt;1,"× 同店同渠道重复","√")))))</f>
        <v/>
      </c>
    </row>
    <row r="133" customFormat="false" ht="13.5" hidden="false" customHeight="false" outlineLevel="0" collapsed="false">
      <c r="A133" s="35"/>
      <c r="B133" s="35"/>
      <c r="C133" s="37"/>
      <c r="D133" s="15" t="str">
        <f aca="false">IF(OR($A133="",$B133=""),"",ROUND(IFERROR(INDEX(海典汇总!$C$3:$AE$67,MATCH($A133,海典汇总!$A$3:$A$67,0),MATCH(INDEX(科目对照收入!$F$2:$F$23,MATCH($B133,科目对照收入!$B$2:$B$23,0)),海典汇总!$C$1:$AE$1,0)),0)+IFERROR(INDEX(海典汇总!$C$3:$AE$67,MATCH($A133,海典汇总!$A$3:$A$67,0),MATCH(INDEX(科目对照收入!$G$2:$G$23,MATCH($B133,科目对照收入!$B$2:$B$23,0)),海典汇总!$C$1:$AE$1,0)),0)+IFERROR(INDEX(海典汇总!$C$3:$AE$67,MATCH($A133,海典汇总!$A$3:$A$67,0),MATCH(INDEX(科目对照收入!$H$2:$H$23,MATCH($B133,科目对照收入!$B$2:$B$23,0)),海典汇总!$C$1:$AE$1,0)),0),2))</f>
        <v/>
      </c>
      <c r="E133" s="15" t="str">
        <f aca="false">IF($D133="","",ROUND($C133-$D133,2))</f>
        <v/>
      </c>
      <c r="F133" s="38" t="str">
        <f aca="false">IF($A133&amp;$B133="","",IF(COUNTIF(门店对照!$A$2:$A$66,$A133)=0,"× 门店编码不对",IF(COUNTIF(科目对照收入!$B$2:$B$23,$B133)=0,"× 渠道名不对",IF(INDEX(科目对照收入!$E$2:$E$23,MATCH($B133,科目对照收入!$B$2:$B$23,0))&lt;&gt;"平台优先","× 该项目不按平台金额",IF(COUNTIFS($A$2:$A$601,$A133,$B$2:$B$601,$B133)&gt;1,"× 同店同渠道重复","√")))))</f>
        <v/>
      </c>
    </row>
    <row r="134" customFormat="false" ht="13.5" hidden="false" customHeight="false" outlineLevel="0" collapsed="false">
      <c r="A134" s="35"/>
      <c r="B134" s="35"/>
      <c r="C134" s="37"/>
      <c r="D134" s="15" t="str">
        <f aca="false">IF(OR($A134="",$B134=""),"",ROUND(IFERROR(INDEX(海典汇总!$C$3:$AE$67,MATCH($A134,海典汇总!$A$3:$A$67,0),MATCH(INDEX(科目对照收入!$F$2:$F$23,MATCH($B134,科目对照收入!$B$2:$B$23,0)),海典汇总!$C$1:$AE$1,0)),0)+IFERROR(INDEX(海典汇总!$C$3:$AE$67,MATCH($A134,海典汇总!$A$3:$A$67,0),MATCH(INDEX(科目对照收入!$G$2:$G$23,MATCH($B134,科目对照收入!$B$2:$B$23,0)),海典汇总!$C$1:$AE$1,0)),0)+IFERROR(INDEX(海典汇总!$C$3:$AE$67,MATCH($A134,海典汇总!$A$3:$A$67,0),MATCH(INDEX(科目对照收入!$H$2:$H$23,MATCH($B134,科目对照收入!$B$2:$B$23,0)),海典汇总!$C$1:$AE$1,0)),0),2))</f>
        <v/>
      </c>
      <c r="E134" s="15" t="str">
        <f aca="false">IF($D134="","",ROUND($C134-$D134,2))</f>
        <v/>
      </c>
      <c r="F134" s="38" t="str">
        <f aca="false">IF($A134&amp;$B134="","",IF(COUNTIF(门店对照!$A$2:$A$66,$A134)=0,"× 门店编码不对",IF(COUNTIF(科目对照收入!$B$2:$B$23,$B134)=0,"× 渠道名不对",IF(INDEX(科目对照收入!$E$2:$E$23,MATCH($B134,科目对照收入!$B$2:$B$23,0))&lt;&gt;"平台优先","× 该项目不按平台金额",IF(COUNTIFS($A$2:$A$601,$A134,$B$2:$B$601,$B134)&gt;1,"× 同店同渠道重复","√")))))</f>
        <v/>
      </c>
    </row>
    <row r="135" customFormat="false" ht="13.5" hidden="false" customHeight="false" outlineLevel="0" collapsed="false">
      <c r="A135" s="35"/>
      <c r="B135" s="35"/>
      <c r="C135" s="37"/>
      <c r="D135" s="15" t="str">
        <f aca="false">IF(OR($A135="",$B135=""),"",ROUND(IFERROR(INDEX(海典汇总!$C$3:$AE$67,MATCH($A135,海典汇总!$A$3:$A$67,0),MATCH(INDEX(科目对照收入!$F$2:$F$23,MATCH($B135,科目对照收入!$B$2:$B$23,0)),海典汇总!$C$1:$AE$1,0)),0)+IFERROR(INDEX(海典汇总!$C$3:$AE$67,MATCH($A135,海典汇总!$A$3:$A$67,0),MATCH(INDEX(科目对照收入!$G$2:$G$23,MATCH($B135,科目对照收入!$B$2:$B$23,0)),海典汇总!$C$1:$AE$1,0)),0)+IFERROR(INDEX(海典汇总!$C$3:$AE$67,MATCH($A135,海典汇总!$A$3:$A$67,0),MATCH(INDEX(科目对照收入!$H$2:$H$23,MATCH($B135,科目对照收入!$B$2:$B$23,0)),海典汇总!$C$1:$AE$1,0)),0),2))</f>
        <v/>
      </c>
      <c r="E135" s="15" t="str">
        <f aca="false">IF($D135="","",ROUND($C135-$D135,2))</f>
        <v/>
      </c>
      <c r="F135" s="38" t="str">
        <f aca="false">IF($A135&amp;$B135="","",IF(COUNTIF(门店对照!$A$2:$A$66,$A135)=0,"× 门店编码不对",IF(COUNTIF(科目对照收入!$B$2:$B$23,$B135)=0,"× 渠道名不对",IF(INDEX(科目对照收入!$E$2:$E$23,MATCH($B135,科目对照收入!$B$2:$B$23,0))&lt;&gt;"平台优先","× 该项目不按平台金额",IF(COUNTIFS($A$2:$A$601,$A135,$B$2:$B$601,$B135)&gt;1,"× 同店同渠道重复","√")))))</f>
        <v/>
      </c>
    </row>
    <row r="136" customFormat="false" ht="13.5" hidden="false" customHeight="false" outlineLevel="0" collapsed="false">
      <c r="A136" s="35"/>
      <c r="B136" s="35"/>
      <c r="C136" s="37"/>
      <c r="D136" s="15" t="str">
        <f aca="false">IF(OR($A136="",$B136=""),"",ROUND(IFERROR(INDEX(海典汇总!$C$3:$AE$67,MATCH($A136,海典汇总!$A$3:$A$67,0),MATCH(INDEX(科目对照收入!$F$2:$F$23,MATCH($B136,科目对照收入!$B$2:$B$23,0)),海典汇总!$C$1:$AE$1,0)),0)+IFERROR(INDEX(海典汇总!$C$3:$AE$67,MATCH($A136,海典汇总!$A$3:$A$67,0),MATCH(INDEX(科目对照收入!$G$2:$G$23,MATCH($B136,科目对照收入!$B$2:$B$23,0)),海典汇总!$C$1:$AE$1,0)),0)+IFERROR(INDEX(海典汇总!$C$3:$AE$67,MATCH($A136,海典汇总!$A$3:$A$67,0),MATCH(INDEX(科目对照收入!$H$2:$H$23,MATCH($B136,科目对照收入!$B$2:$B$23,0)),海典汇总!$C$1:$AE$1,0)),0),2))</f>
        <v/>
      </c>
      <c r="E136" s="15" t="str">
        <f aca="false">IF($D136="","",ROUND($C136-$D136,2))</f>
        <v/>
      </c>
      <c r="F136" s="38" t="str">
        <f aca="false">IF($A136&amp;$B136="","",IF(COUNTIF(门店对照!$A$2:$A$66,$A136)=0,"× 门店编码不对",IF(COUNTIF(科目对照收入!$B$2:$B$23,$B136)=0,"× 渠道名不对",IF(INDEX(科目对照收入!$E$2:$E$23,MATCH($B136,科目对照收入!$B$2:$B$23,0))&lt;&gt;"平台优先","× 该项目不按平台金额",IF(COUNTIFS($A$2:$A$601,$A136,$B$2:$B$601,$B136)&gt;1,"× 同店同渠道重复","√")))))</f>
        <v/>
      </c>
    </row>
    <row r="137" customFormat="false" ht="13.5" hidden="false" customHeight="false" outlineLevel="0" collapsed="false">
      <c r="A137" s="35"/>
      <c r="B137" s="35"/>
      <c r="C137" s="37"/>
      <c r="D137" s="15" t="str">
        <f aca="false">IF(OR($A137="",$B137=""),"",ROUND(IFERROR(INDEX(海典汇总!$C$3:$AE$67,MATCH($A137,海典汇总!$A$3:$A$67,0),MATCH(INDEX(科目对照收入!$F$2:$F$23,MATCH($B137,科目对照收入!$B$2:$B$23,0)),海典汇总!$C$1:$AE$1,0)),0)+IFERROR(INDEX(海典汇总!$C$3:$AE$67,MATCH($A137,海典汇总!$A$3:$A$67,0),MATCH(INDEX(科目对照收入!$G$2:$G$23,MATCH($B137,科目对照收入!$B$2:$B$23,0)),海典汇总!$C$1:$AE$1,0)),0)+IFERROR(INDEX(海典汇总!$C$3:$AE$67,MATCH($A137,海典汇总!$A$3:$A$67,0),MATCH(INDEX(科目对照收入!$H$2:$H$23,MATCH($B137,科目对照收入!$B$2:$B$23,0)),海典汇总!$C$1:$AE$1,0)),0),2))</f>
        <v/>
      </c>
      <c r="E137" s="15" t="str">
        <f aca="false">IF($D137="","",ROUND($C137-$D137,2))</f>
        <v/>
      </c>
      <c r="F137" s="38" t="str">
        <f aca="false">IF($A137&amp;$B137="","",IF(COUNTIF(门店对照!$A$2:$A$66,$A137)=0,"× 门店编码不对",IF(COUNTIF(科目对照收入!$B$2:$B$23,$B137)=0,"× 渠道名不对",IF(INDEX(科目对照收入!$E$2:$E$23,MATCH($B137,科目对照收入!$B$2:$B$23,0))&lt;&gt;"平台优先","× 该项目不按平台金额",IF(COUNTIFS($A$2:$A$601,$A137,$B$2:$B$601,$B137)&gt;1,"× 同店同渠道重复","√")))))</f>
        <v/>
      </c>
    </row>
    <row r="138" customFormat="false" ht="13.5" hidden="false" customHeight="false" outlineLevel="0" collapsed="false">
      <c r="A138" s="35"/>
      <c r="B138" s="35"/>
      <c r="C138" s="37"/>
      <c r="D138" s="15" t="str">
        <f aca="false">IF(OR($A138="",$B138=""),"",ROUND(IFERROR(INDEX(海典汇总!$C$3:$AE$67,MATCH($A138,海典汇总!$A$3:$A$67,0),MATCH(INDEX(科目对照收入!$F$2:$F$23,MATCH($B138,科目对照收入!$B$2:$B$23,0)),海典汇总!$C$1:$AE$1,0)),0)+IFERROR(INDEX(海典汇总!$C$3:$AE$67,MATCH($A138,海典汇总!$A$3:$A$67,0),MATCH(INDEX(科目对照收入!$G$2:$G$23,MATCH($B138,科目对照收入!$B$2:$B$23,0)),海典汇总!$C$1:$AE$1,0)),0)+IFERROR(INDEX(海典汇总!$C$3:$AE$67,MATCH($A138,海典汇总!$A$3:$A$67,0),MATCH(INDEX(科目对照收入!$H$2:$H$23,MATCH($B138,科目对照收入!$B$2:$B$23,0)),海典汇总!$C$1:$AE$1,0)),0),2))</f>
        <v/>
      </c>
      <c r="E138" s="15" t="str">
        <f aca="false">IF($D138="","",ROUND($C138-$D138,2))</f>
        <v/>
      </c>
      <c r="F138" s="38" t="str">
        <f aca="false">IF($A138&amp;$B138="","",IF(COUNTIF(门店对照!$A$2:$A$66,$A138)=0,"× 门店编码不对",IF(COUNTIF(科目对照收入!$B$2:$B$23,$B138)=0,"× 渠道名不对",IF(INDEX(科目对照收入!$E$2:$E$23,MATCH($B138,科目对照收入!$B$2:$B$23,0))&lt;&gt;"平台优先","× 该项目不按平台金额",IF(COUNTIFS($A$2:$A$601,$A138,$B$2:$B$601,$B138)&gt;1,"× 同店同渠道重复","√")))))</f>
        <v/>
      </c>
    </row>
    <row r="139" customFormat="false" ht="13.5" hidden="false" customHeight="false" outlineLevel="0" collapsed="false">
      <c r="A139" s="35"/>
      <c r="B139" s="35"/>
      <c r="C139" s="37"/>
      <c r="D139" s="15" t="str">
        <f aca="false">IF(OR($A139="",$B139=""),"",ROUND(IFERROR(INDEX(海典汇总!$C$3:$AE$67,MATCH($A139,海典汇总!$A$3:$A$67,0),MATCH(INDEX(科目对照收入!$F$2:$F$23,MATCH($B139,科目对照收入!$B$2:$B$23,0)),海典汇总!$C$1:$AE$1,0)),0)+IFERROR(INDEX(海典汇总!$C$3:$AE$67,MATCH($A139,海典汇总!$A$3:$A$67,0),MATCH(INDEX(科目对照收入!$G$2:$G$23,MATCH($B139,科目对照收入!$B$2:$B$23,0)),海典汇总!$C$1:$AE$1,0)),0)+IFERROR(INDEX(海典汇总!$C$3:$AE$67,MATCH($A139,海典汇总!$A$3:$A$67,0),MATCH(INDEX(科目对照收入!$H$2:$H$23,MATCH($B139,科目对照收入!$B$2:$B$23,0)),海典汇总!$C$1:$AE$1,0)),0),2))</f>
        <v/>
      </c>
      <c r="E139" s="15" t="str">
        <f aca="false">IF($D139="","",ROUND($C139-$D139,2))</f>
        <v/>
      </c>
      <c r="F139" s="38" t="str">
        <f aca="false">IF($A139&amp;$B139="","",IF(COUNTIF(门店对照!$A$2:$A$66,$A139)=0,"× 门店编码不对",IF(COUNTIF(科目对照收入!$B$2:$B$23,$B139)=0,"× 渠道名不对",IF(INDEX(科目对照收入!$E$2:$E$23,MATCH($B139,科目对照收入!$B$2:$B$23,0))&lt;&gt;"平台优先","× 该项目不按平台金额",IF(COUNTIFS($A$2:$A$601,$A139,$B$2:$B$601,$B139)&gt;1,"× 同店同渠道重复","√")))))</f>
        <v/>
      </c>
    </row>
    <row r="140" customFormat="false" ht="13.5" hidden="false" customHeight="false" outlineLevel="0" collapsed="false">
      <c r="A140" s="35"/>
      <c r="B140" s="35"/>
      <c r="C140" s="37"/>
      <c r="D140" s="15" t="str">
        <f aca="false">IF(OR($A140="",$B140=""),"",ROUND(IFERROR(INDEX(海典汇总!$C$3:$AE$67,MATCH($A140,海典汇总!$A$3:$A$67,0),MATCH(INDEX(科目对照收入!$F$2:$F$23,MATCH($B140,科目对照收入!$B$2:$B$23,0)),海典汇总!$C$1:$AE$1,0)),0)+IFERROR(INDEX(海典汇总!$C$3:$AE$67,MATCH($A140,海典汇总!$A$3:$A$67,0),MATCH(INDEX(科目对照收入!$G$2:$G$23,MATCH($B140,科目对照收入!$B$2:$B$23,0)),海典汇总!$C$1:$AE$1,0)),0)+IFERROR(INDEX(海典汇总!$C$3:$AE$67,MATCH($A140,海典汇总!$A$3:$A$67,0),MATCH(INDEX(科目对照收入!$H$2:$H$23,MATCH($B140,科目对照收入!$B$2:$B$23,0)),海典汇总!$C$1:$AE$1,0)),0),2))</f>
        <v/>
      </c>
      <c r="E140" s="15" t="str">
        <f aca="false">IF($D140="","",ROUND($C140-$D140,2))</f>
        <v/>
      </c>
      <c r="F140" s="38" t="str">
        <f aca="false">IF($A140&amp;$B140="","",IF(COUNTIF(门店对照!$A$2:$A$66,$A140)=0,"× 门店编码不对",IF(COUNTIF(科目对照收入!$B$2:$B$23,$B140)=0,"× 渠道名不对",IF(INDEX(科目对照收入!$E$2:$E$23,MATCH($B140,科目对照收入!$B$2:$B$23,0))&lt;&gt;"平台优先","× 该项目不按平台金额",IF(COUNTIFS($A$2:$A$601,$A140,$B$2:$B$601,$B140)&gt;1,"× 同店同渠道重复","√")))))</f>
        <v/>
      </c>
    </row>
    <row r="141" customFormat="false" ht="13.5" hidden="false" customHeight="false" outlineLevel="0" collapsed="false">
      <c r="A141" s="35"/>
      <c r="B141" s="35"/>
      <c r="C141" s="37"/>
      <c r="D141" s="15" t="str">
        <f aca="false">IF(OR($A141="",$B141=""),"",ROUND(IFERROR(INDEX(海典汇总!$C$3:$AE$67,MATCH($A141,海典汇总!$A$3:$A$67,0),MATCH(INDEX(科目对照收入!$F$2:$F$23,MATCH($B141,科目对照收入!$B$2:$B$23,0)),海典汇总!$C$1:$AE$1,0)),0)+IFERROR(INDEX(海典汇总!$C$3:$AE$67,MATCH($A141,海典汇总!$A$3:$A$67,0),MATCH(INDEX(科目对照收入!$G$2:$G$23,MATCH($B141,科目对照收入!$B$2:$B$23,0)),海典汇总!$C$1:$AE$1,0)),0)+IFERROR(INDEX(海典汇总!$C$3:$AE$67,MATCH($A141,海典汇总!$A$3:$A$67,0),MATCH(INDEX(科目对照收入!$H$2:$H$23,MATCH($B141,科目对照收入!$B$2:$B$23,0)),海典汇总!$C$1:$AE$1,0)),0),2))</f>
        <v/>
      </c>
      <c r="E141" s="15" t="str">
        <f aca="false">IF($D141="","",ROUND($C141-$D141,2))</f>
        <v/>
      </c>
      <c r="F141" s="38" t="str">
        <f aca="false">IF($A141&amp;$B141="","",IF(COUNTIF(门店对照!$A$2:$A$66,$A141)=0,"× 门店编码不对",IF(COUNTIF(科目对照收入!$B$2:$B$23,$B141)=0,"× 渠道名不对",IF(INDEX(科目对照收入!$E$2:$E$23,MATCH($B141,科目对照收入!$B$2:$B$23,0))&lt;&gt;"平台优先","× 该项目不按平台金额",IF(COUNTIFS($A$2:$A$601,$A141,$B$2:$B$601,$B141)&gt;1,"× 同店同渠道重复","√")))))</f>
        <v/>
      </c>
    </row>
    <row r="142" customFormat="false" ht="13.5" hidden="false" customHeight="false" outlineLevel="0" collapsed="false">
      <c r="A142" s="35"/>
      <c r="B142" s="35"/>
      <c r="C142" s="37"/>
      <c r="D142" s="15" t="str">
        <f aca="false">IF(OR($A142="",$B142=""),"",ROUND(IFERROR(INDEX(海典汇总!$C$3:$AE$67,MATCH($A142,海典汇总!$A$3:$A$67,0),MATCH(INDEX(科目对照收入!$F$2:$F$23,MATCH($B142,科目对照收入!$B$2:$B$23,0)),海典汇总!$C$1:$AE$1,0)),0)+IFERROR(INDEX(海典汇总!$C$3:$AE$67,MATCH($A142,海典汇总!$A$3:$A$67,0),MATCH(INDEX(科目对照收入!$G$2:$G$23,MATCH($B142,科目对照收入!$B$2:$B$23,0)),海典汇总!$C$1:$AE$1,0)),0)+IFERROR(INDEX(海典汇总!$C$3:$AE$67,MATCH($A142,海典汇总!$A$3:$A$67,0),MATCH(INDEX(科目对照收入!$H$2:$H$23,MATCH($B142,科目对照收入!$B$2:$B$23,0)),海典汇总!$C$1:$AE$1,0)),0),2))</f>
        <v/>
      </c>
      <c r="E142" s="15" t="str">
        <f aca="false">IF($D142="","",ROUND($C142-$D142,2))</f>
        <v/>
      </c>
      <c r="F142" s="38" t="str">
        <f aca="false">IF($A142&amp;$B142="","",IF(COUNTIF(门店对照!$A$2:$A$66,$A142)=0,"× 门店编码不对",IF(COUNTIF(科目对照收入!$B$2:$B$23,$B142)=0,"× 渠道名不对",IF(INDEX(科目对照收入!$E$2:$E$23,MATCH($B142,科目对照收入!$B$2:$B$23,0))&lt;&gt;"平台优先","× 该项目不按平台金额",IF(COUNTIFS($A$2:$A$601,$A142,$B$2:$B$601,$B142)&gt;1,"× 同店同渠道重复","√")))))</f>
        <v/>
      </c>
    </row>
    <row r="143" customFormat="false" ht="13.5" hidden="false" customHeight="false" outlineLevel="0" collapsed="false">
      <c r="A143" s="35"/>
      <c r="B143" s="35"/>
      <c r="C143" s="37"/>
      <c r="D143" s="15" t="str">
        <f aca="false">IF(OR($A143="",$B143=""),"",ROUND(IFERROR(INDEX(海典汇总!$C$3:$AE$67,MATCH($A143,海典汇总!$A$3:$A$67,0),MATCH(INDEX(科目对照收入!$F$2:$F$23,MATCH($B143,科目对照收入!$B$2:$B$23,0)),海典汇总!$C$1:$AE$1,0)),0)+IFERROR(INDEX(海典汇总!$C$3:$AE$67,MATCH($A143,海典汇总!$A$3:$A$67,0),MATCH(INDEX(科目对照收入!$G$2:$G$23,MATCH($B143,科目对照收入!$B$2:$B$23,0)),海典汇总!$C$1:$AE$1,0)),0)+IFERROR(INDEX(海典汇总!$C$3:$AE$67,MATCH($A143,海典汇总!$A$3:$A$67,0),MATCH(INDEX(科目对照收入!$H$2:$H$23,MATCH($B143,科目对照收入!$B$2:$B$23,0)),海典汇总!$C$1:$AE$1,0)),0),2))</f>
        <v/>
      </c>
      <c r="E143" s="15" t="str">
        <f aca="false">IF($D143="","",ROUND($C143-$D143,2))</f>
        <v/>
      </c>
      <c r="F143" s="38" t="str">
        <f aca="false">IF($A143&amp;$B143="","",IF(COUNTIF(门店对照!$A$2:$A$66,$A143)=0,"× 门店编码不对",IF(COUNTIF(科目对照收入!$B$2:$B$23,$B143)=0,"× 渠道名不对",IF(INDEX(科目对照收入!$E$2:$E$23,MATCH($B143,科目对照收入!$B$2:$B$23,0))&lt;&gt;"平台优先","× 该项目不按平台金额",IF(COUNTIFS($A$2:$A$601,$A143,$B$2:$B$601,$B143)&gt;1,"× 同店同渠道重复","√")))))</f>
        <v/>
      </c>
    </row>
    <row r="144" customFormat="false" ht="13.5" hidden="false" customHeight="false" outlineLevel="0" collapsed="false">
      <c r="A144" s="35"/>
      <c r="B144" s="35"/>
      <c r="C144" s="37"/>
      <c r="D144" s="15" t="str">
        <f aca="false">IF(OR($A144="",$B144=""),"",ROUND(IFERROR(INDEX(海典汇总!$C$3:$AE$67,MATCH($A144,海典汇总!$A$3:$A$67,0),MATCH(INDEX(科目对照收入!$F$2:$F$23,MATCH($B144,科目对照收入!$B$2:$B$23,0)),海典汇总!$C$1:$AE$1,0)),0)+IFERROR(INDEX(海典汇总!$C$3:$AE$67,MATCH($A144,海典汇总!$A$3:$A$67,0),MATCH(INDEX(科目对照收入!$G$2:$G$23,MATCH($B144,科目对照收入!$B$2:$B$23,0)),海典汇总!$C$1:$AE$1,0)),0)+IFERROR(INDEX(海典汇总!$C$3:$AE$67,MATCH($A144,海典汇总!$A$3:$A$67,0),MATCH(INDEX(科目对照收入!$H$2:$H$23,MATCH($B144,科目对照收入!$B$2:$B$23,0)),海典汇总!$C$1:$AE$1,0)),0),2))</f>
        <v/>
      </c>
      <c r="E144" s="15" t="str">
        <f aca="false">IF($D144="","",ROUND($C144-$D144,2))</f>
        <v/>
      </c>
      <c r="F144" s="38" t="str">
        <f aca="false">IF($A144&amp;$B144="","",IF(COUNTIF(门店对照!$A$2:$A$66,$A144)=0,"× 门店编码不对",IF(COUNTIF(科目对照收入!$B$2:$B$23,$B144)=0,"× 渠道名不对",IF(INDEX(科目对照收入!$E$2:$E$23,MATCH($B144,科目对照收入!$B$2:$B$23,0))&lt;&gt;"平台优先","× 该项目不按平台金额",IF(COUNTIFS($A$2:$A$601,$A144,$B$2:$B$601,$B144)&gt;1,"× 同店同渠道重复","√")))))</f>
        <v/>
      </c>
    </row>
    <row r="145" customFormat="false" ht="13.5" hidden="false" customHeight="false" outlineLevel="0" collapsed="false">
      <c r="A145" s="35"/>
      <c r="B145" s="35"/>
      <c r="C145" s="37"/>
      <c r="D145" s="15" t="str">
        <f aca="false">IF(OR($A145="",$B145=""),"",ROUND(IFERROR(INDEX(海典汇总!$C$3:$AE$67,MATCH($A145,海典汇总!$A$3:$A$67,0),MATCH(INDEX(科目对照收入!$F$2:$F$23,MATCH($B145,科目对照收入!$B$2:$B$23,0)),海典汇总!$C$1:$AE$1,0)),0)+IFERROR(INDEX(海典汇总!$C$3:$AE$67,MATCH($A145,海典汇总!$A$3:$A$67,0),MATCH(INDEX(科目对照收入!$G$2:$G$23,MATCH($B145,科目对照收入!$B$2:$B$23,0)),海典汇总!$C$1:$AE$1,0)),0)+IFERROR(INDEX(海典汇总!$C$3:$AE$67,MATCH($A145,海典汇总!$A$3:$A$67,0),MATCH(INDEX(科目对照收入!$H$2:$H$23,MATCH($B145,科目对照收入!$B$2:$B$23,0)),海典汇总!$C$1:$AE$1,0)),0),2))</f>
        <v/>
      </c>
      <c r="E145" s="15" t="str">
        <f aca="false">IF($D145="","",ROUND($C145-$D145,2))</f>
        <v/>
      </c>
      <c r="F145" s="38" t="str">
        <f aca="false">IF($A145&amp;$B145="","",IF(COUNTIF(门店对照!$A$2:$A$66,$A145)=0,"× 门店编码不对",IF(COUNTIF(科目对照收入!$B$2:$B$23,$B145)=0,"× 渠道名不对",IF(INDEX(科目对照收入!$E$2:$E$23,MATCH($B145,科目对照收入!$B$2:$B$23,0))&lt;&gt;"平台优先","× 该项目不按平台金额",IF(COUNTIFS($A$2:$A$601,$A145,$B$2:$B$601,$B145)&gt;1,"× 同店同渠道重复","√")))))</f>
        <v/>
      </c>
    </row>
    <row r="146" customFormat="false" ht="13.5" hidden="false" customHeight="false" outlineLevel="0" collapsed="false">
      <c r="A146" s="35"/>
      <c r="B146" s="35"/>
      <c r="C146" s="37"/>
      <c r="D146" s="15" t="str">
        <f aca="false">IF(OR($A146="",$B146=""),"",ROUND(IFERROR(INDEX(海典汇总!$C$3:$AE$67,MATCH($A146,海典汇总!$A$3:$A$67,0),MATCH(INDEX(科目对照收入!$F$2:$F$23,MATCH($B146,科目对照收入!$B$2:$B$23,0)),海典汇总!$C$1:$AE$1,0)),0)+IFERROR(INDEX(海典汇总!$C$3:$AE$67,MATCH($A146,海典汇总!$A$3:$A$67,0),MATCH(INDEX(科目对照收入!$G$2:$G$23,MATCH($B146,科目对照收入!$B$2:$B$23,0)),海典汇总!$C$1:$AE$1,0)),0)+IFERROR(INDEX(海典汇总!$C$3:$AE$67,MATCH($A146,海典汇总!$A$3:$A$67,0),MATCH(INDEX(科目对照收入!$H$2:$H$23,MATCH($B146,科目对照收入!$B$2:$B$23,0)),海典汇总!$C$1:$AE$1,0)),0),2))</f>
        <v/>
      </c>
      <c r="E146" s="15" t="str">
        <f aca="false">IF($D146="","",ROUND($C146-$D146,2))</f>
        <v/>
      </c>
      <c r="F146" s="38" t="str">
        <f aca="false">IF($A146&amp;$B146="","",IF(COUNTIF(门店对照!$A$2:$A$66,$A146)=0,"× 门店编码不对",IF(COUNTIF(科目对照收入!$B$2:$B$23,$B146)=0,"× 渠道名不对",IF(INDEX(科目对照收入!$E$2:$E$23,MATCH($B146,科目对照收入!$B$2:$B$23,0))&lt;&gt;"平台优先","× 该项目不按平台金额",IF(COUNTIFS($A$2:$A$601,$A146,$B$2:$B$601,$B146)&gt;1,"× 同店同渠道重复","√")))))</f>
        <v/>
      </c>
    </row>
    <row r="147" customFormat="false" ht="13.5" hidden="false" customHeight="false" outlineLevel="0" collapsed="false">
      <c r="A147" s="35"/>
      <c r="B147" s="35"/>
      <c r="C147" s="37"/>
      <c r="D147" s="15" t="str">
        <f aca="false">IF(OR($A147="",$B147=""),"",ROUND(IFERROR(INDEX(海典汇总!$C$3:$AE$67,MATCH($A147,海典汇总!$A$3:$A$67,0),MATCH(INDEX(科目对照收入!$F$2:$F$23,MATCH($B147,科目对照收入!$B$2:$B$23,0)),海典汇总!$C$1:$AE$1,0)),0)+IFERROR(INDEX(海典汇总!$C$3:$AE$67,MATCH($A147,海典汇总!$A$3:$A$67,0),MATCH(INDEX(科目对照收入!$G$2:$G$23,MATCH($B147,科目对照收入!$B$2:$B$23,0)),海典汇总!$C$1:$AE$1,0)),0)+IFERROR(INDEX(海典汇总!$C$3:$AE$67,MATCH($A147,海典汇总!$A$3:$A$67,0),MATCH(INDEX(科目对照收入!$H$2:$H$23,MATCH($B147,科目对照收入!$B$2:$B$23,0)),海典汇总!$C$1:$AE$1,0)),0),2))</f>
        <v/>
      </c>
      <c r="E147" s="15" t="str">
        <f aca="false">IF($D147="","",ROUND($C147-$D147,2))</f>
        <v/>
      </c>
      <c r="F147" s="38" t="str">
        <f aca="false">IF($A147&amp;$B147="","",IF(COUNTIF(门店对照!$A$2:$A$66,$A147)=0,"× 门店编码不对",IF(COUNTIF(科目对照收入!$B$2:$B$23,$B147)=0,"× 渠道名不对",IF(INDEX(科目对照收入!$E$2:$E$23,MATCH($B147,科目对照收入!$B$2:$B$23,0))&lt;&gt;"平台优先","× 该项目不按平台金额",IF(COUNTIFS($A$2:$A$601,$A147,$B$2:$B$601,$B147)&gt;1,"× 同店同渠道重复","√")))))</f>
        <v/>
      </c>
    </row>
    <row r="148" customFormat="false" ht="13.5" hidden="false" customHeight="false" outlineLevel="0" collapsed="false">
      <c r="A148" s="35"/>
      <c r="B148" s="35"/>
      <c r="C148" s="37"/>
      <c r="D148" s="15" t="str">
        <f aca="false">IF(OR($A148="",$B148=""),"",ROUND(IFERROR(INDEX(海典汇总!$C$3:$AE$67,MATCH($A148,海典汇总!$A$3:$A$67,0),MATCH(INDEX(科目对照收入!$F$2:$F$23,MATCH($B148,科目对照收入!$B$2:$B$23,0)),海典汇总!$C$1:$AE$1,0)),0)+IFERROR(INDEX(海典汇总!$C$3:$AE$67,MATCH($A148,海典汇总!$A$3:$A$67,0),MATCH(INDEX(科目对照收入!$G$2:$G$23,MATCH($B148,科目对照收入!$B$2:$B$23,0)),海典汇总!$C$1:$AE$1,0)),0)+IFERROR(INDEX(海典汇总!$C$3:$AE$67,MATCH($A148,海典汇总!$A$3:$A$67,0),MATCH(INDEX(科目对照收入!$H$2:$H$23,MATCH($B148,科目对照收入!$B$2:$B$23,0)),海典汇总!$C$1:$AE$1,0)),0),2))</f>
        <v/>
      </c>
      <c r="E148" s="15" t="str">
        <f aca="false">IF($D148="","",ROUND($C148-$D148,2))</f>
        <v/>
      </c>
      <c r="F148" s="38" t="str">
        <f aca="false">IF($A148&amp;$B148="","",IF(COUNTIF(门店对照!$A$2:$A$66,$A148)=0,"× 门店编码不对",IF(COUNTIF(科目对照收入!$B$2:$B$23,$B148)=0,"× 渠道名不对",IF(INDEX(科目对照收入!$E$2:$E$23,MATCH($B148,科目对照收入!$B$2:$B$23,0))&lt;&gt;"平台优先","× 该项目不按平台金额",IF(COUNTIFS($A$2:$A$601,$A148,$B$2:$B$601,$B148)&gt;1,"× 同店同渠道重复","√")))))</f>
        <v/>
      </c>
    </row>
    <row r="149" customFormat="false" ht="13.5" hidden="false" customHeight="false" outlineLevel="0" collapsed="false">
      <c r="A149" s="35"/>
      <c r="B149" s="35"/>
      <c r="C149" s="37"/>
      <c r="D149" s="15" t="str">
        <f aca="false">IF(OR($A149="",$B149=""),"",ROUND(IFERROR(INDEX(海典汇总!$C$3:$AE$67,MATCH($A149,海典汇总!$A$3:$A$67,0),MATCH(INDEX(科目对照收入!$F$2:$F$23,MATCH($B149,科目对照收入!$B$2:$B$23,0)),海典汇总!$C$1:$AE$1,0)),0)+IFERROR(INDEX(海典汇总!$C$3:$AE$67,MATCH($A149,海典汇总!$A$3:$A$67,0),MATCH(INDEX(科目对照收入!$G$2:$G$23,MATCH($B149,科目对照收入!$B$2:$B$23,0)),海典汇总!$C$1:$AE$1,0)),0)+IFERROR(INDEX(海典汇总!$C$3:$AE$67,MATCH($A149,海典汇总!$A$3:$A$67,0),MATCH(INDEX(科目对照收入!$H$2:$H$23,MATCH($B149,科目对照收入!$B$2:$B$23,0)),海典汇总!$C$1:$AE$1,0)),0),2))</f>
        <v/>
      </c>
      <c r="E149" s="15" t="str">
        <f aca="false">IF($D149="","",ROUND($C149-$D149,2))</f>
        <v/>
      </c>
      <c r="F149" s="38" t="str">
        <f aca="false">IF($A149&amp;$B149="","",IF(COUNTIF(门店对照!$A$2:$A$66,$A149)=0,"× 门店编码不对",IF(COUNTIF(科目对照收入!$B$2:$B$23,$B149)=0,"× 渠道名不对",IF(INDEX(科目对照收入!$E$2:$E$23,MATCH($B149,科目对照收入!$B$2:$B$23,0))&lt;&gt;"平台优先","× 该项目不按平台金额",IF(COUNTIFS($A$2:$A$601,$A149,$B$2:$B$601,$B149)&gt;1,"× 同店同渠道重复","√")))))</f>
        <v/>
      </c>
    </row>
    <row r="150" customFormat="false" ht="13.5" hidden="false" customHeight="false" outlineLevel="0" collapsed="false">
      <c r="A150" s="35"/>
      <c r="B150" s="35"/>
      <c r="C150" s="37"/>
      <c r="D150" s="15" t="str">
        <f aca="false">IF(OR($A150="",$B150=""),"",ROUND(IFERROR(INDEX(海典汇总!$C$3:$AE$67,MATCH($A150,海典汇总!$A$3:$A$67,0),MATCH(INDEX(科目对照收入!$F$2:$F$23,MATCH($B150,科目对照收入!$B$2:$B$23,0)),海典汇总!$C$1:$AE$1,0)),0)+IFERROR(INDEX(海典汇总!$C$3:$AE$67,MATCH($A150,海典汇总!$A$3:$A$67,0),MATCH(INDEX(科目对照收入!$G$2:$G$23,MATCH($B150,科目对照收入!$B$2:$B$23,0)),海典汇总!$C$1:$AE$1,0)),0)+IFERROR(INDEX(海典汇总!$C$3:$AE$67,MATCH($A150,海典汇总!$A$3:$A$67,0),MATCH(INDEX(科目对照收入!$H$2:$H$23,MATCH($B150,科目对照收入!$B$2:$B$23,0)),海典汇总!$C$1:$AE$1,0)),0),2))</f>
        <v/>
      </c>
      <c r="E150" s="15" t="str">
        <f aca="false">IF($D150="","",ROUND($C150-$D150,2))</f>
        <v/>
      </c>
      <c r="F150" s="38" t="str">
        <f aca="false">IF($A150&amp;$B150="","",IF(COUNTIF(门店对照!$A$2:$A$66,$A150)=0,"× 门店编码不对",IF(COUNTIF(科目对照收入!$B$2:$B$23,$B150)=0,"× 渠道名不对",IF(INDEX(科目对照收入!$E$2:$E$23,MATCH($B150,科目对照收入!$B$2:$B$23,0))&lt;&gt;"平台优先","× 该项目不按平台金额",IF(COUNTIFS($A$2:$A$601,$A150,$B$2:$B$601,$B150)&gt;1,"× 同店同渠道重复","√")))))</f>
        <v/>
      </c>
    </row>
    <row r="151" customFormat="false" ht="13.5" hidden="false" customHeight="false" outlineLevel="0" collapsed="false">
      <c r="A151" s="35"/>
      <c r="B151" s="35"/>
      <c r="C151" s="37"/>
      <c r="D151" s="15" t="str">
        <f aca="false">IF(OR($A151="",$B151=""),"",ROUND(IFERROR(INDEX(海典汇总!$C$3:$AE$67,MATCH($A151,海典汇总!$A$3:$A$67,0),MATCH(INDEX(科目对照收入!$F$2:$F$23,MATCH($B151,科目对照收入!$B$2:$B$23,0)),海典汇总!$C$1:$AE$1,0)),0)+IFERROR(INDEX(海典汇总!$C$3:$AE$67,MATCH($A151,海典汇总!$A$3:$A$67,0),MATCH(INDEX(科目对照收入!$G$2:$G$23,MATCH($B151,科目对照收入!$B$2:$B$23,0)),海典汇总!$C$1:$AE$1,0)),0)+IFERROR(INDEX(海典汇总!$C$3:$AE$67,MATCH($A151,海典汇总!$A$3:$A$67,0),MATCH(INDEX(科目对照收入!$H$2:$H$23,MATCH($B151,科目对照收入!$B$2:$B$23,0)),海典汇总!$C$1:$AE$1,0)),0),2))</f>
        <v/>
      </c>
      <c r="E151" s="15" t="str">
        <f aca="false">IF($D151="","",ROUND($C151-$D151,2))</f>
        <v/>
      </c>
      <c r="F151" s="38" t="str">
        <f aca="false">IF($A151&amp;$B151="","",IF(COUNTIF(门店对照!$A$2:$A$66,$A151)=0,"× 门店编码不对",IF(COUNTIF(科目对照收入!$B$2:$B$23,$B151)=0,"× 渠道名不对",IF(INDEX(科目对照收入!$E$2:$E$23,MATCH($B151,科目对照收入!$B$2:$B$23,0))&lt;&gt;"平台优先","× 该项目不按平台金额",IF(COUNTIFS($A$2:$A$601,$A151,$B$2:$B$601,$B151)&gt;1,"× 同店同渠道重复","√")))))</f>
        <v/>
      </c>
    </row>
    <row r="152" customFormat="false" ht="13.5" hidden="false" customHeight="false" outlineLevel="0" collapsed="false">
      <c r="A152" s="35"/>
      <c r="B152" s="35"/>
      <c r="C152" s="37"/>
      <c r="D152" s="15" t="str">
        <f aca="false">IF(OR($A152="",$B152=""),"",ROUND(IFERROR(INDEX(海典汇总!$C$3:$AE$67,MATCH($A152,海典汇总!$A$3:$A$67,0),MATCH(INDEX(科目对照收入!$F$2:$F$23,MATCH($B152,科目对照收入!$B$2:$B$23,0)),海典汇总!$C$1:$AE$1,0)),0)+IFERROR(INDEX(海典汇总!$C$3:$AE$67,MATCH($A152,海典汇总!$A$3:$A$67,0),MATCH(INDEX(科目对照收入!$G$2:$G$23,MATCH($B152,科目对照收入!$B$2:$B$23,0)),海典汇总!$C$1:$AE$1,0)),0)+IFERROR(INDEX(海典汇总!$C$3:$AE$67,MATCH($A152,海典汇总!$A$3:$A$67,0),MATCH(INDEX(科目对照收入!$H$2:$H$23,MATCH($B152,科目对照收入!$B$2:$B$23,0)),海典汇总!$C$1:$AE$1,0)),0),2))</f>
        <v/>
      </c>
      <c r="E152" s="15" t="str">
        <f aca="false">IF($D152="","",ROUND($C152-$D152,2))</f>
        <v/>
      </c>
      <c r="F152" s="38" t="str">
        <f aca="false">IF($A152&amp;$B152="","",IF(COUNTIF(门店对照!$A$2:$A$66,$A152)=0,"× 门店编码不对",IF(COUNTIF(科目对照收入!$B$2:$B$23,$B152)=0,"× 渠道名不对",IF(INDEX(科目对照收入!$E$2:$E$23,MATCH($B152,科目对照收入!$B$2:$B$23,0))&lt;&gt;"平台优先","× 该项目不按平台金额",IF(COUNTIFS($A$2:$A$601,$A152,$B$2:$B$601,$B152)&gt;1,"× 同店同渠道重复","√")))))</f>
        <v/>
      </c>
    </row>
    <row r="153" customFormat="false" ht="13.5" hidden="false" customHeight="false" outlineLevel="0" collapsed="false">
      <c r="A153" s="35"/>
      <c r="B153" s="35"/>
      <c r="C153" s="37"/>
      <c r="D153" s="15" t="str">
        <f aca="false">IF(OR($A153="",$B153=""),"",ROUND(IFERROR(INDEX(海典汇总!$C$3:$AE$67,MATCH($A153,海典汇总!$A$3:$A$67,0),MATCH(INDEX(科目对照收入!$F$2:$F$23,MATCH($B153,科目对照收入!$B$2:$B$23,0)),海典汇总!$C$1:$AE$1,0)),0)+IFERROR(INDEX(海典汇总!$C$3:$AE$67,MATCH($A153,海典汇总!$A$3:$A$67,0),MATCH(INDEX(科目对照收入!$G$2:$G$23,MATCH($B153,科目对照收入!$B$2:$B$23,0)),海典汇总!$C$1:$AE$1,0)),0)+IFERROR(INDEX(海典汇总!$C$3:$AE$67,MATCH($A153,海典汇总!$A$3:$A$67,0),MATCH(INDEX(科目对照收入!$H$2:$H$23,MATCH($B153,科目对照收入!$B$2:$B$23,0)),海典汇总!$C$1:$AE$1,0)),0),2))</f>
        <v/>
      </c>
      <c r="E153" s="15" t="str">
        <f aca="false">IF($D153="","",ROUND($C153-$D153,2))</f>
        <v/>
      </c>
      <c r="F153" s="38" t="str">
        <f aca="false">IF($A153&amp;$B153="","",IF(COUNTIF(门店对照!$A$2:$A$66,$A153)=0,"× 门店编码不对",IF(COUNTIF(科目对照收入!$B$2:$B$23,$B153)=0,"× 渠道名不对",IF(INDEX(科目对照收入!$E$2:$E$23,MATCH($B153,科目对照收入!$B$2:$B$23,0))&lt;&gt;"平台优先","× 该项目不按平台金额",IF(COUNTIFS($A$2:$A$601,$A153,$B$2:$B$601,$B153)&gt;1,"× 同店同渠道重复","√")))))</f>
        <v/>
      </c>
    </row>
    <row r="154" customFormat="false" ht="13.5" hidden="false" customHeight="false" outlineLevel="0" collapsed="false">
      <c r="A154" s="35"/>
      <c r="B154" s="35"/>
      <c r="C154" s="37"/>
      <c r="D154" s="15" t="str">
        <f aca="false">IF(OR($A154="",$B154=""),"",ROUND(IFERROR(INDEX(海典汇总!$C$3:$AE$67,MATCH($A154,海典汇总!$A$3:$A$67,0),MATCH(INDEX(科目对照收入!$F$2:$F$23,MATCH($B154,科目对照收入!$B$2:$B$23,0)),海典汇总!$C$1:$AE$1,0)),0)+IFERROR(INDEX(海典汇总!$C$3:$AE$67,MATCH($A154,海典汇总!$A$3:$A$67,0),MATCH(INDEX(科目对照收入!$G$2:$G$23,MATCH($B154,科目对照收入!$B$2:$B$23,0)),海典汇总!$C$1:$AE$1,0)),0)+IFERROR(INDEX(海典汇总!$C$3:$AE$67,MATCH($A154,海典汇总!$A$3:$A$67,0),MATCH(INDEX(科目对照收入!$H$2:$H$23,MATCH($B154,科目对照收入!$B$2:$B$23,0)),海典汇总!$C$1:$AE$1,0)),0),2))</f>
        <v/>
      </c>
      <c r="E154" s="15" t="str">
        <f aca="false">IF($D154="","",ROUND($C154-$D154,2))</f>
        <v/>
      </c>
      <c r="F154" s="38" t="str">
        <f aca="false">IF($A154&amp;$B154="","",IF(COUNTIF(门店对照!$A$2:$A$66,$A154)=0,"× 门店编码不对",IF(COUNTIF(科目对照收入!$B$2:$B$23,$B154)=0,"× 渠道名不对",IF(INDEX(科目对照收入!$E$2:$E$23,MATCH($B154,科目对照收入!$B$2:$B$23,0))&lt;&gt;"平台优先","× 该项目不按平台金额",IF(COUNTIFS($A$2:$A$601,$A154,$B$2:$B$601,$B154)&gt;1,"× 同店同渠道重复","√")))))</f>
        <v/>
      </c>
    </row>
    <row r="155" customFormat="false" ht="13.5" hidden="false" customHeight="false" outlineLevel="0" collapsed="false">
      <c r="A155" s="35"/>
      <c r="B155" s="35"/>
      <c r="C155" s="37"/>
      <c r="D155" s="15" t="str">
        <f aca="false">IF(OR($A155="",$B155=""),"",ROUND(IFERROR(INDEX(海典汇总!$C$3:$AE$67,MATCH($A155,海典汇总!$A$3:$A$67,0),MATCH(INDEX(科目对照收入!$F$2:$F$23,MATCH($B155,科目对照收入!$B$2:$B$23,0)),海典汇总!$C$1:$AE$1,0)),0)+IFERROR(INDEX(海典汇总!$C$3:$AE$67,MATCH($A155,海典汇总!$A$3:$A$67,0),MATCH(INDEX(科目对照收入!$G$2:$G$23,MATCH($B155,科目对照收入!$B$2:$B$23,0)),海典汇总!$C$1:$AE$1,0)),0)+IFERROR(INDEX(海典汇总!$C$3:$AE$67,MATCH($A155,海典汇总!$A$3:$A$67,0),MATCH(INDEX(科目对照收入!$H$2:$H$23,MATCH($B155,科目对照收入!$B$2:$B$23,0)),海典汇总!$C$1:$AE$1,0)),0),2))</f>
        <v/>
      </c>
      <c r="E155" s="15" t="str">
        <f aca="false">IF($D155="","",ROUND($C155-$D155,2))</f>
        <v/>
      </c>
      <c r="F155" s="38" t="str">
        <f aca="false">IF($A155&amp;$B155="","",IF(COUNTIF(门店对照!$A$2:$A$66,$A155)=0,"× 门店编码不对",IF(COUNTIF(科目对照收入!$B$2:$B$23,$B155)=0,"× 渠道名不对",IF(INDEX(科目对照收入!$E$2:$E$23,MATCH($B155,科目对照收入!$B$2:$B$23,0))&lt;&gt;"平台优先","× 该项目不按平台金额",IF(COUNTIFS($A$2:$A$601,$A155,$B$2:$B$601,$B155)&gt;1,"× 同店同渠道重复","√")))))</f>
        <v/>
      </c>
    </row>
    <row r="156" customFormat="false" ht="13.5" hidden="false" customHeight="false" outlineLevel="0" collapsed="false">
      <c r="A156" s="35"/>
      <c r="B156" s="35"/>
      <c r="C156" s="37"/>
      <c r="D156" s="15" t="str">
        <f aca="false">IF(OR($A156="",$B156=""),"",ROUND(IFERROR(INDEX(海典汇总!$C$3:$AE$67,MATCH($A156,海典汇总!$A$3:$A$67,0),MATCH(INDEX(科目对照收入!$F$2:$F$23,MATCH($B156,科目对照收入!$B$2:$B$23,0)),海典汇总!$C$1:$AE$1,0)),0)+IFERROR(INDEX(海典汇总!$C$3:$AE$67,MATCH($A156,海典汇总!$A$3:$A$67,0),MATCH(INDEX(科目对照收入!$G$2:$G$23,MATCH($B156,科目对照收入!$B$2:$B$23,0)),海典汇总!$C$1:$AE$1,0)),0)+IFERROR(INDEX(海典汇总!$C$3:$AE$67,MATCH($A156,海典汇总!$A$3:$A$67,0),MATCH(INDEX(科目对照收入!$H$2:$H$23,MATCH($B156,科目对照收入!$B$2:$B$23,0)),海典汇总!$C$1:$AE$1,0)),0),2))</f>
        <v/>
      </c>
      <c r="E156" s="15" t="str">
        <f aca="false">IF($D156="","",ROUND($C156-$D156,2))</f>
        <v/>
      </c>
      <c r="F156" s="38" t="str">
        <f aca="false">IF($A156&amp;$B156="","",IF(COUNTIF(门店对照!$A$2:$A$66,$A156)=0,"× 门店编码不对",IF(COUNTIF(科目对照收入!$B$2:$B$23,$B156)=0,"× 渠道名不对",IF(INDEX(科目对照收入!$E$2:$E$23,MATCH($B156,科目对照收入!$B$2:$B$23,0))&lt;&gt;"平台优先","× 该项目不按平台金额",IF(COUNTIFS($A$2:$A$601,$A156,$B$2:$B$601,$B156)&gt;1,"× 同店同渠道重复","√")))))</f>
        <v/>
      </c>
    </row>
    <row r="157" customFormat="false" ht="13.5" hidden="false" customHeight="false" outlineLevel="0" collapsed="false">
      <c r="A157" s="35"/>
      <c r="B157" s="35"/>
      <c r="C157" s="37"/>
      <c r="D157" s="15" t="str">
        <f aca="false">IF(OR($A157="",$B157=""),"",ROUND(IFERROR(INDEX(海典汇总!$C$3:$AE$67,MATCH($A157,海典汇总!$A$3:$A$67,0),MATCH(INDEX(科目对照收入!$F$2:$F$23,MATCH($B157,科目对照收入!$B$2:$B$23,0)),海典汇总!$C$1:$AE$1,0)),0)+IFERROR(INDEX(海典汇总!$C$3:$AE$67,MATCH($A157,海典汇总!$A$3:$A$67,0),MATCH(INDEX(科目对照收入!$G$2:$G$23,MATCH($B157,科目对照收入!$B$2:$B$23,0)),海典汇总!$C$1:$AE$1,0)),0)+IFERROR(INDEX(海典汇总!$C$3:$AE$67,MATCH($A157,海典汇总!$A$3:$A$67,0),MATCH(INDEX(科目对照收入!$H$2:$H$23,MATCH($B157,科目对照收入!$B$2:$B$23,0)),海典汇总!$C$1:$AE$1,0)),0),2))</f>
        <v/>
      </c>
      <c r="E157" s="15" t="str">
        <f aca="false">IF($D157="","",ROUND($C157-$D157,2))</f>
        <v/>
      </c>
      <c r="F157" s="38" t="str">
        <f aca="false">IF($A157&amp;$B157="","",IF(COUNTIF(门店对照!$A$2:$A$66,$A157)=0,"× 门店编码不对",IF(COUNTIF(科目对照收入!$B$2:$B$23,$B157)=0,"× 渠道名不对",IF(INDEX(科目对照收入!$E$2:$E$23,MATCH($B157,科目对照收入!$B$2:$B$23,0))&lt;&gt;"平台优先","× 该项目不按平台金额",IF(COUNTIFS($A$2:$A$601,$A157,$B$2:$B$601,$B157)&gt;1,"× 同店同渠道重复","√")))))</f>
        <v/>
      </c>
    </row>
    <row r="158" customFormat="false" ht="13.5" hidden="false" customHeight="false" outlineLevel="0" collapsed="false">
      <c r="A158" s="35"/>
      <c r="B158" s="35"/>
      <c r="C158" s="37"/>
      <c r="D158" s="15" t="str">
        <f aca="false">IF(OR($A158="",$B158=""),"",ROUND(IFERROR(INDEX(海典汇总!$C$3:$AE$67,MATCH($A158,海典汇总!$A$3:$A$67,0),MATCH(INDEX(科目对照收入!$F$2:$F$23,MATCH($B158,科目对照收入!$B$2:$B$23,0)),海典汇总!$C$1:$AE$1,0)),0)+IFERROR(INDEX(海典汇总!$C$3:$AE$67,MATCH($A158,海典汇总!$A$3:$A$67,0),MATCH(INDEX(科目对照收入!$G$2:$G$23,MATCH($B158,科目对照收入!$B$2:$B$23,0)),海典汇总!$C$1:$AE$1,0)),0)+IFERROR(INDEX(海典汇总!$C$3:$AE$67,MATCH($A158,海典汇总!$A$3:$A$67,0),MATCH(INDEX(科目对照收入!$H$2:$H$23,MATCH($B158,科目对照收入!$B$2:$B$23,0)),海典汇总!$C$1:$AE$1,0)),0),2))</f>
        <v/>
      </c>
      <c r="E158" s="15" t="str">
        <f aca="false">IF($D158="","",ROUND($C158-$D158,2))</f>
        <v/>
      </c>
      <c r="F158" s="38" t="str">
        <f aca="false">IF($A158&amp;$B158="","",IF(COUNTIF(门店对照!$A$2:$A$66,$A158)=0,"× 门店编码不对",IF(COUNTIF(科目对照收入!$B$2:$B$23,$B158)=0,"× 渠道名不对",IF(INDEX(科目对照收入!$E$2:$E$23,MATCH($B158,科目对照收入!$B$2:$B$23,0))&lt;&gt;"平台优先","× 该项目不按平台金额",IF(COUNTIFS($A$2:$A$601,$A158,$B$2:$B$601,$B158)&gt;1,"× 同店同渠道重复","√")))))</f>
        <v/>
      </c>
    </row>
    <row r="159" customFormat="false" ht="13.5" hidden="false" customHeight="false" outlineLevel="0" collapsed="false">
      <c r="A159" s="35"/>
      <c r="B159" s="35"/>
      <c r="C159" s="37"/>
      <c r="D159" s="15" t="str">
        <f aca="false">IF(OR($A159="",$B159=""),"",ROUND(IFERROR(INDEX(海典汇总!$C$3:$AE$67,MATCH($A159,海典汇总!$A$3:$A$67,0),MATCH(INDEX(科目对照收入!$F$2:$F$23,MATCH($B159,科目对照收入!$B$2:$B$23,0)),海典汇总!$C$1:$AE$1,0)),0)+IFERROR(INDEX(海典汇总!$C$3:$AE$67,MATCH($A159,海典汇总!$A$3:$A$67,0),MATCH(INDEX(科目对照收入!$G$2:$G$23,MATCH($B159,科目对照收入!$B$2:$B$23,0)),海典汇总!$C$1:$AE$1,0)),0)+IFERROR(INDEX(海典汇总!$C$3:$AE$67,MATCH($A159,海典汇总!$A$3:$A$67,0),MATCH(INDEX(科目对照收入!$H$2:$H$23,MATCH($B159,科目对照收入!$B$2:$B$23,0)),海典汇总!$C$1:$AE$1,0)),0),2))</f>
        <v/>
      </c>
      <c r="E159" s="15" t="str">
        <f aca="false">IF($D159="","",ROUND($C159-$D159,2))</f>
        <v/>
      </c>
      <c r="F159" s="38" t="str">
        <f aca="false">IF($A159&amp;$B159="","",IF(COUNTIF(门店对照!$A$2:$A$66,$A159)=0,"× 门店编码不对",IF(COUNTIF(科目对照收入!$B$2:$B$23,$B159)=0,"× 渠道名不对",IF(INDEX(科目对照收入!$E$2:$E$23,MATCH($B159,科目对照收入!$B$2:$B$23,0))&lt;&gt;"平台优先","× 该项目不按平台金额",IF(COUNTIFS($A$2:$A$601,$A159,$B$2:$B$601,$B159)&gt;1,"× 同店同渠道重复","√")))))</f>
        <v/>
      </c>
    </row>
    <row r="160" customFormat="false" ht="13.5" hidden="false" customHeight="false" outlineLevel="0" collapsed="false">
      <c r="A160" s="35"/>
      <c r="B160" s="35"/>
      <c r="C160" s="37"/>
      <c r="D160" s="15" t="str">
        <f aca="false">IF(OR($A160="",$B160=""),"",ROUND(IFERROR(INDEX(海典汇总!$C$3:$AE$67,MATCH($A160,海典汇总!$A$3:$A$67,0),MATCH(INDEX(科目对照收入!$F$2:$F$23,MATCH($B160,科目对照收入!$B$2:$B$23,0)),海典汇总!$C$1:$AE$1,0)),0)+IFERROR(INDEX(海典汇总!$C$3:$AE$67,MATCH($A160,海典汇总!$A$3:$A$67,0),MATCH(INDEX(科目对照收入!$G$2:$G$23,MATCH($B160,科目对照收入!$B$2:$B$23,0)),海典汇总!$C$1:$AE$1,0)),0)+IFERROR(INDEX(海典汇总!$C$3:$AE$67,MATCH($A160,海典汇总!$A$3:$A$67,0),MATCH(INDEX(科目对照收入!$H$2:$H$23,MATCH($B160,科目对照收入!$B$2:$B$23,0)),海典汇总!$C$1:$AE$1,0)),0),2))</f>
        <v/>
      </c>
      <c r="E160" s="15" t="str">
        <f aca="false">IF($D160="","",ROUND($C160-$D160,2))</f>
        <v/>
      </c>
      <c r="F160" s="38" t="str">
        <f aca="false">IF($A160&amp;$B160="","",IF(COUNTIF(门店对照!$A$2:$A$66,$A160)=0,"× 门店编码不对",IF(COUNTIF(科目对照收入!$B$2:$B$23,$B160)=0,"× 渠道名不对",IF(INDEX(科目对照收入!$E$2:$E$23,MATCH($B160,科目对照收入!$B$2:$B$23,0))&lt;&gt;"平台优先","× 该项目不按平台金额",IF(COUNTIFS($A$2:$A$601,$A160,$B$2:$B$601,$B160)&gt;1,"× 同店同渠道重复","√")))))</f>
        <v/>
      </c>
    </row>
    <row r="161" customFormat="false" ht="13.5" hidden="false" customHeight="false" outlineLevel="0" collapsed="false">
      <c r="A161" s="35"/>
      <c r="B161" s="35"/>
      <c r="C161" s="37"/>
      <c r="D161" s="15" t="str">
        <f aca="false">IF(OR($A161="",$B161=""),"",ROUND(IFERROR(INDEX(海典汇总!$C$3:$AE$67,MATCH($A161,海典汇总!$A$3:$A$67,0),MATCH(INDEX(科目对照收入!$F$2:$F$23,MATCH($B161,科目对照收入!$B$2:$B$23,0)),海典汇总!$C$1:$AE$1,0)),0)+IFERROR(INDEX(海典汇总!$C$3:$AE$67,MATCH($A161,海典汇总!$A$3:$A$67,0),MATCH(INDEX(科目对照收入!$G$2:$G$23,MATCH($B161,科目对照收入!$B$2:$B$23,0)),海典汇总!$C$1:$AE$1,0)),0)+IFERROR(INDEX(海典汇总!$C$3:$AE$67,MATCH($A161,海典汇总!$A$3:$A$67,0),MATCH(INDEX(科目对照收入!$H$2:$H$23,MATCH($B161,科目对照收入!$B$2:$B$23,0)),海典汇总!$C$1:$AE$1,0)),0),2))</f>
        <v/>
      </c>
      <c r="E161" s="15" t="str">
        <f aca="false">IF($D161="","",ROUND($C161-$D161,2))</f>
        <v/>
      </c>
      <c r="F161" s="38" t="str">
        <f aca="false">IF($A161&amp;$B161="","",IF(COUNTIF(门店对照!$A$2:$A$66,$A161)=0,"× 门店编码不对",IF(COUNTIF(科目对照收入!$B$2:$B$23,$B161)=0,"× 渠道名不对",IF(INDEX(科目对照收入!$E$2:$E$23,MATCH($B161,科目对照收入!$B$2:$B$23,0))&lt;&gt;"平台优先","× 该项目不按平台金额",IF(COUNTIFS($A$2:$A$601,$A161,$B$2:$B$601,$B161)&gt;1,"× 同店同渠道重复","√")))))</f>
        <v/>
      </c>
    </row>
    <row r="162" customFormat="false" ht="13.5" hidden="false" customHeight="false" outlineLevel="0" collapsed="false">
      <c r="A162" s="35"/>
      <c r="B162" s="35"/>
      <c r="C162" s="37"/>
      <c r="D162" s="15" t="str">
        <f aca="false">IF(OR($A162="",$B162=""),"",ROUND(IFERROR(INDEX(海典汇总!$C$3:$AE$67,MATCH($A162,海典汇总!$A$3:$A$67,0),MATCH(INDEX(科目对照收入!$F$2:$F$23,MATCH($B162,科目对照收入!$B$2:$B$23,0)),海典汇总!$C$1:$AE$1,0)),0)+IFERROR(INDEX(海典汇总!$C$3:$AE$67,MATCH($A162,海典汇总!$A$3:$A$67,0),MATCH(INDEX(科目对照收入!$G$2:$G$23,MATCH($B162,科目对照收入!$B$2:$B$23,0)),海典汇总!$C$1:$AE$1,0)),0)+IFERROR(INDEX(海典汇总!$C$3:$AE$67,MATCH($A162,海典汇总!$A$3:$A$67,0),MATCH(INDEX(科目对照收入!$H$2:$H$23,MATCH($B162,科目对照收入!$B$2:$B$23,0)),海典汇总!$C$1:$AE$1,0)),0),2))</f>
        <v/>
      </c>
      <c r="E162" s="15" t="str">
        <f aca="false">IF($D162="","",ROUND($C162-$D162,2))</f>
        <v/>
      </c>
      <c r="F162" s="38" t="str">
        <f aca="false">IF($A162&amp;$B162="","",IF(COUNTIF(门店对照!$A$2:$A$66,$A162)=0,"× 门店编码不对",IF(COUNTIF(科目对照收入!$B$2:$B$23,$B162)=0,"× 渠道名不对",IF(INDEX(科目对照收入!$E$2:$E$23,MATCH($B162,科目对照收入!$B$2:$B$23,0))&lt;&gt;"平台优先","× 该项目不按平台金额",IF(COUNTIFS($A$2:$A$601,$A162,$B$2:$B$601,$B162)&gt;1,"× 同店同渠道重复","√")))))</f>
        <v/>
      </c>
    </row>
    <row r="163" customFormat="false" ht="13.5" hidden="false" customHeight="false" outlineLevel="0" collapsed="false">
      <c r="A163" s="35"/>
      <c r="B163" s="35"/>
      <c r="C163" s="37"/>
      <c r="D163" s="15" t="str">
        <f aca="false">IF(OR($A163="",$B163=""),"",ROUND(IFERROR(INDEX(海典汇总!$C$3:$AE$67,MATCH($A163,海典汇总!$A$3:$A$67,0),MATCH(INDEX(科目对照收入!$F$2:$F$23,MATCH($B163,科目对照收入!$B$2:$B$23,0)),海典汇总!$C$1:$AE$1,0)),0)+IFERROR(INDEX(海典汇总!$C$3:$AE$67,MATCH($A163,海典汇总!$A$3:$A$67,0),MATCH(INDEX(科目对照收入!$G$2:$G$23,MATCH($B163,科目对照收入!$B$2:$B$23,0)),海典汇总!$C$1:$AE$1,0)),0)+IFERROR(INDEX(海典汇总!$C$3:$AE$67,MATCH($A163,海典汇总!$A$3:$A$67,0),MATCH(INDEX(科目对照收入!$H$2:$H$23,MATCH($B163,科目对照收入!$B$2:$B$23,0)),海典汇总!$C$1:$AE$1,0)),0),2))</f>
        <v/>
      </c>
      <c r="E163" s="15" t="str">
        <f aca="false">IF($D163="","",ROUND($C163-$D163,2))</f>
        <v/>
      </c>
      <c r="F163" s="38" t="str">
        <f aca="false">IF($A163&amp;$B163="","",IF(COUNTIF(门店对照!$A$2:$A$66,$A163)=0,"× 门店编码不对",IF(COUNTIF(科目对照收入!$B$2:$B$23,$B163)=0,"× 渠道名不对",IF(INDEX(科目对照收入!$E$2:$E$23,MATCH($B163,科目对照收入!$B$2:$B$23,0))&lt;&gt;"平台优先","× 该项目不按平台金额",IF(COUNTIFS($A$2:$A$601,$A163,$B$2:$B$601,$B163)&gt;1,"× 同店同渠道重复","√")))))</f>
        <v/>
      </c>
    </row>
    <row r="164" customFormat="false" ht="13.5" hidden="false" customHeight="false" outlineLevel="0" collapsed="false">
      <c r="A164" s="35"/>
      <c r="B164" s="35"/>
      <c r="C164" s="37"/>
      <c r="D164" s="15" t="str">
        <f aca="false">IF(OR($A164="",$B164=""),"",ROUND(IFERROR(INDEX(海典汇总!$C$3:$AE$67,MATCH($A164,海典汇总!$A$3:$A$67,0),MATCH(INDEX(科目对照收入!$F$2:$F$23,MATCH($B164,科目对照收入!$B$2:$B$23,0)),海典汇总!$C$1:$AE$1,0)),0)+IFERROR(INDEX(海典汇总!$C$3:$AE$67,MATCH($A164,海典汇总!$A$3:$A$67,0),MATCH(INDEX(科目对照收入!$G$2:$G$23,MATCH($B164,科目对照收入!$B$2:$B$23,0)),海典汇总!$C$1:$AE$1,0)),0)+IFERROR(INDEX(海典汇总!$C$3:$AE$67,MATCH($A164,海典汇总!$A$3:$A$67,0),MATCH(INDEX(科目对照收入!$H$2:$H$23,MATCH($B164,科目对照收入!$B$2:$B$23,0)),海典汇总!$C$1:$AE$1,0)),0),2))</f>
        <v/>
      </c>
      <c r="E164" s="15" t="str">
        <f aca="false">IF($D164="","",ROUND($C164-$D164,2))</f>
        <v/>
      </c>
      <c r="F164" s="38" t="str">
        <f aca="false">IF($A164&amp;$B164="","",IF(COUNTIF(门店对照!$A$2:$A$66,$A164)=0,"× 门店编码不对",IF(COUNTIF(科目对照收入!$B$2:$B$23,$B164)=0,"× 渠道名不对",IF(INDEX(科目对照收入!$E$2:$E$23,MATCH($B164,科目对照收入!$B$2:$B$23,0))&lt;&gt;"平台优先","× 该项目不按平台金额",IF(COUNTIFS($A$2:$A$601,$A164,$B$2:$B$601,$B164)&gt;1,"× 同店同渠道重复","√")))))</f>
        <v/>
      </c>
    </row>
    <row r="165" customFormat="false" ht="13.5" hidden="false" customHeight="false" outlineLevel="0" collapsed="false">
      <c r="A165" s="35"/>
      <c r="B165" s="35"/>
      <c r="C165" s="37"/>
      <c r="D165" s="15" t="str">
        <f aca="false">IF(OR($A165="",$B165=""),"",ROUND(IFERROR(INDEX(海典汇总!$C$3:$AE$67,MATCH($A165,海典汇总!$A$3:$A$67,0),MATCH(INDEX(科目对照收入!$F$2:$F$23,MATCH($B165,科目对照收入!$B$2:$B$23,0)),海典汇总!$C$1:$AE$1,0)),0)+IFERROR(INDEX(海典汇总!$C$3:$AE$67,MATCH($A165,海典汇总!$A$3:$A$67,0),MATCH(INDEX(科目对照收入!$G$2:$G$23,MATCH($B165,科目对照收入!$B$2:$B$23,0)),海典汇总!$C$1:$AE$1,0)),0)+IFERROR(INDEX(海典汇总!$C$3:$AE$67,MATCH($A165,海典汇总!$A$3:$A$67,0),MATCH(INDEX(科目对照收入!$H$2:$H$23,MATCH($B165,科目对照收入!$B$2:$B$23,0)),海典汇总!$C$1:$AE$1,0)),0),2))</f>
        <v/>
      </c>
      <c r="E165" s="15" t="str">
        <f aca="false">IF($D165="","",ROUND($C165-$D165,2))</f>
        <v/>
      </c>
      <c r="F165" s="38" t="str">
        <f aca="false">IF($A165&amp;$B165="","",IF(COUNTIF(门店对照!$A$2:$A$66,$A165)=0,"× 门店编码不对",IF(COUNTIF(科目对照收入!$B$2:$B$23,$B165)=0,"× 渠道名不对",IF(INDEX(科目对照收入!$E$2:$E$23,MATCH($B165,科目对照收入!$B$2:$B$23,0))&lt;&gt;"平台优先","× 该项目不按平台金额",IF(COUNTIFS($A$2:$A$601,$A165,$B$2:$B$601,$B165)&gt;1,"× 同店同渠道重复","√")))))</f>
        <v/>
      </c>
    </row>
    <row r="166" customFormat="false" ht="13.5" hidden="false" customHeight="false" outlineLevel="0" collapsed="false">
      <c r="A166" s="35"/>
      <c r="B166" s="35"/>
      <c r="C166" s="37"/>
      <c r="D166" s="15" t="str">
        <f aca="false">IF(OR($A166="",$B166=""),"",ROUND(IFERROR(INDEX(海典汇总!$C$3:$AE$67,MATCH($A166,海典汇总!$A$3:$A$67,0),MATCH(INDEX(科目对照收入!$F$2:$F$23,MATCH($B166,科目对照收入!$B$2:$B$23,0)),海典汇总!$C$1:$AE$1,0)),0)+IFERROR(INDEX(海典汇总!$C$3:$AE$67,MATCH($A166,海典汇总!$A$3:$A$67,0),MATCH(INDEX(科目对照收入!$G$2:$G$23,MATCH($B166,科目对照收入!$B$2:$B$23,0)),海典汇总!$C$1:$AE$1,0)),0)+IFERROR(INDEX(海典汇总!$C$3:$AE$67,MATCH($A166,海典汇总!$A$3:$A$67,0),MATCH(INDEX(科目对照收入!$H$2:$H$23,MATCH($B166,科目对照收入!$B$2:$B$23,0)),海典汇总!$C$1:$AE$1,0)),0),2))</f>
        <v/>
      </c>
      <c r="E166" s="15" t="str">
        <f aca="false">IF($D166="","",ROUND($C166-$D166,2))</f>
        <v/>
      </c>
      <c r="F166" s="38" t="str">
        <f aca="false">IF($A166&amp;$B166="","",IF(COUNTIF(门店对照!$A$2:$A$66,$A166)=0,"× 门店编码不对",IF(COUNTIF(科目对照收入!$B$2:$B$23,$B166)=0,"× 渠道名不对",IF(INDEX(科目对照收入!$E$2:$E$23,MATCH($B166,科目对照收入!$B$2:$B$23,0))&lt;&gt;"平台优先","× 该项目不按平台金额",IF(COUNTIFS($A$2:$A$601,$A166,$B$2:$B$601,$B166)&gt;1,"× 同店同渠道重复","√")))))</f>
        <v/>
      </c>
    </row>
    <row r="167" customFormat="false" ht="13.5" hidden="false" customHeight="false" outlineLevel="0" collapsed="false">
      <c r="A167" s="35"/>
      <c r="B167" s="35"/>
      <c r="C167" s="37"/>
      <c r="D167" s="15" t="str">
        <f aca="false">IF(OR($A167="",$B167=""),"",ROUND(IFERROR(INDEX(海典汇总!$C$3:$AE$67,MATCH($A167,海典汇总!$A$3:$A$67,0),MATCH(INDEX(科目对照收入!$F$2:$F$23,MATCH($B167,科目对照收入!$B$2:$B$23,0)),海典汇总!$C$1:$AE$1,0)),0)+IFERROR(INDEX(海典汇总!$C$3:$AE$67,MATCH($A167,海典汇总!$A$3:$A$67,0),MATCH(INDEX(科目对照收入!$G$2:$G$23,MATCH($B167,科目对照收入!$B$2:$B$23,0)),海典汇总!$C$1:$AE$1,0)),0)+IFERROR(INDEX(海典汇总!$C$3:$AE$67,MATCH($A167,海典汇总!$A$3:$A$67,0),MATCH(INDEX(科目对照收入!$H$2:$H$23,MATCH($B167,科目对照收入!$B$2:$B$23,0)),海典汇总!$C$1:$AE$1,0)),0),2))</f>
        <v/>
      </c>
      <c r="E167" s="15" t="str">
        <f aca="false">IF($D167="","",ROUND($C167-$D167,2))</f>
        <v/>
      </c>
      <c r="F167" s="38" t="str">
        <f aca="false">IF($A167&amp;$B167="","",IF(COUNTIF(门店对照!$A$2:$A$66,$A167)=0,"× 门店编码不对",IF(COUNTIF(科目对照收入!$B$2:$B$23,$B167)=0,"× 渠道名不对",IF(INDEX(科目对照收入!$E$2:$E$23,MATCH($B167,科目对照收入!$B$2:$B$23,0))&lt;&gt;"平台优先","× 该项目不按平台金额",IF(COUNTIFS($A$2:$A$601,$A167,$B$2:$B$601,$B167)&gt;1,"× 同店同渠道重复","√")))))</f>
        <v/>
      </c>
    </row>
    <row r="168" customFormat="false" ht="13.5" hidden="false" customHeight="false" outlineLevel="0" collapsed="false">
      <c r="A168" s="35"/>
      <c r="B168" s="35"/>
      <c r="C168" s="37"/>
      <c r="D168" s="15" t="str">
        <f aca="false">IF(OR($A168="",$B168=""),"",ROUND(IFERROR(INDEX(海典汇总!$C$3:$AE$67,MATCH($A168,海典汇总!$A$3:$A$67,0),MATCH(INDEX(科目对照收入!$F$2:$F$23,MATCH($B168,科目对照收入!$B$2:$B$23,0)),海典汇总!$C$1:$AE$1,0)),0)+IFERROR(INDEX(海典汇总!$C$3:$AE$67,MATCH($A168,海典汇总!$A$3:$A$67,0),MATCH(INDEX(科目对照收入!$G$2:$G$23,MATCH($B168,科目对照收入!$B$2:$B$23,0)),海典汇总!$C$1:$AE$1,0)),0)+IFERROR(INDEX(海典汇总!$C$3:$AE$67,MATCH($A168,海典汇总!$A$3:$A$67,0),MATCH(INDEX(科目对照收入!$H$2:$H$23,MATCH($B168,科目对照收入!$B$2:$B$23,0)),海典汇总!$C$1:$AE$1,0)),0),2))</f>
        <v/>
      </c>
      <c r="E168" s="15" t="str">
        <f aca="false">IF($D168="","",ROUND($C168-$D168,2))</f>
        <v/>
      </c>
      <c r="F168" s="38" t="str">
        <f aca="false">IF($A168&amp;$B168="","",IF(COUNTIF(门店对照!$A$2:$A$66,$A168)=0,"× 门店编码不对",IF(COUNTIF(科目对照收入!$B$2:$B$23,$B168)=0,"× 渠道名不对",IF(INDEX(科目对照收入!$E$2:$E$23,MATCH($B168,科目对照收入!$B$2:$B$23,0))&lt;&gt;"平台优先","× 该项目不按平台金额",IF(COUNTIFS($A$2:$A$601,$A168,$B$2:$B$601,$B168)&gt;1,"× 同店同渠道重复","√")))))</f>
        <v/>
      </c>
    </row>
    <row r="169" customFormat="false" ht="13.5" hidden="false" customHeight="false" outlineLevel="0" collapsed="false">
      <c r="A169" s="35"/>
      <c r="B169" s="35"/>
      <c r="C169" s="37"/>
      <c r="D169" s="15" t="str">
        <f aca="false">IF(OR($A169="",$B169=""),"",ROUND(IFERROR(INDEX(海典汇总!$C$3:$AE$67,MATCH($A169,海典汇总!$A$3:$A$67,0),MATCH(INDEX(科目对照收入!$F$2:$F$23,MATCH($B169,科目对照收入!$B$2:$B$23,0)),海典汇总!$C$1:$AE$1,0)),0)+IFERROR(INDEX(海典汇总!$C$3:$AE$67,MATCH($A169,海典汇总!$A$3:$A$67,0),MATCH(INDEX(科目对照收入!$G$2:$G$23,MATCH($B169,科目对照收入!$B$2:$B$23,0)),海典汇总!$C$1:$AE$1,0)),0)+IFERROR(INDEX(海典汇总!$C$3:$AE$67,MATCH($A169,海典汇总!$A$3:$A$67,0),MATCH(INDEX(科目对照收入!$H$2:$H$23,MATCH($B169,科目对照收入!$B$2:$B$23,0)),海典汇总!$C$1:$AE$1,0)),0),2))</f>
        <v/>
      </c>
      <c r="E169" s="15" t="str">
        <f aca="false">IF($D169="","",ROUND($C169-$D169,2))</f>
        <v/>
      </c>
      <c r="F169" s="38" t="str">
        <f aca="false">IF($A169&amp;$B169="","",IF(COUNTIF(门店对照!$A$2:$A$66,$A169)=0,"× 门店编码不对",IF(COUNTIF(科目对照收入!$B$2:$B$23,$B169)=0,"× 渠道名不对",IF(INDEX(科目对照收入!$E$2:$E$23,MATCH($B169,科目对照收入!$B$2:$B$23,0))&lt;&gt;"平台优先","× 该项目不按平台金额",IF(COUNTIFS($A$2:$A$601,$A169,$B$2:$B$601,$B169)&gt;1,"× 同店同渠道重复","√")))))</f>
        <v/>
      </c>
    </row>
    <row r="170" customFormat="false" ht="13.5" hidden="false" customHeight="false" outlineLevel="0" collapsed="false">
      <c r="A170" s="35"/>
      <c r="B170" s="35"/>
      <c r="C170" s="37"/>
      <c r="D170" s="15" t="str">
        <f aca="false">IF(OR($A170="",$B170=""),"",ROUND(IFERROR(INDEX(海典汇总!$C$3:$AE$67,MATCH($A170,海典汇总!$A$3:$A$67,0),MATCH(INDEX(科目对照收入!$F$2:$F$23,MATCH($B170,科目对照收入!$B$2:$B$23,0)),海典汇总!$C$1:$AE$1,0)),0)+IFERROR(INDEX(海典汇总!$C$3:$AE$67,MATCH($A170,海典汇总!$A$3:$A$67,0),MATCH(INDEX(科目对照收入!$G$2:$G$23,MATCH($B170,科目对照收入!$B$2:$B$23,0)),海典汇总!$C$1:$AE$1,0)),0)+IFERROR(INDEX(海典汇总!$C$3:$AE$67,MATCH($A170,海典汇总!$A$3:$A$67,0),MATCH(INDEX(科目对照收入!$H$2:$H$23,MATCH($B170,科目对照收入!$B$2:$B$23,0)),海典汇总!$C$1:$AE$1,0)),0),2))</f>
        <v/>
      </c>
      <c r="E170" s="15" t="str">
        <f aca="false">IF($D170="","",ROUND($C170-$D170,2))</f>
        <v/>
      </c>
      <c r="F170" s="38" t="str">
        <f aca="false">IF($A170&amp;$B170="","",IF(COUNTIF(门店对照!$A$2:$A$66,$A170)=0,"× 门店编码不对",IF(COUNTIF(科目对照收入!$B$2:$B$23,$B170)=0,"× 渠道名不对",IF(INDEX(科目对照收入!$E$2:$E$23,MATCH($B170,科目对照收入!$B$2:$B$23,0))&lt;&gt;"平台优先","× 该项目不按平台金额",IF(COUNTIFS($A$2:$A$601,$A170,$B$2:$B$601,$B170)&gt;1,"× 同店同渠道重复","√")))))</f>
        <v/>
      </c>
    </row>
    <row r="171" customFormat="false" ht="13.5" hidden="false" customHeight="false" outlineLevel="0" collapsed="false">
      <c r="A171" s="35"/>
      <c r="B171" s="35"/>
      <c r="C171" s="37"/>
      <c r="D171" s="15" t="str">
        <f aca="false">IF(OR($A171="",$B171=""),"",ROUND(IFERROR(INDEX(海典汇总!$C$3:$AE$67,MATCH($A171,海典汇总!$A$3:$A$67,0),MATCH(INDEX(科目对照收入!$F$2:$F$23,MATCH($B171,科目对照收入!$B$2:$B$23,0)),海典汇总!$C$1:$AE$1,0)),0)+IFERROR(INDEX(海典汇总!$C$3:$AE$67,MATCH($A171,海典汇总!$A$3:$A$67,0),MATCH(INDEX(科目对照收入!$G$2:$G$23,MATCH($B171,科目对照收入!$B$2:$B$23,0)),海典汇总!$C$1:$AE$1,0)),0)+IFERROR(INDEX(海典汇总!$C$3:$AE$67,MATCH($A171,海典汇总!$A$3:$A$67,0),MATCH(INDEX(科目对照收入!$H$2:$H$23,MATCH($B171,科目对照收入!$B$2:$B$23,0)),海典汇总!$C$1:$AE$1,0)),0),2))</f>
        <v/>
      </c>
      <c r="E171" s="15" t="str">
        <f aca="false">IF($D171="","",ROUND($C171-$D171,2))</f>
        <v/>
      </c>
      <c r="F171" s="38" t="str">
        <f aca="false">IF($A171&amp;$B171="","",IF(COUNTIF(门店对照!$A$2:$A$66,$A171)=0,"× 门店编码不对",IF(COUNTIF(科目对照收入!$B$2:$B$23,$B171)=0,"× 渠道名不对",IF(INDEX(科目对照收入!$E$2:$E$23,MATCH($B171,科目对照收入!$B$2:$B$23,0))&lt;&gt;"平台优先","× 该项目不按平台金额",IF(COUNTIFS($A$2:$A$601,$A171,$B$2:$B$601,$B171)&gt;1,"× 同店同渠道重复","√")))))</f>
        <v/>
      </c>
    </row>
    <row r="172" customFormat="false" ht="13.5" hidden="false" customHeight="false" outlineLevel="0" collapsed="false">
      <c r="A172" s="35"/>
      <c r="B172" s="35"/>
      <c r="C172" s="37"/>
      <c r="D172" s="15" t="str">
        <f aca="false">IF(OR($A172="",$B172=""),"",ROUND(IFERROR(INDEX(海典汇总!$C$3:$AE$67,MATCH($A172,海典汇总!$A$3:$A$67,0),MATCH(INDEX(科目对照收入!$F$2:$F$23,MATCH($B172,科目对照收入!$B$2:$B$23,0)),海典汇总!$C$1:$AE$1,0)),0)+IFERROR(INDEX(海典汇总!$C$3:$AE$67,MATCH($A172,海典汇总!$A$3:$A$67,0),MATCH(INDEX(科目对照收入!$G$2:$G$23,MATCH($B172,科目对照收入!$B$2:$B$23,0)),海典汇总!$C$1:$AE$1,0)),0)+IFERROR(INDEX(海典汇总!$C$3:$AE$67,MATCH($A172,海典汇总!$A$3:$A$67,0),MATCH(INDEX(科目对照收入!$H$2:$H$23,MATCH($B172,科目对照收入!$B$2:$B$23,0)),海典汇总!$C$1:$AE$1,0)),0),2))</f>
        <v/>
      </c>
      <c r="E172" s="15" t="str">
        <f aca="false">IF($D172="","",ROUND($C172-$D172,2))</f>
        <v/>
      </c>
      <c r="F172" s="38" t="str">
        <f aca="false">IF($A172&amp;$B172="","",IF(COUNTIF(门店对照!$A$2:$A$66,$A172)=0,"× 门店编码不对",IF(COUNTIF(科目对照收入!$B$2:$B$23,$B172)=0,"× 渠道名不对",IF(INDEX(科目对照收入!$E$2:$E$23,MATCH($B172,科目对照收入!$B$2:$B$23,0))&lt;&gt;"平台优先","× 该项目不按平台金额",IF(COUNTIFS($A$2:$A$601,$A172,$B$2:$B$601,$B172)&gt;1,"× 同店同渠道重复","√")))))</f>
        <v/>
      </c>
    </row>
    <row r="173" customFormat="false" ht="13.5" hidden="false" customHeight="false" outlineLevel="0" collapsed="false">
      <c r="A173" s="35"/>
      <c r="B173" s="35"/>
      <c r="C173" s="37"/>
      <c r="D173" s="15" t="str">
        <f aca="false">IF(OR($A173="",$B173=""),"",ROUND(IFERROR(INDEX(海典汇总!$C$3:$AE$67,MATCH($A173,海典汇总!$A$3:$A$67,0),MATCH(INDEX(科目对照收入!$F$2:$F$23,MATCH($B173,科目对照收入!$B$2:$B$23,0)),海典汇总!$C$1:$AE$1,0)),0)+IFERROR(INDEX(海典汇总!$C$3:$AE$67,MATCH($A173,海典汇总!$A$3:$A$67,0),MATCH(INDEX(科目对照收入!$G$2:$G$23,MATCH($B173,科目对照收入!$B$2:$B$23,0)),海典汇总!$C$1:$AE$1,0)),0)+IFERROR(INDEX(海典汇总!$C$3:$AE$67,MATCH($A173,海典汇总!$A$3:$A$67,0),MATCH(INDEX(科目对照收入!$H$2:$H$23,MATCH($B173,科目对照收入!$B$2:$B$23,0)),海典汇总!$C$1:$AE$1,0)),0),2))</f>
        <v/>
      </c>
      <c r="E173" s="15" t="str">
        <f aca="false">IF($D173="","",ROUND($C173-$D173,2))</f>
        <v/>
      </c>
      <c r="F173" s="38" t="str">
        <f aca="false">IF($A173&amp;$B173="","",IF(COUNTIF(门店对照!$A$2:$A$66,$A173)=0,"× 门店编码不对",IF(COUNTIF(科目对照收入!$B$2:$B$23,$B173)=0,"× 渠道名不对",IF(INDEX(科目对照收入!$E$2:$E$23,MATCH($B173,科目对照收入!$B$2:$B$23,0))&lt;&gt;"平台优先","× 该项目不按平台金额",IF(COUNTIFS($A$2:$A$601,$A173,$B$2:$B$601,$B173)&gt;1,"× 同店同渠道重复","√")))))</f>
        <v/>
      </c>
    </row>
    <row r="174" customFormat="false" ht="13.5" hidden="false" customHeight="false" outlineLevel="0" collapsed="false">
      <c r="A174" s="35"/>
      <c r="B174" s="35"/>
      <c r="C174" s="37"/>
      <c r="D174" s="15" t="str">
        <f aca="false">IF(OR($A174="",$B174=""),"",ROUND(IFERROR(INDEX(海典汇总!$C$3:$AE$67,MATCH($A174,海典汇总!$A$3:$A$67,0),MATCH(INDEX(科目对照收入!$F$2:$F$23,MATCH($B174,科目对照收入!$B$2:$B$23,0)),海典汇总!$C$1:$AE$1,0)),0)+IFERROR(INDEX(海典汇总!$C$3:$AE$67,MATCH($A174,海典汇总!$A$3:$A$67,0),MATCH(INDEX(科目对照收入!$G$2:$G$23,MATCH($B174,科目对照收入!$B$2:$B$23,0)),海典汇总!$C$1:$AE$1,0)),0)+IFERROR(INDEX(海典汇总!$C$3:$AE$67,MATCH($A174,海典汇总!$A$3:$A$67,0),MATCH(INDEX(科目对照收入!$H$2:$H$23,MATCH($B174,科目对照收入!$B$2:$B$23,0)),海典汇总!$C$1:$AE$1,0)),0),2))</f>
        <v/>
      </c>
      <c r="E174" s="15" t="str">
        <f aca="false">IF($D174="","",ROUND($C174-$D174,2))</f>
        <v/>
      </c>
      <c r="F174" s="38" t="str">
        <f aca="false">IF($A174&amp;$B174="","",IF(COUNTIF(门店对照!$A$2:$A$66,$A174)=0,"× 门店编码不对",IF(COUNTIF(科目对照收入!$B$2:$B$23,$B174)=0,"× 渠道名不对",IF(INDEX(科目对照收入!$E$2:$E$23,MATCH($B174,科目对照收入!$B$2:$B$23,0))&lt;&gt;"平台优先","× 该项目不按平台金额",IF(COUNTIFS($A$2:$A$601,$A174,$B$2:$B$601,$B174)&gt;1,"× 同店同渠道重复","√")))))</f>
        <v/>
      </c>
    </row>
    <row r="175" customFormat="false" ht="13.5" hidden="false" customHeight="false" outlineLevel="0" collapsed="false">
      <c r="A175" s="35"/>
      <c r="B175" s="35"/>
      <c r="C175" s="37"/>
      <c r="D175" s="15" t="str">
        <f aca="false">IF(OR($A175="",$B175=""),"",ROUND(IFERROR(INDEX(海典汇总!$C$3:$AE$67,MATCH($A175,海典汇总!$A$3:$A$67,0),MATCH(INDEX(科目对照收入!$F$2:$F$23,MATCH($B175,科目对照收入!$B$2:$B$23,0)),海典汇总!$C$1:$AE$1,0)),0)+IFERROR(INDEX(海典汇总!$C$3:$AE$67,MATCH($A175,海典汇总!$A$3:$A$67,0),MATCH(INDEX(科目对照收入!$G$2:$G$23,MATCH($B175,科目对照收入!$B$2:$B$23,0)),海典汇总!$C$1:$AE$1,0)),0)+IFERROR(INDEX(海典汇总!$C$3:$AE$67,MATCH($A175,海典汇总!$A$3:$A$67,0),MATCH(INDEX(科目对照收入!$H$2:$H$23,MATCH($B175,科目对照收入!$B$2:$B$23,0)),海典汇总!$C$1:$AE$1,0)),0),2))</f>
        <v/>
      </c>
      <c r="E175" s="15" t="str">
        <f aca="false">IF($D175="","",ROUND($C175-$D175,2))</f>
        <v/>
      </c>
      <c r="F175" s="38" t="str">
        <f aca="false">IF($A175&amp;$B175="","",IF(COUNTIF(门店对照!$A$2:$A$66,$A175)=0,"× 门店编码不对",IF(COUNTIF(科目对照收入!$B$2:$B$23,$B175)=0,"× 渠道名不对",IF(INDEX(科目对照收入!$E$2:$E$23,MATCH($B175,科目对照收入!$B$2:$B$23,0))&lt;&gt;"平台优先","× 该项目不按平台金额",IF(COUNTIFS($A$2:$A$601,$A175,$B$2:$B$601,$B175)&gt;1,"× 同店同渠道重复","√")))))</f>
        <v/>
      </c>
    </row>
    <row r="176" customFormat="false" ht="13.5" hidden="false" customHeight="false" outlineLevel="0" collapsed="false">
      <c r="A176" s="35"/>
      <c r="B176" s="35"/>
      <c r="C176" s="37"/>
      <c r="D176" s="15" t="str">
        <f aca="false">IF(OR($A176="",$B176=""),"",ROUND(IFERROR(INDEX(海典汇总!$C$3:$AE$67,MATCH($A176,海典汇总!$A$3:$A$67,0),MATCH(INDEX(科目对照收入!$F$2:$F$23,MATCH($B176,科目对照收入!$B$2:$B$23,0)),海典汇总!$C$1:$AE$1,0)),0)+IFERROR(INDEX(海典汇总!$C$3:$AE$67,MATCH($A176,海典汇总!$A$3:$A$67,0),MATCH(INDEX(科目对照收入!$G$2:$G$23,MATCH($B176,科目对照收入!$B$2:$B$23,0)),海典汇总!$C$1:$AE$1,0)),0)+IFERROR(INDEX(海典汇总!$C$3:$AE$67,MATCH($A176,海典汇总!$A$3:$A$67,0),MATCH(INDEX(科目对照收入!$H$2:$H$23,MATCH($B176,科目对照收入!$B$2:$B$23,0)),海典汇总!$C$1:$AE$1,0)),0),2))</f>
        <v/>
      </c>
      <c r="E176" s="15" t="str">
        <f aca="false">IF($D176="","",ROUND($C176-$D176,2))</f>
        <v/>
      </c>
      <c r="F176" s="38" t="str">
        <f aca="false">IF($A176&amp;$B176="","",IF(COUNTIF(门店对照!$A$2:$A$66,$A176)=0,"× 门店编码不对",IF(COUNTIF(科目对照收入!$B$2:$B$23,$B176)=0,"× 渠道名不对",IF(INDEX(科目对照收入!$E$2:$E$23,MATCH($B176,科目对照收入!$B$2:$B$23,0))&lt;&gt;"平台优先","× 该项目不按平台金额",IF(COUNTIFS($A$2:$A$601,$A176,$B$2:$B$601,$B176)&gt;1,"× 同店同渠道重复","√")))))</f>
        <v/>
      </c>
    </row>
    <row r="177" customFormat="false" ht="13.5" hidden="false" customHeight="false" outlineLevel="0" collapsed="false">
      <c r="A177" s="35"/>
      <c r="B177" s="35"/>
      <c r="C177" s="37"/>
      <c r="D177" s="15" t="str">
        <f aca="false">IF(OR($A177="",$B177=""),"",ROUND(IFERROR(INDEX(海典汇总!$C$3:$AE$67,MATCH($A177,海典汇总!$A$3:$A$67,0),MATCH(INDEX(科目对照收入!$F$2:$F$23,MATCH($B177,科目对照收入!$B$2:$B$23,0)),海典汇总!$C$1:$AE$1,0)),0)+IFERROR(INDEX(海典汇总!$C$3:$AE$67,MATCH($A177,海典汇总!$A$3:$A$67,0),MATCH(INDEX(科目对照收入!$G$2:$G$23,MATCH($B177,科目对照收入!$B$2:$B$23,0)),海典汇总!$C$1:$AE$1,0)),0)+IFERROR(INDEX(海典汇总!$C$3:$AE$67,MATCH($A177,海典汇总!$A$3:$A$67,0),MATCH(INDEX(科目对照收入!$H$2:$H$23,MATCH($B177,科目对照收入!$B$2:$B$23,0)),海典汇总!$C$1:$AE$1,0)),0),2))</f>
        <v/>
      </c>
      <c r="E177" s="15" t="str">
        <f aca="false">IF($D177="","",ROUND($C177-$D177,2))</f>
        <v/>
      </c>
      <c r="F177" s="38" t="str">
        <f aca="false">IF($A177&amp;$B177="","",IF(COUNTIF(门店对照!$A$2:$A$66,$A177)=0,"× 门店编码不对",IF(COUNTIF(科目对照收入!$B$2:$B$23,$B177)=0,"× 渠道名不对",IF(INDEX(科目对照收入!$E$2:$E$23,MATCH($B177,科目对照收入!$B$2:$B$23,0))&lt;&gt;"平台优先","× 该项目不按平台金额",IF(COUNTIFS($A$2:$A$601,$A177,$B$2:$B$601,$B177)&gt;1,"× 同店同渠道重复","√")))))</f>
        <v/>
      </c>
    </row>
    <row r="178" customFormat="false" ht="13.5" hidden="false" customHeight="false" outlineLevel="0" collapsed="false">
      <c r="A178" s="35"/>
      <c r="B178" s="35"/>
      <c r="C178" s="37"/>
      <c r="D178" s="15" t="str">
        <f aca="false">IF(OR($A178="",$B178=""),"",ROUND(IFERROR(INDEX(海典汇总!$C$3:$AE$67,MATCH($A178,海典汇总!$A$3:$A$67,0),MATCH(INDEX(科目对照收入!$F$2:$F$23,MATCH($B178,科目对照收入!$B$2:$B$23,0)),海典汇总!$C$1:$AE$1,0)),0)+IFERROR(INDEX(海典汇总!$C$3:$AE$67,MATCH($A178,海典汇总!$A$3:$A$67,0),MATCH(INDEX(科目对照收入!$G$2:$G$23,MATCH($B178,科目对照收入!$B$2:$B$23,0)),海典汇总!$C$1:$AE$1,0)),0)+IFERROR(INDEX(海典汇总!$C$3:$AE$67,MATCH($A178,海典汇总!$A$3:$A$67,0),MATCH(INDEX(科目对照收入!$H$2:$H$23,MATCH($B178,科目对照收入!$B$2:$B$23,0)),海典汇总!$C$1:$AE$1,0)),0),2))</f>
        <v/>
      </c>
      <c r="E178" s="15" t="str">
        <f aca="false">IF($D178="","",ROUND($C178-$D178,2))</f>
        <v/>
      </c>
      <c r="F178" s="38" t="str">
        <f aca="false">IF($A178&amp;$B178="","",IF(COUNTIF(门店对照!$A$2:$A$66,$A178)=0,"× 门店编码不对",IF(COUNTIF(科目对照收入!$B$2:$B$23,$B178)=0,"× 渠道名不对",IF(INDEX(科目对照收入!$E$2:$E$23,MATCH($B178,科目对照收入!$B$2:$B$23,0))&lt;&gt;"平台优先","× 该项目不按平台金额",IF(COUNTIFS($A$2:$A$601,$A178,$B$2:$B$601,$B178)&gt;1,"× 同店同渠道重复","√")))))</f>
        <v/>
      </c>
    </row>
    <row r="179" customFormat="false" ht="13.5" hidden="false" customHeight="false" outlineLevel="0" collapsed="false">
      <c r="A179" s="35"/>
      <c r="B179" s="35"/>
      <c r="C179" s="37"/>
      <c r="D179" s="15" t="str">
        <f aca="false">IF(OR($A179="",$B179=""),"",ROUND(IFERROR(INDEX(海典汇总!$C$3:$AE$67,MATCH($A179,海典汇总!$A$3:$A$67,0),MATCH(INDEX(科目对照收入!$F$2:$F$23,MATCH($B179,科目对照收入!$B$2:$B$23,0)),海典汇总!$C$1:$AE$1,0)),0)+IFERROR(INDEX(海典汇总!$C$3:$AE$67,MATCH($A179,海典汇总!$A$3:$A$67,0),MATCH(INDEX(科目对照收入!$G$2:$G$23,MATCH($B179,科目对照收入!$B$2:$B$23,0)),海典汇总!$C$1:$AE$1,0)),0)+IFERROR(INDEX(海典汇总!$C$3:$AE$67,MATCH($A179,海典汇总!$A$3:$A$67,0),MATCH(INDEX(科目对照收入!$H$2:$H$23,MATCH($B179,科目对照收入!$B$2:$B$23,0)),海典汇总!$C$1:$AE$1,0)),0),2))</f>
        <v/>
      </c>
      <c r="E179" s="15" t="str">
        <f aca="false">IF($D179="","",ROUND($C179-$D179,2))</f>
        <v/>
      </c>
      <c r="F179" s="38" t="str">
        <f aca="false">IF($A179&amp;$B179="","",IF(COUNTIF(门店对照!$A$2:$A$66,$A179)=0,"× 门店编码不对",IF(COUNTIF(科目对照收入!$B$2:$B$23,$B179)=0,"× 渠道名不对",IF(INDEX(科目对照收入!$E$2:$E$23,MATCH($B179,科目对照收入!$B$2:$B$23,0))&lt;&gt;"平台优先","× 该项目不按平台金额",IF(COUNTIFS($A$2:$A$601,$A179,$B$2:$B$601,$B179)&gt;1,"× 同店同渠道重复","√")))))</f>
        <v/>
      </c>
    </row>
    <row r="180" customFormat="false" ht="13.5" hidden="false" customHeight="false" outlineLevel="0" collapsed="false">
      <c r="A180" s="35"/>
      <c r="B180" s="35"/>
      <c r="C180" s="37"/>
      <c r="D180" s="15" t="str">
        <f aca="false">IF(OR($A180="",$B180=""),"",ROUND(IFERROR(INDEX(海典汇总!$C$3:$AE$67,MATCH($A180,海典汇总!$A$3:$A$67,0),MATCH(INDEX(科目对照收入!$F$2:$F$23,MATCH($B180,科目对照收入!$B$2:$B$23,0)),海典汇总!$C$1:$AE$1,0)),0)+IFERROR(INDEX(海典汇总!$C$3:$AE$67,MATCH($A180,海典汇总!$A$3:$A$67,0),MATCH(INDEX(科目对照收入!$G$2:$G$23,MATCH($B180,科目对照收入!$B$2:$B$23,0)),海典汇总!$C$1:$AE$1,0)),0)+IFERROR(INDEX(海典汇总!$C$3:$AE$67,MATCH($A180,海典汇总!$A$3:$A$67,0),MATCH(INDEX(科目对照收入!$H$2:$H$23,MATCH($B180,科目对照收入!$B$2:$B$23,0)),海典汇总!$C$1:$AE$1,0)),0),2))</f>
        <v/>
      </c>
      <c r="E180" s="15" t="str">
        <f aca="false">IF($D180="","",ROUND($C180-$D180,2))</f>
        <v/>
      </c>
      <c r="F180" s="38" t="str">
        <f aca="false">IF($A180&amp;$B180="","",IF(COUNTIF(门店对照!$A$2:$A$66,$A180)=0,"× 门店编码不对",IF(COUNTIF(科目对照收入!$B$2:$B$23,$B180)=0,"× 渠道名不对",IF(INDEX(科目对照收入!$E$2:$E$23,MATCH($B180,科目对照收入!$B$2:$B$23,0))&lt;&gt;"平台优先","× 该项目不按平台金额",IF(COUNTIFS($A$2:$A$601,$A180,$B$2:$B$601,$B180)&gt;1,"× 同店同渠道重复","√")))))</f>
        <v/>
      </c>
    </row>
    <row r="181" customFormat="false" ht="13.5" hidden="false" customHeight="false" outlineLevel="0" collapsed="false">
      <c r="A181" s="35"/>
      <c r="B181" s="35"/>
      <c r="C181" s="37"/>
      <c r="D181" s="15" t="str">
        <f aca="false">IF(OR($A181="",$B181=""),"",ROUND(IFERROR(INDEX(海典汇总!$C$3:$AE$67,MATCH($A181,海典汇总!$A$3:$A$67,0),MATCH(INDEX(科目对照收入!$F$2:$F$23,MATCH($B181,科目对照收入!$B$2:$B$23,0)),海典汇总!$C$1:$AE$1,0)),0)+IFERROR(INDEX(海典汇总!$C$3:$AE$67,MATCH($A181,海典汇总!$A$3:$A$67,0),MATCH(INDEX(科目对照收入!$G$2:$G$23,MATCH($B181,科目对照收入!$B$2:$B$23,0)),海典汇总!$C$1:$AE$1,0)),0)+IFERROR(INDEX(海典汇总!$C$3:$AE$67,MATCH($A181,海典汇总!$A$3:$A$67,0),MATCH(INDEX(科目对照收入!$H$2:$H$23,MATCH($B181,科目对照收入!$B$2:$B$23,0)),海典汇总!$C$1:$AE$1,0)),0),2))</f>
        <v/>
      </c>
      <c r="E181" s="15" t="str">
        <f aca="false">IF($D181="","",ROUND($C181-$D181,2))</f>
        <v/>
      </c>
      <c r="F181" s="38" t="str">
        <f aca="false">IF($A181&amp;$B181="","",IF(COUNTIF(门店对照!$A$2:$A$66,$A181)=0,"× 门店编码不对",IF(COUNTIF(科目对照收入!$B$2:$B$23,$B181)=0,"× 渠道名不对",IF(INDEX(科目对照收入!$E$2:$E$23,MATCH($B181,科目对照收入!$B$2:$B$23,0))&lt;&gt;"平台优先","× 该项目不按平台金额",IF(COUNTIFS($A$2:$A$601,$A181,$B$2:$B$601,$B181)&gt;1,"× 同店同渠道重复","√")))))</f>
        <v/>
      </c>
    </row>
    <row r="182" customFormat="false" ht="13.5" hidden="false" customHeight="false" outlineLevel="0" collapsed="false">
      <c r="A182" s="35"/>
      <c r="B182" s="35"/>
      <c r="C182" s="37"/>
      <c r="D182" s="15" t="str">
        <f aca="false">IF(OR($A182="",$B182=""),"",ROUND(IFERROR(INDEX(海典汇总!$C$3:$AE$67,MATCH($A182,海典汇总!$A$3:$A$67,0),MATCH(INDEX(科目对照收入!$F$2:$F$23,MATCH($B182,科目对照收入!$B$2:$B$23,0)),海典汇总!$C$1:$AE$1,0)),0)+IFERROR(INDEX(海典汇总!$C$3:$AE$67,MATCH($A182,海典汇总!$A$3:$A$67,0),MATCH(INDEX(科目对照收入!$G$2:$G$23,MATCH($B182,科目对照收入!$B$2:$B$23,0)),海典汇总!$C$1:$AE$1,0)),0)+IFERROR(INDEX(海典汇总!$C$3:$AE$67,MATCH($A182,海典汇总!$A$3:$A$67,0),MATCH(INDEX(科目对照收入!$H$2:$H$23,MATCH($B182,科目对照收入!$B$2:$B$23,0)),海典汇总!$C$1:$AE$1,0)),0),2))</f>
        <v/>
      </c>
      <c r="E182" s="15" t="str">
        <f aca="false">IF($D182="","",ROUND($C182-$D182,2))</f>
        <v/>
      </c>
      <c r="F182" s="38" t="str">
        <f aca="false">IF($A182&amp;$B182="","",IF(COUNTIF(门店对照!$A$2:$A$66,$A182)=0,"× 门店编码不对",IF(COUNTIF(科目对照收入!$B$2:$B$23,$B182)=0,"× 渠道名不对",IF(INDEX(科目对照收入!$E$2:$E$23,MATCH($B182,科目对照收入!$B$2:$B$23,0))&lt;&gt;"平台优先","× 该项目不按平台金额",IF(COUNTIFS($A$2:$A$601,$A182,$B$2:$B$601,$B182)&gt;1,"× 同店同渠道重复","√")))))</f>
        <v/>
      </c>
    </row>
    <row r="183" customFormat="false" ht="13.5" hidden="false" customHeight="false" outlineLevel="0" collapsed="false">
      <c r="A183" s="35"/>
      <c r="B183" s="35"/>
      <c r="C183" s="37"/>
      <c r="D183" s="15" t="str">
        <f aca="false">IF(OR($A183="",$B183=""),"",ROUND(IFERROR(INDEX(海典汇总!$C$3:$AE$67,MATCH($A183,海典汇总!$A$3:$A$67,0),MATCH(INDEX(科目对照收入!$F$2:$F$23,MATCH($B183,科目对照收入!$B$2:$B$23,0)),海典汇总!$C$1:$AE$1,0)),0)+IFERROR(INDEX(海典汇总!$C$3:$AE$67,MATCH($A183,海典汇总!$A$3:$A$67,0),MATCH(INDEX(科目对照收入!$G$2:$G$23,MATCH($B183,科目对照收入!$B$2:$B$23,0)),海典汇总!$C$1:$AE$1,0)),0)+IFERROR(INDEX(海典汇总!$C$3:$AE$67,MATCH($A183,海典汇总!$A$3:$A$67,0),MATCH(INDEX(科目对照收入!$H$2:$H$23,MATCH($B183,科目对照收入!$B$2:$B$23,0)),海典汇总!$C$1:$AE$1,0)),0),2))</f>
        <v/>
      </c>
      <c r="E183" s="15" t="str">
        <f aca="false">IF($D183="","",ROUND($C183-$D183,2))</f>
        <v/>
      </c>
      <c r="F183" s="38" t="str">
        <f aca="false">IF($A183&amp;$B183="","",IF(COUNTIF(门店对照!$A$2:$A$66,$A183)=0,"× 门店编码不对",IF(COUNTIF(科目对照收入!$B$2:$B$23,$B183)=0,"× 渠道名不对",IF(INDEX(科目对照收入!$E$2:$E$23,MATCH($B183,科目对照收入!$B$2:$B$23,0))&lt;&gt;"平台优先","× 该项目不按平台金额",IF(COUNTIFS($A$2:$A$601,$A183,$B$2:$B$601,$B183)&gt;1,"× 同店同渠道重复","√")))))</f>
        <v/>
      </c>
    </row>
    <row r="184" customFormat="false" ht="13.5" hidden="false" customHeight="false" outlineLevel="0" collapsed="false">
      <c r="A184" s="35"/>
      <c r="B184" s="35"/>
      <c r="C184" s="37"/>
      <c r="D184" s="15" t="str">
        <f aca="false">IF(OR($A184="",$B184=""),"",ROUND(IFERROR(INDEX(海典汇总!$C$3:$AE$67,MATCH($A184,海典汇总!$A$3:$A$67,0),MATCH(INDEX(科目对照收入!$F$2:$F$23,MATCH($B184,科目对照收入!$B$2:$B$23,0)),海典汇总!$C$1:$AE$1,0)),0)+IFERROR(INDEX(海典汇总!$C$3:$AE$67,MATCH($A184,海典汇总!$A$3:$A$67,0),MATCH(INDEX(科目对照收入!$G$2:$G$23,MATCH($B184,科目对照收入!$B$2:$B$23,0)),海典汇总!$C$1:$AE$1,0)),0)+IFERROR(INDEX(海典汇总!$C$3:$AE$67,MATCH($A184,海典汇总!$A$3:$A$67,0),MATCH(INDEX(科目对照收入!$H$2:$H$23,MATCH($B184,科目对照收入!$B$2:$B$23,0)),海典汇总!$C$1:$AE$1,0)),0),2))</f>
        <v/>
      </c>
      <c r="E184" s="15" t="str">
        <f aca="false">IF($D184="","",ROUND($C184-$D184,2))</f>
        <v/>
      </c>
      <c r="F184" s="38" t="str">
        <f aca="false">IF($A184&amp;$B184="","",IF(COUNTIF(门店对照!$A$2:$A$66,$A184)=0,"× 门店编码不对",IF(COUNTIF(科目对照收入!$B$2:$B$23,$B184)=0,"× 渠道名不对",IF(INDEX(科目对照收入!$E$2:$E$23,MATCH($B184,科目对照收入!$B$2:$B$23,0))&lt;&gt;"平台优先","× 该项目不按平台金额",IF(COUNTIFS($A$2:$A$601,$A184,$B$2:$B$601,$B184)&gt;1,"× 同店同渠道重复","√")))))</f>
        <v/>
      </c>
    </row>
    <row r="185" customFormat="false" ht="13.5" hidden="false" customHeight="false" outlineLevel="0" collapsed="false">
      <c r="A185" s="35"/>
      <c r="B185" s="35"/>
      <c r="C185" s="37"/>
      <c r="D185" s="15" t="str">
        <f aca="false">IF(OR($A185="",$B185=""),"",ROUND(IFERROR(INDEX(海典汇总!$C$3:$AE$67,MATCH($A185,海典汇总!$A$3:$A$67,0),MATCH(INDEX(科目对照收入!$F$2:$F$23,MATCH($B185,科目对照收入!$B$2:$B$23,0)),海典汇总!$C$1:$AE$1,0)),0)+IFERROR(INDEX(海典汇总!$C$3:$AE$67,MATCH($A185,海典汇总!$A$3:$A$67,0),MATCH(INDEX(科目对照收入!$G$2:$G$23,MATCH($B185,科目对照收入!$B$2:$B$23,0)),海典汇总!$C$1:$AE$1,0)),0)+IFERROR(INDEX(海典汇总!$C$3:$AE$67,MATCH($A185,海典汇总!$A$3:$A$67,0),MATCH(INDEX(科目对照收入!$H$2:$H$23,MATCH($B185,科目对照收入!$B$2:$B$23,0)),海典汇总!$C$1:$AE$1,0)),0),2))</f>
        <v/>
      </c>
      <c r="E185" s="15" t="str">
        <f aca="false">IF($D185="","",ROUND($C185-$D185,2))</f>
        <v/>
      </c>
      <c r="F185" s="38" t="str">
        <f aca="false">IF($A185&amp;$B185="","",IF(COUNTIF(门店对照!$A$2:$A$66,$A185)=0,"× 门店编码不对",IF(COUNTIF(科目对照收入!$B$2:$B$23,$B185)=0,"× 渠道名不对",IF(INDEX(科目对照收入!$E$2:$E$23,MATCH($B185,科目对照收入!$B$2:$B$23,0))&lt;&gt;"平台优先","× 该项目不按平台金额",IF(COUNTIFS($A$2:$A$601,$A185,$B$2:$B$601,$B185)&gt;1,"× 同店同渠道重复","√")))))</f>
        <v/>
      </c>
    </row>
    <row r="186" customFormat="false" ht="13.5" hidden="false" customHeight="false" outlineLevel="0" collapsed="false">
      <c r="A186" s="35"/>
      <c r="B186" s="35"/>
      <c r="C186" s="37"/>
      <c r="D186" s="15" t="str">
        <f aca="false">IF(OR($A186="",$B186=""),"",ROUND(IFERROR(INDEX(海典汇总!$C$3:$AE$67,MATCH($A186,海典汇总!$A$3:$A$67,0),MATCH(INDEX(科目对照收入!$F$2:$F$23,MATCH($B186,科目对照收入!$B$2:$B$23,0)),海典汇总!$C$1:$AE$1,0)),0)+IFERROR(INDEX(海典汇总!$C$3:$AE$67,MATCH($A186,海典汇总!$A$3:$A$67,0),MATCH(INDEX(科目对照收入!$G$2:$G$23,MATCH($B186,科目对照收入!$B$2:$B$23,0)),海典汇总!$C$1:$AE$1,0)),0)+IFERROR(INDEX(海典汇总!$C$3:$AE$67,MATCH($A186,海典汇总!$A$3:$A$67,0),MATCH(INDEX(科目对照收入!$H$2:$H$23,MATCH($B186,科目对照收入!$B$2:$B$23,0)),海典汇总!$C$1:$AE$1,0)),0),2))</f>
        <v/>
      </c>
      <c r="E186" s="15" t="str">
        <f aca="false">IF($D186="","",ROUND($C186-$D186,2))</f>
        <v/>
      </c>
      <c r="F186" s="38" t="str">
        <f aca="false">IF($A186&amp;$B186="","",IF(COUNTIF(门店对照!$A$2:$A$66,$A186)=0,"× 门店编码不对",IF(COUNTIF(科目对照收入!$B$2:$B$23,$B186)=0,"× 渠道名不对",IF(INDEX(科目对照收入!$E$2:$E$23,MATCH($B186,科目对照收入!$B$2:$B$23,0))&lt;&gt;"平台优先","× 该项目不按平台金额",IF(COUNTIFS($A$2:$A$601,$A186,$B$2:$B$601,$B186)&gt;1,"× 同店同渠道重复","√")))))</f>
        <v/>
      </c>
    </row>
    <row r="187" customFormat="false" ht="13.5" hidden="false" customHeight="false" outlineLevel="0" collapsed="false">
      <c r="A187" s="35"/>
      <c r="B187" s="35"/>
      <c r="C187" s="37"/>
      <c r="D187" s="15" t="str">
        <f aca="false">IF(OR($A187="",$B187=""),"",ROUND(IFERROR(INDEX(海典汇总!$C$3:$AE$67,MATCH($A187,海典汇总!$A$3:$A$67,0),MATCH(INDEX(科目对照收入!$F$2:$F$23,MATCH($B187,科目对照收入!$B$2:$B$23,0)),海典汇总!$C$1:$AE$1,0)),0)+IFERROR(INDEX(海典汇总!$C$3:$AE$67,MATCH($A187,海典汇总!$A$3:$A$67,0),MATCH(INDEX(科目对照收入!$G$2:$G$23,MATCH($B187,科目对照收入!$B$2:$B$23,0)),海典汇总!$C$1:$AE$1,0)),0)+IFERROR(INDEX(海典汇总!$C$3:$AE$67,MATCH($A187,海典汇总!$A$3:$A$67,0),MATCH(INDEX(科目对照收入!$H$2:$H$23,MATCH($B187,科目对照收入!$B$2:$B$23,0)),海典汇总!$C$1:$AE$1,0)),0),2))</f>
        <v/>
      </c>
      <c r="E187" s="15" t="str">
        <f aca="false">IF($D187="","",ROUND($C187-$D187,2))</f>
        <v/>
      </c>
      <c r="F187" s="38" t="str">
        <f aca="false">IF($A187&amp;$B187="","",IF(COUNTIF(门店对照!$A$2:$A$66,$A187)=0,"× 门店编码不对",IF(COUNTIF(科目对照收入!$B$2:$B$23,$B187)=0,"× 渠道名不对",IF(INDEX(科目对照收入!$E$2:$E$23,MATCH($B187,科目对照收入!$B$2:$B$23,0))&lt;&gt;"平台优先","× 该项目不按平台金额",IF(COUNTIFS($A$2:$A$601,$A187,$B$2:$B$601,$B187)&gt;1,"× 同店同渠道重复","√")))))</f>
        <v/>
      </c>
    </row>
    <row r="188" customFormat="false" ht="13.5" hidden="false" customHeight="false" outlineLevel="0" collapsed="false">
      <c r="A188" s="35"/>
      <c r="B188" s="35"/>
      <c r="C188" s="37"/>
      <c r="D188" s="15" t="str">
        <f aca="false">IF(OR($A188="",$B188=""),"",ROUND(IFERROR(INDEX(海典汇总!$C$3:$AE$67,MATCH($A188,海典汇总!$A$3:$A$67,0),MATCH(INDEX(科目对照收入!$F$2:$F$23,MATCH($B188,科目对照收入!$B$2:$B$23,0)),海典汇总!$C$1:$AE$1,0)),0)+IFERROR(INDEX(海典汇总!$C$3:$AE$67,MATCH($A188,海典汇总!$A$3:$A$67,0),MATCH(INDEX(科目对照收入!$G$2:$G$23,MATCH($B188,科目对照收入!$B$2:$B$23,0)),海典汇总!$C$1:$AE$1,0)),0)+IFERROR(INDEX(海典汇总!$C$3:$AE$67,MATCH($A188,海典汇总!$A$3:$A$67,0),MATCH(INDEX(科目对照收入!$H$2:$H$23,MATCH($B188,科目对照收入!$B$2:$B$23,0)),海典汇总!$C$1:$AE$1,0)),0),2))</f>
        <v/>
      </c>
      <c r="E188" s="15" t="str">
        <f aca="false">IF($D188="","",ROUND($C188-$D188,2))</f>
        <v/>
      </c>
      <c r="F188" s="38" t="str">
        <f aca="false">IF($A188&amp;$B188="","",IF(COUNTIF(门店对照!$A$2:$A$66,$A188)=0,"× 门店编码不对",IF(COUNTIF(科目对照收入!$B$2:$B$23,$B188)=0,"× 渠道名不对",IF(INDEX(科目对照收入!$E$2:$E$23,MATCH($B188,科目对照收入!$B$2:$B$23,0))&lt;&gt;"平台优先","× 该项目不按平台金额",IF(COUNTIFS($A$2:$A$601,$A188,$B$2:$B$601,$B188)&gt;1,"× 同店同渠道重复","√")))))</f>
        <v/>
      </c>
    </row>
    <row r="189" customFormat="false" ht="13.5" hidden="false" customHeight="false" outlineLevel="0" collapsed="false">
      <c r="A189" s="35"/>
      <c r="B189" s="35"/>
      <c r="C189" s="37"/>
      <c r="D189" s="15" t="str">
        <f aca="false">IF(OR($A189="",$B189=""),"",ROUND(IFERROR(INDEX(海典汇总!$C$3:$AE$67,MATCH($A189,海典汇总!$A$3:$A$67,0),MATCH(INDEX(科目对照收入!$F$2:$F$23,MATCH($B189,科目对照收入!$B$2:$B$23,0)),海典汇总!$C$1:$AE$1,0)),0)+IFERROR(INDEX(海典汇总!$C$3:$AE$67,MATCH($A189,海典汇总!$A$3:$A$67,0),MATCH(INDEX(科目对照收入!$G$2:$G$23,MATCH($B189,科目对照收入!$B$2:$B$23,0)),海典汇总!$C$1:$AE$1,0)),0)+IFERROR(INDEX(海典汇总!$C$3:$AE$67,MATCH($A189,海典汇总!$A$3:$A$67,0),MATCH(INDEX(科目对照收入!$H$2:$H$23,MATCH($B189,科目对照收入!$B$2:$B$23,0)),海典汇总!$C$1:$AE$1,0)),0),2))</f>
        <v/>
      </c>
      <c r="E189" s="15" t="str">
        <f aca="false">IF($D189="","",ROUND($C189-$D189,2))</f>
        <v/>
      </c>
      <c r="F189" s="38" t="str">
        <f aca="false">IF($A189&amp;$B189="","",IF(COUNTIF(门店对照!$A$2:$A$66,$A189)=0,"× 门店编码不对",IF(COUNTIF(科目对照收入!$B$2:$B$23,$B189)=0,"× 渠道名不对",IF(INDEX(科目对照收入!$E$2:$E$23,MATCH($B189,科目对照收入!$B$2:$B$23,0))&lt;&gt;"平台优先","× 该项目不按平台金额",IF(COUNTIFS($A$2:$A$601,$A189,$B$2:$B$601,$B189)&gt;1,"× 同店同渠道重复","√")))))</f>
        <v/>
      </c>
    </row>
    <row r="190" customFormat="false" ht="13.5" hidden="false" customHeight="false" outlineLevel="0" collapsed="false">
      <c r="A190" s="35"/>
      <c r="B190" s="35"/>
      <c r="C190" s="37"/>
      <c r="D190" s="15" t="str">
        <f aca="false">IF(OR($A190="",$B190=""),"",ROUND(IFERROR(INDEX(海典汇总!$C$3:$AE$67,MATCH($A190,海典汇总!$A$3:$A$67,0),MATCH(INDEX(科目对照收入!$F$2:$F$23,MATCH($B190,科目对照收入!$B$2:$B$23,0)),海典汇总!$C$1:$AE$1,0)),0)+IFERROR(INDEX(海典汇总!$C$3:$AE$67,MATCH($A190,海典汇总!$A$3:$A$67,0),MATCH(INDEX(科目对照收入!$G$2:$G$23,MATCH($B190,科目对照收入!$B$2:$B$23,0)),海典汇总!$C$1:$AE$1,0)),0)+IFERROR(INDEX(海典汇总!$C$3:$AE$67,MATCH($A190,海典汇总!$A$3:$A$67,0),MATCH(INDEX(科目对照收入!$H$2:$H$23,MATCH($B190,科目对照收入!$B$2:$B$23,0)),海典汇总!$C$1:$AE$1,0)),0),2))</f>
        <v/>
      </c>
      <c r="E190" s="15" t="str">
        <f aca="false">IF($D190="","",ROUND($C190-$D190,2))</f>
        <v/>
      </c>
      <c r="F190" s="38" t="str">
        <f aca="false">IF($A190&amp;$B190="","",IF(COUNTIF(门店对照!$A$2:$A$66,$A190)=0,"× 门店编码不对",IF(COUNTIF(科目对照收入!$B$2:$B$23,$B190)=0,"× 渠道名不对",IF(INDEX(科目对照收入!$E$2:$E$23,MATCH($B190,科目对照收入!$B$2:$B$23,0))&lt;&gt;"平台优先","× 该项目不按平台金额",IF(COUNTIFS($A$2:$A$601,$A190,$B$2:$B$601,$B190)&gt;1,"× 同店同渠道重复","√")))))</f>
        <v/>
      </c>
    </row>
    <row r="191" customFormat="false" ht="13.5" hidden="false" customHeight="false" outlineLevel="0" collapsed="false">
      <c r="A191" s="35"/>
      <c r="B191" s="35"/>
      <c r="C191" s="37"/>
      <c r="D191" s="15" t="str">
        <f aca="false">IF(OR($A191="",$B191=""),"",ROUND(IFERROR(INDEX(海典汇总!$C$3:$AE$67,MATCH($A191,海典汇总!$A$3:$A$67,0),MATCH(INDEX(科目对照收入!$F$2:$F$23,MATCH($B191,科目对照收入!$B$2:$B$23,0)),海典汇总!$C$1:$AE$1,0)),0)+IFERROR(INDEX(海典汇总!$C$3:$AE$67,MATCH($A191,海典汇总!$A$3:$A$67,0),MATCH(INDEX(科目对照收入!$G$2:$G$23,MATCH($B191,科目对照收入!$B$2:$B$23,0)),海典汇总!$C$1:$AE$1,0)),0)+IFERROR(INDEX(海典汇总!$C$3:$AE$67,MATCH($A191,海典汇总!$A$3:$A$67,0),MATCH(INDEX(科目对照收入!$H$2:$H$23,MATCH($B191,科目对照收入!$B$2:$B$23,0)),海典汇总!$C$1:$AE$1,0)),0),2))</f>
        <v/>
      </c>
      <c r="E191" s="15" t="str">
        <f aca="false">IF($D191="","",ROUND($C191-$D191,2))</f>
        <v/>
      </c>
      <c r="F191" s="38" t="str">
        <f aca="false">IF($A191&amp;$B191="","",IF(COUNTIF(门店对照!$A$2:$A$66,$A191)=0,"× 门店编码不对",IF(COUNTIF(科目对照收入!$B$2:$B$23,$B191)=0,"× 渠道名不对",IF(INDEX(科目对照收入!$E$2:$E$23,MATCH($B191,科目对照收入!$B$2:$B$23,0))&lt;&gt;"平台优先","× 该项目不按平台金额",IF(COUNTIFS($A$2:$A$601,$A191,$B$2:$B$601,$B191)&gt;1,"× 同店同渠道重复","√")))))</f>
        <v/>
      </c>
    </row>
    <row r="192" customFormat="false" ht="13.5" hidden="false" customHeight="false" outlineLevel="0" collapsed="false">
      <c r="A192" s="35"/>
      <c r="B192" s="35"/>
      <c r="C192" s="37"/>
      <c r="D192" s="15" t="str">
        <f aca="false">IF(OR($A192="",$B192=""),"",ROUND(IFERROR(INDEX(海典汇总!$C$3:$AE$67,MATCH($A192,海典汇总!$A$3:$A$67,0),MATCH(INDEX(科目对照收入!$F$2:$F$23,MATCH($B192,科目对照收入!$B$2:$B$23,0)),海典汇总!$C$1:$AE$1,0)),0)+IFERROR(INDEX(海典汇总!$C$3:$AE$67,MATCH($A192,海典汇总!$A$3:$A$67,0),MATCH(INDEX(科目对照收入!$G$2:$G$23,MATCH($B192,科目对照收入!$B$2:$B$23,0)),海典汇总!$C$1:$AE$1,0)),0)+IFERROR(INDEX(海典汇总!$C$3:$AE$67,MATCH($A192,海典汇总!$A$3:$A$67,0),MATCH(INDEX(科目对照收入!$H$2:$H$23,MATCH($B192,科目对照收入!$B$2:$B$23,0)),海典汇总!$C$1:$AE$1,0)),0),2))</f>
        <v/>
      </c>
      <c r="E192" s="15" t="str">
        <f aca="false">IF($D192="","",ROUND($C192-$D192,2))</f>
        <v/>
      </c>
      <c r="F192" s="38" t="str">
        <f aca="false">IF($A192&amp;$B192="","",IF(COUNTIF(门店对照!$A$2:$A$66,$A192)=0,"× 门店编码不对",IF(COUNTIF(科目对照收入!$B$2:$B$23,$B192)=0,"× 渠道名不对",IF(INDEX(科目对照收入!$E$2:$E$23,MATCH($B192,科目对照收入!$B$2:$B$23,0))&lt;&gt;"平台优先","× 该项目不按平台金额",IF(COUNTIFS($A$2:$A$601,$A192,$B$2:$B$601,$B192)&gt;1,"× 同店同渠道重复","√")))))</f>
        <v/>
      </c>
    </row>
    <row r="193" customFormat="false" ht="13.5" hidden="false" customHeight="false" outlineLevel="0" collapsed="false">
      <c r="A193" s="35"/>
      <c r="B193" s="35"/>
      <c r="C193" s="37"/>
      <c r="D193" s="15" t="str">
        <f aca="false">IF(OR($A193="",$B193=""),"",ROUND(IFERROR(INDEX(海典汇总!$C$3:$AE$67,MATCH($A193,海典汇总!$A$3:$A$67,0),MATCH(INDEX(科目对照收入!$F$2:$F$23,MATCH($B193,科目对照收入!$B$2:$B$23,0)),海典汇总!$C$1:$AE$1,0)),0)+IFERROR(INDEX(海典汇总!$C$3:$AE$67,MATCH($A193,海典汇总!$A$3:$A$67,0),MATCH(INDEX(科目对照收入!$G$2:$G$23,MATCH($B193,科目对照收入!$B$2:$B$23,0)),海典汇总!$C$1:$AE$1,0)),0)+IFERROR(INDEX(海典汇总!$C$3:$AE$67,MATCH($A193,海典汇总!$A$3:$A$67,0),MATCH(INDEX(科目对照收入!$H$2:$H$23,MATCH($B193,科目对照收入!$B$2:$B$23,0)),海典汇总!$C$1:$AE$1,0)),0),2))</f>
        <v/>
      </c>
      <c r="E193" s="15" t="str">
        <f aca="false">IF($D193="","",ROUND($C193-$D193,2))</f>
        <v/>
      </c>
      <c r="F193" s="38" t="str">
        <f aca="false">IF($A193&amp;$B193="","",IF(COUNTIF(门店对照!$A$2:$A$66,$A193)=0,"× 门店编码不对",IF(COUNTIF(科目对照收入!$B$2:$B$23,$B193)=0,"× 渠道名不对",IF(INDEX(科目对照收入!$E$2:$E$23,MATCH($B193,科目对照收入!$B$2:$B$23,0))&lt;&gt;"平台优先","× 该项目不按平台金额",IF(COUNTIFS($A$2:$A$601,$A193,$B$2:$B$601,$B193)&gt;1,"× 同店同渠道重复","√")))))</f>
        <v/>
      </c>
    </row>
    <row r="194" customFormat="false" ht="13.5" hidden="false" customHeight="false" outlineLevel="0" collapsed="false">
      <c r="A194" s="35"/>
      <c r="B194" s="35"/>
      <c r="C194" s="37"/>
      <c r="D194" s="15" t="str">
        <f aca="false">IF(OR($A194="",$B194=""),"",ROUND(IFERROR(INDEX(海典汇总!$C$3:$AE$67,MATCH($A194,海典汇总!$A$3:$A$67,0),MATCH(INDEX(科目对照收入!$F$2:$F$23,MATCH($B194,科目对照收入!$B$2:$B$23,0)),海典汇总!$C$1:$AE$1,0)),0)+IFERROR(INDEX(海典汇总!$C$3:$AE$67,MATCH($A194,海典汇总!$A$3:$A$67,0),MATCH(INDEX(科目对照收入!$G$2:$G$23,MATCH($B194,科目对照收入!$B$2:$B$23,0)),海典汇总!$C$1:$AE$1,0)),0)+IFERROR(INDEX(海典汇总!$C$3:$AE$67,MATCH($A194,海典汇总!$A$3:$A$67,0),MATCH(INDEX(科目对照收入!$H$2:$H$23,MATCH($B194,科目对照收入!$B$2:$B$23,0)),海典汇总!$C$1:$AE$1,0)),0),2))</f>
        <v/>
      </c>
      <c r="E194" s="15" t="str">
        <f aca="false">IF($D194="","",ROUND($C194-$D194,2))</f>
        <v/>
      </c>
      <c r="F194" s="38" t="str">
        <f aca="false">IF($A194&amp;$B194="","",IF(COUNTIF(门店对照!$A$2:$A$66,$A194)=0,"× 门店编码不对",IF(COUNTIF(科目对照收入!$B$2:$B$23,$B194)=0,"× 渠道名不对",IF(INDEX(科目对照收入!$E$2:$E$23,MATCH($B194,科目对照收入!$B$2:$B$23,0))&lt;&gt;"平台优先","× 该项目不按平台金额",IF(COUNTIFS($A$2:$A$601,$A194,$B$2:$B$601,$B194)&gt;1,"× 同店同渠道重复","√")))))</f>
        <v/>
      </c>
    </row>
    <row r="195" customFormat="false" ht="13.5" hidden="false" customHeight="false" outlineLevel="0" collapsed="false">
      <c r="A195" s="35"/>
      <c r="B195" s="35"/>
      <c r="C195" s="37"/>
      <c r="D195" s="15" t="str">
        <f aca="false">IF(OR($A195="",$B195=""),"",ROUND(IFERROR(INDEX(海典汇总!$C$3:$AE$67,MATCH($A195,海典汇总!$A$3:$A$67,0),MATCH(INDEX(科目对照收入!$F$2:$F$23,MATCH($B195,科目对照收入!$B$2:$B$23,0)),海典汇总!$C$1:$AE$1,0)),0)+IFERROR(INDEX(海典汇总!$C$3:$AE$67,MATCH($A195,海典汇总!$A$3:$A$67,0),MATCH(INDEX(科目对照收入!$G$2:$G$23,MATCH($B195,科目对照收入!$B$2:$B$23,0)),海典汇总!$C$1:$AE$1,0)),0)+IFERROR(INDEX(海典汇总!$C$3:$AE$67,MATCH($A195,海典汇总!$A$3:$A$67,0),MATCH(INDEX(科目对照收入!$H$2:$H$23,MATCH($B195,科目对照收入!$B$2:$B$23,0)),海典汇总!$C$1:$AE$1,0)),0),2))</f>
        <v/>
      </c>
      <c r="E195" s="15" t="str">
        <f aca="false">IF($D195="","",ROUND($C195-$D195,2))</f>
        <v/>
      </c>
      <c r="F195" s="38" t="str">
        <f aca="false">IF($A195&amp;$B195="","",IF(COUNTIF(门店对照!$A$2:$A$66,$A195)=0,"× 门店编码不对",IF(COUNTIF(科目对照收入!$B$2:$B$23,$B195)=0,"× 渠道名不对",IF(INDEX(科目对照收入!$E$2:$E$23,MATCH($B195,科目对照收入!$B$2:$B$23,0))&lt;&gt;"平台优先","× 该项目不按平台金额",IF(COUNTIFS($A$2:$A$601,$A195,$B$2:$B$601,$B195)&gt;1,"× 同店同渠道重复","√")))))</f>
        <v/>
      </c>
    </row>
    <row r="196" customFormat="false" ht="13.5" hidden="false" customHeight="false" outlineLevel="0" collapsed="false">
      <c r="A196" s="35"/>
      <c r="B196" s="35"/>
      <c r="C196" s="37"/>
      <c r="D196" s="15" t="str">
        <f aca="false">IF(OR($A196="",$B196=""),"",ROUND(IFERROR(INDEX(海典汇总!$C$3:$AE$67,MATCH($A196,海典汇总!$A$3:$A$67,0),MATCH(INDEX(科目对照收入!$F$2:$F$23,MATCH($B196,科目对照收入!$B$2:$B$23,0)),海典汇总!$C$1:$AE$1,0)),0)+IFERROR(INDEX(海典汇总!$C$3:$AE$67,MATCH($A196,海典汇总!$A$3:$A$67,0),MATCH(INDEX(科目对照收入!$G$2:$G$23,MATCH($B196,科目对照收入!$B$2:$B$23,0)),海典汇总!$C$1:$AE$1,0)),0)+IFERROR(INDEX(海典汇总!$C$3:$AE$67,MATCH($A196,海典汇总!$A$3:$A$67,0),MATCH(INDEX(科目对照收入!$H$2:$H$23,MATCH($B196,科目对照收入!$B$2:$B$23,0)),海典汇总!$C$1:$AE$1,0)),0),2))</f>
        <v/>
      </c>
      <c r="E196" s="15" t="str">
        <f aca="false">IF($D196="","",ROUND($C196-$D196,2))</f>
        <v/>
      </c>
      <c r="F196" s="38" t="str">
        <f aca="false">IF($A196&amp;$B196="","",IF(COUNTIF(门店对照!$A$2:$A$66,$A196)=0,"× 门店编码不对",IF(COUNTIF(科目对照收入!$B$2:$B$23,$B196)=0,"× 渠道名不对",IF(INDEX(科目对照收入!$E$2:$E$23,MATCH($B196,科目对照收入!$B$2:$B$23,0))&lt;&gt;"平台优先","× 该项目不按平台金额",IF(COUNTIFS($A$2:$A$601,$A196,$B$2:$B$601,$B196)&gt;1,"× 同店同渠道重复","√")))))</f>
        <v/>
      </c>
    </row>
    <row r="197" customFormat="false" ht="13.5" hidden="false" customHeight="false" outlineLevel="0" collapsed="false">
      <c r="A197" s="35"/>
      <c r="B197" s="35"/>
      <c r="C197" s="37"/>
      <c r="D197" s="15" t="str">
        <f aca="false">IF(OR($A197="",$B197=""),"",ROUND(IFERROR(INDEX(海典汇总!$C$3:$AE$67,MATCH($A197,海典汇总!$A$3:$A$67,0),MATCH(INDEX(科目对照收入!$F$2:$F$23,MATCH($B197,科目对照收入!$B$2:$B$23,0)),海典汇总!$C$1:$AE$1,0)),0)+IFERROR(INDEX(海典汇总!$C$3:$AE$67,MATCH($A197,海典汇总!$A$3:$A$67,0),MATCH(INDEX(科目对照收入!$G$2:$G$23,MATCH($B197,科目对照收入!$B$2:$B$23,0)),海典汇总!$C$1:$AE$1,0)),0)+IFERROR(INDEX(海典汇总!$C$3:$AE$67,MATCH($A197,海典汇总!$A$3:$A$67,0),MATCH(INDEX(科目对照收入!$H$2:$H$23,MATCH($B197,科目对照收入!$B$2:$B$23,0)),海典汇总!$C$1:$AE$1,0)),0),2))</f>
        <v/>
      </c>
      <c r="E197" s="15" t="str">
        <f aca="false">IF($D197="","",ROUND($C197-$D197,2))</f>
        <v/>
      </c>
      <c r="F197" s="38" t="str">
        <f aca="false">IF($A197&amp;$B197="","",IF(COUNTIF(门店对照!$A$2:$A$66,$A197)=0,"× 门店编码不对",IF(COUNTIF(科目对照收入!$B$2:$B$23,$B197)=0,"× 渠道名不对",IF(INDEX(科目对照收入!$E$2:$E$23,MATCH($B197,科目对照收入!$B$2:$B$23,0))&lt;&gt;"平台优先","× 该项目不按平台金额",IF(COUNTIFS($A$2:$A$601,$A197,$B$2:$B$601,$B197)&gt;1,"× 同店同渠道重复","√")))))</f>
        <v/>
      </c>
    </row>
    <row r="198" customFormat="false" ht="13.5" hidden="false" customHeight="false" outlineLevel="0" collapsed="false">
      <c r="A198" s="35"/>
      <c r="B198" s="35"/>
      <c r="C198" s="37"/>
      <c r="D198" s="15" t="str">
        <f aca="false">IF(OR($A198="",$B198=""),"",ROUND(IFERROR(INDEX(海典汇总!$C$3:$AE$67,MATCH($A198,海典汇总!$A$3:$A$67,0),MATCH(INDEX(科目对照收入!$F$2:$F$23,MATCH($B198,科目对照收入!$B$2:$B$23,0)),海典汇总!$C$1:$AE$1,0)),0)+IFERROR(INDEX(海典汇总!$C$3:$AE$67,MATCH($A198,海典汇总!$A$3:$A$67,0),MATCH(INDEX(科目对照收入!$G$2:$G$23,MATCH($B198,科目对照收入!$B$2:$B$23,0)),海典汇总!$C$1:$AE$1,0)),0)+IFERROR(INDEX(海典汇总!$C$3:$AE$67,MATCH($A198,海典汇总!$A$3:$A$67,0),MATCH(INDEX(科目对照收入!$H$2:$H$23,MATCH($B198,科目对照收入!$B$2:$B$23,0)),海典汇总!$C$1:$AE$1,0)),0),2))</f>
        <v/>
      </c>
      <c r="E198" s="15" t="str">
        <f aca="false">IF($D198="","",ROUND($C198-$D198,2))</f>
        <v/>
      </c>
      <c r="F198" s="38" t="str">
        <f aca="false">IF($A198&amp;$B198="","",IF(COUNTIF(门店对照!$A$2:$A$66,$A198)=0,"× 门店编码不对",IF(COUNTIF(科目对照收入!$B$2:$B$23,$B198)=0,"× 渠道名不对",IF(INDEX(科目对照收入!$E$2:$E$23,MATCH($B198,科目对照收入!$B$2:$B$23,0))&lt;&gt;"平台优先","× 该项目不按平台金额",IF(COUNTIFS($A$2:$A$601,$A198,$B$2:$B$601,$B198)&gt;1,"× 同店同渠道重复","√")))))</f>
        <v/>
      </c>
    </row>
    <row r="199" customFormat="false" ht="13.5" hidden="false" customHeight="false" outlineLevel="0" collapsed="false">
      <c r="A199" s="35"/>
      <c r="B199" s="35"/>
      <c r="C199" s="37"/>
      <c r="D199" s="15" t="str">
        <f aca="false">IF(OR($A199="",$B199=""),"",ROUND(IFERROR(INDEX(海典汇总!$C$3:$AE$67,MATCH($A199,海典汇总!$A$3:$A$67,0),MATCH(INDEX(科目对照收入!$F$2:$F$23,MATCH($B199,科目对照收入!$B$2:$B$23,0)),海典汇总!$C$1:$AE$1,0)),0)+IFERROR(INDEX(海典汇总!$C$3:$AE$67,MATCH($A199,海典汇总!$A$3:$A$67,0),MATCH(INDEX(科目对照收入!$G$2:$G$23,MATCH($B199,科目对照收入!$B$2:$B$23,0)),海典汇总!$C$1:$AE$1,0)),0)+IFERROR(INDEX(海典汇总!$C$3:$AE$67,MATCH($A199,海典汇总!$A$3:$A$67,0),MATCH(INDEX(科目对照收入!$H$2:$H$23,MATCH($B199,科目对照收入!$B$2:$B$23,0)),海典汇总!$C$1:$AE$1,0)),0),2))</f>
        <v/>
      </c>
      <c r="E199" s="15" t="str">
        <f aca="false">IF($D199="","",ROUND($C199-$D199,2))</f>
        <v/>
      </c>
      <c r="F199" s="38" t="str">
        <f aca="false">IF($A199&amp;$B199="","",IF(COUNTIF(门店对照!$A$2:$A$66,$A199)=0,"× 门店编码不对",IF(COUNTIF(科目对照收入!$B$2:$B$23,$B199)=0,"× 渠道名不对",IF(INDEX(科目对照收入!$E$2:$E$23,MATCH($B199,科目对照收入!$B$2:$B$23,0))&lt;&gt;"平台优先","× 该项目不按平台金额",IF(COUNTIFS($A$2:$A$601,$A199,$B$2:$B$601,$B199)&gt;1,"× 同店同渠道重复","√")))))</f>
        <v/>
      </c>
    </row>
    <row r="200" customFormat="false" ht="13.5" hidden="false" customHeight="false" outlineLevel="0" collapsed="false">
      <c r="A200" s="35"/>
      <c r="B200" s="35"/>
      <c r="C200" s="37"/>
      <c r="D200" s="15" t="str">
        <f aca="false">IF(OR($A200="",$B200=""),"",ROUND(IFERROR(INDEX(海典汇总!$C$3:$AE$67,MATCH($A200,海典汇总!$A$3:$A$67,0),MATCH(INDEX(科目对照收入!$F$2:$F$23,MATCH($B200,科目对照收入!$B$2:$B$23,0)),海典汇总!$C$1:$AE$1,0)),0)+IFERROR(INDEX(海典汇总!$C$3:$AE$67,MATCH($A200,海典汇总!$A$3:$A$67,0),MATCH(INDEX(科目对照收入!$G$2:$G$23,MATCH($B200,科目对照收入!$B$2:$B$23,0)),海典汇总!$C$1:$AE$1,0)),0)+IFERROR(INDEX(海典汇总!$C$3:$AE$67,MATCH($A200,海典汇总!$A$3:$A$67,0),MATCH(INDEX(科目对照收入!$H$2:$H$23,MATCH($B200,科目对照收入!$B$2:$B$23,0)),海典汇总!$C$1:$AE$1,0)),0),2))</f>
        <v/>
      </c>
      <c r="E200" s="15" t="str">
        <f aca="false">IF($D200="","",ROUND($C200-$D200,2))</f>
        <v/>
      </c>
      <c r="F200" s="38" t="str">
        <f aca="false">IF($A200&amp;$B200="","",IF(COUNTIF(门店对照!$A$2:$A$66,$A200)=0,"× 门店编码不对",IF(COUNTIF(科目对照收入!$B$2:$B$23,$B200)=0,"× 渠道名不对",IF(INDEX(科目对照收入!$E$2:$E$23,MATCH($B200,科目对照收入!$B$2:$B$23,0))&lt;&gt;"平台优先","× 该项目不按平台金额",IF(COUNTIFS($A$2:$A$601,$A200,$B$2:$B$601,$B200)&gt;1,"× 同店同渠道重复","√")))))</f>
        <v/>
      </c>
    </row>
    <row r="201" customFormat="false" ht="13.5" hidden="false" customHeight="false" outlineLevel="0" collapsed="false">
      <c r="A201" s="35"/>
      <c r="B201" s="35"/>
      <c r="C201" s="37"/>
      <c r="D201" s="15" t="str">
        <f aca="false">IF(OR($A201="",$B201=""),"",ROUND(IFERROR(INDEX(海典汇总!$C$3:$AE$67,MATCH($A201,海典汇总!$A$3:$A$67,0),MATCH(INDEX(科目对照收入!$F$2:$F$23,MATCH($B201,科目对照收入!$B$2:$B$23,0)),海典汇总!$C$1:$AE$1,0)),0)+IFERROR(INDEX(海典汇总!$C$3:$AE$67,MATCH($A201,海典汇总!$A$3:$A$67,0),MATCH(INDEX(科目对照收入!$G$2:$G$23,MATCH($B201,科目对照收入!$B$2:$B$23,0)),海典汇总!$C$1:$AE$1,0)),0)+IFERROR(INDEX(海典汇总!$C$3:$AE$67,MATCH($A201,海典汇总!$A$3:$A$67,0),MATCH(INDEX(科目对照收入!$H$2:$H$23,MATCH($B201,科目对照收入!$B$2:$B$23,0)),海典汇总!$C$1:$AE$1,0)),0),2))</f>
        <v/>
      </c>
      <c r="E201" s="15" t="str">
        <f aca="false">IF($D201="","",ROUND($C201-$D201,2))</f>
        <v/>
      </c>
      <c r="F201" s="38" t="str">
        <f aca="false">IF($A201&amp;$B201="","",IF(COUNTIF(门店对照!$A$2:$A$66,$A201)=0,"× 门店编码不对",IF(COUNTIF(科目对照收入!$B$2:$B$23,$B201)=0,"× 渠道名不对",IF(INDEX(科目对照收入!$E$2:$E$23,MATCH($B201,科目对照收入!$B$2:$B$23,0))&lt;&gt;"平台优先","× 该项目不按平台金额",IF(COUNTIFS($A$2:$A$601,$A201,$B$2:$B$601,$B201)&gt;1,"× 同店同渠道重复","√")))))</f>
        <v/>
      </c>
    </row>
    <row r="202" customFormat="false" ht="13.5" hidden="false" customHeight="false" outlineLevel="0" collapsed="false">
      <c r="A202" s="35"/>
      <c r="B202" s="35"/>
      <c r="C202" s="37"/>
      <c r="D202" s="15" t="str">
        <f aca="false">IF(OR($A202="",$B202=""),"",ROUND(IFERROR(INDEX(海典汇总!$C$3:$AE$67,MATCH($A202,海典汇总!$A$3:$A$67,0),MATCH(INDEX(科目对照收入!$F$2:$F$23,MATCH($B202,科目对照收入!$B$2:$B$23,0)),海典汇总!$C$1:$AE$1,0)),0)+IFERROR(INDEX(海典汇总!$C$3:$AE$67,MATCH($A202,海典汇总!$A$3:$A$67,0),MATCH(INDEX(科目对照收入!$G$2:$G$23,MATCH($B202,科目对照收入!$B$2:$B$23,0)),海典汇总!$C$1:$AE$1,0)),0)+IFERROR(INDEX(海典汇总!$C$3:$AE$67,MATCH($A202,海典汇总!$A$3:$A$67,0),MATCH(INDEX(科目对照收入!$H$2:$H$23,MATCH($B202,科目对照收入!$B$2:$B$23,0)),海典汇总!$C$1:$AE$1,0)),0),2))</f>
        <v/>
      </c>
      <c r="E202" s="15" t="str">
        <f aca="false">IF($D202="","",ROUND($C202-$D202,2))</f>
        <v/>
      </c>
      <c r="F202" s="38" t="str">
        <f aca="false">IF($A202&amp;$B202="","",IF(COUNTIF(门店对照!$A$2:$A$66,$A202)=0,"× 门店编码不对",IF(COUNTIF(科目对照收入!$B$2:$B$23,$B202)=0,"× 渠道名不对",IF(INDEX(科目对照收入!$E$2:$E$23,MATCH($B202,科目对照收入!$B$2:$B$23,0))&lt;&gt;"平台优先","× 该项目不按平台金额",IF(COUNTIFS($A$2:$A$601,$A202,$B$2:$B$601,$B202)&gt;1,"× 同店同渠道重复","√")))))</f>
        <v/>
      </c>
    </row>
    <row r="203" customFormat="false" ht="13.5" hidden="false" customHeight="false" outlineLevel="0" collapsed="false">
      <c r="A203" s="35"/>
      <c r="B203" s="35"/>
      <c r="C203" s="37"/>
      <c r="D203" s="15" t="str">
        <f aca="false">IF(OR($A203="",$B203=""),"",ROUND(IFERROR(INDEX(海典汇总!$C$3:$AE$67,MATCH($A203,海典汇总!$A$3:$A$67,0),MATCH(INDEX(科目对照收入!$F$2:$F$23,MATCH($B203,科目对照收入!$B$2:$B$23,0)),海典汇总!$C$1:$AE$1,0)),0)+IFERROR(INDEX(海典汇总!$C$3:$AE$67,MATCH($A203,海典汇总!$A$3:$A$67,0),MATCH(INDEX(科目对照收入!$G$2:$G$23,MATCH($B203,科目对照收入!$B$2:$B$23,0)),海典汇总!$C$1:$AE$1,0)),0)+IFERROR(INDEX(海典汇总!$C$3:$AE$67,MATCH($A203,海典汇总!$A$3:$A$67,0),MATCH(INDEX(科目对照收入!$H$2:$H$23,MATCH($B203,科目对照收入!$B$2:$B$23,0)),海典汇总!$C$1:$AE$1,0)),0),2))</f>
        <v/>
      </c>
      <c r="E203" s="15" t="str">
        <f aca="false">IF($D203="","",ROUND($C203-$D203,2))</f>
        <v/>
      </c>
      <c r="F203" s="38" t="str">
        <f aca="false">IF($A203&amp;$B203="","",IF(COUNTIF(门店对照!$A$2:$A$66,$A203)=0,"× 门店编码不对",IF(COUNTIF(科目对照收入!$B$2:$B$23,$B203)=0,"× 渠道名不对",IF(INDEX(科目对照收入!$E$2:$E$23,MATCH($B203,科目对照收入!$B$2:$B$23,0))&lt;&gt;"平台优先","× 该项目不按平台金额",IF(COUNTIFS($A$2:$A$601,$A203,$B$2:$B$601,$B203)&gt;1,"× 同店同渠道重复","√")))))</f>
        <v/>
      </c>
    </row>
    <row r="204" customFormat="false" ht="13.5" hidden="false" customHeight="false" outlineLevel="0" collapsed="false">
      <c r="A204" s="35"/>
      <c r="B204" s="35"/>
      <c r="C204" s="37"/>
      <c r="D204" s="15" t="str">
        <f aca="false">IF(OR($A204="",$B204=""),"",ROUND(IFERROR(INDEX(海典汇总!$C$3:$AE$67,MATCH($A204,海典汇总!$A$3:$A$67,0),MATCH(INDEX(科目对照收入!$F$2:$F$23,MATCH($B204,科目对照收入!$B$2:$B$23,0)),海典汇总!$C$1:$AE$1,0)),0)+IFERROR(INDEX(海典汇总!$C$3:$AE$67,MATCH($A204,海典汇总!$A$3:$A$67,0),MATCH(INDEX(科目对照收入!$G$2:$G$23,MATCH($B204,科目对照收入!$B$2:$B$23,0)),海典汇总!$C$1:$AE$1,0)),0)+IFERROR(INDEX(海典汇总!$C$3:$AE$67,MATCH($A204,海典汇总!$A$3:$A$67,0),MATCH(INDEX(科目对照收入!$H$2:$H$23,MATCH($B204,科目对照收入!$B$2:$B$23,0)),海典汇总!$C$1:$AE$1,0)),0),2))</f>
        <v/>
      </c>
      <c r="E204" s="15" t="str">
        <f aca="false">IF($D204="","",ROUND($C204-$D204,2))</f>
        <v/>
      </c>
      <c r="F204" s="38" t="str">
        <f aca="false">IF($A204&amp;$B204="","",IF(COUNTIF(门店对照!$A$2:$A$66,$A204)=0,"× 门店编码不对",IF(COUNTIF(科目对照收入!$B$2:$B$23,$B204)=0,"× 渠道名不对",IF(INDEX(科目对照收入!$E$2:$E$23,MATCH($B204,科目对照收入!$B$2:$B$23,0))&lt;&gt;"平台优先","× 该项目不按平台金额",IF(COUNTIFS($A$2:$A$601,$A204,$B$2:$B$601,$B204)&gt;1,"× 同店同渠道重复","√")))))</f>
        <v/>
      </c>
    </row>
    <row r="205" customFormat="false" ht="13.5" hidden="false" customHeight="false" outlineLevel="0" collapsed="false">
      <c r="A205" s="35"/>
      <c r="B205" s="35"/>
      <c r="C205" s="37"/>
      <c r="D205" s="15" t="str">
        <f aca="false">IF(OR($A205="",$B205=""),"",ROUND(IFERROR(INDEX(海典汇总!$C$3:$AE$67,MATCH($A205,海典汇总!$A$3:$A$67,0),MATCH(INDEX(科目对照收入!$F$2:$F$23,MATCH($B205,科目对照收入!$B$2:$B$23,0)),海典汇总!$C$1:$AE$1,0)),0)+IFERROR(INDEX(海典汇总!$C$3:$AE$67,MATCH($A205,海典汇总!$A$3:$A$67,0),MATCH(INDEX(科目对照收入!$G$2:$G$23,MATCH($B205,科目对照收入!$B$2:$B$23,0)),海典汇总!$C$1:$AE$1,0)),0)+IFERROR(INDEX(海典汇总!$C$3:$AE$67,MATCH($A205,海典汇总!$A$3:$A$67,0),MATCH(INDEX(科目对照收入!$H$2:$H$23,MATCH($B205,科目对照收入!$B$2:$B$23,0)),海典汇总!$C$1:$AE$1,0)),0),2))</f>
        <v/>
      </c>
      <c r="E205" s="15" t="str">
        <f aca="false">IF($D205="","",ROUND($C205-$D205,2))</f>
        <v/>
      </c>
      <c r="F205" s="38" t="str">
        <f aca="false">IF($A205&amp;$B205="","",IF(COUNTIF(门店对照!$A$2:$A$66,$A205)=0,"× 门店编码不对",IF(COUNTIF(科目对照收入!$B$2:$B$23,$B205)=0,"× 渠道名不对",IF(INDEX(科目对照收入!$E$2:$E$23,MATCH($B205,科目对照收入!$B$2:$B$23,0))&lt;&gt;"平台优先","× 该项目不按平台金额",IF(COUNTIFS($A$2:$A$601,$A205,$B$2:$B$601,$B205)&gt;1,"× 同店同渠道重复","√")))))</f>
        <v/>
      </c>
    </row>
    <row r="206" customFormat="false" ht="13.5" hidden="false" customHeight="false" outlineLevel="0" collapsed="false">
      <c r="A206" s="35"/>
      <c r="B206" s="35"/>
      <c r="C206" s="37"/>
      <c r="D206" s="15" t="str">
        <f aca="false">IF(OR($A206="",$B206=""),"",ROUND(IFERROR(INDEX(海典汇总!$C$3:$AE$67,MATCH($A206,海典汇总!$A$3:$A$67,0),MATCH(INDEX(科目对照收入!$F$2:$F$23,MATCH($B206,科目对照收入!$B$2:$B$23,0)),海典汇总!$C$1:$AE$1,0)),0)+IFERROR(INDEX(海典汇总!$C$3:$AE$67,MATCH($A206,海典汇总!$A$3:$A$67,0),MATCH(INDEX(科目对照收入!$G$2:$G$23,MATCH($B206,科目对照收入!$B$2:$B$23,0)),海典汇总!$C$1:$AE$1,0)),0)+IFERROR(INDEX(海典汇总!$C$3:$AE$67,MATCH($A206,海典汇总!$A$3:$A$67,0),MATCH(INDEX(科目对照收入!$H$2:$H$23,MATCH($B206,科目对照收入!$B$2:$B$23,0)),海典汇总!$C$1:$AE$1,0)),0),2))</f>
        <v/>
      </c>
      <c r="E206" s="15" t="str">
        <f aca="false">IF($D206="","",ROUND($C206-$D206,2))</f>
        <v/>
      </c>
      <c r="F206" s="38" t="str">
        <f aca="false">IF($A206&amp;$B206="","",IF(COUNTIF(门店对照!$A$2:$A$66,$A206)=0,"× 门店编码不对",IF(COUNTIF(科目对照收入!$B$2:$B$23,$B206)=0,"× 渠道名不对",IF(INDEX(科目对照收入!$E$2:$E$23,MATCH($B206,科目对照收入!$B$2:$B$23,0))&lt;&gt;"平台优先","× 该项目不按平台金额",IF(COUNTIFS($A$2:$A$601,$A206,$B$2:$B$601,$B206)&gt;1,"× 同店同渠道重复","√")))))</f>
        <v/>
      </c>
    </row>
    <row r="207" customFormat="false" ht="13.5" hidden="false" customHeight="false" outlineLevel="0" collapsed="false">
      <c r="A207" s="35"/>
      <c r="B207" s="35"/>
      <c r="C207" s="37"/>
      <c r="D207" s="15" t="str">
        <f aca="false">IF(OR($A207="",$B207=""),"",ROUND(IFERROR(INDEX(海典汇总!$C$3:$AE$67,MATCH($A207,海典汇总!$A$3:$A$67,0),MATCH(INDEX(科目对照收入!$F$2:$F$23,MATCH($B207,科目对照收入!$B$2:$B$23,0)),海典汇总!$C$1:$AE$1,0)),0)+IFERROR(INDEX(海典汇总!$C$3:$AE$67,MATCH($A207,海典汇总!$A$3:$A$67,0),MATCH(INDEX(科目对照收入!$G$2:$G$23,MATCH($B207,科目对照收入!$B$2:$B$23,0)),海典汇总!$C$1:$AE$1,0)),0)+IFERROR(INDEX(海典汇总!$C$3:$AE$67,MATCH($A207,海典汇总!$A$3:$A$67,0),MATCH(INDEX(科目对照收入!$H$2:$H$23,MATCH($B207,科目对照收入!$B$2:$B$23,0)),海典汇总!$C$1:$AE$1,0)),0),2))</f>
        <v/>
      </c>
      <c r="E207" s="15" t="str">
        <f aca="false">IF($D207="","",ROUND($C207-$D207,2))</f>
        <v/>
      </c>
      <c r="F207" s="38" t="str">
        <f aca="false">IF($A207&amp;$B207="","",IF(COUNTIF(门店对照!$A$2:$A$66,$A207)=0,"× 门店编码不对",IF(COUNTIF(科目对照收入!$B$2:$B$23,$B207)=0,"× 渠道名不对",IF(INDEX(科目对照收入!$E$2:$E$23,MATCH($B207,科目对照收入!$B$2:$B$23,0))&lt;&gt;"平台优先","× 该项目不按平台金额",IF(COUNTIFS($A$2:$A$601,$A207,$B$2:$B$601,$B207)&gt;1,"× 同店同渠道重复","√")))))</f>
        <v/>
      </c>
    </row>
    <row r="208" customFormat="false" ht="13.5" hidden="false" customHeight="false" outlineLevel="0" collapsed="false">
      <c r="A208" s="35"/>
      <c r="B208" s="35"/>
      <c r="C208" s="37"/>
      <c r="D208" s="15" t="str">
        <f aca="false">IF(OR($A208="",$B208=""),"",ROUND(IFERROR(INDEX(海典汇总!$C$3:$AE$67,MATCH($A208,海典汇总!$A$3:$A$67,0),MATCH(INDEX(科目对照收入!$F$2:$F$23,MATCH($B208,科目对照收入!$B$2:$B$23,0)),海典汇总!$C$1:$AE$1,0)),0)+IFERROR(INDEX(海典汇总!$C$3:$AE$67,MATCH($A208,海典汇总!$A$3:$A$67,0),MATCH(INDEX(科目对照收入!$G$2:$G$23,MATCH($B208,科目对照收入!$B$2:$B$23,0)),海典汇总!$C$1:$AE$1,0)),0)+IFERROR(INDEX(海典汇总!$C$3:$AE$67,MATCH($A208,海典汇总!$A$3:$A$67,0),MATCH(INDEX(科目对照收入!$H$2:$H$23,MATCH($B208,科目对照收入!$B$2:$B$23,0)),海典汇总!$C$1:$AE$1,0)),0),2))</f>
        <v/>
      </c>
      <c r="E208" s="15" t="str">
        <f aca="false">IF($D208="","",ROUND($C208-$D208,2))</f>
        <v/>
      </c>
      <c r="F208" s="38" t="str">
        <f aca="false">IF($A208&amp;$B208="","",IF(COUNTIF(门店对照!$A$2:$A$66,$A208)=0,"× 门店编码不对",IF(COUNTIF(科目对照收入!$B$2:$B$23,$B208)=0,"× 渠道名不对",IF(INDEX(科目对照收入!$E$2:$E$23,MATCH($B208,科目对照收入!$B$2:$B$23,0))&lt;&gt;"平台优先","× 该项目不按平台金额",IF(COUNTIFS($A$2:$A$601,$A208,$B$2:$B$601,$B208)&gt;1,"× 同店同渠道重复","√")))))</f>
        <v/>
      </c>
    </row>
    <row r="209" customFormat="false" ht="13.5" hidden="false" customHeight="false" outlineLevel="0" collapsed="false">
      <c r="A209" s="35"/>
      <c r="B209" s="35"/>
      <c r="C209" s="37"/>
      <c r="D209" s="15" t="str">
        <f aca="false">IF(OR($A209="",$B209=""),"",ROUND(IFERROR(INDEX(海典汇总!$C$3:$AE$67,MATCH($A209,海典汇总!$A$3:$A$67,0),MATCH(INDEX(科目对照收入!$F$2:$F$23,MATCH($B209,科目对照收入!$B$2:$B$23,0)),海典汇总!$C$1:$AE$1,0)),0)+IFERROR(INDEX(海典汇总!$C$3:$AE$67,MATCH($A209,海典汇总!$A$3:$A$67,0),MATCH(INDEX(科目对照收入!$G$2:$G$23,MATCH($B209,科目对照收入!$B$2:$B$23,0)),海典汇总!$C$1:$AE$1,0)),0)+IFERROR(INDEX(海典汇总!$C$3:$AE$67,MATCH($A209,海典汇总!$A$3:$A$67,0),MATCH(INDEX(科目对照收入!$H$2:$H$23,MATCH($B209,科目对照收入!$B$2:$B$23,0)),海典汇总!$C$1:$AE$1,0)),0),2))</f>
        <v/>
      </c>
      <c r="E209" s="15" t="str">
        <f aca="false">IF($D209="","",ROUND($C209-$D209,2))</f>
        <v/>
      </c>
      <c r="F209" s="38" t="str">
        <f aca="false">IF($A209&amp;$B209="","",IF(COUNTIF(门店对照!$A$2:$A$66,$A209)=0,"× 门店编码不对",IF(COUNTIF(科目对照收入!$B$2:$B$23,$B209)=0,"× 渠道名不对",IF(INDEX(科目对照收入!$E$2:$E$23,MATCH($B209,科目对照收入!$B$2:$B$23,0))&lt;&gt;"平台优先","× 该项目不按平台金额",IF(COUNTIFS($A$2:$A$601,$A209,$B$2:$B$601,$B209)&gt;1,"× 同店同渠道重复","√")))))</f>
        <v/>
      </c>
    </row>
    <row r="210" customFormat="false" ht="13.5" hidden="false" customHeight="false" outlineLevel="0" collapsed="false">
      <c r="A210" s="35"/>
      <c r="B210" s="35"/>
      <c r="C210" s="37"/>
      <c r="D210" s="15" t="str">
        <f aca="false">IF(OR($A210="",$B210=""),"",ROUND(IFERROR(INDEX(海典汇总!$C$3:$AE$67,MATCH($A210,海典汇总!$A$3:$A$67,0),MATCH(INDEX(科目对照收入!$F$2:$F$23,MATCH($B210,科目对照收入!$B$2:$B$23,0)),海典汇总!$C$1:$AE$1,0)),0)+IFERROR(INDEX(海典汇总!$C$3:$AE$67,MATCH($A210,海典汇总!$A$3:$A$67,0),MATCH(INDEX(科目对照收入!$G$2:$G$23,MATCH($B210,科目对照收入!$B$2:$B$23,0)),海典汇总!$C$1:$AE$1,0)),0)+IFERROR(INDEX(海典汇总!$C$3:$AE$67,MATCH($A210,海典汇总!$A$3:$A$67,0),MATCH(INDEX(科目对照收入!$H$2:$H$23,MATCH($B210,科目对照收入!$B$2:$B$23,0)),海典汇总!$C$1:$AE$1,0)),0),2))</f>
        <v/>
      </c>
      <c r="E210" s="15" t="str">
        <f aca="false">IF($D210="","",ROUND($C210-$D210,2))</f>
        <v/>
      </c>
      <c r="F210" s="38" t="str">
        <f aca="false">IF($A210&amp;$B210="","",IF(COUNTIF(门店对照!$A$2:$A$66,$A210)=0,"× 门店编码不对",IF(COUNTIF(科目对照收入!$B$2:$B$23,$B210)=0,"× 渠道名不对",IF(INDEX(科目对照收入!$E$2:$E$23,MATCH($B210,科目对照收入!$B$2:$B$23,0))&lt;&gt;"平台优先","× 该项目不按平台金额",IF(COUNTIFS($A$2:$A$601,$A210,$B$2:$B$601,$B210)&gt;1,"× 同店同渠道重复","√")))))</f>
        <v/>
      </c>
    </row>
    <row r="211" customFormat="false" ht="13.5" hidden="false" customHeight="false" outlineLevel="0" collapsed="false">
      <c r="A211" s="35"/>
      <c r="B211" s="35"/>
      <c r="C211" s="37"/>
      <c r="D211" s="15" t="str">
        <f aca="false">IF(OR($A211="",$B211=""),"",ROUND(IFERROR(INDEX(海典汇总!$C$3:$AE$67,MATCH($A211,海典汇总!$A$3:$A$67,0),MATCH(INDEX(科目对照收入!$F$2:$F$23,MATCH($B211,科目对照收入!$B$2:$B$23,0)),海典汇总!$C$1:$AE$1,0)),0)+IFERROR(INDEX(海典汇总!$C$3:$AE$67,MATCH($A211,海典汇总!$A$3:$A$67,0),MATCH(INDEX(科目对照收入!$G$2:$G$23,MATCH($B211,科目对照收入!$B$2:$B$23,0)),海典汇总!$C$1:$AE$1,0)),0)+IFERROR(INDEX(海典汇总!$C$3:$AE$67,MATCH($A211,海典汇总!$A$3:$A$67,0),MATCH(INDEX(科目对照收入!$H$2:$H$23,MATCH($B211,科目对照收入!$B$2:$B$23,0)),海典汇总!$C$1:$AE$1,0)),0),2))</f>
        <v/>
      </c>
      <c r="E211" s="15" t="str">
        <f aca="false">IF($D211="","",ROUND($C211-$D211,2))</f>
        <v/>
      </c>
      <c r="F211" s="38" t="str">
        <f aca="false">IF($A211&amp;$B211="","",IF(COUNTIF(门店对照!$A$2:$A$66,$A211)=0,"× 门店编码不对",IF(COUNTIF(科目对照收入!$B$2:$B$23,$B211)=0,"× 渠道名不对",IF(INDEX(科目对照收入!$E$2:$E$23,MATCH($B211,科目对照收入!$B$2:$B$23,0))&lt;&gt;"平台优先","× 该项目不按平台金额",IF(COUNTIFS($A$2:$A$601,$A211,$B$2:$B$601,$B211)&gt;1,"× 同店同渠道重复","√")))))</f>
        <v/>
      </c>
    </row>
    <row r="212" customFormat="false" ht="13.5" hidden="false" customHeight="false" outlineLevel="0" collapsed="false">
      <c r="A212" s="35"/>
      <c r="B212" s="35"/>
      <c r="C212" s="37"/>
      <c r="D212" s="15" t="str">
        <f aca="false">IF(OR($A212="",$B212=""),"",ROUND(IFERROR(INDEX(海典汇总!$C$3:$AE$67,MATCH($A212,海典汇总!$A$3:$A$67,0),MATCH(INDEX(科目对照收入!$F$2:$F$23,MATCH($B212,科目对照收入!$B$2:$B$23,0)),海典汇总!$C$1:$AE$1,0)),0)+IFERROR(INDEX(海典汇总!$C$3:$AE$67,MATCH($A212,海典汇总!$A$3:$A$67,0),MATCH(INDEX(科目对照收入!$G$2:$G$23,MATCH($B212,科目对照收入!$B$2:$B$23,0)),海典汇总!$C$1:$AE$1,0)),0)+IFERROR(INDEX(海典汇总!$C$3:$AE$67,MATCH($A212,海典汇总!$A$3:$A$67,0),MATCH(INDEX(科目对照收入!$H$2:$H$23,MATCH($B212,科目对照收入!$B$2:$B$23,0)),海典汇总!$C$1:$AE$1,0)),0),2))</f>
        <v/>
      </c>
      <c r="E212" s="15" t="str">
        <f aca="false">IF($D212="","",ROUND($C212-$D212,2))</f>
        <v/>
      </c>
      <c r="F212" s="38" t="str">
        <f aca="false">IF($A212&amp;$B212="","",IF(COUNTIF(门店对照!$A$2:$A$66,$A212)=0,"× 门店编码不对",IF(COUNTIF(科目对照收入!$B$2:$B$23,$B212)=0,"× 渠道名不对",IF(INDEX(科目对照收入!$E$2:$E$23,MATCH($B212,科目对照收入!$B$2:$B$23,0))&lt;&gt;"平台优先","× 该项目不按平台金额",IF(COUNTIFS($A$2:$A$601,$A212,$B$2:$B$601,$B212)&gt;1,"× 同店同渠道重复","√")))))</f>
        <v/>
      </c>
    </row>
    <row r="213" customFormat="false" ht="13.5" hidden="false" customHeight="false" outlineLevel="0" collapsed="false">
      <c r="A213" s="35"/>
      <c r="B213" s="35"/>
      <c r="C213" s="37"/>
      <c r="D213" s="15" t="str">
        <f aca="false">IF(OR($A213="",$B213=""),"",ROUND(IFERROR(INDEX(海典汇总!$C$3:$AE$67,MATCH($A213,海典汇总!$A$3:$A$67,0),MATCH(INDEX(科目对照收入!$F$2:$F$23,MATCH($B213,科目对照收入!$B$2:$B$23,0)),海典汇总!$C$1:$AE$1,0)),0)+IFERROR(INDEX(海典汇总!$C$3:$AE$67,MATCH($A213,海典汇总!$A$3:$A$67,0),MATCH(INDEX(科目对照收入!$G$2:$G$23,MATCH($B213,科目对照收入!$B$2:$B$23,0)),海典汇总!$C$1:$AE$1,0)),0)+IFERROR(INDEX(海典汇总!$C$3:$AE$67,MATCH($A213,海典汇总!$A$3:$A$67,0),MATCH(INDEX(科目对照收入!$H$2:$H$23,MATCH($B213,科目对照收入!$B$2:$B$23,0)),海典汇总!$C$1:$AE$1,0)),0),2))</f>
        <v/>
      </c>
      <c r="E213" s="15" t="str">
        <f aca="false">IF($D213="","",ROUND($C213-$D213,2))</f>
        <v/>
      </c>
      <c r="F213" s="38" t="str">
        <f aca="false">IF($A213&amp;$B213="","",IF(COUNTIF(门店对照!$A$2:$A$66,$A213)=0,"× 门店编码不对",IF(COUNTIF(科目对照收入!$B$2:$B$23,$B213)=0,"× 渠道名不对",IF(INDEX(科目对照收入!$E$2:$E$23,MATCH($B213,科目对照收入!$B$2:$B$23,0))&lt;&gt;"平台优先","× 该项目不按平台金额",IF(COUNTIFS($A$2:$A$601,$A213,$B$2:$B$601,$B213)&gt;1,"× 同店同渠道重复","√")))))</f>
        <v/>
      </c>
    </row>
    <row r="214" customFormat="false" ht="13.5" hidden="false" customHeight="false" outlineLevel="0" collapsed="false">
      <c r="A214" s="35"/>
      <c r="B214" s="35"/>
      <c r="C214" s="37"/>
      <c r="D214" s="15" t="str">
        <f aca="false">IF(OR($A214="",$B214=""),"",ROUND(IFERROR(INDEX(海典汇总!$C$3:$AE$67,MATCH($A214,海典汇总!$A$3:$A$67,0),MATCH(INDEX(科目对照收入!$F$2:$F$23,MATCH($B214,科目对照收入!$B$2:$B$23,0)),海典汇总!$C$1:$AE$1,0)),0)+IFERROR(INDEX(海典汇总!$C$3:$AE$67,MATCH($A214,海典汇总!$A$3:$A$67,0),MATCH(INDEX(科目对照收入!$G$2:$G$23,MATCH($B214,科目对照收入!$B$2:$B$23,0)),海典汇总!$C$1:$AE$1,0)),0)+IFERROR(INDEX(海典汇总!$C$3:$AE$67,MATCH($A214,海典汇总!$A$3:$A$67,0),MATCH(INDEX(科目对照收入!$H$2:$H$23,MATCH($B214,科目对照收入!$B$2:$B$23,0)),海典汇总!$C$1:$AE$1,0)),0),2))</f>
        <v/>
      </c>
      <c r="E214" s="15" t="str">
        <f aca="false">IF($D214="","",ROUND($C214-$D214,2))</f>
        <v/>
      </c>
      <c r="F214" s="38" t="str">
        <f aca="false">IF($A214&amp;$B214="","",IF(COUNTIF(门店对照!$A$2:$A$66,$A214)=0,"× 门店编码不对",IF(COUNTIF(科目对照收入!$B$2:$B$23,$B214)=0,"× 渠道名不对",IF(INDEX(科目对照收入!$E$2:$E$23,MATCH($B214,科目对照收入!$B$2:$B$23,0))&lt;&gt;"平台优先","× 该项目不按平台金额",IF(COUNTIFS($A$2:$A$601,$A214,$B$2:$B$601,$B214)&gt;1,"× 同店同渠道重复","√")))))</f>
        <v/>
      </c>
    </row>
    <row r="215" customFormat="false" ht="13.5" hidden="false" customHeight="false" outlineLevel="0" collapsed="false">
      <c r="A215" s="35"/>
      <c r="B215" s="35"/>
      <c r="C215" s="37"/>
      <c r="D215" s="15" t="str">
        <f aca="false">IF(OR($A215="",$B215=""),"",ROUND(IFERROR(INDEX(海典汇总!$C$3:$AE$67,MATCH($A215,海典汇总!$A$3:$A$67,0),MATCH(INDEX(科目对照收入!$F$2:$F$23,MATCH($B215,科目对照收入!$B$2:$B$23,0)),海典汇总!$C$1:$AE$1,0)),0)+IFERROR(INDEX(海典汇总!$C$3:$AE$67,MATCH($A215,海典汇总!$A$3:$A$67,0),MATCH(INDEX(科目对照收入!$G$2:$G$23,MATCH($B215,科目对照收入!$B$2:$B$23,0)),海典汇总!$C$1:$AE$1,0)),0)+IFERROR(INDEX(海典汇总!$C$3:$AE$67,MATCH($A215,海典汇总!$A$3:$A$67,0),MATCH(INDEX(科目对照收入!$H$2:$H$23,MATCH($B215,科目对照收入!$B$2:$B$23,0)),海典汇总!$C$1:$AE$1,0)),0),2))</f>
        <v/>
      </c>
      <c r="E215" s="15" t="str">
        <f aca="false">IF($D215="","",ROUND($C215-$D215,2))</f>
        <v/>
      </c>
      <c r="F215" s="38" t="str">
        <f aca="false">IF($A215&amp;$B215="","",IF(COUNTIF(门店对照!$A$2:$A$66,$A215)=0,"× 门店编码不对",IF(COUNTIF(科目对照收入!$B$2:$B$23,$B215)=0,"× 渠道名不对",IF(INDEX(科目对照收入!$E$2:$E$23,MATCH($B215,科目对照收入!$B$2:$B$23,0))&lt;&gt;"平台优先","× 该项目不按平台金额",IF(COUNTIFS($A$2:$A$601,$A215,$B$2:$B$601,$B215)&gt;1,"× 同店同渠道重复","√")))))</f>
        <v/>
      </c>
    </row>
    <row r="216" customFormat="false" ht="13.5" hidden="false" customHeight="false" outlineLevel="0" collapsed="false">
      <c r="A216" s="35"/>
      <c r="B216" s="35"/>
      <c r="C216" s="37"/>
      <c r="D216" s="15" t="str">
        <f aca="false">IF(OR($A216="",$B216=""),"",ROUND(IFERROR(INDEX(海典汇总!$C$3:$AE$67,MATCH($A216,海典汇总!$A$3:$A$67,0),MATCH(INDEX(科目对照收入!$F$2:$F$23,MATCH($B216,科目对照收入!$B$2:$B$23,0)),海典汇总!$C$1:$AE$1,0)),0)+IFERROR(INDEX(海典汇总!$C$3:$AE$67,MATCH($A216,海典汇总!$A$3:$A$67,0),MATCH(INDEX(科目对照收入!$G$2:$G$23,MATCH($B216,科目对照收入!$B$2:$B$23,0)),海典汇总!$C$1:$AE$1,0)),0)+IFERROR(INDEX(海典汇总!$C$3:$AE$67,MATCH($A216,海典汇总!$A$3:$A$67,0),MATCH(INDEX(科目对照收入!$H$2:$H$23,MATCH($B216,科目对照收入!$B$2:$B$23,0)),海典汇总!$C$1:$AE$1,0)),0),2))</f>
        <v/>
      </c>
      <c r="E216" s="15" t="str">
        <f aca="false">IF($D216="","",ROUND($C216-$D216,2))</f>
        <v/>
      </c>
      <c r="F216" s="38" t="str">
        <f aca="false">IF($A216&amp;$B216="","",IF(COUNTIF(门店对照!$A$2:$A$66,$A216)=0,"× 门店编码不对",IF(COUNTIF(科目对照收入!$B$2:$B$23,$B216)=0,"× 渠道名不对",IF(INDEX(科目对照收入!$E$2:$E$23,MATCH($B216,科目对照收入!$B$2:$B$23,0))&lt;&gt;"平台优先","× 该项目不按平台金额",IF(COUNTIFS($A$2:$A$601,$A216,$B$2:$B$601,$B216)&gt;1,"× 同店同渠道重复","√")))))</f>
        <v/>
      </c>
    </row>
    <row r="217" customFormat="false" ht="13.5" hidden="false" customHeight="false" outlineLevel="0" collapsed="false">
      <c r="A217" s="35"/>
      <c r="B217" s="35"/>
      <c r="C217" s="37"/>
      <c r="D217" s="15" t="str">
        <f aca="false">IF(OR($A217="",$B217=""),"",ROUND(IFERROR(INDEX(海典汇总!$C$3:$AE$67,MATCH($A217,海典汇总!$A$3:$A$67,0),MATCH(INDEX(科目对照收入!$F$2:$F$23,MATCH($B217,科目对照收入!$B$2:$B$23,0)),海典汇总!$C$1:$AE$1,0)),0)+IFERROR(INDEX(海典汇总!$C$3:$AE$67,MATCH($A217,海典汇总!$A$3:$A$67,0),MATCH(INDEX(科目对照收入!$G$2:$G$23,MATCH($B217,科目对照收入!$B$2:$B$23,0)),海典汇总!$C$1:$AE$1,0)),0)+IFERROR(INDEX(海典汇总!$C$3:$AE$67,MATCH($A217,海典汇总!$A$3:$A$67,0),MATCH(INDEX(科目对照收入!$H$2:$H$23,MATCH($B217,科目对照收入!$B$2:$B$23,0)),海典汇总!$C$1:$AE$1,0)),0),2))</f>
        <v/>
      </c>
      <c r="E217" s="15" t="str">
        <f aca="false">IF($D217="","",ROUND($C217-$D217,2))</f>
        <v/>
      </c>
      <c r="F217" s="38" t="str">
        <f aca="false">IF($A217&amp;$B217="","",IF(COUNTIF(门店对照!$A$2:$A$66,$A217)=0,"× 门店编码不对",IF(COUNTIF(科目对照收入!$B$2:$B$23,$B217)=0,"× 渠道名不对",IF(INDEX(科目对照收入!$E$2:$E$23,MATCH($B217,科目对照收入!$B$2:$B$23,0))&lt;&gt;"平台优先","× 该项目不按平台金额",IF(COUNTIFS($A$2:$A$601,$A217,$B$2:$B$601,$B217)&gt;1,"× 同店同渠道重复","√")))))</f>
        <v/>
      </c>
    </row>
    <row r="218" customFormat="false" ht="13.5" hidden="false" customHeight="false" outlineLevel="0" collapsed="false">
      <c r="A218" s="35"/>
      <c r="B218" s="35"/>
      <c r="C218" s="37"/>
      <c r="D218" s="15" t="str">
        <f aca="false">IF(OR($A218="",$B218=""),"",ROUND(IFERROR(INDEX(海典汇总!$C$3:$AE$67,MATCH($A218,海典汇总!$A$3:$A$67,0),MATCH(INDEX(科目对照收入!$F$2:$F$23,MATCH($B218,科目对照收入!$B$2:$B$23,0)),海典汇总!$C$1:$AE$1,0)),0)+IFERROR(INDEX(海典汇总!$C$3:$AE$67,MATCH($A218,海典汇总!$A$3:$A$67,0),MATCH(INDEX(科目对照收入!$G$2:$G$23,MATCH($B218,科目对照收入!$B$2:$B$23,0)),海典汇总!$C$1:$AE$1,0)),0)+IFERROR(INDEX(海典汇总!$C$3:$AE$67,MATCH($A218,海典汇总!$A$3:$A$67,0),MATCH(INDEX(科目对照收入!$H$2:$H$23,MATCH($B218,科目对照收入!$B$2:$B$23,0)),海典汇总!$C$1:$AE$1,0)),0),2))</f>
        <v/>
      </c>
      <c r="E218" s="15" t="str">
        <f aca="false">IF($D218="","",ROUND($C218-$D218,2))</f>
        <v/>
      </c>
      <c r="F218" s="38" t="str">
        <f aca="false">IF($A218&amp;$B218="","",IF(COUNTIF(门店对照!$A$2:$A$66,$A218)=0,"× 门店编码不对",IF(COUNTIF(科目对照收入!$B$2:$B$23,$B218)=0,"× 渠道名不对",IF(INDEX(科目对照收入!$E$2:$E$23,MATCH($B218,科目对照收入!$B$2:$B$23,0))&lt;&gt;"平台优先","× 该项目不按平台金额",IF(COUNTIFS($A$2:$A$601,$A218,$B$2:$B$601,$B218)&gt;1,"× 同店同渠道重复","√")))))</f>
        <v/>
      </c>
    </row>
    <row r="219" customFormat="false" ht="13.5" hidden="false" customHeight="false" outlineLevel="0" collapsed="false">
      <c r="A219" s="35"/>
      <c r="B219" s="35"/>
      <c r="C219" s="37"/>
      <c r="D219" s="15" t="str">
        <f aca="false">IF(OR($A219="",$B219=""),"",ROUND(IFERROR(INDEX(海典汇总!$C$3:$AE$67,MATCH($A219,海典汇总!$A$3:$A$67,0),MATCH(INDEX(科目对照收入!$F$2:$F$23,MATCH($B219,科目对照收入!$B$2:$B$23,0)),海典汇总!$C$1:$AE$1,0)),0)+IFERROR(INDEX(海典汇总!$C$3:$AE$67,MATCH($A219,海典汇总!$A$3:$A$67,0),MATCH(INDEX(科目对照收入!$G$2:$G$23,MATCH($B219,科目对照收入!$B$2:$B$23,0)),海典汇总!$C$1:$AE$1,0)),0)+IFERROR(INDEX(海典汇总!$C$3:$AE$67,MATCH($A219,海典汇总!$A$3:$A$67,0),MATCH(INDEX(科目对照收入!$H$2:$H$23,MATCH($B219,科目对照收入!$B$2:$B$23,0)),海典汇总!$C$1:$AE$1,0)),0),2))</f>
        <v/>
      </c>
      <c r="E219" s="15" t="str">
        <f aca="false">IF($D219="","",ROUND($C219-$D219,2))</f>
        <v/>
      </c>
      <c r="F219" s="38" t="str">
        <f aca="false">IF($A219&amp;$B219="","",IF(COUNTIF(门店对照!$A$2:$A$66,$A219)=0,"× 门店编码不对",IF(COUNTIF(科目对照收入!$B$2:$B$23,$B219)=0,"× 渠道名不对",IF(INDEX(科目对照收入!$E$2:$E$23,MATCH($B219,科目对照收入!$B$2:$B$23,0))&lt;&gt;"平台优先","× 该项目不按平台金额",IF(COUNTIFS($A$2:$A$601,$A219,$B$2:$B$601,$B219)&gt;1,"× 同店同渠道重复","√")))))</f>
        <v/>
      </c>
    </row>
    <row r="220" customFormat="false" ht="13.5" hidden="false" customHeight="false" outlineLevel="0" collapsed="false">
      <c r="A220" s="35"/>
      <c r="B220" s="35"/>
      <c r="C220" s="37"/>
      <c r="D220" s="15" t="str">
        <f aca="false">IF(OR($A220="",$B220=""),"",ROUND(IFERROR(INDEX(海典汇总!$C$3:$AE$67,MATCH($A220,海典汇总!$A$3:$A$67,0),MATCH(INDEX(科目对照收入!$F$2:$F$23,MATCH($B220,科目对照收入!$B$2:$B$23,0)),海典汇总!$C$1:$AE$1,0)),0)+IFERROR(INDEX(海典汇总!$C$3:$AE$67,MATCH($A220,海典汇总!$A$3:$A$67,0),MATCH(INDEX(科目对照收入!$G$2:$G$23,MATCH($B220,科目对照收入!$B$2:$B$23,0)),海典汇总!$C$1:$AE$1,0)),0)+IFERROR(INDEX(海典汇总!$C$3:$AE$67,MATCH($A220,海典汇总!$A$3:$A$67,0),MATCH(INDEX(科目对照收入!$H$2:$H$23,MATCH($B220,科目对照收入!$B$2:$B$23,0)),海典汇总!$C$1:$AE$1,0)),0),2))</f>
        <v/>
      </c>
      <c r="E220" s="15" t="str">
        <f aca="false">IF($D220="","",ROUND($C220-$D220,2))</f>
        <v/>
      </c>
      <c r="F220" s="38" t="str">
        <f aca="false">IF($A220&amp;$B220="","",IF(COUNTIF(门店对照!$A$2:$A$66,$A220)=0,"× 门店编码不对",IF(COUNTIF(科目对照收入!$B$2:$B$23,$B220)=0,"× 渠道名不对",IF(INDEX(科目对照收入!$E$2:$E$23,MATCH($B220,科目对照收入!$B$2:$B$23,0))&lt;&gt;"平台优先","× 该项目不按平台金额",IF(COUNTIFS($A$2:$A$601,$A220,$B$2:$B$601,$B220)&gt;1,"× 同店同渠道重复","√")))))</f>
        <v/>
      </c>
    </row>
    <row r="221" customFormat="false" ht="13.5" hidden="false" customHeight="false" outlineLevel="0" collapsed="false">
      <c r="A221" s="35"/>
      <c r="B221" s="35"/>
      <c r="C221" s="37"/>
      <c r="D221" s="15" t="str">
        <f aca="false">IF(OR($A221="",$B221=""),"",ROUND(IFERROR(INDEX(海典汇总!$C$3:$AE$67,MATCH($A221,海典汇总!$A$3:$A$67,0),MATCH(INDEX(科目对照收入!$F$2:$F$23,MATCH($B221,科目对照收入!$B$2:$B$23,0)),海典汇总!$C$1:$AE$1,0)),0)+IFERROR(INDEX(海典汇总!$C$3:$AE$67,MATCH($A221,海典汇总!$A$3:$A$67,0),MATCH(INDEX(科目对照收入!$G$2:$G$23,MATCH($B221,科目对照收入!$B$2:$B$23,0)),海典汇总!$C$1:$AE$1,0)),0)+IFERROR(INDEX(海典汇总!$C$3:$AE$67,MATCH($A221,海典汇总!$A$3:$A$67,0),MATCH(INDEX(科目对照收入!$H$2:$H$23,MATCH($B221,科目对照收入!$B$2:$B$23,0)),海典汇总!$C$1:$AE$1,0)),0),2))</f>
        <v/>
      </c>
      <c r="E221" s="15" t="str">
        <f aca="false">IF($D221="","",ROUND($C221-$D221,2))</f>
        <v/>
      </c>
      <c r="F221" s="38" t="str">
        <f aca="false">IF($A221&amp;$B221="","",IF(COUNTIF(门店对照!$A$2:$A$66,$A221)=0,"× 门店编码不对",IF(COUNTIF(科目对照收入!$B$2:$B$23,$B221)=0,"× 渠道名不对",IF(INDEX(科目对照收入!$E$2:$E$23,MATCH($B221,科目对照收入!$B$2:$B$23,0))&lt;&gt;"平台优先","× 该项目不按平台金额",IF(COUNTIFS($A$2:$A$601,$A221,$B$2:$B$601,$B221)&gt;1,"× 同店同渠道重复","√")))))</f>
        <v/>
      </c>
    </row>
    <row r="222" customFormat="false" ht="13.5" hidden="false" customHeight="false" outlineLevel="0" collapsed="false">
      <c r="A222" s="35"/>
      <c r="B222" s="35"/>
      <c r="C222" s="37"/>
      <c r="D222" s="15" t="str">
        <f aca="false">IF(OR($A222="",$B222=""),"",ROUND(IFERROR(INDEX(海典汇总!$C$3:$AE$67,MATCH($A222,海典汇总!$A$3:$A$67,0),MATCH(INDEX(科目对照收入!$F$2:$F$23,MATCH($B222,科目对照收入!$B$2:$B$23,0)),海典汇总!$C$1:$AE$1,0)),0)+IFERROR(INDEX(海典汇总!$C$3:$AE$67,MATCH($A222,海典汇总!$A$3:$A$67,0),MATCH(INDEX(科目对照收入!$G$2:$G$23,MATCH($B222,科目对照收入!$B$2:$B$23,0)),海典汇总!$C$1:$AE$1,0)),0)+IFERROR(INDEX(海典汇总!$C$3:$AE$67,MATCH($A222,海典汇总!$A$3:$A$67,0),MATCH(INDEX(科目对照收入!$H$2:$H$23,MATCH($B222,科目对照收入!$B$2:$B$23,0)),海典汇总!$C$1:$AE$1,0)),0),2))</f>
        <v/>
      </c>
      <c r="E222" s="15" t="str">
        <f aca="false">IF($D222="","",ROUND($C222-$D222,2))</f>
        <v/>
      </c>
      <c r="F222" s="38" t="str">
        <f aca="false">IF($A222&amp;$B222="","",IF(COUNTIF(门店对照!$A$2:$A$66,$A222)=0,"× 门店编码不对",IF(COUNTIF(科目对照收入!$B$2:$B$23,$B222)=0,"× 渠道名不对",IF(INDEX(科目对照收入!$E$2:$E$23,MATCH($B222,科目对照收入!$B$2:$B$23,0))&lt;&gt;"平台优先","× 该项目不按平台金额",IF(COUNTIFS($A$2:$A$601,$A222,$B$2:$B$601,$B222)&gt;1,"× 同店同渠道重复","√")))))</f>
        <v/>
      </c>
    </row>
    <row r="223" customFormat="false" ht="13.5" hidden="false" customHeight="false" outlineLevel="0" collapsed="false">
      <c r="A223" s="35"/>
      <c r="B223" s="35"/>
      <c r="C223" s="37"/>
      <c r="D223" s="15" t="str">
        <f aca="false">IF(OR($A223="",$B223=""),"",ROUND(IFERROR(INDEX(海典汇总!$C$3:$AE$67,MATCH($A223,海典汇总!$A$3:$A$67,0),MATCH(INDEX(科目对照收入!$F$2:$F$23,MATCH($B223,科目对照收入!$B$2:$B$23,0)),海典汇总!$C$1:$AE$1,0)),0)+IFERROR(INDEX(海典汇总!$C$3:$AE$67,MATCH($A223,海典汇总!$A$3:$A$67,0),MATCH(INDEX(科目对照收入!$G$2:$G$23,MATCH($B223,科目对照收入!$B$2:$B$23,0)),海典汇总!$C$1:$AE$1,0)),0)+IFERROR(INDEX(海典汇总!$C$3:$AE$67,MATCH($A223,海典汇总!$A$3:$A$67,0),MATCH(INDEX(科目对照收入!$H$2:$H$23,MATCH($B223,科目对照收入!$B$2:$B$23,0)),海典汇总!$C$1:$AE$1,0)),0),2))</f>
        <v/>
      </c>
      <c r="E223" s="15" t="str">
        <f aca="false">IF($D223="","",ROUND($C223-$D223,2))</f>
        <v/>
      </c>
      <c r="F223" s="38" t="str">
        <f aca="false">IF($A223&amp;$B223="","",IF(COUNTIF(门店对照!$A$2:$A$66,$A223)=0,"× 门店编码不对",IF(COUNTIF(科目对照收入!$B$2:$B$23,$B223)=0,"× 渠道名不对",IF(INDEX(科目对照收入!$E$2:$E$23,MATCH($B223,科目对照收入!$B$2:$B$23,0))&lt;&gt;"平台优先","× 该项目不按平台金额",IF(COUNTIFS($A$2:$A$601,$A223,$B$2:$B$601,$B223)&gt;1,"× 同店同渠道重复","√")))))</f>
        <v/>
      </c>
    </row>
    <row r="224" customFormat="false" ht="13.5" hidden="false" customHeight="false" outlineLevel="0" collapsed="false">
      <c r="A224" s="35"/>
      <c r="B224" s="35"/>
      <c r="C224" s="37"/>
      <c r="D224" s="15" t="str">
        <f aca="false">IF(OR($A224="",$B224=""),"",ROUND(IFERROR(INDEX(海典汇总!$C$3:$AE$67,MATCH($A224,海典汇总!$A$3:$A$67,0),MATCH(INDEX(科目对照收入!$F$2:$F$23,MATCH($B224,科目对照收入!$B$2:$B$23,0)),海典汇总!$C$1:$AE$1,0)),0)+IFERROR(INDEX(海典汇总!$C$3:$AE$67,MATCH($A224,海典汇总!$A$3:$A$67,0),MATCH(INDEX(科目对照收入!$G$2:$G$23,MATCH($B224,科目对照收入!$B$2:$B$23,0)),海典汇总!$C$1:$AE$1,0)),0)+IFERROR(INDEX(海典汇总!$C$3:$AE$67,MATCH($A224,海典汇总!$A$3:$A$67,0),MATCH(INDEX(科目对照收入!$H$2:$H$23,MATCH($B224,科目对照收入!$B$2:$B$23,0)),海典汇总!$C$1:$AE$1,0)),0),2))</f>
        <v/>
      </c>
      <c r="E224" s="15" t="str">
        <f aca="false">IF($D224="","",ROUND($C224-$D224,2))</f>
        <v/>
      </c>
      <c r="F224" s="38" t="str">
        <f aca="false">IF($A224&amp;$B224="","",IF(COUNTIF(门店对照!$A$2:$A$66,$A224)=0,"× 门店编码不对",IF(COUNTIF(科目对照收入!$B$2:$B$23,$B224)=0,"× 渠道名不对",IF(INDEX(科目对照收入!$E$2:$E$23,MATCH($B224,科目对照收入!$B$2:$B$23,0))&lt;&gt;"平台优先","× 该项目不按平台金额",IF(COUNTIFS($A$2:$A$601,$A224,$B$2:$B$601,$B224)&gt;1,"× 同店同渠道重复","√")))))</f>
        <v/>
      </c>
    </row>
    <row r="225" customFormat="false" ht="13.5" hidden="false" customHeight="false" outlineLevel="0" collapsed="false">
      <c r="A225" s="35"/>
      <c r="B225" s="35"/>
      <c r="C225" s="37"/>
      <c r="D225" s="15" t="str">
        <f aca="false">IF(OR($A225="",$B225=""),"",ROUND(IFERROR(INDEX(海典汇总!$C$3:$AE$67,MATCH($A225,海典汇总!$A$3:$A$67,0),MATCH(INDEX(科目对照收入!$F$2:$F$23,MATCH($B225,科目对照收入!$B$2:$B$23,0)),海典汇总!$C$1:$AE$1,0)),0)+IFERROR(INDEX(海典汇总!$C$3:$AE$67,MATCH($A225,海典汇总!$A$3:$A$67,0),MATCH(INDEX(科目对照收入!$G$2:$G$23,MATCH($B225,科目对照收入!$B$2:$B$23,0)),海典汇总!$C$1:$AE$1,0)),0)+IFERROR(INDEX(海典汇总!$C$3:$AE$67,MATCH($A225,海典汇总!$A$3:$A$67,0),MATCH(INDEX(科目对照收入!$H$2:$H$23,MATCH($B225,科目对照收入!$B$2:$B$23,0)),海典汇总!$C$1:$AE$1,0)),0),2))</f>
        <v/>
      </c>
      <c r="E225" s="15" t="str">
        <f aca="false">IF($D225="","",ROUND($C225-$D225,2))</f>
        <v/>
      </c>
      <c r="F225" s="38" t="str">
        <f aca="false">IF($A225&amp;$B225="","",IF(COUNTIF(门店对照!$A$2:$A$66,$A225)=0,"× 门店编码不对",IF(COUNTIF(科目对照收入!$B$2:$B$23,$B225)=0,"× 渠道名不对",IF(INDEX(科目对照收入!$E$2:$E$23,MATCH($B225,科目对照收入!$B$2:$B$23,0))&lt;&gt;"平台优先","× 该项目不按平台金额",IF(COUNTIFS($A$2:$A$601,$A225,$B$2:$B$601,$B225)&gt;1,"× 同店同渠道重复","√")))))</f>
        <v/>
      </c>
    </row>
    <row r="226" customFormat="false" ht="13.5" hidden="false" customHeight="false" outlineLevel="0" collapsed="false">
      <c r="A226" s="35"/>
      <c r="B226" s="35"/>
      <c r="C226" s="37"/>
      <c r="D226" s="15" t="str">
        <f aca="false">IF(OR($A226="",$B226=""),"",ROUND(IFERROR(INDEX(海典汇总!$C$3:$AE$67,MATCH($A226,海典汇总!$A$3:$A$67,0),MATCH(INDEX(科目对照收入!$F$2:$F$23,MATCH($B226,科目对照收入!$B$2:$B$23,0)),海典汇总!$C$1:$AE$1,0)),0)+IFERROR(INDEX(海典汇总!$C$3:$AE$67,MATCH($A226,海典汇总!$A$3:$A$67,0),MATCH(INDEX(科目对照收入!$G$2:$G$23,MATCH($B226,科目对照收入!$B$2:$B$23,0)),海典汇总!$C$1:$AE$1,0)),0)+IFERROR(INDEX(海典汇总!$C$3:$AE$67,MATCH($A226,海典汇总!$A$3:$A$67,0),MATCH(INDEX(科目对照收入!$H$2:$H$23,MATCH($B226,科目对照收入!$B$2:$B$23,0)),海典汇总!$C$1:$AE$1,0)),0),2))</f>
        <v/>
      </c>
      <c r="E226" s="15" t="str">
        <f aca="false">IF($D226="","",ROUND($C226-$D226,2))</f>
        <v/>
      </c>
      <c r="F226" s="38" t="str">
        <f aca="false">IF($A226&amp;$B226="","",IF(COUNTIF(门店对照!$A$2:$A$66,$A226)=0,"× 门店编码不对",IF(COUNTIF(科目对照收入!$B$2:$B$23,$B226)=0,"× 渠道名不对",IF(INDEX(科目对照收入!$E$2:$E$23,MATCH($B226,科目对照收入!$B$2:$B$23,0))&lt;&gt;"平台优先","× 该项目不按平台金额",IF(COUNTIFS($A$2:$A$601,$A226,$B$2:$B$601,$B226)&gt;1,"× 同店同渠道重复","√")))))</f>
        <v/>
      </c>
    </row>
    <row r="227" customFormat="false" ht="13.5" hidden="false" customHeight="false" outlineLevel="0" collapsed="false">
      <c r="A227" s="35"/>
      <c r="B227" s="35"/>
      <c r="C227" s="37"/>
      <c r="D227" s="15" t="str">
        <f aca="false">IF(OR($A227="",$B227=""),"",ROUND(IFERROR(INDEX(海典汇总!$C$3:$AE$67,MATCH($A227,海典汇总!$A$3:$A$67,0),MATCH(INDEX(科目对照收入!$F$2:$F$23,MATCH($B227,科目对照收入!$B$2:$B$23,0)),海典汇总!$C$1:$AE$1,0)),0)+IFERROR(INDEX(海典汇总!$C$3:$AE$67,MATCH($A227,海典汇总!$A$3:$A$67,0),MATCH(INDEX(科目对照收入!$G$2:$G$23,MATCH($B227,科目对照收入!$B$2:$B$23,0)),海典汇总!$C$1:$AE$1,0)),0)+IFERROR(INDEX(海典汇总!$C$3:$AE$67,MATCH($A227,海典汇总!$A$3:$A$67,0),MATCH(INDEX(科目对照收入!$H$2:$H$23,MATCH($B227,科目对照收入!$B$2:$B$23,0)),海典汇总!$C$1:$AE$1,0)),0),2))</f>
        <v/>
      </c>
      <c r="E227" s="15" t="str">
        <f aca="false">IF($D227="","",ROUND($C227-$D227,2))</f>
        <v/>
      </c>
      <c r="F227" s="38" t="str">
        <f aca="false">IF($A227&amp;$B227="","",IF(COUNTIF(门店对照!$A$2:$A$66,$A227)=0,"× 门店编码不对",IF(COUNTIF(科目对照收入!$B$2:$B$23,$B227)=0,"× 渠道名不对",IF(INDEX(科目对照收入!$E$2:$E$23,MATCH($B227,科目对照收入!$B$2:$B$23,0))&lt;&gt;"平台优先","× 该项目不按平台金额",IF(COUNTIFS($A$2:$A$601,$A227,$B$2:$B$601,$B227)&gt;1,"× 同店同渠道重复","√")))))</f>
        <v/>
      </c>
    </row>
    <row r="228" customFormat="false" ht="13.5" hidden="false" customHeight="false" outlineLevel="0" collapsed="false">
      <c r="A228" s="35"/>
      <c r="B228" s="35"/>
      <c r="C228" s="37"/>
      <c r="D228" s="15" t="str">
        <f aca="false">IF(OR($A228="",$B228=""),"",ROUND(IFERROR(INDEX(海典汇总!$C$3:$AE$67,MATCH($A228,海典汇总!$A$3:$A$67,0),MATCH(INDEX(科目对照收入!$F$2:$F$23,MATCH($B228,科目对照收入!$B$2:$B$23,0)),海典汇总!$C$1:$AE$1,0)),0)+IFERROR(INDEX(海典汇总!$C$3:$AE$67,MATCH($A228,海典汇总!$A$3:$A$67,0),MATCH(INDEX(科目对照收入!$G$2:$G$23,MATCH($B228,科目对照收入!$B$2:$B$23,0)),海典汇总!$C$1:$AE$1,0)),0)+IFERROR(INDEX(海典汇总!$C$3:$AE$67,MATCH($A228,海典汇总!$A$3:$A$67,0),MATCH(INDEX(科目对照收入!$H$2:$H$23,MATCH($B228,科目对照收入!$B$2:$B$23,0)),海典汇总!$C$1:$AE$1,0)),0),2))</f>
        <v/>
      </c>
      <c r="E228" s="15" t="str">
        <f aca="false">IF($D228="","",ROUND($C228-$D228,2))</f>
        <v/>
      </c>
      <c r="F228" s="38" t="str">
        <f aca="false">IF($A228&amp;$B228="","",IF(COUNTIF(门店对照!$A$2:$A$66,$A228)=0,"× 门店编码不对",IF(COUNTIF(科目对照收入!$B$2:$B$23,$B228)=0,"× 渠道名不对",IF(INDEX(科目对照收入!$E$2:$E$23,MATCH($B228,科目对照收入!$B$2:$B$23,0))&lt;&gt;"平台优先","× 该项目不按平台金额",IF(COUNTIFS($A$2:$A$601,$A228,$B$2:$B$601,$B228)&gt;1,"× 同店同渠道重复","√")))))</f>
        <v/>
      </c>
    </row>
    <row r="229" customFormat="false" ht="13.5" hidden="false" customHeight="false" outlineLevel="0" collapsed="false">
      <c r="A229" s="35"/>
      <c r="B229" s="35"/>
      <c r="C229" s="37"/>
      <c r="D229" s="15" t="str">
        <f aca="false">IF(OR($A229="",$B229=""),"",ROUND(IFERROR(INDEX(海典汇总!$C$3:$AE$67,MATCH($A229,海典汇总!$A$3:$A$67,0),MATCH(INDEX(科目对照收入!$F$2:$F$23,MATCH($B229,科目对照收入!$B$2:$B$23,0)),海典汇总!$C$1:$AE$1,0)),0)+IFERROR(INDEX(海典汇总!$C$3:$AE$67,MATCH($A229,海典汇总!$A$3:$A$67,0),MATCH(INDEX(科目对照收入!$G$2:$G$23,MATCH($B229,科目对照收入!$B$2:$B$23,0)),海典汇总!$C$1:$AE$1,0)),0)+IFERROR(INDEX(海典汇总!$C$3:$AE$67,MATCH($A229,海典汇总!$A$3:$A$67,0),MATCH(INDEX(科目对照收入!$H$2:$H$23,MATCH($B229,科目对照收入!$B$2:$B$23,0)),海典汇总!$C$1:$AE$1,0)),0),2))</f>
        <v/>
      </c>
      <c r="E229" s="15" t="str">
        <f aca="false">IF($D229="","",ROUND($C229-$D229,2))</f>
        <v/>
      </c>
      <c r="F229" s="38" t="str">
        <f aca="false">IF($A229&amp;$B229="","",IF(COUNTIF(门店对照!$A$2:$A$66,$A229)=0,"× 门店编码不对",IF(COUNTIF(科目对照收入!$B$2:$B$23,$B229)=0,"× 渠道名不对",IF(INDEX(科目对照收入!$E$2:$E$23,MATCH($B229,科目对照收入!$B$2:$B$23,0))&lt;&gt;"平台优先","× 该项目不按平台金额",IF(COUNTIFS($A$2:$A$601,$A229,$B$2:$B$601,$B229)&gt;1,"× 同店同渠道重复","√")))))</f>
        <v/>
      </c>
    </row>
    <row r="230" customFormat="false" ht="13.5" hidden="false" customHeight="false" outlineLevel="0" collapsed="false">
      <c r="A230" s="35"/>
      <c r="B230" s="35"/>
      <c r="C230" s="37"/>
      <c r="D230" s="15" t="str">
        <f aca="false">IF(OR($A230="",$B230=""),"",ROUND(IFERROR(INDEX(海典汇总!$C$3:$AE$67,MATCH($A230,海典汇总!$A$3:$A$67,0),MATCH(INDEX(科目对照收入!$F$2:$F$23,MATCH($B230,科目对照收入!$B$2:$B$23,0)),海典汇总!$C$1:$AE$1,0)),0)+IFERROR(INDEX(海典汇总!$C$3:$AE$67,MATCH($A230,海典汇总!$A$3:$A$67,0),MATCH(INDEX(科目对照收入!$G$2:$G$23,MATCH($B230,科目对照收入!$B$2:$B$23,0)),海典汇总!$C$1:$AE$1,0)),0)+IFERROR(INDEX(海典汇总!$C$3:$AE$67,MATCH($A230,海典汇总!$A$3:$A$67,0),MATCH(INDEX(科目对照收入!$H$2:$H$23,MATCH($B230,科目对照收入!$B$2:$B$23,0)),海典汇总!$C$1:$AE$1,0)),0),2))</f>
        <v/>
      </c>
      <c r="E230" s="15" t="str">
        <f aca="false">IF($D230="","",ROUND($C230-$D230,2))</f>
        <v/>
      </c>
      <c r="F230" s="38" t="str">
        <f aca="false">IF($A230&amp;$B230="","",IF(COUNTIF(门店对照!$A$2:$A$66,$A230)=0,"× 门店编码不对",IF(COUNTIF(科目对照收入!$B$2:$B$23,$B230)=0,"× 渠道名不对",IF(INDEX(科目对照收入!$E$2:$E$23,MATCH($B230,科目对照收入!$B$2:$B$23,0))&lt;&gt;"平台优先","× 该项目不按平台金额",IF(COUNTIFS($A$2:$A$601,$A230,$B$2:$B$601,$B230)&gt;1,"× 同店同渠道重复","√")))))</f>
        <v/>
      </c>
    </row>
    <row r="231" customFormat="false" ht="13.5" hidden="false" customHeight="false" outlineLevel="0" collapsed="false">
      <c r="A231" s="35"/>
      <c r="B231" s="35"/>
      <c r="C231" s="37"/>
      <c r="D231" s="15" t="str">
        <f aca="false">IF(OR($A231="",$B231=""),"",ROUND(IFERROR(INDEX(海典汇总!$C$3:$AE$67,MATCH($A231,海典汇总!$A$3:$A$67,0),MATCH(INDEX(科目对照收入!$F$2:$F$23,MATCH($B231,科目对照收入!$B$2:$B$23,0)),海典汇总!$C$1:$AE$1,0)),0)+IFERROR(INDEX(海典汇总!$C$3:$AE$67,MATCH($A231,海典汇总!$A$3:$A$67,0),MATCH(INDEX(科目对照收入!$G$2:$G$23,MATCH($B231,科目对照收入!$B$2:$B$23,0)),海典汇总!$C$1:$AE$1,0)),0)+IFERROR(INDEX(海典汇总!$C$3:$AE$67,MATCH($A231,海典汇总!$A$3:$A$67,0),MATCH(INDEX(科目对照收入!$H$2:$H$23,MATCH($B231,科目对照收入!$B$2:$B$23,0)),海典汇总!$C$1:$AE$1,0)),0),2))</f>
        <v/>
      </c>
      <c r="E231" s="15" t="str">
        <f aca="false">IF($D231="","",ROUND($C231-$D231,2))</f>
        <v/>
      </c>
      <c r="F231" s="38" t="str">
        <f aca="false">IF($A231&amp;$B231="","",IF(COUNTIF(门店对照!$A$2:$A$66,$A231)=0,"× 门店编码不对",IF(COUNTIF(科目对照收入!$B$2:$B$23,$B231)=0,"× 渠道名不对",IF(INDEX(科目对照收入!$E$2:$E$23,MATCH($B231,科目对照收入!$B$2:$B$23,0))&lt;&gt;"平台优先","× 该项目不按平台金额",IF(COUNTIFS($A$2:$A$601,$A231,$B$2:$B$601,$B231)&gt;1,"× 同店同渠道重复","√")))))</f>
        <v/>
      </c>
    </row>
    <row r="232" customFormat="false" ht="13.5" hidden="false" customHeight="false" outlineLevel="0" collapsed="false">
      <c r="A232" s="35"/>
      <c r="B232" s="35"/>
      <c r="C232" s="37"/>
      <c r="D232" s="15" t="str">
        <f aca="false">IF(OR($A232="",$B232=""),"",ROUND(IFERROR(INDEX(海典汇总!$C$3:$AE$67,MATCH($A232,海典汇总!$A$3:$A$67,0),MATCH(INDEX(科目对照收入!$F$2:$F$23,MATCH($B232,科目对照收入!$B$2:$B$23,0)),海典汇总!$C$1:$AE$1,0)),0)+IFERROR(INDEX(海典汇总!$C$3:$AE$67,MATCH($A232,海典汇总!$A$3:$A$67,0),MATCH(INDEX(科目对照收入!$G$2:$G$23,MATCH($B232,科目对照收入!$B$2:$B$23,0)),海典汇总!$C$1:$AE$1,0)),0)+IFERROR(INDEX(海典汇总!$C$3:$AE$67,MATCH($A232,海典汇总!$A$3:$A$67,0),MATCH(INDEX(科目对照收入!$H$2:$H$23,MATCH($B232,科目对照收入!$B$2:$B$23,0)),海典汇总!$C$1:$AE$1,0)),0),2))</f>
        <v/>
      </c>
      <c r="E232" s="15" t="str">
        <f aca="false">IF($D232="","",ROUND($C232-$D232,2))</f>
        <v/>
      </c>
      <c r="F232" s="38" t="str">
        <f aca="false">IF($A232&amp;$B232="","",IF(COUNTIF(门店对照!$A$2:$A$66,$A232)=0,"× 门店编码不对",IF(COUNTIF(科目对照收入!$B$2:$B$23,$B232)=0,"× 渠道名不对",IF(INDEX(科目对照收入!$E$2:$E$23,MATCH($B232,科目对照收入!$B$2:$B$23,0))&lt;&gt;"平台优先","× 该项目不按平台金额",IF(COUNTIFS($A$2:$A$601,$A232,$B$2:$B$601,$B232)&gt;1,"× 同店同渠道重复","√")))))</f>
        <v/>
      </c>
    </row>
    <row r="233" customFormat="false" ht="13.5" hidden="false" customHeight="false" outlineLevel="0" collapsed="false">
      <c r="A233" s="35"/>
      <c r="B233" s="35"/>
      <c r="C233" s="37"/>
      <c r="D233" s="15" t="str">
        <f aca="false">IF(OR($A233="",$B233=""),"",ROUND(IFERROR(INDEX(海典汇总!$C$3:$AE$67,MATCH($A233,海典汇总!$A$3:$A$67,0),MATCH(INDEX(科目对照收入!$F$2:$F$23,MATCH($B233,科目对照收入!$B$2:$B$23,0)),海典汇总!$C$1:$AE$1,0)),0)+IFERROR(INDEX(海典汇总!$C$3:$AE$67,MATCH($A233,海典汇总!$A$3:$A$67,0),MATCH(INDEX(科目对照收入!$G$2:$G$23,MATCH($B233,科目对照收入!$B$2:$B$23,0)),海典汇总!$C$1:$AE$1,0)),0)+IFERROR(INDEX(海典汇总!$C$3:$AE$67,MATCH($A233,海典汇总!$A$3:$A$67,0),MATCH(INDEX(科目对照收入!$H$2:$H$23,MATCH($B233,科目对照收入!$B$2:$B$23,0)),海典汇总!$C$1:$AE$1,0)),0),2))</f>
        <v/>
      </c>
      <c r="E233" s="15" t="str">
        <f aca="false">IF($D233="","",ROUND($C233-$D233,2))</f>
        <v/>
      </c>
      <c r="F233" s="38" t="str">
        <f aca="false">IF($A233&amp;$B233="","",IF(COUNTIF(门店对照!$A$2:$A$66,$A233)=0,"× 门店编码不对",IF(COUNTIF(科目对照收入!$B$2:$B$23,$B233)=0,"× 渠道名不对",IF(INDEX(科目对照收入!$E$2:$E$23,MATCH($B233,科目对照收入!$B$2:$B$23,0))&lt;&gt;"平台优先","× 该项目不按平台金额",IF(COUNTIFS($A$2:$A$601,$A233,$B$2:$B$601,$B233)&gt;1,"× 同店同渠道重复","√")))))</f>
        <v/>
      </c>
    </row>
    <row r="234" customFormat="false" ht="13.5" hidden="false" customHeight="false" outlineLevel="0" collapsed="false">
      <c r="A234" s="35"/>
      <c r="B234" s="35"/>
      <c r="C234" s="37"/>
      <c r="D234" s="15" t="str">
        <f aca="false">IF(OR($A234="",$B234=""),"",ROUND(IFERROR(INDEX(海典汇总!$C$3:$AE$67,MATCH($A234,海典汇总!$A$3:$A$67,0),MATCH(INDEX(科目对照收入!$F$2:$F$23,MATCH($B234,科目对照收入!$B$2:$B$23,0)),海典汇总!$C$1:$AE$1,0)),0)+IFERROR(INDEX(海典汇总!$C$3:$AE$67,MATCH($A234,海典汇总!$A$3:$A$67,0),MATCH(INDEX(科目对照收入!$G$2:$G$23,MATCH($B234,科目对照收入!$B$2:$B$23,0)),海典汇总!$C$1:$AE$1,0)),0)+IFERROR(INDEX(海典汇总!$C$3:$AE$67,MATCH($A234,海典汇总!$A$3:$A$67,0),MATCH(INDEX(科目对照收入!$H$2:$H$23,MATCH($B234,科目对照收入!$B$2:$B$23,0)),海典汇总!$C$1:$AE$1,0)),0),2))</f>
        <v/>
      </c>
      <c r="E234" s="15" t="str">
        <f aca="false">IF($D234="","",ROUND($C234-$D234,2))</f>
        <v/>
      </c>
      <c r="F234" s="38" t="str">
        <f aca="false">IF($A234&amp;$B234="","",IF(COUNTIF(门店对照!$A$2:$A$66,$A234)=0,"× 门店编码不对",IF(COUNTIF(科目对照收入!$B$2:$B$23,$B234)=0,"× 渠道名不对",IF(INDEX(科目对照收入!$E$2:$E$23,MATCH($B234,科目对照收入!$B$2:$B$23,0))&lt;&gt;"平台优先","× 该项目不按平台金额",IF(COUNTIFS($A$2:$A$601,$A234,$B$2:$B$601,$B234)&gt;1,"× 同店同渠道重复","√")))))</f>
        <v/>
      </c>
    </row>
    <row r="235" customFormat="false" ht="13.5" hidden="false" customHeight="false" outlineLevel="0" collapsed="false">
      <c r="A235" s="35"/>
      <c r="B235" s="35"/>
      <c r="C235" s="37"/>
      <c r="D235" s="15" t="str">
        <f aca="false">IF(OR($A235="",$B235=""),"",ROUND(IFERROR(INDEX(海典汇总!$C$3:$AE$67,MATCH($A235,海典汇总!$A$3:$A$67,0),MATCH(INDEX(科目对照收入!$F$2:$F$23,MATCH($B235,科目对照收入!$B$2:$B$23,0)),海典汇总!$C$1:$AE$1,0)),0)+IFERROR(INDEX(海典汇总!$C$3:$AE$67,MATCH($A235,海典汇总!$A$3:$A$67,0),MATCH(INDEX(科目对照收入!$G$2:$G$23,MATCH($B235,科目对照收入!$B$2:$B$23,0)),海典汇总!$C$1:$AE$1,0)),0)+IFERROR(INDEX(海典汇总!$C$3:$AE$67,MATCH($A235,海典汇总!$A$3:$A$67,0),MATCH(INDEX(科目对照收入!$H$2:$H$23,MATCH($B235,科目对照收入!$B$2:$B$23,0)),海典汇总!$C$1:$AE$1,0)),0),2))</f>
        <v/>
      </c>
      <c r="E235" s="15" t="str">
        <f aca="false">IF($D235="","",ROUND($C235-$D235,2))</f>
        <v/>
      </c>
      <c r="F235" s="38" t="str">
        <f aca="false">IF($A235&amp;$B235="","",IF(COUNTIF(门店对照!$A$2:$A$66,$A235)=0,"× 门店编码不对",IF(COUNTIF(科目对照收入!$B$2:$B$23,$B235)=0,"× 渠道名不对",IF(INDEX(科目对照收入!$E$2:$E$23,MATCH($B235,科目对照收入!$B$2:$B$23,0))&lt;&gt;"平台优先","× 该项目不按平台金额",IF(COUNTIFS($A$2:$A$601,$A235,$B$2:$B$601,$B235)&gt;1,"× 同店同渠道重复","√")))))</f>
        <v/>
      </c>
    </row>
    <row r="236" customFormat="false" ht="13.5" hidden="false" customHeight="false" outlineLevel="0" collapsed="false">
      <c r="A236" s="35"/>
      <c r="B236" s="35"/>
      <c r="C236" s="37"/>
      <c r="D236" s="15" t="str">
        <f aca="false">IF(OR($A236="",$B236=""),"",ROUND(IFERROR(INDEX(海典汇总!$C$3:$AE$67,MATCH($A236,海典汇总!$A$3:$A$67,0),MATCH(INDEX(科目对照收入!$F$2:$F$23,MATCH($B236,科目对照收入!$B$2:$B$23,0)),海典汇总!$C$1:$AE$1,0)),0)+IFERROR(INDEX(海典汇总!$C$3:$AE$67,MATCH($A236,海典汇总!$A$3:$A$67,0),MATCH(INDEX(科目对照收入!$G$2:$G$23,MATCH($B236,科目对照收入!$B$2:$B$23,0)),海典汇总!$C$1:$AE$1,0)),0)+IFERROR(INDEX(海典汇总!$C$3:$AE$67,MATCH($A236,海典汇总!$A$3:$A$67,0),MATCH(INDEX(科目对照收入!$H$2:$H$23,MATCH($B236,科目对照收入!$B$2:$B$23,0)),海典汇总!$C$1:$AE$1,0)),0),2))</f>
        <v/>
      </c>
      <c r="E236" s="15" t="str">
        <f aca="false">IF($D236="","",ROUND($C236-$D236,2))</f>
        <v/>
      </c>
      <c r="F236" s="38" t="str">
        <f aca="false">IF($A236&amp;$B236="","",IF(COUNTIF(门店对照!$A$2:$A$66,$A236)=0,"× 门店编码不对",IF(COUNTIF(科目对照收入!$B$2:$B$23,$B236)=0,"× 渠道名不对",IF(INDEX(科目对照收入!$E$2:$E$23,MATCH($B236,科目对照收入!$B$2:$B$23,0))&lt;&gt;"平台优先","× 该项目不按平台金额",IF(COUNTIFS($A$2:$A$601,$A236,$B$2:$B$601,$B236)&gt;1,"× 同店同渠道重复","√")))))</f>
        <v/>
      </c>
    </row>
    <row r="237" customFormat="false" ht="13.5" hidden="false" customHeight="false" outlineLevel="0" collapsed="false">
      <c r="A237" s="35"/>
      <c r="B237" s="35"/>
      <c r="C237" s="37"/>
      <c r="D237" s="15" t="str">
        <f aca="false">IF(OR($A237="",$B237=""),"",ROUND(IFERROR(INDEX(海典汇总!$C$3:$AE$67,MATCH($A237,海典汇总!$A$3:$A$67,0),MATCH(INDEX(科目对照收入!$F$2:$F$23,MATCH($B237,科目对照收入!$B$2:$B$23,0)),海典汇总!$C$1:$AE$1,0)),0)+IFERROR(INDEX(海典汇总!$C$3:$AE$67,MATCH($A237,海典汇总!$A$3:$A$67,0),MATCH(INDEX(科目对照收入!$G$2:$G$23,MATCH($B237,科目对照收入!$B$2:$B$23,0)),海典汇总!$C$1:$AE$1,0)),0)+IFERROR(INDEX(海典汇总!$C$3:$AE$67,MATCH($A237,海典汇总!$A$3:$A$67,0),MATCH(INDEX(科目对照收入!$H$2:$H$23,MATCH($B237,科目对照收入!$B$2:$B$23,0)),海典汇总!$C$1:$AE$1,0)),0),2))</f>
        <v/>
      </c>
      <c r="E237" s="15" t="str">
        <f aca="false">IF($D237="","",ROUND($C237-$D237,2))</f>
        <v/>
      </c>
      <c r="F237" s="38" t="str">
        <f aca="false">IF($A237&amp;$B237="","",IF(COUNTIF(门店对照!$A$2:$A$66,$A237)=0,"× 门店编码不对",IF(COUNTIF(科目对照收入!$B$2:$B$23,$B237)=0,"× 渠道名不对",IF(INDEX(科目对照收入!$E$2:$E$23,MATCH($B237,科目对照收入!$B$2:$B$23,0))&lt;&gt;"平台优先","× 该项目不按平台金额",IF(COUNTIFS($A$2:$A$601,$A237,$B$2:$B$601,$B237)&gt;1,"× 同店同渠道重复","√")))))</f>
        <v/>
      </c>
    </row>
    <row r="238" customFormat="false" ht="13.5" hidden="false" customHeight="false" outlineLevel="0" collapsed="false">
      <c r="A238" s="35"/>
      <c r="B238" s="35"/>
      <c r="C238" s="37"/>
      <c r="D238" s="15" t="str">
        <f aca="false">IF(OR($A238="",$B238=""),"",ROUND(IFERROR(INDEX(海典汇总!$C$3:$AE$67,MATCH($A238,海典汇总!$A$3:$A$67,0),MATCH(INDEX(科目对照收入!$F$2:$F$23,MATCH($B238,科目对照收入!$B$2:$B$23,0)),海典汇总!$C$1:$AE$1,0)),0)+IFERROR(INDEX(海典汇总!$C$3:$AE$67,MATCH($A238,海典汇总!$A$3:$A$67,0),MATCH(INDEX(科目对照收入!$G$2:$G$23,MATCH($B238,科目对照收入!$B$2:$B$23,0)),海典汇总!$C$1:$AE$1,0)),0)+IFERROR(INDEX(海典汇总!$C$3:$AE$67,MATCH($A238,海典汇总!$A$3:$A$67,0),MATCH(INDEX(科目对照收入!$H$2:$H$23,MATCH($B238,科目对照收入!$B$2:$B$23,0)),海典汇总!$C$1:$AE$1,0)),0),2))</f>
        <v/>
      </c>
      <c r="E238" s="15" t="str">
        <f aca="false">IF($D238="","",ROUND($C238-$D238,2))</f>
        <v/>
      </c>
      <c r="F238" s="38" t="str">
        <f aca="false">IF($A238&amp;$B238="","",IF(COUNTIF(门店对照!$A$2:$A$66,$A238)=0,"× 门店编码不对",IF(COUNTIF(科目对照收入!$B$2:$B$23,$B238)=0,"× 渠道名不对",IF(INDEX(科目对照收入!$E$2:$E$23,MATCH($B238,科目对照收入!$B$2:$B$23,0))&lt;&gt;"平台优先","× 该项目不按平台金额",IF(COUNTIFS($A$2:$A$601,$A238,$B$2:$B$601,$B238)&gt;1,"× 同店同渠道重复","√")))))</f>
        <v/>
      </c>
    </row>
    <row r="239" customFormat="false" ht="13.5" hidden="false" customHeight="false" outlineLevel="0" collapsed="false">
      <c r="A239" s="35"/>
      <c r="B239" s="35"/>
      <c r="C239" s="37"/>
      <c r="D239" s="15" t="str">
        <f aca="false">IF(OR($A239="",$B239=""),"",ROUND(IFERROR(INDEX(海典汇总!$C$3:$AE$67,MATCH($A239,海典汇总!$A$3:$A$67,0),MATCH(INDEX(科目对照收入!$F$2:$F$23,MATCH($B239,科目对照收入!$B$2:$B$23,0)),海典汇总!$C$1:$AE$1,0)),0)+IFERROR(INDEX(海典汇总!$C$3:$AE$67,MATCH($A239,海典汇总!$A$3:$A$67,0),MATCH(INDEX(科目对照收入!$G$2:$G$23,MATCH($B239,科目对照收入!$B$2:$B$23,0)),海典汇总!$C$1:$AE$1,0)),0)+IFERROR(INDEX(海典汇总!$C$3:$AE$67,MATCH($A239,海典汇总!$A$3:$A$67,0),MATCH(INDEX(科目对照收入!$H$2:$H$23,MATCH($B239,科目对照收入!$B$2:$B$23,0)),海典汇总!$C$1:$AE$1,0)),0),2))</f>
        <v/>
      </c>
      <c r="E239" s="15" t="str">
        <f aca="false">IF($D239="","",ROUND($C239-$D239,2))</f>
        <v/>
      </c>
      <c r="F239" s="38" t="str">
        <f aca="false">IF($A239&amp;$B239="","",IF(COUNTIF(门店对照!$A$2:$A$66,$A239)=0,"× 门店编码不对",IF(COUNTIF(科目对照收入!$B$2:$B$23,$B239)=0,"× 渠道名不对",IF(INDEX(科目对照收入!$E$2:$E$23,MATCH($B239,科目对照收入!$B$2:$B$23,0))&lt;&gt;"平台优先","× 该项目不按平台金额",IF(COUNTIFS($A$2:$A$601,$A239,$B$2:$B$601,$B239)&gt;1,"× 同店同渠道重复","√")))))</f>
        <v/>
      </c>
    </row>
    <row r="240" customFormat="false" ht="13.5" hidden="false" customHeight="false" outlineLevel="0" collapsed="false">
      <c r="A240" s="35"/>
      <c r="B240" s="35"/>
      <c r="C240" s="37"/>
      <c r="D240" s="15" t="str">
        <f aca="false">IF(OR($A240="",$B240=""),"",ROUND(IFERROR(INDEX(海典汇总!$C$3:$AE$67,MATCH($A240,海典汇总!$A$3:$A$67,0),MATCH(INDEX(科目对照收入!$F$2:$F$23,MATCH($B240,科目对照收入!$B$2:$B$23,0)),海典汇总!$C$1:$AE$1,0)),0)+IFERROR(INDEX(海典汇总!$C$3:$AE$67,MATCH($A240,海典汇总!$A$3:$A$67,0),MATCH(INDEX(科目对照收入!$G$2:$G$23,MATCH($B240,科目对照收入!$B$2:$B$23,0)),海典汇总!$C$1:$AE$1,0)),0)+IFERROR(INDEX(海典汇总!$C$3:$AE$67,MATCH($A240,海典汇总!$A$3:$A$67,0),MATCH(INDEX(科目对照收入!$H$2:$H$23,MATCH($B240,科目对照收入!$B$2:$B$23,0)),海典汇总!$C$1:$AE$1,0)),0),2))</f>
        <v/>
      </c>
      <c r="E240" s="15" t="str">
        <f aca="false">IF($D240="","",ROUND($C240-$D240,2))</f>
        <v/>
      </c>
      <c r="F240" s="38" t="str">
        <f aca="false">IF($A240&amp;$B240="","",IF(COUNTIF(门店对照!$A$2:$A$66,$A240)=0,"× 门店编码不对",IF(COUNTIF(科目对照收入!$B$2:$B$23,$B240)=0,"× 渠道名不对",IF(INDEX(科目对照收入!$E$2:$E$23,MATCH($B240,科目对照收入!$B$2:$B$23,0))&lt;&gt;"平台优先","× 该项目不按平台金额",IF(COUNTIFS($A$2:$A$601,$A240,$B$2:$B$601,$B240)&gt;1,"× 同店同渠道重复","√")))))</f>
        <v/>
      </c>
    </row>
    <row r="241" customFormat="false" ht="13.5" hidden="false" customHeight="false" outlineLevel="0" collapsed="false">
      <c r="A241" s="35"/>
      <c r="B241" s="35"/>
      <c r="C241" s="37"/>
      <c r="D241" s="15" t="str">
        <f aca="false">IF(OR($A241="",$B241=""),"",ROUND(IFERROR(INDEX(海典汇总!$C$3:$AE$67,MATCH($A241,海典汇总!$A$3:$A$67,0),MATCH(INDEX(科目对照收入!$F$2:$F$23,MATCH($B241,科目对照收入!$B$2:$B$23,0)),海典汇总!$C$1:$AE$1,0)),0)+IFERROR(INDEX(海典汇总!$C$3:$AE$67,MATCH($A241,海典汇总!$A$3:$A$67,0),MATCH(INDEX(科目对照收入!$G$2:$G$23,MATCH($B241,科目对照收入!$B$2:$B$23,0)),海典汇总!$C$1:$AE$1,0)),0)+IFERROR(INDEX(海典汇总!$C$3:$AE$67,MATCH($A241,海典汇总!$A$3:$A$67,0),MATCH(INDEX(科目对照收入!$H$2:$H$23,MATCH($B241,科目对照收入!$B$2:$B$23,0)),海典汇总!$C$1:$AE$1,0)),0),2))</f>
        <v/>
      </c>
      <c r="E241" s="15" t="str">
        <f aca="false">IF($D241="","",ROUND($C241-$D241,2))</f>
        <v/>
      </c>
      <c r="F241" s="38" t="str">
        <f aca="false">IF($A241&amp;$B241="","",IF(COUNTIF(门店对照!$A$2:$A$66,$A241)=0,"× 门店编码不对",IF(COUNTIF(科目对照收入!$B$2:$B$23,$B241)=0,"× 渠道名不对",IF(INDEX(科目对照收入!$E$2:$E$23,MATCH($B241,科目对照收入!$B$2:$B$23,0))&lt;&gt;"平台优先","× 该项目不按平台金额",IF(COUNTIFS($A$2:$A$601,$A241,$B$2:$B$601,$B241)&gt;1,"× 同店同渠道重复","√")))))</f>
        <v/>
      </c>
    </row>
    <row r="242" customFormat="false" ht="13.5" hidden="false" customHeight="false" outlineLevel="0" collapsed="false">
      <c r="A242" s="35"/>
      <c r="B242" s="35"/>
      <c r="C242" s="37"/>
      <c r="D242" s="15" t="str">
        <f aca="false">IF(OR($A242="",$B242=""),"",ROUND(IFERROR(INDEX(海典汇总!$C$3:$AE$67,MATCH($A242,海典汇总!$A$3:$A$67,0),MATCH(INDEX(科目对照收入!$F$2:$F$23,MATCH($B242,科目对照收入!$B$2:$B$23,0)),海典汇总!$C$1:$AE$1,0)),0)+IFERROR(INDEX(海典汇总!$C$3:$AE$67,MATCH($A242,海典汇总!$A$3:$A$67,0),MATCH(INDEX(科目对照收入!$G$2:$G$23,MATCH($B242,科目对照收入!$B$2:$B$23,0)),海典汇总!$C$1:$AE$1,0)),0)+IFERROR(INDEX(海典汇总!$C$3:$AE$67,MATCH($A242,海典汇总!$A$3:$A$67,0),MATCH(INDEX(科目对照收入!$H$2:$H$23,MATCH($B242,科目对照收入!$B$2:$B$23,0)),海典汇总!$C$1:$AE$1,0)),0),2))</f>
        <v/>
      </c>
      <c r="E242" s="15" t="str">
        <f aca="false">IF($D242="","",ROUND($C242-$D242,2))</f>
        <v/>
      </c>
      <c r="F242" s="38" t="str">
        <f aca="false">IF($A242&amp;$B242="","",IF(COUNTIF(门店对照!$A$2:$A$66,$A242)=0,"× 门店编码不对",IF(COUNTIF(科目对照收入!$B$2:$B$23,$B242)=0,"× 渠道名不对",IF(INDEX(科目对照收入!$E$2:$E$23,MATCH($B242,科目对照收入!$B$2:$B$23,0))&lt;&gt;"平台优先","× 该项目不按平台金额",IF(COUNTIFS($A$2:$A$601,$A242,$B$2:$B$601,$B242)&gt;1,"× 同店同渠道重复","√")))))</f>
        <v/>
      </c>
    </row>
    <row r="243" customFormat="false" ht="13.5" hidden="false" customHeight="false" outlineLevel="0" collapsed="false">
      <c r="A243" s="35"/>
      <c r="B243" s="35"/>
      <c r="C243" s="37"/>
      <c r="D243" s="15" t="str">
        <f aca="false">IF(OR($A243="",$B243=""),"",ROUND(IFERROR(INDEX(海典汇总!$C$3:$AE$67,MATCH($A243,海典汇总!$A$3:$A$67,0),MATCH(INDEX(科目对照收入!$F$2:$F$23,MATCH($B243,科目对照收入!$B$2:$B$23,0)),海典汇总!$C$1:$AE$1,0)),0)+IFERROR(INDEX(海典汇总!$C$3:$AE$67,MATCH($A243,海典汇总!$A$3:$A$67,0),MATCH(INDEX(科目对照收入!$G$2:$G$23,MATCH($B243,科目对照收入!$B$2:$B$23,0)),海典汇总!$C$1:$AE$1,0)),0)+IFERROR(INDEX(海典汇总!$C$3:$AE$67,MATCH($A243,海典汇总!$A$3:$A$67,0),MATCH(INDEX(科目对照收入!$H$2:$H$23,MATCH($B243,科目对照收入!$B$2:$B$23,0)),海典汇总!$C$1:$AE$1,0)),0),2))</f>
        <v/>
      </c>
      <c r="E243" s="15" t="str">
        <f aca="false">IF($D243="","",ROUND($C243-$D243,2))</f>
        <v/>
      </c>
      <c r="F243" s="38" t="str">
        <f aca="false">IF($A243&amp;$B243="","",IF(COUNTIF(门店对照!$A$2:$A$66,$A243)=0,"× 门店编码不对",IF(COUNTIF(科目对照收入!$B$2:$B$23,$B243)=0,"× 渠道名不对",IF(INDEX(科目对照收入!$E$2:$E$23,MATCH($B243,科目对照收入!$B$2:$B$23,0))&lt;&gt;"平台优先","× 该项目不按平台金额",IF(COUNTIFS($A$2:$A$601,$A243,$B$2:$B$601,$B243)&gt;1,"× 同店同渠道重复","√")))))</f>
        <v/>
      </c>
    </row>
    <row r="244" customFormat="false" ht="13.5" hidden="false" customHeight="false" outlineLevel="0" collapsed="false">
      <c r="A244" s="35"/>
      <c r="B244" s="35"/>
      <c r="C244" s="37"/>
      <c r="D244" s="15" t="str">
        <f aca="false">IF(OR($A244="",$B244=""),"",ROUND(IFERROR(INDEX(海典汇总!$C$3:$AE$67,MATCH($A244,海典汇总!$A$3:$A$67,0),MATCH(INDEX(科目对照收入!$F$2:$F$23,MATCH($B244,科目对照收入!$B$2:$B$23,0)),海典汇总!$C$1:$AE$1,0)),0)+IFERROR(INDEX(海典汇总!$C$3:$AE$67,MATCH($A244,海典汇总!$A$3:$A$67,0),MATCH(INDEX(科目对照收入!$G$2:$G$23,MATCH($B244,科目对照收入!$B$2:$B$23,0)),海典汇总!$C$1:$AE$1,0)),0)+IFERROR(INDEX(海典汇总!$C$3:$AE$67,MATCH($A244,海典汇总!$A$3:$A$67,0),MATCH(INDEX(科目对照收入!$H$2:$H$23,MATCH($B244,科目对照收入!$B$2:$B$23,0)),海典汇总!$C$1:$AE$1,0)),0),2))</f>
        <v/>
      </c>
      <c r="E244" s="15" t="str">
        <f aca="false">IF($D244="","",ROUND($C244-$D244,2))</f>
        <v/>
      </c>
      <c r="F244" s="38" t="str">
        <f aca="false">IF($A244&amp;$B244="","",IF(COUNTIF(门店对照!$A$2:$A$66,$A244)=0,"× 门店编码不对",IF(COUNTIF(科目对照收入!$B$2:$B$23,$B244)=0,"× 渠道名不对",IF(INDEX(科目对照收入!$E$2:$E$23,MATCH($B244,科目对照收入!$B$2:$B$23,0))&lt;&gt;"平台优先","× 该项目不按平台金额",IF(COUNTIFS($A$2:$A$601,$A244,$B$2:$B$601,$B244)&gt;1,"× 同店同渠道重复","√")))))</f>
        <v/>
      </c>
    </row>
    <row r="245" customFormat="false" ht="13.5" hidden="false" customHeight="false" outlineLevel="0" collapsed="false">
      <c r="A245" s="35"/>
      <c r="B245" s="35"/>
      <c r="C245" s="37"/>
      <c r="D245" s="15" t="str">
        <f aca="false">IF(OR($A245="",$B245=""),"",ROUND(IFERROR(INDEX(海典汇总!$C$3:$AE$67,MATCH($A245,海典汇总!$A$3:$A$67,0),MATCH(INDEX(科目对照收入!$F$2:$F$23,MATCH($B245,科目对照收入!$B$2:$B$23,0)),海典汇总!$C$1:$AE$1,0)),0)+IFERROR(INDEX(海典汇总!$C$3:$AE$67,MATCH($A245,海典汇总!$A$3:$A$67,0),MATCH(INDEX(科目对照收入!$G$2:$G$23,MATCH($B245,科目对照收入!$B$2:$B$23,0)),海典汇总!$C$1:$AE$1,0)),0)+IFERROR(INDEX(海典汇总!$C$3:$AE$67,MATCH($A245,海典汇总!$A$3:$A$67,0),MATCH(INDEX(科目对照收入!$H$2:$H$23,MATCH($B245,科目对照收入!$B$2:$B$23,0)),海典汇总!$C$1:$AE$1,0)),0),2))</f>
        <v/>
      </c>
      <c r="E245" s="15" t="str">
        <f aca="false">IF($D245="","",ROUND($C245-$D245,2))</f>
        <v/>
      </c>
      <c r="F245" s="38" t="str">
        <f aca="false">IF($A245&amp;$B245="","",IF(COUNTIF(门店对照!$A$2:$A$66,$A245)=0,"× 门店编码不对",IF(COUNTIF(科目对照收入!$B$2:$B$23,$B245)=0,"× 渠道名不对",IF(INDEX(科目对照收入!$E$2:$E$23,MATCH($B245,科目对照收入!$B$2:$B$23,0))&lt;&gt;"平台优先","× 该项目不按平台金额",IF(COUNTIFS($A$2:$A$601,$A245,$B$2:$B$601,$B245)&gt;1,"× 同店同渠道重复","√")))))</f>
        <v/>
      </c>
    </row>
    <row r="246" customFormat="false" ht="13.5" hidden="false" customHeight="false" outlineLevel="0" collapsed="false">
      <c r="A246" s="35"/>
      <c r="B246" s="35"/>
      <c r="C246" s="37"/>
      <c r="D246" s="15" t="str">
        <f aca="false">IF(OR($A246="",$B246=""),"",ROUND(IFERROR(INDEX(海典汇总!$C$3:$AE$67,MATCH($A246,海典汇总!$A$3:$A$67,0),MATCH(INDEX(科目对照收入!$F$2:$F$23,MATCH($B246,科目对照收入!$B$2:$B$23,0)),海典汇总!$C$1:$AE$1,0)),0)+IFERROR(INDEX(海典汇总!$C$3:$AE$67,MATCH($A246,海典汇总!$A$3:$A$67,0),MATCH(INDEX(科目对照收入!$G$2:$G$23,MATCH($B246,科目对照收入!$B$2:$B$23,0)),海典汇总!$C$1:$AE$1,0)),0)+IFERROR(INDEX(海典汇总!$C$3:$AE$67,MATCH($A246,海典汇总!$A$3:$A$67,0),MATCH(INDEX(科目对照收入!$H$2:$H$23,MATCH($B246,科目对照收入!$B$2:$B$23,0)),海典汇总!$C$1:$AE$1,0)),0),2))</f>
        <v/>
      </c>
      <c r="E246" s="15" t="str">
        <f aca="false">IF($D246="","",ROUND($C246-$D246,2))</f>
        <v/>
      </c>
      <c r="F246" s="38" t="str">
        <f aca="false">IF($A246&amp;$B246="","",IF(COUNTIF(门店对照!$A$2:$A$66,$A246)=0,"× 门店编码不对",IF(COUNTIF(科目对照收入!$B$2:$B$23,$B246)=0,"× 渠道名不对",IF(INDEX(科目对照收入!$E$2:$E$23,MATCH($B246,科目对照收入!$B$2:$B$23,0))&lt;&gt;"平台优先","× 该项目不按平台金额",IF(COUNTIFS($A$2:$A$601,$A246,$B$2:$B$601,$B246)&gt;1,"× 同店同渠道重复","√")))))</f>
        <v/>
      </c>
    </row>
    <row r="247" customFormat="false" ht="13.5" hidden="false" customHeight="false" outlineLevel="0" collapsed="false">
      <c r="A247" s="35"/>
      <c r="B247" s="35"/>
      <c r="C247" s="37"/>
      <c r="D247" s="15" t="str">
        <f aca="false">IF(OR($A247="",$B247=""),"",ROUND(IFERROR(INDEX(海典汇总!$C$3:$AE$67,MATCH($A247,海典汇总!$A$3:$A$67,0),MATCH(INDEX(科目对照收入!$F$2:$F$23,MATCH($B247,科目对照收入!$B$2:$B$23,0)),海典汇总!$C$1:$AE$1,0)),0)+IFERROR(INDEX(海典汇总!$C$3:$AE$67,MATCH($A247,海典汇总!$A$3:$A$67,0),MATCH(INDEX(科目对照收入!$G$2:$G$23,MATCH($B247,科目对照收入!$B$2:$B$23,0)),海典汇总!$C$1:$AE$1,0)),0)+IFERROR(INDEX(海典汇总!$C$3:$AE$67,MATCH($A247,海典汇总!$A$3:$A$67,0),MATCH(INDEX(科目对照收入!$H$2:$H$23,MATCH($B247,科目对照收入!$B$2:$B$23,0)),海典汇总!$C$1:$AE$1,0)),0),2))</f>
        <v/>
      </c>
      <c r="E247" s="15" t="str">
        <f aca="false">IF($D247="","",ROUND($C247-$D247,2))</f>
        <v/>
      </c>
      <c r="F247" s="38" t="str">
        <f aca="false">IF($A247&amp;$B247="","",IF(COUNTIF(门店对照!$A$2:$A$66,$A247)=0,"× 门店编码不对",IF(COUNTIF(科目对照收入!$B$2:$B$23,$B247)=0,"× 渠道名不对",IF(INDEX(科目对照收入!$E$2:$E$23,MATCH($B247,科目对照收入!$B$2:$B$23,0))&lt;&gt;"平台优先","× 该项目不按平台金额",IF(COUNTIFS($A$2:$A$601,$A247,$B$2:$B$601,$B247)&gt;1,"× 同店同渠道重复","√")))))</f>
        <v/>
      </c>
    </row>
    <row r="248" customFormat="false" ht="13.5" hidden="false" customHeight="false" outlineLevel="0" collapsed="false">
      <c r="A248" s="35"/>
      <c r="B248" s="35"/>
      <c r="C248" s="37"/>
      <c r="D248" s="15" t="str">
        <f aca="false">IF(OR($A248="",$B248=""),"",ROUND(IFERROR(INDEX(海典汇总!$C$3:$AE$67,MATCH($A248,海典汇总!$A$3:$A$67,0),MATCH(INDEX(科目对照收入!$F$2:$F$23,MATCH($B248,科目对照收入!$B$2:$B$23,0)),海典汇总!$C$1:$AE$1,0)),0)+IFERROR(INDEX(海典汇总!$C$3:$AE$67,MATCH($A248,海典汇总!$A$3:$A$67,0),MATCH(INDEX(科目对照收入!$G$2:$G$23,MATCH($B248,科目对照收入!$B$2:$B$23,0)),海典汇总!$C$1:$AE$1,0)),0)+IFERROR(INDEX(海典汇总!$C$3:$AE$67,MATCH($A248,海典汇总!$A$3:$A$67,0),MATCH(INDEX(科目对照收入!$H$2:$H$23,MATCH($B248,科目对照收入!$B$2:$B$23,0)),海典汇总!$C$1:$AE$1,0)),0),2))</f>
        <v/>
      </c>
      <c r="E248" s="15" t="str">
        <f aca="false">IF($D248="","",ROUND($C248-$D248,2))</f>
        <v/>
      </c>
      <c r="F248" s="38" t="str">
        <f aca="false">IF($A248&amp;$B248="","",IF(COUNTIF(门店对照!$A$2:$A$66,$A248)=0,"× 门店编码不对",IF(COUNTIF(科目对照收入!$B$2:$B$23,$B248)=0,"× 渠道名不对",IF(INDEX(科目对照收入!$E$2:$E$23,MATCH($B248,科目对照收入!$B$2:$B$23,0))&lt;&gt;"平台优先","× 该项目不按平台金额",IF(COUNTIFS($A$2:$A$601,$A248,$B$2:$B$601,$B248)&gt;1,"× 同店同渠道重复","√")))))</f>
        <v/>
      </c>
    </row>
    <row r="249" customFormat="false" ht="13.5" hidden="false" customHeight="false" outlineLevel="0" collapsed="false">
      <c r="A249" s="35"/>
      <c r="B249" s="35"/>
      <c r="C249" s="37"/>
      <c r="D249" s="15" t="str">
        <f aca="false">IF(OR($A249="",$B249=""),"",ROUND(IFERROR(INDEX(海典汇总!$C$3:$AE$67,MATCH($A249,海典汇总!$A$3:$A$67,0),MATCH(INDEX(科目对照收入!$F$2:$F$23,MATCH($B249,科目对照收入!$B$2:$B$23,0)),海典汇总!$C$1:$AE$1,0)),0)+IFERROR(INDEX(海典汇总!$C$3:$AE$67,MATCH($A249,海典汇总!$A$3:$A$67,0),MATCH(INDEX(科目对照收入!$G$2:$G$23,MATCH($B249,科目对照收入!$B$2:$B$23,0)),海典汇总!$C$1:$AE$1,0)),0)+IFERROR(INDEX(海典汇总!$C$3:$AE$67,MATCH($A249,海典汇总!$A$3:$A$67,0),MATCH(INDEX(科目对照收入!$H$2:$H$23,MATCH($B249,科目对照收入!$B$2:$B$23,0)),海典汇总!$C$1:$AE$1,0)),0),2))</f>
        <v/>
      </c>
      <c r="E249" s="15" t="str">
        <f aca="false">IF($D249="","",ROUND($C249-$D249,2))</f>
        <v/>
      </c>
      <c r="F249" s="38" t="str">
        <f aca="false">IF($A249&amp;$B249="","",IF(COUNTIF(门店对照!$A$2:$A$66,$A249)=0,"× 门店编码不对",IF(COUNTIF(科目对照收入!$B$2:$B$23,$B249)=0,"× 渠道名不对",IF(INDEX(科目对照收入!$E$2:$E$23,MATCH($B249,科目对照收入!$B$2:$B$23,0))&lt;&gt;"平台优先","× 该项目不按平台金额",IF(COUNTIFS($A$2:$A$601,$A249,$B$2:$B$601,$B249)&gt;1,"× 同店同渠道重复","√")))))</f>
        <v/>
      </c>
    </row>
    <row r="250" customFormat="false" ht="13.5" hidden="false" customHeight="false" outlineLevel="0" collapsed="false">
      <c r="A250" s="35"/>
      <c r="B250" s="35"/>
      <c r="C250" s="37"/>
      <c r="D250" s="15" t="str">
        <f aca="false">IF(OR($A250="",$B250=""),"",ROUND(IFERROR(INDEX(海典汇总!$C$3:$AE$67,MATCH($A250,海典汇总!$A$3:$A$67,0),MATCH(INDEX(科目对照收入!$F$2:$F$23,MATCH($B250,科目对照收入!$B$2:$B$23,0)),海典汇总!$C$1:$AE$1,0)),0)+IFERROR(INDEX(海典汇总!$C$3:$AE$67,MATCH($A250,海典汇总!$A$3:$A$67,0),MATCH(INDEX(科目对照收入!$G$2:$G$23,MATCH($B250,科目对照收入!$B$2:$B$23,0)),海典汇总!$C$1:$AE$1,0)),0)+IFERROR(INDEX(海典汇总!$C$3:$AE$67,MATCH($A250,海典汇总!$A$3:$A$67,0),MATCH(INDEX(科目对照收入!$H$2:$H$23,MATCH($B250,科目对照收入!$B$2:$B$23,0)),海典汇总!$C$1:$AE$1,0)),0),2))</f>
        <v/>
      </c>
      <c r="E250" s="15" t="str">
        <f aca="false">IF($D250="","",ROUND($C250-$D250,2))</f>
        <v/>
      </c>
      <c r="F250" s="38" t="str">
        <f aca="false">IF($A250&amp;$B250="","",IF(COUNTIF(门店对照!$A$2:$A$66,$A250)=0,"× 门店编码不对",IF(COUNTIF(科目对照收入!$B$2:$B$23,$B250)=0,"× 渠道名不对",IF(INDEX(科目对照收入!$E$2:$E$23,MATCH($B250,科目对照收入!$B$2:$B$23,0))&lt;&gt;"平台优先","× 该项目不按平台金额",IF(COUNTIFS($A$2:$A$601,$A250,$B$2:$B$601,$B250)&gt;1,"× 同店同渠道重复","√")))))</f>
        <v/>
      </c>
    </row>
    <row r="251" customFormat="false" ht="13.5" hidden="false" customHeight="false" outlineLevel="0" collapsed="false">
      <c r="A251" s="35"/>
      <c r="B251" s="35"/>
      <c r="C251" s="37"/>
      <c r="D251" s="15" t="str">
        <f aca="false">IF(OR($A251="",$B251=""),"",ROUND(IFERROR(INDEX(海典汇总!$C$3:$AE$67,MATCH($A251,海典汇总!$A$3:$A$67,0),MATCH(INDEX(科目对照收入!$F$2:$F$23,MATCH($B251,科目对照收入!$B$2:$B$23,0)),海典汇总!$C$1:$AE$1,0)),0)+IFERROR(INDEX(海典汇总!$C$3:$AE$67,MATCH($A251,海典汇总!$A$3:$A$67,0),MATCH(INDEX(科目对照收入!$G$2:$G$23,MATCH($B251,科目对照收入!$B$2:$B$23,0)),海典汇总!$C$1:$AE$1,0)),0)+IFERROR(INDEX(海典汇总!$C$3:$AE$67,MATCH($A251,海典汇总!$A$3:$A$67,0),MATCH(INDEX(科目对照收入!$H$2:$H$23,MATCH($B251,科目对照收入!$B$2:$B$23,0)),海典汇总!$C$1:$AE$1,0)),0),2))</f>
        <v/>
      </c>
      <c r="E251" s="15" t="str">
        <f aca="false">IF($D251="","",ROUND($C251-$D251,2))</f>
        <v/>
      </c>
      <c r="F251" s="38" t="str">
        <f aca="false">IF($A251&amp;$B251="","",IF(COUNTIF(门店对照!$A$2:$A$66,$A251)=0,"× 门店编码不对",IF(COUNTIF(科目对照收入!$B$2:$B$23,$B251)=0,"× 渠道名不对",IF(INDEX(科目对照收入!$E$2:$E$23,MATCH($B251,科目对照收入!$B$2:$B$23,0))&lt;&gt;"平台优先","× 该项目不按平台金额",IF(COUNTIFS($A$2:$A$601,$A251,$B$2:$B$601,$B251)&gt;1,"× 同店同渠道重复","√")))))</f>
        <v/>
      </c>
    </row>
    <row r="252" customFormat="false" ht="13.5" hidden="false" customHeight="false" outlineLevel="0" collapsed="false">
      <c r="A252" s="35"/>
      <c r="B252" s="35"/>
      <c r="C252" s="37"/>
      <c r="D252" s="15" t="str">
        <f aca="false">IF(OR($A252="",$B252=""),"",ROUND(IFERROR(INDEX(海典汇总!$C$3:$AE$67,MATCH($A252,海典汇总!$A$3:$A$67,0),MATCH(INDEX(科目对照收入!$F$2:$F$23,MATCH($B252,科目对照收入!$B$2:$B$23,0)),海典汇总!$C$1:$AE$1,0)),0)+IFERROR(INDEX(海典汇总!$C$3:$AE$67,MATCH($A252,海典汇总!$A$3:$A$67,0),MATCH(INDEX(科目对照收入!$G$2:$G$23,MATCH($B252,科目对照收入!$B$2:$B$23,0)),海典汇总!$C$1:$AE$1,0)),0)+IFERROR(INDEX(海典汇总!$C$3:$AE$67,MATCH($A252,海典汇总!$A$3:$A$67,0),MATCH(INDEX(科目对照收入!$H$2:$H$23,MATCH($B252,科目对照收入!$B$2:$B$23,0)),海典汇总!$C$1:$AE$1,0)),0),2))</f>
        <v/>
      </c>
      <c r="E252" s="15" t="str">
        <f aca="false">IF($D252="","",ROUND($C252-$D252,2))</f>
        <v/>
      </c>
      <c r="F252" s="38" t="str">
        <f aca="false">IF($A252&amp;$B252="","",IF(COUNTIF(门店对照!$A$2:$A$66,$A252)=0,"× 门店编码不对",IF(COUNTIF(科目对照收入!$B$2:$B$23,$B252)=0,"× 渠道名不对",IF(INDEX(科目对照收入!$E$2:$E$23,MATCH($B252,科目对照收入!$B$2:$B$23,0))&lt;&gt;"平台优先","× 该项目不按平台金额",IF(COUNTIFS($A$2:$A$601,$A252,$B$2:$B$601,$B252)&gt;1,"× 同店同渠道重复","√")))))</f>
        <v/>
      </c>
    </row>
    <row r="253" customFormat="false" ht="13.5" hidden="false" customHeight="false" outlineLevel="0" collapsed="false">
      <c r="A253" s="35"/>
      <c r="B253" s="35"/>
      <c r="C253" s="37"/>
      <c r="D253" s="15" t="str">
        <f aca="false">IF(OR($A253="",$B253=""),"",ROUND(IFERROR(INDEX(海典汇总!$C$3:$AE$67,MATCH($A253,海典汇总!$A$3:$A$67,0),MATCH(INDEX(科目对照收入!$F$2:$F$23,MATCH($B253,科目对照收入!$B$2:$B$23,0)),海典汇总!$C$1:$AE$1,0)),0)+IFERROR(INDEX(海典汇总!$C$3:$AE$67,MATCH($A253,海典汇总!$A$3:$A$67,0),MATCH(INDEX(科目对照收入!$G$2:$G$23,MATCH($B253,科目对照收入!$B$2:$B$23,0)),海典汇总!$C$1:$AE$1,0)),0)+IFERROR(INDEX(海典汇总!$C$3:$AE$67,MATCH($A253,海典汇总!$A$3:$A$67,0),MATCH(INDEX(科目对照收入!$H$2:$H$23,MATCH($B253,科目对照收入!$B$2:$B$23,0)),海典汇总!$C$1:$AE$1,0)),0),2))</f>
        <v/>
      </c>
      <c r="E253" s="15" t="str">
        <f aca="false">IF($D253="","",ROUND($C253-$D253,2))</f>
        <v/>
      </c>
      <c r="F253" s="38" t="str">
        <f aca="false">IF($A253&amp;$B253="","",IF(COUNTIF(门店对照!$A$2:$A$66,$A253)=0,"× 门店编码不对",IF(COUNTIF(科目对照收入!$B$2:$B$23,$B253)=0,"× 渠道名不对",IF(INDEX(科目对照收入!$E$2:$E$23,MATCH($B253,科目对照收入!$B$2:$B$23,0))&lt;&gt;"平台优先","× 该项目不按平台金额",IF(COUNTIFS($A$2:$A$601,$A253,$B$2:$B$601,$B253)&gt;1,"× 同店同渠道重复","√")))))</f>
        <v/>
      </c>
    </row>
    <row r="254" customFormat="false" ht="13.5" hidden="false" customHeight="false" outlineLevel="0" collapsed="false">
      <c r="A254" s="35"/>
      <c r="B254" s="35"/>
      <c r="C254" s="37"/>
      <c r="D254" s="15" t="str">
        <f aca="false">IF(OR($A254="",$B254=""),"",ROUND(IFERROR(INDEX(海典汇总!$C$3:$AE$67,MATCH($A254,海典汇总!$A$3:$A$67,0),MATCH(INDEX(科目对照收入!$F$2:$F$23,MATCH($B254,科目对照收入!$B$2:$B$23,0)),海典汇总!$C$1:$AE$1,0)),0)+IFERROR(INDEX(海典汇总!$C$3:$AE$67,MATCH($A254,海典汇总!$A$3:$A$67,0),MATCH(INDEX(科目对照收入!$G$2:$G$23,MATCH($B254,科目对照收入!$B$2:$B$23,0)),海典汇总!$C$1:$AE$1,0)),0)+IFERROR(INDEX(海典汇总!$C$3:$AE$67,MATCH($A254,海典汇总!$A$3:$A$67,0),MATCH(INDEX(科目对照收入!$H$2:$H$23,MATCH($B254,科目对照收入!$B$2:$B$23,0)),海典汇总!$C$1:$AE$1,0)),0),2))</f>
        <v/>
      </c>
      <c r="E254" s="15" t="str">
        <f aca="false">IF($D254="","",ROUND($C254-$D254,2))</f>
        <v/>
      </c>
      <c r="F254" s="38" t="str">
        <f aca="false">IF($A254&amp;$B254="","",IF(COUNTIF(门店对照!$A$2:$A$66,$A254)=0,"× 门店编码不对",IF(COUNTIF(科目对照收入!$B$2:$B$23,$B254)=0,"× 渠道名不对",IF(INDEX(科目对照收入!$E$2:$E$23,MATCH($B254,科目对照收入!$B$2:$B$23,0))&lt;&gt;"平台优先","× 该项目不按平台金额",IF(COUNTIFS($A$2:$A$601,$A254,$B$2:$B$601,$B254)&gt;1,"× 同店同渠道重复","√")))))</f>
        <v/>
      </c>
    </row>
    <row r="255" customFormat="false" ht="13.5" hidden="false" customHeight="false" outlineLevel="0" collapsed="false">
      <c r="A255" s="35"/>
      <c r="B255" s="35"/>
      <c r="C255" s="37"/>
      <c r="D255" s="15" t="str">
        <f aca="false">IF(OR($A255="",$B255=""),"",ROUND(IFERROR(INDEX(海典汇总!$C$3:$AE$67,MATCH($A255,海典汇总!$A$3:$A$67,0),MATCH(INDEX(科目对照收入!$F$2:$F$23,MATCH($B255,科目对照收入!$B$2:$B$23,0)),海典汇总!$C$1:$AE$1,0)),0)+IFERROR(INDEX(海典汇总!$C$3:$AE$67,MATCH($A255,海典汇总!$A$3:$A$67,0),MATCH(INDEX(科目对照收入!$G$2:$G$23,MATCH($B255,科目对照收入!$B$2:$B$23,0)),海典汇总!$C$1:$AE$1,0)),0)+IFERROR(INDEX(海典汇总!$C$3:$AE$67,MATCH($A255,海典汇总!$A$3:$A$67,0),MATCH(INDEX(科目对照收入!$H$2:$H$23,MATCH($B255,科目对照收入!$B$2:$B$23,0)),海典汇总!$C$1:$AE$1,0)),0),2))</f>
        <v/>
      </c>
      <c r="E255" s="15" t="str">
        <f aca="false">IF($D255="","",ROUND($C255-$D255,2))</f>
        <v/>
      </c>
      <c r="F255" s="38" t="str">
        <f aca="false">IF($A255&amp;$B255="","",IF(COUNTIF(门店对照!$A$2:$A$66,$A255)=0,"× 门店编码不对",IF(COUNTIF(科目对照收入!$B$2:$B$23,$B255)=0,"× 渠道名不对",IF(INDEX(科目对照收入!$E$2:$E$23,MATCH($B255,科目对照收入!$B$2:$B$23,0))&lt;&gt;"平台优先","× 该项目不按平台金额",IF(COUNTIFS($A$2:$A$601,$A255,$B$2:$B$601,$B255)&gt;1,"× 同店同渠道重复","√")))))</f>
        <v/>
      </c>
    </row>
    <row r="256" customFormat="false" ht="13.5" hidden="false" customHeight="false" outlineLevel="0" collapsed="false">
      <c r="A256" s="35"/>
      <c r="B256" s="35"/>
      <c r="C256" s="37"/>
      <c r="D256" s="15" t="str">
        <f aca="false">IF(OR($A256="",$B256=""),"",ROUND(IFERROR(INDEX(海典汇总!$C$3:$AE$67,MATCH($A256,海典汇总!$A$3:$A$67,0),MATCH(INDEX(科目对照收入!$F$2:$F$23,MATCH($B256,科目对照收入!$B$2:$B$23,0)),海典汇总!$C$1:$AE$1,0)),0)+IFERROR(INDEX(海典汇总!$C$3:$AE$67,MATCH($A256,海典汇总!$A$3:$A$67,0),MATCH(INDEX(科目对照收入!$G$2:$G$23,MATCH($B256,科目对照收入!$B$2:$B$23,0)),海典汇总!$C$1:$AE$1,0)),0)+IFERROR(INDEX(海典汇总!$C$3:$AE$67,MATCH($A256,海典汇总!$A$3:$A$67,0),MATCH(INDEX(科目对照收入!$H$2:$H$23,MATCH($B256,科目对照收入!$B$2:$B$23,0)),海典汇总!$C$1:$AE$1,0)),0),2))</f>
        <v/>
      </c>
      <c r="E256" s="15" t="str">
        <f aca="false">IF($D256="","",ROUND($C256-$D256,2))</f>
        <v/>
      </c>
      <c r="F256" s="38" t="str">
        <f aca="false">IF($A256&amp;$B256="","",IF(COUNTIF(门店对照!$A$2:$A$66,$A256)=0,"× 门店编码不对",IF(COUNTIF(科目对照收入!$B$2:$B$23,$B256)=0,"× 渠道名不对",IF(INDEX(科目对照收入!$E$2:$E$23,MATCH($B256,科目对照收入!$B$2:$B$23,0))&lt;&gt;"平台优先","× 该项目不按平台金额",IF(COUNTIFS($A$2:$A$601,$A256,$B$2:$B$601,$B256)&gt;1,"× 同店同渠道重复","√")))))</f>
        <v/>
      </c>
    </row>
    <row r="257" customFormat="false" ht="13.5" hidden="false" customHeight="false" outlineLevel="0" collapsed="false">
      <c r="A257" s="35"/>
      <c r="B257" s="35"/>
      <c r="C257" s="37"/>
      <c r="D257" s="15" t="str">
        <f aca="false">IF(OR($A257="",$B257=""),"",ROUND(IFERROR(INDEX(海典汇总!$C$3:$AE$67,MATCH($A257,海典汇总!$A$3:$A$67,0),MATCH(INDEX(科目对照收入!$F$2:$F$23,MATCH($B257,科目对照收入!$B$2:$B$23,0)),海典汇总!$C$1:$AE$1,0)),0)+IFERROR(INDEX(海典汇总!$C$3:$AE$67,MATCH($A257,海典汇总!$A$3:$A$67,0),MATCH(INDEX(科目对照收入!$G$2:$G$23,MATCH($B257,科目对照收入!$B$2:$B$23,0)),海典汇总!$C$1:$AE$1,0)),0)+IFERROR(INDEX(海典汇总!$C$3:$AE$67,MATCH($A257,海典汇总!$A$3:$A$67,0),MATCH(INDEX(科目对照收入!$H$2:$H$23,MATCH($B257,科目对照收入!$B$2:$B$23,0)),海典汇总!$C$1:$AE$1,0)),0),2))</f>
        <v/>
      </c>
      <c r="E257" s="15" t="str">
        <f aca="false">IF($D257="","",ROUND($C257-$D257,2))</f>
        <v/>
      </c>
      <c r="F257" s="38" t="str">
        <f aca="false">IF($A257&amp;$B257="","",IF(COUNTIF(门店对照!$A$2:$A$66,$A257)=0,"× 门店编码不对",IF(COUNTIF(科目对照收入!$B$2:$B$23,$B257)=0,"× 渠道名不对",IF(INDEX(科目对照收入!$E$2:$E$23,MATCH($B257,科目对照收入!$B$2:$B$23,0))&lt;&gt;"平台优先","× 该项目不按平台金额",IF(COUNTIFS($A$2:$A$601,$A257,$B$2:$B$601,$B257)&gt;1,"× 同店同渠道重复","√")))))</f>
        <v/>
      </c>
    </row>
    <row r="258" customFormat="false" ht="13.5" hidden="false" customHeight="false" outlineLevel="0" collapsed="false">
      <c r="A258" s="35"/>
      <c r="B258" s="35"/>
      <c r="C258" s="37"/>
      <c r="D258" s="15" t="str">
        <f aca="false">IF(OR($A258="",$B258=""),"",ROUND(IFERROR(INDEX(海典汇总!$C$3:$AE$67,MATCH($A258,海典汇总!$A$3:$A$67,0),MATCH(INDEX(科目对照收入!$F$2:$F$23,MATCH($B258,科目对照收入!$B$2:$B$23,0)),海典汇总!$C$1:$AE$1,0)),0)+IFERROR(INDEX(海典汇总!$C$3:$AE$67,MATCH($A258,海典汇总!$A$3:$A$67,0),MATCH(INDEX(科目对照收入!$G$2:$G$23,MATCH($B258,科目对照收入!$B$2:$B$23,0)),海典汇总!$C$1:$AE$1,0)),0)+IFERROR(INDEX(海典汇总!$C$3:$AE$67,MATCH($A258,海典汇总!$A$3:$A$67,0),MATCH(INDEX(科目对照收入!$H$2:$H$23,MATCH($B258,科目对照收入!$B$2:$B$23,0)),海典汇总!$C$1:$AE$1,0)),0),2))</f>
        <v/>
      </c>
      <c r="E258" s="15" t="str">
        <f aca="false">IF($D258="","",ROUND($C258-$D258,2))</f>
        <v/>
      </c>
      <c r="F258" s="38" t="str">
        <f aca="false">IF($A258&amp;$B258="","",IF(COUNTIF(门店对照!$A$2:$A$66,$A258)=0,"× 门店编码不对",IF(COUNTIF(科目对照收入!$B$2:$B$23,$B258)=0,"× 渠道名不对",IF(INDEX(科目对照收入!$E$2:$E$23,MATCH($B258,科目对照收入!$B$2:$B$23,0))&lt;&gt;"平台优先","× 该项目不按平台金额",IF(COUNTIFS($A$2:$A$601,$A258,$B$2:$B$601,$B258)&gt;1,"× 同店同渠道重复","√")))))</f>
        <v/>
      </c>
    </row>
    <row r="259" customFormat="false" ht="13.5" hidden="false" customHeight="false" outlineLevel="0" collapsed="false">
      <c r="A259" s="35"/>
      <c r="B259" s="35"/>
      <c r="C259" s="37"/>
      <c r="D259" s="15" t="str">
        <f aca="false">IF(OR($A259="",$B259=""),"",ROUND(IFERROR(INDEX(海典汇总!$C$3:$AE$67,MATCH($A259,海典汇总!$A$3:$A$67,0),MATCH(INDEX(科目对照收入!$F$2:$F$23,MATCH($B259,科目对照收入!$B$2:$B$23,0)),海典汇总!$C$1:$AE$1,0)),0)+IFERROR(INDEX(海典汇总!$C$3:$AE$67,MATCH($A259,海典汇总!$A$3:$A$67,0),MATCH(INDEX(科目对照收入!$G$2:$G$23,MATCH($B259,科目对照收入!$B$2:$B$23,0)),海典汇总!$C$1:$AE$1,0)),0)+IFERROR(INDEX(海典汇总!$C$3:$AE$67,MATCH($A259,海典汇总!$A$3:$A$67,0),MATCH(INDEX(科目对照收入!$H$2:$H$23,MATCH($B259,科目对照收入!$B$2:$B$23,0)),海典汇总!$C$1:$AE$1,0)),0),2))</f>
        <v/>
      </c>
      <c r="E259" s="15" t="str">
        <f aca="false">IF($D259="","",ROUND($C259-$D259,2))</f>
        <v/>
      </c>
      <c r="F259" s="38" t="str">
        <f aca="false">IF($A259&amp;$B259="","",IF(COUNTIF(门店对照!$A$2:$A$66,$A259)=0,"× 门店编码不对",IF(COUNTIF(科目对照收入!$B$2:$B$23,$B259)=0,"× 渠道名不对",IF(INDEX(科目对照收入!$E$2:$E$23,MATCH($B259,科目对照收入!$B$2:$B$23,0))&lt;&gt;"平台优先","× 该项目不按平台金额",IF(COUNTIFS($A$2:$A$601,$A259,$B$2:$B$601,$B259)&gt;1,"× 同店同渠道重复","√")))))</f>
        <v/>
      </c>
    </row>
    <row r="260" customFormat="false" ht="13.5" hidden="false" customHeight="false" outlineLevel="0" collapsed="false">
      <c r="A260" s="35"/>
      <c r="B260" s="35"/>
      <c r="C260" s="37"/>
      <c r="D260" s="15" t="str">
        <f aca="false">IF(OR($A260="",$B260=""),"",ROUND(IFERROR(INDEX(海典汇总!$C$3:$AE$67,MATCH($A260,海典汇总!$A$3:$A$67,0),MATCH(INDEX(科目对照收入!$F$2:$F$23,MATCH($B260,科目对照收入!$B$2:$B$23,0)),海典汇总!$C$1:$AE$1,0)),0)+IFERROR(INDEX(海典汇总!$C$3:$AE$67,MATCH($A260,海典汇总!$A$3:$A$67,0),MATCH(INDEX(科目对照收入!$G$2:$G$23,MATCH($B260,科目对照收入!$B$2:$B$23,0)),海典汇总!$C$1:$AE$1,0)),0)+IFERROR(INDEX(海典汇总!$C$3:$AE$67,MATCH($A260,海典汇总!$A$3:$A$67,0),MATCH(INDEX(科目对照收入!$H$2:$H$23,MATCH($B260,科目对照收入!$B$2:$B$23,0)),海典汇总!$C$1:$AE$1,0)),0),2))</f>
        <v/>
      </c>
      <c r="E260" s="15" t="str">
        <f aca="false">IF($D260="","",ROUND($C260-$D260,2))</f>
        <v/>
      </c>
      <c r="F260" s="38" t="str">
        <f aca="false">IF($A260&amp;$B260="","",IF(COUNTIF(门店对照!$A$2:$A$66,$A260)=0,"× 门店编码不对",IF(COUNTIF(科目对照收入!$B$2:$B$23,$B260)=0,"× 渠道名不对",IF(INDEX(科目对照收入!$E$2:$E$23,MATCH($B260,科目对照收入!$B$2:$B$23,0))&lt;&gt;"平台优先","× 该项目不按平台金额",IF(COUNTIFS($A$2:$A$601,$A260,$B$2:$B$601,$B260)&gt;1,"× 同店同渠道重复","√")))))</f>
        <v/>
      </c>
    </row>
    <row r="261" customFormat="false" ht="13.5" hidden="false" customHeight="false" outlineLevel="0" collapsed="false">
      <c r="A261" s="35"/>
      <c r="B261" s="35"/>
      <c r="C261" s="37"/>
      <c r="D261" s="15" t="str">
        <f aca="false">IF(OR($A261="",$B261=""),"",ROUND(IFERROR(INDEX(海典汇总!$C$3:$AE$67,MATCH($A261,海典汇总!$A$3:$A$67,0),MATCH(INDEX(科目对照收入!$F$2:$F$23,MATCH($B261,科目对照收入!$B$2:$B$23,0)),海典汇总!$C$1:$AE$1,0)),0)+IFERROR(INDEX(海典汇总!$C$3:$AE$67,MATCH($A261,海典汇总!$A$3:$A$67,0),MATCH(INDEX(科目对照收入!$G$2:$G$23,MATCH($B261,科目对照收入!$B$2:$B$23,0)),海典汇总!$C$1:$AE$1,0)),0)+IFERROR(INDEX(海典汇总!$C$3:$AE$67,MATCH($A261,海典汇总!$A$3:$A$67,0),MATCH(INDEX(科目对照收入!$H$2:$H$23,MATCH($B261,科目对照收入!$B$2:$B$23,0)),海典汇总!$C$1:$AE$1,0)),0),2))</f>
        <v/>
      </c>
      <c r="E261" s="15" t="str">
        <f aca="false">IF($D261="","",ROUND($C261-$D261,2))</f>
        <v/>
      </c>
      <c r="F261" s="38" t="str">
        <f aca="false">IF($A261&amp;$B261="","",IF(COUNTIF(门店对照!$A$2:$A$66,$A261)=0,"× 门店编码不对",IF(COUNTIF(科目对照收入!$B$2:$B$23,$B261)=0,"× 渠道名不对",IF(INDEX(科目对照收入!$E$2:$E$23,MATCH($B261,科目对照收入!$B$2:$B$23,0))&lt;&gt;"平台优先","× 该项目不按平台金额",IF(COUNTIFS($A$2:$A$601,$A261,$B$2:$B$601,$B261)&gt;1,"× 同店同渠道重复","√")))))</f>
        <v/>
      </c>
    </row>
    <row r="262" customFormat="false" ht="13.5" hidden="false" customHeight="false" outlineLevel="0" collapsed="false">
      <c r="A262" s="35"/>
      <c r="B262" s="35"/>
      <c r="C262" s="37"/>
      <c r="D262" s="15" t="str">
        <f aca="false">IF(OR($A262="",$B262=""),"",ROUND(IFERROR(INDEX(海典汇总!$C$3:$AE$67,MATCH($A262,海典汇总!$A$3:$A$67,0),MATCH(INDEX(科目对照收入!$F$2:$F$23,MATCH($B262,科目对照收入!$B$2:$B$23,0)),海典汇总!$C$1:$AE$1,0)),0)+IFERROR(INDEX(海典汇总!$C$3:$AE$67,MATCH($A262,海典汇总!$A$3:$A$67,0),MATCH(INDEX(科目对照收入!$G$2:$G$23,MATCH($B262,科目对照收入!$B$2:$B$23,0)),海典汇总!$C$1:$AE$1,0)),0)+IFERROR(INDEX(海典汇总!$C$3:$AE$67,MATCH($A262,海典汇总!$A$3:$A$67,0),MATCH(INDEX(科目对照收入!$H$2:$H$23,MATCH($B262,科目对照收入!$B$2:$B$23,0)),海典汇总!$C$1:$AE$1,0)),0),2))</f>
        <v/>
      </c>
      <c r="E262" s="15" t="str">
        <f aca="false">IF($D262="","",ROUND($C262-$D262,2))</f>
        <v/>
      </c>
      <c r="F262" s="38" t="str">
        <f aca="false">IF($A262&amp;$B262="","",IF(COUNTIF(门店对照!$A$2:$A$66,$A262)=0,"× 门店编码不对",IF(COUNTIF(科目对照收入!$B$2:$B$23,$B262)=0,"× 渠道名不对",IF(INDEX(科目对照收入!$E$2:$E$23,MATCH($B262,科目对照收入!$B$2:$B$23,0))&lt;&gt;"平台优先","× 该项目不按平台金额",IF(COUNTIFS($A$2:$A$601,$A262,$B$2:$B$601,$B262)&gt;1,"× 同店同渠道重复","√")))))</f>
        <v/>
      </c>
    </row>
    <row r="263" customFormat="false" ht="13.5" hidden="false" customHeight="false" outlineLevel="0" collapsed="false">
      <c r="A263" s="35"/>
      <c r="B263" s="35"/>
      <c r="C263" s="37"/>
      <c r="D263" s="15" t="str">
        <f aca="false">IF(OR($A263="",$B263=""),"",ROUND(IFERROR(INDEX(海典汇总!$C$3:$AE$67,MATCH($A263,海典汇总!$A$3:$A$67,0),MATCH(INDEX(科目对照收入!$F$2:$F$23,MATCH($B263,科目对照收入!$B$2:$B$23,0)),海典汇总!$C$1:$AE$1,0)),0)+IFERROR(INDEX(海典汇总!$C$3:$AE$67,MATCH($A263,海典汇总!$A$3:$A$67,0),MATCH(INDEX(科目对照收入!$G$2:$G$23,MATCH($B263,科目对照收入!$B$2:$B$23,0)),海典汇总!$C$1:$AE$1,0)),0)+IFERROR(INDEX(海典汇总!$C$3:$AE$67,MATCH($A263,海典汇总!$A$3:$A$67,0),MATCH(INDEX(科目对照收入!$H$2:$H$23,MATCH($B263,科目对照收入!$B$2:$B$23,0)),海典汇总!$C$1:$AE$1,0)),0),2))</f>
        <v/>
      </c>
      <c r="E263" s="15" t="str">
        <f aca="false">IF($D263="","",ROUND($C263-$D263,2))</f>
        <v/>
      </c>
      <c r="F263" s="38" t="str">
        <f aca="false">IF($A263&amp;$B263="","",IF(COUNTIF(门店对照!$A$2:$A$66,$A263)=0,"× 门店编码不对",IF(COUNTIF(科目对照收入!$B$2:$B$23,$B263)=0,"× 渠道名不对",IF(INDEX(科目对照收入!$E$2:$E$23,MATCH($B263,科目对照收入!$B$2:$B$23,0))&lt;&gt;"平台优先","× 该项目不按平台金额",IF(COUNTIFS($A$2:$A$601,$A263,$B$2:$B$601,$B263)&gt;1,"× 同店同渠道重复","√")))))</f>
        <v/>
      </c>
    </row>
    <row r="264" customFormat="false" ht="13.5" hidden="false" customHeight="false" outlineLevel="0" collapsed="false">
      <c r="A264" s="35"/>
      <c r="B264" s="35"/>
      <c r="C264" s="37"/>
      <c r="D264" s="15" t="str">
        <f aca="false">IF(OR($A264="",$B264=""),"",ROUND(IFERROR(INDEX(海典汇总!$C$3:$AE$67,MATCH($A264,海典汇总!$A$3:$A$67,0),MATCH(INDEX(科目对照收入!$F$2:$F$23,MATCH($B264,科目对照收入!$B$2:$B$23,0)),海典汇总!$C$1:$AE$1,0)),0)+IFERROR(INDEX(海典汇总!$C$3:$AE$67,MATCH($A264,海典汇总!$A$3:$A$67,0),MATCH(INDEX(科目对照收入!$G$2:$G$23,MATCH($B264,科目对照收入!$B$2:$B$23,0)),海典汇总!$C$1:$AE$1,0)),0)+IFERROR(INDEX(海典汇总!$C$3:$AE$67,MATCH($A264,海典汇总!$A$3:$A$67,0),MATCH(INDEX(科目对照收入!$H$2:$H$23,MATCH($B264,科目对照收入!$B$2:$B$23,0)),海典汇总!$C$1:$AE$1,0)),0),2))</f>
        <v/>
      </c>
      <c r="E264" s="15" t="str">
        <f aca="false">IF($D264="","",ROUND($C264-$D264,2))</f>
        <v/>
      </c>
      <c r="F264" s="38" t="str">
        <f aca="false">IF($A264&amp;$B264="","",IF(COUNTIF(门店对照!$A$2:$A$66,$A264)=0,"× 门店编码不对",IF(COUNTIF(科目对照收入!$B$2:$B$23,$B264)=0,"× 渠道名不对",IF(INDEX(科目对照收入!$E$2:$E$23,MATCH($B264,科目对照收入!$B$2:$B$23,0))&lt;&gt;"平台优先","× 该项目不按平台金额",IF(COUNTIFS($A$2:$A$601,$A264,$B$2:$B$601,$B264)&gt;1,"× 同店同渠道重复","√")))))</f>
        <v/>
      </c>
    </row>
    <row r="265" customFormat="false" ht="13.5" hidden="false" customHeight="false" outlineLevel="0" collapsed="false">
      <c r="A265" s="35"/>
      <c r="B265" s="35"/>
      <c r="C265" s="37"/>
      <c r="D265" s="15" t="str">
        <f aca="false">IF(OR($A265="",$B265=""),"",ROUND(IFERROR(INDEX(海典汇总!$C$3:$AE$67,MATCH($A265,海典汇总!$A$3:$A$67,0),MATCH(INDEX(科目对照收入!$F$2:$F$23,MATCH($B265,科目对照收入!$B$2:$B$23,0)),海典汇总!$C$1:$AE$1,0)),0)+IFERROR(INDEX(海典汇总!$C$3:$AE$67,MATCH($A265,海典汇总!$A$3:$A$67,0),MATCH(INDEX(科目对照收入!$G$2:$G$23,MATCH($B265,科目对照收入!$B$2:$B$23,0)),海典汇总!$C$1:$AE$1,0)),0)+IFERROR(INDEX(海典汇总!$C$3:$AE$67,MATCH($A265,海典汇总!$A$3:$A$67,0),MATCH(INDEX(科目对照收入!$H$2:$H$23,MATCH($B265,科目对照收入!$B$2:$B$23,0)),海典汇总!$C$1:$AE$1,0)),0),2))</f>
        <v/>
      </c>
      <c r="E265" s="15" t="str">
        <f aca="false">IF($D265="","",ROUND($C265-$D265,2))</f>
        <v/>
      </c>
      <c r="F265" s="38" t="str">
        <f aca="false">IF($A265&amp;$B265="","",IF(COUNTIF(门店对照!$A$2:$A$66,$A265)=0,"× 门店编码不对",IF(COUNTIF(科目对照收入!$B$2:$B$23,$B265)=0,"× 渠道名不对",IF(INDEX(科目对照收入!$E$2:$E$23,MATCH($B265,科目对照收入!$B$2:$B$23,0))&lt;&gt;"平台优先","× 该项目不按平台金额",IF(COUNTIFS($A$2:$A$601,$A265,$B$2:$B$601,$B265)&gt;1,"× 同店同渠道重复","√")))))</f>
        <v/>
      </c>
    </row>
    <row r="266" customFormat="false" ht="13.5" hidden="false" customHeight="false" outlineLevel="0" collapsed="false">
      <c r="A266" s="35"/>
      <c r="B266" s="35"/>
      <c r="C266" s="37"/>
      <c r="D266" s="15" t="str">
        <f aca="false">IF(OR($A266="",$B266=""),"",ROUND(IFERROR(INDEX(海典汇总!$C$3:$AE$67,MATCH($A266,海典汇总!$A$3:$A$67,0),MATCH(INDEX(科目对照收入!$F$2:$F$23,MATCH($B266,科目对照收入!$B$2:$B$23,0)),海典汇总!$C$1:$AE$1,0)),0)+IFERROR(INDEX(海典汇总!$C$3:$AE$67,MATCH($A266,海典汇总!$A$3:$A$67,0),MATCH(INDEX(科目对照收入!$G$2:$G$23,MATCH($B266,科目对照收入!$B$2:$B$23,0)),海典汇总!$C$1:$AE$1,0)),0)+IFERROR(INDEX(海典汇总!$C$3:$AE$67,MATCH($A266,海典汇总!$A$3:$A$67,0),MATCH(INDEX(科目对照收入!$H$2:$H$23,MATCH($B266,科目对照收入!$B$2:$B$23,0)),海典汇总!$C$1:$AE$1,0)),0),2))</f>
        <v/>
      </c>
      <c r="E266" s="15" t="str">
        <f aca="false">IF($D266="","",ROUND($C266-$D266,2))</f>
        <v/>
      </c>
      <c r="F266" s="38" t="str">
        <f aca="false">IF($A266&amp;$B266="","",IF(COUNTIF(门店对照!$A$2:$A$66,$A266)=0,"× 门店编码不对",IF(COUNTIF(科目对照收入!$B$2:$B$23,$B266)=0,"× 渠道名不对",IF(INDEX(科目对照收入!$E$2:$E$23,MATCH($B266,科目对照收入!$B$2:$B$23,0))&lt;&gt;"平台优先","× 该项目不按平台金额",IF(COUNTIFS($A$2:$A$601,$A266,$B$2:$B$601,$B266)&gt;1,"× 同店同渠道重复","√")))))</f>
        <v/>
      </c>
    </row>
    <row r="267" customFormat="false" ht="13.5" hidden="false" customHeight="false" outlineLevel="0" collapsed="false">
      <c r="A267" s="35"/>
      <c r="B267" s="35"/>
      <c r="C267" s="37"/>
      <c r="D267" s="15" t="str">
        <f aca="false">IF(OR($A267="",$B267=""),"",ROUND(IFERROR(INDEX(海典汇总!$C$3:$AE$67,MATCH($A267,海典汇总!$A$3:$A$67,0),MATCH(INDEX(科目对照收入!$F$2:$F$23,MATCH($B267,科目对照收入!$B$2:$B$23,0)),海典汇总!$C$1:$AE$1,0)),0)+IFERROR(INDEX(海典汇总!$C$3:$AE$67,MATCH($A267,海典汇总!$A$3:$A$67,0),MATCH(INDEX(科目对照收入!$G$2:$G$23,MATCH($B267,科目对照收入!$B$2:$B$23,0)),海典汇总!$C$1:$AE$1,0)),0)+IFERROR(INDEX(海典汇总!$C$3:$AE$67,MATCH($A267,海典汇总!$A$3:$A$67,0),MATCH(INDEX(科目对照收入!$H$2:$H$23,MATCH($B267,科目对照收入!$B$2:$B$23,0)),海典汇总!$C$1:$AE$1,0)),0),2))</f>
        <v/>
      </c>
      <c r="E267" s="15" t="str">
        <f aca="false">IF($D267="","",ROUND($C267-$D267,2))</f>
        <v/>
      </c>
      <c r="F267" s="38" t="str">
        <f aca="false">IF($A267&amp;$B267="","",IF(COUNTIF(门店对照!$A$2:$A$66,$A267)=0,"× 门店编码不对",IF(COUNTIF(科目对照收入!$B$2:$B$23,$B267)=0,"× 渠道名不对",IF(INDEX(科目对照收入!$E$2:$E$23,MATCH($B267,科目对照收入!$B$2:$B$23,0))&lt;&gt;"平台优先","× 该项目不按平台金额",IF(COUNTIFS($A$2:$A$601,$A267,$B$2:$B$601,$B267)&gt;1,"× 同店同渠道重复","√")))))</f>
        <v/>
      </c>
    </row>
    <row r="268" customFormat="false" ht="13.5" hidden="false" customHeight="false" outlineLevel="0" collapsed="false">
      <c r="A268" s="35"/>
      <c r="B268" s="35"/>
      <c r="C268" s="37"/>
      <c r="D268" s="15" t="str">
        <f aca="false">IF(OR($A268="",$B268=""),"",ROUND(IFERROR(INDEX(海典汇总!$C$3:$AE$67,MATCH($A268,海典汇总!$A$3:$A$67,0),MATCH(INDEX(科目对照收入!$F$2:$F$23,MATCH($B268,科目对照收入!$B$2:$B$23,0)),海典汇总!$C$1:$AE$1,0)),0)+IFERROR(INDEX(海典汇总!$C$3:$AE$67,MATCH($A268,海典汇总!$A$3:$A$67,0),MATCH(INDEX(科目对照收入!$G$2:$G$23,MATCH($B268,科目对照收入!$B$2:$B$23,0)),海典汇总!$C$1:$AE$1,0)),0)+IFERROR(INDEX(海典汇总!$C$3:$AE$67,MATCH($A268,海典汇总!$A$3:$A$67,0),MATCH(INDEX(科目对照收入!$H$2:$H$23,MATCH($B268,科目对照收入!$B$2:$B$23,0)),海典汇总!$C$1:$AE$1,0)),0),2))</f>
        <v/>
      </c>
      <c r="E268" s="15" t="str">
        <f aca="false">IF($D268="","",ROUND($C268-$D268,2))</f>
        <v/>
      </c>
      <c r="F268" s="38" t="str">
        <f aca="false">IF($A268&amp;$B268="","",IF(COUNTIF(门店对照!$A$2:$A$66,$A268)=0,"× 门店编码不对",IF(COUNTIF(科目对照收入!$B$2:$B$23,$B268)=0,"× 渠道名不对",IF(INDEX(科目对照收入!$E$2:$E$23,MATCH($B268,科目对照收入!$B$2:$B$23,0))&lt;&gt;"平台优先","× 该项目不按平台金额",IF(COUNTIFS($A$2:$A$601,$A268,$B$2:$B$601,$B268)&gt;1,"× 同店同渠道重复","√")))))</f>
        <v/>
      </c>
    </row>
    <row r="269" customFormat="false" ht="13.5" hidden="false" customHeight="false" outlineLevel="0" collapsed="false">
      <c r="A269" s="35"/>
      <c r="B269" s="35"/>
      <c r="C269" s="37"/>
      <c r="D269" s="15" t="str">
        <f aca="false">IF(OR($A269="",$B269=""),"",ROUND(IFERROR(INDEX(海典汇总!$C$3:$AE$67,MATCH($A269,海典汇总!$A$3:$A$67,0),MATCH(INDEX(科目对照收入!$F$2:$F$23,MATCH($B269,科目对照收入!$B$2:$B$23,0)),海典汇总!$C$1:$AE$1,0)),0)+IFERROR(INDEX(海典汇总!$C$3:$AE$67,MATCH($A269,海典汇总!$A$3:$A$67,0),MATCH(INDEX(科目对照收入!$G$2:$G$23,MATCH($B269,科目对照收入!$B$2:$B$23,0)),海典汇总!$C$1:$AE$1,0)),0)+IFERROR(INDEX(海典汇总!$C$3:$AE$67,MATCH($A269,海典汇总!$A$3:$A$67,0),MATCH(INDEX(科目对照收入!$H$2:$H$23,MATCH($B269,科目对照收入!$B$2:$B$23,0)),海典汇总!$C$1:$AE$1,0)),0),2))</f>
        <v/>
      </c>
      <c r="E269" s="15" t="str">
        <f aca="false">IF($D269="","",ROUND($C269-$D269,2))</f>
        <v/>
      </c>
      <c r="F269" s="38" t="str">
        <f aca="false">IF($A269&amp;$B269="","",IF(COUNTIF(门店对照!$A$2:$A$66,$A269)=0,"× 门店编码不对",IF(COUNTIF(科目对照收入!$B$2:$B$23,$B269)=0,"× 渠道名不对",IF(INDEX(科目对照收入!$E$2:$E$23,MATCH($B269,科目对照收入!$B$2:$B$23,0))&lt;&gt;"平台优先","× 该项目不按平台金额",IF(COUNTIFS($A$2:$A$601,$A269,$B$2:$B$601,$B269)&gt;1,"× 同店同渠道重复","√")))))</f>
        <v/>
      </c>
    </row>
    <row r="270" customFormat="false" ht="13.5" hidden="false" customHeight="false" outlineLevel="0" collapsed="false">
      <c r="A270" s="35"/>
      <c r="B270" s="35"/>
      <c r="C270" s="37"/>
      <c r="D270" s="15" t="str">
        <f aca="false">IF(OR($A270="",$B270=""),"",ROUND(IFERROR(INDEX(海典汇总!$C$3:$AE$67,MATCH($A270,海典汇总!$A$3:$A$67,0),MATCH(INDEX(科目对照收入!$F$2:$F$23,MATCH($B270,科目对照收入!$B$2:$B$23,0)),海典汇总!$C$1:$AE$1,0)),0)+IFERROR(INDEX(海典汇总!$C$3:$AE$67,MATCH($A270,海典汇总!$A$3:$A$67,0),MATCH(INDEX(科目对照收入!$G$2:$G$23,MATCH($B270,科目对照收入!$B$2:$B$23,0)),海典汇总!$C$1:$AE$1,0)),0)+IFERROR(INDEX(海典汇总!$C$3:$AE$67,MATCH($A270,海典汇总!$A$3:$A$67,0),MATCH(INDEX(科目对照收入!$H$2:$H$23,MATCH($B270,科目对照收入!$B$2:$B$23,0)),海典汇总!$C$1:$AE$1,0)),0),2))</f>
        <v/>
      </c>
      <c r="E270" s="15" t="str">
        <f aca="false">IF($D270="","",ROUND($C270-$D270,2))</f>
        <v/>
      </c>
      <c r="F270" s="38" t="str">
        <f aca="false">IF($A270&amp;$B270="","",IF(COUNTIF(门店对照!$A$2:$A$66,$A270)=0,"× 门店编码不对",IF(COUNTIF(科目对照收入!$B$2:$B$23,$B270)=0,"× 渠道名不对",IF(INDEX(科目对照收入!$E$2:$E$23,MATCH($B270,科目对照收入!$B$2:$B$23,0))&lt;&gt;"平台优先","× 该项目不按平台金额",IF(COUNTIFS($A$2:$A$601,$A270,$B$2:$B$601,$B270)&gt;1,"× 同店同渠道重复","√")))))</f>
        <v/>
      </c>
    </row>
    <row r="271" customFormat="false" ht="13.5" hidden="false" customHeight="false" outlineLevel="0" collapsed="false">
      <c r="A271" s="35"/>
      <c r="B271" s="35"/>
      <c r="C271" s="37"/>
      <c r="D271" s="15" t="str">
        <f aca="false">IF(OR($A271="",$B271=""),"",ROUND(IFERROR(INDEX(海典汇总!$C$3:$AE$67,MATCH($A271,海典汇总!$A$3:$A$67,0),MATCH(INDEX(科目对照收入!$F$2:$F$23,MATCH($B271,科目对照收入!$B$2:$B$23,0)),海典汇总!$C$1:$AE$1,0)),0)+IFERROR(INDEX(海典汇总!$C$3:$AE$67,MATCH($A271,海典汇总!$A$3:$A$67,0),MATCH(INDEX(科目对照收入!$G$2:$G$23,MATCH($B271,科目对照收入!$B$2:$B$23,0)),海典汇总!$C$1:$AE$1,0)),0)+IFERROR(INDEX(海典汇总!$C$3:$AE$67,MATCH($A271,海典汇总!$A$3:$A$67,0),MATCH(INDEX(科目对照收入!$H$2:$H$23,MATCH($B271,科目对照收入!$B$2:$B$23,0)),海典汇总!$C$1:$AE$1,0)),0),2))</f>
        <v/>
      </c>
      <c r="E271" s="15" t="str">
        <f aca="false">IF($D271="","",ROUND($C271-$D271,2))</f>
        <v/>
      </c>
      <c r="F271" s="38" t="str">
        <f aca="false">IF($A271&amp;$B271="","",IF(COUNTIF(门店对照!$A$2:$A$66,$A271)=0,"× 门店编码不对",IF(COUNTIF(科目对照收入!$B$2:$B$23,$B271)=0,"× 渠道名不对",IF(INDEX(科目对照收入!$E$2:$E$23,MATCH($B271,科目对照收入!$B$2:$B$23,0))&lt;&gt;"平台优先","× 该项目不按平台金额",IF(COUNTIFS($A$2:$A$601,$A271,$B$2:$B$601,$B271)&gt;1,"× 同店同渠道重复","√")))))</f>
        <v/>
      </c>
    </row>
    <row r="272" customFormat="false" ht="13.5" hidden="false" customHeight="false" outlineLevel="0" collapsed="false">
      <c r="A272" s="35"/>
      <c r="B272" s="35"/>
      <c r="C272" s="37"/>
      <c r="D272" s="15" t="str">
        <f aca="false">IF(OR($A272="",$B272=""),"",ROUND(IFERROR(INDEX(海典汇总!$C$3:$AE$67,MATCH($A272,海典汇总!$A$3:$A$67,0),MATCH(INDEX(科目对照收入!$F$2:$F$23,MATCH($B272,科目对照收入!$B$2:$B$23,0)),海典汇总!$C$1:$AE$1,0)),0)+IFERROR(INDEX(海典汇总!$C$3:$AE$67,MATCH($A272,海典汇总!$A$3:$A$67,0),MATCH(INDEX(科目对照收入!$G$2:$G$23,MATCH($B272,科目对照收入!$B$2:$B$23,0)),海典汇总!$C$1:$AE$1,0)),0)+IFERROR(INDEX(海典汇总!$C$3:$AE$67,MATCH($A272,海典汇总!$A$3:$A$67,0),MATCH(INDEX(科目对照收入!$H$2:$H$23,MATCH($B272,科目对照收入!$B$2:$B$23,0)),海典汇总!$C$1:$AE$1,0)),0),2))</f>
        <v/>
      </c>
      <c r="E272" s="15" t="str">
        <f aca="false">IF($D272="","",ROUND($C272-$D272,2))</f>
        <v/>
      </c>
      <c r="F272" s="38" t="str">
        <f aca="false">IF($A272&amp;$B272="","",IF(COUNTIF(门店对照!$A$2:$A$66,$A272)=0,"× 门店编码不对",IF(COUNTIF(科目对照收入!$B$2:$B$23,$B272)=0,"× 渠道名不对",IF(INDEX(科目对照收入!$E$2:$E$23,MATCH($B272,科目对照收入!$B$2:$B$23,0))&lt;&gt;"平台优先","× 该项目不按平台金额",IF(COUNTIFS($A$2:$A$601,$A272,$B$2:$B$601,$B272)&gt;1,"× 同店同渠道重复","√")))))</f>
        <v/>
      </c>
    </row>
    <row r="273" customFormat="false" ht="13.5" hidden="false" customHeight="false" outlineLevel="0" collapsed="false">
      <c r="A273" s="35"/>
      <c r="B273" s="35"/>
      <c r="C273" s="37"/>
      <c r="D273" s="15" t="str">
        <f aca="false">IF(OR($A273="",$B273=""),"",ROUND(IFERROR(INDEX(海典汇总!$C$3:$AE$67,MATCH($A273,海典汇总!$A$3:$A$67,0),MATCH(INDEX(科目对照收入!$F$2:$F$23,MATCH($B273,科目对照收入!$B$2:$B$23,0)),海典汇总!$C$1:$AE$1,0)),0)+IFERROR(INDEX(海典汇总!$C$3:$AE$67,MATCH($A273,海典汇总!$A$3:$A$67,0),MATCH(INDEX(科目对照收入!$G$2:$G$23,MATCH($B273,科目对照收入!$B$2:$B$23,0)),海典汇总!$C$1:$AE$1,0)),0)+IFERROR(INDEX(海典汇总!$C$3:$AE$67,MATCH($A273,海典汇总!$A$3:$A$67,0),MATCH(INDEX(科目对照收入!$H$2:$H$23,MATCH($B273,科目对照收入!$B$2:$B$23,0)),海典汇总!$C$1:$AE$1,0)),0),2))</f>
        <v/>
      </c>
      <c r="E273" s="15" t="str">
        <f aca="false">IF($D273="","",ROUND($C273-$D273,2))</f>
        <v/>
      </c>
      <c r="F273" s="38" t="str">
        <f aca="false">IF($A273&amp;$B273="","",IF(COUNTIF(门店对照!$A$2:$A$66,$A273)=0,"× 门店编码不对",IF(COUNTIF(科目对照收入!$B$2:$B$23,$B273)=0,"× 渠道名不对",IF(INDEX(科目对照收入!$E$2:$E$23,MATCH($B273,科目对照收入!$B$2:$B$23,0))&lt;&gt;"平台优先","× 该项目不按平台金额",IF(COUNTIFS($A$2:$A$601,$A273,$B$2:$B$601,$B273)&gt;1,"× 同店同渠道重复","√")))))</f>
        <v/>
      </c>
    </row>
    <row r="274" customFormat="false" ht="13.5" hidden="false" customHeight="false" outlineLevel="0" collapsed="false">
      <c r="A274" s="35"/>
      <c r="B274" s="35"/>
      <c r="C274" s="37"/>
      <c r="D274" s="15" t="str">
        <f aca="false">IF(OR($A274="",$B274=""),"",ROUND(IFERROR(INDEX(海典汇总!$C$3:$AE$67,MATCH($A274,海典汇总!$A$3:$A$67,0),MATCH(INDEX(科目对照收入!$F$2:$F$23,MATCH($B274,科目对照收入!$B$2:$B$23,0)),海典汇总!$C$1:$AE$1,0)),0)+IFERROR(INDEX(海典汇总!$C$3:$AE$67,MATCH($A274,海典汇总!$A$3:$A$67,0),MATCH(INDEX(科目对照收入!$G$2:$G$23,MATCH($B274,科目对照收入!$B$2:$B$23,0)),海典汇总!$C$1:$AE$1,0)),0)+IFERROR(INDEX(海典汇总!$C$3:$AE$67,MATCH($A274,海典汇总!$A$3:$A$67,0),MATCH(INDEX(科目对照收入!$H$2:$H$23,MATCH($B274,科目对照收入!$B$2:$B$23,0)),海典汇总!$C$1:$AE$1,0)),0),2))</f>
        <v/>
      </c>
      <c r="E274" s="15" t="str">
        <f aca="false">IF($D274="","",ROUND($C274-$D274,2))</f>
        <v/>
      </c>
      <c r="F274" s="38" t="str">
        <f aca="false">IF($A274&amp;$B274="","",IF(COUNTIF(门店对照!$A$2:$A$66,$A274)=0,"× 门店编码不对",IF(COUNTIF(科目对照收入!$B$2:$B$23,$B274)=0,"× 渠道名不对",IF(INDEX(科目对照收入!$E$2:$E$23,MATCH($B274,科目对照收入!$B$2:$B$23,0))&lt;&gt;"平台优先","× 该项目不按平台金额",IF(COUNTIFS($A$2:$A$601,$A274,$B$2:$B$601,$B274)&gt;1,"× 同店同渠道重复","√")))))</f>
        <v/>
      </c>
    </row>
    <row r="275" customFormat="false" ht="13.5" hidden="false" customHeight="false" outlineLevel="0" collapsed="false">
      <c r="A275" s="35"/>
      <c r="B275" s="35"/>
      <c r="C275" s="37"/>
      <c r="D275" s="15" t="str">
        <f aca="false">IF(OR($A275="",$B275=""),"",ROUND(IFERROR(INDEX(海典汇总!$C$3:$AE$67,MATCH($A275,海典汇总!$A$3:$A$67,0),MATCH(INDEX(科目对照收入!$F$2:$F$23,MATCH($B275,科目对照收入!$B$2:$B$23,0)),海典汇总!$C$1:$AE$1,0)),0)+IFERROR(INDEX(海典汇总!$C$3:$AE$67,MATCH($A275,海典汇总!$A$3:$A$67,0),MATCH(INDEX(科目对照收入!$G$2:$G$23,MATCH($B275,科目对照收入!$B$2:$B$23,0)),海典汇总!$C$1:$AE$1,0)),0)+IFERROR(INDEX(海典汇总!$C$3:$AE$67,MATCH($A275,海典汇总!$A$3:$A$67,0),MATCH(INDEX(科目对照收入!$H$2:$H$23,MATCH($B275,科目对照收入!$B$2:$B$23,0)),海典汇总!$C$1:$AE$1,0)),0),2))</f>
        <v/>
      </c>
      <c r="E275" s="15" t="str">
        <f aca="false">IF($D275="","",ROUND($C275-$D275,2))</f>
        <v/>
      </c>
      <c r="F275" s="38" t="str">
        <f aca="false">IF($A275&amp;$B275="","",IF(COUNTIF(门店对照!$A$2:$A$66,$A275)=0,"× 门店编码不对",IF(COUNTIF(科目对照收入!$B$2:$B$23,$B275)=0,"× 渠道名不对",IF(INDEX(科目对照收入!$E$2:$E$23,MATCH($B275,科目对照收入!$B$2:$B$23,0))&lt;&gt;"平台优先","× 该项目不按平台金额",IF(COUNTIFS($A$2:$A$601,$A275,$B$2:$B$601,$B275)&gt;1,"× 同店同渠道重复","√")))))</f>
        <v/>
      </c>
    </row>
    <row r="276" customFormat="false" ht="13.5" hidden="false" customHeight="false" outlineLevel="0" collapsed="false">
      <c r="A276" s="35"/>
      <c r="B276" s="35"/>
      <c r="C276" s="37"/>
      <c r="D276" s="15" t="str">
        <f aca="false">IF(OR($A276="",$B276=""),"",ROUND(IFERROR(INDEX(海典汇总!$C$3:$AE$67,MATCH($A276,海典汇总!$A$3:$A$67,0),MATCH(INDEX(科目对照收入!$F$2:$F$23,MATCH($B276,科目对照收入!$B$2:$B$23,0)),海典汇总!$C$1:$AE$1,0)),0)+IFERROR(INDEX(海典汇总!$C$3:$AE$67,MATCH($A276,海典汇总!$A$3:$A$67,0),MATCH(INDEX(科目对照收入!$G$2:$G$23,MATCH($B276,科目对照收入!$B$2:$B$23,0)),海典汇总!$C$1:$AE$1,0)),0)+IFERROR(INDEX(海典汇总!$C$3:$AE$67,MATCH($A276,海典汇总!$A$3:$A$67,0),MATCH(INDEX(科目对照收入!$H$2:$H$23,MATCH($B276,科目对照收入!$B$2:$B$23,0)),海典汇总!$C$1:$AE$1,0)),0),2))</f>
        <v/>
      </c>
      <c r="E276" s="15" t="str">
        <f aca="false">IF($D276="","",ROUND($C276-$D276,2))</f>
        <v/>
      </c>
      <c r="F276" s="38" t="str">
        <f aca="false">IF($A276&amp;$B276="","",IF(COUNTIF(门店对照!$A$2:$A$66,$A276)=0,"× 门店编码不对",IF(COUNTIF(科目对照收入!$B$2:$B$23,$B276)=0,"× 渠道名不对",IF(INDEX(科目对照收入!$E$2:$E$23,MATCH($B276,科目对照收入!$B$2:$B$23,0))&lt;&gt;"平台优先","× 该项目不按平台金额",IF(COUNTIFS($A$2:$A$601,$A276,$B$2:$B$601,$B276)&gt;1,"× 同店同渠道重复","√")))))</f>
        <v/>
      </c>
    </row>
    <row r="277" customFormat="false" ht="13.5" hidden="false" customHeight="false" outlineLevel="0" collapsed="false">
      <c r="A277" s="35"/>
      <c r="B277" s="35"/>
      <c r="C277" s="37"/>
      <c r="D277" s="15" t="str">
        <f aca="false">IF(OR($A277="",$B277=""),"",ROUND(IFERROR(INDEX(海典汇总!$C$3:$AE$67,MATCH($A277,海典汇总!$A$3:$A$67,0),MATCH(INDEX(科目对照收入!$F$2:$F$23,MATCH($B277,科目对照收入!$B$2:$B$23,0)),海典汇总!$C$1:$AE$1,0)),0)+IFERROR(INDEX(海典汇总!$C$3:$AE$67,MATCH($A277,海典汇总!$A$3:$A$67,0),MATCH(INDEX(科目对照收入!$G$2:$G$23,MATCH($B277,科目对照收入!$B$2:$B$23,0)),海典汇总!$C$1:$AE$1,0)),0)+IFERROR(INDEX(海典汇总!$C$3:$AE$67,MATCH($A277,海典汇总!$A$3:$A$67,0),MATCH(INDEX(科目对照收入!$H$2:$H$23,MATCH($B277,科目对照收入!$B$2:$B$23,0)),海典汇总!$C$1:$AE$1,0)),0),2))</f>
        <v/>
      </c>
      <c r="E277" s="15" t="str">
        <f aca="false">IF($D277="","",ROUND($C277-$D277,2))</f>
        <v/>
      </c>
      <c r="F277" s="38" t="str">
        <f aca="false">IF($A277&amp;$B277="","",IF(COUNTIF(门店对照!$A$2:$A$66,$A277)=0,"× 门店编码不对",IF(COUNTIF(科目对照收入!$B$2:$B$23,$B277)=0,"× 渠道名不对",IF(INDEX(科目对照收入!$E$2:$E$23,MATCH($B277,科目对照收入!$B$2:$B$23,0))&lt;&gt;"平台优先","× 该项目不按平台金额",IF(COUNTIFS($A$2:$A$601,$A277,$B$2:$B$601,$B277)&gt;1,"× 同店同渠道重复","√")))))</f>
        <v/>
      </c>
    </row>
    <row r="278" customFormat="false" ht="13.5" hidden="false" customHeight="false" outlineLevel="0" collapsed="false">
      <c r="A278" s="35"/>
      <c r="B278" s="35"/>
      <c r="C278" s="37"/>
      <c r="D278" s="15" t="str">
        <f aca="false">IF(OR($A278="",$B278=""),"",ROUND(IFERROR(INDEX(海典汇总!$C$3:$AE$67,MATCH($A278,海典汇总!$A$3:$A$67,0),MATCH(INDEX(科目对照收入!$F$2:$F$23,MATCH($B278,科目对照收入!$B$2:$B$23,0)),海典汇总!$C$1:$AE$1,0)),0)+IFERROR(INDEX(海典汇总!$C$3:$AE$67,MATCH($A278,海典汇总!$A$3:$A$67,0),MATCH(INDEX(科目对照收入!$G$2:$G$23,MATCH($B278,科目对照收入!$B$2:$B$23,0)),海典汇总!$C$1:$AE$1,0)),0)+IFERROR(INDEX(海典汇总!$C$3:$AE$67,MATCH($A278,海典汇总!$A$3:$A$67,0),MATCH(INDEX(科目对照收入!$H$2:$H$23,MATCH($B278,科目对照收入!$B$2:$B$23,0)),海典汇总!$C$1:$AE$1,0)),0),2))</f>
        <v/>
      </c>
      <c r="E278" s="15" t="str">
        <f aca="false">IF($D278="","",ROUND($C278-$D278,2))</f>
        <v/>
      </c>
      <c r="F278" s="38" t="str">
        <f aca="false">IF($A278&amp;$B278="","",IF(COUNTIF(门店对照!$A$2:$A$66,$A278)=0,"× 门店编码不对",IF(COUNTIF(科目对照收入!$B$2:$B$23,$B278)=0,"× 渠道名不对",IF(INDEX(科目对照收入!$E$2:$E$23,MATCH($B278,科目对照收入!$B$2:$B$23,0))&lt;&gt;"平台优先","× 该项目不按平台金额",IF(COUNTIFS($A$2:$A$601,$A278,$B$2:$B$601,$B278)&gt;1,"× 同店同渠道重复","√")))))</f>
        <v/>
      </c>
    </row>
    <row r="279" customFormat="false" ht="13.5" hidden="false" customHeight="false" outlineLevel="0" collapsed="false">
      <c r="A279" s="35"/>
      <c r="B279" s="35"/>
      <c r="C279" s="37"/>
      <c r="D279" s="15" t="str">
        <f aca="false">IF(OR($A279="",$B279=""),"",ROUND(IFERROR(INDEX(海典汇总!$C$3:$AE$67,MATCH($A279,海典汇总!$A$3:$A$67,0),MATCH(INDEX(科目对照收入!$F$2:$F$23,MATCH($B279,科目对照收入!$B$2:$B$23,0)),海典汇总!$C$1:$AE$1,0)),0)+IFERROR(INDEX(海典汇总!$C$3:$AE$67,MATCH($A279,海典汇总!$A$3:$A$67,0),MATCH(INDEX(科目对照收入!$G$2:$G$23,MATCH($B279,科目对照收入!$B$2:$B$23,0)),海典汇总!$C$1:$AE$1,0)),0)+IFERROR(INDEX(海典汇总!$C$3:$AE$67,MATCH($A279,海典汇总!$A$3:$A$67,0),MATCH(INDEX(科目对照收入!$H$2:$H$23,MATCH($B279,科目对照收入!$B$2:$B$23,0)),海典汇总!$C$1:$AE$1,0)),0),2))</f>
        <v/>
      </c>
      <c r="E279" s="15" t="str">
        <f aca="false">IF($D279="","",ROUND($C279-$D279,2))</f>
        <v/>
      </c>
      <c r="F279" s="38" t="str">
        <f aca="false">IF($A279&amp;$B279="","",IF(COUNTIF(门店对照!$A$2:$A$66,$A279)=0,"× 门店编码不对",IF(COUNTIF(科目对照收入!$B$2:$B$23,$B279)=0,"× 渠道名不对",IF(INDEX(科目对照收入!$E$2:$E$23,MATCH($B279,科目对照收入!$B$2:$B$23,0))&lt;&gt;"平台优先","× 该项目不按平台金额",IF(COUNTIFS($A$2:$A$601,$A279,$B$2:$B$601,$B279)&gt;1,"× 同店同渠道重复","√")))))</f>
        <v/>
      </c>
    </row>
    <row r="280" customFormat="false" ht="13.5" hidden="false" customHeight="false" outlineLevel="0" collapsed="false">
      <c r="A280" s="35"/>
      <c r="B280" s="35"/>
      <c r="C280" s="37"/>
      <c r="D280" s="15" t="str">
        <f aca="false">IF(OR($A280="",$B280=""),"",ROUND(IFERROR(INDEX(海典汇总!$C$3:$AE$67,MATCH($A280,海典汇总!$A$3:$A$67,0),MATCH(INDEX(科目对照收入!$F$2:$F$23,MATCH($B280,科目对照收入!$B$2:$B$23,0)),海典汇总!$C$1:$AE$1,0)),0)+IFERROR(INDEX(海典汇总!$C$3:$AE$67,MATCH($A280,海典汇总!$A$3:$A$67,0),MATCH(INDEX(科目对照收入!$G$2:$G$23,MATCH($B280,科目对照收入!$B$2:$B$23,0)),海典汇总!$C$1:$AE$1,0)),0)+IFERROR(INDEX(海典汇总!$C$3:$AE$67,MATCH($A280,海典汇总!$A$3:$A$67,0),MATCH(INDEX(科目对照收入!$H$2:$H$23,MATCH($B280,科目对照收入!$B$2:$B$23,0)),海典汇总!$C$1:$AE$1,0)),0),2))</f>
        <v/>
      </c>
      <c r="E280" s="15" t="str">
        <f aca="false">IF($D280="","",ROUND($C280-$D280,2))</f>
        <v/>
      </c>
      <c r="F280" s="38" t="str">
        <f aca="false">IF($A280&amp;$B280="","",IF(COUNTIF(门店对照!$A$2:$A$66,$A280)=0,"× 门店编码不对",IF(COUNTIF(科目对照收入!$B$2:$B$23,$B280)=0,"× 渠道名不对",IF(INDEX(科目对照收入!$E$2:$E$23,MATCH($B280,科目对照收入!$B$2:$B$23,0))&lt;&gt;"平台优先","× 该项目不按平台金额",IF(COUNTIFS($A$2:$A$601,$A280,$B$2:$B$601,$B280)&gt;1,"× 同店同渠道重复","√")))))</f>
        <v/>
      </c>
    </row>
    <row r="281" customFormat="false" ht="13.5" hidden="false" customHeight="false" outlineLevel="0" collapsed="false">
      <c r="A281" s="35"/>
      <c r="B281" s="35"/>
      <c r="C281" s="37"/>
      <c r="D281" s="15" t="str">
        <f aca="false">IF(OR($A281="",$B281=""),"",ROUND(IFERROR(INDEX(海典汇总!$C$3:$AE$67,MATCH($A281,海典汇总!$A$3:$A$67,0),MATCH(INDEX(科目对照收入!$F$2:$F$23,MATCH($B281,科目对照收入!$B$2:$B$23,0)),海典汇总!$C$1:$AE$1,0)),0)+IFERROR(INDEX(海典汇总!$C$3:$AE$67,MATCH($A281,海典汇总!$A$3:$A$67,0),MATCH(INDEX(科目对照收入!$G$2:$G$23,MATCH($B281,科目对照收入!$B$2:$B$23,0)),海典汇总!$C$1:$AE$1,0)),0)+IFERROR(INDEX(海典汇总!$C$3:$AE$67,MATCH($A281,海典汇总!$A$3:$A$67,0),MATCH(INDEX(科目对照收入!$H$2:$H$23,MATCH($B281,科目对照收入!$B$2:$B$23,0)),海典汇总!$C$1:$AE$1,0)),0),2))</f>
        <v/>
      </c>
      <c r="E281" s="15" t="str">
        <f aca="false">IF($D281="","",ROUND($C281-$D281,2))</f>
        <v/>
      </c>
      <c r="F281" s="38" t="str">
        <f aca="false">IF($A281&amp;$B281="","",IF(COUNTIF(门店对照!$A$2:$A$66,$A281)=0,"× 门店编码不对",IF(COUNTIF(科目对照收入!$B$2:$B$23,$B281)=0,"× 渠道名不对",IF(INDEX(科目对照收入!$E$2:$E$23,MATCH($B281,科目对照收入!$B$2:$B$23,0))&lt;&gt;"平台优先","× 该项目不按平台金额",IF(COUNTIFS($A$2:$A$601,$A281,$B$2:$B$601,$B281)&gt;1,"× 同店同渠道重复","√")))))</f>
        <v/>
      </c>
    </row>
    <row r="282" customFormat="false" ht="13.5" hidden="false" customHeight="false" outlineLevel="0" collapsed="false">
      <c r="A282" s="35"/>
      <c r="B282" s="35"/>
      <c r="C282" s="37"/>
      <c r="D282" s="15" t="str">
        <f aca="false">IF(OR($A282="",$B282=""),"",ROUND(IFERROR(INDEX(海典汇总!$C$3:$AE$67,MATCH($A282,海典汇总!$A$3:$A$67,0),MATCH(INDEX(科目对照收入!$F$2:$F$23,MATCH($B282,科目对照收入!$B$2:$B$23,0)),海典汇总!$C$1:$AE$1,0)),0)+IFERROR(INDEX(海典汇总!$C$3:$AE$67,MATCH($A282,海典汇总!$A$3:$A$67,0),MATCH(INDEX(科目对照收入!$G$2:$G$23,MATCH($B282,科目对照收入!$B$2:$B$23,0)),海典汇总!$C$1:$AE$1,0)),0)+IFERROR(INDEX(海典汇总!$C$3:$AE$67,MATCH($A282,海典汇总!$A$3:$A$67,0),MATCH(INDEX(科目对照收入!$H$2:$H$23,MATCH($B282,科目对照收入!$B$2:$B$23,0)),海典汇总!$C$1:$AE$1,0)),0),2))</f>
        <v/>
      </c>
      <c r="E282" s="15" t="str">
        <f aca="false">IF($D282="","",ROUND($C282-$D282,2))</f>
        <v/>
      </c>
      <c r="F282" s="38" t="str">
        <f aca="false">IF($A282&amp;$B282="","",IF(COUNTIF(门店对照!$A$2:$A$66,$A282)=0,"× 门店编码不对",IF(COUNTIF(科目对照收入!$B$2:$B$23,$B282)=0,"× 渠道名不对",IF(INDEX(科目对照收入!$E$2:$E$23,MATCH($B282,科目对照收入!$B$2:$B$23,0))&lt;&gt;"平台优先","× 该项目不按平台金额",IF(COUNTIFS($A$2:$A$601,$A282,$B$2:$B$601,$B282)&gt;1,"× 同店同渠道重复","√")))))</f>
        <v/>
      </c>
    </row>
    <row r="283" customFormat="false" ht="13.5" hidden="false" customHeight="false" outlineLevel="0" collapsed="false">
      <c r="A283" s="35"/>
      <c r="B283" s="35"/>
      <c r="C283" s="37"/>
      <c r="D283" s="15" t="str">
        <f aca="false">IF(OR($A283="",$B283=""),"",ROUND(IFERROR(INDEX(海典汇总!$C$3:$AE$67,MATCH($A283,海典汇总!$A$3:$A$67,0),MATCH(INDEX(科目对照收入!$F$2:$F$23,MATCH($B283,科目对照收入!$B$2:$B$23,0)),海典汇总!$C$1:$AE$1,0)),0)+IFERROR(INDEX(海典汇总!$C$3:$AE$67,MATCH($A283,海典汇总!$A$3:$A$67,0),MATCH(INDEX(科目对照收入!$G$2:$G$23,MATCH($B283,科目对照收入!$B$2:$B$23,0)),海典汇总!$C$1:$AE$1,0)),0)+IFERROR(INDEX(海典汇总!$C$3:$AE$67,MATCH($A283,海典汇总!$A$3:$A$67,0),MATCH(INDEX(科目对照收入!$H$2:$H$23,MATCH($B283,科目对照收入!$B$2:$B$23,0)),海典汇总!$C$1:$AE$1,0)),0),2))</f>
        <v/>
      </c>
      <c r="E283" s="15" t="str">
        <f aca="false">IF($D283="","",ROUND($C283-$D283,2))</f>
        <v/>
      </c>
      <c r="F283" s="38" t="str">
        <f aca="false">IF($A283&amp;$B283="","",IF(COUNTIF(门店对照!$A$2:$A$66,$A283)=0,"× 门店编码不对",IF(COUNTIF(科目对照收入!$B$2:$B$23,$B283)=0,"× 渠道名不对",IF(INDEX(科目对照收入!$E$2:$E$23,MATCH($B283,科目对照收入!$B$2:$B$23,0))&lt;&gt;"平台优先","× 该项目不按平台金额",IF(COUNTIFS($A$2:$A$601,$A283,$B$2:$B$601,$B283)&gt;1,"× 同店同渠道重复","√")))))</f>
        <v/>
      </c>
    </row>
    <row r="284" customFormat="false" ht="13.5" hidden="false" customHeight="false" outlineLevel="0" collapsed="false">
      <c r="A284" s="35"/>
      <c r="B284" s="35"/>
      <c r="C284" s="37"/>
      <c r="D284" s="15" t="str">
        <f aca="false">IF(OR($A284="",$B284=""),"",ROUND(IFERROR(INDEX(海典汇总!$C$3:$AE$67,MATCH($A284,海典汇总!$A$3:$A$67,0),MATCH(INDEX(科目对照收入!$F$2:$F$23,MATCH($B284,科目对照收入!$B$2:$B$23,0)),海典汇总!$C$1:$AE$1,0)),0)+IFERROR(INDEX(海典汇总!$C$3:$AE$67,MATCH($A284,海典汇总!$A$3:$A$67,0),MATCH(INDEX(科目对照收入!$G$2:$G$23,MATCH($B284,科目对照收入!$B$2:$B$23,0)),海典汇总!$C$1:$AE$1,0)),0)+IFERROR(INDEX(海典汇总!$C$3:$AE$67,MATCH($A284,海典汇总!$A$3:$A$67,0),MATCH(INDEX(科目对照收入!$H$2:$H$23,MATCH($B284,科目对照收入!$B$2:$B$23,0)),海典汇总!$C$1:$AE$1,0)),0),2))</f>
        <v/>
      </c>
      <c r="E284" s="15" t="str">
        <f aca="false">IF($D284="","",ROUND($C284-$D284,2))</f>
        <v/>
      </c>
      <c r="F284" s="38" t="str">
        <f aca="false">IF($A284&amp;$B284="","",IF(COUNTIF(门店对照!$A$2:$A$66,$A284)=0,"× 门店编码不对",IF(COUNTIF(科目对照收入!$B$2:$B$23,$B284)=0,"× 渠道名不对",IF(INDEX(科目对照收入!$E$2:$E$23,MATCH($B284,科目对照收入!$B$2:$B$23,0))&lt;&gt;"平台优先","× 该项目不按平台金额",IF(COUNTIFS($A$2:$A$601,$A284,$B$2:$B$601,$B284)&gt;1,"× 同店同渠道重复","√")))))</f>
        <v/>
      </c>
    </row>
    <row r="285" customFormat="false" ht="13.5" hidden="false" customHeight="false" outlineLevel="0" collapsed="false">
      <c r="A285" s="35"/>
      <c r="B285" s="35"/>
      <c r="C285" s="37"/>
      <c r="D285" s="15" t="str">
        <f aca="false">IF(OR($A285="",$B285=""),"",ROUND(IFERROR(INDEX(海典汇总!$C$3:$AE$67,MATCH($A285,海典汇总!$A$3:$A$67,0),MATCH(INDEX(科目对照收入!$F$2:$F$23,MATCH($B285,科目对照收入!$B$2:$B$23,0)),海典汇总!$C$1:$AE$1,0)),0)+IFERROR(INDEX(海典汇总!$C$3:$AE$67,MATCH($A285,海典汇总!$A$3:$A$67,0),MATCH(INDEX(科目对照收入!$G$2:$G$23,MATCH($B285,科目对照收入!$B$2:$B$23,0)),海典汇总!$C$1:$AE$1,0)),0)+IFERROR(INDEX(海典汇总!$C$3:$AE$67,MATCH($A285,海典汇总!$A$3:$A$67,0),MATCH(INDEX(科目对照收入!$H$2:$H$23,MATCH($B285,科目对照收入!$B$2:$B$23,0)),海典汇总!$C$1:$AE$1,0)),0),2))</f>
        <v/>
      </c>
      <c r="E285" s="15" t="str">
        <f aca="false">IF($D285="","",ROUND($C285-$D285,2))</f>
        <v/>
      </c>
      <c r="F285" s="38" t="str">
        <f aca="false">IF($A285&amp;$B285="","",IF(COUNTIF(门店对照!$A$2:$A$66,$A285)=0,"× 门店编码不对",IF(COUNTIF(科目对照收入!$B$2:$B$23,$B285)=0,"× 渠道名不对",IF(INDEX(科目对照收入!$E$2:$E$23,MATCH($B285,科目对照收入!$B$2:$B$23,0))&lt;&gt;"平台优先","× 该项目不按平台金额",IF(COUNTIFS($A$2:$A$601,$A285,$B$2:$B$601,$B285)&gt;1,"× 同店同渠道重复","√")))))</f>
        <v/>
      </c>
    </row>
    <row r="286" customFormat="false" ht="13.5" hidden="false" customHeight="false" outlineLevel="0" collapsed="false">
      <c r="A286" s="35"/>
      <c r="B286" s="35"/>
      <c r="C286" s="37"/>
      <c r="D286" s="15" t="str">
        <f aca="false">IF(OR($A286="",$B286=""),"",ROUND(IFERROR(INDEX(海典汇总!$C$3:$AE$67,MATCH($A286,海典汇总!$A$3:$A$67,0),MATCH(INDEX(科目对照收入!$F$2:$F$23,MATCH($B286,科目对照收入!$B$2:$B$23,0)),海典汇总!$C$1:$AE$1,0)),0)+IFERROR(INDEX(海典汇总!$C$3:$AE$67,MATCH($A286,海典汇总!$A$3:$A$67,0),MATCH(INDEX(科目对照收入!$G$2:$G$23,MATCH($B286,科目对照收入!$B$2:$B$23,0)),海典汇总!$C$1:$AE$1,0)),0)+IFERROR(INDEX(海典汇总!$C$3:$AE$67,MATCH($A286,海典汇总!$A$3:$A$67,0),MATCH(INDEX(科目对照收入!$H$2:$H$23,MATCH($B286,科目对照收入!$B$2:$B$23,0)),海典汇总!$C$1:$AE$1,0)),0),2))</f>
        <v/>
      </c>
      <c r="E286" s="15" t="str">
        <f aca="false">IF($D286="","",ROUND($C286-$D286,2))</f>
        <v/>
      </c>
      <c r="F286" s="38" t="str">
        <f aca="false">IF($A286&amp;$B286="","",IF(COUNTIF(门店对照!$A$2:$A$66,$A286)=0,"× 门店编码不对",IF(COUNTIF(科目对照收入!$B$2:$B$23,$B286)=0,"× 渠道名不对",IF(INDEX(科目对照收入!$E$2:$E$23,MATCH($B286,科目对照收入!$B$2:$B$23,0))&lt;&gt;"平台优先","× 该项目不按平台金额",IF(COUNTIFS($A$2:$A$601,$A286,$B$2:$B$601,$B286)&gt;1,"× 同店同渠道重复","√")))))</f>
        <v/>
      </c>
    </row>
    <row r="287" customFormat="false" ht="13.5" hidden="false" customHeight="false" outlineLevel="0" collapsed="false">
      <c r="A287" s="35"/>
      <c r="B287" s="35"/>
      <c r="C287" s="37"/>
      <c r="D287" s="15" t="str">
        <f aca="false">IF(OR($A287="",$B287=""),"",ROUND(IFERROR(INDEX(海典汇总!$C$3:$AE$67,MATCH($A287,海典汇总!$A$3:$A$67,0),MATCH(INDEX(科目对照收入!$F$2:$F$23,MATCH($B287,科目对照收入!$B$2:$B$23,0)),海典汇总!$C$1:$AE$1,0)),0)+IFERROR(INDEX(海典汇总!$C$3:$AE$67,MATCH($A287,海典汇总!$A$3:$A$67,0),MATCH(INDEX(科目对照收入!$G$2:$G$23,MATCH($B287,科目对照收入!$B$2:$B$23,0)),海典汇总!$C$1:$AE$1,0)),0)+IFERROR(INDEX(海典汇总!$C$3:$AE$67,MATCH($A287,海典汇总!$A$3:$A$67,0),MATCH(INDEX(科目对照收入!$H$2:$H$23,MATCH($B287,科目对照收入!$B$2:$B$23,0)),海典汇总!$C$1:$AE$1,0)),0),2))</f>
        <v/>
      </c>
      <c r="E287" s="15" t="str">
        <f aca="false">IF($D287="","",ROUND($C287-$D287,2))</f>
        <v/>
      </c>
      <c r="F287" s="38" t="str">
        <f aca="false">IF($A287&amp;$B287="","",IF(COUNTIF(门店对照!$A$2:$A$66,$A287)=0,"× 门店编码不对",IF(COUNTIF(科目对照收入!$B$2:$B$23,$B287)=0,"× 渠道名不对",IF(INDEX(科目对照收入!$E$2:$E$23,MATCH($B287,科目对照收入!$B$2:$B$23,0))&lt;&gt;"平台优先","× 该项目不按平台金额",IF(COUNTIFS($A$2:$A$601,$A287,$B$2:$B$601,$B287)&gt;1,"× 同店同渠道重复","√")))))</f>
        <v/>
      </c>
    </row>
    <row r="288" customFormat="false" ht="13.5" hidden="false" customHeight="false" outlineLevel="0" collapsed="false">
      <c r="A288" s="35"/>
      <c r="B288" s="35"/>
      <c r="C288" s="37"/>
      <c r="D288" s="15" t="str">
        <f aca="false">IF(OR($A288="",$B288=""),"",ROUND(IFERROR(INDEX(海典汇总!$C$3:$AE$67,MATCH($A288,海典汇总!$A$3:$A$67,0),MATCH(INDEX(科目对照收入!$F$2:$F$23,MATCH($B288,科目对照收入!$B$2:$B$23,0)),海典汇总!$C$1:$AE$1,0)),0)+IFERROR(INDEX(海典汇总!$C$3:$AE$67,MATCH($A288,海典汇总!$A$3:$A$67,0),MATCH(INDEX(科目对照收入!$G$2:$G$23,MATCH($B288,科目对照收入!$B$2:$B$23,0)),海典汇总!$C$1:$AE$1,0)),0)+IFERROR(INDEX(海典汇总!$C$3:$AE$67,MATCH($A288,海典汇总!$A$3:$A$67,0),MATCH(INDEX(科目对照收入!$H$2:$H$23,MATCH($B288,科目对照收入!$B$2:$B$23,0)),海典汇总!$C$1:$AE$1,0)),0),2))</f>
        <v/>
      </c>
      <c r="E288" s="15" t="str">
        <f aca="false">IF($D288="","",ROUND($C288-$D288,2))</f>
        <v/>
      </c>
      <c r="F288" s="38" t="str">
        <f aca="false">IF($A288&amp;$B288="","",IF(COUNTIF(门店对照!$A$2:$A$66,$A288)=0,"× 门店编码不对",IF(COUNTIF(科目对照收入!$B$2:$B$23,$B288)=0,"× 渠道名不对",IF(INDEX(科目对照收入!$E$2:$E$23,MATCH($B288,科目对照收入!$B$2:$B$23,0))&lt;&gt;"平台优先","× 该项目不按平台金额",IF(COUNTIFS($A$2:$A$601,$A288,$B$2:$B$601,$B288)&gt;1,"× 同店同渠道重复","√")))))</f>
        <v/>
      </c>
    </row>
    <row r="289" customFormat="false" ht="13.5" hidden="false" customHeight="false" outlineLevel="0" collapsed="false">
      <c r="A289" s="35"/>
      <c r="B289" s="35"/>
      <c r="C289" s="37"/>
      <c r="D289" s="15" t="str">
        <f aca="false">IF(OR($A289="",$B289=""),"",ROUND(IFERROR(INDEX(海典汇总!$C$3:$AE$67,MATCH($A289,海典汇总!$A$3:$A$67,0),MATCH(INDEX(科目对照收入!$F$2:$F$23,MATCH($B289,科目对照收入!$B$2:$B$23,0)),海典汇总!$C$1:$AE$1,0)),0)+IFERROR(INDEX(海典汇总!$C$3:$AE$67,MATCH($A289,海典汇总!$A$3:$A$67,0),MATCH(INDEX(科目对照收入!$G$2:$G$23,MATCH($B289,科目对照收入!$B$2:$B$23,0)),海典汇总!$C$1:$AE$1,0)),0)+IFERROR(INDEX(海典汇总!$C$3:$AE$67,MATCH($A289,海典汇总!$A$3:$A$67,0),MATCH(INDEX(科目对照收入!$H$2:$H$23,MATCH($B289,科目对照收入!$B$2:$B$23,0)),海典汇总!$C$1:$AE$1,0)),0),2))</f>
        <v/>
      </c>
      <c r="E289" s="15" t="str">
        <f aca="false">IF($D289="","",ROUND($C289-$D289,2))</f>
        <v/>
      </c>
      <c r="F289" s="38" t="str">
        <f aca="false">IF($A289&amp;$B289="","",IF(COUNTIF(门店对照!$A$2:$A$66,$A289)=0,"× 门店编码不对",IF(COUNTIF(科目对照收入!$B$2:$B$23,$B289)=0,"× 渠道名不对",IF(INDEX(科目对照收入!$E$2:$E$23,MATCH($B289,科目对照收入!$B$2:$B$23,0))&lt;&gt;"平台优先","× 该项目不按平台金额",IF(COUNTIFS($A$2:$A$601,$A289,$B$2:$B$601,$B289)&gt;1,"× 同店同渠道重复","√")))))</f>
        <v/>
      </c>
    </row>
    <row r="290" customFormat="false" ht="13.5" hidden="false" customHeight="false" outlineLevel="0" collapsed="false">
      <c r="A290" s="35"/>
      <c r="B290" s="35"/>
      <c r="C290" s="37"/>
      <c r="D290" s="15" t="str">
        <f aca="false">IF(OR($A290="",$B290=""),"",ROUND(IFERROR(INDEX(海典汇总!$C$3:$AE$67,MATCH($A290,海典汇总!$A$3:$A$67,0),MATCH(INDEX(科目对照收入!$F$2:$F$23,MATCH($B290,科目对照收入!$B$2:$B$23,0)),海典汇总!$C$1:$AE$1,0)),0)+IFERROR(INDEX(海典汇总!$C$3:$AE$67,MATCH($A290,海典汇总!$A$3:$A$67,0),MATCH(INDEX(科目对照收入!$G$2:$G$23,MATCH($B290,科目对照收入!$B$2:$B$23,0)),海典汇总!$C$1:$AE$1,0)),0)+IFERROR(INDEX(海典汇总!$C$3:$AE$67,MATCH($A290,海典汇总!$A$3:$A$67,0),MATCH(INDEX(科目对照收入!$H$2:$H$23,MATCH($B290,科目对照收入!$B$2:$B$23,0)),海典汇总!$C$1:$AE$1,0)),0),2))</f>
        <v/>
      </c>
      <c r="E290" s="15" t="str">
        <f aca="false">IF($D290="","",ROUND($C290-$D290,2))</f>
        <v/>
      </c>
      <c r="F290" s="38" t="str">
        <f aca="false">IF($A290&amp;$B290="","",IF(COUNTIF(门店对照!$A$2:$A$66,$A290)=0,"× 门店编码不对",IF(COUNTIF(科目对照收入!$B$2:$B$23,$B290)=0,"× 渠道名不对",IF(INDEX(科目对照收入!$E$2:$E$23,MATCH($B290,科目对照收入!$B$2:$B$23,0))&lt;&gt;"平台优先","× 该项目不按平台金额",IF(COUNTIFS($A$2:$A$601,$A290,$B$2:$B$601,$B290)&gt;1,"× 同店同渠道重复","√")))))</f>
        <v/>
      </c>
    </row>
    <row r="291" customFormat="false" ht="13.5" hidden="false" customHeight="false" outlineLevel="0" collapsed="false">
      <c r="A291" s="35"/>
      <c r="B291" s="35"/>
      <c r="C291" s="37"/>
      <c r="D291" s="15" t="str">
        <f aca="false">IF(OR($A291="",$B291=""),"",ROUND(IFERROR(INDEX(海典汇总!$C$3:$AE$67,MATCH($A291,海典汇总!$A$3:$A$67,0),MATCH(INDEX(科目对照收入!$F$2:$F$23,MATCH($B291,科目对照收入!$B$2:$B$23,0)),海典汇总!$C$1:$AE$1,0)),0)+IFERROR(INDEX(海典汇总!$C$3:$AE$67,MATCH($A291,海典汇总!$A$3:$A$67,0),MATCH(INDEX(科目对照收入!$G$2:$G$23,MATCH($B291,科目对照收入!$B$2:$B$23,0)),海典汇总!$C$1:$AE$1,0)),0)+IFERROR(INDEX(海典汇总!$C$3:$AE$67,MATCH($A291,海典汇总!$A$3:$A$67,0),MATCH(INDEX(科目对照收入!$H$2:$H$23,MATCH($B291,科目对照收入!$B$2:$B$23,0)),海典汇总!$C$1:$AE$1,0)),0),2))</f>
        <v/>
      </c>
      <c r="E291" s="15" t="str">
        <f aca="false">IF($D291="","",ROUND($C291-$D291,2))</f>
        <v/>
      </c>
      <c r="F291" s="38" t="str">
        <f aca="false">IF($A291&amp;$B291="","",IF(COUNTIF(门店对照!$A$2:$A$66,$A291)=0,"× 门店编码不对",IF(COUNTIF(科目对照收入!$B$2:$B$23,$B291)=0,"× 渠道名不对",IF(INDEX(科目对照收入!$E$2:$E$23,MATCH($B291,科目对照收入!$B$2:$B$23,0))&lt;&gt;"平台优先","× 该项目不按平台金额",IF(COUNTIFS($A$2:$A$601,$A291,$B$2:$B$601,$B291)&gt;1,"× 同店同渠道重复","√")))))</f>
        <v/>
      </c>
    </row>
    <row r="292" customFormat="false" ht="13.5" hidden="false" customHeight="false" outlineLevel="0" collapsed="false">
      <c r="A292" s="35"/>
      <c r="B292" s="35"/>
      <c r="C292" s="37"/>
      <c r="D292" s="15" t="str">
        <f aca="false">IF(OR($A292="",$B292=""),"",ROUND(IFERROR(INDEX(海典汇总!$C$3:$AE$67,MATCH($A292,海典汇总!$A$3:$A$67,0),MATCH(INDEX(科目对照收入!$F$2:$F$23,MATCH($B292,科目对照收入!$B$2:$B$23,0)),海典汇总!$C$1:$AE$1,0)),0)+IFERROR(INDEX(海典汇总!$C$3:$AE$67,MATCH($A292,海典汇总!$A$3:$A$67,0),MATCH(INDEX(科目对照收入!$G$2:$G$23,MATCH($B292,科目对照收入!$B$2:$B$23,0)),海典汇总!$C$1:$AE$1,0)),0)+IFERROR(INDEX(海典汇总!$C$3:$AE$67,MATCH($A292,海典汇总!$A$3:$A$67,0),MATCH(INDEX(科目对照收入!$H$2:$H$23,MATCH($B292,科目对照收入!$B$2:$B$23,0)),海典汇总!$C$1:$AE$1,0)),0),2))</f>
        <v/>
      </c>
      <c r="E292" s="15" t="str">
        <f aca="false">IF($D292="","",ROUND($C292-$D292,2))</f>
        <v/>
      </c>
      <c r="F292" s="38" t="str">
        <f aca="false">IF($A292&amp;$B292="","",IF(COUNTIF(门店对照!$A$2:$A$66,$A292)=0,"× 门店编码不对",IF(COUNTIF(科目对照收入!$B$2:$B$23,$B292)=0,"× 渠道名不对",IF(INDEX(科目对照收入!$E$2:$E$23,MATCH($B292,科目对照收入!$B$2:$B$23,0))&lt;&gt;"平台优先","× 该项目不按平台金额",IF(COUNTIFS($A$2:$A$601,$A292,$B$2:$B$601,$B292)&gt;1,"× 同店同渠道重复","√")))))</f>
        <v/>
      </c>
    </row>
    <row r="293" customFormat="false" ht="13.5" hidden="false" customHeight="false" outlineLevel="0" collapsed="false">
      <c r="A293" s="35"/>
      <c r="B293" s="35"/>
      <c r="C293" s="37"/>
      <c r="D293" s="15" t="str">
        <f aca="false">IF(OR($A293="",$B293=""),"",ROUND(IFERROR(INDEX(海典汇总!$C$3:$AE$67,MATCH($A293,海典汇总!$A$3:$A$67,0),MATCH(INDEX(科目对照收入!$F$2:$F$23,MATCH($B293,科目对照收入!$B$2:$B$23,0)),海典汇总!$C$1:$AE$1,0)),0)+IFERROR(INDEX(海典汇总!$C$3:$AE$67,MATCH($A293,海典汇总!$A$3:$A$67,0),MATCH(INDEX(科目对照收入!$G$2:$G$23,MATCH($B293,科目对照收入!$B$2:$B$23,0)),海典汇总!$C$1:$AE$1,0)),0)+IFERROR(INDEX(海典汇总!$C$3:$AE$67,MATCH($A293,海典汇总!$A$3:$A$67,0),MATCH(INDEX(科目对照收入!$H$2:$H$23,MATCH($B293,科目对照收入!$B$2:$B$23,0)),海典汇总!$C$1:$AE$1,0)),0),2))</f>
        <v/>
      </c>
      <c r="E293" s="15" t="str">
        <f aca="false">IF($D293="","",ROUND($C293-$D293,2))</f>
        <v/>
      </c>
      <c r="F293" s="38" t="str">
        <f aca="false">IF($A293&amp;$B293="","",IF(COUNTIF(门店对照!$A$2:$A$66,$A293)=0,"× 门店编码不对",IF(COUNTIF(科目对照收入!$B$2:$B$23,$B293)=0,"× 渠道名不对",IF(INDEX(科目对照收入!$E$2:$E$23,MATCH($B293,科目对照收入!$B$2:$B$23,0))&lt;&gt;"平台优先","× 该项目不按平台金额",IF(COUNTIFS($A$2:$A$601,$A293,$B$2:$B$601,$B293)&gt;1,"× 同店同渠道重复","√")))))</f>
        <v/>
      </c>
    </row>
    <row r="294" customFormat="false" ht="13.5" hidden="false" customHeight="false" outlineLevel="0" collapsed="false">
      <c r="A294" s="35"/>
      <c r="B294" s="35"/>
      <c r="C294" s="37"/>
      <c r="D294" s="15" t="str">
        <f aca="false">IF(OR($A294="",$B294=""),"",ROUND(IFERROR(INDEX(海典汇总!$C$3:$AE$67,MATCH($A294,海典汇总!$A$3:$A$67,0),MATCH(INDEX(科目对照收入!$F$2:$F$23,MATCH($B294,科目对照收入!$B$2:$B$23,0)),海典汇总!$C$1:$AE$1,0)),0)+IFERROR(INDEX(海典汇总!$C$3:$AE$67,MATCH($A294,海典汇总!$A$3:$A$67,0),MATCH(INDEX(科目对照收入!$G$2:$G$23,MATCH($B294,科目对照收入!$B$2:$B$23,0)),海典汇总!$C$1:$AE$1,0)),0)+IFERROR(INDEX(海典汇总!$C$3:$AE$67,MATCH($A294,海典汇总!$A$3:$A$67,0),MATCH(INDEX(科目对照收入!$H$2:$H$23,MATCH($B294,科目对照收入!$B$2:$B$23,0)),海典汇总!$C$1:$AE$1,0)),0),2))</f>
        <v/>
      </c>
      <c r="E294" s="15" t="str">
        <f aca="false">IF($D294="","",ROUND($C294-$D294,2))</f>
        <v/>
      </c>
      <c r="F294" s="38" t="str">
        <f aca="false">IF($A294&amp;$B294="","",IF(COUNTIF(门店对照!$A$2:$A$66,$A294)=0,"× 门店编码不对",IF(COUNTIF(科目对照收入!$B$2:$B$23,$B294)=0,"× 渠道名不对",IF(INDEX(科目对照收入!$E$2:$E$23,MATCH($B294,科目对照收入!$B$2:$B$23,0))&lt;&gt;"平台优先","× 该项目不按平台金额",IF(COUNTIFS($A$2:$A$601,$A294,$B$2:$B$601,$B294)&gt;1,"× 同店同渠道重复","√")))))</f>
        <v/>
      </c>
    </row>
    <row r="295" customFormat="false" ht="13.5" hidden="false" customHeight="false" outlineLevel="0" collapsed="false">
      <c r="A295" s="35"/>
      <c r="B295" s="35"/>
      <c r="C295" s="37"/>
      <c r="D295" s="15" t="str">
        <f aca="false">IF(OR($A295="",$B295=""),"",ROUND(IFERROR(INDEX(海典汇总!$C$3:$AE$67,MATCH($A295,海典汇总!$A$3:$A$67,0),MATCH(INDEX(科目对照收入!$F$2:$F$23,MATCH($B295,科目对照收入!$B$2:$B$23,0)),海典汇总!$C$1:$AE$1,0)),0)+IFERROR(INDEX(海典汇总!$C$3:$AE$67,MATCH($A295,海典汇总!$A$3:$A$67,0),MATCH(INDEX(科目对照收入!$G$2:$G$23,MATCH($B295,科目对照收入!$B$2:$B$23,0)),海典汇总!$C$1:$AE$1,0)),0)+IFERROR(INDEX(海典汇总!$C$3:$AE$67,MATCH($A295,海典汇总!$A$3:$A$67,0),MATCH(INDEX(科目对照收入!$H$2:$H$23,MATCH($B295,科目对照收入!$B$2:$B$23,0)),海典汇总!$C$1:$AE$1,0)),0),2))</f>
        <v/>
      </c>
      <c r="E295" s="15" t="str">
        <f aca="false">IF($D295="","",ROUND($C295-$D295,2))</f>
        <v/>
      </c>
      <c r="F295" s="38" t="str">
        <f aca="false">IF($A295&amp;$B295="","",IF(COUNTIF(门店对照!$A$2:$A$66,$A295)=0,"× 门店编码不对",IF(COUNTIF(科目对照收入!$B$2:$B$23,$B295)=0,"× 渠道名不对",IF(INDEX(科目对照收入!$E$2:$E$23,MATCH($B295,科目对照收入!$B$2:$B$23,0))&lt;&gt;"平台优先","× 该项目不按平台金额",IF(COUNTIFS($A$2:$A$601,$A295,$B$2:$B$601,$B295)&gt;1,"× 同店同渠道重复","√")))))</f>
        <v/>
      </c>
    </row>
    <row r="296" customFormat="false" ht="13.5" hidden="false" customHeight="false" outlineLevel="0" collapsed="false">
      <c r="A296" s="35"/>
      <c r="B296" s="35"/>
      <c r="C296" s="37"/>
      <c r="D296" s="15" t="str">
        <f aca="false">IF(OR($A296="",$B296=""),"",ROUND(IFERROR(INDEX(海典汇总!$C$3:$AE$67,MATCH($A296,海典汇总!$A$3:$A$67,0),MATCH(INDEX(科目对照收入!$F$2:$F$23,MATCH($B296,科目对照收入!$B$2:$B$23,0)),海典汇总!$C$1:$AE$1,0)),0)+IFERROR(INDEX(海典汇总!$C$3:$AE$67,MATCH($A296,海典汇总!$A$3:$A$67,0),MATCH(INDEX(科目对照收入!$G$2:$G$23,MATCH($B296,科目对照收入!$B$2:$B$23,0)),海典汇总!$C$1:$AE$1,0)),0)+IFERROR(INDEX(海典汇总!$C$3:$AE$67,MATCH($A296,海典汇总!$A$3:$A$67,0),MATCH(INDEX(科目对照收入!$H$2:$H$23,MATCH($B296,科目对照收入!$B$2:$B$23,0)),海典汇总!$C$1:$AE$1,0)),0),2))</f>
        <v/>
      </c>
      <c r="E296" s="15" t="str">
        <f aca="false">IF($D296="","",ROUND($C296-$D296,2))</f>
        <v/>
      </c>
      <c r="F296" s="38" t="str">
        <f aca="false">IF($A296&amp;$B296="","",IF(COUNTIF(门店对照!$A$2:$A$66,$A296)=0,"× 门店编码不对",IF(COUNTIF(科目对照收入!$B$2:$B$23,$B296)=0,"× 渠道名不对",IF(INDEX(科目对照收入!$E$2:$E$23,MATCH($B296,科目对照收入!$B$2:$B$23,0))&lt;&gt;"平台优先","× 该项目不按平台金额",IF(COUNTIFS($A$2:$A$601,$A296,$B$2:$B$601,$B296)&gt;1,"× 同店同渠道重复","√")))))</f>
        <v/>
      </c>
    </row>
    <row r="297" customFormat="false" ht="13.5" hidden="false" customHeight="false" outlineLevel="0" collapsed="false">
      <c r="A297" s="35"/>
      <c r="B297" s="35"/>
      <c r="C297" s="37"/>
      <c r="D297" s="15" t="str">
        <f aca="false">IF(OR($A297="",$B297=""),"",ROUND(IFERROR(INDEX(海典汇总!$C$3:$AE$67,MATCH($A297,海典汇总!$A$3:$A$67,0),MATCH(INDEX(科目对照收入!$F$2:$F$23,MATCH($B297,科目对照收入!$B$2:$B$23,0)),海典汇总!$C$1:$AE$1,0)),0)+IFERROR(INDEX(海典汇总!$C$3:$AE$67,MATCH($A297,海典汇总!$A$3:$A$67,0),MATCH(INDEX(科目对照收入!$G$2:$G$23,MATCH($B297,科目对照收入!$B$2:$B$23,0)),海典汇总!$C$1:$AE$1,0)),0)+IFERROR(INDEX(海典汇总!$C$3:$AE$67,MATCH($A297,海典汇总!$A$3:$A$67,0),MATCH(INDEX(科目对照收入!$H$2:$H$23,MATCH($B297,科目对照收入!$B$2:$B$23,0)),海典汇总!$C$1:$AE$1,0)),0),2))</f>
        <v/>
      </c>
      <c r="E297" s="15" t="str">
        <f aca="false">IF($D297="","",ROUND($C297-$D297,2))</f>
        <v/>
      </c>
      <c r="F297" s="38" t="str">
        <f aca="false">IF($A297&amp;$B297="","",IF(COUNTIF(门店对照!$A$2:$A$66,$A297)=0,"× 门店编码不对",IF(COUNTIF(科目对照收入!$B$2:$B$23,$B297)=0,"× 渠道名不对",IF(INDEX(科目对照收入!$E$2:$E$23,MATCH($B297,科目对照收入!$B$2:$B$23,0))&lt;&gt;"平台优先","× 该项目不按平台金额",IF(COUNTIFS($A$2:$A$601,$A297,$B$2:$B$601,$B297)&gt;1,"× 同店同渠道重复","√")))))</f>
        <v/>
      </c>
    </row>
    <row r="298" customFormat="false" ht="13.5" hidden="false" customHeight="false" outlineLevel="0" collapsed="false">
      <c r="A298" s="35"/>
      <c r="B298" s="35"/>
      <c r="C298" s="37"/>
      <c r="D298" s="15" t="str">
        <f aca="false">IF(OR($A298="",$B298=""),"",ROUND(IFERROR(INDEX(海典汇总!$C$3:$AE$67,MATCH($A298,海典汇总!$A$3:$A$67,0),MATCH(INDEX(科目对照收入!$F$2:$F$23,MATCH($B298,科目对照收入!$B$2:$B$23,0)),海典汇总!$C$1:$AE$1,0)),0)+IFERROR(INDEX(海典汇总!$C$3:$AE$67,MATCH($A298,海典汇总!$A$3:$A$67,0),MATCH(INDEX(科目对照收入!$G$2:$G$23,MATCH($B298,科目对照收入!$B$2:$B$23,0)),海典汇总!$C$1:$AE$1,0)),0)+IFERROR(INDEX(海典汇总!$C$3:$AE$67,MATCH($A298,海典汇总!$A$3:$A$67,0),MATCH(INDEX(科目对照收入!$H$2:$H$23,MATCH($B298,科目对照收入!$B$2:$B$23,0)),海典汇总!$C$1:$AE$1,0)),0),2))</f>
        <v/>
      </c>
      <c r="E298" s="15" t="str">
        <f aca="false">IF($D298="","",ROUND($C298-$D298,2))</f>
        <v/>
      </c>
      <c r="F298" s="38" t="str">
        <f aca="false">IF($A298&amp;$B298="","",IF(COUNTIF(门店对照!$A$2:$A$66,$A298)=0,"× 门店编码不对",IF(COUNTIF(科目对照收入!$B$2:$B$23,$B298)=0,"× 渠道名不对",IF(INDEX(科目对照收入!$E$2:$E$23,MATCH($B298,科目对照收入!$B$2:$B$23,0))&lt;&gt;"平台优先","× 该项目不按平台金额",IF(COUNTIFS($A$2:$A$601,$A298,$B$2:$B$601,$B298)&gt;1,"× 同店同渠道重复","√")))))</f>
        <v/>
      </c>
    </row>
    <row r="299" customFormat="false" ht="13.5" hidden="false" customHeight="false" outlineLevel="0" collapsed="false">
      <c r="A299" s="35"/>
      <c r="B299" s="35"/>
      <c r="C299" s="37"/>
      <c r="D299" s="15" t="str">
        <f aca="false">IF(OR($A299="",$B299=""),"",ROUND(IFERROR(INDEX(海典汇总!$C$3:$AE$67,MATCH($A299,海典汇总!$A$3:$A$67,0),MATCH(INDEX(科目对照收入!$F$2:$F$23,MATCH($B299,科目对照收入!$B$2:$B$23,0)),海典汇总!$C$1:$AE$1,0)),0)+IFERROR(INDEX(海典汇总!$C$3:$AE$67,MATCH($A299,海典汇总!$A$3:$A$67,0),MATCH(INDEX(科目对照收入!$G$2:$G$23,MATCH($B299,科目对照收入!$B$2:$B$23,0)),海典汇总!$C$1:$AE$1,0)),0)+IFERROR(INDEX(海典汇总!$C$3:$AE$67,MATCH($A299,海典汇总!$A$3:$A$67,0),MATCH(INDEX(科目对照收入!$H$2:$H$23,MATCH($B299,科目对照收入!$B$2:$B$23,0)),海典汇总!$C$1:$AE$1,0)),0),2))</f>
        <v/>
      </c>
      <c r="E299" s="15" t="str">
        <f aca="false">IF($D299="","",ROUND($C299-$D299,2))</f>
        <v/>
      </c>
      <c r="F299" s="38" t="str">
        <f aca="false">IF($A299&amp;$B299="","",IF(COUNTIF(门店对照!$A$2:$A$66,$A299)=0,"× 门店编码不对",IF(COUNTIF(科目对照收入!$B$2:$B$23,$B299)=0,"× 渠道名不对",IF(INDEX(科目对照收入!$E$2:$E$23,MATCH($B299,科目对照收入!$B$2:$B$23,0))&lt;&gt;"平台优先","× 该项目不按平台金额",IF(COUNTIFS($A$2:$A$601,$A299,$B$2:$B$601,$B299)&gt;1,"× 同店同渠道重复","√")))))</f>
        <v/>
      </c>
    </row>
    <row r="300" customFormat="false" ht="13.5" hidden="false" customHeight="false" outlineLevel="0" collapsed="false">
      <c r="A300" s="35"/>
      <c r="B300" s="35"/>
      <c r="C300" s="37"/>
      <c r="D300" s="15" t="str">
        <f aca="false">IF(OR($A300="",$B300=""),"",ROUND(IFERROR(INDEX(海典汇总!$C$3:$AE$67,MATCH($A300,海典汇总!$A$3:$A$67,0),MATCH(INDEX(科目对照收入!$F$2:$F$23,MATCH($B300,科目对照收入!$B$2:$B$23,0)),海典汇总!$C$1:$AE$1,0)),0)+IFERROR(INDEX(海典汇总!$C$3:$AE$67,MATCH($A300,海典汇总!$A$3:$A$67,0),MATCH(INDEX(科目对照收入!$G$2:$G$23,MATCH($B300,科目对照收入!$B$2:$B$23,0)),海典汇总!$C$1:$AE$1,0)),0)+IFERROR(INDEX(海典汇总!$C$3:$AE$67,MATCH($A300,海典汇总!$A$3:$A$67,0),MATCH(INDEX(科目对照收入!$H$2:$H$23,MATCH($B300,科目对照收入!$B$2:$B$23,0)),海典汇总!$C$1:$AE$1,0)),0),2))</f>
        <v/>
      </c>
      <c r="E300" s="15" t="str">
        <f aca="false">IF($D300="","",ROUND($C300-$D300,2))</f>
        <v/>
      </c>
      <c r="F300" s="38" t="str">
        <f aca="false">IF($A300&amp;$B300="","",IF(COUNTIF(门店对照!$A$2:$A$66,$A300)=0,"× 门店编码不对",IF(COUNTIF(科目对照收入!$B$2:$B$23,$B300)=0,"× 渠道名不对",IF(INDEX(科目对照收入!$E$2:$E$23,MATCH($B300,科目对照收入!$B$2:$B$23,0))&lt;&gt;"平台优先","× 该项目不按平台金额",IF(COUNTIFS($A$2:$A$601,$A300,$B$2:$B$601,$B300)&gt;1,"× 同店同渠道重复","√")))))</f>
        <v/>
      </c>
    </row>
    <row r="301" customFormat="false" ht="13.5" hidden="false" customHeight="false" outlineLevel="0" collapsed="false">
      <c r="A301" s="35"/>
      <c r="B301" s="35"/>
      <c r="C301" s="37"/>
      <c r="D301" s="15" t="str">
        <f aca="false">IF(OR($A301="",$B301=""),"",ROUND(IFERROR(INDEX(海典汇总!$C$3:$AE$67,MATCH($A301,海典汇总!$A$3:$A$67,0),MATCH(INDEX(科目对照收入!$F$2:$F$23,MATCH($B301,科目对照收入!$B$2:$B$23,0)),海典汇总!$C$1:$AE$1,0)),0)+IFERROR(INDEX(海典汇总!$C$3:$AE$67,MATCH($A301,海典汇总!$A$3:$A$67,0),MATCH(INDEX(科目对照收入!$G$2:$G$23,MATCH($B301,科目对照收入!$B$2:$B$23,0)),海典汇总!$C$1:$AE$1,0)),0)+IFERROR(INDEX(海典汇总!$C$3:$AE$67,MATCH($A301,海典汇总!$A$3:$A$67,0),MATCH(INDEX(科目对照收入!$H$2:$H$23,MATCH($B301,科目对照收入!$B$2:$B$23,0)),海典汇总!$C$1:$AE$1,0)),0),2))</f>
        <v/>
      </c>
      <c r="E301" s="15" t="str">
        <f aca="false">IF($D301="","",ROUND($C301-$D301,2))</f>
        <v/>
      </c>
      <c r="F301" s="38" t="str">
        <f aca="false">IF($A301&amp;$B301="","",IF(COUNTIF(门店对照!$A$2:$A$66,$A301)=0,"× 门店编码不对",IF(COUNTIF(科目对照收入!$B$2:$B$23,$B301)=0,"× 渠道名不对",IF(INDEX(科目对照收入!$E$2:$E$23,MATCH($B301,科目对照收入!$B$2:$B$23,0))&lt;&gt;"平台优先","× 该项目不按平台金额",IF(COUNTIFS($A$2:$A$601,$A301,$B$2:$B$601,$B301)&gt;1,"× 同店同渠道重复","√")))))</f>
        <v/>
      </c>
    </row>
    <row r="302" customFormat="false" ht="13.5" hidden="false" customHeight="false" outlineLevel="0" collapsed="false">
      <c r="A302" s="35"/>
      <c r="B302" s="35"/>
      <c r="C302" s="37"/>
      <c r="D302" s="15" t="str">
        <f aca="false">IF(OR($A302="",$B302=""),"",ROUND(IFERROR(INDEX(海典汇总!$C$3:$AE$67,MATCH($A302,海典汇总!$A$3:$A$67,0),MATCH(INDEX(科目对照收入!$F$2:$F$23,MATCH($B302,科目对照收入!$B$2:$B$23,0)),海典汇总!$C$1:$AE$1,0)),0)+IFERROR(INDEX(海典汇总!$C$3:$AE$67,MATCH($A302,海典汇总!$A$3:$A$67,0),MATCH(INDEX(科目对照收入!$G$2:$G$23,MATCH($B302,科目对照收入!$B$2:$B$23,0)),海典汇总!$C$1:$AE$1,0)),0)+IFERROR(INDEX(海典汇总!$C$3:$AE$67,MATCH($A302,海典汇总!$A$3:$A$67,0),MATCH(INDEX(科目对照收入!$H$2:$H$23,MATCH($B302,科目对照收入!$B$2:$B$23,0)),海典汇总!$C$1:$AE$1,0)),0),2))</f>
        <v/>
      </c>
      <c r="E302" s="15" t="str">
        <f aca="false">IF($D302="","",ROUND($C302-$D302,2))</f>
        <v/>
      </c>
      <c r="F302" s="38" t="str">
        <f aca="false">IF($A302&amp;$B302="","",IF(COUNTIF(门店对照!$A$2:$A$66,$A302)=0,"× 门店编码不对",IF(COUNTIF(科目对照收入!$B$2:$B$23,$B302)=0,"× 渠道名不对",IF(INDEX(科目对照收入!$E$2:$E$23,MATCH($B302,科目对照收入!$B$2:$B$23,0))&lt;&gt;"平台优先","× 该项目不按平台金额",IF(COUNTIFS($A$2:$A$601,$A302,$B$2:$B$601,$B302)&gt;1,"× 同店同渠道重复","√")))))</f>
        <v/>
      </c>
    </row>
    <row r="303" customFormat="false" ht="13.5" hidden="false" customHeight="false" outlineLevel="0" collapsed="false">
      <c r="A303" s="35"/>
      <c r="B303" s="35"/>
      <c r="C303" s="37"/>
      <c r="D303" s="15" t="str">
        <f aca="false">IF(OR($A303="",$B303=""),"",ROUND(IFERROR(INDEX(海典汇总!$C$3:$AE$67,MATCH($A303,海典汇总!$A$3:$A$67,0),MATCH(INDEX(科目对照收入!$F$2:$F$23,MATCH($B303,科目对照收入!$B$2:$B$23,0)),海典汇总!$C$1:$AE$1,0)),0)+IFERROR(INDEX(海典汇总!$C$3:$AE$67,MATCH($A303,海典汇总!$A$3:$A$67,0),MATCH(INDEX(科目对照收入!$G$2:$G$23,MATCH($B303,科目对照收入!$B$2:$B$23,0)),海典汇总!$C$1:$AE$1,0)),0)+IFERROR(INDEX(海典汇总!$C$3:$AE$67,MATCH($A303,海典汇总!$A$3:$A$67,0),MATCH(INDEX(科目对照收入!$H$2:$H$23,MATCH($B303,科目对照收入!$B$2:$B$23,0)),海典汇总!$C$1:$AE$1,0)),0),2))</f>
        <v/>
      </c>
      <c r="E303" s="15" t="str">
        <f aca="false">IF($D303="","",ROUND($C303-$D303,2))</f>
        <v/>
      </c>
      <c r="F303" s="38" t="str">
        <f aca="false">IF($A303&amp;$B303="","",IF(COUNTIF(门店对照!$A$2:$A$66,$A303)=0,"× 门店编码不对",IF(COUNTIF(科目对照收入!$B$2:$B$23,$B303)=0,"× 渠道名不对",IF(INDEX(科目对照收入!$E$2:$E$23,MATCH($B303,科目对照收入!$B$2:$B$23,0))&lt;&gt;"平台优先","× 该项目不按平台金额",IF(COUNTIFS($A$2:$A$601,$A303,$B$2:$B$601,$B303)&gt;1,"× 同店同渠道重复","√")))))</f>
        <v/>
      </c>
    </row>
    <row r="304" customFormat="false" ht="13.5" hidden="false" customHeight="false" outlineLevel="0" collapsed="false">
      <c r="A304" s="35"/>
      <c r="B304" s="35"/>
      <c r="C304" s="37"/>
      <c r="D304" s="15" t="str">
        <f aca="false">IF(OR($A304="",$B304=""),"",ROUND(IFERROR(INDEX(海典汇总!$C$3:$AE$67,MATCH($A304,海典汇总!$A$3:$A$67,0),MATCH(INDEX(科目对照收入!$F$2:$F$23,MATCH($B304,科目对照收入!$B$2:$B$23,0)),海典汇总!$C$1:$AE$1,0)),0)+IFERROR(INDEX(海典汇总!$C$3:$AE$67,MATCH($A304,海典汇总!$A$3:$A$67,0),MATCH(INDEX(科目对照收入!$G$2:$G$23,MATCH($B304,科目对照收入!$B$2:$B$23,0)),海典汇总!$C$1:$AE$1,0)),0)+IFERROR(INDEX(海典汇总!$C$3:$AE$67,MATCH($A304,海典汇总!$A$3:$A$67,0),MATCH(INDEX(科目对照收入!$H$2:$H$23,MATCH($B304,科目对照收入!$B$2:$B$23,0)),海典汇总!$C$1:$AE$1,0)),0),2))</f>
        <v/>
      </c>
      <c r="E304" s="15" t="str">
        <f aca="false">IF($D304="","",ROUND($C304-$D304,2))</f>
        <v/>
      </c>
      <c r="F304" s="38" t="str">
        <f aca="false">IF($A304&amp;$B304="","",IF(COUNTIF(门店对照!$A$2:$A$66,$A304)=0,"× 门店编码不对",IF(COUNTIF(科目对照收入!$B$2:$B$23,$B304)=0,"× 渠道名不对",IF(INDEX(科目对照收入!$E$2:$E$23,MATCH($B304,科目对照收入!$B$2:$B$23,0))&lt;&gt;"平台优先","× 该项目不按平台金额",IF(COUNTIFS($A$2:$A$601,$A304,$B$2:$B$601,$B304)&gt;1,"× 同店同渠道重复","√")))))</f>
        <v/>
      </c>
    </row>
    <row r="305" customFormat="false" ht="13.5" hidden="false" customHeight="false" outlineLevel="0" collapsed="false">
      <c r="A305" s="35"/>
      <c r="B305" s="35"/>
      <c r="C305" s="37"/>
      <c r="D305" s="15" t="str">
        <f aca="false">IF(OR($A305="",$B305=""),"",ROUND(IFERROR(INDEX(海典汇总!$C$3:$AE$67,MATCH($A305,海典汇总!$A$3:$A$67,0),MATCH(INDEX(科目对照收入!$F$2:$F$23,MATCH($B305,科目对照收入!$B$2:$B$23,0)),海典汇总!$C$1:$AE$1,0)),0)+IFERROR(INDEX(海典汇总!$C$3:$AE$67,MATCH($A305,海典汇总!$A$3:$A$67,0),MATCH(INDEX(科目对照收入!$G$2:$G$23,MATCH($B305,科目对照收入!$B$2:$B$23,0)),海典汇总!$C$1:$AE$1,0)),0)+IFERROR(INDEX(海典汇总!$C$3:$AE$67,MATCH($A305,海典汇总!$A$3:$A$67,0),MATCH(INDEX(科目对照收入!$H$2:$H$23,MATCH($B305,科目对照收入!$B$2:$B$23,0)),海典汇总!$C$1:$AE$1,0)),0),2))</f>
        <v/>
      </c>
      <c r="E305" s="15" t="str">
        <f aca="false">IF($D305="","",ROUND($C305-$D305,2))</f>
        <v/>
      </c>
      <c r="F305" s="38" t="str">
        <f aca="false">IF($A305&amp;$B305="","",IF(COUNTIF(门店对照!$A$2:$A$66,$A305)=0,"× 门店编码不对",IF(COUNTIF(科目对照收入!$B$2:$B$23,$B305)=0,"× 渠道名不对",IF(INDEX(科目对照收入!$E$2:$E$23,MATCH($B305,科目对照收入!$B$2:$B$23,0))&lt;&gt;"平台优先","× 该项目不按平台金额",IF(COUNTIFS($A$2:$A$601,$A305,$B$2:$B$601,$B305)&gt;1,"× 同店同渠道重复","√")))))</f>
        <v/>
      </c>
    </row>
    <row r="306" customFormat="false" ht="13.5" hidden="false" customHeight="false" outlineLevel="0" collapsed="false">
      <c r="A306" s="35"/>
      <c r="B306" s="35"/>
      <c r="C306" s="37"/>
      <c r="D306" s="15" t="str">
        <f aca="false">IF(OR($A306="",$B306=""),"",ROUND(IFERROR(INDEX(海典汇总!$C$3:$AE$67,MATCH($A306,海典汇总!$A$3:$A$67,0),MATCH(INDEX(科目对照收入!$F$2:$F$23,MATCH($B306,科目对照收入!$B$2:$B$23,0)),海典汇总!$C$1:$AE$1,0)),0)+IFERROR(INDEX(海典汇总!$C$3:$AE$67,MATCH($A306,海典汇总!$A$3:$A$67,0),MATCH(INDEX(科目对照收入!$G$2:$G$23,MATCH($B306,科目对照收入!$B$2:$B$23,0)),海典汇总!$C$1:$AE$1,0)),0)+IFERROR(INDEX(海典汇总!$C$3:$AE$67,MATCH($A306,海典汇总!$A$3:$A$67,0),MATCH(INDEX(科目对照收入!$H$2:$H$23,MATCH($B306,科目对照收入!$B$2:$B$23,0)),海典汇总!$C$1:$AE$1,0)),0),2))</f>
        <v/>
      </c>
      <c r="E306" s="15" t="str">
        <f aca="false">IF($D306="","",ROUND($C306-$D306,2))</f>
        <v/>
      </c>
      <c r="F306" s="38" t="str">
        <f aca="false">IF($A306&amp;$B306="","",IF(COUNTIF(门店对照!$A$2:$A$66,$A306)=0,"× 门店编码不对",IF(COUNTIF(科目对照收入!$B$2:$B$23,$B306)=0,"× 渠道名不对",IF(INDEX(科目对照收入!$E$2:$E$23,MATCH($B306,科目对照收入!$B$2:$B$23,0))&lt;&gt;"平台优先","× 该项目不按平台金额",IF(COUNTIFS($A$2:$A$601,$A306,$B$2:$B$601,$B306)&gt;1,"× 同店同渠道重复","√")))))</f>
        <v/>
      </c>
    </row>
    <row r="307" customFormat="false" ht="13.5" hidden="false" customHeight="false" outlineLevel="0" collapsed="false">
      <c r="A307" s="35"/>
      <c r="B307" s="35"/>
      <c r="C307" s="37"/>
      <c r="D307" s="15" t="str">
        <f aca="false">IF(OR($A307="",$B307=""),"",ROUND(IFERROR(INDEX(海典汇总!$C$3:$AE$67,MATCH($A307,海典汇总!$A$3:$A$67,0),MATCH(INDEX(科目对照收入!$F$2:$F$23,MATCH($B307,科目对照收入!$B$2:$B$23,0)),海典汇总!$C$1:$AE$1,0)),0)+IFERROR(INDEX(海典汇总!$C$3:$AE$67,MATCH($A307,海典汇总!$A$3:$A$67,0),MATCH(INDEX(科目对照收入!$G$2:$G$23,MATCH($B307,科目对照收入!$B$2:$B$23,0)),海典汇总!$C$1:$AE$1,0)),0)+IFERROR(INDEX(海典汇总!$C$3:$AE$67,MATCH($A307,海典汇总!$A$3:$A$67,0),MATCH(INDEX(科目对照收入!$H$2:$H$23,MATCH($B307,科目对照收入!$B$2:$B$23,0)),海典汇总!$C$1:$AE$1,0)),0),2))</f>
        <v/>
      </c>
      <c r="E307" s="15" t="str">
        <f aca="false">IF($D307="","",ROUND($C307-$D307,2))</f>
        <v/>
      </c>
      <c r="F307" s="38" t="str">
        <f aca="false">IF($A307&amp;$B307="","",IF(COUNTIF(门店对照!$A$2:$A$66,$A307)=0,"× 门店编码不对",IF(COUNTIF(科目对照收入!$B$2:$B$23,$B307)=0,"× 渠道名不对",IF(INDEX(科目对照收入!$E$2:$E$23,MATCH($B307,科目对照收入!$B$2:$B$23,0))&lt;&gt;"平台优先","× 该项目不按平台金额",IF(COUNTIFS($A$2:$A$601,$A307,$B$2:$B$601,$B307)&gt;1,"× 同店同渠道重复","√")))))</f>
        <v/>
      </c>
    </row>
    <row r="308" customFormat="false" ht="13.5" hidden="false" customHeight="false" outlineLevel="0" collapsed="false">
      <c r="A308" s="35"/>
      <c r="B308" s="35"/>
      <c r="C308" s="37"/>
      <c r="D308" s="15" t="str">
        <f aca="false">IF(OR($A308="",$B308=""),"",ROUND(IFERROR(INDEX(海典汇总!$C$3:$AE$67,MATCH($A308,海典汇总!$A$3:$A$67,0),MATCH(INDEX(科目对照收入!$F$2:$F$23,MATCH($B308,科目对照收入!$B$2:$B$23,0)),海典汇总!$C$1:$AE$1,0)),0)+IFERROR(INDEX(海典汇总!$C$3:$AE$67,MATCH($A308,海典汇总!$A$3:$A$67,0),MATCH(INDEX(科目对照收入!$G$2:$G$23,MATCH($B308,科目对照收入!$B$2:$B$23,0)),海典汇总!$C$1:$AE$1,0)),0)+IFERROR(INDEX(海典汇总!$C$3:$AE$67,MATCH($A308,海典汇总!$A$3:$A$67,0),MATCH(INDEX(科目对照收入!$H$2:$H$23,MATCH($B308,科目对照收入!$B$2:$B$23,0)),海典汇总!$C$1:$AE$1,0)),0),2))</f>
        <v/>
      </c>
      <c r="E308" s="15" t="str">
        <f aca="false">IF($D308="","",ROUND($C308-$D308,2))</f>
        <v/>
      </c>
      <c r="F308" s="38" t="str">
        <f aca="false">IF($A308&amp;$B308="","",IF(COUNTIF(门店对照!$A$2:$A$66,$A308)=0,"× 门店编码不对",IF(COUNTIF(科目对照收入!$B$2:$B$23,$B308)=0,"× 渠道名不对",IF(INDEX(科目对照收入!$E$2:$E$23,MATCH($B308,科目对照收入!$B$2:$B$23,0))&lt;&gt;"平台优先","× 该项目不按平台金额",IF(COUNTIFS($A$2:$A$601,$A308,$B$2:$B$601,$B308)&gt;1,"× 同店同渠道重复","√")))))</f>
        <v/>
      </c>
    </row>
    <row r="309" customFormat="false" ht="13.5" hidden="false" customHeight="false" outlineLevel="0" collapsed="false">
      <c r="A309" s="35"/>
      <c r="B309" s="35"/>
      <c r="C309" s="37"/>
      <c r="D309" s="15" t="str">
        <f aca="false">IF(OR($A309="",$B309=""),"",ROUND(IFERROR(INDEX(海典汇总!$C$3:$AE$67,MATCH($A309,海典汇总!$A$3:$A$67,0),MATCH(INDEX(科目对照收入!$F$2:$F$23,MATCH($B309,科目对照收入!$B$2:$B$23,0)),海典汇总!$C$1:$AE$1,0)),0)+IFERROR(INDEX(海典汇总!$C$3:$AE$67,MATCH($A309,海典汇总!$A$3:$A$67,0),MATCH(INDEX(科目对照收入!$G$2:$G$23,MATCH($B309,科目对照收入!$B$2:$B$23,0)),海典汇总!$C$1:$AE$1,0)),0)+IFERROR(INDEX(海典汇总!$C$3:$AE$67,MATCH($A309,海典汇总!$A$3:$A$67,0),MATCH(INDEX(科目对照收入!$H$2:$H$23,MATCH($B309,科目对照收入!$B$2:$B$23,0)),海典汇总!$C$1:$AE$1,0)),0),2))</f>
        <v/>
      </c>
      <c r="E309" s="15" t="str">
        <f aca="false">IF($D309="","",ROUND($C309-$D309,2))</f>
        <v/>
      </c>
      <c r="F309" s="38" t="str">
        <f aca="false">IF($A309&amp;$B309="","",IF(COUNTIF(门店对照!$A$2:$A$66,$A309)=0,"× 门店编码不对",IF(COUNTIF(科目对照收入!$B$2:$B$23,$B309)=0,"× 渠道名不对",IF(INDEX(科目对照收入!$E$2:$E$23,MATCH($B309,科目对照收入!$B$2:$B$23,0))&lt;&gt;"平台优先","× 该项目不按平台金额",IF(COUNTIFS($A$2:$A$601,$A309,$B$2:$B$601,$B309)&gt;1,"× 同店同渠道重复","√")))))</f>
        <v/>
      </c>
    </row>
    <row r="310" customFormat="false" ht="13.5" hidden="false" customHeight="false" outlineLevel="0" collapsed="false">
      <c r="A310" s="35"/>
      <c r="B310" s="35"/>
      <c r="C310" s="37"/>
      <c r="D310" s="15" t="str">
        <f aca="false">IF(OR($A310="",$B310=""),"",ROUND(IFERROR(INDEX(海典汇总!$C$3:$AE$67,MATCH($A310,海典汇总!$A$3:$A$67,0),MATCH(INDEX(科目对照收入!$F$2:$F$23,MATCH($B310,科目对照收入!$B$2:$B$23,0)),海典汇总!$C$1:$AE$1,0)),0)+IFERROR(INDEX(海典汇总!$C$3:$AE$67,MATCH($A310,海典汇总!$A$3:$A$67,0),MATCH(INDEX(科目对照收入!$G$2:$G$23,MATCH($B310,科目对照收入!$B$2:$B$23,0)),海典汇总!$C$1:$AE$1,0)),0)+IFERROR(INDEX(海典汇总!$C$3:$AE$67,MATCH($A310,海典汇总!$A$3:$A$67,0),MATCH(INDEX(科目对照收入!$H$2:$H$23,MATCH($B310,科目对照收入!$B$2:$B$23,0)),海典汇总!$C$1:$AE$1,0)),0),2))</f>
        <v/>
      </c>
      <c r="E310" s="15" t="str">
        <f aca="false">IF($D310="","",ROUND($C310-$D310,2))</f>
        <v/>
      </c>
      <c r="F310" s="38" t="str">
        <f aca="false">IF($A310&amp;$B310="","",IF(COUNTIF(门店对照!$A$2:$A$66,$A310)=0,"× 门店编码不对",IF(COUNTIF(科目对照收入!$B$2:$B$23,$B310)=0,"× 渠道名不对",IF(INDEX(科目对照收入!$E$2:$E$23,MATCH($B310,科目对照收入!$B$2:$B$23,0))&lt;&gt;"平台优先","× 该项目不按平台金额",IF(COUNTIFS($A$2:$A$601,$A310,$B$2:$B$601,$B310)&gt;1,"× 同店同渠道重复","√")))))</f>
        <v/>
      </c>
    </row>
    <row r="311" customFormat="false" ht="13.5" hidden="false" customHeight="false" outlineLevel="0" collapsed="false">
      <c r="A311" s="35"/>
      <c r="B311" s="35"/>
      <c r="C311" s="37"/>
      <c r="D311" s="15" t="str">
        <f aca="false">IF(OR($A311="",$B311=""),"",ROUND(IFERROR(INDEX(海典汇总!$C$3:$AE$67,MATCH($A311,海典汇总!$A$3:$A$67,0),MATCH(INDEX(科目对照收入!$F$2:$F$23,MATCH($B311,科目对照收入!$B$2:$B$23,0)),海典汇总!$C$1:$AE$1,0)),0)+IFERROR(INDEX(海典汇总!$C$3:$AE$67,MATCH($A311,海典汇总!$A$3:$A$67,0),MATCH(INDEX(科目对照收入!$G$2:$G$23,MATCH($B311,科目对照收入!$B$2:$B$23,0)),海典汇总!$C$1:$AE$1,0)),0)+IFERROR(INDEX(海典汇总!$C$3:$AE$67,MATCH($A311,海典汇总!$A$3:$A$67,0),MATCH(INDEX(科目对照收入!$H$2:$H$23,MATCH($B311,科目对照收入!$B$2:$B$23,0)),海典汇总!$C$1:$AE$1,0)),0),2))</f>
        <v/>
      </c>
      <c r="E311" s="15" t="str">
        <f aca="false">IF($D311="","",ROUND($C311-$D311,2))</f>
        <v/>
      </c>
      <c r="F311" s="38" t="str">
        <f aca="false">IF($A311&amp;$B311="","",IF(COUNTIF(门店对照!$A$2:$A$66,$A311)=0,"× 门店编码不对",IF(COUNTIF(科目对照收入!$B$2:$B$23,$B311)=0,"× 渠道名不对",IF(INDEX(科目对照收入!$E$2:$E$23,MATCH($B311,科目对照收入!$B$2:$B$23,0))&lt;&gt;"平台优先","× 该项目不按平台金额",IF(COUNTIFS($A$2:$A$601,$A311,$B$2:$B$601,$B311)&gt;1,"× 同店同渠道重复","√")))))</f>
        <v/>
      </c>
    </row>
    <row r="312" customFormat="false" ht="13.5" hidden="false" customHeight="false" outlineLevel="0" collapsed="false">
      <c r="A312" s="35"/>
      <c r="B312" s="35"/>
      <c r="C312" s="37"/>
      <c r="D312" s="15" t="str">
        <f aca="false">IF(OR($A312="",$B312=""),"",ROUND(IFERROR(INDEX(海典汇总!$C$3:$AE$67,MATCH($A312,海典汇总!$A$3:$A$67,0),MATCH(INDEX(科目对照收入!$F$2:$F$23,MATCH($B312,科目对照收入!$B$2:$B$23,0)),海典汇总!$C$1:$AE$1,0)),0)+IFERROR(INDEX(海典汇总!$C$3:$AE$67,MATCH($A312,海典汇总!$A$3:$A$67,0),MATCH(INDEX(科目对照收入!$G$2:$G$23,MATCH($B312,科目对照收入!$B$2:$B$23,0)),海典汇总!$C$1:$AE$1,0)),0)+IFERROR(INDEX(海典汇总!$C$3:$AE$67,MATCH($A312,海典汇总!$A$3:$A$67,0),MATCH(INDEX(科目对照收入!$H$2:$H$23,MATCH($B312,科目对照收入!$B$2:$B$23,0)),海典汇总!$C$1:$AE$1,0)),0),2))</f>
        <v/>
      </c>
      <c r="E312" s="15" t="str">
        <f aca="false">IF($D312="","",ROUND($C312-$D312,2))</f>
        <v/>
      </c>
      <c r="F312" s="38" t="str">
        <f aca="false">IF($A312&amp;$B312="","",IF(COUNTIF(门店对照!$A$2:$A$66,$A312)=0,"× 门店编码不对",IF(COUNTIF(科目对照收入!$B$2:$B$23,$B312)=0,"× 渠道名不对",IF(INDEX(科目对照收入!$E$2:$E$23,MATCH($B312,科目对照收入!$B$2:$B$23,0))&lt;&gt;"平台优先","× 该项目不按平台金额",IF(COUNTIFS($A$2:$A$601,$A312,$B$2:$B$601,$B312)&gt;1,"× 同店同渠道重复","√")))))</f>
        <v/>
      </c>
    </row>
    <row r="313" customFormat="false" ht="13.5" hidden="false" customHeight="false" outlineLevel="0" collapsed="false">
      <c r="A313" s="35"/>
      <c r="B313" s="35"/>
      <c r="C313" s="37"/>
      <c r="D313" s="15" t="str">
        <f aca="false">IF(OR($A313="",$B313=""),"",ROUND(IFERROR(INDEX(海典汇总!$C$3:$AE$67,MATCH($A313,海典汇总!$A$3:$A$67,0),MATCH(INDEX(科目对照收入!$F$2:$F$23,MATCH($B313,科目对照收入!$B$2:$B$23,0)),海典汇总!$C$1:$AE$1,0)),0)+IFERROR(INDEX(海典汇总!$C$3:$AE$67,MATCH($A313,海典汇总!$A$3:$A$67,0),MATCH(INDEX(科目对照收入!$G$2:$G$23,MATCH($B313,科目对照收入!$B$2:$B$23,0)),海典汇总!$C$1:$AE$1,0)),0)+IFERROR(INDEX(海典汇总!$C$3:$AE$67,MATCH($A313,海典汇总!$A$3:$A$67,0),MATCH(INDEX(科目对照收入!$H$2:$H$23,MATCH($B313,科目对照收入!$B$2:$B$23,0)),海典汇总!$C$1:$AE$1,0)),0),2))</f>
        <v/>
      </c>
      <c r="E313" s="15" t="str">
        <f aca="false">IF($D313="","",ROUND($C313-$D313,2))</f>
        <v/>
      </c>
      <c r="F313" s="38" t="str">
        <f aca="false">IF($A313&amp;$B313="","",IF(COUNTIF(门店对照!$A$2:$A$66,$A313)=0,"× 门店编码不对",IF(COUNTIF(科目对照收入!$B$2:$B$23,$B313)=0,"× 渠道名不对",IF(INDEX(科目对照收入!$E$2:$E$23,MATCH($B313,科目对照收入!$B$2:$B$23,0))&lt;&gt;"平台优先","× 该项目不按平台金额",IF(COUNTIFS($A$2:$A$601,$A313,$B$2:$B$601,$B313)&gt;1,"× 同店同渠道重复","√")))))</f>
        <v/>
      </c>
    </row>
    <row r="314" customFormat="false" ht="13.5" hidden="false" customHeight="false" outlineLevel="0" collapsed="false">
      <c r="A314" s="35"/>
      <c r="B314" s="35"/>
      <c r="C314" s="37"/>
      <c r="D314" s="15" t="str">
        <f aca="false">IF(OR($A314="",$B314=""),"",ROUND(IFERROR(INDEX(海典汇总!$C$3:$AE$67,MATCH($A314,海典汇总!$A$3:$A$67,0),MATCH(INDEX(科目对照收入!$F$2:$F$23,MATCH($B314,科目对照收入!$B$2:$B$23,0)),海典汇总!$C$1:$AE$1,0)),0)+IFERROR(INDEX(海典汇总!$C$3:$AE$67,MATCH($A314,海典汇总!$A$3:$A$67,0),MATCH(INDEX(科目对照收入!$G$2:$G$23,MATCH($B314,科目对照收入!$B$2:$B$23,0)),海典汇总!$C$1:$AE$1,0)),0)+IFERROR(INDEX(海典汇总!$C$3:$AE$67,MATCH($A314,海典汇总!$A$3:$A$67,0),MATCH(INDEX(科目对照收入!$H$2:$H$23,MATCH($B314,科目对照收入!$B$2:$B$23,0)),海典汇总!$C$1:$AE$1,0)),0),2))</f>
        <v/>
      </c>
      <c r="E314" s="15" t="str">
        <f aca="false">IF($D314="","",ROUND($C314-$D314,2))</f>
        <v/>
      </c>
      <c r="F314" s="38" t="str">
        <f aca="false">IF($A314&amp;$B314="","",IF(COUNTIF(门店对照!$A$2:$A$66,$A314)=0,"× 门店编码不对",IF(COUNTIF(科目对照收入!$B$2:$B$23,$B314)=0,"× 渠道名不对",IF(INDEX(科目对照收入!$E$2:$E$23,MATCH($B314,科目对照收入!$B$2:$B$23,0))&lt;&gt;"平台优先","× 该项目不按平台金额",IF(COUNTIFS($A$2:$A$601,$A314,$B$2:$B$601,$B314)&gt;1,"× 同店同渠道重复","√")))))</f>
        <v/>
      </c>
    </row>
    <row r="315" customFormat="false" ht="13.5" hidden="false" customHeight="false" outlineLevel="0" collapsed="false">
      <c r="A315" s="35"/>
      <c r="B315" s="35"/>
      <c r="C315" s="37"/>
      <c r="D315" s="15" t="str">
        <f aca="false">IF(OR($A315="",$B315=""),"",ROUND(IFERROR(INDEX(海典汇总!$C$3:$AE$67,MATCH($A315,海典汇总!$A$3:$A$67,0),MATCH(INDEX(科目对照收入!$F$2:$F$23,MATCH($B315,科目对照收入!$B$2:$B$23,0)),海典汇总!$C$1:$AE$1,0)),0)+IFERROR(INDEX(海典汇总!$C$3:$AE$67,MATCH($A315,海典汇总!$A$3:$A$67,0),MATCH(INDEX(科目对照收入!$G$2:$G$23,MATCH($B315,科目对照收入!$B$2:$B$23,0)),海典汇总!$C$1:$AE$1,0)),0)+IFERROR(INDEX(海典汇总!$C$3:$AE$67,MATCH($A315,海典汇总!$A$3:$A$67,0),MATCH(INDEX(科目对照收入!$H$2:$H$23,MATCH($B315,科目对照收入!$B$2:$B$23,0)),海典汇总!$C$1:$AE$1,0)),0),2))</f>
        <v/>
      </c>
      <c r="E315" s="15" t="str">
        <f aca="false">IF($D315="","",ROUND($C315-$D315,2))</f>
        <v/>
      </c>
      <c r="F315" s="38" t="str">
        <f aca="false">IF($A315&amp;$B315="","",IF(COUNTIF(门店对照!$A$2:$A$66,$A315)=0,"× 门店编码不对",IF(COUNTIF(科目对照收入!$B$2:$B$23,$B315)=0,"× 渠道名不对",IF(INDEX(科目对照收入!$E$2:$E$23,MATCH($B315,科目对照收入!$B$2:$B$23,0))&lt;&gt;"平台优先","× 该项目不按平台金额",IF(COUNTIFS($A$2:$A$601,$A315,$B$2:$B$601,$B315)&gt;1,"× 同店同渠道重复","√")))))</f>
        <v/>
      </c>
    </row>
    <row r="316" customFormat="false" ht="13.5" hidden="false" customHeight="false" outlineLevel="0" collapsed="false">
      <c r="A316" s="35"/>
      <c r="B316" s="35"/>
      <c r="C316" s="37"/>
      <c r="D316" s="15" t="str">
        <f aca="false">IF(OR($A316="",$B316=""),"",ROUND(IFERROR(INDEX(海典汇总!$C$3:$AE$67,MATCH($A316,海典汇总!$A$3:$A$67,0),MATCH(INDEX(科目对照收入!$F$2:$F$23,MATCH($B316,科目对照收入!$B$2:$B$23,0)),海典汇总!$C$1:$AE$1,0)),0)+IFERROR(INDEX(海典汇总!$C$3:$AE$67,MATCH($A316,海典汇总!$A$3:$A$67,0),MATCH(INDEX(科目对照收入!$G$2:$G$23,MATCH($B316,科目对照收入!$B$2:$B$23,0)),海典汇总!$C$1:$AE$1,0)),0)+IFERROR(INDEX(海典汇总!$C$3:$AE$67,MATCH($A316,海典汇总!$A$3:$A$67,0),MATCH(INDEX(科目对照收入!$H$2:$H$23,MATCH($B316,科目对照收入!$B$2:$B$23,0)),海典汇总!$C$1:$AE$1,0)),0),2))</f>
        <v/>
      </c>
      <c r="E316" s="15" t="str">
        <f aca="false">IF($D316="","",ROUND($C316-$D316,2))</f>
        <v/>
      </c>
      <c r="F316" s="38" t="str">
        <f aca="false">IF($A316&amp;$B316="","",IF(COUNTIF(门店对照!$A$2:$A$66,$A316)=0,"× 门店编码不对",IF(COUNTIF(科目对照收入!$B$2:$B$23,$B316)=0,"× 渠道名不对",IF(INDEX(科目对照收入!$E$2:$E$23,MATCH($B316,科目对照收入!$B$2:$B$23,0))&lt;&gt;"平台优先","× 该项目不按平台金额",IF(COUNTIFS($A$2:$A$601,$A316,$B$2:$B$601,$B316)&gt;1,"× 同店同渠道重复","√")))))</f>
        <v/>
      </c>
    </row>
    <row r="317" customFormat="false" ht="13.5" hidden="false" customHeight="false" outlineLevel="0" collapsed="false">
      <c r="A317" s="35"/>
      <c r="B317" s="35"/>
      <c r="C317" s="37"/>
      <c r="D317" s="15" t="str">
        <f aca="false">IF(OR($A317="",$B317=""),"",ROUND(IFERROR(INDEX(海典汇总!$C$3:$AE$67,MATCH($A317,海典汇总!$A$3:$A$67,0),MATCH(INDEX(科目对照收入!$F$2:$F$23,MATCH($B317,科目对照收入!$B$2:$B$23,0)),海典汇总!$C$1:$AE$1,0)),0)+IFERROR(INDEX(海典汇总!$C$3:$AE$67,MATCH($A317,海典汇总!$A$3:$A$67,0),MATCH(INDEX(科目对照收入!$G$2:$G$23,MATCH($B317,科目对照收入!$B$2:$B$23,0)),海典汇总!$C$1:$AE$1,0)),0)+IFERROR(INDEX(海典汇总!$C$3:$AE$67,MATCH($A317,海典汇总!$A$3:$A$67,0),MATCH(INDEX(科目对照收入!$H$2:$H$23,MATCH($B317,科目对照收入!$B$2:$B$23,0)),海典汇总!$C$1:$AE$1,0)),0),2))</f>
        <v/>
      </c>
      <c r="E317" s="15" t="str">
        <f aca="false">IF($D317="","",ROUND($C317-$D317,2))</f>
        <v/>
      </c>
      <c r="F317" s="38" t="str">
        <f aca="false">IF($A317&amp;$B317="","",IF(COUNTIF(门店对照!$A$2:$A$66,$A317)=0,"× 门店编码不对",IF(COUNTIF(科目对照收入!$B$2:$B$23,$B317)=0,"× 渠道名不对",IF(INDEX(科目对照收入!$E$2:$E$23,MATCH($B317,科目对照收入!$B$2:$B$23,0))&lt;&gt;"平台优先","× 该项目不按平台金额",IF(COUNTIFS($A$2:$A$601,$A317,$B$2:$B$601,$B317)&gt;1,"× 同店同渠道重复","√")))))</f>
        <v/>
      </c>
    </row>
    <row r="318" customFormat="false" ht="13.5" hidden="false" customHeight="false" outlineLevel="0" collapsed="false">
      <c r="A318" s="35"/>
      <c r="B318" s="35"/>
      <c r="C318" s="37"/>
      <c r="D318" s="15" t="str">
        <f aca="false">IF(OR($A318="",$B318=""),"",ROUND(IFERROR(INDEX(海典汇总!$C$3:$AE$67,MATCH($A318,海典汇总!$A$3:$A$67,0),MATCH(INDEX(科目对照收入!$F$2:$F$23,MATCH($B318,科目对照收入!$B$2:$B$23,0)),海典汇总!$C$1:$AE$1,0)),0)+IFERROR(INDEX(海典汇总!$C$3:$AE$67,MATCH($A318,海典汇总!$A$3:$A$67,0),MATCH(INDEX(科目对照收入!$G$2:$G$23,MATCH($B318,科目对照收入!$B$2:$B$23,0)),海典汇总!$C$1:$AE$1,0)),0)+IFERROR(INDEX(海典汇总!$C$3:$AE$67,MATCH($A318,海典汇总!$A$3:$A$67,0),MATCH(INDEX(科目对照收入!$H$2:$H$23,MATCH($B318,科目对照收入!$B$2:$B$23,0)),海典汇总!$C$1:$AE$1,0)),0),2))</f>
        <v/>
      </c>
      <c r="E318" s="15" t="str">
        <f aca="false">IF($D318="","",ROUND($C318-$D318,2))</f>
        <v/>
      </c>
      <c r="F318" s="38" t="str">
        <f aca="false">IF($A318&amp;$B318="","",IF(COUNTIF(门店对照!$A$2:$A$66,$A318)=0,"× 门店编码不对",IF(COUNTIF(科目对照收入!$B$2:$B$23,$B318)=0,"× 渠道名不对",IF(INDEX(科目对照收入!$E$2:$E$23,MATCH($B318,科目对照收入!$B$2:$B$23,0))&lt;&gt;"平台优先","× 该项目不按平台金额",IF(COUNTIFS($A$2:$A$601,$A318,$B$2:$B$601,$B318)&gt;1,"× 同店同渠道重复","√")))))</f>
        <v/>
      </c>
    </row>
    <row r="319" customFormat="false" ht="13.5" hidden="false" customHeight="false" outlineLevel="0" collapsed="false">
      <c r="A319" s="35"/>
      <c r="B319" s="35"/>
      <c r="C319" s="37"/>
      <c r="D319" s="15" t="str">
        <f aca="false">IF(OR($A319="",$B319=""),"",ROUND(IFERROR(INDEX(海典汇总!$C$3:$AE$67,MATCH($A319,海典汇总!$A$3:$A$67,0),MATCH(INDEX(科目对照收入!$F$2:$F$23,MATCH($B319,科目对照收入!$B$2:$B$23,0)),海典汇总!$C$1:$AE$1,0)),0)+IFERROR(INDEX(海典汇总!$C$3:$AE$67,MATCH($A319,海典汇总!$A$3:$A$67,0),MATCH(INDEX(科目对照收入!$G$2:$G$23,MATCH($B319,科目对照收入!$B$2:$B$23,0)),海典汇总!$C$1:$AE$1,0)),0)+IFERROR(INDEX(海典汇总!$C$3:$AE$67,MATCH($A319,海典汇总!$A$3:$A$67,0),MATCH(INDEX(科目对照收入!$H$2:$H$23,MATCH($B319,科目对照收入!$B$2:$B$23,0)),海典汇总!$C$1:$AE$1,0)),0),2))</f>
        <v/>
      </c>
      <c r="E319" s="15" t="str">
        <f aca="false">IF($D319="","",ROUND($C319-$D319,2))</f>
        <v/>
      </c>
      <c r="F319" s="38" t="str">
        <f aca="false">IF($A319&amp;$B319="","",IF(COUNTIF(门店对照!$A$2:$A$66,$A319)=0,"× 门店编码不对",IF(COUNTIF(科目对照收入!$B$2:$B$23,$B319)=0,"× 渠道名不对",IF(INDEX(科目对照收入!$E$2:$E$23,MATCH($B319,科目对照收入!$B$2:$B$23,0))&lt;&gt;"平台优先","× 该项目不按平台金额",IF(COUNTIFS($A$2:$A$601,$A319,$B$2:$B$601,$B319)&gt;1,"× 同店同渠道重复","√")))))</f>
        <v/>
      </c>
    </row>
    <row r="320" customFormat="false" ht="13.5" hidden="false" customHeight="false" outlineLevel="0" collapsed="false">
      <c r="A320" s="35"/>
      <c r="B320" s="35"/>
      <c r="C320" s="37"/>
      <c r="D320" s="15" t="str">
        <f aca="false">IF(OR($A320="",$B320=""),"",ROUND(IFERROR(INDEX(海典汇总!$C$3:$AE$67,MATCH($A320,海典汇总!$A$3:$A$67,0),MATCH(INDEX(科目对照收入!$F$2:$F$23,MATCH($B320,科目对照收入!$B$2:$B$23,0)),海典汇总!$C$1:$AE$1,0)),0)+IFERROR(INDEX(海典汇总!$C$3:$AE$67,MATCH($A320,海典汇总!$A$3:$A$67,0),MATCH(INDEX(科目对照收入!$G$2:$G$23,MATCH($B320,科目对照收入!$B$2:$B$23,0)),海典汇总!$C$1:$AE$1,0)),0)+IFERROR(INDEX(海典汇总!$C$3:$AE$67,MATCH($A320,海典汇总!$A$3:$A$67,0),MATCH(INDEX(科目对照收入!$H$2:$H$23,MATCH($B320,科目对照收入!$B$2:$B$23,0)),海典汇总!$C$1:$AE$1,0)),0),2))</f>
        <v/>
      </c>
      <c r="E320" s="15" t="str">
        <f aca="false">IF($D320="","",ROUND($C320-$D320,2))</f>
        <v/>
      </c>
      <c r="F320" s="38" t="str">
        <f aca="false">IF($A320&amp;$B320="","",IF(COUNTIF(门店对照!$A$2:$A$66,$A320)=0,"× 门店编码不对",IF(COUNTIF(科目对照收入!$B$2:$B$23,$B320)=0,"× 渠道名不对",IF(INDEX(科目对照收入!$E$2:$E$23,MATCH($B320,科目对照收入!$B$2:$B$23,0))&lt;&gt;"平台优先","× 该项目不按平台金额",IF(COUNTIFS($A$2:$A$601,$A320,$B$2:$B$601,$B320)&gt;1,"× 同店同渠道重复","√")))))</f>
        <v/>
      </c>
    </row>
    <row r="321" customFormat="false" ht="13.5" hidden="false" customHeight="false" outlineLevel="0" collapsed="false">
      <c r="A321" s="35"/>
      <c r="B321" s="35"/>
      <c r="C321" s="37"/>
      <c r="D321" s="15" t="str">
        <f aca="false">IF(OR($A321="",$B321=""),"",ROUND(IFERROR(INDEX(海典汇总!$C$3:$AE$67,MATCH($A321,海典汇总!$A$3:$A$67,0),MATCH(INDEX(科目对照收入!$F$2:$F$23,MATCH($B321,科目对照收入!$B$2:$B$23,0)),海典汇总!$C$1:$AE$1,0)),0)+IFERROR(INDEX(海典汇总!$C$3:$AE$67,MATCH($A321,海典汇总!$A$3:$A$67,0),MATCH(INDEX(科目对照收入!$G$2:$G$23,MATCH($B321,科目对照收入!$B$2:$B$23,0)),海典汇总!$C$1:$AE$1,0)),0)+IFERROR(INDEX(海典汇总!$C$3:$AE$67,MATCH($A321,海典汇总!$A$3:$A$67,0),MATCH(INDEX(科目对照收入!$H$2:$H$23,MATCH($B321,科目对照收入!$B$2:$B$23,0)),海典汇总!$C$1:$AE$1,0)),0),2))</f>
        <v/>
      </c>
      <c r="E321" s="15" t="str">
        <f aca="false">IF($D321="","",ROUND($C321-$D321,2))</f>
        <v/>
      </c>
      <c r="F321" s="38" t="str">
        <f aca="false">IF($A321&amp;$B321="","",IF(COUNTIF(门店对照!$A$2:$A$66,$A321)=0,"× 门店编码不对",IF(COUNTIF(科目对照收入!$B$2:$B$23,$B321)=0,"× 渠道名不对",IF(INDEX(科目对照收入!$E$2:$E$23,MATCH($B321,科目对照收入!$B$2:$B$23,0))&lt;&gt;"平台优先","× 该项目不按平台金额",IF(COUNTIFS($A$2:$A$601,$A321,$B$2:$B$601,$B321)&gt;1,"× 同店同渠道重复","√")))))</f>
        <v/>
      </c>
    </row>
    <row r="322" customFormat="false" ht="13.5" hidden="false" customHeight="false" outlineLevel="0" collapsed="false">
      <c r="A322" s="35"/>
      <c r="B322" s="35"/>
      <c r="C322" s="37"/>
      <c r="D322" s="15" t="str">
        <f aca="false">IF(OR($A322="",$B322=""),"",ROUND(IFERROR(INDEX(海典汇总!$C$3:$AE$67,MATCH($A322,海典汇总!$A$3:$A$67,0),MATCH(INDEX(科目对照收入!$F$2:$F$23,MATCH($B322,科目对照收入!$B$2:$B$23,0)),海典汇总!$C$1:$AE$1,0)),0)+IFERROR(INDEX(海典汇总!$C$3:$AE$67,MATCH($A322,海典汇总!$A$3:$A$67,0),MATCH(INDEX(科目对照收入!$G$2:$G$23,MATCH($B322,科目对照收入!$B$2:$B$23,0)),海典汇总!$C$1:$AE$1,0)),0)+IFERROR(INDEX(海典汇总!$C$3:$AE$67,MATCH($A322,海典汇总!$A$3:$A$67,0),MATCH(INDEX(科目对照收入!$H$2:$H$23,MATCH($B322,科目对照收入!$B$2:$B$23,0)),海典汇总!$C$1:$AE$1,0)),0),2))</f>
        <v/>
      </c>
      <c r="E322" s="15" t="str">
        <f aca="false">IF($D322="","",ROUND($C322-$D322,2))</f>
        <v/>
      </c>
      <c r="F322" s="38" t="str">
        <f aca="false">IF($A322&amp;$B322="","",IF(COUNTIF(门店对照!$A$2:$A$66,$A322)=0,"× 门店编码不对",IF(COUNTIF(科目对照收入!$B$2:$B$23,$B322)=0,"× 渠道名不对",IF(INDEX(科目对照收入!$E$2:$E$23,MATCH($B322,科目对照收入!$B$2:$B$23,0))&lt;&gt;"平台优先","× 该项目不按平台金额",IF(COUNTIFS($A$2:$A$601,$A322,$B$2:$B$601,$B322)&gt;1,"× 同店同渠道重复","√")))))</f>
        <v/>
      </c>
    </row>
    <row r="323" customFormat="false" ht="13.5" hidden="false" customHeight="false" outlineLevel="0" collapsed="false">
      <c r="A323" s="35"/>
      <c r="B323" s="35"/>
      <c r="C323" s="37"/>
      <c r="D323" s="15" t="str">
        <f aca="false">IF(OR($A323="",$B323=""),"",ROUND(IFERROR(INDEX(海典汇总!$C$3:$AE$67,MATCH($A323,海典汇总!$A$3:$A$67,0),MATCH(INDEX(科目对照收入!$F$2:$F$23,MATCH($B323,科目对照收入!$B$2:$B$23,0)),海典汇总!$C$1:$AE$1,0)),0)+IFERROR(INDEX(海典汇总!$C$3:$AE$67,MATCH($A323,海典汇总!$A$3:$A$67,0),MATCH(INDEX(科目对照收入!$G$2:$G$23,MATCH($B323,科目对照收入!$B$2:$B$23,0)),海典汇总!$C$1:$AE$1,0)),0)+IFERROR(INDEX(海典汇总!$C$3:$AE$67,MATCH($A323,海典汇总!$A$3:$A$67,0),MATCH(INDEX(科目对照收入!$H$2:$H$23,MATCH($B323,科目对照收入!$B$2:$B$23,0)),海典汇总!$C$1:$AE$1,0)),0),2))</f>
        <v/>
      </c>
      <c r="E323" s="15" t="str">
        <f aca="false">IF($D323="","",ROUND($C323-$D323,2))</f>
        <v/>
      </c>
      <c r="F323" s="38" t="str">
        <f aca="false">IF($A323&amp;$B323="","",IF(COUNTIF(门店对照!$A$2:$A$66,$A323)=0,"× 门店编码不对",IF(COUNTIF(科目对照收入!$B$2:$B$23,$B323)=0,"× 渠道名不对",IF(INDEX(科目对照收入!$E$2:$E$23,MATCH($B323,科目对照收入!$B$2:$B$23,0))&lt;&gt;"平台优先","× 该项目不按平台金额",IF(COUNTIFS($A$2:$A$601,$A323,$B$2:$B$601,$B323)&gt;1,"× 同店同渠道重复","√")))))</f>
        <v/>
      </c>
    </row>
    <row r="324" customFormat="false" ht="13.5" hidden="false" customHeight="false" outlineLevel="0" collapsed="false">
      <c r="A324" s="35"/>
      <c r="B324" s="35"/>
      <c r="C324" s="37"/>
      <c r="D324" s="15" t="str">
        <f aca="false">IF(OR($A324="",$B324=""),"",ROUND(IFERROR(INDEX(海典汇总!$C$3:$AE$67,MATCH($A324,海典汇总!$A$3:$A$67,0),MATCH(INDEX(科目对照收入!$F$2:$F$23,MATCH($B324,科目对照收入!$B$2:$B$23,0)),海典汇总!$C$1:$AE$1,0)),0)+IFERROR(INDEX(海典汇总!$C$3:$AE$67,MATCH($A324,海典汇总!$A$3:$A$67,0),MATCH(INDEX(科目对照收入!$G$2:$G$23,MATCH($B324,科目对照收入!$B$2:$B$23,0)),海典汇总!$C$1:$AE$1,0)),0)+IFERROR(INDEX(海典汇总!$C$3:$AE$67,MATCH($A324,海典汇总!$A$3:$A$67,0),MATCH(INDEX(科目对照收入!$H$2:$H$23,MATCH($B324,科目对照收入!$B$2:$B$23,0)),海典汇总!$C$1:$AE$1,0)),0),2))</f>
        <v/>
      </c>
      <c r="E324" s="15" t="str">
        <f aca="false">IF($D324="","",ROUND($C324-$D324,2))</f>
        <v/>
      </c>
      <c r="F324" s="38" t="str">
        <f aca="false">IF($A324&amp;$B324="","",IF(COUNTIF(门店对照!$A$2:$A$66,$A324)=0,"× 门店编码不对",IF(COUNTIF(科目对照收入!$B$2:$B$23,$B324)=0,"× 渠道名不对",IF(INDEX(科目对照收入!$E$2:$E$23,MATCH($B324,科目对照收入!$B$2:$B$23,0))&lt;&gt;"平台优先","× 该项目不按平台金额",IF(COUNTIFS($A$2:$A$601,$A324,$B$2:$B$601,$B324)&gt;1,"× 同店同渠道重复","√")))))</f>
        <v/>
      </c>
    </row>
    <row r="325" customFormat="false" ht="13.5" hidden="false" customHeight="false" outlineLevel="0" collapsed="false">
      <c r="A325" s="35"/>
      <c r="B325" s="35"/>
      <c r="C325" s="37"/>
      <c r="D325" s="15" t="str">
        <f aca="false">IF(OR($A325="",$B325=""),"",ROUND(IFERROR(INDEX(海典汇总!$C$3:$AE$67,MATCH($A325,海典汇总!$A$3:$A$67,0),MATCH(INDEX(科目对照收入!$F$2:$F$23,MATCH($B325,科目对照收入!$B$2:$B$23,0)),海典汇总!$C$1:$AE$1,0)),0)+IFERROR(INDEX(海典汇总!$C$3:$AE$67,MATCH($A325,海典汇总!$A$3:$A$67,0),MATCH(INDEX(科目对照收入!$G$2:$G$23,MATCH($B325,科目对照收入!$B$2:$B$23,0)),海典汇总!$C$1:$AE$1,0)),0)+IFERROR(INDEX(海典汇总!$C$3:$AE$67,MATCH($A325,海典汇总!$A$3:$A$67,0),MATCH(INDEX(科目对照收入!$H$2:$H$23,MATCH($B325,科目对照收入!$B$2:$B$23,0)),海典汇总!$C$1:$AE$1,0)),0),2))</f>
        <v/>
      </c>
      <c r="E325" s="15" t="str">
        <f aca="false">IF($D325="","",ROUND($C325-$D325,2))</f>
        <v/>
      </c>
      <c r="F325" s="38" t="str">
        <f aca="false">IF($A325&amp;$B325="","",IF(COUNTIF(门店对照!$A$2:$A$66,$A325)=0,"× 门店编码不对",IF(COUNTIF(科目对照收入!$B$2:$B$23,$B325)=0,"× 渠道名不对",IF(INDEX(科目对照收入!$E$2:$E$23,MATCH($B325,科目对照收入!$B$2:$B$23,0))&lt;&gt;"平台优先","× 该项目不按平台金额",IF(COUNTIFS($A$2:$A$601,$A325,$B$2:$B$601,$B325)&gt;1,"× 同店同渠道重复","√")))))</f>
        <v/>
      </c>
    </row>
    <row r="326" customFormat="false" ht="13.5" hidden="false" customHeight="false" outlineLevel="0" collapsed="false">
      <c r="A326" s="35"/>
      <c r="B326" s="35"/>
      <c r="C326" s="37"/>
      <c r="D326" s="15" t="str">
        <f aca="false">IF(OR($A326="",$B326=""),"",ROUND(IFERROR(INDEX(海典汇总!$C$3:$AE$67,MATCH($A326,海典汇总!$A$3:$A$67,0),MATCH(INDEX(科目对照收入!$F$2:$F$23,MATCH($B326,科目对照收入!$B$2:$B$23,0)),海典汇总!$C$1:$AE$1,0)),0)+IFERROR(INDEX(海典汇总!$C$3:$AE$67,MATCH($A326,海典汇总!$A$3:$A$67,0),MATCH(INDEX(科目对照收入!$G$2:$G$23,MATCH($B326,科目对照收入!$B$2:$B$23,0)),海典汇总!$C$1:$AE$1,0)),0)+IFERROR(INDEX(海典汇总!$C$3:$AE$67,MATCH($A326,海典汇总!$A$3:$A$67,0),MATCH(INDEX(科目对照收入!$H$2:$H$23,MATCH($B326,科目对照收入!$B$2:$B$23,0)),海典汇总!$C$1:$AE$1,0)),0),2))</f>
        <v/>
      </c>
      <c r="E326" s="15" t="str">
        <f aca="false">IF($D326="","",ROUND($C326-$D326,2))</f>
        <v/>
      </c>
      <c r="F326" s="38" t="str">
        <f aca="false">IF($A326&amp;$B326="","",IF(COUNTIF(门店对照!$A$2:$A$66,$A326)=0,"× 门店编码不对",IF(COUNTIF(科目对照收入!$B$2:$B$23,$B326)=0,"× 渠道名不对",IF(INDEX(科目对照收入!$E$2:$E$23,MATCH($B326,科目对照收入!$B$2:$B$23,0))&lt;&gt;"平台优先","× 该项目不按平台金额",IF(COUNTIFS($A$2:$A$601,$A326,$B$2:$B$601,$B326)&gt;1,"× 同店同渠道重复","√")))))</f>
        <v/>
      </c>
    </row>
    <row r="327" customFormat="false" ht="13.5" hidden="false" customHeight="false" outlineLevel="0" collapsed="false">
      <c r="A327" s="35"/>
      <c r="B327" s="35"/>
      <c r="C327" s="37"/>
      <c r="D327" s="15" t="str">
        <f aca="false">IF(OR($A327="",$B327=""),"",ROUND(IFERROR(INDEX(海典汇总!$C$3:$AE$67,MATCH($A327,海典汇总!$A$3:$A$67,0),MATCH(INDEX(科目对照收入!$F$2:$F$23,MATCH($B327,科目对照收入!$B$2:$B$23,0)),海典汇总!$C$1:$AE$1,0)),0)+IFERROR(INDEX(海典汇总!$C$3:$AE$67,MATCH($A327,海典汇总!$A$3:$A$67,0),MATCH(INDEX(科目对照收入!$G$2:$G$23,MATCH($B327,科目对照收入!$B$2:$B$23,0)),海典汇总!$C$1:$AE$1,0)),0)+IFERROR(INDEX(海典汇总!$C$3:$AE$67,MATCH($A327,海典汇总!$A$3:$A$67,0),MATCH(INDEX(科目对照收入!$H$2:$H$23,MATCH($B327,科目对照收入!$B$2:$B$23,0)),海典汇总!$C$1:$AE$1,0)),0),2))</f>
        <v/>
      </c>
      <c r="E327" s="15" t="str">
        <f aca="false">IF($D327="","",ROUND($C327-$D327,2))</f>
        <v/>
      </c>
      <c r="F327" s="38" t="str">
        <f aca="false">IF($A327&amp;$B327="","",IF(COUNTIF(门店对照!$A$2:$A$66,$A327)=0,"× 门店编码不对",IF(COUNTIF(科目对照收入!$B$2:$B$23,$B327)=0,"× 渠道名不对",IF(INDEX(科目对照收入!$E$2:$E$23,MATCH($B327,科目对照收入!$B$2:$B$23,0))&lt;&gt;"平台优先","× 该项目不按平台金额",IF(COUNTIFS($A$2:$A$601,$A327,$B$2:$B$601,$B327)&gt;1,"× 同店同渠道重复","√")))))</f>
        <v/>
      </c>
    </row>
    <row r="328" customFormat="false" ht="13.5" hidden="false" customHeight="false" outlineLevel="0" collapsed="false">
      <c r="A328" s="35"/>
      <c r="B328" s="35"/>
      <c r="C328" s="37"/>
      <c r="D328" s="15" t="str">
        <f aca="false">IF(OR($A328="",$B328=""),"",ROUND(IFERROR(INDEX(海典汇总!$C$3:$AE$67,MATCH($A328,海典汇总!$A$3:$A$67,0),MATCH(INDEX(科目对照收入!$F$2:$F$23,MATCH($B328,科目对照收入!$B$2:$B$23,0)),海典汇总!$C$1:$AE$1,0)),0)+IFERROR(INDEX(海典汇总!$C$3:$AE$67,MATCH($A328,海典汇总!$A$3:$A$67,0),MATCH(INDEX(科目对照收入!$G$2:$G$23,MATCH($B328,科目对照收入!$B$2:$B$23,0)),海典汇总!$C$1:$AE$1,0)),0)+IFERROR(INDEX(海典汇总!$C$3:$AE$67,MATCH($A328,海典汇总!$A$3:$A$67,0),MATCH(INDEX(科目对照收入!$H$2:$H$23,MATCH($B328,科目对照收入!$B$2:$B$23,0)),海典汇总!$C$1:$AE$1,0)),0),2))</f>
        <v/>
      </c>
      <c r="E328" s="15" t="str">
        <f aca="false">IF($D328="","",ROUND($C328-$D328,2))</f>
        <v/>
      </c>
      <c r="F328" s="38" t="str">
        <f aca="false">IF($A328&amp;$B328="","",IF(COUNTIF(门店对照!$A$2:$A$66,$A328)=0,"× 门店编码不对",IF(COUNTIF(科目对照收入!$B$2:$B$23,$B328)=0,"× 渠道名不对",IF(INDEX(科目对照收入!$E$2:$E$23,MATCH($B328,科目对照收入!$B$2:$B$23,0))&lt;&gt;"平台优先","× 该项目不按平台金额",IF(COUNTIFS($A$2:$A$601,$A328,$B$2:$B$601,$B328)&gt;1,"× 同店同渠道重复","√")))))</f>
        <v/>
      </c>
    </row>
    <row r="329" customFormat="false" ht="13.5" hidden="false" customHeight="false" outlineLevel="0" collapsed="false">
      <c r="A329" s="35"/>
      <c r="B329" s="35"/>
      <c r="C329" s="37"/>
      <c r="D329" s="15" t="str">
        <f aca="false">IF(OR($A329="",$B329=""),"",ROUND(IFERROR(INDEX(海典汇总!$C$3:$AE$67,MATCH($A329,海典汇总!$A$3:$A$67,0),MATCH(INDEX(科目对照收入!$F$2:$F$23,MATCH($B329,科目对照收入!$B$2:$B$23,0)),海典汇总!$C$1:$AE$1,0)),0)+IFERROR(INDEX(海典汇总!$C$3:$AE$67,MATCH($A329,海典汇总!$A$3:$A$67,0),MATCH(INDEX(科目对照收入!$G$2:$G$23,MATCH($B329,科目对照收入!$B$2:$B$23,0)),海典汇总!$C$1:$AE$1,0)),0)+IFERROR(INDEX(海典汇总!$C$3:$AE$67,MATCH($A329,海典汇总!$A$3:$A$67,0),MATCH(INDEX(科目对照收入!$H$2:$H$23,MATCH($B329,科目对照收入!$B$2:$B$23,0)),海典汇总!$C$1:$AE$1,0)),0),2))</f>
        <v/>
      </c>
      <c r="E329" s="15" t="str">
        <f aca="false">IF($D329="","",ROUND($C329-$D329,2))</f>
        <v/>
      </c>
      <c r="F329" s="38" t="str">
        <f aca="false">IF($A329&amp;$B329="","",IF(COUNTIF(门店对照!$A$2:$A$66,$A329)=0,"× 门店编码不对",IF(COUNTIF(科目对照收入!$B$2:$B$23,$B329)=0,"× 渠道名不对",IF(INDEX(科目对照收入!$E$2:$E$23,MATCH($B329,科目对照收入!$B$2:$B$23,0))&lt;&gt;"平台优先","× 该项目不按平台金额",IF(COUNTIFS($A$2:$A$601,$A329,$B$2:$B$601,$B329)&gt;1,"× 同店同渠道重复","√")))))</f>
        <v/>
      </c>
    </row>
    <row r="330" customFormat="false" ht="13.5" hidden="false" customHeight="false" outlineLevel="0" collapsed="false">
      <c r="A330" s="35"/>
      <c r="B330" s="35"/>
      <c r="C330" s="37"/>
      <c r="D330" s="15" t="str">
        <f aca="false">IF(OR($A330="",$B330=""),"",ROUND(IFERROR(INDEX(海典汇总!$C$3:$AE$67,MATCH($A330,海典汇总!$A$3:$A$67,0),MATCH(INDEX(科目对照收入!$F$2:$F$23,MATCH($B330,科目对照收入!$B$2:$B$23,0)),海典汇总!$C$1:$AE$1,0)),0)+IFERROR(INDEX(海典汇总!$C$3:$AE$67,MATCH($A330,海典汇总!$A$3:$A$67,0),MATCH(INDEX(科目对照收入!$G$2:$G$23,MATCH($B330,科目对照收入!$B$2:$B$23,0)),海典汇总!$C$1:$AE$1,0)),0)+IFERROR(INDEX(海典汇总!$C$3:$AE$67,MATCH($A330,海典汇总!$A$3:$A$67,0),MATCH(INDEX(科目对照收入!$H$2:$H$23,MATCH($B330,科目对照收入!$B$2:$B$23,0)),海典汇总!$C$1:$AE$1,0)),0),2))</f>
        <v/>
      </c>
      <c r="E330" s="15" t="str">
        <f aca="false">IF($D330="","",ROUND($C330-$D330,2))</f>
        <v/>
      </c>
      <c r="F330" s="38" t="str">
        <f aca="false">IF($A330&amp;$B330="","",IF(COUNTIF(门店对照!$A$2:$A$66,$A330)=0,"× 门店编码不对",IF(COUNTIF(科目对照收入!$B$2:$B$23,$B330)=0,"× 渠道名不对",IF(INDEX(科目对照收入!$E$2:$E$23,MATCH($B330,科目对照收入!$B$2:$B$23,0))&lt;&gt;"平台优先","× 该项目不按平台金额",IF(COUNTIFS($A$2:$A$601,$A330,$B$2:$B$601,$B330)&gt;1,"× 同店同渠道重复","√")))))</f>
        <v/>
      </c>
    </row>
    <row r="331" customFormat="false" ht="13.5" hidden="false" customHeight="false" outlineLevel="0" collapsed="false">
      <c r="A331" s="35"/>
      <c r="B331" s="35"/>
      <c r="C331" s="37"/>
      <c r="D331" s="15" t="str">
        <f aca="false">IF(OR($A331="",$B331=""),"",ROUND(IFERROR(INDEX(海典汇总!$C$3:$AE$67,MATCH($A331,海典汇总!$A$3:$A$67,0),MATCH(INDEX(科目对照收入!$F$2:$F$23,MATCH($B331,科目对照收入!$B$2:$B$23,0)),海典汇总!$C$1:$AE$1,0)),0)+IFERROR(INDEX(海典汇总!$C$3:$AE$67,MATCH($A331,海典汇总!$A$3:$A$67,0),MATCH(INDEX(科目对照收入!$G$2:$G$23,MATCH($B331,科目对照收入!$B$2:$B$23,0)),海典汇总!$C$1:$AE$1,0)),0)+IFERROR(INDEX(海典汇总!$C$3:$AE$67,MATCH($A331,海典汇总!$A$3:$A$67,0),MATCH(INDEX(科目对照收入!$H$2:$H$23,MATCH($B331,科目对照收入!$B$2:$B$23,0)),海典汇总!$C$1:$AE$1,0)),0),2))</f>
        <v/>
      </c>
      <c r="E331" s="15" t="str">
        <f aca="false">IF($D331="","",ROUND($C331-$D331,2))</f>
        <v/>
      </c>
      <c r="F331" s="38" t="str">
        <f aca="false">IF($A331&amp;$B331="","",IF(COUNTIF(门店对照!$A$2:$A$66,$A331)=0,"× 门店编码不对",IF(COUNTIF(科目对照收入!$B$2:$B$23,$B331)=0,"× 渠道名不对",IF(INDEX(科目对照收入!$E$2:$E$23,MATCH($B331,科目对照收入!$B$2:$B$23,0))&lt;&gt;"平台优先","× 该项目不按平台金额",IF(COUNTIFS($A$2:$A$601,$A331,$B$2:$B$601,$B331)&gt;1,"× 同店同渠道重复","√")))))</f>
        <v/>
      </c>
    </row>
    <row r="332" customFormat="false" ht="13.5" hidden="false" customHeight="false" outlineLevel="0" collapsed="false">
      <c r="A332" s="35"/>
      <c r="B332" s="35"/>
      <c r="C332" s="37"/>
      <c r="D332" s="15" t="str">
        <f aca="false">IF(OR($A332="",$B332=""),"",ROUND(IFERROR(INDEX(海典汇总!$C$3:$AE$67,MATCH($A332,海典汇总!$A$3:$A$67,0),MATCH(INDEX(科目对照收入!$F$2:$F$23,MATCH($B332,科目对照收入!$B$2:$B$23,0)),海典汇总!$C$1:$AE$1,0)),0)+IFERROR(INDEX(海典汇总!$C$3:$AE$67,MATCH($A332,海典汇总!$A$3:$A$67,0),MATCH(INDEX(科目对照收入!$G$2:$G$23,MATCH($B332,科目对照收入!$B$2:$B$23,0)),海典汇总!$C$1:$AE$1,0)),0)+IFERROR(INDEX(海典汇总!$C$3:$AE$67,MATCH($A332,海典汇总!$A$3:$A$67,0),MATCH(INDEX(科目对照收入!$H$2:$H$23,MATCH($B332,科目对照收入!$B$2:$B$23,0)),海典汇总!$C$1:$AE$1,0)),0),2))</f>
        <v/>
      </c>
      <c r="E332" s="15" t="str">
        <f aca="false">IF($D332="","",ROUND($C332-$D332,2))</f>
        <v/>
      </c>
      <c r="F332" s="38" t="str">
        <f aca="false">IF($A332&amp;$B332="","",IF(COUNTIF(门店对照!$A$2:$A$66,$A332)=0,"× 门店编码不对",IF(COUNTIF(科目对照收入!$B$2:$B$23,$B332)=0,"× 渠道名不对",IF(INDEX(科目对照收入!$E$2:$E$23,MATCH($B332,科目对照收入!$B$2:$B$23,0))&lt;&gt;"平台优先","× 该项目不按平台金额",IF(COUNTIFS($A$2:$A$601,$A332,$B$2:$B$601,$B332)&gt;1,"× 同店同渠道重复","√")))))</f>
        <v/>
      </c>
    </row>
    <row r="333" customFormat="false" ht="13.5" hidden="false" customHeight="false" outlineLevel="0" collapsed="false">
      <c r="A333" s="35"/>
      <c r="B333" s="35"/>
      <c r="C333" s="37"/>
      <c r="D333" s="15" t="str">
        <f aca="false">IF(OR($A333="",$B333=""),"",ROUND(IFERROR(INDEX(海典汇总!$C$3:$AE$67,MATCH($A333,海典汇总!$A$3:$A$67,0),MATCH(INDEX(科目对照收入!$F$2:$F$23,MATCH($B333,科目对照收入!$B$2:$B$23,0)),海典汇总!$C$1:$AE$1,0)),0)+IFERROR(INDEX(海典汇总!$C$3:$AE$67,MATCH($A333,海典汇总!$A$3:$A$67,0),MATCH(INDEX(科目对照收入!$G$2:$G$23,MATCH($B333,科目对照收入!$B$2:$B$23,0)),海典汇总!$C$1:$AE$1,0)),0)+IFERROR(INDEX(海典汇总!$C$3:$AE$67,MATCH($A333,海典汇总!$A$3:$A$67,0),MATCH(INDEX(科目对照收入!$H$2:$H$23,MATCH($B333,科目对照收入!$B$2:$B$23,0)),海典汇总!$C$1:$AE$1,0)),0),2))</f>
        <v/>
      </c>
      <c r="E333" s="15" t="str">
        <f aca="false">IF($D333="","",ROUND($C333-$D333,2))</f>
        <v/>
      </c>
      <c r="F333" s="38" t="str">
        <f aca="false">IF($A333&amp;$B333="","",IF(COUNTIF(门店对照!$A$2:$A$66,$A333)=0,"× 门店编码不对",IF(COUNTIF(科目对照收入!$B$2:$B$23,$B333)=0,"× 渠道名不对",IF(INDEX(科目对照收入!$E$2:$E$23,MATCH($B333,科目对照收入!$B$2:$B$23,0))&lt;&gt;"平台优先","× 该项目不按平台金额",IF(COUNTIFS($A$2:$A$601,$A333,$B$2:$B$601,$B333)&gt;1,"× 同店同渠道重复","√")))))</f>
        <v/>
      </c>
    </row>
    <row r="334" customFormat="false" ht="13.5" hidden="false" customHeight="false" outlineLevel="0" collapsed="false">
      <c r="A334" s="35"/>
      <c r="B334" s="35"/>
      <c r="C334" s="37"/>
      <c r="D334" s="15" t="str">
        <f aca="false">IF(OR($A334="",$B334=""),"",ROUND(IFERROR(INDEX(海典汇总!$C$3:$AE$67,MATCH($A334,海典汇总!$A$3:$A$67,0),MATCH(INDEX(科目对照收入!$F$2:$F$23,MATCH($B334,科目对照收入!$B$2:$B$23,0)),海典汇总!$C$1:$AE$1,0)),0)+IFERROR(INDEX(海典汇总!$C$3:$AE$67,MATCH($A334,海典汇总!$A$3:$A$67,0),MATCH(INDEX(科目对照收入!$G$2:$G$23,MATCH($B334,科目对照收入!$B$2:$B$23,0)),海典汇总!$C$1:$AE$1,0)),0)+IFERROR(INDEX(海典汇总!$C$3:$AE$67,MATCH($A334,海典汇总!$A$3:$A$67,0),MATCH(INDEX(科目对照收入!$H$2:$H$23,MATCH($B334,科目对照收入!$B$2:$B$23,0)),海典汇总!$C$1:$AE$1,0)),0),2))</f>
        <v/>
      </c>
      <c r="E334" s="15" t="str">
        <f aca="false">IF($D334="","",ROUND($C334-$D334,2))</f>
        <v/>
      </c>
      <c r="F334" s="38" t="str">
        <f aca="false">IF($A334&amp;$B334="","",IF(COUNTIF(门店对照!$A$2:$A$66,$A334)=0,"× 门店编码不对",IF(COUNTIF(科目对照收入!$B$2:$B$23,$B334)=0,"× 渠道名不对",IF(INDEX(科目对照收入!$E$2:$E$23,MATCH($B334,科目对照收入!$B$2:$B$23,0))&lt;&gt;"平台优先","× 该项目不按平台金额",IF(COUNTIFS($A$2:$A$601,$A334,$B$2:$B$601,$B334)&gt;1,"× 同店同渠道重复","√")))))</f>
        <v/>
      </c>
    </row>
    <row r="335" customFormat="false" ht="13.5" hidden="false" customHeight="false" outlineLevel="0" collapsed="false">
      <c r="A335" s="35"/>
      <c r="B335" s="35"/>
      <c r="C335" s="37"/>
      <c r="D335" s="15" t="str">
        <f aca="false">IF(OR($A335="",$B335=""),"",ROUND(IFERROR(INDEX(海典汇总!$C$3:$AE$67,MATCH($A335,海典汇总!$A$3:$A$67,0),MATCH(INDEX(科目对照收入!$F$2:$F$23,MATCH($B335,科目对照收入!$B$2:$B$23,0)),海典汇总!$C$1:$AE$1,0)),0)+IFERROR(INDEX(海典汇总!$C$3:$AE$67,MATCH($A335,海典汇总!$A$3:$A$67,0),MATCH(INDEX(科目对照收入!$G$2:$G$23,MATCH($B335,科目对照收入!$B$2:$B$23,0)),海典汇总!$C$1:$AE$1,0)),0)+IFERROR(INDEX(海典汇总!$C$3:$AE$67,MATCH($A335,海典汇总!$A$3:$A$67,0),MATCH(INDEX(科目对照收入!$H$2:$H$23,MATCH($B335,科目对照收入!$B$2:$B$23,0)),海典汇总!$C$1:$AE$1,0)),0),2))</f>
        <v/>
      </c>
      <c r="E335" s="15" t="str">
        <f aca="false">IF($D335="","",ROUND($C335-$D335,2))</f>
        <v/>
      </c>
      <c r="F335" s="38" t="str">
        <f aca="false">IF($A335&amp;$B335="","",IF(COUNTIF(门店对照!$A$2:$A$66,$A335)=0,"× 门店编码不对",IF(COUNTIF(科目对照收入!$B$2:$B$23,$B335)=0,"× 渠道名不对",IF(INDEX(科目对照收入!$E$2:$E$23,MATCH($B335,科目对照收入!$B$2:$B$23,0))&lt;&gt;"平台优先","× 该项目不按平台金额",IF(COUNTIFS($A$2:$A$601,$A335,$B$2:$B$601,$B335)&gt;1,"× 同店同渠道重复","√")))))</f>
        <v/>
      </c>
    </row>
    <row r="336" customFormat="false" ht="13.5" hidden="false" customHeight="false" outlineLevel="0" collapsed="false">
      <c r="A336" s="35"/>
      <c r="B336" s="35"/>
      <c r="C336" s="37"/>
      <c r="D336" s="15" t="str">
        <f aca="false">IF(OR($A336="",$B336=""),"",ROUND(IFERROR(INDEX(海典汇总!$C$3:$AE$67,MATCH($A336,海典汇总!$A$3:$A$67,0),MATCH(INDEX(科目对照收入!$F$2:$F$23,MATCH($B336,科目对照收入!$B$2:$B$23,0)),海典汇总!$C$1:$AE$1,0)),0)+IFERROR(INDEX(海典汇总!$C$3:$AE$67,MATCH($A336,海典汇总!$A$3:$A$67,0),MATCH(INDEX(科目对照收入!$G$2:$G$23,MATCH($B336,科目对照收入!$B$2:$B$23,0)),海典汇总!$C$1:$AE$1,0)),0)+IFERROR(INDEX(海典汇总!$C$3:$AE$67,MATCH($A336,海典汇总!$A$3:$A$67,0),MATCH(INDEX(科目对照收入!$H$2:$H$23,MATCH($B336,科目对照收入!$B$2:$B$23,0)),海典汇总!$C$1:$AE$1,0)),0),2))</f>
        <v/>
      </c>
      <c r="E336" s="15" t="str">
        <f aca="false">IF($D336="","",ROUND($C336-$D336,2))</f>
        <v/>
      </c>
      <c r="F336" s="38" t="str">
        <f aca="false">IF($A336&amp;$B336="","",IF(COUNTIF(门店对照!$A$2:$A$66,$A336)=0,"× 门店编码不对",IF(COUNTIF(科目对照收入!$B$2:$B$23,$B336)=0,"× 渠道名不对",IF(INDEX(科目对照收入!$E$2:$E$23,MATCH($B336,科目对照收入!$B$2:$B$23,0))&lt;&gt;"平台优先","× 该项目不按平台金额",IF(COUNTIFS($A$2:$A$601,$A336,$B$2:$B$601,$B336)&gt;1,"× 同店同渠道重复","√")))))</f>
        <v/>
      </c>
    </row>
    <row r="337" customFormat="false" ht="13.5" hidden="false" customHeight="false" outlineLevel="0" collapsed="false">
      <c r="A337" s="35"/>
      <c r="B337" s="35"/>
      <c r="C337" s="37"/>
      <c r="D337" s="15" t="str">
        <f aca="false">IF(OR($A337="",$B337=""),"",ROUND(IFERROR(INDEX(海典汇总!$C$3:$AE$67,MATCH($A337,海典汇总!$A$3:$A$67,0),MATCH(INDEX(科目对照收入!$F$2:$F$23,MATCH($B337,科目对照收入!$B$2:$B$23,0)),海典汇总!$C$1:$AE$1,0)),0)+IFERROR(INDEX(海典汇总!$C$3:$AE$67,MATCH($A337,海典汇总!$A$3:$A$67,0),MATCH(INDEX(科目对照收入!$G$2:$G$23,MATCH($B337,科目对照收入!$B$2:$B$23,0)),海典汇总!$C$1:$AE$1,0)),0)+IFERROR(INDEX(海典汇总!$C$3:$AE$67,MATCH($A337,海典汇总!$A$3:$A$67,0),MATCH(INDEX(科目对照收入!$H$2:$H$23,MATCH($B337,科目对照收入!$B$2:$B$23,0)),海典汇总!$C$1:$AE$1,0)),0),2))</f>
        <v/>
      </c>
      <c r="E337" s="15" t="str">
        <f aca="false">IF($D337="","",ROUND($C337-$D337,2))</f>
        <v/>
      </c>
      <c r="F337" s="38" t="str">
        <f aca="false">IF($A337&amp;$B337="","",IF(COUNTIF(门店对照!$A$2:$A$66,$A337)=0,"× 门店编码不对",IF(COUNTIF(科目对照收入!$B$2:$B$23,$B337)=0,"× 渠道名不对",IF(INDEX(科目对照收入!$E$2:$E$23,MATCH($B337,科目对照收入!$B$2:$B$23,0))&lt;&gt;"平台优先","× 该项目不按平台金额",IF(COUNTIFS($A$2:$A$601,$A337,$B$2:$B$601,$B337)&gt;1,"× 同店同渠道重复","√")))))</f>
        <v/>
      </c>
    </row>
    <row r="338" customFormat="false" ht="13.5" hidden="false" customHeight="false" outlineLevel="0" collapsed="false">
      <c r="A338" s="35"/>
      <c r="B338" s="35"/>
      <c r="C338" s="37"/>
      <c r="D338" s="15" t="str">
        <f aca="false">IF(OR($A338="",$B338=""),"",ROUND(IFERROR(INDEX(海典汇总!$C$3:$AE$67,MATCH($A338,海典汇总!$A$3:$A$67,0),MATCH(INDEX(科目对照收入!$F$2:$F$23,MATCH($B338,科目对照收入!$B$2:$B$23,0)),海典汇总!$C$1:$AE$1,0)),0)+IFERROR(INDEX(海典汇总!$C$3:$AE$67,MATCH($A338,海典汇总!$A$3:$A$67,0),MATCH(INDEX(科目对照收入!$G$2:$G$23,MATCH($B338,科目对照收入!$B$2:$B$23,0)),海典汇总!$C$1:$AE$1,0)),0)+IFERROR(INDEX(海典汇总!$C$3:$AE$67,MATCH($A338,海典汇总!$A$3:$A$67,0),MATCH(INDEX(科目对照收入!$H$2:$H$23,MATCH($B338,科目对照收入!$B$2:$B$23,0)),海典汇总!$C$1:$AE$1,0)),0),2))</f>
        <v/>
      </c>
      <c r="E338" s="15" t="str">
        <f aca="false">IF($D338="","",ROUND($C338-$D338,2))</f>
        <v/>
      </c>
      <c r="F338" s="38" t="str">
        <f aca="false">IF($A338&amp;$B338="","",IF(COUNTIF(门店对照!$A$2:$A$66,$A338)=0,"× 门店编码不对",IF(COUNTIF(科目对照收入!$B$2:$B$23,$B338)=0,"× 渠道名不对",IF(INDEX(科目对照收入!$E$2:$E$23,MATCH($B338,科目对照收入!$B$2:$B$23,0))&lt;&gt;"平台优先","× 该项目不按平台金额",IF(COUNTIFS($A$2:$A$601,$A338,$B$2:$B$601,$B338)&gt;1,"× 同店同渠道重复","√")))))</f>
        <v/>
      </c>
    </row>
    <row r="339" customFormat="false" ht="13.5" hidden="false" customHeight="false" outlineLevel="0" collapsed="false">
      <c r="A339" s="35"/>
      <c r="B339" s="35"/>
      <c r="C339" s="37"/>
      <c r="D339" s="15" t="str">
        <f aca="false">IF(OR($A339="",$B339=""),"",ROUND(IFERROR(INDEX(海典汇总!$C$3:$AE$67,MATCH($A339,海典汇总!$A$3:$A$67,0),MATCH(INDEX(科目对照收入!$F$2:$F$23,MATCH($B339,科目对照收入!$B$2:$B$23,0)),海典汇总!$C$1:$AE$1,0)),0)+IFERROR(INDEX(海典汇总!$C$3:$AE$67,MATCH($A339,海典汇总!$A$3:$A$67,0),MATCH(INDEX(科目对照收入!$G$2:$G$23,MATCH($B339,科目对照收入!$B$2:$B$23,0)),海典汇总!$C$1:$AE$1,0)),0)+IFERROR(INDEX(海典汇总!$C$3:$AE$67,MATCH($A339,海典汇总!$A$3:$A$67,0),MATCH(INDEX(科目对照收入!$H$2:$H$23,MATCH($B339,科目对照收入!$B$2:$B$23,0)),海典汇总!$C$1:$AE$1,0)),0),2))</f>
        <v/>
      </c>
      <c r="E339" s="15" t="str">
        <f aca="false">IF($D339="","",ROUND($C339-$D339,2))</f>
        <v/>
      </c>
      <c r="F339" s="38" t="str">
        <f aca="false">IF($A339&amp;$B339="","",IF(COUNTIF(门店对照!$A$2:$A$66,$A339)=0,"× 门店编码不对",IF(COUNTIF(科目对照收入!$B$2:$B$23,$B339)=0,"× 渠道名不对",IF(INDEX(科目对照收入!$E$2:$E$23,MATCH($B339,科目对照收入!$B$2:$B$23,0))&lt;&gt;"平台优先","× 该项目不按平台金额",IF(COUNTIFS($A$2:$A$601,$A339,$B$2:$B$601,$B339)&gt;1,"× 同店同渠道重复","√")))))</f>
        <v/>
      </c>
    </row>
    <row r="340" customFormat="false" ht="13.5" hidden="false" customHeight="false" outlineLevel="0" collapsed="false">
      <c r="A340" s="35"/>
      <c r="B340" s="35"/>
      <c r="C340" s="37"/>
      <c r="D340" s="15" t="str">
        <f aca="false">IF(OR($A340="",$B340=""),"",ROUND(IFERROR(INDEX(海典汇总!$C$3:$AE$67,MATCH($A340,海典汇总!$A$3:$A$67,0),MATCH(INDEX(科目对照收入!$F$2:$F$23,MATCH($B340,科目对照收入!$B$2:$B$23,0)),海典汇总!$C$1:$AE$1,0)),0)+IFERROR(INDEX(海典汇总!$C$3:$AE$67,MATCH($A340,海典汇总!$A$3:$A$67,0),MATCH(INDEX(科目对照收入!$G$2:$G$23,MATCH($B340,科目对照收入!$B$2:$B$23,0)),海典汇总!$C$1:$AE$1,0)),0)+IFERROR(INDEX(海典汇总!$C$3:$AE$67,MATCH($A340,海典汇总!$A$3:$A$67,0),MATCH(INDEX(科目对照收入!$H$2:$H$23,MATCH($B340,科目对照收入!$B$2:$B$23,0)),海典汇总!$C$1:$AE$1,0)),0),2))</f>
        <v/>
      </c>
      <c r="E340" s="15" t="str">
        <f aca="false">IF($D340="","",ROUND($C340-$D340,2))</f>
        <v/>
      </c>
      <c r="F340" s="38" t="str">
        <f aca="false">IF($A340&amp;$B340="","",IF(COUNTIF(门店对照!$A$2:$A$66,$A340)=0,"× 门店编码不对",IF(COUNTIF(科目对照收入!$B$2:$B$23,$B340)=0,"× 渠道名不对",IF(INDEX(科目对照收入!$E$2:$E$23,MATCH($B340,科目对照收入!$B$2:$B$23,0))&lt;&gt;"平台优先","× 该项目不按平台金额",IF(COUNTIFS($A$2:$A$601,$A340,$B$2:$B$601,$B340)&gt;1,"× 同店同渠道重复","√")))))</f>
        <v/>
      </c>
    </row>
    <row r="341" customFormat="false" ht="13.5" hidden="false" customHeight="false" outlineLevel="0" collapsed="false">
      <c r="A341" s="35"/>
      <c r="B341" s="35"/>
      <c r="C341" s="37"/>
      <c r="D341" s="15" t="str">
        <f aca="false">IF(OR($A341="",$B341=""),"",ROUND(IFERROR(INDEX(海典汇总!$C$3:$AE$67,MATCH($A341,海典汇总!$A$3:$A$67,0),MATCH(INDEX(科目对照收入!$F$2:$F$23,MATCH($B341,科目对照收入!$B$2:$B$23,0)),海典汇总!$C$1:$AE$1,0)),0)+IFERROR(INDEX(海典汇总!$C$3:$AE$67,MATCH($A341,海典汇总!$A$3:$A$67,0),MATCH(INDEX(科目对照收入!$G$2:$G$23,MATCH($B341,科目对照收入!$B$2:$B$23,0)),海典汇总!$C$1:$AE$1,0)),0)+IFERROR(INDEX(海典汇总!$C$3:$AE$67,MATCH($A341,海典汇总!$A$3:$A$67,0),MATCH(INDEX(科目对照收入!$H$2:$H$23,MATCH($B341,科目对照收入!$B$2:$B$23,0)),海典汇总!$C$1:$AE$1,0)),0),2))</f>
        <v/>
      </c>
      <c r="E341" s="15" t="str">
        <f aca="false">IF($D341="","",ROUND($C341-$D341,2))</f>
        <v/>
      </c>
      <c r="F341" s="38" t="str">
        <f aca="false">IF($A341&amp;$B341="","",IF(COUNTIF(门店对照!$A$2:$A$66,$A341)=0,"× 门店编码不对",IF(COUNTIF(科目对照收入!$B$2:$B$23,$B341)=0,"× 渠道名不对",IF(INDEX(科目对照收入!$E$2:$E$23,MATCH($B341,科目对照收入!$B$2:$B$23,0))&lt;&gt;"平台优先","× 该项目不按平台金额",IF(COUNTIFS($A$2:$A$601,$A341,$B$2:$B$601,$B341)&gt;1,"× 同店同渠道重复","√")))))</f>
        <v/>
      </c>
    </row>
    <row r="342" customFormat="false" ht="13.5" hidden="false" customHeight="false" outlineLevel="0" collapsed="false">
      <c r="A342" s="35"/>
      <c r="B342" s="35"/>
      <c r="C342" s="37"/>
      <c r="D342" s="15" t="str">
        <f aca="false">IF(OR($A342="",$B342=""),"",ROUND(IFERROR(INDEX(海典汇总!$C$3:$AE$67,MATCH($A342,海典汇总!$A$3:$A$67,0),MATCH(INDEX(科目对照收入!$F$2:$F$23,MATCH($B342,科目对照收入!$B$2:$B$23,0)),海典汇总!$C$1:$AE$1,0)),0)+IFERROR(INDEX(海典汇总!$C$3:$AE$67,MATCH($A342,海典汇总!$A$3:$A$67,0),MATCH(INDEX(科目对照收入!$G$2:$G$23,MATCH($B342,科目对照收入!$B$2:$B$23,0)),海典汇总!$C$1:$AE$1,0)),0)+IFERROR(INDEX(海典汇总!$C$3:$AE$67,MATCH($A342,海典汇总!$A$3:$A$67,0),MATCH(INDEX(科目对照收入!$H$2:$H$23,MATCH($B342,科目对照收入!$B$2:$B$23,0)),海典汇总!$C$1:$AE$1,0)),0),2))</f>
        <v/>
      </c>
      <c r="E342" s="15" t="str">
        <f aca="false">IF($D342="","",ROUND($C342-$D342,2))</f>
        <v/>
      </c>
      <c r="F342" s="38" t="str">
        <f aca="false">IF($A342&amp;$B342="","",IF(COUNTIF(门店对照!$A$2:$A$66,$A342)=0,"× 门店编码不对",IF(COUNTIF(科目对照收入!$B$2:$B$23,$B342)=0,"× 渠道名不对",IF(INDEX(科目对照收入!$E$2:$E$23,MATCH($B342,科目对照收入!$B$2:$B$23,0))&lt;&gt;"平台优先","× 该项目不按平台金额",IF(COUNTIFS($A$2:$A$601,$A342,$B$2:$B$601,$B342)&gt;1,"× 同店同渠道重复","√")))))</f>
        <v/>
      </c>
    </row>
    <row r="343" customFormat="false" ht="13.5" hidden="false" customHeight="false" outlineLevel="0" collapsed="false">
      <c r="A343" s="35"/>
      <c r="B343" s="35"/>
      <c r="C343" s="37"/>
      <c r="D343" s="15" t="str">
        <f aca="false">IF(OR($A343="",$B343=""),"",ROUND(IFERROR(INDEX(海典汇总!$C$3:$AE$67,MATCH($A343,海典汇总!$A$3:$A$67,0),MATCH(INDEX(科目对照收入!$F$2:$F$23,MATCH($B343,科目对照收入!$B$2:$B$23,0)),海典汇总!$C$1:$AE$1,0)),0)+IFERROR(INDEX(海典汇总!$C$3:$AE$67,MATCH($A343,海典汇总!$A$3:$A$67,0),MATCH(INDEX(科目对照收入!$G$2:$G$23,MATCH($B343,科目对照收入!$B$2:$B$23,0)),海典汇总!$C$1:$AE$1,0)),0)+IFERROR(INDEX(海典汇总!$C$3:$AE$67,MATCH($A343,海典汇总!$A$3:$A$67,0),MATCH(INDEX(科目对照收入!$H$2:$H$23,MATCH($B343,科目对照收入!$B$2:$B$23,0)),海典汇总!$C$1:$AE$1,0)),0),2))</f>
        <v/>
      </c>
      <c r="E343" s="15" t="str">
        <f aca="false">IF($D343="","",ROUND($C343-$D343,2))</f>
        <v/>
      </c>
      <c r="F343" s="38" t="str">
        <f aca="false">IF($A343&amp;$B343="","",IF(COUNTIF(门店对照!$A$2:$A$66,$A343)=0,"× 门店编码不对",IF(COUNTIF(科目对照收入!$B$2:$B$23,$B343)=0,"× 渠道名不对",IF(INDEX(科目对照收入!$E$2:$E$23,MATCH($B343,科目对照收入!$B$2:$B$23,0))&lt;&gt;"平台优先","× 该项目不按平台金额",IF(COUNTIFS($A$2:$A$601,$A343,$B$2:$B$601,$B343)&gt;1,"× 同店同渠道重复","√")))))</f>
        <v/>
      </c>
    </row>
    <row r="344" customFormat="false" ht="13.5" hidden="false" customHeight="false" outlineLevel="0" collapsed="false">
      <c r="A344" s="35"/>
      <c r="B344" s="35"/>
      <c r="C344" s="37"/>
      <c r="D344" s="15" t="str">
        <f aca="false">IF(OR($A344="",$B344=""),"",ROUND(IFERROR(INDEX(海典汇总!$C$3:$AE$67,MATCH($A344,海典汇总!$A$3:$A$67,0),MATCH(INDEX(科目对照收入!$F$2:$F$23,MATCH($B344,科目对照收入!$B$2:$B$23,0)),海典汇总!$C$1:$AE$1,0)),0)+IFERROR(INDEX(海典汇总!$C$3:$AE$67,MATCH($A344,海典汇总!$A$3:$A$67,0),MATCH(INDEX(科目对照收入!$G$2:$G$23,MATCH($B344,科目对照收入!$B$2:$B$23,0)),海典汇总!$C$1:$AE$1,0)),0)+IFERROR(INDEX(海典汇总!$C$3:$AE$67,MATCH($A344,海典汇总!$A$3:$A$67,0),MATCH(INDEX(科目对照收入!$H$2:$H$23,MATCH($B344,科目对照收入!$B$2:$B$23,0)),海典汇总!$C$1:$AE$1,0)),0),2))</f>
        <v/>
      </c>
      <c r="E344" s="15" t="str">
        <f aca="false">IF($D344="","",ROUND($C344-$D344,2))</f>
        <v/>
      </c>
      <c r="F344" s="38" t="str">
        <f aca="false">IF($A344&amp;$B344="","",IF(COUNTIF(门店对照!$A$2:$A$66,$A344)=0,"× 门店编码不对",IF(COUNTIF(科目对照收入!$B$2:$B$23,$B344)=0,"× 渠道名不对",IF(INDEX(科目对照收入!$E$2:$E$23,MATCH($B344,科目对照收入!$B$2:$B$23,0))&lt;&gt;"平台优先","× 该项目不按平台金额",IF(COUNTIFS($A$2:$A$601,$A344,$B$2:$B$601,$B344)&gt;1,"× 同店同渠道重复","√")))))</f>
        <v/>
      </c>
    </row>
    <row r="345" customFormat="false" ht="13.5" hidden="false" customHeight="false" outlineLevel="0" collapsed="false">
      <c r="A345" s="35"/>
      <c r="B345" s="35"/>
      <c r="C345" s="37"/>
      <c r="D345" s="15" t="str">
        <f aca="false">IF(OR($A345="",$B345=""),"",ROUND(IFERROR(INDEX(海典汇总!$C$3:$AE$67,MATCH($A345,海典汇总!$A$3:$A$67,0),MATCH(INDEX(科目对照收入!$F$2:$F$23,MATCH($B345,科目对照收入!$B$2:$B$23,0)),海典汇总!$C$1:$AE$1,0)),0)+IFERROR(INDEX(海典汇总!$C$3:$AE$67,MATCH($A345,海典汇总!$A$3:$A$67,0),MATCH(INDEX(科目对照收入!$G$2:$G$23,MATCH($B345,科目对照收入!$B$2:$B$23,0)),海典汇总!$C$1:$AE$1,0)),0)+IFERROR(INDEX(海典汇总!$C$3:$AE$67,MATCH($A345,海典汇总!$A$3:$A$67,0),MATCH(INDEX(科目对照收入!$H$2:$H$23,MATCH($B345,科目对照收入!$B$2:$B$23,0)),海典汇总!$C$1:$AE$1,0)),0),2))</f>
        <v/>
      </c>
      <c r="E345" s="15" t="str">
        <f aca="false">IF($D345="","",ROUND($C345-$D345,2))</f>
        <v/>
      </c>
      <c r="F345" s="38" t="str">
        <f aca="false">IF($A345&amp;$B345="","",IF(COUNTIF(门店对照!$A$2:$A$66,$A345)=0,"× 门店编码不对",IF(COUNTIF(科目对照收入!$B$2:$B$23,$B345)=0,"× 渠道名不对",IF(INDEX(科目对照收入!$E$2:$E$23,MATCH($B345,科目对照收入!$B$2:$B$23,0))&lt;&gt;"平台优先","× 该项目不按平台金额",IF(COUNTIFS($A$2:$A$601,$A345,$B$2:$B$601,$B345)&gt;1,"× 同店同渠道重复","√")))))</f>
        <v/>
      </c>
    </row>
    <row r="346" customFormat="false" ht="13.5" hidden="false" customHeight="false" outlineLevel="0" collapsed="false">
      <c r="A346" s="35"/>
      <c r="B346" s="35"/>
      <c r="C346" s="37"/>
      <c r="D346" s="15" t="str">
        <f aca="false">IF(OR($A346="",$B346=""),"",ROUND(IFERROR(INDEX(海典汇总!$C$3:$AE$67,MATCH($A346,海典汇总!$A$3:$A$67,0),MATCH(INDEX(科目对照收入!$F$2:$F$23,MATCH($B346,科目对照收入!$B$2:$B$23,0)),海典汇总!$C$1:$AE$1,0)),0)+IFERROR(INDEX(海典汇总!$C$3:$AE$67,MATCH($A346,海典汇总!$A$3:$A$67,0),MATCH(INDEX(科目对照收入!$G$2:$G$23,MATCH($B346,科目对照收入!$B$2:$B$23,0)),海典汇总!$C$1:$AE$1,0)),0)+IFERROR(INDEX(海典汇总!$C$3:$AE$67,MATCH($A346,海典汇总!$A$3:$A$67,0),MATCH(INDEX(科目对照收入!$H$2:$H$23,MATCH($B346,科目对照收入!$B$2:$B$23,0)),海典汇总!$C$1:$AE$1,0)),0),2))</f>
        <v/>
      </c>
      <c r="E346" s="15" t="str">
        <f aca="false">IF($D346="","",ROUND($C346-$D346,2))</f>
        <v/>
      </c>
      <c r="F346" s="38" t="str">
        <f aca="false">IF($A346&amp;$B346="","",IF(COUNTIF(门店对照!$A$2:$A$66,$A346)=0,"× 门店编码不对",IF(COUNTIF(科目对照收入!$B$2:$B$23,$B346)=0,"× 渠道名不对",IF(INDEX(科目对照收入!$E$2:$E$23,MATCH($B346,科目对照收入!$B$2:$B$23,0))&lt;&gt;"平台优先","× 该项目不按平台金额",IF(COUNTIFS($A$2:$A$601,$A346,$B$2:$B$601,$B346)&gt;1,"× 同店同渠道重复","√")))))</f>
        <v/>
      </c>
    </row>
    <row r="347" customFormat="false" ht="13.5" hidden="false" customHeight="false" outlineLevel="0" collapsed="false">
      <c r="A347" s="35"/>
      <c r="B347" s="35"/>
      <c r="C347" s="37"/>
      <c r="D347" s="15" t="str">
        <f aca="false">IF(OR($A347="",$B347=""),"",ROUND(IFERROR(INDEX(海典汇总!$C$3:$AE$67,MATCH($A347,海典汇总!$A$3:$A$67,0),MATCH(INDEX(科目对照收入!$F$2:$F$23,MATCH($B347,科目对照收入!$B$2:$B$23,0)),海典汇总!$C$1:$AE$1,0)),0)+IFERROR(INDEX(海典汇总!$C$3:$AE$67,MATCH($A347,海典汇总!$A$3:$A$67,0),MATCH(INDEX(科目对照收入!$G$2:$G$23,MATCH($B347,科目对照收入!$B$2:$B$23,0)),海典汇总!$C$1:$AE$1,0)),0)+IFERROR(INDEX(海典汇总!$C$3:$AE$67,MATCH($A347,海典汇总!$A$3:$A$67,0),MATCH(INDEX(科目对照收入!$H$2:$H$23,MATCH($B347,科目对照收入!$B$2:$B$23,0)),海典汇总!$C$1:$AE$1,0)),0),2))</f>
        <v/>
      </c>
      <c r="E347" s="15" t="str">
        <f aca="false">IF($D347="","",ROUND($C347-$D347,2))</f>
        <v/>
      </c>
      <c r="F347" s="38" t="str">
        <f aca="false">IF($A347&amp;$B347="","",IF(COUNTIF(门店对照!$A$2:$A$66,$A347)=0,"× 门店编码不对",IF(COUNTIF(科目对照收入!$B$2:$B$23,$B347)=0,"× 渠道名不对",IF(INDEX(科目对照收入!$E$2:$E$23,MATCH($B347,科目对照收入!$B$2:$B$23,0))&lt;&gt;"平台优先","× 该项目不按平台金额",IF(COUNTIFS($A$2:$A$601,$A347,$B$2:$B$601,$B347)&gt;1,"× 同店同渠道重复","√")))))</f>
        <v/>
      </c>
    </row>
    <row r="348" customFormat="false" ht="13.5" hidden="false" customHeight="false" outlineLevel="0" collapsed="false">
      <c r="A348" s="35"/>
      <c r="B348" s="35"/>
      <c r="C348" s="37"/>
      <c r="D348" s="15" t="str">
        <f aca="false">IF(OR($A348="",$B348=""),"",ROUND(IFERROR(INDEX(海典汇总!$C$3:$AE$67,MATCH($A348,海典汇总!$A$3:$A$67,0),MATCH(INDEX(科目对照收入!$F$2:$F$23,MATCH($B348,科目对照收入!$B$2:$B$23,0)),海典汇总!$C$1:$AE$1,0)),0)+IFERROR(INDEX(海典汇总!$C$3:$AE$67,MATCH($A348,海典汇总!$A$3:$A$67,0),MATCH(INDEX(科目对照收入!$G$2:$G$23,MATCH($B348,科目对照收入!$B$2:$B$23,0)),海典汇总!$C$1:$AE$1,0)),0)+IFERROR(INDEX(海典汇总!$C$3:$AE$67,MATCH($A348,海典汇总!$A$3:$A$67,0),MATCH(INDEX(科目对照收入!$H$2:$H$23,MATCH($B348,科目对照收入!$B$2:$B$23,0)),海典汇总!$C$1:$AE$1,0)),0),2))</f>
        <v/>
      </c>
      <c r="E348" s="15" t="str">
        <f aca="false">IF($D348="","",ROUND($C348-$D348,2))</f>
        <v/>
      </c>
      <c r="F348" s="38" t="str">
        <f aca="false">IF($A348&amp;$B348="","",IF(COUNTIF(门店对照!$A$2:$A$66,$A348)=0,"× 门店编码不对",IF(COUNTIF(科目对照收入!$B$2:$B$23,$B348)=0,"× 渠道名不对",IF(INDEX(科目对照收入!$E$2:$E$23,MATCH($B348,科目对照收入!$B$2:$B$23,0))&lt;&gt;"平台优先","× 该项目不按平台金额",IF(COUNTIFS($A$2:$A$601,$A348,$B$2:$B$601,$B348)&gt;1,"× 同店同渠道重复","√")))))</f>
        <v/>
      </c>
    </row>
    <row r="349" customFormat="false" ht="13.5" hidden="false" customHeight="false" outlineLevel="0" collapsed="false">
      <c r="A349" s="35"/>
      <c r="B349" s="35"/>
      <c r="C349" s="37"/>
      <c r="D349" s="15" t="str">
        <f aca="false">IF(OR($A349="",$B349=""),"",ROUND(IFERROR(INDEX(海典汇总!$C$3:$AE$67,MATCH($A349,海典汇总!$A$3:$A$67,0),MATCH(INDEX(科目对照收入!$F$2:$F$23,MATCH($B349,科目对照收入!$B$2:$B$23,0)),海典汇总!$C$1:$AE$1,0)),0)+IFERROR(INDEX(海典汇总!$C$3:$AE$67,MATCH($A349,海典汇总!$A$3:$A$67,0),MATCH(INDEX(科目对照收入!$G$2:$G$23,MATCH($B349,科目对照收入!$B$2:$B$23,0)),海典汇总!$C$1:$AE$1,0)),0)+IFERROR(INDEX(海典汇总!$C$3:$AE$67,MATCH($A349,海典汇总!$A$3:$A$67,0),MATCH(INDEX(科目对照收入!$H$2:$H$23,MATCH($B349,科目对照收入!$B$2:$B$23,0)),海典汇总!$C$1:$AE$1,0)),0),2))</f>
        <v/>
      </c>
      <c r="E349" s="15" t="str">
        <f aca="false">IF($D349="","",ROUND($C349-$D349,2))</f>
        <v/>
      </c>
      <c r="F349" s="38" t="str">
        <f aca="false">IF($A349&amp;$B349="","",IF(COUNTIF(门店对照!$A$2:$A$66,$A349)=0,"× 门店编码不对",IF(COUNTIF(科目对照收入!$B$2:$B$23,$B349)=0,"× 渠道名不对",IF(INDEX(科目对照收入!$E$2:$E$23,MATCH($B349,科目对照收入!$B$2:$B$23,0))&lt;&gt;"平台优先","× 该项目不按平台金额",IF(COUNTIFS($A$2:$A$601,$A349,$B$2:$B$601,$B349)&gt;1,"× 同店同渠道重复","√")))))</f>
        <v/>
      </c>
    </row>
    <row r="350" customFormat="false" ht="13.5" hidden="false" customHeight="false" outlineLevel="0" collapsed="false">
      <c r="A350" s="35"/>
      <c r="B350" s="35"/>
      <c r="C350" s="37"/>
      <c r="D350" s="15" t="str">
        <f aca="false">IF(OR($A350="",$B350=""),"",ROUND(IFERROR(INDEX(海典汇总!$C$3:$AE$67,MATCH($A350,海典汇总!$A$3:$A$67,0),MATCH(INDEX(科目对照收入!$F$2:$F$23,MATCH($B350,科目对照收入!$B$2:$B$23,0)),海典汇总!$C$1:$AE$1,0)),0)+IFERROR(INDEX(海典汇总!$C$3:$AE$67,MATCH($A350,海典汇总!$A$3:$A$67,0),MATCH(INDEX(科目对照收入!$G$2:$G$23,MATCH($B350,科目对照收入!$B$2:$B$23,0)),海典汇总!$C$1:$AE$1,0)),0)+IFERROR(INDEX(海典汇总!$C$3:$AE$67,MATCH($A350,海典汇总!$A$3:$A$67,0),MATCH(INDEX(科目对照收入!$H$2:$H$23,MATCH($B350,科目对照收入!$B$2:$B$23,0)),海典汇总!$C$1:$AE$1,0)),0),2))</f>
        <v/>
      </c>
      <c r="E350" s="15" t="str">
        <f aca="false">IF($D350="","",ROUND($C350-$D350,2))</f>
        <v/>
      </c>
      <c r="F350" s="38" t="str">
        <f aca="false">IF($A350&amp;$B350="","",IF(COUNTIF(门店对照!$A$2:$A$66,$A350)=0,"× 门店编码不对",IF(COUNTIF(科目对照收入!$B$2:$B$23,$B350)=0,"× 渠道名不对",IF(INDEX(科目对照收入!$E$2:$E$23,MATCH($B350,科目对照收入!$B$2:$B$23,0))&lt;&gt;"平台优先","× 该项目不按平台金额",IF(COUNTIFS($A$2:$A$601,$A350,$B$2:$B$601,$B350)&gt;1,"× 同店同渠道重复","√")))))</f>
        <v/>
      </c>
    </row>
    <row r="351" customFormat="false" ht="13.5" hidden="false" customHeight="false" outlineLevel="0" collapsed="false">
      <c r="A351" s="35"/>
      <c r="B351" s="35"/>
      <c r="C351" s="37"/>
      <c r="D351" s="15" t="str">
        <f aca="false">IF(OR($A351="",$B351=""),"",ROUND(IFERROR(INDEX(海典汇总!$C$3:$AE$67,MATCH($A351,海典汇总!$A$3:$A$67,0),MATCH(INDEX(科目对照收入!$F$2:$F$23,MATCH($B351,科目对照收入!$B$2:$B$23,0)),海典汇总!$C$1:$AE$1,0)),0)+IFERROR(INDEX(海典汇总!$C$3:$AE$67,MATCH($A351,海典汇总!$A$3:$A$67,0),MATCH(INDEX(科目对照收入!$G$2:$G$23,MATCH($B351,科目对照收入!$B$2:$B$23,0)),海典汇总!$C$1:$AE$1,0)),0)+IFERROR(INDEX(海典汇总!$C$3:$AE$67,MATCH($A351,海典汇总!$A$3:$A$67,0),MATCH(INDEX(科目对照收入!$H$2:$H$23,MATCH($B351,科目对照收入!$B$2:$B$23,0)),海典汇总!$C$1:$AE$1,0)),0),2))</f>
        <v/>
      </c>
      <c r="E351" s="15" t="str">
        <f aca="false">IF($D351="","",ROUND($C351-$D351,2))</f>
        <v/>
      </c>
      <c r="F351" s="38" t="str">
        <f aca="false">IF($A351&amp;$B351="","",IF(COUNTIF(门店对照!$A$2:$A$66,$A351)=0,"× 门店编码不对",IF(COUNTIF(科目对照收入!$B$2:$B$23,$B351)=0,"× 渠道名不对",IF(INDEX(科目对照收入!$E$2:$E$23,MATCH($B351,科目对照收入!$B$2:$B$23,0))&lt;&gt;"平台优先","× 该项目不按平台金额",IF(COUNTIFS($A$2:$A$601,$A351,$B$2:$B$601,$B351)&gt;1,"× 同店同渠道重复","√")))))</f>
        <v/>
      </c>
    </row>
    <row r="352" customFormat="false" ht="13.5" hidden="false" customHeight="false" outlineLevel="0" collapsed="false">
      <c r="A352" s="35"/>
      <c r="B352" s="35"/>
      <c r="C352" s="37"/>
      <c r="D352" s="15" t="str">
        <f aca="false">IF(OR($A352="",$B352=""),"",ROUND(IFERROR(INDEX(海典汇总!$C$3:$AE$67,MATCH($A352,海典汇总!$A$3:$A$67,0),MATCH(INDEX(科目对照收入!$F$2:$F$23,MATCH($B352,科目对照收入!$B$2:$B$23,0)),海典汇总!$C$1:$AE$1,0)),0)+IFERROR(INDEX(海典汇总!$C$3:$AE$67,MATCH($A352,海典汇总!$A$3:$A$67,0),MATCH(INDEX(科目对照收入!$G$2:$G$23,MATCH($B352,科目对照收入!$B$2:$B$23,0)),海典汇总!$C$1:$AE$1,0)),0)+IFERROR(INDEX(海典汇总!$C$3:$AE$67,MATCH($A352,海典汇总!$A$3:$A$67,0),MATCH(INDEX(科目对照收入!$H$2:$H$23,MATCH($B352,科目对照收入!$B$2:$B$23,0)),海典汇总!$C$1:$AE$1,0)),0),2))</f>
        <v/>
      </c>
      <c r="E352" s="15" t="str">
        <f aca="false">IF($D352="","",ROUND($C352-$D352,2))</f>
        <v/>
      </c>
      <c r="F352" s="38" t="str">
        <f aca="false">IF($A352&amp;$B352="","",IF(COUNTIF(门店对照!$A$2:$A$66,$A352)=0,"× 门店编码不对",IF(COUNTIF(科目对照收入!$B$2:$B$23,$B352)=0,"× 渠道名不对",IF(INDEX(科目对照收入!$E$2:$E$23,MATCH($B352,科目对照收入!$B$2:$B$23,0))&lt;&gt;"平台优先","× 该项目不按平台金额",IF(COUNTIFS($A$2:$A$601,$A352,$B$2:$B$601,$B352)&gt;1,"× 同店同渠道重复","√")))))</f>
        <v/>
      </c>
    </row>
    <row r="353" customFormat="false" ht="13.5" hidden="false" customHeight="false" outlineLevel="0" collapsed="false">
      <c r="A353" s="35"/>
      <c r="B353" s="35"/>
      <c r="C353" s="37"/>
      <c r="D353" s="15" t="str">
        <f aca="false">IF(OR($A353="",$B353=""),"",ROUND(IFERROR(INDEX(海典汇总!$C$3:$AE$67,MATCH($A353,海典汇总!$A$3:$A$67,0),MATCH(INDEX(科目对照收入!$F$2:$F$23,MATCH($B353,科目对照收入!$B$2:$B$23,0)),海典汇总!$C$1:$AE$1,0)),0)+IFERROR(INDEX(海典汇总!$C$3:$AE$67,MATCH($A353,海典汇总!$A$3:$A$67,0),MATCH(INDEX(科目对照收入!$G$2:$G$23,MATCH($B353,科目对照收入!$B$2:$B$23,0)),海典汇总!$C$1:$AE$1,0)),0)+IFERROR(INDEX(海典汇总!$C$3:$AE$67,MATCH($A353,海典汇总!$A$3:$A$67,0),MATCH(INDEX(科目对照收入!$H$2:$H$23,MATCH($B353,科目对照收入!$B$2:$B$23,0)),海典汇总!$C$1:$AE$1,0)),0),2))</f>
        <v/>
      </c>
      <c r="E353" s="15" t="str">
        <f aca="false">IF($D353="","",ROUND($C353-$D353,2))</f>
        <v/>
      </c>
      <c r="F353" s="38" t="str">
        <f aca="false">IF($A353&amp;$B353="","",IF(COUNTIF(门店对照!$A$2:$A$66,$A353)=0,"× 门店编码不对",IF(COUNTIF(科目对照收入!$B$2:$B$23,$B353)=0,"× 渠道名不对",IF(INDEX(科目对照收入!$E$2:$E$23,MATCH($B353,科目对照收入!$B$2:$B$23,0))&lt;&gt;"平台优先","× 该项目不按平台金额",IF(COUNTIFS($A$2:$A$601,$A353,$B$2:$B$601,$B353)&gt;1,"× 同店同渠道重复","√")))))</f>
        <v/>
      </c>
    </row>
    <row r="354" customFormat="false" ht="13.5" hidden="false" customHeight="false" outlineLevel="0" collapsed="false">
      <c r="A354" s="35"/>
      <c r="B354" s="35"/>
      <c r="C354" s="37"/>
      <c r="D354" s="15" t="str">
        <f aca="false">IF(OR($A354="",$B354=""),"",ROUND(IFERROR(INDEX(海典汇总!$C$3:$AE$67,MATCH($A354,海典汇总!$A$3:$A$67,0),MATCH(INDEX(科目对照收入!$F$2:$F$23,MATCH($B354,科目对照收入!$B$2:$B$23,0)),海典汇总!$C$1:$AE$1,0)),0)+IFERROR(INDEX(海典汇总!$C$3:$AE$67,MATCH($A354,海典汇总!$A$3:$A$67,0),MATCH(INDEX(科目对照收入!$G$2:$G$23,MATCH($B354,科目对照收入!$B$2:$B$23,0)),海典汇总!$C$1:$AE$1,0)),0)+IFERROR(INDEX(海典汇总!$C$3:$AE$67,MATCH($A354,海典汇总!$A$3:$A$67,0),MATCH(INDEX(科目对照收入!$H$2:$H$23,MATCH($B354,科目对照收入!$B$2:$B$23,0)),海典汇总!$C$1:$AE$1,0)),0),2))</f>
        <v/>
      </c>
      <c r="E354" s="15" t="str">
        <f aca="false">IF($D354="","",ROUND($C354-$D354,2))</f>
        <v/>
      </c>
      <c r="F354" s="38" t="str">
        <f aca="false">IF($A354&amp;$B354="","",IF(COUNTIF(门店对照!$A$2:$A$66,$A354)=0,"× 门店编码不对",IF(COUNTIF(科目对照收入!$B$2:$B$23,$B354)=0,"× 渠道名不对",IF(INDEX(科目对照收入!$E$2:$E$23,MATCH($B354,科目对照收入!$B$2:$B$23,0))&lt;&gt;"平台优先","× 该项目不按平台金额",IF(COUNTIFS($A$2:$A$601,$A354,$B$2:$B$601,$B354)&gt;1,"× 同店同渠道重复","√")))))</f>
        <v/>
      </c>
    </row>
    <row r="355" customFormat="false" ht="13.5" hidden="false" customHeight="false" outlineLevel="0" collapsed="false">
      <c r="A355" s="35"/>
      <c r="B355" s="35"/>
      <c r="C355" s="37"/>
      <c r="D355" s="15" t="str">
        <f aca="false">IF(OR($A355="",$B355=""),"",ROUND(IFERROR(INDEX(海典汇总!$C$3:$AE$67,MATCH($A355,海典汇总!$A$3:$A$67,0),MATCH(INDEX(科目对照收入!$F$2:$F$23,MATCH($B355,科目对照收入!$B$2:$B$23,0)),海典汇总!$C$1:$AE$1,0)),0)+IFERROR(INDEX(海典汇总!$C$3:$AE$67,MATCH($A355,海典汇总!$A$3:$A$67,0),MATCH(INDEX(科目对照收入!$G$2:$G$23,MATCH($B355,科目对照收入!$B$2:$B$23,0)),海典汇总!$C$1:$AE$1,0)),0)+IFERROR(INDEX(海典汇总!$C$3:$AE$67,MATCH($A355,海典汇总!$A$3:$A$67,0),MATCH(INDEX(科目对照收入!$H$2:$H$23,MATCH($B355,科目对照收入!$B$2:$B$23,0)),海典汇总!$C$1:$AE$1,0)),0),2))</f>
        <v/>
      </c>
      <c r="E355" s="15" t="str">
        <f aca="false">IF($D355="","",ROUND($C355-$D355,2))</f>
        <v/>
      </c>
      <c r="F355" s="38" t="str">
        <f aca="false">IF($A355&amp;$B355="","",IF(COUNTIF(门店对照!$A$2:$A$66,$A355)=0,"× 门店编码不对",IF(COUNTIF(科目对照收入!$B$2:$B$23,$B355)=0,"× 渠道名不对",IF(INDEX(科目对照收入!$E$2:$E$23,MATCH($B355,科目对照收入!$B$2:$B$23,0))&lt;&gt;"平台优先","× 该项目不按平台金额",IF(COUNTIFS($A$2:$A$601,$A355,$B$2:$B$601,$B355)&gt;1,"× 同店同渠道重复","√")))))</f>
        <v/>
      </c>
    </row>
    <row r="356" customFormat="false" ht="13.5" hidden="false" customHeight="false" outlineLevel="0" collapsed="false">
      <c r="A356" s="35"/>
      <c r="B356" s="35"/>
      <c r="C356" s="37"/>
      <c r="D356" s="15" t="str">
        <f aca="false">IF(OR($A356="",$B356=""),"",ROUND(IFERROR(INDEX(海典汇总!$C$3:$AE$67,MATCH($A356,海典汇总!$A$3:$A$67,0),MATCH(INDEX(科目对照收入!$F$2:$F$23,MATCH($B356,科目对照收入!$B$2:$B$23,0)),海典汇总!$C$1:$AE$1,0)),0)+IFERROR(INDEX(海典汇总!$C$3:$AE$67,MATCH($A356,海典汇总!$A$3:$A$67,0),MATCH(INDEX(科目对照收入!$G$2:$G$23,MATCH($B356,科目对照收入!$B$2:$B$23,0)),海典汇总!$C$1:$AE$1,0)),0)+IFERROR(INDEX(海典汇总!$C$3:$AE$67,MATCH($A356,海典汇总!$A$3:$A$67,0),MATCH(INDEX(科目对照收入!$H$2:$H$23,MATCH($B356,科目对照收入!$B$2:$B$23,0)),海典汇总!$C$1:$AE$1,0)),0),2))</f>
        <v/>
      </c>
      <c r="E356" s="15" t="str">
        <f aca="false">IF($D356="","",ROUND($C356-$D356,2))</f>
        <v/>
      </c>
      <c r="F356" s="38" t="str">
        <f aca="false">IF($A356&amp;$B356="","",IF(COUNTIF(门店对照!$A$2:$A$66,$A356)=0,"× 门店编码不对",IF(COUNTIF(科目对照收入!$B$2:$B$23,$B356)=0,"× 渠道名不对",IF(INDEX(科目对照收入!$E$2:$E$23,MATCH($B356,科目对照收入!$B$2:$B$23,0))&lt;&gt;"平台优先","× 该项目不按平台金额",IF(COUNTIFS($A$2:$A$601,$A356,$B$2:$B$601,$B356)&gt;1,"× 同店同渠道重复","√")))))</f>
        <v/>
      </c>
    </row>
    <row r="357" customFormat="false" ht="13.5" hidden="false" customHeight="false" outlineLevel="0" collapsed="false">
      <c r="A357" s="35"/>
      <c r="B357" s="35"/>
      <c r="C357" s="37"/>
      <c r="D357" s="15" t="str">
        <f aca="false">IF(OR($A357="",$B357=""),"",ROUND(IFERROR(INDEX(海典汇总!$C$3:$AE$67,MATCH($A357,海典汇总!$A$3:$A$67,0),MATCH(INDEX(科目对照收入!$F$2:$F$23,MATCH($B357,科目对照收入!$B$2:$B$23,0)),海典汇总!$C$1:$AE$1,0)),0)+IFERROR(INDEX(海典汇总!$C$3:$AE$67,MATCH($A357,海典汇总!$A$3:$A$67,0),MATCH(INDEX(科目对照收入!$G$2:$G$23,MATCH($B357,科目对照收入!$B$2:$B$23,0)),海典汇总!$C$1:$AE$1,0)),0)+IFERROR(INDEX(海典汇总!$C$3:$AE$67,MATCH($A357,海典汇总!$A$3:$A$67,0),MATCH(INDEX(科目对照收入!$H$2:$H$23,MATCH($B357,科目对照收入!$B$2:$B$23,0)),海典汇总!$C$1:$AE$1,0)),0),2))</f>
        <v/>
      </c>
      <c r="E357" s="15" t="str">
        <f aca="false">IF($D357="","",ROUND($C357-$D357,2))</f>
        <v/>
      </c>
      <c r="F357" s="38" t="str">
        <f aca="false">IF($A357&amp;$B357="","",IF(COUNTIF(门店对照!$A$2:$A$66,$A357)=0,"× 门店编码不对",IF(COUNTIF(科目对照收入!$B$2:$B$23,$B357)=0,"× 渠道名不对",IF(INDEX(科目对照收入!$E$2:$E$23,MATCH($B357,科目对照收入!$B$2:$B$23,0))&lt;&gt;"平台优先","× 该项目不按平台金额",IF(COUNTIFS($A$2:$A$601,$A357,$B$2:$B$601,$B357)&gt;1,"× 同店同渠道重复","√")))))</f>
        <v/>
      </c>
    </row>
    <row r="358" customFormat="false" ht="13.5" hidden="false" customHeight="false" outlineLevel="0" collapsed="false">
      <c r="A358" s="35"/>
      <c r="B358" s="35"/>
      <c r="C358" s="37"/>
      <c r="D358" s="15" t="str">
        <f aca="false">IF(OR($A358="",$B358=""),"",ROUND(IFERROR(INDEX(海典汇总!$C$3:$AE$67,MATCH($A358,海典汇总!$A$3:$A$67,0),MATCH(INDEX(科目对照收入!$F$2:$F$23,MATCH($B358,科目对照收入!$B$2:$B$23,0)),海典汇总!$C$1:$AE$1,0)),0)+IFERROR(INDEX(海典汇总!$C$3:$AE$67,MATCH($A358,海典汇总!$A$3:$A$67,0),MATCH(INDEX(科目对照收入!$G$2:$G$23,MATCH($B358,科目对照收入!$B$2:$B$23,0)),海典汇总!$C$1:$AE$1,0)),0)+IFERROR(INDEX(海典汇总!$C$3:$AE$67,MATCH($A358,海典汇总!$A$3:$A$67,0),MATCH(INDEX(科目对照收入!$H$2:$H$23,MATCH($B358,科目对照收入!$B$2:$B$23,0)),海典汇总!$C$1:$AE$1,0)),0),2))</f>
        <v/>
      </c>
      <c r="E358" s="15" t="str">
        <f aca="false">IF($D358="","",ROUND($C358-$D358,2))</f>
        <v/>
      </c>
      <c r="F358" s="38" t="str">
        <f aca="false">IF($A358&amp;$B358="","",IF(COUNTIF(门店对照!$A$2:$A$66,$A358)=0,"× 门店编码不对",IF(COUNTIF(科目对照收入!$B$2:$B$23,$B358)=0,"× 渠道名不对",IF(INDEX(科目对照收入!$E$2:$E$23,MATCH($B358,科目对照收入!$B$2:$B$23,0))&lt;&gt;"平台优先","× 该项目不按平台金额",IF(COUNTIFS($A$2:$A$601,$A358,$B$2:$B$601,$B358)&gt;1,"× 同店同渠道重复","√")))))</f>
        <v/>
      </c>
    </row>
    <row r="359" customFormat="false" ht="13.5" hidden="false" customHeight="false" outlineLevel="0" collapsed="false">
      <c r="A359" s="35"/>
      <c r="B359" s="35"/>
      <c r="C359" s="37"/>
      <c r="D359" s="15" t="str">
        <f aca="false">IF(OR($A359="",$B359=""),"",ROUND(IFERROR(INDEX(海典汇总!$C$3:$AE$67,MATCH($A359,海典汇总!$A$3:$A$67,0),MATCH(INDEX(科目对照收入!$F$2:$F$23,MATCH($B359,科目对照收入!$B$2:$B$23,0)),海典汇总!$C$1:$AE$1,0)),0)+IFERROR(INDEX(海典汇总!$C$3:$AE$67,MATCH($A359,海典汇总!$A$3:$A$67,0),MATCH(INDEX(科目对照收入!$G$2:$G$23,MATCH($B359,科目对照收入!$B$2:$B$23,0)),海典汇总!$C$1:$AE$1,0)),0)+IFERROR(INDEX(海典汇总!$C$3:$AE$67,MATCH($A359,海典汇总!$A$3:$A$67,0),MATCH(INDEX(科目对照收入!$H$2:$H$23,MATCH($B359,科目对照收入!$B$2:$B$23,0)),海典汇总!$C$1:$AE$1,0)),0),2))</f>
        <v/>
      </c>
      <c r="E359" s="15" t="str">
        <f aca="false">IF($D359="","",ROUND($C359-$D359,2))</f>
        <v/>
      </c>
      <c r="F359" s="38" t="str">
        <f aca="false">IF($A359&amp;$B359="","",IF(COUNTIF(门店对照!$A$2:$A$66,$A359)=0,"× 门店编码不对",IF(COUNTIF(科目对照收入!$B$2:$B$23,$B359)=0,"× 渠道名不对",IF(INDEX(科目对照收入!$E$2:$E$23,MATCH($B359,科目对照收入!$B$2:$B$23,0))&lt;&gt;"平台优先","× 该项目不按平台金额",IF(COUNTIFS($A$2:$A$601,$A359,$B$2:$B$601,$B359)&gt;1,"× 同店同渠道重复","√")))))</f>
        <v/>
      </c>
    </row>
    <row r="360" customFormat="false" ht="13.5" hidden="false" customHeight="false" outlineLevel="0" collapsed="false">
      <c r="A360" s="35"/>
      <c r="B360" s="35"/>
      <c r="C360" s="37"/>
      <c r="D360" s="15" t="str">
        <f aca="false">IF(OR($A360="",$B360=""),"",ROUND(IFERROR(INDEX(海典汇总!$C$3:$AE$67,MATCH($A360,海典汇总!$A$3:$A$67,0),MATCH(INDEX(科目对照收入!$F$2:$F$23,MATCH($B360,科目对照收入!$B$2:$B$23,0)),海典汇总!$C$1:$AE$1,0)),0)+IFERROR(INDEX(海典汇总!$C$3:$AE$67,MATCH($A360,海典汇总!$A$3:$A$67,0),MATCH(INDEX(科目对照收入!$G$2:$G$23,MATCH($B360,科目对照收入!$B$2:$B$23,0)),海典汇总!$C$1:$AE$1,0)),0)+IFERROR(INDEX(海典汇总!$C$3:$AE$67,MATCH($A360,海典汇总!$A$3:$A$67,0),MATCH(INDEX(科目对照收入!$H$2:$H$23,MATCH($B360,科目对照收入!$B$2:$B$23,0)),海典汇总!$C$1:$AE$1,0)),0),2))</f>
        <v/>
      </c>
      <c r="E360" s="15" t="str">
        <f aca="false">IF($D360="","",ROUND($C360-$D360,2))</f>
        <v/>
      </c>
      <c r="F360" s="38" t="str">
        <f aca="false">IF($A360&amp;$B360="","",IF(COUNTIF(门店对照!$A$2:$A$66,$A360)=0,"× 门店编码不对",IF(COUNTIF(科目对照收入!$B$2:$B$23,$B360)=0,"× 渠道名不对",IF(INDEX(科目对照收入!$E$2:$E$23,MATCH($B360,科目对照收入!$B$2:$B$23,0))&lt;&gt;"平台优先","× 该项目不按平台金额",IF(COUNTIFS($A$2:$A$601,$A360,$B$2:$B$601,$B360)&gt;1,"× 同店同渠道重复","√")))))</f>
        <v/>
      </c>
    </row>
    <row r="361" customFormat="false" ht="13.5" hidden="false" customHeight="false" outlineLevel="0" collapsed="false">
      <c r="A361" s="35"/>
      <c r="B361" s="35"/>
      <c r="C361" s="37"/>
      <c r="D361" s="15" t="str">
        <f aca="false">IF(OR($A361="",$B361=""),"",ROUND(IFERROR(INDEX(海典汇总!$C$3:$AE$67,MATCH($A361,海典汇总!$A$3:$A$67,0),MATCH(INDEX(科目对照收入!$F$2:$F$23,MATCH($B361,科目对照收入!$B$2:$B$23,0)),海典汇总!$C$1:$AE$1,0)),0)+IFERROR(INDEX(海典汇总!$C$3:$AE$67,MATCH($A361,海典汇总!$A$3:$A$67,0),MATCH(INDEX(科目对照收入!$G$2:$G$23,MATCH($B361,科目对照收入!$B$2:$B$23,0)),海典汇总!$C$1:$AE$1,0)),0)+IFERROR(INDEX(海典汇总!$C$3:$AE$67,MATCH($A361,海典汇总!$A$3:$A$67,0),MATCH(INDEX(科目对照收入!$H$2:$H$23,MATCH($B361,科目对照收入!$B$2:$B$23,0)),海典汇总!$C$1:$AE$1,0)),0),2))</f>
        <v/>
      </c>
      <c r="E361" s="15" t="str">
        <f aca="false">IF($D361="","",ROUND($C361-$D361,2))</f>
        <v/>
      </c>
      <c r="F361" s="38" t="str">
        <f aca="false">IF($A361&amp;$B361="","",IF(COUNTIF(门店对照!$A$2:$A$66,$A361)=0,"× 门店编码不对",IF(COUNTIF(科目对照收入!$B$2:$B$23,$B361)=0,"× 渠道名不对",IF(INDEX(科目对照收入!$E$2:$E$23,MATCH($B361,科目对照收入!$B$2:$B$23,0))&lt;&gt;"平台优先","× 该项目不按平台金额",IF(COUNTIFS($A$2:$A$601,$A361,$B$2:$B$601,$B361)&gt;1,"× 同店同渠道重复","√")))))</f>
        <v/>
      </c>
    </row>
    <row r="362" customFormat="false" ht="13.5" hidden="false" customHeight="false" outlineLevel="0" collapsed="false">
      <c r="A362" s="35"/>
      <c r="B362" s="35"/>
      <c r="C362" s="37"/>
      <c r="D362" s="15" t="str">
        <f aca="false">IF(OR($A362="",$B362=""),"",ROUND(IFERROR(INDEX(海典汇总!$C$3:$AE$67,MATCH($A362,海典汇总!$A$3:$A$67,0),MATCH(INDEX(科目对照收入!$F$2:$F$23,MATCH($B362,科目对照收入!$B$2:$B$23,0)),海典汇总!$C$1:$AE$1,0)),0)+IFERROR(INDEX(海典汇总!$C$3:$AE$67,MATCH($A362,海典汇总!$A$3:$A$67,0),MATCH(INDEX(科目对照收入!$G$2:$G$23,MATCH($B362,科目对照收入!$B$2:$B$23,0)),海典汇总!$C$1:$AE$1,0)),0)+IFERROR(INDEX(海典汇总!$C$3:$AE$67,MATCH($A362,海典汇总!$A$3:$A$67,0),MATCH(INDEX(科目对照收入!$H$2:$H$23,MATCH($B362,科目对照收入!$B$2:$B$23,0)),海典汇总!$C$1:$AE$1,0)),0),2))</f>
        <v/>
      </c>
      <c r="E362" s="15" t="str">
        <f aca="false">IF($D362="","",ROUND($C362-$D362,2))</f>
        <v/>
      </c>
      <c r="F362" s="38" t="str">
        <f aca="false">IF($A362&amp;$B362="","",IF(COUNTIF(门店对照!$A$2:$A$66,$A362)=0,"× 门店编码不对",IF(COUNTIF(科目对照收入!$B$2:$B$23,$B362)=0,"× 渠道名不对",IF(INDEX(科目对照收入!$E$2:$E$23,MATCH($B362,科目对照收入!$B$2:$B$23,0))&lt;&gt;"平台优先","× 该项目不按平台金额",IF(COUNTIFS($A$2:$A$601,$A362,$B$2:$B$601,$B362)&gt;1,"× 同店同渠道重复","√")))))</f>
        <v/>
      </c>
    </row>
    <row r="363" customFormat="false" ht="13.5" hidden="false" customHeight="false" outlineLevel="0" collapsed="false">
      <c r="A363" s="35"/>
      <c r="B363" s="35"/>
      <c r="C363" s="37"/>
      <c r="D363" s="15" t="str">
        <f aca="false">IF(OR($A363="",$B363=""),"",ROUND(IFERROR(INDEX(海典汇总!$C$3:$AE$67,MATCH($A363,海典汇总!$A$3:$A$67,0),MATCH(INDEX(科目对照收入!$F$2:$F$23,MATCH($B363,科目对照收入!$B$2:$B$23,0)),海典汇总!$C$1:$AE$1,0)),0)+IFERROR(INDEX(海典汇总!$C$3:$AE$67,MATCH($A363,海典汇总!$A$3:$A$67,0),MATCH(INDEX(科目对照收入!$G$2:$G$23,MATCH($B363,科目对照收入!$B$2:$B$23,0)),海典汇总!$C$1:$AE$1,0)),0)+IFERROR(INDEX(海典汇总!$C$3:$AE$67,MATCH($A363,海典汇总!$A$3:$A$67,0),MATCH(INDEX(科目对照收入!$H$2:$H$23,MATCH($B363,科目对照收入!$B$2:$B$23,0)),海典汇总!$C$1:$AE$1,0)),0),2))</f>
        <v/>
      </c>
      <c r="E363" s="15" t="str">
        <f aca="false">IF($D363="","",ROUND($C363-$D363,2))</f>
        <v/>
      </c>
      <c r="F363" s="38" t="str">
        <f aca="false">IF($A363&amp;$B363="","",IF(COUNTIF(门店对照!$A$2:$A$66,$A363)=0,"× 门店编码不对",IF(COUNTIF(科目对照收入!$B$2:$B$23,$B363)=0,"× 渠道名不对",IF(INDEX(科目对照收入!$E$2:$E$23,MATCH($B363,科目对照收入!$B$2:$B$23,0))&lt;&gt;"平台优先","× 该项目不按平台金额",IF(COUNTIFS($A$2:$A$601,$A363,$B$2:$B$601,$B363)&gt;1,"× 同店同渠道重复","√")))))</f>
        <v/>
      </c>
    </row>
    <row r="364" customFormat="false" ht="13.5" hidden="false" customHeight="false" outlineLevel="0" collapsed="false">
      <c r="A364" s="35"/>
      <c r="B364" s="35"/>
      <c r="C364" s="37"/>
      <c r="D364" s="15" t="str">
        <f aca="false">IF(OR($A364="",$B364=""),"",ROUND(IFERROR(INDEX(海典汇总!$C$3:$AE$67,MATCH($A364,海典汇总!$A$3:$A$67,0),MATCH(INDEX(科目对照收入!$F$2:$F$23,MATCH($B364,科目对照收入!$B$2:$B$23,0)),海典汇总!$C$1:$AE$1,0)),0)+IFERROR(INDEX(海典汇总!$C$3:$AE$67,MATCH($A364,海典汇总!$A$3:$A$67,0),MATCH(INDEX(科目对照收入!$G$2:$G$23,MATCH($B364,科目对照收入!$B$2:$B$23,0)),海典汇总!$C$1:$AE$1,0)),0)+IFERROR(INDEX(海典汇总!$C$3:$AE$67,MATCH($A364,海典汇总!$A$3:$A$67,0),MATCH(INDEX(科目对照收入!$H$2:$H$23,MATCH($B364,科目对照收入!$B$2:$B$23,0)),海典汇总!$C$1:$AE$1,0)),0),2))</f>
        <v/>
      </c>
      <c r="E364" s="15" t="str">
        <f aca="false">IF($D364="","",ROUND($C364-$D364,2))</f>
        <v/>
      </c>
      <c r="F364" s="38" t="str">
        <f aca="false">IF($A364&amp;$B364="","",IF(COUNTIF(门店对照!$A$2:$A$66,$A364)=0,"× 门店编码不对",IF(COUNTIF(科目对照收入!$B$2:$B$23,$B364)=0,"× 渠道名不对",IF(INDEX(科目对照收入!$E$2:$E$23,MATCH($B364,科目对照收入!$B$2:$B$23,0))&lt;&gt;"平台优先","× 该项目不按平台金额",IF(COUNTIFS($A$2:$A$601,$A364,$B$2:$B$601,$B364)&gt;1,"× 同店同渠道重复","√")))))</f>
        <v/>
      </c>
    </row>
    <row r="365" customFormat="false" ht="13.5" hidden="false" customHeight="false" outlineLevel="0" collapsed="false">
      <c r="A365" s="35"/>
      <c r="B365" s="35"/>
      <c r="C365" s="37"/>
      <c r="D365" s="15" t="str">
        <f aca="false">IF(OR($A365="",$B365=""),"",ROUND(IFERROR(INDEX(海典汇总!$C$3:$AE$67,MATCH($A365,海典汇总!$A$3:$A$67,0),MATCH(INDEX(科目对照收入!$F$2:$F$23,MATCH($B365,科目对照收入!$B$2:$B$23,0)),海典汇总!$C$1:$AE$1,0)),0)+IFERROR(INDEX(海典汇总!$C$3:$AE$67,MATCH($A365,海典汇总!$A$3:$A$67,0),MATCH(INDEX(科目对照收入!$G$2:$G$23,MATCH($B365,科目对照收入!$B$2:$B$23,0)),海典汇总!$C$1:$AE$1,0)),0)+IFERROR(INDEX(海典汇总!$C$3:$AE$67,MATCH($A365,海典汇总!$A$3:$A$67,0),MATCH(INDEX(科目对照收入!$H$2:$H$23,MATCH($B365,科目对照收入!$B$2:$B$23,0)),海典汇总!$C$1:$AE$1,0)),0),2))</f>
        <v/>
      </c>
      <c r="E365" s="15" t="str">
        <f aca="false">IF($D365="","",ROUND($C365-$D365,2))</f>
        <v/>
      </c>
      <c r="F365" s="38" t="str">
        <f aca="false">IF($A365&amp;$B365="","",IF(COUNTIF(门店对照!$A$2:$A$66,$A365)=0,"× 门店编码不对",IF(COUNTIF(科目对照收入!$B$2:$B$23,$B365)=0,"× 渠道名不对",IF(INDEX(科目对照收入!$E$2:$E$23,MATCH($B365,科目对照收入!$B$2:$B$23,0))&lt;&gt;"平台优先","× 该项目不按平台金额",IF(COUNTIFS($A$2:$A$601,$A365,$B$2:$B$601,$B365)&gt;1,"× 同店同渠道重复","√")))))</f>
        <v/>
      </c>
    </row>
    <row r="366" customFormat="false" ht="13.5" hidden="false" customHeight="false" outlineLevel="0" collapsed="false">
      <c r="A366" s="35"/>
      <c r="B366" s="35"/>
      <c r="C366" s="37"/>
      <c r="D366" s="15" t="str">
        <f aca="false">IF(OR($A366="",$B366=""),"",ROUND(IFERROR(INDEX(海典汇总!$C$3:$AE$67,MATCH($A366,海典汇总!$A$3:$A$67,0),MATCH(INDEX(科目对照收入!$F$2:$F$23,MATCH($B366,科目对照收入!$B$2:$B$23,0)),海典汇总!$C$1:$AE$1,0)),0)+IFERROR(INDEX(海典汇总!$C$3:$AE$67,MATCH($A366,海典汇总!$A$3:$A$67,0),MATCH(INDEX(科目对照收入!$G$2:$G$23,MATCH($B366,科目对照收入!$B$2:$B$23,0)),海典汇总!$C$1:$AE$1,0)),0)+IFERROR(INDEX(海典汇总!$C$3:$AE$67,MATCH($A366,海典汇总!$A$3:$A$67,0),MATCH(INDEX(科目对照收入!$H$2:$H$23,MATCH($B366,科目对照收入!$B$2:$B$23,0)),海典汇总!$C$1:$AE$1,0)),0),2))</f>
        <v/>
      </c>
      <c r="E366" s="15" t="str">
        <f aca="false">IF($D366="","",ROUND($C366-$D366,2))</f>
        <v/>
      </c>
      <c r="F366" s="38" t="str">
        <f aca="false">IF($A366&amp;$B366="","",IF(COUNTIF(门店对照!$A$2:$A$66,$A366)=0,"× 门店编码不对",IF(COUNTIF(科目对照收入!$B$2:$B$23,$B366)=0,"× 渠道名不对",IF(INDEX(科目对照收入!$E$2:$E$23,MATCH($B366,科目对照收入!$B$2:$B$23,0))&lt;&gt;"平台优先","× 该项目不按平台金额",IF(COUNTIFS($A$2:$A$601,$A366,$B$2:$B$601,$B366)&gt;1,"× 同店同渠道重复","√")))))</f>
        <v/>
      </c>
    </row>
    <row r="367" customFormat="false" ht="13.5" hidden="false" customHeight="false" outlineLevel="0" collapsed="false">
      <c r="A367" s="35"/>
      <c r="B367" s="35"/>
      <c r="C367" s="37"/>
      <c r="D367" s="15" t="str">
        <f aca="false">IF(OR($A367="",$B367=""),"",ROUND(IFERROR(INDEX(海典汇总!$C$3:$AE$67,MATCH($A367,海典汇总!$A$3:$A$67,0),MATCH(INDEX(科目对照收入!$F$2:$F$23,MATCH($B367,科目对照收入!$B$2:$B$23,0)),海典汇总!$C$1:$AE$1,0)),0)+IFERROR(INDEX(海典汇总!$C$3:$AE$67,MATCH($A367,海典汇总!$A$3:$A$67,0),MATCH(INDEX(科目对照收入!$G$2:$G$23,MATCH($B367,科目对照收入!$B$2:$B$23,0)),海典汇总!$C$1:$AE$1,0)),0)+IFERROR(INDEX(海典汇总!$C$3:$AE$67,MATCH($A367,海典汇总!$A$3:$A$67,0),MATCH(INDEX(科目对照收入!$H$2:$H$23,MATCH($B367,科目对照收入!$B$2:$B$23,0)),海典汇总!$C$1:$AE$1,0)),0),2))</f>
        <v/>
      </c>
      <c r="E367" s="15" t="str">
        <f aca="false">IF($D367="","",ROUND($C367-$D367,2))</f>
        <v/>
      </c>
      <c r="F367" s="38" t="str">
        <f aca="false">IF($A367&amp;$B367="","",IF(COUNTIF(门店对照!$A$2:$A$66,$A367)=0,"× 门店编码不对",IF(COUNTIF(科目对照收入!$B$2:$B$23,$B367)=0,"× 渠道名不对",IF(INDEX(科目对照收入!$E$2:$E$23,MATCH($B367,科目对照收入!$B$2:$B$23,0))&lt;&gt;"平台优先","× 该项目不按平台金额",IF(COUNTIFS($A$2:$A$601,$A367,$B$2:$B$601,$B367)&gt;1,"× 同店同渠道重复","√")))))</f>
        <v/>
      </c>
    </row>
    <row r="368" customFormat="false" ht="13.5" hidden="false" customHeight="false" outlineLevel="0" collapsed="false">
      <c r="A368" s="35"/>
      <c r="B368" s="35"/>
      <c r="C368" s="37"/>
      <c r="D368" s="15" t="str">
        <f aca="false">IF(OR($A368="",$B368=""),"",ROUND(IFERROR(INDEX(海典汇总!$C$3:$AE$67,MATCH($A368,海典汇总!$A$3:$A$67,0),MATCH(INDEX(科目对照收入!$F$2:$F$23,MATCH($B368,科目对照收入!$B$2:$B$23,0)),海典汇总!$C$1:$AE$1,0)),0)+IFERROR(INDEX(海典汇总!$C$3:$AE$67,MATCH($A368,海典汇总!$A$3:$A$67,0),MATCH(INDEX(科目对照收入!$G$2:$G$23,MATCH($B368,科目对照收入!$B$2:$B$23,0)),海典汇总!$C$1:$AE$1,0)),0)+IFERROR(INDEX(海典汇总!$C$3:$AE$67,MATCH($A368,海典汇总!$A$3:$A$67,0),MATCH(INDEX(科目对照收入!$H$2:$H$23,MATCH($B368,科目对照收入!$B$2:$B$23,0)),海典汇总!$C$1:$AE$1,0)),0),2))</f>
        <v/>
      </c>
      <c r="E368" s="15" t="str">
        <f aca="false">IF($D368="","",ROUND($C368-$D368,2))</f>
        <v/>
      </c>
      <c r="F368" s="38" t="str">
        <f aca="false">IF($A368&amp;$B368="","",IF(COUNTIF(门店对照!$A$2:$A$66,$A368)=0,"× 门店编码不对",IF(COUNTIF(科目对照收入!$B$2:$B$23,$B368)=0,"× 渠道名不对",IF(INDEX(科目对照收入!$E$2:$E$23,MATCH($B368,科目对照收入!$B$2:$B$23,0))&lt;&gt;"平台优先","× 该项目不按平台金额",IF(COUNTIFS($A$2:$A$601,$A368,$B$2:$B$601,$B368)&gt;1,"× 同店同渠道重复","√")))))</f>
        <v/>
      </c>
    </row>
    <row r="369" customFormat="false" ht="13.5" hidden="false" customHeight="false" outlineLevel="0" collapsed="false">
      <c r="A369" s="35"/>
      <c r="B369" s="35"/>
      <c r="C369" s="37"/>
      <c r="D369" s="15" t="str">
        <f aca="false">IF(OR($A369="",$B369=""),"",ROUND(IFERROR(INDEX(海典汇总!$C$3:$AE$67,MATCH($A369,海典汇总!$A$3:$A$67,0),MATCH(INDEX(科目对照收入!$F$2:$F$23,MATCH($B369,科目对照收入!$B$2:$B$23,0)),海典汇总!$C$1:$AE$1,0)),0)+IFERROR(INDEX(海典汇总!$C$3:$AE$67,MATCH($A369,海典汇总!$A$3:$A$67,0),MATCH(INDEX(科目对照收入!$G$2:$G$23,MATCH($B369,科目对照收入!$B$2:$B$23,0)),海典汇总!$C$1:$AE$1,0)),0)+IFERROR(INDEX(海典汇总!$C$3:$AE$67,MATCH($A369,海典汇总!$A$3:$A$67,0),MATCH(INDEX(科目对照收入!$H$2:$H$23,MATCH($B369,科目对照收入!$B$2:$B$23,0)),海典汇总!$C$1:$AE$1,0)),0),2))</f>
        <v/>
      </c>
      <c r="E369" s="15" t="str">
        <f aca="false">IF($D369="","",ROUND($C369-$D369,2))</f>
        <v/>
      </c>
      <c r="F369" s="38" t="str">
        <f aca="false">IF($A369&amp;$B369="","",IF(COUNTIF(门店对照!$A$2:$A$66,$A369)=0,"× 门店编码不对",IF(COUNTIF(科目对照收入!$B$2:$B$23,$B369)=0,"× 渠道名不对",IF(INDEX(科目对照收入!$E$2:$E$23,MATCH($B369,科目对照收入!$B$2:$B$23,0))&lt;&gt;"平台优先","× 该项目不按平台金额",IF(COUNTIFS($A$2:$A$601,$A369,$B$2:$B$601,$B369)&gt;1,"× 同店同渠道重复","√")))))</f>
        <v/>
      </c>
    </row>
    <row r="370" customFormat="false" ht="13.5" hidden="false" customHeight="false" outlineLevel="0" collapsed="false">
      <c r="A370" s="35"/>
      <c r="B370" s="35"/>
      <c r="C370" s="37"/>
      <c r="D370" s="15" t="str">
        <f aca="false">IF(OR($A370="",$B370=""),"",ROUND(IFERROR(INDEX(海典汇总!$C$3:$AE$67,MATCH($A370,海典汇总!$A$3:$A$67,0),MATCH(INDEX(科目对照收入!$F$2:$F$23,MATCH($B370,科目对照收入!$B$2:$B$23,0)),海典汇总!$C$1:$AE$1,0)),0)+IFERROR(INDEX(海典汇总!$C$3:$AE$67,MATCH($A370,海典汇总!$A$3:$A$67,0),MATCH(INDEX(科目对照收入!$G$2:$G$23,MATCH($B370,科目对照收入!$B$2:$B$23,0)),海典汇总!$C$1:$AE$1,0)),0)+IFERROR(INDEX(海典汇总!$C$3:$AE$67,MATCH($A370,海典汇总!$A$3:$A$67,0),MATCH(INDEX(科目对照收入!$H$2:$H$23,MATCH($B370,科目对照收入!$B$2:$B$23,0)),海典汇总!$C$1:$AE$1,0)),0),2))</f>
        <v/>
      </c>
      <c r="E370" s="15" t="str">
        <f aca="false">IF($D370="","",ROUND($C370-$D370,2))</f>
        <v/>
      </c>
      <c r="F370" s="38" t="str">
        <f aca="false">IF($A370&amp;$B370="","",IF(COUNTIF(门店对照!$A$2:$A$66,$A370)=0,"× 门店编码不对",IF(COUNTIF(科目对照收入!$B$2:$B$23,$B370)=0,"× 渠道名不对",IF(INDEX(科目对照收入!$E$2:$E$23,MATCH($B370,科目对照收入!$B$2:$B$23,0))&lt;&gt;"平台优先","× 该项目不按平台金额",IF(COUNTIFS($A$2:$A$601,$A370,$B$2:$B$601,$B370)&gt;1,"× 同店同渠道重复","√")))))</f>
        <v/>
      </c>
    </row>
    <row r="371" customFormat="false" ht="13.5" hidden="false" customHeight="false" outlineLevel="0" collapsed="false">
      <c r="A371" s="35"/>
      <c r="B371" s="35"/>
      <c r="C371" s="37"/>
      <c r="D371" s="15" t="str">
        <f aca="false">IF(OR($A371="",$B371=""),"",ROUND(IFERROR(INDEX(海典汇总!$C$3:$AE$67,MATCH($A371,海典汇总!$A$3:$A$67,0),MATCH(INDEX(科目对照收入!$F$2:$F$23,MATCH($B371,科目对照收入!$B$2:$B$23,0)),海典汇总!$C$1:$AE$1,0)),0)+IFERROR(INDEX(海典汇总!$C$3:$AE$67,MATCH($A371,海典汇总!$A$3:$A$67,0),MATCH(INDEX(科目对照收入!$G$2:$G$23,MATCH($B371,科目对照收入!$B$2:$B$23,0)),海典汇总!$C$1:$AE$1,0)),0)+IFERROR(INDEX(海典汇总!$C$3:$AE$67,MATCH($A371,海典汇总!$A$3:$A$67,0),MATCH(INDEX(科目对照收入!$H$2:$H$23,MATCH($B371,科目对照收入!$B$2:$B$23,0)),海典汇总!$C$1:$AE$1,0)),0),2))</f>
        <v/>
      </c>
      <c r="E371" s="15" t="str">
        <f aca="false">IF($D371="","",ROUND($C371-$D371,2))</f>
        <v/>
      </c>
      <c r="F371" s="38" t="str">
        <f aca="false">IF($A371&amp;$B371="","",IF(COUNTIF(门店对照!$A$2:$A$66,$A371)=0,"× 门店编码不对",IF(COUNTIF(科目对照收入!$B$2:$B$23,$B371)=0,"× 渠道名不对",IF(INDEX(科目对照收入!$E$2:$E$23,MATCH($B371,科目对照收入!$B$2:$B$23,0))&lt;&gt;"平台优先","× 该项目不按平台金额",IF(COUNTIFS($A$2:$A$601,$A371,$B$2:$B$601,$B371)&gt;1,"× 同店同渠道重复","√")))))</f>
        <v/>
      </c>
    </row>
    <row r="372" customFormat="false" ht="13.5" hidden="false" customHeight="false" outlineLevel="0" collapsed="false">
      <c r="A372" s="35"/>
      <c r="B372" s="35"/>
      <c r="C372" s="37"/>
      <c r="D372" s="15" t="str">
        <f aca="false">IF(OR($A372="",$B372=""),"",ROUND(IFERROR(INDEX(海典汇总!$C$3:$AE$67,MATCH($A372,海典汇总!$A$3:$A$67,0),MATCH(INDEX(科目对照收入!$F$2:$F$23,MATCH($B372,科目对照收入!$B$2:$B$23,0)),海典汇总!$C$1:$AE$1,0)),0)+IFERROR(INDEX(海典汇总!$C$3:$AE$67,MATCH($A372,海典汇总!$A$3:$A$67,0),MATCH(INDEX(科目对照收入!$G$2:$G$23,MATCH($B372,科目对照收入!$B$2:$B$23,0)),海典汇总!$C$1:$AE$1,0)),0)+IFERROR(INDEX(海典汇总!$C$3:$AE$67,MATCH($A372,海典汇总!$A$3:$A$67,0),MATCH(INDEX(科目对照收入!$H$2:$H$23,MATCH($B372,科目对照收入!$B$2:$B$23,0)),海典汇总!$C$1:$AE$1,0)),0),2))</f>
        <v/>
      </c>
      <c r="E372" s="15" t="str">
        <f aca="false">IF($D372="","",ROUND($C372-$D372,2))</f>
        <v/>
      </c>
      <c r="F372" s="38" t="str">
        <f aca="false">IF($A372&amp;$B372="","",IF(COUNTIF(门店对照!$A$2:$A$66,$A372)=0,"× 门店编码不对",IF(COUNTIF(科目对照收入!$B$2:$B$23,$B372)=0,"× 渠道名不对",IF(INDEX(科目对照收入!$E$2:$E$23,MATCH($B372,科目对照收入!$B$2:$B$23,0))&lt;&gt;"平台优先","× 该项目不按平台金额",IF(COUNTIFS($A$2:$A$601,$A372,$B$2:$B$601,$B372)&gt;1,"× 同店同渠道重复","√")))))</f>
        <v/>
      </c>
    </row>
    <row r="373" customFormat="false" ht="13.5" hidden="false" customHeight="false" outlineLevel="0" collapsed="false">
      <c r="A373" s="35"/>
      <c r="B373" s="35"/>
      <c r="C373" s="37"/>
      <c r="D373" s="15" t="str">
        <f aca="false">IF(OR($A373="",$B373=""),"",ROUND(IFERROR(INDEX(海典汇总!$C$3:$AE$67,MATCH($A373,海典汇总!$A$3:$A$67,0),MATCH(INDEX(科目对照收入!$F$2:$F$23,MATCH($B373,科目对照收入!$B$2:$B$23,0)),海典汇总!$C$1:$AE$1,0)),0)+IFERROR(INDEX(海典汇总!$C$3:$AE$67,MATCH($A373,海典汇总!$A$3:$A$67,0),MATCH(INDEX(科目对照收入!$G$2:$G$23,MATCH($B373,科目对照收入!$B$2:$B$23,0)),海典汇总!$C$1:$AE$1,0)),0)+IFERROR(INDEX(海典汇总!$C$3:$AE$67,MATCH($A373,海典汇总!$A$3:$A$67,0),MATCH(INDEX(科目对照收入!$H$2:$H$23,MATCH($B373,科目对照收入!$B$2:$B$23,0)),海典汇总!$C$1:$AE$1,0)),0),2))</f>
        <v/>
      </c>
      <c r="E373" s="15" t="str">
        <f aca="false">IF($D373="","",ROUND($C373-$D373,2))</f>
        <v/>
      </c>
      <c r="F373" s="38" t="str">
        <f aca="false">IF($A373&amp;$B373="","",IF(COUNTIF(门店对照!$A$2:$A$66,$A373)=0,"× 门店编码不对",IF(COUNTIF(科目对照收入!$B$2:$B$23,$B373)=0,"× 渠道名不对",IF(INDEX(科目对照收入!$E$2:$E$23,MATCH($B373,科目对照收入!$B$2:$B$23,0))&lt;&gt;"平台优先","× 该项目不按平台金额",IF(COUNTIFS($A$2:$A$601,$A373,$B$2:$B$601,$B373)&gt;1,"× 同店同渠道重复","√")))))</f>
        <v/>
      </c>
    </row>
    <row r="374" customFormat="false" ht="13.5" hidden="false" customHeight="false" outlineLevel="0" collapsed="false">
      <c r="A374" s="35"/>
      <c r="B374" s="35"/>
      <c r="C374" s="37"/>
      <c r="D374" s="15" t="str">
        <f aca="false">IF(OR($A374="",$B374=""),"",ROUND(IFERROR(INDEX(海典汇总!$C$3:$AE$67,MATCH($A374,海典汇总!$A$3:$A$67,0),MATCH(INDEX(科目对照收入!$F$2:$F$23,MATCH($B374,科目对照收入!$B$2:$B$23,0)),海典汇总!$C$1:$AE$1,0)),0)+IFERROR(INDEX(海典汇总!$C$3:$AE$67,MATCH($A374,海典汇总!$A$3:$A$67,0),MATCH(INDEX(科目对照收入!$G$2:$G$23,MATCH($B374,科目对照收入!$B$2:$B$23,0)),海典汇总!$C$1:$AE$1,0)),0)+IFERROR(INDEX(海典汇总!$C$3:$AE$67,MATCH($A374,海典汇总!$A$3:$A$67,0),MATCH(INDEX(科目对照收入!$H$2:$H$23,MATCH($B374,科目对照收入!$B$2:$B$23,0)),海典汇总!$C$1:$AE$1,0)),0),2))</f>
        <v/>
      </c>
      <c r="E374" s="15" t="str">
        <f aca="false">IF($D374="","",ROUND($C374-$D374,2))</f>
        <v/>
      </c>
      <c r="F374" s="38" t="str">
        <f aca="false">IF($A374&amp;$B374="","",IF(COUNTIF(门店对照!$A$2:$A$66,$A374)=0,"× 门店编码不对",IF(COUNTIF(科目对照收入!$B$2:$B$23,$B374)=0,"× 渠道名不对",IF(INDEX(科目对照收入!$E$2:$E$23,MATCH($B374,科目对照收入!$B$2:$B$23,0))&lt;&gt;"平台优先","× 该项目不按平台金额",IF(COUNTIFS($A$2:$A$601,$A374,$B$2:$B$601,$B374)&gt;1,"× 同店同渠道重复","√")))))</f>
        <v/>
      </c>
    </row>
    <row r="375" customFormat="false" ht="13.5" hidden="false" customHeight="false" outlineLevel="0" collapsed="false">
      <c r="A375" s="35"/>
      <c r="B375" s="35"/>
      <c r="C375" s="37"/>
      <c r="D375" s="15" t="str">
        <f aca="false">IF(OR($A375="",$B375=""),"",ROUND(IFERROR(INDEX(海典汇总!$C$3:$AE$67,MATCH($A375,海典汇总!$A$3:$A$67,0),MATCH(INDEX(科目对照收入!$F$2:$F$23,MATCH($B375,科目对照收入!$B$2:$B$23,0)),海典汇总!$C$1:$AE$1,0)),0)+IFERROR(INDEX(海典汇总!$C$3:$AE$67,MATCH($A375,海典汇总!$A$3:$A$67,0),MATCH(INDEX(科目对照收入!$G$2:$G$23,MATCH($B375,科目对照收入!$B$2:$B$23,0)),海典汇总!$C$1:$AE$1,0)),0)+IFERROR(INDEX(海典汇总!$C$3:$AE$67,MATCH($A375,海典汇总!$A$3:$A$67,0),MATCH(INDEX(科目对照收入!$H$2:$H$23,MATCH($B375,科目对照收入!$B$2:$B$23,0)),海典汇总!$C$1:$AE$1,0)),0),2))</f>
        <v/>
      </c>
      <c r="E375" s="15" t="str">
        <f aca="false">IF($D375="","",ROUND($C375-$D375,2))</f>
        <v/>
      </c>
      <c r="F375" s="38" t="str">
        <f aca="false">IF($A375&amp;$B375="","",IF(COUNTIF(门店对照!$A$2:$A$66,$A375)=0,"× 门店编码不对",IF(COUNTIF(科目对照收入!$B$2:$B$23,$B375)=0,"× 渠道名不对",IF(INDEX(科目对照收入!$E$2:$E$23,MATCH($B375,科目对照收入!$B$2:$B$23,0))&lt;&gt;"平台优先","× 该项目不按平台金额",IF(COUNTIFS($A$2:$A$601,$A375,$B$2:$B$601,$B375)&gt;1,"× 同店同渠道重复","√")))))</f>
        <v/>
      </c>
    </row>
    <row r="376" customFormat="false" ht="13.5" hidden="false" customHeight="false" outlineLevel="0" collapsed="false">
      <c r="A376" s="35"/>
      <c r="B376" s="35"/>
      <c r="C376" s="37"/>
      <c r="D376" s="15" t="str">
        <f aca="false">IF(OR($A376="",$B376=""),"",ROUND(IFERROR(INDEX(海典汇总!$C$3:$AE$67,MATCH($A376,海典汇总!$A$3:$A$67,0),MATCH(INDEX(科目对照收入!$F$2:$F$23,MATCH($B376,科目对照收入!$B$2:$B$23,0)),海典汇总!$C$1:$AE$1,0)),0)+IFERROR(INDEX(海典汇总!$C$3:$AE$67,MATCH($A376,海典汇总!$A$3:$A$67,0),MATCH(INDEX(科目对照收入!$G$2:$G$23,MATCH($B376,科目对照收入!$B$2:$B$23,0)),海典汇总!$C$1:$AE$1,0)),0)+IFERROR(INDEX(海典汇总!$C$3:$AE$67,MATCH($A376,海典汇总!$A$3:$A$67,0),MATCH(INDEX(科目对照收入!$H$2:$H$23,MATCH($B376,科目对照收入!$B$2:$B$23,0)),海典汇总!$C$1:$AE$1,0)),0),2))</f>
        <v/>
      </c>
      <c r="E376" s="15" t="str">
        <f aca="false">IF($D376="","",ROUND($C376-$D376,2))</f>
        <v/>
      </c>
      <c r="F376" s="38" t="str">
        <f aca="false">IF($A376&amp;$B376="","",IF(COUNTIF(门店对照!$A$2:$A$66,$A376)=0,"× 门店编码不对",IF(COUNTIF(科目对照收入!$B$2:$B$23,$B376)=0,"× 渠道名不对",IF(INDEX(科目对照收入!$E$2:$E$23,MATCH($B376,科目对照收入!$B$2:$B$23,0))&lt;&gt;"平台优先","× 该项目不按平台金额",IF(COUNTIFS($A$2:$A$601,$A376,$B$2:$B$601,$B376)&gt;1,"× 同店同渠道重复","√")))))</f>
        <v/>
      </c>
    </row>
    <row r="377" customFormat="false" ht="13.5" hidden="false" customHeight="false" outlineLevel="0" collapsed="false">
      <c r="A377" s="35"/>
      <c r="B377" s="35"/>
      <c r="C377" s="37"/>
      <c r="D377" s="15" t="str">
        <f aca="false">IF(OR($A377="",$B377=""),"",ROUND(IFERROR(INDEX(海典汇总!$C$3:$AE$67,MATCH($A377,海典汇总!$A$3:$A$67,0),MATCH(INDEX(科目对照收入!$F$2:$F$23,MATCH($B377,科目对照收入!$B$2:$B$23,0)),海典汇总!$C$1:$AE$1,0)),0)+IFERROR(INDEX(海典汇总!$C$3:$AE$67,MATCH($A377,海典汇总!$A$3:$A$67,0),MATCH(INDEX(科目对照收入!$G$2:$G$23,MATCH($B377,科目对照收入!$B$2:$B$23,0)),海典汇总!$C$1:$AE$1,0)),0)+IFERROR(INDEX(海典汇总!$C$3:$AE$67,MATCH($A377,海典汇总!$A$3:$A$67,0),MATCH(INDEX(科目对照收入!$H$2:$H$23,MATCH($B377,科目对照收入!$B$2:$B$23,0)),海典汇总!$C$1:$AE$1,0)),0),2))</f>
        <v/>
      </c>
      <c r="E377" s="15" t="str">
        <f aca="false">IF($D377="","",ROUND($C377-$D377,2))</f>
        <v/>
      </c>
      <c r="F377" s="38" t="str">
        <f aca="false">IF($A377&amp;$B377="","",IF(COUNTIF(门店对照!$A$2:$A$66,$A377)=0,"× 门店编码不对",IF(COUNTIF(科目对照收入!$B$2:$B$23,$B377)=0,"× 渠道名不对",IF(INDEX(科目对照收入!$E$2:$E$23,MATCH($B377,科目对照收入!$B$2:$B$23,0))&lt;&gt;"平台优先","× 该项目不按平台金额",IF(COUNTIFS($A$2:$A$601,$A377,$B$2:$B$601,$B377)&gt;1,"× 同店同渠道重复","√")))))</f>
        <v/>
      </c>
    </row>
    <row r="378" customFormat="false" ht="13.5" hidden="false" customHeight="false" outlineLevel="0" collapsed="false">
      <c r="A378" s="35"/>
      <c r="B378" s="35"/>
      <c r="C378" s="37"/>
      <c r="D378" s="15" t="str">
        <f aca="false">IF(OR($A378="",$B378=""),"",ROUND(IFERROR(INDEX(海典汇总!$C$3:$AE$67,MATCH($A378,海典汇总!$A$3:$A$67,0),MATCH(INDEX(科目对照收入!$F$2:$F$23,MATCH($B378,科目对照收入!$B$2:$B$23,0)),海典汇总!$C$1:$AE$1,0)),0)+IFERROR(INDEX(海典汇总!$C$3:$AE$67,MATCH($A378,海典汇总!$A$3:$A$67,0),MATCH(INDEX(科目对照收入!$G$2:$G$23,MATCH($B378,科目对照收入!$B$2:$B$23,0)),海典汇总!$C$1:$AE$1,0)),0)+IFERROR(INDEX(海典汇总!$C$3:$AE$67,MATCH($A378,海典汇总!$A$3:$A$67,0),MATCH(INDEX(科目对照收入!$H$2:$H$23,MATCH($B378,科目对照收入!$B$2:$B$23,0)),海典汇总!$C$1:$AE$1,0)),0),2))</f>
        <v/>
      </c>
      <c r="E378" s="15" t="str">
        <f aca="false">IF($D378="","",ROUND($C378-$D378,2))</f>
        <v/>
      </c>
      <c r="F378" s="38" t="str">
        <f aca="false">IF($A378&amp;$B378="","",IF(COUNTIF(门店对照!$A$2:$A$66,$A378)=0,"× 门店编码不对",IF(COUNTIF(科目对照收入!$B$2:$B$23,$B378)=0,"× 渠道名不对",IF(INDEX(科目对照收入!$E$2:$E$23,MATCH($B378,科目对照收入!$B$2:$B$23,0))&lt;&gt;"平台优先","× 该项目不按平台金额",IF(COUNTIFS($A$2:$A$601,$A378,$B$2:$B$601,$B378)&gt;1,"× 同店同渠道重复","√")))))</f>
        <v/>
      </c>
    </row>
    <row r="379" customFormat="false" ht="13.5" hidden="false" customHeight="false" outlineLevel="0" collapsed="false">
      <c r="A379" s="35"/>
      <c r="B379" s="35"/>
      <c r="C379" s="37"/>
      <c r="D379" s="15" t="str">
        <f aca="false">IF(OR($A379="",$B379=""),"",ROUND(IFERROR(INDEX(海典汇总!$C$3:$AE$67,MATCH($A379,海典汇总!$A$3:$A$67,0),MATCH(INDEX(科目对照收入!$F$2:$F$23,MATCH($B379,科目对照收入!$B$2:$B$23,0)),海典汇总!$C$1:$AE$1,0)),0)+IFERROR(INDEX(海典汇总!$C$3:$AE$67,MATCH($A379,海典汇总!$A$3:$A$67,0),MATCH(INDEX(科目对照收入!$G$2:$G$23,MATCH($B379,科目对照收入!$B$2:$B$23,0)),海典汇总!$C$1:$AE$1,0)),0)+IFERROR(INDEX(海典汇总!$C$3:$AE$67,MATCH($A379,海典汇总!$A$3:$A$67,0),MATCH(INDEX(科目对照收入!$H$2:$H$23,MATCH($B379,科目对照收入!$B$2:$B$23,0)),海典汇总!$C$1:$AE$1,0)),0),2))</f>
        <v/>
      </c>
      <c r="E379" s="15" t="str">
        <f aca="false">IF($D379="","",ROUND($C379-$D379,2))</f>
        <v/>
      </c>
      <c r="F379" s="38" t="str">
        <f aca="false">IF($A379&amp;$B379="","",IF(COUNTIF(门店对照!$A$2:$A$66,$A379)=0,"× 门店编码不对",IF(COUNTIF(科目对照收入!$B$2:$B$23,$B379)=0,"× 渠道名不对",IF(INDEX(科目对照收入!$E$2:$E$23,MATCH($B379,科目对照收入!$B$2:$B$23,0))&lt;&gt;"平台优先","× 该项目不按平台金额",IF(COUNTIFS($A$2:$A$601,$A379,$B$2:$B$601,$B379)&gt;1,"× 同店同渠道重复","√")))))</f>
        <v/>
      </c>
    </row>
    <row r="380" customFormat="false" ht="13.5" hidden="false" customHeight="false" outlineLevel="0" collapsed="false">
      <c r="A380" s="35"/>
      <c r="B380" s="35"/>
      <c r="C380" s="37"/>
      <c r="D380" s="15" t="str">
        <f aca="false">IF(OR($A380="",$B380=""),"",ROUND(IFERROR(INDEX(海典汇总!$C$3:$AE$67,MATCH($A380,海典汇总!$A$3:$A$67,0),MATCH(INDEX(科目对照收入!$F$2:$F$23,MATCH($B380,科目对照收入!$B$2:$B$23,0)),海典汇总!$C$1:$AE$1,0)),0)+IFERROR(INDEX(海典汇总!$C$3:$AE$67,MATCH($A380,海典汇总!$A$3:$A$67,0),MATCH(INDEX(科目对照收入!$G$2:$G$23,MATCH($B380,科目对照收入!$B$2:$B$23,0)),海典汇总!$C$1:$AE$1,0)),0)+IFERROR(INDEX(海典汇总!$C$3:$AE$67,MATCH($A380,海典汇总!$A$3:$A$67,0),MATCH(INDEX(科目对照收入!$H$2:$H$23,MATCH($B380,科目对照收入!$B$2:$B$23,0)),海典汇总!$C$1:$AE$1,0)),0),2))</f>
        <v/>
      </c>
      <c r="E380" s="15" t="str">
        <f aca="false">IF($D380="","",ROUND($C380-$D380,2))</f>
        <v/>
      </c>
      <c r="F380" s="38" t="str">
        <f aca="false">IF($A380&amp;$B380="","",IF(COUNTIF(门店对照!$A$2:$A$66,$A380)=0,"× 门店编码不对",IF(COUNTIF(科目对照收入!$B$2:$B$23,$B380)=0,"× 渠道名不对",IF(INDEX(科目对照收入!$E$2:$E$23,MATCH($B380,科目对照收入!$B$2:$B$23,0))&lt;&gt;"平台优先","× 该项目不按平台金额",IF(COUNTIFS($A$2:$A$601,$A380,$B$2:$B$601,$B380)&gt;1,"× 同店同渠道重复","√")))))</f>
        <v/>
      </c>
    </row>
    <row r="381" customFormat="false" ht="13.5" hidden="false" customHeight="false" outlineLevel="0" collapsed="false">
      <c r="A381" s="35"/>
      <c r="B381" s="35"/>
      <c r="C381" s="37"/>
      <c r="D381" s="15" t="str">
        <f aca="false">IF(OR($A381="",$B381=""),"",ROUND(IFERROR(INDEX(海典汇总!$C$3:$AE$67,MATCH($A381,海典汇总!$A$3:$A$67,0),MATCH(INDEX(科目对照收入!$F$2:$F$23,MATCH($B381,科目对照收入!$B$2:$B$23,0)),海典汇总!$C$1:$AE$1,0)),0)+IFERROR(INDEX(海典汇总!$C$3:$AE$67,MATCH($A381,海典汇总!$A$3:$A$67,0),MATCH(INDEX(科目对照收入!$G$2:$G$23,MATCH($B381,科目对照收入!$B$2:$B$23,0)),海典汇总!$C$1:$AE$1,0)),0)+IFERROR(INDEX(海典汇总!$C$3:$AE$67,MATCH($A381,海典汇总!$A$3:$A$67,0),MATCH(INDEX(科目对照收入!$H$2:$H$23,MATCH($B381,科目对照收入!$B$2:$B$23,0)),海典汇总!$C$1:$AE$1,0)),0),2))</f>
        <v/>
      </c>
      <c r="E381" s="15" t="str">
        <f aca="false">IF($D381="","",ROUND($C381-$D381,2))</f>
        <v/>
      </c>
      <c r="F381" s="38" t="str">
        <f aca="false">IF($A381&amp;$B381="","",IF(COUNTIF(门店对照!$A$2:$A$66,$A381)=0,"× 门店编码不对",IF(COUNTIF(科目对照收入!$B$2:$B$23,$B381)=0,"× 渠道名不对",IF(INDEX(科目对照收入!$E$2:$E$23,MATCH($B381,科目对照收入!$B$2:$B$23,0))&lt;&gt;"平台优先","× 该项目不按平台金额",IF(COUNTIFS($A$2:$A$601,$A381,$B$2:$B$601,$B381)&gt;1,"× 同店同渠道重复","√")))))</f>
        <v/>
      </c>
    </row>
    <row r="382" customFormat="false" ht="13.5" hidden="false" customHeight="false" outlineLevel="0" collapsed="false">
      <c r="A382" s="35"/>
      <c r="B382" s="35"/>
      <c r="C382" s="37"/>
      <c r="D382" s="15" t="str">
        <f aca="false">IF(OR($A382="",$B382=""),"",ROUND(IFERROR(INDEX(海典汇总!$C$3:$AE$67,MATCH($A382,海典汇总!$A$3:$A$67,0),MATCH(INDEX(科目对照收入!$F$2:$F$23,MATCH($B382,科目对照收入!$B$2:$B$23,0)),海典汇总!$C$1:$AE$1,0)),0)+IFERROR(INDEX(海典汇总!$C$3:$AE$67,MATCH($A382,海典汇总!$A$3:$A$67,0),MATCH(INDEX(科目对照收入!$G$2:$G$23,MATCH($B382,科目对照收入!$B$2:$B$23,0)),海典汇总!$C$1:$AE$1,0)),0)+IFERROR(INDEX(海典汇总!$C$3:$AE$67,MATCH($A382,海典汇总!$A$3:$A$67,0),MATCH(INDEX(科目对照收入!$H$2:$H$23,MATCH($B382,科目对照收入!$B$2:$B$23,0)),海典汇总!$C$1:$AE$1,0)),0),2))</f>
        <v/>
      </c>
      <c r="E382" s="15" t="str">
        <f aca="false">IF($D382="","",ROUND($C382-$D382,2))</f>
        <v/>
      </c>
      <c r="F382" s="38" t="str">
        <f aca="false">IF($A382&amp;$B382="","",IF(COUNTIF(门店对照!$A$2:$A$66,$A382)=0,"× 门店编码不对",IF(COUNTIF(科目对照收入!$B$2:$B$23,$B382)=0,"× 渠道名不对",IF(INDEX(科目对照收入!$E$2:$E$23,MATCH($B382,科目对照收入!$B$2:$B$23,0))&lt;&gt;"平台优先","× 该项目不按平台金额",IF(COUNTIFS($A$2:$A$601,$A382,$B$2:$B$601,$B382)&gt;1,"× 同店同渠道重复","√")))))</f>
        <v/>
      </c>
    </row>
    <row r="383" customFormat="false" ht="13.5" hidden="false" customHeight="false" outlineLevel="0" collapsed="false">
      <c r="A383" s="35"/>
      <c r="B383" s="35"/>
      <c r="C383" s="37"/>
      <c r="D383" s="15" t="str">
        <f aca="false">IF(OR($A383="",$B383=""),"",ROUND(IFERROR(INDEX(海典汇总!$C$3:$AE$67,MATCH($A383,海典汇总!$A$3:$A$67,0),MATCH(INDEX(科目对照收入!$F$2:$F$23,MATCH($B383,科目对照收入!$B$2:$B$23,0)),海典汇总!$C$1:$AE$1,0)),0)+IFERROR(INDEX(海典汇总!$C$3:$AE$67,MATCH($A383,海典汇总!$A$3:$A$67,0),MATCH(INDEX(科目对照收入!$G$2:$G$23,MATCH($B383,科目对照收入!$B$2:$B$23,0)),海典汇总!$C$1:$AE$1,0)),0)+IFERROR(INDEX(海典汇总!$C$3:$AE$67,MATCH($A383,海典汇总!$A$3:$A$67,0),MATCH(INDEX(科目对照收入!$H$2:$H$23,MATCH($B383,科目对照收入!$B$2:$B$23,0)),海典汇总!$C$1:$AE$1,0)),0),2))</f>
        <v/>
      </c>
      <c r="E383" s="15" t="str">
        <f aca="false">IF($D383="","",ROUND($C383-$D383,2))</f>
        <v/>
      </c>
      <c r="F383" s="38" t="str">
        <f aca="false">IF($A383&amp;$B383="","",IF(COUNTIF(门店对照!$A$2:$A$66,$A383)=0,"× 门店编码不对",IF(COUNTIF(科目对照收入!$B$2:$B$23,$B383)=0,"× 渠道名不对",IF(INDEX(科目对照收入!$E$2:$E$23,MATCH($B383,科目对照收入!$B$2:$B$23,0))&lt;&gt;"平台优先","× 该项目不按平台金额",IF(COUNTIFS($A$2:$A$601,$A383,$B$2:$B$601,$B383)&gt;1,"× 同店同渠道重复","√")))))</f>
        <v/>
      </c>
    </row>
    <row r="384" customFormat="false" ht="13.5" hidden="false" customHeight="false" outlineLevel="0" collapsed="false">
      <c r="A384" s="35"/>
      <c r="B384" s="35"/>
      <c r="C384" s="37"/>
      <c r="D384" s="15" t="str">
        <f aca="false">IF(OR($A384="",$B384=""),"",ROUND(IFERROR(INDEX(海典汇总!$C$3:$AE$67,MATCH($A384,海典汇总!$A$3:$A$67,0),MATCH(INDEX(科目对照收入!$F$2:$F$23,MATCH($B384,科目对照收入!$B$2:$B$23,0)),海典汇总!$C$1:$AE$1,0)),0)+IFERROR(INDEX(海典汇总!$C$3:$AE$67,MATCH($A384,海典汇总!$A$3:$A$67,0),MATCH(INDEX(科目对照收入!$G$2:$G$23,MATCH($B384,科目对照收入!$B$2:$B$23,0)),海典汇总!$C$1:$AE$1,0)),0)+IFERROR(INDEX(海典汇总!$C$3:$AE$67,MATCH($A384,海典汇总!$A$3:$A$67,0),MATCH(INDEX(科目对照收入!$H$2:$H$23,MATCH($B384,科目对照收入!$B$2:$B$23,0)),海典汇总!$C$1:$AE$1,0)),0),2))</f>
        <v/>
      </c>
      <c r="E384" s="15" t="str">
        <f aca="false">IF($D384="","",ROUND($C384-$D384,2))</f>
        <v/>
      </c>
      <c r="F384" s="38" t="str">
        <f aca="false">IF($A384&amp;$B384="","",IF(COUNTIF(门店对照!$A$2:$A$66,$A384)=0,"× 门店编码不对",IF(COUNTIF(科目对照收入!$B$2:$B$23,$B384)=0,"× 渠道名不对",IF(INDEX(科目对照收入!$E$2:$E$23,MATCH($B384,科目对照收入!$B$2:$B$23,0))&lt;&gt;"平台优先","× 该项目不按平台金额",IF(COUNTIFS($A$2:$A$601,$A384,$B$2:$B$601,$B384)&gt;1,"× 同店同渠道重复","√")))))</f>
        <v/>
      </c>
    </row>
    <row r="385" customFormat="false" ht="13.5" hidden="false" customHeight="false" outlineLevel="0" collapsed="false">
      <c r="A385" s="35"/>
      <c r="B385" s="35"/>
      <c r="C385" s="37"/>
      <c r="D385" s="15" t="str">
        <f aca="false">IF(OR($A385="",$B385=""),"",ROUND(IFERROR(INDEX(海典汇总!$C$3:$AE$67,MATCH($A385,海典汇总!$A$3:$A$67,0),MATCH(INDEX(科目对照收入!$F$2:$F$23,MATCH($B385,科目对照收入!$B$2:$B$23,0)),海典汇总!$C$1:$AE$1,0)),0)+IFERROR(INDEX(海典汇总!$C$3:$AE$67,MATCH($A385,海典汇总!$A$3:$A$67,0),MATCH(INDEX(科目对照收入!$G$2:$G$23,MATCH($B385,科目对照收入!$B$2:$B$23,0)),海典汇总!$C$1:$AE$1,0)),0)+IFERROR(INDEX(海典汇总!$C$3:$AE$67,MATCH($A385,海典汇总!$A$3:$A$67,0),MATCH(INDEX(科目对照收入!$H$2:$H$23,MATCH($B385,科目对照收入!$B$2:$B$23,0)),海典汇总!$C$1:$AE$1,0)),0),2))</f>
        <v/>
      </c>
      <c r="E385" s="15" t="str">
        <f aca="false">IF($D385="","",ROUND($C385-$D385,2))</f>
        <v/>
      </c>
      <c r="F385" s="38" t="str">
        <f aca="false">IF($A385&amp;$B385="","",IF(COUNTIF(门店对照!$A$2:$A$66,$A385)=0,"× 门店编码不对",IF(COUNTIF(科目对照收入!$B$2:$B$23,$B385)=0,"× 渠道名不对",IF(INDEX(科目对照收入!$E$2:$E$23,MATCH($B385,科目对照收入!$B$2:$B$23,0))&lt;&gt;"平台优先","× 该项目不按平台金额",IF(COUNTIFS($A$2:$A$601,$A385,$B$2:$B$601,$B385)&gt;1,"× 同店同渠道重复","√")))))</f>
        <v/>
      </c>
    </row>
    <row r="386" customFormat="false" ht="13.5" hidden="false" customHeight="false" outlineLevel="0" collapsed="false">
      <c r="A386" s="35"/>
      <c r="B386" s="35"/>
      <c r="C386" s="37"/>
      <c r="D386" s="15" t="str">
        <f aca="false">IF(OR($A386="",$B386=""),"",ROUND(IFERROR(INDEX(海典汇总!$C$3:$AE$67,MATCH($A386,海典汇总!$A$3:$A$67,0),MATCH(INDEX(科目对照收入!$F$2:$F$23,MATCH($B386,科目对照收入!$B$2:$B$23,0)),海典汇总!$C$1:$AE$1,0)),0)+IFERROR(INDEX(海典汇总!$C$3:$AE$67,MATCH($A386,海典汇总!$A$3:$A$67,0),MATCH(INDEX(科目对照收入!$G$2:$G$23,MATCH($B386,科目对照收入!$B$2:$B$23,0)),海典汇总!$C$1:$AE$1,0)),0)+IFERROR(INDEX(海典汇总!$C$3:$AE$67,MATCH($A386,海典汇总!$A$3:$A$67,0),MATCH(INDEX(科目对照收入!$H$2:$H$23,MATCH($B386,科目对照收入!$B$2:$B$23,0)),海典汇总!$C$1:$AE$1,0)),0),2))</f>
        <v/>
      </c>
      <c r="E386" s="15" t="str">
        <f aca="false">IF($D386="","",ROUND($C386-$D386,2))</f>
        <v/>
      </c>
      <c r="F386" s="38" t="str">
        <f aca="false">IF($A386&amp;$B386="","",IF(COUNTIF(门店对照!$A$2:$A$66,$A386)=0,"× 门店编码不对",IF(COUNTIF(科目对照收入!$B$2:$B$23,$B386)=0,"× 渠道名不对",IF(INDEX(科目对照收入!$E$2:$E$23,MATCH($B386,科目对照收入!$B$2:$B$23,0))&lt;&gt;"平台优先","× 该项目不按平台金额",IF(COUNTIFS($A$2:$A$601,$A386,$B$2:$B$601,$B386)&gt;1,"× 同店同渠道重复","√")))))</f>
        <v/>
      </c>
    </row>
    <row r="387" customFormat="false" ht="13.5" hidden="false" customHeight="false" outlineLevel="0" collapsed="false">
      <c r="A387" s="35"/>
      <c r="B387" s="35"/>
      <c r="C387" s="37"/>
      <c r="D387" s="15" t="str">
        <f aca="false">IF(OR($A387="",$B387=""),"",ROUND(IFERROR(INDEX(海典汇总!$C$3:$AE$67,MATCH($A387,海典汇总!$A$3:$A$67,0),MATCH(INDEX(科目对照收入!$F$2:$F$23,MATCH($B387,科目对照收入!$B$2:$B$23,0)),海典汇总!$C$1:$AE$1,0)),0)+IFERROR(INDEX(海典汇总!$C$3:$AE$67,MATCH($A387,海典汇总!$A$3:$A$67,0),MATCH(INDEX(科目对照收入!$G$2:$G$23,MATCH($B387,科目对照收入!$B$2:$B$23,0)),海典汇总!$C$1:$AE$1,0)),0)+IFERROR(INDEX(海典汇总!$C$3:$AE$67,MATCH($A387,海典汇总!$A$3:$A$67,0),MATCH(INDEX(科目对照收入!$H$2:$H$23,MATCH($B387,科目对照收入!$B$2:$B$23,0)),海典汇总!$C$1:$AE$1,0)),0),2))</f>
        <v/>
      </c>
      <c r="E387" s="15" t="str">
        <f aca="false">IF($D387="","",ROUND($C387-$D387,2))</f>
        <v/>
      </c>
      <c r="F387" s="38" t="str">
        <f aca="false">IF($A387&amp;$B387="","",IF(COUNTIF(门店对照!$A$2:$A$66,$A387)=0,"× 门店编码不对",IF(COUNTIF(科目对照收入!$B$2:$B$23,$B387)=0,"× 渠道名不对",IF(INDEX(科目对照收入!$E$2:$E$23,MATCH($B387,科目对照收入!$B$2:$B$23,0))&lt;&gt;"平台优先","× 该项目不按平台金额",IF(COUNTIFS($A$2:$A$601,$A387,$B$2:$B$601,$B387)&gt;1,"× 同店同渠道重复","√")))))</f>
        <v/>
      </c>
    </row>
    <row r="388" customFormat="false" ht="13.5" hidden="false" customHeight="false" outlineLevel="0" collapsed="false">
      <c r="A388" s="35"/>
      <c r="B388" s="35"/>
      <c r="C388" s="37"/>
      <c r="D388" s="15" t="str">
        <f aca="false">IF(OR($A388="",$B388=""),"",ROUND(IFERROR(INDEX(海典汇总!$C$3:$AE$67,MATCH($A388,海典汇总!$A$3:$A$67,0),MATCH(INDEX(科目对照收入!$F$2:$F$23,MATCH($B388,科目对照收入!$B$2:$B$23,0)),海典汇总!$C$1:$AE$1,0)),0)+IFERROR(INDEX(海典汇总!$C$3:$AE$67,MATCH($A388,海典汇总!$A$3:$A$67,0),MATCH(INDEX(科目对照收入!$G$2:$G$23,MATCH($B388,科目对照收入!$B$2:$B$23,0)),海典汇总!$C$1:$AE$1,0)),0)+IFERROR(INDEX(海典汇总!$C$3:$AE$67,MATCH($A388,海典汇总!$A$3:$A$67,0),MATCH(INDEX(科目对照收入!$H$2:$H$23,MATCH($B388,科目对照收入!$B$2:$B$23,0)),海典汇总!$C$1:$AE$1,0)),0),2))</f>
        <v/>
      </c>
      <c r="E388" s="15" t="str">
        <f aca="false">IF($D388="","",ROUND($C388-$D388,2))</f>
        <v/>
      </c>
      <c r="F388" s="38" t="str">
        <f aca="false">IF($A388&amp;$B388="","",IF(COUNTIF(门店对照!$A$2:$A$66,$A388)=0,"× 门店编码不对",IF(COUNTIF(科目对照收入!$B$2:$B$23,$B388)=0,"× 渠道名不对",IF(INDEX(科目对照收入!$E$2:$E$23,MATCH($B388,科目对照收入!$B$2:$B$23,0))&lt;&gt;"平台优先","× 该项目不按平台金额",IF(COUNTIFS($A$2:$A$601,$A388,$B$2:$B$601,$B388)&gt;1,"× 同店同渠道重复","√")))))</f>
        <v/>
      </c>
    </row>
    <row r="389" customFormat="false" ht="13.5" hidden="false" customHeight="false" outlineLevel="0" collapsed="false">
      <c r="A389" s="35"/>
      <c r="B389" s="35"/>
      <c r="C389" s="37"/>
      <c r="D389" s="15" t="str">
        <f aca="false">IF(OR($A389="",$B389=""),"",ROUND(IFERROR(INDEX(海典汇总!$C$3:$AE$67,MATCH($A389,海典汇总!$A$3:$A$67,0),MATCH(INDEX(科目对照收入!$F$2:$F$23,MATCH($B389,科目对照收入!$B$2:$B$23,0)),海典汇总!$C$1:$AE$1,0)),0)+IFERROR(INDEX(海典汇总!$C$3:$AE$67,MATCH($A389,海典汇总!$A$3:$A$67,0),MATCH(INDEX(科目对照收入!$G$2:$G$23,MATCH($B389,科目对照收入!$B$2:$B$23,0)),海典汇总!$C$1:$AE$1,0)),0)+IFERROR(INDEX(海典汇总!$C$3:$AE$67,MATCH($A389,海典汇总!$A$3:$A$67,0),MATCH(INDEX(科目对照收入!$H$2:$H$23,MATCH($B389,科目对照收入!$B$2:$B$23,0)),海典汇总!$C$1:$AE$1,0)),0),2))</f>
        <v/>
      </c>
      <c r="E389" s="15" t="str">
        <f aca="false">IF($D389="","",ROUND($C389-$D389,2))</f>
        <v/>
      </c>
      <c r="F389" s="38" t="str">
        <f aca="false">IF($A389&amp;$B389="","",IF(COUNTIF(门店对照!$A$2:$A$66,$A389)=0,"× 门店编码不对",IF(COUNTIF(科目对照收入!$B$2:$B$23,$B389)=0,"× 渠道名不对",IF(INDEX(科目对照收入!$E$2:$E$23,MATCH($B389,科目对照收入!$B$2:$B$23,0))&lt;&gt;"平台优先","× 该项目不按平台金额",IF(COUNTIFS($A$2:$A$601,$A389,$B$2:$B$601,$B389)&gt;1,"× 同店同渠道重复","√")))))</f>
        <v/>
      </c>
    </row>
    <row r="390" customFormat="false" ht="13.5" hidden="false" customHeight="false" outlineLevel="0" collapsed="false">
      <c r="A390" s="35"/>
      <c r="B390" s="35"/>
      <c r="C390" s="37"/>
      <c r="D390" s="15" t="str">
        <f aca="false">IF(OR($A390="",$B390=""),"",ROUND(IFERROR(INDEX(海典汇总!$C$3:$AE$67,MATCH($A390,海典汇总!$A$3:$A$67,0),MATCH(INDEX(科目对照收入!$F$2:$F$23,MATCH($B390,科目对照收入!$B$2:$B$23,0)),海典汇总!$C$1:$AE$1,0)),0)+IFERROR(INDEX(海典汇总!$C$3:$AE$67,MATCH($A390,海典汇总!$A$3:$A$67,0),MATCH(INDEX(科目对照收入!$G$2:$G$23,MATCH($B390,科目对照收入!$B$2:$B$23,0)),海典汇总!$C$1:$AE$1,0)),0)+IFERROR(INDEX(海典汇总!$C$3:$AE$67,MATCH($A390,海典汇总!$A$3:$A$67,0),MATCH(INDEX(科目对照收入!$H$2:$H$23,MATCH($B390,科目对照收入!$B$2:$B$23,0)),海典汇总!$C$1:$AE$1,0)),0),2))</f>
        <v/>
      </c>
      <c r="E390" s="15" t="str">
        <f aca="false">IF($D390="","",ROUND($C390-$D390,2))</f>
        <v/>
      </c>
      <c r="F390" s="38" t="str">
        <f aca="false">IF($A390&amp;$B390="","",IF(COUNTIF(门店对照!$A$2:$A$66,$A390)=0,"× 门店编码不对",IF(COUNTIF(科目对照收入!$B$2:$B$23,$B390)=0,"× 渠道名不对",IF(INDEX(科目对照收入!$E$2:$E$23,MATCH($B390,科目对照收入!$B$2:$B$23,0))&lt;&gt;"平台优先","× 该项目不按平台金额",IF(COUNTIFS($A$2:$A$601,$A390,$B$2:$B$601,$B390)&gt;1,"× 同店同渠道重复","√")))))</f>
        <v/>
      </c>
    </row>
    <row r="391" customFormat="false" ht="13.5" hidden="false" customHeight="false" outlineLevel="0" collapsed="false">
      <c r="A391" s="35"/>
      <c r="B391" s="35"/>
      <c r="C391" s="37"/>
      <c r="D391" s="15" t="str">
        <f aca="false">IF(OR($A391="",$B391=""),"",ROUND(IFERROR(INDEX(海典汇总!$C$3:$AE$67,MATCH($A391,海典汇总!$A$3:$A$67,0),MATCH(INDEX(科目对照收入!$F$2:$F$23,MATCH($B391,科目对照收入!$B$2:$B$23,0)),海典汇总!$C$1:$AE$1,0)),0)+IFERROR(INDEX(海典汇总!$C$3:$AE$67,MATCH($A391,海典汇总!$A$3:$A$67,0),MATCH(INDEX(科目对照收入!$G$2:$G$23,MATCH($B391,科目对照收入!$B$2:$B$23,0)),海典汇总!$C$1:$AE$1,0)),0)+IFERROR(INDEX(海典汇总!$C$3:$AE$67,MATCH($A391,海典汇总!$A$3:$A$67,0),MATCH(INDEX(科目对照收入!$H$2:$H$23,MATCH($B391,科目对照收入!$B$2:$B$23,0)),海典汇总!$C$1:$AE$1,0)),0),2))</f>
        <v/>
      </c>
      <c r="E391" s="15" t="str">
        <f aca="false">IF($D391="","",ROUND($C391-$D391,2))</f>
        <v/>
      </c>
      <c r="F391" s="38" t="str">
        <f aca="false">IF($A391&amp;$B391="","",IF(COUNTIF(门店对照!$A$2:$A$66,$A391)=0,"× 门店编码不对",IF(COUNTIF(科目对照收入!$B$2:$B$23,$B391)=0,"× 渠道名不对",IF(INDEX(科目对照收入!$E$2:$E$23,MATCH($B391,科目对照收入!$B$2:$B$23,0))&lt;&gt;"平台优先","× 该项目不按平台金额",IF(COUNTIFS($A$2:$A$601,$A391,$B$2:$B$601,$B391)&gt;1,"× 同店同渠道重复","√")))))</f>
        <v/>
      </c>
    </row>
    <row r="392" customFormat="false" ht="13.5" hidden="false" customHeight="false" outlineLevel="0" collapsed="false">
      <c r="A392" s="35"/>
      <c r="B392" s="35"/>
      <c r="C392" s="37"/>
      <c r="D392" s="15" t="str">
        <f aca="false">IF(OR($A392="",$B392=""),"",ROUND(IFERROR(INDEX(海典汇总!$C$3:$AE$67,MATCH($A392,海典汇总!$A$3:$A$67,0),MATCH(INDEX(科目对照收入!$F$2:$F$23,MATCH($B392,科目对照收入!$B$2:$B$23,0)),海典汇总!$C$1:$AE$1,0)),0)+IFERROR(INDEX(海典汇总!$C$3:$AE$67,MATCH($A392,海典汇总!$A$3:$A$67,0),MATCH(INDEX(科目对照收入!$G$2:$G$23,MATCH($B392,科目对照收入!$B$2:$B$23,0)),海典汇总!$C$1:$AE$1,0)),0)+IFERROR(INDEX(海典汇总!$C$3:$AE$67,MATCH($A392,海典汇总!$A$3:$A$67,0),MATCH(INDEX(科目对照收入!$H$2:$H$23,MATCH($B392,科目对照收入!$B$2:$B$23,0)),海典汇总!$C$1:$AE$1,0)),0),2))</f>
        <v/>
      </c>
      <c r="E392" s="15" t="str">
        <f aca="false">IF($D392="","",ROUND($C392-$D392,2))</f>
        <v/>
      </c>
      <c r="F392" s="38" t="str">
        <f aca="false">IF($A392&amp;$B392="","",IF(COUNTIF(门店对照!$A$2:$A$66,$A392)=0,"× 门店编码不对",IF(COUNTIF(科目对照收入!$B$2:$B$23,$B392)=0,"× 渠道名不对",IF(INDEX(科目对照收入!$E$2:$E$23,MATCH($B392,科目对照收入!$B$2:$B$23,0))&lt;&gt;"平台优先","× 该项目不按平台金额",IF(COUNTIFS($A$2:$A$601,$A392,$B$2:$B$601,$B392)&gt;1,"× 同店同渠道重复","√")))))</f>
        <v/>
      </c>
    </row>
    <row r="393" customFormat="false" ht="13.5" hidden="false" customHeight="false" outlineLevel="0" collapsed="false">
      <c r="A393" s="35"/>
      <c r="B393" s="35"/>
      <c r="C393" s="37"/>
      <c r="D393" s="15" t="str">
        <f aca="false">IF(OR($A393="",$B393=""),"",ROUND(IFERROR(INDEX(海典汇总!$C$3:$AE$67,MATCH($A393,海典汇总!$A$3:$A$67,0),MATCH(INDEX(科目对照收入!$F$2:$F$23,MATCH($B393,科目对照收入!$B$2:$B$23,0)),海典汇总!$C$1:$AE$1,0)),0)+IFERROR(INDEX(海典汇总!$C$3:$AE$67,MATCH($A393,海典汇总!$A$3:$A$67,0),MATCH(INDEX(科目对照收入!$G$2:$G$23,MATCH($B393,科目对照收入!$B$2:$B$23,0)),海典汇总!$C$1:$AE$1,0)),0)+IFERROR(INDEX(海典汇总!$C$3:$AE$67,MATCH($A393,海典汇总!$A$3:$A$67,0),MATCH(INDEX(科目对照收入!$H$2:$H$23,MATCH($B393,科目对照收入!$B$2:$B$23,0)),海典汇总!$C$1:$AE$1,0)),0),2))</f>
        <v/>
      </c>
      <c r="E393" s="15" t="str">
        <f aca="false">IF($D393="","",ROUND($C393-$D393,2))</f>
        <v/>
      </c>
      <c r="F393" s="38" t="str">
        <f aca="false">IF($A393&amp;$B393="","",IF(COUNTIF(门店对照!$A$2:$A$66,$A393)=0,"× 门店编码不对",IF(COUNTIF(科目对照收入!$B$2:$B$23,$B393)=0,"× 渠道名不对",IF(INDEX(科目对照收入!$E$2:$E$23,MATCH($B393,科目对照收入!$B$2:$B$23,0))&lt;&gt;"平台优先","× 该项目不按平台金额",IF(COUNTIFS($A$2:$A$601,$A393,$B$2:$B$601,$B393)&gt;1,"× 同店同渠道重复","√")))))</f>
        <v/>
      </c>
    </row>
    <row r="394" customFormat="false" ht="13.5" hidden="false" customHeight="false" outlineLevel="0" collapsed="false">
      <c r="A394" s="35"/>
      <c r="B394" s="35"/>
      <c r="C394" s="37"/>
      <c r="D394" s="15" t="str">
        <f aca="false">IF(OR($A394="",$B394=""),"",ROUND(IFERROR(INDEX(海典汇总!$C$3:$AE$67,MATCH($A394,海典汇总!$A$3:$A$67,0),MATCH(INDEX(科目对照收入!$F$2:$F$23,MATCH($B394,科目对照收入!$B$2:$B$23,0)),海典汇总!$C$1:$AE$1,0)),0)+IFERROR(INDEX(海典汇总!$C$3:$AE$67,MATCH($A394,海典汇总!$A$3:$A$67,0),MATCH(INDEX(科目对照收入!$G$2:$G$23,MATCH($B394,科目对照收入!$B$2:$B$23,0)),海典汇总!$C$1:$AE$1,0)),0)+IFERROR(INDEX(海典汇总!$C$3:$AE$67,MATCH($A394,海典汇总!$A$3:$A$67,0),MATCH(INDEX(科目对照收入!$H$2:$H$23,MATCH($B394,科目对照收入!$B$2:$B$23,0)),海典汇总!$C$1:$AE$1,0)),0),2))</f>
        <v/>
      </c>
      <c r="E394" s="15" t="str">
        <f aca="false">IF($D394="","",ROUND($C394-$D394,2))</f>
        <v/>
      </c>
      <c r="F394" s="38" t="str">
        <f aca="false">IF($A394&amp;$B394="","",IF(COUNTIF(门店对照!$A$2:$A$66,$A394)=0,"× 门店编码不对",IF(COUNTIF(科目对照收入!$B$2:$B$23,$B394)=0,"× 渠道名不对",IF(INDEX(科目对照收入!$E$2:$E$23,MATCH($B394,科目对照收入!$B$2:$B$23,0))&lt;&gt;"平台优先","× 该项目不按平台金额",IF(COUNTIFS($A$2:$A$601,$A394,$B$2:$B$601,$B394)&gt;1,"× 同店同渠道重复","√")))))</f>
        <v/>
      </c>
    </row>
    <row r="395" customFormat="false" ht="13.5" hidden="false" customHeight="false" outlineLevel="0" collapsed="false">
      <c r="A395" s="35"/>
      <c r="B395" s="35"/>
      <c r="C395" s="37"/>
      <c r="D395" s="15" t="str">
        <f aca="false">IF(OR($A395="",$B395=""),"",ROUND(IFERROR(INDEX(海典汇总!$C$3:$AE$67,MATCH($A395,海典汇总!$A$3:$A$67,0),MATCH(INDEX(科目对照收入!$F$2:$F$23,MATCH($B395,科目对照收入!$B$2:$B$23,0)),海典汇总!$C$1:$AE$1,0)),0)+IFERROR(INDEX(海典汇总!$C$3:$AE$67,MATCH($A395,海典汇总!$A$3:$A$67,0),MATCH(INDEX(科目对照收入!$G$2:$G$23,MATCH($B395,科目对照收入!$B$2:$B$23,0)),海典汇总!$C$1:$AE$1,0)),0)+IFERROR(INDEX(海典汇总!$C$3:$AE$67,MATCH($A395,海典汇总!$A$3:$A$67,0),MATCH(INDEX(科目对照收入!$H$2:$H$23,MATCH($B395,科目对照收入!$B$2:$B$23,0)),海典汇总!$C$1:$AE$1,0)),0),2))</f>
        <v/>
      </c>
      <c r="E395" s="15" t="str">
        <f aca="false">IF($D395="","",ROUND($C395-$D395,2))</f>
        <v/>
      </c>
      <c r="F395" s="38" t="str">
        <f aca="false">IF($A395&amp;$B395="","",IF(COUNTIF(门店对照!$A$2:$A$66,$A395)=0,"× 门店编码不对",IF(COUNTIF(科目对照收入!$B$2:$B$23,$B395)=0,"× 渠道名不对",IF(INDEX(科目对照收入!$E$2:$E$23,MATCH($B395,科目对照收入!$B$2:$B$23,0))&lt;&gt;"平台优先","× 该项目不按平台金额",IF(COUNTIFS($A$2:$A$601,$A395,$B$2:$B$601,$B395)&gt;1,"× 同店同渠道重复","√")))))</f>
        <v/>
      </c>
    </row>
    <row r="396" customFormat="false" ht="13.5" hidden="false" customHeight="false" outlineLevel="0" collapsed="false">
      <c r="A396" s="35"/>
      <c r="B396" s="35"/>
      <c r="C396" s="37"/>
      <c r="D396" s="15" t="str">
        <f aca="false">IF(OR($A396="",$B396=""),"",ROUND(IFERROR(INDEX(海典汇总!$C$3:$AE$67,MATCH($A396,海典汇总!$A$3:$A$67,0),MATCH(INDEX(科目对照收入!$F$2:$F$23,MATCH($B396,科目对照收入!$B$2:$B$23,0)),海典汇总!$C$1:$AE$1,0)),0)+IFERROR(INDEX(海典汇总!$C$3:$AE$67,MATCH($A396,海典汇总!$A$3:$A$67,0),MATCH(INDEX(科目对照收入!$G$2:$G$23,MATCH($B396,科目对照收入!$B$2:$B$23,0)),海典汇总!$C$1:$AE$1,0)),0)+IFERROR(INDEX(海典汇总!$C$3:$AE$67,MATCH($A396,海典汇总!$A$3:$A$67,0),MATCH(INDEX(科目对照收入!$H$2:$H$23,MATCH($B396,科目对照收入!$B$2:$B$23,0)),海典汇总!$C$1:$AE$1,0)),0),2))</f>
        <v/>
      </c>
      <c r="E396" s="15" t="str">
        <f aca="false">IF($D396="","",ROUND($C396-$D396,2))</f>
        <v/>
      </c>
      <c r="F396" s="38" t="str">
        <f aca="false">IF($A396&amp;$B396="","",IF(COUNTIF(门店对照!$A$2:$A$66,$A396)=0,"× 门店编码不对",IF(COUNTIF(科目对照收入!$B$2:$B$23,$B396)=0,"× 渠道名不对",IF(INDEX(科目对照收入!$E$2:$E$23,MATCH($B396,科目对照收入!$B$2:$B$23,0))&lt;&gt;"平台优先","× 该项目不按平台金额",IF(COUNTIFS($A$2:$A$601,$A396,$B$2:$B$601,$B396)&gt;1,"× 同店同渠道重复","√")))))</f>
        <v/>
      </c>
    </row>
    <row r="397" customFormat="false" ht="13.5" hidden="false" customHeight="false" outlineLevel="0" collapsed="false">
      <c r="A397" s="35"/>
      <c r="B397" s="35"/>
      <c r="C397" s="37"/>
      <c r="D397" s="15" t="str">
        <f aca="false">IF(OR($A397="",$B397=""),"",ROUND(IFERROR(INDEX(海典汇总!$C$3:$AE$67,MATCH($A397,海典汇总!$A$3:$A$67,0),MATCH(INDEX(科目对照收入!$F$2:$F$23,MATCH($B397,科目对照收入!$B$2:$B$23,0)),海典汇总!$C$1:$AE$1,0)),0)+IFERROR(INDEX(海典汇总!$C$3:$AE$67,MATCH($A397,海典汇总!$A$3:$A$67,0),MATCH(INDEX(科目对照收入!$G$2:$G$23,MATCH($B397,科目对照收入!$B$2:$B$23,0)),海典汇总!$C$1:$AE$1,0)),0)+IFERROR(INDEX(海典汇总!$C$3:$AE$67,MATCH($A397,海典汇总!$A$3:$A$67,0),MATCH(INDEX(科目对照收入!$H$2:$H$23,MATCH($B397,科目对照收入!$B$2:$B$23,0)),海典汇总!$C$1:$AE$1,0)),0),2))</f>
        <v/>
      </c>
      <c r="E397" s="15" t="str">
        <f aca="false">IF($D397="","",ROUND($C397-$D397,2))</f>
        <v/>
      </c>
      <c r="F397" s="38" t="str">
        <f aca="false">IF($A397&amp;$B397="","",IF(COUNTIF(门店对照!$A$2:$A$66,$A397)=0,"× 门店编码不对",IF(COUNTIF(科目对照收入!$B$2:$B$23,$B397)=0,"× 渠道名不对",IF(INDEX(科目对照收入!$E$2:$E$23,MATCH($B397,科目对照收入!$B$2:$B$23,0))&lt;&gt;"平台优先","× 该项目不按平台金额",IF(COUNTIFS($A$2:$A$601,$A397,$B$2:$B$601,$B397)&gt;1,"× 同店同渠道重复","√")))))</f>
        <v/>
      </c>
    </row>
    <row r="398" customFormat="false" ht="13.5" hidden="false" customHeight="false" outlineLevel="0" collapsed="false">
      <c r="A398" s="35"/>
      <c r="B398" s="35"/>
      <c r="C398" s="37"/>
      <c r="D398" s="15" t="str">
        <f aca="false">IF(OR($A398="",$B398=""),"",ROUND(IFERROR(INDEX(海典汇总!$C$3:$AE$67,MATCH($A398,海典汇总!$A$3:$A$67,0),MATCH(INDEX(科目对照收入!$F$2:$F$23,MATCH($B398,科目对照收入!$B$2:$B$23,0)),海典汇总!$C$1:$AE$1,0)),0)+IFERROR(INDEX(海典汇总!$C$3:$AE$67,MATCH($A398,海典汇总!$A$3:$A$67,0),MATCH(INDEX(科目对照收入!$G$2:$G$23,MATCH($B398,科目对照收入!$B$2:$B$23,0)),海典汇总!$C$1:$AE$1,0)),0)+IFERROR(INDEX(海典汇总!$C$3:$AE$67,MATCH($A398,海典汇总!$A$3:$A$67,0),MATCH(INDEX(科目对照收入!$H$2:$H$23,MATCH($B398,科目对照收入!$B$2:$B$23,0)),海典汇总!$C$1:$AE$1,0)),0),2))</f>
        <v/>
      </c>
      <c r="E398" s="15" t="str">
        <f aca="false">IF($D398="","",ROUND($C398-$D398,2))</f>
        <v/>
      </c>
      <c r="F398" s="38" t="str">
        <f aca="false">IF($A398&amp;$B398="","",IF(COUNTIF(门店对照!$A$2:$A$66,$A398)=0,"× 门店编码不对",IF(COUNTIF(科目对照收入!$B$2:$B$23,$B398)=0,"× 渠道名不对",IF(INDEX(科目对照收入!$E$2:$E$23,MATCH($B398,科目对照收入!$B$2:$B$23,0))&lt;&gt;"平台优先","× 该项目不按平台金额",IF(COUNTIFS($A$2:$A$601,$A398,$B$2:$B$601,$B398)&gt;1,"× 同店同渠道重复","√")))))</f>
        <v/>
      </c>
    </row>
    <row r="399" customFormat="false" ht="13.5" hidden="false" customHeight="false" outlineLevel="0" collapsed="false">
      <c r="A399" s="35"/>
      <c r="B399" s="35"/>
      <c r="C399" s="37"/>
      <c r="D399" s="15" t="str">
        <f aca="false">IF(OR($A399="",$B399=""),"",ROUND(IFERROR(INDEX(海典汇总!$C$3:$AE$67,MATCH($A399,海典汇总!$A$3:$A$67,0),MATCH(INDEX(科目对照收入!$F$2:$F$23,MATCH($B399,科目对照收入!$B$2:$B$23,0)),海典汇总!$C$1:$AE$1,0)),0)+IFERROR(INDEX(海典汇总!$C$3:$AE$67,MATCH($A399,海典汇总!$A$3:$A$67,0),MATCH(INDEX(科目对照收入!$G$2:$G$23,MATCH($B399,科目对照收入!$B$2:$B$23,0)),海典汇总!$C$1:$AE$1,0)),0)+IFERROR(INDEX(海典汇总!$C$3:$AE$67,MATCH($A399,海典汇总!$A$3:$A$67,0),MATCH(INDEX(科目对照收入!$H$2:$H$23,MATCH($B399,科目对照收入!$B$2:$B$23,0)),海典汇总!$C$1:$AE$1,0)),0),2))</f>
        <v/>
      </c>
      <c r="E399" s="15" t="str">
        <f aca="false">IF($D399="","",ROUND($C399-$D399,2))</f>
        <v/>
      </c>
      <c r="F399" s="38" t="str">
        <f aca="false">IF($A399&amp;$B399="","",IF(COUNTIF(门店对照!$A$2:$A$66,$A399)=0,"× 门店编码不对",IF(COUNTIF(科目对照收入!$B$2:$B$23,$B399)=0,"× 渠道名不对",IF(INDEX(科目对照收入!$E$2:$E$23,MATCH($B399,科目对照收入!$B$2:$B$23,0))&lt;&gt;"平台优先","× 该项目不按平台金额",IF(COUNTIFS($A$2:$A$601,$A399,$B$2:$B$601,$B399)&gt;1,"× 同店同渠道重复","√")))))</f>
        <v/>
      </c>
    </row>
    <row r="400" customFormat="false" ht="13.5" hidden="false" customHeight="false" outlineLevel="0" collapsed="false">
      <c r="A400" s="35"/>
      <c r="B400" s="35"/>
      <c r="C400" s="37"/>
      <c r="D400" s="15" t="str">
        <f aca="false">IF(OR($A400="",$B400=""),"",ROUND(IFERROR(INDEX(海典汇总!$C$3:$AE$67,MATCH($A400,海典汇总!$A$3:$A$67,0),MATCH(INDEX(科目对照收入!$F$2:$F$23,MATCH($B400,科目对照收入!$B$2:$B$23,0)),海典汇总!$C$1:$AE$1,0)),0)+IFERROR(INDEX(海典汇总!$C$3:$AE$67,MATCH($A400,海典汇总!$A$3:$A$67,0),MATCH(INDEX(科目对照收入!$G$2:$G$23,MATCH($B400,科目对照收入!$B$2:$B$23,0)),海典汇总!$C$1:$AE$1,0)),0)+IFERROR(INDEX(海典汇总!$C$3:$AE$67,MATCH($A400,海典汇总!$A$3:$A$67,0),MATCH(INDEX(科目对照收入!$H$2:$H$23,MATCH($B400,科目对照收入!$B$2:$B$23,0)),海典汇总!$C$1:$AE$1,0)),0),2))</f>
        <v/>
      </c>
      <c r="E400" s="15" t="str">
        <f aca="false">IF($D400="","",ROUND($C400-$D400,2))</f>
        <v/>
      </c>
      <c r="F400" s="38" t="str">
        <f aca="false">IF($A400&amp;$B400="","",IF(COUNTIF(门店对照!$A$2:$A$66,$A400)=0,"× 门店编码不对",IF(COUNTIF(科目对照收入!$B$2:$B$23,$B400)=0,"× 渠道名不对",IF(INDEX(科目对照收入!$E$2:$E$23,MATCH($B400,科目对照收入!$B$2:$B$23,0))&lt;&gt;"平台优先","× 该项目不按平台金额",IF(COUNTIFS($A$2:$A$601,$A400,$B$2:$B$601,$B400)&gt;1,"× 同店同渠道重复","√")))))</f>
        <v/>
      </c>
    </row>
    <row r="401" customFormat="false" ht="13.5" hidden="false" customHeight="false" outlineLevel="0" collapsed="false">
      <c r="A401" s="35"/>
      <c r="B401" s="35"/>
      <c r="C401" s="37"/>
      <c r="D401" s="15" t="str">
        <f aca="false">IF(OR($A401="",$B401=""),"",ROUND(IFERROR(INDEX(海典汇总!$C$3:$AE$67,MATCH($A401,海典汇总!$A$3:$A$67,0),MATCH(INDEX(科目对照收入!$F$2:$F$23,MATCH($B401,科目对照收入!$B$2:$B$23,0)),海典汇总!$C$1:$AE$1,0)),0)+IFERROR(INDEX(海典汇总!$C$3:$AE$67,MATCH($A401,海典汇总!$A$3:$A$67,0),MATCH(INDEX(科目对照收入!$G$2:$G$23,MATCH($B401,科目对照收入!$B$2:$B$23,0)),海典汇总!$C$1:$AE$1,0)),0)+IFERROR(INDEX(海典汇总!$C$3:$AE$67,MATCH($A401,海典汇总!$A$3:$A$67,0),MATCH(INDEX(科目对照收入!$H$2:$H$23,MATCH($B401,科目对照收入!$B$2:$B$23,0)),海典汇总!$C$1:$AE$1,0)),0),2))</f>
        <v/>
      </c>
      <c r="E401" s="15" t="str">
        <f aca="false">IF($D401="","",ROUND($C401-$D401,2))</f>
        <v/>
      </c>
      <c r="F401" s="38" t="str">
        <f aca="false">IF($A401&amp;$B401="","",IF(COUNTIF(门店对照!$A$2:$A$66,$A401)=0,"× 门店编码不对",IF(COUNTIF(科目对照收入!$B$2:$B$23,$B401)=0,"× 渠道名不对",IF(INDEX(科目对照收入!$E$2:$E$23,MATCH($B401,科目对照收入!$B$2:$B$23,0))&lt;&gt;"平台优先","× 该项目不按平台金额",IF(COUNTIFS($A$2:$A$601,$A401,$B$2:$B$601,$B401)&gt;1,"× 同店同渠道重复","√")))))</f>
        <v/>
      </c>
    </row>
    <row r="402" customFormat="false" ht="13.5" hidden="false" customHeight="false" outlineLevel="0" collapsed="false">
      <c r="A402" s="35"/>
      <c r="B402" s="35"/>
      <c r="C402" s="37"/>
      <c r="D402" s="15" t="str">
        <f aca="false">IF(OR($A402="",$B402=""),"",ROUND(IFERROR(INDEX(海典汇总!$C$3:$AE$67,MATCH($A402,海典汇总!$A$3:$A$67,0),MATCH(INDEX(科目对照收入!$F$2:$F$23,MATCH($B402,科目对照收入!$B$2:$B$23,0)),海典汇总!$C$1:$AE$1,0)),0)+IFERROR(INDEX(海典汇总!$C$3:$AE$67,MATCH($A402,海典汇总!$A$3:$A$67,0),MATCH(INDEX(科目对照收入!$G$2:$G$23,MATCH($B402,科目对照收入!$B$2:$B$23,0)),海典汇总!$C$1:$AE$1,0)),0)+IFERROR(INDEX(海典汇总!$C$3:$AE$67,MATCH($A402,海典汇总!$A$3:$A$67,0),MATCH(INDEX(科目对照收入!$H$2:$H$23,MATCH($B402,科目对照收入!$B$2:$B$23,0)),海典汇总!$C$1:$AE$1,0)),0),2))</f>
        <v/>
      </c>
      <c r="E402" s="15" t="str">
        <f aca="false">IF($D402="","",ROUND($C402-$D402,2))</f>
        <v/>
      </c>
      <c r="F402" s="38" t="str">
        <f aca="false">IF($A402&amp;$B402="","",IF(COUNTIF(门店对照!$A$2:$A$66,$A402)=0,"× 门店编码不对",IF(COUNTIF(科目对照收入!$B$2:$B$23,$B402)=0,"× 渠道名不对",IF(INDEX(科目对照收入!$E$2:$E$23,MATCH($B402,科目对照收入!$B$2:$B$23,0))&lt;&gt;"平台优先","× 该项目不按平台金额",IF(COUNTIFS($A$2:$A$601,$A402,$B$2:$B$601,$B402)&gt;1,"× 同店同渠道重复","√")))))</f>
        <v/>
      </c>
    </row>
    <row r="403" customFormat="false" ht="13.5" hidden="false" customHeight="false" outlineLevel="0" collapsed="false">
      <c r="A403" s="35"/>
      <c r="B403" s="35"/>
      <c r="C403" s="37"/>
      <c r="D403" s="15" t="str">
        <f aca="false">IF(OR($A403="",$B403=""),"",ROUND(IFERROR(INDEX(海典汇总!$C$3:$AE$67,MATCH($A403,海典汇总!$A$3:$A$67,0),MATCH(INDEX(科目对照收入!$F$2:$F$23,MATCH($B403,科目对照收入!$B$2:$B$23,0)),海典汇总!$C$1:$AE$1,0)),0)+IFERROR(INDEX(海典汇总!$C$3:$AE$67,MATCH($A403,海典汇总!$A$3:$A$67,0),MATCH(INDEX(科目对照收入!$G$2:$G$23,MATCH($B403,科目对照收入!$B$2:$B$23,0)),海典汇总!$C$1:$AE$1,0)),0)+IFERROR(INDEX(海典汇总!$C$3:$AE$67,MATCH($A403,海典汇总!$A$3:$A$67,0),MATCH(INDEX(科目对照收入!$H$2:$H$23,MATCH($B403,科目对照收入!$B$2:$B$23,0)),海典汇总!$C$1:$AE$1,0)),0),2))</f>
        <v/>
      </c>
      <c r="E403" s="15" t="str">
        <f aca="false">IF($D403="","",ROUND($C403-$D403,2))</f>
        <v/>
      </c>
      <c r="F403" s="38" t="str">
        <f aca="false">IF($A403&amp;$B403="","",IF(COUNTIF(门店对照!$A$2:$A$66,$A403)=0,"× 门店编码不对",IF(COUNTIF(科目对照收入!$B$2:$B$23,$B403)=0,"× 渠道名不对",IF(INDEX(科目对照收入!$E$2:$E$23,MATCH($B403,科目对照收入!$B$2:$B$23,0))&lt;&gt;"平台优先","× 该项目不按平台金额",IF(COUNTIFS($A$2:$A$601,$A403,$B$2:$B$601,$B403)&gt;1,"× 同店同渠道重复","√")))))</f>
        <v/>
      </c>
    </row>
    <row r="404" customFormat="false" ht="13.5" hidden="false" customHeight="false" outlineLevel="0" collapsed="false">
      <c r="A404" s="35"/>
      <c r="B404" s="35"/>
      <c r="C404" s="37"/>
      <c r="D404" s="15" t="str">
        <f aca="false">IF(OR($A404="",$B404=""),"",ROUND(IFERROR(INDEX(海典汇总!$C$3:$AE$67,MATCH($A404,海典汇总!$A$3:$A$67,0),MATCH(INDEX(科目对照收入!$F$2:$F$23,MATCH($B404,科目对照收入!$B$2:$B$23,0)),海典汇总!$C$1:$AE$1,0)),0)+IFERROR(INDEX(海典汇总!$C$3:$AE$67,MATCH($A404,海典汇总!$A$3:$A$67,0),MATCH(INDEX(科目对照收入!$G$2:$G$23,MATCH($B404,科目对照收入!$B$2:$B$23,0)),海典汇总!$C$1:$AE$1,0)),0)+IFERROR(INDEX(海典汇总!$C$3:$AE$67,MATCH($A404,海典汇总!$A$3:$A$67,0),MATCH(INDEX(科目对照收入!$H$2:$H$23,MATCH($B404,科目对照收入!$B$2:$B$23,0)),海典汇总!$C$1:$AE$1,0)),0),2))</f>
        <v/>
      </c>
      <c r="E404" s="15" t="str">
        <f aca="false">IF($D404="","",ROUND($C404-$D404,2))</f>
        <v/>
      </c>
      <c r="F404" s="38" t="str">
        <f aca="false">IF($A404&amp;$B404="","",IF(COUNTIF(门店对照!$A$2:$A$66,$A404)=0,"× 门店编码不对",IF(COUNTIF(科目对照收入!$B$2:$B$23,$B404)=0,"× 渠道名不对",IF(INDEX(科目对照收入!$E$2:$E$23,MATCH($B404,科目对照收入!$B$2:$B$23,0))&lt;&gt;"平台优先","× 该项目不按平台金额",IF(COUNTIFS($A$2:$A$601,$A404,$B$2:$B$601,$B404)&gt;1,"× 同店同渠道重复","√")))))</f>
        <v/>
      </c>
    </row>
    <row r="405" customFormat="false" ht="13.5" hidden="false" customHeight="false" outlineLevel="0" collapsed="false">
      <c r="A405" s="35"/>
      <c r="B405" s="35"/>
      <c r="C405" s="37"/>
      <c r="D405" s="15" t="str">
        <f aca="false">IF(OR($A405="",$B405=""),"",ROUND(IFERROR(INDEX(海典汇总!$C$3:$AE$67,MATCH($A405,海典汇总!$A$3:$A$67,0),MATCH(INDEX(科目对照收入!$F$2:$F$23,MATCH($B405,科目对照收入!$B$2:$B$23,0)),海典汇总!$C$1:$AE$1,0)),0)+IFERROR(INDEX(海典汇总!$C$3:$AE$67,MATCH($A405,海典汇总!$A$3:$A$67,0),MATCH(INDEX(科目对照收入!$G$2:$G$23,MATCH($B405,科目对照收入!$B$2:$B$23,0)),海典汇总!$C$1:$AE$1,0)),0)+IFERROR(INDEX(海典汇总!$C$3:$AE$67,MATCH($A405,海典汇总!$A$3:$A$67,0),MATCH(INDEX(科目对照收入!$H$2:$H$23,MATCH($B405,科目对照收入!$B$2:$B$23,0)),海典汇总!$C$1:$AE$1,0)),0),2))</f>
        <v/>
      </c>
      <c r="E405" s="15" t="str">
        <f aca="false">IF($D405="","",ROUND($C405-$D405,2))</f>
        <v/>
      </c>
      <c r="F405" s="38" t="str">
        <f aca="false">IF($A405&amp;$B405="","",IF(COUNTIF(门店对照!$A$2:$A$66,$A405)=0,"× 门店编码不对",IF(COUNTIF(科目对照收入!$B$2:$B$23,$B405)=0,"× 渠道名不对",IF(INDEX(科目对照收入!$E$2:$E$23,MATCH($B405,科目对照收入!$B$2:$B$23,0))&lt;&gt;"平台优先","× 该项目不按平台金额",IF(COUNTIFS($A$2:$A$601,$A405,$B$2:$B$601,$B405)&gt;1,"× 同店同渠道重复","√")))))</f>
        <v/>
      </c>
    </row>
    <row r="406" customFormat="false" ht="13.5" hidden="false" customHeight="false" outlineLevel="0" collapsed="false">
      <c r="A406" s="35"/>
      <c r="B406" s="35"/>
      <c r="C406" s="37"/>
      <c r="D406" s="15" t="str">
        <f aca="false">IF(OR($A406="",$B406=""),"",ROUND(IFERROR(INDEX(海典汇总!$C$3:$AE$67,MATCH($A406,海典汇总!$A$3:$A$67,0),MATCH(INDEX(科目对照收入!$F$2:$F$23,MATCH($B406,科目对照收入!$B$2:$B$23,0)),海典汇总!$C$1:$AE$1,0)),0)+IFERROR(INDEX(海典汇总!$C$3:$AE$67,MATCH($A406,海典汇总!$A$3:$A$67,0),MATCH(INDEX(科目对照收入!$G$2:$G$23,MATCH($B406,科目对照收入!$B$2:$B$23,0)),海典汇总!$C$1:$AE$1,0)),0)+IFERROR(INDEX(海典汇总!$C$3:$AE$67,MATCH($A406,海典汇总!$A$3:$A$67,0),MATCH(INDEX(科目对照收入!$H$2:$H$23,MATCH($B406,科目对照收入!$B$2:$B$23,0)),海典汇总!$C$1:$AE$1,0)),0),2))</f>
        <v/>
      </c>
      <c r="E406" s="15" t="str">
        <f aca="false">IF($D406="","",ROUND($C406-$D406,2))</f>
        <v/>
      </c>
      <c r="F406" s="38" t="str">
        <f aca="false">IF($A406&amp;$B406="","",IF(COUNTIF(门店对照!$A$2:$A$66,$A406)=0,"× 门店编码不对",IF(COUNTIF(科目对照收入!$B$2:$B$23,$B406)=0,"× 渠道名不对",IF(INDEX(科目对照收入!$E$2:$E$23,MATCH($B406,科目对照收入!$B$2:$B$23,0))&lt;&gt;"平台优先","× 该项目不按平台金额",IF(COUNTIFS($A$2:$A$601,$A406,$B$2:$B$601,$B406)&gt;1,"× 同店同渠道重复","√")))))</f>
        <v/>
      </c>
    </row>
    <row r="407" customFormat="false" ht="13.5" hidden="false" customHeight="false" outlineLevel="0" collapsed="false">
      <c r="A407" s="35"/>
      <c r="B407" s="35"/>
      <c r="C407" s="37"/>
      <c r="D407" s="15" t="str">
        <f aca="false">IF(OR($A407="",$B407=""),"",ROUND(IFERROR(INDEX(海典汇总!$C$3:$AE$67,MATCH($A407,海典汇总!$A$3:$A$67,0),MATCH(INDEX(科目对照收入!$F$2:$F$23,MATCH($B407,科目对照收入!$B$2:$B$23,0)),海典汇总!$C$1:$AE$1,0)),0)+IFERROR(INDEX(海典汇总!$C$3:$AE$67,MATCH($A407,海典汇总!$A$3:$A$67,0),MATCH(INDEX(科目对照收入!$G$2:$G$23,MATCH($B407,科目对照收入!$B$2:$B$23,0)),海典汇总!$C$1:$AE$1,0)),0)+IFERROR(INDEX(海典汇总!$C$3:$AE$67,MATCH($A407,海典汇总!$A$3:$A$67,0),MATCH(INDEX(科目对照收入!$H$2:$H$23,MATCH($B407,科目对照收入!$B$2:$B$23,0)),海典汇总!$C$1:$AE$1,0)),0),2))</f>
        <v/>
      </c>
      <c r="E407" s="15" t="str">
        <f aca="false">IF($D407="","",ROUND($C407-$D407,2))</f>
        <v/>
      </c>
      <c r="F407" s="38" t="str">
        <f aca="false">IF($A407&amp;$B407="","",IF(COUNTIF(门店对照!$A$2:$A$66,$A407)=0,"× 门店编码不对",IF(COUNTIF(科目对照收入!$B$2:$B$23,$B407)=0,"× 渠道名不对",IF(INDEX(科目对照收入!$E$2:$E$23,MATCH($B407,科目对照收入!$B$2:$B$23,0))&lt;&gt;"平台优先","× 该项目不按平台金额",IF(COUNTIFS($A$2:$A$601,$A407,$B$2:$B$601,$B407)&gt;1,"× 同店同渠道重复","√")))))</f>
        <v/>
      </c>
    </row>
    <row r="408" customFormat="false" ht="13.5" hidden="false" customHeight="false" outlineLevel="0" collapsed="false">
      <c r="A408" s="35"/>
      <c r="B408" s="35"/>
      <c r="C408" s="37"/>
      <c r="D408" s="15" t="str">
        <f aca="false">IF(OR($A408="",$B408=""),"",ROUND(IFERROR(INDEX(海典汇总!$C$3:$AE$67,MATCH($A408,海典汇总!$A$3:$A$67,0),MATCH(INDEX(科目对照收入!$F$2:$F$23,MATCH($B408,科目对照收入!$B$2:$B$23,0)),海典汇总!$C$1:$AE$1,0)),0)+IFERROR(INDEX(海典汇总!$C$3:$AE$67,MATCH($A408,海典汇总!$A$3:$A$67,0),MATCH(INDEX(科目对照收入!$G$2:$G$23,MATCH($B408,科目对照收入!$B$2:$B$23,0)),海典汇总!$C$1:$AE$1,0)),0)+IFERROR(INDEX(海典汇总!$C$3:$AE$67,MATCH($A408,海典汇总!$A$3:$A$67,0),MATCH(INDEX(科目对照收入!$H$2:$H$23,MATCH($B408,科目对照收入!$B$2:$B$23,0)),海典汇总!$C$1:$AE$1,0)),0),2))</f>
        <v/>
      </c>
      <c r="E408" s="15" t="str">
        <f aca="false">IF($D408="","",ROUND($C408-$D408,2))</f>
        <v/>
      </c>
      <c r="F408" s="38" t="str">
        <f aca="false">IF($A408&amp;$B408="","",IF(COUNTIF(门店对照!$A$2:$A$66,$A408)=0,"× 门店编码不对",IF(COUNTIF(科目对照收入!$B$2:$B$23,$B408)=0,"× 渠道名不对",IF(INDEX(科目对照收入!$E$2:$E$23,MATCH($B408,科目对照收入!$B$2:$B$23,0))&lt;&gt;"平台优先","× 该项目不按平台金额",IF(COUNTIFS($A$2:$A$601,$A408,$B$2:$B$601,$B408)&gt;1,"× 同店同渠道重复","√")))))</f>
        <v/>
      </c>
    </row>
    <row r="409" customFormat="false" ht="13.5" hidden="false" customHeight="false" outlineLevel="0" collapsed="false">
      <c r="A409" s="35"/>
      <c r="B409" s="35"/>
      <c r="C409" s="37"/>
      <c r="D409" s="15" t="str">
        <f aca="false">IF(OR($A409="",$B409=""),"",ROUND(IFERROR(INDEX(海典汇总!$C$3:$AE$67,MATCH($A409,海典汇总!$A$3:$A$67,0),MATCH(INDEX(科目对照收入!$F$2:$F$23,MATCH($B409,科目对照收入!$B$2:$B$23,0)),海典汇总!$C$1:$AE$1,0)),0)+IFERROR(INDEX(海典汇总!$C$3:$AE$67,MATCH($A409,海典汇总!$A$3:$A$67,0),MATCH(INDEX(科目对照收入!$G$2:$G$23,MATCH($B409,科目对照收入!$B$2:$B$23,0)),海典汇总!$C$1:$AE$1,0)),0)+IFERROR(INDEX(海典汇总!$C$3:$AE$67,MATCH($A409,海典汇总!$A$3:$A$67,0),MATCH(INDEX(科目对照收入!$H$2:$H$23,MATCH($B409,科目对照收入!$B$2:$B$23,0)),海典汇总!$C$1:$AE$1,0)),0),2))</f>
        <v/>
      </c>
      <c r="E409" s="15" t="str">
        <f aca="false">IF($D409="","",ROUND($C409-$D409,2))</f>
        <v/>
      </c>
      <c r="F409" s="38" t="str">
        <f aca="false">IF($A409&amp;$B409="","",IF(COUNTIF(门店对照!$A$2:$A$66,$A409)=0,"× 门店编码不对",IF(COUNTIF(科目对照收入!$B$2:$B$23,$B409)=0,"× 渠道名不对",IF(INDEX(科目对照收入!$E$2:$E$23,MATCH($B409,科目对照收入!$B$2:$B$23,0))&lt;&gt;"平台优先","× 该项目不按平台金额",IF(COUNTIFS($A$2:$A$601,$A409,$B$2:$B$601,$B409)&gt;1,"× 同店同渠道重复","√")))))</f>
        <v/>
      </c>
    </row>
    <row r="410" customFormat="false" ht="13.5" hidden="false" customHeight="false" outlineLevel="0" collapsed="false">
      <c r="A410" s="35"/>
      <c r="B410" s="35"/>
      <c r="C410" s="37"/>
      <c r="D410" s="15" t="str">
        <f aca="false">IF(OR($A410="",$B410=""),"",ROUND(IFERROR(INDEX(海典汇总!$C$3:$AE$67,MATCH($A410,海典汇总!$A$3:$A$67,0),MATCH(INDEX(科目对照收入!$F$2:$F$23,MATCH($B410,科目对照收入!$B$2:$B$23,0)),海典汇总!$C$1:$AE$1,0)),0)+IFERROR(INDEX(海典汇总!$C$3:$AE$67,MATCH($A410,海典汇总!$A$3:$A$67,0),MATCH(INDEX(科目对照收入!$G$2:$G$23,MATCH($B410,科目对照收入!$B$2:$B$23,0)),海典汇总!$C$1:$AE$1,0)),0)+IFERROR(INDEX(海典汇总!$C$3:$AE$67,MATCH($A410,海典汇总!$A$3:$A$67,0),MATCH(INDEX(科目对照收入!$H$2:$H$23,MATCH($B410,科目对照收入!$B$2:$B$23,0)),海典汇总!$C$1:$AE$1,0)),0),2))</f>
        <v/>
      </c>
      <c r="E410" s="15" t="str">
        <f aca="false">IF($D410="","",ROUND($C410-$D410,2))</f>
        <v/>
      </c>
      <c r="F410" s="38" t="str">
        <f aca="false">IF($A410&amp;$B410="","",IF(COUNTIF(门店对照!$A$2:$A$66,$A410)=0,"× 门店编码不对",IF(COUNTIF(科目对照收入!$B$2:$B$23,$B410)=0,"× 渠道名不对",IF(INDEX(科目对照收入!$E$2:$E$23,MATCH($B410,科目对照收入!$B$2:$B$23,0))&lt;&gt;"平台优先","× 该项目不按平台金额",IF(COUNTIFS($A$2:$A$601,$A410,$B$2:$B$601,$B410)&gt;1,"× 同店同渠道重复","√")))))</f>
        <v/>
      </c>
    </row>
    <row r="411" customFormat="false" ht="13.5" hidden="false" customHeight="false" outlineLevel="0" collapsed="false">
      <c r="A411" s="35"/>
      <c r="B411" s="35"/>
      <c r="C411" s="37"/>
      <c r="D411" s="15" t="str">
        <f aca="false">IF(OR($A411="",$B411=""),"",ROUND(IFERROR(INDEX(海典汇总!$C$3:$AE$67,MATCH($A411,海典汇总!$A$3:$A$67,0),MATCH(INDEX(科目对照收入!$F$2:$F$23,MATCH($B411,科目对照收入!$B$2:$B$23,0)),海典汇总!$C$1:$AE$1,0)),0)+IFERROR(INDEX(海典汇总!$C$3:$AE$67,MATCH($A411,海典汇总!$A$3:$A$67,0),MATCH(INDEX(科目对照收入!$G$2:$G$23,MATCH($B411,科目对照收入!$B$2:$B$23,0)),海典汇总!$C$1:$AE$1,0)),0)+IFERROR(INDEX(海典汇总!$C$3:$AE$67,MATCH($A411,海典汇总!$A$3:$A$67,0),MATCH(INDEX(科目对照收入!$H$2:$H$23,MATCH($B411,科目对照收入!$B$2:$B$23,0)),海典汇总!$C$1:$AE$1,0)),0),2))</f>
        <v/>
      </c>
      <c r="E411" s="15" t="str">
        <f aca="false">IF($D411="","",ROUND($C411-$D411,2))</f>
        <v/>
      </c>
      <c r="F411" s="38" t="str">
        <f aca="false">IF($A411&amp;$B411="","",IF(COUNTIF(门店对照!$A$2:$A$66,$A411)=0,"× 门店编码不对",IF(COUNTIF(科目对照收入!$B$2:$B$23,$B411)=0,"× 渠道名不对",IF(INDEX(科目对照收入!$E$2:$E$23,MATCH($B411,科目对照收入!$B$2:$B$23,0))&lt;&gt;"平台优先","× 该项目不按平台金额",IF(COUNTIFS($A$2:$A$601,$A411,$B$2:$B$601,$B411)&gt;1,"× 同店同渠道重复","√")))))</f>
        <v/>
      </c>
    </row>
    <row r="412" customFormat="false" ht="13.5" hidden="false" customHeight="false" outlineLevel="0" collapsed="false">
      <c r="A412" s="35"/>
      <c r="B412" s="35"/>
      <c r="C412" s="37"/>
      <c r="D412" s="15" t="str">
        <f aca="false">IF(OR($A412="",$B412=""),"",ROUND(IFERROR(INDEX(海典汇总!$C$3:$AE$67,MATCH($A412,海典汇总!$A$3:$A$67,0),MATCH(INDEX(科目对照收入!$F$2:$F$23,MATCH($B412,科目对照收入!$B$2:$B$23,0)),海典汇总!$C$1:$AE$1,0)),0)+IFERROR(INDEX(海典汇总!$C$3:$AE$67,MATCH($A412,海典汇总!$A$3:$A$67,0),MATCH(INDEX(科目对照收入!$G$2:$G$23,MATCH($B412,科目对照收入!$B$2:$B$23,0)),海典汇总!$C$1:$AE$1,0)),0)+IFERROR(INDEX(海典汇总!$C$3:$AE$67,MATCH($A412,海典汇总!$A$3:$A$67,0),MATCH(INDEX(科目对照收入!$H$2:$H$23,MATCH($B412,科目对照收入!$B$2:$B$23,0)),海典汇总!$C$1:$AE$1,0)),0),2))</f>
        <v/>
      </c>
      <c r="E412" s="15" t="str">
        <f aca="false">IF($D412="","",ROUND($C412-$D412,2))</f>
        <v/>
      </c>
      <c r="F412" s="38" t="str">
        <f aca="false">IF($A412&amp;$B412="","",IF(COUNTIF(门店对照!$A$2:$A$66,$A412)=0,"× 门店编码不对",IF(COUNTIF(科目对照收入!$B$2:$B$23,$B412)=0,"× 渠道名不对",IF(INDEX(科目对照收入!$E$2:$E$23,MATCH($B412,科目对照收入!$B$2:$B$23,0))&lt;&gt;"平台优先","× 该项目不按平台金额",IF(COUNTIFS($A$2:$A$601,$A412,$B$2:$B$601,$B412)&gt;1,"× 同店同渠道重复","√")))))</f>
        <v/>
      </c>
    </row>
    <row r="413" customFormat="false" ht="13.5" hidden="false" customHeight="false" outlineLevel="0" collapsed="false">
      <c r="A413" s="35"/>
      <c r="B413" s="35"/>
      <c r="C413" s="37"/>
      <c r="D413" s="15" t="str">
        <f aca="false">IF(OR($A413="",$B413=""),"",ROUND(IFERROR(INDEX(海典汇总!$C$3:$AE$67,MATCH($A413,海典汇总!$A$3:$A$67,0),MATCH(INDEX(科目对照收入!$F$2:$F$23,MATCH($B413,科目对照收入!$B$2:$B$23,0)),海典汇总!$C$1:$AE$1,0)),0)+IFERROR(INDEX(海典汇总!$C$3:$AE$67,MATCH($A413,海典汇总!$A$3:$A$67,0),MATCH(INDEX(科目对照收入!$G$2:$G$23,MATCH($B413,科目对照收入!$B$2:$B$23,0)),海典汇总!$C$1:$AE$1,0)),0)+IFERROR(INDEX(海典汇总!$C$3:$AE$67,MATCH($A413,海典汇总!$A$3:$A$67,0),MATCH(INDEX(科目对照收入!$H$2:$H$23,MATCH($B413,科目对照收入!$B$2:$B$23,0)),海典汇总!$C$1:$AE$1,0)),0),2))</f>
        <v/>
      </c>
      <c r="E413" s="15" t="str">
        <f aca="false">IF($D413="","",ROUND($C413-$D413,2))</f>
        <v/>
      </c>
      <c r="F413" s="38" t="str">
        <f aca="false">IF($A413&amp;$B413="","",IF(COUNTIF(门店对照!$A$2:$A$66,$A413)=0,"× 门店编码不对",IF(COUNTIF(科目对照收入!$B$2:$B$23,$B413)=0,"× 渠道名不对",IF(INDEX(科目对照收入!$E$2:$E$23,MATCH($B413,科目对照收入!$B$2:$B$23,0))&lt;&gt;"平台优先","× 该项目不按平台金额",IF(COUNTIFS($A$2:$A$601,$A413,$B$2:$B$601,$B413)&gt;1,"× 同店同渠道重复","√")))))</f>
        <v/>
      </c>
    </row>
    <row r="414" customFormat="false" ht="13.5" hidden="false" customHeight="false" outlineLevel="0" collapsed="false">
      <c r="A414" s="35"/>
      <c r="B414" s="35"/>
      <c r="C414" s="37"/>
      <c r="D414" s="15" t="str">
        <f aca="false">IF(OR($A414="",$B414=""),"",ROUND(IFERROR(INDEX(海典汇总!$C$3:$AE$67,MATCH($A414,海典汇总!$A$3:$A$67,0),MATCH(INDEX(科目对照收入!$F$2:$F$23,MATCH($B414,科目对照收入!$B$2:$B$23,0)),海典汇总!$C$1:$AE$1,0)),0)+IFERROR(INDEX(海典汇总!$C$3:$AE$67,MATCH($A414,海典汇总!$A$3:$A$67,0),MATCH(INDEX(科目对照收入!$G$2:$G$23,MATCH($B414,科目对照收入!$B$2:$B$23,0)),海典汇总!$C$1:$AE$1,0)),0)+IFERROR(INDEX(海典汇总!$C$3:$AE$67,MATCH($A414,海典汇总!$A$3:$A$67,0),MATCH(INDEX(科目对照收入!$H$2:$H$23,MATCH($B414,科目对照收入!$B$2:$B$23,0)),海典汇总!$C$1:$AE$1,0)),0),2))</f>
        <v/>
      </c>
      <c r="E414" s="15" t="str">
        <f aca="false">IF($D414="","",ROUND($C414-$D414,2))</f>
        <v/>
      </c>
      <c r="F414" s="38" t="str">
        <f aca="false">IF($A414&amp;$B414="","",IF(COUNTIF(门店对照!$A$2:$A$66,$A414)=0,"× 门店编码不对",IF(COUNTIF(科目对照收入!$B$2:$B$23,$B414)=0,"× 渠道名不对",IF(INDEX(科目对照收入!$E$2:$E$23,MATCH($B414,科目对照收入!$B$2:$B$23,0))&lt;&gt;"平台优先","× 该项目不按平台金额",IF(COUNTIFS($A$2:$A$601,$A414,$B$2:$B$601,$B414)&gt;1,"× 同店同渠道重复","√")))))</f>
        <v/>
      </c>
    </row>
    <row r="415" customFormat="false" ht="13.5" hidden="false" customHeight="false" outlineLevel="0" collapsed="false">
      <c r="A415" s="35"/>
      <c r="B415" s="35"/>
      <c r="C415" s="37"/>
      <c r="D415" s="15" t="str">
        <f aca="false">IF(OR($A415="",$B415=""),"",ROUND(IFERROR(INDEX(海典汇总!$C$3:$AE$67,MATCH($A415,海典汇总!$A$3:$A$67,0),MATCH(INDEX(科目对照收入!$F$2:$F$23,MATCH($B415,科目对照收入!$B$2:$B$23,0)),海典汇总!$C$1:$AE$1,0)),0)+IFERROR(INDEX(海典汇总!$C$3:$AE$67,MATCH($A415,海典汇总!$A$3:$A$67,0),MATCH(INDEX(科目对照收入!$G$2:$G$23,MATCH($B415,科目对照收入!$B$2:$B$23,0)),海典汇总!$C$1:$AE$1,0)),0)+IFERROR(INDEX(海典汇总!$C$3:$AE$67,MATCH($A415,海典汇总!$A$3:$A$67,0),MATCH(INDEX(科目对照收入!$H$2:$H$23,MATCH($B415,科目对照收入!$B$2:$B$23,0)),海典汇总!$C$1:$AE$1,0)),0),2))</f>
        <v/>
      </c>
      <c r="E415" s="15" t="str">
        <f aca="false">IF($D415="","",ROUND($C415-$D415,2))</f>
        <v/>
      </c>
      <c r="F415" s="38" t="str">
        <f aca="false">IF($A415&amp;$B415="","",IF(COUNTIF(门店对照!$A$2:$A$66,$A415)=0,"× 门店编码不对",IF(COUNTIF(科目对照收入!$B$2:$B$23,$B415)=0,"× 渠道名不对",IF(INDEX(科目对照收入!$E$2:$E$23,MATCH($B415,科目对照收入!$B$2:$B$23,0))&lt;&gt;"平台优先","× 该项目不按平台金额",IF(COUNTIFS($A$2:$A$601,$A415,$B$2:$B$601,$B415)&gt;1,"× 同店同渠道重复","√")))))</f>
        <v/>
      </c>
    </row>
    <row r="416" customFormat="false" ht="13.5" hidden="false" customHeight="false" outlineLevel="0" collapsed="false">
      <c r="A416" s="35"/>
      <c r="B416" s="35"/>
      <c r="C416" s="37"/>
      <c r="D416" s="15" t="str">
        <f aca="false">IF(OR($A416="",$B416=""),"",ROUND(IFERROR(INDEX(海典汇总!$C$3:$AE$67,MATCH($A416,海典汇总!$A$3:$A$67,0),MATCH(INDEX(科目对照收入!$F$2:$F$23,MATCH($B416,科目对照收入!$B$2:$B$23,0)),海典汇总!$C$1:$AE$1,0)),0)+IFERROR(INDEX(海典汇总!$C$3:$AE$67,MATCH($A416,海典汇总!$A$3:$A$67,0),MATCH(INDEX(科目对照收入!$G$2:$G$23,MATCH($B416,科目对照收入!$B$2:$B$23,0)),海典汇总!$C$1:$AE$1,0)),0)+IFERROR(INDEX(海典汇总!$C$3:$AE$67,MATCH($A416,海典汇总!$A$3:$A$67,0),MATCH(INDEX(科目对照收入!$H$2:$H$23,MATCH($B416,科目对照收入!$B$2:$B$23,0)),海典汇总!$C$1:$AE$1,0)),0),2))</f>
        <v/>
      </c>
      <c r="E416" s="15" t="str">
        <f aca="false">IF($D416="","",ROUND($C416-$D416,2))</f>
        <v/>
      </c>
      <c r="F416" s="38" t="str">
        <f aca="false">IF($A416&amp;$B416="","",IF(COUNTIF(门店对照!$A$2:$A$66,$A416)=0,"× 门店编码不对",IF(COUNTIF(科目对照收入!$B$2:$B$23,$B416)=0,"× 渠道名不对",IF(INDEX(科目对照收入!$E$2:$E$23,MATCH($B416,科目对照收入!$B$2:$B$23,0))&lt;&gt;"平台优先","× 该项目不按平台金额",IF(COUNTIFS($A$2:$A$601,$A416,$B$2:$B$601,$B416)&gt;1,"× 同店同渠道重复","√")))))</f>
        <v/>
      </c>
    </row>
    <row r="417" customFormat="false" ht="13.5" hidden="false" customHeight="false" outlineLevel="0" collapsed="false">
      <c r="A417" s="35"/>
      <c r="B417" s="35"/>
      <c r="C417" s="37"/>
      <c r="D417" s="15" t="str">
        <f aca="false">IF(OR($A417="",$B417=""),"",ROUND(IFERROR(INDEX(海典汇总!$C$3:$AE$67,MATCH($A417,海典汇总!$A$3:$A$67,0),MATCH(INDEX(科目对照收入!$F$2:$F$23,MATCH($B417,科目对照收入!$B$2:$B$23,0)),海典汇总!$C$1:$AE$1,0)),0)+IFERROR(INDEX(海典汇总!$C$3:$AE$67,MATCH($A417,海典汇总!$A$3:$A$67,0),MATCH(INDEX(科目对照收入!$G$2:$G$23,MATCH($B417,科目对照收入!$B$2:$B$23,0)),海典汇总!$C$1:$AE$1,0)),0)+IFERROR(INDEX(海典汇总!$C$3:$AE$67,MATCH($A417,海典汇总!$A$3:$A$67,0),MATCH(INDEX(科目对照收入!$H$2:$H$23,MATCH($B417,科目对照收入!$B$2:$B$23,0)),海典汇总!$C$1:$AE$1,0)),0),2))</f>
        <v/>
      </c>
      <c r="E417" s="15" t="str">
        <f aca="false">IF($D417="","",ROUND($C417-$D417,2))</f>
        <v/>
      </c>
      <c r="F417" s="38" t="str">
        <f aca="false">IF($A417&amp;$B417="","",IF(COUNTIF(门店对照!$A$2:$A$66,$A417)=0,"× 门店编码不对",IF(COUNTIF(科目对照收入!$B$2:$B$23,$B417)=0,"× 渠道名不对",IF(INDEX(科目对照收入!$E$2:$E$23,MATCH($B417,科目对照收入!$B$2:$B$23,0))&lt;&gt;"平台优先","× 该项目不按平台金额",IF(COUNTIFS($A$2:$A$601,$A417,$B$2:$B$601,$B417)&gt;1,"× 同店同渠道重复","√")))))</f>
        <v/>
      </c>
    </row>
    <row r="418" customFormat="false" ht="13.5" hidden="false" customHeight="false" outlineLevel="0" collapsed="false">
      <c r="A418" s="35"/>
      <c r="B418" s="35"/>
      <c r="C418" s="37"/>
      <c r="D418" s="15" t="str">
        <f aca="false">IF(OR($A418="",$B418=""),"",ROUND(IFERROR(INDEX(海典汇总!$C$3:$AE$67,MATCH($A418,海典汇总!$A$3:$A$67,0),MATCH(INDEX(科目对照收入!$F$2:$F$23,MATCH($B418,科目对照收入!$B$2:$B$23,0)),海典汇总!$C$1:$AE$1,0)),0)+IFERROR(INDEX(海典汇总!$C$3:$AE$67,MATCH($A418,海典汇总!$A$3:$A$67,0),MATCH(INDEX(科目对照收入!$G$2:$G$23,MATCH($B418,科目对照收入!$B$2:$B$23,0)),海典汇总!$C$1:$AE$1,0)),0)+IFERROR(INDEX(海典汇总!$C$3:$AE$67,MATCH($A418,海典汇总!$A$3:$A$67,0),MATCH(INDEX(科目对照收入!$H$2:$H$23,MATCH($B418,科目对照收入!$B$2:$B$23,0)),海典汇总!$C$1:$AE$1,0)),0),2))</f>
        <v/>
      </c>
      <c r="E418" s="15" t="str">
        <f aca="false">IF($D418="","",ROUND($C418-$D418,2))</f>
        <v/>
      </c>
      <c r="F418" s="38" t="str">
        <f aca="false">IF($A418&amp;$B418="","",IF(COUNTIF(门店对照!$A$2:$A$66,$A418)=0,"× 门店编码不对",IF(COUNTIF(科目对照收入!$B$2:$B$23,$B418)=0,"× 渠道名不对",IF(INDEX(科目对照收入!$E$2:$E$23,MATCH($B418,科目对照收入!$B$2:$B$23,0))&lt;&gt;"平台优先","× 该项目不按平台金额",IF(COUNTIFS($A$2:$A$601,$A418,$B$2:$B$601,$B418)&gt;1,"× 同店同渠道重复","√")))))</f>
        <v/>
      </c>
    </row>
    <row r="419" customFormat="false" ht="13.5" hidden="false" customHeight="false" outlineLevel="0" collapsed="false">
      <c r="A419" s="35"/>
      <c r="B419" s="35"/>
      <c r="C419" s="37"/>
      <c r="D419" s="15" t="str">
        <f aca="false">IF(OR($A419="",$B419=""),"",ROUND(IFERROR(INDEX(海典汇总!$C$3:$AE$67,MATCH($A419,海典汇总!$A$3:$A$67,0),MATCH(INDEX(科目对照收入!$F$2:$F$23,MATCH($B419,科目对照收入!$B$2:$B$23,0)),海典汇总!$C$1:$AE$1,0)),0)+IFERROR(INDEX(海典汇总!$C$3:$AE$67,MATCH($A419,海典汇总!$A$3:$A$67,0),MATCH(INDEX(科目对照收入!$G$2:$G$23,MATCH($B419,科目对照收入!$B$2:$B$23,0)),海典汇总!$C$1:$AE$1,0)),0)+IFERROR(INDEX(海典汇总!$C$3:$AE$67,MATCH($A419,海典汇总!$A$3:$A$67,0),MATCH(INDEX(科目对照收入!$H$2:$H$23,MATCH($B419,科目对照收入!$B$2:$B$23,0)),海典汇总!$C$1:$AE$1,0)),0),2))</f>
        <v/>
      </c>
      <c r="E419" s="15" t="str">
        <f aca="false">IF($D419="","",ROUND($C419-$D419,2))</f>
        <v/>
      </c>
      <c r="F419" s="38" t="str">
        <f aca="false">IF($A419&amp;$B419="","",IF(COUNTIF(门店对照!$A$2:$A$66,$A419)=0,"× 门店编码不对",IF(COUNTIF(科目对照收入!$B$2:$B$23,$B419)=0,"× 渠道名不对",IF(INDEX(科目对照收入!$E$2:$E$23,MATCH($B419,科目对照收入!$B$2:$B$23,0))&lt;&gt;"平台优先","× 该项目不按平台金额",IF(COUNTIFS($A$2:$A$601,$A419,$B$2:$B$601,$B419)&gt;1,"× 同店同渠道重复","√")))))</f>
        <v/>
      </c>
    </row>
    <row r="420" customFormat="false" ht="13.5" hidden="false" customHeight="false" outlineLevel="0" collapsed="false">
      <c r="A420" s="35"/>
      <c r="B420" s="35"/>
      <c r="C420" s="37"/>
      <c r="D420" s="15" t="str">
        <f aca="false">IF(OR($A420="",$B420=""),"",ROUND(IFERROR(INDEX(海典汇总!$C$3:$AE$67,MATCH($A420,海典汇总!$A$3:$A$67,0),MATCH(INDEX(科目对照收入!$F$2:$F$23,MATCH($B420,科目对照收入!$B$2:$B$23,0)),海典汇总!$C$1:$AE$1,0)),0)+IFERROR(INDEX(海典汇总!$C$3:$AE$67,MATCH($A420,海典汇总!$A$3:$A$67,0),MATCH(INDEX(科目对照收入!$G$2:$G$23,MATCH($B420,科目对照收入!$B$2:$B$23,0)),海典汇总!$C$1:$AE$1,0)),0)+IFERROR(INDEX(海典汇总!$C$3:$AE$67,MATCH($A420,海典汇总!$A$3:$A$67,0),MATCH(INDEX(科目对照收入!$H$2:$H$23,MATCH($B420,科目对照收入!$B$2:$B$23,0)),海典汇总!$C$1:$AE$1,0)),0),2))</f>
        <v/>
      </c>
      <c r="E420" s="15" t="str">
        <f aca="false">IF($D420="","",ROUND($C420-$D420,2))</f>
        <v/>
      </c>
      <c r="F420" s="38" t="str">
        <f aca="false">IF($A420&amp;$B420="","",IF(COUNTIF(门店对照!$A$2:$A$66,$A420)=0,"× 门店编码不对",IF(COUNTIF(科目对照收入!$B$2:$B$23,$B420)=0,"× 渠道名不对",IF(INDEX(科目对照收入!$E$2:$E$23,MATCH($B420,科目对照收入!$B$2:$B$23,0))&lt;&gt;"平台优先","× 该项目不按平台金额",IF(COUNTIFS($A$2:$A$601,$A420,$B$2:$B$601,$B420)&gt;1,"× 同店同渠道重复","√")))))</f>
        <v/>
      </c>
    </row>
    <row r="421" customFormat="false" ht="13.5" hidden="false" customHeight="false" outlineLevel="0" collapsed="false">
      <c r="A421" s="35"/>
      <c r="B421" s="35"/>
      <c r="C421" s="37"/>
      <c r="D421" s="15" t="str">
        <f aca="false">IF(OR($A421="",$B421=""),"",ROUND(IFERROR(INDEX(海典汇总!$C$3:$AE$67,MATCH($A421,海典汇总!$A$3:$A$67,0),MATCH(INDEX(科目对照收入!$F$2:$F$23,MATCH($B421,科目对照收入!$B$2:$B$23,0)),海典汇总!$C$1:$AE$1,0)),0)+IFERROR(INDEX(海典汇总!$C$3:$AE$67,MATCH($A421,海典汇总!$A$3:$A$67,0),MATCH(INDEX(科目对照收入!$G$2:$G$23,MATCH($B421,科目对照收入!$B$2:$B$23,0)),海典汇总!$C$1:$AE$1,0)),0)+IFERROR(INDEX(海典汇总!$C$3:$AE$67,MATCH($A421,海典汇总!$A$3:$A$67,0),MATCH(INDEX(科目对照收入!$H$2:$H$23,MATCH($B421,科目对照收入!$B$2:$B$23,0)),海典汇总!$C$1:$AE$1,0)),0),2))</f>
        <v/>
      </c>
      <c r="E421" s="15" t="str">
        <f aca="false">IF($D421="","",ROUND($C421-$D421,2))</f>
        <v/>
      </c>
      <c r="F421" s="38" t="str">
        <f aca="false">IF($A421&amp;$B421="","",IF(COUNTIF(门店对照!$A$2:$A$66,$A421)=0,"× 门店编码不对",IF(COUNTIF(科目对照收入!$B$2:$B$23,$B421)=0,"× 渠道名不对",IF(INDEX(科目对照收入!$E$2:$E$23,MATCH($B421,科目对照收入!$B$2:$B$23,0))&lt;&gt;"平台优先","× 该项目不按平台金额",IF(COUNTIFS($A$2:$A$601,$A421,$B$2:$B$601,$B421)&gt;1,"× 同店同渠道重复","√")))))</f>
        <v/>
      </c>
    </row>
    <row r="422" customFormat="false" ht="13.5" hidden="false" customHeight="false" outlineLevel="0" collapsed="false">
      <c r="A422" s="35"/>
      <c r="B422" s="35"/>
      <c r="C422" s="37"/>
      <c r="D422" s="15" t="str">
        <f aca="false">IF(OR($A422="",$B422=""),"",ROUND(IFERROR(INDEX(海典汇总!$C$3:$AE$67,MATCH($A422,海典汇总!$A$3:$A$67,0),MATCH(INDEX(科目对照收入!$F$2:$F$23,MATCH($B422,科目对照收入!$B$2:$B$23,0)),海典汇总!$C$1:$AE$1,0)),0)+IFERROR(INDEX(海典汇总!$C$3:$AE$67,MATCH($A422,海典汇总!$A$3:$A$67,0),MATCH(INDEX(科目对照收入!$G$2:$G$23,MATCH($B422,科目对照收入!$B$2:$B$23,0)),海典汇总!$C$1:$AE$1,0)),0)+IFERROR(INDEX(海典汇总!$C$3:$AE$67,MATCH($A422,海典汇总!$A$3:$A$67,0),MATCH(INDEX(科目对照收入!$H$2:$H$23,MATCH($B422,科目对照收入!$B$2:$B$23,0)),海典汇总!$C$1:$AE$1,0)),0),2))</f>
        <v/>
      </c>
      <c r="E422" s="15" t="str">
        <f aca="false">IF($D422="","",ROUND($C422-$D422,2))</f>
        <v/>
      </c>
      <c r="F422" s="38" t="str">
        <f aca="false">IF($A422&amp;$B422="","",IF(COUNTIF(门店对照!$A$2:$A$66,$A422)=0,"× 门店编码不对",IF(COUNTIF(科目对照收入!$B$2:$B$23,$B422)=0,"× 渠道名不对",IF(INDEX(科目对照收入!$E$2:$E$23,MATCH($B422,科目对照收入!$B$2:$B$23,0))&lt;&gt;"平台优先","× 该项目不按平台金额",IF(COUNTIFS($A$2:$A$601,$A422,$B$2:$B$601,$B422)&gt;1,"× 同店同渠道重复","√")))))</f>
        <v/>
      </c>
    </row>
    <row r="423" customFormat="false" ht="13.5" hidden="false" customHeight="false" outlineLevel="0" collapsed="false">
      <c r="A423" s="35"/>
      <c r="B423" s="35"/>
      <c r="C423" s="37"/>
      <c r="D423" s="15" t="str">
        <f aca="false">IF(OR($A423="",$B423=""),"",ROUND(IFERROR(INDEX(海典汇总!$C$3:$AE$67,MATCH($A423,海典汇总!$A$3:$A$67,0),MATCH(INDEX(科目对照收入!$F$2:$F$23,MATCH($B423,科目对照收入!$B$2:$B$23,0)),海典汇总!$C$1:$AE$1,0)),0)+IFERROR(INDEX(海典汇总!$C$3:$AE$67,MATCH($A423,海典汇总!$A$3:$A$67,0),MATCH(INDEX(科目对照收入!$G$2:$G$23,MATCH($B423,科目对照收入!$B$2:$B$23,0)),海典汇总!$C$1:$AE$1,0)),0)+IFERROR(INDEX(海典汇总!$C$3:$AE$67,MATCH($A423,海典汇总!$A$3:$A$67,0),MATCH(INDEX(科目对照收入!$H$2:$H$23,MATCH($B423,科目对照收入!$B$2:$B$23,0)),海典汇总!$C$1:$AE$1,0)),0),2))</f>
        <v/>
      </c>
      <c r="E423" s="15" t="str">
        <f aca="false">IF($D423="","",ROUND($C423-$D423,2))</f>
        <v/>
      </c>
      <c r="F423" s="38" t="str">
        <f aca="false">IF($A423&amp;$B423="","",IF(COUNTIF(门店对照!$A$2:$A$66,$A423)=0,"× 门店编码不对",IF(COUNTIF(科目对照收入!$B$2:$B$23,$B423)=0,"× 渠道名不对",IF(INDEX(科目对照收入!$E$2:$E$23,MATCH($B423,科目对照收入!$B$2:$B$23,0))&lt;&gt;"平台优先","× 该项目不按平台金额",IF(COUNTIFS($A$2:$A$601,$A423,$B$2:$B$601,$B423)&gt;1,"× 同店同渠道重复","√")))))</f>
        <v/>
      </c>
    </row>
    <row r="424" customFormat="false" ht="13.5" hidden="false" customHeight="false" outlineLevel="0" collapsed="false">
      <c r="A424" s="35"/>
      <c r="B424" s="35"/>
      <c r="C424" s="37"/>
      <c r="D424" s="15" t="str">
        <f aca="false">IF(OR($A424="",$B424=""),"",ROUND(IFERROR(INDEX(海典汇总!$C$3:$AE$67,MATCH($A424,海典汇总!$A$3:$A$67,0),MATCH(INDEX(科目对照收入!$F$2:$F$23,MATCH($B424,科目对照收入!$B$2:$B$23,0)),海典汇总!$C$1:$AE$1,0)),0)+IFERROR(INDEX(海典汇总!$C$3:$AE$67,MATCH($A424,海典汇总!$A$3:$A$67,0),MATCH(INDEX(科目对照收入!$G$2:$G$23,MATCH($B424,科目对照收入!$B$2:$B$23,0)),海典汇总!$C$1:$AE$1,0)),0)+IFERROR(INDEX(海典汇总!$C$3:$AE$67,MATCH($A424,海典汇总!$A$3:$A$67,0),MATCH(INDEX(科目对照收入!$H$2:$H$23,MATCH($B424,科目对照收入!$B$2:$B$23,0)),海典汇总!$C$1:$AE$1,0)),0),2))</f>
        <v/>
      </c>
      <c r="E424" s="15" t="str">
        <f aca="false">IF($D424="","",ROUND($C424-$D424,2))</f>
        <v/>
      </c>
      <c r="F424" s="38" t="str">
        <f aca="false">IF($A424&amp;$B424="","",IF(COUNTIF(门店对照!$A$2:$A$66,$A424)=0,"× 门店编码不对",IF(COUNTIF(科目对照收入!$B$2:$B$23,$B424)=0,"× 渠道名不对",IF(INDEX(科目对照收入!$E$2:$E$23,MATCH($B424,科目对照收入!$B$2:$B$23,0))&lt;&gt;"平台优先","× 该项目不按平台金额",IF(COUNTIFS($A$2:$A$601,$A424,$B$2:$B$601,$B424)&gt;1,"× 同店同渠道重复","√")))))</f>
        <v/>
      </c>
    </row>
    <row r="425" customFormat="false" ht="13.5" hidden="false" customHeight="false" outlineLevel="0" collapsed="false">
      <c r="A425" s="35"/>
      <c r="B425" s="35"/>
      <c r="C425" s="37"/>
      <c r="D425" s="15" t="str">
        <f aca="false">IF(OR($A425="",$B425=""),"",ROUND(IFERROR(INDEX(海典汇总!$C$3:$AE$67,MATCH($A425,海典汇总!$A$3:$A$67,0),MATCH(INDEX(科目对照收入!$F$2:$F$23,MATCH($B425,科目对照收入!$B$2:$B$23,0)),海典汇总!$C$1:$AE$1,0)),0)+IFERROR(INDEX(海典汇总!$C$3:$AE$67,MATCH($A425,海典汇总!$A$3:$A$67,0),MATCH(INDEX(科目对照收入!$G$2:$G$23,MATCH($B425,科目对照收入!$B$2:$B$23,0)),海典汇总!$C$1:$AE$1,0)),0)+IFERROR(INDEX(海典汇总!$C$3:$AE$67,MATCH($A425,海典汇总!$A$3:$A$67,0),MATCH(INDEX(科目对照收入!$H$2:$H$23,MATCH($B425,科目对照收入!$B$2:$B$23,0)),海典汇总!$C$1:$AE$1,0)),0),2))</f>
        <v/>
      </c>
      <c r="E425" s="15" t="str">
        <f aca="false">IF($D425="","",ROUND($C425-$D425,2))</f>
        <v/>
      </c>
      <c r="F425" s="38" t="str">
        <f aca="false">IF($A425&amp;$B425="","",IF(COUNTIF(门店对照!$A$2:$A$66,$A425)=0,"× 门店编码不对",IF(COUNTIF(科目对照收入!$B$2:$B$23,$B425)=0,"× 渠道名不对",IF(INDEX(科目对照收入!$E$2:$E$23,MATCH($B425,科目对照收入!$B$2:$B$23,0))&lt;&gt;"平台优先","× 该项目不按平台金额",IF(COUNTIFS($A$2:$A$601,$A425,$B$2:$B$601,$B425)&gt;1,"× 同店同渠道重复","√")))))</f>
        <v/>
      </c>
    </row>
    <row r="426" customFormat="false" ht="13.5" hidden="false" customHeight="false" outlineLevel="0" collapsed="false">
      <c r="A426" s="35"/>
      <c r="B426" s="35"/>
      <c r="C426" s="37"/>
      <c r="D426" s="15" t="str">
        <f aca="false">IF(OR($A426="",$B426=""),"",ROUND(IFERROR(INDEX(海典汇总!$C$3:$AE$67,MATCH($A426,海典汇总!$A$3:$A$67,0),MATCH(INDEX(科目对照收入!$F$2:$F$23,MATCH($B426,科目对照收入!$B$2:$B$23,0)),海典汇总!$C$1:$AE$1,0)),0)+IFERROR(INDEX(海典汇总!$C$3:$AE$67,MATCH($A426,海典汇总!$A$3:$A$67,0),MATCH(INDEX(科目对照收入!$G$2:$G$23,MATCH($B426,科目对照收入!$B$2:$B$23,0)),海典汇总!$C$1:$AE$1,0)),0)+IFERROR(INDEX(海典汇总!$C$3:$AE$67,MATCH($A426,海典汇总!$A$3:$A$67,0),MATCH(INDEX(科目对照收入!$H$2:$H$23,MATCH($B426,科目对照收入!$B$2:$B$23,0)),海典汇总!$C$1:$AE$1,0)),0),2))</f>
        <v/>
      </c>
      <c r="E426" s="15" t="str">
        <f aca="false">IF($D426="","",ROUND($C426-$D426,2))</f>
        <v/>
      </c>
      <c r="F426" s="38" t="str">
        <f aca="false">IF($A426&amp;$B426="","",IF(COUNTIF(门店对照!$A$2:$A$66,$A426)=0,"× 门店编码不对",IF(COUNTIF(科目对照收入!$B$2:$B$23,$B426)=0,"× 渠道名不对",IF(INDEX(科目对照收入!$E$2:$E$23,MATCH($B426,科目对照收入!$B$2:$B$23,0))&lt;&gt;"平台优先","× 该项目不按平台金额",IF(COUNTIFS($A$2:$A$601,$A426,$B$2:$B$601,$B426)&gt;1,"× 同店同渠道重复","√")))))</f>
        <v/>
      </c>
    </row>
    <row r="427" customFormat="false" ht="13.5" hidden="false" customHeight="false" outlineLevel="0" collapsed="false">
      <c r="A427" s="35"/>
      <c r="B427" s="35"/>
      <c r="C427" s="37"/>
      <c r="D427" s="15" t="str">
        <f aca="false">IF(OR($A427="",$B427=""),"",ROUND(IFERROR(INDEX(海典汇总!$C$3:$AE$67,MATCH($A427,海典汇总!$A$3:$A$67,0),MATCH(INDEX(科目对照收入!$F$2:$F$23,MATCH($B427,科目对照收入!$B$2:$B$23,0)),海典汇总!$C$1:$AE$1,0)),0)+IFERROR(INDEX(海典汇总!$C$3:$AE$67,MATCH($A427,海典汇总!$A$3:$A$67,0),MATCH(INDEX(科目对照收入!$G$2:$G$23,MATCH($B427,科目对照收入!$B$2:$B$23,0)),海典汇总!$C$1:$AE$1,0)),0)+IFERROR(INDEX(海典汇总!$C$3:$AE$67,MATCH($A427,海典汇总!$A$3:$A$67,0),MATCH(INDEX(科目对照收入!$H$2:$H$23,MATCH($B427,科目对照收入!$B$2:$B$23,0)),海典汇总!$C$1:$AE$1,0)),0),2))</f>
        <v/>
      </c>
      <c r="E427" s="15" t="str">
        <f aca="false">IF($D427="","",ROUND($C427-$D427,2))</f>
        <v/>
      </c>
      <c r="F427" s="38" t="str">
        <f aca="false">IF($A427&amp;$B427="","",IF(COUNTIF(门店对照!$A$2:$A$66,$A427)=0,"× 门店编码不对",IF(COUNTIF(科目对照收入!$B$2:$B$23,$B427)=0,"× 渠道名不对",IF(INDEX(科目对照收入!$E$2:$E$23,MATCH($B427,科目对照收入!$B$2:$B$23,0))&lt;&gt;"平台优先","× 该项目不按平台金额",IF(COUNTIFS($A$2:$A$601,$A427,$B$2:$B$601,$B427)&gt;1,"× 同店同渠道重复","√")))))</f>
        <v/>
      </c>
    </row>
    <row r="428" customFormat="false" ht="13.5" hidden="false" customHeight="false" outlineLevel="0" collapsed="false">
      <c r="A428" s="35"/>
      <c r="B428" s="35"/>
      <c r="C428" s="37"/>
      <c r="D428" s="15" t="str">
        <f aca="false">IF(OR($A428="",$B428=""),"",ROUND(IFERROR(INDEX(海典汇总!$C$3:$AE$67,MATCH($A428,海典汇总!$A$3:$A$67,0),MATCH(INDEX(科目对照收入!$F$2:$F$23,MATCH($B428,科目对照收入!$B$2:$B$23,0)),海典汇总!$C$1:$AE$1,0)),0)+IFERROR(INDEX(海典汇总!$C$3:$AE$67,MATCH($A428,海典汇总!$A$3:$A$67,0),MATCH(INDEX(科目对照收入!$G$2:$G$23,MATCH($B428,科目对照收入!$B$2:$B$23,0)),海典汇总!$C$1:$AE$1,0)),0)+IFERROR(INDEX(海典汇总!$C$3:$AE$67,MATCH($A428,海典汇总!$A$3:$A$67,0),MATCH(INDEX(科目对照收入!$H$2:$H$23,MATCH($B428,科目对照收入!$B$2:$B$23,0)),海典汇总!$C$1:$AE$1,0)),0),2))</f>
        <v/>
      </c>
      <c r="E428" s="15" t="str">
        <f aca="false">IF($D428="","",ROUND($C428-$D428,2))</f>
        <v/>
      </c>
      <c r="F428" s="38" t="str">
        <f aca="false">IF($A428&amp;$B428="","",IF(COUNTIF(门店对照!$A$2:$A$66,$A428)=0,"× 门店编码不对",IF(COUNTIF(科目对照收入!$B$2:$B$23,$B428)=0,"× 渠道名不对",IF(INDEX(科目对照收入!$E$2:$E$23,MATCH($B428,科目对照收入!$B$2:$B$23,0))&lt;&gt;"平台优先","× 该项目不按平台金额",IF(COUNTIFS($A$2:$A$601,$A428,$B$2:$B$601,$B428)&gt;1,"× 同店同渠道重复","√")))))</f>
        <v/>
      </c>
    </row>
    <row r="429" customFormat="false" ht="13.5" hidden="false" customHeight="false" outlineLevel="0" collapsed="false">
      <c r="A429" s="35"/>
      <c r="B429" s="35"/>
      <c r="C429" s="37"/>
      <c r="D429" s="15" t="str">
        <f aca="false">IF(OR($A429="",$B429=""),"",ROUND(IFERROR(INDEX(海典汇总!$C$3:$AE$67,MATCH($A429,海典汇总!$A$3:$A$67,0),MATCH(INDEX(科目对照收入!$F$2:$F$23,MATCH($B429,科目对照收入!$B$2:$B$23,0)),海典汇总!$C$1:$AE$1,0)),0)+IFERROR(INDEX(海典汇总!$C$3:$AE$67,MATCH($A429,海典汇总!$A$3:$A$67,0),MATCH(INDEX(科目对照收入!$G$2:$G$23,MATCH($B429,科目对照收入!$B$2:$B$23,0)),海典汇总!$C$1:$AE$1,0)),0)+IFERROR(INDEX(海典汇总!$C$3:$AE$67,MATCH($A429,海典汇总!$A$3:$A$67,0),MATCH(INDEX(科目对照收入!$H$2:$H$23,MATCH($B429,科目对照收入!$B$2:$B$23,0)),海典汇总!$C$1:$AE$1,0)),0),2))</f>
        <v/>
      </c>
      <c r="E429" s="15" t="str">
        <f aca="false">IF($D429="","",ROUND($C429-$D429,2))</f>
        <v/>
      </c>
      <c r="F429" s="38" t="str">
        <f aca="false">IF($A429&amp;$B429="","",IF(COUNTIF(门店对照!$A$2:$A$66,$A429)=0,"× 门店编码不对",IF(COUNTIF(科目对照收入!$B$2:$B$23,$B429)=0,"× 渠道名不对",IF(INDEX(科目对照收入!$E$2:$E$23,MATCH($B429,科目对照收入!$B$2:$B$23,0))&lt;&gt;"平台优先","× 该项目不按平台金额",IF(COUNTIFS($A$2:$A$601,$A429,$B$2:$B$601,$B429)&gt;1,"× 同店同渠道重复","√")))))</f>
        <v/>
      </c>
    </row>
    <row r="430" customFormat="false" ht="13.5" hidden="false" customHeight="false" outlineLevel="0" collapsed="false">
      <c r="A430" s="35"/>
      <c r="B430" s="35"/>
      <c r="C430" s="37"/>
      <c r="D430" s="15" t="str">
        <f aca="false">IF(OR($A430="",$B430=""),"",ROUND(IFERROR(INDEX(海典汇总!$C$3:$AE$67,MATCH($A430,海典汇总!$A$3:$A$67,0),MATCH(INDEX(科目对照收入!$F$2:$F$23,MATCH($B430,科目对照收入!$B$2:$B$23,0)),海典汇总!$C$1:$AE$1,0)),0)+IFERROR(INDEX(海典汇总!$C$3:$AE$67,MATCH($A430,海典汇总!$A$3:$A$67,0),MATCH(INDEX(科目对照收入!$G$2:$G$23,MATCH($B430,科目对照收入!$B$2:$B$23,0)),海典汇总!$C$1:$AE$1,0)),0)+IFERROR(INDEX(海典汇总!$C$3:$AE$67,MATCH($A430,海典汇总!$A$3:$A$67,0),MATCH(INDEX(科目对照收入!$H$2:$H$23,MATCH($B430,科目对照收入!$B$2:$B$23,0)),海典汇总!$C$1:$AE$1,0)),0),2))</f>
        <v/>
      </c>
      <c r="E430" s="15" t="str">
        <f aca="false">IF($D430="","",ROUND($C430-$D430,2))</f>
        <v/>
      </c>
      <c r="F430" s="38" t="str">
        <f aca="false">IF($A430&amp;$B430="","",IF(COUNTIF(门店对照!$A$2:$A$66,$A430)=0,"× 门店编码不对",IF(COUNTIF(科目对照收入!$B$2:$B$23,$B430)=0,"× 渠道名不对",IF(INDEX(科目对照收入!$E$2:$E$23,MATCH($B430,科目对照收入!$B$2:$B$23,0))&lt;&gt;"平台优先","× 该项目不按平台金额",IF(COUNTIFS($A$2:$A$601,$A430,$B$2:$B$601,$B430)&gt;1,"× 同店同渠道重复","√")))))</f>
        <v/>
      </c>
    </row>
    <row r="431" customFormat="false" ht="13.5" hidden="false" customHeight="false" outlineLevel="0" collapsed="false">
      <c r="A431" s="35"/>
      <c r="B431" s="35"/>
      <c r="C431" s="37"/>
      <c r="D431" s="15" t="str">
        <f aca="false">IF(OR($A431="",$B431=""),"",ROUND(IFERROR(INDEX(海典汇总!$C$3:$AE$67,MATCH($A431,海典汇总!$A$3:$A$67,0),MATCH(INDEX(科目对照收入!$F$2:$F$23,MATCH($B431,科目对照收入!$B$2:$B$23,0)),海典汇总!$C$1:$AE$1,0)),0)+IFERROR(INDEX(海典汇总!$C$3:$AE$67,MATCH($A431,海典汇总!$A$3:$A$67,0),MATCH(INDEX(科目对照收入!$G$2:$G$23,MATCH($B431,科目对照收入!$B$2:$B$23,0)),海典汇总!$C$1:$AE$1,0)),0)+IFERROR(INDEX(海典汇总!$C$3:$AE$67,MATCH($A431,海典汇总!$A$3:$A$67,0),MATCH(INDEX(科目对照收入!$H$2:$H$23,MATCH($B431,科目对照收入!$B$2:$B$23,0)),海典汇总!$C$1:$AE$1,0)),0),2))</f>
        <v/>
      </c>
      <c r="E431" s="15" t="str">
        <f aca="false">IF($D431="","",ROUND($C431-$D431,2))</f>
        <v/>
      </c>
      <c r="F431" s="38" t="str">
        <f aca="false">IF($A431&amp;$B431="","",IF(COUNTIF(门店对照!$A$2:$A$66,$A431)=0,"× 门店编码不对",IF(COUNTIF(科目对照收入!$B$2:$B$23,$B431)=0,"× 渠道名不对",IF(INDEX(科目对照收入!$E$2:$E$23,MATCH($B431,科目对照收入!$B$2:$B$23,0))&lt;&gt;"平台优先","× 该项目不按平台金额",IF(COUNTIFS($A$2:$A$601,$A431,$B$2:$B$601,$B431)&gt;1,"× 同店同渠道重复","√")))))</f>
        <v/>
      </c>
    </row>
    <row r="432" customFormat="false" ht="13.5" hidden="false" customHeight="false" outlineLevel="0" collapsed="false">
      <c r="A432" s="35"/>
      <c r="B432" s="35"/>
      <c r="C432" s="37"/>
      <c r="D432" s="15" t="str">
        <f aca="false">IF(OR($A432="",$B432=""),"",ROUND(IFERROR(INDEX(海典汇总!$C$3:$AE$67,MATCH($A432,海典汇总!$A$3:$A$67,0),MATCH(INDEX(科目对照收入!$F$2:$F$23,MATCH($B432,科目对照收入!$B$2:$B$23,0)),海典汇总!$C$1:$AE$1,0)),0)+IFERROR(INDEX(海典汇总!$C$3:$AE$67,MATCH($A432,海典汇总!$A$3:$A$67,0),MATCH(INDEX(科目对照收入!$G$2:$G$23,MATCH($B432,科目对照收入!$B$2:$B$23,0)),海典汇总!$C$1:$AE$1,0)),0)+IFERROR(INDEX(海典汇总!$C$3:$AE$67,MATCH($A432,海典汇总!$A$3:$A$67,0),MATCH(INDEX(科目对照收入!$H$2:$H$23,MATCH($B432,科目对照收入!$B$2:$B$23,0)),海典汇总!$C$1:$AE$1,0)),0),2))</f>
        <v/>
      </c>
      <c r="E432" s="15" t="str">
        <f aca="false">IF($D432="","",ROUND($C432-$D432,2))</f>
        <v/>
      </c>
      <c r="F432" s="38" t="str">
        <f aca="false">IF($A432&amp;$B432="","",IF(COUNTIF(门店对照!$A$2:$A$66,$A432)=0,"× 门店编码不对",IF(COUNTIF(科目对照收入!$B$2:$B$23,$B432)=0,"× 渠道名不对",IF(INDEX(科目对照收入!$E$2:$E$23,MATCH($B432,科目对照收入!$B$2:$B$23,0))&lt;&gt;"平台优先","× 该项目不按平台金额",IF(COUNTIFS($A$2:$A$601,$A432,$B$2:$B$601,$B432)&gt;1,"× 同店同渠道重复","√")))))</f>
        <v/>
      </c>
    </row>
    <row r="433" customFormat="false" ht="13.5" hidden="false" customHeight="false" outlineLevel="0" collapsed="false">
      <c r="A433" s="35"/>
      <c r="B433" s="35"/>
      <c r="C433" s="37"/>
      <c r="D433" s="15" t="str">
        <f aca="false">IF(OR($A433="",$B433=""),"",ROUND(IFERROR(INDEX(海典汇总!$C$3:$AE$67,MATCH($A433,海典汇总!$A$3:$A$67,0),MATCH(INDEX(科目对照收入!$F$2:$F$23,MATCH($B433,科目对照收入!$B$2:$B$23,0)),海典汇总!$C$1:$AE$1,0)),0)+IFERROR(INDEX(海典汇总!$C$3:$AE$67,MATCH($A433,海典汇总!$A$3:$A$67,0),MATCH(INDEX(科目对照收入!$G$2:$G$23,MATCH($B433,科目对照收入!$B$2:$B$23,0)),海典汇总!$C$1:$AE$1,0)),0)+IFERROR(INDEX(海典汇总!$C$3:$AE$67,MATCH($A433,海典汇总!$A$3:$A$67,0),MATCH(INDEX(科目对照收入!$H$2:$H$23,MATCH($B433,科目对照收入!$B$2:$B$23,0)),海典汇总!$C$1:$AE$1,0)),0),2))</f>
        <v/>
      </c>
      <c r="E433" s="15" t="str">
        <f aca="false">IF($D433="","",ROUND($C433-$D433,2))</f>
        <v/>
      </c>
      <c r="F433" s="38" t="str">
        <f aca="false">IF($A433&amp;$B433="","",IF(COUNTIF(门店对照!$A$2:$A$66,$A433)=0,"× 门店编码不对",IF(COUNTIF(科目对照收入!$B$2:$B$23,$B433)=0,"× 渠道名不对",IF(INDEX(科目对照收入!$E$2:$E$23,MATCH($B433,科目对照收入!$B$2:$B$23,0))&lt;&gt;"平台优先","× 该项目不按平台金额",IF(COUNTIFS($A$2:$A$601,$A433,$B$2:$B$601,$B433)&gt;1,"× 同店同渠道重复","√")))))</f>
        <v/>
      </c>
    </row>
    <row r="434" customFormat="false" ht="13.5" hidden="false" customHeight="false" outlineLevel="0" collapsed="false">
      <c r="A434" s="35"/>
      <c r="B434" s="35"/>
      <c r="C434" s="37"/>
      <c r="D434" s="15" t="str">
        <f aca="false">IF(OR($A434="",$B434=""),"",ROUND(IFERROR(INDEX(海典汇总!$C$3:$AE$67,MATCH($A434,海典汇总!$A$3:$A$67,0),MATCH(INDEX(科目对照收入!$F$2:$F$23,MATCH($B434,科目对照收入!$B$2:$B$23,0)),海典汇总!$C$1:$AE$1,0)),0)+IFERROR(INDEX(海典汇总!$C$3:$AE$67,MATCH($A434,海典汇总!$A$3:$A$67,0),MATCH(INDEX(科目对照收入!$G$2:$G$23,MATCH($B434,科目对照收入!$B$2:$B$23,0)),海典汇总!$C$1:$AE$1,0)),0)+IFERROR(INDEX(海典汇总!$C$3:$AE$67,MATCH($A434,海典汇总!$A$3:$A$67,0),MATCH(INDEX(科目对照收入!$H$2:$H$23,MATCH($B434,科目对照收入!$B$2:$B$23,0)),海典汇总!$C$1:$AE$1,0)),0),2))</f>
        <v/>
      </c>
      <c r="E434" s="15" t="str">
        <f aca="false">IF($D434="","",ROUND($C434-$D434,2))</f>
        <v/>
      </c>
      <c r="F434" s="38" t="str">
        <f aca="false">IF($A434&amp;$B434="","",IF(COUNTIF(门店对照!$A$2:$A$66,$A434)=0,"× 门店编码不对",IF(COUNTIF(科目对照收入!$B$2:$B$23,$B434)=0,"× 渠道名不对",IF(INDEX(科目对照收入!$E$2:$E$23,MATCH($B434,科目对照收入!$B$2:$B$23,0))&lt;&gt;"平台优先","× 该项目不按平台金额",IF(COUNTIFS($A$2:$A$601,$A434,$B$2:$B$601,$B434)&gt;1,"× 同店同渠道重复","√")))))</f>
        <v/>
      </c>
    </row>
    <row r="435" customFormat="false" ht="13.5" hidden="false" customHeight="false" outlineLevel="0" collapsed="false">
      <c r="A435" s="35"/>
      <c r="B435" s="35"/>
      <c r="C435" s="37"/>
      <c r="D435" s="15" t="str">
        <f aca="false">IF(OR($A435="",$B435=""),"",ROUND(IFERROR(INDEX(海典汇总!$C$3:$AE$67,MATCH($A435,海典汇总!$A$3:$A$67,0),MATCH(INDEX(科目对照收入!$F$2:$F$23,MATCH($B435,科目对照收入!$B$2:$B$23,0)),海典汇总!$C$1:$AE$1,0)),0)+IFERROR(INDEX(海典汇总!$C$3:$AE$67,MATCH($A435,海典汇总!$A$3:$A$67,0),MATCH(INDEX(科目对照收入!$G$2:$G$23,MATCH($B435,科目对照收入!$B$2:$B$23,0)),海典汇总!$C$1:$AE$1,0)),0)+IFERROR(INDEX(海典汇总!$C$3:$AE$67,MATCH($A435,海典汇总!$A$3:$A$67,0),MATCH(INDEX(科目对照收入!$H$2:$H$23,MATCH($B435,科目对照收入!$B$2:$B$23,0)),海典汇总!$C$1:$AE$1,0)),0),2))</f>
        <v/>
      </c>
      <c r="E435" s="15" t="str">
        <f aca="false">IF($D435="","",ROUND($C435-$D435,2))</f>
        <v/>
      </c>
      <c r="F435" s="38" t="str">
        <f aca="false">IF($A435&amp;$B435="","",IF(COUNTIF(门店对照!$A$2:$A$66,$A435)=0,"× 门店编码不对",IF(COUNTIF(科目对照收入!$B$2:$B$23,$B435)=0,"× 渠道名不对",IF(INDEX(科目对照收入!$E$2:$E$23,MATCH($B435,科目对照收入!$B$2:$B$23,0))&lt;&gt;"平台优先","× 该项目不按平台金额",IF(COUNTIFS($A$2:$A$601,$A435,$B$2:$B$601,$B435)&gt;1,"× 同店同渠道重复","√")))))</f>
        <v/>
      </c>
    </row>
    <row r="436" customFormat="false" ht="13.5" hidden="false" customHeight="false" outlineLevel="0" collapsed="false">
      <c r="A436" s="35"/>
      <c r="B436" s="35"/>
      <c r="C436" s="37"/>
      <c r="D436" s="15" t="str">
        <f aca="false">IF(OR($A436="",$B436=""),"",ROUND(IFERROR(INDEX(海典汇总!$C$3:$AE$67,MATCH($A436,海典汇总!$A$3:$A$67,0),MATCH(INDEX(科目对照收入!$F$2:$F$23,MATCH($B436,科目对照收入!$B$2:$B$23,0)),海典汇总!$C$1:$AE$1,0)),0)+IFERROR(INDEX(海典汇总!$C$3:$AE$67,MATCH($A436,海典汇总!$A$3:$A$67,0),MATCH(INDEX(科目对照收入!$G$2:$G$23,MATCH($B436,科目对照收入!$B$2:$B$23,0)),海典汇总!$C$1:$AE$1,0)),0)+IFERROR(INDEX(海典汇总!$C$3:$AE$67,MATCH($A436,海典汇总!$A$3:$A$67,0),MATCH(INDEX(科目对照收入!$H$2:$H$23,MATCH($B436,科目对照收入!$B$2:$B$23,0)),海典汇总!$C$1:$AE$1,0)),0),2))</f>
        <v/>
      </c>
      <c r="E436" s="15" t="str">
        <f aca="false">IF($D436="","",ROUND($C436-$D436,2))</f>
        <v/>
      </c>
      <c r="F436" s="38" t="str">
        <f aca="false">IF($A436&amp;$B436="","",IF(COUNTIF(门店对照!$A$2:$A$66,$A436)=0,"× 门店编码不对",IF(COUNTIF(科目对照收入!$B$2:$B$23,$B436)=0,"× 渠道名不对",IF(INDEX(科目对照收入!$E$2:$E$23,MATCH($B436,科目对照收入!$B$2:$B$23,0))&lt;&gt;"平台优先","× 该项目不按平台金额",IF(COUNTIFS($A$2:$A$601,$A436,$B$2:$B$601,$B436)&gt;1,"× 同店同渠道重复","√")))))</f>
        <v/>
      </c>
    </row>
    <row r="437" customFormat="false" ht="13.5" hidden="false" customHeight="false" outlineLevel="0" collapsed="false">
      <c r="A437" s="35"/>
      <c r="B437" s="35"/>
      <c r="C437" s="37"/>
      <c r="D437" s="15" t="str">
        <f aca="false">IF(OR($A437="",$B437=""),"",ROUND(IFERROR(INDEX(海典汇总!$C$3:$AE$67,MATCH($A437,海典汇总!$A$3:$A$67,0),MATCH(INDEX(科目对照收入!$F$2:$F$23,MATCH($B437,科目对照收入!$B$2:$B$23,0)),海典汇总!$C$1:$AE$1,0)),0)+IFERROR(INDEX(海典汇总!$C$3:$AE$67,MATCH($A437,海典汇总!$A$3:$A$67,0),MATCH(INDEX(科目对照收入!$G$2:$G$23,MATCH($B437,科目对照收入!$B$2:$B$23,0)),海典汇总!$C$1:$AE$1,0)),0)+IFERROR(INDEX(海典汇总!$C$3:$AE$67,MATCH($A437,海典汇总!$A$3:$A$67,0),MATCH(INDEX(科目对照收入!$H$2:$H$23,MATCH($B437,科目对照收入!$B$2:$B$23,0)),海典汇总!$C$1:$AE$1,0)),0),2))</f>
        <v/>
      </c>
      <c r="E437" s="15" t="str">
        <f aca="false">IF($D437="","",ROUND($C437-$D437,2))</f>
        <v/>
      </c>
      <c r="F437" s="38" t="str">
        <f aca="false">IF($A437&amp;$B437="","",IF(COUNTIF(门店对照!$A$2:$A$66,$A437)=0,"× 门店编码不对",IF(COUNTIF(科目对照收入!$B$2:$B$23,$B437)=0,"× 渠道名不对",IF(INDEX(科目对照收入!$E$2:$E$23,MATCH($B437,科目对照收入!$B$2:$B$23,0))&lt;&gt;"平台优先","× 该项目不按平台金额",IF(COUNTIFS($A$2:$A$601,$A437,$B$2:$B$601,$B437)&gt;1,"× 同店同渠道重复","√")))))</f>
        <v/>
      </c>
    </row>
    <row r="438" customFormat="false" ht="13.5" hidden="false" customHeight="false" outlineLevel="0" collapsed="false">
      <c r="A438" s="35"/>
      <c r="B438" s="35"/>
      <c r="C438" s="37"/>
      <c r="D438" s="15" t="str">
        <f aca="false">IF(OR($A438="",$B438=""),"",ROUND(IFERROR(INDEX(海典汇总!$C$3:$AE$67,MATCH($A438,海典汇总!$A$3:$A$67,0),MATCH(INDEX(科目对照收入!$F$2:$F$23,MATCH($B438,科目对照收入!$B$2:$B$23,0)),海典汇总!$C$1:$AE$1,0)),0)+IFERROR(INDEX(海典汇总!$C$3:$AE$67,MATCH($A438,海典汇总!$A$3:$A$67,0),MATCH(INDEX(科目对照收入!$G$2:$G$23,MATCH($B438,科目对照收入!$B$2:$B$23,0)),海典汇总!$C$1:$AE$1,0)),0)+IFERROR(INDEX(海典汇总!$C$3:$AE$67,MATCH($A438,海典汇总!$A$3:$A$67,0),MATCH(INDEX(科目对照收入!$H$2:$H$23,MATCH($B438,科目对照收入!$B$2:$B$23,0)),海典汇总!$C$1:$AE$1,0)),0),2))</f>
        <v/>
      </c>
      <c r="E438" s="15" t="str">
        <f aca="false">IF($D438="","",ROUND($C438-$D438,2))</f>
        <v/>
      </c>
      <c r="F438" s="38" t="str">
        <f aca="false">IF($A438&amp;$B438="","",IF(COUNTIF(门店对照!$A$2:$A$66,$A438)=0,"× 门店编码不对",IF(COUNTIF(科目对照收入!$B$2:$B$23,$B438)=0,"× 渠道名不对",IF(INDEX(科目对照收入!$E$2:$E$23,MATCH($B438,科目对照收入!$B$2:$B$23,0))&lt;&gt;"平台优先","× 该项目不按平台金额",IF(COUNTIFS($A$2:$A$601,$A438,$B$2:$B$601,$B438)&gt;1,"× 同店同渠道重复","√")))))</f>
        <v/>
      </c>
    </row>
    <row r="439" customFormat="false" ht="13.5" hidden="false" customHeight="false" outlineLevel="0" collapsed="false">
      <c r="A439" s="35"/>
      <c r="B439" s="35"/>
      <c r="C439" s="37"/>
      <c r="D439" s="15" t="str">
        <f aca="false">IF(OR($A439="",$B439=""),"",ROUND(IFERROR(INDEX(海典汇总!$C$3:$AE$67,MATCH($A439,海典汇总!$A$3:$A$67,0),MATCH(INDEX(科目对照收入!$F$2:$F$23,MATCH($B439,科目对照收入!$B$2:$B$23,0)),海典汇总!$C$1:$AE$1,0)),0)+IFERROR(INDEX(海典汇总!$C$3:$AE$67,MATCH($A439,海典汇总!$A$3:$A$67,0),MATCH(INDEX(科目对照收入!$G$2:$G$23,MATCH($B439,科目对照收入!$B$2:$B$23,0)),海典汇总!$C$1:$AE$1,0)),0)+IFERROR(INDEX(海典汇总!$C$3:$AE$67,MATCH($A439,海典汇总!$A$3:$A$67,0),MATCH(INDEX(科目对照收入!$H$2:$H$23,MATCH($B439,科目对照收入!$B$2:$B$23,0)),海典汇总!$C$1:$AE$1,0)),0),2))</f>
        <v/>
      </c>
      <c r="E439" s="15" t="str">
        <f aca="false">IF($D439="","",ROUND($C439-$D439,2))</f>
        <v/>
      </c>
      <c r="F439" s="38" t="str">
        <f aca="false">IF($A439&amp;$B439="","",IF(COUNTIF(门店对照!$A$2:$A$66,$A439)=0,"× 门店编码不对",IF(COUNTIF(科目对照收入!$B$2:$B$23,$B439)=0,"× 渠道名不对",IF(INDEX(科目对照收入!$E$2:$E$23,MATCH($B439,科目对照收入!$B$2:$B$23,0))&lt;&gt;"平台优先","× 该项目不按平台金额",IF(COUNTIFS($A$2:$A$601,$A439,$B$2:$B$601,$B439)&gt;1,"× 同店同渠道重复","√")))))</f>
        <v/>
      </c>
    </row>
    <row r="440" customFormat="false" ht="13.5" hidden="false" customHeight="false" outlineLevel="0" collapsed="false">
      <c r="A440" s="35"/>
      <c r="B440" s="35"/>
      <c r="C440" s="37"/>
      <c r="D440" s="15" t="str">
        <f aca="false">IF(OR($A440="",$B440=""),"",ROUND(IFERROR(INDEX(海典汇总!$C$3:$AE$67,MATCH($A440,海典汇总!$A$3:$A$67,0),MATCH(INDEX(科目对照收入!$F$2:$F$23,MATCH($B440,科目对照收入!$B$2:$B$23,0)),海典汇总!$C$1:$AE$1,0)),0)+IFERROR(INDEX(海典汇总!$C$3:$AE$67,MATCH($A440,海典汇总!$A$3:$A$67,0),MATCH(INDEX(科目对照收入!$G$2:$G$23,MATCH($B440,科目对照收入!$B$2:$B$23,0)),海典汇总!$C$1:$AE$1,0)),0)+IFERROR(INDEX(海典汇总!$C$3:$AE$67,MATCH($A440,海典汇总!$A$3:$A$67,0),MATCH(INDEX(科目对照收入!$H$2:$H$23,MATCH($B440,科目对照收入!$B$2:$B$23,0)),海典汇总!$C$1:$AE$1,0)),0),2))</f>
        <v/>
      </c>
      <c r="E440" s="15" t="str">
        <f aca="false">IF($D440="","",ROUND($C440-$D440,2))</f>
        <v/>
      </c>
      <c r="F440" s="38" t="str">
        <f aca="false">IF($A440&amp;$B440="","",IF(COUNTIF(门店对照!$A$2:$A$66,$A440)=0,"× 门店编码不对",IF(COUNTIF(科目对照收入!$B$2:$B$23,$B440)=0,"× 渠道名不对",IF(INDEX(科目对照收入!$E$2:$E$23,MATCH($B440,科目对照收入!$B$2:$B$23,0))&lt;&gt;"平台优先","× 该项目不按平台金额",IF(COUNTIFS($A$2:$A$601,$A440,$B$2:$B$601,$B440)&gt;1,"× 同店同渠道重复","√")))))</f>
        <v/>
      </c>
    </row>
    <row r="441" customFormat="false" ht="13.5" hidden="false" customHeight="false" outlineLevel="0" collapsed="false">
      <c r="A441" s="35"/>
      <c r="B441" s="35"/>
      <c r="C441" s="37"/>
      <c r="D441" s="15" t="str">
        <f aca="false">IF(OR($A441="",$B441=""),"",ROUND(IFERROR(INDEX(海典汇总!$C$3:$AE$67,MATCH($A441,海典汇总!$A$3:$A$67,0),MATCH(INDEX(科目对照收入!$F$2:$F$23,MATCH($B441,科目对照收入!$B$2:$B$23,0)),海典汇总!$C$1:$AE$1,0)),0)+IFERROR(INDEX(海典汇总!$C$3:$AE$67,MATCH($A441,海典汇总!$A$3:$A$67,0),MATCH(INDEX(科目对照收入!$G$2:$G$23,MATCH($B441,科目对照收入!$B$2:$B$23,0)),海典汇总!$C$1:$AE$1,0)),0)+IFERROR(INDEX(海典汇总!$C$3:$AE$67,MATCH($A441,海典汇总!$A$3:$A$67,0),MATCH(INDEX(科目对照收入!$H$2:$H$23,MATCH($B441,科目对照收入!$B$2:$B$23,0)),海典汇总!$C$1:$AE$1,0)),0),2))</f>
        <v/>
      </c>
      <c r="E441" s="15" t="str">
        <f aca="false">IF($D441="","",ROUND($C441-$D441,2))</f>
        <v/>
      </c>
      <c r="F441" s="38" t="str">
        <f aca="false">IF($A441&amp;$B441="","",IF(COUNTIF(门店对照!$A$2:$A$66,$A441)=0,"× 门店编码不对",IF(COUNTIF(科目对照收入!$B$2:$B$23,$B441)=0,"× 渠道名不对",IF(INDEX(科目对照收入!$E$2:$E$23,MATCH($B441,科目对照收入!$B$2:$B$23,0))&lt;&gt;"平台优先","× 该项目不按平台金额",IF(COUNTIFS($A$2:$A$601,$A441,$B$2:$B$601,$B441)&gt;1,"× 同店同渠道重复","√")))))</f>
        <v/>
      </c>
    </row>
    <row r="442" customFormat="false" ht="13.5" hidden="false" customHeight="false" outlineLevel="0" collapsed="false">
      <c r="A442" s="35"/>
      <c r="B442" s="35"/>
      <c r="C442" s="37"/>
      <c r="D442" s="15" t="str">
        <f aca="false">IF(OR($A442="",$B442=""),"",ROUND(IFERROR(INDEX(海典汇总!$C$3:$AE$67,MATCH($A442,海典汇总!$A$3:$A$67,0),MATCH(INDEX(科目对照收入!$F$2:$F$23,MATCH($B442,科目对照收入!$B$2:$B$23,0)),海典汇总!$C$1:$AE$1,0)),0)+IFERROR(INDEX(海典汇总!$C$3:$AE$67,MATCH($A442,海典汇总!$A$3:$A$67,0),MATCH(INDEX(科目对照收入!$G$2:$G$23,MATCH($B442,科目对照收入!$B$2:$B$23,0)),海典汇总!$C$1:$AE$1,0)),0)+IFERROR(INDEX(海典汇总!$C$3:$AE$67,MATCH($A442,海典汇总!$A$3:$A$67,0),MATCH(INDEX(科目对照收入!$H$2:$H$23,MATCH($B442,科目对照收入!$B$2:$B$23,0)),海典汇总!$C$1:$AE$1,0)),0),2))</f>
        <v/>
      </c>
      <c r="E442" s="15" t="str">
        <f aca="false">IF($D442="","",ROUND($C442-$D442,2))</f>
        <v/>
      </c>
      <c r="F442" s="38" t="str">
        <f aca="false">IF($A442&amp;$B442="","",IF(COUNTIF(门店对照!$A$2:$A$66,$A442)=0,"× 门店编码不对",IF(COUNTIF(科目对照收入!$B$2:$B$23,$B442)=0,"× 渠道名不对",IF(INDEX(科目对照收入!$E$2:$E$23,MATCH($B442,科目对照收入!$B$2:$B$23,0))&lt;&gt;"平台优先","× 该项目不按平台金额",IF(COUNTIFS($A$2:$A$601,$A442,$B$2:$B$601,$B442)&gt;1,"× 同店同渠道重复","√")))))</f>
        <v/>
      </c>
    </row>
    <row r="443" customFormat="false" ht="13.5" hidden="false" customHeight="false" outlineLevel="0" collapsed="false">
      <c r="A443" s="35"/>
      <c r="B443" s="35"/>
      <c r="C443" s="37"/>
      <c r="D443" s="15" t="str">
        <f aca="false">IF(OR($A443="",$B443=""),"",ROUND(IFERROR(INDEX(海典汇总!$C$3:$AE$67,MATCH($A443,海典汇总!$A$3:$A$67,0),MATCH(INDEX(科目对照收入!$F$2:$F$23,MATCH($B443,科目对照收入!$B$2:$B$23,0)),海典汇总!$C$1:$AE$1,0)),0)+IFERROR(INDEX(海典汇总!$C$3:$AE$67,MATCH($A443,海典汇总!$A$3:$A$67,0),MATCH(INDEX(科目对照收入!$G$2:$G$23,MATCH($B443,科目对照收入!$B$2:$B$23,0)),海典汇总!$C$1:$AE$1,0)),0)+IFERROR(INDEX(海典汇总!$C$3:$AE$67,MATCH($A443,海典汇总!$A$3:$A$67,0),MATCH(INDEX(科目对照收入!$H$2:$H$23,MATCH($B443,科目对照收入!$B$2:$B$23,0)),海典汇总!$C$1:$AE$1,0)),0),2))</f>
        <v/>
      </c>
      <c r="E443" s="15" t="str">
        <f aca="false">IF($D443="","",ROUND($C443-$D443,2))</f>
        <v/>
      </c>
      <c r="F443" s="38" t="str">
        <f aca="false">IF($A443&amp;$B443="","",IF(COUNTIF(门店对照!$A$2:$A$66,$A443)=0,"× 门店编码不对",IF(COUNTIF(科目对照收入!$B$2:$B$23,$B443)=0,"× 渠道名不对",IF(INDEX(科目对照收入!$E$2:$E$23,MATCH($B443,科目对照收入!$B$2:$B$23,0))&lt;&gt;"平台优先","× 该项目不按平台金额",IF(COUNTIFS($A$2:$A$601,$A443,$B$2:$B$601,$B443)&gt;1,"× 同店同渠道重复","√")))))</f>
        <v/>
      </c>
    </row>
    <row r="444" customFormat="false" ht="13.5" hidden="false" customHeight="false" outlineLevel="0" collapsed="false">
      <c r="A444" s="35"/>
      <c r="B444" s="35"/>
      <c r="C444" s="37"/>
      <c r="D444" s="15" t="str">
        <f aca="false">IF(OR($A444="",$B444=""),"",ROUND(IFERROR(INDEX(海典汇总!$C$3:$AE$67,MATCH($A444,海典汇总!$A$3:$A$67,0),MATCH(INDEX(科目对照收入!$F$2:$F$23,MATCH($B444,科目对照收入!$B$2:$B$23,0)),海典汇总!$C$1:$AE$1,0)),0)+IFERROR(INDEX(海典汇总!$C$3:$AE$67,MATCH($A444,海典汇总!$A$3:$A$67,0),MATCH(INDEX(科目对照收入!$G$2:$G$23,MATCH($B444,科目对照收入!$B$2:$B$23,0)),海典汇总!$C$1:$AE$1,0)),0)+IFERROR(INDEX(海典汇总!$C$3:$AE$67,MATCH($A444,海典汇总!$A$3:$A$67,0),MATCH(INDEX(科目对照收入!$H$2:$H$23,MATCH($B444,科目对照收入!$B$2:$B$23,0)),海典汇总!$C$1:$AE$1,0)),0),2))</f>
        <v/>
      </c>
      <c r="E444" s="15" t="str">
        <f aca="false">IF($D444="","",ROUND($C444-$D444,2))</f>
        <v/>
      </c>
      <c r="F444" s="38" t="str">
        <f aca="false">IF($A444&amp;$B444="","",IF(COUNTIF(门店对照!$A$2:$A$66,$A444)=0,"× 门店编码不对",IF(COUNTIF(科目对照收入!$B$2:$B$23,$B444)=0,"× 渠道名不对",IF(INDEX(科目对照收入!$E$2:$E$23,MATCH($B444,科目对照收入!$B$2:$B$23,0))&lt;&gt;"平台优先","× 该项目不按平台金额",IF(COUNTIFS($A$2:$A$601,$A444,$B$2:$B$601,$B444)&gt;1,"× 同店同渠道重复","√")))))</f>
        <v/>
      </c>
    </row>
    <row r="445" customFormat="false" ht="13.5" hidden="false" customHeight="false" outlineLevel="0" collapsed="false">
      <c r="A445" s="35"/>
      <c r="B445" s="35"/>
      <c r="C445" s="37"/>
      <c r="D445" s="15" t="str">
        <f aca="false">IF(OR($A445="",$B445=""),"",ROUND(IFERROR(INDEX(海典汇总!$C$3:$AE$67,MATCH($A445,海典汇总!$A$3:$A$67,0),MATCH(INDEX(科目对照收入!$F$2:$F$23,MATCH($B445,科目对照收入!$B$2:$B$23,0)),海典汇总!$C$1:$AE$1,0)),0)+IFERROR(INDEX(海典汇总!$C$3:$AE$67,MATCH($A445,海典汇总!$A$3:$A$67,0),MATCH(INDEX(科目对照收入!$G$2:$G$23,MATCH($B445,科目对照收入!$B$2:$B$23,0)),海典汇总!$C$1:$AE$1,0)),0)+IFERROR(INDEX(海典汇总!$C$3:$AE$67,MATCH($A445,海典汇总!$A$3:$A$67,0),MATCH(INDEX(科目对照收入!$H$2:$H$23,MATCH($B445,科目对照收入!$B$2:$B$23,0)),海典汇总!$C$1:$AE$1,0)),0),2))</f>
        <v/>
      </c>
      <c r="E445" s="15" t="str">
        <f aca="false">IF($D445="","",ROUND($C445-$D445,2))</f>
        <v/>
      </c>
      <c r="F445" s="38" t="str">
        <f aca="false">IF($A445&amp;$B445="","",IF(COUNTIF(门店对照!$A$2:$A$66,$A445)=0,"× 门店编码不对",IF(COUNTIF(科目对照收入!$B$2:$B$23,$B445)=0,"× 渠道名不对",IF(INDEX(科目对照收入!$E$2:$E$23,MATCH($B445,科目对照收入!$B$2:$B$23,0))&lt;&gt;"平台优先","× 该项目不按平台金额",IF(COUNTIFS($A$2:$A$601,$A445,$B$2:$B$601,$B445)&gt;1,"× 同店同渠道重复","√")))))</f>
        <v/>
      </c>
    </row>
    <row r="446" customFormat="false" ht="13.5" hidden="false" customHeight="false" outlineLevel="0" collapsed="false">
      <c r="A446" s="35"/>
      <c r="B446" s="35"/>
      <c r="C446" s="37"/>
      <c r="D446" s="15" t="str">
        <f aca="false">IF(OR($A446="",$B446=""),"",ROUND(IFERROR(INDEX(海典汇总!$C$3:$AE$67,MATCH($A446,海典汇总!$A$3:$A$67,0),MATCH(INDEX(科目对照收入!$F$2:$F$23,MATCH($B446,科目对照收入!$B$2:$B$23,0)),海典汇总!$C$1:$AE$1,0)),0)+IFERROR(INDEX(海典汇总!$C$3:$AE$67,MATCH($A446,海典汇总!$A$3:$A$67,0),MATCH(INDEX(科目对照收入!$G$2:$G$23,MATCH($B446,科目对照收入!$B$2:$B$23,0)),海典汇总!$C$1:$AE$1,0)),0)+IFERROR(INDEX(海典汇总!$C$3:$AE$67,MATCH($A446,海典汇总!$A$3:$A$67,0),MATCH(INDEX(科目对照收入!$H$2:$H$23,MATCH($B446,科目对照收入!$B$2:$B$23,0)),海典汇总!$C$1:$AE$1,0)),0),2))</f>
        <v/>
      </c>
      <c r="E446" s="15" t="str">
        <f aca="false">IF($D446="","",ROUND($C446-$D446,2))</f>
        <v/>
      </c>
      <c r="F446" s="38" t="str">
        <f aca="false">IF($A446&amp;$B446="","",IF(COUNTIF(门店对照!$A$2:$A$66,$A446)=0,"× 门店编码不对",IF(COUNTIF(科目对照收入!$B$2:$B$23,$B446)=0,"× 渠道名不对",IF(INDEX(科目对照收入!$E$2:$E$23,MATCH($B446,科目对照收入!$B$2:$B$23,0))&lt;&gt;"平台优先","× 该项目不按平台金额",IF(COUNTIFS($A$2:$A$601,$A446,$B$2:$B$601,$B446)&gt;1,"× 同店同渠道重复","√")))))</f>
        <v/>
      </c>
    </row>
    <row r="447" customFormat="false" ht="13.5" hidden="false" customHeight="false" outlineLevel="0" collapsed="false">
      <c r="A447" s="35"/>
      <c r="B447" s="35"/>
      <c r="C447" s="37"/>
      <c r="D447" s="15" t="str">
        <f aca="false">IF(OR($A447="",$B447=""),"",ROUND(IFERROR(INDEX(海典汇总!$C$3:$AE$67,MATCH($A447,海典汇总!$A$3:$A$67,0),MATCH(INDEX(科目对照收入!$F$2:$F$23,MATCH($B447,科目对照收入!$B$2:$B$23,0)),海典汇总!$C$1:$AE$1,0)),0)+IFERROR(INDEX(海典汇总!$C$3:$AE$67,MATCH($A447,海典汇总!$A$3:$A$67,0),MATCH(INDEX(科目对照收入!$G$2:$G$23,MATCH($B447,科目对照收入!$B$2:$B$23,0)),海典汇总!$C$1:$AE$1,0)),0)+IFERROR(INDEX(海典汇总!$C$3:$AE$67,MATCH($A447,海典汇总!$A$3:$A$67,0),MATCH(INDEX(科目对照收入!$H$2:$H$23,MATCH($B447,科目对照收入!$B$2:$B$23,0)),海典汇总!$C$1:$AE$1,0)),0),2))</f>
        <v/>
      </c>
      <c r="E447" s="15" t="str">
        <f aca="false">IF($D447="","",ROUND($C447-$D447,2))</f>
        <v/>
      </c>
      <c r="F447" s="38" t="str">
        <f aca="false">IF($A447&amp;$B447="","",IF(COUNTIF(门店对照!$A$2:$A$66,$A447)=0,"× 门店编码不对",IF(COUNTIF(科目对照收入!$B$2:$B$23,$B447)=0,"× 渠道名不对",IF(INDEX(科目对照收入!$E$2:$E$23,MATCH($B447,科目对照收入!$B$2:$B$23,0))&lt;&gt;"平台优先","× 该项目不按平台金额",IF(COUNTIFS($A$2:$A$601,$A447,$B$2:$B$601,$B447)&gt;1,"× 同店同渠道重复","√")))))</f>
        <v/>
      </c>
    </row>
    <row r="448" customFormat="false" ht="13.5" hidden="false" customHeight="false" outlineLevel="0" collapsed="false">
      <c r="A448" s="35"/>
      <c r="B448" s="35"/>
      <c r="C448" s="37"/>
      <c r="D448" s="15" t="str">
        <f aca="false">IF(OR($A448="",$B448=""),"",ROUND(IFERROR(INDEX(海典汇总!$C$3:$AE$67,MATCH($A448,海典汇总!$A$3:$A$67,0),MATCH(INDEX(科目对照收入!$F$2:$F$23,MATCH($B448,科目对照收入!$B$2:$B$23,0)),海典汇总!$C$1:$AE$1,0)),0)+IFERROR(INDEX(海典汇总!$C$3:$AE$67,MATCH($A448,海典汇总!$A$3:$A$67,0),MATCH(INDEX(科目对照收入!$G$2:$G$23,MATCH($B448,科目对照收入!$B$2:$B$23,0)),海典汇总!$C$1:$AE$1,0)),0)+IFERROR(INDEX(海典汇总!$C$3:$AE$67,MATCH($A448,海典汇总!$A$3:$A$67,0),MATCH(INDEX(科目对照收入!$H$2:$H$23,MATCH($B448,科目对照收入!$B$2:$B$23,0)),海典汇总!$C$1:$AE$1,0)),0),2))</f>
        <v/>
      </c>
      <c r="E448" s="15" t="str">
        <f aca="false">IF($D448="","",ROUND($C448-$D448,2))</f>
        <v/>
      </c>
      <c r="F448" s="38" t="str">
        <f aca="false">IF($A448&amp;$B448="","",IF(COUNTIF(门店对照!$A$2:$A$66,$A448)=0,"× 门店编码不对",IF(COUNTIF(科目对照收入!$B$2:$B$23,$B448)=0,"× 渠道名不对",IF(INDEX(科目对照收入!$E$2:$E$23,MATCH($B448,科目对照收入!$B$2:$B$23,0))&lt;&gt;"平台优先","× 该项目不按平台金额",IF(COUNTIFS($A$2:$A$601,$A448,$B$2:$B$601,$B448)&gt;1,"× 同店同渠道重复","√")))))</f>
        <v/>
      </c>
    </row>
    <row r="449" customFormat="false" ht="13.5" hidden="false" customHeight="false" outlineLevel="0" collapsed="false">
      <c r="A449" s="35"/>
      <c r="B449" s="35"/>
      <c r="C449" s="37"/>
      <c r="D449" s="15" t="str">
        <f aca="false">IF(OR($A449="",$B449=""),"",ROUND(IFERROR(INDEX(海典汇总!$C$3:$AE$67,MATCH($A449,海典汇总!$A$3:$A$67,0),MATCH(INDEX(科目对照收入!$F$2:$F$23,MATCH($B449,科目对照收入!$B$2:$B$23,0)),海典汇总!$C$1:$AE$1,0)),0)+IFERROR(INDEX(海典汇总!$C$3:$AE$67,MATCH($A449,海典汇总!$A$3:$A$67,0),MATCH(INDEX(科目对照收入!$G$2:$G$23,MATCH($B449,科目对照收入!$B$2:$B$23,0)),海典汇总!$C$1:$AE$1,0)),0)+IFERROR(INDEX(海典汇总!$C$3:$AE$67,MATCH($A449,海典汇总!$A$3:$A$67,0),MATCH(INDEX(科目对照收入!$H$2:$H$23,MATCH($B449,科目对照收入!$B$2:$B$23,0)),海典汇总!$C$1:$AE$1,0)),0),2))</f>
        <v/>
      </c>
      <c r="E449" s="15" t="str">
        <f aca="false">IF($D449="","",ROUND($C449-$D449,2))</f>
        <v/>
      </c>
      <c r="F449" s="38" t="str">
        <f aca="false">IF($A449&amp;$B449="","",IF(COUNTIF(门店对照!$A$2:$A$66,$A449)=0,"× 门店编码不对",IF(COUNTIF(科目对照收入!$B$2:$B$23,$B449)=0,"× 渠道名不对",IF(INDEX(科目对照收入!$E$2:$E$23,MATCH($B449,科目对照收入!$B$2:$B$23,0))&lt;&gt;"平台优先","× 该项目不按平台金额",IF(COUNTIFS($A$2:$A$601,$A449,$B$2:$B$601,$B449)&gt;1,"× 同店同渠道重复","√")))))</f>
        <v/>
      </c>
    </row>
    <row r="450" customFormat="false" ht="13.5" hidden="false" customHeight="false" outlineLevel="0" collapsed="false">
      <c r="A450" s="35"/>
      <c r="B450" s="35"/>
      <c r="C450" s="37"/>
      <c r="D450" s="15" t="str">
        <f aca="false">IF(OR($A450="",$B450=""),"",ROUND(IFERROR(INDEX(海典汇总!$C$3:$AE$67,MATCH($A450,海典汇总!$A$3:$A$67,0),MATCH(INDEX(科目对照收入!$F$2:$F$23,MATCH($B450,科目对照收入!$B$2:$B$23,0)),海典汇总!$C$1:$AE$1,0)),0)+IFERROR(INDEX(海典汇总!$C$3:$AE$67,MATCH($A450,海典汇总!$A$3:$A$67,0),MATCH(INDEX(科目对照收入!$G$2:$G$23,MATCH($B450,科目对照收入!$B$2:$B$23,0)),海典汇总!$C$1:$AE$1,0)),0)+IFERROR(INDEX(海典汇总!$C$3:$AE$67,MATCH($A450,海典汇总!$A$3:$A$67,0),MATCH(INDEX(科目对照收入!$H$2:$H$23,MATCH($B450,科目对照收入!$B$2:$B$23,0)),海典汇总!$C$1:$AE$1,0)),0),2))</f>
        <v/>
      </c>
      <c r="E450" s="15" t="str">
        <f aca="false">IF($D450="","",ROUND($C450-$D450,2))</f>
        <v/>
      </c>
      <c r="F450" s="38" t="str">
        <f aca="false">IF($A450&amp;$B450="","",IF(COUNTIF(门店对照!$A$2:$A$66,$A450)=0,"× 门店编码不对",IF(COUNTIF(科目对照收入!$B$2:$B$23,$B450)=0,"× 渠道名不对",IF(INDEX(科目对照收入!$E$2:$E$23,MATCH($B450,科目对照收入!$B$2:$B$23,0))&lt;&gt;"平台优先","× 该项目不按平台金额",IF(COUNTIFS($A$2:$A$601,$A450,$B$2:$B$601,$B450)&gt;1,"× 同店同渠道重复","√")))))</f>
        <v/>
      </c>
    </row>
    <row r="451" customFormat="false" ht="13.5" hidden="false" customHeight="false" outlineLevel="0" collapsed="false">
      <c r="A451" s="35"/>
      <c r="B451" s="35"/>
      <c r="C451" s="37"/>
      <c r="D451" s="15" t="str">
        <f aca="false">IF(OR($A451="",$B451=""),"",ROUND(IFERROR(INDEX(海典汇总!$C$3:$AE$67,MATCH($A451,海典汇总!$A$3:$A$67,0),MATCH(INDEX(科目对照收入!$F$2:$F$23,MATCH($B451,科目对照收入!$B$2:$B$23,0)),海典汇总!$C$1:$AE$1,0)),0)+IFERROR(INDEX(海典汇总!$C$3:$AE$67,MATCH($A451,海典汇总!$A$3:$A$67,0),MATCH(INDEX(科目对照收入!$G$2:$G$23,MATCH($B451,科目对照收入!$B$2:$B$23,0)),海典汇总!$C$1:$AE$1,0)),0)+IFERROR(INDEX(海典汇总!$C$3:$AE$67,MATCH($A451,海典汇总!$A$3:$A$67,0),MATCH(INDEX(科目对照收入!$H$2:$H$23,MATCH($B451,科目对照收入!$B$2:$B$23,0)),海典汇总!$C$1:$AE$1,0)),0),2))</f>
        <v/>
      </c>
      <c r="E451" s="15" t="str">
        <f aca="false">IF($D451="","",ROUND($C451-$D451,2))</f>
        <v/>
      </c>
      <c r="F451" s="38" t="str">
        <f aca="false">IF($A451&amp;$B451="","",IF(COUNTIF(门店对照!$A$2:$A$66,$A451)=0,"× 门店编码不对",IF(COUNTIF(科目对照收入!$B$2:$B$23,$B451)=0,"× 渠道名不对",IF(INDEX(科目对照收入!$E$2:$E$23,MATCH($B451,科目对照收入!$B$2:$B$23,0))&lt;&gt;"平台优先","× 该项目不按平台金额",IF(COUNTIFS($A$2:$A$601,$A451,$B$2:$B$601,$B451)&gt;1,"× 同店同渠道重复","√")))))</f>
        <v/>
      </c>
    </row>
    <row r="452" customFormat="false" ht="13.5" hidden="false" customHeight="false" outlineLevel="0" collapsed="false">
      <c r="A452" s="35"/>
      <c r="B452" s="35"/>
      <c r="C452" s="37"/>
      <c r="D452" s="15" t="str">
        <f aca="false">IF(OR($A452="",$B452=""),"",ROUND(IFERROR(INDEX(海典汇总!$C$3:$AE$67,MATCH($A452,海典汇总!$A$3:$A$67,0),MATCH(INDEX(科目对照收入!$F$2:$F$23,MATCH($B452,科目对照收入!$B$2:$B$23,0)),海典汇总!$C$1:$AE$1,0)),0)+IFERROR(INDEX(海典汇总!$C$3:$AE$67,MATCH($A452,海典汇总!$A$3:$A$67,0),MATCH(INDEX(科目对照收入!$G$2:$G$23,MATCH($B452,科目对照收入!$B$2:$B$23,0)),海典汇总!$C$1:$AE$1,0)),0)+IFERROR(INDEX(海典汇总!$C$3:$AE$67,MATCH($A452,海典汇总!$A$3:$A$67,0),MATCH(INDEX(科目对照收入!$H$2:$H$23,MATCH($B452,科目对照收入!$B$2:$B$23,0)),海典汇总!$C$1:$AE$1,0)),0),2))</f>
        <v/>
      </c>
      <c r="E452" s="15" t="str">
        <f aca="false">IF($D452="","",ROUND($C452-$D452,2))</f>
        <v/>
      </c>
      <c r="F452" s="38" t="str">
        <f aca="false">IF($A452&amp;$B452="","",IF(COUNTIF(门店对照!$A$2:$A$66,$A452)=0,"× 门店编码不对",IF(COUNTIF(科目对照收入!$B$2:$B$23,$B452)=0,"× 渠道名不对",IF(INDEX(科目对照收入!$E$2:$E$23,MATCH($B452,科目对照收入!$B$2:$B$23,0))&lt;&gt;"平台优先","× 该项目不按平台金额",IF(COUNTIFS($A$2:$A$601,$A452,$B$2:$B$601,$B452)&gt;1,"× 同店同渠道重复","√")))))</f>
        <v/>
      </c>
    </row>
    <row r="453" customFormat="false" ht="13.5" hidden="false" customHeight="false" outlineLevel="0" collapsed="false">
      <c r="A453" s="35"/>
      <c r="B453" s="35"/>
      <c r="C453" s="37"/>
      <c r="D453" s="15" t="str">
        <f aca="false">IF(OR($A453="",$B453=""),"",ROUND(IFERROR(INDEX(海典汇总!$C$3:$AE$67,MATCH($A453,海典汇总!$A$3:$A$67,0),MATCH(INDEX(科目对照收入!$F$2:$F$23,MATCH($B453,科目对照收入!$B$2:$B$23,0)),海典汇总!$C$1:$AE$1,0)),0)+IFERROR(INDEX(海典汇总!$C$3:$AE$67,MATCH($A453,海典汇总!$A$3:$A$67,0),MATCH(INDEX(科目对照收入!$G$2:$G$23,MATCH($B453,科目对照收入!$B$2:$B$23,0)),海典汇总!$C$1:$AE$1,0)),0)+IFERROR(INDEX(海典汇总!$C$3:$AE$67,MATCH($A453,海典汇总!$A$3:$A$67,0),MATCH(INDEX(科目对照收入!$H$2:$H$23,MATCH($B453,科目对照收入!$B$2:$B$23,0)),海典汇总!$C$1:$AE$1,0)),0),2))</f>
        <v/>
      </c>
      <c r="E453" s="15" t="str">
        <f aca="false">IF($D453="","",ROUND($C453-$D453,2))</f>
        <v/>
      </c>
      <c r="F453" s="38" t="str">
        <f aca="false">IF($A453&amp;$B453="","",IF(COUNTIF(门店对照!$A$2:$A$66,$A453)=0,"× 门店编码不对",IF(COUNTIF(科目对照收入!$B$2:$B$23,$B453)=0,"× 渠道名不对",IF(INDEX(科目对照收入!$E$2:$E$23,MATCH($B453,科目对照收入!$B$2:$B$23,0))&lt;&gt;"平台优先","× 该项目不按平台金额",IF(COUNTIFS($A$2:$A$601,$A453,$B$2:$B$601,$B453)&gt;1,"× 同店同渠道重复","√")))))</f>
        <v/>
      </c>
    </row>
    <row r="454" customFormat="false" ht="13.5" hidden="false" customHeight="false" outlineLevel="0" collapsed="false">
      <c r="A454" s="35"/>
      <c r="B454" s="35"/>
      <c r="C454" s="37"/>
      <c r="D454" s="15" t="str">
        <f aca="false">IF(OR($A454="",$B454=""),"",ROUND(IFERROR(INDEX(海典汇总!$C$3:$AE$67,MATCH($A454,海典汇总!$A$3:$A$67,0),MATCH(INDEX(科目对照收入!$F$2:$F$23,MATCH($B454,科目对照收入!$B$2:$B$23,0)),海典汇总!$C$1:$AE$1,0)),0)+IFERROR(INDEX(海典汇总!$C$3:$AE$67,MATCH($A454,海典汇总!$A$3:$A$67,0),MATCH(INDEX(科目对照收入!$G$2:$G$23,MATCH($B454,科目对照收入!$B$2:$B$23,0)),海典汇总!$C$1:$AE$1,0)),0)+IFERROR(INDEX(海典汇总!$C$3:$AE$67,MATCH($A454,海典汇总!$A$3:$A$67,0),MATCH(INDEX(科目对照收入!$H$2:$H$23,MATCH($B454,科目对照收入!$B$2:$B$23,0)),海典汇总!$C$1:$AE$1,0)),0),2))</f>
        <v/>
      </c>
      <c r="E454" s="15" t="str">
        <f aca="false">IF($D454="","",ROUND($C454-$D454,2))</f>
        <v/>
      </c>
      <c r="F454" s="38" t="str">
        <f aca="false">IF($A454&amp;$B454="","",IF(COUNTIF(门店对照!$A$2:$A$66,$A454)=0,"× 门店编码不对",IF(COUNTIF(科目对照收入!$B$2:$B$23,$B454)=0,"× 渠道名不对",IF(INDEX(科目对照收入!$E$2:$E$23,MATCH($B454,科目对照收入!$B$2:$B$23,0))&lt;&gt;"平台优先","× 该项目不按平台金额",IF(COUNTIFS($A$2:$A$601,$A454,$B$2:$B$601,$B454)&gt;1,"× 同店同渠道重复","√")))))</f>
        <v/>
      </c>
    </row>
    <row r="455" customFormat="false" ht="13.5" hidden="false" customHeight="false" outlineLevel="0" collapsed="false">
      <c r="A455" s="35"/>
      <c r="B455" s="35"/>
      <c r="C455" s="37"/>
      <c r="D455" s="15" t="str">
        <f aca="false">IF(OR($A455="",$B455=""),"",ROUND(IFERROR(INDEX(海典汇总!$C$3:$AE$67,MATCH($A455,海典汇总!$A$3:$A$67,0),MATCH(INDEX(科目对照收入!$F$2:$F$23,MATCH($B455,科目对照收入!$B$2:$B$23,0)),海典汇总!$C$1:$AE$1,0)),0)+IFERROR(INDEX(海典汇总!$C$3:$AE$67,MATCH($A455,海典汇总!$A$3:$A$67,0),MATCH(INDEX(科目对照收入!$G$2:$G$23,MATCH($B455,科目对照收入!$B$2:$B$23,0)),海典汇总!$C$1:$AE$1,0)),0)+IFERROR(INDEX(海典汇总!$C$3:$AE$67,MATCH($A455,海典汇总!$A$3:$A$67,0),MATCH(INDEX(科目对照收入!$H$2:$H$23,MATCH($B455,科目对照收入!$B$2:$B$23,0)),海典汇总!$C$1:$AE$1,0)),0),2))</f>
        <v/>
      </c>
      <c r="E455" s="15" t="str">
        <f aca="false">IF($D455="","",ROUND($C455-$D455,2))</f>
        <v/>
      </c>
      <c r="F455" s="38" t="str">
        <f aca="false">IF($A455&amp;$B455="","",IF(COUNTIF(门店对照!$A$2:$A$66,$A455)=0,"× 门店编码不对",IF(COUNTIF(科目对照收入!$B$2:$B$23,$B455)=0,"× 渠道名不对",IF(INDEX(科目对照收入!$E$2:$E$23,MATCH($B455,科目对照收入!$B$2:$B$23,0))&lt;&gt;"平台优先","× 该项目不按平台金额",IF(COUNTIFS($A$2:$A$601,$A455,$B$2:$B$601,$B455)&gt;1,"× 同店同渠道重复","√")))))</f>
        <v/>
      </c>
    </row>
    <row r="456" customFormat="false" ht="13.5" hidden="false" customHeight="false" outlineLevel="0" collapsed="false">
      <c r="A456" s="35"/>
      <c r="B456" s="35"/>
      <c r="C456" s="37"/>
      <c r="D456" s="15" t="str">
        <f aca="false">IF(OR($A456="",$B456=""),"",ROUND(IFERROR(INDEX(海典汇总!$C$3:$AE$67,MATCH($A456,海典汇总!$A$3:$A$67,0),MATCH(INDEX(科目对照收入!$F$2:$F$23,MATCH($B456,科目对照收入!$B$2:$B$23,0)),海典汇总!$C$1:$AE$1,0)),0)+IFERROR(INDEX(海典汇总!$C$3:$AE$67,MATCH($A456,海典汇总!$A$3:$A$67,0),MATCH(INDEX(科目对照收入!$G$2:$G$23,MATCH($B456,科目对照收入!$B$2:$B$23,0)),海典汇总!$C$1:$AE$1,0)),0)+IFERROR(INDEX(海典汇总!$C$3:$AE$67,MATCH($A456,海典汇总!$A$3:$A$67,0),MATCH(INDEX(科目对照收入!$H$2:$H$23,MATCH($B456,科目对照收入!$B$2:$B$23,0)),海典汇总!$C$1:$AE$1,0)),0),2))</f>
        <v/>
      </c>
      <c r="E456" s="15" t="str">
        <f aca="false">IF($D456="","",ROUND($C456-$D456,2))</f>
        <v/>
      </c>
      <c r="F456" s="38" t="str">
        <f aca="false">IF($A456&amp;$B456="","",IF(COUNTIF(门店对照!$A$2:$A$66,$A456)=0,"× 门店编码不对",IF(COUNTIF(科目对照收入!$B$2:$B$23,$B456)=0,"× 渠道名不对",IF(INDEX(科目对照收入!$E$2:$E$23,MATCH($B456,科目对照收入!$B$2:$B$23,0))&lt;&gt;"平台优先","× 该项目不按平台金额",IF(COUNTIFS($A$2:$A$601,$A456,$B$2:$B$601,$B456)&gt;1,"× 同店同渠道重复","√")))))</f>
        <v/>
      </c>
    </row>
    <row r="457" customFormat="false" ht="13.5" hidden="false" customHeight="false" outlineLevel="0" collapsed="false">
      <c r="A457" s="35"/>
      <c r="B457" s="35"/>
      <c r="C457" s="37"/>
      <c r="D457" s="15" t="str">
        <f aca="false">IF(OR($A457="",$B457=""),"",ROUND(IFERROR(INDEX(海典汇总!$C$3:$AE$67,MATCH($A457,海典汇总!$A$3:$A$67,0),MATCH(INDEX(科目对照收入!$F$2:$F$23,MATCH($B457,科目对照收入!$B$2:$B$23,0)),海典汇总!$C$1:$AE$1,0)),0)+IFERROR(INDEX(海典汇总!$C$3:$AE$67,MATCH($A457,海典汇总!$A$3:$A$67,0),MATCH(INDEX(科目对照收入!$G$2:$G$23,MATCH($B457,科目对照收入!$B$2:$B$23,0)),海典汇总!$C$1:$AE$1,0)),0)+IFERROR(INDEX(海典汇总!$C$3:$AE$67,MATCH($A457,海典汇总!$A$3:$A$67,0),MATCH(INDEX(科目对照收入!$H$2:$H$23,MATCH($B457,科目对照收入!$B$2:$B$23,0)),海典汇总!$C$1:$AE$1,0)),0),2))</f>
        <v/>
      </c>
      <c r="E457" s="15" t="str">
        <f aca="false">IF($D457="","",ROUND($C457-$D457,2))</f>
        <v/>
      </c>
      <c r="F457" s="38" t="str">
        <f aca="false">IF($A457&amp;$B457="","",IF(COUNTIF(门店对照!$A$2:$A$66,$A457)=0,"× 门店编码不对",IF(COUNTIF(科目对照收入!$B$2:$B$23,$B457)=0,"× 渠道名不对",IF(INDEX(科目对照收入!$E$2:$E$23,MATCH($B457,科目对照收入!$B$2:$B$23,0))&lt;&gt;"平台优先","× 该项目不按平台金额",IF(COUNTIFS($A$2:$A$601,$A457,$B$2:$B$601,$B457)&gt;1,"× 同店同渠道重复","√")))))</f>
        <v/>
      </c>
    </row>
    <row r="458" customFormat="false" ht="13.5" hidden="false" customHeight="false" outlineLevel="0" collapsed="false">
      <c r="A458" s="35"/>
      <c r="B458" s="35"/>
      <c r="C458" s="37"/>
      <c r="D458" s="15" t="str">
        <f aca="false">IF(OR($A458="",$B458=""),"",ROUND(IFERROR(INDEX(海典汇总!$C$3:$AE$67,MATCH($A458,海典汇总!$A$3:$A$67,0),MATCH(INDEX(科目对照收入!$F$2:$F$23,MATCH($B458,科目对照收入!$B$2:$B$23,0)),海典汇总!$C$1:$AE$1,0)),0)+IFERROR(INDEX(海典汇总!$C$3:$AE$67,MATCH($A458,海典汇总!$A$3:$A$67,0),MATCH(INDEX(科目对照收入!$G$2:$G$23,MATCH($B458,科目对照收入!$B$2:$B$23,0)),海典汇总!$C$1:$AE$1,0)),0)+IFERROR(INDEX(海典汇总!$C$3:$AE$67,MATCH($A458,海典汇总!$A$3:$A$67,0),MATCH(INDEX(科目对照收入!$H$2:$H$23,MATCH($B458,科目对照收入!$B$2:$B$23,0)),海典汇总!$C$1:$AE$1,0)),0),2))</f>
        <v/>
      </c>
      <c r="E458" s="15" t="str">
        <f aca="false">IF($D458="","",ROUND($C458-$D458,2))</f>
        <v/>
      </c>
      <c r="F458" s="38" t="str">
        <f aca="false">IF($A458&amp;$B458="","",IF(COUNTIF(门店对照!$A$2:$A$66,$A458)=0,"× 门店编码不对",IF(COUNTIF(科目对照收入!$B$2:$B$23,$B458)=0,"× 渠道名不对",IF(INDEX(科目对照收入!$E$2:$E$23,MATCH($B458,科目对照收入!$B$2:$B$23,0))&lt;&gt;"平台优先","× 该项目不按平台金额",IF(COUNTIFS($A$2:$A$601,$A458,$B$2:$B$601,$B458)&gt;1,"× 同店同渠道重复","√")))))</f>
        <v/>
      </c>
    </row>
    <row r="459" customFormat="false" ht="13.5" hidden="false" customHeight="false" outlineLevel="0" collapsed="false">
      <c r="A459" s="35"/>
      <c r="B459" s="35"/>
      <c r="C459" s="37"/>
      <c r="D459" s="15" t="str">
        <f aca="false">IF(OR($A459="",$B459=""),"",ROUND(IFERROR(INDEX(海典汇总!$C$3:$AE$67,MATCH($A459,海典汇总!$A$3:$A$67,0),MATCH(INDEX(科目对照收入!$F$2:$F$23,MATCH($B459,科目对照收入!$B$2:$B$23,0)),海典汇总!$C$1:$AE$1,0)),0)+IFERROR(INDEX(海典汇总!$C$3:$AE$67,MATCH($A459,海典汇总!$A$3:$A$67,0),MATCH(INDEX(科目对照收入!$G$2:$G$23,MATCH($B459,科目对照收入!$B$2:$B$23,0)),海典汇总!$C$1:$AE$1,0)),0)+IFERROR(INDEX(海典汇总!$C$3:$AE$67,MATCH($A459,海典汇总!$A$3:$A$67,0),MATCH(INDEX(科目对照收入!$H$2:$H$23,MATCH($B459,科目对照收入!$B$2:$B$23,0)),海典汇总!$C$1:$AE$1,0)),0),2))</f>
        <v/>
      </c>
      <c r="E459" s="15" t="str">
        <f aca="false">IF($D459="","",ROUND($C459-$D459,2))</f>
        <v/>
      </c>
      <c r="F459" s="38" t="str">
        <f aca="false">IF($A459&amp;$B459="","",IF(COUNTIF(门店对照!$A$2:$A$66,$A459)=0,"× 门店编码不对",IF(COUNTIF(科目对照收入!$B$2:$B$23,$B459)=0,"× 渠道名不对",IF(INDEX(科目对照收入!$E$2:$E$23,MATCH($B459,科目对照收入!$B$2:$B$23,0))&lt;&gt;"平台优先","× 该项目不按平台金额",IF(COUNTIFS($A$2:$A$601,$A459,$B$2:$B$601,$B459)&gt;1,"× 同店同渠道重复","√")))))</f>
        <v/>
      </c>
    </row>
    <row r="460" customFormat="false" ht="13.5" hidden="false" customHeight="false" outlineLevel="0" collapsed="false">
      <c r="A460" s="35"/>
      <c r="B460" s="35"/>
      <c r="C460" s="37"/>
      <c r="D460" s="15" t="str">
        <f aca="false">IF(OR($A460="",$B460=""),"",ROUND(IFERROR(INDEX(海典汇总!$C$3:$AE$67,MATCH($A460,海典汇总!$A$3:$A$67,0),MATCH(INDEX(科目对照收入!$F$2:$F$23,MATCH($B460,科目对照收入!$B$2:$B$23,0)),海典汇总!$C$1:$AE$1,0)),0)+IFERROR(INDEX(海典汇总!$C$3:$AE$67,MATCH($A460,海典汇总!$A$3:$A$67,0),MATCH(INDEX(科目对照收入!$G$2:$G$23,MATCH($B460,科目对照收入!$B$2:$B$23,0)),海典汇总!$C$1:$AE$1,0)),0)+IFERROR(INDEX(海典汇总!$C$3:$AE$67,MATCH($A460,海典汇总!$A$3:$A$67,0),MATCH(INDEX(科目对照收入!$H$2:$H$23,MATCH($B460,科目对照收入!$B$2:$B$23,0)),海典汇总!$C$1:$AE$1,0)),0),2))</f>
        <v/>
      </c>
      <c r="E460" s="15" t="str">
        <f aca="false">IF($D460="","",ROUND($C460-$D460,2))</f>
        <v/>
      </c>
      <c r="F460" s="38" t="str">
        <f aca="false">IF($A460&amp;$B460="","",IF(COUNTIF(门店对照!$A$2:$A$66,$A460)=0,"× 门店编码不对",IF(COUNTIF(科目对照收入!$B$2:$B$23,$B460)=0,"× 渠道名不对",IF(INDEX(科目对照收入!$E$2:$E$23,MATCH($B460,科目对照收入!$B$2:$B$23,0))&lt;&gt;"平台优先","× 该项目不按平台金额",IF(COUNTIFS($A$2:$A$601,$A460,$B$2:$B$601,$B460)&gt;1,"× 同店同渠道重复","√")))))</f>
        <v/>
      </c>
    </row>
    <row r="461" customFormat="false" ht="13.5" hidden="false" customHeight="false" outlineLevel="0" collapsed="false">
      <c r="A461" s="35"/>
      <c r="B461" s="35"/>
      <c r="C461" s="37"/>
      <c r="D461" s="15" t="str">
        <f aca="false">IF(OR($A461="",$B461=""),"",ROUND(IFERROR(INDEX(海典汇总!$C$3:$AE$67,MATCH($A461,海典汇总!$A$3:$A$67,0),MATCH(INDEX(科目对照收入!$F$2:$F$23,MATCH($B461,科目对照收入!$B$2:$B$23,0)),海典汇总!$C$1:$AE$1,0)),0)+IFERROR(INDEX(海典汇总!$C$3:$AE$67,MATCH($A461,海典汇总!$A$3:$A$67,0),MATCH(INDEX(科目对照收入!$G$2:$G$23,MATCH($B461,科目对照收入!$B$2:$B$23,0)),海典汇总!$C$1:$AE$1,0)),0)+IFERROR(INDEX(海典汇总!$C$3:$AE$67,MATCH($A461,海典汇总!$A$3:$A$67,0),MATCH(INDEX(科目对照收入!$H$2:$H$23,MATCH($B461,科目对照收入!$B$2:$B$23,0)),海典汇总!$C$1:$AE$1,0)),0),2))</f>
        <v/>
      </c>
      <c r="E461" s="15" t="str">
        <f aca="false">IF($D461="","",ROUND($C461-$D461,2))</f>
        <v/>
      </c>
      <c r="F461" s="38" t="str">
        <f aca="false">IF($A461&amp;$B461="","",IF(COUNTIF(门店对照!$A$2:$A$66,$A461)=0,"× 门店编码不对",IF(COUNTIF(科目对照收入!$B$2:$B$23,$B461)=0,"× 渠道名不对",IF(INDEX(科目对照收入!$E$2:$E$23,MATCH($B461,科目对照收入!$B$2:$B$23,0))&lt;&gt;"平台优先","× 该项目不按平台金额",IF(COUNTIFS($A$2:$A$601,$A461,$B$2:$B$601,$B461)&gt;1,"× 同店同渠道重复","√")))))</f>
        <v/>
      </c>
    </row>
    <row r="462" customFormat="false" ht="13.5" hidden="false" customHeight="false" outlineLevel="0" collapsed="false">
      <c r="A462" s="35"/>
      <c r="B462" s="35"/>
      <c r="C462" s="37"/>
      <c r="D462" s="15" t="str">
        <f aca="false">IF(OR($A462="",$B462=""),"",ROUND(IFERROR(INDEX(海典汇总!$C$3:$AE$67,MATCH($A462,海典汇总!$A$3:$A$67,0),MATCH(INDEX(科目对照收入!$F$2:$F$23,MATCH($B462,科目对照收入!$B$2:$B$23,0)),海典汇总!$C$1:$AE$1,0)),0)+IFERROR(INDEX(海典汇总!$C$3:$AE$67,MATCH($A462,海典汇总!$A$3:$A$67,0),MATCH(INDEX(科目对照收入!$G$2:$G$23,MATCH($B462,科目对照收入!$B$2:$B$23,0)),海典汇总!$C$1:$AE$1,0)),0)+IFERROR(INDEX(海典汇总!$C$3:$AE$67,MATCH($A462,海典汇总!$A$3:$A$67,0),MATCH(INDEX(科目对照收入!$H$2:$H$23,MATCH($B462,科目对照收入!$B$2:$B$23,0)),海典汇总!$C$1:$AE$1,0)),0),2))</f>
        <v/>
      </c>
      <c r="E462" s="15" t="str">
        <f aca="false">IF($D462="","",ROUND($C462-$D462,2))</f>
        <v/>
      </c>
      <c r="F462" s="38" t="str">
        <f aca="false">IF($A462&amp;$B462="","",IF(COUNTIF(门店对照!$A$2:$A$66,$A462)=0,"× 门店编码不对",IF(COUNTIF(科目对照收入!$B$2:$B$23,$B462)=0,"× 渠道名不对",IF(INDEX(科目对照收入!$E$2:$E$23,MATCH($B462,科目对照收入!$B$2:$B$23,0))&lt;&gt;"平台优先","× 该项目不按平台金额",IF(COUNTIFS($A$2:$A$601,$A462,$B$2:$B$601,$B462)&gt;1,"× 同店同渠道重复","√")))))</f>
        <v/>
      </c>
    </row>
    <row r="463" customFormat="false" ht="13.5" hidden="false" customHeight="false" outlineLevel="0" collapsed="false">
      <c r="A463" s="35"/>
      <c r="B463" s="35"/>
      <c r="C463" s="37"/>
      <c r="D463" s="15" t="str">
        <f aca="false">IF(OR($A463="",$B463=""),"",ROUND(IFERROR(INDEX(海典汇总!$C$3:$AE$67,MATCH($A463,海典汇总!$A$3:$A$67,0),MATCH(INDEX(科目对照收入!$F$2:$F$23,MATCH($B463,科目对照收入!$B$2:$B$23,0)),海典汇总!$C$1:$AE$1,0)),0)+IFERROR(INDEX(海典汇总!$C$3:$AE$67,MATCH($A463,海典汇总!$A$3:$A$67,0),MATCH(INDEX(科目对照收入!$G$2:$G$23,MATCH($B463,科目对照收入!$B$2:$B$23,0)),海典汇总!$C$1:$AE$1,0)),0)+IFERROR(INDEX(海典汇总!$C$3:$AE$67,MATCH($A463,海典汇总!$A$3:$A$67,0),MATCH(INDEX(科目对照收入!$H$2:$H$23,MATCH($B463,科目对照收入!$B$2:$B$23,0)),海典汇总!$C$1:$AE$1,0)),0),2))</f>
        <v/>
      </c>
      <c r="E463" s="15" t="str">
        <f aca="false">IF($D463="","",ROUND($C463-$D463,2))</f>
        <v/>
      </c>
      <c r="F463" s="38" t="str">
        <f aca="false">IF($A463&amp;$B463="","",IF(COUNTIF(门店对照!$A$2:$A$66,$A463)=0,"× 门店编码不对",IF(COUNTIF(科目对照收入!$B$2:$B$23,$B463)=0,"× 渠道名不对",IF(INDEX(科目对照收入!$E$2:$E$23,MATCH($B463,科目对照收入!$B$2:$B$23,0))&lt;&gt;"平台优先","× 该项目不按平台金额",IF(COUNTIFS($A$2:$A$601,$A463,$B$2:$B$601,$B463)&gt;1,"× 同店同渠道重复","√")))))</f>
        <v/>
      </c>
    </row>
    <row r="464" customFormat="false" ht="13.5" hidden="false" customHeight="false" outlineLevel="0" collapsed="false">
      <c r="A464" s="35"/>
      <c r="B464" s="35"/>
      <c r="C464" s="37"/>
      <c r="D464" s="15" t="str">
        <f aca="false">IF(OR($A464="",$B464=""),"",ROUND(IFERROR(INDEX(海典汇总!$C$3:$AE$67,MATCH($A464,海典汇总!$A$3:$A$67,0),MATCH(INDEX(科目对照收入!$F$2:$F$23,MATCH($B464,科目对照收入!$B$2:$B$23,0)),海典汇总!$C$1:$AE$1,0)),0)+IFERROR(INDEX(海典汇总!$C$3:$AE$67,MATCH($A464,海典汇总!$A$3:$A$67,0),MATCH(INDEX(科目对照收入!$G$2:$G$23,MATCH($B464,科目对照收入!$B$2:$B$23,0)),海典汇总!$C$1:$AE$1,0)),0)+IFERROR(INDEX(海典汇总!$C$3:$AE$67,MATCH($A464,海典汇总!$A$3:$A$67,0),MATCH(INDEX(科目对照收入!$H$2:$H$23,MATCH($B464,科目对照收入!$B$2:$B$23,0)),海典汇总!$C$1:$AE$1,0)),0),2))</f>
        <v/>
      </c>
      <c r="E464" s="15" t="str">
        <f aca="false">IF($D464="","",ROUND($C464-$D464,2))</f>
        <v/>
      </c>
      <c r="F464" s="38" t="str">
        <f aca="false">IF($A464&amp;$B464="","",IF(COUNTIF(门店对照!$A$2:$A$66,$A464)=0,"× 门店编码不对",IF(COUNTIF(科目对照收入!$B$2:$B$23,$B464)=0,"× 渠道名不对",IF(INDEX(科目对照收入!$E$2:$E$23,MATCH($B464,科目对照收入!$B$2:$B$23,0))&lt;&gt;"平台优先","× 该项目不按平台金额",IF(COUNTIFS($A$2:$A$601,$A464,$B$2:$B$601,$B464)&gt;1,"× 同店同渠道重复","√")))))</f>
        <v/>
      </c>
    </row>
    <row r="465" customFormat="false" ht="13.5" hidden="false" customHeight="false" outlineLevel="0" collapsed="false">
      <c r="A465" s="35"/>
      <c r="B465" s="35"/>
      <c r="C465" s="37"/>
      <c r="D465" s="15" t="str">
        <f aca="false">IF(OR($A465="",$B465=""),"",ROUND(IFERROR(INDEX(海典汇总!$C$3:$AE$67,MATCH($A465,海典汇总!$A$3:$A$67,0),MATCH(INDEX(科目对照收入!$F$2:$F$23,MATCH($B465,科目对照收入!$B$2:$B$23,0)),海典汇总!$C$1:$AE$1,0)),0)+IFERROR(INDEX(海典汇总!$C$3:$AE$67,MATCH($A465,海典汇总!$A$3:$A$67,0),MATCH(INDEX(科目对照收入!$G$2:$G$23,MATCH($B465,科目对照收入!$B$2:$B$23,0)),海典汇总!$C$1:$AE$1,0)),0)+IFERROR(INDEX(海典汇总!$C$3:$AE$67,MATCH($A465,海典汇总!$A$3:$A$67,0),MATCH(INDEX(科目对照收入!$H$2:$H$23,MATCH($B465,科目对照收入!$B$2:$B$23,0)),海典汇总!$C$1:$AE$1,0)),0),2))</f>
        <v/>
      </c>
      <c r="E465" s="15" t="str">
        <f aca="false">IF($D465="","",ROUND($C465-$D465,2))</f>
        <v/>
      </c>
      <c r="F465" s="38" t="str">
        <f aca="false">IF($A465&amp;$B465="","",IF(COUNTIF(门店对照!$A$2:$A$66,$A465)=0,"× 门店编码不对",IF(COUNTIF(科目对照收入!$B$2:$B$23,$B465)=0,"× 渠道名不对",IF(INDEX(科目对照收入!$E$2:$E$23,MATCH($B465,科目对照收入!$B$2:$B$23,0))&lt;&gt;"平台优先","× 该项目不按平台金额",IF(COUNTIFS($A$2:$A$601,$A465,$B$2:$B$601,$B465)&gt;1,"× 同店同渠道重复","√")))))</f>
        <v/>
      </c>
    </row>
    <row r="466" customFormat="false" ht="13.5" hidden="false" customHeight="false" outlineLevel="0" collapsed="false">
      <c r="A466" s="35"/>
      <c r="B466" s="35"/>
      <c r="C466" s="37"/>
      <c r="D466" s="15" t="str">
        <f aca="false">IF(OR($A466="",$B466=""),"",ROUND(IFERROR(INDEX(海典汇总!$C$3:$AE$67,MATCH($A466,海典汇总!$A$3:$A$67,0),MATCH(INDEX(科目对照收入!$F$2:$F$23,MATCH($B466,科目对照收入!$B$2:$B$23,0)),海典汇总!$C$1:$AE$1,0)),0)+IFERROR(INDEX(海典汇总!$C$3:$AE$67,MATCH($A466,海典汇总!$A$3:$A$67,0),MATCH(INDEX(科目对照收入!$G$2:$G$23,MATCH($B466,科目对照收入!$B$2:$B$23,0)),海典汇总!$C$1:$AE$1,0)),0)+IFERROR(INDEX(海典汇总!$C$3:$AE$67,MATCH($A466,海典汇总!$A$3:$A$67,0),MATCH(INDEX(科目对照收入!$H$2:$H$23,MATCH($B466,科目对照收入!$B$2:$B$23,0)),海典汇总!$C$1:$AE$1,0)),0),2))</f>
        <v/>
      </c>
      <c r="E466" s="15" t="str">
        <f aca="false">IF($D466="","",ROUND($C466-$D466,2))</f>
        <v/>
      </c>
      <c r="F466" s="38" t="str">
        <f aca="false">IF($A466&amp;$B466="","",IF(COUNTIF(门店对照!$A$2:$A$66,$A466)=0,"× 门店编码不对",IF(COUNTIF(科目对照收入!$B$2:$B$23,$B466)=0,"× 渠道名不对",IF(INDEX(科目对照收入!$E$2:$E$23,MATCH($B466,科目对照收入!$B$2:$B$23,0))&lt;&gt;"平台优先","× 该项目不按平台金额",IF(COUNTIFS($A$2:$A$601,$A466,$B$2:$B$601,$B466)&gt;1,"× 同店同渠道重复","√")))))</f>
        <v/>
      </c>
    </row>
    <row r="467" customFormat="false" ht="13.5" hidden="false" customHeight="false" outlineLevel="0" collapsed="false">
      <c r="A467" s="35"/>
      <c r="B467" s="35"/>
      <c r="C467" s="37"/>
      <c r="D467" s="15" t="str">
        <f aca="false">IF(OR($A467="",$B467=""),"",ROUND(IFERROR(INDEX(海典汇总!$C$3:$AE$67,MATCH($A467,海典汇总!$A$3:$A$67,0),MATCH(INDEX(科目对照收入!$F$2:$F$23,MATCH($B467,科目对照收入!$B$2:$B$23,0)),海典汇总!$C$1:$AE$1,0)),0)+IFERROR(INDEX(海典汇总!$C$3:$AE$67,MATCH($A467,海典汇总!$A$3:$A$67,0),MATCH(INDEX(科目对照收入!$G$2:$G$23,MATCH($B467,科目对照收入!$B$2:$B$23,0)),海典汇总!$C$1:$AE$1,0)),0)+IFERROR(INDEX(海典汇总!$C$3:$AE$67,MATCH($A467,海典汇总!$A$3:$A$67,0),MATCH(INDEX(科目对照收入!$H$2:$H$23,MATCH($B467,科目对照收入!$B$2:$B$23,0)),海典汇总!$C$1:$AE$1,0)),0),2))</f>
        <v/>
      </c>
      <c r="E467" s="15" t="str">
        <f aca="false">IF($D467="","",ROUND($C467-$D467,2))</f>
        <v/>
      </c>
      <c r="F467" s="38" t="str">
        <f aca="false">IF($A467&amp;$B467="","",IF(COUNTIF(门店对照!$A$2:$A$66,$A467)=0,"× 门店编码不对",IF(COUNTIF(科目对照收入!$B$2:$B$23,$B467)=0,"× 渠道名不对",IF(INDEX(科目对照收入!$E$2:$E$23,MATCH($B467,科目对照收入!$B$2:$B$23,0))&lt;&gt;"平台优先","× 该项目不按平台金额",IF(COUNTIFS($A$2:$A$601,$A467,$B$2:$B$601,$B467)&gt;1,"× 同店同渠道重复","√")))))</f>
        <v/>
      </c>
    </row>
    <row r="468" customFormat="false" ht="13.5" hidden="false" customHeight="false" outlineLevel="0" collapsed="false">
      <c r="A468" s="35"/>
      <c r="B468" s="35"/>
      <c r="C468" s="37"/>
      <c r="D468" s="15" t="str">
        <f aca="false">IF(OR($A468="",$B468=""),"",ROUND(IFERROR(INDEX(海典汇总!$C$3:$AE$67,MATCH($A468,海典汇总!$A$3:$A$67,0),MATCH(INDEX(科目对照收入!$F$2:$F$23,MATCH($B468,科目对照收入!$B$2:$B$23,0)),海典汇总!$C$1:$AE$1,0)),0)+IFERROR(INDEX(海典汇总!$C$3:$AE$67,MATCH($A468,海典汇总!$A$3:$A$67,0),MATCH(INDEX(科目对照收入!$G$2:$G$23,MATCH($B468,科目对照收入!$B$2:$B$23,0)),海典汇总!$C$1:$AE$1,0)),0)+IFERROR(INDEX(海典汇总!$C$3:$AE$67,MATCH($A468,海典汇总!$A$3:$A$67,0),MATCH(INDEX(科目对照收入!$H$2:$H$23,MATCH($B468,科目对照收入!$B$2:$B$23,0)),海典汇总!$C$1:$AE$1,0)),0),2))</f>
        <v/>
      </c>
      <c r="E468" s="15" t="str">
        <f aca="false">IF($D468="","",ROUND($C468-$D468,2))</f>
        <v/>
      </c>
      <c r="F468" s="38" t="str">
        <f aca="false">IF($A468&amp;$B468="","",IF(COUNTIF(门店对照!$A$2:$A$66,$A468)=0,"× 门店编码不对",IF(COUNTIF(科目对照收入!$B$2:$B$23,$B468)=0,"× 渠道名不对",IF(INDEX(科目对照收入!$E$2:$E$23,MATCH($B468,科目对照收入!$B$2:$B$23,0))&lt;&gt;"平台优先","× 该项目不按平台金额",IF(COUNTIFS($A$2:$A$601,$A468,$B$2:$B$601,$B468)&gt;1,"× 同店同渠道重复","√")))))</f>
        <v/>
      </c>
    </row>
    <row r="469" customFormat="false" ht="13.5" hidden="false" customHeight="false" outlineLevel="0" collapsed="false">
      <c r="A469" s="35"/>
      <c r="B469" s="35"/>
      <c r="C469" s="37"/>
      <c r="D469" s="15" t="str">
        <f aca="false">IF(OR($A469="",$B469=""),"",ROUND(IFERROR(INDEX(海典汇总!$C$3:$AE$67,MATCH($A469,海典汇总!$A$3:$A$67,0),MATCH(INDEX(科目对照收入!$F$2:$F$23,MATCH($B469,科目对照收入!$B$2:$B$23,0)),海典汇总!$C$1:$AE$1,0)),0)+IFERROR(INDEX(海典汇总!$C$3:$AE$67,MATCH($A469,海典汇总!$A$3:$A$67,0),MATCH(INDEX(科目对照收入!$G$2:$G$23,MATCH($B469,科目对照收入!$B$2:$B$23,0)),海典汇总!$C$1:$AE$1,0)),0)+IFERROR(INDEX(海典汇总!$C$3:$AE$67,MATCH($A469,海典汇总!$A$3:$A$67,0),MATCH(INDEX(科目对照收入!$H$2:$H$23,MATCH($B469,科目对照收入!$B$2:$B$23,0)),海典汇总!$C$1:$AE$1,0)),0),2))</f>
        <v/>
      </c>
      <c r="E469" s="15" t="str">
        <f aca="false">IF($D469="","",ROUND($C469-$D469,2))</f>
        <v/>
      </c>
      <c r="F469" s="38" t="str">
        <f aca="false">IF($A469&amp;$B469="","",IF(COUNTIF(门店对照!$A$2:$A$66,$A469)=0,"× 门店编码不对",IF(COUNTIF(科目对照收入!$B$2:$B$23,$B469)=0,"× 渠道名不对",IF(INDEX(科目对照收入!$E$2:$E$23,MATCH($B469,科目对照收入!$B$2:$B$23,0))&lt;&gt;"平台优先","× 该项目不按平台金额",IF(COUNTIFS($A$2:$A$601,$A469,$B$2:$B$601,$B469)&gt;1,"× 同店同渠道重复","√")))))</f>
        <v/>
      </c>
    </row>
    <row r="470" customFormat="false" ht="13.5" hidden="false" customHeight="false" outlineLevel="0" collapsed="false">
      <c r="A470" s="35"/>
      <c r="B470" s="35"/>
      <c r="C470" s="37"/>
      <c r="D470" s="15" t="str">
        <f aca="false">IF(OR($A470="",$B470=""),"",ROUND(IFERROR(INDEX(海典汇总!$C$3:$AE$67,MATCH($A470,海典汇总!$A$3:$A$67,0),MATCH(INDEX(科目对照收入!$F$2:$F$23,MATCH($B470,科目对照收入!$B$2:$B$23,0)),海典汇总!$C$1:$AE$1,0)),0)+IFERROR(INDEX(海典汇总!$C$3:$AE$67,MATCH($A470,海典汇总!$A$3:$A$67,0),MATCH(INDEX(科目对照收入!$G$2:$G$23,MATCH($B470,科目对照收入!$B$2:$B$23,0)),海典汇总!$C$1:$AE$1,0)),0)+IFERROR(INDEX(海典汇总!$C$3:$AE$67,MATCH($A470,海典汇总!$A$3:$A$67,0),MATCH(INDEX(科目对照收入!$H$2:$H$23,MATCH($B470,科目对照收入!$B$2:$B$23,0)),海典汇总!$C$1:$AE$1,0)),0),2))</f>
        <v/>
      </c>
      <c r="E470" s="15" t="str">
        <f aca="false">IF($D470="","",ROUND($C470-$D470,2))</f>
        <v/>
      </c>
      <c r="F470" s="38" t="str">
        <f aca="false">IF($A470&amp;$B470="","",IF(COUNTIF(门店对照!$A$2:$A$66,$A470)=0,"× 门店编码不对",IF(COUNTIF(科目对照收入!$B$2:$B$23,$B470)=0,"× 渠道名不对",IF(INDEX(科目对照收入!$E$2:$E$23,MATCH($B470,科目对照收入!$B$2:$B$23,0))&lt;&gt;"平台优先","× 该项目不按平台金额",IF(COUNTIFS($A$2:$A$601,$A470,$B$2:$B$601,$B470)&gt;1,"× 同店同渠道重复","√")))))</f>
        <v/>
      </c>
    </row>
    <row r="471" customFormat="false" ht="13.5" hidden="false" customHeight="false" outlineLevel="0" collapsed="false">
      <c r="A471" s="35"/>
      <c r="B471" s="35"/>
      <c r="C471" s="37"/>
      <c r="D471" s="15" t="str">
        <f aca="false">IF(OR($A471="",$B471=""),"",ROUND(IFERROR(INDEX(海典汇总!$C$3:$AE$67,MATCH($A471,海典汇总!$A$3:$A$67,0),MATCH(INDEX(科目对照收入!$F$2:$F$23,MATCH($B471,科目对照收入!$B$2:$B$23,0)),海典汇总!$C$1:$AE$1,0)),0)+IFERROR(INDEX(海典汇总!$C$3:$AE$67,MATCH($A471,海典汇总!$A$3:$A$67,0),MATCH(INDEX(科目对照收入!$G$2:$G$23,MATCH($B471,科目对照收入!$B$2:$B$23,0)),海典汇总!$C$1:$AE$1,0)),0)+IFERROR(INDEX(海典汇总!$C$3:$AE$67,MATCH($A471,海典汇总!$A$3:$A$67,0),MATCH(INDEX(科目对照收入!$H$2:$H$23,MATCH($B471,科目对照收入!$B$2:$B$23,0)),海典汇总!$C$1:$AE$1,0)),0),2))</f>
        <v/>
      </c>
      <c r="E471" s="15" t="str">
        <f aca="false">IF($D471="","",ROUND($C471-$D471,2))</f>
        <v/>
      </c>
      <c r="F471" s="38" t="str">
        <f aca="false">IF($A471&amp;$B471="","",IF(COUNTIF(门店对照!$A$2:$A$66,$A471)=0,"× 门店编码不对",IF(COUNTIF(科目对照收入!$B$2:$B$23,$B471)=0,"× 渠道名不对",IF(INDEX(科目对照收入!$E$2:$E$23,MATCH($B471,科目对照收入!$B$2:$B$23,0))&lt;&gt;"平台优先","× 该项目不按平台金额",IF(COUNTIFS($A$2:$A$601,$A471,$B$2:$B$601,$B471)&gt;1,"× 同店同渠道重复","√")))))</f>
        <v/>
      </c>
    </row>
    <row r="472" customFormat="false" ht="13.5" hidden="false" customHeight="false" outlineLevel="0" collapsed="false">
      <c r="A472" s="35"/>
      <c r="B472" s="35"/>
      <c r="C472" s="37"/>
      <c r="D472" s="15" t="str">
        <f aca="false">IF(OR($A472="",$B472=""),"",ROUND(IFERROR(INDEX(海典汇总!$C$3:$AE$67,MATCH($A472,海典汇总!$A$3:$A$67,0),MATCH(INDEX(科目对照收入!$F$2:$F$23,MATCH($B472,科目对照收入!$B$2:$B$23,0)),海典汇总!$C$1:$AE$1,0)),0)+IFERROR(INDEX(海典汇总!$C$3:$AE$67,MATCH($A472,海典汇总!$A$3:$A$67,0),MATCH(INDEX(科目对照收入!$G$2:$G$23,MATCH($B472,科目对照收入!$B$2:$B$23,0)),海典汇总!$C$1:$AE$1,0)),0)+IFERROR(INDEX(海典汇总!$C$3:$AE$67,MATCH($A472,海典汇总!$A$3:$A$67,0),MATCH(INDEX(科目对照收入!$H$2:$H$23,MATCH($B472,科目对照收入!$B$2:$B$23,0)),海典汇总!$C$1:$AE$1,0)),0),2))</f>
        <v/>
      </c>
      <c r="E472" s="15" t="str">
        <f aca="false">IF($D472="","",ROUND($C472-$D472,2))</f>
        <v/>
      </c>
      <c r="F472" s="38" t="str">
        <f aca="false">IF($A472&amp;$B472="","",IF(COUNTIF(门店对照!$A$2:$A$66,$A472)=0,"× 门店编码不对",IF(COUNTIF(科目对照收入!$B$2:$B$23,$B472)=0,"× 渠道名不对",IF(INDEX(科目对照收入!$E$2:$E$23,MATCH($B472,科目对照收入!$B$2:$B$23,0))&lt;&gt;"平台优先","× 该项目不按平台金额",IF(COUNTIFS($A$2:$A$601,$A472,$B$2:$B$601,$B472)&gt;1,"× 同店同渠道重复","√")))))</f>
        <v/>
      </c>
    </row>
    <row r="473" customFormat="false" ht="13.5" hidden="false" customHeight="false" outlineLevel="0" collapsed="false">
      <c r="A473" s="35"/>
      <c r="B473" s="35"/>
      <c r="C473" s="37"/>
      <c r="D473" s="15" t="str">
        <f aca="false">IF(OR($A473="",$B473=""),"",ROUND(IFERROR(INDEX(海典汇总!$C$3:$AE$67,MATCH($A473,海典汇总!$A$3:$A$67,0),MATCH(INDEX(科目对照收入!$F$2:$F$23,MATCH($B473,科目对照收入!$B$2:$B$23,0)),海典汇总!$C$1:$AE$1,0)),0)+IFERROR(INDEX(海典汇总!$C$3:$AE$67,MATCH($A473,海典汇总!$A$3:$A$67,0),MATCH(INDEX(科目对照收入!$G$2:$G$23,MATCH($B473,科目对照收入!$B$2:$B$23,0)),海典汇总!$C$1:$AE$1,0)),0)+IFERROR(INDEX(海典汇总!$C$3:$AE$67,MATCH($A473,海典汇总!$A$3:$A$67,0),MATCH(INDEX(科目对照收入!$H$2:$H$23,MATCH($B473,科目对照收入!$B$2:$B$23,0)),海典汇总!$C$1:$AE$1,0)),0),2))</f>
        <v/>
      </c>
      <c r="E473" s="15" t="str">
        <f aca="false">IF($D473="","",ROUND($C473-$D473,2))</f>
        <v/>
      </c>
      <c r="F473" s="38" t="str">
        <f aca="false">IF($A473&amp;$B473="","",IF(COUNTIF(门店对照!$A$2:$A$66,$A473)=0,"× 门店编码不对",IF(COUNTIF(科目对照收入!$B$2:$B$23,$B473)=0,"× 渠道名不对",IF(INDEX(科目对照收入!$E$2:$E$23,MATCH($B473,科目对照收入!$B$2:$B$23,0))&lt;&gt;"平台优先","× 该项目不按平台金额",IF(COUNTIFS($A$2:$A$601,$A473,$B$2:$B$601,$B473)&gt;1,"× 同店同渠道重复","√")))))</f>
        <v/>
      </c>
    </row>
    <row r="474" customFormat="false" ht="13.5" hidden="false" customHeight="false" outlineLevel="0" collapsed="false">
      <c r="A474" s="35"/>
      <c r="B474" s="35"/>
      <c r="C474" s="37"/>
      <c r="D474" s="15" t="str">
        <f aca="false">IF(OR($A474="",$B474=""),"",ROUND(IFERROR(INDEX(海典汇总!$C$3:$AE$67,MATCH($A474,海典汇总!$A$3:$A$67,0),MATCH(INDEX(科目对照收入!$F$2:$F$23,MATCH($B474,科目对照收入!$B$2:$B$23,0)),海典汇总!$C$1:$AE$1,0)),0)+IFERROR(INDEX(海典汇总!$C$3:$AE$67,MATCH($A474,海典汇总!$A$3:$A$67,0),MATCH(INDEX(科目对照收入!$G$2:$G$23,MATCH($B474,科目对照收入!$B$2:$B$23,0)),海典汇总!$C$1:$AE$1,0)),0)+IFERROR(INDEX(海典汇总!$C$3:$AE$67,MATCH($A474,海典汇总!$A$3:$A$67,0),MATCH(INDEX(科目对照收入!$H$2:$H$23,MATCH($B474,科目对照收入!$B$2:$B$23,0)),海典汇总!$C$1:$AE$1,0)),0),2))</f>
        <v/>
      </c>
      <c r="E474" s="15" t="str">
        <f aca="false">IF($D474="","",ROUND($C474-$D474,2))</f>
        <v/>
      </c>
      <c r="F474" s="38" t="str">
        <f aca="false">IF($A474&amp;$B474="","",IF(COUNTIF(门店对照!$A$2:$A$66,$A474)=0,"× 门店编码不对",IF(COUNTIF(科目对照收入!$B$2:$B$23,$B474)=0,"× 渠道名不对",IF(INDEX(科目对照收入!$E$2:$E$23,MATCH($B474,科目对照收入!$B$2:$B$23,0))&lt;&gt;"平台优先","× 该项目不按平台金额",IF(COUNTIFS($A$2:$A$601,$A474,$B$2:$B$601,$B474)&gt;1,"× 同店同渠道重复","√")))))</f>
        <v/>
      </c>
    </row>
    <row r="475" customFormat="false" ht="13.5" hidden="false" customHeight="false" outlineLevel="0" collapsed="false">
      <c r="A475" s="35"/>
      <c r="B475" s="35"/>
      <c r="C475" s="37"/>
      <c r="D475" s="15" t="str">
        <f aca="false">IF(OR($A475="",$B475=""),"",ROUND(IFERROR(INDEX(海典汇总!$C$3:$AE$67,MATCH($A475,海典汇总!$A$3:$A$67,0),MATCH(INDEX(科目对照收入!$F$2:$F$23,MATCH($B475,科目对照收入!$B$2:$B$23,0)),海典汇总!$C$1:$AE$1,0)),0)+IFERROR(INDEX(海典汇总!$C$3:$AE$67,MATCH($A475,海典汇总!$A$3:$A$67,0),MATCH(INDEX(科目对照收入!$G$2:$G$23,MATCH($B475,科目对照收入!$B$2:$B$23,0)),海典汇总!$C$1:$AE$1,0)),0)+IFERROR(INDEX(海典汇总!$C$3:$AE$67,MATCH($A475,海典汇总!$A$3:$A$67,0),MATCH(INDEX(科目对照收入!$H$2:$H$23,MATCH($B475,科目对照收入!$B$2:$B$23,0)),海典汇总!$C$1:$AE$1,0)),0),2))</f>
        <v/>
      </c>
      <c r="E475" s="15" t="str">
        <f aca="false">IF($D475="","",ROUND($C475-$D475,2))</f>
        <v/>
      </c>
      <c r="F475" s="38" t="str">
        <f aca="false">IF($A475&amp;$B475="","",IF(COUNTIF(门店对照!$A$2:$A$66,$A475)=0,"× 门店编码不对",IF(COUNTIF(科目对照收入!$B$2:$B$23,$B475)=0,"× 渠道名不对",IF(INDEX(科目对照收入!$E$2:$E$23,MATCH($B475,科目对照收入!$B$2:$B$23,0))&lt;&gt;"平台优先","× 该项目不按平台金额",IF(COUNTIFS($A$2:$A$601,$A475,$B$2:$B$601,$B475)&gt;1,"× 同店同渠道重复","√")))))</f>
        <v/>
      </c>
    </row>
    <row r="476" customFormat="false" ht="13.5" hidden="false" customHeight="false" outlineLevel="0" collapsed="false">
      <c r="A476" s="35"/>
      <c r="B476" s="35"/>
      <c r="C476" s="37"/>
      <c r="D476" s="15" t="str">
        <f aca="false">IF(OR($A476="",$B476=""),"",ROUND(IFERROR(INDEX(海典汇总!$C$3:$AE$67,MATCH($A476,海典汇总!$A$3:$A$67,0),MATCH(INDEX(科目对照收入!$F$2:$F$23,MATCH($B476,科目对照收入!$B$2:$B$23,0)),海典汇总!$C$1:$AE$1,0)),0)+IFERROR(INDEX(海典汇总!$C$3:$AE$67,MATCH($A476,海典汇总!$A$3:$A$67,0),MATCH(INDEX(科目对照收入!$G$2:$G$23,MATCH($B476,科目对照收入!$B$2:$B$23,0)),海典汇总!$C$1:$AE$1,0)),0)+IFERROR(INDEX(海典汇总!$C$3:$AE$67,MATCH($A476,海典汇总!$A$3:$A$67,0),MATCH(INDEX(科目对照收入!$H$2:$H$23,MATCH($B476,科目对照收入!$B$2:$B$23,0)),海典汇总!$C$1:$AE$1,0)),0),2))</f>
        <v/>
      </c>
      <c r="E476" s="15" t="str">
        <f aca="false">IF($D476="","",ROUND($C476-$D476,2))</f>
        <v/>
      </c>
      <c r="F476" s="38" t="str">
        <f aca="false">IF($A476&amp;$B476="","",IF(COUNTIF(门店对照!$A$2:$A$66,$A476)=0,"× 门店编码不对",IF(COUNTIF(科目对照收入!$B$2:$B$23,$B476)=0,"× 渠道名不对",IF(INDEX(科目对照收入!$E$2:$E$23,MATCH($B476,科目对照收入!$B$2:$B$23,0))&lt;&gt;"平台优先","× 该项目不按平台金额",IF(COUNTIFS($A$2:$A$601,$A476,$B$2:$B$601,$B476)&gt;1,"× 同店同渠道重复","√")))))</f>
        <v/>
      </c>
    </row>
    <row r="477" customFormat="false" ht="13.5" hidden="false" customHeight="false" outlineLevel="0" collapsed="false">
      <c r="A477" s="35"/>
      <c r="B477" s="35"/>
      <c r="C477" s="37"/>
      <c r="D477" s="15" t="str">
        <f aca="false">IF(OR($A477="",$B477=""),"",ROUND(IFERROR(INDEX(海典汇总!$C$3:$AE$67,MATCH($A477,海典汇总!$A$3:$A$67,0),MATCH(INDEX(科目对照收入!$F$2:$F$23,MATCH($B477,科目对照收入!$B$2:$B$23,0)),海典汇总!$C$1:$AE$1,0)),0)+IFERROR(INDEX(海典汇总!$C$3:$AE$67,MATCH($A477,海典汇总!$A$3:$A$67,0),MATCH(INDEX(科目对照收入!$G$2:$G$23,MATCH($B477,科目对照收入!$B$2:$B$23,0)),海典汇总!$C$1:$AE$1,0)),0)+IFERROR(INDEX(海典汇总!$C$3:$AE$67,MATCH($A477,海典汇总!$A$3:$A$67,0),MATCH(INDEX(科目对照收入!$H$2:$H$23,MATCH($B477,科目对照收入!$B$2:$B$23,0)),海典汇总!$C$1:$AE$1,0)),0),2))</f>
        <v/>
      </c>
      <c r="E477" s="15" t="str">
        <f aca="false">IF($D477="","",ROUND($C477-$D477,2))</f>
        <v/>
      </c>
      <c r="F477" s="38" t="str">
        <f aca="false">IF($A477&amp;$B477="","",IF(COUNTIF(门店对照!$A$2:$A$66,$A477)=0,"× 门店编码不对",IF(COUNTIF(科目对照收入!$B$2:$B$23,$B477)=0,"× 渠道名不对",IF(INDEX(科目对照收入!$E$2:$E$23,MATCH($B477,科目对照收入!$B$2:$B$23,0))&lt;&gt;"平台优先","× 该项目不按平台金额",IF(COUNTIFS($A$2:$A$601,$A477,$B$2:$B$601,$B477)&gt;1,"× 同店同渠道重复","√")))))</f>
        <v/>
      </c>
    </row>
    <row r="478" customFormat="false" ht="13.5" hidden="false" customHeight="false" outlineLevel="0" collapsed="false">
      <c r="A478" s="35"/>
      <c r="B478" s="35"/>
      <c r="C478" s="37"/>
      <c r="D478" s="15" t="str">
        <f aca="false">IF(OR($A478="",$B478=""),"",ROUND(IFERROR(INDEX(海典汇总!$C$3:$AE$67,MATCH($A478,海典汇总!$A$3:$A$67,0),MATCH(INDEX(科目对照收入!$F$2:$F$23,MATCH($B478,科目对照收入!$B$2:$B$23,0)),海典汇总!$C$1:$AE$1,0)),0)+IFERROR(INDEX(海典汇总!$C$3:$AE$67,MATCH($A478,海典汇总!$A$3:$A$67,0),MATCH(INDEX(科目对照收入!$G$2:$G$23,MATCH($B478,科目对照收入!$B$2:$B$23,0)),海典汇总!$C$1:$AE$1,0)),0)+IFERROR(INDEX(海典汇总!$C$3:$AE$67,MATCH($A478,海典汇总!$A$3:$A$67,0),MATCH(INDEX(科目对照收入!$H$2:$H$23,MATCH($B478,科目对照收入!$B$2:$B$23,0)),海典汇总!$C$1:$AE$1,0)),0),2))</f>
        <v/>
      </c>
      <c r="E478" s="15" t="str">
        <f aca="false">IF($D478="","",ROUND($C478-$D478,2))</f>
        <v/>
      </c>
      <c r="F478" s="38" t="str">
        <f aca="false">IF($A478&amp;$B478="","",IF(COUNTIF(门店对照!$A$2:$A$66,$A478)=0,"× 门店编码不对",IF(COUNTIF(科目对照收入!$B$2:$B$23,$B478)=0,"× 渠道名不对",IF(INDEX(科目对照收入!$E$2:$E$23,MATCH($B478,科目对照收入!$B$2:$B$23,0))&lt;&gt;"平台优先","× 该项目不按平台金额",IF(COUNTIFS($A$2:$A$601,$A478,$B$2:$B$601,$B478)&gt;1,"× 同店同渠道重复","√")))))</f>
        <v/>
      </c>
    </row>
    <row r="479" customFormat="false" ht="13.5" hidden="false" customHeight="false" outlineLevel="0" collapsed="false">
      <c r="A479" s="35"/>
      <c r="B479" s="35"/>
      <c r="C479" s="37"/>
      <c r="D479" s="15" t="str">
        <f aca="false">IF(OR($A479="",$B479=""),"",ROUND(IFERROR(INDEX(海典汇总!$C$3:$AE$67,MATCH($A479,海典汇总!$A$3:$A$67,0),MATCH(INDEX(科目对照收入!$F$2:$F$23,MATCH($B479,科目对照收入!$B$2:$B$23,0)),海典汇总!$C$1:$AE$1,0)),0)+IFERROR(INDEX(海典汇总!$C$3:$AE$67,MATCH($A479,海典汇总!$A$3:$A$67,0),MATCH(INDEX(科目对照收入!$G$2:$G$23,MATCH($B479,科目对照收入!$B$2:$B$23,0)),海典汇总!$C$1:$AE$1,0)),0)+IFERROR(INDEX(海典汇总!$C$3:$AE$67,MATCH($A479,海典汇总!$A$3:$A$67,0),MATCH(INDEX(科目对照收入!$H$2:$H$23,MATCH($B479,科目对照收入!$B$2:$B$23,0)),海典汇总!$C$1:$AE$1,0)),0),2))</f>
        <v/>
      </c>
      <c r="E479" s="15" t="str">
        <f aca="false">IF($D479="","",ROUND($C479-$D479,2))</f>
        <v/>
      </c>
      <c r="F479" s="38" t="str">
        <f aca="false">IF($A479&amp;$B479="","",IF(COUNTIF(门店对照!$A$2:$A$66,$A479)=0,"× 门店编码不对",IF(COUNTIF(科目对照收入!$B$2:$B$23,$B479)=0,"× 渠道名不对",IF(INDEX(科目对照收入!$E$2:$E$23,MATCH($B479,科目对照收入!$B$2:$B$23,0))&lt;&gt;"平台优先","× 该项目不按平台金额",IF(COUNTIFS($A$2:$A$601,$A479,$B$2:$B$601,$B479)&gt;1,"× 同店同渠道重复","√")))))</f>
        <v/>
      </c>
    </row>
    <row r="480" customFormat="false" ht="13.5" hidden="false" customHeight="false" outlineLevel="0" collapsed="false">
      <c r="A480" s="35"/>
      <c r="B480" s="35"/>
      <c r="C480" s="37"/>
      <c r="D480" s="15" t="str">
        <f aca="false">IF(OR($A480="",$B480=""),"",ROUND(IFERROR(INDEX(海典汇总!$C$3:$AE$67,MATCH($A480,海典汇总!$A$3:$A$67,0),MATCH(INDEX(科目对照收入!$F$2:$F$23,MATCH($B480,科目对照收入!$B$2:$B$23,0)),海典汇总!$C$1:$AE$1,0)),0)+IFERROR(INDEX(海典汇总!$C$3:$AE$67,MATCH($A480,海典汇总!$A$3:$A$67,0),MATCH(INDEX(科目对照收入!$G$2:$G$23,MATCH($B480,科目对照收入!$B$2:$B$23,0)),海典汇总!$C$1:$AE$1,0)),0)+IFERROR(INDEX(海典汇总!$C$3:$AE$67,MATCH($A480,海典汇总!$A$3:$A$67,0),MATCH(INDEX(科目对照收入!$H$2:$H$23,MATCH($B480,科目对照收入!$B$2:$B$23,0)),海典汇总!$C$1:$AE$1,0)),0),2))</f>
        <v/>
      </c>
      <c r="E480" s="15" t="str">
        <f aca="false">IF($D480="","",ROUND($C480-$D480,2))</f>
        <v/>
      </c>
      <c r="F480" s="38" t="str">
        <f aca="false">IF($A480&amp;$B480="","",IF(COUNTIF(门店对照!$A$2:$A$66,$A480)=0,"× 门店编码不对",IF(COUNTIF(科目对照收入!$B$2:$B$23,$B480)=0,"× 渠道名不对",IF(INDEX(科目对照收入!$E$2:$E$23,MATCH($B480,科目对照收入!$B$2:$B$23,0))&lt;&gt;"平台优先","× 该项目不按平台金额",IF(COUNTIFS($A$2:$A$601,$A480,$B$2:$B$601,$B480)&gt;1,"× 同店同渠道重复","√")))))</f>
        <v/>
      </c>
    </row>
    <row r="481" customFormat="false" ht="13.5" hidden="false" customHeight="false" outlineLevel="0" collapsed="false">
      <c r="A481" s="35"/>
      <c r="B481" s="35"/>
      <c r="C481" s="37"/>
      <c r="D481" s="15" t="str">
        <f aca="false">IF(OR($A481="",$B481=""),"",ROUND(IFERROR(INDEX(海典汇总!$C$3:$AE$67,MATCH($A481,海典汇总!$A$3:$A$67,0),MATCH(INDEX(科目对照收入!$F$2:$F$23,MATCH($B481,科目对照收入!$B$2:$B$23,0)),海典汇总!$C$1:$AE$1,0)),0)+IFERROR(INDEX(海典汇总!$C$3:$AE$67,MATCH($A481,海典汇总!$A$3:$A$67,0),MATCH(INDEX(科目对照收入!$G$2:$G$23,MATCH($B481,科目对照收入!$B$2:$B$23,0)),海典汇总!$C$1:$AE$1,0)),0)+IFERROR(INDEX(海典汇总!$C$3:$AE$67,MATCH($A481,海典汇总!$A$3:$A$67,0),MATCH(INDEX(科目对照收入!$H$2:$H$23,MATCH($B481,科目对照收入!$B$2:$B$23,0)),海典汇总!$C$1:$AE$1,0)),0),2))</f>
        <v/>
      </c>
      <c r="E481" s="15" t="str">
        <f aca="false">IF($D481="","",ROUND($C481-$D481,2))</f>
        <v/>
      </c>
      <c r="F481" s="38" t="str">
        <f aca="false">IF($A481&amp;$B481="","",IF(COUNTIF(门店对照!$A$2:$A$66,$A481)=0,"× 门店编码不对",IF(COUNTIF(科目对照收入!$B$2:$B$23,$B481)=0,"× 渠道名不对",IF(INDEX(科目对照收入!$E$2:$E$23,MATCH($B481,科目对照收入!$B$2:$B$23,0))&lt;&gt;"平台优先","× 该项目不按平台金额",IF(COUNTIFS($A$2:$A$601,$A481,$B$2:$B$601,$B481)&gt;1,"× 同店同渠道重复","√")))))</f>
        <v/>
      </c>
    </row>
    <row r="482" customFormat="false" ht="13.5" hidden="false" customHeight="false" outlineLevel="0" collapsed="false">
      <c r="A482" s="35"/>
      <c r="B482" s="35"/>
      <c r="C482" s="37"/>
      <c r="D482" s="15" t="str">
        <f aca="false">IF(OR($A482="",$B482=""),"",ROUND(IFERROR(INDEX(海典汇总!$C$3:$AE$67,MATCH($A482,海典汇总!$A$3:$A$67,0),MATCH(INDEX(科目对照收入!$F$2:$F$23,MATCH($B482,科目对照收入!$B$2:$B$23,0)),海典汇总!$C$1:$AE$1,0)),0)+IFERROR(INDEX(海典汇总!$C$3:$AE$67,MATCH($A482,海典汇总!$A$3:$A$67,0),MATCH(INDEX(科目对照收入!$G$2:$G$23,MATCH($B482,科目对照收入!$B$2:$B$23,0)),海典汇总!$C$1:$AE$1,0)),0)+IFERROR(INDEX(海典汇总!$C$3:$AE$67,MATCH($A482,海典汇总!$A$3:$A$67,0),MATCH(INDEX(科目对照收入!$H$2:$H$23,MATCH($B482,科目对照收入!$B$2:$B$23,0)),海典汇总!$C$1:$AE$1,0)),0),2))</f>
        <v/>
      </c>
      <c r="E482" s="15" t="str">
        <f aca="false">IF($D482="","",ROUND($C482-$D482,2))</f>
        <v/>
      </c>
      <c r="F482" s="38" t="str">
        <f aca="false">IF($A482&amp;$B482="","",IF(COUNTIF(门店对照!$A$2:$A$66,$A482)=0,"× 门店编码不对",IF(COUNTIF(科目对照收入!$B$2:$B$23,$B482)=0,"× 渠道名不对",IF(INDEX(科目对照收入!$E$2:$E$23,MATCH($B482,科目对照收入!$B$2:$B$23,0))&lt;&gt;"平台优先","× 该项目不按平台金额",IF(COUNTIFS($A$2:$A$601,$A482,$B$2:$B$601,$B482)&gt;1,"× 同店同渠道重复","√")))))</f>
        <v/>
      </c>
    </row>
    <row r="483" customFormat="false" ht="13.5" hidden="false" customHeight="false" outlineLevel="0" collapsed="false">
      <c r="A483" s="35"/>
      <c r="B483" s="35"/>
      <c r="C483" s="37"/>
      <c r="D483" s="15" t="str">
        <f aca="false">IF(OR($A483="",$B483=""),"",ROUND(IFERROR(INDEX(海典汇总!$C$3:$AE$67,MATCH($A483,海典汇总!$A$3:$A$67,0),MATCH(INDEX(科目对照收入!$F$2:$F$23,MATCH($B483,科目对照收入!$B$2:$B$23,0)),海典汇总!$C$1:$AE$1,0)),0)+IFERROR(INDEX(海典汇总!$C$3:$AE$67,MATCH($A483,海典汇总!$A$3:$A$67,0),MATCH(INDEX(科目对照收入!$G$2:$G$23,MATCH($B483,科目对照收入!$B$2:$B$23,0)),海典汇总!$C$1:$AE$1,0)),0)+IFERROR(INDEX(海典汇总!$C$3:$AE$67,MATCH($A483,海典汇总!$A$3:$A$67,0),MATCH(INDEX(科目对照收入!$H$2:$H$23,MATCH($B483,科目对照收入!$B$2:$B$23,0)),海典汇总!$C$1:$AE$1,0)),0),2))</f>
        <v/>
      </c>
      <c r="E483" s="15" t="str">
        <f aca="false">IF($D483="","",ROUND($C483-$D483,2))</f>
        <v/>
      </c>
      <c r="F483" s="38" t="str">
        <f aca="false">IF($A483&amp;$B483="","",IF(COUNTIF(门店对照!$A$2:$A$66,$A483)=0,"× 门店编码不对",IF(COUNTIF(科目对照收入!$B$2:$B$23,$B483)=0,"× 渠道名不对",IF(INDEX(科目对照收入!$E$2:$E$23,MATCH($B483,科目对照收入!$B$2:$B$23,0))&lt;&gt;"平台优先","× 该项目不按平台金额",IF(COUNTIFS($A$2:$A$601,$A483,$B$2:$B$601,$B483)&gt;1,"× 同店同渠道重复","√")))))</f>
        <v/>
      </c>
    </row>
    <row r="484" customFormat="false" ht="13.5" hidden="false" customHeight="false" outlineLevel="0" collapsed="false">
      <c r="A484" s="35"/>
      <c r="B484" s="35"/>
      <c r="C484" s="37"/>
      <c r="D484" s="15" t="str">
        <f aca="false">IF(OR($A484="",$B484=""),"",ROUND(IFERROR(INDEX(海典汇总!$C$3:$AE$67,MATCH($A484,海典汇总!$A$3:$A$67,0),MATCH(INDEX(科目对照收入!$F$2:$F$23,MATCH($B484,科目对照收入!$B$2:$B$23,0)),海典汇总!$C$1:$AE$1,0)),0)+IFERROR(INDEX(海典汇总!$C$3:$AE$67,MATCH($A484,海典汇总!$A$3:$A$67,0),MATCH(INDEX(科目对照收入!$G$2:$G$23,MATCH($B484,科目对照收入!$B$2:$B$23,0)),海典汇总!$C$1:$AE$1,0)),0)+IFERROR(INDEX(海典汇总!$C$3:$AE$67,MATCH($A484,海典汇总!$A$3:$A$67,0),MATCH(INDEX(科目对照收入!$H$2:$H$23,MATCH($B484,科目对照收入!$B$2:$B$23,0)),海典汇总!$C$1:$AE$1,0)),0),2))</f>
        <v/>
      </c>
      <c r="E484" s="15" t="str">
        <f aca="false">IF($D484="","",ROUND($C484-$D484,2))</f>
        <v/>
      </c>
      <c r="F484" s="38" t="str">
        <f aca="false">IF($A484&amp;$B484="","",IF(COUNTIF(门店对照!$A$2:$A$66,$A484)=0,"× 门店编码不对",IF(COUNTIF(科目对照收入!$B$2:$B$23,$B484)=0,"× 渠道名不对",IF(INDEX(科目对照收入!$E$2:$E$23,MATCH($B484,科目对照收入!$B$2:$B$23,0))&lt;&gt;"平台优先","× 该项目不按平台金额",IF(COUNTIFS($A$2:$A$601,$A484,$B$2:$B$601,$B484)&gt;1,"× 同店同渠道重复","√")))))</f>
        <v/>
      </c>
    </row>
    <row r="485" customFormat="false" ht="13.5" hidden="false" customHeight="false" outlineLevel="0" collapsed="false">
      <c r="A485" s="35"/>
      <c r="B485" s="35"/>
      <c r="C485" s="37"/>
      <c r="D485" s="15" t="str">
        <f aca="false">IF(OR($A485="",$B485=""),"",ROUND(IFERROR(INDEX(海典汇总!$C$3:$AE$67,MATCH($A485,海典汇总!$A$3:$A$67,0),MATCH(INDEX(科目对照收入!$F$2:$F$23,MATCH($B485,科目对照收入!$B$2:$B$23,0)),海典汇总!$C$1:$AE$1,0)),0)+IFERROR(INDEX(海典汇总!$C$3:$AE$67,MATCH($A485,海典汇总!$A$3:$A$67,0),MATCH(INDEX(科目对照收入!$G$2:$G$23,MATCH($B485,科目对照收入!$B$2:$B$23,0)),海典汇总!$C$1:$AE$1,0)),0)+IFERROR(INDEX(海典汇总!$C$3:$AE$67,MATCH($A485,海典汇总!$A$3:$A$67,0),MATCH(INDEX(科目对照收入!$H$2:$H$23,MATCH($B485,科目对照收入!$B$2:$B$23,0)),海典汇总!$C$1:$AE$1,0)),0),2))</f>
        <v/>
      </c>
      <c r="E485" s="15" t="str">
        <f aca="false">IF($D485="","",ROUND($C485-$D485,2))</f>
        <v/>
      </c>
      <c r="F485" s="38" t="str">
        <f aca="false">IF($A485&amp;$B485="","",IF(COUNTIF(门店对照!$A$2:$A$66,$A485)=0,"× 门店编码不对",IF(COUNTIF(科目对照收入!$B$2:$B$23,$B485)=0,"× 渠道名不对",IF(INDEX(科目对照收入!$E$2:$E$23,MATCH($B485,科目对照收入!$B$2:$B$23,0))&lt;&gt;"平台优先","× 该项目不按平台金额",IF(COUNTIFS($A$2:$A$601,$A485,$B$2:$B$601,$B485)&gt;1,"× 同店同渠道重复","√")))))</f>
        <v/>
      </c>
    </row>
    <row r="486" customFormat="false" ht="13.5" hidden="false" customHeight="false" outlineLevel="0" collapsed="false">
      <c r="A486" s="35"/>
      <c r="B486" s="35"/>
      <c r="C486" s="37"/>
      <c r="D486" s="15" t="str">
        <f aca="false">IF(OR($A486="",$B486=""),"",ROUND(IFERROR(INDEX(海典汇总!$C$3:$AE$67,MATCH($A486,海典汇总!$A$3:$A$67,0),MATCH(INDEX(科目对照收入!$F$2:$F$23,MATCH($B486,科目对照收入!$B$2:$B$23,0)),海典汇总!$C$1:$AE$1,0)),0)+IFERROR(INDEX(海典汇总!$C$3:$AE$67,MATCH($A486,海典汇总!$A$3:$A$67,0),MATCH(INDEX(科目对照收入!$G$2:$G$23,MATCH($B486,科目对照收入!$B$2:$B$23,0)),海典汇总!$C$1:$AE$1,0)),0)+IFERROR(INDEX(海典汇总!$C$3:$AE$67,MATCH($A486,海典汇总!$A$3:$A$67,0),MATCH(INDEX(科目对照收入!$H$2:$H$23,MATCH($B486,科目对照收入!$B$2:$B$23,0)),海典汇总!$C$1:$AE$1,0)),0),2))</f>
        <v/>
      </c>
      <c r="E486" s="15" t="str">
        <f aca="false">IF($D486="","",ROUND($C486-$D486,2))</f>
        <v/>
      </c>
      <c r="F486" s="38" t="str">
        <f aca="false">IF($A486&amp;$B486="","",IF(COUNTIF(门店对照!$A$2:$A$66,$A486)=0,"× 门店编码不对",IF(COUNTIF(科目对照收入!$B$2:$B$23,$B486)=0,"× 渠道名不对",IF(INDEX(科目对照收入!$E$2:$E$23,MATCH($B486,科目对照收入!$B$2:$B$23,0))&lt;&gt;"平台优先","× 该项目不按平台金额",IF(COUNTIFS($A$2:$A$601,$A486,$B$2:$B$601,$B486)&gt;1,"× 同店同渠道重复","√")))))</f>
        <v/>
      </c>
    </row>
    <row r="487" customFormat="false" ht="13.5" hidden="false" customHeight="false" outlineLevel="0" collapsed="false">
      <c r="A487" s="35"/>
      <c r="B487" s="35"/>
      <c r="C487" s="37"/>
      <c r="D487" s="15" t="str">
        <f aca="false">IF(OR($A487="",$B487=""),"",ROUND(IFERROR(INDEX(海典汇总!$C$3:$AE$67,MATCH($A487,海典汇总!$A$3:$A$67,0),MATCH(INDEX(科目对照收入!$F$2:$F$23,MATCH($B487,科目对照收入!$B$2:$B$23,0)),海典汇总!$C$1:$AE$1,0)),0)+IFERROR(INDEX(海典汇总!$C$3:$AE$67,MATCH($A487,海典汇总!$A$3:$A$67,0),MATCH(INDEX(科目对照收入!$G$2:$G$23,MATCH($B487,科目对照收入!$B$2:$B$23,0)),海典汇总!$C$1:$AE$1,0)),0)+IFERROR(INDEX(海典汇总!$C$3:$AE$67,MATCH($A487,海典汇总!$A$3:$A$67,0),MATCH(INDEX(科目对照收入!$H$2:$H$23,MATCH($B487,科目对照收入!$B$2:$B$23,0)),海典汇总!$C$1:$AE$1,0)),0),2))</f>
        <v/>
      </c>
      <c r="E487" s="15" t="str">
        <f aca="false">IF($D487="","",ROUND($C487-$D487,2))</f>
        <v/>
      </c>
      <c r="F487" s="38" t="str">
        <f aca="false">IF($A487&amp;$B487="","",IF(COUNTIF(门店对照!$A$2:$A$66,$A487)=0,"× 门店编码不对",IF(COUNTIF(科目对照收入!$B$2:$B$23,$B487)=0,"× 渠道名不对",IF(INDEX(科目对照收入!$E$2:$E$23,MATCH($B487,科目对照收入!$B$2:$B$23,0))&lt;&gt;"平台优先","× 该项目不按平台金额",IF(COUNTIFS($A$2:$A$601,$A487,$B$2:$B$601,$B487)&gt;1,"× 同店同渠道重复","√")))))</f>
        <v/>
      </c>
    </row>
    <row r="488" customFormat="false" ht="13.5" hidden="false" customHeight="false" outlineLevel="0" collapsed="false">
      <c r="A488" s="35"/>
      <c r="B488" s="35"/>
      <c r="C488" s="37"/>
      <c r="D488" s="15" t="str">
        <f aca="false">IF(OR($A488="",$B488=""),"",ROUND(IFERROR(INDEX(海典汇总!$C$3:$AE$67,MATCH($A488,海典汇总!$A$3:$A$67,0),MATCH(INDEX(科目对照收入!$F$2:$F$23,MATCH($B488,科目对照收入!$B$2:$B$23,0)),海典汇总!$C$1:$AE$1,0)),0)+IFERROR(INDEX(海典汇总!$C$3:$AE$67,MATCH($A488,海典汇总!$A$3:$A$67,0),MATCH(INDEX(科目对照收入!$G$2:$G$23,MATCH($B488,科目对照收入!$B$2:$B$23,0)),海典汇总!$C$1:$AE$1,0)),0)+IFERROR(INDEX(海典汇总!$C$3:$AE$67,MATCH($A488,海典汇总!$A$3:$A$67,0),MATCH(INDEX(科目对照收入!$H$2:$H$23,MATCH($B488,科目对照收入!$B$2:$B$23,0)),海典汇总!$C$1:$AE$1,0)),0),2))</f>
        <v/>
      </c>
      <c r="E488" s="15" t="str">
        <f aca="false">IF($D488="","",ROUND($C488-$D488,2))</f>
        <v/>
      </c>
      <c r="F488" s="38" t="str">
        <f aca="false">IF($A488&amp;$B488="","",IF(COUNTIF(门店对照!$A$2:$A$66,$A488)=0,"× 门店编码不对",IF(COUNTIF(科目对照收入!$B$2:$B$23,$B488)=0,"× 渠道名不对",IF(INDEX(科目对照收入!$E$2:$E$23,MATCH($B488,科目对照收入!$B$2:$B$23,0))&lt;&gt;"平台优先","× 该项目不按平台金额",IF(COUNTIFS($A$2:$A$601,$A488,$B$2:$B$601,$B488)&gt;1,"× 同店同渠道重复","√")))))</f>
        <v/>
      </c>
    </row>
    <row r="489" customFormat="false" ht="13.5" hidden="false" customHeight="false" outlineLevel="0" collapsed="false">
      <c r="A489" s="35"/>
      <c r="B489" s="35"/>
      <c r="C489" s="37"/>
      <c r="D489" s="15" t="str">
        <f aca="false">IF(OR($A489="",$B489=""),"",ROUND(IFERROR(INDEX(海典汇总!$C$3:$AE$67,MATCH($A489,海典汇总!$A$3:$A$67,0),MATCH(INDEX(科目对照收入!$F$2:$F$23,MATCH($B489,科目对照收入!$B$2:$B$23,0)),海典汇总!$C$1:$AE$1,0)),0)+IFERROR(INDEX(海典汇总!$C$3:$AE$67,MATCH($A489,海典汇总!$A$3:$A$67,0),MATCH(INDEX(科目对照收入!$G$2:$G$23,MATCH($B489,科目对照收入!$B$2:$B$23,0)),海典汇总!$C$1:$AE$1,0)),0)+IFERROR(INDEX(海典汇总!$C$3:$AE$67,MATCH($A489,海典汇总!$A$3:$A$67,0),MATCH(INDEX(科目对照收入!$H$2:$H$23,MATCH($B489,科目对照收入!$B$2:$B$23,0)),海典汇总!$C$1:$AE$1,0)),0),2))</f>
        <v/>
      </c>
      <c r="E489" s="15" t="str">
        <f aca="false">IF($D489="","",ROUND($C489-$D489,2))</f>
        <v/>
      </c>
      <c r="F489" s="38" t="str">
        <f aca="false">IF($A489&amp;$B489="","",IF(COUNTIF(门店对照!$A$2:$A$66,$A489)=0,"× 门店编码不对",IF(COUNTIF(科目对照收入!$B$2:$B$23,$B489)=0,"× 渠道名不对",IF(INDEX(科目对照收入!$E$2:$E$23,MATCH($B489,科目对照收入!$B$2:$B$23,0))&lt;&gt;"平台优先","× 该项目不按平台金额",IF(COUNTIFS($A$2:$A$601,$A489,$B$2:$B$601,$B489)&gt;1,"× 同店同渠道重复","√")))))</f>
        <v/>
      </c>
    </row>
    <row r="490" customFormat="false" ht="13.5" hidden="false" customHeight="false" outlineLevel="0" collapsed="false">
      <c r="A490" s="35"/>
      <c r="B490" s="35"/>
      <c r="C490" s="37"/>
      <c r="D490" s="15" t="str">
        <f aca="false">IF(OR($A490="",$B490=""),"",ROUND(IFERROR(INDEX(海典汇总!$C$3:$AE$67,MATCH($A490,海典汇总!$A$3:$A$67,0),MATCH(INDEX(科目对照收入!$F$2:$F$23,MATCH($B490,科目对照收入!$B$2:$B$23,0)),海典汇总!$C$1:$AE$1,0)),0)+IFERROR(INDEX(海典汇总!$C$3:$AE$67,MATCH($A490,海典汇总!$A$3:$A$67,0),MATCH(INDEX(科目对照收入!$G$2:$G$23,MATCH($B490,科目对照收入!$B$2:$B$23,0)),海典汇总!$C$1:$AE$1,0)),0)+IFERROR(INDEX(海典汇总!$C$3:$AE$67,MATCH($A490,海典汇总!$A$3:$A$67,0),MATCH(INDEX(科目对照收入!$H$2:$H$23,MATCH($B490,科目对照收入!$B$2:$B$23,0)),海典汇总!$C$1:$AE$1,0)),0),2))</f>
        <v/>
      </c>
      <c r="E490" s="15" t="str">
        <f aca="false">IF($D490="","",ROUND($C490-$D490,2))</f>
        <v/>
      </c>
      <c r="F490" s="38" t="str">
        <f aca="false">IF($A490&amp;$B490="","",IF(COUNTIF(门店对照!$A$2:$A$66,$A490)=0,"× 门店编码不对",IF(COUNTIF(科目对照收入!$B$2:$B$23,$B490)=0,"× 渠道名不对",IF(INDEX(科目对照收入!$E$2:$E$23,MATCH($B490,科目对照收入!$B$2:$B$23,0))&lt;&gt;"平台优先","× 该项目不按平台金额",IF(COUNTIFS($A$2:$A$601,$A490,$B$2:$B$601,$B490)&gt;1,"× 同店同渠道重复","√")))))</f>
        <v/>
      </c>
    </row>
    <row r="491" customFormat="false" ht="13.5" hidden="false" customHeight="false" outlineLevel="0" collapsed="false">
      <c r="A491" s="35"/>
      <c r="B491" s="35"/>
      <c r="C491" s="37"/>
      <c r="D491" s="15" t="str">
        <f aca="false">IF(OR($A491="",$B491=""),"",ROUND(IFERROR(INDEX(海典汇总!$C$3:$AE$67,MATCH($A491,海典汇总!$A$3:$A$67,0),MATCH(INDEX(科目对照收入!$F$2:$F$23,MATCH($B491,科目对照收入!$B$2:$B$23,0)),海典汇总!$C$1:$AE$1,0)),0)+IFERROR(INDEX(海典汇总!$C$3:$AE$67,MATCH($A491,海典汇总!$A$3:$A$67,0),MATCH(INDEX(科目对照收入!$G$2:$G$23,MATCH($B491,科目对照收入!$B$2:$B$23,0)),海典汇总!$C$1:$AE$1,0)),0)+IFERROR(INDEX(海典汇总!$C$3:$AE$67,MATCH($A491,海典汇总!$A$3:$A$67,0),MATCH(INDEX(科目对照收入!$H$2:$H$23,MATCH($B491,科目对照收入!$B$2:$B$23,0)),海典汇总!$C$1:$AE$1,0)),0),2))</f>
        <v/>
      </c>
      <c r="E491" s="15" t="str">
        <f aca="false">IF($D491="","",ROUND($C491-$D491,2))</f>
        <v/>
      </c>
      <c r="F491" s="38" t="str">
        <f aca="false">IF($A491&amp;$B491="","",IF(COUNTIF(门店对照!$A$2:$A$66,$A491)=0,"× 门店编码不对",IF(COUNTIF(科目对照收入!$B$2:$B$23,$B491)=0,"× 渠道名不对",IF(INDEX(科目对照收入!$E$2:$E$23,MATCH($B491,科目对照收入!$B$2:$B$23,0))&lt;&gt;"平台优先","× 该项目不按平台金额",IF(COUNTIFS($A$2:$A$601,$A491,$B$2:$B$601,$B491)&gt;1,"× 同店同渠道重复","√")))))</f>
        <v/>
      </c>
    </row>
    <row r="492" customFormat="false" ht="13.5" hidden="false" customHeight="false" outlineLevel="0" collapsed="false">
      <c r="A492" s="35"/>
      <c r="B492" s="35"/>
      <c r="C492" s="37"/>
      <c r="D492" s="15" t="str">
        <f aca="false">IF(OR($A492="",$B492=""),"",ROUND(IFERROR(INDEX(海典汇总!$C$3:$AE$67,MATCH($A492,海典汇总!$A$3:$A$67,0),MATCH(INDEX(科目对照收入!$F$2:$F$23,MATCH($B492,科目对照收入!$B$2:$B$23,0)),海典汇总!$C$1:$AE$1,0)),0)+IFERROR(INDEX(海典汇总!$C$3:$AE$67,MATCH($A492,海典汇总!$A$3:$A$67,0),MATCH(INDEX(科目对照收入!$G$2:$G$23,MATCH($B492,科目对照收入!$B$2:$B$23,0)),海典汇总!$C$1:$AE$1,0)),0)+IFERROR(INDEX(海典汇总!$C$3:$AE$67,MATCH($A492,海典汇总!$A$3:$A$67,0),MATCH(INDEX(科目对照收入!$H$2:$H$23,MATCH($B492,科目对照收入!$B$2:$B$23,0)),海典汇总!$C$1:$AE$1,0)),0),2))</f>
        <v/>
      </c>
      <c r="E492" s="15" t="str">
        <f aca="false">IF($D492="","",ROUND($C492-$D492,2))</f>
        <v/>
      </c>
      <c r="F492" s="38" t="str">
        <f aca="false">IF($A492&amp;$B492="","",IF(COUNTIF(门店对照!$A$2:$A$66,$A492)=0,"× 门店编码不对",IF(COUNTIF(科目对照收入!$B$2:$B$23,$B492)=0,"× 渠道名不对",IF(INDEX(科目对照收入!$E$2:$E$23,MATCH($B492,科目对照收入!$B$2:$B$23,0))&lt;&gt;"平台优先","× 该项目不按平台金额",IF(COUNTIFS($A$2:$A$601,$A492,$B$2:$B$601,$B492)&gt;1,"× 同店同渠道重复","√")))))</f>
        <v/>
      </c>
    </row>
    <row r="493" customFormat="false" ht="13.5" hidden="false" customHeight="false" outlineLevel="0" collapsed="false">
      <c r="A493" s="35"/>
      <c r="B493" s="35"/>
      <c r="C493" s="37"/>
      <c r="D493" s="15" t="str">
        <f aca="false">IF(OR($A493="",$B493=""),"",ROUND(IFERROR(INDEX(海典汇总!$C$3:$AE$67,MATCH($A493,海典汇总!$A$3:$A$67,0),MATCH(INDEX(科目对照收入!$F$2:$F$23,MATCH($B493,科目对照收入!$B$2:$B$23,0)),海典汇总!$C$1:$AE$1,0)),0)+IFERROR(INDEX(海典汇总!$C$3:$AE$67,MATCH($A493,海典汇总!$A$3:$A$67,0),MATCH(INDEX(科目对照收入!$G$2:$G$23,MATCH($B493,科目对照收入!$B$2:$B$23,0)),海典汇总!$C$1:$AE$1,0)),0)+IFERROR(INDEX(海典汇总!$C$3:$AE$67,MATCH($A493,海典汇总!$A$3:$A$67,0),MATCH(INDEX(科目对照收入!$H$2:$H$23,MATCH($B493,科目对照收入!$B$2:$B$23,0)),海典汇总!$C$1:$AE$1,0)),0),2))</f>
        <v/>
      </c>
      <c r="E493" s="15" t="str">
        <f aca="false">IF($D493="","",ROUND($C493-$D493,2))</f>
        <v/>
      </c>
      <c r="F493" s="38" t="str">
        <f aca="false">IF($A493&amp;$B493="","",IF(COUNTIF(门店对照!$A$2:$A$66,$A493)=0,"× 门店编码不对",IF(COUNTIF(科目对照收入!$B$2:$B$23,$B493)=0,"× 渠道名不对",IF(INDEX(科目对照收入!$E$2:$E$23,MATCH($B493,科目对照收入!$B$2:$B$23,0))&lt;&gt;"平台优先","× 该项目不按平台金额",IF(COUNTIFS($A$2:$A$601,$A493,$B$2:$B$601,$B493)&gt;1,"× 同店同渠道重复","√")))))</f>
        <v/>
      </c>
    </row>
    <row r="494" customFormat="false" ht="13.5" hidden="false" customHeight="false" outlineLevel="0" collapsed="false">
      <c r="A494" s="35"/>
      <c r="B494" s="35"/>
      <c r="C494" s="37"/>
      <c r="D494" s="15" t="str">
        <f aca="false">IF(OR($A494="",$B494=""),"",ROUND(IFERROR(INDEX(海典汇总!$C$3:$AE$67,MATCH($A494,海典汇总!$A$3:$A$67,0),MATCH(INDEX(科目对照收入!$F$2:$F$23,MATCH($B494,科目对照收入!$B$2:$B$23,0)),海典汇总!$C$1:$AE$1,0)),0)+IFERROR(INDEX(海典汇总!$C$3:$AE$67,MATCH($A494,海典汇总!$A$3:$A$67,0),MATCH(INDEX(科目对照收入!$G$2:$G$23,MATCH($B494,科目对照收入!$B$2:$B$23,0)),海典汇总!$C$1:$AE$1,0)),0)+IFERROR(INDEX(海典汇总!$C$3:$AE$67,MATCH($A494,海典汇总!$A$3:$A$67,0),MATCH(INDEX(科目对照收入!$H$2:$H$23,MATCH($B494,科目对照收入!$B$2:$B$23,0)),海典汇总!$C$1:$AE$1,0)),0),2))</f>
        <v/>
      </c>
      <c r="E494" s="15" t="str">
        <f aca="false">IF($D494="","",ROUND($C494-$D494,2))</f>
        <v/>
      </c>
      <c r="F494" s="38" t="str">
        <f aca="false">IF($A494&amp;$B494="","",IF(COUNTIF(门店对照!$A$2:$A$66,$A494)=0,"× 门店编码不对",IF(COUNTIF(科目对照收入!$B$2:$B$23,$B494)=0,"× 渠道名不对",IF(INDEX(科目对照收入!$E$2:$E$23,MATCH($B494,科目对照收入!$B$2:$B$23,0))&lt;&gt;"平台优先","× 该项目不按平台金额",IF(COUNTIFS($A$2:$A$601,$A494,$B$2:$B$601,$B494)&gt;1,"× 同店同渠道重复","√")))))</f>
        <v/>
      </c>
    </row>
    <row r="495" customFormat="false" ht="13.5" hidden="false" customHeight="false" outlineLevel="0" collapsed="false">
      <c r="A495" s="35"/>
      <c r="B495" s="35"/>
      <c r="C495" s="37"/>
      <c r="D495" s="15" t="str">
        <f aca="false">IF(OR($A495="",$B495=""),"",ROUND(IFERROR(INDEX(海典汇总!$C$3:$AE$67,MATCH($A495,海典汇总!$A$3:$A$67,0),MATCH(INDEX(科目对照收入!$F$2:$F$23,MATCH($B495,科目对照收入!$B$2:$B$23,0)),海典汇总!$C$1:$AE$1,0)),0)+IFERROR(INDEX(海典汇总!$C$3:$AE$67,MATCH($A495,海典汇总!$A$3:$A$67,0),MATCH(INDEX(科目对照收入!$G$2:$G$23,MATCH($B495,科目对照收入!$B$2:$B$23,0)),海典汇总!$C$1:$AE$1,0)),0)+IFERROR(INDEX(海典汇总!$C$3:$AE$67,MATCH($A495,海典汇总!$A$3:$A$67,0),MATCH(INDEX(科目对照收入!$H$2:$H$23,MATCH($B495,科目对照收入!$B$2:$B$23,0)),海典汇总!$C$1:$AE$1,0)),0),2))</f>
        <v/>
      </c>
      <c r="E495" s="15" t="str">
        <f aca="false">IF($D495="","",ROUND($C495-$D495,2))</f>
        <v/>
      </c>
      <c r="F495" s="38" t="str">
        <f aca="false">IF($A495&amp;$B495="","",IF(COUNTIF(门店对照!$A$2:$A$66,$A495)=0,"× 门店编码不对",IF(COUNTIF(科目对照收入!$B$2:$B$23,$B495)=0,"× 渠道名不对",IF(INDEX(科目对照收入!$E$2:$E$23,MATCH($B495,科目对照收入!$B$2:$B$23,0))&lt;&gt;"平台优先","× 该项目不按平台金额",IF(COUNTIFS($A$2:$A$601,$A495,$B$2:$B$601,$B495)&gt;1,"× 同店同渠道重复","√")))))</f>
        <v/>
      </c>
    </row>
    <row r="496" customFormat="false" ht="13.5" hidden="false" customHeight="false" outlineLevel="0" collapsed="false">
      <c r="A496" s="35"/>
      <c r="B496" s="35"/>
      <c r="C496" s="37"/>
      <c r="D496" s="15" t="str">
        <f aca="false">IF(OR($A496="",$B496=""),"",ROUND(IFERROR(INDEX(海典汇总!$C$3:$AE$67,MATCH($A496,海典汇总!$A$3:$A$67,0),MATCH(INDEX(科目对照收入!$F$2:$F$23,MATCH($B496,科目对照收入!$B$2:$B$23,0)),海典汇总!$C$1:$AE$1,0)),0)+IFERROR(INDEX(海典汇总!$C$3:$AE$67,MATCH($A496,海典汇总!$A$3:$A$67,0),MATCH(INDEX(科目对照收入!$G$2:$G$23,MATCH($B496,科目对照收入!$B$2:$B$23,0)),海典汇总!$C$1:$AE$1,0)),0)+IFERROR(INDEX(海典汇总!$C$3:$AE$67,MATCH($A496,海典汇总!$A$3:$A$67,0),MATCH(INDEX(科目对照收入!$H$2:$H$23,MATCH($B496,科目对照收入!$B$2:$B$23,0)),海典汇总!$C$1:$AE$1,0)),0),2))</f>
        <v/>
      </c>
      <c r="E496" s="15" t="str">
        <f aca="false">IF($D496="","",ROUND($C496-$D496,2))</f>
        <v/>
      </c>
      <c r="F496" s="38" t="str">
        <f aca="false">IF($A496&amp;$B496="","",IF(COUNTIF(门店对照!$A$2:$A$66,$A496)=0,"× 门店编码不对",IF(COUNTIF(科目对照收入!$B$2:$B$23,$B496)=0,"× 渠道名不对",IF(INDEX(科目对照收入!$E$2:$E$23,MATCH($B496,科目对照收入!$B$2:$B$23,0))&lt;&gt;"平台优先","× 该项目不按平台金额",IF(COUNTIFS($A$2:$A$601,$A496,$B$2:$B$601,$B496)&gt;1,"× 同店同渠道重复","√")))))</f>
        <v/>
      </c>
    </row>
    <row r="497" customFormat="false" ht="13.5" hidden="false" customHeight="false" outlineLevel="0" collapsed="false">
      <c r="A497" s="35"/>
      <c r="B497" s="35"/>
      <c r="C497" s="37"/>
      <c r="D497" s="15" t="str">
        <f aca="false">IF(OR($A497="",$B497=""),"",ROUND(IFERROR(INDEX(海典汇总!$C$3:$AE$67,MATCH($A497,海典汇总!$A$3:$A$67,0),MATCH(INDEX(科目对照收入!$F$2:$F$23,MATCH($B497,科目对照收入!$B$2:$B$23,0)),海典汇总!$C$1:$AE$1,0)),0)+IFERROR(INDEX(海典汇总!$C$3:$AE$67,MATCH($A497,海典汇总!$A$3:$A$67,0),MATCH(INDEX(科目对照收入!$G$2:$G$23,MATCH($B497,科目对照收入!$B$2:$B$23,0)),海典汇总!$C$1:$AE$1,0)),0)+IFERROR(INDEX(海典汇总!$C$3:$AE$67,MATCH($A497,海典汇总!$A$3:$A$67,0),MATCH(INDEX(科目对照收入!$H$2:$H$23,MATCH($B497,科目对照收入!$B$2:$B$23,0)),海典汇总!$C$1:$AE$1,0)),0),2))</f>
        <v/>
      </c>
      <c r="E497" s="15" t="str">
        <f aca="false">IF($D497="","",ROUND($C497-$D497,2))</f>
        <v/>
      </c>
      <c r="F497" s="38" t="str">
        <f aca="false">IF($A497&amp;$B497="","",IF(COUNTIF(门店对照!$A$2:$A$66,$A497)=0,"× 门店编码不对",IF(COUNTIF(科目对照收入!$B$2:$B$23,$B497)=0,"× 渠道名不对",IF(INDEX(科目对照收入!$E$2:$E$23,MATCH($B497,科目对照收入!$B$2:$B$23,0))&lt;&gt;"平台优先","× 该项目不按平台金额",IF(COUNTIFS($A$2:$A$601,$A497,$B$2:$B$601,$B497)&gt;1,"× 同店同渠道重复","√")))))</f>
        <v/>
      </c>
    </row>
    <row r="498" customFormat="false" ht="13.5" hidden="false" customHeight="false" outlineLevel="0" collapsed="false">
      <c r="A498" s="35"/>
      <c r="B498" s="35"/>
      <c r="C498" s="37"/>
      <c r="D498" s="15" t="str">
        <f aca="false">IF(OR($A498="",$B498=""),"",ROUND(IFERROR(INDEX(海典汇总!$C$3:$AE$67,MATCH($A498,海典汇总!$A$3:$A$67,0),MATCH(INDEX(科目对照收入!$F$2:$F$23,MATCH($B498,科目对照收入!$B$2:$B$23,0)),海典汇总!$C$1:$AE$1,0)),0)+IFERROR(INDEX(海典汇总!$C$3:$AE$67,MATCH($A498,海典汇总!$A$3:$A$67,0),MATCH(INDEX(科目对照收入!$G$2:$G$23,MATCH($B498,科目对照收入!$B$2:$B$23,0)),海典汇总!$C$1:$AE$1,0)),0)+IFERROR(INDEX(海典汇总!$C$3:$AE$67,MATCH($A498,海典汇总!$A$3:$A$67,0),MATCH(INDEX(科目对照收入!$H$2:$H$23,MATCH($B498,科目对照收入!$B$2:$B$23,0)),海典汇总!$C$1:$AE$1,0)),0),2))</f>
        <v/>
      </c>
      <c r="E498" s="15" t="str">
        <f aca="false">IF($D498="","",ROUND($C498-$D498,2))</f>
        <v/>
      </c>
      <c r="F498" s="38" t="str">
        <f aca="false">IF($A498&amp;$B498="","",IF(COUNTIF(门店对照!$A$2:$A$66,$A498)=0,"× 门店编码不对",IF(COUNTIF(科目对照收入!$B$2:$B$23,$B498)=0,"× 渠道名不对",IF(INDEX(科目对照收入!$E$2:$E$23,MATCH($B498,科目对照收入!$B$2:$B$23,0))&lt;&gt;"平台优先","× 该项目不按平台金额",IF(COUNTIFS($A$2:$A$601,$A498,$B$2:$B$601,$B498)&gt;1,"× 同店同渠道重复","√")))))</f>
        <v/>
      </c>
    </row>
    <row r="499" customFormat="false" ht="13.5" hidden="false" customHeight="false" outlineLevel="0" collapsed="false">
      <c r="A499" s="35"/>
      <c r="B499" s="35"/>
      <c r="C499" s="37"/>
      <c r="D499" s="15" t="str">
        <f aca="false">IF(OR($A499="",$B499=""),"",ROUND(IFERROR(INDEX(海典汇总!$C$3:$AE$67,MATCH($A499,海典汇总!$A$3:$A$67,0),MATCH(INDEX(科目对照收入!$F$2:$F$23,MATCH($B499,科目对照收入!$B$2:$B$23,0)),海典汇总!$C$1:$AE$1,0)),0)+IFERROR(INDEX(海典汇总!$C$3:$AE$67,MATCH($A499,海典汇总!$A$3:$A$67,0),MATCH(INDEX(科目对照收入!$G$2:$G$23,MATCH($B499,科目对照收入!$B$2:$B$23,0)),海典汇总!$C$1:$AE$1,0)),0)+IFERROR(INDEX(海典汇总!$C$3:$AE$67,MATCH($A499,海典汇总!$A$3:$A$67,0),MATCH(INDEX(科目对照收入!$H$2:$H$23,MATCH($B499,科目对照收入!$B$2:$B$23,0)),海典汇总!$C$1:$AE$1,0)),0),2))</f>
        <v/>
      </c>
      <c r="E499" s="15" t="str">
        <f aca="false">IF($D499="","",ROUND($C499-$D499,2))</f>
        <v/>
      </c>
      <c r="F499" s="38" t="str">
        <f aca="false">IF($A499&amp;$B499="","",IF(COUNTIF(门店对照!$A$2:$A$66,$A499)=0,"× 门店编码不对",IF(COUNTIF(科目对照收入!$B$2:$B$23,$B499)=0,"× 渠道名不对",IF(INDEX(科目对照收入!$E$2:$E$23,MATCH($B499,科目对照收入!$B$2:$B$23,0))&lt;&gt;"平台优先","× 该项目不按平台金额",IF(COUNTIFS($A$2:$A$601,$A499,$B$2:$B$601,$B499)&gt;1,"× 同店同渠道重复","√")))))</f>
        <v/>
      </c>
    </row>
    <row r="500" customFormat="false" ht="13.5" hidden="false" customHeight="false" outlineLevel="0" collapsed="false">
      <c r="A500" s="35"/>
      <c r="B500" s="35"/>
      <c r="C500" s="37"/>
      <c r="D500" s="15" t="str">
        <f aca="false">IF(OR($A500="",$B500=""),"",ROUND(IFERROR(INDEX(海典汇总!$C$3:$AE$67,MATCH($A500,海典汇总!$A$3:$A$67,0),MATCH(INDEX(科目对照收入!$F$2:$F$23,MATCH($B500,科目对照收入!$B$2:$B$23,0)),海典汇总!$C$1:$AE$1,0)),0)+IFERROR(INDEX(海典汇总!$C$3:$AE$67,MATCH($A500,海典汇总!$A$3:$A$67,0),MATCH(INDEX(科目对照收入!$G$2:$G$23,MATCH($B500,科目对照收入!$B$2:$B$23,0)),海典汇总!$C$1:$AE$1,0)),0)+IFERROR(INDEX(海典汇总!$C$3:$AE$67,MATCH($A500,海典汇总!$A$3:$A$67,0),MATCH(INDEX(科目对照收入!$H$2:$H$23,MATCH($B500,科目对照收入!$B$2:$B$23,0)),海典汇总!$C$1:$AE$1,0)),0),2))</f>
        <v/>
      </c>
      <c r="E500" s="15" t="str">
        <f aca="false">IF($D500="","",ROUND($C500-$D500,2))</f>
        <v/>
      </c>
      <c r="F500" s="38" t="str">
        <f aca="false">IF($A500&amp;$B500="","",IF(COUNTIF(门店对照!$A$2:$A$66,$A500)=0,"× 门店编码不对",IF(COUNTIF(科目对照收入!$B$2:$B$23,$B500)=0,"× 渠道名不对",IF(INDEX(科目对照收入!$E$2:$E$23,MATCH($B500,科目对照收入!$B$2:$B$23,0))&lt;&gt;"平台优先","× 该项目不按平台金额",IF(COUNTIFS($A$2:$A$601,$A500,$B$2:$B$601,$B500)&gt;1,"× 同店同渠道重复","√")))))</f>
        <v/>
      </c>
    </row>
    <row r="501" customFormat="false" ht="13.5" hidden="false" customHeight="false" outlineLevel="0" collapsed="false">
      <c r="A501" s="35"/>
      <c r="B501" s="35"/>
      <c r="C501" s="37"/>
      <c r="D501" s="15" t="str">
        <f aca="false">IF(OR($A501="",$B501=""),"",ROUND(IFERROR(INDEX(海典汇总!$C$3:$AE$67,MATCH($A501,海典汇总!$A$3:$A$67,0),MATCH(INDEX(科目对照收入!$F$2:$F$23,MATCH($B501,科目对照收入!$B$2:$B$23,0)),海典汇总!$C$1:$AE$1,0)),0)+IFERROR(INDEX(海典汇总!$C$3:$AE$67,MATCH($A501,海典汇总!$A$3:$A$67,0),MATCH(INDEX(科目对照收入!$G$2:$G$23,MATCH($B501,科目对照收入!$B$2:$B$23,0)),海典汇总!$C$1:$AE$1,0)),0)+IFERROR(INDEX(海典汇总!$C$3:$AE$67,MATCH($A501,海典汇总!$A$3:$A$67,0),MATCH(INDEX(科目对照收入!$H$2:$H$23,MATCH($B501,科目对照收入!$B$2:$B$23,0)),海典汇总!$C$1:$AE$1,0)),0),2))</f>
        <v/>
      </c>
      <c r="E501" s="15" t="str">
        <f aca="false">IF($D501="","",ROUND($C501-$D501,2))</f>
        <v/>
      </c>
      <c r="F501" s="38" t="str">
        <f aca="false">IF($A501&amp;$B501="","",IF(COUNTIF(门店对照!$A$2:$A$66,$A501)=0,"× 门店编码不对",IF(COUNTIF(科目对照收入!$B$2:$B$23,$B501)=0,"× 渠道名不对",IF(INDEX(科目对照收入!$E$2:$E$23,MATCH($B501,科目对照收入!$B$2:$B$23,0))&lt;&gt;"平台优先","× 该项目不按平台金额",IF(COUNTIFS($A$2:$A$601,$A501,$B$2:$B$601,$B501)&gt;1,"× 同店同渠道重复","√")))))</f>
        <v/>
      </c>
    </row>
    <row r="502" customFormat="false" ht="13.5" hidden="false" customHeight="false" outlineLevel="0" collapsed="false">
      <c r="A502" s="35"/>
      <c r="B502" s="35"/>
      <c r="C502" s="37"/>
      <c r="D502" s="15" t="str">
        <f aca="false">IF(OR($A502="",$B502=""),"",ROUND(IFERROR(INDEX(海典汇总!$C$3:$AE$67,MATCH($A502,海典汇总!$A$3:$A$67,0),MATCH(INDEX(科目对照收入!$F$2:$F$23,MATCH($B502,科目对照收入!$B$2:$B$23,0)),海典汇总!$C$1:$AE$1,0)),0)+IFERROR(INDEX(海典汇总!$C$3:$AE$67,MATCH($A502,海典汇总!$A$3:$A$67,0),MATCH(INDEX(科目对照收入!$G$2:$G$23,MATCH($B502,科目对照收入!$B$2:$B$23,0)),海典汇总!$C$1:$AE$1,0)),0)+IFERROR(INDEX(海典汇总!$C$3:$AE$67,MATCH($A502,海典汇总!$A$3:$A$67,0),MATCH(INDEX(科目对照收入!$H$2:$H$23,MATCH($B502,科目对照收入!$B$2:$B$23,0)),海典汇总!$C$1:$AE$1,0)),0),2))</f>
        <v/>
      </c>
      <c r="E502" s="15" t="str">
        <f aca="false">IF($D502="","",ROUND($C502-$D502,2))</f>
        <v/>
      </c>
      <c r="F502" s="38" t="str">
        <f aca="false">IF($A502&amp;$B502="","",IF(COUNTIF(门店对照!$A$2:$A$66,$A502)=0,"× 门店编码不对",IF(COUNTIF(科目对照收入!$B$2:$B$23,$B502)=0,"× 渠道名不对",IF(INDEX(科目对照收入!$E$2:$E$23,MATCH($B502,科目对照收入!$B$2:$B$23,0))&lt;&gt;"平台优先","× 该项目不按平台金额",IF(COUNTIFS($A$2:$A$601,$A502,$B$2:$B$601,$B502)&gt;1,"× 同店同渠道重复","√")))))</f>
        <v/>
      </c>
    </row>
    <row r="503" customFormat="false" ht="13.5" hidden="false" customHeight="false" outlineLevel="0" collapsed="false">
      <c r="A503" s="35"/>
      <c r="B503" s="35"/>
      <c r="C503" s="37"/>
      <c r="D503" s="15" t="str">
        <f aca="false">IF(OR($A503="",$B503=""),"",ROUND(IFERROR(INDEX(海典汇总!$C$3:$AE$67,MATCH($A503,海典汇总!$A$3:$A$67,0),MATCH(INDEX(科目对照收入!$F$2:$F$23,MATCH($B503,科目对照收入!$B$2:$B$23,0)),海典汇总!$C$1:$AE$1,0)),0)+IFERROR(INDEX(海典汇总!$C$3:$AE$67,MATCH($A503,海典汇总!$A$3:$A$67,0),MATCH(INDEX(科目对照收入!$G$2:$G$23,MATCH($B503,科目对照收入!$B$2:$B$23,0)),海典汇总!$C$1:$AE$1,0)),0)+IFERROR(INDEX(海典汇总!$C$3:$AE$67,MATCH($A503,海典汇总!$A$3:$A$67,0),MATCH(INDEX(科目对照收入!$H$2:$H$23,MATCH($B503,科目对照收入!$B$2:$B$23,0)),海典汇总!$C$1:$AE$1,0)),0),2))</f>
        <v/>
      </c>
      <c r="E503" s="15" t="str">
        <f aca="false">IF($D503="","",ROUND($C503-$D503,2))</f>
        <v/>
      </c>
      <c r="F503" s="38" t="str">
        <f aca="false">IF($A503&amp;$B503="","",IF(COUNTIF(门店对照!$A$2:$A$66,$A503)=0,"× 门店编码不对",IF(COUNTIF(科目对照收入!$B$2:$B$23,$B503)=0,"× 渠道名不对",IF(INDEX(科目对照收入!$E$2:$E$23,MATCH($B503,科目对照收入!$B$2:$B$23,0))&lt;&gt;"平台优先","× 该项目不按平台金额",IF(COUNTIFS($A$2:$A$601,$A503,$B$2:$B$601,$B503)&gt;1,"× 同店同渠道重复","√")))))</f>
        <v/>
      </c>
    </row>
    <row r="504" customFormat="false" ht="13.5" hidden="false" customHeight="false" outlineLevel="0" collapsed="false">
      <c r="A504" s="35"/>
      <c r="B504" s="35"/>
      <c r="C504" s="37"/>
      <c r="D504" s="15" t="str">
        <f aca="false">IF(OR($A504="",$B504=""),"",ROUND(IFERROR(INDEX(海典汇总!$C$3:$AE$67,MATCH($A504,海典汇总!$A$3:$A$67,0),MATCH(INDEX(科目对照收入!$F$2:$F$23,MATCH($B504,科目对照收入!$B$2:$B$23,0)),海典汇总!$C$1:$AE$1,0)),0)+IFERROR(INDEX(海典汇总!$C$3:$AE$67,MATCH($A504,海典汇总!$A$3:$A$67,0),MATCH(INDEX(科目对照收入!$G$2:$G$23,MATCH($B504,科目对照收入!$B$2:$B$23,0)),海典汇总!$C$1:$AE$1,0)),0)+IFERROR(INDEX(海典汇总!$C$3:$AE$67,MATCH($A504,海典汇总!$A$3:$A$67,0),MATCH(INDEX(科目对照收入!$H$2:$H$23,MATCH($B504,科目对照收入!$B$2:$B$23,0)),海典汇总!$C$1:$AE$1,0)),0),2))</f>
        <v/>
      </c>
      <c r="E504" s="15" t="str">
        <f aca="false">IF($D504="","",ROUND($C504-$D504,2))</f>
        <v/>
      </c>
      <c r="F504" s="38" t="str">
        <f aca="false">IF($A504&amp;$B504="","",IF(COUNTIF(门店对照!$A$2:$A$66,$A504)=0,"× 门店编码不对",IF(COUNTIF(科目对照收入!$B$2:$B$23,$B504)=0,"× 渠道名不对",IF(INDEX(科目对照收入!$E$2:$E$23,MATCH($B504,科目对照收入!$B$2:$B$23,0))&lt;&gt;"平台优先","× 该项目不按平台金额",IF(COUNTIFS($A$2:$A$601,$A504,$B$2:$B$601,$B504)&gt;1,"× 同店同渠道重复","√")))))</f>
        <v/>
      </c>
    </row>
    <row r="505" customFormat="false" ht="13.5" hidden="false" customHeight="false" outlineLevel="0" collapsed="false">
      <c r="A505" s="35"/>
      <c r="B505" s="35"/>
      <c r="C505" s="37"/>
      <c r="D505" s="15" t="str">
        <f aca="false">IF(OR($A505="",$B505=""),"",ROUND(IFERROR(INDEX(海典汇总!$C$3:$AE$67,MATCH($A505,海典汇总!$A$3:$A$67,0),MATCH(INDEX(科目对照收入!$F$2:$F$23,MATCH($B505,科目对照收入!$B$2:$B$23,0)),海典汇总!$C$1:$AE$1,0)),0)+IFERROR(INDEX(海典汇总!$C$3:$AE$67,MATCH($A505,海典汇总!$A$3:$A$67,0),MATCH(INDEX(科目对照收入!$G$2:$G$23,MATCH($B505,科目对照收入!$B$2:$B$23,0)),海典汇总!$C$1:$AE$1,0)),0)+IFERROR(INDEX(海典汇总!$C$3:$AE$67,MATCH($A505,海典汇总!$A$3:$A$67,0),MATCH(INDEX(科目对照收入!$H$2:$H$23,MATCH($B505,科目对照收入!$B$2:$B$23,0)),海典汇总!$C$1:$AE$1,0)),0),2))</f>
        <v/>
      </c>
      <c r="E505" s="15" t="str">
        <f aca="false">IF($D505="","",ROUND($C505-$D505,2))</f>
        <v/>
      </c>
      <c r="F505" s="38" t="str">
        <f aca="false">IF($A505&amp;$B505="","",IF(COUNTIF(门店对照!$A$2:$A$66,$A505)=0,"× 门店编码不对",IF(COUNTIF(科目对照收入!$B$2:$B$23,$B505)=0,"× 渠道名不对",IF(INDEX(科目对照收入!$E$2:$E$23,MATCH($B505,科目对照收入!$B$2:$B$23,0))&lt;&gt;"平台优先","× 该项目不按平台金额",IF(COUNTIFS($A$2:$A$601,$A505,$B$2:$B$601,$B505)&gt;1,"× 同店同渠道重复","√")))))</f>
        <v/>
      </c>
    </row>
    <row r="506" customFormat="false" ht="13.5" hidden="false" customHeight="false" outlineLevel="0" collapsed="false">
      <c r="A506" s="35"/>
      <c r="B506" s="35"/>
      <c r="C506" s="37"/>
      <c r="D506" s="15" t="str">
        <f aca="false">IF(OR($A506="",$B506=""),"",ROUND(IFERROR(INDEX(海典汇总!$C$3:$AE$67,MATCH($A506,海典汇总!$A$3:$A$67,0),MATCH(INDEX(科目对照收入!$F$2:$F$23,MATCH($B506,科目对照收入!$B$2:$B$23,0)),海典汇总!$C$1:$AE$1,0)),0)+IFERROR(INDEX(海典汇总!$C$3:$AE$67,MATCH($A506,海典汇总!$A$3:$A$67,0),MATCH(INDEX(科目对照收入!$G$2:$G$23,MATCH($B506,科目对照收入!$B$2:$B$23,0)),海典汇总!$C$1:$AE$1,0)),0)+IFERROR(INDEX(海典汇总!$C$3:$AE$67,MATCH($A506,海典汇总!$A$3:$A$67,0),MATCH(INDEX(科目对照收入!$H$2:$H$23,MATCH($B506,科目对照收入!$B$2:$B$23,0)),海典汇总!$C$1:$AE$1,0)),0),2))</f>
        <v/>
      </c>
      <c r="E506" s="15" t="str">
        <f aca="false">IF($D506="","",ROUND($C506-$D506,2))</f>
        <v/>
      </c>
      <c r="F506" s="38" t="str">
        <f aca="false">IF($A506&amp;$B506="","",IF(COUNTIF(门店对照!$A$2:$A$66,$A506)=0,"× 门店编码不对",IF(COUNTIF(科目对照收入!$B$2:$B$23,$B506)=0,"× 渠道名不对",IF(INDEX(科目对照收入!$E$2:$E$23,MATCH($B506,科目对照收入!$B$2:$B$23,0))&lt;&gt;"平台优先","× 该项目不按平台金额",IF(COUNTIFS($A$2:$A$601,$A506,$B$2:$B$601,$B506)&gt;1,"× 同店同渠道重复","√")))))</f>
        <v/>
      </c>
    </row>
    <row r="507" customFormat="false" ht="13.5" hidden="false" customHeight="false" outlineLevel="0" collapsed="false">
      <c r="A507" s="35"/>
      <c r="B507" s="35"/>
      <c r="C507" s="37"/>
      <c r="D507" s="15" t="str">
        <f aca="false">IF(OR($A507="",$B507=""),"",ROUND(IFERROR(INDEX(海典汇总!$C$3:$AE$67,MATCH($A507,海典汇总!$A$3:$A$67,0),MATCH(INDEX(科目对照收入!$F$2:$F$23,MATCH($B507,科目对照收入!$B$2:$B$23,0)),海典汇总!$C$1:$AE$1,0)),0)+IFERROR(INDEX(海典汇总!$C$3:$AE$67,MATCH($A507,海典汇总!$A$3:$A$67,0),MATCH(INDEX(科目对照收入!$G$2:$G$23,MATCH($B507,科目对照收入!$B$2:$B$23,0)),海典汇总!$C$1:$AE$1,0)),0)+IFERROR(INDEX(海典汇总!$C$3:$AE$67,MATCH($A507,海典汇总!$A$3:$A$67,0),MATCH(INDEX(科目对照收入!$H$2:$H$23,MATCH($B507,科目对照收入!$B$2:$B$23,0)),海典汇总!$C$1:$AE$1,0)),0),2))</f>
        <v/>
      </c>
      <c r="E507" s="15" t="str">
        <f aca="false">IF($D507="","",ROUND($C507-$D507,2))</f>
        <v/>
      </c>
      <c r="F507" s="38" t="str">
        <f aca="false">IF($A507&amp;$B507="","",IF(COUNTIF(门店对照!$A$2:$A$66,$A507)=0,"× 门店编码不对",IF(COUNTIF(科目对照收入!$B$2:$B$23,$B507)=0,"× 渠道名不对",IF(INDEX(科目对照收入!$E$2:$E$23,MATCH($B507,科目对照收入!$B$2:$B$23,0))&lt;&gt;"平台优先","× 该项目不按平台金额",IF(COUNTIFS($A$2:$A$601,$A507,$B$2:$B$601,$B507)&gt;1,"× 同店同渠道重复","√")))))</f>
        <v/>
      </c>
    </row>
    <row r="508" customFormat="false" ht="13.5" hidden="false" customHeight="false" outlineLevel="0" collapsed="false">
      <c r="A508" s="35"/>
      <c r="B508" s="35"/>
      <c r="C508" s="37"/>
      <c r="D508" s="15" t="str">
        <f aca="false">IF(OR($A508="",$B508=""),"",ROUND(IFERROR(INDEX(海典汇总!$C$3:$AE$67,MATCH($A508,海典汇总!$A$3:$A$67,0),MATCH(INDEX(科目对照收入!$F$2:$F$23,MATCH($B508,科目对照收入!$B$2:$B$23,0)),海典汇总!$C$1:$AE$1,0)),0)+IFERROR(INDEX(海典汇总!$C$3:$AE$67,MATCH($A508,海典汇总!$A$3:$A$67,0),MATCH(INDEX(科目对照收入!$G$2:$G$23,MATCH($B508,科目对照收入!$B$2:$B$23,0)),海典汇总!$C$1:$AE$1,0)),0)+IFERROR(INDEX(海典汇总!$C$3:$AE$67,MATCH($A508,海典汇总!$A$3:$A$67,0),MATCH(INDEX(科目对照收入!$H$2:$H$23,MATCH($B508,科目对照收入!$B$2:$B$23,0)),海典汇总!$C$1:$AE$1,0)),0),2))</f>
        <v/>
      </c>
      <c r="E508" s="15" t="str">
        <f aca="false">IF($D508="","",ROUND($C508-$D508,2))</f>
        <v/>
      </c>
      <c r="F508" s="38" t="str">
        <f aca="false">IF($A508&amp;$B508="","",IF(COUNTIF(门店对照!$A$2:$A$66,$A508)=0,"× 门店编码不对",IF(COUNTIF(科目对照收入!$B$2:$B$23,$B508)=0,"× 渠道名不对",IF(INDEX(科目对照收入!$E$2:$E$23,MATCH($B508,科目对照收入!$B$2:$B$23,0))&lt;&gt;"平台优先","× 该项目不按平台金额",IF(COUNTIFS($A$2:$A$601,$A508,$B$2:$B$601,$B508)&gt;1,"× 同店同渠道重复","√")))))</f>
        <v/>
      </c>
    </row>
    <row r="509" customFormat="false" ht="13.5" hidden="false" customHeight="false" outlineLevel="0" collapsed="false">
      <c r="A509" s="35"/>
      <c r="B509" s="35"/>
      <c r="C509" s="37"/>
      <c r="D509" s="15" t="str">
        <f aca="false">IF(OR($A509="",$B509=""),"",ROUND(IFERROR(INDEX(海典汇总!$C$3:$AE$67,MATCH($A509,海典汇总!$A$3:$A$67,0),MATCH(INDEX(科目对照收入!$F$2:$F$23,MATCH($B509,科目对照收入!$B$2:$B$23,0)),海典汇总!$C$1:$AE$1,0)),0)+IFERROR(INDEX(海典汇总!$C$3:$AE$67,MATCH($A509,海典汇总!$A$3:$A$67,0),MATCH(INDEX(科目对照收入!$G$2:$G$23,MATCH($B509,科目对照收入!$B$2:$B$23,0)),海典汇总!$C$1:$AE$1,0)),0)+IFERROR(INDEX(海典汇总!$C$3:$AE$67,MATCH($A509,海典汇总!$A$3:$A$67,0),MATCH(INDEX(科目对照收入!$H$2:$H$23,MATCH($B509,科目对照收入!$B$2:$B$23,0)),海典汇总!$C$1:$AE$1,0)),0),2))</f>
        <v/>
      </c>
      <c r="E509" s="15" t="str">
        <f aca="false">IF($D509="","",ROUND($C509-$D509,2))</f>
        <v/>
      </c>
      <c r="F509" s="38" t="str">
        <f aca="false">IF($A509&amp;$B509="","",IF(COUNTIF(门店对照!$A$2:$A$66,$A509)=0,"× 门店编码不对",IF(COUNTIF(科目对照收入!$B$2:$B$23,$B509)=0,"× 渠道名不对",IF(INDEX(科目对照收入!$E$2:$E$23,MATCH($B509,科目对照收入!$B$2:$B$23,0))&lt;&gt;"平台优先","× 该项目不按平台金额",IF(COUNTIFS($A$2:$A$601,$A509,$B$2:$B$601,$B509)&gt;1,"× 同店同渠道重复","√")))))</f>
        <v/>
      </c>
    </row>
    <row r="510" customFormat="false" ht="13.5" hidden="false" customHeight="false" outlineLevel="0" collapsed="false">
      <c r="A510" s="35"/>
      <c r="B510" s="35"/>
      <c r="C510" s="37"/>
      <c r="D510" s="15" t="str">
        <f aca="false">IF(OR($A510="",$B510=""),"",ROUND(IFERROR(INDEX(海典汇总!$C$3:$AE$67,MATCH($A510,海典汇总!$A$3:$A$67,0),MATCH(INDEX(科目对照收入!$F$2:$F$23,MATCH($B510,科目对照收入!$B$2:$B$23,0)),海典汇总!$C$1:$AE$1,0)),0)+IFERROR(INDEX(海典汇总!$C$3:$AE$67,MATCH($A510,海典汇总!$A$3:$A$67,0),MATCH(INDEX(科目对照收入!$G$2:$G$23,MATCH($B510,科目对照收入!$B$2:$B$23,0)),海典汇总!$C$1:$AE$1,0)),0)+IFERROR(INDEX(海典汇总!$C$3:$AE$67,MATCH($A510,海典汇总!$A$3:$A$67,0),MATCH(INDEX(科目对照收入!$H$2:$H$23,MATCH($B510,科目对照收入!$B$2:$B$23,0)),海典汇总!$C$1:$AE$1,0)),0),2))</f>
        <v/>
      </c>
      <c r="E510" s="15" t="str">
        <f aca="false">IF($D510="","",ROUND($C510-$D510,2))</f>
        <v/>
      </c>
      <c r="F510" s="38" t="str">
        <f aca="false">IF($A510&amp;$B510="","",IF(COUNTIF(门店对照!$A$2:$A$66,$A510)=0,"× 门店编码不对",IF(COUNTIF(科目对照收入!$B$2:$B$23,$B510)=0,"× 渠道名不对",IF(INDEX(科目对照收入!$E$2:$E$23,MATCH($B510,科目对照收入!$B$2:$B$23,0))&lt;&gt;"平台优先","× 该项目不按平台金额",IF(COUNTIFS($A$2:$A$601,$A510,$B$2:$B$601,$B510)&gt;1,"× 同店同渠道重复","√")))))</f>
        <v/>
      </c>
    </row>
    <row r="511" customFormat="false" ht="13.5" hidden="false" customHeight="false" outlineLevel="0" collapsed="false">
      <c r="A511" s="35"/>
      <c r="B511" s="35"/>
      <c r="C511" s="37"/>
      <c r="D511" s="15" t="str">
        <f aca="false">IF(OR($A511="",$B511=""),"",ROUND(IFERROR(INDEX(海典汇总!$C$3:$AE$67,MATCH($A511,海典汇总!$A$3:$A$67,0),MATCH(INDEX(科目对照收入!$F$2:$F$23,MATCH($B511,科目对照收入!$B$2:$B$23,0)),海典汇总!$C$1:$AE$1,0)),0)+IFERROR(INDEX(海典汇总!$C$3:$AE$67,MATCH($A511,海典汇总!$A$3:$A$67,0),MATCH(INDEX(科目对照收入!$G$2:$G$23,MATCH($B511,科目对照收入!$B$2:$B$23,0)),海典汇总!$C$1:$AE$1,0)),0)+IFERROR(INDEX(海典汇总!$C$3:$AE$67,MATCH($A511,海典汇总!$A$3:$A$67,0),MATCH(INDEX(科目对照收入!$H$2:$H$23,MATCH($B511,科目对照收入!$B$2:$B$23,0)),海典汇总!$C$1:$AE$1,0)),0),2))</f>
        <v/>
      </c>
      <c r="E511" s="15" t="str">
        <f aca="false">IF($D511="","",ROUND($C511-$D511,2))</f>
        <v/>
      </c>
      <c r="F511" s="38" t="str">
        <f aca="false">IF($A511&amp;$B511="","",IF(COUNTIF(门店对照!$A$2:$A$66,$A511)=0,"× 门店编码不对",IF(COUNTIF(科目对照收入!$B$2:$B$23,$B511)=0,"× 渠道名不对",IF(INDEX(科目对照收入!$E$2:$E$23,MATCH($B511,科目对照收入!$B$2:$B$23,0))&lt;&gt;"平台优先","× 该项目不按平台金额",IF(COUNTIFS($A$2:$A$601,$A511,$B$2:$B$601,$B511)&gt;1,"× 同店同渠道重复","√")))))</f>
        <v/>
      </c>
    </row>
    <row r="512" customFormat="false" ht="13.5" hidden="false" customHeight="false" outlineLevel="0" collapsed="false">
      <c r="A512" s="35"/>
      <c r="B512" s="35"/>
      <c r="C512" s="37"/>
      <c r="D512" s="15" t="str">
        <f aca="false">IF(OR($A512="",$B512=""),"",ROUND(IFERROR(INDEX(海典汇总!$C$3:$AE$67,MATCH($A512,海典汇总!$A$3:$A$67,0),MATCH(INDEX(科目对照收入!$F$2:$F$23,MATCH($B512,科目对照收入!$B$2:$B$23,0)),海典汇总!$C$1:$AE$1,0)),0)+IFERROR(INDEX(海典汇总!$C$3:$AE$67,MATCH($A512,海典汇总!$A$3:$A$67,0),MATCH(INDEX(科目对照收入!$G$2:$G$23,MATCH($B512,科目对照收入!$B$2:$B$23,0)),海典汇总!$C$1:$AE$1,0)),0)+IFERROR(INDEX(海典汇总!$C$3:$AE$67,MATCH($A512,海典汇总!$A$3:$A$67,0),MATCH(INDEX(科目对照收入!$H$2:$H$23,MATCH($B512,科目对照收入!$B$2:$B$23,0)),海典汇总!$C$1:$AE$1,0)),0),2))</f>
        <v/>
      </c>
      <c r="E512" s="15" t="str">
        <f aca="false">IF($D512="","",ROUND($C512-$D512,2))</f>
        <v/>
      </c>
      <c r="F512" s="38" t="str">
        <f aca="false">IF($A512&amp;$B512="","",IF(COUNTIF(门店对照!$A$2:$A$66,$A512)=0,"× 门店编码不对",IF(COUNTIF(科目对照收入!$B$2:$B$23,$B512)=0,"× 渠道名不对",IF(INDEX(科目对照收入!$E$2:$E$23,MATCH($B512,科目对照收入!$B$2:$B$23,0))&lt;&gt;"平台优先","× 该项目不按平台金额",IF(COUNTIFS($A$2:$A$601,$A512,$B$2:$B$601,$B512)&gt;1,"× 同店同渠道重复","√")))))</f>
        <v/>
      </c>
    </row>
    <row r="513" customFormat="false" ht="13.5" hidden="false" customHeight="false" outlineLevel="0" collapsed="false">
      <c r="A513" s="35"/>
      <c r="B513" s="35"/>
      <c r="C513" s="37"/>
      <c r="D513" s="15" t="str">
        <f aca="false">IF(OR($A513="",$B513=""),"",ROUND(IFERROR(INDEX(海典汇总!$C$3:$AE$67,MATCH($A513,海典汇总!$A$3:$A$67,0),MATCH(INDEX(科目对照收入!$F$2:$F$23,MATCH($B513,科目对照收入!$B$2:$B$23,0)),海典汇总!$C$1:$AE$1,0)),0)+IFERROR(INDEX(海典汇总!$C$3:$AE$67,MATCH($A513,海典汇总!$A$3:$A$67,0),MATCH(INDEX(科目对照收入!$G$2:$G$23,MATCH($B513,科目对照收入!$B$2:$B$23,0)),海典汇总!$C$1:$AE$1,0)),0)+IFERROR(INDEX(海典汇总!$C$3:$AE$67,MATCH($A513,海典汇总!$A$3:$A$67,0),MATCH(INDEX(科目对照收入!$H$2:$H$23,MATCH($B513,科目对照收入!$B$2:$B$23,0)),海典汇总!$C$1:$AE$1,0)),0),2))</f>
        <v/>
      </c>
      <c r="E513" s="15" t="str">
        <f aca="false">IF($D513="","",ROUND($C513-$D513,2))</f>
        <v/>
      </c>
      <c r="F513" s="38" t="str">
        <f aca="false">IF($A513&amp;$B513="","",IF(COUNTIF(门店对照!$A$2:$A$66,$A513)=0,"× 门店编码不对",IF(COUNTIF(科目对照收入!$B$2:$B$23,$B513)=0,"× 渠道名不对",IF(INDEX(科目对照收入!$E$2:$E$23,MATCH($B513,科目对照收入!$B$2:$B$23,0))&lt;&gt;"平台优先","× 该项目不按平台金额",IF(COUNTIFS($A$2:$A$601,$A513,$B$2:$B$601,$B513)&gt;1,"× 同店同渠道重复","√")))))</f>
        <v/>
      </c>
    </row>
    <row r="514" customFormat="false" ht="13.5" hidden="false" customHeight="false" outlineLevel="0" collapsed="false">
      <c r="A514" s="35"/>
      <c r="B514" s="35"/>
      <c r="C514" s="37"/>
      <c r="D514" s="15" t="str">
        <f aca="false">IF(OR($A514="",$B514=""),"",ROUND(IFERROR(INDEX(海典汇总!$C$3:$AE$67,MATCH($A514,海典汇总!$A$3:$A$67,0),MATCH(INDEX(科目对照收入!$F$2:$F$23,MATCH($B514,科目对照收入!$B$2:$B$23,0)),海典汇总!$C$1:$AE$1,0)),0)+IFERROR(INDEX(海典汇总!$C$3:$AE$67,MATCH($A514,海典汇总!$A$3:$A$67,0),MATCH(INDEX(科目对照收入!$G$2:$G$23,MATCH($B514,科目对照收入!$B$2:$B$23,0)),海典汇总!$C$1:$AE$1,0)),0)+IFERROR(INDEX(海典汇总!$C$3:$AE$67,MATCH($A514,海典汇总!$A$3:$A$67,0),MATCH(INDEX(科目对照收入!$H$2:$H$23,MATCH($B514,科目对照收入!$B$2:$B$23,0)),海典汇总!$C$1:$AE$1,0)),0),2))</f>
        <v/>
      </c>
      <c r="E514" s="15" t="str">
        <f aca="false">IF($D514="","",ROUND($C514-$D514,2))</f>
        <v/>
      </c>
      <c r="F514" s="38" t="str">
        <f aca="false">IF($A514&amp;$B514="","",IF(COUNTIF(门店对照!$A$2:$A$66,$A514)=0,"× 门店编码不对",IF(COUNTIF(科目对照收入!$B$2:$B$23,$B514)=0,"× 渠道名不对",IF(INDEX(科目对照收入!$E$2:$E$23,MATCH($B514,科目对照收入!$B$2:$B$23,0))&lt;&gt;"平台优先","× 该项目不按平台金额",IF(COUNTIFS($A$2:$A$601,$A514,$B$2:$B$601,$B514)&gt;1,"× 同店同渠道重复","√")))))</f>
        <v/>
      </c>
    </row>
    <row r="515" customFormat="false" ht="13.5" hidden="false" customHeight="false" outlineLevel="0" collapsed="false">
      <c r="A515" s="35"/>
      <c r="B515" s="35"/>
      <c r="C515" s="37"/>
      <c r="D515" s="15" t="str">
        <f aca="false">IF(OR($A515="",$B515=""),"",ROUND(IFERROR(INDEX(海典汇总!$C$3:$AE$67,MATCH($A515,海典汇总!$A$3:$A$67,0),MATCH(INDEX(科目对照收入!$F$2:$F$23,MATCH($B515,科目对照收入!$B$2:$B$23,0)),海典汇总!$C$1:$AE$1,0)),0)+IFERROR(INDEX(海典汇总!$C$3:$AE$67,MATCH($A515,海典汇总!$A$3:$A$67,0),MATCH(INDEX(科目对照收入!$G$2:$G$23,MATCH($B515,科目对照收入!$B$2:$B$23,0)),海典汇总!$C$1:$AE$1,0)),0)+IFERROR(INDEX(海典汇总!$C$3:$AE$67,MATCH($A515,海典汇总!$A$3:$A$67,0),MATCH(INDEX(科目对照收入!$H$2:$H$23,MATCH($B515,科目对照收入!$B$2:$B$23,0)),海典汇总!$C$1:$AE$1,0)),0),2))</f>
        <v/>
      </c>
      <c r="E515" s="15" t="str">
        <f aca="false">IF($D515="","",ROUND($C515-$D515,2))</f>
        <v/>
      </c>
      <c r="F515" s="38" t="str">
        <f aca="false">IF($A515&amp;$B515="","",IF(COUNTIF(门店对照!$A$2:$A$66,$A515)=0,"× 门店编码不对",IF(COUNTIF(科目对照收入!$B$2:$B$23,$B515)=0,"× 渠道名不对",IF(INDEX(科目对照收入!$E$2:$E$23,MATCH($B515,科目对照收入!$B$2:$B$23,0))&lt;&gt;"平台优先","× 该项目不按平台金额",IF(COUNTIFS($A$2:$A$601,$A515,$B$2:$B$601,$B515)&gt;1,"× 同店同渠道重复","√")))))</f>
        <v/>
      </c>
    </row>
    <row r="516" customFormat="false" ht="13.5" hidden="false" customHeight="false" outlineLevel="0" collapsed="false">
      <c r="A516" s="35"/>
      <c r="B516" s="35"/>
      <c r="C516" s="37"/>
      <c r="D516" s="15" t="str">
        <f aca="false">IF(OR($A516="",$B516=""),"",ROUND(IFERROR(INDEX(海典汇总!$C$3:$AE$67,MATCH($A516,海典汇总!$A$3:$A$67,0),MATCH(INDEX(科目对照收入!$F$2:$F$23,MATCH($B516,科目对照收入!$B$2:$B$23,0)),海典汇总!$C$1:$AE$1,0)),0)+IFERROR(INDEX(海典汇总!$C$3:$AE$67,MATCH($A516,海典汇总!$A$3:$A$67,0),MATCH(INDEX(科目对照收入!$G$2:$G$23,MATCH($B516,科目对照收入!$B$2:$B$23,0)),海典汇总!$C$1:$AE$1,0)),0)+IFERROR(INDEX(海典汇总!$C$3:$AE$67,MATCH($A516,海典汇总!$A$3:$A$67,0),MATCH(INDEX(科目对照收入!$H$2:$H$23,MATCH($B516,科目对照收入!$B$2:$B$23,0)),海典汇总!$C$1:$AE$1,0)),0),2))</f>
        <v/>
      </c>
      <c r="E516" s="15" t="str">
        <f aca="false">IF($D516="","",ROUND($C516-$D516,2))</f>
        <v/>
      </c>
      <c r="F516" s="38" t="str">
        <f aca="false">IF($A516&amp;$B516="","",IF(COUNTIF(门店对照!$A$2:$A$66,$A516)=0,"× 门店编码不对",IF(COUNTIF(科目对照收入!$B$2:$B$23,$B516)=0,"× 渠道名不对",IF(INDEX(科目对照收入!$E$2:$E$23,MATCH($B516,科目对照收入!$B$2:$B$23,0))&lt;&gt;"平台优先","× 该项目不按平台金额",IF(COUNTIFS($A$2:$A$601,$A516,$B$2:$B$601,$B516)&gt;1,"× 同店同渠道重复","√")))))</f>
        <v/>
      </c>
    </row>
    <row r="517" customFormat="false" ht="13.5" hidden="false" customHeight="false" outlineLevel="0" collapsed="false">
      <c r="A517" s="35"/>
      <c r="B517" s="35"/>
      <c r="C517" s="37"/>
      <c r="D517" s="15" t="str">
        <f aca="false">IF(OR($A517="",$B517=""),"",ROUND(IFERROR(INDEX(海典汇总!$C$3:$AE$67,MATCH($A517,海典汇总!$A$3:$A$67,0),MATCH(INDEX(科目对照收入!$F$2:$F$23,MATCH($B517,科目对照收入!$B$2:$B$23,0)),海典汇总!$C$1:$AE$1,0)),0)+IFERROR(INDEX(海典汇总!$C$3:$AE$67,MATCH($A517,海典汇总!$A$3:$A$67,0),MATCH(INDEX(科目对照收入!$G$2:$G$23,MATCH($B517,科目对照收入!$B$2:$B$23,0)),海典汇总!$C$1:$AE$1,0)),0)+IFERROR(INDEX(海典汇总!$C$3:$AE$67,MATCH($A517,海典汇总!$A$3:$A$67,0),MATCH(INDEX(科目对照收入!$H$2:$H$23,MATCH($B517,科目对照收入!$B$2:$B$23,0)),海典汇总!$C$1:$AE$1,0)),0),2))</f>
        <v/>
      </c>
      <c r="E517" s="15" t="str">
        <f aca="false">IF($D517="","",ROUND($C517-$D517,2))</f>
        <v/>
      </c>
      <c r="F517" s="38" t="str">
        <f aca="false">IF($A517&amp;$B517="","",IF(COUNTIF(门店对照!$A$2:$A$66,$A517)=0,"× 门店编码不对",IF(COUNTIF(科目对照收入!$B$2:$B$23,$B517)=0,"× 渠道名不对",IF(INDEX(科目对照收入!$E$2:$E$23,MATCH($B517,科目对照收入!$B$2:$B$23,0))&lt;&gt;"平台优先","× 该项目不按平台金额",IF(COUNTIFS($A$2:$A$601,$A517,$B$2:$B$601,$B517)&gt;1,"× 同店同渠道重复","√")))))</f>
        <v/>
      </c>
    </row>
    <row r="518" customFormat="false" ht="13.5" hidden="false" customHeight="false" outlineLevel="0" collapsed="false">
      <c r="A518" s="35"/>
      <c r="B518" s="35"/>
      <c r="C518" s="37"/>
      <c r="D518" s="15" t="str">
        <f aca="false">IF(OR($A518="",$B518=""),"",ROUND(IFERROR(INDEX(海典汇总!$C$3:$AE$67,MATCH($A518,海典汇总!$A$3:$A$67,0),MATCH(INDEX(科目对照收入!$F$2:$F$23,MATCH($B518,科目对照收入!$B$2:$B$23,0)),海典汇总!$C$1:$AE$1,0)),0)+IFERROR(INDEX(海典汇总!$C$3:$AE$67,MATCH($A518,海典汇总!$A$3:$A$67,0),MATCH(INDEX(科目对照收入!$G$2:$G$23,MATCH($B518,科目对照收入!$B$2:$B$23,0)),海典汇总!$C$1:$AE$1,0)),0)+IFERROR(INDEX(海典汇总!$C$3:$AE$67,MATCH($A518,海典汇总!$A$3:$A$67,0),MATCH(INDEX(科目对照收入!$H$2:$H$23,MATCH($B518,科目对照收入!$B$2:$B$23,0)),海典汇总!$C$1:$AE$1,0)),0),2))</f>
        <v/>
      </c>
      <c r="E518" s="15" t="str">
        <f aca="false">IF($D518="","",ROUND($C518-$D518,2))</f>
        <v/>
      </c>
      <c r="F518" s="38" t="str">
        <f aca="false">IF($A518&amp;$B518="","",IF(COUNTIF(门店对照!$A$2:$A$66,$A518)=0,"× 门店编码不对",IF(COUNTIF(科目对照收入!$B$2:$B$23,$B518)=0,"× 渠道名不对",IF(INDEX(科目对照收入!$E$2:$E$23,MATCH($B518,科目对照收入!$B$2:$B$23,0))&lt;&gt;"平台优先","× 该项目不按平台金额",IF(COUNTIFS($A$2:$A$601,$A518,$B$2:$B$601,$B518)&gt;1,"× 同店同渠道重复","√")))))</f>
        <v/>
      </c>
    </row>
    <row r="519" customFormat="false" ht="13.5" hidden="false" customHeight="false" outlineLevel="0" collapsed="false">
      <c r="A519" s="35"/>
      <c r="B519" s="35"/>
      <c r="C519" s="37"/>
      <c r="D519" s="15" t="str">
        <f aca="false">IF(OR($A519="",$B519=""),"",ROUND(IFERROR(INDEX(海典汇总!$C$3:$AE$67,MATCH($A519,海典汇总!$A$3:$A$67,0),MATCH(INDEX(科目对照收入!$F$2:$F$23,MATCH($B519,科目对照收入!$B$2:$B$23,0)),海典汇总!$C$1:$AE$1,0)),0)+IFERROR(INDEX(海典汇总!$C$3:$AE$67,MATCH($A519,海典汇总!$A$3:$A$67,0),MATCH(INDEX(科目对照收入!$G$2:$G$23,MATCH($B519,科目对照收入!$B$2:$B$23,0)),海典汇总!$C$1:$AE$1,0)),0)+IFERROR(INDEX(海典汇总!$C$3:$AE$67,MATCH($A519,海典汇总!$A$3:$A$67,0),MATCH(INDEX(科目对照收入!$H$2:$H$23,MATCH($B519,科目对照收入!$B$2:$B$23,0)),海典汇总!$C$1:$AE$1,0)),0),2))</f>
        <v/>
      </c>
      <c r="E519" s="15" t="str">
        <f aca="false">IF($D519="","",ROUND($C519-$D519,2))</f>
        <v/>
      </c>
      <c r="F519" s="38" t="str">
        <f aca="false">IF($A519&amp;$B519="","",IF(COUNTIF(门店对照!$A$2:$A$66,$A519)=0,"× 门店编码不对",IF(COUNTIF(科目对照收入!$B$2:$B$23,$B519)=0,"× 渠道名不对",IF(INDEX(科目对照收入!$E$2:$E$23,MATCH($B519,科目对照收入!$B$2:$B$23,0))&lt;&gt;"平台优先","× 该项目不按平台金额",IF(COUNTIFS($A$2:$A$601,$A519,$B$2:$B$601,$B519)&gt;1,"× 同店同渠道重复","√")))))</f>
        <v/>
      </c>
    </row>
    <row r="520" customFormat="false" ht="13.5" hidden="false" customHeight="false" outlineLevel="0" collapsed="false">
      <c r="A520" s="35"/>
      <c r="B520" s="35"/>
      <c r="C520" s="37"/>
      <c r="D520" s="15" t="str">
        <f aca="false">IF(OR($A520="",$B520=""),"",ROUND(IFERROR(INDEX(海典汇总!$C$3:$AE$67,MATCH($A520,海典汇总!$A$3:$A$67,0),MATCH(INDEX(科目对照收入!$F$2:$F$23,MATCH($B520,科目对照收入!$B$2:$B$23,0)),海典汇总!$C$1:$AE$1,0)),0)+IFERROR(INDEX(海典汇总!$C$3:$AE$67,MATCH($A520,海典汇总!$A$3:$A$67,0),MATCH(INDEX(科目对照收入!$G$2:$G$23,MATCH($B520,科目对照收入!$B$2:$B$23,0)),海典汇总!$C$1:$AE$1,0)),0)+IFERROR(INDEX(海典汇总!$C$3:$AE$67,MATCH($A520,海典汇总!$A$3:$A$67,0),MATCH(INDEX(科目对照收入!$H$2:$H$23,MATCH($B520,科目对照收入!$B$2:$B$23,0)),海典汇总!$C$1:$AE$1,0)),0),2))</f>
        <v/>
      </c>
      <c r="E520" s="15" t="str">
        <f aca="false">IF($D520="","",ROUND($C520-$D520,2))</f>
        <v/>
      </c>
      <c r="F520" s="38" t="str">
        <f aca="false">IF($A520&amp;$B520="","",IF(COUNTIF(门店对照!$A$2:$A$66,$A520)=0,"× 门店编码不对",IF(COUNTIF(科目对照收入!$B$2:$B$23,$B520)=0,"× 渠道名不对",IF(INDEX(科目对照收入!$E$2:$E$23,MATCH($B520,科目对照收入!$B$2:$B$23,0))&lt;&gt;"平台优先","× 该项目不按平台金额",IF(COUNTIFS($A$2:$A$601,$A520,$B$2:$B$601,$B520)&gt;1,"× 同店同渠道重复","√")))))</f>
        <v/>
      </c>
    </row>
    <row r="521" customFormat="false" ht="13.5" hidden="false" customHeight="false" outlineLevel="0" collapsed="false">
      <c r="A521" s="35"/>
      <c r="B521" s="35"/>
      <c r="C521" s="37"/>
      <c r="D521" s="15" t="str">
        <f aca="false">IF(OR($A521="",$B521=""),"",ROUND(IFERROR(INDEX(海典汇总!$C$3:$AE$67,MATCH($A521,海典汇总!$A$3:$A$67,0),MATCH(INDEX(科目对照收入!$F$2:$F$23,MATCH($B521,科目对照收入!$B$2:$B$23,0)),海典汇总!$C$1:$AE$1,0)),0)+IFERROR(INDEX(海典汇总!$C$3:$AE$67,MATCH($A521,海典汇总!$A$3:$A$67,0),MATCH(INDEX(科目对照收入!$G$2:$G$23,MATCH($B521,科目对照收入!$B$2:$B$23,0)),海典汇总!$C$1:$AE$1,0)),0)+IFERROR(INDEX(海典汇总!$C$3:$AE$67,MATCH($A521,海典汇总!$A$3:$A$67,0),MATCH(INDEX(科目对照收入!$H$2:$H$23,MATCH($B521,科目对照收入!$B$2:$B$23,0)),海典汇总!$C$1:$AE$1,0)),0),2))</f>
        <v/>
      </c>
      <c r="E521" s="15" t="str">
        <f aca="false">IF($D521="","",ROUND($C521-$D521,2))</f>
        <v/>
      </c>
      <c r="F521" s="38" t="str">
        <f aca="false">IF($A521&amp;$B521="","",IF(COUNTIF(门店对照!$A$2:$A$66,$A521)=0,"× 门店编码不对",IF(COUNTIF(科目对照收入!$B$2:$B$23,$B521)=0,"× 渠道名不对",IF(INDEX(科目对照收入!$E$2:$E$23,MATCH($B521,科目对照收入!$B$2:$B$23,0))&lt;&gt;"平台优先","× 该项目不按平台金额",IF(COUNTIFS($A$2:$A$601,$A521,$B$2:$B$601,$B521)&gt;1,"× 同店同渠道重复","√")))))</f>
        <v/>
      </c>
    </row>
    <row r="522" customFormat="false" ht="13.5" hidden="false" customHeight="false" outlineLevel="0" collapsed="false">
      <c r="A522" s="35"/>
      <c r="B522" s="35"/>
      <c r="C522" s="37"/>
      <c r="D522" s="15" t="str">
        <f aca="false">IF(OR($A522="",$B522=""),"",ROUND(IFERROR(INDEX(海典汇总!$C$3:$AE$67,MATCH($A522,海典汇总!$A$3:$A$67,0),MATCH(INDEX(科目对照收入!$F$2:$F$23,MATCH($B522,科目对照收入!$B$2:$B$23,0)),海典汇总!$C$1:$AE$1,0)),0)+IFERROR(INDEX(海典汇总!$C$3:$AE$67,MATCH($A522,海典汇总!$A$3:$A$67,0),MATCH(INDEX(科目对照收入!$G$2:$G$23,MATCH($B522,科目对照收入!$B$2:$B$23,0)),海典汇总!$C$1:$AE$1,0)),0)+IFERROR(INDEX(海典汇总!$C$3:$AE$67,MATCH($A522,海典汇总!$A$3:$A$67,0),MATCH(INDEX(科目对照收入!$H$2:$H$23,MATCH($B522,科目对照收入!$B$2:$B$23,0)),海典汇总!$C$1:$AE$1,0)),0),2))</f>
        <v/>
      </c>
      <c r="E522" s="15" t="str">
        <f aca="false">IF($D522="","",ROUND($C522-$D522,2))</f>
        <v/>
      </c>
      <c r="F522" s="38" t="str">
        <f aca="false">IF($A522&amp;$B522="","",IF(COUNTIF(门店对照!$A$2:$A$66,$A522)=0,"× 门店编码不对",IF(COUNTIF(科目对照收入!$B$2:$B$23,$B522)=0,"× 渠道名不对",IF(INDEX(科目对照收入!$E$2:$E$23,MATCH($B522,科目对照收入!$B$2:$B$23,0))&lt;&gt;"平台优先","× 该项目不按平台金额",IF(COUNTIFS($A$2:$A$601,$A522,$B$2:$B$601,$B522)&gt;1,"× 同店同渠道重复","√")))))</f>
        <v/>
      </c>
    </row>
    <row r="523" customFormat="false" ht="13.5" hidden="false" customHeight="false" outlineLevel="0" collapsed="false">
      <c r="A523" s="35"/>
      <c r="B523" s="35"/>
      <c r="C523" s="37"/>
      <c r="D523" s="15" t="str">
        <f aca="false">IF(OR($A523="",$B523=""),"",ROUND(IFERROR(INDEX(海典汇总!$C$3:$AE$67,MATCH($A523,海典汇总!$A$3:$A$67,0),MATCH(INDEX(科目对照收入!$F$2:$F$23,MATCH($B523,科目对照收入!$B$2:$B$23,0)),海典汇总!$C$1:$AE$1,0)),0)+IFERROR(INDEX(海典汇总!$C$3:$AE$67,MATCH($A523,海典汇总!$A$3:$A$67,0),MATCH(INDEX(科目对照收入!$G$2:$G$23,MATCH($B523,科目对照收入!$B$2:$B$23,0)),海典汇总!$C$1:$AE$1,0)),0)+IFERROR(INDEX(海典汇总!$C$3:$AE$67,MATCH($A523,海典汇总!$A$3:$A$67,0),MATCH(INDEX(科目对照收入!$H$2:$H$23,MATCH($B523,科目对照收入!$B$2:$B$23,0)),海典汇总!$C$1:$AE$1,0)),0),2))</f>
        <v/>
      </c>
      <c r="E523" s="15" t="str">
        <f aca="false">IF($D523="","",ROUND($C523-$D523,2))</f>
        <v/>
      </c>
      <c r="F523" s="38" t="str">
        <f aca="false">IF($A523&amp;$B523="","",IF(COUNTIF(门店对照!$A$2:$A$66,$A523)=0,"× 门店编码不对",IF(COUNTIF(科目对照收入!$B$2:$B$23,$B523)=0,"× 渠道名不对",IF(INDEX(科目对照收入!$E$2:$E$23,MATCH($B523,科目对照收入!$B$2:$B$23,0))&lt;&gt;"平台优先","× 该项目不按平台金额",IF(COUNTIFS($A$2:$A$601,$A523,$B$2:$B$601,$B523)&gt;1,"× 同店同渠道重复","√")))))</f>
        <v/>
      </c>
    </row>
    <row r="524" customFormat="false" ht="13.5" hidden="false" customHeight="false" outlineLevel="0" collapsed="false">
      <c r="A524" s="35"/>
      <c r="B524" s="35"/>
      <c r="C524" s="37"/>
      <c r="D524" s="15" t="str">
        <f aca="false">IF(OR($A524="",$B524=""),"",ROUND(IFERROR(INDEX(海典汇总!$C$3:$AE$67,MATCH($A524,海典汇总!$A$3:$A$67,0),MATCH(INDEX(科目对照收入!$F$2:$F$23,MATCH($B524,科目对照收入!$B$2:$B$23,0)),海典汇总!$C$1:$AE$1,0)),0)+IFERROR(INDEX(海典汇总!$C$3:$AE$67,MATCH($A524,海典汇总!$A$3:$A$67,0),MATCH(INDEX(科目对照收入!$G$2:$G$23,MATCH($B524,科目对照收入!$B$2:$B$23,0)),海典汇总!$C$1:$AE$1,0)),0)+IFERROR(INDEX(海典汇总!$C$3:$AE$67,MATCH($A524,海典汇总!$A$3:$A$67,0),MATCH(INDEX(科目对照收入!$H$2:$H$23,MATCH($B524,科目对照收入!$B$2:$B$23,0)),海典汇总!$C$1:$AE$1,0)),0),2))</f>
        <v/>
      </c>
      <c r="E524" s="15" t="str">
        <f aca="false">IF($D524="","",ROUND($C524-$D524,2))</f>
        <v/>
      </c>
      <c r="F524" s="38" t="str">
        <f aca="false">IF($A524&amp;$B524="","",IF(COUNTIF(门店对照!$A$2:$A$66,$A524)=0,"× 门店编码不对",IF(COUNTIF(科目对照收入!$B$2:$B$23,$B524)=0,"× 渠道名不对",IF(INDEX(科目对照收入!$E$2:$E$23,MATCH($B524,科目对照收入!$B$2:$B$23,0))&lt;&gt;"平台优先","× 该项目不按平台金额",IF(COUNTIFS($A$2:$A$601,$A524,$B$2:$B$601,$B524)&gt;1,"× 同店同渠道重复","√")))))</f>
        <v/>
      </c>
    </row>
    <row r="525" customFormat="false" ht="13.5" hidden="false" customHeight="false" outlineLevel="0" collapsed="false">
      <c r="A525" s="35"/>
      <c r="B525" s="35"/>
      <c r="C525" s="37"/>
      <c r="D525" s="15" t="str">
        <f aca="false">IF(OR($A525="",$B525=""),"",ROUND(IFERROR(INDEX(海典汇总!$C$3:$AE$67,MATCH($A525,海典汇总!$A$3:$A$67,0),MATCH(INDEX(科目对照收入!$F$2:$F$23,MATCH($B525,科目对照收入!$B$2:$B$23,0)),海典汇总!$C$1:$AE$1,0)),0)+IFERROR(INDEX(海典汇总!$C$3:$AE$67,MATCH($A525,海典汇总!$A$3:$A$67,0),MATCH(INDEX(科目对照收入!$G$2:$G$23,MATCH($B525,科目对照收入!$B$2:$B$23,0)),海典汇总!$C$1:$AE$1,0)),0)+IFERROR(INDEX(海典汇总!$C$3:$AE$67,MATCH($A525,海典汇总!$A$3:$A$67,0),MATCH(INDEX(科目对照收入!$H$2:$H$23,MATCH($B525,科目对照收入!$B$2:$B$23,0)),海典汇总!$C$1:$AE$1,0)),0),2))</f>
        <v/>
      </c>
      <c r="E525" s="15" t="str">
        <f aca="false">IF($D525="","",ROUND($C525-$D525,2))</f>
        <v/>
      </c>
      <c r="F525" s="38" t="str">
        <f aca="false">IF($A525&amp;$B525="","",IF(COUNTIF(门店对照!$A$2:$A$66,$A525)=0,"× 门店编码不对",IF(COUNTIF(科目对照收入!$B$2:$B$23,$B525)=0,"× 渠道名不对",IF(INDEX(科目对照收入!$E$2:$E$23,MATCH($B525,科目对照收入!$B$2:$B$23,0))&lt;&gt;"平台优先","× 该项目不按平台金额",IF(COUNTIFS($A$2:$A$601,$A525,$B$2:$B$601,$B525)&gt;1,"× 同店同渠道重复","√")))))</f>
        <v/>
      </c>
    </row>
    <row r="526" customFormat="false" ht="13.5" hidden="false" customHeight="false" outlineLevel="0" collapsed="false">
      <c r="A526" s="35"/>
      <c r="B526" s="35"/>
      <c r="C526" s="37"/>
      <c r="D526" s="15" t="str">
        <f aca="false">IF(OR($A526="",$B526=""),"",ROUND(IFERROR(INDEX(海典汇总!$C$3:$AE$67,MATCH($A526,海典汇总!$A$3:$A$67,0),MATCH(INDEX(科目对照收入!$F$2:$F$23,MATCH($B526,科目对照收入!$B$2:$B$23,0)),海典汇总!$C$1:$AE$1,0)),0)+IFERROR(INDEX(海典汇总!$C$3:$AE$67,MATCH($A526,海典汇总!$A$3:$A$67,0),MATCH(INDEX(科目对照收入!$G$2:$G$23,MATCH($B526,科目对照收入!$B$2:$B$23,0)),海典汇总!$C$1:$AE$1,0)),0)+IFERROR(INDEX(海典汇总!$C$3:$AE$67,MATCH($A526,海典汇总!$A$3:$A$67,0),MATCH(INDEX(科目对照收入!$H$2:$H$23,MATCH($B526,科目对照收入!$B$2:$B$23,0)),海典汇总!$C$1:$AE$1,0)),0),2))</f>
        <v/>
      </c>
      <c r="E526" s="15" t="str">
        <f aca="false">IF($D526="","",ROUND($C526-$D526,2))</f>
        <v/>
      </c>
      <c r="F526" s="38" t="str">
        <f aca="false">IF($A526&amp;$B526="","",IF(COUNTIF(门店对照!$A$2:$A$66,$A526)=0,"× 门店编码不对",IF(COUNTIF(科目对照收入!$B$2:$B$23,$B526)=0,"× 渠道名不对",IF(INDEX(科目对照收入!$E$2:$E$23,MATCH($B526,科目对照收入!$B$2:$B$23,0))&lt;&gt;"平台优先","× 该项目不按平台金额",IF(COUNTIFS($A$2:$A$601,$A526,$B$2:$B$601,$B526)&gt;1,"× 同店同渠道重复","√")))))</f>
        <v/>
      </c>
    </row>
    <row r="527" customFormat="false" ht="13.5" hidden="false" customHeight="false" outlineLevel="0" collapsed="false">
      <c r="A527" s="35"/>
      <c r="B527" s="35"/>
      <c r="C527" s="37"/>
      <c r="D527" s="15" t="str">
        <f aca="false">IF(OR($A527="",$B527=""),"",ROUND(IFERROR(INDEX(海典汇总!$C$3:$AE$67,MATCH($A527,海典汇总!$A$3:$A$67,0),MATCH(INDEX(科目对照收入!$F$2:$F$23,MATCH($B527,科目对照收入!$B$2:$B$23,0)),海典汇总!$C$1:$AE$1,0)),0)+IFERROR(INDEX(海典汇总!$C$3:$AE$67,MATCH($A527,海典汇总!$A$3:$A$67,0),MATCH(INDEX(科目对照收入!$G$2:$G$23,MATCH($B527,科目对照收入!$B$2:$B$23,0)),海典汇总!$C$1:$AE$1,0)),0)+IFERROR(INDEX(海典汇总!$C$3:$AE$67,MATCH($A527,海典汇总!$A$3:$A$67,0),MATCH(INDEX(科目对照收入!$H$2:$H$23,MATCH($B527,科目对照收入!$B$2:$B$23,0)),海典汇总!$C$1:$AE$1,0)),0),2))</f>
        <v/>
      </c>
      <c r="E527" s="15" t="str">
        <f aca="false">IF($D527="","",ROUND($C527-$D527,2))</f>
        <v/>
      </c>
      <c r="F527" s="38" t="str">
        <f aca="false">IF($A527&amp;$B527="","",IF(COUNTIF(门店对照!$A$2:$A$66,$A527)=0,"× 门店编码不对",IF(COUNTIF(科目对照收入!$B$2:$B$23,$B527)=0,"× 渠道名不对",IF(INDEX(科目对照收入!$E$2:$E$23,MATCH($B527,科目对照收入!$B$2:$B$23,0))&lt;&gt;"平台优先","× 该项目不按平台金额",IF(COUNTIFS($A$2:$A$601,$A527,$B$2:$B$601,$B527)&gt;1,"× 同店同渠道重复","√")))))</f>
        <v/>
      </c>
    </row>
    <row r="528" customFormat="false" ht="13.5" hidden="false" customHeight="false" outlineLevel="0" collapsed="false">
      <c r="A528" s="35"/>
      <c r="B528" s="35"/>
      <c r="C528" s="37"/>
      <c r="D528" s="15" t="str">
        <f aca="false">IF(OR($A528="",$B528=""),"",ROUND(IFERROR(INDEX(海典汇总!$C$3:$AE$67,MATCH($A528,海典汇总!$A$3:$A$67,0),MATCH(INDEX(科目对照收入!$F$2:$F$23,MATCH($B528,科目对照收入!$B$2:$B$23,0)),海典汇总!$C$1:$AE$1,0)),0)+IFERROR(INDEX(海典汇总!$C$3:$AE$67,MATCH($A528,海典汇总!$A$3:$A$67,0),MATCH(INDEX(科目对照收入!$G$2:$G$23,MATCH($B528,科目对照收入!$B$2:$B$23,0)),海典汇总!$C$1:$AE$1,0)),0)+IFERROR(INDEX(海典汇总!$C$3:$AE$67,MATCH($A528,海典汇总!$A$3:$A$67,0),MATCH(INDEX(科目对照收入!$H$2:$H$23,MATCH($B528,科目对照收入!$B$2:$B$23,0)),海典汇总!$C$1:$AE$1,0)),0),2))</f>
        <v/>
      </c>
      <c r="E528" s="15" t="str">
        <f aca="false">IF($D528="","",ROUND($C528-$D528,2))</f>
        <v/>
      </c>
      <c r="F528" s="38" t="str">
        <f aca="false">IF($A528&amp;$B528="","",IF(COUNTIF(门店对照!$A$2:$A$66,$A528)=0,"× 门店编码不对",IF(COUNTIF(科目对照收入!$B$2:$B$23,$B528)=0,"× 渠道名不对",IF(INDEX(科目对照收入!$E$2:$E$23,MATCH($B528,科目对照收入!$B$2:$B$23,0))&lt;&gt;"平台优先","× 该项目不按平台金额",IF(COUNTIFS($A$2:$A$601,$A528,$B$2:$B$601,$B528)&gt;1,"× 同店同渠道重复","√")))))</f>
        <v/>
      </c>
    </row>
    <row r="529" customFormat="false" ht="13.5" hidden="false" customHeight="false" outlineLevel="0" collapsed="false">
      <c r="A529" s="35"/>
      <c r="B529" s="35"/>
      <c r="C529" s="37"/>
      <c r="D529" s="15" t="str">
        <f aca="false">IF(OR($A529="",$B529=""),"",ROUND(IFERROR(INDEX(海典汇总!$C$3:$AE$67,MATCH($A529,海典汇总!$A$3:$A$67,0),MATCH(INDEX(科目对照收入!$F$2:$F$23,MATCH($B529,科目对照收入!$B$2:$B$23,0)),海典汇总!$C$1:$AE$1,0)),0)+IFERROR(INDEX(海典汇总!$C$3:$AE$67,MATCH($A529,海典汇总!$A$3:$A$67,0),MATCH(INDEX(科目对照收入!$G$2:$G$23,MATCH($B529,科目对照收入!$B$2:$B$23,0)),海典汇总!$C$1:$AE$1,0)),0)+IFERROR(INDEX(海典汇总!$C$3:$AE$67,MATCH($A529,海典汇总!$A$3:$A$67,0),MATCH(INDEX(科目对照收入!$H$2:$H$23,MATCH($B529,科目对照收入!$B$2:$B$23,0)),海典汇总!$C$1:$AE$1,0)),0),2))</f>
        <v/>
      </c>
      <c r="E529" s="15" t="str">
        <f aca="false">IF($D529="","",ROUND($C529-$D529,2))</f>
        <v/>
      </c>
      <c r="F529" s="38" t="str">
        <f aca="false">IF($A529&amp;$B529="","",IF(COUNTIF(门店对照!$A$2:$A$66,$A529)=0,"× 门店编码不对",IF(COUNTIF(科目对照收入!$B$2:$B$23,$B529)=0,"× 渠道名不对",IF(INDEX(科目对照收入!$E$2:$E$23,MATCH($B529,科目对照收入!$B$2:$B$23,0))&lt;&gt;"平台优先","× 该项目不按平台金额",IF(COUNTIFS($A$2:$A$601,$A529,$B$2:$B$601,$B529)&gt;1,"× 同店同渠道重复","√")))))</f>
        <v/>
      </c>
    </row>
    <row r="530" customFormat="false" ht="13.5" hidden="false" customHeight="false" outlineLevel="0" collapsed="false">
      <c r="A530" s="35"/>
      <c r="B530" s="35"/>
      <c r="C530" s="37"/>
      <c r="D530" s="15" t="str">
        <f aca="false">IF(OR($A530="",$B530=""),"",ROUND(IFERROR(INDEX(海典汇总!$C$3:$AE$67,MATCH($A530,海典汇总!$A$3:$A$67,0),MATCH(INDEX(科目对照收入!$F$2:$F$23,MATCH($B530,科目对照收入!$B$2:$B$23,0)),海典汇总!$C$1:$AE$1,0)),0)+IFERROR(INDEX(海典汇总!$C$3:$AE$67,MATCH($A530,海典汇总!$A$3:$A$67,0),MATCH(INDEX(科目对照收入!$G$2:$G$23,MATCH($B530,科目对照收入!$B$2:$B$23,0)),海典汇总!$C$1:$AE$1,0)),0)+IFERROR(INDEX(海典汇总!$C$3:$AE$67,MATCH($A530,海典汇总!$A$3:$A$67,0),MATCH(INDEX(科目对照收入!$H$2:$H$23,MATCH($B530,科目对照收入!$B$2:$B$23,0)),海典汇总!$C$1:$AE$1,0)),0),2))</f>
        <v/>
      </c>
      <c r="E530" s="15" t="str">
        <f aca="false">IF($D530="","",ROUND($C530-$D530,2))</f>
        <v/>
      </c>
      <c r="F530" s="38" t="str">
        <f aca="false">IF($A530&amp;$B530="","",IF(COUNTIF(门店对照!$A$2:$A$66,$A530)=0,"× 门店编码不对",IF(COUNTIF(科目对照收入!$B$2:$B$23,$B530)=0,"× 渠道名不对",IF(INDEX(科目对照收入!$E$2:$E$23,MATCH($B530,科目对照收入!$B$2:$B$23,0))&lt;&gt;"平台优先","× 该项目不按平台金额",IF(COUNTIFS($A$2:$A$601,$A530,$B$2:$B$601,$B530)&gt;1,"× 同店同渠道重复","√")))))</f>
        <v/>
      </c>
    </row>
    <row r="531" customFormat="false" ht="13.5" hidden="false" customHeight="false" outlineLevel="0" collapsed="false">
      <c r="A531" s="35"/>
      <c r="B531" s="35"/>
      <c r="C531" s="37"/>
      <c r="D531" s="15" t="str">
        <f aca="false">IF(OR($A531="",$B531=""),"",ROUND(IFERROR(INDEX(海典汇总!$C$3:$AE$67,MATCH($A531,海典汇总!$A$3:$A$67,0),MATCH(INDEX(科目对照收入!$F$2:$F$23,MATCH($B531,科目对照收入!$B$2:$B$23,0)),海典汇总!$C$1:$AE$1,0)),0)+IFERROR(INDEX(海典汇总!$C$3:$AE$67,MATCH($A531,海典汇总!$A$3:$A$67,0),MATCH(INDEX(科目对照收入!$G$2:$G$23,MATCH($B531,科目对照收入!$B$2:$B$23,0)),海典汇总!$C$1:$AE$1,0)),0)+IFERROR(INDEX(海典汇总!$C$3:$AE$67,MATCH($A531,海典汇总!$A$3:$A$67,0),MATCH(INDEX(科目对照收入!$H$2:$H$23,MATCH($B531,科目对照收入!$B$2:$B$23,0)),海典汇总!$C$1:$AE$1,0)),0),2))</f>
        <v/>
      </c>
      <c r="E531" s="15" t="str">
        <f aca="false">IF($D531="","",ROUND($C531-$D531,2))</f>
        <v/>
      </c>
      <c r="F531" s="38" t="str">
        <f aca="false">IF($A531&amp;$B531="","",IF(COUNTIF(门店对照!$A$2:$A$66,$A531)=0,"× 门店编码不对",IF(COUNTIF(科目对照收入!$B$2:$B$23,$B531)=0,"× 渠道名不对",IF(INDEX(科目对照收入!$E$2:$E$23,MATCH($B531,科目对照收入!$B$2:$B$23,0))&lt;&gt;"平台优先","× 该项目不按平台金额",IF(COUNTIFS($A$2:$A$601,$A531,$B$2:$B$601,$B531)&gt;1,"× 同店同渠道重复","√")))))</f>
        <v/>
      </c>
    </row>
    <row r="532" customFormat="false" ht="13.5" hidden="false" customHeight="false" outlineLevel="0" collapsed="false">
      <c r="A532" s="35"/>
      <c r="B532" s="35"/>
      <c r="C532" s="37"/>
      <c r="D532" s="15" t="str">
        <f aca="false">IF(OR($A532="",$B532=""),"",ROUND(IFERROR(INDEX(海典汇总!$C$3:$AE$67,MATCH($A532,海典汇总!$A$3:$A$67,0),MATCH(INDEX(科目对照收入!$F$2:$F$23,MATCH($B532,科目对照收入!$B$2:$B$23,0)),海典汇总!$C$1:$AE$1,0)),0)+IFERROR(INDEX(海典汇总!$C$3:$AE$67,MATCH($A532,海典汇总!$A$3:$A$67,0),MATCH(INDEX(科目对照收入!$G$2:$G$23,MATCH($B532,科目对照收入!$B$2:$B$23,0)),海典汇总!$C$1:$AE$1,0)),0)+IFERROR(INDEX(海典汇总!$C$3:$AE$67,MATCH($A532,海典汇总!$A$3:$A$67,0),MATCH(INDEX(科目对照收入!$H$2:$H$23,MATCH($B532,科目对照收入!$B$2:$B$23,0)),海典汇总!$C$1:$AE$1,0)),0),2))</f>
        <v/>
      </c>
      <c r="E532" s="15" t="str">
        <f aca="false">IF($D532="","",ROUND($C532-$D532,2))</f>
        <v/>
      </c>
      <c r="F532" s="38" t="str">
        <f aca="false">IF($A532&amp;$B532="","",IF(COUNTIF(门店对照!$A$2:$A$66,$A532)=0,"× 门店编码不对",IF(COUNTIF(科目对照收入!$B$2:$B$23,$B532)=0,"× 渠道名不对",IF(INDEX(科目对照收入!$E$2:$E$23,MATCH($B532,科目对照收入!$B$2:$B$23,0))&lt;&gt;"平台优先","× 该项目不按平台金额",IF(COUNTIFS($A$2:$A$601,$A532,$B$2:$B$601,$B532)&gt;1,"× 同店同渠道重复","√")))))</f>
        <v/>
      </c>
    </row>
    <row r="533" customFormat="false" ht="13.5" hidden="false" customHeight="false" outlineLevel="0" collapsed="false">
      <c r="A533" s="35"/>
      <c r="B533" s="35"/>
      <c r="C533" s="37"/>
      <c r="D533" s="15" t="str">
        <f aca="false">IF(OR($A533="",$B533=""),"",ROUND(IFERROR(INDEX(海典汇总!$C$3:$AE$67,MATCH($A533,海典汇总!$A$3:$A$67,0),MATCH(INDEX(科目对照收入!$F$2:$F$23,MATCH($B533,科目对照收入!$B$2:$B$23,0)),海典汇总!$C$1:$AE$1,0)),0)+IFERROR(INDEX(海典汇总!$C$3:$AE$67,MATCH($A533,海典汇总!$A$3:$A$67,0),MATCH(INDEX(科目对照收入!$G$2:$G$23,MATCH($B533,科目对照收入!$B$2:$B$23,0)),海典汇总!$C$1:$AE$1,0)),0)+IFERROR(INDEX(海典汇总!$C$3:$AE$67,MATCH($A533,海典汇总!$A$3:$A$67,0),MATCH(INDEX(科目对照收入!$H$2:$H$23,MATCH($B533,科目对照收入!$B$2:$B$23,0)),海典汇总!$C$1:$AE$1,0)),0),2))</f>
        <v/>
      </c>
      <c r="E533" s="15" t="str">
        <f aca="false">IF($D533="","",ROUND($C533-$D533,2))</f>
        <v/>
      </c>
      <c r="F533" s="38" t="str">
        <f aca="false">IF($A533&amp;$B533="","",IF(COUNTIF(门店对照!$A$2:$A$66,$A533)=0,"× 门店编码不对",IF(COUNTIF(科目对照收入!$B$2:$B$23,$B533)=0,"× 渠道名不对",IF(INDEX(科目对照收入!$E$2:$E$23,MATCH($B533,科目对照收入!$B$2:$B$23,0))&lt;&gt;"平台优先","× 该项目不按平台金额",IF(COUNTIFS($A$2:$A$601,$A533,$B$2:$B$601,$B533)&gt;1,"× 同店同渠道重复","√")))))</f>
        <v/>
      </c>
    </row>
    <row r="534" customFormat="false" ht="13.5" hidden="false" customHeight="false" outlineLevel="0" collapsed="false">
      <c r="A534" s="35"/>
      <c r="B534" s="35"/>
      <c r="C534" s="37"/>
      <c r="D534" s="15" t="str">
        <f aca="false">IF(OR($A534="",$B534=""),"",ROUND(IFERROR(INDEX(海典汇总!$C$3:$AE$67,MATCH($A534,海典汇总!$A$3:$A$67,0),MATCH(INDEX(科目对照收入!$F$2:$F$23,MATCH($B534,科目对照收入!$B$2:$B$23,0)),海典汇总!$C$1:$AE$1,0)),0)+IFERROR(INDEX(海典汇总!$C$3:$AE$67,MATCH($A534,海典汇总!$A$3:$A$67,0),MATCH(INDEX(科目对照收入!$G$2:$G$23,MATCH($B534,科目对照收入!$B$2:$B$23,0)),海典汇总!$C$1:$AE$1,0)),0)+IFERROR(INDEX(海典汇总!$C$3:$AE$67,MATCH($A534,海典汇总!$A$3:$A$67,0),MATCH(INDEX(科目对照收入!$H$2:$H$23,MATCH($B534,科目对照收入!$B$2:$B$23,0)),海典汇总!$C$1:$AE$1,0)),0),2))</f>
        <v/>
      </c>
      <c r="E534" s="15" t="str">
        <f aca="false">IF($D534="","",ROUND($C534-$D534,2))</f>
        <v/>
      </c>
      <c r="F534" s="38" t="str">
        <f aca="false">IF($A534&amp;$B534="","",IF(COUNTIF(门店对照!$A$2:$A$66,$A534)=0,"× 门店编码不对",IF(COUNTIF(科目对照收入!$B$2:$B$23,$B534)=0,"× 渠道名不对",IF(INDEX(科目对照收入!$E$2:$E$23,MATCH($B534,科目对照收入!$B$2:$B$23,0))&lt;&gt;"平台优先","× 该项目不按平台金额",IF(COUNTIFS($A$2:$A$601,$A534,$B$2:$B$601,$B534)&gt;1,"× 同店同渠道重复","√")))))</f>
        <v/>
      </c>
    </row>
    <row r="535" customFormat="false" ht="13.5" hidden="false" customHeight="false" outlineLevel="0" collapsed="false">
      <c r="A535" s="35"/>
      <c r="B535" s="35"/>
      <c r="C535" s="37"/>
      <c r="D535" s="15" t="str">
        <f aca="false">IF(OR($A535="",$B535=""),"",ROUND(IFERROR(INDEX(海典汇总!$C$3:$AE$67,MATCH($A535,海典汇总!$A$3:$A$67,0),MATCH(INDEX(科目对照收入!$F$2:$F$23,MATCH($B535,科目对照收入!$B$2:$B$23,0)),海典汇总!$C$1:$AE$1,0)),0)+IFERROR(INDEX(海典汇总!$C$3:$AE$67,MATCH($A535,海典汇总!$A$3:$A$67,0),MATCH(INDEX(科目对照收入!$G$2:$G$23,MATCH($B535,科目对照收入!$B$2:$B$23,0)),海典汇总!$C$1:$AE$1,0)),0)+IFERROR(INDEX(海典汇总!$C$3:$AE$67,MATCH($A535,海典汇总!$A$3:$A$67,0),MATCH(INDEX(科目对照收入!$H$2:$H$23,MATCH($B535,科目对照收入!$B$2:$B$23,0)),海典汇总!$C$1:$AE$1,0)),0),2))</f>
        <v/>
      </c>
      <c r="E535" s="15" t="str">
        <f aca="false">IF($D535="","",ROUND($C535-$D535,2))</f>
        <v/>
      </c>
      <c r="F535" s="38" t="str">
        <f aca="false">IF($A535&amp;$B535="","",IF(COUNTIF(门店对照!$A$2:$A$66,$A535)=0,"× 门店编码不对",IF(COUNTIF(科目对照收入!$B$2:$B$23,$B535)=0,"× 渠道名不对",IF(INDEX(科目对照收入!$E$2:$E$23,MATCH($B535,科目对照收入!$B$2:$B$23,0))&lt;&gt;"平台优先","× 该项目不按平台金额",IF(COUNTIFS($A$2:$A$601,$A535,$B$2:$B$601,$B535)&gt;1,"× 同店同渠道重复","√")))))</f>
        <v/>
      </c>
    </row>
    <row r="536" customFormat="false" ht="13.5" hidden="false" customHeight="false" outlineLevel="0" collapsed="false">
      <c r="A536" s="35"/>
      <c r="B536" s="35"/>
      <c r="C536" s="37"/>
      <c r="D536" s="15" t="str">
        <f aca="false">IF(OR($A536="",$B536=""),"",ROUND(IFERROR(INDEX(海典汇总!$C$3:$AE$67,MATCH($A536,海典汇总!$A$3:$A$67,0),MATCH(INDEX(科目对照收入!$F$2:$F$23,MATCH($B536,科目对照收入!$B$2:$B$23,0)),海典汇总!$C$1:$AE$1,0)),0)+IFERROR(INDEX(海典汇总!$C$3:$AE$67,MATCH($A536,海典汇总!$A$3:$A$67,0),MATCH(INDEX(科目对照收入!$G$2:$G$23,MATCH($B536,科目对照收入!$B$2:$B$23,0)),海典汇总!$C$1:$AE$1,0)),0)+IFERROR(INDEX(海典汇总!$C$3:$AE$67,MATCH($A536,海典汇总!$A$3:$A$67,0),MATCH(INDEX(科目对照收入!$H$2:$H$23,MATCH($B536,科目对照收入!$B$2:$B$23,0)),海典汇总!$C$1:$AE$1,0)),0),2))</f>
        <v/>
      </c>
      <c r="E536" s="15" t="str">
        <f aca="false">IF($D536="","",ROUND($C536-$D536,2))</f>
        <v/>
      </c>
      <c r="F536" s="38" t="str">
        <f aca="false">IF($A536&amp;$B536="","",IF(COUNTIF(门店对照!$A$2:$A$66,$A536)=0,"× 门店编码不对",IF(COUNTIF(科目对照收入!$B$2:$B$23,$B536)=0,"× 渠道名不对",IF(INDEX(科目对照收入!$E$2:$E$23,MATCH($B536,科目对照收入!$B$2:$B$23,0))&lt;&gt;"平台优先","× 该项目不按平台金额",IF(COUNTIFS($A$2:$A$601,$A536,$B$2:$B$601,$B536)&gt;1,"× 同店同渠道重复","√")))))</f>
        <v/>
      </c>
    </row>
    <row r="537" customFormat="false" ht="13.5" hidden="false" customHeight="false" outlineLevel="0" collapsed="false">
      <c r="A537" s="35"/>
      <c r="B537" s="35"/>
      <c r="C537" s="37"/>
      <c r="D537" s="15" t="str">
        <f aca="false">IF(OR($A537="",$B537=""),"",ROUND(IFERROR(INDEX(海典汇总!$C$3:$AE$67,MATCH($A537,海典汇总!$A$3:$A$67,0),MATCH(INDEX(科目对照收入!$F$2:$F$23,MATCH($B537,科目对照收入!$B$2:$B$23,0)),海典汇总!$C$1:$AE$1,0)),0)+IFERROR(INDEX(海典汇总!$C$3:$AE$67,MATCH($A537,海典汇总!$A$3:$A$67,0),MATCH(INDEX(科目对照收入!$G$2:$G$23,MATCH($B537,科目对照收入!$B$2:$B$23,0)),海典汇总!$C$1:$AE$1,0)),0)+IFERROR(INDEX(海典汇总!$C$3:$AE$67,MATCH($A537,海典汇总!$A$3:$A$67,0),MATCH(INDEX(科目对照收入!$H$2:$H$23,MATCH($B537,科目对照收入!$B$2:$B$23,0)),海典汇总!$C$1:$AE$1,0)),0),2))</f>
        <v/>
      </c>
      <c r="E537" s="15" t="str">
        <f aca="false">IF($D537="","",ROUND($C537-$D537,2))</f>
        <v/>
      </c>
      <c r="F537" s="38" t="str">
        <f aca="false">IF($A537&amp;$B537="","",IF(COUNTIF(门店对照!$A$2:$A$66,$A537)=0,"× 门店编码不对",IF(COUNTIF(科目对照收入!$B$2:$B$23,$B537)=0,"× 渠道名不对",IF(INDEX(科目对照收入!$E$2:$E$23,MATCH($B537,科目对照收入!$B$2:$B$23,0))&lt;&gt;"平台优先","× 该项目不按平台金额",IF(COUNTIFS($A$2:$A$601,$A537,$B$2:$B$601,$B537)&gt;1,"× 同店同渠道重复","√")))))</f>
        <v/>
      </c>
    </row>
    <row r="538" customFormat="false" ht="13.5" hidden="false" customHeight="false" outlineLevel="0" collapsed="false">
      <c r="A538" s="35"/>
      <c r="B538" s="35"/>
      <c r="C538" s="37"/>
      <c r="D538" s="15" t="str">
        <f aca="false">IF(OR($A538="",$B538=""),"",ROUND(IFERROR(INDEX(海典汇总!$C$3:$AE$67,MATCH($A538,海典汇总!$A$3:$A$67,0),MATCH(INDEX(科目对照收入!$F$2:$F$23,MATCH($B538,科目对照收入!$B$2:$B$23,0)),海典汇总!$C$1:$AE$1,0)),0)+IFERROR(INDEX(海典汇总!$C$3:$AE$67,MATCH($A538,海典汇总!$A$3:$A$67,0),MATCH(INDEX(科目对照收入!$G$2:$G$23,MATCH($B538,科目对照收入!$B$2:$B$23,0)),海典汇总!$C$1:$AE$1,0)),0)+IFERROR(INDEX(海典汇总!$C$3:$AE$67,MATCH($A538,海典汇总!$A$3:$A$67,0),MATCH(INDEX(科目对照收入!$H$2:$H$23,MATCH($B538,科目对照收入!$B$2:$B$23,0)),海典汇总!$C$1:$AE$1,0)),0),2))</f>
        <v/>
      </c>
      <c r="E538" s="15" t="str">
        <f aca="false">IF($D538="","",ROUND($C538-$D538,2))</f>
        <v/>
      </c>
      <c r="F538" s="38" t="str">
        <f aca="false">IF($A538&amp;$B538="","",IF(COUNTIF(门店对照!$A$2:$A$66,$A538)=0,"× 门店编码不对",IF(COUNTIF(科目对照收入!$B$2:$B$23,$B538)=0,"× 渠道名不对",IF(INDEX(科目对照收入!$E$2:$E$23,MATCH($B538,科目对照收入!$B$2:$B$23,0))&lt;&gt;"平台优先","× 该项目不按平台金额",IF(COUNTIFS($A$2:$A$601,$A538,$B$2:$B$601,$B538)&gt;1,"× 同店同渠道重复","√")))))</f>
        <v/>
      </c>
    </row>
    <row r="539" customFormat="false" ht="13.5" hidden="false" customHeight="false" outlineLevel="0" collapsed="false">
      <c r="A539" s="35"/>
      <c r="B539" s="35"/>
      <c r="C539" s="37"/>
      <c r="D539" s="15" t="str">
        <f aca="false">IF(OR($A539="",$B539=""),"",ROUND(IFERROR(INDEX(海典汇总!$C$3:$AE$67,MATCH($A539,海典汇总!$A$3:$A$67,0),MATCH(INDEX(科目对照收入!$F$2:$F$23,MATCH($B539,科目对照收入!$B$2:$B$23,0)),海典汇总!$C$1:$AE$1,0)),0)+IFERROR(INDEX(海典汇总!$C$3:$AE$67,MATCH($A539,海典汇总!$A$3:$A$67,0),MATCH(INDEX(科目对照收入!$G$2:$G$23,MATCH($B539,科目对照收入!$B$2:$B$23,0)),海典汇总!$C$1:$AE$1,0)),0)+IFERROR(INDEX(海典汇总!$C$3:$AE$67,MATCH($A539,海典汇总!$A$3:$A$67,0),MATCH(INDEX(科目对照收入!$H$2:$H$23,MATCH($B539,科目对照收入!$B$2:$B$23,0)),海典汇总!$C$1:$AE$1,0)),0),2))</f>
        <v/>
      </c>
      <c r="E539" s="15" t="str">
        <f aca="false">IF($D539="","",ROUND($C539-$D539,2))</f>
        <v/>
      </c>
      <c r="F539" s="38" t="str">
        <f aca="false">IF($A539&amp;$B539="","",IF(COUNTIF(门店对照!$A$2:$A$66,$A539)=0,"× 门店编码不对",IF(COUNTIF(科目对照收入!$B$2:$B$23,$B539)=0,"× 渠道名不对",IF(INDEX(科目对照收入!$E$2:$E$23,MATCH($B539,科目对照收入!$B$2:$B$23,0))&lt;&gt;"平台优先","× 该项目不按平台金额",IF(COUNTIFS($A$2:$A$601,$A539,$B$2:$B$601,$B539)&gt;1,"× 同店同渠道重复","√")))))</f>
        <v/>
      </c>
    </row>
    <row r="540" customFormat="false" ht="13.5" hidden="false" customHeight="false" outlineLevel="0" collapsed="false">
      <c r="A540" s="35"/>
      <c r="B540" s="35"/>
      <c r="C540" s="37"/>
      <c r="D540" s="15" t="str">
        <f aca="false">IF(OR($A540="",$B540=""),"",ROUND(IFERROR(INDEX(海典汇总!$C$3:$AE$67,MATCH($A540,海典汇总!$A$3:$A$67,0),MATCH(INDEX(科目对照收入!$F$2:$F$23,MATCH($B540,科目对照收入!$B$2:$B$23,0)),海典汇总!$C$1:$AE$1,0)),0)+IFERROR(INDEX(海典汇总!$C$3:$AE$67,MATCH($A540,海典汇总!$A$3:$A$67,0),MATCH(INDEX(科目对照收入!$G$2:$G$23,MATCH($B540,科目对照收入!$B$2:$B$23,0)),海典汇总!$C$1:$AE$1,0)),0)+IFERROR(INDEX(海典汇总!$C$3:$AE$67,MATCH($A540,海典汇总!$A$3:$A$67,0),MATCH(INDEX(科目对照收入!$H$2:$H$23,MATCH($B540,科目对照收入!$B$2:$B$23,0)),海典汇总!$C$1:$AE$1,0)),0),2))</f>
        <v/>
      </c>
      <c r="E540" s="15" t="str">
        <f aca="false">IF($D540="","",ROUND($C540-$D540,2))</f>
        <v/>
      </c>
      <c r="F540" s="38" t="str">
        <f aca="false">IF($A540&amp;$B540="","",IF(COUNTIF(门店对照!$A$2:$A$66,$A540)=0,"× 门店编码不对",IF(COUNTIF(科目对照收入!$B$2:$B$23,$B540)=0,"× 渠道名不对",IF(INDEX(科目对照收入!$E$2:$E$23,MATCH($B540,科目对照收入!$B$2:$B$23,0))&lt;&gt;"平台优先","× 该项目不按平台金额",IF(COUNTIFS($A$2:$A$601,$A540,$B$2:$B$601,$B540)&gt;1,"× 同店同渠道重复","√")))))</f>
        <v/>
      </c>
    </row>
    <row r="541" customFormat="false" ht="13.5" hidden="false" customHeight="false" outlineLevel="0" collapsed="false">
      <c r="A541" s="35"/>
      <c r="B541" s="35"/>
      <c r="C541" s="37"/>
      <c r="D541" s="15" t="str">
        <f aca="false">IF(OR($A541="",$B541=""),"",ROUND(IFERROR(INDEX(海典汇总!$C$3:$AE$67,MATCH($A541,海典汇总!$A$3:$A$67,0),MATCH(INDEX(科目对照收入!$F$2:$F$23,MATCH($B541,科目对照收入!$B$2:$B$23,0)),海典汇总!$C$1:$AE$1,0)),0)+IFERROR(INDEX(海典汇总!$C$3:$AE$67,MATCH($A541,海典汇总!$A$3:$A$67,0),MATCH(INDEX(科目对照收入!$G$2:$G$23,MATCH($B541,科目对照收入!$B$2:$B$23,0)),海典汇总!$C$1:$AE$1,0)),0)+IFERROR(INDEX(海典汇总!$C$3:$AE$67,MATCH($A541,海典汇总!$A$3:$A$67,0),MATCH(INDEX(科目对照收入!$H$2:$H$23,MATCH($B541,科目对照收入!$B$2:$B$23,0)),海典汇总!$C$1:$AE$1,0)),0),2))</f>
        <v/>
      </c>
      <c r="E541" s="15" t="str">
        <f aca="false">IF($D541="","",ROUND($C541-$D541,2))</f>
        <v/>
      </c>
      <c r="F541" s="38" t="str">
        <f aca="false">IF($A541&amp;$B541="","",IF(COUNTIF(门店对照!$A$2:$A$66,$A541)=0,"× 门店编码不对",IF(COUNTIF(科目对照收入!$B$2:$B$23,$B541)=0,"× 渠道名不对",IF(INDEX(科目对照收入!$E$2:$E$23,MATCH($B541,科目对照收入!$B$2:$B$23,0))&lt;&gt;"平台优先","× 该项目不按平台金额",IF(COUNTIFS($A$2:$A$601,$A541,$B$2:$B$601,$B541)&gt;1,"× 同店同渠道重复","√")))))</f>
        <v/>
      </c>
    </row>
    <row r="542" customFormat="false" ht="13.5" hidden="false" customHeight="false" outlineLevel="0" collapsed="false">
      <c r="A542" s="35"/>
      <c r="B542" s="35"/>
      <c r="C542" s="37"/>
      <c r="D542" s="15" t="str">
        <f aca="false">IF(OR($A542="",$B542=""),"",ROUND(IFERROR(INDEX(海典汇总!$C$3:$AE$67,MATCH($A542,海典汇总!$A$3:$A$67,0),MATCH(INDEX(科目对照收入!$F$2:$F$23,MATCH($B542,科目对照收入!$B$2:$B$23,0)),海典汇总!$C$1:$AE$1,0)),0)+IFERROR(INDEX(海典汇总!$C$3:$AE$67,MATCH($A542,海典汇总!$A$3:$A$67,0),MATCH(INDEX(科目对照收入!$G$2:$G$23,MATCH($B542,科目对照收入!$B$2:$B$23,0)),海典汇总!$C$1:$AE$1,0)),0)+IFERROR(INDEX(海典汇总!$C$3:$AE$67,MATCH($A542,海典汇总!$A$3:$A$67,0),MATCH(INDEX(科目对照收入!$H$2:$H$23,MATCH($B542,科目对照收入!$B$2:$B$23,0)),海典汇总!$C$1:$AE$1,0)),0),2))</f>
        <v/>
      </c>
      <c r="E542" s="15" t="str">
        <f aca="false">IF($D542="","",ROUND($C542-$D542,2))</f>
        <v/>
      </c>
      <c r="F542" s="38" t="str">
        <f aca="false">IF($A542&amp;$B542="","",IF(COUNTIF(门店对照!$A$2:$A$66,$A542)=0,"× 门店编码不对",IF(COUNTIF(科目对照收入!$B$2:$B$23,$B542)=0,"× 渠道名不对",IF(INDEX(科目对照收入!$E$2:$E$23,MATCH($B542,科目对照收入!$B$2:$B$23,0))&lt;&gt;"平台优先","× 该项目不按平台金额",IF(COUNTIFS($A$2:$A$601,$A542,$B$2:$B$601,$B542)&gt;1,"× 同店同渠道重复","√")))))</f>
        <v/>
      </c>
    </row>
    <row r="543" customFormat="false" ht="13.5" hidden="false" customHeight="false" outlineLevel="0" collapsed="false">
      <c r="A543" s="35"/>
      <c r="B543" s="35"/>
      <c r="C543" s="37"/>
      <c r="D543" s="15" t="str">
        <f aca="false">IF(OR($A543="",$B543=""),"",ROUND(IFERROR(INDEX(海典汇总!$C$3:$AE$67,MATCH($A543,海典汇总!$A$3:$A$67,0),MATCH(INDEX(科目对照收入!$F$2:$F$23,MATCH($B543,科目对照收入!$B$2:$B$23,0)),海典汇总!$C$1:$AE$1,0)),0)+IFERROR(INDEX(海典汇总!$C$3:$AE$67,MATCH($A543,海典汇总!$A$3:$A$67,0),MATCH(INDEX(科目对照收入!$G$2:$G$23,MATCH($B543,科目对照收入!$B$2:$B$23,0)),海典汇总!$C$1:$AE$1,0)),0)+IFERROR(INDEX(海典汇总!$C$3:$AE$67,MATCH($A543,海典汇总!$A$3:$A$67,0),MATCH(INDEX(科目对照收入!$H$2:$H$23,MATCH($B543,科目对照收入!$B$2:$B$23,0)),海典汇总!$C$1:$AE$1,0)),0),2))</f>
        <v/>
      </c>
      <c r="E543" s="15" t="str">
        <f aca="false">IF($D543="","",ROUND($C543-$D543,2))</f>
        <v/>
      </c>
      <c r="F543" s="38" t="str">
        <f aca="false">IF($A543&amp;$B543="","",IF(COUNTIF(门店对照!$A$2:$A$66,$A543)=0,"× 门店编码不对",IF(COUNTIF(科目对照收入!$B$2:$B$23,$B543)=0,"× 渠道名不对",IF(INDEX(科目对照收入!$E$2:$E$23,MATCH($B543,科目对照收入!$B$2:$B$23,0))&lt;&gt;"平台优先","× 该项目不按平台金额",IF(COUNTIFS($A$2:$A$601,$A543,$B$2:$B$601,$B543)&gt;1,"× 同店同渠道重复","√")))))</f>
        <v/>
      </c>
    </row>
    <row r="544" customFormat="false" ht="13.5" hidden="false" customHeight="false" outlineLevel="0" collapsed="false">
      <c r="A544" s="35"/>
      <c r="B544" s="35"/>
      <c r="C544" s="37"/>
      <c r="D544" s="15" t="str">
        <f aca="false">IF(OR($A544="",$B544=""),"",ROUND(IFERROR(INDEX(海典汇总!$C$3:$AE$67,MATCH($A544,海典汇总!$A$3:$A$67,0),MATCH(INDEX(科目对照收入!$F$2:$F$23,MATCH($B544,科目对照收入!$B$2:$B$23,0)),海典汇总!$C$1:$AE$1,0)),0)+IFERROR(INDEX(海典汇总!$C$3:$AE$67,MATCH($A544,海典汇总!$A$3:$A$67,0),MATCH(INDEX(科目对照收入!$G$2:$G$23,MATCH($B544,科目对照收入!$B$2:$B$23,0)),海典汇总!$C$1:$AE$1,0)),0)+IFERROR(INDEX(海典汇总!$C$3:$AE$67,MATCH($A544,海典汇总!$A$3:$A$67,0),MATCH(INDEX(科目对照收入!$H$2:$H$23,MATCH($B544,科目对照收入!$B$2:$B$23,0)),海典汇总!$C$1:$AE$1,0)),0),2))</f>
        <v/>
      </c>
      <c r="E544" s="15" t="str">
        <f aca="false">IF($D544="","",ROUND($C544-$D544,2))</f>
        <v/>
      </c>
      <c r="F544" s="38" t="str">
        <f aca="false">IF($A544&amp;$B544="","",IF(COUNTIF(门店对照!$A$2:$A$66,$A544)=0,"× 门店编码不对",IF(COUNTIF(科目对照收入!$B$2:$B$23,$B544)=0,"× 渠道名不对",IF(INDEX(科目对照收入!$E$2:$E$23,MATCH($B544,科目对照收入!$B$2:$B$23,0))&lt;&gt;"平台优先","× 该项目不按平台金额",IF(COUNTIFS($A$2:$A$601,$A544,$B$2:$B$601,$B544)&gt;1,"× 同店同渠道重复","√")))))</f>
        <v/>
      </c>
    </row>
    <row r="545" customFormat="false" ht="13.5" hidden="false" customHeight="false" outlineLevel="0" collapsed="false">
      <c r="A545" s="35"/>
      <c r="B545" s="35"/>
      <c r="C545" s="37"/>
      <c r="D545" s="15" t="str">
        <f aca="false">IF(OR($A545="",$B545=""),"",ROUND(IFERROR(INDEX(海典汇总!$C$3:$AE$67,MATCH($A545,海典汇总!$A$3:$A$67,0),MATCH(INDEX(科目对照收入!$F$2:$F$23,MATCH($B545,科目对照收入!$B$2:$B$23,0)),海典汇总!$C$1:$AE$1,0)),0)+IFERROR(INDEX(海典汇总!$C$3:$AE$67,MATCH($A545,海典汇总!$A$3:$A$67,0),MATCH(INDEX(科目对照收入!$G$2:$G$23,MATCH($B545,科目对照收入!$B$2:$B$23,0)),海典汇总!$C$1:$AE$1,0)),0)+IFERROR(INDEX(海典汇总!$C$3:$AE$67,MATCH($A545,海典汇总!$A$3:$A$67,0),MATCH(INDEX(科目对照收入!$H$2:$H$23,MATCH($B545,科目对照收入!$B$2:$B$23,0)),海典汇总!$C$1:$AE$1,0)),0),2))</f>
        <v/>
      </c>
      <c r="E545" s="15" t="str">
        <f aca="false">IF($D545="","",ROUND($C545-$D545,2))</f>
        <v/>
      </c>
      <c r="F545" s="38" t="str">
        <f aca="false">IF($A545&amp;$B545="","",IF(COUNTIF(门店对照!$A$2:$A$66,$A545)=0,"× 门店编码不对",IF(COUNTIF(科目对照收入!$B$2:$B$23,$B545)=0,"× 渠道名不对",IF(INDEX(科目对照收入!$E$2:$E$23,MATCH($B545,科目对照收入!$B$2:$B$23,0))&lt;&gt;"平台优先","× 该项目不按平台金额",IF(COUNTIFS($A$2:$A$601,$A545,$B$2:$B$601,$B545)&gt;1,"× 同店同渠道重复","√")))))</f>
        <v/>
      </c>
    </row>
    <row r="546" customFormat="false" ht="13.5" hidden="false" customHeight="false" outlineLevel="0" collapsed="false">
      <c r="A546" s="35"/>
      <c r="B546" s="35"/>
      <c r="C546" s="37"/>
      <c r="D546" s="15" t="str">
        <f aca="false">IF(OR($A546="",$B546=""),"",ROUND(IFERROR(INDEX(海典汇总!$C$3:$AE$67,MATCH($A546,海典汇总!$A$3:$A$67,0),MATCH(INDEX(科目对照收入!$F$2:$F$23,MATCH($B546,科目对照收入!$B$2:$B$23,0)),海典汇总!$C$1:$AE$1,0)),0)+IFERROR(INDEX(海典汇总!$C$3:$AE$67,MATCH($A546,海典汇总!$A$3:$A$67,0),MATCH(INDEX(科目对照收入!$G$2:$G$23,MATCH($B546,科目对照收入!$B$2:$B$23,0)),海典汇总!$C$1:$AE$1,0)),0)+IFERROR(INDEX(海典汇总!$C$3:$AE$67,MATCH($A546,海典汇总!$A$3:$A$67,0),MATCH(INDEX(科目对照收入!$H$2:$H$23,MATCH($B546,科目对照收入!$B$2:$B$23,0)),海典汇总!$C$1:$AE$1,0)),0),2))</f>
        <v/>
      </c>
      <c r="E546" s="15" t="str">
        <f aca="false">IF($D546="","",ROUND($C546-$D546,2))</f>
        <v/>
      </c>
      <c r="F546" s="38" t="str">
        <f aca="false">IF($A546&amp;$B546="","",IF(COUNTIF(门店对照!$A$2:$A$66,$A546)=0,"× 门店编码不对",IF(COUNTIF(科目对照收入!$B$2:$B$23,$B546)=0,"× 渠道名不对",IF(INDEX(科目对照收入!$E$2:$E$23,MATCH($B546,科目对照收入!$B$2:$B$23,0))&lt;&gt;"平台优先","× 该项目不按平台金额",IF(COUNTIFS($A$2:$A$601,$A546,$B$2:$B$601,$B546)&gt;1,"× 同店同渠道重复","√")))))</f>
        <v/>
      </c>
    </row>
    <row r="547" customFormat="false" ht="13.5" hidden="false" customHeight="false" outlineLevel="0" collapsed="false">
      <c r="A547" s="35"/>
      <c r="B547" s="35"/>
      <c r="C547" s="37"/>
      <c r="D547" s="15" t="str">
        <f aca="false">IF(OR($A547="",$B547=""),"",ROUND(IFERROR(INDEX(海典汇总!$C$3:$AE$67,MATCH($A547,海典汇总!$A$3:$A$67,0),MATCH(INDEX(科目对照收入!$F$2:$F$23,MATCH($B547,科目对照收入!$B$2:$B$23,0)),海典汇总!$C$1:$AE$1,0)),0)+IFERROR(INDEX(海典汇总!$C$3:$AE$67,MATCH($A547,海典汇总!$A$3:$A$67,0),MATCH(INDEX(科目对照收入!$G$2:$G$23,MATCH($B547,科目对照收入!$B$2:$B$23,0)),海典汇总!$C$1:$AE$1,0)),0)+IFERROR(INDEX(海典汇总!$C$3:$AE$67,MATCH($A547,海典汇总!$A$3:$A$67,0),MATCH(INDEX(科目对照收入!$H$2:$H$23,MATCH($B547,科目对照收入!$B$2:$B$23,0)),海典汇总!$C$1:$AE$1,0)),0),2))</f>
        <v/>
      </c>
      <c r="E547" s="15" t="str">
        <f aca="false">IF($D547="","",ROUND($C547-$D547,2))</f>
        <v/>
      </c>
      <c r="F547" s="38" t="str">
        <f aca="false">IF($A547&amp;$B547="","",IF(COUNTIF(门店对照!$A$2:$A$66,$A547)=0,"× 门店编码不对",IF(COUNTIF(科目对照收入!$B$2:$B$23,$B547)=0,"× 渠道名不对",IF(INDEX(科目对照收入!$E$2:$E$23,MATCH($B547,科目对照收入!$B$2:$B$23,0))&lt;&gt;"平台优先","× 该项目不按平台金额",IF(COUNTIFS($A$2:$A$601,$A547,$B$2:$B$601,$B547)&gt;1,"× 同店同渠道重复","√")))))</f>
        <v/>
      </c>
    </row>
    <row r="548" customFormat="false" ht="13.5" hidden="false" customHeight="false" outlineLevel="0" collapsed="false">
      <c r="A548" s="35"/>
      <c r="B548" s="35"/>
      <c r="C548" s="37"/>
      <c r="D548" s="15" t="str">
        <f aca="false">IF(OR($A548="",$B548=""),"",ROUND(IFERROR(INDEX(海典汇总!$C$3:$AE$67,MATCH($A548,海典汇总!$A$3:$A$67,0),MATCH(INDEX(科目对照收入!$F$2:$F$23,MATCH($B548,科目对照收入!$B$2:$B$23,0)),海典汇总!$C$1:$AE$1,0)),0)+IFERROR(INDEX(海典汇总!$C$3:$AE$67,MATCH($A548,海典汇总!$A$3:$A$67,0),MATCH(INDEX(科目对照收入!$G$2:$G$23,MATCH($B548,科目对照收入!$B$2:$B$23,0)),海典汇总!$C$1:$AE$1,0)),0)+IFERROR(INDEX(海典汇总!$C$3:$AE$67,MATCH($A548,海典汇总!$A$3:$A$67,0),MATCH(INDEX(科目对照收入!$H$2:$H$23,MATCH($B548,科目对照收入!$B$2:$B$23,0)),海典汇总!$C$1:$AE$1,0)),0),2))</f>
        <v/>
      </c>
      <c r="E548" s="15" t="str">
        <f aca="false">IF($D548="","",ROUND($C548-$D548,2))</f>
        <v/>
      </c>
      <c r="F548" s="38" t="str">
        <f aca="false">IF($A548&amp;$B548="","",IF(COUNTIF(门店对照!$A$2:$A$66,$A548)=0,"× 门店编码不对",IF(COUNTIF(科目对照收入!$B$2:$B$23,$B548)=0,"× 渠道名不对",IF(INDEX(科目对照收入!$E$2:$E$23,MATCH($B548,科目对照收入!$B$2:$B$23,0))&lt;&gt;"平台优先","× 该项目不按平台金额",IF(COUNTIFS($A$2:$A$601,$A548,$B$2:$B$601,$B548)&gt;1,"× 同店同渠道重复","√")))))</f>
        <v/>
      </c>
    </row>
    <row r="549" customFormat="false" ht="13.5" hidden="false" customHeight="false" outlineLevel="0" collapsed="false">
      <c r="A549" s="35"/>
      <c r="B549" s="35"/>
      <c r="C549" s="37"/>
      <c r="D549" s="15" t="str">
        <f aca="false">IF(OR($A549="",$B549=""),"",ROUND(IFERROR(INDEX(海典汇总!$C$3:$AE$67,MATCH($A549,海典汇总!$A$3:$A$67,0),MATCH(INDEX(科目对照收入!$F$2:$F$23,MATCH($B549,科目对照收入!$B$2:$B$23,0)),海典汇总!$C$1:$AE$1,0)),0)+IFERROR(INDEX(海典汇总!$C$3:$AE$67,MATCH($A549,海典汇总!$A$3:$A$67,0),MATCH(INDEX(科目对照收入!$G$2:$G$23,MATCH($B549,科目对照收入!$B$2:$B$23,0)),海典汇总!$C$1:$AE$1,0)),0)+IFERROR(INDEX(海典汇总!$C$3:$AE$67,MATCH($A549,海典汇总!$A$3:$A$67,0),MATCH(INDEX(科目对照收入!$H$2:$H$23,MATCH($B549,科目对照收入!$B$2:$B$23,0)),海典汇总!$C$1:$AE$1,0)),0),2))</f>
        <v/>
      </c>
      <c r="E549" s="15" t="str">
        <f aca="false">IF($D549="","",ROUND($C549-$D549,2))</f>
        <v/>
      </c>
      <c r="F549" s="38" t="str">
        <f aca="false">IF($A549&amp;$B549="","",IF(COUNTIF(门店对照!$A$2:$A$66,$A549)=0,"× 门店编码不对",IF(COUNTIF(科目对照收入!$B$2:$B$23,$B549)=0,"× 渠道名不对",IF(INDEX(科目对照收入!$E$2:$E$23,MATCH($B549,科目对照收入!$B$2:$B$23,0))&lt;&gt;"平台优先","× 该项目不按平台金额",IF(COUNTIFS($A$2:$A$601,$A549,$B$2:$B$601,$B549)&gt;1,"× 同店同渠道重复","√")))))</f>
        <v/>
      </c>
    </row>
    <row r="550" customFormat="false" ht="13.5" hidden="false" customHeight="false" outlineLevel="0" collapsed="false">
      <c r="A550" s="35"/>
      <c r="B550" s="35"/>
      <c r="C550" s="37"/>
      <c r="D550" s="15" t="str">
        <f aca="false">IF(OR($A550="",$B550=""),"",ROUND(IFERROR(INDEX(海典汇总!$C$3:$AE$67,MATCH($A550,海典汇总!$A$3:$A$67,0),MATCH(INDEX(科目对照收入!$F$2:$F$23,MATCH($B550,科目对照收入!$B$2:$B$23,0)),海典汇总!$C$1:$AE$1,0)),0)+IFERROR(INDEX(海典汇总!$C$3:$AE$67,MATCH($A550,海典汇总!$A$3:$A$67,0),MATCH(INDEX(科目对照收入!$G$2:$G$23,MATCH($B550,科目对照收入!$B$2:$B$23,0)),海典汇总!$C$1:$AE$1,0)),0)+IFERROR(INDEX(海典汇总!$C$3:$AE$67,MATCH($A550,海典汇总!$A$3:$A$67,0),MATCH(INDEX(科目对照收入!$H$2:$H$23,MATCH($B550,科目对照收入!$B$2:$B$23,0)),海典汇总!$C$1:$AE$1,0)),0),2))</f>
        <v/>
      </c>
      <c r="E550" s="15" t="str">
        <f aca="false">IF($D550="","",ROUND($C550-$D550,2))</f>
        <v/>
      </c>
      <c r="F550" s="38" t="str">
        <f aca="false">IF($A550&amp;$B550="","",IF(COUNTIF(门店对照!$A$2:$A$66,$A550)=0,"× 门店编码不对",IF(COUNTIF(科目对照收入!$B$2:$B$23,$B550)=0,"× 渠道名不对",IF(INDEX(科目对照收入!$E$2:$E$23,MATCH($B550,科目对照收入!$B$2:$B$23,0))&lt;&gt;"平台优先","× 该项目不按平台金额",IF(COUNTIFS($A$2:$A$601,$A550,$B$2:$B$601,$B550)&gt;1,"× 同店同渠道重复","√")))))</f>
        <v/>
      </c>
    </row>
    <row r="551" customFormat="false" ht="13.5" hidden="false" customHeight="false" outlineLevel="0" collapsed="false">
      <c r="A551" s="35"/>
      <c r="B551" s="35"/>
      <c r="C551" s="37"/>
      <c r="D551" s="15" t="str">
        <f aca="false">IF(OR($A551="",$B551=""),"",ROUND(IFERROR(INDEX(海典汇总!$C$3:$AE$67,MATCH($A551,海典汇总!$A$3:$A$67,0),MATCH(INDEX(科目对照收入!$F$2:$F$23,MATCH($B551,科目对照收入!$B$2:$B$23,0)),海典汇总!$C$1:$AE$1,0)),0)+IFERROR(INDEX(海典汇总!$C$3:$AE$67,MATCH($A551,海典汇总!$A$3:$A$67,0),MATCH(INDEX(科目对照收入!$G$2:$G$23,MATCH($B551,科目对照收入!$B$2:$B$23,0)),海典汇总!$C$1:$AE$1,0)),0)+IFERROR(INDEX(海典汇总!$C$3:$AE$67,MATCH($A551,海典汇总!$A$3:$A$67,0),MATCH(INDEX(科目对照收入!$H$2:$H$23,MATCH($B551,科目对照收入!$B$2:$B$23,0)),海典汇总!$C$1:$AE$1,0)),0),2))</f>
        <v/>
      </c>
      <c r="E551" s="15" t="str">
        <f aca="false">IF($D551="","",ROUND($C551-$D551,2))</f>
        <v/>
      </c>
      <c r="F551" s="38" t="str">
        <f aca="false">IF($A551&amp;$B551="","",IF(COUNTIF(门店对照!$A$2:$A$66,$A551)=0,"× 门店编码不对",IF(COUNTIF(科目对照收入!$B$2:$B$23,$B551)=0,"× 渠道名不对",IF(INDEX(科目对照收入!$E$2:$E$23,MATCH($B551,科目对照收入!$B$2:$B$23,0))&lt;&gt;"平台优先","× 该项目不按平台金额",IF(COUNTIFS($A$2:$A$601,$A551,$B$2:$B$601,$B551)&gt;1,"× 同店同渠道重复","√")))))</f>
        <v/>
      </c>
    </row>
    <row r="552" customFormat="false" ht="13.5" hidden="false" customHeight="false" outlineLevel="0" collapsed="false">
      <c r="A552" s="35"/>
      <c r="B552" s="35"/>
      <c r="C552" s="37"/>
      <c r="D552" s="15" t="str">
        <f aca="false">IF(OR($A552="",$B552=""),"",ROUND(IFERROR(INDEX(海典汇总!$C$3:$AE$67,MATCH($A552,海典汇总!$A$3:$A$67,0),MATCH(INDEX(科目对照收入!$F$2:$F$23,MATCH($B552,科目对照收入!$B$2:$B$23,0)),海典汇总!$C$1:$AE$1,0)),0)+IFERROR(INDEX(海典汇总!$C$3:$AE$67,MATCH($A552,海典汇总!$A$3:$A$67,0),MATCH(INDEX(科目对照收入!$G$2:$G$23,MATCH($B552,科目对照收入!$B$2:$B$23,0)),海典汇总!$C$1:$AE$1,0)),0)+IFERROR(INDEX(海典汇总!$C$3:$AE$67,MATCH($A552,海典汇总!$A$3:$A$67,0),MATCH(INDEX(科目对照收入!$H$2:$H$23,MATCH($B552,科目对照收入!$B$2:$B$23,0)),海典汇总!$C$1:$AE$1,0)),0),2))</f>
        <v/>
      </c>
      <c r="E552" s="15" t="str">
        <f aca="false">IF($D552="","",ROUND($C552-$D552,2))</f>
        <v/>
      </c>
      <c r="F552" s="38" t="str">
        <f aca="false">IF($A552&amp;$B552="","",IF(COUNTIF(门店对照!$A$2:$A$66,$A552)=0,"× 门店编码不对",IF(COUNTIF(科目对照收入!$B$2:$B$23,$B552)=0,"× 渠道名不对",IF(INDEX(科目对照收入!$E$2:$E$23,MATCH($B552,科目对照收入!$B$2:$B$23,0))&lt;&gt;"平台优先","× 该项目不按平台金额",IF(COUNTIFS($A$2:$A$601,$A552,$B$2:$B$601,$B552)&gt;1,"× 同店同渠道重复","√")))))</f>
        <v/>
      </c>
    </row>
    <row r="553" customFormat="false" ht="13.5" hidden="false" customHeight="false" outlineLevel="0" collapsed="false">
      <c r="A553" s="35"/>
      <c r="B553" s="35"/>
      <c r="C553" s="37"/>
      <c r="D553" s="15" t="str">
        <f aca="false">IF(OR($A553="",$B553=""),"",ROUND(IFERROR(INDEX(海典汇总!$C$3:$AE$67,MATCH($A553,海典汇总!$A$3:$A$67,0),MATCH(INDEX(科目对照收入!$F$2:$F$23,MATCH($B553,科目对照收入!$B$2:$B$23,0)),海典汇总!$C$1:$AE$1,0)),0)+IFERROR(INDEX(海典汇总!$C$3:$AE$67,MATCH($A553,海典汇总!$A$3:$A$67,0),MATCH(INDEX(科目对照收入!$G$2:$G$23,MATCH($B553,科目对照收入!$B$2:$B$23,0)),海典汇总!$C$1:$AE$1,0)),0)+IFERROR(INDEX(海典汇总!$C$3:$AE$67,MATCH($A553,海典汇总!$A$3:$A$67,0),MATCH(INDEX(科目对照收入!$H$2:$H$23,MATCH($B553,科目对照收入!$B$2:$B$23,0)),海典汇总!$C$1:$AE$1,0)),0),2))</f>
        <v/>
      </c>
      <c r="E553" s="15" t="str">
        <f aca="false">IF($D553="","",ROUND($C553-$D553,2))</f>
        <v/>
      </c>
      <c r="F553" s="38" t="str">
        <f aca="false">IF($A553&amp;$B553="","",IF(COUNTIF(门店对照!$A$2:$A$66,$A553)=0,"× 门店编码不对",IF(COUNTIF(科目对照收入!$B$2:$B$23,$B553)=0,"× 渠道名不对",IF(INDEX(科目对照收入!$E$2:$E$23,MATCH($B553,科目对照收入!$B$2:$B$23,0))&lt;&gt;"平台优先","× 该项目不按平台金额",IF(COUNTIFS($A$2:$A$601,$A553,$B$2:$B$601,$B553)&gt;1,"× 同店同渠道重复","√")))))</f>
        <v/>
      </c>
    </row>
    <row r="554" customFormat="false" ht="13.5" hidden="false" customHeight="false" outlineLevel="0" collapsed="false">
      <c r="A554" s="35"/>
      <c r="B554" s="35"/>
      <c r="C554" s="37"/>
      <c r="D554" s="15" t="str">
        <f aca="false">IF(OR($A554="",$B554=""),"",ROUND(IFERROR(INDEX(海典汇总!$C$3:$AE$67,MATCH($A554,海典汇总!$A$3:$A$67,0),MATCH(INDEX(科目对照收入!$F$2:$F$23,MATCH($B554,科目对照收入!$B$2:$B$23,0)),海典汇总!$C$1:$AE$1,0)),0)+IFERROR(INDEX(海典汇总!$C$3:$AE$67,MATCH($A554,海典汇总!$A$3:$A$67,0),MATCH(INDEX(科目对照收入!$G$2:$G$23,MATCH($B554,科目对照收入!$B$2:$B$23,0)),海典汇总!$C$1:$AE$1,0)),0)+IFERROR(INDEX(海典汇总!$C$3:$AE$67,MATCH($A554,海典汇总!$A$3:$A$67,0),MATCH(INDEX(科目对照收入!$H$2:$H$23,MATCH($B554,科目对照收入!$B$2:$B$23,0)),海典汇总!$C$1:$AE$1,0)),0),2))</f>
        <v/>
      </c>
      <c r="E554" s="15" t="str">
        <f aca="false">IF($D554="","",ROUND($C554-$D554,2))</f>
        <v/>
      </c>
      <c r="F554" s="38" t="str">
        <f aca="false">IF($A554&amp;$B554="","",IF(COUNTIF(门店对照!$A$2:$A$66,$A554)=0,"× 门店编码不对",IF(COUNTIF(科目对照收入!$B$2:$B$23,$B554)=0,"× 渠道名不对",IF(INDEX(科目对照收入!$E$2:$E$23,MATCH($B554,科目对照收入!$B$2:$B$23,0))&lt;&gt;"平台优先","× 该项目不按平台金额",IF(COUNTIFS($A$2:$A$601,$A554,$B$2:$B$601,$B554)&gt;1,"× 同店同渠道重复","√")))))</f>
        <v/>
      </c>
    </row>
    <row r="555" customFormat="false" ht="13.5" hidden="false" customHeight="false" outlineLevel="0" collapsed="false">
      <c r="A555" s="35"/>
      <c r="B555" s="35"/>
      <c r="C555" s="37"/>
      <c r="D555" s="15" t="str">
        <f aca="false">IF(OR($A555="",$B555=""),"",ROUND(IFERROR(INDEX(海典汇总!$C$3:$AE$67,MATCH($A555,海典汇总!$A$3:$A$67,0),MATCH(INDEX(科目对照收入!$F$2:$F$23,MATCH($B555,科目对照收入!$B$2:$B$23,0)),海典汇总!$C$1:$AE$1,0)),0)+IFERROR(INDEX(海典汇总!$C$3:$AE$67,MATCH($A555,海典汇总!$A$3:$A$67,0),MATCH(INDEX(科目对照收入!$G$2:$G$23,MATCH($B555,科目对照收入!$B$2:$B$23,0)),海典汇总!$C$1:$AE$1,0)),0)+IFERROR(INDEX(海典汇总!$C$3:$AE$67,MATCH($A555,海典汇总!$A$3:$A$67,0),MATCH(INDEX(科目对照收入!$H$2:$H$23,MATCH($B555,科目对照收入!$B$2:$B$23,0)),海典汇总!$C$1:$AE$1,0)),0),2))</f>
        <v/>
      </c>
      <c r="E555" s="15" t="str">
        <f aca="false">IF($D555="","",ROUND($C555-$D555,2))</f>
        <v/>
      </c>
      <c r="F555" s="38" t="str">
        <f aca="false">IF($A555&amp;$B555="","",IF(COUNTIF(门店对照!$A$2:$A$66,$A555)=0,"× 门店编码不对",IF(COUNTIF(科目对照收入!$B$2:$B$23,$B555)=0,"× 渠道名不对",IF(INDEX(科目对照收入!$E$2:$E$23,MATCH($B555,科目对照收入!$B$2:$B$23,0))&lt;&gt;"平台优先","× 该项目不按平台金额",IF(COUNTIFS($A$2:$A$601,$A555,$B$2:$B$601,$B555)&gt;1,"× 同店同渠道重复","√")))))</f>
        <v/>
      </c>
    </row>
    <row r="556" customFormat="false" ht="13.5" hidden="false" customHeight="false" outlineLevel="0" collapsed="false">
      <c r="A556" s="35"/>
      <c r="B556" s="35"/>
      <c r="C556" s="37"/>
      <c r="D556" s="15" t="str">
        <f aca="false">IF(OR($A556="",$B556=""),"",ROUND(IFERROR(INDEX(海典汇总!$C$3:$AE$67,MATCH($A556,海典汇总!$A$3:$A$67,0),MATCH(INDEX(科目对照收入!$F$2:$F$23,MATCH($B556,科目对照收入!$B$2:$B$23,0)),海典汇总!$C$1:$AE$1,0)),0)+IFERROR(INDEX(海典汇总!$C$3:$AE$67,MATCH($A556,海典汇总!$A$3:$A$67,0),MATCH(INDEX(科目对照收入!$G$2:$G$23,MATCH($B556,科目对照收入!$B$2:$B$23,0)),海典汇总!$C$1:$AE$1,0)),0)+IFERROR(INDEX(海典汇总!$C$3:$AE$67,MATCH($A556,海典汇总!$A$3:$A$67,0),MATCH(INDEX(科目对照收入!$H$2:$H$23,MATCH($B556,科目对照收入!$B$2:$B$23,0)),海典汇总!$C$1:$AE$1,0)),0),2))</f>
        <v/>
      </c>
      <c r="E556" s="15" t="str">
        <f aca="false">IF($D556="","",ROUND($C556-$D556,2))</f>
        <v/>
      </c>
      <c r="F556" s="38" t="str">
        <f aca="false">IF($A556&amp;$B556="","",IF(COUNTIF(门店对照!$A$2:$A$66,$A556)=0,"× 门店编码不对",IF(COUNTIF(科目对照收入!$B$2:$B$23,$B556)=0,"× 渠道名不对",IF(INDEX(科目对照收入!$E$2:$E$23,MATCH($B556,科目对照收入!$B$2:$B$23,0))&lt;&gt;"平台优先","× 该项目不按平台金额",IF(COUNTIFS($A$2:$A$601,$A556,$B$2:$B$601,$B556)&gt;1,"× 同店同渠道重复","√")))))</f>
        <v/>
      </c>
    </row>
    <row r="557" customFormat="false" ht="13.5" hidden="false" customHeight="false" outlineLevel="0" collapsed="false">
      <c r="A557" s="35"/>
      <c r="B557" s="35"/>
      <c r="C557" s="37"/>
      <c r="D557" s="15" t="str">
        <f aca="false">IF(OR($A557="",$B557=""),"",ROUND(IFERROR(INDEX(海典汇总!$C$3:$AE$67,MATCH($A557,海典汇总!$A$3:$A$67,0),MATCH(INDEX(科目对照收入!$F$2:$F$23,MATCH($B557,科目对照收入!$B$2:$B$23,0)),海典汇总!$C$1:$AE$1,0)),0)+IFERROR(INDEX(海典汇总!$C$3:$AE$67,MATCH($A557,海典汇总!$A$3:$A$67,0),MATCH(INDEX(科目对照收入!$G$2:$G$23,MATCH($B557,科目对照收入!$B$2:$B$23,0)),海典汇总!$C$1:$AE$1,0)),0)+IFERROR(INDEX(海典汇总!$C$3:$AE$67,MATCH($A557,海典汇总!$A$3:$A$67,0),MATCH(INDEX(科目对照收入!$H$2:$H$23,MATCH($B557,科目对照收入!$B$2:$B$23,0)),海典汇总!$C$1:$AE$1,0)),0),2))</f>
        <v/>
      </c>
      <c r="E557" s="15" t="str">
        <f aca="false">IF($D557="","",ROUND($C557-$D557,2))</f>
        <v/>
      </c>
      <c r="F557" s="38" t="str">
        <f aca="false">IF($A557&amp;$B557="","",IF(COUNTIF(门店对照!$A$2:$A$66,$A557)=0,"× 门店编码不对",IF(COUNTIF(科目对照收入!$B$2:$B$23,$B557)=0,"× 渠道名不对",IF(INDEX(科目对照收入!$E$2:$E$23,MATCH($B557,科目对照收入!$B$2:$B$23,0))&lt;&gt;"平台优先","× 该项目不按平台金额",IF(COUNTIFS($A$2:$A$601,$A557,$B$2:$B$601,$B557)&gt;1,"× 同店同渠道重复","√")))))</f>
        <v/>
      </c>
    </row>
    <row r="558" customFormat="false" ht="13.5" hidden="false" customHeight="false" outlineLevel="0" collapsed="false">
      <c r="A558" s="35"/>
      <c r="B558" s="35"/>
      <c r="C558" s="37"/>
      <c r="D558" s="15" t="str">
        <f aca="false">IF(OR($A558="",$B558=""),"",ROUND(IFERROR(INDEX(海典汇总!$C$3:$AE$67,MATCH($A558,海典汇总!$A$3:$A$67,0),MATCH(INDEX(科目对照收入!$F$2:$F$23,MATCH($B558,科目对照收入!$B$2:$B$23,0)),海典汇总!$C$1:$AE$1,0)),0)+IFERROR(INDEX(海典汇总!$C$3:$AE$67,MATCH($A558,海典汇总!$A$3:$A$67,0),MATCH(INDEX(科目对照收入!$G$2:$G$23,MATCH($B558,科目对照收入!$B$2:$B$23,0)),海典汇总!$C$1:$AE$1,0)),0)+IFERROR(INDEX(海典汇总!$C$3:$AE$67,MATCH($A558,海典汇总!$A$3:$A$67,0),MATCH(INDEX(科目对照收入!$H$2:$H$23,MATCH($B558,科目对照收入!$B$2:$B$23,0)),海典汇总!$C$1:$AE$1,0)),0),2))</f>
        <v/>
      </c>
      <c r="E558" s="15" t="str">
        <f aca="false">IF($D558="","",ROUND($C558-$D558,2))</f>
        <v/>
      </c>
      <c r="F558" s="38" t="str">
        <f aca="false">IF($A558&amp;$B558="","",IF(COUNTIF(门店对照!$A$2:$A$66,$A558)=0,"× 门店编码不对",IF(COUNTIF(科目对照收入!$B$2:$B$23,$B558)=0,"× 渠道名不对",IF(INDEX(科目对照收入!$E$2:$E$23,MATCH($B558,科目对照收入!$B$2:$B$23,0))&lt;&gt;"平台优先","× 该项目不按平台金额",IF(COUNTIFS($A$2:$A$601,$A558,$B$2:$B$601,$B558)&gt;1,"× 同店同渠道重复","√")))))</f>
        <v/>
      </c>
    </row>
    <row r="559" customFormat="false" ht="13.5" hidden="false" customHeight="false" outlineLevel="0" collapsed="false">
      <c r="A559" s="35"/>
      <c r="B559" s="35"/>
      <c r="C559" s="37"/>
      <c r="D559" s="15" t="str">
        <f aca="false">IF(OR($A559="",$B559=""),"",ROUND(IFERROR(INDEX(海典汇总!$C$3:$AE$67,MATCH($A559,海典汇总!$A$3:$A$67,0),MATCH(INDEX(科目对照收入!$F$2:$F$23,MATCH($B559,科目对照收入!$B$2:$B$23,0)),海典汇总!$C$1:$AE$1,0)),0)+IFERROR(INDEX(海典汇总!$C$3:$AE$67,MATCH($A559,海典汇总!$A$3:$A$67,0),MATCH(INDEX(科目对照收入!$G$2:$G$23,MATCH($B559,科目对照收入!$B$2:$B$23,0)),海典汇总!$C$1:$AE$1,0)),0)+IFERROR(INDEX(海典汇总!$C$3:$AE$67,MATCH($A559,海典汇总!$A$3:$A$67,0),MATCH(INDEX(科目对照收入!$H$2:$H$23,MATCH($B559,科目对照收入!$B$2:$B$23,0)),海典汇总!$C$1:$AE$1,0)),0),2))</f>
        <v/>
      </c>
      <c r="E559" s="15" t="str">
        <f aca="false">IF($D559="","",ROUND($C559-$D559,2))</f>
        <v/>
      </c>
      <c r="F559" s="38" t="str">
        <f aca="false">IF($A559&amp;$B559="","",IF(COUNTIF(门店对照!$A$2:$A$66,$A559)=0,"× 门店编码不对",IF(COUNTIF(科目对照收入!$B$2:$B$23,$B559)=0,"× 渠道名不对",IF(INDEX(科目对照收入!$E$2:$E$23,MATCH($B559,科目对照收入!$B$2:$B$23,0))&lt;&gt;"平台优先","× 该项目不按平台金额",IF(COUNTIFS($A$2:$A$601,$A559,$B$2:$B$601,$B559)&gt;1,"× 同店同渠道重复","√")))))</f>
        <v/>
      </c>
    </row>
    <row r="560" customFormat="false" ht="13.5" hidden="false" customHeight="false" outlineLevel="0" collapsed="false">
      <c r="A560" s="35"/>
      <c r="B560" s="35"/>
      <c r="C560" s="37"/>
      <c r="D560" s="15" t="str">
        <f aca="false">IF(OR($A560="",$B560=""),"",ROUND(IFERROR(INDEX(海典汇总!$C$3:$AE$67,MATCH($A560,海典汇总!$A$3:$A$67,0),MATCH(INDEX(科目对照收入!$F$2:$F$23,MATCH($B560,科目对照收入!$B$2:$B$23,0)),海典汇总!$C$1:$AE$1,0)),0)+IFERROR(INDEX(海典汇总!$C$3:$AE$67,MATCH($A560,海典汇总!$A$3:$A$67,0),MATCH(INDEX(科目对照收入!$G$2:$G$23,MATCH($B560,科目对照收入!$B$2:$B$23,0)),海典汇总!$C$1:$AE$1,0)),0)+IFERROR(INDEX(海典汇总!$C$3:$AE$67,MATCH($A560,海典汇总!$A$3:$A$67,0),MATCH(INDEX(科目对照收入!$H$2:$H$23,MATCH($B560,科目对照收入!$B$2:$B$23,0)),海典汇总!$C$1:$AE$1,0)),0),2))</f>
        <v/>
      </c>
      <c r="E560" s="15" t="str">
        <f aca="false">IF($D560="","",ROUND($C560-$D560,2))</f>
        <v/>
      </c>
      <c r="F560" s="38" t="str">
        <f aca="false">IF($A560&amp;$B560="","",IF(COUNTIF(门店对照!$A$2:$A$66,$A560)=0,"× 门店编码不对",IF(COUNTIF(科目对照收入!$B$2:$B$23,$B560)=0,"× 渠道名不对",IF(INDEX(科目对照收入!$E$2:$E$23,MATCH($B560,科目对照收入!$B$2:$B$23,0))&lt;&gt;"平台优先","× 该项目不按平台金额",IF(COUNTIFS($A$2:$A$601,$A560,$B$2:$B$601,$B560)&gt;1,"× 同店同渠道重复","√")))))</f>
        <v/>
      </c>
    </row>
    <row r="561" customFormat="false" ht="13.5" hidden="false" customHeight="false" outlineLevel="0" collapsed="false">
      <c r="A561" s="35"/>
      <c r="B561" s="35"/>
      <c r="C561" s="37"/>
      <c r="D561" s="15" t="str">
        <f aca="false">IF(OR($A561="",$B561=""),"",ROUND(IFERROR(INDEX(海典汇总!$C$3:$AE$67,MATCH($A561,海典汇总!$A$3:$A$67,0),MATCH(INDEX(科目对照收入!$F$2:$F$23,MATCH($B561,科目对照收入!$B$2:$B$23,0)),海典汇总!$C$1:$AE$1,0)),0)+IFERROR(INDEX(海典汇总!$C$3:$AE$67,MATCH($A561,海典汇总!$A$3:$A$67,0),MATCH(INDEX(科目对照收入!$G$2:$G$23,MATCH($B561,科目对照收入!$B$2:$B$23,0)),海典汇总!$C$1:$AE$1,0)),0)+IFERROR(INDEX(海典汇总!$C$3:$AE$67,MATCH($A561,海典汇总!$A$3:$A$67,0),MATCH(INDEX(科目对照收入!$H$2:$H$23,MATCH($B561,科目对照收入!$B$2:$B$23,0)),海典汇总!$C$1:$AE$1,0)),0),2))</f>
        <v/>
      </c>
      <c r="E561" s="15" t="str">
        <f aca="false">IF($D561="","",ROUND($C561-$D561,2))</f>
        <v/>
      </c>
      <c r="F561" s="38" t="str">
        <f aca="false">IF($A561&amp;$B561="","",IF(COUNTIF(门店对照!$A$2:$A$66,$A561)=0,"× 门店编码不对",IF(COUNTIF(科目对照收入!$B$2:$B$23,$B561)=0,"× 渠道名不对",IF(INDEX(科目对照收入!$E$2:$E$23,MATCH($B561,科目对照收入!$B$2:$B$23,0))&lt;&gt;"平台优先","× 该项目不按平台金额",IF(COUNTIFS($A$2:$A$601,$A561,$B$2:$B$601,$B561)&gt;1,"× 同店同渠道重复","√")))))</f>
        <v/>
      </c>
    </row>
    <row r="562" customFormat="false" ht="13.5" hidden="false" customHeight="false" outlineLevel="0" collapsed="false">
      <c r="A562" s="35"/>
      <c r="B562" s="35"/>
      <c r="C562" s="37"/>
      <c r="D562" s="15" t="str">
        <f aca="false">IF(OR($A562="",$B562=""),"",ROUND(IFERROR(INDEX(海典汇总!$C$3:$AE$67,MATCH($A562,海典汇总!$A$3:$A$67,0),MATCH(INDEX(科目对照收入!$F$2:$F$23,MATCH($B562,科目对照收入!$B$2:$B$23,0)),海典汇总!$C$1:$AE$1,0)),0)+IFERROR(INDEX(海典汇总!$C$3:$AE$67,MATCH($A562,海典汇总!$A$3:$A$67,0),MATCH(INDEX(科目对照收入!$G$2:$G$23,MATCH($B562,科目对照收入!$B$2:$B$23,0)),海典汇总!$C$1:$AE$1,0)),0)+IFERROR(INDEX(海典汇总!$C$3:$AE$67,MATCH($A562,海典汇总!$A$3:$A$67,0),MATCH(INDEX(科目对照收入!$H$2:$H$23,MATCH($B562,科目对照收入!$B$2:$B$23,0)),海典汇总!$C$1:$AE$1,0)),0),2))</f>
        <v/>
      </c>
      <c r="E562" s="15" t="str">
        <f aca="false">IF($D562="","",ROUND($C562-$D562,2))</f>
        <v/>
      </c>
      <c r="F562" s="38" t="str">
        <f aca="false">IF($A562&amp;$B562="","",IF(COUNTIF(门店对照!$A$2:$A$66,$A562)=0,"× 门店编码不对",IF(COUNTIF(科目对照收入!$B$2:$B$23,$B562)=0,"× 渠道名不对",IF(INDEX(科目对照收入!$E$2:$E$23,MATCH($B562,科目对照收入!$B$2:$B$23,0))&lt;&gt;"平台优先","× 该项目不按平台金额",IF(COUNTIFS($A$2:$A$601,$A562,$B$2:$B$601,$B562)&gt;1,"× 同店同渠道重复","√")))))</f>
        <v/>
      </c>
    </row>
    <row r="563" customFormat="false" ht="13.5" hidden="false" customHeight="false" outlineLevel="0" collapsed="false">
      <c r="A563" s="35"/>
      <c r="B563" s="35"/>
      <c r="C563" s="37"/>
      <c r="D563" s="15" t="str">
        <f aca="false">IF(OR($A563="",$B563=""),"",ROUND(IFERROR(INDEX(海典汇总!$C$3:$AE$67,MATCH($A563,海典汇总!$A$3:$A$67,0),MATCH(INDEX(科目对照收入!$F$2:$F$23,MATCH($B563,科目对照收入!$B$2:$B$23,0)),海典汇总!$C$1:$AE$1,0)),0)+IFERROR(INDEX(海典汇总!$C$3:$AE$67,MATCH($A563,海典汇总!$A$3:$A$67,0),MATCH(INDEX(科目对照收入!$G$2:$G$23,MATCH($B563,科目对照收入!$B$2:$B$23,0)),海典汇总!$C$1:$AE$1,0)),0)+IFERROR(INDEX(海典汇总!$C$3:$AE$67,MATCH($A563,海典汇总!$A$3:$A$67,0),MATCH(INDEX(科目对照收入!$H$2:$H$23,MATCH($B563,科目对照收入!$B$2:$B$23,0)),海典汇总!$C$1:$AE$1,0)),0),2))</f>
        <v/>
      </c>
      <c r="E563" s="15" t="str">
        <f aca="false">IF($D563="","",ROUND($C563-$D563,2))</f>
        <v/>
      </c>
      <c r="F563" s="38" t="str">
        <f aca="false">IF($A563&amp;$B563="","",IF(COUNTIF(门店对照!$A$2:$A$66,$A563)=0,"× 门店编码不对",IF(COUNTIF(科目对照收入!$B$2:$B$23,$B563)=0,"× 渠道名不对",IF(INDEX(科目对照收入!$E$2:$E$23,MATCH($B563,科目对照收入!$B$2:$B$23,0))&lt;&gt;"平台优先","× 该项目不按平台金额",IF(COUNTIFS($A$2:$A$601,$A563,$B$2:$B$601,$B563)&gt;1,"× 同店同渠道重复","√")))))</f>
        <v/>
      </c>
    </row>
    <row r="564" customFormat="false" ht="13.5" hidden="false" customHeight="false" outlineLevel="0" collapsed="false">
      <c r="A564" s="35"/>
      <c r="B564" s="35"/>
      <c r="C564" s="37"/>
      <c r="D564" s="15" t="str">
        <f aca="false">IF(OR($A564="",$B564=""),"",ROUND(IFERROR(INDEX(海典汇总!$C$3:$AE$67,MATCH($A564,海典汇总!$A$3:$A$67,0),MATCH(INDEX(科目对照收入!$F$2:$F$23,MATCH($B564,科目对照收入!$B$2:$B$23,0)),海典汇总!$C$1:$AE$1,0)),0)+IFERROR(INDEX(海典汇总!$C$3:$AE$67,MATCH($A564,海典汇总!$A$3:$A$67,0),MATCH(INDEX(科目对照收入!$G$2:$G$23,MATCH($B564,科目对照收入!$B$2:$B$23,0)),海典汇总!$C$1:$AE$1,0)),0)+IFERROR(INDEX(海典汇总!$C$3:$AE$67,MATCH($A564,海典汇总!$A$3:$A$67,0),MATCH(INDEX(科目对照收入!$H$2:$H$23,MATCH($B564,科目对照收入!$B$2:$B$23,0)),海典汇总!$C$1:$AE$1,0)),0),2))</f>
        <v/>
      </c>
      <c r="E564" s="15" t="str">
        <f aca="false">IF($D564="","",ROUND($C564-$D564,2))</f>
        <v/>
      </c>
      <c r="F564" s="38" t="str">
        <f aca="false">IF($A564&amp;$B564="","",IF(COUNTIF(门店对照!$A$2:$A$66,$A564)=0,"× 门店编码不对",IF(COUNTIF(科目对照收入!$B$2:$B$23,$B564)=0,"× 渠道名不对",IF(INDEX(科目对照收入!$E$2:$E$23,MATCH($B564,科目对照收入!$B$2:$B$23,0))&lt;&gt;"平台优先","× 该项目不按平台金额",IF(COUNTIFS($A$2:$A$601,$A564,$B$2:$B$601,$B564)&gt;1,"× 同店同渠道重复","√")))))</f>
        <v/>
      </c>
    </row>
    <row r="565" customFormat="false" ht="13.5" hidden="false" customHeight="false" outlineLevel="0" collapsed="false">
      <c r="A565" s="35"/>
      <c r="B565" s="35"/>
      <c r="C565" s="37"/>
      <c r="D565" s="15" t="str">
        <f aca="false">IF(OR($A565="",$B565=""),"",ROUND(IFERROR(INDEX(海典汇总!$C$3:$AE$67,MATCH($A565,海典汇总!$A$3:$A$67,0),MATCH(INDEX(科目对照收入!$F$2:$F$23,MATCH($B565,科目对照收入!$B$2:$B$23,0)),海典汇总!$C$1:$AE$1,0)),0)+IFERROR(INDEX(海典汇总!$C$3:$AE$67,MATCH($A565,海典汇总!$A$3:$A$67,0),MATCH(INDEX(科目对照收入!$G$2:$G$23,MATCH($B565,科目对照收入!$B$2:$B$23,0)),海典汇总!$C$1:$AE$1,0)),0)+IFERROR(INDEX(海典汇总!$C$3:$AE$67,MATCH($A565,海典汇总!$A$3:$A$67,0),MATCH(INDEX(科目对照收入!$H$2:$H$23,MATCH($B565,科目对照收入!$B$2:$B$23,0)),海典汇总!$C$1:$AE$1,0)),0),2))</f>
        <v/>
      </c>
      <c r="E565" s="15" t="str">
        <f aca="false">IF($D565="","",ROUND($C565-$D565,2))</f>
        <v/>
      </c>
      <c r="F565" s="38" t="str">
        <f aca="false">IF($A565&amp;$B565="","",IF(COUNTIF(门店对照!$A$2:$A$66,$A565)=0,"× 门店编码不对",IF(COUNTIF(科目对照收入!$B$2:$B$23,$B565)=0,"× 渠道名不对",IF(INDEX(科目对照收入!$E$2:$E$23,MATCH($B565,科目对照收入!$B$2:$B$23,0))&lt;&gt;"平台优先","× 该项目不按平台金额",IF(COUNTIFS($A$2:$A$601,$A565,$B$2:$B$601,$B565)&gt;1,"× 同店同渠道重复","√")))))</f>
        <v/>
      </c>
    </row>
    <row r="566" customFormat="false" ht="13.5" hidden="false" customHeight="false" outlineLevel="0" collapsed="false">
      <c r="A566" s="35"/>
      <c r="B566" s="35"/>
      <c r="C566" s="37"/>
      <c r="D566" s="15" t="str">
        <f aca="false">IF(OR($A566="",$B566=""),"",ROUND(IFERROR(INDEX(海典汇总!$C$3:$AE$67,MATCH($A566,海典汇总!$A$3:$A$67,0),MATCH(INDEX(科目对照收入!$F$2:$F$23,MATCH($B566,科目对照收入!$B$2:$B$23,0)),海典汇总!$C$1:$AE$1,0)),0)+IFERROR(INDEX(海典汇总!$C$3:$AE$67,MATCH($A566,海典汇总!$A$3:$A$67,0),MATCH(INDEX(科目对照收入!$G$2:$G$23,MATCH($B566,科目对照收入!$B$2:$B$23,0)),海典汇总!$C$1:$AE$1,0)),0)+IFERROR(INDEX(海典汇总!$C$3:$AE$67,MATCH($A566,海典汇总!$A$3:$A$67,0),MATCH(INDEX(科目对照收入!$H$2:$H$23,MATCH($B566,科目对照收入!$B$2:$B$23,0)),海典汇总!$C$1:$AE$1,0)),0),2))</f>
        <v/>
      </c>
      <c r="E566" s="15" t="str">
        <f aca="false">IF($D566="","",ROUND($C566-$D566,2))</f>
        <v/>
      </c>
      <c r="F566" s="38" t="str">
        <f aca="false">IF($A566&amp;$B566="","",IF(COUNTIF(门店对照!$A$2:$A$66,$A566)=0,"× 门店编码不对",IF(COUNTIF(科目对照收入!$B$2:$B$23,$B566)=0,"× 渠道名不对",IF(INDEX(科目对照收入!$E$2:$E$23,MATCH($B566,科目对照收入!$B$2:$B$23,0))&lt;&gt;"平台优先","× 该项目不按平台金额",IF(COUNTIFS($A$2:$A$601,$A566,$B$2:$B$601,$B566)&gt;1,"× 同店同渠道重复","√")))))</f>
        <v/>
      </c>
    </row>
    <row r="567" customFormat="false" ht="13.5" hidden="false" customHeight="false" outlineLevel="0" collapsed="false">
      <c r="A567" s="35"/>
      <c r="B567" s="35"/>
      <c r="C567" s="37"/>
      <c r="D567" s="15" t="str">
        <f aca="false">IF(OR($A567="",$B567=""),"",ROUND(IFERROR(INDEX(海典汇总!$C$3:$AE$67,MATCH($A567,海典汇总!$A$3:$A$67,0),MATCH(INDEX(科目对照收入!$F$2:$F$23,MATCH($B567,科目对照收入!$B$2:$B$23,0)),海典汇总!$C$1:$AE$1,0)),0)+IFERROR(INDEX(海典汇总!$C$3:$AE$67,MATCH($A567,海典汇总!$A$3:$A$67,0),MATCH(INDEX(科目对照收入!$G$2:$G$23,MATCH($B567,科目对照收入!$B$2:$B$23,0)),海典汇总!$C$1:$AE$1,0)),0)+IFERROR(INDEX(海典汇总!$C$3:$AE$67,MATCH($A567,海典汇总!$A$3:$A$67,0),MATCH(INDEX(科目对照收入!$H$2:$H$23,MATCH($B567,科目对照收入!$B$2:$B$23,0)),海典汇总!$C$1:$AE$1,0)),0),2))</f>
        <v/>
      </c>
      <c r="E567" s="15" t="str">
        <f aca="false">IF($D567="","",ROUND($C567-$D567,2))</f>
        <v/>
      </c>
      <c r="F567" s="38" t="str">
        <f aca="false">IF($A567&amp;$B567="","",IF(COUNTIF(门店对照!$A$2:$A$66,$A567)=0,"× 门店编码不对",IF(COUNTIF(科目对照收入!$B$2:$B$23,$B567)=0,"× 渠道名不对",IF(INDEX(科目对照收入!$E$2:$E$23,MATCH($B567,科目对照收入!$B$2:$B$23,0))&lt;&gt;"平台优先","× 该项目不按平台金额",IF(COUNTIFS($A$2:$A$601,$A567,$B$2:$B$601,$B567)&gt;1,"× 同店同渠道重复","√")))))</f>
        <v/>
      </c>
    </row>
    <row r="568" customFormat="false" ht="13.5" hidden="false" customHeight="false" outlineLevel="0" collapsed="false">
      <c r="A568" s="35"/>
      <c r="B568" s="35"/>
      <c r="C568" s="37"/>
      <c r="D568" s="15" t="str">
        <f aca="false">IF(OR($A568="",$B568=""),"",ROUND(IFERROR(INDEX(海典汇总!$C$3:$AE$67,MATCH($A568,海典汇总!$A$3:$A$67,0),MATCH(INDEX(科目对照收入!$F$2:$F$23,MATCH($B568,科目对照收入!$B$2:$B$23,0)),海典汇总!$C$1:$AE$1,0)),0)+IFERROR(INDEX(海典汇总!$C$3:$AE$67,MATCH($A568,海典汇总!$A$3:$A$67,0),MATCH(INDEX(科目对照收入!$G$2:$G$23,MATCH($B568,科目对照收入!$B$2:$B$23,0)),海典汇总!$C$1:$AE$1,0)),0)+IFERROR(INDEX(海典汇总!$C$3:$AE$67,MATCH($A568,海典汇总!$A$3:$A$67,0),MATCH(INDEX(科目对照收入!$H$2:$H$23,MATCH($B568,科目对照收入!$B$2:$B$23,0)),海典汇总!$C$1:$AE$1,0)),0),2))</f>
        <v/>
      </c>
      <c r="E568" s="15" t="str">
        <f aca="false">IF($D568="","",ROUND($C568-$D568,2))</f>
        <v/>
      </c>
      <c r="F568" s="38" t="str">
        <f aca="false">IF($A568&amp;$B568="","",IF(COUNTIF(门店对照!$A$2:$A$66,$A568)=0,"× 门店编码不对",IF(COUNTIF(科目对照收入!$B$2:$B$23,$B568)=0,"× 渠道名不对",IF(INDEX(科目对照收入!$E$2:$E$23,MATCH($B568,科目对照收入!$B$2:$B$23,0))&lt;&gt;"平台优先","× 该项目不按平台金额",IF(COUNTIFS($A$2:$A$601,$A568,$B$2:$B$601,$B568)&gt;1,"× 同店同渠道重复","√")))))</f>
        <v/>
      </c>
    </row>
    <row r="569" customFormat="false" ht="13.5" hidden="false" customHeight="false" outlineLevel="0" collapsed="false">
      <c r="A569" s="35"/>
      <c r="B569" s="35"/>
      <c r="C569" s="37"/>
      <c r="D569" s="15" t="str">
        <f aca="false">IF(OR($A569="",$B569=""),"",ROUND(IFERROR(INDEX(海典汇总!$C$3:$AE$67,MATCH($A569,海典汇总!$A$3:$A$67,0),MATCH(INDEX(科目对照收入!$F$2:$F$23,MATCH($B569,科目对照收入!$B$2:$B$23,0)),海典汇总!$C$1:$AE$1,0)),0)+IFERROR(INDEX(海典汇总!$C$3:$AE$67,MATCH($A569,海典汇总!$A$3:$A$67,0),MATCH(INDEX(科目对照收入!$G$2:$G$23,MATCH($B569,科目对照收入!$B$2:$B$23,0)),海典汇总!$C$1:$AE$1,0)),0)+IFERROR(INDEX(海典汇总!$C$3:$AE$67,MATCH($A569,海典汇总!$A$3:$A$67,0),MATCH(INDEX(科目对照收入!$H$2:$H$23,MATCH($B569,科目对照收入!$B$2:$B$23,0)),海典汇总!$C$1:$AE$1,0)),0),2))</f>
        <v/>
      </c>
      <c r="E569" s="15" t="str">
        <f aca="false">IF($D569="","",ROUND($C569-$D569,2))</f>
        <v/>
      </c>
      <c r="F569" s="38" t="str">
        <f aca="false">IF($A569&amp;$B569="","",IF(COUNTIF(门店对照!$A$2:$A$66,$A569)=0,"× 门店编码不对",IF(COUNTIF(科目对照收入!$B$2:$B$23,$B569)=0,"× 渠道名不对",IF(INDEX(科目对照收入!$E$2:$E$23,MATCH($B569,科目对照收入!$B$2:$B$23,0))&lt;&gt;"平台优先","× 该项目不按平台金额",IF(COUNTIFS($A$2:$A$601,$A569,$B$2:$B$601,$B569)&gt;1,"× 同店同渠道重复","√")))))</f>
        <v/>
      </c>
    </row>
    <row r="570" customFormat="false" ht="13.5" hidden="false" customHeight="false" outlineLevel="0" collapsed="false">
      <c r="A570" s="35"/>
      <c r="B570" s="35"/>
      <c r="C570" s="37"/>
      <c r="D570" s="15" t="str">
        <f aca="false">IF(OR($A570="",$B570=""),"",ROUND(IFERROR(INDEX(海典汇总!$C$3:$AE$67,MATCH($A570,海典汇总!$A$3:$A$67,0),MATCH(INDEX(科目对照收入!$F$2:$F$23,MATCH($B570,科目对照收入!$B$2:$B$23,0)),海典汇总!$C$1:$AE$1,0)),0)+IFERROR(INDEX(海典汇总!$C$3:$AE$67,MATCH($A570,海典汇总!$A$3:$A$67,0),MATCH(INDEX(科目对照收入!$G$2:$G$23,MATCH($B570,科目对照收入!$B$2:$B$23,0)),海典汇总!$C$1:$AE$1,0)),0)+IFERROR(INDEX(海典汇总!$C$3:$AE$67,MATCH($A570,海典汇总!$A$3:$A$67,0),MATCH(INDEX(科目对照收入!$H$2:$H$23,MATCH($B570,科目对照收入!$B$2:$B$23,0)),海典汇总!$C$1:$AE$1,0)),0),2))</f>
        <v/>
      </c>
      <c r="E570" s="15" t="str">
        <f aca="false">IF($D570="","",ROUND($C570-$D570,2))</f>
        <v/>
      </c>
      <c r="F570" s="38" t="str">
        <f aca="false">IF($A570&amp;$B570="","",IF(COUNTIF(门店对照!$A$2:$A$66,$A570)=0,"× 门店编码不对",IF(COUNTIF(科目对照收入!$B$2:$B$23,$B570)=0,"× 渠道名不对",IF(INDEX(科目对照收入!$E$2:$E$23,MATCH($B570,科目对照收入!$B$2:$B$23,0))&lt;&gt;"平台优先","× 该项目不按平台金额",IF(COUNTIFS($A$2:$A$601,$A570,$B$2:$B$601,$B570)&gt;1,"× 同店同渠道重复","√")))))</f>
        <v/>
      </c>
    </row>
    <row r="571" customFormat="false" ht="13.5" hidden="false" customHeight="false" outlineLevel="0" collapsed="false">
      <c r="A571" s="35"/>
      <c r="B571" s="35"/>
      <c r="C571" s="37"/>
      <c r="D571" s="15" t="str">
        <f aca="false">IF(OR($A571="",$B571=""),"",ROUND(IFERROR(INDEX(海典汇总!$C$3:$AE$67,MATCH($A571,海典汇总!$A$3:$A$67,0),MATCH(INDEX(科目对照收入!$F$2:$F$23,MATCH($B571,科目对照收入!$B$2:$B$23,0)),海典汇总!$C$1:$AE$1,0)),0)+IFERROR(INDEX(海典汇总!$C$3:$AE$67,MATCH($A571,海典汇总!$A$3:$A$67,0),MATCH(INDEX(科目对照收入!$G$2:$G$23,MATCH($B571,科目对照收入!$B$2:$B$23,0)),海典汇总!$C$1:$AE$1,0)),0)+IFERROR(INDEX(海典汇总!$C$3:$AE$67,MATCH($A571,海典汇总!$A$3:$A$67,0),MATCH(INDEX(科目对照收入!$H$2:$H$23,MATCH($B571,科目对照收入!$B$2:$B$23,0)),海典汇总!$C$1:$AE$1,0)),0),2))</f>
        <v/>
      </c>
      <c r="E571" s="15" t="str">
        <f aca="false">IF($D571="","",ROUND($C571-$D571,2))</f>
        <v/>
      </c>
      <c r="F571" s="38" t="str">
        <f aca="false">IF($A571&amp;$B571="","",IF(COUNTIF(门店对照!$A$2:$A$66,$A571)=0,"× 门店编码不对",IF(COUNTIF(科目对照收入!$B$2:$B$23,$B571)=0,"× 渠道名不对",IF(INDEX(科目对照收入!$E$2:$E$23,MATCH($B571,科目对照收入!$B$2:$B$23,0))&lt;&gt;"平台优先","× 该项目不按平台金额",IF(COUNTIFS($A$2:$A$601,$A571,$B$2:$B$601,$B571)&gt;1,"× 同店同渠道重复","√")))))</f>
        <v/>
      </c>
    </row>
    <row r="572" customFormat="false" ht="13.5" hidden="false" customHeight="false" outlineLevel="0" collapsed="false">
      <c r="A572" s="35"/>
      <c r="B572" s="35"/>
      <c r="C572" s="37"/>
      <c r="D572" s="15" t="str">
        <f aca="false">IF(OR($A572="",$B572=""),"",ROUND(IFERROR(INDEX(海典汇总!$C$3:$AE$67,MATCH($A572,海典汇总!$A$3:$A$67,0),MATCH(INDEX(科目对照收入!$F$2:$F$23,MATCH($B572,科目对照收入!$B$2:$B$23,0)),海典汇总!$C$1:$AE$1,0)),0)+IFERROR(INDEX(海典汇总!$C$3:$AE$67,MATCH($A572,海典汇总!$A$3:$A$67,0),MATCH(INDEX(科目对照收入!$G$2:$G$23,MATCH($B572,科目对照收入!$B$2:$B$23,0)),海典汇总!$C$1:$AE$1,0)),0)+IFERROR(INDEX(海典汇总!$C$3:$AE$67,MATCH($A572,海典汇总!$A$3:$A$67,0),MATCH(INDEX(科目对照收入!$H$2:$H$23,MATCH($B572,科目对照收入!$B$2:$B$23,0)),海典汇总!$C$1:$AE$1,0)),0),2))</f>
        <v/>
      </c>
      <c r="E572" s="15" t="str">
        <f aca="false">IF($D572="","",ROUND($C572-$D572,2))</f>
        <v/>
      </c>
      <c r="F572" s="38" t="str">
        <f aca="false">IF($A572&amp;$B572="","",IF(COUNTIF(门店对照!$A$2:$A$66,$A572)=0,"× 门店编码不对",IF(COUNTIF(科目对照收入!$B$2:$B$23,$B572)=0,"× 渠道名不对",IF(INDEX(科目对照收入!$E$2:$E$23,MATCH($B572,科目对照收入!$B$2:$B$23,0))&lt;&gt;"平台优先","× 该项目不按平台金额",IF(COUNTIFS($A$2:$A$601,$A572,$B$2:$B$601,$B572)&gt;1,"× 同店同渠道重复","√")))))</f>
        <v/>
      </c>
    </row>
    <row r="573" customFormat="false" ht="13.5" hidden="false" customHeight="false" outlineLevel="0" collapsed="false">
      <c r="A573" s="35"/>
      <c r="B573" s="35"/>
      <c r="C573" s="37"/>
      <c r="D573" s="15" t="str">
        <f aca="false">IF(OR($A573="",$B573=""),"",ROUND(IFERROR(INDEX(海典汇总!$C$3:$AE$67,MATCH($A573,海典汇总!$A$3:$A$67,0),MATCH(INDEX(科目对照收入!$F$2:$F$23,MATCH($B573,科目对照收入!$B$2:$B$23,0)),海典汇总!$C$1:$AE$1,0)),0)+IFERROR(INDEX(海典汇总!$C$3:$AE$67,MATCH($A573,海典汇总!$A$3:$A$67,0),MATCH(INDEX(科目对照收入!$G$2:$G$23,MATCH($B573,科目对照收入!$B$2:$B$23,0)),海典汇总!$C$1:$AE$1,0)),0)+IFERROR(INDEX(海典汇总!$C$3:$AE$67,MATCH($A573,海典汇总!$A$3:$A$67,0),MATCH(INDEX(科目对照收入!$H$2:$H$23,MATCH($B573,科目对照收入!$B$2:$B$23,0)),海典汇总!$C$1:$AE$1,0)),0),2))</f>
        <v/>
      </c>
      <c r="E573" s="15" t="str">
        <f aca="false">IF($D573="","",ROUND($C573-$D573,2))</f>
        <v/>
      </c>
      <c r="F573" s="38" t="str">
        <f aca="false">IF($A573&amp;$B573="","",IF(COUNTIF(门店对照!$A$2:$A$66,$A573)=0,"× 门店编码不对",IF(COUNTIF(科目对照收入!$B$2:$B$23,$B573)=0,"× 渠道名不对",IF(INDEX(科目对照收入!$E$2:$E$23,MATCH($B573,科目对照收入!$B$2:$B$23,0))&lt;&gt;"平台优先","× 该项目不按平台金额",IF(COUNTIFS($A$2:$A$601,$A573,$B$2:$B$601,$B573)&gt;1,"× 同店同渠道重复","√")))))</f>
        <v/>
      </c>
    </row>
    <row r="574" customFormat="false" ht="13.5" hidden="false" customHeight="false" outlineLevel="0" collapsed="false">
      <c r="A574" s="35"/>
      <c r="B574" s="35"/>
      <c r="C574" s="37"/>
      <c r="D574" s="15" t="str">
        <f aca="false">IF(OR($A574="",$B574=""),"",ROUND(IFERROR(INDEX(海典汇总!$C$3:$AE$67,MATCH($A574,海典汇总!$A$3:$A$67,0),MATCH(INDEX(科目对照收入!$F$2:$F$23,MATCH($B574,科目对照收入!$B$2:$B$23,0)),海典汇总!$C$1:$AE$1,0)),0)+IFERROR(INDEX(海典汇总!$C$3:$AE$67,MATCH($A574,海典汇总!$A$3:$A$67,0),MATCH(INDEX(科目对照收入!$G$2:$G$23,MATCH($B574,科目对照收入!$B$2:$B$23,0)),海典汇总!$C$1:$AE$1,0)),0)+IFERROR(INDEX(海典汇总!$C$3:$AE$67,MATCH($A574,海典汇总!$A$3:$A$67,0),MATCH(INDEX(科目对照收入!$H$2:$H$23,MATCH($B574,科目对照收入!$B$2:$B$23,0)),海典汇总!$C$1:$AE$1,0)),0),2))</f>
        <v/>
      </c>
      <c r="E574" s="15" t="str">
        <f aca="false">IF($D574="","",ROUND($C574-$D574,2))</f>
        <v/>
      </c>
      <c r="F574" s="38" t="str">
        <f aca="false">IF($A574&amp;$B574="","",IF(COUNTIF(门店对照!$A$2:$A$66,$A574)=0,"× 门店编码不对",IF(COUNTIF(科目对照收入!$B$2:$B$23,$B574)=0,"× 渠道名不对",IF(INDEX(科目对照收入!$E$2:$E$23,MATCH($B574,科目对照收入!$B$2:$B$23,0))&lt;&gt;"平台优先","× 该项目不按平台金额",IF(COUNTIFS($A$2:$A$601,$A574,$B$2:$B$601,$B574)&gt;1,"× 同店同渠道重复","√")))))</f>
        <v/>
      </c>
    </row>
    <row r="575" customFormat="false" ht="13.5" hidden="false" customHeight="false" outlineLevel="0" collapsed="false">
      <c r="A575" s="35"/>
      <c r="B575" s="35"/>
      <c r="C575" s="37"/>
      <c r="D575" s="15" t="str">
        <f aca="false">IF(OR($A575="",$B575=""),"",ROUND(IFERROR(INDEX(海典汇总!$C$3:$AE$67,MATCH($A575,海典汇总!$A$3:$A$67,0),MATCH(INDEX(科目对照收入!$F$2:$F$23,MATCH($B575,科目对照收入!$B$2:$B$23,0)),海典汇总!$C$1:$AE$1,0)),0)+IFERROR(INDEX(海典汇总!$C$3:$AE$67,MATCH($A575,海典汇总!$A$3:$A$67,0),MATCH(INDEX(科目对照收入!$G$2:$G$23,MATCH($B575,科目对照收入!$B$2:$B$23,0)),海典汇总!$C$1:$AE$1,0)),0)+IFERROR(INDEX(海典汇总!$C$3:$AE$67,MATCH($A575,海典汇总!$A$3:$A$67,0),MATCH(INDEX(科目对照收入!$H$2:$H$23,MATCH($B575,科目对照收入!$B$2:$B$23,0)),海典汇总!$C$1:$AE$1,0)),0),2))</f>
        <v/>
      </c>
      <c r="E575" s="15" t="str">
        <f aca="false">IF($D575="","",ROUND($C575-$D575,2))</f>
        <v/>
      </c>
      <c r="F575" s="38" t="str">
        <f aca="false">IF($A575&amp;$B575="","",IF(COUNTIF(门店对照!$A$2:$A$66,$A575)=0,"× 门店编码不对",IF(COUNTIF(科目对照收入!$B$2:$B$23,$B575)=0,"× 渠道名不对",IF(INDEX(科目对照收入!$E$2:$E$23,MATCH($B575,科目对照收入!$B$2:$B$23,0))&lt;&gt;"平台优先","× 该项目不按平台金额",IF(COUNTIFS($A$2:$A$601,$A575,$B$2:$B$601,$B575)&gt;1,"× 同店同渠道重复","√")))))</f>
        <v/>
      </c>
    </row>
    <row r="576" customFormat="false" ht="13.5" hidden="false" customHeight="false" outlineLevel="0" collapsed="false">
      <c r="A576" s="35"/>
      <c r="B576" s="35"/>
      <c r="C576" s="37"/>
      <c r="D576" s="15" t="str">
        <f aca="false">IF(OR($A576="",$B576=""),"",ROUND(IFERROR(INDEX(海典汇总!$C$3:$AE$67,MATCH($A576,海典汇总!$A$3:$A$67,0),MATCH(INDEX(科目对照收入!$F$2:$F$23,MATCH($B576,科目对照收入!$B$2:$B$23,0)),海典汇总!$C$1:$AE$1,0)),0)+IFERROR(INDEX(海典汇总!$C$3:$AE$67,MATCH($A576,海典汇总!$A$3:$A$67,0),MATCH(INDEX(科目对照收入!$G$2:$G$23,MATCH($B576,科目对照收入!$B$2:$B$23,0)),海典汇总!$C$1:$AE$1,0)),0)+IFERROR(INDEX(海典汇总!$C$3:$AE$67,MATCH($A576,海典汇总!$A$3:$A$67,0),MATCH(INDEX(科目对照收入!$H$2:$H$23,MATCH($B576,科目对照收入!$B$2:$B$23,0)),海典汇总!$C$1:$AE$1,0)),0),2))</f>
        <v/>
      </c>
      <c r="E576" s="15" t="str">
        <f aca="false">IF($D576="","",ROUND($C576-$D576,2))</f>
        <v/>
      </c>
      <c r="F576" s="38" t="str">
        <f aca="false">IF($A576&amp;$B576="","",IF(COUNTIF(门店对照!$A$2:$A$66,$A576)=0,"× 门店编码不对",IF(COUNTIF(科目对照收入!$B$2:$B$23,$B576)=0,"× 渠道名不对",IF(INDEX(科目对照收入!$E$2:$E$23,MATCH($B576,科目对照收入!$B$2:$B$23,0))&lt;&gt;"平台优先","× 该项目不按平台金额",IF(COUNTIFS($A$2:$A$601,$A576,$B$2:$B$601,$B576)&gt;1,"× 同店同渠道重复","√")))))</f>
        <v/>
      </c>
    </row>
    <row r="577" customFormat="false" ht="13.5" hidden="false" customHeight="false" outlineLevel="0" collapsed="false">
      <c r="A577" s="35"/>
      <c r="B577" s="35"/>
      <c r="C577" s="37"/>
      <c r="D577" s="15" t="str">
        <f aca="false">IF(OR($A577="",$B577=""),"",ROUND(IFERROR(INDEX(海典汇总!$C$3:$AE$67,MATCH($A577,海典汇总!$A$3:$A$67,0),MATCH(INDEX(科目对照收入!$F$2:$F$23,MATCH($B577,科目对照收入!$B$2:$B$23,0)),海典汇总!$C$1:$AE$1,0)),0)+IFERROR(INDEX(海典汇总!$C$3:$AE$67,MATCH($A577,海典汇总!$A$3:$A$67,0),MATCH(INDEX(科目对照收入!$G$2:$G$23,MATCH($B577,科目对照收入!$B$2:$B$23,0)),海典汇总!$C$1:$AE$1,0)),0)+IFERROR(INDEX(海典汇总!$C$3:$AE$67,MATCH($A577,海典汇总!$A$3:$A$67,0),MATCH(INDEX(科目对照收入!$H$2:$H$23,MATCH($B577,科目对照收入!$B$2:$B$23,0)),海典汇总!$C$1:$AE$1,0)),0),2))</f>
        <v/>
      </c>
      <c r="E577" s="15" t="str">
        <f aca="false">IF($D577="","",ROUND($C577-$D577,2))</f>
        <v/>
      </c>
      <c r="F577" s="38" t="str">
        <f aca="false">IF($A577&amp;$B577="","",IF(COUNTIF(门店对照!$A$2:$A$66,$A577)=0,"× 门店编码不对",IF(COUNTIF(科目对照收入!$B$2:$B$23,$B577)=0,"× 渠道名不对",IF(INDEX(科目对照收入!$E$2:$E$23,MATCH($B577,科目对照收入!$B$2:$B$23,0))&lt;&gt;"平台优先","× 该项目不按平台金额",IF(COUNTIFS($A$2:$A$601,$A577,$B$2:$B$601,$B577)&gt;1,"× 同店同渠道重复","√")))))</f>
        <v/>
      </c>
    </row>
    <row r="578" customFormat="false" ht="13.5" hidden="false" customHeight="false" outlineLevel="0" collapsed="false">
      <c r="A578" s="35"/>
      <c r="B578" s="35"/>
      <c r="C578" s="37"/>
      <c r="D578" s="15" t="str">
        <f aca="false">IF(OR($A578="",$B578=""),"",ROUND(IFERROR(INDEX(海典汇总!$C$3:$AE$67,MATCH($A578,海典汇总!$A$3:$A$67,0),MATCH(INDEX(科目对照收入!$F$2:$F$23,MATCH($B578,科目对照收入!$B$2:$B$23,0)),海典汇总!$C$1:$AE$1,0)),0)+IFERROR(INDEX(海典汇总!$C$3:$AE$67,MATCH($A578,海典汇总!$A$3:$A$67,0),MATCH(INDEX(科目对照收入!$G$2:$G$23,MATCH($B578,科目对照收入!$B$2:$B$23,0)),海典汇总!$C$1:$AE$1,0)),0)+IFERROR(INDEX(海典汇总!$C$3:$AE$67,MATCH($A578,海典汇总!$A$3:$A$67,0),MATCH(INDEX(科目对照收入!$H$2:$H$23,MATCH($B578,科目对照收入!$B$2:$B$23,0)),海典汇总!$C$1:$AE$1,0)),0),2))</f>
        <v/>
      </c>
      <c r="E578" s="15" t="str">
        <f aca="false">IF($D578="","",ROUND($C578-$D578,2))</f>
        <v/>
      </c>
      <c r="F578" s="38" t="str">
        <f aca="false">IF($A578&amp;$B578="","",IF(COUNTIF(门店对照!$A$2:$A$66,$A578)=0,"× 门店编码不对",IF(COUNTIF(科目对照收入!$B$2:$B$23,$B578)=0,"× 渠道名不对",IF(INDEX(科目对照收入!$E$2:$E$23,MATCH($B578,科目对照收入!$B$2:$B$23,0))&lt;&gt;"平台优先","× 该项目不按平台金额",IF(COUNTIFS($A$2:$A$601,$A578,$B$2:$B$601,$B578)&gt;1,"× 同店同渠道重复","√")))))</f>
        <v/>
      </c>
    </row>
    <row r="579" customFormat="false" ht="13.5" hidden="false" customHeight="false" outlineLevel="0" collapsed="false">
      <c r="A579" s="35"/>
      <c r="B579" s="35"/>
      <c r="C579" s="37"/>
      <c r="D579" s="15" t="str">
        <f aca="false">IF(OR($A579="",$B579=""),"",ROUND(IFERROR(INDEX(海典汇总!$C$3:$AE$67,MATCH($A579,海典汇总!$A$3:$A$67,0),MATCH(INDEX(科目对照收入!$F$2:$F$23,MATCH($B579,科目对照收入!$B$2:$B$23,0)),海典汇总!$C$1:$AE$1,0)),0)+IFERROR(INDEX(海典汇总!$C$3:$AE$67,MATCH($A579,海典汇总!$A$3:$A$67,0),MATCH(INDEX(科目对照收入!$G$2:$G$23,MATCH($B579,科目对照收入!$B$2:$B$23,0)),海典汇总!$C$1:$AE$1,0)),0)+IFERROR(INDEX(海典汇总!$C$3:$AE$67,MATCH($A579,海典汇总!$A$3:$A$67,0),MATCH(INDEX(科目对照收入!$H$2:$H$23,MATCH($B579,科目对照收入!$B$2:$B$23,0)),海典汇总!$C$1:$AE$1,0)),0),2))</f>
        <v/>
      </c>
      <c r="E579" s="15" t="str">
        <f aca="false">IF($D579="","",ROUND($C579-$D579,2))</f>
        <v/>
      </c>
      <c r="F579" s="38" t="str">
        <f aca="false">IF($A579&amp;$B579="","",IF(COUNTIF(门店对照!$A$2:$A$66,$A579)=0,"× 门店编码不对",IF(COUNTIF(科目对照收入!$B$2:$B$23,$B579)=0,"× 渠道名不对",IF(INDEX(科目对照收入!$E$2:$E$23,MATCH($B579,科目对照收入!$B$2:$B$23,0))&lt;&gt;"平台优先","× 该项目不按平台金额",IF(COUNTIFS($A$2:$A$601,$A579,$B$2:$B$601,$B579)&gt;1,"× 同店同渠道重复","√")))))</f>
        <v/>
      </c>
    </row>
    <row r="580" customFormat="false" ht="13.5" hidden="false" customHeight="false" outlineLevel="0" collapsed="false">
      <c r="A580" s="35"/>
      <c r="B580" s="35"/>
      <c r="C580" s="37"/>
      <c r="D580" s="15" t="str">
        <f aca="false">IF(OR($A580="",$B580=""),"",ROUND(IFERROR(INDEX(海典汇总!$C$3:$AE$67,MATCH($A580,海典汇总!$A$3:$A$67,0),MATCH(INDEX(科目对照收入!$F$2:$F$23,MATCH($B580,科目对照收入!$B$2:$B$23,0)),海典汇总!$C$1:$AE$1,0)),0)+IFERROR(INDEX(海典汇总!$C$3:$AE$67,MATCH($A580,海典汇总!$A$3:$A$67,0),MATCH(INDEX(科目对照收入!$G$2:$G$23,MATCH($B580,科目对照收入!$B$2:$B$23,0)),海典汇总!$C$1:$AE$1,0)),0)+IFERROR(INDEX(海典汇总!$C$3:$AE$67,MATCH($A580,海典汇总!$A$3:$A$67,0),MATCH(INDEX(科目对照收入!$H$2:$H$23,MATCH($B580,科目对照收入!$B$2:$B$23,0)),海典汇总!$C$1:$AE$1,0)),0),2))</f>
        <v/>
      </c>
      <c r="E580" s="15" t="str">
        <f aca="false">IF($D580="","",ROUND($C580-$D580,2))</f>
        <v/>
      </c>
      <c r="F580" s="38" t="str">
        <f aca="false">IF($A580&amp;$B580="","",IF(COUNTIF(门店对照!$A$2:$A$66,$A580)=0,"× 门店编码不对",IF(COUNTIF(科目对照收入!$B$2:$B$23,$B580)=0,"× 渠道名不对",IF(INDEX(科目对照收入!$E$2:$E$23,MATCH($B580,科目对照收入!$B$2:$B$23,0))&lt;&gt;"平台优先","× 该项目不按平台金额",IF(COUNTIFS($A$2:$A$601,$A580,$B$2:$B$601,$B580)&gt;1,"× 同店同渠道重复","√")))))</f>
        <v/>
      </c>
    </row>
    <row r="581" customFormat="false" ht="13.5" hidden="false" customHeight="false" outlineLevel="0" collapsed="false">
      <c r="A581" s="35"/>
      <c r="B581" s="35"/>
      <c r="C581" s="37"/>
      <c r="D581" s="15" t="str">
        <f aca="false">IF(OR($A581="",$B581=""),"",ROUND(IFERROR(INDEX(海典汇总!$C$3:$AE$67,MATCH($A581,海典汇总!$A$3:$A$67,0),MATCH(INDEX(科目对照收入!$F$2:$F$23,MATCH($B581,科目对照收入!$B$2:$B$23,0)),海典汇总!$C$1:$AE$1,0)),0)+IFERROR(INDEX(海典汇总!$C$3:$AE$67,MATCH($A581,海典汇总!$A$3:$A$67,0),MATCH(INDEX(科目对照收入!$G$2:$G$23,MATCH($B581,科目对照收入!$B$2:$B$23,0)),海典汇总!$C$1:$AE$1,0)),0)+IFERROR(INDEX(海典汇总!$C$3:$AE$67,MATCH($A581,海典汇总!$A$3:$A$67,0),MATCH(INDEX(科目对照收入!$H$2:$H$23,MATCH($B581,科目对照收入!$B$2:$B$23,0)),海典汇总!$C$1:$AE$1,0)),0),2))</f>
        <v/>
      </c>
      <c r="E581" s="15" t="str">
        <f aca="false">IF($D581="","",ROUND($C581-$D581,2))</f>
        <v/>
      </c>
      <c r="F581" s="38" t="str">
        <f aca="false">IF($A581&amp;$B581="","",IF(COUNTIF(门店对照!$A$2:$A$66,$A581)=0,"× 门店编码不对",IF(COUNTIF(科目对照收入!$B$2:$B$23,$B581)=0,"× 渠道名不对",IF(INDEX(科目对照收入!$E$2:$E$23,MATCH($B581,科目对照收入!$B$2:$B$23,0))&lt;&gt;"平台优先","× 该项目不按平台金额",IF(COUNTIFS($A$2:$A$601,$A581,$B$2:$B$601,$B581)&gt;1,"× 同店同渠道重复","√")))))</f>
        <v/>
      </c>
    </row>
    <row r="582" customFormat="false" ht="13.5" hidden="false" customHeight="false" outlineLevel="0" collapsed="false">
      <c r="A582" s="35"/>
      <c r="B582" s="35"/>
      <c r="C582" s="37"/>
      <c r="D582" s="15" t="str">
        <f aca="false">IF(OR($A582="",$B582=""),"",ROUND(IFERROR(INDEX(海典汇总!$C$3:$AE$67,MATCH($A582,海典汇总!$A$3:$A$67,0),MATCH(INDEX(科目对照收入!$F$2:$F$23,MATCH($B582,科目对照收入!$B$2:$B$23,0)),海典汇总!$C$1:$AE$1,0)),0)+IFERROR(INDEX(海典汇总!$C$3:$AE$67,MATCH($A582,海典汇总!$A$3:$A$67,0),MATCH(INDEX(科目对照收入!$G$2:$G$23,MATCH($B582,科目对照收入!$B$2:$B$23,0)),海典汇总!$C$1:$AE$1,0)),0)+IFERROR(INDEX(海典汇总!$C$3:$AE$67,MATCH($A582,海典汇总!$A$3:$A$67,0),MATCH(INDEX(科目对照收入!$H$2:$H$23,MATCH($B582,科目对照收入!$B$2:$B$23,0)),海典汇总!$C$1:$AE$1,0)),0),2))</f>
        <v/>
      </c>
      <c r="E582" s="15" t="str">
        <f aca="false">IF($D582="","",ROUND($C582-$D582,2))</f>
        <v/>
      </c>
      <c r="F582" s="38" t="str">
        <f aca="false">IF($A582&amp;$B582="","",IF(COUNTIF(门店对照!$A$2:$A$66,$A582)=0,"× 门店编码不对",IF(COUNTIF(科目对照收入!$B$2:$B$23,$B582)=0,"× 渠道名不对",IF(INDEX(科目对照收入!$E$2:$E$23,MATCH($B582,科目对照收入!$B$2:$B$23,0))&lt;&gt;"平台优先","× 该项目不按平台金额",IF(COUNTIFS($A$2:$A$601,$A582,$B$2:$B$601,$B582)&gt;1,"× 同店同渠道重复","√")))))</f>
        <v/>
      </c>
    </row>
    <row r="583" customFormat="false" ht="13.5" hidden="false" customHeight="false" outlineLevel="0" collapsed="false">
      <c r="A583" s="35"/>
      <c r="B583" s="35"/>
      <c r="C583" s="37"/>
      <c r="D583" s="15" t="str">
        <f aca="false">IF(OR($A583="",$B583=""),"",ROUND(IFERROR(INDEX(海典汇总!$C$3:$AE$67,MATCH($A583,海典汇总!$A$3:$A$67,0),MATCH(INDEX(科目对照收入!$F$2:$F$23,MATCH($B583,科目对照收入!$B$2:$B$23,0)),海典汇总!$C$1:$AE$1,0)),0)+IFERROR(INDEX(海典汇总!$C$3:$AE$67,MATCH($A583,海典汇总!$A$3:$A$67,0),MATCH(INDEX(科目对照收入!$G$2:$G$23,MATCH($B583,科目对照收入!$B$2:$B$23,0)),海典汇总!$C$1:$AE$1,0)),0)+IFERROR(INDEX(海典汇总!$C$3:$AE$67,MATCH($A583,海典汇总!$A$3:$A$67,0),MATCH(INDEX(科目对照收入!$H$2:$H$23,MATCH($B583,科目对照收入!$B$2:$B$23,0)),海典汇总!$C$1:$AE$1,0)),0),2))</f>
        <v/>
      </c>
      <c r="E583" s="15" t="str">
        <f aca="false">IF($D583="","",ROUND($C583-$D583,2))</f>
        <v/>
      </c>
      <c r="F583" s="38" t="str">
        <f aca="false">IF($A583&amp;$B583="","",IF(COUNTIF(门店对照!$A$2:$A$66,$A583)=0,"× 门店编码不对",IF(COUNTIF(科目对照收入!$B$2:$B$23,$B583)=0,"× 渠道名不对",IF(INDEX(科目对照收入!$E$2:$E$23,MATCH($B583,科目对照收入!$B$2:$B$23,0))&lt;&gt;"平台优先","× 该项目不按平台金额",IF(COUNTIFS($A$2:$A$601,$A583,$B$2:$B$601,$B583)&gt;1,"× 同店同渠道重复","√")))))</f>
        <v/>
      </c>
    </row>
    <row r="584" customFormat="false" ht="13.5" hidden="false" customHeight="false" outlineLevel="0" collapsed="false">
      <c r="A584" s="35"/>
      <c r="B584" s="35"/>
      <c r="C584" s="37"/>
      <c r="D584" s="15" t="str">
        <f aca="false">IF(OR($A584="",$B584=""),"",ROUND(IFERROR(INDEX(海典汇总!$C$3:$AE$67,MATCH($A584,海典汇总!$A$3:$A$67,0),MATCH(INDEX(科目对照收入!$F$2:$F$23,MATCH($B584,科目对照收入!$B$2:$B$23,0)),海典汇总!$C$1:$AE$1,0)),0)+IFERROR(INDEX(海典汇总!$C$3:$AE$67,MATCH($A584,海典汇总!$A$3:$A$67,0),MATCH(INDEX(科目对照收入!$G$2:$G$23,MATCH($B584,科目对照收入!$B$2:$B$23,0)),海典汇总!$C$1:$AE$1,0)),0)+IFERROR(INDEX(海典汇总!$C$3:$AE$67,MATCH($A584,海典汇总!$A$3:$A$67,0),MATCH(INDEX(科目对照收入!$H$2:$H$23,MATCH($B584,科目对照收入!$B$2:$B$23,0)),海典汇总!$C$1:$AE$1,0)),0),2))</f>
        <v/>
      </c>
      <c r="E584" s="15" t="str">
        <f aca="false">IF($D584="","",ROUND($C584-$D584,2))</f>
        <v/>
      </c>
      <c r="F584" s="38" t="str">
        <f aca="false">IF($A584&amp;$B584="","",IF(COUNTIF(门店对照!$A$2:$A$66,$A584)=0,"× 门店编码不对",IF(COUNTIF(科目对照收入!$B$2:$B$23,$B584)=0,"× 渠道名不对",IF(INDEX(科目对照收入!$E$2:$E$23,MATCH($B584,科目对照收入!$B$2:$B$23,0))&lt;&gt;"平台优先","× 该项目不按平台金额",IF(COUNTIFS($A$2:$A$601,$A584,$B$2:$B$601,$B584)&gt;1,"× 同店同渠道重复","√")))))</f>
        <v/>
      </c>
    </row>
    <row r="585" customFormat="false" ht="13.5" hidden="false" customHeight="false" outlineLevel="0" collapsed="false">
      <c r="A585" s="35"/>
      <c r="B585" s="35"/>
      <c r="C585" s="37"/>
      <c r="D585" s="15" t="str">
        <f aca="false">IF(OR($A585="",$B585=""),"",ROUND(IFERROR(INDEX(海典汇总!$C$3:$AE$67,MATCH($A585,海典汇总!$A$3:$A$67,0),MATCH(INDEX(科目对照收入!$F$2:$F$23,MATCH($B585,科目对照收入!$B$2:$B$23,0)),海典汇总!$C$1:$AE$1,0)),0)+IFERROR(INDEX(海典汇总!$C$3:$AE$67,MATCH($A585,海典汇总!$A$3:$A$67,0),MATCH(INDEX(科目对照收入!$G$2:$G$23,MATCH($B585,科目对照收入!$B$2:$B$23,0)),海典汇总!$C$1:$AE$1,0)),0)+IFERROR(INDEX(海典汇总!$C$3:$AE$67,MATCH($A585,海典汇总!$A$3:$A$67,0),MATCH(INDEX(科目对照收入!$H$2:$H$23,MATCH($B585,科目对照收入!$B$2:$B$23,0)),海典汇总!$C$1:$AE$1,0)),0),2))</f>
        <v/>
      </c>
      <c r="E585" s="15" t="str">
        <f aca="false">IF($D585="","",ROUND($C585-$D585,2))</f>
        <v/>
      </c>
      <c r="F585" s="38" t="str">
        <f aca="false">IF($A585&amp;$B585="","",IF(COUNTIF(门店对照!$A$2:$A$66,$A585)=0,"× 门店编码不对",IF(COUNTIF(科目对照收入!$B$2:$B$23,$B585)=0,"× 渠道名不对",IF(INDEX(科目对照收入!$E$2:$E$23,MATCH($B585,科目对照收入!$B$2:$B$23,0))&lt;&gt;"平台优先","× 该项目不按平台金额",IF(COUNTIFS($A$2:$A$601,$A585,$B$2:$B$601,$B585)&gt;1,"× 同店同渠道重复","√")))))</f>
        <v/>
      </c>
    </row>
    <row r="586" customFormat="false" ht="13.5" hidden="false" customHeight="false" outlineLevel="0" collapsed="false">
      <c r="A586" s="35"/>
      <c r="B586" s="35"/>
      <c r="C586" s="37"/>
      <c r="D586" s="15" t="str">
        <f aca="false">IF(OR($A586="",$B586=""),"",ROUND(IFERROR(INDEX(海典汇总!$C$3:$AE$67,MATCH($A586,海典汇总!$A$3:$A$67,0),MATCH(INDEX(科目对照收入!$F$2:$F$23,MATCH($B586,科目对照收入!$B$2:$B$23,0)),海典汇总!$C$1:$AE$1,0)),0)+IFERROR(INDEX(海典汇总!$C$3:$AE$67,MATCH($A586,海典汇总!$A$3:$A$67,0),MATCH(INDEX(科目对照收入!$G$2:$G$23,MATCH($B586,科目对照收入!$B$2:$B$23,0)),海典汇总!$C$1:$AE$1,0)),0)+IFERROR(INDEX(海典汇总!$C$3:$AE$67,MATCH($A586,海典汇总!$A$3:$A$67,0),MATCH(INDEX(科目对照收入!$H$2:$H$23,MATCH($B586,科目对照收入!$B$2:$B$23,0)),海典汇总!$C$1:$AE$1,0)),0),2))</f>
        <v/>
      </c>
      <c r="E586" s="15" t="str">
        <f aca="false">IF($D586="","",ROUND($C586-$D586,2))</f>
        <v/>
      </c>
      <c r="F586" s="38" t="str">
        <f aca="false">IF($A586&amp;$B586="","",IF(COUNTIF(门店对照!$A$2:$A$66,$A586)=0,"× 门店编码不对",IF(COUNTIF(科目对照收入!$B$2:$B$23,$B586)=0,"× 渠道名不对",IF(INDEX(科目对照收入!$E$2:$E$23,MATCH($B586,科目对照收入!$B$2:$B$23,0))&lt;&gt;"平台优先","× 该项目不按平台金额",IF(COUNTIFS($A$2:$A$601,$A586,$B$2:$B$601,$B586)&gt;1,"× 同店同渠道重复","√")))))</f>
        <v/>
      </c>
    </row>
    <row r="587" customFormat="false" ht="13.5" hidden="false" customHeight="false" outlineLevel="0" collapsed="false">
      <c r="A587" s="35"/>
      <c r="B587" s="35"/>
      <c r="C587" s="37"/>
      <c r="D587" s="15" t="str">
        <f aca="false">IF(OR($A587="",$B587=""),"",ROUND(IFERROR(INDEX(海典汇总!$C$3:$AE$67,MATCH($A587,海典汇总!$A$3:$A$67,0),MATCH(INDEX(科目对照收入!$F$2:$F$23,MATCH($B587,科目对照收入!$B$2:$B$23,0)),海典汇总!$C$1:$AE$1,0)),0)+IFERROR(INDEX(海典汇总!$C$3:$AE$67,MATCH($A587,海典汇总!$A$3:$A$67,0),MATCH(INDEX(科目对照收入!$G$2:$G$23,MATCH($B587,科目对照收入!$B$2:$B$23,0)),海典汇总!$C$1:$AE$1,0)),0)+IFERROR(INDEX(海典汇总!$C$3:$AE$67,MATCH($A587,海典汇总!$A$3:$A$67,0),MATCH(INDEX(科目对照收入!$H$2:$H$23,MATCH($B587,科目对照收入!$B$2:$B$23,0)),海典汇总!$C$1:$AE$1,0)),0),2))</f>
        <v/>
      </c>
      <c r="E587" s="15" t="str">
        <f aca="false">IF($D587="","",ROUND($C587-$D587,2))</f>
        <v/>
      </c>
      <c r="F587" s="38" t="str">
        <f aca="false">IF($A587&amp;$B587="","",IF(COUNTIF(门店对照!$A$2:$A$66,$A587)=0,"× 门店编码不对",IF(COUNTIF(科目对照收入!$B$2:$B$23,$B587)=0,"× 渠道名不对",IF(INDEX(科目对照收入!$E$2:$E$23,MATCH($B587,科目对照收入!$B$2:$B$23,0))&lt;&gt;"平台优先","× 该项目不按平台金额",IF(COUNTIFS($A$2:$A$601,$A587,$B$2:$B$601,$B587)&gt;1,"× 同店同渠道重复","√")))))</f>
        <v/>
      </c>
    </row>
    <row r="588" customFormat="false" ht="13.5" hidden="false" customHeight="false" outlineLevel="0" collapsed="false">
      <c r="A588" s="35"/>
      <c r="B588" s="35"/>
      <c r="C588" s="37"/>
      <c r="D588" s="15" t="str">
        <f aca="false">IF(OR($A588="",$B588=""),"",ROUND(IFERROR(INDEX(海典汇总!$C$3:$AE$67,MATCH($A588,海典汇总!$A$3:$A$67,0),MATCH(INDEX(科目对照收入!$F$2:$F$23,MATCH($B588,科目对照收入!$B$2:$B$23,0)),海典汇总!$C$1:$AE$1,0)),0)+IFERROR(INDEX(海典汇总!$C$3:$AE$67,MATCH($A588,海典汇总!$A$3:$A$67,0),MATCH(INDEX(科目对照收入!$G$2:$G$23,MATCH($B588,科目对照收入!$B$2:$B$23,0)),海典汇总!$C$1:$AE$1,0)),0)+IFERROR(INDEX(海典汇总!$C$3:$AE$67,MATCH($A588,海典汇总!$A$3:$A$67,0),MATCH(INDEX(科目对照收入!$H$2:$H$23,MATCH($B588,科目对照收入!$B$2:$B$23,0)),海典汇总!$C$1:$AE$1,0)),0),2))</f>
        <v/>
      </c>
      <c r="E588" s="15" t="str">
        <f aca="false">IF($D588="","",ROUND($C588-$D588,2))</f>
        <v/>
      </c>
      <c r="F588" s="38" t="str">
        <f aca="false">IF($A588&amp;$B588="","",IF(COUNTIF(门店对照!$A$2:$A$66,$A588)=0,"× 门店编码不对",IF(COUNTIF(科目对照收入!$B$2:$B$23,$B588)=0,"× 渠道名不对",IF(INDEX(科目对照收入!$E$2:$E$23,MATCH($B588,科目对照收入!$B$2:$B$23,0))&lt;&gt;"平台优先","× 该项目不按平台金额",IF(COUNTIFS($A$2:$A$601,$A588,$B$2:$B$601,$B588)&gt;1,"× 同店同渠道重复","√")))))</f>
        <v/>
      </c>
    </row>
    <row r="589" customFormat="false" ht="13.5" hidden="false" customHeight="false" outlineLevel="0" collapsed="false">
      <c r="A589" s="35"/>
      <c r="B589" s="35"/>
      <c r="C589" s="37"/>
      <c r="D589" s="15" t="str">
        <f aca="false">IF(OR($A589="",$B589=""),"",ROUND(IFERROR(INDEX(海典汇总!$C$3:$AE$67,MATCH($A589,海典汇总!$A$3:$A$67,0),MATCH(INDEX(科目对照收入!$F$2:$F$23,MATCH($B589,科目对照收入!$B$2:$B$23,0)),海典汇总!$C$1:$AE$1,0)),0)+IFERROR(INDEX(海典汇总!$C$3:$AE$67,MATCH($A589,海典汇总!$A$3:$A$67,0),MATCH(INDEX(科目对照收入!$G$2:$G$23,MATCH($B589,科目对照收入!$B$2:$B$23,0)),海典汇总!$C$1:$AE$1,0)),0)+IFERROR(INDEX(海典汇总!$C$3:$AE$67,MATCH($A589,海典汇总!$A$3:$A$67,0),MATCH(INDEX(科目对照收入!$H$2:$H$23,MATCH($B589,科目对照收入!$B$2:$B$23,0)),海典汇总!$C$1:$AE$1,0)),0),2))</f>
        <v/>
      </c>
      <c r="E589" s="15" t="str">
        <f aca="false">IF($D589="","",ROUND($C589-$D589,2))</f>
        <v/>
      </c>
      <c r="F589" s="38" t="str">
        <f aca="false">IF($A589&amp;$B589="","",IF(COUNTIF(门店对照!$A$2:$A$66,$A589)=0,"× 门店编码不对",IF(COUNTIF(科目对照收入!$B$2:$B$23,$B589)=0,"× 渠道名不对",IF(INDEX(科目对照收入!$E$2:$E$23,MATCH($B589,科目对照收入!$B$2:$B$23,0))&lt;&gt;"平台优先","× 该项目不按平台金额",IF(COUNTIFS($A$2:$A$601,$A589,$B$2:$B$601,$B589)&gt;1,"× 同店同渠道重复","√")))))</f>
        <v/>
      </c>
    </row>
    <row r="590" customFormat="false" ht="13.5" hidden="false" customHeight="false" outlineLevel="0" collapsed="false">
      <c r="A590" s="35"/>
      <c r="B590" s="35"/>
      <c r="C590" s="37"/>
      <c r="D590" s="15" t="str">
        <f aca="false">IF(OR($A590="",$B590=""),"",ROUND(IFERROR(INDEX(海典汇总!$C$3:$AE$67,MATCH($A590,海典汇总!$A$3:$A$67,0),MATCH(INDEX(科目对照收入!$F$2:$F$23,MATCH($B590,科目对照收入!$B$2:$B$23,0)),海典汇总!$C$1:$AE$1,0)),0)+IFERROR(INDEX(海典汇总!$C$3:$AE$67,MATCH($A590,海典汇总!$A$3:$A$67,0),MATCH(INDEX(科目对照收入!$G$2:$G$23,MATCH($B590,科目对照收入!$B$2:$B$23,0)),海典汇总!$C$1:$AE$1,0)),0)+IFERROR(INDEX(海典汇总!$C$3:$AE$67,MATCH($A590,海典汇总!$A$3:$A$67,0),MATCH(INDEX(科目对照收入!$H$2:$H$23,MATCH($B590,科目对照收入!$B$2:$B$23,0)),海典汇总!$C$1:$AE$1,0)),0),2))</f>
        <v/>
      </c>
      <c r="E590" s="15" t="str">
        <f aca="false">IF($D590="","",ROUND($C590-$D590,2))</f>
        <v/>
      </c>
      <c r="F590" s="38" t="str">
        <f aca="false">IF($A590&amp;$B590="","",IF(COUNTIF(门店对照!$A$2:$A$66,$A590)=0,"× 门店编码不对",IF(COUNTIF(科目对照收入!$B$2:$B$23,$B590)=0,"× 渠道名不对",IF(INDEX(科目对照收入!$E$2:$E$23,MATCH($B590,科目对照收入!$B$2:$B$23,0))&lt;&gt;"平台优先","× 该项目不按平台金额",IF(COUNTIFS($A$2:$A$601,$A590,$B$2:$B$601,$B590)&gt;1,"× 同店同渠道重复","√")))))</f>
        <v/>
      </c>
    </row>
    <row r="591" customFormat="false" ht="13.5" hidden="false" customHeight="false" outlineLevel="0" collapsed="false">
      <c r="A591" s="35"/>
      <c r="B591" s="35"/>
      <c r="C591" s="37"/>
      <c r="D591" s="15" t="str">
        <f aca="false">IF(OR($A591="",$B591=""),"",ROUND(IFERROR(INDEX(海典汇总!$C$3:$AE$67,MATCH($A591,海典汇总!$A$3:$A$67,0),MATCH(INDEX(科目对照收入!$F$2:$F$23,MATCH($B591,科目对照收入!$B$2:$B$23,0)),海典汇总!$C$1:$AE$1,0)),0)+IFERROR(INDEX(海典汇总!$C$3:$AE$67,MATCH($A591,海典汇总!$A$3:$A$67,0),MATCH(INDEX(科目对照收入!$G$2:$G$23,MATCH($B591,科目对照收入!$B$2:$B$23,0)),海典汇总!$C$1:$AE$1,0)),0)+IFERROR(INDEX(海典汇总!$C$3:$AE$67,MATCH($A591,海典汇总!$A$3:$A$67,0),MATCH(INDEX(科目对照收入!$H$2:$H$23,MATCH($B591,科目对照收入!$B$2:$B$23,0)),海典汇总!$C$1:$AE$1,0)),0),2))</f>
        <v/>
      </c>
      <c r="E591" s="15" t="str">
        <f aca="false">IF($D591="","",ROUND($C591-$D591,2))</f>
        <v/>
      </c>
      <c r="F591" s="38" t="str">
        <f aca="false">IF($A591&amp;$B591="","",IF(COUNTIF(门店对照!$A$2:$A$66,$A591)=0,"× 门店编码不对",IF(COUNTIF(科目对照收入!$B$2:$B$23,$B591)=0,"× 渠道名不对",IF(INDEX(科目对照收入!$E$2:$E$23,MATCH($B591,科目对照收入!$B$2:$B$23,0))&lt;&gt;"平台优先","× 该项目不按平台金额",IF(COUNTIFS($A$2:$A$601,$A591,$B$2:$B$601,$B591)&gt;1,"× 同店同渠道重复","√")))))</f>
        <v/>
      </c>
    </row>
    <row r="592" customFormat="false" ht="13.5" hidden="false" customHeight="false" outlineLevel="0" collapsed="false">
      <c r="A592" s="35"/>
      <c r="B592" s="35"/>
      <c r="C592" s="37"/>
      <c r="D592" s="15" t="str">
        <f aca="false">IF(OR($A592="",$B592=""),"",ROUND(IFERROR(INDEX(海典汇总!$C$3:$AE$67,MATCH($A592,海典汇总!$A$3:$A$67,0),MATCH(INDEX(科目对照收入!$F$2:$F$23,MATCH($B592,科目对照收入!$B$2:$B$23,0)),海典汇总!$C$1:$AE$1,0)),0)+IFERROR(INDEX(海典汇总!$C$3:$AE$67,MATCH($A592,海典汇总!$A$3:$A$67,0),MATCH(INDEX(科目对照收入!$G$2:$G$23,MATCH($B592,科目对照收入!$B$2:$B$23,0)),海典汇总!$C$1:$AE$1,0)),0)+IFERROR(INDEX(海典汇总!$C$3:$AE$67,MATCH($A592,海典汇总!$A$3:$A$67,0),MATCH(INDEX(科目对照收入!$H$2:$H$23,MATCH($B592,科目对照收入!$B$2:$B$23,0)),海典汇总!$C$1:$AE$1,0)),0),2))</f>
        <v/>
      </c>
      <c r="E592" s="15" t="str">
        <f aca="false">IF($D592="","",ROUND($C592-$D592,2))</f>
        <v/>
      </c>
      <c r="F592" s="38" t="str">
        <f aca="false">IF($A592&amp;$B592="","",IF(COUNTIF(门店对照!$A$2:$A$66,$A592)=0,"× 门店编码不对",IF(COUNTIF(科目对照收入!$B$2:$B$23,$B592)=0,"× 渠道名不对",IF(INDEX(科目对照收入!$E$2:$E$23,MATCH($B592,科目对照收入!$B$2:$B$23,0))&lt;&gt;"平台优先","× 该项目不按平台金额",IF(COUNTIFS($A$2:$A$601,$A592,$B$2:$B$601,$B592)&gt;1,"× 同店同渠道重复","√")))))</f>
        <v/>
      </c>
    </row>
    <row r="593" customFormat="false" ht="13.5" hidden="false" customHeight="false" outlineLevel="0" collapsed="false">
      <c r="A593" s="35"/>
      <c r="B593" s="35"/>
      <c r="C593" s="37"/>
      <c r="D593" s="15" t="str">
        <f aca="false">IF(OR($A593="",$B593=""),"",ROUND(IFERROR(INDEX(海典汇总!$C$3:$AE$67,MATCH($A593,海典汇总!$A$3:$A$67,0),MATCH(INDEX(科目对照收入!$F$2:$F$23,MATCH($B593,科目对照收入!$B$2:$B$23,0)),海典汇总!$C$1:$AE$1,0)),0)+IFERROR(INDEX(海典汇总!$C$3:$AE$67,MATCH($A593,海典汇总!$A$3:$A$67,0),MATCH(INDEX(科目对照收入!$G$2:$G$23,MATCH($B593,科目对照收入!$B$2:$B$23,0)),海典汇总!$C$1:$AE$1,0)),0)+IFERROR(INDEX(海典汇总!$C$3:$AE$67,MATCH($A593,海典汇总!$A$3:$A$67,0),MATCH(INDEX(科目对照收入!$H$2:$H$23,MATCH($B593,科目对照收入!$B$2:$B$23,0)),海典汇总!$C$1:$AE$1,0)),0),2))</f>
        <v/>
      </c>
      <c r="E593" s="15" t="str">
        <f aca="false">IF($D593="","",ROUND($C593-$D593,2))</f>
        <v/>
      </c>
      <c r="F593" s="38" t="str">
        <f aca="false">IF($A593&amp;$B593="","",IF(COUNTIF(门店对照!$A$2:$A$66,$A593)=0,"× 门店编码不对",IF(COUNTIF(科目对照收入!$B$2:$B$23,$B593)=0,"× 渠道名不对",IF(INDEX(科目对照收入!$E$2:$E$23,MATCH($B593,科目对照收入!$B$2:$B$23,0))&lt;&gt;"平台优先","× 该项目不按平台金额",IF(COUNTIFS($A$2:$A$601,$A593,$B$2:$B$601,$B593)&gt;1,"× 同店同渠道重复","√")))))</f>
        <v/>
      </c>
    </row>
    <row r="594" customFormat="false" ht="13.5" hidden="false" customHeight="false" outlineLevel="0" collapsed="false">
      <c r="A594" s="35"/>
      <c r="B594" s="35"/>
      <c r="C594" s="37"/>
      <c r="D594" s="15" t="str">
        <f aca="false">IF(OR($A594="",$B594=""),"",ROUND(IFERROR(INDEX(海典汇总!$C$3:$AE$67,MATCH($A594,海典汇总!$A$3:$A$67,0),MATCH(INDEX(科目对照收入!$F$2:$F$23,MATCH($B594,科目对照收入!$B$2:$B$23,0)),海典汇总!$C$1:$AE$1,0)),0)+IFERROR(INDEX(海典汇总!$C$3:$AE$67,MATCH($A594,海典汇总!$A$3:$A$67,0),MATCH(INDEX(科目对照收入!$G$2:$G$23,MATCH($B594,科目对照收入!$B$2:$B$23,0)),海典汇总!$C$1:$AE$1,0)),0)+IFERROR(INDEX(海典汇总!$C$3:$AE$67,MATCH($A594,海典汇总!$A$3:$A$67,0),MATCH(INDEX(科目对照收入!$H$2:$H$23,MATCH($B594,科目对照收入!$B$2:$B$23,0)),海典汇总!$C$1:$AE$1,0)),0),2))</f>
        <v/>
      </c>
      <c r="E594" s="15" t="str">
        <f aca="false">IF($D594="","",ROUND($C594-$D594,2))</f>
        <v/>
      </c>
      <c r="F594" s="38" t="str">
        <f aca="false">IF($A594&amp;$B594="","",IF(COUNTIF(门店对照!$A$2:$A$66,$A594)=0,"× 门店编码不对",IF(COUNTIF(科目对照收入!$B$2:$B$23,$B594)=0,"× 渠道名不对",IF(INDEX(科目对照收入!$E$2:$E$23,MATCH($B594,科目对照收入!$B$2:$B$23,0))&lt;&gt;"平台优先","× 该项目不按平台金额",IF(COUNTIFS($A$2:$A$601,$A594,$B$2:$B$601,$B594)&gt;1,"× 同店同渠道重复","√")))))</f>
        <v/>
      </c>
    </row>
    <row r="595" customFormat="false" ht="13.5" hidden="false" customHeight="false" outlineLevel="0" collapsed="false">
      <c r="A595" s="35"/>
      <c r="B595" s="35"/>
      <c r="C595" s="37"/>
      <c r="D595" s="15" t="str">
        <f aca="false">IF(OR($A595="",$B595=""),"",ROUND(IFERROR(INDEX(海典汇总!$C$3:$AE$67,MATCH($A595,海典汇总!$A$3:$A$67,0),MATCH(INDEX(科目对照收入!$F$2:$F$23,MATCH($B595,科目对照收入!$B$2:$B$23,0)),海典汇总!$C$1:$AE$1,0)),0)+IFERROR(INDEX(海典汇总!$C$3:$AE$67,MATCH($A595,海典汇总!$A$3:$A$67,0),MATCH(INDEX(科目对照收入!$G$2:$G$23,MATCH($B595,科目对照收入!$B$2:$B$23,0)),海典汇总!$C$1:$AE$1,0)),0)+IFERROR(INDEX(海典汇总!$C$3:$AE$67,MATCH($A595,海典汇总!$A$3:$A$67,0),MATCH(INDEX(科目对照收入!$H$2:$H$23,MATCH($B595,科目对照收入!$B$2:$B$23,0)),海典汇总!$C$1:$AE$1,0)),0),2))</f>
        <v/>
      </c>
      <c r="E595" s="15" t="str">
        <f aca="false">IF($D595="","",ROUND($C595-$D595,2))</f>
        <v/>
      </c>
      <c r="F595" s="38" t="str">
        <f aca="false">IF($A595&amp;$B595="","",IF(COUNTIF(门店对照!$A$2:$A$66,$A595)=0,"× 门店编码不对",IF(COUNTIF(科目对照收入!$B$2:$B$23,$B595)=0,"× 渠道名不对",IF(INDEX(科目对照收入!$E$2:$E$23,MATCH($B595,科目对照收入!$B$2:$B$23,0))&lt;&gt;"平台优先","× 该项目不按平台金额",IF(COUNTIFS($A$2:$A$601,$A595,$B$2:$B$601,$B595)&gt;1,"× 同店同渠道重复","√")))))</f>
        <v/>
      </c>
    </row>
    <row r="596" customFormat="false" ht="13.5" hidden="false" customHeight="false" outlineLevel="0" collapsed="false">
      <c r="A596" s="35"/>
      <c r="B596" s="35"/>
      <c r="C596" s="37"/>
      <c r="D596" s="15" t="str">
        <f aca="false">IF(OR($A596="",$B596=""),"",ROUND(IFERROR(INDEX(海典汇总!$C$3:$AE$67,MATCH($A596,海典汇总!$A$3:$A$67,0),MATCH(INDEX(科目对照收入!$F$2:$F$23,MATCH($B596,科目对照收入!$B$2:$B$23,0)),海典汇总!$C$1:$AE$1,0)),0)+IFERROR(INDEX(海典汇总!$C$3:$AE$67,MATCH($A596,海典汇总!$A$3:$A$67,0),MATCH(INDEX(科目对照收入!$G$2:$G$23,MATCH($B596,科目对照收入!$B$2:$B$23,0)),海典汇总!$C$1:$AE$1,0)),0)+IFERROR(INDEX(海典汇总!$C$3:$AE$67,MATCH($A596,海典汇总!$A$3:$A$67,0),MATCH(INDEX(科目对照收入!$H$2:$H$23,MATCH($B596,科目对照收入!$B$2:$B$23,0)),海典汇总!$C$1:$AE$1,0)),0),2))</f>
        <v/>
      </c>
      <c r="E596" s="15" t="str">
        <f aca="false">IF($D596="","",ROUND($C596-$D596,2))</f>
        <v/>
      </c>
      <c r="F596" s="38" t="str">
        <f aca="false">IF($A596&amp;$B596="","",IF(COUNTIF(门店对照!$A$2:$A$66,$A596)=0,"× 门店编码不对",IF(COUNTIF(科目对照收入!$B$2:$B$23,$B596)=0,"× 渠道名不对",IF(INDEX(科目对照收入!$E$2:$E$23,MATCH($B596,科目对照收入!$B$2:$B$23,0))&lt;&gt;"平台优先","× 该项目不按平台金额",IF(COUNTIFS($A$2:$A$601,$A596,$B$2:$B$601,$B596)&gt;1,"× 同店同渠道重复","√")))))</f>
        <v/>
      </c>
    </row>
    <row r="597" customFormat="false" ht="13.5" hidden="false" customHeight="false" outlineLevel="0" collapsed="false">
      <c r="A597" s="35"/>
      <c r="B597" s="35"/>
      <c r="C597" s="37"/>
      <c r="D597" s="15" t="str">
        <f aca="false">IF(OR($A597="",$B597=""),"",ROUND(IFERROR(INDEX(海典汇总!$C$3:$AE$67,MATCH($A597,海典汇总!$A$3:$A$67,0),MATCH(INDEX(科目对照收入!$F$2:$F$23,MATCH($B597,科目对照收入!$B$2:$B$23,0)),海典汇总!$C$1:$AE$1,0)),0)+IFERROR(INDEX(海典汇总!$C$3:$AE$67,MATCH($A597,海典汇总!$A$3:$A$67,0),MATCH(INDEX(科目对照收入!$G$2:$G$23,MATCH($B597,科目对照收入!$B$2:$B$23,0)),海典汇总!$C$1:$AE$1,0)),0)+IFERROR(INDEX(海典汇总!$C$3:$AE$67,MATCH($A597,海典汇总!$A$3:$A$67,0),MATCH(INDEX(科目对照收入!$H$2:$H$23,MATCH($B597,科目对照收入!$B$2:$B$23,0)),海典汇总!$C$1:$AE$1,0)),0),2))</f>
        <v/>
      </c>
      <c r="E597" s="15" t="str">
        <f aca="false">IF($D597="","",ROUND($C597-$D597,2))</f>
        <v/>
      </c>
      <c r="F597" s="38" t="str">
        <f aca="false">IF($A597&amp;$B597="","",IF(COUNTIF(门店对照!$A$2:$A$66,$A597)=0,"× 门店编码不对",IF(COUNTIF(科目对照收入!$B$2:$B$23,$B597)=0,"× 渠道名不对",IF(INDEX(科目对照收入!$E$2:$E$23,MATCH($B597,科目对照收入!$B$2:$B$23,0))&lt;&gt;"平台优先","× 该项目不按平台金额",IF(COUNTIFS($A$2:$A$601,$A597,$B$2:$B$601,$B597)&gt;1,"× 同店同渠道重复","√")))))</f>
        <v/>
      </c>
    </row>
    <row r="598" customFormat="false" ht="13.5" hidden="false" customHeight="false" outlineLevel="0" collapsed="false">
      <c r="A598" s="35"/>
      <c r="B598" s="35"/>
      <c r="C598" s="37"/>
      <c r="D598" s="15" t="str">
        <f aca="false">IF(OR($A598="",$B598=""),"",ROUND(IFERROR(INDEX(海典汇总!$C$3:$AE$67,MATCH($A598,海典汇总!$A$3:$A$67,0),MATCH(INDEX(科目对照收入!$F$2:$F$23,MATCH($B598,科目对照收入!$B$2:$B$23,0)),海典汇总!$C$1:$AE$1,0)),0)+IFERROR(INDEX(海典汇总!$C$3:$AE$67,MATCH($A598,海典汇总!$A$3:$A$67,0),MATCH(INDEX(科目对照收入!$G$2:$G$23,MATCH($B598,科目对照收入!$B$2:$B$23,0)),海典汇总!$C$1:$AE$1,0)),0)+IFERROR(INDEX(海典汇总!$C$3:$AE$67,MATCH($A598,海典汇总!$A$3:$A$67,0),MATCH(INDEX(科目对照收入!$H$2:$H$23,MATCH($B598,科目对照收入!$B$2:$B$23,0)),海典汇总!$C$1:$AE$1,0)),0),2))</f>
        <v/>
      </c>
      <c r="E598" s="15" t="str">
        <f aca="false">IF($D598="","",ROUND($C598-$D598,2))</f>
        <v/>
      </c>
      <c r="F598" s="38" t="str">
        <f aca="false">IF($A598&amp;$B598="","",IF(COUNTIF(门店对照!$A$2:$A$66,$A598)=0,"× 门店编码不对",IF(COUNTIF(科目对照收入!$B$2:$B$23,$B598)=0,"× 渠道名不对",IF(INDEX(科目对照收入!$E$2:$E$23,MATCH($B598,科目对照收入!$B$2:$B$23,0))&lt;&gt;"平台优先","× 该项目不按平台金额",IF(COUNTIFS($A$2:$A$601,$A598,$B$2:$B$601,$B598)&gt;1,"× 同店同渠道重复","√")))))</f>
        <v/>
      </c>
    </row>
    <row r="599" customFormat="false" ht="13.5" hidden="false" customHeight="false" outlineLevel="0" collapsed="false">
      <c r="A599" s="35"/>
      <c r="B599" s="35"/>
      <c r="C599" s="37"/>
      <c r="D599" s="15" t="str">
        <f aca="false">IF(OR($A599="",$B599=""),"",ROUND(IFERROR(INDEX(海典汇总!$C$3:$AE$67,MATCH($A599,海典汇总!$A$3:$A$67,0),MATCH(INDEX(科目对照收入!$F$2:$F$23,MATCH($B599,科目对照收入!$B$2:$B$23,0)),海典汇总!$C$1:$AE$1,0)),0)+IFERROR(INDEX(海典汇总!$C$3:$AE$67,MATCH($A599,海典汇总!$A$3:$A$67,0),MATCH(INDEX(科目对照收入!$G$2:$G$23,MATCH($B599,科目对照收入!$B$2:$B$23,0)),海典汇总!$C$1:$AE$1,0)),0)+IFERROR(INDEX(海典汇总!$C$3:$AE$67,MATCH($A599,海典汇总!$A$3:$A$67,0),MATCH(INDEX(科目对照收入!$H$2:$H$23,MATCH($B599,科目对照收入!$B$2:$B$23,0)),海典汇总!$C$1:$AE$1,0)),0),2))</f>
        <v/>
      </c>
      <c r="E599" s="15" t="str">
        <f aca="false">IF($D599="","",ROUND($C599-$D599,2))</f>
        <v/>
      </c>
      <c r="F599" s="38" t="str">
        <f aca="false">IF($A599&amp;$B599="","",IF(COUNTIF(门店对照!$A$2:$A$66,$A599)=0,"× 门店编码不对",IF(COUNTIF(科目对照收入!$B$2:$B$23,$B599)=0,"× 渠道名不对",IF(INDEX(科目对照收入!$E$2:$E$23,MATCH($B599,科目对照收入!$B$2:$B$23,0))&lt;&gt;"平台优先","× 该项目不按平台金额",IF(COUNTIFS($A$2:$A$601,$A599,$B$2:$B$601,$B599)&gt;1,"× 同店同渠道重复","√")))))</f>
        <v/>
      </c>
    </row>
    <row r="600" customFormat="false" ht="13.5" hidden="false" customHeight="false" outlineLevel="0" collapsed="false">
      <c r="A600" s="35"/>
      <c r="B600" s="35"/>
      <c r="C600" s="37"/>
      <c r="D600" s="15" t="str">
        <f aca="false">IF(OR($A600="",$B600=""),"",ROUND(IFERROR(INDEX(海典汇总!$C$3:$AE$67,MATCH($A600,海典汇总!$A$3:$A$67,0),MATCH(INDEX(科目对照收入!$F$2:$F$23,MATCH($B600,科目对照收入!$B$2:$B$23,0)),海典汇总!$C$1:$AE$1,0)),0)+IFERROR(INDEX(海典汇总!$C$3:$AE$67,MATCH($A600,海典汇总!$A$3:$A$67,0),MATCH(INDEX(科目对照收入!$G$2:$G$23,MATCH($B600,科目对照收入!$B$2:$B$23,0)),海典汇总!$C$1:$AE$1,0)),0)+IFERROR(INDEX(海典汇总!$C$3:$AE$67,MATCH($A600,海典汇总!$A$3:$A$67,0),MATCH(INDEX(科目对照收入!$H$2:$H$23,MATCH($B600,科目对照收入!$B$2:$B$23,0)),海典汇总!$C$1:$AE$1,0)),0),2))</f>
        <v/>
      </c>
      <c r="E600" s="15" t="str">
        <f aca="false">IF($D600="","",ROUND($C600-$D600,2))</f>
        <v/>
      </c>
      <c r="F600" s="38" t="str">
        <f aca="false">IF($A600&amp;$B600="","",IF(COUNTIF(门店对照!$A$2:$A$66,$A600)=0,"× 门店编码不对",IF(COUNTIF(科目对照收入!$B$2:$B$23,$B600)=0,"× 渠道名不对",IF(INDEX(科目对照收入!$E$2:$E$23,MATCH($B600,科目对照收入!$B$2:$B$23,0))&lt;&gt;"平台优先","× 该项目不按平台金额",IF(COUNTIFS($A$2:$A$601,$A600,$B$2:$B$601,$B600)&gt;1,"× 同店同渠道重复","√")))))</f>
        <v/>
      </c>
    </row>
    <row r="601" customFormat="false" ht="13.5" hidden="false" customHeight="false" outlineLevel="0" collapsed="false">
      <c r="A601" s="35"/>
      <c r="B601" s="35"/>
      <c r="C601" s="37"/>
      <c r="D601" s="15" t="str">
        <f aca="false">IF(OR($A601="",$B601=""),"",ROUND(IFERROR(INDEX(海典汇总!$C$3:$AE$67,MATCH($A601,海典汇总!$A$3:$A$67,0),MATCH(INDEX(科目对照收入!$F$2:$F$23,MATCH($B601,科目对照收入!$B$2:$B$23,0)),海典汇总!$C$1:$AE$1,0)),0)+IFERROR(INDEX(海典汇总!$C$3:$AE$67,MATCH($A601,海典汇总!$A$3:$A$67,0),MATCH(INDEX(科目对照收入!$G$2:$G$23,MATCH($B601,科目对照收入!$B$2:$B$23,0)),海典汇总!$C$1:$AE$1,0)),0)+IFERROR(INDEX(海典汇总!$C$3:$AE$67,MATCH($A601,海典汇总!$A$3:$A$67,0),MATCH(INDEX(科目对照收入!$H$2:$H$23,MATCH($B601,科目对照收入!$B$2:$B$23,0)),海典汇总!$C$1:$AE$1,0)),0),2))</f>
        <v/>
      </c>
      <c r="E601" s="15" t="str">
        <f aca="false">IF($D601="","",ROUND($C601-$D601,2))</f>
        <v/>
      </c>
      <c r="F601" s="38" t="str">
        <f aca="false">IF($A601&amp;$B601="","",IF(COUNTIF(门店对照!$A$2:$A$66,$A601)=0,"× 门店编码不对",IF(COUNTIF(科目对照收入!$B$2:$B$23,$B601)=0,"× 渠道名不对",IF(INDEX(科目对照收入!$E$2:$E$23,MATCH($B601,科目对照收入!$B$2:$B$23,0))&lt;&gt;"平台优先","× 该项目不按平台金额",IF(COUNTIFS($A$2:$A$601,$A601,$B$2:$B$601,$B601)&gt;1,"× 同店同渠道重复","√")))))</f>
        <v/>
      </c>
    </row>
  </sheetData>
  <dataValidations count="1">
    <dataValidation allowBlank="true" errorStyle="stop" operator="between" showDropDown="false" showErrorMessage="false" showInputMessage="false" sqref="B2:B601" type="list">
      <formula1>"医保,健e卡,医卡通,企健网,亲情卡,24小时,美团,饿了么,京东秒送,银联,小镇外卖,OMS线上支付,平安药卡"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39" activePane="bottomLeft" state="frozen"/>
      <selection pane="topLeft" activeCell="A1" activeCellId="0" sqref="A1"/>
      <selection pane="bottomLeft" activeCell="A57" activeCellId="0" sqref="A57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4.9" hidden="false" customHeight="false" outlineLevel="0" collapsed="false">
      <c r="A1" s="17" t="s">
        <v>88</v>
      </c>
      <c r="B1" s="17" t="s">
        <v>401</v>
      </c>
      <c r="C1" s="17" t="s">
        <v>402</v>
      </c>
      <c r="E1" s="11" t="s">
        <v>403</v>
      </c>
    </row>
    <row r="2" customFormat="false" ht="13.5" hidden="false" customHeight="false" outlineLevel="0" collapsed="false">
      <c r="A2" s="35" t="n">
        <v>2001</v>
      </c>
      <c r="B2" s="37" t="n">
        <v>6428.43</v>
      </c>
      <c r="C2" s="36" t="s">
        <v>404</v>
      </c>
    </row>
    <row r="3" customFormat="false" ht="13.5" hidden="false" customHeight="false" outlineLevel="0" collapsed="false">
      <c r="A3" s="35" t="n">
        <v>2002</v>
      </c>
      <c r="B3" s="37" t="n">
        <v>290970.85</v>
      </c>
      <c r="C3" s="36" t="s">
        <v>404</v>
      </c>
    </row>
    <row r="4" customFormat="false" ht="13.5" hidden="false" customHeight="false" outlineLevel="0" collapsed="false">
      <c r="A4" s="35" t="n">
        <v>2003</v>
      </c>
      <c r="B4" s="37" t="n">
        <v>50121.42</v>
      </c>
      <c r="C4" s="36" t="s">
        <v>404</v>
      </c>
    </row>
    <row r="5" customFormat="false" ht="13.5" hidden="false" customHeight="false" outlineLevel="0" collapsed="false">
      <c r="A5" s="35" t="n">
        <v>2004</v>
      </c>
      <c r="B5" s="37" t="n">
        <v>67171.51</v>
      </c>
      <c r="C5" s="36" t="s">
        <v>404</v>
      </c>
    </row>
    <row r="6" customFormat="false" ht="13.5" hidden="false" customHeight="false" outlineLevel="0" collapsed="false">
      <c r="A6" s="35" t="n">
        <v>2005</v>
      </c>
      <c r="B6" s="37" t="n">
        <v>63058.21</v>
      </c>
      <c r="C6" s="36" t="s">
        <v>404</v>
      </c>
    </row>
    <row r="7" customFormat="false" ht="13.5" hidden="false" customHeight="false" outlineLevel="0" collapsed="false">
      <c r="A7" s="35" t="n">
        <v>2006</v>
      </c>
      <c r="B7" s="37" t="n">
        <v>4575.05</v>
      </c>
      <c r="C7" s="36" t="s">
        <v>404</v>
      </c>
    </row>
    <row r="8" customFormat="false" ht="13.5" hidden="false" customHeight="false" outlineLevel="0" collapsed="false">
      <c r="A8" s="35" t="n">
        <v>2007</v>
      </c>
      <c r="B8" s="37" t="n">
        <v>12722.01</v>
      </c>
      <c r="C8" s="36" t="s">
        <v>404</v>
      </c>
    </row>
    <row r="9" customFormat="false" ht="13.5" hidden="false" customHeight="false" outlineLevel="0" collapsed="false">
      <c r="A9" s="35" t="n">
        <v>2008</v>
      </c>
      <c r="B9" s="37" t="n">
        <v>8028.82</v>
      </c>
      <c r="C9" s="36" t="s">
        <v>404</v>
      </c>
    </row>
    <row r="10" customFormat="false" ht="13.5" hidden="false" customHeight="false" outlineLevel="0" collapsed="false">
      <c r="A10" s="35" t="n">
        <v>2009</v>
      </c>
      <c r="B10" s="37" t="n">
        <v>9880.5</v>
      </c>
      <c r="C10" s="36" t="s">
        <v>404</v>
      </c>
    </row>
    <row r="11" customFormat="false" ht="13.5" hidden="false" customHeight="false" outlineLevel="0" collapsed="false">
      <c r="A11" s="35" t="n">
        <v>2010</v>
      </c>
      <c r="B11" s="37" t="n">
        <v>23656.79</v>
      </c>
      <c r="C11" s="36" t="s">
        <v>404</v>
      </c>
    </row>
    <row r="12" customFormat="false" ht="13.5" hidden="false" customHeight="false" outlineLevel="0" collapsed="false">
      <c r="A12" s="35" t="n">
        <v>2011</v>
      </c>
      <c r="B12" s="37" t="n">
        <v>24370.58</v>
      </c>
      <c r="C12" s="36" t="s">
        <v>404</v>
      </c>
    </row>
    <row r="13" customFormat="false" ht="13.5" hidden="false" customHeight="false" outlineLevel="0" collapsed="false">
      <c r="A13" s="35" t="n">
        <v>2012</v>
      </c>
      <c r="B13" s="37" t="n">
        <v>25649.6</v>
      </c>
      <c r="C13" s="36" t="s">
        <v>404</v>
      </c>
    </row>
    <row r="14" customFormat="false" ht="13.5" hidden="false" customHeight="false" outlineLevel="0" collapsed="false">
      <c r="A14" s="35" t="n">
        <v>2014</v>
      </c>
      <c r="B14" s="37" t="n">
        <v>21123.98</v>
      </c>
      <c r="C14" s="36" t="s">
        <v>404</v>
      </c>
    </row>
    <row r="15" customFormat="false" ht="13.5" hidden="false" customHeight="false" outlineLevel="0" collapsed="false">
      <c r="A15" s="35" t="n">
        <v>2015</v>
      </c>
      <c r="B15" s="37" t="n">
        <v>28193.19</v>
      </c>
      <c r="C15" s="36" t="s">
        <v>404</v>
      </c>
    </row>
    <row r="16" customFormat="false" ht="13.5" hidden="false" customHeight="false" outlineLevel="0" collapsed="false">
      <c r="A16" s="35" t="n">
        <v>2017</v>
      </c>
      <c r="B16" s="37" t="n">
        <v>2922.7</v>
      </c>
      <c r="C16" s="36" t="s">
        <v>404</v>
      </c>
    </row>
    <row r="17" customFormat="false" ht="13.5" hidden="false" customHeight="false" outlineLevel="0" collapsed="false">
      <c r="A17" s="35" t="n">
        <v>2018</v>
      </c>
      <c r="B17" s="37" t="n">
        <v>10466.07</v>
      </c>
      <c r="C17" s="36" t="s">
        <v>404</v>
      </c>
    </row>
    <row r="18" customFormat="false" ht="13.5" hidden="false" customHeight="false" outlineLevel="0" collapsed="false">
      <c r="A18" s="35" t="n">
        <v>2022</v>
      </c>
      <c r="B18" s="37" t="n">
        <v>14368.55</v>
      </c>
      <c r="C18" s="36" t="s">
        <v>404</v>
      </c>
    </row>
    <row r="19" customFormat="false" ht="13.5" hidden="false" customHeight="false" outlineLevel="0" collapsed="false">
      <c r="A19" s="35" t="n">
        <v>2023</v>
      </c>
      <c r="B19" s="37" t="n">
        <v>10365.03</v>
      </c>
      <c r="C19" s="36" t="s">
        <v>404</v>
      </c>
    </row>
    <row r="20" customFormat="false" ht="13.5" hidden="false" customHeight="false" outlineLevel="0" collapsed="false">
      <c r="A20" s="35" t="n">
        <v>2024</v>
      </c>
      <c r="B20" s="37" t="n">
        <v>38459.74</v>
      </c>
      <c r="C20" s="36" t="s">
        <v>404</v>
      </c>
    </row>
    <row r="21" customFormat="false" ht="13.5" hidden="false" customHeight="false" outlineLevel="0" collapsed="false">
      <c r="A21" s="35" t="n">
        <v>2026</v>
      </c>
      <c r="B21" s="37" t="n">
        <v>7900.28</v>
      </c>
      <c r="C21" s="36" t="s">
        <v>404</v>
      </c>
    </row>
    <row r="22" customFormat="false" ht="13.5" hidden="false" customHeight="false" outlineLevel="0" collapsed="false">
      <c r="A22" s="35" t="n">
        <v>2030</v>
      </c>
      <c r="B22" s="37" t="n">
        <v>10577.51</v>
      </c>
      <c r="C22" s="36" t="s">
        <v>404</v>
      </c>
    </row>
    <row r="23" customFormat="false" ht="13.5" hidden="false" customHeight="false" outlineLevel="0" collapsed="false">
      <c r="A23" s="35" t="n">
        <v>2032</v>
      </c>
      <c r="B23" s="37" t="n">
        <v>8260.86</v>
      </c>
      <c r="C23" s="36" t="s">
        <v>404</v>
      </c>
    </row>
    <row r="24" customFormat="false" ht="13.5" hidden="false" customHeight="false" outlineLevel="0" collapsed="false">
      <c r="A24" s="35" t="n">
        <v>2036</v>
      </c>
      <c r="B24" s="37" t="n">
        <v>0</v>
      </c>
      <c r="C24" s="36" t="s">
        <v>404</v>
      </c>
    </row>
    <row r="25" customFormat="false" ht="13.5" hidden="false" customHeight="false" outlineLevel="0" collapsed="false">
      <c r="A25" s="35" t="n">
        <v>2037</v>
      </c>
      <c r="B25" s="37" t="n">
        <v>9545.13</v>
      </c>
      <c r="C25" s="36" t="s">
        <v>404</v>
      </c>
    </row>
    <row r="26" customFormat="false" ht="13.5" hidden="false" customHeight="false" outlineLevel="0" collapsed="false">
      <c r="A26" s="35" t="n">
        <v>2038</v>
      </c>
      <c r="B26" s="37" t="n">
        <v>9460.39</v>
      </c>
      <c r="C26" s="36" t="s">
        <v>404</v>
      </c>
    </row>
    <row r="27" customFormat="false" ht="13.5" hidden="false" customHeight="false" outlineLevel="0" collapsed="false">
      <c r="A27" s="35" t="n">
        <v>2039</v>
      </c>
      <c r="B27" s="37" t="n">
        <v>27210.58</v>
      </c>
      <c r="C27" s="36" t="s">
        <v>404</v>
      </c>
    </row>
    <row r="28" customFormat="false" ht="13.5" hidden="false" customHeight="false" outlineLevel="0" collapsed="false">
      <c r="A28" s="35" t="n">
        <v>2040</v>
      </c>
      <c r="B28" s="37" t="n">
        <v>24616.18</v>
      </c>
      <c r="C28" s="36" t="s">
        <v>404</v>
      </c>
    </row>
    <row r="29" customFormat="false" ht="13.5" hidden="false" customHeight="false" outlineLevel="0" collapsed="false">
      <c r="A29" s="35" t="n">
        <v>2041</v>
      </c>
      <c r="B29" s="37" t="n">
        <v>14774.25</v>
      </c>
      <c r="C29" s="36" t="s">
        <v>404</v>
      </c>
    </row>
    <row r="30" customFormat="false" ht="13.5" hidden="false" customHeight="false" outlineLevel="0" collapsed="false">
      <c r="A30" s="35" t="n">
        <v>2042</v>
      </c>
      <c r="B30" s="37" t="n">
        <v>14901.93</v>
      </c>
      <c r="C30" s="36" t="s">
        <v>404</v>
      </c>
    </row>
    <row r="31" customFormat="false" ht="13.5" hidden="false" customHeight="false" outlineLevel="0" collapsed="false">
      <c r="A31" s="35" t="n">
        <v>2043</v>
      </c>
      <c r="B31" s="37" t="n">
        <v>5461.07</v>
      </c>
      <c r="C31" s="36" t="s">
        <v>404</v>
      </c>
    </row>
    <row r="32" customFormat="false" ht="13.5" hidden="false" customHeight="false" outlineLevel="0" collapsed="false">
      <c r="A32" s="35" t="n">
        <v>2044</v>
      </c>
      <c r="B32" s="37" t="n">
        <v>14656.89</v>
      </c>
      <c r="C32" s="36" t="s">
        <v>404</v>
      </c>
    </row>
    <row r="33" customFormat="false" ht="13.5" hidden="false" customHeight="false" outlineLevel="0" collapsed="false">
      <c r="A33" s="35" t="n">
        <v>2046</v>
      </c>
      <c r="B33" s="37" t="n">
        <v>5048.45</v>
      </c>
      <c r="C33" s="36" t="s">
        <v>404</v>
      </c>
    </row>
    <row r="34" customFormat="false" ht="13.5" hidden="false" customHeight="false" outlineLevel="0" collapsed="false">
      <c r="A34" s="35" t="n">
        <v>2047</v>
      </c>
      <c r="B34" s="37" t="n">
        <v>2872.93</v>
      </c>
      <c r="C34" s="36" t="s">
        <v>404</v>
      </c>
    </row>
    <row r="35" customFormat="false" ht="13.5" hidden="false" customHeight="false" outlineLevel="0" collapsed="false">
      <c r="A35" s="35" t="n">
        <v>2050</v>
      </c>
      <c r="B35" s="37" t="n">
        <v>4767.69</v>
      </c>
      <c r="C35" s="36" t="s">
        <v>404</v>
      </c>
    </row>
    <row r="36" customFormat="false" ht="13.5" hidden="false" customHeight="false" outlineLevel="0" collapsed="false">
      <c r="A36" s="35" t="n">
        <v>2053</v>
      </c>
      <c r="B36" s="37" t="n">
        <v>6527.6</v>
      </c>
      <c r="C36" s="36" t="s">
        <v>404</v>
      </c>
    </row>
    <row r="37" customFormat="false" ht="13.5" hidden="false" customHeight="false" outlineLevel="0" collapsed="false">
      <c r="A37" s="35" t="n">
        <v>2055</v>
      </c>
      <c r="B37" s="37" t="n">
        <v>10010.43</v>
      </c>
      <c r="C37" s="36" t="s">
        <v>404</v>
      </c>
    </row>
    <row r="38" customFormat="false" ht="13.5" hidden="false" customHeight="false" outlineLevel="0" collapsed="false">
      <c r="A38" s="35" t="n">
        <v>2057</v>
      </c>
      <c r="B38" s="37" t="n">
        <v>35773.47</v>
      </c>
      <c r="C38" s="36" t="s">
        <v>404</v>
      </c>
    </row>
    <row r="39" customFormat="false" ht="13.5" hidden="false" customHeight="false" outlineLevel="0" collapsed="false">
      <c r="A39" s="35" t="n">
        <v>2060</v>
      </c>
      <c r="B39" s="37" t="n">
        <v>4964.48</v>
      </c>
      <c r="C39" s="36" t="s">
        <v>404</v>
      </c>
    </row>
    <row r="40" customFormat="false" ht="13.5" hidden="false" customHeight="false" outlineLevel="0" collapsed="false">
      <c r="A40" s="35" t="n">
        <v>2062</v>
      </c>
      <c r="B40" s="37" t="n">
        <v>6528.35</v>
      </c>
      <c r="C40" s="36" t="s">
        <v>404</v>
      </c>
    </row>
    <row r="41" customFormat="false" ht="13.5" hidden="false" customHeight="false" outlineLevel="0" collapsed="false">
      <c r="A41" s="35" t="n">
        <v>2063</v>
      </c>
      <c r="B41" s="37" t="n">
        <v>46487.34</v>
      </c>
      <c r="C41" s="36" t="s">
        <v>404</v>
      </c>
    </row>
    <row r="42" customFormat="false" ht="13.5" hidden="false" customHeight="false" outlineLevel="0" collapsed="false">
      <c r="A42" s="35" t="n">
        <v>2064</v>
      </c>
      <c r="B42" s="37" t="n">
        <v>699.75</v>
      </c>
      <c r="C42" s="36" t="s">
        <v>404</v>
      </c>
    </row>
    <row r="43" customFormat="false" ht="13.5" hidden="false" customHeight="false" outlineLevel="0" collapsed="false">
      <c r="A43" s="35" t="n">
        <v>2066</v>
      </c>
      <c r="B43" s="37" t="n">
        <v>14896.88</v>
      </c>
      <c r="C43" s="36" t="s">
        <v>404</v>
      </c>
    </row>
    <row r="44" customFormat="false" ht="13.5" hidden="false" customHeight="false" outlineLevel="0" collapsed="false">
      <c r="A44" s="35" t="n">
        <v>2067</v>
      </c>
      <c r="B44" s="37" t="n">
        <v>3632.88</v>
      </c>
      <c r="C44" s="36" t="s">
        <v>404</v>
      </c>
    </row>
    <row r="45" customFormat="false" ht="13.5" hidden="false" customHeight="false" outlineLevel="0" collapsed="false">
      <c r="A45" s="35" t="n">
        <v>2068</v>
      </c>
      <c r="B45" s="37" t="n">
        <v>9684.9</v>
      </c>
      <c r="C45" s="36" t="s">
        <v>404</v>
      </c>
    </row>
    <row r="46" customFormat="false" ht="13.5" hidden="false" customHeight="false" outlineLevel="0" collapsed="false">
      <c r="A46" s="35" t="n">
        <v>2069</v>
      </c>
      <c r="B46" s="37" t="n">
        <v>0</v>
      </c>
      <c r="C46" s="36" t="s">
        <v>404</v>
      </c>
    </row>
    <row r="47" customFormat="false" ht="13.5" hidden="false" customHeight="false" outlineLevel="0" collapsed="false">
      <c r="A47" s="35" t="n">
        <v>9001</v>
      </c>
      <c r="B47" s="37" t="n">
        <v>0</v>
      </c>
      <c r="C47" s="36" t="s">
        <v>404</v>
      </c>
    </row>
    <row r="48" customFormat="false" ht="13.5" hidden="false" customHeight="false" outlineLevel="0" collapsed="false">
      <c r="A48" s="35" t="n">
        <v>9002</v>
      </c>
      <c r="B48" s="37" t="n">
        <v>0</v>
      </c>
      <c r="C48" s="36" t="s">
        <v>404</v>
      </c>
    </row>
    <row r="49" customFormat="false" ht="13.5" hidden="false" customHeight="false" outlineLevel="0" collapsed="false">
      <c r="A49" s="35" t="n">
        <v>9003</v>
      </c>
      <c r="B49" s="37" t="n">
        <v>0</v>
      </c>
      <c r="C49" s="36" t="s">
        <v>404</v>
      </c>
    </row>
    <row r="50" customFormat="false" ht="13.5" hidden="false" customHeight="false" outlineLevel="0" collapsed="false">
      <c r="A50" s="35" t="n">
        <v>9004</v>
      </c>
      <c r="B50" s="37" t="n">
        <v>0</v>
      </c>
      <c r="C50" s="36" t="s">
        <v>404</v>
      </c>
    </row>
    <row r="51" customFormat="false" ht="13.5" hidden="false" customHeight="false" outlineLevel="0" collapsed="false">
      <c r="A51" s="35" t="n">
        <v>9005</v>
      </c>
      <c r="B51" s="37" t="n">
        <v>0</v>
      </c>
      <c r="C51" s="36" t="s">
        <v>404</v>
      </c>
    </row>
    <row r="52" customFormat="false" ht="13.5" hidden="false" customHeight="false" outlineLevel="0" collapsed="false">
      <c r="A52" s="35" t="n">
        <v>9006</v>
      </c>
      <c r="B52" s="37" t="n">
        <v>0</v>
      </c>
      <c r="C52" s="36" t="s">
        <v>404</v>
      </c>
    </row>
    <row r="53" customFormat="false" ht="13.5" hidden="false" customHeight="false" outlineLevel="0" collapsed="false">
      <c r="A53" s="35" t="n">
        <v>9007</v>
      </c>
      <c r="B53" s="37" t="n">
        <v>0</v>
      </c>
      <c r="C53" s="36" t="s">
        <v>404</v>
      </c>
    </row>
    <row r="54" customFormat="false" ht="13.5" hidden="false" customHeight="false" outlineLevel="0" collapsed="false">
      <c r="A54" s="35" t="n">
        <v>9008</v>
      </c>
      <c r="B54" s="37" t="n">
        <v>0</v>
      </c>
      <c r="C54" s="36" t="s">
        <v>404</v>
      </c>
    </row>
    <row r="55" customFormat="false" ht="13.5" hidden="false" customHeight="false" outlineLevel="0" collapsed="false">
      <c r="A55" s="35" t="n">
        <v>9009</v>
      </c>
      <c r="B55" s="37" t="n">
        <v>0</v>
      </c>
      <c r="C55" s="36" t="s">
        <v>404</v>
      </c>
    </row>
    <row r="56" customFormat="false" ht="13.5" hidden="false" customHeight="false" outlineLevel="0" collapsed="false">
      <c r="A56" s="35" t="n">
        <v>9010</v>
      </c>
      <c r="B56" s="37" t="n">
        <v>0</v>
      </c>
      <c r="C56" s="36" t="s">
        <v>404</v>
      </c>
    </row>
    <row r="57" customFormat="false" ht="13.5" hidden="false" customHeight="false" outlineLevel="0" collapsed="false">
      <c r="A57" s="35"/>
      <c r="B57" s="37"/>
      <c r="C57" s="35"/>
    </row>
    <row r="58" customFormat="false" ht="13.5" hidden="false" customHeight="false" outlineLevel="0" collapsed="false">
      <c r="A58" s="35"/>
      <c r="B58" s="37"/>
      <c r="C58" s="35"/>
    </row>
    <row r="59" customFormat="false" ht="13.5" hidden="false" customHeight="false" outlineLevel="0" collapsed="false">
      <c r="A59" s="35"/>
      <c r="B59" s="37"/>
      <c r="C59" s="35"/>
    </row>
    <row r="60" customFormat="false" ht="13.5" hidden="false" customHeight="false" outlineLevel="0" collapsed="false">
      <c r="A60" s="35"/>
      <c r="B60" s="37"/>
      <c r="C60" s="35"/>
    </row>
    <row r="61" customFormat="false" ht="13.5" hidden="false" customHeight="false" outlineLevel="0" collapsed="false">
      <c r="A61" s="35"/>
      <c r="B61" s="37"/>
      <c r="C61" s="35"/>
    </row>
    <row r="62" customFormat="false" ht="13.5" hidden="false" customHeight="false" outlineLevel="0" collapsed="false">
      <c r="A62" s="35"/>
      <c r="B62" s="37"/>
      <c r="C62" s="35"/>
    </row>
    <row r="63" customFormat="false" ht="13.5" hidden="false" customHeight="false" outlineLevel="0" collapsed="false">
      <c r="A63" s="35"/>
      <c r="B63" s="37"/>
      <c r="C63" s="35"/>
    </row>
    <row r="64" customFormat="false" ht="13.5" hidden="false" customHeight="false" outlineLevel="0" collapsed="false">
      <c r="A64" s="35"/>
      <c r="B64" s="37"/>
      <c r="C64" s="35"/>
    </row>
    <row r="65" customFormat="false" ht="13.5" hidden="false" customHeight="false" outlineLevel="0" collapsed="false">
      <c r="A65" s="35"/>
      <c r="B65" s="37"/>
      <c r="C65" s="35"/>
    </row>
    <row r="66" customFormat="false" ht="13.5" hidden="false" customHeight="false" outlineLevel="0" collapsed="false">
      <c r="A66" s="35"/>
      <c r="B66" s="37"/>
      <c r="C66" s="35"/>
    </row>
    <row r="67" customFormat="false" ht="13.5" hidden="false" customHeight="false" outlineLevel="0" collapsed="false">
      <c r="A67" s="35"/>
      <c r="B67" s="37"/>
      <c r="C67" s="35"/>
    </row>
    <row r="68" customFormat="false" ht="13.5" hidden="false" customHeight="false" outlineLevel="0" collapsed="false">
      <c r="A68" s="35"/>
      <c r="B68" s="37"/>
      <c r="C68" s="35"/>
    </row>
    <row r="69" customFormat="false" ht="13.5" hidden="false" customHeight="false" outlineLevel="0" collapsed="false">
      <c r="A69" s="35"/>
      <c r="B69" s="37"/>
      <c r="C69" s="35"/>
    </row>
    <row r="70" customFormat="false" ht="13.5" hidden="false" customHeight="false" outlineLevel="0" collapsed="false">
      <c r="A70" s="35"/>
      <c r="B70" s="37"/>
      <c r="C70" s="35"/>
    </row>
    <row r="71" customFormat="false" ht="13.5" hidden="false" customHeight="false" outlineLevel="0" collapsed="false">
      <c r="A71" s="35"/>
      <c r="B71" s="37"/>
      <c r="C71" s="35"/>
    </row>
    <row r="72" customFormat="false" ht="13.5" hidden="false" customHeight="false" outlineLevel="0" collapsed="false">
      <c r="A72" s="35"/>
      <c r="B72" s="37"/>
      <c r="C72" s="35"/>
    </row>
    <row r="73" customFormat="false" ht="13.5" hidden="false" customHeight="false" outlineLevel="0" collapsed="false">
      <c r="A73" s="35"/>
      <c r="B73" s="37"/>
      <c r="C73" s="35"/>
    </row>
    <row r="74" customFormat="false" ht="13.5" hidden="false" customHeight="false" outlineLevel="0" collapsed="false">
      <c r="A74" s="35"/>
      <c r="B74" s="37"/>
      <c r="C74" s="35"/>
    </row>
    <row r="75" customFormat="false" ht="13.5" hidden="false" customHeight="false" outlineLevel="0" collapsed="false">
      <c r="A75" s="35"/>
      <c r="B75" s="37"/>
      <c r="C75" s="35"/>
    </row>
    <row r="76" customFormat="false" ht="13.5" hidden="false" customHeight="false" outlineLevel="0" collapsed="false">
      <c r="A76" s="35"/>
      <c r="B76" s="37"/>
      <c r="C76" s="35"/>
    </row>
    <row r="77" customFormat="false" ht="13.5" hidden="false" customHeight="false" outlineLevel="0" collapsed="false">
      <c r="A77" s="35"/>
      <c r="B77" s="37"/>
      <c r="C77" s="35"/>
    </row>
    <row r="78" customFormat="false" ht="13.5" hidden="false" customHeight="false" outlineLevel="0" collapsed="false">
      <c r="A78" s="35"/>
      <c r="B78" s="37"/>
      <c r="C78" s="35"/>
    </row>
    <row r="79" customFormat="false" ht="13.5" hidden="false" customHeight="false" outlineLevel="0" collapsed="false">
      <c r="A79" s="35"/>
      <c r="B79" s="37"/>
      <c r="C79" s="35"/>
    </row>
    <row r="80" customFormat="false" ht="13.5" hidden="false" customHeight="false" outlineLevel="0" collapsed="false">
      <c r="A80" s="35"/>
      <c r="B80" s="37"/>
      <c r="C80" s="35"/>
    </row>
    <row r="81" customFormat="false" ht="13.5" hidden="false" customHeight="false" outlineLevel="0" collapsed="false">
      <c r="A81" s="35"/>
      <c r="B81" s="37"/>
      <c r="C81" s="35"/>
    </row>
    <row r="82" customFormat="false" ht="13.5" hidden="false" customHeight="false" outlineLevel="0" collapsed="false">
      <c r="A82" s="35"/>
      <c r="B82" s="37"/>
      <c r="C82" s="35"/>
    </row>
    <row r="83" customFormat="false" ht="13.5" hidden="false" customHeight="false" outlineLevel="0" collapsed="false">
      <c r="A83" s="35"/>
      <c r="B83" s="37"/>
      <c r="C83" s="35"/>
    </row>
    <row r="84" customFormat="false" ht="13.5" hidden="false" customHeight="false" outlineLevel="0" collapsed="false">
      <c r="A84" s="35"/>
      <c r="B84" s="37"/>
      <c r="C84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9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143" activePane="bottomLeft" state="frozen"/>
      <selection pane="topLeft" activeCell="A1" activeCellId="0" sqref="A1"/>
      <selection pane="bottomLeft" activeCell="A150" activeCellId="0" sqref="A150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14.9" hidden="false" customHeight="false" outlineLevel="0" collapsed="false">
      <c r="A1" s="17" t="s">
        <v>88</v>
      </c>
      <c r="B1" s="17" t="s">
        <v>405</v>
      </c>
      <c r="C1" s="17" t="s">
        <v>406</v>
      </c>
      <c r="D1" s="17" t="s">
        <v>264</v>
      </c>
      <c r="E1" s="17" t="s">
        <v>402</v>
      </c>
      <c r="F1" s="17" t="s">
        <v>407</v>
      </c>
      <c r="G1" s="11" t="s">
        <v>408</v>
      </c>
    </row>
    <row r="2" customFormat="false" ht="13.5" hidden="false" customHeight="false" outlineLevel="0" collapsed="false">
      <c r="A2" s="35" t="n">
        <v>2001</v>
      </c>
      <c r="B2" s="36" t="s">
        <v>223</v>
      </c>
      <c r="C2" s="37" t="n">
        <v>24279.15</v>
      </c>
      <c r="D2" s="37" t="n">
        <v>0</v>
      </c>
      <c r="E2" s="35"/>
      <c r="F2" s="38" t="str">
        <f aca="false">IF($B2="","",IF(COUNTIF(科目对照回款!$F$2:$H$16,$B2)&gt;0,"√","× 未识别"))</f>
        <v>√</v>
      </c>
      <c r="G2" s="11" t="s">
        <v>409</v>
      </c>
    </row>
    <row r="3" customFormat="false" ht="13.5" hidden="false" customHeight="false" outlineLevel="0" collapsed="false">
      <c r="A3" s="35" t="n">
        <v>2001</v>
      </c>
      <c r="B3" s="36" t="s">
        <v>227</v>
      </c>
      <c r="C3" s="37" t="n">
        <v>3786.22</v>
      </c>
      <c r="D3" s="37" t="n">
        <v>0</v>
      </c>
      <c r="E3" s="35"/>
      <c r="F3" s="38" t="str">
        <f aca="false">IF($B3="","",IF(COUNTIF(科目对照回款!$F$2:$H$16,$B3)&gt;0,"√","× 未识别"))</f>
        <v>√</v>
      </c>
    </row>
    <row r="4" customFormat="false" ht="13.5" hidden="false" customHeight="false" outlineLevel="0" collapsed="false">
      <c r="A4" s="35" t="n">
        <v>2001</v>
      </c>
      <c r="B4" s="36" t="s">
        <v>279</v>
      </c>
      <c r="C4" s="37" t="n">
        <v>3757.87</v>
      </c>
      <c r="D4" s="37" t="n">
        <v>0</v>
      </c>
      <c r="E4" s="35"/>
      <c r="F4" s="38" t="str">
        <f aca="false">IF($B4="","",IF(COUNTIF(科目对照回款!$F$2:$H$16,$B4)&gt;0,"√","× 未识别"))</f>
        <v>√</v>
      </c>
    </row>
    <row r="5" customFormat="false" ht="13.5" hidden="false" customHeight="false" outlineLevel="0" collapsed="false">
      <c r="A5" s="35" t="n">
        <v>2001</v>
      </c>
      <c r="B5" s="36" t="s">
        <v>240</v>
      </c>
      <c r="C5" s="37" t="n">
        <v>227.07</v>
      </c>
      <c r="D5" s="37" t="n">
        <v>54.73</v>
      </c>
      <c r="E5" s="35"/>
      <c r="F5" s="38" t="str">
        <f aca="false">IF($B5="","",IF(COUNTIF(科目对照回款!$F$2:$H$16,$B5)&gt;0,"√","× 未识别"))</f>
        <v>√</v>
      </c>
    </row>
    <row r="6" customFormat="false" ht="13.5" hidden="false" customHeight="false" outlineLevel="0" collapsed="false">
      <c r="A6" s="35" t="n">
        <v>2063</v>
      </c>
      <c r="B6" s="36" t="s">
        <v>223</v>
      </c>
      <c r="C6" s="37" t="n">
        <v>12424.88</v>
      </c>
      <c r="D6" s="37" t="n">
        <v>0</v>
      </c>
      <c r="E6" s="35"/>
      <c r="F6" s="38" t="str">
        <f aca="false">IF($B6="","",IF(COUNTIF(科目对照回款!$F$2:$H$16,$B6)&gt;0,"√","× 未识别"))</f>
        <v>√</v>
      </c>
    </row>
    <row r="7" customFormat="false" ht="13.5" hidden="false" customHeight="false" outlineLevel="0" collapsed="false">
      <c r="A7" s="35" t="n">
        <v>2063</v>
      </c>
      <c r="B7" s="36" t="s">
        <v>227</v>
      </c>
      <c r="C7" s="37" t="n">
        <v>14089.95</v>
      </c>
      <c r="D7" s="37" t="n">
        <v>0</v>
      </c>
      <c r="E7" s="35"/>
      <c r="F7" s="38" t="str">
        <f aca="false">IF($B7="","",IF(COUNTIF(科目对照回款!$F$2:$H$16,$B7)&gt;0,"√","× 未识别"))</f>
        <v>√</v>
      </c>
    </row>
    <row r="8" customFormat="false" ht="13.5" hidden="false" customHeight="false" outlineLevel="0" collapsed="false">
      <c r="A8" s="35" t="n">
        <v>2063</v>
      </c>
      <c r="B8" s="36" t="s">
        <v>279</v>
      </c>
      <c r="C8" s="37" t="n">
        <v>16273.82</v>
      </c>
      <c r="D8" s="37" t="n">
        <v>0</v>
      </c>
      <c r="E8" s="35"/>
      <c r="F8" s="38" t="str">
        <f aca="false">IF($B8="","",IF(COUNTIF(科目对照回款!$F$2:$H$16,$B8)&gt;0,"√","× 未识别"))</f>
        <v>√</v>
      </c>
    </row>
    <row r="9" customFormat="false" ht="14.9" hidden="false" customHeight="false" outlineLevel="0" collapsed="false">
      <c r="A9" s="35" t="n">
        <v>2063</v>
      </c>
      <c r="B9" s="35" t="s">
        <v>237</v>
      </c>
      <c r="C9" s="37" t="n">
        <v>2678.9</v>
      </c>
      <c r="D9" s="37" t="n">
        <v>244.7</v>
      </c>
      <c r="E9" s="35"/>
      <c r="F9" s="38" t="str">
        <f aca="false">IF($B9="","",IF(COUNTIF(科目对照回款!$F$2:$H$16,$B9)&gt;0,"√","× 未识别"))</f>
        <v>√</v>
      </c>
    </row>
    <row r="10" customFormat="false" ht="14.9" hidden="false" customHeight="false" outlineLevel="0" collapsed="false">
      <c r="A10" s="35" t="n">
        <v>2063</v>
      </c>
      <c r="B10" s="36" t="s">
        <v>281</v>
      </c>
      <c r="C10" s="37" t="n">
        <v>111102.61</v>
      </c>
      <c r="D10" s="37" t="n">
        <v>0</v>
      </c>
      <c r="E10" s="35"/>
      <c r="F10" s="38" t="str">
        <f aca="false">IF($B10="","",IF(COUNTIF(科目对照回款!$F$2:$H$16,$B10)&gt;0,"√","× 未识别"))</f>
        <v>√</v>
      </c>
    </row>
    <row r="11" customFormat="false" ht="13.5" hidden="false" customHeight="false" outlineLevel="0" collapsed="false">
      <c r="A11" s="35" t="n">
        <v>2003</v>
      </c>
      <c r="B11" s="36" t="s">
        <v>223</v>
      </c>
      <c r="C11" s="37" t="n">
        <v>7997.23</v>
      </c>
      <c r="D11" s="37" t="n">
        <v>0</v>
      </c>
      <c r="E11" s="35"/>
      <c r="F11" s="38" t="str">
        <f aca="false">IF($B11="","",IF(COUNTIF(科目对照回款!$F$2:$H$16,$B11)&gt;0,"√","× 未识别"))</f>
        <v>√</v>
      </c>
    </row>
    <row r="12" customFormat="false" ht="13.5" hidden="false" customHeight="false" outlineLevel="0" collapsed="false">
      <c r="A12" s="35" t="n">
        <v>2003</v>
      </c>
      <c r="B12" s="36" t="s">
        <v>227</v>
      </c>
      <c r="C12" s="37" t="n">
        <v>15114.33</v>
      </c>
      <c r="D12" s="37" t="n">
        <v>0</v>
      </c>
      <c r="E12" s="35"/>
      <c r="F12" s="38" t="str">
        <f aca="false">IF($B12="","",IF(COUNTIF(科目对照回款!$F$2:$H$16,$B12)&gt;0,"√","× 未识别"))</f>
        <v>√</v>
      </c>
    </row>
    <row r="13" customFormat="false" ht="13.5" hidden="false" customHeight="false" outlineLevel="0" collapsed="false">
      <c r="A13" s="35" t="n">
        <v>2003</v>
      </c>
      <c r="B13" s="36" t="s">
        <v>279</v>
      </c>
      <c r="C13" s="37" t="n">
        <v>14098.73</v>
      </c>
      <c r="D13" s="37" t="n">
        <v>0</v>
      </c>
      <c r="E13" s="35"/>
      <c r="F13" s="38" t="str">
        <f aca="false">IF($B13="","",IF(COUNTIF(科目对照回款!$F$2:$H$16,$B13)&gt;0,"√","× 未识别"))</f>
        <v>√</v>
      </c>
    </row>
    <row r="14" customFormat="false" ht="13.5" hidden="false" customHeight="false" outlineLevel="0" collapsed="false">
      <c r="A14" s="35" t="n">
        <v>2003</v>
      </c>
      <c r="B14" s="36" t="s">
        <v>240</v>
      </c>
      <c r="C14" s="37" t="n">
        <v>186.49</v>
      </c>
      <c r="D14" s="37" t="n">
        <v>51.51</v>
      </c>
      <c r="E14" s="35"/>
      <c r="F14" s="38" t="str">
        <f aca="false">IF($B14="","",IF(COUNTIF(科目对照回款!$F$2:$H$16,$B14)&gt;0,"√","× 未识别"))</f>
        <v>√</v>
      </c>
    </row>
    <row r="15" customFormat="false" ht="14.9" hidden="false" customHeight="false" outlineLevel="0" collapsed="false">
      <c r="A15" s="35" t="n">
        <v>2003</v>
      </c>
      <c r="B15" s="36" t="s">
        <v>281</v>
      </c>
      <c r="C15" s="37" t="n">
        <v>118495.62</v>
      </c>
      <c r="D15" s="37" t="n">
        <v>0</v>
      </c>
      <c r="E15" s="35"/>
      <c r="F15" s="38" t="str">
        <f aca="false">IF($B15="","",IF(COUNTIF(科目对照回款!$F$2:$H$16,$B15)&gt;0,"√","× 未识别"))</f>
        <v>√</v>
      </c>
    </row>
    <row r="16" customFormat="false" ht="13.5" hidden="false" customHeight="false" outlineLevel="0" collapsed="false">
      <c r="A16" s="35" t="n">
        <v>2003</v>
      </c>
      <c r="B16" s="36" t="s">
        <v>232</v>
      </c>
      <c r="C16" s="37" t="n">
        <v>221.23</v>
      </c>
      <c r="D16" s="37" t="n">
        <v>30.17</v>
      </c>
      <c r="E16" s="35"/>
      <c r="F16" s="38" t="str">
        <f aca="false">IF($B16="","",IF(COUNTIF(科目对照回款!$F$2:$H$16,$B16)&gt;0,"√","× 未识别"))</f>
        <v>√</v>
      </c>
    </row>
    <row r="17" customFormat="false" ht="13.5" hidden="false" customHeight="false" outlineLevel="0" collapsed="false">
      <c r="A17" s="35" t="n">
        <v>2004</v>
      </c>
      <c r="B17" s="36" t="s">
        <v>223</v>
      </c>
      <c r="C17" s="37" t="n">
        <v>3891.92</v>
      </c>
      <c r="D17" s="37" t="n">
        <v>0</v>
      </c>
      <c r="E17" s="35"/>
      <c r="F17" s="38" t="str">
        <f aca="false">IF($B17="","",IF(COUNTIF(科目对照回款!$F$2:$H$16,$B17)&gt;0,"√","× 未识别"))</f>
        <v>√</v>
      </c>
    </row>
    <row r="18" customFormat="false" ht="13.5" hidden="false" customHeight="false" outlineLevel="0" collapsed="false">
      <c r="A18" s="35" t="n">
        <v>2004</v>
      </c>
      <c r="B18" s="36" t="s">
        <v>227</v>
      </c>
      <c r="C18" s="37" t="n">
        <v>12240.07</v>
      </c>
      <c r="D18" s="37" t="n">
        <v>0</v>
      </c>
      <c r="E18" s="35"/>
      <c r="F18" s="38" t="str">
        <f aca="false">IF($B18="","",IF(COUNTIF(科目对照回款!$F$2:$H$16,$B18)&gt;0,"√","× 未识别"))</f>
        <v>√</v>
      </c>
    </row>
    <row r="19" customFormat="false" ht="13.5" hidden="false" customHeight="false" outlineLevel="0" collapsed="false">
      <c r="A19" s="35" t="n">
        <v>2004</v>
      </c>
      <c r="B19" s="36" t="s">
        <v>279</v>
      </c>
      <c r="C19" s="37" t="n">
        <v>13734.37</v>
      </c>
      <c r="D19" s="37" t="n">
        <v>0</v>
      </c>
      <c r="E19" s="35"/>
      <c r="F19" s="38" t="str">
        <f aca="false">IF($B19="","",IF(COUNTIF(科目对照回款!$F$2:$H$16,$B19)&gt;0,"√","× 未识别"))</f>
        <v>√</v>
      </c>
    </row>
    <row r="20" customFormat="false" ht="13.5" hidden="false" customHeight="false" outlineLevel="0" collapsed="false">
      <c r="A20" s="35" t="n">
        <v>2004</v>
      </c>
      <c r="B20" s="36" t="s">
        <v>240</v>
      </c>
      <c r="C20" s="37" t="n">
        <v>348.16</v>
      </c>
      <c r="D20" s="37" t="n">
        <v>77.44</v>
      </c>
      <c r="E20" s="35"/>
      <c r="F20" s="38" t="str">
        <f aca="false">IF($B20="","",IF(COUNTIF(科目对照回款!$F$2:$H$16,$B20)&gt;0,"√","× 未识别"))</f>
        <v>√</v>
      </c>
    </row>
    <row r="21" customFormat="false" ht="13.5" hidden="false" customHeight="false" outlineLevel="0" collapsed="false">
      <c r="A21" s="35" t="n">
        <v>2004</v>
      </c>
      <c r="B21" s="36" t="s">
        <v>242</v>
      </c>
      <c r="C21" s="37" t="n">
        <v>72.92</v>
      </c>
      <c r="D21" s="37" t="n">
        <v>33.88</v>
      </c>
      <c r="E21" s="35"/>
      <c r="F21" s="38" t="str">
        <f aca="false">IF($B21="","",IF(COUNTIF(科目对照回款!$F$2:$H$16,$B21)&gt;0,"√","× 未识别"))</f>
        <v>√</v>
      </c>
    </row>
    <row r="22" customFormat="false" ht="13.5" hidden="false" customHeight="false" outlineLevel="0" collapsed="false">
      <c r="A22" s="35" t="n">
        <v>2005</v>
      </c>
      <c r="B22" s="36" t="s">
        <v>223</v>
      </c>
      <c r="C22" s="37" t="n">
        <v>17238.67</v>
      </c>
      <c r="D22" s="37" t="n">
        <v>0</v>
      </c>
      <c r="E22" s="35"/>
      <c r="F22" s="38" t="str">
        <f aca="false">IF($B22="","",IF(COUNTIF(科目对照回款!$F$2:$H$16,$B22)&gt;0,"√","× 未识别"))</f>
        <v>√</v>
      </c>
    </row>
    <row r="23" customFormat="false" ht="13.5" hidden="false" customHeight="false" outlineLevel="0" collapsed="false">
      <c r="A23" s="35" t="n">
        <v>2005</v>
      </c>
      <c r="B23" s="36" t="s">
        <v>227</v>
      </c>
      <c r="C23" s="37" t="n">
        <v>15283.78</v>
      </c>
      <c r="D23" s="37" t="n">
        <v>0</v>
      </c>
      <c r="E23" s="35"/>
      <c r="F23" s="38" t="str">
        <f aca="false">IF($B23="","",IF(COUNTIF(科目对照回款!$F$2:$H$16,$B23)&gt;0,"√","× 未识别"))</f>
        <v>√</v>
      </c>
    </row>
    <row r="24" customFormat="false" ht="13.5" hidden="false" customHeight="false" outlineLevel="0" collapsed="false">
      <c r="A24" s="35" t="n">
        <v>2005</v>
      </c>
      <c r="B24" s="36" t="s">
        <v>279</v>
      </c>
      <c r="C24" s="37" t="n">
        <v>14174.16</v>
      </c>
      <c r="D24" s="37" t="n">
        <v>0</v>
      </c>
      <c r="E24" s="35"/>
      <c r="F24" s="38" t="str">
        <f aca="false">IF($B24="","",IF(COUNTIF(科目对照回款!$F$2:$H$16,$B24)&gt;0,"√","× 未识别"))</f>
        <v>√</v>
      </c>
    </row>
    <row r="25" customFormat="false" ht="13.5" hidden="false" customHeight="false" outlineLevel="0" collapsed="false">
      <c r="A25" s="35" t="n">
        <v>2005</v>
      </c>
      <c r="B25" s="36" t="s">
        <v>240</v>
      </c>
      <c r="C25" s="37" t="n">
        <v>199.37</v>
      </c>
      <c r="D25" s="37" t="n">
        <v>47.53</v>
      </c>
      <c r="E25" s="35"/>
      <c r="F25" s="38" t="str">
        <f aca="false">IF($B25="","",IF(COUNTIF(科目对照回款!$F$2:$H$16,$B25)&gt;0,"√","× 未识别"))</f>
        <v>√</v>
      </c>
    </row>
    <row r="26" customFormat="false" ht="13.5" hidden="false" customHeight="false" outlineLevel="0" collapsed="false">
      <c r="A26" s="35" t="n">
        <v>2005</v>
      </c>
      <c r="B26" s="36" t="s">
        <v>232</v>
      </c>
      <c r="C26" s="37" t="n">
        <v>194.11</v>
      </c>
      <c r="D26" s="37" t="n">
        <v>26.47</v>
      </c>
      <c r="E26" s="35"/>
      <c r="F26" s="38" t="str">
        <f aca="false">IF($B26="","",IF(COUNTIF(科目对照回款!$F$2:$H$16,$B26)&gt;0,"√","× 未识别"))</f>
        <v>√</v>
      </c>
    </row>
    <row r="27" customFormat="false" ht="13.5" hidden="false" customHeight="false" outlineLevel="0" collapsed="false">
      <c r="A27" s="35" t="n">
        <v>2005</v>
      </c>
      <c r="B27" s="36" t="s">
        <v>232</v>
      </c>
      <c r="C27" s="37" t="n">
        <v>60.98</v>
      </c>
      <c r="D27" s="37" t="n">
        <v>8.32</v>
      </c>
      <c r="E27" s="35"/>
      <c r="F27" s="38" t="str">
        <f aca="false">IF($B27="","",IF(COUNTIF(科目对照回款!$F$2:$H$16,$B27)&gt;0,"√","× 未识别"))</f>
        <v>√</v>
      </c>
    </row>
    <row r="28" customFormat="false" ht="13.5" hidden="false" customHeight="false" outlineLevel="0" collapsed="false">
      <c r="A28" s="35" t="n">
        <v>2006</v>
      </c>
      <c r="B28" s="36" t="s">
        <v>223</v>
      </c>
      <c r="C28" s="37" t="n">
        <v>33904.99</v>
      </c>
      <c r="D28" s="37" t="n">
        <v>0</v>
      </c>
      <c r="E28" s="35"/>
      <c r="F28" s="38" t="str">
        <f aca="false">IF($B28="","",IF(COUNTIF(科目对照回款!$F$2:$H$16,$B28)&gt;0,"√","× 未识别"))</f>
        <v>√</v>
      </c>
    </row>
    <row r="29" customFormat="false" ht="13.5" hidden="false" customHeight="false" outlineLevel="0" collapsed="false">
      <c r="A29" s="35" t="n">
        <v>2006</v>
      </c>
      <c r="B29" s="36" t="s">
        <v>227</v>
      </c>
      <c r="C29" s="37" t="n">
        <v>9740.46</v>
      </c>
      <c r="D29" s="37" t="n">
        <v>0</v>
      </c>
      <c r="E29" s="35"/>
      <c r="F29" s="38" t="str">
        <f aca="false">IF($B29="","",IF(COUNTIF(科目对照回款!$F$2:$H$16,$B29)&gt;0,"√","× 未识别"))</f>
        <v>√</v>
      </c>
    </row>
    <row r="30" customFormat="false" ht="13.5" hidden="false" customHeight="false" outlineLevel="0" collapsed="false">
      <c r="A30" s="35" t="n">
        <v>2006</v>
      </c>
      <c r="B30" s="36" t="s">
        <v>279</v>
      </c>
      <c r="C30" s="37" t="n">
        <v>12640.21</v>
      </c>
      <c r="D30" s="37" t="n">
        <v>0</v>
      </c>
      <c r="E30" s="35"/>
      <c r="F30" s="38" t="str">
        <f aca="false">IF($B30="","",IF(COUNTIF(科目对照回款!$F$2:$H$16,$B30)&gt;0,"√","× 未识别"))</f>
        <v>√</v>
      </c>
    </row>
    <row r="31" customFormat="false" ht="13.5" hidden="false" customHeight="false" outlineLevel="0" collapsed="false">
      <c r="A31" s="35" t="n">
        <v>2006</v>
      </c>
      <c r="B31" s="36" t="s">
        <v>240</v>
      </c>
      <c r="C31" s="37" t="n">
        <v>160.16</v>
      </c>
      <c r="D31" s="37" t="n">
        <v>27.84</v>
      </c>
      <c r="E31" s="35"/>
      <c r="F31" s="38" t="str">
        <f aca="false">IF($B31="","",IF(COUNTIF(科目对照回款!$F$2:$H$16,$B31)&gt;0,"√","× 未识别"))</f>
        <v>√</v>
      </c>
    </row>
    <row r="32" customFormat="false" ht="14.9" hidden="false" customHeight="false" outlineLevel="0" collapsed="false">
      <c r="A32" s="35" t="n">
        <v>2006</v>
      </c>
      <c r="B32" s="36" t="s">
        <v>281</v>
      </c>
      <c r="C32" s="37" t="n">
        <v>21193.17</v>
      </c>
      <c r="D32" s="37" t="n">
        <v>0</v>
      </c>
      <c r="E32" s="35"/>
      <c r="F32" s="38" t="str">
        <f aca="false">IF($B32="","",IF(COUNTIF(科目对照回款!$F$2:$H$16,$B32)&gt;0,"√","× 未识别"))</f>
        <v>√</v>
      </c>
    </row>
    <row r="33" customFormat="false" ht="13.5" hidden="false" customHeight="false" outlineLevel="0" collapsed="false">
      <c r="A33" s="35" t="n">
        <v>2007</v>
      </c>
      <c r="B33" s="36" t="s">
        <v>223</v>
      </c>
      <c r="C33" s="37" t="n">
        <v>30413.09</v>
      </c>
      <c r="D33" s="37" t="n">
        <v>0</v>
      </c>
      <c r="E33" s="35"/>
      <c r="F33" s="38" t="str">
        <f aca="false">IF($B33="","",IF(COUNTIF(科目对照回款!$F$2:$H$16,$B33)&gt;0,"√","× 未识别"))</f>
        <v>√</v>
      </c>
    </row>
    <row r="34" customFormat="false" ht="13.5" hidden="false" customHeight="false" outlineLevel="0" collapsed="false">
      <c r="A34" s="35" t="n">
        <v>2007</v>
      </c>
      <c r="B34" s="36" t="s">
        <v>227</v>
      </c>
      <c r="C34" s="37" t="n">
        <v>5412.09</v>
      </c>
      <c r="D34" s="37" t="n">
        <v>0</v>
      </c>
      <c r="E34" s="35"/>
      <c r="F34" s="38" t="str">
        <f aca="false">IF($B34="","",IF(COUNTIF(科目对照回款!$F$2:$H$16,$B34)&gt;0,"√","× 未识别"))</f>
        <v>√</v>
      </c>
    </row>
    <row r="35" customFormat="false" ht="13.5" hidden="false" customHeight="false" outlineLevel="0" collapsed="false">
      <c r="A35" s="35" t="n">
        <v>2007</v>
      </c>
      <c r="B35" s="36" t="s">
        <v>279</v>
      </c>
      <c r="C35" s="37" t="n">
        <v>6567.5</v>
      </c>
      <c r="D35" s="37" t="n">
        <v>0</v>
      </c>
      <c r="E35" s="35"/>
      <c r="F35" s="38" t="str">
        <f aca="false">IF($B35="","",IF(COUNTIF(科目对照回款!$F$2:$H$16,$B35)&gt;0,"√","× 未识别"))</f>
        <v>√</v>
      </c>
    </row>
    <row r="36" customFormat="false" ht="13.5" hidden="false" customHeight="false" outlineLevel="0" collapsed="false">
      <c r="A36" s="35" t="n">
        <v>2007</v>
      </c>
      <c r="B36" s="36" t="s">
        <v>240</v>
      </c>
      <c r="C36" s="37" t="n">
        <v>126.51</v>
      </c>
      <c r="D36" s="37" t="n">
        <v>32.45</v>
      </c>
      <c r="E36" s="35"/>
      <c r="F36" s="38" t="str">
        <f aca="false">IF($B36="","",IF(COUNTIF(科目对照回款!$F$2:$H$16,$B36)&gt;0,"√","× 未识别"))</f>
        <v>√</v>
      </c>
    </row>
    <row r="37" customFormat="false" ht="13.5" hidden="false" customHeight="false" outlineLevel="0" collapsed="false">
      <c r="A37" s="35" t="n">
        <v>2007</v>
      </c>
      <c r="B37" s="36" t="s">
        <v>242</v>
      </c>
      <c r="C37" s="37" t="n">
        <v>109.41</v>
      </c>
      <c r="D37" s="37" t="n">
        <v>33.39</v>
      </c>
      <c r="E37" s="35"/>
      <c r="F37" s="38" t="str">
        <f aca="false">IF($B37="","",IF(COUNTIF(科目对照回款!$F$2:$H$16,$B37)&gt;0,"√","× 未识别"))</f>
        <v>√</v>
      </c>
    </row>
    <row r="38" customFormat="false" ht="13.5" hidden="false" customHeight="false" outlineLevel="0" collapsed="false">
      <c r="A38" s="35" t="n">
        <v>2007</v>
      </c>
      <c r="B38" s="36" t="s">
        <v>234</v>
      </c>
      <c r="C38" s="37" t="n">
        <v>357.2</v>
      </c>
      <c r="D38" s="37" t="n">
        <v>0</v>
      </c>
      <c r="E38" s="35"/>
      <c r="F38" s="38" t="str">
        <f aca="false">IF($B38="","",IF(COUNTIF(科目对照回款!$F$2:$H$16,$B38)&gt;0,"√","× 未识别"))</f>
        <v>√</v>
      </c>
    </row>
    <row r="39" customFormat="false" ht="13.5" hidden="false" customHeight="false" outlineLevel="0" collapsed="false">
      <c r="A39" s="35" t="n">
        <v>2008</v>
      </c>
      <c r="B39" s="36" t="s">
        <v>223</v>
      </c>
      <c r="C39" s="37" t="n">
        <v>59537.32</v>
      </c>
      <c r="D39" s="37" t="n">
        <v>0</v>
      </c>
      <c r="E39" s="35"/>
      <c r="F39" s="38" t="str">
        <f aca="false">IF($B39="","",IF(COUNTIF(科目对照回款!$F$2:$H$16,$B39)&gt;0,"√","× 未识别"))</f>
        <v>√</v>
      </c>
    </row>
    <row r="40" customFormat="false" ht="13.5" hidden="false" customHeight="false" outlineLevel="0" collapsed="false">
      <c r="A40" s="35" t="n">
        <v>2008</v>
      </c>
      <c r="B40" s="36" t="s">
        <v>227</v>
      </c>
      <c r="C40" s="37" t="n">
        <v>6716.44</v>
      </c>
      <c r="D40" s="37" t="n">
        <v>0</v>
      </c>
      <c r="E40" s="35"/>
      <c r="F40" s="38" t="str">
        <f aca="false">IF($B40="","",IF(COUNTIF(科目对照回款!$F$2:$H$16,$B40)&gt;0,"√","× 未识别"))</f>
        <v>√</v>
      </c>
    </row>
    <row r="41" customFormat="false" ht="13.5" hidden="false" customHeight="false" outlineLevel="0" collapsed="false">
      <c r="A41" s="35" t="n">
        <v>2008</v>
      </c>
      <c r="B41" s="36" t="s">
        <v>279</v>
      </c>
      <c r="C41" s="37" t="n">
        <v>7707.34</v>
      </c>
      <c r="D41" s="37" t="n">
        <v>0</v>
      </c>
      <c r="E41" s="35"/>
      <c r="F41" s="38" t="str">
        <f aca="false">IF($B41="","",IF(COUNTIF(科目对照回款!$F$2:$H$16,$B41)&gt;0,"√","× 未识别"))</f>
        <v>√</v>
      </c>
    </row>
    <row r="42" customFormat="false" ht="13.5" hidden="false" customHeight="false" outlineLevel="0" collapsed="false">
      <c r="A42" s="35" t="n">
        <v>2008</v>
      </c>
      <c r="B42" s="36" t="s">
        <v>240</v>
      </c>
      <c r="C42" s="37" t="n">
        <v>20</v>
      </c>
      <c r="D42" s="37" t="n">
        <v>5</v>
      </c>
      <c r="E42" s="35"/>
      <c r="F42" s="38" t="str">
        <f aca="false">IF($B42="","",IF(COUNTIF(科目对照回款!$F$2:$H$16,$B42)&gt;0,"√","× 未识别"))</f>
        <v>√</v>
      </c>
    </row>
    <row r="43" customFormat="false" ht="13.5" hidden="false" customHeight="false" outlineLevel="0" collapsed="false">
      <c r="A43" s="35" t="n">
        <v>2009</v>
      </c>
      <c r="B43" s="36" t="s">
        <v>223</v>
      </c>
      <c r="C43" s="37" t="n">
        <v>30903.16</v>
      </c>
      <c r="D43" s="37" t="n">
        <v>0</v>
      </c>
      <c r="E43" s="35"/>
      <c r="F43" s="38" t="str">
        <f aca="false">IF($B43="","",IF(COUNTIF(科目对照回款!$F$2:$H$16,$B43)&gt;0,"√","× 未识别"))</f>
        <v>√</v>
      </c>
    </row>
    <row r="44" customFormat="false" ht="13.5" hidden="false" customHeight="false" outlineLevel="0" collapsed="false">
      <c r="A44" s="35" t="n">
        <v>2009</v>
      </c>
      <c r="B44" s="36" t="s">
        <v>227</v>
      </c>
      <c r="C44" s="37" t="n">
        <v>2674.31</v>
      </c>
      <c r="D44" s="37" t="n">
        <v>0</v>
      </c>
      <c r="E44" s="35"/>
      <c r="F44" s="38" t="str">
        <f aca="false">IF($B44="","",IF(COUNTIF(科目对照回款!$F$2:$H$16,$B44)&gt;0,"√","× 未识别"))</f>
        <v>√</v>
      </c>
    </row>
    <row r="45" customFormat="false" ht="13.5" hidden="false" customHeight="false" outlineLevel="0" collapsed="false">
      <c r="A45" s="35" t="n">
        <v>2009</v>
      </c>
      <c r="B45" s="36" t="s">
        <v>279</v>
      </c>
      <c r="C45" s="37" t="n">
        <v>925.88</v>
      </c>
      <c r="D45" s="37" t="n">
        <v>0</v>
      </c>
      <c r="E45" s="35"/>
      <c r="F45" s="38" t="str">
        <f aca="false">IF($B45="","",IF(COUNTIF(科目对照回款!$F$2:$H$16,$B45)&gt;0,"√","× 未识别"))</f>
        <v>√</v>
      </c>
    </row>
    <row r="46" customFormat="false" ht="13.5" hidden="false" customHeight="false" outlineLevel="0" collapsed="false">
      <c r="A46" s="35" t="n">
        <v>2010</v>
      </c>
      <c r="B46" s="36" t="s">
        <v>223</v>
      </c>
      <c r="C46" s="37" t="n">
        <v>72193.49</v>
      </c>
      <c r="D46" s="37" t="n">
        <v>0</v>
      </c>
      <c r="E46" s="35"/>
      <c r="F46" s="38" t="str">
        <f aca="false">IF($B46="","",IF(COUNTIF(科目对照回款!$F$2:$H$16,$B46)&gt;0,"√","× 未识别"))</f>
        <v>√</v>
      </c>
    </row>
    <row r="47" customFormat="false" ht="13.5" hidden="false" customHeight="false" outlineLevel="0" collapsed="false">
      <c r="A47" s="35" t="n">
        <v>2010</v>
      </c>
      <c r="B47" s="36" t="s">
        <v>227</v>
      </c>
      <c r="C47" s="37" t="n">
        <v>9881.27</v>
      </c>
      <c r="D47" s="37" t="n">
        <v>0</v>
      </c>
      <c r="E47" s="35"/>
      <c r="F47" s="38" t="str">
        <f aca="false">IF($B47="","",IF(COUNTIF(科目对照回款!$F$2:$H$16,$B47)&gt;0,"√","× 未识别"))</f>
        <v>√</v>
      </c>
    </row>
    <row r="48" customFormat="false" ht="13.5" hidden="false" customHeight="false" outlineLevel="0" collapsed="false">
      <c r="A48" s="35" t="n">
        <v>2010</v>
      </c>
      <c r="B48" s="36" t="s">
        <v>279</v>
      </c>
      <c r="C48" s="37" t="n">
        <v>8864.77</v>
      </c>
      <c r="D48" s="37" t="n">
        <v>0</v>
      </c>
      <c r="E48" s="35"/>
      <c r="F48" s="38" t="str">
        <f aca="false">IF($B48="","",IF(COUNTIF(科目对照回款!$F$2:$H$16,$B48)&gt;0,"√","× 未识别"))</f>
        <v>√</v>
      </c>
    </row>
    <row r="49" customFormat="false" ht="13.5" hidden="false" customHeight="false" outlineLevel="0" collapsed="false">
      <c r="A49" s="35" t="n">
        <v>2011</v>
      </c>
      <c r="B49" s="36" t="s">
        <v>223</v>
      </c>
      <c r="C49" s="37" t="n">
        <v>12673.23</v>
      </c>
      <c r="D49" s="37" t="n">
        <v>0</v>
      </c>
      <c r="E49" s="35"/>
      <c r="F49" s="38" t="str">
        <f aca="false">IF($B49="","",IF(COUNTIF(科目对照回款!$F$2:$H$16,$B49)&gt;0,"√","× 未识别"))</f>
        <v>√</v>
      </c>
    </row>
    <row r="50" customFormat="false" ht="13.5" hidden="false" customHeight="false" outlineLevel="0" collapsed="false">
      <c r="A50" s="35" t="n">
        <v>2011</v>
      </c>
      <c r="B50" s="36" t="s">
        <v>227</v>
      </c>
      <c r="C50" s="37" t="n">
        <v>2929.61</v>
      </c>
      <c r="D50" s="37" t="n">
        <v>0</v>
      </c>
      <c r="E50" s="35"/>
      <c r="F50" s="38" t="str">
        <f aca="false">IF($B50="","",IF(COUNTIF(科目对照回款!$F$2:$H$16,$B50)&gt;0,"√","× 未识别"))</f>
        <v>√</v>
      </c>
    </row>
    <row r="51" customFormat="false" ht="13.5" hidden="false" customHeight="false" outlineLevel="0" collapsed="false">
      <c r="A51" s="35" t="n">
        <v>2011</v>
      </c>
      <c r="B51" s="36" t="s">
        <v>279</v>
      </c>
      <c r="C51" s="37" t="n">
        <v>1738.59</v>
      </c>
      <c r="D51" s="37" t="n">
        <v>0</v>
      </c>
      <c r="E51" s="35"/>
      <c r="F51" s="38" t="str">
        <f aca="false">IF($B51="","",IF(COUNTIF(科目对照回款!$F$2:$H$16,$B51)&gt;0,"√","× 未识别"))</f>
        <v>√</v>
      </c>
    </row>
    <row r="52" customFormat="false" ht="13.5" hidden="false" customHeight="false" outlineLevel="0" collapsed="false">
      <c r="A52" s="35" t="n">
        <v>2012</v>
      </c>
      <c r="B52" s="36" t="s">
        <v>223</v>
      </c>
      <c r="C52" s="37" t="n">
        <v>30920.38</v>
      </c>
      <c r="D52" s="37" t="n">
        <v>0</v>
      </c>
      <c r="E52" s="35"/>
      <c r="F52" s="38" t="str">
        <f aca="false">IF($B52="","",IF(COUNTIF(科目对照回款!$F$2:$H$16,$B52)&gt;0,"√","× 未识别"))</f>
        <v>√</v>
      </c>
    </row>
    <row r="53" customFormat="false" ht="13.5" hidden="false" customHeight="false" outlineLevel="0" collapsed="false">
      <c r="A53" s="35" t="n">
        <v>2012</v>
      </c>
      <c r="B53" s="36" t="s">
        <v>227</v>
      </c>
      <c r="C53" s="37" t="n">
        <v>1960.46</v>
      </c>
      <c r="D53" s="37" t="n">
        <v>0</v>
      </c>
      <c r="E53" s="35"/>
      <c r="F53" s="38" t="str">
        <f aca="false">IF($B53="","",IF(COUNTIF(科目对照回款!$F$2:$H$16,$B53)&gt;0,"√","× 未识别"))</f>
        <v>√</v>
      </c>
    </row>
    <row r="54" customFormat="false" ht="13.5" hidden="false" customHeight="false" outlineLevel="0" collapsed="false">
      <c r="A54" s="35" t="n">
        <v>2012</v>
      </c>
      <c r="B54" s="36" t="s">
        <v>279</v>
      </c>
      <c r="C54" s="37" t="n">
        <v>833.08</v>
      </c>
      <c r="D54" s="37" t="n">
        <v>0</v>
      </c>
      <c r="E54" s="35"/>
      <c r="F54" s="38" t="str">
        <f aca="false">IF($B54="","",IF(COUNTIF(科目对照回款!$F$2:$H$16,$B54)&gt;0,"√","× 未识别"))</f>
        <v>√</v>
      </c>
    </row>
    <row r="55" customFormat="false" ht="13.5" hidden="false" customHeight="false" outlineLevel="0" collapsed="false">
      <c r="A55" s="35" t="n">
        <v>2014</v>
      </c>
      <c r="B55" s="36" t="s">
        <v>223</v>
      </c>
      <c r="C55" s="37" t="n">
        <v>47703.25</v>
      </c>
      <c r="D55" s="37" t="n">
        <v>0</v>
      </c>
      <c r="E55" s="35"/>
      <c r="F55" s="38" t="str">
        <f aca="false">IF($B55="","",IF(COUNTIF(科目对照回款!$F$2:$H$16,$B55)&gt;0,"√","× 未识别"))</f>
        <v>√</v>
      </c>
    </row>
    <row r="56" customFormat="false" ht="13.5" hidden="false" customHeight="false" outlineLevel="0" collapsed="false">
      <c r="A56" s="35" t="n">
        <v>2014</v>
      </c>
      <c r="B56" s="36" t="s">
        <v>227</v>
      </c>
      <c r="C56" s="37" t="n">
        <v>4776.32</v>
      </c>
      <c r="D56" s="37" t="n">
        <v>0</v>
      </c>
      <c r="E56" s="35"/>
      <c r="F56" s="38" t="str">
        <f aca="false">IF($B56="","",IF(COUNTIF(科目对照回款!$F$2:$H$16,$B56)&gt;0,"√","× 未识别"))</f>
        <v>√</v>
      </c>
    </row>
    <row r="57" customFormat="false" ht="13.5" hidden="false" customHeight="false" outlineLevel="0" collapsed="false">
      <c r="A57" s="35" t="n">
        <v>2014</v>
      </c>
      <c r="B57" s="36" t="s">
        <v>279</v>
      </c>
      <c r="C57" s="37" t="n">
        <v>4853.16</v>
      </c>
      <c r="D57" s="37" t="n">
        <v>0</v>
      </c>
      <c r="E57" s="35"/>
      <c r="F57" s="38" t="str">
        <f aca="false">IF($B57="","",IF(COUNTIF(科目对照回款!$F$2:$H$16,$B57)&gt;0,"√","× 未识别"))</f>
        <v>√</v>
      </c>
    </row>
    <row r="58" customFormat="false" ht="13.5" hidden="false" customHeight="false" outlineLevel="0" collapsed="false">
      <c r="A58" s="35" t="n">
        <v>2017</v>
      </c>
      <c r="B58" s="36" t="s">
        <v>223</v>
      </c>
      <c r="C58" s="37" t="n">
        <v>870.21</v>
      </c>
      <c r="D58" s="37" t="n">
        <v>0</v>
      </c>
      <c r="E58" s="35"/>
      <c r="F58" s="38" t="str">
        <f aca="false">IF($B58="","",IF(COUNTIF(科目对照回款!$F$2:$H$16,$B58)&gt;0,"√","× 未识别"))</f>
        <v>√</v>
      </c>
    </row>
    <row r="59" customFormat="false" ht="13.5" hidden="false" customHeight="false" outlineLevel="0" collapsed="false">
      <c r="A59" s="35" t="n">
        <v>2017</v>
      </c>
      <c r="B59" s="36" t="s">
        <v>236</v>
      </c>
      <c r="C59" s="37" t="n">
        <v>1437.6</v>
      </c>
      <c r="D59" s="37" t="n">
        <v>29.32</v>
      </c>
      <c r="E59" s="35"/>
      <c r="F59" s="38" t="str">
        <f aca="false">IF($B59="","",IF(COUNTIF(科目对照回款!$F$2:$H$16,$B59)&gt;0,"√","× 未识别"))</f>
        <v>√</v>
      </c>
    </row>
    <row r="60" customFormat="false" ht="13.5" hidden="false" customHeight="false" outlineLevel="0" collapsed="false">
      <c r="A60" s="35" t="n">
        <v>2018</v>
      </c>
      <c r="B60" s="36" t="s">
        <v>223</v>
      </c>
      <c r="C60" s="37" t="n">
        <v>24661.76</v>
      </c>
      <c r="D60" s="37" t="n">
        <v>0</v>
      </c>
      <c r="E60" s="35"/>
      <c r="F60" s="38" t="str">
        <f aca="false">IF($B60="","",IF(COUNTIF(科目对照回款!$F$2:$H$16,$B60)&gt;0,"√","× 未识别"))</f>
        <v>√</v>
      </c>
    </row>
    <row r="61" customFormat="false" ht="13.5" hidden="false" customHeight="false" outlineLevel="0" collapsed="false">
      <c r="A61" s="35" t="n">
        <v>2018</v>
      </c>
      <c r="B61" s="36" t="s">
        <v>227</v>
      </c>
      <c r="C61" s="37" t="n">
        <v>2881.95</v>
      </c>
      <c r="D61" s="37" t="n">
        <v>0</v>
      </c>
      <c r="E61" s="35"/>
      <c r="F61" s="38" t="str">
        <f aca="false">IF($B61="","",IF(COUNTIF(科目对照回款!$F$2:$H$16,$B61)&gt;0,"√","× 未识别"))</f>
        <v>√</v>
      </c>
    </row>
    <row r="62" customFormat="false" ht="13.5" hidden="false" customHeight="false" outlineLevel="0" collapsed="false">
      <c r="A62" s="35" t="n">
        <v>2018</v>
      </c>
      <c r="B62" s="36" t="s">
        <v>279</v>
      </c>
      <c r="C62" s="37" t="n">
        <v>1664.29</v>
      </c>
      <c r="D62" s="37" t="n">
        <v>0</v>
      </c>
      <c r="E62" s="35"/>
      <c r="F62" s="38" t="str">
        <f aca="false">IF($B62="","",IF(COUNTIF(科目对照回款!$F$2:$H$16,$B62)&gt;0,"√","× 未识别"))</f>
        <v>√</v>
      </c>
    </row>
    <row r="63" customFormat="false" ht="13.5" hidden="false" customHeight="false" outlineLevel="0" collapsed="false">
      <c r="A63" s="35" t="n">
        <v>2022</v>
      </c>
      <c r="B63" s="36" t="s">
        <v>223</v>
      </c>
      <c r="C63" s="37" t="n">
        <v>48343.27</v>
      </c>
      <c r="D63" s="37" t="n">
        <v>0</v>
      </c>
      <c r="E63" s="35"/>
      <c r="F63" s="38" t="str">
        <f aca="false">IF($B63="","",IF(COUNTIF(科目对照回款!$F$2:$H$16,$B63)&gt;0,"√","× 未识别"))</f>
        <v>√</v>
      </c>
    </row>
    <row r="64" customFormat="false" ht="13.5" hidden="false" customHeight="false" outlineLevel="0" collapsed="false">
      <c r="A64" s="35" t="n">
        <v>2022</v>
      </c>
      <c r="B64" s="36" t="s">
        <v>227</v>
      </c>
      <c r="C64" s="37" t="n">
        <v>5668.75</v>
      </c>
      <c r="D64" s="37" t="n">
        <v>0</v>
      </c>
      <c r="E64" s="35"/>
      <c r="F64" s="38" t="str">
        <f aca="false">IF($B64="","",IF(COUNTIF(科目对照回款!$F$2:$H$16,$B64)&gt;0,"√","× 未识别"))</f>
        <v>√</v>
      </c>
    </row>
    <row r="65" customFormat="false" ht="13.5" hidden="false" customHeight="false" outlineLevel="0" collapsed="false">
      <c r="A65" s="35" t="n">
        <v>2022</v>
      </c>
      <c r="B65" s="36" t="s">
        <v>279</v>
      </c>
      <c r="C65" s="37" t="n">
        <v>4423.74</v>
      </c>
      <c r="D65" s="37" t="n">
        <v>0</v>
      </c>
      <c r="E65" s="35"/>
      <c r="F65" s="38" t="str">
        <f aca="false">IF($B65="","",IF(COUNTIF(科目对照回款!$F$2:$H$16,$B65)&gt;0,"√","× 未识别"))</f>
        <v>√</v>
      </c>
    </row>
    <row r="66" customFormat="false" ht="13.5" hidden="false" customHeight="false" outlineLevel="0" collapsed="false">
      <c r="A66" s="35" t="n">
        <v>2023</v>
      </c>
      <c r="B66" s="36" t="s">
        <v>223</v>
      </c>
      <c r="C66" s="37" t="n">
        <v>29969.07</v>
      </c>
      <c r="D66" s="37" t="n">
        <v>0</v>
      </c>
      <c r="E66" s="35"/>
      <c r="F66" s="38" t="str">
        <f aca="false">IF($B66="","",IF(COUNTIF(科目对照回款!$F$2:$H$16,$B66)&gt;0,"√","× 未识别"))</f>
        <v>√</v>
      </c>
    </row>
    <row r="67" customFormat="false" ht="13.5" hidden="false" customHeight="false" outlineLevel="0" collapsed="false">
      <c r="A67" s="35" t="n">
        <v>2023</v>
      </c>
      <c r="B67" s="36" t="s">
        <v>227</v>
      </c>
      <c r="C67" s="37" t="n">
        <v>4594.17</v>
      </c>
      <c r="D67" s="37" t="n">
        <v>0</v>
      </c>
      <c r="E67" s="35"/>
      <c r="F67" s="38" t="str">
        <f aca="false">IF($B67="","",IF(COUNTIF(科目对照回款!$F$2:$H$16,$B67)&gt;0,"√","× 未识别"))</f>
        <v>√</v>
      </c>
    </row>
    <row r="68" customFormat="false" ht="13.5" hidden="false" customHeight="false" outlineLevel="0" collapsed="false">
      <c r="A68" s="35" t="n">
        <v>2023</v>
      </c>
      <c r="B68" s="36" t="s">
        <v>279</v>
      </c>
      <c r="C68" s="37" t="n">
        <v>4585.1</v>
      </c>
      <c r="D68" s="37" t="n">
        <v>0</v>
      </c>
      <c r="E68" s="35"/>
      <c r="F68" s="38" t="str">
        <f aca="false">IF($B68="","",IF(COUNTIF(科目对照回款!$F$2:$H$16,$B68)&gt;0,"√","× 未识别"))</f>
        <v>√</v>
      </c>
    </row>
    <row r="69" customFormat="false" ht="13.5" hidden="false" customHeight="false" outlineLevel="0" collapsed="false">
      <c r="A69" s="35" t="n">
        <v>2024</v>
      </c>
      <c r="B69" s="36" t="s">
        <v>223</v>
      </c>
      <c r="C69" s="37" t="n">
        <v>49579.53</v>
      </c>
      <c r="D69" s="37" t="n">
        <v>0</v>
      </c>
      <c r="E69" s="35"/>
      <c r="F69" s="38" t="str">
        <f aca="false">IF($B69="","",IF(COUNTIF(科目对照回款!$F$2:$H$16,$B69)&gt;0,"√","× 未识别"))</f>
        <v>√</v>
      </c>
    </row>
    <row r="70" customFormat="false" ht="13.5" hidden="false" customHeight="false" outlineLevel="0" collapsed="false">
      <c r="A70" s="35" t="n">
        <v>2024</v>
      </c>
      <c r="B70" s="36" t="s">
        <v>227</v>
      </c>
      <c r="C70" s="37" t="n">
        <v>11739.22</v>
      </c>
      <c r="D70" s="37" t="n">
        <v>0</v>
      </c>
      <c r="E70" s="35"/>
      <c r="F70" s="38" t="str">
        <f aca="false">IF($B70="","",IF(COUNTIF(科目对照回款!$F$2:$H$16,$B70)&gt;0,"√","× 未识别"))</f>
        <v>√</v>
      </c>
    </row>
    <row r="71" customFormat="false" ht="13.5" hidden="false" customHeight="false" outlineLevel="0" collapsed="false">
      <c r="A71" s="35" t="n">
        <v>2024</v>
      </c>
      <c r="B71" s="36" t="s">
        <v>279</v>
      </c>
      <c r="C71" s="37" t="n">
        <v>6411.47</v>
      </c>
      <c r="D71" s="37" t="n">
        <v>0</v>
      </c>
      <c r="E71" s="35"/>
      <c r="F71" s="38" t="str">
        <f aca="false">IF($B71="","",IF(COUNTIF(科目对照回款!$F$2:$H$16,$B71)&gt;0,"√","× 未识别"))</f>
        <v>√</v>
      </c>
    </row>
    <row r="72" customFormat="false" ht="13.5" hidden="false" customHeight="false" outlineLevel="0" collapsed="false">
      <c r="A72" s="35" t="n">
        <v>2026</v>
      </c>
      <c r="B72" s="36" t="s">
        <v>223</v>
      </c>
      <c r="C72" s="37" t="n">
        <v>26320.32</v>
      </c>
      <c r="D72" s="37" t="n">
        <v>0</v>
      </c>
      <c r="E72" s="35"/>
      <c r="F72" s="38" t="str">
        <f aca="false">IF($B72="","",IF(COUNTIF(科目对照回款!$F$2:$H$16,$B72)&gt;0,"√","× 未识别"))</f>
        <v>√</v>
      </c>
    </row>
    <row r="73" customFormat="false" ht="13.5" hidden="false" customHeight="false" outlineLevel="0" collapsed="false">
      <c r="A73" s="35" t="n">
        <v>2026</v>
      </c>
      <c r="B73" s="36" t="s">
        <v>227</v>
      </c>
      <c r="C73" s="37" t="n">
        <v>1548.44</v>
      </c>
      <c r="D73" s="37" t="n">
        <v>0</v>
      </c>
      <c r="E73" s="35"/>
      <c r="F73" s="38" t="str">
        <f aca="false">IF($B73="","",IF(COUNTIF(科目对照回款!$F$2:$H$16,$B73)&gt;0,"√","× 未识别"))</f>
        <v>√</v>
      </c>
    </row>
    <row r="74" customFormat="false" ht="13.5" hidden="false" customHeight="false" outlineLevel="0" collapsed="false">
      <c r="A74" s="35" t="n">
        <v>2026</v>
      </c>
      <c r="B74" s="36" t="s">
        <v>279</v>
      </c>
      <c r="C74" s="37" t="n">
        <v>981.49</v>
      </c>
      <c r="D74" s="37" t="n">
        <v>0</v>
      </c>
      <c r="E74" s="35"/>
      <c r="F74" s="38" t="str">
        <f aca="false">IF($B74="","",IF(COUNTIF(科目对照回款!$F$2:$H$16,$B74)&gt;0,"√","× 未识别"))</f>
        <v>√</v>
      </c>
    </row>
    <row r="75" customFormat="false" ht="13.5" hidden="false" customHeight="false" outlineLevel="0" collapsed="false">
      <c r="A75" s="35" t="n">
        <v>2030</v>
      </c>
      <c r="B75" s="36" t="s">
        <v>223</v>
      </c>
      <c r="C75" s="37" t="n">
        <v>17154.53</v>
      </c>
      <c r="D75" s="37" t="n">
        <v>0</v>
      </c>
      <c r="E75" s="35"/>
      <c r="F75" s="38" t="str">
        <f aca="false">IF($B75="","",IF(COUNTIF(科目对照回款!$F$2:$H$16,$B75)&gt;0,"√","× 未识别"))</f>
        <v>√</v>
      </c>
    </row>
    <row r="76" customFormat="false" ht="13.5" hidden="false" customHeight="false" outlineLevel="0" collapsed="false">
      <c r="A76" s="35" t="n">
        <v>2030</v>
      </c>
      <c r="B76" s="36" t="s">
        <v>227</v>
      </c>
      <c r="C76" s="37" t="n">
        <v>2404.59</v>
      </c>
      <c r="D76" s="37" t="n">
        <v>0</v>
      </c>
      <c r="E76" s="35"/>
      <c r="F76" s="38" t="str">
        <f aca="false">IF($B76="","",IF(COUNTIF(科目对照回款!$F$2:$H$16,$B76)&gt;0,"√","× 未识别"))</f>
        <v>√</v>
      </c>
    </row>
    <row r="77" customFormat="false" ht="13.5" hidden="false" customHeight="false" outlineLevel="0" collapsed="false">
      <c r="A77" s="35" t="n">
        <v>2030</v>
      </c>
      <c r="B77" s="36" t="s">
        <v>279</v>
      </c>
      <c r="C77" s="37" t="n">
        <v>1838.87</v>
      </c>
      <c r="D77" s="37" t="n">
        <v>0</v>
      </c>
      <c r="E77" s="35"/>
      <c r="F77" s="38" t="str">
        <f aca="false">IF($B77="","",IF(COUNTIF(科目对照回款!$F$2:$H$16,$B77)&gt;0,"√","× 未识别"))</f>
        <v>√</v>
      </c>
    </row>
    <row r="78" customFormat="false" ht="13.5" hidden="false" customHeight="false" outlineLevel="0" collapsed="false">
      <c r="A78" s="35" t="n">
        <v>2032</v>
      </c>
      <c r="B78" s="36" t="s">
        <v>223</v>
      </c>
      <c r="C78" s="37" t="n">
        <v>24794.04</v>
      </c>
      <c r="D78" s="37" t="n">
        <v>0</v>
      </c>
      <c r="E78" s="35"/>
      <c r="F78" s="38" t="str">
        <f aca="false">IF($B78="","",IF(COUNTIF(科目对照回款!$F$2:$H$16,$B78)&gt;0,"√","× 未识别"))</f>
        <v>√</v>
      </c>
    </row>
    <row r="79" customFormat="false" ht="13.5" hidden="false" customHeight="false" outlineLevel="0" collapsed="false">
      <c r="A79" s="35" t="n">
        <v>2032</v>
      </c>
      <c r="B79" s="36" t="s">
        <v>227</v>
      </c>
      <c r="C79" s="37" t="n">
        <v>4946.12</v>
      </c>
      <c r="D79" s="37" t="n">
        <v>0</v>
      </c>
      <c r="E79" s="35"/>
      <c r="F79" s="38" t="str">
        <f aca="false">IF($B79="","",IF(COUNTIF(科目对照回款!$F$2:$H$16,$B79)&gt;0,"√","× 未识别"))</f>
        <v>√</v>
      </c>
    </row>
    <row r="80" customFormat="false" ht="13.5" hidden="false" customHeight="false" outlineLevel="0" collapsed="false">
      <c r="A80" s="35" t="n">
        <v>2032</v>
      </c>
      <c r="B80" s="36" t="s">
        <v>279</v>
      </c>
      <c r="C80" s="37" t="n">
        <v>5012.33</v>
      </c>
      <c r="D80" s="37" t="n">
        <v>0</v>
      </c>
      <c r="E80" s="35"/>
      <c r="F80" s="38" t="str">
        <f aca="false">IF($B80="","",IF(COUNTIF(科目对照回款!$F$2:$H$16,$B80)&gt;0,"√","× 未识别"))</f>
        <v>√</v>
      </c>
    </row>
    <row r="81" customFormat="false" ht="13.5" hidden="false" customHeight="false" outlineLevel="0" collapsed="false">
      <c r="A81" s="35" t="n">
        <v>2036</v>
      </c>
      <c r="B81" s="36" t="s">
        <v>223</v>
      </c>
      <c r="C81" s="37" t="n">
        <v>17642.02</v>
      </c>
      <c r="D81" s="37" t="n">
        <v>0</v>
      </c>
      <c r="E81" s="35"/>
      <c r="F81" s="38" t="str">
        <f aca="false">IF($B81="","",IF(COUNTIF(科目对照回款!$F$2:$H$16,$B81)&gt;0,"√","× 未识别"))</f>
        <v>√</v>
      </c>
    </row>
    <row r="82" customFormat="false" ht="13.5" hidden="false" customHeight="false" outlineLevel="0" collapsed="false">
      <c r="A82" s="35" t="n">
        <v>2037</v>
      </c>
      <c r="B82" s="36" t="s">
        <v>223</v>
      </c>
      <c r="C82" s="37" t="n">
        <v>22777.69</v>
      </c>
      <c r="D82" s="37" t="n">
        <v>0</v>
      </c>
      <c r="E82" s="35"/>
      <c r="F82" s="38" t="str">
        <f aca="false">IF($B82="","",IF(COUNTIF(科目对照回款!$F$2:$H$16,$B82)&gt;0,"√","× 未识别"))</f>
        <v>√</v>
      </c>
    </row>
    <row r="83" customFormat="false" ht="13.5" hidden="false" customHeight="false" outlineLevel="0" collapsed="false">
      <c r="A83" s="35" t="n">
        <v>2037</v>
      </c>
      <c r="B83" s="36" t="s">
        <v>227</v>
      </c>
      <c r="C83" s="37" t="n">
        <v>6349.66</v>
      </c>
      <c r="D83" s="37" t="n">
        <v>0</v>
      </c>
      <c r="E83" s="35"/>
      <c r="F83" s="38" t="str">
        <f aca="false">IF($B83="","",IF(COUNTIF(科目对照回款!$F$2:$H$16,$B83)&gt;0,"√","× 未识别"))</f>
        <v>√</v>
      </c>
    </row>
    <row r="84" customFormat="false" ht="13.5" hidden="false" customHeight="false" outlineLevel="0" collapsed="false">
      <c r="A84" s="35" t="n">
        <v>2037</v>
      </c>
      <c r="B84" s="36" t="s">
        <v>279</v>
      </c>
      <c r="C84" s="37" t="n">
        <v>6305.43</v>
      </c>
      <c r="D84" s="37" t="n">
        <v>0</v>
      </c>
      <c r="E84" s="35"/>
      <c r="F84" s="38" t="str">
        <f aca="false">IF($B84="","",IF(COUNTIF(科目对照回款!$F$2:$H$16,$B84)&gt;0,"√","× 未识别"))</f>
        <v>√</v>
      </c>
    </row>
    <row r="85" customFormat="false" ht="13.5" hidden="false" customHeight="false" outlineLevel="0" collapsed="false">
      <c r="A85" s="35" t="n">
        <v>2037</v>
      </c>
      <c r="B85" s="36" t="s">
        <v>240</v>
      </c>
      <c r="C85" s="37" t="n">
        <v>5811.59</v>
      </c>
      <c r="D85" s="37" t="n">
        <v>1774.51</v>
      </c>
      <c r="E85" s="35"/>
      <c r="F85" s="38" t="str">
        <f aca="false">IF($B85="","",IF(COUNTIF(科目对照回款!$F$2:$H$16,$B85)&gt;0,"√","× 未识别"))</f>
        <v>√</v>
      </c>
    </row>
    <row r="86" customFormat="false" ht="13.5" hidden="false" customHeight="false" outlineLevel="0" collapsed="false">
      <c r="A86" s="35" t="n">
        <v>2037</v>
      </c>
      <c r="B86" s="36" t="s">
        <v>242</v>
      </c>
      <c r="C86" s="37" t="n">
        <v>3937.82</v>
      </c>
      <c r="D86" s="37" t="n">
        <v>2372.58</v>
      </c>
      <c r="E86" s="35"/>
      <c r="F86" s="38" t="str">
        <f aca="false">IF($B86="","",IF(COUNTIF(科目对照回款!$F$2:$H$16,$B86)&gt;0,"√","× 未识别"))</f>
        <v>√</v>
      </c>
    </row>
    <row r="87" customFormat="false" ht="13.5" hidden="false" customHeight="false" outlineLevel="0" collapsed="false">
      <c r="A87" s="35" t="n">
        <v>2038</v>
      </c>
      <c r="B87" s="36" t="s">
        <v>223</v>
      </c>
      <c r="C87" s="37" t="n">
        <v>22652</v>
      </c>
      <c r="D87" s="37" t="n">
        <v>0</v>
      </c>
      <c r="E87" s="35"/>
      <c r="F87" s="38" t="str">
        <f aca="false">IF($B87="","",IF(COUNTIF(科目对照回款!$F$2:$H$16,$B87)&gt;0,"√","× 未识别"))</f>
        <v>√</v>
      </c>
    </row>
    <row r="88" customFormat="false" ht="13.5" hidden="false" customHeight="false" outlineLevel="0" collapsed="false">
      <c r="A88" s="35" t="n">
        <v>2038</v>
      </c>
      <c r="B88" s="36" t="s">
        <v>227</v>
      </c>
      <c r="C88" s="37" t="n">
        <v>3039.28</v>
      </c>
      <c r="D88" s="37" t="n">
        <v>0</v>
      </c>
      <c r="E88" s="35"/>
      <c r="F88" s="38" t="str">
        <f aca="false">IF($B88="","",IF(COUNTIF(科目对照回款!$F$2:$H$16,$B88)&gt;0,"√","× 未识别"))</f>
        <v>√</v>
      </c>
    </row>
    <row r="89" customFormat="false" ht="13.5" hidden="false" customHeight="false" outlineLevel="0" collapsed="false">
      <c r="A89" s="35" t="n">
        <v>2038</v>
      </c>
      <c r="B89" s="36" t="s">
        <v>279</v>
      </c>
      <c r="C89" s="37" t="n">
        <v>1298.1</v>
      </c>
      <c r="D89" s="37" t="n">
        <v>0</v>
      </c>
      <c r="E89" s="35"/>
      <c r="F89" s="38" t="str">
        <f aca="false">IF($B89="","",IF(COUNTIF(科目对照回款!$F$2:$H$16,$B89)&gt;0,"√","× 未识别"))</f>
        <v>√</v>
      </c>
    </row>
    <row r="90" customFormat="false" ht="13.5" hidden="false" customHeight="false" outlineLevel="0" collapsed="false">
      <c r="A90" s="35" t="n">
        <v>2039</v>
      </c>
      <c r="B90" s="36" t="s">
        <v>223</v>
      </c>
      <c r="C90" s="37" t="n">
        <v>41825.68</v>
      </c>
      <c r="D90" s="37" t="n">
        <v>0</v>
      </c>
      <c r="E90" s="35"/>
      <c r="F90" s="38" t="str">
        <f aca="false">IF($B90="","",IF(COUNTIF(科目对照回款!$F$2:$H$16,$B90)&gt;0,"√","× 未识别"))</f>
        <v>√</v>
      </c>
    </row>
    <row r="91" customFormat="false" ht="13.5" hidden="false" customHeight="false" outlineLevel="0" collapsed="false">
      <c r="A91" s="35" t="n">
        <v>2039</v>
      </c>
      <c r="B91" s="36" t="s">
        <v>227</v>
      </c>
      <c r="C91" s="37" t="n">
        <v>3765.43</v>
      </c>
      <c r="D91" s="37" t="n">
        <v>0</v>
      </c>
      <c r="E91" s="35"/>
      <c r="F91" s="38" t="str">
        <f aca="false">IF($B91="","",IF(COUNTIF(科目对照回款!$F$2:$H$16,$B91)&gt;0,"√","× 未识别"))</f>
        <v>√</v>
      </c>
    </row>
    <row r="92" customFormat="false" ht="13.5" hidden="false" customHeight="false" outlineLevel="0" collapsed="false">
      <c r="A92" s="35" t="n">
        <v>2039</v>
      </c>
      <c r="B92" s="36" t="s">
        <v>279</v>
      </c>
      <c r="C92" s="37" t="n">
        <v>3231.51</v>
      </c>
      <c r="D92" s="37" t="n">
        <v>0</v>
      </c>
      <c r="E92" s="35"/>
      <c r="F92" s="38" t="str">
        <f aca="false">IF($B92="","",IF(COUNTIF(科目对照回款!$F$2:$H$16,$B92)&gt;0,"√","× 未识别"))</f>
        <v>√</v>
      </c>
    </row>
    <row r="93" customFormat="false" ht="13.5" hidden="false" customHeight="false" outlineLevel="0" collapsed="false">
      <c r="A93" s="35" t="n">
        <v>2040</v>
      </c>
      <c r="B93" s="36" t="s">
        <v>223</v>
      </c>
      <c r="C93" s="37" t="n">
        <v>51124.15</v>
      </c>
      <c r="D93" s="37" t="n">
        <v>0</v>
      </c>
      <c r="E93" s="35"/>
      <c r="F93" s="38" t="str">
        <f aca="false">IF($B93="","",IF(COUNTIF(科目对照回款!$F$2:$H$16,$B93)&gt;0,"√","× 未识别"))</f>
        <v>√</v>
      </c>
    </row>
    <row r="94" customFormat="false" ht="13.5" hidden="false" customHeight="false" outlineLevel="0" collapsed="false">
      <c r="A94" s="35" t="n">
        <v>2040</v>
      </c>
      <c r="B94" s="36" t="s">
        <v>227</v>
      </c>
      <c r="C94" s="37" t="n">
        <v>6844.29</v>
      </c>
      <c r="D94" s="37" t="n">
        <v>0</v>
      </c>
      <c r="E94" s="35"/>
      <c r="F94" s="38" t="str">
        <f aca="false">IF($B94="","",IF(COUNTIF(科目对照回款!$F$2:$H$16,$B94)&gt;0,"√","× 未识别"))</f>
        <v>√</v>
      </c>
    </row>
    <row r="95" customFormat="false" ht="13.5" hidden="false" customHeight="false" outlineLevel="0" collapsed="false">
      <c r="A95" s="35" t="n">
        <v>2040</v>
      </c>
      <c r="B95" s="36" t="s">
        <v>279</v>
      </c>
      <c r="C95" s="37" t="n">
        <v>4726.86</v>
      </c>
      <c r="D95" s="37" t="n">
        <v>0</v>
      </c>
      <c r="E95" s="35"/>
      <c r="F95" s="38" t="str">
        <f aca="false">IF($B95="","",IF(COUNTIF(科目对照回款!$F$2:$H$16,$B95)&gt;0,"√","× 未识别"))</f>
        <v>√</v>
      </c>
    </row>
    <row r="96" customFormat="false" ht="13.5" hidden="false" customHeight="false" outlineLevel="0" collapsed="false">
      <c r="A96" s="35" t="n">
        <v>2041</v>
      </c>
      <c r="B96" s="36" t="s">
        <v>223</v>
      </c>
      <c r="C96" s="37" t="n">
        <v>37197.81</v>
      </c>
      <c r="D96" s="37" t="n">
        <v>0</v>
      </c>
      <c r="E96" s="35"/>
      <c r="F96" s="38" t="str">
        <f aca="false">IF($B96="","",IF(COUNTIF(科目对照回款!$F$2:$H$16,$B96)&gt;0,"√","× 未识别"))</f>
        <v>√</v>
      </c>
    </row>
    <row r="97" customFormat="false" ht="13.5" hidden="false" customHeight="false" outlineLevel="0" collapsed="false">
      <c r="A97" s="35" t="n">
        <v>2042</v>
      </c>
      <c r="B97" s="36" t="s">
        <v>223</v>
      </c>
      <c r="C97" s="37" t="n">
        <v>31450.32</v>
      </c>
      <c r="D97" s="37" t="n">
        <v>0</v>
      </c>
      <c r="E97" s="35"/>
      <c r="F97" s="38" t="str">
        <f aca="false">IF($B97="","",IF(COUNTIF(科目对照回款!$F$2:$H$16,$B97)&gt;0,"√","× 未识别"))</f>
        <v>√</v>
      </c>
    </row>
    <row r="98" customFormat="false" ht="13.5" hidden="false" customHeight="false" outlineLevel="0" collapsed="false">
      <c r="A98" s="35" t="n">
        <v>2042</v>
      </c>
      <c r="B98" s="36" t="s">
        <v>227</v>
      </c>
      <c r="C98" s="37" t="n">
        <v>2403.89</v>
      </c>
      <c r="D98" s="37" t="n">
        <v>0</v>
      </c>
      <c r="E98" s="35"/>
      <c r="F98" s="38" t="str">
        <f aca="false">IF($B98="","",IF(COUNTIF(科目对照回款!$F$2:$H$16,$B98)&gt;0,"√","× 未识别"))</f>
        <v>√</v>
      </c>
    </row>
    <row r="99" customFormat="false" ht="13.5" hidden="false" customHeight="false" outlineLevel="0" collapsed="false">
      <c r="A99" s="35" t="n">
        <v>2042</v>
      </c>
      <c r="B99" s="36" t="s">
        <v>279</v>
      </c>
      <c r="C99" s="37" t="n">
        <v>3258.36</v>
      </c>
      <c r="D99" s="37" t="n">
        <v>0</v>
      </c>
      <c r="E99" s="35"/>
      <c r="F99" s="38" t="str">
        <f aca="false">IF($B99="","",IF(COUNTIF(科目对照回款!$F$2:$H$16,$B99)&gt;0,"√","× 未识别"))</f>
        <v>√</v>
      </c>
    </row>
    <row r="100" customFormat="false" ht="13.5" hidden="false" customHeight="false" outlineLevel="0" collapsed="false">
      <c r="A100" s="35" t="n">
        <v>2043</v>
      </c>
      <c r="B100" s="36" t="s">
        <v>223</v>
      </c>
      <c r="C100" s="37" t="n">
        <v>26201.94</v>
      </c>
      <c r="D100" s="37" t="n">
        <v>0</v>
      </c>
      <c r="E100" s="35"/>
      <c r="F100" s="38" t="str">
        <f aca="false">IF($B100="","",IF(COUNTIF(科目对照回款!$F$2:$H$16,$B100)&gt;0,"√","× 未识别"))</f>
        <v>√</v>
      </c>
    </row>
    <row r="101" customFormat="false" ht="13.5" hidden="false" customHeight="false" outlineLevel="0" collapsed="false">
      <c r="A101" s="35" t="n">
        <v>2043</v>
      </c>
      <c r="B101" s="36" t="s">
        <v>227</v>
      </c>
      <c r="C101" s="37" t="n">
        <v>7558.78</v>
      </c>
      <c r="D101" s="37" t="n">
        <v>0</v>
      </c>
      <c r="E101" s="35"/>
      <c r="F101" s="38" t="str">
        <f aca="false">IF($B101="","",IF(COUNTIF(科目对照回款!$F$2:$H$16,$B101)&gt;0,"√","× 未识别"))</f>
        <v>√</v>
      </c>
    </row>
    <row r="102" customFormat="false" ht="13.5" hidden="false" customHeight="false" outlineLevel="0" collapsed="false">
      <c r="A102" s="35" t="n">
        <v>2043</v>
      </c>
      <c r="B102" s="36" t="s">
        <v>279</v>
      </c>
      <c r="C102" s="37" t="n">
        <v>5507.79</v>
      </c>
      <c r="D102" s="37" t="n">
        <v>0</v>
      </c>
      <c r="E102" s="35"/>
      <c r="F102" s="38" t="str">
        <f aca="false">IF($B102="","",IF(COUNTIF(科目对照回款!$F$2:$H$16,$B102)&gt;0,"√","× 未识别"))</f>
        <v>√</v>
      </c>
    </row>
    <row r="103" customFormat="false" ht="13.5" hidden="false" customHeight="false" outlineLevel="0" collapsed="false">
      <c r="A103" s="35" t="n">
        <v>2043</v>
      </c>
      <c r="B103" s="36" t="s">
        <v>240</v>
      </c>
      <c r="C103" s="37" t="n">
        <v>335.15</v>
      </c>
      <c r="D103" s="37" t="n">
        <v>59.75</v>
      </c>
      <c r="E103" s="35"/>
      <c r="F103" s="38" t="str">
        <f aca="false">IF($B103="","",IF(COUNTIF(科目对照回款!$F$2:$H$16,$B103)&gt;0,"√","× 未识别"))</f>
        <v>√</v>
      </c>
    </row>
    <row r="104" customFormat="false" ht="14.9" hidden="false" customHeight="false" outlineLevel="0" collapsed="false">
      <c r="A104" s="35" t="n">
        <v>2043</v>
      </c>
      <c r="B104" s="35" t="s">
        <v>237</v>
      </c>
      <c r="C104" s="37" t="n">
        <v>2757.55</v>
      </c>
      <c r="D104" s="37" t="n">
        <v>259.51</v>
      </c>
      <c r="E104" s="35"/>
      <c r="F104" s="38" t="str">
        <f aca="false">IF($B104="","",IF(COUNTIF(科目对照回款!$F$2:$H$16,$B104)&gt;0,"√","× 未识别"))</f>
        <v>√</v>
      </c>
    </row>
    <row r="105" customFormat="false" ht="14.9" hidden="false" customHeight="false" outlineLevel="0" collapsed="false">
      <c r="A105" s="35" t="n">
        <v>2043</v>
      </c>
      <c r="B105" s="36" t="s">
        <v>281</v>
      </c>
      <c r="C105" s="37" t="n">
        <v>89131.22</v>
      </c>
      <c r="D105" s="37" t="n">
        <v>0</v>
      </c>
      <c r="E105" s="35"/>
      <c r="F105" s="38" t="str">
        <f aca="false">IF($B105="","",IF(COUNTIF(科目对照回款!$F$2:$H$16,$B105)&gt;0,"√","× 未识别"))</f>
        <v>√</v>
      </c>
    </row>
    <row r="106" customFormat="false" ht="13.5" hidden="false" customHeight="false" outlineLevel="0" collapsed="false">
      <c r="A106" s="35" t="n">
        <v>2044</v>
      </c>
      <c r="B106" s="36" t="s">
        <v>223</v>
      </c>
      <c r="C106" s="37" t="n">
        <v>25828.82</v>
      </c>
      <c r="D106" s="37" t="n">
        <v>0</v>
      </c>
      <c r="E106" s="35"/>
      <c r="F106" s="38" t="str">
        <f aca="false">IF($B106="","",IF(COUNTIF(科目对照回款!$F$2:$H$16,$B106)&gt;0,"√","× 未识别"))</f>
        <v>√</v>
      </c>
    </row>
    <row r="107" customFormat="false" ht="13.5" hidden="false" customHeight="false" outlineLevel="0" collapsed="false">
      <c r="A107" s="35" t="n">
        <v>2046</v>
      </c>
      <c r="B107" s="36" t="s">
        <v>223</v>
      </c>
      <c r="C107" s="37" t="n">
        <v>21850.93</v>
      </c>
      <c r="D107" s="37" t="n">
        <v>0</v>
      </c>
      <c r="E107" s="35"/>
      <c r="F107" s="38" t="str">
        <f aca="false">IF($B107="","",IF(COUNTIF(科目对照回款!$F$2:$H$16,$B107)&gt;0,"√","× 未识别"))</f>
        <v>√</v>
      </c>
    </row>
    <row r="108" customFormat="false" ht="13.5" hidden="false" customHeight="false" outlineLevel="0" collapsed="false">
      <c r="A108" s="35" t="n">
        <v>2046</v>
      </c>
      <c r="B108" s="36" t="s">
        <v>240</v>
      </c>
      <c r="C108" s="37" t="n">
        <v>57.03</v>
      </c>
      <c r="D108" s="37" t="n">
        <v>9.77</v>
      </c>
      <c r="E108" s="35"/>
      <c r="F108" s="38" t="str">
        <f aca="false">IF($B108="","",IF(COUNTIF(科目对照回款!$F$2:$H$16,$B108)&gt;0,"√","× 未识别"))</f>
        <v>√</v>
      </c>
    </row>
    <row r="109" customFormat="false" ht="13.5" hidden="false" customHeight="false" outlineLevel="0" collapsed="false">
      <c r="A109" s="35" t="n">
        <v>2046</v>
      </c>
      <c r="B109" s="36" t="s">
        <v>232</v>
      </c>
      <c r="C109" s="37" t="n">
        <v>754.69</v>
      </c>
      <c r="D109" s="37" t="n">
        <v>102.91</v>
      </c>
      <c r="E109" s="35"/>
      <c r="F109" s="38" t="str">
        <f aca="false">IF($B109="","",IF(COUNTIF(科目对照回款!$F$2:$H$16,$B109)&gt;0,"√","× 未识别"))</f>
        <v>√</v>
      </c>
    </row>
    <row r="110" customFormat="false" ht="13.5" hidden="false" customHeight="false" outlineLevel="0" collapsed="false">
      <c r="A110" s="35" t="n">
        <v>2046</v>
      </c>
      <c r="B110" s="36" t="s">
        <v>232</v>
      </c>
      <c r="C110" s="37" t="n">
        <v>835.27</v>
      </c>
      <c r="D110" s="37" t="n">
        <v>113.9</v>
      </c>
      <c r="E110" s="35"/>
      <c r="F110" s="38" t="str">
        <f aca="false">IF($B110="","",IF(COUNTIF(科目对照回款!$F$2:$H$16,$B110)&gt;0,"√","× 未识别"))</f>
        <v>√</v>
      </c>
    </row>
    <row r="111" customFormat="false" ht="13.5" hidden="false" customHeight="false" outlineLevel="0" collapsed="false">
      <c r="A111" s="35" t="n">
        <v>2047</v>
      </c>
      <c r="B111" s="36" t="s">
        <v>223</v>
      </c>
      <c r="C111" s="37" t="n">
        <v>10968.81</v>
      </c>
      <c r="D111" s="37" t="n">
        <v>0</v>
      </c>
      <c r="E111" s="35"/>
      <c r="F111" s="38" t="str">
        <f aca="false">IF($B111="","",IF(COUNTIF(科目对照回款!$F$2:$H$16,$B111)&gt;0,"√","× 未识别"))</f>
        <v>√</v>
      </c>
    </row>
    <row r="112" customFormat="false" ht="13.5" hidden="false" customHeight="false" outlineLevel="0" collapsed="false">
      <c r="A112" s="35" t="n">
        <v>2047</v>
      </c>
      <c r="B112" s="36" t="s">
        <v>227</v>
      </c>
      <c r="C112" s="37" t="n">
        <v>1263.8</v>
      </c>
      <c r="D112" s="37" t="n">
        <v>0</v>
      </c>
      <c r="E112" s="35"/>
      <c r="F112" s="38" t="str">
        <f aca="false">IF($B112="","",IF(COUNTIF(科目对照回款!$F$2:$H$16,$B112)&gt;0,"√","× 未识别"))</f>
        <v>√</v>
      </c>
    </row>
    <row r="113" customFormat="false" ht="13.5" hidden="false" customHeight="false" outlineLevel="0" collapsed="false">
      <c r="A113" s="35" t="n">
        <v>2047</v>
      </c>
      <c r="B113" s="36" t="s">
        <v>279</v>
      </c>
      <c r="C113" s="37" t="n">
        <v>1881.41</v>
      </c>
      <c r="D113" s="37" t="n">
        <v>0</v>
      </c>
      <c r="E113" s="35"/>
      <c r="F113" s="38" t="str">
        <f aca="false">IF($B113="","",IF(COUNTIF(科目对照回款!$F$2:$H$16,$B113)&gt;0,"√","× 未识别"))</f>
        <v>√</v>
      </c>
    </row>
    <row r="114" customFormat="false" ht="13.5" hidden="false" customHeight="false" outlineLevel="0" collapsed="false">
      <c r="A114" s="35" t="n">
        <v>2050</v>
      </c>
      <c r="B114" s="36" t="s">
        <v>223</v>
      </c>
      <c r="C114" s="37" t="n">
        <v>17000.61</v>
      </c>
      <c r="D114" s="37" t="n">
        <v>0</v>
      </c>
      <c r="E114" s="35"/>
      <c r="F114" s="38" t="str">
        <f aca="false">IF($B114="","",IF(COUNTIF(科目对照回款!$F$2:$H$16,$B114)&gt;0,"√","× 未识别"))</f>
        <v>√</v>
      </c>
    </row>
    <row r="115" customFormat="false" ht="13.5" hidden="false" customHeight="false" outlineLevel="0" collapsed="false">
      <c r="A115" s="35" t="n">
        <v>2050</v>
      </c>
      <c r="B115" s="36" t="s">
        <v>227</v>
      </c>
      <c r="C115" s="37" t="n">
        <v>4747.99</v>
      </c>
      <c r="D115" s="37" t="n">
        <v>0</v>
      </c>
      <c r="E115" s="35"/>
      <c r="F115" s="38" t="str">
        <f aca="false">IF($B115="","",IF(COUNTIF(科目对照回款!$F$2:$H$16,$B115)&gt;0,"√","× 未识别"))</f>
        <v>√</v>
      </c>
    </row>
    <row r="116" customFormat="false" ht="13.5" hidden="false" customHeight="false" outlineLevel="0" collapsed="false">
      <c r="A116" s="35" t="n">
        <v>2050</v>
      </c>
      <c r="B116" s="36" t="s">
        <v>279</v>
      </c>
      <c r="C116" s="37" t="n">
        <v>3203.37</v>
      </c>
      <c r="D116" s="37" t="n">
        <v>0</v>
      </c>
      <c r="E116" s="35"/>
      <c r="F116" s="38" t="str">
        <f aca="false">IF($B116="","",IF(COUNTIF(科目对照回款!$F$2:$H$16,$B116)&gt;0,"√","× 未识别"))</f>
        <v>√</v>
      </c>
    </row>
    <row r="117" customFormat="false" ht="13.5" hidden="false" customHeight="false" outlineLevel="0" collapsed="false">
      <c r="A117" s="35" t="n">
        <v>2050</v>
      </c>
      <c r="B117" s="36" t="s">
        <v>240</v>
      </c>
      <c r="C117" s="37" t="n">
        <v>355.11</v>
      </c>
      <c r="D117" s="37" t="n">
        <v>63.49</v>
      </c>
      <c r="E117" s="35"/>
      <c r="F117" s="38" t="str">
        <f aca="false">IF($B117="","",IF(COUNTIF(科目对照回款!$F$2:$H$16,$B117)&gt;0,"√","× 未识别"))</f>
        <v>√</v>
      </c>
    </row>
    <row r="118" customFormat="false" ht="13.5" hidden="false" customHeight="false" outlineLevel="0" collapsed="false">
      <c r="A118" s="35" t="n">
        <v>2050</v>
      </c>
      <c r="B118" s="36" t="s">
        <v>232</v>
      </c>
      <c r="C118" s="37" t="n">
        <v>54.47</v>
      </c>
      <c r="D118" s="37" t="n">
        <v>7.43</v>
      </c>
      <c r="E118" s="35"/>
      <c r="F118" s="38" t="str">
        <f aca="false">IF($B118="","",IF(COUNTIF(科目对照回款!$F$2:$H$16,$B118)&gt;0,"√","× 未识别"))</f>
        <v>√</v>
      </c>
    </row>
    <row r="119" customFormat="false" ht="13.5" hidden="false" customHeight="false" outlineLevel="0" collapsed="false">
      <c r="A119" s="35" t="n">
        <v>2050</v>
      </c>
      <c r="B119" s="36" t="s">
        <v>232</v>
      </c>
      <c r="C119" s="37" t="n">
        <v>21.91</v>
      </c>
      <c r="D119" s="37" t="n">
        <v>2.99</v>
      </c>
      <c r="E119" s="35"/>
      <c r="F119" s="38" t="str">
        <f aca="false">IF($B119="","",IF(COUNTIF(科目对照回款!$F$2:$H$16,$B119)&gt;0,"√","× 未识别"))</f>
        <v>√</v>
      </c>
    </row>
    <row r="120" customFormat="false" ht="13.5" hidden="false" customHeight="false" outlineLevel="0" collapsed="false">
      <c r="A120" s="35" t="n">
        <v>2053</v>
      </c>
      <c r="B120" s="36" t="s">
        <v>223</v>
      </c>
      <c r="C120" s="37" t="n">
        <v>25267.3</v>
      </c>
      <c r="D120" s="37" t="n">
        <v>0</v>
      </c>
      <c r="E120" s="35"/>
      <c r="F120" s="38" t="str">
        <f aca="false">IF($B120="","",IF(COUNTIF(科目对照回款!$F$2:$H$16,$B120)&gt;0,"√","× 未识别"))</f>
        <v>√</v>
      </c>
    </row>
    <row r="121" customFormat="false" ht="13.5" hidden="false" customHeight="false" outlineLevel="0" collapsed="false">
      <c r="A121" s="35" t="n">
        <v>2053</v>
      </c>
      <c r="B121" s="36" t="s">
        <v>227</v>
      </c>
      <c r="C121" s="37" t="n">
        <v>4816.2</v>
      </c>
      <c r="D121" s="37" t="n">
        <v>0</v>
      </c>
      <c r="E121" s="35"/>
      <c r="F121" s="38" t="str">
        <f aca="false">IF($B121="","",IF(COUNTIF(科目对照回款!$F$2:$H$16,$B121)&gt;0,"√","× 未识别"))</f>
        <v>√</v>
      </c>
    </row>
    <row r="122" customFormat="false" ht="13.5" hidden="false" customHeight="false" outlineLevel="0" collapsed="false">
      <c r="A122" s="35" t="n">
        <v>2053</v>
      </c>
      <c r="B122" s="36" t="s">
        <v>279</v>
      </c>
      <c r="C122" s="37" t="n">
        <v>4237.97</v>
      </c>
      <c r="D122" s="37" t="n">
        <v>0</v>
      </c>
      <c r="E122" s="35"/>
      <c r="F122" s="38" t="str">
        <f aca="false">IF($B122="","",IF(COUNTIF(科目对照回款!$F$2:$H$16,$B122)&gt;0,"√","× 未识别"))</f>
        <v>√</v>
      </c>
    </row>
    <row r="123" customFormat="false" ht="13.5" hidden="false" customHeight="false" outlineLevel="0" collapsed="false">
      <c r="A123" s="35" t="n">
        <v>2053</v>
      </c>
      <c r="B123" s="36" t="s">
        <v>240</v>
      </c>
      <c r="C123" s="37" t="n">
        <v>58.22</v>
      </c>
      <c r="D123" s="37" t="n">
        <v>15.78</v>
      </c>
      <c r="E123" s="35"/>
      <c r="F123" s="38" t="str">
        <f aca="false">IF($B123="","",IF(COUNTIF(科目对照回款!$F$2:$H$16,$B123)&gt;0,"√","× 未识别"))</f>
        <v>√</v>
      </c>
    </row>
    <row r="124" customFormat="false" ht="13.5" hidden="false" customHeight="false" outlineLevel="0" collapsed="false">
      <c r="A124" s="35" t="n">
        <v>2055</v>
      </c>
      <c r="B124" s="36" t="s">
        <v>223</v>
      </c>
      <c r="C124" s="37" t="n">
        <v>25814.11</v>
      </c>
      <c r="D124" s="37" t="n">
        <v>0</v>
      </c>
      <c r="E124" s="35"/>
      <c r="F124" s="38" t="str">
        <f aca="false">IF($B124="","",IF(COUNTIF(科目对照回款!$F$2:$H$16,$B124)&gt;0,"√","× 未识别"))</f>
        <v>√</v>
      </c>
    </row>
    <row r="125" customFormat="false" ht="13.5" hidden="false" customHeight="false" outlineLevel="0" collapsed="false">
      <c r="A125" s="35" t="n">
        <v>2057</v>
      </c>
      <c r="B125" s="36" t="s">
        <v>223</v>
      </c>
      <c r="C125" s="37" t="n">
        <v>13284.83</v>
      </c>
      <c r="D125" s="37" t="n">
        <v>0</v>
      </c>
      <c r="E125" s="35"/>
      <c r="F125" s="38" t="str">
        <f aca="false">IF($B125="","",IF(COUNTIF(科目对照回款!$F$2:$H$16,$B125)&gt;0,"√","× 未识别"))</f>
        <v>√</v>
      </c>
    </row>
    <row r="126" customFormat="false" ht="13.5" hidden="false" customHeight="false" outlineLevel="0" collapsed="false">
      <c r="A126" s="35" t="n">
        <v>2060</v>
      </c>
      <c r="B126" s="36" t="s">
        <v>223</v>
      </c>
      <c r="C126" s="37" t="n">
        <v>23889.36</v>
      </c>
      <c r="D126" s="37" t="n">
        <v>0</v>
      </c>
      <c r="E126" s="35"/>
      <c r="F126" s="38" t="str">
        <f aca="false">IF($B126="","",IF(COUNTIF(科目对照回款!$F$2:$H$16,$B126)&gt;0,"√","× 未识别"))</f>
        <v>√</v>
      </c>
    </row>
    <row r="127" customFormat="false" ht="13.5" hidden="false" customHeight="false" outlineLevel="0" collapsed="false">
      <c r="A127" s="35" t="n">
        <v>2060</v>
      </c>
      <c r="B127" s="36" t="s">
        <v>227</v>
      </c>
      <c r="C127" s="37" t="n">
        <v>4087.97</v>
      </c>
      <c r="D127" s="37" t="n">
        <v>0</v>
      </c>
      <c r="E127" s="35"/>
      <c r="F127" s="38" t="str">
        <f aca="false">IF($B127="","",IF(COUNTIF(科目对照回款!$F$2:$H$16,$B127)&gt;0,"√","× 未识别"))</f>
        <v>√</v>
      </c>
    </row>
    <row r="128" customFormat="false" ht="13.5" hidden="false" customHeight="false" outlineLevel="0" collapsed="false">
      <c r="A128" s="35" t="n">
        <v>2060</v>
      </c>
      <c r="B128" s="36" t="s">
        <v>279</v>
      </c>
      <c r="C128" s="37" t="n">
        <v>4643.22</v>
      </c>
      <c r="D128" s="37" t="n">
        <v>0</v>
      </c>
      <c r="E128" s="35"/>
      <c r="F128" s="38" t="str">
        <f aca="false">IF($B128="","",IF(COUNTIF(科目对照回款!$F$2:$H$16,$B128)&gt;0,"√","× 未识别"))</f>
        <v>√</v>
      </c>
    </row>
    <row r="129" customFormat="false" ht="13.5" hidden="false" customHeight="false" outlineLevel="0" collapsed="false">
      <c r="A129" s="35" t="n">
        <v>2060</v>
      </c>
      <c r="B129" s="36" t="s">
        <v>240</v>
      </c>
      <c r="C129" s="37" t="n">
        <v>64.62</v>
      </c>
      <c r="D129" s="37" t="n">
        <v>14.38</v>
      </c>
      <c r="E129" s="35"/>
      <c r="F129" s="38" t="str">
        <f aca="false">IF($B129="","",IF(COUNTIF(科目对照回款!$F$2:$H$16,$B129)&gt;0,"√","× 未识别"))</f>
        <v>√</v>
      </c>
    </row>
    <row r="130" customFormat="false" ht="13.5" hidden="false" customHeight="false" outlineLevel="0" collapsed="false">
      <c r="A130" s="35" t="n">
        <v>2060</v>
      </c>
      <c r="B130" s="36" t="s">
        <v>242</v>
      </c>
      <c r="C130" s="37" t="n">
        <v>49.83</v>
      </c>
      <c r="D130" s="37" t="n">
        <v>26.67</v>
      </c>
      <c r="E130" s="35"/>
      <c r="F130" s="38" t="str">
        <f aca="false">IF($B130="","",IF(COUNTIF(科目对照回款!$F$2:$H$16,$B130)&gt;0,"√","× 未识别"))</f>
        <v>√</v>
      </c>
    </row>
    <row r="131" customFormat="false" ht="13.5" hidden="false" customHeight="false" outlineLevel="0" collapsed="false">
      <c r="A131" s="35" t="n">
        <v>2062</v>
      </c>
      <c r="B131" s="36" t="s">
        <v>223</v>
      </c>
      <c r="C131" s="37" t="n">
        <v>49256.77</v>
      </c>
      <c r="D131" s="37" t="n">
        <v>0</v>
      </c>
      <c r="E131" s="35"/>
      <c r="F131" s="38" t="str">
        <f aca="false">IF($B131="","",IF(COUNTIF(科目对照回款!$F$2:$H$16,$B131)&gt;0,"√","× 未识别"))</f>
        <v>√</v>
      </c>
    </row>
    <row r="132" customFormat="false" ht="13.5" hidden="false" customHeight="false" outlineLevel="0" collapsed="false">
      <c r="A132" s="35" t="n">
        <v>2062</v>
      </c>
      <c r="B132" s="36" t="s">
        <v>227</v>
      </c>
      <c r="C132" s="37" t="n">
        <v>5345.01</v>
      </c>
      <c r="D132" s="37" t="n">
        <v>0</v>
      </c>
      <c r="E132" s="35"/>
      <c r="F132" s="38" t="str">
        <f aca="false">IF($B132="","",IF(COUNTIF(科目对照回款!$F$2:$H$16,$B132)&gt;0,"√","× 未识别"))</f>
        <v>√</v>
      </c>
    </row>
    <row r="133" customFormat="false" ht="13.5" hidden="false" customHeight="false" outlineLevel="0" collapsed="false">
      <c r="A133" s="35" t="n">
        <v>2062</v>
      </c>
      <c r="B133" s="36" t="s">
        <v>279</v>
      </c>
      <c r="C133" s="37" t="n">
        <v>6415.12</v>
      </c>
      <c r="D133" s="37" t="n">
        <v>0</v>
      </c>
      <c r="E133" s="35"/>
      <c r="F133" s="38" t="str">
        <f aca="false">IF($B133="","",IF(COUNTIF(科目对照回款!$F$2:$H$16,$B133)&gt;0,"√","× 未识别"))</f>
        <v>√</v>
      </c>
    </row>
    <row r="134" customFormat="false" ht="13.5" hidden="false" customHeight="false" outlineLevel="0" collapsed="false">
      <c r="A134" s="35" t="n">
        <v>2062</v>
      </c>
      <c r="B134" s="36" t="s">
        <v>242</v>
      </c>
      <c r="C134" s="37" t="n">
        <v>561.11</v>
      </c>
      <c r="D134" s="37" t="n">
        <v>246.59</v>
      </c>
      <c r="E134" s="35"/>
      <c r="F134" s="38" t="str">
        <f aca="false">IF($B134="","",IF(COUNTIF(科目对照回款!$F$2:$H$16,$B134)&gt;0,"√","× 未识别"))</f>
        <v>√</v>
      </c>
    </row>
    <row r="135" customFormat="false" ht="13.5" hidden="false" customHeight="false" outlineLevel="0" collapsed="false">
      <c r="A135" s="35" t="n">
        <v>2002</v>
      </c>
      <c r="B135" s="36" t="s">
        <v>223</v>
      </c>
      <c r="C135" s="37" t="n">
        <v>99405.36</v>
      </c>
      <c r="D135" s="37" t="n">
        <v>0</v>
      </c>
      <c r="E135" s="35"/>
      <c r="F135" s="38" t="str">
        <f aca="false">IF($B135="","",IF(COUNTIF(科目对照回款!$F$2:$H$16,$B135)&gt;0,"√","× 未识别"))</f>
        <v>√</v>
      </c>
    </row>
    <row r="136" customFormat="false" ht="13.5" hidden="false" customHeight="false" outlineLevel="0" collapsed="false">
      <c r="A136" s="35" t="n">
        <v>2002</v>
      </c>
      <c r="B136" s="36" t="s">
        <v>227</v>
      </c>
      <c r="C136" s="37" t="n">
        <v>30125.97</v>
      </c>
      <c r="D136" s="37" t="n">
        <v>0</v>
      </c>
      <c r="E136" s="35"/>
      <c r="F136" s="38" t="str">
        <f aca="false">IF($B136="","",IF(COUNTIF(科目对照回款!$F$2:$H$16,$B136)&gt;0,"√","× 未识别"))</f>
        <v>√</v>
      </c>
    </row>
    <row r="137" customFormat="false" ht="13.5" hidden="false" customHeight="false" outlineLevel="0" collapsed="false">
      <c r="A137" s="35" t="n">
        <v>2002</v>
      </c>
      <c r="B137" s="36" t="s">
        <v>279</v>
      </c>
      <c r="C137" s="37" t="n">
        <v>20579.62</v>
      </c>
      <c r="D137" s="37" t="n">
        <v>0</v>
      </c>
      <c r="E137" s="35"/>
      <c r="F137" s="38" t="str">
        <f aca="false">IF($B137="","",IF(COUNTIF(科目对照回款!$F$2:$H$16,$B137)&gt;0,"√","× 未识别"))</f>
        <v>√</v>
      </c>
    </row>
    <row r="138" customFormat="false" ht="13.5" hidden="false" customHeight="false" outlineLevel="0" collapsed="false">
      <c r="A138" s="35" t="n">
        <v>2066</v>
      </c>
      <c r="B138" s="36" t="s">
        <v>223</v>
      </c>
      <c r="C138" s="37" t="n">
        <v>33995.53</v>
      </c>
      <c r="D138" s="37" t="n">
        <v>0</v>
      </c>
      <c r="E138" s="35"/>
      <c r="F138" s="38" t="str">
        <f aca="false">IF($B138="","",IF(COUNTIF(科目对照回款!$F$2:$H$16,$B138)&gt;0,"√","× 未识别"))</f>
        <v>√</v>
      </c>
    </row>
    <row r="139" customFormat="false" ht="13.5" hidden="false" customHeight="false" outlineLevel="0" collapsed="false">
      <c r="A139" s="35" t="n">
        <v>2066</v>
      </c>
      <c r="B139" s="36" t="s">
        <v>227</v>
      </c>
      <c r="C139" s="37" t="n">
        <v>5654.8</v>
      </c>
      <c r="D139" s="37" t="n">
        <v>0</v>
      </c>
      <c r="E139" s="35"/>
      <c r="F139" s="38" t="str">
        <f aca="false">IF($B139="","",IF(COUNTIF(科目对照回款!$F$2:$H$16,$B139)&gt;0,"√","× 未识别"))</f>
        <v>√</v>
      </c>
    </row>
    <row r="140" customFormat="false" ht="13.5" hidden="false" customHeight="false" outlineLevel="0" collapsed="false">
      <c r="A140" s="35" t="n">
        <v>2066</v>
      </c>
      <c r="B140" s="36" t="s">
        <v>279</v>
      </c>
      <c r="C140" s="37" t="n">
        <v>5996.41</v>
      </c>
      <c r="D140" s="37" t="n">
        <v>0</v>
      </c>
      <c r="E140" s="35"/>
      <c r="F140" s="38" t="str">
        <f aca="false">IF($B140="","",IF(COUNTIF(科目对照回款!$F$2:$H$16,$B140)&gt;0,"√","× 未识别"))</f>
        <v>√</v>
      </c>
    </row>
    <row r="141" customFormat="false" ht="13.5" hidden="false" customHeight="false" outlineLevel="0" collapsed="false">
      <c r="A141" s="35" t="n">
        <v>2066</v>
      </c>
      <c r="B141" s="36" t="s">
        <v>240</v>
      </c>
      <c r="C141" s="37" t="n">
        <v>79.99</v>
      </c>
      <c r="D141" s="37" t="n">
        <v>20.51</v>
      </c>
      <c r="E141" s="35"/>
      <c r="F141" s="38" t="str">
        <f aca="false">IF($B141="","",IF(COUNTIF(科目对照回款!$F$2:$H$16,$B141)&gt;0,"√","× 未识别"))</f>
        <v>√</v>
      </c>
    </row>
    <row r="142" customFormat="false" ht="13.5" hidden="false" customHeight="false" outlineLevel="0" collapsed="false">
      <c r="A142" s="35" t="n">
        <v>2066</v>
      </c>
      <c r="B142" s="36" t="s">
        <v>242</v>
      </c>
      <c r="C142" s="37" t="n">
        <v>10.4</v>
      </c>
      <c r="D142" s="37" t="n">
        <v>4.6</v>
      </c>
      <c r="E142" s="35"/>
      <c r="F142" s="38" t="str">
        <f aca="false">IF($B142="","",IF(COUNTIF(科目对照回款!$F$2:$H$16,$B142)&gt;0,"√","× 未识别"))</f>
        <v>√</v>
      </c>
    </row>
    <row r="143" customFormat="false" ht="13.5" hidden="false" customHeight="false" outlineLevel="0" collapsed="false">
      <c r="A143" s="35" t="n">
        <v>2067</v>
      </c>
      <c r="B143" s="36" t="s">
        <v>223</v>
      </c>
      <c r="C143" s="37" t="n">
        <v>31986.15</v>
      </c>
      <c r="D143" s="37" t="n">
        <v>0</v>
      </c>
      <c r="E143" s="35"/>
      <c r="F143" s="38" t="str">
        <f aca="false">IF($B143="","",IF(COUNTIF(科目对照回款!$F$2:$H$16,$B143)&gt;0,"√","× 未识别"))</f>
        <v>√</v>
      </c>
    </row>
    <row r="144" customFormat="false" ht="13.5" hidden="false" customHeight="false" outlineLevel="0" collapsed="false">
      <c r="A144" s="35" t="n">
        <v>2067</v>
      </c>
      <c r="B144" s="36" t="s">
        <v>240</v>
      </c>
      <c r="C144" s="37" t="n">
        <v>464.46</v>
      </c>
      <c r="D144" s="37" t="n">
        <v>79.54</v>
      </c>
      <c r="E144" s="35"/>
      <c r="F144" s="38" t="str">
        <f aca="false">IF($B144="","",IF(COUNTIF(科目对照回款!$F$2:$H$16,$B144)&gt;0,"√","× 未识别"))</f>
        <v>√</v>
      </c>
    </row>
    <row r="145" customFormat="false" ht="13.5" hidden="false" customHeight="false" outlineLevel="0" collapsed="false">
      <c r="A145" s="35" t="n">
        <v>2068</v>
      </c>
      <c r="B145" s="36" t="s">
        <v>223</v>
      </c>
      <c r="C145" s="37" t="n">
        <v>52992.17</v>
      </c>
      <c r="D145" s="37" t="n">
        <v>0</v>
      </c>
      <c r="E145" s="35"/>
      <c r="F145" s="38" t="str">
        <f aca="false">IF($B145="","",IF(COUNTIF(科目对照回款!$F$2:$H$16,$B145)&gt;0,"√","× 未识别"))</f>
        <v>√</v>
      </c>
    </row>
    <row r="146" customFormat="false" ht="13.5" hidden="false" customHeight="false" outlineLevel="0" collapsed="false">
      <c r="A146" s="35" t="n">
        <v>2068</v>
      </c>
      <c r="B146" s="36" t="s">
        <v>227</v>
      </c>
      <c r="C146" s="37" t="n">
        <v>6045.27</v>
      </c>
      <c r="D146" s="37" t="n">
        <v>0</v>
      </c>
      <c r="E146" s="35"/>
      <c r="F146" s="38" t="str">
        <f aca="false">IF($B146="","",IF(COUNTIF(科目对照回款!$F$2:$H$16,$B146)&gt;0,"√","× 未识别"))</f>
        <v>√</v>
      </c>
    </row>
    <row r="147" customFormat="false" ht="13.5" hidden="false" customHeight="false" outlineLevel="0" collapsed="false">
      <c r="A147" s="35" t="n">
        <v>2068</v>
      </c>
      <c r="B147" s="36" t="s">
        <v>279</v>
      </c>
      <c r="C147" s="37" t="n">
        <v>6252.38</v>
      </c>
      <c r="D147" s="37" t="n">
        <v>0</v>
      </c>
      <c r="E147" s="35"/>
      <c r="F147" s="38" t="str">
        <f aca="false">IF($B147="","",IF(COUNTIF(科目对照回款!$F$2:$H$16,$B147)&gt;0,"√","× 未识别"))</f>
        <v>√</v>
      </c>
    </row>
    <row r="148" customFormat="false" ht="13.5" hidden="false" customHeight="false" outlineLevel="0" collapsed="false">
      <c r="A148" s="35" t="n">
        <v>2068</v>
      </c>
      <c r="B148" s="36" t="s">
        <v>240</v>
      </c>
      <c r="C148" s="37" t="n">
        <v>18.58</v>
      </c>
      <c r="D148" s="37" t="n">
        <v>5.32</v>
      </c>
      <c r="E148" s="35"/>
      <c r="F148" s="38" t="str">
        <f aca="false">IF($B148="","",IF(COUNTIF(科目对照回款!$F$2:$H$16,$B148)&gt;0,"√","× 未识别"))</f>
        <v>√</v>
      </c>
    </row>
    <row r="149" customFormat="false" ht="13.5" hidden="false" customHeight="false" outlineLevel="0" collapsed="false">
      <c r="A149" s="35" t="n">
        <v>2069</v>
      </c>
      <c r="B149" s="36" t="s">
        <v>223</v>
      </c>
      <c r="C149" s="37" t="n">
        <v>14270.85</v>
      </c>
      <c r="D149" s="37" t="n">
        <v>0</v>
      </c>
      <c r="E149" s="35"/>
      <c r="F149" s="38" t="str">
        <f aca="false">IF($B149="","",IF(COUNTIF(科目对照回款!$F$2:$H$16,$B149)&gt;0,"√","× 未识别"))</f>
        <v>√</v>
      </c>
    </row>
    <row r="150" customFormat="false" ht="13.5" hidden="false" customHeight="false" outlineLevel="0" collapsed="false">
      <c r="A150" s="35"/>
      <c r="B150" s="35"/>
      <c r="C150" s="37"/>
      <c r="D150" s="37"/>
      <c r="E150" s="35"/>
      <c r="F150" s="38" t="str">
        <f aca="false">IF($B150="","",IF(COUNTIF(科目对照回款!$F$2:$H$16,$B150)&gt;0,"√","× 未识别"))</f>
        <v/>
      </c>
    </row>
    <row r="151" customFormat="false" ht="13.5" hidden="false" customHeight="false" outlineLevel="0" collapsed="false">
      <c r="A151" s="35"/>
      <c r="B151" s="35"/>
      <c r="C151" s="37"/>
      <c r="D151" s="37"/>
      <c r="E151" s="35"/>
      <c r="F151" s="38" t="str">
        <f aca="false">IF($B151="","",IF(COUNTIF(科目对照回款!$F$2:$H$16,$B151)&gt;0,"√","× 未识别"))</f>
        <v/>
      </c>
    </row>
    <row r="152" customFormat="false" ht="13.5" hidden="false" customHeight="false" outlineLevel="0" collapsed="false">
      <c r="A152" s="35"/>
      <c r="B152" s="35"/>
      <c r="C152" s="37"/>
      <c r="D152" s="37"/>
      <c r="E152" s="35"/>
      <c r="F152" s="38" t="str">
        <f aca="false">IF($B152="","",IF(COUNTIF(科目对照回款!$F$2:$H$16,$B152)&gt;0,"√","× 未识别"))</f>
        <v/>
      </c>
    </row>
    <row r="153" customFormat="false" ht="13.5" hidden="false" customHeight="false" outlineLevel="0" collapsed="false">
      <c r="A153" s="35"/>
      <c r="B153" s="35"/>
      <c r="C153" s="37"/>
      <c r="D153" s="37"/>
      <c r="E153" s="35"/>
      <c r="F153" s="38" t="str">
        <f aca="false">IF($B153="","",IF(COUNTIF(科目对照回款!$F$2:$H$16,$B153)&gt;0,"√","× 未识别"))</f>
        <v/>
      </c>
    </row>
    <row r="154" customFormat="false" ht="13.5" hidden="false" customHeight="false" outlineLevel="0" collapsed="false">
      <c r="A154" s="35"/>
      <c r="B154" s="35"/>
      <c r="C154" s="37"/>
      <c r="D154" s="37"/>
      <c r="E154" s="35"/>
      <c r="F154" s="38" t="str">
        <f aca="false">IF($B154="","",IF(COUNTIF(科目对照回款!$F$2:$H$16,$B154)&gt;0,"√","× 未识别"))</f>
        <v/>
      </c>
    </row>
    <row r="155" customFormat="false" ht="13.5" hidden="false" customHeight="false" outlineLevel="0" collapsed="false">
      <c r="A155" s="35"/>
      <c r="B155" s="35"/>
      <c r="C155" s="37"/>
      <c r="D155" s="37"/>
      <c r="E155" s="35"/>
      <c r="F155" s="38" t="str">
        <f aca="false">IF($B155="","",IF(COUNTIF(科目对照回款!$F$2:$H$16,$B155)&gt;0,"√","× 未识别"))</f>
        <v/>
      </c>
    </row>
    <row r="156" customFormat="false" ht="13.5" hidden="false" customHeight="false" outlineLevel="0" collapsed="false">
      <c r="A156" s="35"/>
      <c r="B156" s="35"/>
      <c r="C156" s="37"/>
      <c r="D156" s="37"/>
      <c r="E156" s="35"/>
      <c r="F156" s="38" t="str">
        <f aca="false">IF($B156="","",IF(COUNTIF(科目对照回款!$F$2:$H$16,$B156)&gt;0,"√","× 未识别"))</f>
        <v/>
      </c>
    </row>
    <row r="157" customFormat="false" ht="13.5" hidden="false" customHeight="false" outlineLevel="0" collapsed="false">
      <c r="A157" s="35"/>
      <c r="B157" s="35"/>
      <c r="C157" s="37"/>
      <c r="D157" s="37"/>
      <c r="E157" s="35"/>
      <c r="F157" s="38" t="str">
        <f aca="false">IF($B157="","",IF(COUNTIF(科目对照回款!$F$2:$H$16,$B157)&gt;0,"√","× 未识别"))</f>
        <v/>
      </c>
    </row>
    <row r="158" customFormat="false" ht="13.5" hidden="false" customHeight="false" outlineLevel="0" collapsed="false">
      <c r="A158" s="35"/>
      <c r="B158" s="35"/>
      <c r="C158" s="37"/>
      <c r="D158" s="37"/>
      <c r="E158" s="35"/>
      <c r="F158" s="38" t="str">
        <f aca="false">IF($B158="","",IF(COUNTIF(科目对照回款!$F$2:$H$16,$B158)&gt;0,"√","× 未识别"))</f>
        <v/>
      </c>
    </row>
    <row r="159" customFormat="false" ht="13.5" hidden="false" customHeight="false" outlineLevel="0" collapsed="false">
      <c r="A159" s="35"/>
      <c r="B159" s="35"/>
      <c r="C159" s="37"/>
      <c r="D159" s="37"/>
      <c r="E159" s="35"/>
      <c r="F159" s="38" t="str">
        <f aca="false">IF($B159="","",IF(COUNTIF(科目对照回款!$F$2:$H$16,$B159)&gt;0,"√","× 未识别"))</f>
        <v/>
      </c>
    </row>
    <row r="160" customFormat="false" ht="13.5" hidden="false" customHeight="false" outlineLevel="0" collapsed="false">
      <c r="A160" s="35"/>
      <c r="B160" s="35"/>
      <c r="C160" s="37"/>
      <c r="D160" s="37"/>
      <c r="E160" s="35"/>
      <c r="F160" s="38" t="str">
        <f aca="false">IF($B160="","",IF(COUNTIF(科目对照回款!$F$2:$H$16,$B160)&gt;0,"√","× 未识别"))</f>
        <v/>
      </c>
    </row>
    <row r="161" customFormat="false" ht="13.5" hidden="false" customHeight="false" outlineLevel="0" collapsed="false">
      <c r="A161" s="35"/>
      <c r="B161" s="35"/>
      <c r="C161" s="37"/>
      <c r="D161" s="37"/>
      <c r="E161" s="35"/>
      <c r="F161" s="38" t="str">
        <f aca="false">IF($B161="","",IF(COUNTIF(科目对照回款!$F$2:$H$16,$B161)&gt;0,"√","× 未识别"))</f>
        <v/>
      </c>
    </row>
    <row r="162" customFormat="false" ht="13.5" hidden="false" customHeight="false" outlineLevel="0" collapsed="false">
      <c r="A162" s="35"/>
      <c r="B162" s="35"/>
      <c r="C162" s="37"/>
      <c r="D162" s="37"/>
      <c r="E162" s="35"/>
      <c r="F162" s="38" t="str">
        <f aca="false">IF($B162="","",IF(COUNTIF(科目对照回款!$F$2:$H$16,$B162)&gt;0,"√","× 未识别"))</f>
        <v/>
      </c>
    </row>
    <row r="163" customFormat="false" ht="13.5" hidden="false" customHeight="false" outlineLevel="0" collapsed="false">
      <c r="A163" s="35"/>
      <c r="B163" s="35"/>
      <c r="C163" s="37"/>
      <c r="D163" s="37"/>
      <c r="E163" s="35"/>
      <c r="F163" s="38" t="str">
        <f aca="false">IF($B163="","",IF(COUNTIF(科目对照回款!$F$2:$H$16,$B163)&gt;0,"√","× 未识别"))</f>
        <v/>
      </c>
    </row>
    <row r="164" customFormat="false" ht="13.5" hidden="false" customHeight="false" outlineLevel="0" collapsed="false">
      <c r="A164" s="35"/>
      <c r="B164" s="35"/>
      <c r="C164" s="37"/>
      <c r="D164" s="37"/>
      <c r="E164" s="35"/>
      <c r="F164" s="38" t="str">
        <f aca="false">IF($B164="","",IF(COUNTIF(科目对照回款!$F$2:$H$16,$B164)&gt;0,"√","× 未识别"))</f>
        <v/>
      </c>
    </row>
    <row r="165" customFormat="false" ht="13.5" hidden="false" customHeight="false" outlineLevel="0" collapsed="false">
      <c r="A165" s="35"/>
      <c r="B165" s="35"/>
      <c r="C165" s="37"/>
      <c r="D165" s="37"/>
      <c r="E165" s="35"/>
      <c r="F165" s="38" t="str">
        <f aca="false">IF($B165="","",IF(COUNTIF(科目对照回款!$F$2:$H$16,$B165)&gt;0,"√","× 未识别"))</f>
        <v/>
      </c>
    </row>
    <row r="166" customFormat="false" ht="13.5" hidden="false" customHeight="false" outlineLevel="0" collapsed="false">
      <c r="A166" s="35"/>
      <c r="B166" s="35"/>
      <c r="C166" s="37"/>
      <c r="D166" s="37"/>
      <c r="E166" s="35"/>
      <c r="F166" s="38" t="str">
        <f aca="false">IF($B166="","",IF(COUNTIF(科目对照回款!$F$2:$H$16,$B166)&gt;0,"√","× 未识别"))</f>
        <v/>
      </c>
    </row>
    <row r="167" customFormat="false" ht="13.5" hidden="false" customHeight="false" outlineLevel="0" collapsed="false">
      <c r="A167" s="35"/>
      <c r="B167" s="35"/>
      <c r="C167" s="37"/>
      <c r="D167" s="37"/>
      <c r="E167" s="35"/>
      <c r="F167" s="38" t="str">
        <f aca="false">IF($B167="","",IF(COUNTIF(科目对照回款!$F$2:$H$16,$B167)&gt;0,"√","× 未识别"))</f>
        <v/>
      </c>
    </row>
    <row r="168" customFormat="false" ht="13.5" hidden="false" customHeight="false" outlineLevel="0" collapsed="false">
      <c r="A168" s="35"/>
      <c r="B168" s="35"/>
      <c r="C168" s="37"/>
      <c r="D168" s="37"/>
      <c r="E168" s="35"/>
      <c r="F168" s="38" t="str">
        <f aca="false">IF($B168="","",IF(COUNTIF(科目对照回款!$F$2:$H$16,$B168)&gt;0,"√","× 未识别"))</f>
        <v/>
      </c>
    </row>
    <row r="169" customFormat="false" ht="13.5" hidden="false" customHeight="false" outlineLevel="0" collapsed="false">
      <c r="A169" s="35"/>
      <c r="B169" s="35"/>
      <c r="C169" s="37"/>
      <c r="D169" s="37"/>
      <c r="E169" s="35"/>
      <c r="F169" s="38" t="str">
        <f aca="false">IF($B169="","",IF(COUNTIF(科目对照回款!$F$2:$H$16,$B169)&gt;0,"√","× 未识别"))</f>
        <v/>
      </c>
    </row>
    <row r="170" customFormat="false" ht="13.5" hidden="false" customHeight="false" outlineLevel="0" collapsed="false">
      <c r="A170" s="35"/>
      <c r="B170" s="35"/>
      <c r="C170" s="37"/>
      <c r="D170" s="37"/>
      <c r="E170" s="35"/>
      <c r="F170" s="38" t="str">
        <f aca="false">IF($B170="","",IF(COUNTIF(科目对照回款!$F$2:$H$16,$B170)&gt;0,"√","× 未识别"))</f>
        <v/>
      </c>
    </row>
    <row r="171" customFormat="false" ht="13.5" hidden="false" customHeight="false" outlineLevel="0" collapsed="false">
      <c r="A171" s="35"/>
      <c r="B171" s="35"/>
      <c r="C171" s="37"/>
      <c r="D171" s="37"/>
      <c r="E171" s="35"/>
      <c r="F171" s="38" t="str">
        <f aca="false">IF($B171="","",IF(COUNTIF(科目对照回款!$F$2:$H$16,$B171)&gt;0,"√","× 未识别"))</f>
        <v/>
      </c>
    </row>
    <row r="172" customFormat="false" ht="13.5" hidden="false" customHeight="false" outlineLevel="0" collapsed="false">
      <c r="A172" s="35"/>
      <c r="B172" s="35"/>
      <c r="C172" s="37"/>
      <c r="D172" s="37"/>
      <c r="E172" s="35"/>
      <c r="F172" s="38" t="str">
        <f aca="false">IF($B172="","",IF(COUNTIF(科目对照回款!$F$2:$H$16,$B172)&gt;0,"√","× 未识别"))</f>
        <v/>
      </c>
    </row>
    <row r="173" customFormat="false" ht="13.5" hidden="false" customHeight="false" outlineLevel="0" collapsed="false">
      <c r="A173" s="35"/>
      <c r="B173" s="35"/>
      <c r="C173" s="37"/>
      <c r="D173" s="37"/>
      <c r="E173" s="35"/>
      <c r="F173" s="38" t="str">
        <f aca="false">IF($B173="","",IF(COUNTIF(科目对照回款!$F$2:$H$16,$B173)&gt;0,"√","× 未识别"))</f>
        <v/>
      </c>
    </row>
    <row r="174" customFormat="false" ht="13.5" hidden="false" customHeight="false" outlineLevel="0" collapsed="false">
      <c r="A174" s="35"/>
      <c r="B174" s="35"/>
      <c r="C174" s="37"/>
      <c r="D174" s="37"/>
      <c r="E174" s="35"/>
      <c r="F174" s="38" t="str">
        <f aca="false">IF($B174="","",IF(COUNTIF(科目对照回款!$F$2:$H$16,$B174)&gt;0,"√","× 未识别"))</f>
        <v/>
      </c>
    </row>
    <row r="175" customFormat="false" ht="13.5" hidden="false" customHeight="false" outlineLevel="0" collapsed="false">
      <c r="A175" s="35"/>
      <c r="B175" s="35"/>
      <c r="C175" s="37"/>
      <c r="D175" s="37"/>
      <c r="E175" s="35"/>
      <c r="F175" s="38" t="str">
        <f aca="false">IF($B175="","",IF(COUNTIF(科目对照回款!$F$2:$H$16,$B175)&gt;0,"√","× 未识别"))</f>
        <v/>
      </c>
    </row>
    <row r="176" customFormat="false" ht="13.5" hidden="false" customHeight="false" outlineLevel="0" collapsed="false">
      <c r="A176" s="35"/>
      <c r="B176" s="35"/>
      <c r="C176" s="37"/>
      <c r="D176" s="37"/>
      <c r="E176" s="35"/>
      <c r="F176" s="38" t="str">
        <f aca="false">IF($B176="","",IF(COUNTIF(科目对照回款!$F$2:$H$16,$B176)&gt;0,"√","× 未识别"))</f>
        <v/>
      </c>
    </row>
    <row r="177" customFormat="false" ht="13.5" hidden="false" customHeight="false" outlineLevel="0" collapsed="false">
      <c r="A177" s="35"/>
      <c r="B177" s="35"/>
      <c r="C177" s="37"/>
      <c r="D177" s="37"/>
      <c r="E177" s="35"/>
      <c r="F177" s="38" t="str">
        <f aca="false">IF($B177="","",IF(COUNTIF(科目对照回款!$F$2:$H$16,$B177)&gt;0,"√","× 未识别"))</f>
        <v/>
      </c>
    </row>
    <row r="178" customFormat="false" ht="13.5" hidden="false" customHeight="false" outlineLevel="0" collapsed="false">
      <c r="A178" s="35"/>
      <c r="B178" s="35"/>
      <c r="C178" s="37"/>
      <c r="D178" s="37"/>
      <c r="E178" s="35"/>
      <c r="F178" s="38" t="str">
        <f aca="false">IF($B178="","",IF(COUNTIF(科目对照回款!$F$2:$H$16,$B178)&gt;0,"√","× 未识别"))</f>
        <v/>
      </c>
    </row>
    <row r="179" customFormat="false" ht="13.5" hidden="false" customHeight="false" outlineLevel="0" collapsed="false">
      <c r="A179" s="35"/>
      <c r="B179" s="35"/>
      <c r="C179" s="37"/>
      <c r="D179" s="37"/>
      <c r="E179" s="35"/>
      <c r="F179" s="38" t="str">
        <f aca="false">IF($B179="","",IF(COUNTIF(科目对照回款!$F$2:$H$16,$B179)&gt;0,"√","× 未识别"))</f>
        <v/>
      </c>
    </row>
    <row r="180" customFormat="false" ht="13.5" hidden="false" customHeight="false" outlineLevel="0" collapsed="false">
      <c r="A180" s="35"/>
      <c r="B180" s="35"/>
      <c r="C180" s="37"/>
      <c r="D180" s="37"/>
      <c r="E180" s="35"/>
      <c r="F180" s="38" t="str">
        <f aca="false">IF($B180="","",IF(COUNTIF(科目对照回款!$F$2:$H$16,$B180)&gt;0,"√","× 未识别"))</f>
        <v/>
      </c>
    </row>
    <row r="181" customFormat="false" ht="13.5" hidden="false" customHeight="false" outlineLevel="0" collapsed="false">
      <c r="A181" s="35"/>
      <c r="B181" s="35"/>
      <c r="C181" s="37"/>
      <c r="D181" s="37"/>
      <c r="E181" s="35"/>
      <c r="F181" s="38" t="str">
        <f aca="false">IF($B181="","",IF(COUNTIF(科目对照回款!$F$2:$H$16,$B181)&gt;0,"√","× 未识别"))</f>
        <v/>
      </c>
    </row>
    <row r="182" customFormat="false" ht="13.5" hidden="false" customHeight="false" outlineLevel="0" collapsed="false">
      <c r="A182" s="35"/>
      <c r="B182" s="35"/>
      <c r="C182" s="37"/>
      <c r="D182" s="37"/>
      <c r="E182" s="35"/>
      <c r="F182" s="38" t="str">
        <f aca="false">IF($B182="","",IF(COUNTIF(科目对照回款!$F$2:$H$16,$B182)&gt;0,"√","× 未识别"))</f>
        <v/>
      </c>
    </row>
    <row r="183" customFormat="false" ht="13.5" hidden="false" customHeight="false" outlineLevel="0" collapsed="false">
      <c r="A183" s="35"/>
      <c r="B183" s="35"/>
      <c r="C183" s="37"/>
      <c r="D183" s="37"/>
      <c r="E183" s="35"/>
      <c r="F183" s="38" t="str">
        <f aca="false">IF($B183="","",IF(COUNTIF(科目对照回款!$F$2:$H$16,$B183)&gt;0,"√","× 未识别"))</f>
        <v/>
      </c>
    </row>
    <row r="184" customFormat="false" ht="13.5" hidden="false" customHeight="false" outlineLevel="0" collapsed="false">
      <c r="A184" s="35"/>
      <c r="B184" s="35"/>
      <c r="C184" s="37"/>
      <c r="D184" s="37"/>
      <c r="E184" s="35"/>
      <c r="F184" s="38" t="str">
        <f aca="false">IF($B184="","",IF(COUNTIF(科目对照回款!$F$2:$H$16,$B184)&gt;0,"√","× 未识别"))</f>
        <v/>
      </c>
    </row>
    <row r="185" customFormat="false" ht="13.5" hidden="false" customHeight="false" outlineLevel="0" collapsed="false">
      <c r="A185" s="35"/>
      <c r="B185" s="35"/>
      <c r="C185" s="37"/>
      <c r="D185" s="37"/>
      <c r="E185" s="35"/>
      <c r="F185" s="38" t="str">
        <f aca="false">IF($B185="","",IF(COUNTIF(科目对照回款!$F$2:$H$16,$B185)&gt;0,"√","× 未识别"))</f>
        <v/>
      </c>
    </row>
    <row r="186" customFormat="false" ht="13.5" hidden="false" customHeight="false" outlineLevel="0" collapsed="false">
      <c r="A186" s="35"/>
      <c r="B186" s="35"/>
      <c r="C186" s="37"/>
      <c r="D186" s="37"/>
      <c r="E186" s="35"/>
      <c r="F186" s="38" t="str">
        <f aca="false">IF($B186="","",IF(COUNTIF(科目对照回款!$F$2:$H$16,$B186)&gt;0,"√","× 未识别"))</f>
        <v/>
      </c>
    </row>
    <row r="187" customFormat="false" ht="13.5" hidden="false" customHeight="false" outlineLevel="0" collapsed="false">
      <c r="A187" s="35"/>
      <c r="B187" s="35"/>
      <c r="C187" s="37"/>
      <c r="D187" s="37"/>
      <c r="E187" s="35"/>
      <c r="F187" s="38" t="str">
        <f aca="false">IF($B187="","",IF(COUNTIF(科目对照回款!$F$2:$H$16,$B187)&gt;0,"√","× 未识别"))</f>
        <v/>
      </c>
    </row>
    <row r="188" customFormat="false" ht="13.5" hidden="false" customHeight="false" outlineLevel="0" collapsed="false">
      <c r="A188" s="35"/>
      <c r="B188" s="35"/>
      <c r="C188" s="37"/>
      <c r="D188" s="37"/>
      <c r="E188" s="35"/>
      <c r="F188" s="38" t="str">
        <f aca="false">IF($B188="","",IF(COUNTIF(科目对照回款!$F$2:$H$16,$B188)&gt;0,"√","× 未识别"))</f>
        <v/>
      </c>
    </row>
    <row r="189" customFormat="false" ht="13.5" hidden="false" customHeight="false" outlineLevel="0" collapsed="false">
      <c r="A189" s="35"/>
      <c r="B189" s="35"/>
      <c r="C189" s="37"/>
      <c r="D189" s="37"/>
      <c r="E189" s="35"/>
      <c r="F189" s="38" t="str">
        <f aca="false">IF($B189="","",IF(COUNTIF(科目对照回款!$F$2:$H$16,$B189)&gt;0,"√","× 未识别"))</f>
        <v/>
      </c>
    </row>
    <row r="190" customFormat="false" ht="13.5" hidden="false" customHeight="false" outlineLevel="0" collapsed="false">
      <c r="A190" s="35"/>
      <c r="B190" s="35"/>
      <c r="C190" s="37"/>
      <c r="D190" s="37"/>
      <c r="E190" s="35"/>
      <c r="F190" s="38" t="str">
        <f aca="false">IF($B190="","",IF(COUNTIF(科目对照回款!$F$2:$H$16,$B190)&gt;0,"√","× 未识别"))</f>
        <v/>
      </c>
    </row>
    <row r="191" customFormat="false" ht="13.5" hidden="false" customHeight="false" outlineLevel="0" collapsed="false">
      <c r="A191" s="35"/>
      <c r="B191" s="35"/>
      <c r="C191" s="37"/>
      <c r="D191" s="37"/>
      <c r="E191" s="35"/>
      <c r="F191" s="38" t="str">
        <f aca="false">IF($B191="","",IF(COUNTIF(科目对照回款!$F$2:$H$16,$B191)&gt;0,"√","× 未识别"))</f>
        <v/>
      </c>
    </row>
    <row r="192" customFormat="false" ht="13.5" hidden="false" customHeight="false" outlineLevel="0" collapsed="false">
      <c r="A192" s="35"/>
      <c r="B192" s="35"/>
      <c r="C192" s="37"/>
      <c r="D192" s="37"/>
      <c r="E192" s="35"/>
      <c r="F192" s="38" t="str">
        <f aca="false">IF($B192="","",IF(COUNTIF(科目对照回款!$F$2:$H$16,$B192)&gt;0,"√","× 未识别"))</f>
        <v/>
      </c>
    </row>
    <row r="193" customFormat="false" ht="13.5" hidden="false" customHeight="false" outlineLevel="0" collapsed="false">
      <c r="A193" s="35"/>
      <c r="B193" s="35"/>
      <c r="C193" s="37"/>
      <c r="D193" s="37"/>
      <c r="E193" s="35"/>
      <c r="F193" s="38" t="str">
        <f aca="false">IF($B193="","",IF(COUNTIF(科目对照回款!$F$2:$H$16,$B193)&gt;0,"√","× 未识别"))</f>
        <v/>
      </c>
    </row>
    <row r="194" customFormat="false" ht="13.5" hidden="false" customHeight="false" outlineLevel="0" collapsed="false">
      <c r="A194" s="35"/>
      <c r="B194" s="35"/>
      <c r="C194" s="37"/>
      <c r="D194" s="37"/>
      <c r="E194" s="35"/>
      <c r="F194" s="38" t="str">
        <f aca="false">IF($B194="","",IF(COUNTIF(科目对照回款!$F$2:$H$16,$B194)&gt;0,"√","× 未识别"))</f>
        <v/>
      </c>
    </row>
    <row r="195" customFormat="false" ht="13.5" hidden="false" customHeight="false" outlineLevel="0" collapsed="false">
      <c r="A195" s="35"/>
      <c r="B195" s="35"/>
      <c r="C195" s="37"/>
      <c r="D195" s="37"/>
      <c r="E195" s="35"/>
      <c r="F195" s="38" t="str">
        <f aca="false">IF($B195="","",IF(COUNTIF(科目对照回款!$F$2:$H$16,$B195)&gt;0,"√","× 未识别"))</f>
        <v/>
      </c>
    </row>
    <row r="196" customFormat="false" ht="13.5" hidden="false" customHeight="false" outlineLevel="0" collapsed="false">
      <c r="A196" s="35"/>
      <c r="B196" s="35"/>
      <c r="C196" s="37"/>
      <c r="D196" s="37"/>
      <c r="E196" s="35"/>
      <c r="F196" s="38" t="str">
        <f aca="false">IF($B196="","",IF(COUNTIF(科目对照回款!$F$2:$H$16,$B196)&gt;0,"√","× 未识别"))</f>
        <v/>
      </c>
    </row>
    <row r="197" customFormat="false" ht="13.5" hidden="false" customHeight="false" outlineLevel="0" collapsed="false">
      <c r="A197" s="35"/>
      <c r="B197" s="35"/>
      <c r="C197" s="37"/>
      <c r="D197" s="37"/>
      <c r="E197" s="35"/>
      <c r="F197" s="38" t="str">
        <f aca="false">IF($B197="","",IF(COUNTIF(科目对照回款!$F$2:$H$16,$B197)&gt;0,"√","× 未识别"))</f>
        <v/>
      </c>
    </row>
    <row r="198" customFormat="false" ht="13.5" hidden="false" customHeight="false" outlineLevel="0" collapsed="false">
      <c r="A198" s="35"/>
      <c r="B198" s="35"/>
      <c r="C198" s="37"/>
      <c r="D198" s="37"/>
      <c r="E198" s="35"/>
      <c r="F198" s="38" t="str">
        <f aca="false">IF($B198="","",IF(COUNTIF(科目对照回款!$F$2:$H$16,$B198)&gt;0,"√","× 未识别"))</f>
        <v/>
      </c>
    </row>
    <row r="199" customFormat="false" ht="13.5" hidden="false" customHeight="false" outlineLevel="0" collapsed="false">
      <c r="A199" s="35"/>
      <c r="B199" s="35"/>
      <c r="C199" s="37"/>
      <c r="D199" s="37"/>
      <c r="E199" s="35"/>
      <c r="F199" s="38" t="str">
        <f aca="false">IF($B199="","",IF(COUNTIF(科目对照回款!$F$2:$H$16,$B199)&gt;0,"√","× 未识别"))</f>
        <v/>
      </c>
    </row>
    <row r="200" customFormat="false" ht="13.5" hidden="false" customHeight="false" outlineLevel="0" collapsed="false">
      <c r="A200" s="35"/>
      <c r="B200" s="35"/>
      <c r="C200" s="37"/>
      <c r="D200" s="37"/>
      <c r="E200" s="35"/>
      <c r="F200" s="38" t="str">
        <f aca="false">IF($B200="","",IF(COUNTIF(科目对照回款!$F$2:$H$16,$B200)&gt;0,"√","× 未识别"))</f>
        <v/>
      </c>
    </row>
    <row r="201" customFormat="false" ht="13.5" hidden="false" customHeight="false" outlineLevel="0" collapsed="false">
      <c r="A201" s="35"/>
      <c r="B201" s="35"/>
      <c r="C201" s="37"/>
      <c r="D201" s="37"/>
      <c r="E201" s="35"/>
      <c r="F201" s="38" t="str">
        <f aca="false">IF($B201="","",IF(COUNTIF(科目对照回款!$F$2:$H$16,$B201)&gt;0,"√","× 未识别"))</f>
        <v/>
      </c>
    </row>
    <row r="202" customFormat="false" ht="13.5" hidden="false" customHeight="false" outlineLevel="0" collapsed="false">
      <c r="A202" s="35"/>
      <c r="B202" s="35"/>
      <c r="C202" s="37"/>
      <c r="D202" s="37"/>
      <c r="E202" s="35"/>
      <c r="F202" s="38" t="str">
        <f aca="false">IF($B202="","",IF(COUNTIF(科目对照回款!$F$2:$H$16,$B202)&gt;0,"√","× 未识别"))</f>
        <v/>
      </c>
    </row>
    <row r="203" customFormat="false" ht="13.5" hidden="false" customHeight="false" outlineLevel="0" collapsed="false">
      <c r="A203" s="35"/>
      <c r="B203" s="35"/>
      <c r="C203" s="37"/>
      <c r="D203" s="37"/>
      <c r="E203" s="35"/>
      <c r="F203" s="38" t="str">
        <f aca="false">IF($B203="","",IF(COUNTIF(科目对照回款!$F$2:$H$16,$B203)&gt;0,"√","× 未识别"))</f>
        <v/>
      </c>
    </row>
    <row r="204" customFormat="false" ht="13.5" hidden="false" customHeight="false" outlineLevel="0" collapsed="false">
      <c r="A204" s="35"/>
      <c r="B204" s="35"/>
      <c r="C204" s="37"/>
      <c r="D204" s="37"/>
      <c r="E204" s="35"/>
      <c r="F204" s="38" t="str">
        <f aca="false">IF($B204="","",IF(COUNTIF(科目对照回款!$F$2:$H$16,$B204)&gt;0,"√","× 未识别"))</f>
        <v/>
      </c>
    </row>
    <row r="205" customFormat="false" ht="13.5" hidden="false" customHeight="false" outlineLevel="0" collapsed="false">
      <c r="A205" s="35"/>
      <c r="B205" s="35"/>
      <c r="C205" s="37"/>
      <c r="D205" s="37"/>
      <c r="E205" s="35"/>
      <c r="F205" s="38" t="str">
        <f aca="false">IF($B205="","",IF(COUNTIF(科目对照回款!$F$2:$H$16,$B205)&gt;0,"√","× 未识别"))</f>
        <v/>
      </c>
    </row>
    <row r="206" customFormat="false" ht="13.5" hidden="false" customHeight="false" outlineLevel="0" collapsed="false">
      <c r="A206" s="35"/>
      <c r="B206" s="35"/>
      <c r="C206" s="37"/>
      <c r="D206" s="37"/>
      <c r="E206" s="35"/>
      <c r="F206" s="38" t="str">
        <f aca="false">IF($B206="","",IF(COUNTIF(科目对照回款!$F$2:$H$16,$B206)&gt;0,"√","× 未识别"))</f>
        <v/>
      </c>
    </row>
    <row r="207" customFormat="false" ht="13.5" hidden="false" customHeight="false" outlineLevel="0" collapsed="false">
      <c r="A207" s="35"/>
      <c r="B207" s="35"/>
      <c r="C207" s="37"/>
      <c r="D207" s="37"/>
      <c r="E207" s="35"/>
      <c r="F207" s="38" t="str">
        <f aca="false">IF($B207="","",IF(COUNTIF(科目对照回款!$F$2:$H$16,$B207)&gt;0,"√","× 未识别"))</f>
        <v/>
      </c>
    </row>
    <row r="208" customFormat="false" ht="13.5" hidden="false" customHeight="false" outlineLevel="0" collapsed="false">
      <c r="A208" s="35"/>
      <c r="B208" s="35"/>
      <c r="C208" s="37"/>
      <c r="D208" s="37"/>
      <c r="E208" s="35"/>
      <c r="F208" s="38" t="str">
        <f aca="false">IF($B208="","",IF(COUNTIF(科目对照回款!$F$2:$H$16,$B208)&gt;0,"√","× 未识别"))</f>
        <v/>
      </c>
    </row>
    <row r="209" customFormat="false" ht="13.5" hidden="false" customHeight="false" outlineLevel="0" collapsed="false">
      <c r="A209" s="35"/>
      <c r="B209" s="35"/>
      <c r="C209" s="37"/>
      <c r="D209" s="37"/>
      <c r="E209" s="35"/>
      <c r="F209" s="38" t="str">
        <f aca="false">IF($B209="","",IF(COUNTIF(科目对照回款!$F$2:$H$16,$B209)&gt;0,"√","× 未识别"))</f>
        <v/>
      </c>
    </row>
    <row r="210" customFormat="false" ht="13.5" hidden="false" customHeight="false" outlineLevel="0" collapsed="false">
      <c r="A210" s="35"/>
      <c r="B210" s="35"/>
      <c r="C210" s="37"/>
      <c r="D210" s="37"/>
      <c r="E210" s="35"/>
      <c r="F210" s="38" t="str">
        <f aca="false">IF($B210="","",IF(COUNTIF(科目对照回款!$F$2:$H$16,$B210)&gt;0,"√","× 未识别"))</f>
        <v/>
      </c>
    </row>
    <row r="211" customFormat="false" ht="13.5" hidden="false" customHeight="false" outlineLevel="0" collapsed="false">
      <c r="A211" s="35"/>
      <c r="B211" s="35"/>
      <c r="C211" s="37"/>
      <c r="D211" s="37"/>
      <c r="E211" s="35"/>
      <c r="F211" s="38" t="str">
        <f aca="false">IF($B211="","",IF(COUNTIF(科目对照回款!$F$2:$H$16,$B211)&gt;0,"√","× 未识别"))</f>
        <v/>
      </c>
    </row>
    <row r="212" customFormat="false" ht="13.5" hidden="false" customHeight="false" outlineLevel="0" collapsed="false">
      <c r="A212" s="35"/>
      <c r="B212" s="35"/>
      <c r="C212" s="37"/>
      <c r="D212" s="37"/>
      <c r="E212" s="35"/>
      <c r="F212" s="38" t="str">
        <f aca="false">IF($B212="","",IF(COUNTIF(科目对照回款!$F$2:$H$16,$B212)&gt;0,"√","× 未识别"))</f>
        <v/>
      </c>
    </row>
    <row r="213" customFormat="false" ht="13.5" hidden="false" customHeight="false" outlineLevel="0" collapsed="false">
      <c r="A213" s="35"/>
      <c r="B213" s="35"/>
      <c r="C213" s="37"/>
      <c r="D213" s="37"/>
      <c r="E213" s="35"/>
      <c r="F213" s="38" t="str">
        <f aca="false">IF($B213="","",IF(COUNTIF(科目对照回款!$F$2:$H$16,$B213)&gt;0,"√","× 未识别"))</f>
        <v/>
      </c>
    </row>
    <row r="214" customFormat="false" ht="13.5" hidden="false" customHeight="false" outlineLevel="0" collapsed="false">
      <c r="A214" s="35"/>
      <c r="B214" s="35"/>
      <c r="C214" s="37"/>
      <c r="D214" s="37"/>
      <c r="E214" s="35"/>
      <c r="F214" s="38" t="str">
        <f aca="false">IF($B214="","",IF(COUNTIF(科目对照回款!$F$2:$H$16,$B214)&gt;0,"√","× 未识别"))</f>
        <v/>
      </c>
    </row>
    <row r="215" customFormat="false" ht="13.5" hidden="false" customHeight="false" outlineLevel="0" collapsed="false">
      <c r="A215" s="35"/>
      <c r="B215" s="35"/>
      <c r="C215" s="37"/>
      <c r="D215" s="37"/>
      <c r="E215" s="35"/>
      <c r="F215" s="38" t="str">
        <f aca="false">IF($B215="","",IF(COUNTIF(科目对照回款!$F$2:$H$16,$B215)&gt;0,"√","× 未识别"))</f>
        <v/>
      </c>
    </row>
    <row r="216" customFormat="false" ht="13.5" hidden="false" customHeight="false" outlineLevel="0" collapsed="false">
      <c r="A216" s="35"/>
      <c r="B216" s="35"/>
      <c r="C216" s="37"/>
      <c r="D216" s="37"/>
      <c r="E216" s="35"/>
      <c r="F216" s="38" t="str">
        <f aca="false">IF($B216="","",IF(COUNTIF(科目对照回款!$F$2:$H$16,$B216)&gt;0,"√","× 未识别"))</f>
        <v/>
      </c>
    </row>
    <row r="217" customFormat="false" ht="13.5" hidden="false" customHeight="false" outlineLevel="0" collapsed="false">
      <c r="A217" s="35"/>
      <c r="B217" s="35"/>
      <c r="C217" s="37"/>
      <c r="D217" s="37"/>
      <c r="E217" s="35"/>
      <c r="F217" s="38" t="str">
        <f aca="false">IF($B217="","",IF(COUNTIF(科目对照回款!$F$2:$H$16,$B217)&gt;0,"√","× 未识别"))</f>
        <v/>
      </c>
    </row>
    <row r="218" customFormat="false" ht="13.5" hidden="false" customHeight="false" outlineLevel="0" collapsed="false">
      <c r="A218" s="35"/>
      <c r="B218" s="35"/>
      <c r="C218" s="37"/>
      <c r="D218" s="37"/>
      <c r="E218" s="35"/>
      <c r="F218" s="38" t="str">
        <f aca="false">IF($B218="","",IF(COUNTIF(科目对照回款!$F$2:$H$16,$B218)&gt;0,"√","× 未识别"))</f>
        <v/>
      </c>
    </row>
    <row r="219" customFormat="false" ht="13.5" hidden="false" customHeight="false" outlineLevel="0" collapsed="false">
      <c r="A219" s="35"/>
      <c r="B219" s="35"/>
      <c r="C219" s="37"/>
      <c r="D219" s="37"/>
      <c r="E219" s="35"/>
      <c r="F219" s="38" t="str">
        <f aca="false">IF($B219="","",IF(COUNTIF(科目对照回款!$F$2:$H$16,$B219)&gt;0,"√","× 未识别"))</f>
        <v/>
      </c>
    </row>
    <row r="220" customFormat="false" ht="13.5" hidden="false" customHeight="false" outlineLevel="0" collapsed="false">
      <c r="A220" s="35"/>
      <c r="B220" s="35"/>
      <c r="C220" s="37"/>
      <c r="D220" s="37"/>
      <c r="E220" s="35"/>
      <c r="F220" s="38" t="str">
        <f aca="false">IF($B220="","",IF(COUNTIF(科目对照回款!$F$2:$H$16,$B220)&gt;0,"√","× 未识别"))</f>
        <v/>
      </c>
    </row>
    <row r="221" customFormat="false" ht="13.5" hidden="false" customHeight="false" outlineLevel="0" collapsed="false">
      <c r="A221" s="35"/>
      <c r="B221" s="35"/>
      <c r="C221" s="37"/>
      <c r="D221" s="37"/>
      <c r="E221" s="35"/>
      <c r="F221" s="38" t="str">
        <f aca="false">IF($B221="","",IF(COUNTIF(科目对照回款!$F$2:$H$16,$B221)&gt;0,"√","× 未识别"))</f>
        <v/>
      </c>
    </row>
    <row r="222" customFormat="false" ht="13.5" hidden="false" customHeight="false" outlineLevel="0" collapsed="false">
      <c r="A222" s="35"/>
      <c r="B222" s="35"/>
      <c r="C222" s="37"/>
      <c r="D222" s="37"/>
      <c r="E222" s="35"/>
      <c r="F222" s="38" t="str">
        <f aca="false">IF($B222="","",IF(COUNTIF(科目对照回款!$F$2:$H$16,$B222)&gt;0,"√","× 未识别"))</f>
        <v/>
      </c>
    </row>
    <row r="223" customFormat="false" ht="13.5" hidden="false" customHeight="false" outlineLevel="0" collapsed="false">
      <c r="A223" s="35"/>
      <c r="B223" s="35"/>
      <c r="C223" s="37"/>
      <c r="D223" s="37"/>
      <c r="E223" s="35"/>
      <c r="F223" s="38" t="str">
        <f aca="false">IF($B223="","",IF(COUNTIF(科目对照回款!$F$2:$H$16,$B223)&gt;0,"√","× 未识别"))</f>
        <v/>
      </c>
    </row>
    <row r="224" customFormat="false" ht="13.5" hidden="false" customHeight="false" outlineLevel="0" collapsed="false">
      <c r="A224" s="35"/>
      <c r="B224" s="35"/>
      <c r="C224" s="37"/>
      <c r="D224" s="37"/>
      <c r="E224" s="35"/>
      <c r="F224" s="38" t="str">
        <f aca="false">IF($B224="","",IF(COUNTIF(科目对照回款!$F$2:$H$16,$B224)&gt;0,"√","× 未识别"))</f>
        <v/>
      </c>
    </row>
    <row r="225" customFormat="false" ht="13.5" hidden="false" customHeight="false" outlineLevel="0" collapsed="false">
      <c r="A225" s="35"/>
      <c r="B225" s="35"/>
      <c r="C225" s="37"/>
      <c r="D225" s="37"/>
      <c r="E225" s="35"/>
      <c r="F225" s="38" t="str">
        <f aca="false">IF($B225="","",IF(COUNTIF(科目对照回款!$F$2:$H$16,$B225)&gt;0,"√","× 未识别"))</f>
        <v/>
      </c>
    </row>
    <row r="226" customFormat="false" ht="13.5" hidden="false" customHeight="false" outlineLevel="0" collapsed="false">
      <c r="A226" s="35"/>
      <c r="B226" s="35"/>
      <c r="C226" s="37"/>
      <c r="D226" s="37"/>
      <c r="E226" s="35"/>
      <c r="F226" s="38" t="str">
        <f aca="false">IF($B226="","",IF(COUNTIF(科目对照回款!$F$2:$H$16,$B226)&gt;0,"√","× 未识别"))</f>
        <v/>
      </c>
    </row>
    <row r="227" customFormat="false" ht="13.5" hidden="false" customHeight="false" outlineLevel="0" collapsed="false">
      <c r="A227" s="35"/>
      <c r="B227" s="35"/>
      <c r="C227" s="37"/>
      <c r="D227" s="37"/>
      <c r="E227" s="35"/>
      <c r="F227" s="38" t="str">
        <f aca="false">IF($B227="","",IF(COUNTIF(科目对照回款!$F$2:$H$16,$B227)&gt;0,"√","× 未识别"))</f>
        <v/>
      </c>
    </row>
    <row r="228" customFormat="false" ht="13.5" hidden="false" customHeight="false" outlineLevel="0" collapsed="false">
      <c r="A228" s="35"/>
      <c r="B228" s="35"/>
      <c r="C228" s="37"/>
      <c r="D228" s="37"/>
      <c r="E228" s="35"/>
      <c r="F228" s="38" t="str">
        <f aca="false">IF($B228="","",IF(COUNTIF(科目对照回款!$F$2:$H$16,$B228)&gt;0,"√","× 未识别"))</f>
        <v/>
      </c>
    </row>
    <row r="229" customFormat="false" ht="13.5" hidden="false" customHeight="false" outlineLevel="0" collapsed="false">
      <c r="A229" s="35"/>
      <c r="B229" s="35"/>
      <c r="C229" s="37"/>
      <c r="D229" s="37"/>
      <c r="E229" s="35"/>
      <c r="F229" s="38" t="str">
        <f aca="false">IF($B229="","",IF(COUNTIF(科目对照回款!$F$2:$H$16,$B229)&gt;0,"√","× 未识别"))</f>
        <v/>
      </c>
    </row>
    <row r="230" customFormat="false" ht="13.5" hidden="false" customHeight="false" outlineLevel="0" collapsed="false">
      <c r="A230" s="35"/>
      <c r="B230" s="35"/>
      <c r="C230" s="37"/>
      <c r="D230" s="37"/>
      <c r="E230" s="35"/>
      <c r="F230" s="38" t="str">
        <f aca="false">IF($B230="","",IF(COUNTIF(科目对照回款!$F$2:$H$16,$B230)&gt;0,"√","× 未识别"))</f>
        <v/>
      </c>
    </row>
    <row r="231" customFormat="false" ht="13.5" hidden="false" customHeight="false" outlineLevel="0" collapsed="false">
      <c r="A231" s="35"/>
      <c r="B231" s="35"/>
      <c r="C231" s="37"/>
      <c r="D231" s="37"/>
      <c r="E231" s="35"/>
      <c r="F231" s="38" t="str">
        <f aca="false">IF($B231="","",IF(COUNTIF(科目对照回款!$F$2:$H$16,$B231)&gt;0,"√","× 未识别"))</f>
        <v/>
      </c>
    </row>
    <row r="232" customFormat="false" ht="13.5" hidden="false" customHeight="false" outlineLevel="0" collapsed="false">
      <c r="A232" s="35"/>
      <c r="B232" s="35"/>
      <c r="C232" s="37"/>
      <c r="D232" s="37"/>
      <c r="E232" s="35"/>
      <c r="F232" s="38" t="str">
        <f aca="false">IF($B232="","",IF(COUNTIF(科目对照回款!$F$2:$H$16,$B232)&gt;0,"√","× 未识别"))</f>
        <v/>
      </c>
    </row>
    <row r="233" customFormat="false" ht="13.5" hidden="false" customHeight="false" outlineLevel="0" collapsed="false">
      <c r="A233" s="35"/>
      <c r="B233" s="35"/>
      <c r="C233" s="37"/>
      <c r="D233" s="37"/>
      <c r="E233" s="35"/>
      <c r="F233" s="38" t="str">
        <f aca="false">IF($B233="","",IF(COUNTIF(科目对照回款!$F$2:$H$16,$B233)&gt;0,"√","× 未识别"))</f>
        <v/>
      </c>
    </row>
    <row r="234" customFormat="false" ht="13.5" hidden="false" customHeight="false" outlineLevel="0" collapsed="false">
      <c r="A234" s="35"/>
      <c r="B234" s="35"/>
      <c r="C234" s="37"/>
      <c r="D234" s="37"/>
      <c r="E234" s="35"/>
      <c r="F234" s="38" t="str">
        <f aca="false">IF($B234="","",IF(COUNTIF(科目对照回款!$F$2:$H$16,$B234)&gt;0,"√","× 未识别"))</f>
        <v/>
      </c>
    </row>
    <row r="235" customFormat="false" ht="13.5" hidden="false" customHeight="false" outlineLevel="0" collapsed="false">
      <c r="A235" s="35"/>
      <c r="B235" s="35"/>
      <c r="C235" s="37"/>
      <c r="D235" s="37"/>
      <c r="E235" s="35"/>
      <c r="F235" s="38" t="str">
        <f aca="false">IF($B235="","",IF(COUNTIF(科目对照回款!$F$2:$H$16,$B235)&gt;0,"√","× 未识别"))</f>
        <v/>
      </c>
    </row>
    <row r="236" customFormat="false" ht="13.5" hidden="false" customHeight="false" outlineLevel="0" collapsed="false">
      <c r="A236" s="35"/>
      <c r="B236" s="35"/>
      <c r="C236" s="37"/>
      <c r="D236" s="37"/>
      <c r="E236" s="35"/>
      <c r="F236" s="38" t="str">
        <f aca="false">IF($B236="","",IF(COUNTIF(科目对照回款!$F$2:$H$16,$B236)&gt;0,"√","× 未识别"))</f>
        <v/>
      </c>
    </row>
    <row r="237" customFormat="false" ht="13.5" hidden="false" customHeight="false" outlineLevel="0" collapsed="false">
      <c r="A237" s="35"/>
      <c r="B237" s="35"/>
      <c r="C237" s="37"/>
      <c r="D237" s="37"/>
      <c r="E237" s="35"/>
      <c r="F237" s="38" t="str">
        <f aca="false">IF($B237="","",IF(COUNTIF(科目对照回款!$F$2:$H$16,$B237)&gt;0,"√","× 未识别"))</f>
        <v/>
      </c>
    </row>
    <row r="238" customFormat="false" ht="13.5" hidden="false" customHeight="false" outlineLevel="0" collapsed="false">
      <c r="A238" s="35"/>
      <c r="B238" s="35"/>
      <c r="C238" s="37"/>
      <c r="D238" s="37"/>
      <c r="E238" s="35"/>
      <c r="F238" s="38" t="str">
        <f aca="false">IF($B238="","",IF(COUNTIF(科目对照回款!$F$2:$H$16,$B238)&gt;0,"√","× 未识别"))</f>
        <v/>
      </c>
    </row>
    <row r="239" customFormat="false" ht="13.5" hidden="false" customHeight="false" outlineLevel="0" collapsed="false">
      <c r="A239" s="35"/>
      <c r="B239" s="35"/>
      <c r="C239" s="37"/>
      <c r="D239" s="37"/>
      <c r="E239" s="35"/>
      <c r="F239" s="38" t="str">
        <f aca="false">IF($B239="","",IF(COUNTIF(科目对照回款!$F$2:$H$16,$B239)&gt;0,"√","× 未识别"))</f>
        <v/>
      </c>
    </row>
    <row r="240" customFormat="false" ht="13.5" hidden="false" customHeight="false" outlineLevel="0" collapsed="false">
      <c r="A240" s="35"/>
      <c r="B240" s="35"/>
      <c r="C240" s="37"/>
      <c r="D240" s="37"/>
      <c r="E240" s="35"/>
      <c r="F240" s="38" t="str">
        <f aca="false">IF($B240="","",IF(COUNTIF(科目对照回款!$F$2:$H$16,$B240)&gt;0,"√","× 未识别"))</f>
        <v/>
      </c>
    </row>
    <row r="241" customFormat="false" ht="13.5" hidden="false" customHeight="false" outlineLevel="0" collapsed="false">
      <c r="A241" s="35"/>
      <c r="B241" s="35"/>
      <c r="C241" s="37"/>
      <c r="D241" s="37"/>
      <c r="E241" s="35"/>
      <c r="F241" s="38" t="str">
        <f aca="false">IF($B241="","",IF(COUNTIF(科目对照回款!$F$2:$H$16,$B241)&gt;0,"√","× 未识别"))</f>
        <v/>
      </c>
    </row>
    <row r="242" customFormat="false" ht="13.5" hidden="false" customHeight="false" outlineLevel="0" collapsed="false">
      <c r="A242" s="35"/>
      <c r="B242" s="35"/>
      <c r="C242" s="37"/>
      <c r="D242" s="37"/>
      <c r="E242" s="35"/>
      <c r="F242" s="38" t="str">
        <f aca="false">IF($B242="","",IF(COUNTIF(科目对照回款!$F$2:$H$16,$B242)&gt;0,"√","× 未识别"))</f>
        <v/>
      </c>
    </row>
    <row r="243" customFormat="false" ht="13.5" hidden="false" customHeight="false" outlineLevel="0" collapsed="false">
      <c r="A243" s="35"/>
      <c r="B243" s="35"/>
      <c r="C243" s="37"/>
      <c r="D243" s="37"/>
      <c r="E243" s="35"/>
      <c r="F243" s="38" t="str">
        <f aca="false">IF($B243="","",IF(COUNTIF(科目对照回款!$F$2:$H$16,$B243)&gt;0,"√","× 未识别"))</f>
        <v/>
      </c>
    </row>
    <row r="244" customFormat="false" ht="13.5" hidden="false" customHeight="false" outlineLevel="0" collapsed="false">
      <c r="A244" s="35"/>
      <c r="B244" s="35"/>
      <c r="C244" s="37"/>
      <c r="D244" s="37"/>
      <c r="E244" s="35"/>
      <c r="F244" s="38" t="str">
        <f aca="false">IF($B244="","",IF(COUNTIF(科目对照回款!$F$2:$H$16,$B244)&gt;0,"√","× 未识别"))</f>
        <v/>
      </c>
    </row>
    <row r="245" customFormat="false" ht="13.5" hidden="false" customHeight="false" outlineLevel="0" collapsed="false">
      <c r="A245" s="35"/>
      <c r="B245" s="35"/>
      <c r="C245" s="37"/>
      <c r="D245" s="37"/>
      <c r="E245" s="35"/>
      <c r="F245" s="38" t="str">
        <f aca="false">IF($B245="","",IF(COUNTIF(科目对照回款!$F$2:$H$16,$B245)&gt;0,"√","× 未识别"))</f>
        <v/>
      </c>
    </row>
    <row r="246" customFormat="false" ht="13.5" hidden="false" customHeight="false" outlineLevel="0" collapsed="false">
      <c r="A246" s="35"/>
      <c r="B246" s="35"/>
      <c r="C246" s="37"/>
      <c r="D246" s="37"/>
      <c r="E246" s="35"/>
      <c r="F246" s="38" t="str">
        <f aca="false">IF($B246="","",IF(COUNTIF(科目对照回款!$F$2:$H$16,$B246)&gt;0,"√","× 未识别"))</f>
        <v/>
      </c>
    </row>
    <row r="247" customFormat="false" ht="13.5" hidden="false" customHeight="false" outlineLevel="0" collapsed="false">
      <c r="A247" s="35"/>
      <c r="B247" s="35"/>
      <c r="C247" s="37"/>
      <c r="D247" s="37"/>
      <c r="E247" s="35"/>
      <c r="F247" s="38" t="str">
        <f aca="false">IF($B247="","",IF(COUNTIF(科目对照回款!$F$2:$H$16,$B247)&gt;0,"√","× 未识别"))</f>
        <v/>
      </c>
    </row>
    <row r="248" customFormat="false" ht="13.5" hidden="false" customHeight="false" outlineLevel="0" collapsed="false">
      <c r="A248" s="35"/>
      <c r="B248" s="35"/>
      <c r="C248" s="37"/>
      <c r="D248" s="37"/>
      <c r="E248" s="35"/>
      <c r="F248" s="38" t="str">
        <f aca="false">IF($B248="","",IF(COUNTIF(科目对照回款!$F$2:$H$16,$B248)&gt;0,"√","× 未识别"))</f>
        <v/>
      </c>
    </row>
    <row r="249" customFormat="false" ht="13.5" hidden="false" customHeight="false" outlineLevel="0" collapsed="false">
      <c r="A249" s="35"/>
      <c r="B249" s="35"/>
      <c r="C249" s="37"/>
      <c r="D249" s="37"/>
      <c r="E249" s="35"/>
      <c r="F249" s="38" t="str">
        <f aca="false">IF($B249="","",IF(COUNTIF(科目对照回款!$F$2:$H$16,$B249)&gt;0,"√","× 未识别"))</f>
        <v/>
      </c>
    </row>
    <row r="250" customFormat="false" ht="13.5" hidden="false" customHeight="false" outlineLevel="0" collapsed="false">
      <c r="A250" s="35"/>
      <c r="B250" s="35"/>
      <c r="C250" s="37"/>
      <c r="D250" s="37"/>
      <c r="E250" s="35"/>
      <c r="F250" s="38" t="str">
        <f aca="false">IF($B250="","",IF(COUNTIF(科目对照回款!$F$2:$H$16,$B250)&gt;0,"√","× 未识别"))</f>
        <v/>
      </c>
    </row>
    <row r="251" customFormat="false" ht="13.5" hidden="false" customHeight="false" outlineLevel="0" collapsed="false">
      <c r="A251" s="35"/>
      <c r="B251" s="35"/>
      <c r="C251" s="37"/>
      <c r="D251" s="37"/>
      <c r="E251" s="35"/>
      <c r="F251" s="38" t="str">
        <f aca="false">IF($B251="","",IF(COUNTIF(科目对照回款!$F$2:$H$16,$B251)&gt;0,"√","× 未识别"))</f>
        <v/>
      </c>
    </row>
    <row r="252" customFormat="false" ht="13.5" hidden="false" customHeight="false" outlineLevel="0" collapsed="false">
      <c r="A252" s="35"/>
      <c r="B252" s="35"/>
      <c r="C252" s="37"/>
      <c r="D252" s="37"/>
      <c r="E252" s="35"/>
      <c r="F252" s="38" t="str">
        <f aca="false">IF($B252="","",IF(COUNTIF(科目对照回款!$F$2:$H$16,$B252)&gt;0,"√","× 未识别"))</f>
        <v/>
      </c>
    </row>
    <row r="253" customFormat="false" ht="13.5" hidden="false" customHeight="false" outlineLevel="0" collapsed="false">
      <c r="A253" s="35"/>
      <c r="B253" s="35"/>
      <c r="C253" s="37"/>
      <c r="D253" s="37"/>
      <c r="E253" s="35"/>
      <c r="F253" s="38" t="str">
        <f aca="false">IF($B253="","",IF(COUNTIF(科目对照回款!$F$2:$H$16,$B253)&gt;0,"√","× 未识别"))</f>
        <v/>
      </c>
    </row>
    <row r="254" customFormat="false" ht="13.5" hidden="false" customHeight="false" outlineLevel="0" collapsed="false">
      <c r="A254" s="35"/>
      <c r="B254" s="35"/>
      <c r="C254" s="37"/>
      <c r="D254" s="37"/>
      <c r="E254" s="35"/>
      <c r="F254" s="38" t="str">
        <f aca="false">IF($B254="","",IF(COUNTIF(科目对照回款!$F$2:$H$16,$B254)&gt;0,"√","× 未识别"))</f>
        <v/>
      </c>
    </row>
    <row r="255" customFormat="false" ht="13.5" hidden="false" customHeight="false" outlineLevel="0" collapsed="false">
      <c r="A255" s="35"/>
      <c r="B255" s="35"/>
      <c r="C255" s="37"/>
      <c r="D255" s="37"/>
      <c r="E255" s="35"/>
      <c r="F255" s="38" t="str">
        <f aca="false">IF($B255="","",IF(COUNTIF(科目对照回款!$F$2:$H$16,$B255)&gt;0,"√","× 未识别"))</f>
        <v/>
      </c>
    </row>
    <row r="256" customFormat="false" ht="13.5" hidden="false" customHeight="false" outlineLevel="0" collapsed="false">
      <c r="A256" s="35"/>
      <c r="B256" s="35"/>
      <c r="C256" s="37"/>
      <c r="D256" s="37"/>
      <c r="E256" s="35"/>
      <c r="F256" s="38" t="str">
        <f aca="false">IF($B256="","",IF(COUNTIF(科目对照回款!$F$2:$H$16,$B256)&gt;0,"√","× 未识别"))</f>
        <v/>
      </c>
    </row>
    <row r="257" customFormat="false" ht="13.5" hidden="false" customHeight="false" outlineLevel="0" collapsed="false">
      <c r="A257" s="35"/>
      <c r="B257" s="35"/>
      <c r="C257" s="37"/>
      <c r="D257" s="37"/>
      <c r="E257" s="35"/>
      <c r="F257" s="38" t="str">
        <f aca="false">IF($B257="","",IF(COUNTIF(科目对照回款!$F$2:$H$16,$B257)&gt;0,"√","× 未识别"))</f>
        <v/>
      </c>
    </row>
    <row r="258" customFormat="false" ht="13.5" hidden="false" customHeight="false" outlineLevel="0" collapsed="false">
      <c r="A258" s="35"/>
      <c r="B258" s="35"/>
      <c r="C258" s="37"/>
      <c r="D258" s="37"/>
      <c r="E258" s="35"/>
      <c r="F258" s="38" t="str">
        <f aca="false">IF($B258="","",IF(COUNTIF(科目对照回款!$F$2:$H$16,$B258)&gt;0,"√","× 未识别"))</f>
        <v/>
      </c>
    </row>
    <row r="259" customFormat="false" ht="13.5" hidden="false" customHeight="false" outlineLevel="0" collapsed="false">
      <c r="A259" s="35"/>
      <c r="B259" s="35"/>
      <c r="C259" s="37"/>
      <c r="D259" s="37"/>
      <c r="E259" s="35"/>
      <c r="F259" s="38" t="str">
        <f aca="false">IF($B259="","",IF(COUNTIF(科目对照回款!$F$2:$H$16,$B259)&gt;0,"√","× 未识别"))</f>
        <v/>
      </c>
    </row>
    <row r="260" customFormat="false" ht="13.5" hidden="false" customHeight="false" outlineLevel="0" collapsed="false">
      <c r="A260" s="35"/>
      <c r="B260" s="35"/>
      <c r="C260" s="37"/>
      <c r="D260" s="37"/>
      <c r="E260" s="35"/>
      <c r="F260" s="38" t="str">
        <f aca="false">IF($B260="","",IF(COUNTIF(科目对照回款!$F$2:$H$16,$B260)&gt;0,"√","× 未识别"))</f>
        <v/>
      </c>
    </row>
    <row r="261" customFormat="false" ht="13.5" hidden="false" customHeight="false" outlineLevel="0" collapsed="false">
      <c r="A261" s="35"/>
      <c r="B261" s="35"/>
      <c r="C261" s="37"/>
      <c r="D261" s="37"/>
      <c r="E261" s="35"/>
      <c r="F261" s="38" t="str">
        <f aca="false">IF($B261="","",IF(COUNTIF(科目对照回款!$F$2:$H$16,$B261)&gt;0,"√","× 未识别"))</f>
        <v/>
      </c>
    </row>
    <row r="262" customFormat="false" ht="13.5" hidden="false" customHeight="false" outlineLevel="0" collapsed="false">
      <c r="A262" s="35"/>
      <c r="B262" s="35"/>
      <c r="C262" s="37"/>
      <c r="D262" s="37"/>
      <c r="E262" s="35"/>
      <c r="F262" s="38" t="str">
        <f aca="false">IF($B262="","",IF(COUNTIF(科目对照回款!$F$2:$H$16,$B262)&gt;0,"√","× 未识别"))</f>
        <v/>
      </c>
    </row>
    <row r="263" customFormat="false" ht="13.5" hidden="false" customHeight="false" outlineLevel="0" collapsed="false">
      <c r="A263" s="35"/>
      <c r="B263" s="35"/>
      <c r="C263" s="37"/>
      <c r="D263" s="37"/>
      <c r="E263" s="35"/>
      <c r="F263" s="38" t="str">
        <f aca="false">IF($B263="","",IF(COUNTIF(科目对照回款!$F$2:$H$16,$B263)&gt;0,"√","× 未识别"))</f>
        <v/>
      </c>
    </row>
    <row r="264" customFormat="false" ht="13.5" hidden="false" customHeight="false" outlineLevel="0" collapsed="false">
      <c r="A264" s="35"/>
      <c r="B264" s="35"/>
      <c r="C264" s="37"/>
      <c r="D264" s="37"/>
      <c r="E264" s="35"/>
      <c r="F264" s="38" t="str">
        <f aca="false">IF($B264="","",IF(COUNTIF(科目对照回款!$F$2:$H$16,$B264)&gt;0,"√","× 未识别"))</f>
        <v/>
      </c>
    </row>
    <row r="265" customFormat="false" ht="13.5" hidden="false" customHeight="false" outlineLevel="0" collapsed="false">
      <c r="A265" s="35"/>
      <c r="B265" s="35"/>
      <c r="C265" s="37"/>
      <c r="D265" s="37"/>
      <c r="E265" s="35"/>
      <c r="F265" s="38" t="str">
        <f aca="false">IF($B265="","",IF(COUNTIF(科目对照回款!$F$2:$H$16,$B265)&gt;0,"√","× 未识别"))</f>
        <v/>
      </c>
    </row>
    <row r="266" customFormat="false" ht="13.5" hidden="false" customHeight="false" outlineLevel="0" collapsed="false">
      <c r="A266" s="35"/>
      <c r="B266" s="35"/>
      <c r="C266" s="37"/>
      <c r="D266" s="37"/>
      <c r="E266" s="35"/>
      <c r="F266" s="38" t="str">
        <f aca="false">IF($B266="","",IF(COUNTIF(科目对照回款!$F$2:$H$16,$B266)&gt;0,"√","× 未识别"))</f>
        <v/>
      </c>
    </row>
    <row r="267" customFormat="false" ht="13.5" hidden="false" customHeight="false" outlineLevel="0" collapsed="false">
      <c r="A267" s="35"/>
      <c r="B267" s="35"/>
      <c r="C267" s="37"/>
      <c r="D267" s="37"/>
      <c r="E267" s="35"/>
      <c r="F267" s="38" t="str">
        <f aca="false">IF($B267="","",IF(COUNTIF(科目对照回款!$F$2:$H$16,$B267)&gt;0,"√","× 未识别"))</f>
        <v/>
      </c>
    </row>
    <row r="268" customFormat="false" ht="13.5" hidden="false" customHeight="false" outlineLevel="0" collapsed="false">
      <c r="A268" s="35"/>
      <c r="B268" s="35"/>
      <c r="C268" s="37"/>
      <c r="D268" s="37"/>
      <c r="E268" s="35"/>
      <c r="F268" s="38" t="str">
        <f aca="false">IF($B268="","",IF(COUNTIF(科目对照回款!$F$2:$H$16,$B268)&gt;0,"√","× 未识别"))</f>
        <v/>
      </c>
    </row>
    <row r="269" customFormat="false" ht="13.5" hidden="false" customHeight="false" outlineLevel="0" collapsed="false">
      <c r="A269" s="35"/>
      <c r="B269" s="35"/>
      <c r="C269" s="37"/>
      <c r="D269" s="37"/>
      <c r="E269" s="35"/>
      <c r="F269" s="38" t="str">
        <f aca="false">IF($B269="","",IF(COUNTIF(科目对照回款!$F$2:$H$16,$B269)&gt;0,"√","× 未识别"))</f>
        <v/>
      </c>
    </row>
    <row r="270" customFormat="false" ht="13.5" hidden="false" customHeight="false" outlineLevel="0" collapsed="false">
      <c r="A270" s="35"/>
      <c r="B270" s="35"/>
      <c r="C270" s="37"/>
      <c r="D270" s="37"/>
      <c r="E270" s="35"/>
      <c r="F270" s="38" t="str">
        <f aca="false">IF($B270="","",IF(COUNTIF(科目对照回款!$F$2:$H$16,$B270)&gt;0,"√","× 未识别"))</f>
        <v/>
      </c>
    </row>
    <row r="271" customFormat="false" ht="13.5" hidden="false" customHeight="false" outlineLevel="0" collapsed="false">
      <c r="A271" s="35"/>
      <c r="B271" s="35"/>
      <c r="C271" s="37"/>
      <c r="D271" s="37"/>
      <c r="E271" s="35"/>
      <c r="F271" s="38" t="str">
        <f aca="false">IF($B271="","",IF(COUNTIF(科目对照回款!$F$2:$H$16,$B271)&gt;0,"√","× 未识别"))</f>
        <v/>
      </c>
    </row>
    <row r="272" customFormat="false" ht="13.5" hidden="false" customHeight="false" outlineLevel="0" collapsed="false">
      <c r="A272" s="35"/>
      <c r="B272" s="35"/>
      <c r="C272" s="37"/>
      <c r="D272" s="37"/>
      <c r="E272" s="35"/>
      <c r="F272" s="38" t="str">
        <f aca="false">IF($B272="","",IF(COUNTIF(科目对照回款!$F$2:$H$16,$B272)&gt;0,"√","× 未识别"))</f>
        <v/>
      </c>
    </row>
    <row r="273" customFormat="false" ht="13.5" hidden="false" customHeight="false" outlineLevel="0" collapsed="false">
      <c r="A273" s="35"/>
      <c r="B273" s="35"/>
      <c r="C273" s="37"/>
      <c r="D273" s="37"/>
      <c r="E273" s="35"/>
      <c r="F273" s="38" t="str">
        <f aca="false">IF($B273="","",IF(COUNTIF(科目对照回款!$F$2:$H$16,$B273)&gt;0,"√","× 未识别"))</f>
        <v/>
      </c>
    </row>
    <row r="274" customFormat="false" ht="13.5" hidden="false" customHeight="false" outlineLevel="0" collapsed="false">
      <c r="A274" s="35"/>
      <c r="B274" s="35"/>
      <c r="C274" s="37"/>
      <c r="D274" s="37"/>
      <c r="E274" s="35"/>
      <c r="F274" s="38" t="str">
        <f aca="false">IF($B274="","",IF(COUNTIF(科目对照回款!$F$2:$H$16,$B274)&gt;0,"√","× 未识别"))</f>
        <v/>
      </c>
    </row>
    <row r="275" customFormat="false" ht="13.5" hidden="false" customHeight="false" outlineLevel="0" collapsed="false">
      <c r="A275" s="35"/>
      <c r="B275" s="35"/>
      <c r="C275" s="37"/>
      <c r="D275" s="37"/>
      <c r="E275" s="35"/>
      <c r="F275" s="38" t="str">
        <f aca="false">IF($B275="","",IF(COUNTIF(科目对照回款!$F$2:$H$16,$B275)&gt;0,"√","× 未识别"))</f>
        <v/>
      </c>
    </row>
    <row r="276" customFormat="false" ht="13.5" hidden="false" customHeight="false" outlineLevel="0" collapsed="false">
      <c r="A276" s="35"/>
      <c r="B276" s="35"/>
      <c r="C276" s="37"/>
      <c r="D276" s="37"/>
      <c r="E276" s="35"/>
      <c r="F276" s="38" t="str">
        <f aca="false">IF($B276="","",IF(COUNTIF(科目对照回款!$F$2:$H$16,$B276)&gt;0,"√","× 未识别"))</f>
        <v/>
      </c>
    </row>
    <row r="277" customFormat="false" ht="13.5" hidden="false" customHeight="false" outlineLevel="0" collapsed="false">
      <c r="A277" s="35"/>
      <c r="B277" s="35"/>
      <c r="C277" s="37"/>
      <c r="D277" s="37"/>
      <c r="E277" s="35"/>
      <c r="F277" s="38" t="str">
        <f aca="false">IF($B277="","",IF(COUNTIF(科目对照回款!$F$2:$H$16,$B277)&gt;0,"√","× 未识别"))</f>
        <v/>
      </c>
    </row>
    <row r="278" customFormat="false" ht="13.5" hidden="false" customHeight="false" outlineLevel="0" collapsed="false">
      <c r="A278" s="35"/>
      <c r="B278" s="35"/>
      <c r="C278" s="37"/>
      <c r="D278" s="37"/>
      <c r="E278" s="35"/>
      <c r="F278" s="38" t="str">
        <f aca="false">IF($B278="","",IF(COUNTIF(科目对照回款!$F$2:$H$16,$B278)&gt;0,"√","× 未识别"))</f>
        <v/>
      </c>
    </row>
    <row r="279" customFormat="false" ht="13.5" hidden="false" customHeight="false" outlineLevel="0" collapsed="false">
      <c r="A279" s="35"/>
      <c r="B279" s="35"/>
      <c r="C279" s="37"/>
      <c r="D279" s="37"/>
      <c r="E279" s="35"/>
      <c r="F279" s="38" t="str">
        <f aca="false">IF($B279="","",IF(COUNTIF(科目对照回款!$F$2:$H$16,$B279)&gt;0,"√","× 未识别"))</f>
        <v/>
      </c>
    </row>
    <row r="280" customFormat="false" ht="13.5" hidden="false" customHeight="false" outlineLevel="0" collapsed="false">
      <c r="A280" s="35"/>
      <c r="B280" s="35"/>
      <c r="C280" s="37"/>
      <c r="D280" s="37"/>
      <c r="E280" s="35"/>
      <c r="F280" s="38" t="str">
        <f aca="false">IF($B280="","",IF(COUNTIF(科目对照回款!$F$2:$H$16,$B280)&gt;0,"√","× 未识别"))</f>
        <v/>
      </c>
    </row>
    <row r="281" customFormat="false" ht="13.5" hidden="false" customHeight="false" outlineLevel="0" collapsed="false">
      <c r="A281" s="35"/>
      <c r="B281" s="35"/>
      <c r="C281" s="37"/>
      <c r="D281" s="37"/>
      <c r="E281" s="35"/>
      <c r="F281" s="38" t="str">
        <f aca="false">IF($B281="","",IF(COUNTIF(科目对照回款!$F$2:$H$16,$B281)&gt;0,"√","× 未识别"))</f>
        <v/>
      </c>
    </row>
    <row r="282" customFormat="false" ht="13.5" hidden="false" customHeight="false" outlineLevel="0" collapsed="false">
      <c r="A282" s="35"/>
      <c r="B282" s="35"/>
      <c r="C282" s="37"/>
      <c r="D282" s="37"/>
      <c r="E282" s="35"/>
      <c r="F282" s="38" t="str">
        <f aca="false">IF($B282="","",IF(COUNTIF(科目对照回款!$F$2:$H$16,$B282)&gt;0,"√","× 未识别"))</f>
        <v/>
      </c>
    </row>
    <row r="283" customFormat="false" ht="13.5" hidden="false" customHeight="false" outlineLevel="0" collapsed="false">
      <c r="A283" s="35"/>
      <c r="B283" s="35"/>
      <c r="C283" s="37"/>
      <c r="D283" s="37"/>
      <c r="E283" s="35"/>
      <c r="F283" s="38" t="str">
        <f aca="false">IF($B283="","",IF(COUNTIF(科目对照回款!$F$2:$H$16,$B283)&gt;0,"√","× 未识别"))</f>
        <v/>
      </c>
    </row>
    <row r="284" customFormat="false" ht="13.5" hidden="false" customHeight="false" outlineLevel="0" collapsed="false">
      <c r="A284" s="35"/>
      <c r="B284" s="35"/>
      <c r="C284" s="37"/>
      <c r="D284" s="37"/>
      <c r="E284" s="35"/>
      <c r="F284" s="38" t="str">
        <f aca="false">IF($B284="","",IF(COUNTIF(科目对照回款!$F$2:$H$16,$B284)&gt;0,"√","× 未识别"))</f>
        <v/>
      </c>
    </row>
    <row r="285" customFormat="false" ht="13.5" hidden="false" customHeight="false" outlineLevel="0" collapsed="false">
      <c r="A285" s="35"/>
      <c r="B285" s="35"/>
      <c r="C285" s="37"/>
      <c r="D285" s="37"/>
      <c r="E285" s="35"/>
      <c r="F285" s="38" t="str">
        <f aca="false">IF($B285="","",IF(COUNTIF(科目对照回款!$F$2:$H$16,$B285)&gt;0,"√","× 未识别"))</f>
        <v/>
      </c>
    </row>
    <row r="286" customFormat="false" ht="13.5" hidden="false" customHeight="false" outlineLevel="0" collapsed="false">
      <c r="A286" s="35"/>
      <c r="B286" s="35"/>
      <c r="C286" s="37"/>
      <c r="D286" s="37"/>
      <c r="E286" s="35"/>
      <c r="F286" s="38" t="str">
        <f aca="false">IF($B286="","",IF(COUNTIF(科目对照回款!$F$2:$H$16,$B286)&gt;0,"√","× 未识别"))</f>
        <v/>
      </c>
    </row>
    <row r="287" customFormat="false" ht="13.5" hidden="false" customHeight="false" outlineLevel="0" collapsed="false">
      <c r="A287" s="35"/>
      <c r="B287" s="35"/>
      <c r="C287" s="37"/>
      <c r="D287" s="37"/>
      <c r="E287" s="35"/>
      <c r="F287" s="38" t="str">
        <f aca="false">IF($B287="","",IF(COUNTIF(科目对照回款!$F$2:$H$16,$B287)&gt;0,"√","× 未识别"))</f>
        <v/>
      </c>
    </row>
    <row r="288" customFormat="false" ht="13.5" hidden="false" customHeight="false" outlineLevel="0" collapsed="false">
      <c r="A288" s="35"/>
      <c r="B288" s="35"/>
      <c r="C288" s="37"/>
      <c r="D288" s="37"/>
      <c r="E288" s="35"/>
      <c r="F288" s="38" t="str">
        <f aca="false">IF($B288="","",IF(COUNTIF(科目对照回款!$F$2:$H$16,$B288)&gt;0,"√","× 未识别"))</f>
        <v/>
      </c>
    </row>
    <row r="289" customFormat="false" ht="13.5" hidden="false" customHeight="false" outlineLevel="0" collapsed="false">
      <c r="A289" s="35"/>
      <c r="B289" s="35"/>
      <c r="C289" s="37"/>
      <c r="D289" s="37"/>
      <c r="E289" s="35"/>
      <c r="F289" s="38" t="str">
        <f aca="false">IF($B289="","",IF(COUNTIF(科目对照回款!$F$2:$H$16,$B289)&gt;0,"√","× 未识别"))</f>
        <v/>
      </c>
    </row>
    <row r="290" customFormat="false" ht="13.5" hidden="false" customHeight="false" outlineLevel="0" collapsed="false">
      <c r="A290" s="35"/>
      <c r="B290" s="35"/>
      <c r="C290" s="37"/>
      <c r="D290" s="37"/>
      <c r="E290" s="35"/>
      <c r="F290" s="38" t="str">
        <f aca="false">IF($B290="","",IF(COUNTIF(科目对照回款!$F$2:$H$16,$B290)&gt;0,"√","× 未识别"))</f>
        <v/>
      </c>
    </row>
    <row r="291" customFormat="false" ht="13.5" hidden="false" customHeight="false" outlineLevel="0" collapsed="false">
      <c r="A291" s="35"/>
      <c r="B291" s="35"/>
      <c r="C291" s="37"/>
      <c r="D291" s="37"/>
      <c r="E291" s="35"/>
      <c r="F291" s="38" t="str">
        <f aca="false">IF($B291="","",IF(COUNTIF(科目对照回款!$F$2:$H$16,$B291)&gt;0,"√","× 未识别"))</f>
        <v/>
      </c>
    </row>
    <row r="292" customFormat="false" ht="13.5" hidden="false" customHeight="false" outlineLevel="0" collapsed="false">
      <c r="A292" s="35"/>
      <c r="B292" s="35"/>
      <c r="C292" s="37"/>
      <c r="D292" s="37"/>
      <c r="E292" s="35"/>
      <c r="F292" s="38" t="str">
        <f aca="false">IF($B292="","",IF(COUNTIF(科目对照回款!$F$2:$H$16,$B292)&gt;0,"√","× 未识别"))</f>
        <v/>
      </c>
    </row>
    <row r="293" customFormat="false" ht="13.5" hidden="false" customHeight="false" outlineLevel="0" collapsed="false">
      <c r="A293" s="35"/>
      <c r="B293" s="35"/>
      <c r="C293" s="37"/>
      <c r="D293" s="37"/>
      <c r="E293" s="35"/>
      <c r="F293" s="38" t="str">
        <f aca="false">IF($B293="","",IF(COUNTIF(科目对照回款!$F$2:$H$16,$B293)&gt;0,"√","× 未识别"))</f>
        <v/>
      </c>
    </row>
    <row r="294" customFormat="false" ht="13.5" hidden="false" customHeight="false" outlineLevel="0" collapsed="false">
      <c r="A294" s="35"/>
      <c r="B294" s="35"/>
      <c r="C294" s="37"/>
      <c r="D294" s="37"/>
      <c r="E294" s="35"/>
      <c r="F294" s="38" t="str">
        <f aca="false">IF($B294="","",IF(COUNTIF(科目对照回款!$F$2:$H$16,$B294)&gt;0,"√","× 未识别"))</f>
        <v/>
      </c>
    </row>
    <row r="295" customFormat="false" ht="13.5" hidden="false" customHeight="false" outlineLevel="0" collapsed="false">
      <c r="A295" s="35"/>
      <c r="B295" s="35"/>
      <c r="C295" s="37"/>
      <c r="D295" s="37"/>
      <c r="E295" s="35"/>
      <c r="F295" s="38" t="str">
        <f aca="false">IF($B295="","",IF(COUNTIF(科目对照回款!$F$2:$H$16,$B295)&gt;0,"√","× 未识别"))</f>
        <v/>
      </c>
    </row>
    <row r="296" customFormat="false" ht="13.5" hidden="false" customHeight="false" outlineLevel="0" collapsed="false">
      <c r="A296" s="35"/>
      <c r="B296" s="35"/>
      <c r="C296" s="37"/>
      <c r="D296" s="37"/>
      <c r="E296" s="35"/>
      <c r="F296" s="38" t="str">
        <f aca="false">IF($B296="","",IF(COUNTIF(科目对照回款!$F$2:$H$16,$B296)&gt;0,"√","× 未识别"))</f>
        <v/>
      </c>
    </row>
    <row r="297" customFormat="false" ht="13.5" hidden="false" customHeight="false" outlineLevel="0" collapsed="false">
      <c r="A297" s="35"/>
      <c r="B297" s="35"/>
      <c r="C297" s="37"/>
      <c r="D297" s="37"/>
      <c r="E297" s="35"/>
      <c r="F297" s="38" t="str">
        <f aca="false">IF($B297="","",IF(COUNTIF(科目对照回款!$F$2:$H$16,$B297)&gt;0,"√","× 未识别"))</f>
        <v/>
      </c>
    </row>
    <row r="298" customFormat="false" ht="13.5" hidden="false" customHeight="false" outlineLevel="0" collapsed="false">
      <c r="A298" s="35"/>
      <c r="B298" s="35"/>
      <c r="C298" s="37"/>
      <c r="D298" s="37"/>
      <c r="E298" s="35"/>
      <c r="F298" s="38" t="str">
        <f aca="false">IF($B298="","",IF(COUNTIF(科目对照回款!$F$2:$H$16,$B298)&gt;0,"√","× 未识别"))</f>
        <v/>
      </c>
    </row>
    <row r="299" customFormat="false" ht="13.5" hidden="false" customHeight="false" outlineLevel="0" collapsed="false">
      <c r="A299" s="35"/>
      <c r="B299" s="35"/>
      <c r="C299" s="37"/>
      <c r="D299" s="37"/>
      <c r="E299" s="35"/>
      <c r="F299" s="38" t="str">
        <f aca="false">IF($B299="","",IF(COUNTIF(科目对照回款!$F$2:$H$16,$B299)&gt;0,"√","× 未识别"))</f>
        <v/>
      </c>
    </row>
    <row r="300" customFormat="false" ht="13.5" hidden="false" customHeight="false" outlineLevel="0" collapsed="false">
      <c r="A300" s="35"/>
      <c r="B300" s="35"/>
      <c r="C300" s="37"/>
      <c r="D300" s="37"/>
      <c r="E300" s="35"/>
      <c r="F300" s="38" t="str">
        <f aca="false">IF($B300="","",IF(COUNTIF(科目对照回款!$F$2:$H$16,$B300)&gt;0,"√","× 未识别"))</f>
        <v/>
      </c>
    </row>
    <row r="301" customFormat="false" ht="13.5" hidden="false" customHeight="false" outlineLevel="0" collapsed="false">
      <c r="A301" s="35"/>
      <c r="B301" s="35"/>
      <c r="C301" s="37"/>
      <c r="D301" s="37"/>
      <c r="E301" s="35"/>
      <c r="F301" s="38" t="str">
        <f aca="false">IF($B301="","",IF(COUNTIF(科目对照回款!$F$2:$H$16,$B301)&gt;0,"√","× 未识别"))</f>
        <v/>
      </c>
    </row>
    <row r="302" customFormat="false" ht="13.5" hidden="false" customHeight="false" outlineLevel="0" collapsed="false">
      <c r="A302" s="35"/>
      <c r="B302" s="35"/>
      <c r="C302" s="37"/>
      <c r="D302" s="37"/>
      <c r="E302" s="35"/>
      <c r="F302" s="38" t="str">
        <f aca="false">IF($B302="","",IF(COUNTIF(科目对照回款!$F$2:$H$16,$B302)&gt;0,"√","× 未识别"))</f>
        <v/>
      </c>
    </row>
    <row r="303" customFormat="false" ht="13.5" hidden="false" customHeight="false" outlineLevel="0" collapsed="false">
      <c r="A303" s="35"/>
      <c r="B303" s="35"/>
      <c r="C303" s="37"/>
      <c r="D303" s="37"/>
      <c r="E303" s="35"/>
      <c r="F303" s="38" t="str">
        <f aca="false">IF($B303="","",IF(COUNTIF(科目对照回款!$F$2:$H$16,$B303)&gt;0,"√","× 未识别"))</f>
        <v/>
      </c>
    </row>
    <row r="304" customFormat="false" ht="13.5" hidden="false" customHeight="false" outlineLevel="0" collapsed="false">
      <c r="A304" s="35"/>
      <c r="B304" s="35"/>
      <c r="C304" s="37"/>
      <c r="D304" s="37"/>
      <c r="E304" s="35"/>
      <c r="F304" s="38" t="str">
        <f aca="false">IF($B304="","",IF(COUNTIF(科目对照回款!$F$2:$H$16,$B304)&gt;0,"√","× 未识别"))</f>
        <v/>
      </c>
    </row>
    <row r="305" customFormat="false" ht="13.5" hidden="false" customHeight="false" outlineLevel="0" collapsed="false">
      <c r="A305" s="35"/>
      <c r="B305" s="35"/>
      <c r="C305" s="37"/>
      <c r="D305" s="37"/>
      <c r="E305" s="35"/>
      <c r="F305" s="38" t="str">
        <f aca="false">IF($B305="","",IF(COUNTIF(科目对照回款!$F$2:$H$16,$B305)&gt;0,"√","× 未识别"))</f>
        <v/>
      </c>
    </row>
    <row r="306" customFormat="false" ht="13.5" hidden="false" customHeight="false" outlineLevel="0" collapsed="false">
      <c r="A306" s="35"/>
      <c r="B306" s="35"/>
      <c r="C306" s="37"/>
      <c r="D306" s="37"/>
      <c r="E306" s="35"/>
      <c r="F306" s="38" t="str">
        <f aca="false">IF($B306="","",IF(COUNTIF(科目对照回款!$F$2:$H$16,$B306)&gt;0,"√","× 未识别"))</f>
        <v/>
      </c>
    </row>
    <row r="307" customFormat="false" ht="13.5" hidden="false" customHeight="false" outlineLevel="0" collapsed="false">
      <c r="A307" s="35"/>
      <c r="B307" s="35"/>
      <c r="C307" s="37"/>
      <c r="D307" s="37"/>
      <c r="E307" s="35"/>
      <c r="F307" s="38" t="str">
        <f aca="false">IF($B307="","",IF(COUNTIF(科目对照回款!$F$2:$H$16,$B307)&gt;0,"√","× 未识别"))</f>
        <v/>
      </c>
    </row>
    <row r="308" customFormat="false" ht="13.5" hidden="false" customHeight="false" outlineLevel="0" collapsed="false">
      <c r="A308" s="35"/>
      <c r="B308" s="35"/>
      <c r="C308" s="37"/>
      <c r="D308" s="37"/>
      <c r="E308" s="35"/>
      <c r="F308" s="38" t="str">
        <f aca="false">IF($B308="","",IF(COUNTIF(科目对照回款!$F$2:$H$16,$B308)&gt;0,"√","× 未识别"))</f>
        <v/>
      </c>
    </row>
    <row r="309" customFormat="false" ht="13.5" hidden="false" customHeight="false" outlineLevel="0" collapsed="false">
      <c r="A309" s="35"/>
      <c r="B309" s="35"/>
      <c r="C309" s="37"/>
      <c r="D309" s="37"/>
      <c r="E309" s="35"/>
      <c r="F309" s="38" t="str">
        <f aca="false">IF($B309="","",IF(COUNTIF(科目对照回款!$F$2:$H$16,$B309)&gt;0,"√","× 未识别"))</f>
        <v/>
      </c>
    </row>
    <row r="310" customFormat="false" ht="13.5" hidden="false" customHeight="false" outlineLevel="0" collapsed="false">
      <c r="A310" s="35"/>
      <c r="B310" s="35"/>
      <c r="C310" s="37"/>
      <c r="D310" s="37"/>
      <c r="E310" s="35"/>
      <c r="F310" s="38" t="str">
        <f aca="false">IF($B310="","",IF(COUNTIF(科目对照回款!$F$2:$H$16,$B310)&gt;0,"√","× 未识别"))</f>
        <v/>
      </c>
    </row>
    <row r="311" customFormat="false" ht="13.5" hidden="false" customHeight="false" outlineLevel="0" collapsed="false">
      <c r="A311" s="35"/>
      <c r="B311" s="35"/>
      <c r="C311" s="37"/>
      <c r="D311" s="37"/>
      <c r="E311" s="35"/>
      <c r="F311" s="38" t="str">
        <f aca="false">IF($B311="","",IF(COUNTIF(科目对照回款!$F$2:$H$16,$B311)&gt;0,"√","× 未识别"))</f>
        <v/>
      </c>
    </row>
    <row r="312" customFormat="false" ht="13.5" hidden="false" customHeight="false" outlineLevel="0" collapsed="false">
      <c r="A312" s="35"/>
      <c r="B312" s="35"/>
      <c r="C312" s="37"/>
      <c r="D312" s="37"/>
      <c r="E312" s="35"/>
      <c r="F312" s="38" t="str">
        <f aca="false">IF($B312="","",IF(COUNTIF(科目对照回款!$F$2:$H$16,$B312)&gt;0,"√","× 未识别"))</f>
        <v/>
      </c>
    </row>
    <row r="313" customFormat="false" ht="13.5" hidden="false" customHeight="false" outlineLevel="0" collapsed="false">
      <c r="A313" s="35"/>
      <c r="B313" s="35"/>
      <c r="C313" s="37"/>
      <c r="D313" s="37"/>
      <c r="E313" s="35"/>
      <c r="F313" s="38" t="str">
        <f aca="false">IF($B313="","",IF(COUNTIF(科目对照回款!$F$2:$H$16,$B313)&gt;0,"√","× 未识别"))</f>
        <v/>
      </c>
    </row>
    <row r="314" customFormat="false" ht="13.5" hidden="false" customHeight="false" outlineLevel="0" collapsed="false">
      <c r="A314" s="35"/>
      <c r="B314" s="35"/>
      <c r="C314" s="37"/>
      <c r="D314" s="37"/>
      <c r="E314" s="35"/>
      <c r="F314" s="38" t="str">
        <f aca="false">IF($B314="","",IF(COUNTIF(科目对照回款!$F$2:$H$16,$B314)&gt;0,"√","× 未识别"))</f>
        <v/>
      </c>
    </row>
    <row r="315" customFormat="false" ht="13.5" hidden="false" customHeight="false" outlineLevel="0" collapsed="false">
      <c r="A315" s="35"/>
      <c r="B315" s="35"/>
      <c r="C315" s="37"/>
      <c r="D315" s="37"/>
      <c r="E315" s="35"/>
      <c r="F315" s="38" t="str">
        <f aca="false">IF($B315="","",IF(COUNTIF(科目对照回款!$F$2:$H$16,$B315)&gt;0,"√","× 未识别"))</f>
        <v/>
      </c>
    </row>
    <row r="316" customFormat="false" ht="13.5" hidden="false" customHeight="false" outlineLevel="0" collapsed="false">
      <c r="A316" s="35"/>
      <c r="B316" s="35"/>
      <c r="C316" s="37"/>
      <c r="D316" s="37"/>
      <c r="E316" s="35"/>
      <c r="F316" s="38" t="str">
        <f aca="false">IF($B316="","",IF(COUNTIF(科目对照回款!$F$2:$H$16,$B316)&gt;0,"√","× 未识别"))</f>
        <v/>
      </c>
    </row>
    <row r="317" customFormat="false" ht="13.5" hidden="false" customHeight="false" outlineLevel="0" collapsed="false">
      <c r="A317" s="35"/>
      <c r="B317" s="35"/>
      <c r="C317" s="37"/>
      <c r="D317" s="37"/>
      <c r="E317" s="35"/>
      <c r="F317" s="38" t="str">
        <f aca="false">IF($B317="","",IF(COUNTIF(科目对照回款!$F$2:$H$16,$B317)&gt;0,"√","× 未识别"))</f>
        <v/>
      </c>
    </row>
    <row r="318" customFormat="false" ht="13.5" hidden="false" customHeight="false" outlineLevel="0" collapsed="false">
      <c r="A318" s="35"/>
      <c r="B318" s="35"/>
      <c r="C318" s="37"/>
      <c r="D318" s="37"/>
      <c r="E318" s="35"/>
      <c r="F318" s="38" t="str">
        <f aca="false">IF($B318="","",IF(COUNTIF(科目对照回款!$F$2:$H$16,$B318)&gt;0,"√","× 未识别"))</f>
        <v/>
      </c>
    </row>
    <row r="319" customFormat="false" ht="13.5" hidden="false" customHeight="false" outlineLevel="0" collapsed="false">
      <c r="A319" s="35"/>
      <c r="B319" s="35"/>
      <c r="C319" s="37"/>
      <c r="D319" s="37"/>
      <c r="E319" s="35"/>
      <c r="F319" s="38" t="str">
        <f aca="false">IF($B319="","",IF(COUNTIF(科目对照回款!$F$2:$H$16,$B319)&gt;0,"√","× 未识别"))</f>
        <v/>
      </c>
    </row>
    <row r="320" customFormat="false" ht="13.5" hidden="false" customHeight="false" outlineLevel="0" collapsed="false">
      <c r="A320" s="35"/>
      <c r="B320" s="35"/>
      <c r="C320" s="37"/>
      <c r="D320" s="37"/>
      <c r="E320" s="35"/>
      <c r="F320" s="38" t="str">
        <f aca="false">IF($B320="","",IF(COUNTIF(科目对照回款!$F$2:$H$16,$B320)&gt;0,"√","× 未识别"))</f>
        <v/>
      </c>
    </row>
    <row r="321" customFormat="false" ht="13.5" hidden="false" customHeight="false" outlineLevel="0" collapsed="false">
      <c r="A321" s="35"/>
      <c r="B321" s="35"/>
      <c r="C321" s="37"/>
      <c r="D321" s="37"/>
      <c r="E321" s="35"/>
      <c r="F321" s="38" t="str">
        <f aca="false">IF($B321="","",IF(COUNTIF(科目对照回款!$F$2:$H$16,$B321)&gt;0,"√","× 未识别"))</f>
        <v/>
      </c>
    </row>
    <row r="322" customFormat="false" ht="13.5" hidden="false" customHeight="false" outlineLevel="0" collapsed="false">
      <c r="A322" s="35"/>
      <c r="B322" s="35"/>
      <c r="C322" s="37"/>
      <c r="D322" s="37"/>
      <c r="E322" s="35"/>
      <c r="F322" s="38" t="str">
        <f aca="false">IF($B322="","",IF(COUNTIF(科目对照回款!$F$2:$H$16,$B322)&gt;0,"√","× 未识别"))</f>
        <v/>
      </c>
    </row>
    <row r="323" customFormat="false" ht="13.5" hidden="false" customHeight="false" outlineLevel="0" collapsed="false">
      <c r="A323" s="35"/>
      <c r="B323" s="35"/>
      <c r="C323" s="37"/>
      <c r="D323" s="37"/>
      <c r="E323" s="35"/>
      <c r="F323" s="38" t="str">
        <f aca="false">IF($B323="","",IF(COUNTIF(科目对照回款!$F$2:$H$16,$B323)&gt;0,"√","× 未识别"))</f>
        <v/>
      </c>
    </row>
    <row r="324" customFormat="false" ht="13.5" hidden="false" customHeight="false" outlineLevel="0" collapsed="false">
      <c r="A324" s="35"/>
      <c r="B324" s="35"/>
      <c r="C324" s="37"/>
      <c r="D324" s="37"/>
      <c r="E324" s="35"/>
      <c r="F324" s="38" t="str">
        <f aca="false">IF($B324="","",IF(COUNTIF(科目对照回款!$F$2:$H$16,$B324)&gt;0,"√","× 未识别"))</f>
        <v/>
      </c>
    </row>
    <row r="325" customFormat="false" ht="13.5" hidden="false" customHeight="false" outlineLevel="0" collapsed="false">
      <c r="A325" s="35"/>
      <c r="B325" s="35"/>
      <c r="C325" s="37"/>
      <c r="D325" s="37"/>
      <c r="E325" s="35"/>
      <c r="F325" s="38" t="str">
        <f aca="false">IF($B325="","",IF(COUNTIF(科目对照回款!$F$2:$H$16,$B325)&gt;0,"√","× 未识别"))</f>
        <v/>
      </c>
    </row>
    <row r="326" customFormat="false" ht="13.5" hidden="false" customHeight="false" outlineLevel="0" collapsed="false">
      <c r="A326" s="35"/>
      <c r="B326" s="35"/>
      <c r="C326" s="37"/>
      <c r="D326" s="37"/>
      <c r="E326" s="35"/>
      <c r="F326" s="38" t="str">
        <f aca="false">IF($B326="","",IF(COUNTIF(科目对照回款!$F$2:$H$16,$B326)&gt;0,"√","× 未识别"))</f>
        <v/>
      </c>
    </row>
    <row r="327" customFormat="false" ht="13.5" hidden="false" customHeight="false" outlineLevel="0" collapsed="false">
      <c r="A327" s="35"/>
      <c r="B327" s="35"/>
      <c r="C327" s="37"/>
      <c r="D327" s="37"/>
      <c r="E327" s="35"/>
      <c r="F327" s="38" t="str">
        <f aca="false">IF($B327="","",IF(COUNTIF(科目对照回款!$F$2:$H$16,$B327)&gt;0,"√","× 未识别"))</f>
        <v/>
      </c>
    </row>
    <row r="328" customFormat="false" ht="13.5" hidden="false" customHeight="false" outlineLevel="0" collapsed="false">
      <c r="A328" s="35"/>
      <c r="B328" s="35"/>
      <c r="C328" s="37"/>
      <c r="D328" s="37"/>
      <c r="E328" s="35"/>
      <c r="F328" s="38" t="str">
        <f aca="false">IF($B328="","",IF(COUNTIF(科目对照回款!$F$2:$H$16,$B328)&gt;0,"√","× 未识别"))</f>
        <v/>
      </c>
    </row>
    <row r="329" customFormat="false" ht="13.5" hidden="false" customHeight="false" outlineLevel="0" collapsed="false">
      <c r="A329" s="35"/>
      <c r="B329" s="35"/>
      <c r="C329" s="37"/>
      <c r="D329" s="37"/>
      <c r="E329" s="35"/>
      <c r="F329" s="38" t="str">
        <f aca="false">IF($B329="","",IF(COUNTIF(科目对照回款!$F$2:$H$16,$B329)&gt;0,"√","× 未识别"))</f>
        <v/>
      </c>
    </row>
    <row r="330" customFormat="false" ht="13.5" hidden="false" customHeight="false" outlineLevel="0" collapsed="false">
      <c r="A330" s="35"/>
      <c r="B330" s="35"/>
      <c r="C330" s="37"/>
      <c r="D330" s="37"/>
      <c r="E330" s="35"/>
      <c r="F330" s="38" t="str">
        <f aca="false">IF($B330="","",IF(COUNTIF(科目对照回款!$F$2:$H$16,$B330)&gt;0,"√","× 未识别"))</f>
        <v/>
      </c>
    </row>
    <row r="331" customFormat="false" ht="13.5" hidden="false" customHeight="false" outlineLevel="0" collapsed="false">
      <c r="A331" s="35"/>
      <c r="B331" s="35"/>
      <c r="C331" s="37"/>
      <c r="D331" s="37"/>
      <c r="E331" s="35"/>
      <c r="F331" s="38" t="str">
        <f aca="false">IF($B331="","",IF(COUNTIF(科目对照回款!$F$2:$H$16,$B331)&gt;0,"√","× 未识别"))</f>
        <v/>
      </c>
    </row>
    <row r="332" customFormat="false" ht="13.5" hidden="false" customHeight="false" outlineLevel="0" collapsed="false">
      <c r="A332" s="35"/>
      <c r="B332" s="35"/>
      <c r="C332" s="37"/>
      <c r="D332" s="37"/>
      <c r="E332" s="35"/>
      <c r="F332" s="38" t="str">
        <f aca="false">IF($B332="","",IF(COUNTIF(科目对照回款!$F$2:$H$16,$B332)&gt;0,"√","× 未识别"))</f>
        <v/>
      </c>
    </row>
    <row r="333" customFormat="false" ht="13.5" hidden="false" customHeight="false" outlineLevel="0" collapsed="false">
      <c r="A333" s="35"/>
      <c r="B333" s="35"/>
      <c r="C333" s="37"/>
      <c r="D333" s="37"/>
      <c r="E333" s="35"/>
      <c r="F333" s="38" t="str">
        <f aca="false">IF($B333="","",IF(COUNTIF(科目对照回款!$F$2:$H$16,$B333)&gt;0,"√","× 未识别"))</f>
        <v/>
      </c>
    </row>
    <row r="334" customFormat="false" ht="13.5" hidden="false" customHeight="false" outlineLevel="0" collapsed="false">
      <c r="A334" s="35"/>
      <c r="B334" s="35"/>
      <c r="C334" s="37"/>
      <c r="D334" s="37"/>
      <c r="E334" s="35"/>
      <c r="F334" s="38" t="str">
        <f aca="false">IF($B334="","",IF(COUNTIF(科目对照回款!$F$2:$H$16,$B334)&gt;0,"√","× 未识别"))</f>
        <v/>
      </c>
    </row>
    <row r="335" customFormat="false" ht="13.5" hidden="false" customHeight="false" outlineLevel="0" collapsed="false">
      <c r="A335" s="35"/>
      <c r="B335" s="35"/>
      <c r="C335" s="37"/>
      <c r="D335" s="37"/>
      <c r="E335" s="35"/>
      <c r="F335" s="38" t="str">
        <f aca="false">IF($B335="","",IF(COUNTIF(科目对照回款!$F$2:$H$16,$B335)&gt;0,"√","× 未识别"))</f>
        <v/>
      </c>
    </row>
    <row r="336" customFormat="false" ht="13.5" hidden="false" customHeight="false" outlineLevel="0" collapsed="false">
      <c r="A336" s="35"/>
      <c r="B336" s="35"/>
      <c r="C336" s="37"/>
      <c r="D336" s="37"/>
      <c r="E336" s="35"/>
      <c r="F336" s="38" t="str">
        <f aca="false">IF($B336="","",IF(COUNTIF(科目对照回款!$F$2:$H$16,$B336)&gt;0,"√","× 未识别"))</f>
        <v/>
      </c>
    </row>
    <row r="337" customFormat="false" ht="13.5" hidden="false" customHeight="false" outlineLevel="0" collapsed="false">
      <c r="A337" s="35"/>
      <c r="B337" s="35"/>
      <c r="C337" s="37"/>
      <c r="D337" s="37"/>
      <c r="E337" s="35"/>
      <c r="F337" s="38" t="str">
        <f aca="false">IF($B337="","",IF(COUNTIF(科目对照回款!$F$2:$H$16,$B337)&gt;0,"√","× 未识别"))</f>
        <v/>
      </c>
    </row>
    <row r="338" customFormat="false" ht="13.5" hidden="false" customHeight="false" outlineLevel="0" collapsed="false">
      <c r="A338" s="35"/>
      <c r="B338" s="35"/>
      <c r="C338" s="37"/>
      <c r="D338" s="37"/>
      <c r="E338" s="35"/>
      <c r="F338" s="38" t="str">
        <f aca="false">IF($B338="","",IF(COUNTIF(科目对照回款!$F$2:$H$16,$B338)&gt;0,"√","× 未识别"))</f>
        <v/>
      </c>
    </row>
    <row r="339" customFormat="false" ht="13.5" hidden="false" customHeight="false" outlineLevel="0" collapsed="false">
      <c r="A339" s="35"/>
      <c r="B339" s="35"/>
      <c r="C339" s="37"/>
      <c r="D339" s="37"/>
      <c r="E339" s="35"/>
      <c r="F339" s="38" t="str">
        <f aca="false">IF($B339="","",IF(COUNTIF(科目对照回款!$F$2:$H$16,$B339)&gt;0,"√","× 未识别"))</f>
        <v/>
      </c>
    </row>
    <row r="340" customFormat="false" ht="13.5" hidden="false" customHeight="false" outlineLevel="0" collapsed="false">
      <c r="A340" s="35"/>
      <c r="B340" s="35"/>
      <c r="C340" s="37"/>
      <c r="D340" s="37"/>
      <c r="E340" s="35"/>
      <c r="F340" s="38" t="str">
        <f aca="false">IF($B340="","",IF(COUNTIF(科目对照回款!$F$2:$H$16,$B340)&gt;0,"√","× 未识别"))</f>
        <v/>
      </c>
    </row>
    <row r="341" customFormat="false" ht="13.5" hidden="false" customHeight="false" outlineLevel="0" collapsed="false">
      <c r="A341" s="35"/>
      <c r="B341" s="35"/>
      <c r="C341" s="37"/>
      <c r="D341" s="37"/>
      <c r="E341" s="35"/>
      <c r="F341" s="38" t="str">
        <f aca="false">IF($B341="","",IF(COUNTIF(科目对照回款!$F$2:$H$16,$B341)&gt;0,"√","× 未识别"))</f>
        <v/>
      </c>
    </row>
    <row r="342" customFormat="false" ht="13.5" hidden="false" customHeight="false" outlineLevel="0" collapsed="false">
      <c r="A342" s="35"/>
      <c r="B342" s="35"/>
      <c r="C342" s="37"/>
      <c r="D342" s="37"/>
      <c r="E342" s="35"/>
      <c r="F342" s="38" t="str">
        <f aca="false">IF($B342="","",IF(COUNTIF(科目对照回款!$F$2:$H$16,$B342)&gt;0,"√","× 未识别"))</f>
        <v/>
      </c>
    </row>
    <row r="343" customFormat="false" ht="13.5" hidden="false" customHeight="false" outlineLevel="0" collapsed="false">
      <c r="A343" s="35"/>
      <c r="B343" s="35"/>
      <c r="C343" s="37"/>
      <c r="D343" s="37"/>
      <c r="E343" s="35"/>
      <c r="F343" s="38" t="str">
        <f aca="false">IF($B343="","",IF(COUNTIF(科目对照回款!$F$2:$H$16,$B343)&gt;0,"√","× 未识别"))</f>
        <v/>
      </c>
    </row>
    <row r="344" customFormat="false" ht="13.5" hidden="false" customHeight="false" outlineLevel="0" collapsed="false">
      <c r="A344" s="35"/>
      <c r="B344" s="35"/>
      <c r="C344" s="37"/>
      <c r="D344" s="37"/>
      <c r="E344" s="35"/>
      <c r="F344" s="38" t="str">
        <f aca="false">IF($B344="","",IF(COUNTIF(科目对照回款!$F$2:$H$16,$B344)&gt;0,"√","× 未识别"))</f>
        <v/>
      </c>
    </row>
    <row r="345" customFormat="false" ht="13.5" hidden="false" customHeight="false" outlineLevel="0" collapsed="false">
      <c r="A345" s="35"/>
      <c r="B345" s="35"/>
      <c r="C345" s="37"/>
      <c r="D345" s="37"/>
      <c r="E345" s="35"/>
      <c r="F345" s="38" t="str">
        <f aca="false">IF($B345="","",IF(COUNTIF(科目对照回款!$F$2:$H$16,$B345)&gt;0,"√","× 未识别"))</f>
        <v/>
      </c>
    </row>
    <row r="346" customFormat="false" ht="13.5" hidden="false" customHeight="false" outlineLevel="0" collapsed="false">
      <c r="A346" s="35"/>
      <c r="B346" s="35"/>
      <c r="C346" s="37"/>
      <c r="D346" s="37"/>
      <c r="E346" s="35"/>
      <c r="F346" s="38" t="str">
        <f aca="false">IF($B346="","",IF(COUNTIF(科目对照回款!$F$2:$H$16,$B346)&gt;0,"√","× 未识别"))</f>
        <v/>
      </c>
    </row>
    <row r="347" customFormat="false" ht="13.5" hidden="false" customHeight="false" outlineLevel="0" collapsed="false">
      <c r="A347" s="35"/>
      <c r="B347" s="35"/>
      <c r="C347" s="37"/>
      <c r="D347" s="37"/>
      <c r="E347" s="35"/>
      <c r="F347" s="38" t="str">
        <f aca="false">IF($B347="","",IF(COUNTIF(科目对照回款!$F$2:$H$16,$B347)&gt;0,"√","× 未识别"))</f>
        <v/>
      </c>
    </row>
    <row r="348" customFormat="false" ht="13.5" hidden="false" customHeight="false" outlineLevel="0" collapsed="false">
      <c r="A348" s="35"/>
      <c r="B348" s="35"/>
      <c r="C348" s="37"/>
      <c r="D348" s="37"/>
      <c r="E348" s="35"/>
      <c r="F348" s="38" t="str">
        <f aca="false">IF($B348="","",IF(COUNTIF(科目对照回款!$F$2:$H$16,$B348)&gt;0,"√","× 未识别"))</f>
        <v/>
      </c>
    </row>
    <row r="349" customFormat="false" ht="13.5" hidden="false" customHeight="false" outlineLevel="0" collapsed="false">
      <c r="A349" s="35"/>
      <c r="B349" s="35"/>
      <c r="C349" s="37"/>
      <c r="D349" s="37"/>
      <c r="E349" s="35"/>
      <c r="F349" s="38" t="str">
        <f aca="false">IF($B349="","",IF(COUNTIF(科目对照回款!$F$2:$H$16,$B349)&gt;0,"√","× 未识别"))</f>
        <v/>
      </c>
    </row>
    <row r="350" customFormat="false" ht="13.5" hidden="false" customHeight="false" outlineLevel="0" collapsed="false">
      <c r="A350" s="35"/>
      <c r="B350" s="35"/>
      <c r="C350" s="37"/>
      <c r="D350" s="37"/>
      <c r="E350" s="35"/>
      <c r="F350" s="38" t="str">
        <f aca="false">IF($B350="","",IF(COUNTIF(科目对照回款!$F$2:$H$16,$B350)&gt;0,"√","× 未识别"))</f>
        <v/>
      </c>
    </row>
    <row r="351" customFormat="false" ht="13.5" hidden="false" customHeight="false" outlineLevel="0" collapsed="false">
      <c r="A351" s="35"/>
      <c r="B351" s="35"/>
      <c r="C351" s="37"/>
      <c r="D351" s="37"/>
      <c r="E351" s="35"/>
      <c r="F351" s="38" t="str">
        <f aca="false">IF($B351="","",IF(COUNTIF(科目对照回款!$F$2:$H$16,$B351)&gt;0,"√","× 未识别"))</f>
        <v/>
      </c>
    </row>
    <row r="352" customFormat="false" ht="13.5" hidden="false" customHeight="false" outlineLevel="0" collapsed="false">
      <c r="A352" s="35"/>
      <c r="B352" s="35"/>
      <c r="C352" s="37"/>
      <c r="D352" s="37"/>
      <c r="E352" s="35"/>
      <c r="F352" s="38" t="str">
        <f aca="false">IF($B352="","",IF(COUNTIF(科目对照回款!$F$2:$H$16,$B352)&gt;0,"√","× 未识别"))</f>
        <v/>
      </c>
    </row>
    <row r="353" customFormat="false" ht="13.5" hidden="false" customHeight="false" outlineLevel="0" collapsed="false">
      <c r="A353" s="35"/>
      <c r="B353" s="35"/>
      <c r="C353" s="37"/>
      <c r="D353" s="37"/>
      <c r="E353" s="35"/>
      <c r="F353" s="38" t="str">
        <f aca="false">IF($B353="","",IF(COUNTIF(科目对照回款!$F$2:$H$16,$B353)&gt;0,"√","× 未识别"))</f>
        <v/>
      </c>
    </row>
    <row r="354" customFormat="false" ht="13.5" hidden="false" customHeight="false" outlineLevel="0" collapsed="false">
      <c r="A354" s="35"/>
      <c r="B354" s="35"/>
      <c r="C354" s="37"/>
      <c r="D354" s="37"/>
      <c r="E354" s="35"/>
      <c r="F354" s="38" t="str">
        <f aca="false">IF($B354="","",IF(COUNTIF(科目对照回款!$F$2:$H$16,$B354)&gt;0,"√","× 未识别"))</f>
        <v/>
      </c>
    </row>
    <row r="355" customFormat="false" ht="13.5" hidden="false" customHeight="false" outlineLevel="0" collapsed="false">
      <c r="A355" s="35"/>
      <c r="B355" s="35"/>
      <c r="C355" s="37"/>
      <c r="D355" s="37"/>
      <c r="E355" s="35"/>
      <c r="F355" s="38" t="str">
        <f aca="false">IF($B355="","",IF(COUNTIF(科目对照回款!$F$2:$H$16,$B355)&gt;0,"√","× 未识别"))</f>
        <v/>
      </c>
    </row>
    <row r="356" customFormat="false" ht="13.5" hidden="false" customHeight="false" outlineLevel="0" collapsed="false">
      <c r="A356" s="35"/>
      <c r="B356" s="35"/>
      <c r="C356" s="37"/>
      <c r="D356" s="37"/>
      <c r="E356" s="35"/>
      <c r="F356" s="38" t="str">
        <f aca="false">IF($B356="","",IF(COUNTIF(科目对照回款!$F$2:$H$16,$B356)&gt;0,"√","× 未识别"))</f>
        <v/>
      </c>
    </row>
    <row r="357" customFormat="false" ht="13.5" hidden="false" customHeight="false" outlineLevel="0" collapsed="false">
      <c r="A357" s="35"/>
      <c r="B357" s="35"/>
      <c r="C357" s="37"/>
      <c r="D357" s="37"/>
      <c r="E357" s="35"/>
      <c r="F357" s="38" t="str">
        <f aca="false">IF($B357="","",IF(COUNTIF(科目对照回款!$F$2:$H$16,$B357)&gt;0,"√","× 未识别"))</f>
        <v/>
      </c>
    </row>
    <row r="358" customFormat="false" ht="13.5" hidden="false" customHeight="false" outlineLevel="0" collapsed="false">
      <c r="A358" s="35"/>
      <c r="B358" s="35"/>
      <c r="C358" s="37"/>
      <c r="D358" s="37"/>
      <c r="E358" s="35"/>
      <c r="F358" s="38" t="str">
        <f aca="false">IF($B358="","",IF(COUNTIF(科目对照回款!$F$2:$H$16,$B358)&gt;0,"√","× 未识别"))</f>
        <v/>
      </c>
    </row>
    <row r="359" customFormat="false" ht="13.5" hidden="false" customHeight="false" outlineLevel="0" collapsed="false">
      <c r="A359" s="35"/>
      <c r="B359" s="35"/>
      <c r="C359" s="37"/>
      <c r="D359" s="37"/>
      <c r="E359" s="35"/>
      <c r="F359" s="38" t="str">
        <f aca="false">IF($B359="","",IF(COUNTIF(科目对照回款!$F$2:$H$16,$B359)&gt;0,"√","× 未识别"))</f>
        <v/>
      </c>
    </row>
    <row r="360" customFormat="false" ht="13.5" hidden="false" customHeight="false" outlineLevel="0" collapsed="false">
      <c r="A360" s="35"/>
      <c r="B360" s="35"/>
      <c r="C360" s="37"/>
      <c r="D360" s="37"/>
      <c r="E360" s="35"/>
      <c r="F360" s="38" t="str">
        <f aca="false">IF($B360="","",IF(COUNTIF(科目对照回款!$F$2:$H$16,$B360)&gt;0,"√","× 未识别"))</f>
        <v/>
      </c>
    </row>
    <row r="361" customFormat="false" ht="13.5" hidden="false" customHeight="false" outlineLevel="0" collapsed="false">
      <c r="A361" s="35"/>
      <c r="B361" s="35"/>
      <c r="C361" s="37"/>
      <c r="D361" s="37"/>
      <c r="E361" s="35"/>
      <c r="F361" s="38" t="str">
        <f aca="false">IF($B361="","",IF(COUNTIF(科目对照回款!$F$2:$H$16,$B361)&gt;0,"√","× 未识别"))</f>
        <v/>
      </c>
    </row>
    <row r="362" customFormat="false" ht="13.5" hidden="false" customHeight="false" outlineLevel="0" collapsed="false">
      <c r="A362" s="35"/>
      <c r="B362" s="35"/>
      <c r="C362" s="37"/>
      <c r="D362" s="37"/>
      <c r="E362" s="35"/>
      <c r="F362" s="38" t="str">
        <f aca="false">IF($B362="","",IF(COUNTIF(科目对照回款!$F$2:$H$16,$B362)&gt;0,"√","× 未识别"))</f>
        <v/>
      </c>
    </row>
    <row r="363" customFormat="false" ht="13.5" hidden="false" customHeight="false" outlineLevel="0" collapsed="false">
      <c r="A363" s="35"/>
      <c r="B363" s="35"/>
      <c r="C363" s="37"/>
      <c r="D363" s="37"/>
      <c r="E363" s="35"/>
      <c r="F363" s="38" t="str">
        <f aca="false">IF($B363="","",IF(COUNTIF(科目对照回款!$F$2:$H$16,$B363)&gt;0,"√","× 未识别"))</f>
        <v/>
      </c>
    </row>
    <row r="364" customFormat="false" ht="13.5" hidden="false" customHeight="false" outlineLevel="0" collapsed="false">
      <c r="A364" s="35"/>
      <c r="B364" s="35"/>
      <c r="C364" s="37"/>
      <c r="D364" s="37"/>
      <c r="E364" s="35"/>
      <c r="F364" s="38" t="str">
        <f aca="false">IF($B364="","",IF(COUNTIF(科目对照回款!$F$2:$H$16,$B364)&gt;0,"√","× 未识别"))</f>
        <v/>
      </c>
    </row>
    <row r="365" customFormat="false" ht="13.5" hidden="false" customHeight="false" outlineLevel="0" collapsed="false">
      <c r="A365" s="35"/>
      <c r="B365" s="35"/>
      <c r="C365" s="37"/>
      <c r="D365" s="37"/>
      <c r="E365" s="35"/>
      <c r="F365" s="38" t="str">
        <f aca="false">IF($B365="","",IF(COUNTIF(科目对照回款!$F$2:$H$16,$B365)&gt;0,"√","× 未识别"))</f>
        <v/>
      </c>
    </row>
    <row r="366" customFormat="false" ht="13.5" hidden="false" customHeight="false" outlineLevel="0" collapsed="false">
      <c r="A366" s="35"/>
      <c r="B366" s="35"/>
      <c r="C366" s="37"/>
      <c r="D366" s="37"/>
      <c r="E366" s="35"/>
      <c r="F366" s="38" t="str">
        <f aca="false">IF($B366="","",IF(COUNTIF(科目对照回款!$F$2:$H$16,$B366)&gt;0,"√","× 未识别"))</f>
        <v/>
      </c>
    </row>
    <row r="367" customFormat="false" ht="13.5" hidden="false" customHeight="false" outlineLevel="0" collapsed="false">
      <c r="A367" s="35"/>
      <c r="B367" s="35"/>
      <c r="C367" s="37"/>
      <c r="D367" s="37"/>
      <c r="E367" s="35"/>
      <c r="F367" s="38" t="str">
        <f aca="false">IF($B367="","",IF(COUNTIF(科目对照回款!$F$2:$H$16,$B367)&gt;0,"√","× 未识别"))</f>
        <v/>
      </c>
    </row>
    <row r="368" customFormat="false" ht="13.5" hidden="false" customHeight="false" outlineLevel="0" collapsed="false">
      <c r="A368" s="35"/>
      <c r="B368" s="35"/>
      <c r="C368" s="37"/>
      <c r="D368" s="37"/>
      <c r="E368" s="35"/>
      <c r="F368" s="38" t="str">
        <f aca="false">IF($B368="","",IF(COUNTIF(科目对照回款!$F$2:$H$16,$B368)&gt;0,"√","× 未识别"))</f>
        <v/>
      </c>
    </row>
    <row r="369" customFormat="false" ht="13.5" hidden="false" customHeight="false" outlineLevel="0" collapsed="false">
      <c r="A369" s="35"/>
      <c r="B369" s="35"/>
      <c r="C369" s="37"/>
      <c r="D369" s="37"/>
      <c r="E369" s="35"/>
      <c r="F369" s="38" t="str">
        <f aca="false">IF($B369="","",IF(COUNTIF(科目对照回款!$F$2:$H$16,$B369)&gt;0,"√","× 未识别"))</f>
        <v/>
      </c>
    </row>
    <row r="370" customFormat="false" ht="13.5" hidden="false" customHeight="false" outlineLevel="0" collapsed="false">
      <c r="A370" s="35"/>
      <c r="B370" s="35"/>
      <c r="C370" s="37"/>
      <c r="D370" s="37"/>
      <c r="E370" s="35"/>
      <c r="F370" s="38" t="str">
        <f aca="false">IF($B370="","",IF(COUNTIF(科目对照回款!$F$2:$H$16,$B370)&gt;0,"√","× 未识别"))</f>
        <v/>
      </c>
    </row>
    <row r="371" customFormat="false" ht="13.5" hidden="false" customHeight="false" outlineLevel="0" collapsed="false">
      <c r="A371" s="35"/>
      <c r="B371" s="35"/>
      <c r="C371" s="37"/>
      <c r="D371" s="37"/>
      <c r="E371" s="35"/>
      <c r="F371" s="38" t="str">
        <f aca="false">IF($B371="","",IF(COUNTIF(科目对照回款!$F$2:$H$16,$B371)&gt;0,"√","× 未识别"))</f>
        <v/>
      </c>
    </row>
    <row r="372" customFormat="false" ht="13.5" hidden="false" customHeight="false" outlineLevel="0" collapsed="false">
      <c r="A372" s="35"/>
      <c r="B372" s="35"/>
      <c r="C372" s="37"/>
      <c r="D372" s="37"/>
      <c r="E372" s="35"/>
      <c r="F372" s="38" t="str">
        <f aca="false">IF($B372="","",IF(COUNTIF(科目对照回款!$F$2:$H$16,$B372)&gt;0,"√","× 未识别"))</f>
        <v/>
      </c>
    </row>
    <row r="373" customFormat="false" ht="13.5" hidden="false" customHeight="false" outlineLevel="0" collapsed="false">
      <c r="A373" s="35"/>
      <c r="B373" s="35"/>
      <c r="C373" s="37"/>
      <c r="D373" s="37"/>
      <c r="E373" s="35"/>
      <c r="F373" s="38" t="str">
        <f aca="false">IF($B373="","",IF(COUNTIF(科目对照回款!$F$2:$H$16,$B373)&gt;0,"√","× 未识别"))</f>
        <v/>
      </c>
    </row>
    <row r="374" customFormat="false" ht="13.5" hidden="false" customHeight="false" outlineLevel="0" collapsed="false">
      <c r="A374" s="35"/>
      <c r="B374" s="35"/>
      <c r="C374" s="37"/>
      <c r="D374" s="37"/>
      <c r="E374" s="35"/>
      <c r="F374" s="38" t="str">
        <f aca="false">IF($B374="","",IF(COUNTIF(科目对照回款!$F$2:$H$16,$B374)&gt;0,"√","× 未识别"))</f>
        <v/>
      </c>
    </row>
    <row r="375" customFormat="false" ht="13.5" hidden="false" customHeight="false" outlineLevel="0" collapsed="false">
      <c r="A375" s="35"/>
      <c r="B375" s="35"/>
      <c r="C375" s="37"/>
      <c r="D375" s="37"/>
      <c r="E375" s="35"/>
      <c r="F375" s="38" t="str">
        <f aca="false">IF($B375="","",IF(COUNTIF(科目对照回款!$F$2:$H$16,$B375)&gt;0,"√","× 未识别"))</f>
        <v/>
      </c>
    </row>
    <row r="376" customFormat="false" ht="13.5" hidden="false" customHeight="false" outlineLevel="0" collapsed="false">
      <c r="A376" s="35"/>
      <c r="B376" s="35"/>
      <c r="C376" s="37"/>
      <c r="D376" s="37"/>
      <c r="E376" s="35"/>
      <c r="F376" s="38" t="str">
        <f aca="false">IF($B376="","",IF(COUNTIF(科目对照回款!$F$2:$H$16,$B376)&gt;0,"√","× 未识别"))</f>
        <v/>
      </c>
    </row>
    <row r="377" customFormat="false" ht="13.5" hidden="false" customHeight="false" outlineLevel="0" collapsed="false">
      <c r="A377" s="35"/>
      <c r="B377" s="35"/>
      <c r="C377" s="37"/>
      <c r="D377" s="37"/>
      <c r="E377" s="35"/>
      <c r="F377" s="38" t="str">
        <f aca="false">IF($B377="","",IF(COUNTIF(科目对照回款!$F$2:$H$16,$B377)&gt;0,"√","× 未识别"))</f>
        <v/>
      </c>
    </row>
    <row r="378" customFormat="false" ht="13.5" hidden="false" customHeight="false" outlineLevel="0" collapsed="false">
      <c r="A378" s="35"/>
      <c r="B378" s="35"/>
      <c r="C378" s="37"/>
      <c r="D378" s="37"/>
      <c r="E378" s="35"/>
      <c r="F378" s="38" t="str">
        <f aca="false">IF($B378="","",IF(COUNTIF(科目对照回款!$F$2:$H$16,$B378)&gt;0,"√","× 未识别"))</f>
        <v/>
      </c>
    </row>
    <row r="379" customFormat="false" ht="13.5" hidden="false" customHeight="false" outlineLevel="0" collapsed="false">
      <c r="A379" s="35"/>
      <c r="B379" s="35"/>
      <c r="C379" s="37"/>
      <c r="D379" s="37"/>
      <c r="E379" s="35"/>
      <c r="F379" s="38" t="str">
        <f aca="false">IF($B379="","",IF(COUNTIF(科目对照回款!$F$2:$H$16,$B379)&gt;0,"√","× 未识别"))</f>
        <v/>
      </c>
    </row>
    <row r="380" customFormat="false" ht="13.5" hidden="false" customHeight="false" outlineLevel="0" collapsed="false">
      <c r="A380" s="35"/>
      <c r="B380" s="35"/>
      <c r="C380" s="37"/>
      <c r="D380" s="37"/>
      <c r="E380" s="35"/>
      <c r="F380" s="38" t="str">
        <f aca="false">IF($B380="","",IF(COUNTIF(科目对照回款!$F$2:$H$16,$B380)&gt;0,"√","× 未识别"))</f>
        <v/>
      </c>
    </row>
    <row r="381" customFormat="false" ht="13.5" hidden="false" customHeight="false" outlineLevel="0" collapsed="false">
      <c r="A381" s="35"/>
      <c r="B381" s="35"/>
      <c r="C381" s="37"/>
      <c r="D381" s="37"/>
      <c r="E381" s="35"/>
      <c r="F381" s="38" t="str">
        <f aca="false">IF($B381="","",IF(COUNTIF(科目对照回款!$F$2:$H$16,$B381)&gt;0,"√","× 未识别"))</f>
        <v/>
      </c>
    </row>
    <row r="382" customFormat="false" ht="13.5" hidden="false" customHeight="false" outlineLevel="0" collapsed="false">
      <c r="A382" s="35"/>
      <c r="B382" s="35"/>
      <c r="C382" s="37"/>
      <c r="D382" s="37"/>
      <c r="E382" s="35"/>
      <c r="F382" s="38" t="str">
        <f aca="false">IF($B382="","",IF(COUNTIF(科目对照回款!$F$2:$H$16,$B382)&gt;0,"√","× 未识别"))</f>
        <v/>
      </c>
    </row>
    <row r="383" customFormat="false" ht="13.5" hidden="false" customHeight="false" outlineLevel="0" collapsed="false">
      <c r="A383" s="35"/>
      <c r="B383" s="35"/>
      <c r="C383" s="37"/>
      <c r="D383" s="37"/>
      <c r="E383" s="35"/>
      <c r="F383" s="38" t="str">
        <f aca="false">IF($B383="","",IF(COUNTIF(科目对照回款!$F$2:$H$16,$B383)&gt;0,"√","× 未识别"))</f>
        <v/>
      </c>
    </row>
    <row r="384" customFormat="false" ht="13.5" hidden="false" customHeight="false" outlineLevel="0" collapsed="false">
      <c r="A384" s="35"/>
      <c r="B384" s="35"/>
      <c r="C384" s="37"/>
      <c r="D384" s="37"/>
      <c r="E384" s="35"/>
      <c r="F384" s="38" t="str">
        <f aca="false">IF($B384="","",IF(COUNTIF(科目对照回款!$F$2:$H$16,$B384)&gt;0,"√","× 未识别"))</f>
        <v/>
      </c>
    </row>
    <row r="385" customFormat="false" ht="13.5" hidden="false" customHeight="false" outlineLevel="0" collapsed="false">
      <c r="A385" s="35"/>
      <c r="B385" s="35"/>
      <c r="C385" s="37"/>
      <c r="D385" s="37"/>
      <c r="E385" s="35"/>
      <c r="F385" s="38" t="str">
        <f aca="false">IF($B385="","",IF(COUNTIF(科目对照回款!$F$2:$H$16,$B385)&gt;0,"√","× 未识别"))</f>
        <v/>
      </c>
    </row>
    <row r="386" customFormat="false" ht="13.5" hidden="false" customHeight="false" outlineLevel="0" collapsed="false">
      <c r="A386" s="35"/>
      <c r="B386" s="35"/>
      <c r="C386" s="37"/>
      <c r="D386" s="37"/>
      <c r="E386" s="35"/>
      <c r="F386" s="38" t="str">
        <f aca="false">IF($B386="","",IF(COUNTIF(科目对照回款!$F$2:$H$16,$B386)&gt;0,"√","× 未识别"))</f>
        <v/>
      </c>
    </row>
    <row r="387" customFormat="false" ht="13.5" hidden="false" customHeight="false" outlineLevel="0" collapsed="false">
      <c r="A387" s="35"/>
      <c r="B387" s="35"/>
      <c r="C387" s="37"/>
      <c r="D387" s="37"/>
      <c r="E387" s="35"/>
      <c r="F387" s="38" t="str">
        <f aca="false">IF($B387="","",IF(COUNTIF(科目对照回款!$F$2:$H$16,$B387)&gt;0,"√","× 未识别"))</f>
        <v/>
      </c>
    </row>
    <row r="388" customFormat="false" ht="13.5" hidden="false" customHeight="false" outlineLevel="0" collapsed="false">
      <c r="A388" s="35"/>
      <c r="B388" s="35"/>
      <c r="C388" s="37"/>
      <c r="D388" s="37"/>
      <c r="E388" s="35"/>
      <c r="F388" s="38" t="str">
        <f aca="false">IF($B388="","",IF(COUNTIF(科目对照回款!$F$2:$H$16,$B388)&gt;0,"√","× 未识别"))</f>
        <v/>
      </c>
    </row>
    <row r="389" customFormat="false" ht="13.5" hidden="false" customHeight="false" outlineLevel="0" collapsed="false">
      <c r="A389" s="35"/>
      <c r="B389" s="35"/>
      <c r="C389" s="37"/>
      <c r="D389" s="37"/>
      <c r="E389" s="35"/>
      <c r="F389" s="38" t="str">
        <f aca="false">IF($B389="","",IF(COUNTIF(科目对照回款!$F$2:$H$16,$B389)&gt;0,"√","× 未识别"))</f>
        <v/>
      </c>
    </row>
    <row r="390" customFormat="false" ht="13.5" hidden="false" customHeight="false" outlineLevel="0" collapsed="false">
      <c r="A390" s="35"/>
      <c r="B390" s="35"/>
      <c r="C390" s="37"/>
      <c r="D390" s="37"/>
      <c r="E390" s="35"/>
      <c r="F390" s="38" t="str">
        <f aca="false">IF($B390="","",IF(COUNTIF(科目对照回款!$F$2:$H$16,$B390)&gt;0,"√","× 未识别"))</f>
        <v/>
      </c>
    </row>
    <row r="391" customFormat="false" ht="13.5" hidden="false" customHeight="false" outlineLevel="0" collapsed="false">
      <c r="A391" s="35"/>
      <c r="B391" s="35"/>
      <c r="C391" s="37"/>
      <c r="D391" s="37"/>
      <c r="E391" s="35"/>
      <c r="F391" s="38" t="str">
        <f aca="false">IF($B391="","",IF(COUNTIF(科目对照回款!$F$2:$H$16,$B391)&gt;0,"√","× 未识别"))</f>
        <v/>
      </c>
    </row>
    <row r="392" customFormat="false" ht="13.5" hidden="false" customHeight="false" outlineLevel="0" collapsed="false">
      <c r="A392" s="35"/>
      <c r="B392" s="35"/>
      <c r="C392" s="37"/>
      <c r="D392" s="37"/>
      <c r="E392" s="35"/>
      <c r="F392" s="38" t="str">
        <f aca="false">IF($B392="","",IF(COUNTIF(科目对照回款!$F$2:$H$16,$B392)&gt;0,"√","× 未识别"))</f>
        <v/>
      </c>
    </row>
    <row r="393" customFormat="false" ht="13.5" hidden="false" customHeight="false" outlineLevel="0" collapsed="false">
      <c r="A393" s="35"/>
      <c r="B393" s="35"/>
      <c r="C393" s="37"/>
      <c r="D393" s="37"/>
      <c r="E393" s="35"/>
      <c r="F393" s="38" t="str">
        <f aca="false">IF($B393="","",IF(COUNTIF(科目对照回款!$F$2:$H$16,$B393)&gt;0,"√","× 未识别"))</f>
        <v/>
      </c>
    </row>
    <row r="394" customFormat="false" ht="13.5" hidden="false" customHeight="false" outlineLevel="0" collapsed="false">
      <c r="A394" s="35"/>
      <c r="B394" s="35"/>
      <c r="C394" s="37"/>
      <c r="D394" s="37"/>
      <c r="E394" s="35"/>
      <c r="F394" s="38" t="str">
        <f aca="false">IF($B394="","",IF(COUNTIF(科目对照回款!$F$2:$H$16,$B394)&gt;0,"√","× 未识别"))</f>
        <v/>
      </c>
    </row>
    <row r="395" customFormat="false" ht="13.5" hidden="false" customHeight="false" outlineLevel="0" collapsed="false">
      <c r="A395" s="35"/>
      <c r="B395" s="35"/>
      <c r="C395" s="37"/>
      <c r="D395" s="37"/>
      <c r="E395" s="35"/>
      <c r="F395" s="38" t="str">
        <f aca="false">IF($B395="","",IF(COUNTIF(科目对照回款!$F$2:$H$16,$B395)&gt;0,"√","× 未识别"))</f>
        <v/>
      </c>
    </row>
    <row r="396" customFormat="false" ht="13.5" hidden="false" customHeight="false" outlineLevel="0" collapsed="false">
      <c r="A396" s="35"/>
      <c r="B396" s="35"/>
      <c r="C396" s="37"/>
      <c r="D396" s="37"/>
      <c r="E396" s="35"/>
      <c r="F396" s="38" t="str">
        <f aca="false">IF($B396="","",IF(COUNTIF(科目对照回款!$F$2:$H$16,$B396)&gt;0,"√","× 未识别"))</f>
        <v/>
      </c>
    </row>
    <row r="397" customFormat="false" ht="13.5" hidden="false" customHeight="false" outlineLevel="0" collapsed="false">
      <c r="A397" s="35"/>
      <c r="B397" s="35"/>
      <c r="C397" s="37"/>
      <c r="D397" s="37"/>
      <c r="E397" s="35"/>
      <c r="F397" s="38" t="str">
        <f aca="false">IF($B397="","",IF(COUNTIF(科目对照回款!$F$2:$H$16,$B397)&gt;0,"√","× 未识别"))</f>
        <v/>
      </c>
    </row>
    <row r="398" customFormat="false" ht="13.5" hidden="false" customHeight="false" outlineLevel="0" collapsed="false">
      <c r="A398" s="35"/>
      <c r="B398" s="35"/>
      <c r="C398" s="37"/>
      <c r="D398" s="37"/>
      <c r="E398" s="35"/>
      <c r="F398" s="38" t="str">
        <f aca="false">IF($B398="","",IF(COUNTIF(科目对照回款!$F$2:$H$16,$B398)&gt;0,"√","× 未识别"))</f>
        <v/>
      </c>
    </row>
    <row r="399" customFormat="false" ht="13.5" hidden="false" customHeight="false" outlineLevel="0" collapsed="false">
      <c r="A399" s="35"/>
      <c r="B399" s="35"/>
      <c r="C399" s="37"/>
      <c r="D399" s="37"/>
      <c r="E399" s="35"/>
      <c r="F399" s="38" t="str">
        <f aca="false">IF($B399="","",IF(COUNTIF(科目对照回款!$F$2:$H$16,$B399)&gt;0,"√","× 未识别"))</f>
        <v/>
      </c>
    </row>
    <row r="400" customFormat="false" ht="13.5" hidden="false" customHeight="false" outlineLevel="0" collapsed="false">
      <c r="A400" s="35"/>
      <c r="B400" s="35"/>
      <c r="C400" s="37"/>
      <c r="D400" s="37"/>
      <c r="E400" s="35"/>
      <c r="F400" s="38" t="str">
        <f aca="false">IF($B400="","",IF(COUNTIF(科目对照回款!$F$2:$H$16,$B400)&gt;0,"√","× 未识别"))</f>
        <v/>
      </c>
    </row>
    <row r="401" customFormat="false" ht="13.5" hidden="false" customHeight="false" outlineLevel="0" collapsed="false">
      <c r="A401" s="35"/>
      <c r="B401" s="35"/>
      <c r="C401" s="37"/>
      <c r="D401" s="37"/>
      <c r="E401" s="35"/>
      <c r="F401" s="38" t="str">
        <f aca="false">IF($B401="","",IF(COUNTIF(科目对照回款!$F$2:$H$16,$B401)&gt;0,"√","× 未识别"))</f>
        <v/>
      </c>
    </row>
    <row r="402" customFormat="false" ht="13.5" hidden="false" customHeight="false" outlineLevel="0" collapsed="false">
      <c r="A402" s="35"/>
      <c r="B402" s="35"/>
      <c r="C402" s="37"/>
      <c r="D402" s="37"/>
      <c r="E402" s="35"/>
      <c r="F402" s="38" t="str">
        <f aca="false">IF($B402="","",IF(COUNTIF(科目对照回款!$F$2:$H$16,$B402)&gt;0,"√","× 未识别"))</f>
        <v/>
      </c>
    </row>
    <row r="403" customFormat="false" ht="13.5" hidden="false" customHeight="false" outlineLevel="0" collapsed="false">
      <c r="A403" s="35"/>
      <c r="B403" s="35"/>
      <c r="C403" s="37"/>
      <c r="D403" s="37"/>
      <c r="E403" s="35"/>
      <c r="F403" s="38" t="str">
        <f aca="false">IF($B403="","",IF(COUNTIF(科目对照回款!$F$2:$H$16,$B403)&gt;0,"√","× 未识别"))</f>
        <v/>
      </c>
    </row>
    <row r="404" customFormat="false" ht="13.5" hidden="false" customHeight="false" outlineLevel="0" collapsed="false">
      <c r="A404" s="35"/>
      <c r="B404" s="35"/>
      <c r="C404" s="37"/>
      <c r="D404" s="37"/>
      <c r="E404" s="35"/>
      <c r="F404" s="38" t="str">
        <f aca="false">IF($B404="","",IF(COUNTIF(科目对照回款!$F$2:$H$16,$B404)&gt;0,"√","× 未识别"))</f>
        <v/>
      </c>
    </row>
    <row r="405" customFormat="false" ht="13.5" hidden="false" customHeight="false" outlineLevel="0" collapsed="false">
      <c r="A405" s="35"/>
      <c r="B405" s="35"/>
      <c r="C405" s="37"/>
      <c r="D405" s="37"/>
      <c r="E405" s="35"/>
      <c r="F405" s="38" t="str">
        <f aca="false">IF($B405="","",IF(COUNTIF(科目对照回款!$F$2:$H$16,$B405)&gt;0,"√","× 未识别"))</f>
        <v/>
      </c>
    </row>
    <row r="406" customFormat="false" ht="13.5" hidden="false" customHeight="false" outlineLevel="0" collapsed="false">
      <c r="A406" s="35"/>
      <c r="B406" s="35"/>
      <c r="C406" s="37"/>
      <c r="D406" s="37"/>
      <c r="E406" s="35"/>
      <c r="F406" s="38" t="str">
        <f aca="false">IF($B406="","",IF(COUNTIF(科目对照回款!$F$2:$H$16,$B406)&gt;0,"√","× 未识别"))</f>
        <v/>
      </c>
    </row>
    <row r="407" customFormat="false" ht="13.5" hidden="false" customHeight="false" outlineLevel="0" collapsed="false">
      <c r="A407" s="35"/>
      <c r="B407" s="35"/>
      <c r="C407" s="37"/>
      <c r="D407" s="37"/>
      <c r="E407" s="35"/>
      <c r="F407" s="38" t="str">
        <f aca="false">IF($B407="","",IF(COUNTIF(科目对照回款!$F$2:$H$16,$B407)&gt;0,"√","× 未识别"))</f>
        <v/>
      </c>
    </row>
    <row r="408" customFormat="false" ht="13.5" hidden="false" customHeight="false" outlineLevel="0" collapsed="false">
      <c r="A408" s="35"/>
      <c r="B408" s="35"/>
      <c r="C408" s="37"/>
      <c r="D408" s="37"/>
      <c r="E408" s="35"/>
      <c r="F408" s="38" t="str">
        <f aca="false">IF($B408="","",IF(COUNTIF(科目对照回款!$F$2:$H$16,$B408)&gt;0,"√","× 未识别"))</f>
        <v/>
      </c>
    </row>
    <row r="409" customFormat="false" ht="13.5" hidden="false" customHeight="false" outlineLevel="0" collapsed="false">
      <c r="A409" s="35"/>
      <c r="B409" s="35"/>
      <c r="C409" s="37"/>
      <c r="D409" s="37"/>
      <c r="E409" s="35"/>
      <c r="F409" s="38" t="str">
        <f aca="false">IF($B409="","",IF(COUNTIF(科目对照回款!$F$2:$H$16,$B409)&gt;0,"√","× 未识别"))</f>
        <v/>
      </c>
    </row>
    <row r="410" customFormat="false" ht="13.5" hidden="false" customHeight="false" outlineLevel="0" collapsed="false">
      <c r="A410" s="35"/>
      <c r="B410" s="35"/>
      <c r="C410" s="37"/>
      <c r="D410" s="37"/>
      <c r="E410" s="35"/>
      <c r="F410" s="38" t="str">
        <f aca="false">IF($B410="","",IF(COUNTIF(科目对照回款!$F$2:$H$16,$B410)&gt;0,"√","× 未识别"))</f>
        <v/>
      </c>
    </row>
    <row r="411" customFormat="false" ht="13.5" hidden="false" customHeight="false" outlineLevel="0" collapsed="false">
      <c r="A411" s="35"/>
      <c r="B411" s="35"/>
      <c r="C411" s="37"/>
      <c r="D411" s="37"/>
      <c r="E411" s="35"/>
      <c r="F411" s="38" t="str">
        <f aca="false">IF($B411="","",IF(COUNTIF(科目对照回款!$F$2:$H$16,$B411)&gt;0,"√","× 未识别"))</f>
        <v/>
      </c>
    </row>
    <row r="412" customFormat="false" ht="13.5" hidden="false" customHeight="false" outlineLevel="0" collapsed="false">
      <c r="A412" s="35"/>
      <c r="B412" s="35"/>
      <c r="C412" s="37"/>
      <c r="D412" s="37"/>
      <c r="E412" s="35"/>
      <c r="F412" s="38" t="str">
        <f aca="false">IF($B412="","",IF(COUNTIF(科目对照回款!$F$2:$H$16,$B412)&gt;0,"√","× 未识别"))</f>
        <v/>
      </c>
    </row>
    <row r="413" customFormat="false" ht="13.5" hidden="false" customHeight="false" outlineLevel="0" collapsed="false">
      <c r="A413" s="35"/>
      <c r="B413" s="35"/>
      <c r="C413" s="37"/>
      <c r="D413" s="37"/>
      <c r="E413" s="35"/>
      <c r="F413" s="38" t="str">
        <f aca="false">IF($B413="","",IF(COUNTIF(科目对照回款!$F$2:$H$16,$B413)&gt;0,"√","× 未识别"))</f>
        <v/>
      </c>
    </row>
    <row r="414" customFormat="false" ht="13.5" hidden="false" customHeight="false" outlineLevel="0" collapsed="false">
      <c r="A414" s="35"/>
      <c r="B414" s="35"/>
      <c r="C414" s="37"/>
      <c r="D414" s="37"/>
      <c r="E414" s="35"/>
      <c r="F414" s="38" t="str">
        <f aca="false">IF($B414="","",IF(COUNTIF(科目对照回款!$F$2:$H$16,$B414)&gt;0,"√","× 未识别"))</f>
        <v/>
      </c>
    </row>
    <row r="415" customFormat="false" ht="13.5" hidden="false" customHeight="false" outlineLevel="0" collapsed="false">
      <c r="A415" s="35"/>
      <c r="B415" s="35"/>
      <c r="C415" s="37"/>
      <c r="D415" s="37"/>
      <c r="E415" s="35"/>
      <c r="F415" s="38" t="str">
        <f aca="false">IF($B415="","",IF(COUNTIF(科目对照回款!$F$2:$H$16,$B415)&gt;0,"√","× 未识别"))</f>
        <v/>
      </c>
    </row>
    <row r="416" customFormat="false" ht="13.5" hidden="false" customHeight="false" outlineLevel="0" collapsed="false">
      <c r="A416" s="35"/>
      <c r="B416" s="35"/>
      <c r="C416" s="37"/>
      <c r="D416" s="37"/>
      <c r="E416" s="35"/>
      <c r="F416" s="38" t="str">
        <f aca="false">IF($B416="","",IF(COUNTIF(科目对照回款!$F$2:$H$16,$B416)&gt;0,"√","× 未识别"))</f>
        <v/>
      </c>
    </row>
    <row r="417" customFormat="false" ht="13.5" hidden="false" customHeight="false" outlineLevel="0" collapsed="false">
      <c r="A417" s="35"/>
      <c r="B417" s="35"/>
      <c r="C417" s="37"/>
      <c r="D417" s="37"/>
      <c r="E417" s="35"/>
      <c r="F417" s="38" t="str">
        <f aca="false">IF($B417="","",IF(COUNTIF(科目对照回款!$F$2:$H$16,$B417)&gt;0,"√","× 未识别"))</f>
        <v/>
      </c>
    </row>
    <row r="418" customFormat="false" ht="13.5" hidden="false" customHeight="false" outlineLevel="0" collapsed="false">
      <c r="A418" s="35"/>
      <c r="B418" s="35"/>
      <c r="C418" s="37"/>
      <c r="D418" s="37"/>
      <c r="E418" s="35"/>
      <c r="F418" s="38" t="str">
        <f aca="false">IF($B418="","",IF(COUNTIF(科目对照回款!$F$2:$H$16,$B418)&gt;0,"√","× 未识别"))</f>
        <v/>
      </c>
    </row>
    <row r="419" customFormat="false" ht="13.5" hidden="false" customHeight="false" outlineLevel="0" collapsed="false">
      <c r="A419" s="35"/>
      <c r="B419" s="35"/>
      <c r="C419" s="37"/>
      <c r="D419" s="37"/>
      <c r="E419" s="35"/>
      <c r="F419" s="38" t="str">
        <f aca="false">IF($B419="","",IF(COUNTIF(科目对照回款!$F$2:$H$16,$B419)&gt;0,"√","× 未识别"))</f>
        <v/>
      </c>
    </row>
    <row r="420" customFormat="false" ht="13.5" hidden="false" customHeight="false" outlineLevel="0" collapsed="false">
      <c r="A420" s="35"/>
      <c r="B420" s="35"/>
      <c r="C420" s="37"/>
      <c r="D420" s="37"/>
      <c r="E420" s="35"/>
      <c r="F420" s="38" t="str">
        <f aca="false">IF($B420="","",IF(COUNTIF(科目对照回款!$F$2:$H$16,$B420)&gt;0,"√","× 未识别"))</f>
        <v/>
      </c>
    </row>
    <row r="421" customFormat="false" ht="13.5" hidden="false" customHeight="false" outlineLevel="0" collapsed="false">
      <c r="A421" s="35"/>
      <c r="B421" s="35"/>
      <c r="C421" s="37"/>
      <c r="D421" s="37"/>
      <c r="E421" s="35"/>
      <c r="F421" s="38" t="str">
        <f aca="false">IF($B421="","",IF(COUNTIF(科目对照回款!$F$2:$H$16,$B421)&gt;0,"√","× 未识别"))</f>
        <v/>
      </c>
    </row>
    <row r="422" customFormat="false" ht="13.5" hidden="false" customHeight="false" outlineLevel="0" collapsed="false">
      <c r="A422" s="35"/>
      <c r="B422" s="35"/>
      <c r="C422" s="37"/>
      <c r="D422" s="37"/>
      <c r="E422" s="35"/>
      <c r="F422" s="38" t="str">
        <f aca="false">IF($B422="","",IF(COUNTIF(科目对照回款!$F$2:$H$16,$B422)&gt;0,"√","× 未识别"))</f>
        <v/>
      </c>
    </row>
    <row r="423" customFormat="false" ht="13.5" hidden="false" customHeight="false" outlineLevel="0" collapsed="false">
      <c r="A423" s="35"/>
      <c r="B423" s="35"/>
      <c r="C423" s="37"/>
      <c r="D423" s="37"/>
      <c r="E423" s="35"/>
      <c r="F423" s="38" t="str">
        <f aca="false">IF($B423="","",IF(COUNTIF(科目对照回款!$F$2:$H$16,$B423)&gt;0,"√","× 未识别"))</f>
        <v/>
      </c>
    </row>
    <row r="424" customFormat="false" ht="13.5" hidden="false" customHeight="false" outlineLevel="0" collapsed="false">
      <c r="A424" s="35"/>
      <c r="B424" s="35"/>
      <c r="C424" s="37"/>
      <c r="D424" s="37"/>
      <c r="E424" s="35"/>
      <c r="F424" s="38" t="str">
        <f aca="false">IF($B424="","",IF(COUNTIF(科目对照回款!$F$2:$H$16,$B424)&gt;0,"√","× 未识别"))</f>
        <v/>
      </c>
    </row>
    <row r="425" customFormat="false" ht="13.5" hidden="false" customHeight="false" outlineLevel="0" collapsed="false">
      <c r="A425" s="35"/>
      <c r="B425" s="35"/>
      <c r="C425" s="37"/>
      <c r="D425" s="37"/>
      <c r="E425" s="35"/>
      <c r="F425" s="38" t="str">
        <f aca="false">IF($B425="","",IF(COUNTIF(科目对照回款!$F$2:$H$16,$B425)&gt;0,"√","× 未识别"))</f>
        <v/>
      </c>
    </row>
    <row r="426" customFormat="false" ht="13.5" hidden="false" customHeight="false" outlineLevel="0" collapsed="false">
      <c r="A426" s="35"/>
      <c r="B426" s="35"/>
      <c r="C426" s="37"/>
      <c r="D426" s="37"/>
      <c r="E426" s="35"/>
      <c r="F426" s="38" t="str">
        <f aca="false">IF($B426="","",IF(COUNTIF(科目对照回款!$F$2:$H$16,$B426)&gt;0,"√","× 未识别"))</f>
        <v/>
      </c>
    </row>
    <row r="427" customFormat="false" ht="13.5" hidden="false" customHeight="false" outlineLevel="0" collapsed="false">
      <c r="A427" s="35"/>
      <c r="B427" s="35"/>
      <c r="C427" s="37"/>
      <c r="D427" s="37"/>
      <c r="E427" s="35"/>
      <c r="F427" s="38" t="str">
        <f aca="false">IF($B427="","",IF(COUNTIF(科目对照回款!$F$2:$H$16,$B427)&gt;0,"√","× 未识别"))</f>
        <v/>
      </c>
    </row>
    <row r="428" customFormat="false" ht="13.5" hidden="false" customHeight="false" outlineLevel="0" collapsed="false">
      <c r="A428" s="35"/>
      <c r="B428" s="35"/>
      <c r="C428" s="37"/>
      <c r="D428" s="37"/>
      <c r="E428" s="35"/>
      <c r="F428" s="38" t="str">
        <f aca="false">IF($B428="","",IF(COUNTIF(科目对照回款!$F$2:$H$16,$B428)&gt;0,"√","× 未识别"))</f>
        <v/>
      </c>
    </row>
    <row r="429" customFormat="false" ht="13.5" hidden="false" customHeight="false" outlineLevel="0" collapsed="false">
      <c r="A429" s="35"/>
      <c r="B429" s="35"/>
      <c r="C429" s="37"/>
      <c r="D429" s="37"/>
      <c r="E429" s="35"/>
      <c r="F429" s="38" t="str">
        <f aca="false">IF($B429="","",IF(COUNTIF(科目对照回款!$F$2:$H$16,$B429)&gt;0,"√","× 未识别"))</f>
        <v/>
      </c>
    </row>
    <row r="430" customFormat="false" ht="13.5" hidden="false" customHeight="false" outlineLevel="0" collapsed="false">
      <c r="A430" s="35"/>
      <c r="B430" s="35"/>
      <c r="C430" s="37"/>
      <c r="D430" s="37"/>
      <c r="E430" s="35"/>
      <c r="F430" s="38" t="str">
        <f aca="false">IF($B430="","",IF(COUNTIF(科目对照回款!$F$2:$H$16,$B430)&gt;0,"√","× 未识别"))</f>
        <v/>
      </c>
    </row>
    <row r="431" customFormat="false" ht="13.5" hidden="false" customHeight="false" outlineLevel="0" collapsed="false">
      <c r="A431" s="35"/>
      <c r="B431" s="35"/>
      <c r="C431" s="37"/>
      <c r="D431" s="37"/>
      <c r="E431" s="35"/>
      <c r="F431" s="38" t="str">
        <f aca="false">IF($B431="","",IF(COUNTIF(科目对照回款!$F$2:$H$16,$B431)&gt;0,"√","× 未识别"))</f>
        <v/>
      </c>
    </row>
    <row r="432" customFormat="false" ht="13.5" hidden="false" customHeight="false" outlineLevel="0" collapsed="false">
      <c r="A432" s="35"/>
      <c r="B432" s="35"/>
      <c r="C432" s="37"/>
      <c r="D432" s="37"/>
      <c r="E432" s="35"/>
      <c r="F432" s="38" t="str">
        <f aca="false">IF($B432="","",IF(COUNTIF(科目对照回款!$F$2:$H$16,$B432)&gt;0,"√","× 未识别"))</f>
        <v/>
      </c>
    </row>
    <row r="433" customFormat="false" ht="13.5" hidden="false" customHeight="false" outlineLevel="0" collapsed="false">
      <c r="A433" s="35"/>
      <c r="B433" s="35"/>
      <c r="C433" s="37"/>
      <c r="D433" s="37"/>
      <c r="E433" s="35"/>
      <c r="F433" s="38" t="str">
        <f aca="false">IF($B433="","",IF(COUNTIF(科目对照回款!$F$2:$H$16,$B433)&gt;0,"√","× 未识别"))</f>
        <v/>
      </c>
    </row>
    <row r="434" customFormat="false" ht="13.5" hidden="false" customHeight="false" outlineLevel="0" collapsed="false">
      <c r="A434" s="35"/>
      <c r="B434" s="35"/>
      <c r="C434" s="37"/>
      <c r="D434" s="37"/>
      <c r="E434" s="35"/>
      <c r="F434" s="38" t="str">
        <f aca="false">IF($B434="","",IF(COUNTIF(科目对照回款!$F$2:$H$16,$B434)&gt;0,"√","× 未识别"))</f>
        <v/>
      </c>
    </row>
    <row r="435" customFormat="false" ht="13.5" hidden="false" customHeight="false" outlineLevel="0" collapsed="false">
      <c r="A435" s="35"/>
      <c r="B435" s="35"/>
      <c r="C435" s="37"/>
      <c r="D435" s="37"/>
      <c r="E435" s="35"/>
      <c r="F435" s="38" t="str">
        <f aca="false">IF($B435="","",IF(COUNTIF(科目对照回款!$F$2:$H$16,$B435)&gt;0,"√","× 未识别"))</f>
        <v/>
      </c>
    </row>
    <row r="436" customFormat="false" ht="13.5" hidden="false" customHeight="false" outlineLevel="0" collapsed="false">
      <c r="A436" s="35"/>
      <c r="B436" s="35"/>
      <c r="C436" s="37"/>
      <c r="D436" s="37"/>
      <c r="E436" s="35"/>
      <c r="F436" s="38" t="str">
        <f aca="false">IF($B436="","",IF(COUNTIF(科目对照回款!$F$2:$H$16,$B436)&gt;0,"√","× 未识别"))</f>
        <v/>
      </c>
    </row>
    <row r="437" customFormat="false" ht="13.5" hidden="false" customHeight="false" outlineLevel="0" collapsed="false">
      <c r="A437" s="35"/>
      <c r="B437" s="35"/>
      <c r="C437" s="37"/>
      <c r="D437" s="37"/>
      <c r="E437" s="35"/>
      <c r="F437" s="38" t="str">
        <f aca="false">IF($B437="","",IF(COUNTIF(科目对照回款!$F$2:$H$16,$B437)&gt;0,"√","× 未识别"))</f>
        <v/>
      </c>
    </row>
    <row r="438" customFormat="false" ht="13.5" hidden="false" customHeight="false" outlineLevel="0" collapsed="false">
      <c r="A438" s="35"/>
      <c r="B438" s="35"/>
      <c r="C438" s="37"/>
      <c r="D438" s="37"/>
      <c r="E438" s="35"/>
      <c r="F438" s="38" t="str">
        <f aca="false">IF($B438="","",IF(COUNTIF(科目对照回款!$F$2:$H$16,$B438)&gt;0,"√","× 未识别"))</f>
        <v/>
      </c>
    </row>
    <row r="439" customFormat="false" ht="13.5" hidden="false" customHeight="false" outlineLevel="0" collapsed="false">
      <c r="A439" s="35"/>
      <c r="B439" s="35"/>
      <c r="C439" s="37"/>
      <c r="D439" s="37"/>
      <c r="E439" s="35"/>
      <c r="F439" s="38" t="str">
        <f aca="false">IF($B439="","",IF(COUNTIF(科目对照回款!$F$2:$H$16,$B439)&gt;0,"√","× 未识别"))</f>
        <v/>
      </c>
    </row>
    <row r="440" customFormat="false" ht="13.5" hidden="false" customHeight="false" outlineLevel="0" collapsed="false">
      <c r="A440" s="35"/>
      <c r="B440" s="35"/>
      <c r="C440" s="37"/>
      <c r="D440" s="37"/>
      <c r="E440" s="35"/>
      <c r="F440" s="38" t="str">
        <f aca="false">IF($B440="","",IF(COUNTIF(科目对照回款!$F$2:$H$16,$B440)&gt;0,"√","× 未识别"))</f>
        <v/>
      </c>
    </row>
    <row r="441" customFormat="false" ht="13.5" hidden="false" customHeight="false" outlineLevel="0" collapsed="false">
      <c r="A441" s="35"/>
      <c r="B441" s="35"/>
      <c r="C441" s="37"/>
      <c r="D441" s="37"/>
      <c r="E441" s="35"/>
      <c r="F441" s="38" t="str">
        <f aca="false">IF($B441="","",IF(COUNTIF(科目对照回款!$F$2:$H$16,$B441)&gt;0,"√","× 未识别"))</f>
        <v/>
      </c>
    </row>
    <row r="442" customFormat="false" ht="13.5" hidden="false" customHeight="false" outlineLevel="0" collapsed="false">
      <c r="A442" s="35"/>
      <c r="B442" s="35"/>
      <c r="C442" s="37"/>
      <c r="D442" s="37"/>
      <c r="E442" s="35"/>
      <c r="F442" s="38" t="str">
        <f aca="false">IF($B442="","",IF(COUNTIF(科目对照回款!$F$2:$H$16,$B442)&gt;0,"√","× 未识别"))</f>
        <v/>
      </c>
    </row>
    <row r="443" customFormat="false" ht="13.5" hidden="false" customHeight="false" outlineLevel="0" collapsed="false">
      <c r="A443" s="35"/>
      <c r="B443" s="35"/>
      <c r="C443" s="37"/>
      <c r="D443" s="37"/>
      <c r="E443" s="35"/>
      <c r="F443" s="38" t="str">
        <f aca="false">IF($B443="","",IF(COUNTIF(科目对照回款!$F$2:$H$16,$B443)&gt;0,"√","× 未识别"))</f>
        <v/>
      </c>
    </row>
    <row r="444" customFormat="false" ht="13.5" hidden="false" customHeight="false" outlineLevel="0" collapsed="false">
      <c r="A444" s="35"/>
      <c r="B444" s="35"/>
      <c r="C444" s="37"/>
      <c r="D444" s="37"/>
      <c r="E444" s="35"/>
      <c r="F444" s="38" t="str">
        <f aca="false">IF($B444="","",IF(COUNTIF(科目对照回款!$F$2:$H$16,$B444)&gt;0,"√","× 未识别"))</f>
        <v/>
      </c>
    </row>
    <row r="445" customFormat="false" ht="13.5" hidden="false" customHeight="false" outlineLevel="0" collapsed="false">
      <c r="A445" s="35"/>
      <c r="B445" s="35"/>
      <c r="C445" s="37"/>
      <c r="D445" s="37"/>
      <c r="E445" s="35"/>
      <c r="F445" s="38" t="str">
        <f aca="false">IF($B445="","",IF(COUNTIF(科目对照回款!$F$2:$H$16,$B445)&gt;0,"√","× 未识别"))</f>
        <v/>
      </c>
    </row>
    <row r="446" customFormat="false" ht="13.5" hidden="false" customHeight="false" outlineLevel="0" collapsed="false">
      <c r="A446" s="35"/>
      <c r="B446" s="35"/>
      <c r="C446" s="37"/>
      <c r="D446" s="37"/>
      <c r="E446" s="35"/>
      <c r="F446" s="38" t="str">
        <f aca="false">IF($B446="","",IF(COUNTIF(科目对照回款!$F$2:$H$16,$B446)&gt;0,"√","× 未识别"))</f>
        <v/>
      </c>
    </row>
    <row r="447" customFormat="false" ht="13.5" hidden="false" customHeight="false" outlineLevel="0" collapsed="false">
      <c r="A447" s="35"/>
      <c r="B447" s="35"/>
      <c r="C447" s="37"/>
      <c r="D447" s="37"/>
      <c r="E447" s="35"/>
      <c r="F447" s="38" t="str">
        <f aca="false">IF($B447="","",IF(COUNTIF(科目对照回款!$F$2:$H$16,$B447)&gt;0,"√","× 未识别"))</f>
        <v/>
      </c>
    </row>
    <row r="448" customFormat="false" ht="13.5" hidden="false" customHeight="false" outlineLevel="0" collapsed="false">
      <c r="A448" s="35"/>
      <c r="B448" s="35"/>
      <c r="C448" s="37"/>
      <c r="D448" s="37"/>
      <c r="E448" s="35"/>
      <c r="F448" s="38" t="str">
        <f aca="false">IF($B448="","",IF(COUNTIF(科目对照回款!$F$2:$H$16,$B448)&gt;0,"√","× 未识别"))</f>
        <v/>
      </c>
    </row>
    <row r="449" customFormat="false" ht="13.5" hidden="false" customHeight="false" outlineLevel="0" collapsed="false">
      <c r="A449" s="35"/>
      <c r="B449" s="35"/>
      <c r="C449" s="37"/>
      <c r="D449" s="37"/>
      <c r="E449" s="35"/>
      <c r="F449" s="38" t="str">
        <f aca="false">IF($B449="","",IF(COUNTIF(科目对照回款!$F$2:$H$16,$B449)&gt;0,"√","× 未识别"))</f>
        <v/>
      </c>
    </row>
    <row r="450" customFormat="false" ht="13.5" hidden="false" customHeight="false" outlineLevel="0" collapsed="false">
      <c r="A450" s="35"/>
      <c r="B450" s="35"/>
      <c r="C450" s="37"/>
      <c r="D450" s="37"/>
      <c r="E450" s="35"/>
      <c r="F450" s="38" t="str">
        <f aca="false">IF($B450="","",IF(COUNTIF(科目对照回款!$F$2:$H$16,$B450)&gt;0,"√","× 未识别"))</f>
        <v/>
      </c>
    </row>
    <row r="451" customFormat="false" ht="13.5" hidden="false" customHeight="false" outlineLevel="0" collapsed="false">
      <c r="A451" s="35"/>
      <c r="B451" s="35"/>
      <c r="C451" s="37"/>
      <c r="D451" s="37"/>
      <c r="E451" s="35"/>
      <c r="F451" s="38" t="str">
        <f aca="false">IF($B451="","",IF(COUNTIF(科目对照回款!$F$2:$H$16,$B451)&gt;0,"√","× 未识别"))</f>
        <v/>
      </c>
    </row>
    <row r="452" customFormat="false" ht="13.5" hidden="false" customHeight="false" outlineLevel="0" collapsed="false">
      <c r="A452" s="35"/>
      <c r="B452" s="35"/>
      <c r="C452" s="37"/>
      <c r="D452" s="37"/>
      <c r="E452" s="35"/>
      <c r="F452" s="38" t="str">
        <f aca="false">IF($B452="","",IF(COUNTIF(科目对照回款!$F$2:$H$16,$B452)&gt;0,"√","× 未识别"))</f>
        <v/>
      </c>
    </row>
    <row r="453" customFormat="false" ht="13.5" hidden="false" customHeight="false" outlineLevel="0" collapsed="false">
      <c r="A453" s="35"/>
      <c r="B453" s="35"/>
      <c r="C453" s="37"/>
      <c r="D453" s="37"/>
      <c r="E453" s="35"/>
      <c r="F453" s="38" t="str">
        <f aca="false">IF($B453="","",IF(COUNTIF(科目对照回款!$F$2:$H$16,$B453)&gt;0,"√","× 未识别"))</f>
        <v/>
      </c>
    </row>
    <row r="454" customFormat="false" ht="13.5" hidden="false" customHeight="false" outlineLevel="0" collapsed="false">
      <c r="A454" s="35"/>
      <c r="B454" s="35"/>
      <c r="C454" s="37"/>
      <c r="D454" s="37"/>
      <c r="E454" s="35"/>
      <c r="F454" s="38" t="str">
        <f aca="false">IF($B454="","",IF(COUNTIF(科目对照回款!$F$2:$H$16,$B454)&gt;0,"√","× 未识别"))</f>
        <v/>
      </c>
    </row>
    <row r="455" customFormat="false" ht="13.5" hidden="false" customHeight="false" outlineLevel="0" collapsed="false">
      <c r="A455" s="35"/>
      <c r="B455" s="35"/>
      <c r="C455" s="37"/>
      <c r="D455" s="37"/>
      <c r="E455" s="35"/>
      <c r="F455" s="38" t="str">
        <f aca="false">IF($B455="","",IF(COUNTIF(科目对照回款!$F$2:$H$16,$B455)&gt;0,"√","× 未识别"))</f>
        <v/>
      </c>
    </row>
    <row r="456" customFormat="false" ht="13.5" hidden="false" customHeight="false" outlineLevel="0" collapsed="false">
      <c r="A456" s="35"/>
      <c r="B456" s="35"/>
      <c r="C456" s="37"/>
      <c r="D456" s="37"/>
      <c r="E456" s="35"/>
      <c r="F456" s="38" t="str">
        <f aca="false">IF($B456="","",IF(COUNTIF(科目对照回款!$F$2:$H$16,$B456)&gt;0,"√","× 未识别"))</f>
        <v/>
      </c>
    </row>
    <row r="457" customFormat="false" ht="13.5" hidden="false" customHeight="false" outlineLevel="0" collapsed="false">
      <c r="A457" s="35"/>
      <c r="B457" s="35"/>
      <c r="C457" s="37"/>
      <c r="D457" s="37"/>
      <c r="E457" s="35"/>
      <c r="F457" s="38" t="str">
        <f aca="false">IF($B457="","",IF(COUNTIF(科目对照回款!$F$2:$H$16,$B457)&gt;0,"√","× 未识别"))</f>
        <v/>
      </c>
    </row>
    <row r="458" customFormat="false" ht="13.5" hidden="false" customHeight="false" outlineLevel="0" collapsed="false">
      <c r="A458" s="35"/>
      <c r="B458" s="35"/>
      <c r="C458" s="37"/>
      <c r="D458" s="37"/>
      <c r="E458" s="35"/>
      <c r="F458" s="38" t="str">
        <f aca="false">IF($B458="","",IF(COUNTIF(科目对照回款!$F$2:$H$16,$B458)&gt;0,"√","× 未识别"))</f>
        <v/>
      </c>
    </row>
    <row r="459" customFormat="false" ht="13.5" hidden="false" customHeight="false" outlineLevel="0" collapsed="false">
      <c r="A459" s="35"/>
      <c r="B459" s="35"/>
      <c r="C459" s="37"/>
      <c r="D459" s="37"/>
      <c r="E459" s="35"/>
      <c r="F459" s="38" t="str">
        <f aca="false">IF($B459="","",IF(COUNTIF(科目对照回款!$F$2:$H$16,$B459)&gt;0,"√","× 未识别"))</f>
        <v/>
      </c>
    </row>
    <row r="460" customFormat="false" ht="13.5" hidden="false" customHeight="false" outlineLevel="0" collapsed="false">
      <c r="A460" s="35"/>
      <c r="B460" s="35"/>
      <c r="C460" s="37"/>
      <c r="D460" s="37"/>
      <c r="E460" s="35"/>
      <c r="F460" s="38" t="str">
        <f aca="false">IF($B460="","",IF(COUNTIF(科目对照回款!$F$2:$H$16,$B460)&gt;0,"√","× 未识别"))</f>
        <v/>
      </c>
    </row>
    <row r="461" customFormat="false" ht="13.5" hidden="false" customHeight="false" outlineLevel="0" collapsed="false">
      <c r="A461" s="35"/>
      <c r="B461" s="35"/>
      <c r="C461" s="37"/>
      <c r="D461" s="37"/>
      <c r="E461" s="35"/>
      <c r="F461" s="38" t="str">
        <f aca="false">IF($B461="","",IF(COUNTIF(科目对照回款!$F$2:$H$16,$B461)&gt;0,"√","× 未识别"))</f>
        <v/>
      </c>
    </row>
    <row r="462" customFormat="false" ht="13.5" hidden="false" customHeight="false" outlineLevel="0" collapsed="false">
      <c r="A462" s="35"/>
      <c r="B462" s="35"/>
      <c r="C462" s="37"/>
      <c r="D462" s="37"/>
      <c r="E462" s="35"/>
      <c r="F462" s="38" t="str">
        <f aca="false">IF($B462="","",IF(COUNTIF(科目对照回款!$F$2:$H$16,$B462)&gt;0,"√","× 未识别"))</f>
        <v/>
      </c>
    </row>
    <row r="463" customFormat="false" ht="13.5" hidden="false" customHeight="false" outlineLevel="0" collapsed="false">
      <c r="A463" s="35"/>
      <c r="B463" s="35"/>
      <c r="C463" s="37"/>
      <c r="D463" s="37"/>
      <c r="E463" s="35"/>
      <c r="F463" s="38" t="str">
        <f aca="false">IF($B463="","",IF(COUNTIF(科目对照回款!$F$2:$H$16,$B463)&gt;0,"√","× 未识别"))</f>
        <v/>
      </c>
    </row>
    <row r="464" customFormat="false" ht="13.5" hidden="false" customHeight="false" outlineLevel="0" collapsed="false">
      <c r="A464" s="35"/>
      <c r="B464" s="35"/>
      <c r="C464" s="37"/>
      <c r="D464" s="37"/>
      <c r="E464" s="35"/>
      <c r="F464" s="38" t="str">
        <f aca="false">IF($B464="","",IF(COUNTIF(科目对照回款!$F$2:$H$16,$B464)&gt;0,"√","× 未识别"))</f>
        <v/>
      </c>
    </row>
    <row r="465" customFormat="false" ht="13.5" hidden="false" customHeight="false" outlineLevel="0" collapsed="false">
      <c r="A465" s="35"/>
      <c r="B465" s="35"/>
      <c r="C465" s="37"/>
      <c r="D465" s="37"/>
      <c r="E465" s="35"/>
      <c r="F465" s="38" t="str">
        <f aca="false">IF($B465="","",IF(COUNTIF(科目对照回款!$F$2:$H$16,$B465)&gt;0,"√","× 未识别"))</f>
        <v/>
      </c>
    </row>
    <row r="466" customFormat="false" ht="13.5" hidden="false" customHeight="false" outlineLevel="0" collapsed="false">
      <c r="A466" s="35"/>
      <c r="B466" s="35"/>
      <c r="C466" s="37"/>
      <c r="D466" s="37"/>
      <c r="E466" s="35"/>
      <c r="F466" s="38" t="str">
        <f aca="false">IF($B466="","",IF(COUNTIF(科目对照回款!$F$2:$H$16,$B466)&gt;0,"√","× 未识别"))</f>
        <v/>
      </c>
    </row>
    <row r="467" customFormat="false" ht="13.5" hidden="false" customHeight="false" outlineLevel="0" collapsed="false">
      <c r="A467" s="35"/>
      <c r="B467" s="35"/>
      <c r="C467" s="37"/>
      <c r="D467" s="37"/>
      <c r="E467" s="35"/>
      <c r="F467" s="38" t="str">
        <f aca="false">IF($B467="","",IF(COUNTIF(科目对照回款!$F$2:$H$16,$B467)&gt;0,"√","× 未识别"))</f>
        <v/>
      </c>
    </row>
    <row r="468" customFormat="false" ht="13.5" hidden="false" customHeight="false" outlineLevel="0" collapsed="false">
      <c r="A468" s="35"/>
      <c r="B468" s="35"/>
      <c r="C468" s="37"/>
      <c r="D468" s="37"/>
      <c r="E468" s="35"/>
      <c r="F468" s="38" t="str">
        <f aca="false">IF($B468="","",IF(COUNTIF(科目对照回款!$F$2:$H$16,$B468)&gt;0,"√","× 未识别"))</f>
        <v/>
      </c>
    </row>
    <row r="469" customFormat="false" ht="13.5" hidden="false" customHeight="false" outlineLevel="0" collapsed="false">
      <c r="A469" s="35"/>
      <c r="B469" s="35"/>
      <c r="C469" s="37"/>
      <c r="D469" s="37"/>
      <c r="E469" s="35"/>
      <c r="F469" s="38" t="str">
        <f aca="false">IF($B469="","",IF(COUNTIF(科目对照回款!$F$2:$H$16,$B469)&gt;0,"√","× 未识别"))</f>
        <v/>
      </c>
    </row>
    <row r="470" customFormat="false" ht="13.5" hidden="false" customHeight="false" outlineLevel="0" collapsed="false">
      <c r="A470" s="35"/>
      <c r="B470" s="35"/>
      <c r="C470" s="37"/>
      <c r="D470" s="37"/>
      <c r="E470" s="35"/>
      <c r="F470" s="38" t="str">
        <f aca="false">IF($B470="","",IF(COUNTIF(科目对照回款!$F$2:$H$16,$B470)&gt;0,"√","× 未识别"))</f>
        <v/>
      </c>
    </row>
    <row r="471" customFormat="false" ht="13.5" hidden="false" customHeight="false" outlineLevel="0" collapsed="false">
      <c r="A471" s="35"/>
      <c r="B471" s="35"/>
      <c r="C471" s="37"/>
      <c r="D471" s="37"/>
      <c r="E471" s="35"/>
      <c r="F471" s="38" t="str">
        <f aca="false">IF($B471="","",IF(COUNTIF(科目对照回款!$F$2:$H$16,$B471)&gt;0,"√","× 未识别"))</f>
        <v/>
      </c>
    </row>
    <row r="472" customFormat="false" ht="13.5" hidden="false" customHeight="false" outlineLevel="0" collapsed="false">
      <c r="A472" s="35"/>
      <c r="B472" s="35"/>
      <c r="C472" s="37"/>
      <c r="D472" s="37"/>
      <c r="E472" s="35"/>
      <c r="F472" s="38" t="str">
        <f aca="false">IF($B472="","",IF(COUNTIF(科目对照回款!$F$2:$H$16,$B472)&gt;0,"√","× 未识别"))</f>
        <v/>
      </c>
    </row>
    <row r="473" customFormat="false" ht="13.5" hidden="false" customHeight="false" outlineLevel="0" collapsed="false">
      <c r="A473" s="35"/>
      <c r="B473" s="35"/>
      <c r="C473" s="37"/>
      <c r="D473" s="37"/>
      <c r="E473" s="35"/>
      <c r="F473" s="38" t="str">
        <f aca="false">IF($B473="","",IF(COUNTIF(科目对照回款!$F$2:$H$16,$B473)&gt;0,"√","× 未识别"))</f>
        <v/>
      </c>
    </row>
    <row r="474" customFormat="false" ht="13.5" hidden="false" customHeight="false" outlineLevel="0" collapsed="false">
      <c r="A474" s="35"/>
      <c r="B474" s="35"/>
      <c r="C474" s="37"/>
      <c r="D474" s="37"/>
      <c r="E474" s="35"/>
      <c r="F474" s="38" t="str">
        <f aca="false">IF($B474="","",IF(COUNTIF(科目对照回款!$F$2:$H$16,$B474)&gt;0,"√","× 未识别"))</f>
        <v/>
      </c>
    </row>
    <row r="475" customFormat="false" ht="13.5" hidden="false" customHeight="false" outlineLevel="0" collapsed="false">
      <c r="A475" s="35"/>
      <c r="B475" s="35"/>
      <c r="C475" s="37"/>
      <c r="D475" s="37"/>
      <c r="E475" s="35"/>
      <c r="F475" s="38" t="str">
        <f aca="false">IF($B475="","",IF(COUNTIF(科目对照回款!$F$2:$H$16,$B475)&gt;0,"√","× 未识别"))</f>
        <v/>
      </c>
    </row>
    <row r="476" customFormat="false" ht="13.5" hidden="false" customHeight="false" outlineLevel="0" collapsed="false">
      <c r="A476" s="35"/>
      <c r="B476" s="35"/>
      <c r="C476" s="37"/>
      <c r="D476" s="37"/>
      <c r="E476" s="35"/>
      <c r="F476" s="38" t="str">
        <f aca="false">IF($B476="","",IF(COUNTIF(科目对照回款!$F$2:$H$16,$B476)&gt;0,"√","× 未识别"))</f>
        <v/>
      </c>
    </row>
    <row r="477" customFormat="false" ht="13.5" hidden="false" customHeight="false" outlineLevel="0" collapsed="false">
      <c r="A477" s="35"/>
      <c r="B477" s="35"/>
      <c r="C477" s="37"/>
      <c r="D477" s="37"/>
      <c r="E477" s="35"/>
      <c r="F477" s="38" t="str">
        <f aca="false">IF($B477="","",IF(COUNTIF(科目对照回款!$F$2:$H$16,$B477)&gt;0,"√","× 未识别"))</f>
        <v/>
      </c>
    </row>
    <row r="478" customFormat="false" ht="13.5" hidden="false" customHeight="false" outlineLevel="0" collapsed="false">
      <c r="A478" s="35"/>
      <c r="B478" s="35"/>
      <c r="C478" s="37"/>
      <c r="D478" s="37"/>
      <c r="E478" s="35"/>
      <c r="F478" s="38" t="str">
        <f aca="false">IF($B478="","",IF(COUNTIF(科目对照回款!$F$2:$H$16,$B478)&gt;0,"√","× 未识别"))</f>
        <v/>
      </c>
    </row>
    <row r="479" customFormat="false" ht="13.5" hidden="false" customHeight="false" outlineLevel="0" collapsed="false">
      <c r="A479" s="35"/>
      <c r="B479" s="35"/>
      <c r="C479" s="37"/>
      <c r="D479" s="37"/>
      <c r="E479" s="35"/>
      <c r="F479" s="38" t="str">
        <f aca="false">IF($B479="","",IF(COUNTIF(科目对照回款!$F$2:$H$16,$B479)&gt;0,"√","× 未识别"))</f>
        <v/>
      </c>
    </row>
    <row r="480" customFormat="false" ht="13.5" hidden="false" customHeight="false" outlineLevel="0" collapsed="false">
      <c r="A480" s="35"/>
      <c r="B480" s="35"/>
      <c r="C480" s="37"/>
      <c r="D480" s="37"/>
      <c r="E480" s="35"/>
      <c r="F480" s="38" t="str">
        <f aca="false">IF($B480="","",IF(COUNTIF(科目对照回款!$F$2:$H$16,$B480)&gt;0,"√","× 未识别"))</f>
        <v/>
      </c>
    </row>
    <row r="481" customFormat="false" ht="13.5" hidden="false" customHeight="false" outlineLevel="0" collapsed="false">
      <c r="A481" s="35"/>
      <c r="B481" s="35"/>
      <c r="C481" s="37"/>
      <c r="D481" s="37"/>
      <c r="E481" s="35"/>
      <c r="F481" s="38" t="str">
        <f aca="false">IF($B481="","",IF(COUNTIF(科目对照回款!$F$2:$H$16,$B481)&gt;0,"√","× 未识别"))</f>
        <v/>
      </c>
    </row>
    <row r="482" customFormat="false" ht="13.5" hidden="false" customHeight="false" outlineLevel="0" collapsed="false">
      <c r="A482" s="35"/>
      <c r="B482" s="35"/>
      <c r="C482" s="37"/>
      <c r="D482" s="37"/>
      <c r="E482" s="35"/>
      <c r="F482" s="38" t="str">
        <f aca="false">IF($B482="","",IF(COUNTIF(科目对照回款!$F$2:$H$16,$B482)&gt;0,"√","× 未识别"))</f>
        <v/>
      </c>
    </row>
    <row r="483" customFormat="false" ht="13.5" hidden="false" customHeight="false" outlineLevel="0" collapsed="false">
      <c r="A483" s="35"/>
      <c r="B483" s="35"/>
      <c r="C483" s="37"/>
      <c r="D483" s="37"/>
      <c r="E483" s="35"/>
      <c r="F483" s="38" t="str">
        <f aca="false">IF($B483="","",IF(COUNTIF(科目对照回款!$F$2:$H$16,$B483)&gt;0,"√","× 未识别"))</f>
        <v/>
      </c>
    </row>
    <row r="484" customFormat="false" ht="13.5" hidden="false" customHeight="false" outlineLevel="0" collapsed="false">
      <c r="A484" s="35"/>
      <c r="B484" s="35"/>
      <c r="C484" s="37"/>
      <c r="D484" s="37"/>
      <c r="E484" s="35"/>
      <c r="F484" s="38" t="str">
        <f aca="false">IF($B484="","",IF(COUNTIF(科目对照回款!$F$2:$H$16,$B484)&gt;0,"√","× 未识别"))</f>
        <v/>
      </c>
    </row>
    <row r="485" customFormat="false" ht="13.5" hidden="false" customHeight="false" outlineLevel="0" collapsed="false">
      <c r="A485" s="35"/>
      <c r="B485" s="35"/>
      <c r="C485" s="37"/>
      <c r="D485" s="37"/>
      <c r="E485" s="35"/>
      <c r="F485" s="38" t="str">
        <f aca="false">IF($B485="","",IF(COUNTIF(科目对照回款!$F$2:$H$16,$B485)&gt;0,"√","× 未识别"))</f>
        <v/>
      </c>
    </row>
    <row r="486" customFormat="false" ht="13.5" hidden="false" customHeight="false" outlineLevel="0" collapsed="false">
      <c r="A486" s="35"/>
      <c r="B486" s="35"/>
      <c r="C486" s="37"/>
      <c r="D486" s="37"/>
      <c r="E486" s="35"/>
      <c r="F486" s="38" t="str">
        <f aca="false">IF($B486="","",IF(COUNTIF(科目对照回款!$F$2:$H$16,$B486)&gt;0,"√","× 未识别"))</f>
        <v/>
      </c>
    </row>
    <row r="487" customFormat="false" ht="13.5" hidden="false" customHeight="false" outlineLevel="0" collapsed="false">
      <c r="A487" s="35"/>
      <c r="B487" s="35"/>
      <c r="C487" s="37"/>
      <c r="D487" s="37"/>
      <c r="E487" s="35"/>
      <c r="F487" s="38" t="str">
        <f aca="false">IF($B487="","",IF(COUNTIF(科目对照回款!$F$2:$H$16,$B487)&gt;0,"√","× 未识别"))</f>
        <v/>
      </c>
    </row>
    <row r="488" customFormat="false" ht="13.5" hidden="false" customHeight="false" outlineLevel="0" collapsed="false">
      <c r="A488" s="35"/>
      <c r="B488" s="35"/>
      <c r="C488" s="37"/>
      <c r="D488" s="37"/>
      <c r="E488" s="35"/>
      <c r="F488" s="38" t="str">
        <f aca="false">IF($B488="","",IF(COUNTIF(科目对照回款!$F$2:$H$16,$B488)&gt;0,"√","× 未识别"))</f>
        <v/>
      </c>
    </row>
    <row r="489" customFormat="false" ht="13.5" hidden="false" customHeight="false" outlineLevel="0" collapsed="false">
      <c r="A489" s="35"/>
      <c r="B489" s="35"/>
      <c r="C489" s="37"/>
      <c r="D489" s="37"/>
      <c r="E489" s="35"/>
      <c r="F489" s="38" t="str">
        <f aca="false">IF($B489="","",IF(COUNTIF(科目对照回款!$F$2:$H$16,$B489)&gt;0,"√","× 未识别"))</f>
        <v/>
      </c>
    </row>
    <row r="490" customFormat="false" ht="13.5" hidden="false" customHeight="false" outlineLevel="0" collapsed="false">
      <c r="A490" s="35"/>
      <c r="B490" s="35"/>
      <c r="C490" s="37"/>
      <c r="D490" s="37"/>
      <c r="E490" s="35"/>
      <c r="F490" s="38" t="str">
        <f aca="false">IF($B490="","",IF(COUNTIF(科目对照回款!$F$2:$H$16,$B490)&gt;0,"√","× 未识别"))</f>
        <v/>
      </c>
    </row>
    <row r="491" customFormat="false" ht="13.5" hidden="false" customHeight="false" outlineLevel="0" collapsed="false">
      <c r="A491" s="35"/>
      <c r="B491" s="35"/>
      <c r="C491" s="37"/>
      <c r="D491" s="37"/>
      <c r="E491" s="35"/>
      <c r="F491" s="38" t="str">
        <f aca="false">IF($B491="","",IF(COUNTIF(科目对照回款!$F$2:$H$16,$B491)&gt;0,"√","× 未识别"))</f>
        <v/>
      </c>
    </row>
    <row r="492" customFormat="false" ht="13.5" hidden="false" customHeight="false" outlineLevel="0" collapsed="false">
      <c r="A492" s="35"/>
      <c r="B492" s="35"/>
      <c r="C492" s="37"/>
      <c r="D492" s="37"/>
      <c r="E492" s="35"/>
      <c r="F492" s="38" t="str">
        <f aca="false">IF($B492="","",IF(COUNTIF(科目对照回款!$F$2:$H$16,$B492)&gt;0,"√","× 未识别"))</f>
        <v/>
      </c>
    </row>
    <row r="493" customFormat="false" ht="13.5" hidden="false" customHeight="false" outlineLevel="0" collapsed="false">
      <c r="A493" s="35"/>
      <c r="B493" s="35"/>
      <c r="C493" s="37"/>
      <c r="D493" s="37"/>
      <c r="E493" s="35"/>
      <c r="F493" s="38" t="str">
        <f aca="false">IF($B493="","",IF(COUNTIF(科目对照回款!$F$2:$H$16,$B493)&gt;0,"√","× 未识别"))</f>
        <v/>
      </c>
    </row>
    <row r="494" customFormat="false" ht="13.5" hidden="false" customHeight="false" outlineLevel="0" collapsed="false">
      <c r="A494" s="35"/>
      <c r="B494" s="35"/>
      <c r="C494" s="37"/>
      <c r="D494" s="37"/>
      <c r="E494" s="35"/>
      <c r="F494" s="38" t="str">
        <f aca="false">IF($B494="","",IF(COUNTIF(科目对照回款!$F$2:$H$16,$B494)&gt;0,"√","× 未识别"))</f>
        <v/>
      </c>
    </row>
    <row r="495" customFormat="false" ht="13.5" hidden="false" customHeight="false" outlineLevel="0" collapsed="false">
      <c r="A495" s="35"/>
      <c r="B495" s="35"/>
      <c r="C495" s="37"/>
      <c r="D495" s="37"/>
      <c r="E495" s="35"/>
      <c r="F495" s="38" t="str">
        <f aca="false">IF($B495="","",IF(COUNTIF(科目对照回款!$F$2:$H$16,$B495)&gt;0,"√","× 未识别"))</f>
        <v/>
      </c>
    </row>
    <row r="496" customFormat="false" ht="13.5" hidden="false" customHeight="false" outlineLevel="0" collapsed="false">
      <c r="A496" s="35"/>
      <c r="B496" s="35"/>
      <c r="C496" s="37"/>
      <c r="D496" s="37"/>
      <c r="E496" s="35"/>
      <c r="F496" s="38" t="str">
        <f aca="false">IF($B496="","",IF(COUNTIF(科目对照回款!$F$2:$H$16,$B496)&gt;0,"√","× 未识别"))</f>
        <v/>
      </c>
    </row>
    <row r="497" customFormat="false" ht="13.5" hidden="false" customHeight="false" outlineLevel="0" collapsed="false">
      <c r="A497" s="35"/>
      <c r="B497" s="35"/>
      <c r="C497" s="37"/>
      <c r="D497" s="37"/>
      <c r="E497" s="35"/>
      <c r="F497" s="38" t="str">
        <f aca="false">IF($B497="","",IF(COUNTIF(科目对照回款!$F$2:$H$16,$B497)&gt;0,"√","× 未识别"))</f>
        <v/>
      </c>
    </row>
    <row r="498" customFormat="false" ht="13.5" hidden="false" customHeight="false" outlineLevel="0" collapsed="false">
      <c r="A498" s="35"/>
      <c r="B498" s="35"/>
      <c r="C498" s="37"/>
      <c r="D498" s="37"/>
      <c r="E498" s="35"/>
      <c r="F498" s="38" t="str">
        <f aca="false">IF($B498="","",IF(COUNTIF(科目对照回款!$F$2:$H$16,$B498)&gt;0,"√","× 未识别"))</f>
        <v/>
      </c>
    </row>
    <row r="499" customFormat="false" ht="13.5" hidden="false" customHeight="false" outlineLevel="0" collapsed="false">
      <c r="A499" s="35"/>
      <c r="B499" s="35"/>
      <c r="C499" s="37"/>
      <c r="D499" s="37"/>
      <c r="E499" s="35"/>
      <c r="F499" s="38" t="str">
        <f aca="false">IF($B499="","",IF(COUNTIF(科目对照回款!$F$2:$H$16,$B499)&gt;0,"√","× 未识别"))</f>
        <v/>
      </c>
    </row>
    <row r="500" customFormat="false" ht="13.5" hidden="false" customHeight="false" outlineLevel="0" collapsed="false">
      <c r="A500" s="35"/>
      <c r="B500" s="35"/>
      <c r="C500" s="37"/>
      <c r="D500" s="37"/>
      <c r="E500" s="35"/>
      <c r="F500" s="38" t="str">
        <f aca="false">IF($B500="","",IF(COUNTIF(科目对照回款!$F$2:$H$16,$B500)&gt;0,"√","× 未识别"))</f>
        <v/>
      </c>
    </row>
    <row r="501" customFormat="false" ht="13.5" hidden="false" customHeight="false" outlineLevel="0" collapsed="false">
      <c r="A501" s="35"/>
      <c r="B501" s="35"/>
      <c r="C501" s="37"/>
      <c r="D501" s="37"/>
      <c r="E501" s="35"/>
      <c r="F501" s="38" t="str">
        <f aca="false">IF($B501="","",IF(COUNTIF(科目对照回款!$F$2:$H$16,$B501)&gt;0,"√","× 未识别"))</f>
        <v/>
      </c>
    </row>
    <row r="502" customFormat="false" ht="13.5" hidden="false" customHeight="false" outlineLevel="0" collapsed="false">
      <c r="A502" s="35"/>
      <c r="B502" s="35"/>
      <c r="C502" s="37"/>
      <c r="D502" s="37"/>
      <c r="E502" s="35"/>
      <c r="F502" s="38" t="str">
        <f aca="false">IF($B502="","",IF(COUNTIF(科目对照回款!$F$2:$H$16,$B502)&gt;0,"√","× 未识别"))</f>
        <v/>
      </c>
    </row>
    <row r="503" customFormat="false" ht="13.5" hidden="false" customHeight="false" outlineLevel="0" collapsed="false">
      <c r="A503" s="35"/>
      <c r="B503" s="35"/>
      <c r="C503" s="37"/>
      <c r="D503" s="37"/>
      <c r="E503" s="35"/>
      <c r="F503" s="38" t="str">
        <f aca="false">IF($B503="","",IF(COUNTIF(科目对照回款!$F$2:$H$16,$B503)&gt;0,"√","× 未识别"))</f>
        <v/>
      </c>
    </row>
    <row r="504" customFormat="false" ht="13.5" hidden="false" customHeight="false" outlineLevel="0" collapsed="false">
      <c r="A504" s="35"/>
      <c r="B504" s="35"/>
      <c r="C504" s="37"/>
      <c r="D504" s="37"/>
      <c r="E504" s="35"/>
      <c r="F504" s="38" t="str">
        <f aca="false">IF($B504="","",IF(COUNTIF(科目对照回款!$F$2:$H$16,$B504)&gt;0,"√","× 未识别"))</f>
        <v/>
      </c>
    </row>
    <row r="505" customFormat="false" ht="13.5" hidden="false" customHeight="false" outlineLevel="0" collapsed="false">
      <c r="A505" s="35"/>
      <c r="B505" s="35"/>
      <c r="C505" s="37"/>
      <c r="D505" s="37"/>
      <c r="E505" s="35"/>
      <c r="F505" s="38" t="str">
        <f aca="false">IF($B505="","",IF(COUNTIF(科目对照回款!$F$2:$H$16,$B505)&gt;0,"√","× 未识别"))</f>
        <v/>
      </c>
    </row>
    <row r="506" customFormat="false" ht="13.5" hidden="false" customHeight="false" outlineLevel="0" collapsed="false">
      <c r="A506" s="35"/>
      <c r="B506" s="35"/>
      <c r="C506" s="37"/>
      <c r="D506" s="37"/>
      <c r="E506" s="35"/>
      <c r="F506" s="38" t="str">
        <f aca="false">IF($B506="","",IF(COUNTIF(科目对照回款!$F$2:$H$16,$B506)&gt;0,"√","× 未识别"))</f>
        <v/>
      </c>
    </row>
    <row r="507" customFormat="false" ht="13.5" hidden="false" customHeight="false" outlineLevel="0" collapsed="false">
      <c r="A507" s="35"/>
      <c r="B507" s="35"/>
      <c r="C507" s="37"/>
      <c r="D507" s="37"/>
      <c r="E507" s="35"/>
      <c r="F507" s="38" t="str">
        <f aca="false">IF($B507="","",IF(COUNTIF(科目对照回款!$F$2:$H$16,$B507)&gt;0,"√","× 未识别"))</f>
        <v/>
      </c>
    </row>
    <row r="508" customFormat="false" ht="13.5" hidden="false" customHeight="false" outlineLevel="0" collapsed="false">
      <c r="A508" s="35"/>
      <c r="B508" s="35"/>
      <c r="C508" s="37"/>
      <c r="D508" s="37"/>
      <c r="E508" s="35"/>
      <c r="F508" s="38" t="str">
        <f aca="false">IF($B508="","",IF(COUNTIF(科目对照回款!$F$2:$H$16,$B508)&gt;0,"√","× 未识别"))</f>
        <v/>
      </c>
    </row>
    <row r="509" customFormat="false" ht="13.5" hidden="false" customHeight="false" outlineLevel="0" collapsed="false">
      <c r="A509" s="35"/>
      <c r="B509" s="35"/>
      <c r="C509" s="37"/>
      <c r="D509" s="37"/>
      <c r="E509" s="35"/>
      <c r="F509" s="38" t="str">
        <f aca="false">IF($B509="","",IF(COUNTIF(科目对照回款!$F$2:$H$16,$B509)&gt;0,"√","× 未识别"))</f>
        <v/>
      </c>
    </row>
    <row r="510" customFormat="false" ht="13.5" hidden="false" customHeight="false" outlineLevel="0" collapsed="false">
      <c r="A510" s="35"/>
      <c r="B510" s="35"/>
      <c r="C510" s="37"/>
      <c r="D510" s="37"/>
      <c r="E510" s="35"/>
      <c r="F510" s="38" t="str">
        <f aca="false">IF($B510="","",IF(COUNTIF(科目对照回款!$F$2:$H$16,$B510)&gt;0,"√","× 未识别"))</f>
        <v/>
      </c>
    </row>
    <row r="511" customFormat="false" ht="13.5" hidden="false" customHeight="false" outlineLevel="0" collapsed="false">
      <c r="A511" s="35"/>
      <c r="B511" s="35"/>
      <c r="C511" s="37"/>
      <c r="D511" s="37"/>
      <c r="E511" s="35"/>
      <c r="F511" s="38" t="str">
        <f aca="false">IF($B511="","",IF(COUNTIF(科目对照回款!$F$2:$H$16,$B511)&gt;0,"√","× 未识别"))</f>
        <v/>
      </c>
    </row>
    <row r="512" customFormat="false" ht="13.5" hidden="false" customHeight="false" outlineLevel="0" collapsed="false">
      <c r="A512" s="35"/>
      <c r="B512" s="35"/>
      <c r="C512" s="37"/>
      <c r="D512" s="37"/>
      <c r="E512" s="35"/>
      <c r="F512" s="38" t="str">
        <f aca="false">IF($B512="","",IF(COUNTIF(科目对照回款!$F$2:$H$16,$B512)&gt;0,"√","× 未识别"))</f>
        <v/>
      </c>
    </row>
    <row r="513" customFormat="false" ht="13.5" hidden="false" customHeight="false" outlineLevel="0" collapsed="false">
      <c r="A513" s="35"/>
      <c r="B513" s="35"/>
      <c r="C513" s="37"/>
      <c r="D513" s="37"/>
      <c r="E513" s="35"/>
      <c r="F513" s="38" t="str">
        <f aca="false">IF($B513="","",IF(COUNTIF(科目对照回款!$F$2:$H$16,$B513)&gt;0,"√","× 未识别"))</f>
        <v/>
      </c>
    </row>
    <row r="514" customFormat="false" ht="13.5" hidden="false" customHeight="false" outlineLevel="0" collapsed="false">
      <c r="A514" s="35"/>
      <c r="B514" s="35"/>
      <c r="C514" s="37"/>
      <c r="D514" s="37"/>
      <c r="E514" s="35"/>
      <c r="F514" s="38" t="str">
        <f aca="false">IF($B514="","",IF(COUNTIF(科目对照回款!$F$2:$H$16,$B514)&gt;0,"√","× 未识别"))</f>
        <v/>
      </c>
    </row>
    <row r="515" customFormat="false" ht="13.5" hidden="false" customHeight="false" outlineLevel="0" collapsed="false">
      <c r="A515" s="35"/>
      <c r="B515" s="35"/>
      <c r="C515" s="37"/>
      <c r="D515" s="37"/>
      <c r="E515" s="35"/>
      <c r="F515" s="38" t="str">
        <f aca="false">IF($B515="","",IF(COUNTIF(科目对照回款!$F$2:$H$16,$B515)&gt;0,"√","× 未识别"))</f>
        <v/>
      </c>
    </row>
    <row r="516" customFormat="false" ht="13.5" hidden="false" customHeight="false" outlineLevel="0" collapsed="false">
      <c r="A516" s="35"/>
      <c r="B516" s="35"/>
      <c r="C516" s="37"/>
      <c r="D516" s="37"/>
      <c r="E516" s="35"/>
      <c r="F516" s="38" t="str">
        <f aca="false">IF($B516="","",IF(COUNTIF(科目对照回款!$F$2:$H$16,$B516)&gt;0,"√","× 未识别"))</f>
        <v/>
      </c>
    </row>
    <row r="517" customFormat="false" ht="13.5" hidden="false" customHeight="false" outlineLevel="0" collapsed="false">
      <c r="A517" s="35"/>
      <c r="B517" s="35"/>
      <c r="C517" s="37"/>
      <c r="D517" s="37"/>
      <c r="E517" s="35"/>
      <c r="F517" s="38" t="str">
        <f aca="false">IF($B517="","",IF(COUNTIF(科目对照回款!$F$2:$H$16,$B517)&gt;0,"√","× 未识别"))</f>
        <v/>
      </c>
    </row>
    <row r="518" customFormat="false" ht="13.5" hidden="false" customHeight="false" outlineLevel="0" collapsed="false">
      <c r="A518" s="35"/>
      <c r="B518" s="35"/>
      <c r="C518" s="37"/>
      <c r="D518" s="37"/>
      <c r="E518" s="35"/>
      <c r="F518" s="38" t="str">
        <f aca="false">IF($B518="","",IF(COUNTIF(科目对照回款!$F$2:$H$16,$B518)&gt;0,"√","× 未识别"))</f>
        <v/>
      </c>
    </row>
    <row r="519" customFormat="false" ht="13.5" hidden="false" customHeight="false" outlineLevel="0" collapsed="false">
      <c r="A519" s="35"/>
      <c r="B519" s="35"/>
      <c r="C519" s="37"/>
      <c r="D519" s="37"/>
      <c r="E519" s="35"/>
      <c r="F519" s="38" t="str">
        <f aca="false">IF($B519="","",IF(COUNTIF(科目对照回款!$F$2:$H$16,$B519)&gt;0,"√","× 未识别"))</f>
        <v/>
      </c>
    </row>
    <row r="520" customFormat="false" ht="13.5" hidden="false" customHeight="false" outlineLevel="0" collapsed="false">
      <c r="A520" s="35"/>
      <c r="B520" s="35"/>
      <c r="C520" s="37"/>
      <c r="D520" s="37"/>
      <c r="E520" s="35"/>
      <c r="F520" s="38" t="str">
        <f aca="false">IF($B520="","",IF(COUNTIF(科目对照回款!$F$2:$H$16,$B520)&gt;0,"√","× 未识别"))</f>
        <v/>
      </c>
    </row>
    <row r="521" customFormat="false" ht="13.5" hidden="false" customHeight="false" outlineLevel="0" collapsed="false">
      <c r="A521" s="35"/>
      <c r="B521" s="35"/>
      <c r="C521" s="37"/>
      <c r="D521" s="37"/>
      <c r="E521" s="35"/>
      <c r="F521" s="38" t="str">
        <f aca="false">IF($B521="","",IF(COUNTIF(科目对照回款!$F$2:$H$16,$B521)&gt;0,"√","× 未识别"))</f>
        <v/>
      </c>
    </row>
    <row r="522" customFormat="false" ht="13.5" hidden="false" customHeight="false" outlineLevel="0" collapsed="false">
      <c r="A522" s="35"/>
      <c r="B522" s="35"/>
      <c r="C522" s="37"/>
      <c r="D522" s="37"/>
      <c r="E522" s="35"/>
      <c r="F522" s="38" t="str">
        <f aca="false">IF($B522="","",IF(COUNTIF(科目对照回款!$F$2:$H$16,$B522)&gt;0,"√","× 未识别"))</f>
        <v/>
      </c>
    </row>
    <row r="523" customFormat="false" ht="13.5" hidden="false" customHeight="false" outlineLevel="0" collapsed="false">
      <c r="A523" s="35"/>
      <c r="B523" s="35"/>
      <c r="C523" s="37"/>
      <c r="D523" s="37"/>
      <c r="E523" s="35"/>
      <c r="F523" s="38" t="str">
        <f aca="false">IF($B523="","",IF(COUNTIF(科目对照回款!$F$2:$H$16,$B523)&gt;0,"√","× 未识别"))</f>
        <v/>
      </c>
    </row>
    <row r="524" customFormat="false" ht="13.5" hidden="false" customHeight="false" outlineLevel="0" collapsed="false">
      <c r="A524" s="35"/>
      <c r="B524" s="35"/>
      <c r="C524" s="37"/>
      <c r="D524" s="37"/>
      <c r="E524" s="35"/>
      <c r="F524" s="38" t="str">
        <f aca="false">IF($B524="","",IF(COUNTIF(科目对照回款!$F$2:$H$16,$B524)&gt;0,"√","× 未识别"))</f>
        <v/>
      </c>
    </row>
    <row r="525" customFormat="false" ht="13.5" hidden="false" customHeight="false" outlineLevel="0" collapsed="false">
      <c r="A525" s="35"/>
      <c r="B525" s="35"/>
      <c r="C525" s="37"/>
      <c r="D525" s="37"/>
      <c r="E525" s="35"/>
      <c r="F525" s="38" t="str">
        <f aca="false">IF($B525="","",IF(COUNTIF(科目对照回款!$F$2:$H$16,$B525)&gt;0,"√","× 未识别"))</f>
        <v/>
      </c>
    </row>
    <row r="526" customFormat="false" ht="13.5" hidden="false" customHeight="false" outlineLevel="0" collapsed="false">
      <c r="A526" s="35"/>
      <c r="B526" s="35"/>
      <c r="C526" s="37"/>
      <c r="D526" s="37"/>
      <c r="E526" s="35"/>
      <c r="F526" s="38" t="str">
        <f aca="false">IF($B526="","",IF(COUNTIF(科目对照回款!$F$2:$H$16,$B526)&gt;0,"√","× 未识别"))</f>
        <v/>
      </c>
    </row>
    <row r="527" customFormat="false" ht="13.5" hidden="false" customHeight="false" outlineLevel="0" collapsed="false">
      <c r="A527" s="35"/>
      <c r="B527" s="35"/>
      <c r="C527" s="37"/>
      <c r="D527" s="37"/>
      <c r="E527" s="35"/>
      <c r="F527" s="38" t="str">
        <f aca="false">IF($B527="","",IF(COUNTIF(科目对照回款!$F$2:$H$16,$B527)&gt;0,"√","× 未识别"))</f>
        <v/>
      </c>
    </row>
    <row r="528" customFormat="false" ht="13.5" hidden="false" customHeight="false" outlineLevel="0" collapsed="false">
      <c r="A528" s="35"/>
      <c r="B528" s="35"/>
      <c r="C528" s="37"/>
      <c r="D528" s="37"/>
      <c r="E528" s="35"/>
      <c r="F528" s="38" t="str">
        <f aca="false">IF($B528="","",IF(COUNTIF(科目对照回款!$F$2:$H$16,$B528)&gt;0,"√","× 未识别"))</f>
        <v/>
      </c>
    </row>
    <row r="529" customFormat="false" ht="13.5" hidden="false" customHeight="false" outlineLevel="0" collapsed="false">
      <c r="A529" s="35"/>
      <c r="B529" s="35"/>
      <c r="C529" s="37"/>
      <c r="D529" s="37"/>
      <c r="E529" s="35"/>
      <c r="F529" s="38" t="str">
        <f aca="false">IF($B529="","",IF(COUNTIF(科目对照回款!$F$2:$H$16,$B529)&gt;0,"√","× 未识别"))</f>
        <v/>
      </c>
    </row>
    <row r="530" customFormat="false" ht="13.5" hidden="false" customHeight="false" outlineLevel="0" collapsed="false">
      <c r="A530" s="35"/>
      <c r="B530" s="35"/>
      <c r="C530" s="37"/>
      <c r="D530" s="37"/>
      <c r="E530" s="35"/>
      <c r="F530" s="38" t="str">
        <f aca="false">IF($B530="","",IF(COUNTIF(科目对照回款!$F$2:$H$16,$B530)&gt;0,"√","× 未识别"))</f>
        <v/>
      </c>
    </row>
    <row r="531" customFormat="false" ht="13.5" hidden="false" customHeight="false" outlineLevel="0" collapsed="false">
      <c r="A531" s="35"/>
      <c r="B531" s="35"/>
      <c r="C531" s="37"/>
      <c r="D531" s="37"/>
      <c r="E531" s="35"/>
      <c r="F531" s="38" t="str">
        <f aca="false">IF($B531="","",IF(COUNTIF(科目对照回款!$F$2:$H$16,$B531)&gt;0,"√","× 未识别"))</f>
        <v/>
      </c>
    </row>
    <row r="532" customFormat="false" ht="13.5" hidden="false" customHeight="false" outlineLevel="0" collapsed="false">
      <c r="A532" s="35"/>
      <c r="B532" s="35"/>
      <c r="C532" s="37"/>
      <c r="D532" s="37"/>
      <c r="E532" s="35"/>
      <c r="F532" s="38" t="str">
        <f aca="false">IF($B532="","",IF(COUNTIF(科目对照回款!$F$2:$H$16,$B532)&gt;0,"√","× 未识别"))</f>
        <v/>
      </c>
    </row>
    <row r="533" customFormat="false" ht="13.5" hidden="false" customHeight="false" outlineLevel="0" collapsed="false">
      <c r="A533" s="35"/>
      <c r="B533" s="35"/>
      <c r="C533" s="37"/>
      <c r="D533" s="37"/>
      <c r="E533" s="35"/>
      <c r="F533" s="38" t="str">
        <f aca="false">IF($B533="","",IF(COUNTIF(科目对照回款!$F$2:$H$16,$B533)&gt;0,"√","× 未识别"))</f>
        <v/>
      </c>
    </row>
    <row r="534" customFormat="false" ht="13.5" hidden="false" customHeight="false" outlineLevel="0" collapsed="false">
      <c r="A534" s="35"/>
      <c r="B534" s="35"/>
      <c r="C534" s="37"/>
      <c r="D534" s="37"/>
      <c r="E534" s="35"/>
      <c r="F534" s="38" t="str">
        <f aca="false">IF($B534="","",IF(COUNTIF(科目对照回款!$F$2:$H$16,$B534)&gt;0,"√","× 未识别"))</f>
        <v/>
      </c>
    </row>
    <row r="535" customFormat="false" ht="13.5" hidden="false" customHeight="false" outlineLevel="0" collapsed="false">
      <c r="A535" s="35"/>
      <c r="B535" s="35"/>
      <c r="C535" s="37"/>
      <c r="D535" s="37"/>
      <c r="E535" s="35"/>
      <c r="F535" s="38" t="str">
        <f aca="false">IF($B535="","",IF(COUNTIF(科目对照回款!$F$2:$H$16,$B535)&gt;0,"√","× 未识别"))</f>
        <v/>
      </c>
    </row>
    <row r="536" customFormat="false" ht="13.5" hidden="false" customHeight="false" outlineLevel="0" collapsed="false">
      <c r="A536" s="35"/>
      <c r="B536" s="35"/>
      <c r="C536" s="37"/>
      <c r="D536" s="37"/>
      <c r="E536" s="35"/>
      <c r="F536" s="38" t="str">
        <f aca="false">IF($B536="","",IF(COUNTIF(科目对照回款!$F$2:$H$16,$B536)&gt;0,"√","× 未识别"))</f>
        <v/>
      </c>
    </row>
    <row r="537" customFormat="false" ht="13.5" hidden="false" customHeight="false" outlineLevel="0" collapsed="false">
      <c r="A537" s="35"/>
      <c r="B537" s="35"/>
      <c r="C537" s="37"/>
      <c r="D537" s="37"/>
      <c r="E537" s="35"/>
      <c r="F537" s="38" t="str">
        <f aca="false">IF($B537="","",IF(COUNTIF(科目对照回款!$F$2:$H$16,$B537)&gt;0,"√","× 未识别"))</f>
        <v/>
      </c>
    </row>
    <row r="538" customFormat="false" ht="13.5" hidden="false" customHeight="false" outlineLevel="0" collapsed="false">
      <c r="A538" s="35"/>
      <c r="B538" s="35"/>
      <c r="C538" s="37"/>
      <c r="D538" s="37"/>
      <c r="E538" s="35"/>
      <c r="F538" s="38" t="str">
        <f aca="false">IF($B538="","",IF(COUNTIF(科目对照回款!$F$2:$H$16,$B538)&gt;0,"√","× 未识别"))</f>
        <v/>
      </c>
    </row>
    <row r="539" customFormat="false" ht="13.5" hidden="false" customHeight="false" outlineLevel="0" collapsed="false">
      <c r="A539" s="35"/>
      <c r="B539" s="35"/>
      <c r="C539" s="37"/>
      <c r="D539" s="37"/>
      <c r="E539" s="35"/>
      <c r="F539" s="38" t="str">
        <f aca="false">IF($B539="","",IF(COUNTIF(科目对照回款!$F$2:$H$16,$B539)&gt;0,"√","× 未识别"))</f>
        <v/>
      </c>
    </row>
    <row r="540" customFormat="false" ht="13.5" hidden="false" customHeight="false" outlineLevel="0" collapsed="false">
      <c r="A540" s="35"/>
      <c r="B540" s="35"/>
      <c r="C540" s="37"/>
      <c r="D540" s="37"/>
      <c r="E540" s="35"/>
      <c r="F540" s="38" t="str">
        <f aca="false">IF($B540="","",IF(COUNTIF(科目对照回款!$F$2:$H$16,$B540)&gt;0,"√","× 未识别"))</f>
        <v/>
      </c>
    </row>
    <row r="541" customFormat="false" ht="13.5" hidden="false" customHeight="false" outlineLevel="0" collapsed="false">
      <c r="A541" s="35"/>
      <c r="B541" s="35"/>
      <c r="C541" s="37"/>
      <c r="D541" s="37"/>
      <c r="E541" s="35"/>
      <c r="F541" s="38" t="str">
        <f aca="false">IF($B541="","",IF(COUNTIF(科目对照回款!$F$2:$H$16,$B541)&gt;0,"√","× 未识别"))</f>
        <v/>
      </c>
    </row>
    <row r="542" customFormat="false" ht="13.5" hidden="false" customHeight="false" outlineLevel="0" collapsed="false">
      <c r="A542" s="35"/>
      <c r="B542" s="35"/>
      <c r="C542" s="37"/>
      <c r="D542" s="37"/>
      <c r="E542" s="35"/>
      <c r="F542" s="38" t="str">
        <f aca="false">IF($B542="","",IF(COUNTIF(科目对照回款!$F$2:$H$16,$B542)&gt;0,"√","× 未识别"))</f>
        <v/>
      </c>
    </row>
    <row r="543" customFormat="false" ht="13.5" hidden="false" customHeight="false" outlineLevel="0" collapsed="false">
      <c r="A543" s="35"/>
      <c r="B543" s="35"/>
      <c r="C543" s="37"/>
      <c r="D543" s="37"/>
      <c r="E543" s="35"/>
      <c r="F543" s="38" t="str">
        <f aca="false">IF($B543="","",IF(COUNTIF(科目对照回款!$F$2:$H$16,$B543)&gt;0,"√","× 未识别"))</f>
        <v/>
      </c>
    </row>
    <row r="544" customFormat="false" ht="13.5" hidden="false" customHeight="false" outlineLevel="0" collapsed="false">
      <c r="A544" s="35"/>
      <c r="B544" s="35"/>
      <c r="C544" s="37"/>
      <c r="D544" s="37"/>
      <c r="E544" s="35"/>
      <c r="F544" s="38" t="str">
        <f aca="false">IF($B544="","",IF(COUNTIF(科目对照回款!$F$2:$H$16,$B544)&gt;0,"√","× 未识别"))</f>
        <v/>
      </c>
    </row>
    <row r="545" customFormat="false" ht="13.5" hidden="false" customHeight="false" outlineLevel="0" collapsed="false">
      <c r="A545" s="35"/>
      <c r="B545" s="35"/>
      <c r="C545" s="37"/>
      <c r="D545" s="37"/>
      <c r="E545" s="35"/>
      <c r="F545" s="38" t="str">
        <f aca="false">IF($B545="","",IF(COUNTIF(科目对照回款!$F$2:$H$16,$B545)&gt;0,"√","× 未识别"))</f>
        <v/>
      </c>
    </row>
    <row r="546" customFormat="false" ht="13.5" hidden="false" customHeight="false" outlineLevel="0" collapsed="false">
      <c r="A546" s="35"/>
      <c r="B546" s="35"/>
      <c r="C546" s="37"/>
      <c r="D546" s="37"/>
      <c r="E546" s="35"/>
      <c r="F546" s="38" t="str">
        <f aca="false">IF($B546="","",IF(COUNTIF(科目对照回款!$F$2:$H$16,$B546)&gt;0,"√","× 未识别"))</f>
        <v/>
      </c>
    </row>
    <row r="547" customFormat="false" ht="13.5" hidden="false" customHeight="false" outlineLevel="0" collapsed="false">
      <c r="A547" s="35"/>
      <c r="B547" s="35"/>
      <c r="C547" s="37"/>
      <c r="D547" s="37"/>
      <c r="E547" s="35"/>
      <c r="F547" s="38" t="str">
        <f aca="false">IF($B547="","",IF(COUNTIF(科目对照回款!$F$2:$H$16,$B547)&gt;0,"√","× 未识别"))</f>
        <v/>
      </c>
    </row>
    <row r="548" customFormat="false" ht="13.5" hidden="false" customHeight="false" outlineLevel="0" collapsed="false">
      <c r="A548" s="35"/>
      <c r="B548" s="35"/>
      <c r="C548" s="37"/>
      <c r="D548" s="37"/>
      <c r="E548" s="35"/>
      <c r="F548" s="38" t="str">
        <f aca="false">IF($B548="","",IF(COUNTIF(科目对照回款!$F$2:$H$16,$B548)&gt;0,"√","× 未识别"))</f>
        <v/>
      </c>
    </row>
    <row r="549" customFormat="false" ht="13.5" hidden="false" customHeight="false" outlineLevel="0" collapsed="false">
      <c r="A549" s="35"/>
      <c r="B549" s="35"/>
      <c r="C549" s="37"/>
      <c r="D549" s="37"/>
      <c r="E549" s="35"/>
      <c r="F549" s="38" t="str">
        <f aca="false">IF($B549="","",IF(COUNTIF(科目对照回款!$F$2:$H$16,$B549)&gt;0,"√","× 未识别"))</f>
        <v/>
      </c>
    </row>
    <row r="550" customFormat="false" ht="13.5" hidden="false" customHeight="false" outlineLevel="0" collapsed="false">
      <c r="A550" s="35"/>
      <c r="B550" s="35"/>
      <c r="C550" s="37"/>
      <c r="D550" s="37"/>
      <c r="E550" s="35"/>
      <c r="F550" s="38" t="str">
        <f aca="false">IF($B550="","",IF(COUNTIF(科目对照回款!$F$2:$H$16,$B550)&gt;0,"√","× 未识别"))</f>
        <v/>
      </c>
    </row>
    <row r="551" customFormat="false" ht="13.5" hidden="false" customHeight="false" outlineLevel="0" collapsed="false">
      <c r="A551" s="35"/>
      <c r="B551" s="35"/>
      <c r="C551" s="37"/>
      <c r="D551" s="37"/>
      <c r="E551" s="35"/>
      <c r="F551" s="38" t="str">
        <f aca="false">IF($B551="","",IF(COUNTIF(科目对照回款!$F$2:$H$16,$B551)&gt;0,"√","× 未识别"))</f>
        <v/>
      </c>
    </row>
    <row r="552" customFormat="false" ht="13.5" hidden="false" customHeight="false" outlineLevel="0" collapsed="false">
      <c r="A552" s="35"/>
      <c r="B552" s="35"/>
      <c r="C552" s="37"/>
      <c r="D552" s="37"/>
      <c r="E552" s="35"/>
      <c r="F552" s="38" t="str">
        <f aca="false">IF($B552="","",IF(COUNTIF(科目对照回款!$F$2:$H$16,$B552)&gt;0,"√","× 未识别"))</f>
        <v/>
      </c>
    </row>
    <row r="553" customFormat="false" ht="13.5" hidden="false" customHeight="false" outlineLevel="0" collapsed="false">
      <c r="A553" s="35"/>
      <c r="B553" s="35"/>
      <c r="C553" s="37"/>
      <c r="D553" s="37"/>
      <c r="E553" s="35"/>
      <c r="F553" s="38" t="str">
        <f aca="false">IF($B553="","",IF(COUNTIF(科目对照回款!$F$2:$H$16,$B553)&gt;0,"√","× 未识别"))</f>
        <v/>
      </c>
    </row>
    <row r="554" customFormat="false" ht="13.5" hidden="false" customHeight="false" outlineLevel="0" collapsed="false">
      <c r="A554" s="35"/>
      <c r="B554" s="35"/>
      <c r="C554" s="37"/>
      <c r="D554" s="37"/>
      <c r="E554" s="35"/>
      <c r="F554" s="38" t="str">
        <f aca="false">IF($B554="","",IF(COUNTIF(科目对照回款!$F$2:$H$16,$B554)&gt;0,"√","× 未识别"))</f>
        <v/>
      </c>
    </row>
    <row r="555" customFormat="false" ht="13.5" hidden="false" customHeight="false" outlineLevel="0" collapsed="false">
      <c r="A555" s="35"/>
      <c r="B555" s="35"/>
      <c r="C555" s="37"/>
      <c r="D555" s="37"/>
      <c r="E555" s="35"/>
      <c r="F555" s="38" t="str">
        <f aca="false">IF($B555="","",IF(COUNTIF(科目对照回款!$F$2:$H$16,$B555)&gt;0,"√","× 未识别"))</f>
        <v/>
      </c>
    </row>
    <row r="556" customFormat="false" ht="13.5" hidden="false" customHeight="false" outlineLevel="0" collapsed="false">
      <c r="A556" s="35"/>
      <c r="B556" s="35"/>
      <c r="C556" s="37"/>
      <c r="D556" s="37"/>
      <c r="E556" s="35"/>
      <c r="F556" s="38" t="str">
        <f aca="false">IF($B556="","",IF(COUNTIF(科目对照回款!$F$2:$H$16,$B556)&gt;0,"√","× 未识别"))</f>
        <v/>
      </c>
    </row>
    <row r="557" customFormat="false" ht="13.5" hidden="false" customHeight="false" outlineLevel="0" collapsed="false">
      <c r="A557" s="35"/>
      <c r="B557" s="35"/>
      <c r="C557" s="37"/>
      <c r="D557" s="37"/>
      <c r="E557" s="35"/>
      <c r="F557" s="38" t="str">
        <f aca="false">IF($B557="","",IF(COUNTIF(科目对照回款!$F$2:$H$16,$B557)&gt;0,"√","× 未识别"))</f>
        <v/>
      </c>
    </row>
    <row r="558" customFormat="false" ht="13.5" hidden="false" customHeight="false" outlineLevel="0" collapsed="false">
      <c r="A558" s="35"/>
      <c r="B558" s="35"/>
      <c r="C558" s="37"/>
      <c r="D558" s="37"/>
      <c r="E558" s="35"/>
      <c r="F558" s="38" t="str">
        <f aca="false">IF($B558="","",IF(COUNTIF(科目对照回款!$F$2:$H$16,$B558)&gt;0,"√","× 未识别"))</f>
        <v/>
      </c>
    </row>
    <row r="559" customFormat="false" ht="13.5" hidden="false" customHeight="false" outlineLevel="0" collapsed="false">
      <c r="A559" s="35"/>
      <c r="B559" s="35"/>
      <c r="C559" s="37"/>
      <c r="D559" s="37"/>
      <c r="E559" s="35"/>
      <c r="F559" s="38" t="str">
        <f aca="false">IF($B559="","",IF(COUNTIF(科目对照回款!$F$2:$H$16,$B559)&gt;0,"√","× 未识别"))</f>
        <v/>
      </c>
    </row>
    <row r="560" customFormat="false" ht="13.5" hidden="false" customHeight="false" outlineLevel="0" collapsed="false">
      <c r="A560" s="35"/>
      <c r="B560" s="35"/>
      <c r="C560" s="37"/>
      <c r="D560" s="37"/>
      <c r="E560" s="35"/>
      <c r="F560" s="38" t="str">
        <f aca="false">IF($B560="","",IF(COUNTIF(科目对照回款!$F$2:$H$16,$B560)&gt;0,"√","× 未识别"))</f>
        <v/>
      </c>
    </row>
    <row r="561" customFormat="false" ht="13.5" hidden="false" customHeight="false" outlineLevel="0" collapsed="false">
      <c r="A561" s="35"/>
      <c r="B561" s="35"/>
      <c r="C561" s="37"/>
      <c r="D561" s="37"/>
      <c r="E561" s="35"/>
      <c r="F561" s="38" t="str">
        <f aca="false">IF($B561="","",IF(COUNTIF(科目对照回款!$F$2:$H$16,$B561)&gt;0,"√","× 未识别"))</f>
        <v/>
      </c>
    </row>
    <row r="562" customFormat="false" ht="13.5" hidden="false" customHeight="false" outlineLevel="0" collapsed="false">
      <c r="A562" s="35"/>
      <c r="B562" s="35"/>
      <c r="C562" s="37"/>
      <c r="D562" s="37"/>
      <c r="E562" s="35"/>
      <c r="F562" s="38" t="str">
        <f aca="false">IF($B562="","",IF(COUNTIF(科目对照回款!$F$2:$H$16,$B562)&gt;0,"√","× 未识别"))</f>
        <v/>
      </c>
    </row>
    <row r="563" customFormat="false" ht="13.5" hidden="false" customHeight="false" outlineLevel="0" collapsed="false">
      <c r="A563" s="35"/>
      <c r="B563" s="35"/>
      <c r="C563" s="37"/>
      <c r="D563" s="37"/>
      <c r="E563" s="35"/>
      <c r="F563" s="38" t="str">
        <f aca="false">IF($B563="","",IF(COUNTIF(科目对照回款!$F$2:$H$16,$B563)&gt;0,"√","× 未识别"))</f>
        <v/>
      </c>
    </row>
    <row r="564" customFormat="false" ht="13.5" hidden="false" customHeight="false" outlineLevel="0" collapsed="false">
      <c r="A564" s="35"/>
      <c r="B564" s="35"/>
      <c r="C564" s="37"/>
      <c r="D564" s="37"/>
      <c r="E564" s="35"/>
      <c r="F564" s="38" t="str">
        <f aca="false">IF($B564="","",IF(COUNTIF(科目对照回款!$F$2:$H$16,$B564)&gt;0,"√","× 未识别"))</f>
        <v/>
      </c>
    </row>
    <row r="565" customFormat="false" ht="13.5" hidden="false" customHeight="false" outlineLevel="0" collapsed="false">
      <c r="A565" s="35"/>
      <c r="B565" s="35"/>
      <c r="C565" s="37"/>
      <c r="D565" s="37"/>
      <c r="E565" s="35"/>
      <c r="F565" s="38" t="str">
        <f aca="false">IF($B565="","",IF(COUNTIF(科目对照回款!$F$2:$H$16,$B565)&gt;0,"√","× 未识别"))</f>
        <v/>
      </c>
    </row>
    <row r="566" customFormat="false" ht="13.5" hidden="false" customHeight="false" outlineLevel="0" collapsed="false">
      <c r="A566" s="35"/>
      <c r="B566" s="35"/>
      <c r="C566" s="37"/>
      <c r="D566" s="37"/>
      <c r="E566" s="35"/>
      <c r="F566" s="38" t="str">
        <f aca="false">IF($B566="","",IF(COUNTIF(科目对照回款!$F$2:$H$16,$B566)&gt;0,"√","× 未识别"))</f>
        <v/>
      </c>
    </row>
    <row r="567" customFormat="false" ht="13.5" hidden="false" customHeight="false" outlineLevel="0" collapsed="false">
      <c r="A567" s="35"/>
      <c r="B567" s="35"/>
      <c r="C567" s="37"/>
      <c r="D567" s="37"/>
      <c r="E567" s="35"/>
      <c r="F567" s="38" t="str">
        <f aca="false">IF($B567="","",IF(COUNTIF(科目对照回款!$F$2:$H$16,$B567)&gt;0,"√","× 未识别"))</f>
        <v/>
      </c>
    </row>
    <row r="568" customFormat="false" ht="13.5" hidden="false" customHeight="false" outlineLevel="0" collapsed="false">
      <c r="A568" s="35"/>
      <c r="B568" s="35"/>
      <c r="C568" s="37"/>
      <c r="D568" s="37"/>
      <c r="E568" s="35"/>
      <c r="F568" s="38" t="str">
        <f aca="false">IF($B568="","",IF(COUNTIF(科目对照回款!$F$2:$H$16,$B568)&gt;0,"√","× 未识别"))</f>
        <v/>
      </c>
    </row>
    <row r="569" customFormat="false" ht="13.5" hidden="false" customHeight="false" outlineLevel="0" collapsed="false">
      <c r="A569" s="35"/>
      <c r="B569" s="35"/>
      <c r="C569" s="37"/>
      <c r="D569" s="37"/>
      <c r="E569" s="35"/>
      <c r="F569" s="38" t="str">
        <f aca="false">IF($B569="","",IF(COUNTIF(科目对照回款!$F$2:$H$16,$B569)&gt;0,"√","× 未识别"))</f>
        <v/>
      </c>
    </row>
    <row r="570" customFormat="false" ht="13.5" hidden="false" customHeight="false" outlineLevel="0" collapsed="false">
      <c r="A570" s="35"/>
      <c r="B570" s="35"/>
      <c r="C570" s="37"/>
      <c r="D570" s="37"/>
      <c r="E570" s="35"/>
      <c r="F570" s="38" t="str">
        <f aca="false">IF($B570="","",IF(COUNTIF(科目对照回款!$F$2:$H$16,$B570)&gt;0,"√","× 未识别"))</f>
        <v/>
      </c>
    </row>
    <row r="571" customFormat="false" ht="13.5" hidden="false" customHeight="false" outlineLevel="0" collapsed="false">
      <c r="A571" s="35"/>
      <c r="B571" s="35"/>
      <c r="C571" s="37"/>
      <c r="D571" s="37"/>
      <c r="E571" s="35"/>
      <c r="F571" s="38" t="str">
        <f aca="false">IF($B571="","",IF(COUNTIF(科目对照回款!$F$2:$H$16,$B571)&gt;0,"√","× 未识别"))</f>
        <v/>
      </c>
    </row>
    <row r="572" customFormat="false" ht="13.5" hidden="false" customHeight="false" outlineLevel="0" collapsed="false">
      <c r="A572" s="35"/>
      <c r="B572" s="35"/>
      <c r="C572" s="37"/>
      <c r="D572" s="37"/>
      <c r="E572" s="35"/>
      <c r="F572" s="38" t="str">
        <f aca="false">IF($B572="","",IF(COUNTIF(科目对照回款!$F$2:$H$16,$B572)&gt;0,"√","× 未识别"))</f>
        <v/>
      </c>
    </row>
    <row r="573" customFormat="false" ht="13.5" hidden="false" customHeight="false" outlineLevel="0" collapsed="false">
      <c r="A573" s="35"/>
      <c r="B573" s="35"/>
      <c r="C573" s="37"/>
      <c r="D573" s="37"/>
      <c r="E573" s="35"/>
      <c r="F573" s="38" t="str">
        <f aca="false">IF($B573="","",IF(COUNTIF(科目对照回款!$F$2:$H$16,$B573)&gt;0,"√","× 未识别"))</f>
        <v/>
      </c>
    </row>
    <row r="574" customFormat="false" ht="13.5" hidden="false" customHeight="false" outlineLevel="0" collapsed="false">
      <c r="A574" s="35"/>
      <c r="B574" s="35"/>
      <c r="C574" s="37"/>
      <c r="D574" s="37"/>
      <c r="E574" s="35"/>
      <c r="F574" s="38" t="str">
        <f aca="false">IF($B574="","",IF(COUNTIF(科目对照回款!$F$2:$H$16,$B574)&gt;0,"√","× 未识别"))</f>
        <v/>
      </c>
    </row>
    <row r="575" customFormat="false" ht="13.5" hidden="false" customHeight="false" outlineLevel="0" collapsed="false">
      <c r="A575" s="35"/>
      <c r="B575" s="35"/>
      <c r="C575" s="37"/>
      <c r="D575" s="37"/>
      <c r="E575" s="35"/>
      <c r="F575" s="38" t="str">
        <f aca="false">IF($B575="","",IF(COUNTIF(科目对照回款!$F$2:$H$16,$B575)&gt;0,"√","× 未识别"))</f>
        <v/>
      </c>
    </row>
    <row r="576" customFormat="false" ht="13.5" hidden="false" customHeight="false" outlineLevel="0" collapsed="false">
      <c r="A576" s="35"/>
      <c r="B576" s="35"/>
      <c r="C576" s="37"/>
      <c r="D576" s="37"/>
      <c r="E576" s="35"/>
      <c r="F576" s="38" t="str">
        <f aca="false">IF($B576="","",IF(COUNTIF(科目对照回款!$F$2:$H$16,$B576)&gt;0,"√","× 未识别"))</f>
        <v/>
      </c>
    </row>
    <row r="577" customFormat="false" ht="13.5" hidden="false" customHeight="false" outlineLevel="0" collapsed="false">
      <c r="A577" s="35"/>
      <c r="B577" s="35"/>
      <c r="C577" s="37"/>
      <c r="D577" s="37"/>
      <c r="E577" s="35"/>
      <c r="F577" s="38" t="str">
        <f aca="false">IF($B577="","",IF(COUNTIF(科目对照回款!$F$2:$H$16,$B577)&gt;0,"√","× 未识别"))</f>
        <v/>
      </c>
    </row>
    <row r="578" customFormat="false" ht="13.5" hidden="false" customHeight="false" outlineLevel="0" collapsed="false">
      <c r="A578" s="35"/>
      <c r="B578" s="35"/>
      <c r="C578" s="37"/>
      <c r="D578" s="37"/>
      <c r="E578" s="35"/>
      <c r="F578" s="38" t="str">
        <f aca="false">IF($B578="","",IF(COUNTIF(科目对照回款!$F$2:$H$16,$B578)&gt;0,"√","× 未识别"))</f>
        <v/>
      </c>
    </row>
    <row r="579" customFormat="false" ht="13.5" hidden="false" customHeight="false" outlineLevel="0" collapsed="false">
      <c r="A579" s="35"/>
      <c r="B579" s="35"/>
      <c r="C579" s="37"/>
      <c r="D579" s="37"/>
      <c r="E579" s="35"/>
      <c r="F579" s="38" t="str">
        <f aca="false">IF($B579="","",IF(COUNTIF(科目对照回款!$F$2:$H$16,$B579)&gt;0,"√","× 未识别"))</f>
        <v/>
      </c>
    </row>
    <row r="580" customFormat="false" ht="13.5" hidden="false" customHeight="false" outlineLevel="0" collapsed="false">
      <c r="A580" s="35"/>
      <c r="B580" s="35"/>
      <c r="C580" s="37"/>
      <c r="D580" s="37"/>
      <c r="E580" s="35"/>
      <c r="F580" s="38" t="str">
        <f aca="false">IF($B580="","",IF(COUNTIF(科目对照回款!$F$2:$H$16,$B580)&gt;0,"√","× 未识别"))</f>
        <v/>
      </c>
    </row>
    <row r="581" customFormat="false" ht="13.5" hidden="false" customHeight="false" outlineLevel="0" collapsed="false">
      <c r="A581" s="35"/>
      <c r="B581" s="35"/>
      <c r="C581" s="37"/>
      <c r="D581" s="37"/>
      <c r="E581" s="35"/>
      <c r="F581" s="38" t="str">
        <f aca="false">IF($B581="","",IF(COUNTIF(科目对照回款!$F$2:$H$16,$B581)&gt;0,"√","× 未识别"))</f>
        <v/>
      </c>
    </row>
    <row r="582" customFormat="false" ht="13.5" hidden="false" customHeight="false" outlineLevel="0" collapsed="false">
      <c r="A582" s="35"/>
      <c r="B582" s="35"/>
      <c r="C582" s="37"/>
      <c r="D582" s="37"/>
      <c r="E582" s="35"/>
      <c r="F582" s="38" t="str">
        <f aca="false">IF($B582="","",IF(COUNTIF(科目对照回款!$F$2:$H$16,$B582)&gt;0,"√","× 未识别"))</f>
        <v/>
      </c>
    </row>
    <row r="583" customFormat="false" ht="13.5" hidden="false" customHeight="false" outlineLevel="0" collapsed="false">
      <c r="A583" s="35"/>
      <c r="B583" s="35"/>
      <c r="C583" s="37"/>
      <c r="D583" s="37"/>
      <c r="E583" s="35"/>
      <c r="F583" s="38" t="str">
        <f aca="false">IF($B583="","",IF(COUNTIF(科目对照回款!$F$2:$H$16,$B583)&gt;0,"√","× 未识别"))</f>
        <v/>
      </c>
    </row>
    <row r="584" customFormat="false" ht="13.5" hidden="false" customHeight="false" outlineLevel="0" collapsed="false">
      <c r="A584" s="35"/>
      <c r="B584" s="35"/>
      <c r="C584" s="37"/>
      <c r="D584" s="37"/>
      <c r="E584" s="35"/>
      <c r="F584" s="38" t="str">
        <f aca="false">IF($B584="","",IF(COUNTIF(科目对照回款!$F$2:$H$16,$B584)&gt;0,"√","× 未识别"))</f>
        <v/>
      </c>
    </row>
    <row r="585" customFormat="false" ht="13.5" hidden="false" customHeight="false" outlineLevel="0" collapsed="false">
      <c r="A585" s="35"/>
      <c r="B585" s="35"/>
      <c r="C585" s="37"/>
      <c r="D585" s="37"/>
      <c r="E585" s="35"/>
      <c r="F585" s="38" t="str">
        <f aca="false">IF($B585="","",IF(COUNTIF(科目对照回款!$F$2:$H$16,$B585)&gt;0,"√","× 未识别"))</f>
        <v/>
      </c>
    </row>
    <row r="586" customFormat="false" ht="13.5" hidden="false" customHeight="false" outlineLevel="0" collapsed="false">
      <c r="A586" s="35"/>
      <c r="B586" s="35"/>
      <c r="C586" s="37"/>
      <c r="D586" s="37"/>
      <c r="E586" s="35"/>
      <c r="F586" s="38" t="str">
        <f aca="false">IF($B586="","",IF(COUNTIF(科目对照回款!$F$2:$H$16,$B586)&gt;0,"√","× 未识别"))</f>
        <v/>
      </c>
    </row>
    <row r="587" customFormat="false" ht="13.5" hidden="false" customHeight="false" outlineLevel="0" collapsed="false">
      <c r="A587" s="35"/>
      <c r="B587" s="35"/>
      <c r="C587" s="37"/>
      <c r="D587" s="37"/>
      <c r="E587" s="35"/>
      <c r="F587" s="38" t="str">
        <f aca="false">IF($B587="","",IF(COUNTIF(科目对照回款!$F$2:$H$16,$B587)&gt;0,"√","× 未识别"))</f>
        <v/>
      </c>
    </row>
    <row r="588" customFormat="false" ht="13.5" hidden="false" customHeight="false" outlineLevel="0" collapsed="false">
      <c r="A588" s="35"/>
      <c r="B588" s="35"/>
      <c r="C588" s="37"/>
      <c r="D588" s="37"/>
      <c r="E588" s="35"/>
      <c r="F588" s="38" t="str">
        <f aca="false">IF($B588="","",IF(COUNTIF(科目对照回款!$F$2:$H$16,$B588)&gt;0,"√","× 未识别"))</f>
        <v/>
      </c>
    </row>
    <row r="589" customFormat="false" ht="13.5" hidden="false" customHeight="false" outlineLevel="0" collapsed="false">
      <c r="A589" s="35"/>
      <c r="B589" s="35"/>
      <c r="C589" s="37"/>
      <c r="D589" s="37"/>
      <c r="E589" s="35"/>
      <c r="F589" s="38" t="str">
        <f aca="false">IF($B589="","",IF(COUNTIF(科目对照回款!$F$2:$H$16,$B589)&gt;0,"√","× 未识别"))</f>
        <v/>
      </c>
    </row>
    <row r="590" customFormat="false" ht="13.5" hidden="false" customHeight="false" outlineLevel="0" collapsed="false">
      <c r="A590" s="35"/>
      <c r="B590" s="35"/>
      <c r="C590" s="37"/>
      <c r="D590" s="37"/>
      <c r="E590" s="35"/>
      <c r="F590" s="38" t="str">
        <f aca="false">IF($B590="","",IF(COUNTIF(科目对照回款!$F$2:$H$16,$B590)&gt;0,"√","× 未识别"))</f>
        <v/>
      </c>
    </row>
    <row r="591" customFormat="false" ht="13.5" hidden="false" customHeight="false" outlineLevel="0" collapsed="false">
      <c r="A591" s="35"/>
      <c r="B591" s="35"/>
      <c r="C591" s="37"/>
      <c r="D591" s="37"/>
      <c r="E591" s="35"/>
      <c r="F591" s="38" t="str">
        <f aca="false">IF($B591="","",IF(COUNTIF(科目对照回款!$F$2:$H$16,$B591)&gt;0,"√","× 未识别"))</f>
        <v/>
      </c>
    </row>
    <row r="592" customFormat="false" ht="13.5" hidden="false" customHeight="false" outlineLevel="0" collapsed="false">
      <c r="A592" s="35"/>
      <c r="B592" s="35"/>
      <c r="C592" s="37"/>
      <c r="D592" s="37"/>
      <c r="E592" s="35"/>
      <c r="F592" s="38" t="str">
        <f aca="false">IF($B592="","",IF(COUNTIF(科目对照回款!$F$2:$H$16,$B592)&gt;0,"√","× 未识别"))</f>
        <v/>
      </c>
    </row>
    <row r="593" customFormat="false" ht="13.5" hidden="false" customHeight="false" outlineLevel="0" collapsed="false">
      <c r="A593" s="35"/>
      <c r="B593" s="35"/>
      <c r="C593" s="37"/>
      <c r="D593" s="37"/>
      <c r="E593" s="35"/>
      <c r="F593" s="38" t="str">
        <f aca="false">IF($B593="","",IF(COUNTIF(科目对照回款!$F$2:$H$16,$B593)&gt;0,"√","× 未识别"))</f>
        <v/>
      </c>
    </row>
    <row r="594" customFormat="false" ht="13.5" hidden="false" customHeight="false" outlineLevel="0" collapsed="false">
      <c r="A594" s="35"/>
      <c r="B594" s="35"/>
      <c r="C594" s="37"/>
      <c r="D594" s="37"/>
      <c r="E594" s="35"/>
      <c r="F594" s="38" t="str">
        <f aca="false">IF($B594="","",IF(COUNTIF(科目对照回款!$F$2:$H$16,$B594)&gt;0,"√","× 未识别"))</f>
        <v/>
      </c>
    </row>
    <row r="595" customFormat="false" ht="13.5" hidden="false" customHeight="false" outlineLevel="0" collapsed="false">
      <c r="A595" s="35"/>
      <c r="B595" s="35"/>
      <c r="C595" s="37"/>
      <c r="D595" s="37"/>
      <c r="E595" s="35"/>
      <c r="F595" s="38" t="str">
        <f aca="false">IF($B595="","",IF(COUNTIF(科目对照回款!$F$2:$H$16,$B595)&gt;0,"√","× 未识别"))</f>
        <v/>
      </c>
    </row>
    <row r="596" customFormat="false" ht="13.5" hidden="false" customHeight="false" outlineLevel="0" collapsed="false">
      <c r="A596" s="35"/>
      <c r="B596" s="35"/>
      <c r="C596" s="37"/>
      <c r="D596" s="37"/>
      <c r="E596" s="35"/>
      <c r="F596" s="38" t="str">
        <f aca="false">IF($B596="","",IF(COUNTIF(科目对照回款!$F$2:$H$16,$B596)&gt;0,"√","× 未识别"))</f>
        <v/>
      </c>
    </row>
    <row r="597" customFormat="false" ht="13.5" hidden="false" customHeight="false" outlineLevel="0" collapsed="false">
      <c r="A597" s="35"/>
      <c r="B597" s="35"/>
      <c r="C597" s="37"/>
      <c r="D597" s="37"/>
      <c r="E597" s="35"/>
      <c r="F597" s="38" t="str">
        <f aca="false">IF($B597="","",IF(COUNTIF(科目对照回款!$F$2:$H$16,$B597)&gt;0,"√","× 未识别"))</f>
        <v/>
      </c>
    </row>
    <row r="598" customFormat="false" ht="13.5" hidden="false" customHeight="false" outlineLevel="0" collapsed="false">
      <c r="A598" s="35"/>
      <c r="B598" s="35"/>
      <c r="C598" s="37"/>
      <c r="D598" s="37"/>
      <c r="E598" s="35"/>
      <c r="F598" s="38" t="str">
        <f aca="false">IF($B598="","",IF(COUNTIF(科目对照回款!$F$2:$H$16,$B598)&gt;0,"√","× 未识别"))</f>
        <v/>
      </c>
    </row>
    <row r="599" customFormat="false" ht="13.5" hidden="false" customHeight="false" outlineLevel="0" collapsed="false">
      <c r="A599" s="35"/>
      <c r="B599" s="35"/>
      <c r="C599" s="37"/>
      <c r="D599" s="37"/>
      <c r="E599" s="35"/>
      <c r="F599" s="38" t="str">
        <f aca="false">IF($B599="","",IF(COUNTIF(科目对照回款!$F$2:$H$16,$B599)&gt;0,"√","× 未识别"))</f>
        <v/>
      </c>
    </row>
    <row r="600" customFormat="false" ht="13.5" hidden="false" customHeight="false" outlineLevel="0" collapsed="false">
      <c r="A600" s="35"/>
      <c r="B600" s="35"/>
      <c r="C600" s="37"/>
      <c r="D600" s="37"/>
      <c r="E600" s="35"/>
      <c r="F600" s="38" t="str">
        <f aca="false">IF($B600="","",IF(COUNTIF(科目对照回款!$F$2:$H$16,$B600)&gt;0,"√","× 未识别"))</f>
        <v/>
      </c>
    </row>
    <row r="601" customFormat="false" ht="13.5" hidden="false" customHeight="false" outlineLevel="0" collapsed="false">
      <c r="A601" s="35"/>
      <c r="B601" s="35"/>
      <c r="C601" s="37"/>
      <c r="D601" s="37"/>
      <c r="E601" s="35"/>
      <c r="F601" s="38" t="str">
        <f aca="false">IF($B601="","",IF(COUNTIF(科目对照回款!$F$2:$H$16,$B601)&gt;0,"√","× 未识别"))</f>
        <v/>
      </c>
    </row>
    <row r="602" customFormat="false" ht="13.5" hidden="false" customHeight="false" outlineLevel="0" collapsed="false">
      <c r="A602" s="35"/>
      <c r="B602" s="35"/>
      <c r="C602" s="37"/>
      <c r="D602" s="37"/>
      <c r="E602" s="35"/>
      <c r="F602" s="38" t="str">
        <f aca="false">IF($B602="","",IF(COUNTIF(科目对照回款!$F$2:$H$16,$B602)&gt;0,"√","× 未识别"))</f>
        <v/>
      </c>
    </row>
    <row r="603" customFormat="false" ht="13.5" hidden="false" customHeight="false" outlineLevel="0" collapsed="false">
      <c r="A603" s="35"/>
      <c r="B603" s="35"/>
      <c r="C603" s="37"/>
      <c r="D603" s="37"/>
      <c r="E603" s="35"/>
      <c r="F603" s="38" t="str">
        <f aca="false">IF($B603="","",IF(COUNTIF(科目对照回款!$F$2:$H$16,$B603)&gt;0,"√","× 未识别"))</f>
        <v/>
      </c>
    </row>
    <row r="604" customFormat="false" ht="13.5" hidden="false" customHeight="false" outlineLevel="0" collapsed="false">
      <c r="A604" s="35"/>
      <c r="B604" s="35"/>
      <c r="C604" s="37"/>
      <c r="D604" s="37"/>
      <c r="E604" s="35"/>
      <c r="F604" s="38" t="str">
        <f aca="false">IF($B604="","",IF(COUNTIF(科目对照回款!$F$2:$H$16,$B604)&gt;0,"√","× 未识别"))</f>
        <v/>
      </c>
    </row>
    <row r="605" customFormat="false" ht="13.5" hidden="false" customHeight="false" outlineLevel="0" collapsed="false">
      <c r="A605" s="35"/>
      <c r="B605" s="35"/>
      <c r="C605" s="37"/>
      <c r="D605" s="37"/>
      <c r="E605" s="35"/>
      <c r="F605" s="38" t="str">
        <f aca="false">IF($B605="","",IF(COUNTIF(科目对照回款!$F$2:$H$16,$B605)&gt;0,"√","× 未识别"))</f>
        <v/>
      </c>
    </row>
    <row r="606" customFormat="false" ht="13.5" hidden="false" customHeight="false" outlineLevel="0" collapsed="false">
      <c r="A606" s="35"/>
      <c r="B606" s="35"/>
      <c r="C606" s="37"/>
      <c r="D606" s="37"/>
      <c r="E606" s="35"/>
      <c r="F606" s="38" t="str">
        <f aca="false">IF($B606="","",IF(COUNTIF(科目对照回款!$F$2:$H$16,$B606)&gt;0,"√","× 未识别"))</f>
        <v/>
      </c>
    </row>
    <row r="607" customFormat="false" ht="13.5" hidden="false" customHeight="false" outlineLevel="0" collapsed="false">
      <c r="A607" s="35"/>
      <c r="B607" s="35"/>
      <c r="C607" s="37"/>
      <c r="D607" s="37"/>
      <c r="E607" s="35"/>
      <c r="F607" s="38" t="str">
        <f aca="false">IF($B607="","",IF(COUNTIF(科目对照回款!$F$2:$H$16,$B607)&gt;0,"√","× 未识别"))</f>
        <v/>
      </c>
    </row>
    <row r="608" customFormat="false" ht="13.5" hidden="false" customHeight="false" outlineLevel="0" collapsed="false">
      <c r="A608" s="35"/>
      <c r="B608" s="35"/>
      <c r="C608" s="37"/>
      <c r="D608" s="37"/>
      <c r="E608" s="35"/>
      <c r="F608" s="38" t="str">
        <f aca="false">IF($B608="","",IF(COUNTIF(科目对照回款!$F$2:$H$16,$B608)&gt;0,"√","× 未识别"))</f>
        <v/>
      </c>
    </row>
    <row r="609" customFormat="false" ht="13.5" hidden="false" customHeight="false" outlineLevel="0" collapsed="false">
      <c r="A609" s="35"/>
      <c r="B609" s="35"/>
      <c r="C609" s="37"/>
      <c r="D609" s="37"/>
      <c r="E609" s="35"/>
      <c r="F609" s="38" t="str">
        <f aca="false">IF($B609="","",IF(COUNTIF(科目对照回款!$F$2:$H$16,$B609)&gt;0,"√","× 未识别"))</f>
        <v/>
      </c>
    </row>
    <row r="610" customFormat="false" ht="13.5" hidden="false" customHeight="false" outlineLevel="0" collapsed="false">
      <c r="A610" s="35"/>
      <c r="B610" s="35"/>
      <c r="C610" s="37"/>
      <c r="D610" s="37"/>
      <c r="E610" s="35"/>
      <c r="F610" s="38" t="str">
        <f aca="false">IF($B610="","",IF(COUNTIF(科目对照回款!$F$2:$H$16,$B610)&gt;0,"√","× 未识别"))</f>
        <v/>
      </c>
    </row>
    <row r="611" customFormat="false" ht="13.5" hidden="false" customHeight="false" outlineLevel="0" collapsed="false">
      <c r="A611" s="35"/>
      <c r="B611" s="35"/>
      <c r="C611" s="37"/>
      <c r="D611" s="37"/>
      <c r="E611" s="35"/>
      <c r="F611" s="38" t="str">
        <f aca="false">IF($B611="","",IF(COUNTIF(科目对照回款!$F$2:$H$16,$B611)&gt;0,"√","× 未识别"))</f>
        <v/>
      </c>
    </row>
    <row r="612" customFormat="false" ht="13.5" hidden="false" customHeight="false" outlineLevel="0" collapsed="false">
      <c r="A612" s="35"/>
      <c r="B612" s="35"/>
      <c r="C612" s="37"/>
      <c r="D612" s="37"/>
      <c r="E612" s="35"/>
      <c r="F612" s="38" t="str">
        <f aca="false">IF($B612="","",IF(COUNTIF(科目对照回款!$F$2:$H$16,$B612)&gt;0,"√","× 未识别"))</f>
        <v/>
      </c>
    </row>
    <row r="613" customFormat="false" ht="13.5" hidden="false" customHeight="false" outlineLevel="0" collapsed="false">
      <c r="A613" s="35"/>
      <c r="B613" s="35"/>
      <c r="C613" s="37"/>
      <c r="D613" s="37"/>
      <c r="E613" s="35"/>
      <c r="F613" s="38" t="str">
        <f aca="false">IF($B613="","",IF(COUNTIF(科目对照回款!$F$2:$H$16,$B613)&gt;0,"√","× 未识别"))</f>
        <v/>
      </c>
    </row>
    <row r="614" customFormat="false" ht="13.5" hidden="false" customHeight="false" outlineLevel="0" collapsed="false">
      <c r="A614" s="35"/>
      <c r="B614" s="35"/>
      <c r="C614" s="37"/>
      <c r="D614" s="37"/>
      <c r="E614" s="35"/>
      <c r="F614" s="38" t="str">
        <f aca="false">IF($B614="","",IF(COUNTIF(科目对照回款!$F$2:$H$16,$B614)&gt;0,"√","× 未识别"))</f>
        <v/>
      </c>
    </row>
    <row r="615" customFormat="false" ht="13.5" hidden="false" customHeight="false" outlineLevel="0" collapsed="false">
      <c r="A615" s="35"/>
      <c r="B615" s="35"/>
      <c r="C615" s="37"/>
      <c r="D615" s="37"/>
      <c r="E615" s="35"/>
      <c r="F615" s="38" t="str">
        <f aca="false">IF($B615="","",IF(COUNTIF(科目对照回款!$F$2:$H$16,$B615)&gt;0,"√","× 未识别"))</f>
        <v/>
      </c>
    </row>
    <row r="616" customFormat="false" ht="13.5" hidden="false" customHeight="false" outlineLevel="0" collapsed="false">
      <c r="A616" s="35"/>
      <c r="B616" s="35"/>
      <c r="C616" s="37"/>
      <c r="D616" s="37"/>
      <c r="E616" s="35"/>
      <c r="F616" s="38" t="str">
        <f aca="false">IF($B616="","",IF(COUNTIF(科目对照回款!$F$2:$H$16,$B616)&gt;0,"√","× 未识别"))</f>
        <v/>
      </c>
    </row>
    <row r="617" customFormat="false" ht="13.5" hidden="false" customHeight="false" outlineLevel="0" collapsed="false">
      <c r="A617" s="35"/>
      <c r="B617" s="35"/>
      <c r="C617" s="37"/>
      <c r="D617" s="37"/>
      <c r="E617" s="35"/>
      <c r="F617" s="38" t="str">
        <f aca="false">IF($B617="","",IF(COUNTIF(科目对照回款!$F$2:$H$16,$B617)&gt;0,"√","× 未识别"))</f>
        <v/>
      </c>
    </row>
    <row r="618" customFormat="false" ht="13.5" hidden="false" customHeight="false" outlineLevel="0" collapsed="false">
      <c r="A618" s="35"/>
      <c r="B618" s="35"/>
      <c r="C618" s="37"/>
      <c r="D618" s="37"/>
      <c r="E618" s="35"/>
      <c r="F618" s="38" t="str">
        <f aca="false">IF($B618="","",IF(COUNTIF(科目对照回款!$F$2:$H$16,$B618)&gt;0,"√","× 未识别"))</f>
        <v/>
      </c>
    </row>
    <row r="619" customFormat="false" ht="13.5" hidden="false" customHeight="false" outlineLevel="0" collapsed="false">
      <c r="A619" s="35"/>
      <c r="B619" s="35"/>
      <c r="C619" s="37"/>
      <c r="D619" s="37"/>
      <c r="E619" s="35"/>
      <c r="F619" s="38" t="str">
        <f aca="false">IF($B619="","",IF(COUNTIF(科目对照回款!$F$2:$H$16,$B619)&gt;0,"√","× 未识别"))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01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G18" activeCellId="0" sqref="G18"/>
    </sheetView>
  </sheetViews>
  <sheetFormatPr defaultColWidth="9" defaultRowHeight="13.5" zeroHeight="false" outlineLevelRow="0" outlineLevelCol="0"/>
  <cols>
    <col collapsed="false" customWidth="true" hidden="false" outlineLevel="0" max="1" min="1" style="39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1" min="10" style="0" width="14"/>
  </cols>
  <sheetData>
    <row r="1" customFormat="false" ht="27" hidden="false" customHeight="true" outlineLevel="0" collapsed="false">
      <c r="A1" s="40" t="s">
        <v>410</v>
      </c>
      <c r="B1" s="17" t="s">
        <v>411</v>
      </c>
      <c r="C1" s="17" t="s">
        <v>412</v>
      </c>
      <c r="D1" s="17" t="s">
        <v>413</v>
      </c>
      <c r="E1" s="17" t="s">
        <v>414</v>
      </c>
      <c r="F1" s="17" t="s">
        <v>415</v>
      </c>
      <c r="G1" s="17" t="s">
        <v>416</v>
      </c>
      <c r="H1" s="17" t="s">
        <v>417</v>
      </c>
      <c r="I1" s="17" t="s">
        <v>418</v>
      </c>
      <c r="J1" s="17" t="s">
        <v>419</v>
      </c>
      <c r="K1" s="17" t="s">
        <v>394</v>
      </c>
      <c r="L1" s="11" t="s">
        <v>420</v>
      </c>
    </row>
    <row r="2" customFormat="false" ht="13.5" hidden="false" customHeight="false" outlineLevel="0" collapsed="false">
      <c r="A2" s="41" t="n">
        <v>1</v>
      </c>
      <c r="B2" s="42" t="n">
        <v>46265</v>
      </c>
      <c r="C2" s="36" t="s">
        <v>94</v>
      </c>
      <c r="D2" s="36" t="s">
        <v>421</v>
      </c>
      <c r="E2" s="36" t="s">
        <v>258</v>
      </c>
      <c r="F2" s="36" t="s">
        <v>421</v>
      </c>
      <c r="G2" s="37" t="n">
        <v>300</v>
      </c>
      <c r="H2" s="36" t="s">
        <v>68</v>
      </c>
      <c r="I2" s="43" t="n">
        <f aca="false">IF($A2="","",COUNTIFS($A$2:$A2,$A2))</f>
        <v>1</v>
      </c>
      <c r="J2" s="43" t="str">
        <f aca="false">IF($A2="","",$A2&amp;"-"&amp;$I2)</f>
        <v>1-1</v>
      </c>
      <c r="K2" s="38" t="str">
        <f aca="false">IF($A2="","",IF(COUNTIF(参数!$B$6:$B$8,$H2)=0,"× 付款方式","√"))</f>
        <v>√</v>
      </c>
      <c r="L2" s="11" t="s">
        <v>422</v>
      </c>
    </row>
    <row r="3" customFormat="false" ht="13.5" hidden="false" customHeight="false" outlineLevel="0" collapsed="false">
      <c r="A3" s="41" t="n">
        <v>1</v>
      </c>
      <c r="B3" s="42" t="n">
        <v>46265</v>
      </c>
      <c r="C3" s="36" t="s">
        <v>94</v>
      </c>
      <c r="D3" s="36" t="s">
        <v>423</v>
      </c>
      <c r="E3" s="36" t="s">
        <v>258</v>
      </c>
      <c r="F3" s="36" t="s">
        <v>424</v>
      </c>
      <c r="G3" s="37" t="n">
        <v>31.7</v>
      </c>
      <c r="H3" s="36" t="s">
        <v>68</v>
      </c>
      <c r="I3" s="43" t="n">
        <f aca="false">IF($A3="","",COUNTIFS($A$2:$A3,$A3))</f>
        <v>2</v>
      </c>
      <c r="J3" s="43" t="str">
        <f aca="false">IF($A3="","",$A3&amp;"-"&amp;$I3)</f>
        <v>1-2</v>
      </c>
      <c r="K3" s="38" t="str">
        <f aca="false">IF($A3="","",IF(COUNTIF(参数!$B$6:$B$8,$H3)=0,"× 付款方式","√"))</f>
        <v>√</v>
      </c>
    </row>
    <row r="4" customFormat="false" ht="13.5" hidden="false" customHeight="false" outlineLevel="0" collapsed="false">
      <c r="A4" s="41" t="n">
        <v>1</v>
      </c>
      <c r="B4" s="42" t="n">
        <v>46265</v>
      </c>
      <c r="C4" s="36" t="s">
        <v>94</v>
      </c>
      <c r="D4" s="36" t="s">
        <v>425</v>
      </c>
      <c r="E4" s="36" t="s">
        <v>258</v>
      </c>
      <c r="F4" s="36" t="s">
        <v>425</v>
      </c>
      <c r="G4" s="37" t="n">
        <v>5</v>
      </c>
      <c r="H4" s="36" t="s">
        <v>68</v>
      </c>
      <c r="I4" s="43" t="n">
        <f aca="false">IF($A4="","",COUNTIFS($A$2:$A4,$A4))</f>
        <v>3</v>
      </c>
      <c r="J4" s="43" t="str">
        <f aca="false">IF($A4="","",$A4&amp;"-"&amp;$I4)</f>
        <v>1-3</v>
      </c>
      <c r="K4" s="38" t="str">
        <f aca="false">IF($A4="","",IF(COUNTIF(参数!$B$6:$B$8,$H4)=0,"× 付款方式","√"))</f>
        <v>√</v>
      </c>
      <c r="N4" s="36" t="s">
        <v>258</v>
      </c>
      <c r="P4" s="33" t="s">
        <v>421</v>
      </c>
    </row>
    <row r="5" customFormat="false" ht="13.5" hidden="false" customHeight="false" outlineLevel="0" collapsed="false">
      <c r="A5" s="41" t="n">
        <v>2</v>
      </c>
      <c r="B5" s="42" t="n">
        <v>46265</v>
      </c>
      <c r="C5" s="19" t="s">
        <v>97</v>
      </c>
      <c r="D5" s="36" t="s">
        <v>421</v>
      </c>
      <c r="E5" s="36" t="s">
        <v>258</v>
      </c>
      <c r="F5" s="36" t="s">
        <v>421</v>
      </c>
      <c r="G5" s="37" t="n">
        <v>1000</v>
      </c>
      <c r="H5" s="36" t="s">
        <v>68</v>
      </c>
      <c r="I5" s="43" t="n">
        <f aca="false">IF($A5="","",COUNTIFS($A$2:$A5,$A5))</f>
        <v>1</v>
      </c>
      <c r="J5" s="43" t="str">
        <f aca="false">IF($A5="","",$A5&amp;"-"&amp;$I5)</f>
        <v>2-1</v>
      </c>
      <c r="K5" s="38" t="str">
        <f aca="false">IF($A5="","",IF(COUNTIF(参数!$B$6:$B$8,$H5)=0,"× 付款方式","√"))</f>
        <v>√</v>
      </c>
      <c r="N5" s="36" t="s">
        <v>265</v>
      </c>
      <c r="P5" s="33" t="s">
        <v>424</v>
      </c>
    </row>
    <row r="6" customFormat="false" ht="13.5" hidden="false" customHeight="false" outlineLevel="0" collapsed="false">
      <c r="A6" s="41" t="n">
        <v>2</v>
      </c>
      <c r="B6" s="42" t="n">
        <v>46265</v>
      </c>
      <c r="C6" s="19" t="s">
        <v>97</v>
      </c>
      <c r="D6" s="36" t="s">
        <v>426</v>
      </c>
      <c r="E6" s="36" t="s">
        <v>265</v>
      </c>
      <c r="F6" s="36" t="s">
        <v>264</v>
      </c>
      <c r="G6" s="37" t="n">
        <v>65</v>
      </c>
      <c r="H6" s="36" t="s">
        <v>68</v>
      </c>
      <c r="I6" s="43" t="n">
        <f aca="false">IF($A6="","",COUNTIFS($A$2:$A6,$A6))</f>
        <v>2</v>
      </c>
      <c r="J6" s="43" t="str">
        <f aca="false">IF($A6="","",$A6&amp;"-"&amp;$I6)</f>
        <v>2-2</v>
      </c>
      <c r="K6" s="38" t="str">
        <f aca="false">IF($A6="","",IF(COUNTIF(参数!$B$6:$B$8,$H6)=0,"× 付款方式","√"))</f>
        <v>√</v>
      </c>
      <c r="N6" s="33" t="s">
        <v>427</v>
      </c>
      <c r="P6" s="33" t="s">
        <v>425</v>
      </c>
    </row>
    <row r="7" customFormat="false" ht="13.5" hidden="false" customHeight="false" outlineLevel="0" collapsed="false">
      <c r="A7" s="44" t="n">
        <v>3</v>
      </c>
      <c r="B7" s="42" t="n">
        <v>46265</v>
      </c>
      <c r="C7" s="19" t="s">
        <v>100</v>
      </c>
      <c r="D7" s="36" t="s">
        <v>421</v>
      </c>
      <c r="E7" s="36" t="s">
        <v>258</v>
      </c>
      <c r="F7" s="36" t="s">
        <v>421</v>
      </c>
      <c r="G7" s="37" t="n">
        <v>1000</v>
      </c>
      <c r="H7" s="36" t="s">
        <v>68</v>
      </c>
      <c r="I7" s="43" t="n">
        <f aca="false">IF($A7="","",COUNTIFS($A$2:$A7,$A7))</f>
        <v>1</v>
      </c>
      <c r="J7" s="43" t="str">
        <f aca="false">IF($A7="","",$A7&amp;"-"&amp;$I7)</f>
        <v>3-1</v>
      </c>
      <c r="K7" s="38" t="str">
        <f aca="false">IF($A7="","",IF(COUNTIF(参数!$B$6:$B$8,$H7)=0,"× 付款方式","√"))</f>
        <v>√</v>
      </c>
      <c r="P7" s="36" t="s">
        <v>264</v>
      </c>
    </row>
    <row r="8" customFormat="false" ht="13.5" hidden="false" customHeight="false" outlineLevel="0" collapsed="false">
      <c r="A8" s="41" t="n">
        <v>3</v>
      </c>
      <c r="B8" s="42" t="n">
        <v>46265</v>
      </c>
      <c r="C8" s="19" t="s">
        <v>100</v>
      </c>
      <c r="D8" s="36" t="s">
        <v>428</v>
      </c>
      <c r="E8" s="36" t="s">
        <v>258</v>
      </c>
      <c r="F8" s="36" t="s">
        <v>424</v>
      </c>
      <c r="G8" s="37" t="n">
        <f aca="false">630+15+17</f>
        <v>662</v>
      </c>
      <c r="H8" s="36" t="s">
        <v>68</v>
      </c>
      <c r="I8" s="43" t="n">
        <f aca="false">IF($A8="","",COUNTIFS($A$2:$A8,$A8))</f>
        <v>2</v>
      </c>
      <c r="J8" s="43" t="str">
        <f aca="false">IF($A8="","",$A8&amp;"-"&amp;$I8)</f>
        <v>3-2</v>
      </c>
      <c r="K8" s="38" t="str">
        <f aca="false">IF($A8="","",IF(COUNTIF(参数!$B$6:$B$8,$H8)=0,"× 付款方式","√"))</f>
        <v>√</v>
      </c>
      <c r="P8" s="33" t="s">
        <v>429</v>
      </c>
    </row>
    <row r="9" customFormat="false" ht="13.5" hidden="false" customHeight="false" outlineLevel="0" collapsed="false">
      <c r="A9" s="41" t="n">
        <v>3</v>
      </c>
      <c r="B9" s="42" t="n">
        <v>46265</v>
      </c>
      <c r="C9" s="19" t="s">
        <v>100</v>
      </c>
      <c r="D9" s="36" t="s">
        <v>426</v>
      </c>
      <c r="E9" s="36" t="s">
        <v>265</v>
      </c>
      <c r="F9" s="36" t="s">
        <v>264</v>
      </c>
      <c r="G9" s="37" t="n">
        <v>43.38</v>
      </c>
      <c r="H9" s="36" t="s">
        <v>68</v>
      </c>
      <c r="I9" s="43" t="n">
        <f aca="false">IF($A9="","",COUNTIFS($A$2:$A9,$A9))</f>
        <v>3</v>
      </c>
      <c r="J9" s="43" t="str">
        <f aca="false">IF($A9="","",$A9&amp;"-"&amp;$I9)</f>
        <v>3-3</v>
      </c>
      <c r="K9" s="38" t="str">
        <f aca="false">IF($A9="","",IF(COUNTIF(参数!$B$6:$B$8,$H9)=0,"× 付款方式","√"))</f>
        <v>√</v>
      </c>
      <c r="P9" s="33" t="s">
        <v>430</v>
      </c>
    </row>
    <row r="10" customFormat="false" ht="13.5" hidden="false" customHeight="false" outlineLevel="0" collapsed="false">
      <c r="A10" s="41" t="n">
        <v>4</v>
      </c>
      <c r="B10" s="42" t="n">
        <v>46265</v>
      </c>
      <c r="C10" s="19" t="s">
        <v>103</v>
      </c>
      <c r="D10" s="36" t="s">
        <v>431</v>
      </c>
      <c r="E10" s="36" t="s">
        <v>258</v>
      </c>
      <c r="F10" s="36" t="s">
        <v>424</v>
      </c>
      <c r="G10" s="37" t="n">
        <v>99.7</v>
      </c>
      <c r="H10" s="36" t="s">
        <v>68</v>
      </c>
      <c r="I10" s="43" t="n">
        <f aca="false">IF($A10="","",COUNTIFS($A$2:$A10,$A10))</f>
        <v>1</v>
      </c>
      <c r="J10" s="43" t="str">
        <f aca="false">IF($A10="","",$A10&amp;"-"&amp;$I10)</f>
        <v>4-1</v>
      </c>
      <c r="K10" s="38" t="str">
        <f aca="false">IF($A10="","",IF(COUNTIF(参数!$B$6:$B$8,$H10)=0,"× 付款方式","√"))</f>
        <v>√</v>
      </c>
      <c r="P10" s="33" t="s">
        <v>257</v>
      </c>
    </row>
    <row r="11" customFormat="false" ht="13.5" hidden="false" customHeight="false" outlineLevel="0" collapsed="false">
      <c r="A11" s="41" t="n">
        <v>4</v>
      </c>
      <c r="B11" s="42" t="n">
        <v>46265</v>
      </c>
      <c r="C11" s="36" t="s">
        <v>103</v>
      </c>
      <c r="D11" s="36" t="s">
        <v>426</v>
      </c>
      <c r="E11" s="36" t="s">
        <v>265</v>
      </c>
      <c r="F11" s="36" t="s">
        <v>264</v>
      </c>
      <c r="G11" s="37" t="n">
        <v>48.05</v>
      </c>
      <c r="H11" s="36" t="s">
        <v>68</v>
      </c>
      <c r="I11" s="43" t="n">
        <f aca="false">IF($A11="","",COUNTIFS($A$2:$A11,$A11))</f>
        <v>2</v>
      </c>
      <c r="J11" s="43" t="str">
        <f aca="false">IF($A11="","",$A11&amp;"-"&amp;$I11)</f>
        <v>4-2</v>
      </c>
      <c r="K11" s="38" t="str">
        <f aca="false">IF($A11="","",IF(COUNTIF(参数!$B$6:$B$8,$H11)=0,"× 付款方式","√"))</f>
        <v>√</v>
      </c>
      <c r="P11" s="33" t="s">
        <v>432</v>
      </c>
    </row>
    <row r="12" customFormat="false" ht="13.5" hidden="false" customHeight="false" outlineLevel="0" collapsed="false">
      <c r="A12" s="41" t="n">
        <v>5</v>
      </c>
      <c r="B12" s="42" t="n">
        <v>46265</v>
      </c>
      <c r="C12" s="36" t="s">
        <v>106</v>
      </c>
      <c r="D12" s="36" t="s">
        <v>421</v>
      </c>
      <c r="E12" s="36" t="s">
        <v>258</v>
      </c>
      <c r="F12" s="36" t="s">
        <v>421</v>
      </c>
      <c r="G12" s="37" t="n">
        <v>800</v>
      </c>
      <c r="H12" s="36" t="s">
        <v>68</v>
      </c>
      <c r="I12" s="43" t="n">
        <f aca="false">IF($A12="","",COUNTIFS($A$2:$A12,$A12))</f>
        <v>1</v>
      </c>
      <c r="J12" s="43" t="str">
        <f aca="false">IF($A12="","",$A12&amp;"-"&amp;$I12)</f>
        <v>5-1</v>
      </c>
      <c r="K12" s="38" t="str">
        <f aca="false">IF($A12="","",IF(COUNTIF(参数!$B$6:$B$8,$H12)=0,"× 付款方式","√"))</f>
        <v>√</v>
      </c>
    </row>
    <row r="13" customFormat="false" ht="13.5" hidden="false" customHeight="false" outlineLevel="0" collapsed="false">
      <c r="A13" s="41" t="n">
        <v>5</v>
      </c>
      <c r="B13" s="42" t="n">
        <v>46265</v>
      </c>
      <c r="C13" s="36" t="s">
        <v>106</v>
      </c>
      <c r="D13" s="36" t="s">
        <v>423</v>
      </c>
      <c r="E13" s="36" t="s">
        <v>258</v>
      </c>
      <c r="F13" s="36" t="s">
        <v>424</v>
      </c>
      <c r="G13" s="37" t="n">
        <v>59.8</v>
      </c>
      <c r="H13" s="36" t="s">
        <v>68</v>
      </c>
      <c r="I13" s="43" t="n">
        <f aca="false">IF($A13="","",COUNTIFS($A$2:$A13,$A13))</f>
        <v>2</v>
      </c>
      <c r="J13" s="43" t="str">
        <f aca="false">IF($A13="","",$A13&amp;"-"&amp;$I13)</f>
        <v>5-2</v>
      </c>
      <c r="K13" s="38" t="str">
        <f aca="false">IF($A13="","",IF(COUNTIF(参数!$B$6:$B$8,$H13)=0,"× 付款方式","√"))</f>
        <v>√</v>
      </c>
    </row>
    <row r="14" customFormat="false" ht="13.5" hidden="false" customHeight="false" outlineLevel="0" collapsed="false">
      <c r="A14" s="41" t="n">
        <v>5</v>
      </c>
      <c r="B14" s="42" t="n">
        <v>46265</v>
      </c>
      <c r="C14" s="36" t="s">
        <v>106</v>
      </c>
      <c r="D14" s="36" t="s">
        <v>433</v>
      </c>
      <c r="E14" s="36" t="s">
        <v>258</v>
      </c>
      <c r="F14" s="36" t="s">
        <v>424</v>
      </c>
      <c r="G14" s="37" t="n">
        <v>10</v>
      </c>
      <c r="H14" s="36" t="s">
        <v>68</v>
      </c>
      <c r="I14" s="43" t="n">
        <f aca="false">IF($A14="","",COUNTIFS($A$2:$A14,$A14))</f>
        <v>3</v>
      </c>
      <c r="J14" s="43" t="str">
        <f aca="false">IF($A14="","",$A14&amp;"-"&amp;$I14)</f>
        <v>5-3</v>
      </c>
      <c r="K14" s="38" t="str">
        <f aca="false">IF($A14="","",IF(COUNTIF(参数!$B$6:$B$8,$H14)=0,"× 付款方式","√"))</f>
        <v>√</v>
      </c>
    </row>
    <row r="15" customFormat="false" ht="13.5" hidden="false" customHeight="false" outlineLevel="0" collapsed="false">
      <c r="A15" s="41" t="n">
        <v>6</v>
      </c>
      <c r="B15" s="42" t="n">
        <v>46265</v>
      </c>
      <c r="C15" s="36" t="s">
        <v>108</v>
      </c>
      <c r="D15" s="36" t="s">
        <v>421</v>
      </c>
      <c r="E15" s="36" t="s">
        <v>258</v>
      </c>
      <c r="F15" s="36" t="s">
        <v>421</v>
      </c>
      <c r="G15" s="37" t="n">
        <v>500.48</v>
      </c>
      <c r="H15" s="36" t="s">
        <v>68</v>
      </c>
      <c r="I15" s="43" t="n">
        <f aca="false">IF($A15="","",COUNTIFS($A$2:$A15,$A15))</f>
        <v>1</v>
      </c>
      <c r="J15" s="43" t="str">
        <f aca="false">IF($A15="","",$A15&amp;"-"&amp;$I15)</f>
        <v>6-1</v>
      </c>
      <c r="K15" s="38" t="str">
        <f aca="false">IF($A15="","",IF(COUNTIF(参数!$B$6:$B$8,$H15)=0,"× 付款方式","√"))</f>
        <v>√</v>
      </c>
    </row>
    <row r="16" customFormat="false" ht="13.5" hidden="false" customHeight="false" outlineLevel="0" collapsed="false">
      <c r="A16" s="41" t="n">
        <v>6</v>
      </c>
      <c r="B16" s="42" t="n">
        <v>46265</v>
      </c>
      <c r="C16" s="36" t="s">
        <v>108</v>
      </c>
      <c r="D16" s="36" t="s">
        <v>429</v>
      </c>
      <c r="E16" s="36" t="s">
        <v>427</v>
      </c>
      <c r="F16" s="36" t="s">
        <v>429</v>
      </c>
      <c r="G16" s="37" t="n">
        <v>1314.7</v>
      </c>
      <c r="H16" s="36" t="s">
        <v>68</v>
      </c>
      <c r="I16" s="43" t="n">
        <f aca="false">IF($A16="","",COUNTIFS($A$2:$A16,$A16))</f>
        <v>2</v>
      </c>
      <c r="J16" s="43" t="str">
        <f aca="false">IF($A16="","",$A16&amp;"-"&amp;$I16)</f>
        <v>6-2</v>
      </c>
      <c r="K16" s="38" t="str">
        <f aca="false">IF($A16="","",IF(COUNTIF(参数!$B$6:$B$8,$H16)=0,"× 付款方式","√"))</f>
        <v>√</v>
      </c>
    </row>
    <row r="17" customFormat="false" ht="13.5" hidden="false" customHeight="false" outlineLevel="0" collapsed="false">
      <c r="A17" s="41" t="n">
        <v>7</v>
      </c>
      <c r="B17" s="42" t="n">
        <v>46265</v>
      </c>
      <c r="C17" s="36" t="s">
        <v>110</v>
      </c>
      <c r="D17" s="36" t="s">
        <v>423</v>
      </c>
      <c r="E17" s="36" t="s">
        <v>258</v>
      </c>
      <c r="F17" s="36" t="s">
        <v>424</v>
      </c>
      <c r="G17" s="37" t="n">
        <v>61.4</v>
      </c>
      <c r="H17" s="36" t="s">
        <v>68</v>
      </c>
      <c r="I17" s="43" t="n">
        <f aca="false">IF($A17="","",COUNTIFS($A$2:$A17,$A17))</f>
        <v>1</v>
      </c>
      <c r="J17" s="43" t="str">
        <f aca="false">IF($A17="","",$A17&amp;"-"&amp;$I17)</f>
        <v>7-1</v>
      </c>
      <c r="K17" s="38" t="str">
        <f aca="false">IF($A17="","",IF(COUNTIF(参数!$B$6:$B$8,$H17)=0,"× 付款方式","√"))</f>
        <v>√</v>
      </c>
    </row>
    <row r="18" customFormat="false" ht="13.5" hidden="false" customHeight="false" outlineLevel="0" collapsed="false">
      <c r="A18" s="41" t="n">
        <v>7</v>
      </c>
      <c r="B18" s="42" t="n">
        <v>46265</v>
      </c>
      <c r="C18" s="36" t="s">
        <v>110</v>
      </c>
      <c r="D18" s="36" t="s">
        <v>425</v>
      </c>
      <c r="E18" s="36" t="s">
        <v>258</v>
      </c>
      <c r="F18" s="36" t="s">
        <v>425</v>
      </c>
      <c r="G18" s="37" t="n">
        <v>20</v>
      </c>
      <c r="H18" s="36" t="s">
        <v>68</v>
      </c>
      <c r="I18" s="43" t="n">
        <f aca="false">IF($A18="","",COUNTIFS($A$2:$A18,$A18))</f>
        <v>2</v>
      </c>
      <c r="J18" s="43" t="str">
        <f aca="false">IF($A18="","",$A18&amp;"-"&amp;$I18)</f>
        <v>7-2</v>
      </c>
      <c r="K18" s="38" t="str">
        <f aca="false">IF($A18="","",IF(COUNTIF(参数!$B$6:$B$8,$H18)=0,"× 付款方式","√"))</f>
        <v>√</v>
      </c>
    </row>
    <row r="19" customFormat="false" ht="13.5" hidden="false" customHeight="false" outlineLevel="0" collapsed="false">
      <c r="A19" s="41" t="n">
        <v>7</v>
      </c>
      <c r="B19" s="42" t="n">
        <v>46265</v>
      </c>
      <c r="C19" s="36" t="s">
        <v>110</v>
      </c>
      <c r="D19" s="36" t="s">
        <v>421</v>
      </c>
      <c r="E19" s="36" t="s">
        <v>258</v>
      </c>
      <c r="F19" s="36" t="s">
        <v>421</v>
      </c>
      <c r="G19" s="37" t="n">
        <v>800</v>
      </c>
      <c r="H19" s="36" t="s">
        <v>68</v>
      </c>
      <c r="I19" s="43" t="n">
        <f aca="false">IF($A19="","",COUNTIFS($A$2:$A19,$A19))</f>
        <v>3</v>
      </c>
      <c r="J19" s="43" t="str">
        <f aca="false">IF($A19="","",$A19&amp;"-"&amp;$I19)</f>
        <v>7-3</v>
      </c>
      <c r="K19" s="38" t="str">
        <f aca="false">IF($A19="","",IF(COUNTIF(参数!$B$6:$B$8,$H19)=0,"× 付款方式","√"))</f>
        <v>√</v>
      </c>
    </row>
    <row r="20" customFormat="false" ht="13.5" hidden="false" customHeight="false" outlineLevel="0" collapsed="false">
      <c r="A20" s="41" t="n">
        <v>8</v>
      </c>
      <c r="B20" s="42" t="n">
        <v>46265</v>
      </c>
      <c r="C20" s="36" t="s">
        <v>114</v>
      </c>
      <c r="D20" s="36" t="s">
        <v>425</v>
      </c>
      <c r="E20" s="36" t="s">
        <v>258</v>
      </c>
      <c r="F20" s="36" t="s">
        <v>425</v>
      </c>
      <c r="G20" s="37" t="n">
        <v>15</v>
      </c>
      <c r="H20" s="36" t="s">
        <v>68</v>
      </c>
      <c r="I20" s="43" t="n">
        <f aca="false">IF($A20="","",COUNTIFS($A$2:$A20,$A20))</f>
        <v>1</v>
      </c>
      <c r="J20" s="43" t="str">
        <f aca="false">IF($A20="","",$A20&amp;"-"&amp;$I20)</f>
        <v>8-1</v>
      </c>
      <c r="K20" s="38" t="str">
        <f aca="false">IF($A20="","",IF(COUNTIF(参数!$B$6:$B$8,$H20)=0,"× 付款方式","√"))</f>
        <v>√</v>
      </c>
    </row>
    <row r="21" customFormat="false" ht="13.5" hidden="false" customHeight="false" outlineLevel="0" collapsed="false">
      <c r="A21" s="41" t="n">
        <v>9</v>
      </c>
      <c r="B21" s="42" t="n">
        <v>46265</v>
      </c>
      <c r="C21" s="36" t="s">
        <v>116</v>
      </c>
      <c r="D21" s="36" t="s">
        <v>421</v>
      </c>
      <c r="E21" s="36" t="s">
        <v>258</v>
      </c>
      <c r="F21" s="36" t="s">
        <v>421</v>
      </c>
      <c r="G21" s="37" t="n">
        <v>600</v>
      </c>
      <c r="H21" s="36" t="s">
        <v>68</v>
      </c>
      <c r="I21" s="43" t="n">
        <f aca="false">IF($A21="","",COUNTIFS($A$2:$A21,$A21))</f>
        <v>1</v>
      </c>
      <c r="J21" s="43" t="str">
        <f aca="false">IF($A21="","",$A21&amp;"-"&amp;$I21)</f>
        <v>9-1</v>
      </c>
      <c r="K21" s="38" t="str">
        <f aca="false">IF($A21="","",IF(COUNTIF(参数!$B$6:$B$8,$H21)=0,"× 付款方式","√"))</f>
        <v>√</v>
      </c>
    </row>
    <row r="22" customFormat="false" ht="13.5" hidden="false" customHeight="false" outlineLevel="0" collapsed="false">
      <c r="A22" s="41" t="n">
        <v>9</v>
      </c>
      <c r="B22" s="42" t="n">
        <v>46265</v>
      </c>
      <c r="C22" s="36" t="s">
        <v>116</v>
      </c>
      <c r="D22" s="36" t="s">
        <v>434</v>
      </c>
      <c r="E22" s="36" t="s">
        <v>258</v>
      </c>
      <c r="F22" s="36" t="s">
        <v>424</v>
      </c>
      <c r="G22" s="37" t="n">
        <v>50</v>
      </c>
      <c r="H22" s="36" t="s">
        <v>68</v>
      </c>
      <c r="I22" s="43" t="n">
        <f aca="false">IF($A22="","",COUNTIFS($A$2:$A22,$A22))</f>
        <v>2</v>
      </c>
      <c r="J22" s="43" t="str">
        <f aca="false">IF($A22="","",$A22&amp;"-"&amp;$I22)</f>
        <v>9-2</v>
      </c>
      <c r="K22" s="38" t="str">
        <f aca="false">IF($A22="","",IF(COUNTIF(参数!$B$6:$B$8,$H22)=0,"× 付款方式","√"))</f>
        <v>√</v>
      </c>
    </row>
    <row r="23" customFormat="false" ht="13.5" hidden="false" customHeight="false" outlineLevel="0" collapsed="false">
      <c r="A23" s="41" t="n">
        <v>9</v>
      </c>
      <c r="B23" s="42" t="n">
        <v>46265</v>
      </c>
      <c r="C23" s="36" t="s">
        <v>116</v>
      </c>
      <c r="D23" s="36" t="s">
        <v>425</v>
      </c>
      <c r="E23" s="36" t="s">
        <v>258</v>
      </c>
      <c r="F23" s="36" t="s">
        <v>425</v>
      </c>
      <c r="G23" s="37" t="n">
        <v>40</v>
      </c>
      <c r="H23" s="36" t="s">
        <v>68</v>
      </c>
      <c r="I23" s="43" t="n">
        <f aca="false">IF($A23="","",COUNTIFS($A$2:$A23,$A23))</f>
        <v>3</v>
      </c>
      <c r="J23" s="43" t="str">
        <f aca="false">IF($A23="","",$A23&amp;"-"&amp;$I23)</f>
        <v>9-3</v>
      </c>
      <c r="K23" s="38" t="str">
        <f aca="false">IF($A23="","",IF(COUNTIF(参数!$B$6:$B$8,$H23)=0,"× 付款方式","√"))</f>
        <v>√</v>
      </c>
    </row>
    <row r="24" customFormat="false" ht="13.5" hidden="false" customHeight="false" outlineLevel="0" collapsed="false">
      <c r="A24" s="41" t="n">
        <v>10</v>
      </c>
      <c r="B24" s="42" t="n">
        <v>46265</v>
      </c>
      <c r="C24" s="36" t="s">
        <v>118</v>
      </c>
      <c r="D24" s="36" t="s">
        <v>421</v>
      </c>
      <c r="E24" s="36" t="s">
        <v>258</v>
      </c>
      <c r="F24" s="36" t="s">
        <v>421</v>
      </c>
      <c r="G24" s="37" t="n">
        <v>500</v>
      </c>
      <c r="H24" s="36" t="s">
        <v>68</v>
      </c>
      <c r="I24" s="43" t="n">
        <f aca="false">IF($A24="","",COUNTIFS($A$2:$A24,$A24))</f>
        <v>1</v>
      </c>
      <c r="J24" s="43" t="str">
        <f aca="false">IF($A24="","",$A24&amp;"-"&amp;$I24)</f>
        <v>10-1</v>
      </c>
      <c r="K24" s="38" t="str">
        <f aca="false">IF($A24="","",IF(COUNTIF(参数!$B$6:$B$8,$H24)=0,"× 付款方式","√"))</f>
        <v>√</v>
      </c>
    </row>
    <row r="25" customFormat="false" ht="13.5" hidden="false" customHeight="false" outlineLevel="0" collapsed="false">
      <c r="A25" s="41" t="n">
        <v>10</v>
      </c>
      <c r="B25" s="42" t="n">
        <v>46265</v>
      </c>
      <c r="C25" s="36" t="s">
        <v>118</v>
      </c>
      <c r="D25" s="36" t="s">
        <v>423</v>
      </c>
      <c r="E25" s="36" t="s">
        <v>258</v>
      </c>
      <c r="F25" s="36" t="s">
        <v>424</v>
      </c>
      <c r="G25" s="37" t="n">
        <v>89.7</v>
      </c>
      <c r="H25" s="36" t="s">
        <v>68</v>
      </c>
      <c r="I25" s="43" t="n">
        <f aca="false">IF($A25="","",COUNTIFS($A$2:$A25,$A25))</f>
        <v>2</v>
      </c>
      <c r="J25" s="43" t="str">
        <f aca="false">IF($A25="","",$A25&amp;"-"&amp;$I25)</f>
        <v>10-2</v>
      </c>
      <c r="K25" s="38" t="str">
        <f aca="false">IF($A25="","",IF(COUNTIF(参数!$B$6:$B$8,$H25)=0,"× 付款方式","√"))</f>
        <v>√</v>
      </c>
    </row>
    <row r="26" customFormat="false" ht="13.5" hidden="false" customHeight="false" outlineLevel="0" collapsed="false">
      <c r="A26" s="41" t="n">
        <v>10</v>
      </c>
      <c r="B26" s="42" t="n">
        <v>46265</v>
      </c>
      <c r="C26" s="36" t="s">
        <v>118</v>
      </c>
      <c r="D26" s="36" t="s">
        <v>430</v>
      </c>
      <c r="E26" s="36" t="s">
        <v>258</v>
      </c>
      <c r="F26" s="36" t="s">
        <v>430</v>
      </c>
      <c r="G26" s="37" t="n">
        <v>100</v>
      </c>
      <c r="H26" s="36" t="s">
        <v>68</v>
      </c>
      <c r="I26" s="43" t="n">
        <f aca="false">IF($A26="","",COUNTIFS($A$2:$A26,$A26))</f>
        <v>3</v>
      </c>
      <c r="J26" s="43" t="str">
        <f aca="false">IF($A26="","",$A26&amp;"-"&amp;$I26)</f>
        <v>10-3</v>
      </c>
      <c r="K26" s="38" t="str">
        <f aca="false">IF($A26="","",IF(COUNTIF(参数!$B$6:$B$8,$H26)=0,"× 付款方式","√"))</f>
        <v>√</v>
      </c>
    </row>
    <row r="27" customFormat="false" ht="13.5" hidden="false" customHeight="false" outlineLevel="0" collapsed="false">
      <c r="A27" s="41" t="n">
        <v>10</v>
      </c>
      <c r="B27" s="42" t="n">
        <v>46265</v>
      </c>
      <c r="C27" s="36" t="s">
        <v>118</v>
      </c>
      <c r="D27" s="36" t="s">
        <v>435</v>
      </c>
      <c r="E27" s="36" t="s">
        <v>258</v>
      </c>
      <c r="F27" s="36" t="s">
        <v>424</v>
      </c>
      <c r="G27" s="37" t="n">
        <v>60</v>
      </c>
      <c r="H27" s="36" t="s">
        <v>68</v>
      </c>
      <c r="I27" s="43" t="n">
        <f aca="false">IF($A27="","",COUNTIFS($A$2:$A27,$A27))</f>
        <v>4</v>
      </c>
      <c r="J27" s="43" t="str">
        <f aca="false">IF($A27="","",$A27&amp;"-"&amp;$I27)</f>
        <v>10-4</v>
      </c>
      <c r="K27" s="38" t="str">
        <f aca="false">IF($A27="","",IF(COUNTIF(参数!$B$6:$B$8,$H27)=0,"× 付款方式","√"))</f>
        <v>√</v>
      </c>
    </row>
    <row r="28" customFormat="false" ht="13.5" hidden="false" customHeight="false" outlineLevel="0" collapsed="false">
      <c r="A28" s="41" t="n">
        <v>11</v>
      </c>
      <c r="B28" s="42" t="n">
        <v>46265</v>
      </c>
      <c r="C28" s="36" t="s">
        <v>120</v>
      </c>
      <c r="D28" s="36" t="s">
        <v>421</v>
      </c>
      <c r="E28" s="36" t="s">
        <v>258</v>
      </c>
      <c r="F28" s="36" t="s">
        <v>421</v>
      </c>
      <c r="G28" s="37" t="n">
        <v>500</v>
      </c>
      <c r="H28" s="36" t="s">
        <v>68</v>
      </c>
      <c r="I28" s="43" t="n">
        <f aca="false">IF($A28="","",COUNTIFS($A$2:$A28,$A28))</f>
        <v>1</v>
      </c>
      <c r="J28" s="43" t="str">
        <f aca="false">IF($A28="","",$A28&amp;"-"&amp;$I28)</f>
        <v>11-1</v>
      </c>
      <c r="K28" s="38" t="str">
        <f aca="false">IF($A28="","",IF(COUNTIF(参数!$B$6:$B$8,$H28)=0,"× 付款方式","√"))</f>
        <v>√</v>
      </c>
    </row>
    <row r="29" customFormat="false" ht="13.5" hidden="false" customHeight="false" outlineLevel="0" collapsed="false">
      <c r="A29" s="41" t="n">
        <v>12</v>
      </c>
      <c r="B29" s="42" t="n">
        <v>46265</v>
      </c>
      <c r="C29" s="36" t="s">
        <v>126</v>
      </c>
      <c r="D29" s="36" t="s">
        <v>423</v>
      </c>
      <c r="E29" s="36" t="s">
        <v>258</v>
      </c>
      <c r="F29" s="36" t="s">
        <v>424</v>
      </c>
      <c r="G29" s="37" t="n">
        <v>29.9</v>
      </c>
      <c r="H29" s="36" t="s">
        <v>68</v>
      </c>
      <c r="I29" s="43" t="n">
        <f aca="false">IF($A29="","",COUNTIFS($A$2:$A29,$A29))</f>
        <v>1</v>
      </c>
      <c r="J29" s="43" t="str">
        <f aca="false">IF($A29="","",$A29&amp;"-"&amp;$I29)</f>
        <v>12-1</v>
      </c>
      <c r="K29" s="38" t="str">
        <f aca="false">IF($A29="","",IF(COUNTIF(参数!$B$6:$B$8,$H29)=0,"× 付款方式","√"))</f>
        <v>√</v>
      </c>
    </row>
    <row r="30" customFormat="false" ht="13.5" hidden="false" customHeight="false" outlineLevel="0" collapsed="false">
      <c r="A30" s="41" t="n">
        <v>13</v>
      </c>
      <c r="B30" s="42" t="n">
        <v>46265</v>
      </c>
      <c r="C30" s="36" t="s">
        <v>128</v>
      </c>
      <c r="D30" s="36" t="s">
        <v>421</v>
      </c>
      <c r="E30" s="36" t="s">
        <v>258</v>
      </c>
      <c r="F30" s="36" t="s">
        <v>421</v>
      </c>
      <c r="G30" s="37" t="n">
        <v>600</v>
      </c>
      <c r="H30" s="36" t="s">
        <v>68</v>
      </c>
      <c r="I30" s="43" t="n">
        <f aca="false">IF($A30="","",COUNTIFS($A$2:$A30,$A30))</f>
        <v>1</v>
      </c>
      <c r="J30" s="43" t="str">
        <f aca="false">IF($A30="","",$A30&amp;"-"&amp;$I30)</f>
        <v>13-1</v>
      </c>
      <c r="K30" s="38" t="str">
        <f aca="false">IF($A30="","",IF(COUNTIF(参数!$B$6:$B$8,$H30)=0,"× 付款方式","√"))</f>
        <v>√</v>
      </c>
    </row>
    <row r="31" customFormat="false" ht="13.5" hidden="false" customHeight="false" outlineLevel="0" collapsed="false">
      <c r="A31" s="41" t="n">
        <v>13</v>
      </c>
      <c r="B31" s="42" t="n">
        <v>46265</v>
      </c>
      <c r="C31" s="36" t="s">
        <v>128</v>
      </c>
      <c r="D31" s="36" t="s">
        <v>423</v>
      </c>
      <c r="E31" s="36" t="s">
        <v>258</v>
      </c>
      <c r="F31" s="36" t="s">
        <v>424</v>
      </c>
      <c r="G31" s="37" t="n">
        <v>31.4</v>
      </c>
      <c r="H31" s="36" t="s">
        <v>68</v>
      </c>
      <c r="I31" s="43" t="n">
        <f aca="false">IF($A31="","",COUNTIFS($A$2:$A31,$A31))</f>
        <v>2</v>
      </c>
      <c r="J31" s="43" t="str">
        <f aca="false">IF($A31="","",$A31&amp;"-"&amp;$I31)</f>
        <v>13-2</v>
      </c>
      <c r="K31" s="38" t="str">
        <f aca="false">IF($A31="","",IF(COUNTIF(参数!$B$6:$B$8,$H31)=0,"× 付款方式","√"))</f>
        <v>√</v>
      </c>
    </row>
    <row r="32" customFormat="false" ht="13.5" hidden="false" customHeight="false" outlineLevel="0" collapsed="false">
      <c r="A32" s="41" t="n">
        <v>14</v>
      </c>
      <c r="B32" s="42" t="n">
        <v>46265</v>
      </c>
      <c r="C32" s="36" t="s">
        <v>130</v>
      </c>
      <c r="D32" s="36" t="s">
        <v>421</v>
      </c>
      <c r="E32" s="36" t="s">
        <v>258</v>
      </c>
      <c r="F32" s="36" t="s">
        <v>421</v>
      </c>
      <c r="G32" s="37" t="n">
        <v>800</v>
      </c>
      <c r="H32" s="36" t="s">
        <v>68</v>
      </c>
      <c r="I32" s="43" t="n">
        <f aca="false">IF($A32="","",COUNTIFS($A$2:$A32,$A32))</f>
        <v>1</v>
      </c>
      <c r="J32" s="43" t="str">
        <f aca="false">IF($A32="","",$A32&amp;"-"&amp;$I32)</f>
        <v>14-1</v>
      </c>
      <c r="K32" s="38" t="str">
        <f aca="false">IF($A32="","",IF(COUNTIF(参数!$B$6:$B$8,$H32)=0,"× 付款方式","√"))</f>
        <v>√</v>
      </c>
    </row>
    <row r="33" customFormat="false" ht="13.5" hidden="false" customHeight="false" outlineLevel="0" collapsed="false">
      <c r="A33" s="41" t="n">
        <v>14</v>
      </c>
      <c r="B33" s="42" t="n">
        <v>46265</v>
      </c>
      <c r="C33" s="36" t="s">
        <v>130</v>
      </c>
      <c r="D33" s="36" t="s">
        <v>430</v>
      </c>
      <c r="E33" s="36" t="s">
        <v>258</v>
      </c>
      <c r="F33" s="36" t="s">
        <v>430</v>
      </c>
      <c r="G33" s="37" t="n">
        <v>100</v>
      </c>
      <c r="H33" s="36" t="s">
        <v>68</v>
      </c>
      <c r="I33" s="43" t="n">
        <f aca="false">IF($A33="","",COUNTIFS($A$2:$A33,$A33))</f>
        <v>2</v>
      </c>
      <c r="J33" s="43" t="str">
        <f aca="false">IF($A33="","",$A33&amp;"-"&amp;$I33)</f>
        <v>14-2</v>
      </c>
      <c r="K33" s="38" t="str">
        <f aca="false">IF($A33="","",IF(COUNTIF(参数!$B$6:$B$8,$H33)=0,"× 付款方式","√"))</f>
        <v>√</v>
      </c>
    </row>
    <row r="34" customFormat="false" ht="13.5" hidden="false" customHeight="false" outlineLevel="0" collapsed="false">
      <c r="A34" s="41" t="n">
        <v>14</v>
      </c>
      <c r="B34" s="42" t="n">
        <v>46265</v>
      </c>
      <c r="C34" s="36" t="s">
        <v>130</v>
      </c>
      <c r="D34" s="36" t="s">
        <v>425</v>
      </c>
      <c r="E34" s="36" t="s">
        <v>258</v>
      </c>
      <c r="F34" s="36" t="s">
        <v>425</v>
      </c>
      <c r="G34" s="37" t="n">
        <v>8</v>
      </c>
      <c r="H34" s="36" t="s">
        <v>68</v>
      </c>
      <c r="I34" s="43" t="n">
        <f aca="false">IF($A34="","",COUNTIFS($A$2:$A34,$A34))</f>
        <v>3</v>
      </c>
      <c r="J34" s="43" t="str">
        <f aca="false">IF($A34="","",$A34&amp;"-"&amp;$I34)</f>
        <v>14-3</v>
      </c>
      <c r="K34" s="38" t="str">
        <f aca="false">IF($A34="","",IF(COUNTIF(参数!$B$6:$B$8,$H34)=0,"× 付款方式","√"))</f>
        <v>√</v>
      </c>
    </row>
    <row r="35" customFormat="false" ht="13.5" hidden="false" customHeight="false" outlineLevel="0" collapsed="false">
      <c r="A35" s="41" t="n">
        <v>15</v>
      </c>
      <c r="B35" s="42" t="n">
        <v>46265</v>
      </c>
      <c r="C35" s="36" t="s">
        <v>132</v>
      </c>
      <c r="D35" s="36" t="s">
        <v>425</v>
      </c>
      <c r="E35" s="36" t="s">
        <v>258</v>
      </c>
      <c r="F35" s="36" t="s">
        <v>425</v>
      </c>
      <c r="G35" s="37" t="n">
        <v>31.7</v>
      </c>
      <c r="H35" s="36" t="s">
        <v>68</v>
      </c>
      <c r="I35" s="43" t="n">
        <f aca="false">IF($A35="","",COUNTIFS($A$2:$A35,$A35))</f>
        <v>1</v>
      </c>
      <c r="J35" s="43" t="str">
        <f aca="false">IF($A35="","",$A35&amp;"-"&amp;$I35)</f>
        <v>15-1</v>
      </c>
      <c r="K35" s="38" t="str">
        <f aca="false">IF($A35="","",IF(COUNTIF(参数!$B$6:$B$8,$H35)=0,"× 付款方式","√"))</f>
        <v>√</v>
      </c>
    </row>
    <row r="36" customFormat="false" ht="13.5" hidden="false" customHeight="false" outlineLevel="0" collapsed="false">
      <c r="A36" s="41" t="n">
        <v>15</v>
      </c>
      <c r="B36" s="42" t="n">
        <v>46265</v>
      </c>
      <c r="C36" s="36" t="s">
        <v>132</v>
      </c>
      <c r="D36" s="36" t="s">
        <v>421</v>
      </c>
      <c r="E36" s="36" t="s">
        <v>258</v>
      </c>
      <c r="F36" s="36" t="s">
        <v>421</v>
      </c>
      <c r="G36" s="37" t="n">
        <v>400</v>
      </c>
      <c r="H36" s="36" t="s">
        <v>68</v>
      </c>
      <c r="I36" s="43" t="n">
        <f aca="false">IF($A36="","",COUNTIFS($A$2:$A36,$A36))</f>
        <v>2</v>
      </c>
      <c r="J36" s="43" t="str">
        <f aca="false">IF($A36="","",$A36&amp;"-"&amp;$I36)</f>
        <v>15-2</v>
      </c>
      <c r="K36" s="38" t="str">
        <f aca="false">IF($A36="","",IF(COUNTIF(参数!$B$6:$B$8,$H36)=0,"× 付款方式","√"))</f>
        <v>√</v>
      </c>
    </row>
    <row r="37" customFormat="false" ht="13.5" hidden="false" customHeight="false" outlineLevel="0" collapsed="false">
      <c r="A37" s="41" t="n">
        <v>15</v>
      </c>
      <c r="B37" s="42" t="n">
        <v>46265</v>
      </c>
      <c r="C37" s="36" t="s">
        <v>132</v>
      </c>
      <c r="D37" s="36" t="s">
        <v>431</v>
      </c>
      <c r="E37" s="36" t="s">
        <v>258</v>
      </c>
      <c r="F37" s="36" t="s">
        <v>424</v>
      </c>
      <c r="G37" s="37" t="n">
        <v>48.7</v>
      </c>
      <c r="H37" s="36" t="s">
        <v>68</v>
      </c>
      <c r="I37" s="43" t="n">
        <f aca="false">IF($A37="","",COUNTIFS($A$2:$A37,$A37))</f>
        <v>3</v>
      </c>
      <c r="J37" s="43" t="str">
        <f aca="false">IF($A37="","",$A37&amp;"-"&amp;$I37)</f>
        <v>15-3</v>
      </c>
      <c r="K37" s="38" t="str">
        <f aca="false">IF($A37="","",IF(COUNTIF(参数!$B$6:$B$8,$H37)=0,"× 付款方式","√"))</f>
        <v>√</v>
      </c>
    </row>
    <row r="38" customFormat="false" ht="13.5" hidden="false" customHeight="false" outlineLevel="0" collapsed="false">
      <c r="A38" s="41" t="n">
        <v>15</v>
      </c>
      <c r="B38" s="42" t="n">
        <v>46265</v>
      </c>
      <c r="C38" s="36" t="s">
        <v>132</v>
      </c>
      <c r="D38" s="36" t="s">
        <v>436</v>
      </c>
      <c r="E38" s="36" t="s">
        <v>258</v>
      </c>
      <c r="F38" s="36" t="s">
        <v>424</v>
      </c>
      <c r="G38" s="37" t="n">
        <v>20</v>
      </c>
      <c r="H38" s="36" t="s">
        <v>68</v>
      </c>
      <c r="I38" s="43" t="n">
        <f aca="false">IF($A38="","",COUNTIFS($A$2:$A38,$A38))</f>
        <v>4</v>
      </c>
      <c r="J38" s="43" t="str">
        <f aca="false">IF($A38="","",$A38&amp;"-"&amp;$I38)</f>
        <v>15-4</v>
      </c>
      <c r="K38" s="38" t="str">
        <f aca="false">IF($A38="","",IF(COUNTIF(参数!$B$6:$B$8,$H38)=0,"× 付款方式","√"))</f>
        <v>√</v>
      </c>
    </row>
    <row r="39" customFormat="false" ht="13.5" hidden="false" customHeight="false" outlineLevel="0" collapsed="false">
      <c r="A39" s="41" t="n">
        <v>16</v>
      </c>
      <c r="B39" s="42" t="n">
        <v>46265</v>
      </c>
      <c r="C39" s="36" t="s">
        <v>134</v>
      </c>
      <c r="D39" s="36" t="s">
        <v>421</v>
      </c>
      <c r="E39" s="36" t="s">
        <v>258</v>
      </c>
      <c r="F39" s="36" t="s">
        <v>421</v>
      </c>
      <c r="G39" s="37" t="n">
        <v>500</v>
      </c>
      <c r="H39" s="36" t="s">
        <v>68</v>
      </c>
      <c r="I39" s="43" t="n">
        <f aca="false">IF($A39="","",COUNTIFS($A$2:$A39,$A39))</f>
        <v>1</v>
      </c>
      <c r="J39" s="43" t="str">
        <f aca="false">IF($A39="","",$A39&amp;"-"&amp;$I39)</f>
        <v>16-1</v>
      </c>
      <c r="K39" s="38" t="str">
        <f aca="false">IF($A39="","",IF(COUNTIF(参数!$B$6:$B$8,$H39)=0,"× 付款方式","√"))</f>
        <v>√</v>
      </c>
    </row>
    <row r="40" customFormat="false" ht="13.5" hidden="false" customHeight="false" outlineLevel="0" collapsed="false">
      <c r="A40" s="41" t="n">
        <v>17</v>
      </c>
      <c r="B40" s="42" t="n">
        <v>46265</v>
      </c>
      <c r="C40" s="36" t="s">
        <v>136</v>
      </c>
      <c r="D40" s="36" t="s">
        <v>421</v>
      </c>
      <c r="E40" s="36" t="s">
        <v>258</v>
      </c>
      <c r="F40" s="36" t="s">
        <v>421</v>
      </c>
      <c r="G40" s="37" t="n">
        <v>512</v>
      </c>
      <c r="H40" s="36" t="s">
        <v>68</v>
      </c>
      <c r="I40" s="43" t="n">
        <f aca="false">IF($A40="","",COUNTIFS($A$2:$A40,$A40))</f>
        <v>1</v>
      </c>
      <c r="J40" s="43" t="str">
        <f aca="false">IF($A40="","",$A40&amp;"-"&amp;$I40)</f>
        <v>17-1</v>
      </c>
      <c r="K40" s="38" t="str">
        <f aca="false">IF($A40="","",IF(COUNTIF(参数!$B$6:$B$8,$H40)=0,"× 付款方式","√"))</f>
        <v>√</v>
      </c>
    </row>
    <row r="41" customFormat="false" ht="13.5" hidden="false" customHeight="false" outlineLevel="0" collapsed="false">
      <c r="A41" s="41" t="n">
        <v>17</v>
      </c>
      <c r="B41" s="42" t="n">
        <v>46265</v>
      </c>
      <c r="C41" s="36" t="s">
        <v>136</v>
      </c>
      <c r="D41" s="36" t="s">
        <v>425</v>
      </c>
      <c r="E41" s="36" t="s">
        <v>258</v>
      </c>
      <c r="F41" s="36" t="s">
        <v>425</v>
      </c>
      <c r="G41" s="37" t="n">
        <v>16</v>
      </c>
      <c r="H41" s="36" t="s">
        <v>68</v>
      </c>
      <c r="I41" s="43" t="n">
        <f aca="false">IF($A41="","",COUNTIFS($A$2:$A41,$A41))</f>
        <v>2</v>
      </c>
      <c r="J41" s="43" t="str">
        <f aca="false">IF($A41="","",$A41&amp;"-"&amp;$I41)</f>
        <v>17-2</v>
      </c>
      <c r="K41" s="38" t="str">
        <f aca="false">IF($A41="","",IF(COUNTIF(参数!$B$6:$B$8,$H41)=0,"× 付款方式","√"))</f>
        <v>√</v>
      </c>
    </row>
    <row r="42" customFormat="false" ht="13.5" hidden="false" customHeight="false" outlineLevel="0" collapsed="false">
      <c r="A42" s="41" t="n">
        <v>18</v>
      </c>
      <c r="B42" s="42" t="n">
        <v>46265</v>
      </c>
      <c r="C42" s="36" t="s">
        <v>138</v>
      </c>
      <c r="D42" s="36" t="s">
        <v>425</v>
      </c>
      <c r="E42" s="36" t="s">
        <v>258</v>
      </c>
      <c r="F42" s="36" t="s">
        <v>425</v>
      </c>
      <c r="G42" s="37" t="n">
        <v>6</v>
      </c>
      <c r="H42" s="36" t="s">
        <v>68</v>
      </c>
      <c r="I42" s="43" t="n">
        <f aca="false">IF($A42="","",COUNTIFS($A$2:$A42,$A42))</f>
        <v>1</v>
      </c>
      <c r="J42" s="43" t="str">
        <f aca="false">IF($A42="","",$A42&amp;"-"&amp;$I42)</f>
        <v>18-1</v>
      </c>
      <c r="K42" s="38" t="str">
        <f aca="false">IF($A42="","",IF(COUNTIF(参数!$B$6:$B$8,$H42)=0,"× 付款方式","√"))</f>
        <v>√</v>
      </c>
    </row>
    <row r="43" customFormat="false" ht="13.5" hidden="false" customHeight="false" outlineLevel="0" collapsed="false">
      <c r="A43" s="41" t="n">
        <v>18</v>
      </c>
      <c r="B43" s="42" t="n">
        <v>46265</v>
      </c>
      <c r="C43" s="36" t="s">
        <v>138</v>
      </c>
      <c r="D43" s="36" t="s">
        <v>421</v>
      </c>
      <c r="E43" s="36" t="s">
        <v>258</v>
      </c>
      <c r="F43" s="36" t="s">
        <v>421</v>
      </c>
      <c r="G43" s="37" t="n">
        <v>300</v>
      </c>
      <c r="H43" s="36" t="s">
        <v>68</v>
      </c>
      <c r="I43" s="43" t="n">
        <f aca="false">IF($A43="","",COUNTIFS($A$2:$A43,$A43))</f>
        <v>2</v>
      </c>
      <c r="J43" s="43" t="str">
        <f aca="false">IF($A43="","",$A43&amp;"-"&amp;$I43)</f>
        <v>18-2</v>
      </c>
      <c r="K43" s="38" t="str">
        <f aca="false">IF($A43="","",IF(COUNTIF(参数!$B$6:$B$8,$H43)=0,"× 付款方式","√"))</f>
        <v>√</v>
      </c>
    </row>
    <row r="44" customFormat="false" ht="13.5" hidden="false" customHeight="false" outlineLevel="0" collapsed="false">
      <c r="A44" s="41" t="n">
        <v>18</v>
      </c>
      <c r="B44" s="42" t="n">
        <v>46265</v>
      </c>
      <c r="C44" s="36" t="s">
        <v>138</v>
      </c>
      <c r="D44" s="36" t="s">
        <v>437</v>
      </c>
      <c r="E44" s="36" t="s">
        <v>258</v>
      </c>
      <c r="F44" s="36" t="s">
        <v>424</v>
      </c>
      <c r="G44" s="37" t="n">
        <v>90.59</v>
      </c>
      <c r="H44" s="36" t="s">
        <v>68</v>
      </c>
      <c r="I44" s="43" t="n">
        <f aca="false">IF($A44="","",COUNTIFS($A$2:$A44,$A44))</f>
        <v>3</v>
      </c>
      <c r="J44" s="43" t="str">
        <f aca="false">IF($A44="","",$A44&amp;"-"&amp;$I44)</f>
        <v>18-3</v>
      </c>
      <c r="K44" s="38" t="str">
        <f aca="false">IF($A44="","",IF(COUNTIF(参数!$B$6:$B$8,$H44)=0,"× 付款方式","√"))</f>
        <v>√</v>
      </c>
    </row>
    <row r="45" customFormat="false" ht="13.5" hidden="false" customHeight="false" outlineLevel="0" collapsed="false">
      <c r="A45" s="41" t="n">
        <v>19</v>
      </c>
      <c r="B45" s="42" t="n">
        <v>46265</v>
      </c>
      <c r="C45" s="36" t="s">
        <v>140</v>
      </c>
      <c r="D45" s="36" t="s">
        <v>431</v>
      </c>
      <c r="E45" s="36" t="s">
        <v>258</v>
      </c>
      <c r="F45" s="36" t="s">
        <v>424</v>
      </c>
      <c r="G45" s="37" t="n">
        <v>72.4</v>
      </c>
      <c r="H45" s="36" t="s">
        <v>68</v>
      </c>
      <c r="I45" s="43" t="n">
        <f aca="false">IF($A45="","",COUNTIFS($A$2:$A45,$A45))</f>
        <v>1</v>
      </c>
      <c r="J45" s="43" t="str">
        <f aca="false">IF($A45="","",$A45&amp;"-"&amp;$I45)</f>
        <v>19-1</v>
      </c>
      <c r="K45" s="38" t="str">
        <f aca="false">IF($A45="","",IF(COUNTIF(参数!$B$6:$B$8,$H45)=0,"× 付款方式","√"))</f>
        <v>√</v>
      </c>
    </row>
    <row r="46" customFormat="false" ht="13.5" hidden="false" customHeight="false" outlineLevel="0" collapsed="false">
      <c r="A46" s="41" t="n">
        <v>19</v>
      </c>
      <c r="B46" s="42" t="n">
        <v>46265</v>
      </c>
      <c r="C46" s="36" t="s">
        <v>140</v>
      </c>
      <c r="D46" s="36" t="s">
        <v>421</v>
      </c>
      <c r="E46" s="36" t="s">
        <v>258</v>
      </c>
      <c r="F46" s="36" t="s">
        <v>421</v>
      </c>
      <c r="G46" s="37" t="n">
        <v>800</v>
      </c>
      <c r="H46" s="36" t="s">
        <v>68</v>
      </c>
      <c r="I46" s="43" t="n">
        <f aca="false">IF($A46="","",COUNTIFS($A$2:$A46,$A46))</f>
        <v>2</v>
      </c>
      <c r="J46" s="43" t="str">
        <f aca="false">IF($A46="","",$A46&amp;"-"&amp;$I46)</f>
        <v>19-2</v>
      </c>
      <c r="K46" s="38" t="str">
        <f aca="false">IF($A46="","",IF(COUNTIF(参数!$B$6:$B$8,$H46)=0,"× 付款方式","√"))</f>
        <v>√</v>
      </c>
    </row>
    <row r="47" customFormat="false" ht="13.5" hidden="false" customHeight="false" outlineLevel="0" collapsed="false">
      <c r="A47" s="41" t="n">
        <v>20</v>
      </c>
      <c r="B47" s="42" t="n">
        <v>46265</v>
      </c>
      <c r="C47" s="36" t="s">
        <v>144</v>
      </c>
      <c r="D47" s="36" t="s">
        <v>425</v>
      </c>
      <c r="E47" s="36" t="s">
        <v>258</v>
      </c>
      <c r="F47" s="36" t="s">
        <v>425</v>
      </c>
      <c r="G47" s="37" t="n">
        <v>27.54</v>
      </c>
      <c r="H47" s="36" t="s">
        <v>68</v>
      </c>
      <c r="I47" s="43" t="n">
        <f aca="false">IF($A47="","",COUNTIFS($A$2:$A47,$A47))</f>
        <v>1</v>
      </c>
      <c r="J47" s="43" t="str">
        <f aca="false">IF($A47="","",$A47&amp;"-"&amp;$I47)</f>
        <v>20-1</v>
      </c>
      <c r="K47" s="38" t="str">
        <f aca="false">IF($A47="","",IF(COUNTIF(参数!$B$6:$B$8,$H47)=0,"× 付款方式","√"))</f>
        <v>√</v>
      </c>
    </row>
    <row r="48" customFormat="false" ht="13.5" hidden="false" customHeight="false" outlineLevel="0" collapsed="false">
      <c r="A48" s="41" t="n">
        <v>20</v>
      </c>
      <c r="B48" s="42" t="n">
        <v>46265</v>
      </c>
      <c r="C48" s="36" t="s">
        <v>144</v>
      </c>
      <c r="D48" s="36" t="s">
        <v>438</v>
      </c>
      <c r="E48" s="36" t="s">
        <v>258</v>
      </c>
      <c r="F48" s="36" t="s">
        <v>424</v>
      </c>
      <c r="G48" s="37" t="n">
        <v>27</v>
      </c>
      <c r="H48" s="36" t="s">
        <v>68</v>
      </c>
      <c r="I48" s="43" t="n">
        <f aca="false">IF($A48="","",COUNTIFS($A$2:$A48,$A48))</f>
        <v>2</v>
      </c>
      <c r="J48" s="43" t="str">
        <f aca="false">IF($A48="","",$A48&amp;"-"&amp;$I48)</f>
        <v>20-2</v>
      </c>
      <c r="K48" s="38" t="str">
        <f aca="false">IF($A48="","",IF(COUNTIF(参数!$B$6:$B$8,$H48)=0,"× 付款方式","√"))</f>
        <v>√</v>
      </c>
    </row>
    <row r="49" customFormat="false" ht="13.5" hidden="false" customHeight="false" outlineLevel="0" collapsed="false">
      <c r="A49" s="41" t="n">
        <v>20</v>
      </c>
      <c r="B49" s="42" t="n">
        <v>46265</v>
      </c>
      <c r="C49" s="36" t="s">
        <v>144</v>
      </c>
      <c r="D49" s="36" t="s">
        <v>421</v>
      </c>
      <c r="E49" s="36" t="s">
        <v>258</v>
      </c>
      <c r="F49" s="36" t="s">
        <v>421</v>
      </c>
      <c r="G49" s="37" t="n">
        <v>1000</v>
      </c>
      <c r="H49" s="36" t="s">
        <v>68</v>
      </c>
      <c r="I49" s="43" t="n">
        <f aca="false">IF($A49="","",COUNTIFS($A$2:$A49,$A49))</f>
        <v>3</v>
      </c>
      <c r="J49" s="43" t="str">
        <f aca="false">IF($A49="","",$A49&amp;"-"&amp;$I49)</f>
        <v>20-3</v>
      </c>
      <c r="K49" s="38" t="str">
        <f aca="false">IF($A49="","",IF(COUNTIF(参数!$B$6:$B$8,$H49)=0,"× 付款方式","√"))</f>
        <v>√</v>
      </c>
    </row>
    <row r="50" customFormat="false" ht="13.5" hidden="false" customHeight="false" outlineLevel="0" collapsed="false">
      <c r="A50" s="41" t="n">
        <v>21</v>
      </c>
      <c r="B50" s="42" t="n">
        <v>46265</v>
      </c>
      <c r="C50" s="36" t="s">
        <v>146</v>
      </c>
      <c r="D50" s="36" t="s">
        <v>425</v>
      </c>
      <c r="E50" s="36" t="s">
        <v>258</v>
      </c>
      <c r="F50" s="36" t="s">
        <v>425</v>
      </c>
      <c r="G50" s="37" t="n">
        <v>20</v>
      </c>
      <c r="H50" s="36" t="s">
        <v>68</v>
      </c>
      <c r="I50" s="43" t="n">
        <f aca="false">IF($A50="","",COUNTIFS($A$2:$A50,$A50))</f>
        <v>1</v>
      </c>
      <c r="J50" s="43" t="str">
        <f aca="false">IF($A50="","",$A50&amp;"-"&amp;$I50)</f>
        <v>21-1</v>
      </c>
      <c r="K50" s="38" t="str">
        <f aca="false">IF($A50="","",IF(COUNTIF(参数!$B$6:$B$8,$H50)=0,"× 付款方式","√"))</f>
        <v>√</v>
      </c>
    </row>
    <row r="51" customFormat="false" ht="13.5" hidden="false" customHeight="false" outlineLevel="0" collapsed="false">
      <c r="A51" s="41" t="n">
        <v>21</v>
      </c>
      <c r="B51" s="42" t="n">
        <v>46265</v>
      </c>
      <c r="C51" s="36" t="s">
        <v>146</v>
      </c>
      <c r="D51" s="36" t="s">
        <v>423</v>
      </c>
      <c r="E51" s="36" t="s">
        <v>258</v>
      </c>
      <c r="F51" s="36" t="s">
        <v>424</v>
      </c>
      <c r="G51" s="37" t="n">
        <v>59.8</v>
      </c>
      <c r="H51" s="36" t="s">
        <v>68</v>
      </c>
      <c r="I51" s="43" t="n">
        <f aca="false">IF($A51="","",COUNTIFS($A$2:$A51,$A51))</f>
        <v>2</v>
      </c>
      <c r="J51" s="43" t="str">
        <f aca="false">IF($A51="","",$A51&amp;"-"&amp;$I51)</f>
        <v>21-2</v>
      </c>
      <c r="K51" s="38" t="str">
        <f aca="false">IF($A51="","",IF(COUNTIF(参数!$B$6:$B$8,$H51)=0,"× 付款方式","√"))</f>
        <v>√</v>
      </c>
    </row>
    <row r="52" customFormat="false" ht="13.5" hidden="false" customHeight="false" outlineLevel="0" collapsed="false">
      <c r="A52" s="41" t="n">
        <v>22</v>
      </c>
      <c r="B52" s="42" t="n">
        <v>46265</v>
      </c>
      <c r="C52" s="36" t="s">
        <v>148</v>
      </c>
      <c r="D52" s="36" t="s">
        <v>421</v>
      </c>
      <c r="E52" s="36" t="s">
        <v>258</v>
      </c>
      <c r="F52" s="36" t="s">
        <v>421</v>
      </c>
      <c r="G52" s="37" t="n">
        <v>499.82</v>
      </c>
      <c r="H52" s="36" t="s">
        <v>68</v>
      </c>
      <c r="I52" s="43" t="n">
        <f aca="false">IF($A52="","",COUNTIFS($A$2:$A52,$A52))</f>
        <v>1</v>
      </c>
      <c r="J52" s="43" t="str">
        <f aca="false">IF($A52="","",$A52&amp;"-"&amp;$I52)</f>
        <v>22-1</v>
      </c>
      <c r="K52" s="38" t="str">
        <f aca="false">IF($A52="","",IF(COUNTIF(参数!$B$6:$B$8,$H52)=0,"× 付款方式","√"))</f>
        <v>√</v>
      </c>
    </row>
    <row r="53" customFormat="false" ht="13.5" hidden="false" customHeight="false" outlineLevel="0" collapsed="false">
      <c r="A53" s="41" t="n">
        <v>23</v>
      </c>
      <c r="B53" s="42" t="n">
        <v>46265</v>
      </c>
      <c r="C53" s="36" t="s">
        <v>150</v>
      </c>
      <c r="D53" s="36" t="s">
        <v>421</v>
      </c>
      <c r="E53" s="36" t="s">
        <v>258</v>
      </c>
      <c r="F53" s="36" t="s">
        <v>421</v>
      </c>
      <c r="G53" s="37" t="n">
        <v>500</v>
      </c>
      <c r="H53" s="36" t="s">
        <v>68</v>
      </c>
      <c r="I53" s="43" t="n">
        <f aca="false">IF($A53="","",COUNTIFS($A$2:$A53,$A53))</f>
        <v>1</v>
      </c>
      <c r="J53" s="43" t="str">
        <f aca="false">IF($A53="","",$A53&amp;"-"&amp;$I53)</f>
        <v>23-1</v>
      </c>
      <c r="K53" s="38" t="str">
        <f aca="false">IF($A53="","",IF(COUNTIF(参数!$B$6:$B$8,$H53)=0,"× 付款方式","√"))</f>
        <v>√</v>
      </c>
    </row>
    <row r="54" customFormat="false" ht="13.5" hidden="false" customHeight="false" outlineLevel="0" collapsed="false">
      <c r="A54" s="41" t="n">
        <v>23</v>
      </c>
      <c r="B54" s="42" t="n">
        <v>46265</v>
      </c>
      <c r="C54" s="36" t="s">
        <v>150</v>
      </c>
      <c r="D54" s="36" t="s">
        <v>425</v>
      </c>
      <c r="E54" s="36" t="s">
        <v>258</v>
      </c>
      <c r="F54" s="36" t="s">
        <v>425</v>
      </c>
      <c r="G54" s="37" t="n">
        <v>12</v>
      </c>
      <c r="H54" s="36" t="s">
        <v>68</v>
      </c>
      <c r="I54" s="43" t="n">
        <f aca="false">IF($A54="","",COUNTIFS($A$2:$A54,$A54))</f>
        <v>2</v>
      </c>
      <c r="J54" s="43" t="str">
        <f aca="false">IF($A54="","",$A54&amp;"-"&amp;$I54)</f>
        <v>23-2</v>
      </c>
      <c r="K54" s="38" t="str">
        <f aca="false">IF($A54="","",IF(COUNTIF(参数!$B$6:$B$8,$H54)=0,"× 付款方式","√"))</f>
        <v>√</v>
      </c>
    </row>
    <row r="55" customFormat="false" ht="13.5" hidden="false" customHeight="false" outlineLevel="0" collapsed="false">
      <c r="A55" s="41" t="n">
        <v>24</v>
      </c>
      <c r="B55" s="42" t="n">
        <v>46265</v>
      </c>
      <c r="C55" s="36" t="s">
        <v>152</v>
      </c>
      <c r="D55" s="36" t="s">
        <v>421</v>
      </c>
      <c r="E55" s="36" t="s">
        <v>258</v>
      </c>
      <c r="F55" s="36" t="s">
        <v>421</v>
      </c>
      <c r="G55" s="37" t="n">
        <v>300</v>
      </c>
      <c r="H55" s="36" t="s">
        <v>68</v>
      </c>
      <c r="I55" s="43" t="n">
        <f aca="false">IF($A55="","",COUNTIFS($A$2:$A55,$A55))</f>
        <v>1</v>
      </c>
      <c r="J55" s="43" t="str">
        <f aca="false">IF($A55="","",$A55&amp;"-"&amp;$I55)</f>
        <v>24-1</v>
      </c>
      <c r="K55" s="38" t="str">
        <f aca="false">IF($A55="","",IF(COUNTIF(参数!$B$6:$B$8,$H55)=0,"× 付款方式","√"))</f>
        <v>√</v>
      </c>
    </row>
    <row r="56" customFormat="false" ht="13.5" hidden="false" customHeight="false" outlineLevel="0" collapsed="false">
      <c r="A56" s="41" t="n">
        <v>24</v>
      </c>
      <c r="B56" s="42" t="n">
        <v>46265</v>
      </c>
      <c r="C56" s="36" t="s">
        <v>152</v>
      </c>
      <c r="D56" s="36" t="s">
        <v>430</v>
      </c>
      <c r="E56" s="36" t="s">
        <v>258</v>
      </c>
      <c r="F56" s="36" t="s">
        <v>430</v>
      </c>
      <c r="G56" s="37" t="n">
        <v>100</v>
      </c>
      <c r="H56" s="36" t="s">
        <v>68</v>
      </c>
      <c r="I56" s="43" t="n">
        <f aca="false">IF($A56="","",COUNTIFS($A$2:$A56,$A56))</f>
        <v>2</v>
      </c>
      <c r="J56" s="43" t="str">
        <f aca="false">IF($A56="","",$A56&amp;"-"&amp;$I56)</f>
        <v>24-2</v>
      </c>
      <c r="K56" s="38" t="str">
        <f aca="false">IF($A56="","",IF(COUNTIF(参数!$B$6:$B$8,$H56)=0,"× 付款方式","√"))</f>
        <v>√</v>
      </c>
    </row>
    <row r="57" customFormat="false" ht="13.5" hidden="false" customHeight="false" outlineLevel="0" collapsed="false">
      <c r="A57" s="41" t="n">
        <v>24</v>
      </c>
      <c r="B57" s="42" t="n">
        <v>46265</v>
      </c>
      <c r="C57" s="36" t="s">
        <v>152</v>
      </c>
      <c r="D57" s="36" t="s">
        <v>425</v>
      </c>
      <c r="E57" s="36" t="s">
        <v>258</v>
      </c>
      <c r="F57" s="36" t="s">
        <v>425</v>
      </c>
      <c r="G57" s="37" t="n">
        <v>4</v>
      </c>
      <c r="H57" s="36" t="s">
        <v>68</v>
      </c>
      <c r="I57" s="43" t="n">
        <f aca="false">IF($A57="","",COUNTIFS($A$2:$A57,$A57))</f>
        <v>3</v>
      </c>
      <c r="J57" s="43" t="str">
        <f aca="false">IF($A57="","",$A57&amp;"-"&amp;$I57)</f>
        <v>24-3</v>
      </c>
      <c r="K57" s="38" t="str">
        <f aca="false">IF($A57="","",IF(COUNTIF(参数!$B$6:$B$8,$H57)=0,"× 付款方式","√"))</f>
        <v>√</v>
      </c>
    </row>
    <row r="58" customFormat="false" ht="13.5" hidden="false" customHeight="false" outlineLevel="0" collapsed="false">
      <c r="A58" s="41" t="n">
        <v>24</v>
      </c>
      <c r="B58" s="42" t="n">
        <v>46265</v>
      </c>
      <c r="C58" s="36" t="s">
        <v>152</v>
      </c>
      <c r="D58" s="36" t="s">
        <v>439</v>
      </c>
      <c r="E58" s="36" t="s">
        <v>258</v>
      </c>
      <c r="F58" s="36" t="s">
        <v>424</v>
      </c>
      <c r="G58" s="37" t="n">
        <v>73.47</v>
      </c>
      <c r="H58" s="36" t="s">
        <v>68</v>
      </c>
      <c r="I58" s="43" t="n">
        <f aca="false">IF($A58="","",COUNTIFS($A$2:$A58,$A58))</f>
        <v>4</v>
      </c>
      <c r="J58" s="43" t="str">
        <f aca="false">IF($A58="","",$A58&amp;"-"&amp;$I58)</f>
        <v>24-4</v>
      </c>
      <c r="K58" s="38" t="str">
        <f aca="false">IF($A58="","",IF(COUNTIF(参数!$B$6:$B$8,$H58)=0,"× 付款方式","√"))</f>
        <v>√</v>
      </c>
    </row>
    <row r="59" customFormat="false" ht="13.5" hidden="false" customHeight="false" outlineLevel="0" collapsed="false">
      <c r="A59" s="41" t="n">
        <v>24</v>
      </c>
      <c r="B59" s="42" t="n">
        <v>46265</v>
      </c>
      <c r="C59" s="36" t="s">
        <v>152</v>
      </c>
      <c r="D59" s="36" t="s">
        <v>440</v>
      </c>
      <c r="E59" s="36" t="s">
        <v>258</v>
      </c>
      <c r="F59" s="36" t="s">
        <v>257</v>
      </c>
      <c r="G59" s="37" t="n">
        <v>96</v>
      </c>
      <c r="H59" s="36" t="s">
        <v>68</v>
      </c>
      <c r="I59" s="43" t="n">
        <f aca="false">IF($A59="","",COUNTIFS($A$2:$A59,$A59))</f>
        <v>5</v>
      </c>
      <c r="J59" s="43" t="str">
        <f aca="false">IF($A59="","",$A59&amp;"-"&amp;$I59)</f>
        <v>24-5</v>
      </c>
      <c r="K59" s="38" t="str">
        <f aca="false">IF($A59="","",IF(COUNTIF(参数!$B$6:$B$8,$H59)=0,"× 付款方式","√"))</f>
        <v>√</v>
      </c>
    </row>
    <row r="60" customFormat="false" ht="13.5" hidden="false" customHeight="false" outlineLevel="0" collapsed="false">
      <c r="A60" s="41" t="n">
        <v>24</v>
      </c>
      <c r="B60" s="42" t="n">
        <v>46265</v>
      </c>
      <c r="C60" s="36" t="s">
        <v>152</v>
      </c>
      <c r="D60" s="36" t="s">
        <v>441</v>
      </c>
      <c r="E60" s="36" t="s">
        <v>258</v>
      </c>
      <c r="F60" s="36" t="s">
        <v>424</v>
      </c>
      <c r="G60" s="37" t="n">
        <v>38.3</v>
      </c>
      <c r="H60" s="36" t="s">
        <v>68</v>
      </c>
      <c r="I60" s="43" t="n">
        <f aca="false">IF($A60="","",COUNTIFS($A$2:$A60,$A60))</f>
        <v>6</v>
      </c>
      <c r="J60" s="43" t="str">
        <f aca="false">IF($A60="","",$A60&amp;"-"&amp;$I60)</f>
        <v>24-6</v>
      </c>
      <c r="K60" s="38" t="str">
        <f aca="false">IF($A60="","",IF(COUNTIF(参数!$B$6:$B$8,$H60)=0,"× 付款方式","√"))</f>
        <v>√</v>
      </c>
    </row>
    <row r="61" customFormat="false" ht="13.5" hidden="false" customHeight="false" outlineLevel="0" collapsed="false">
      <c r="A61" s="41" t="n">
        <v>24</v>
      </c>
      <c r="B61" s="42" t="n">
        <v>46265</v>
      </c>
      <c r="C61" s="36" t="s">
        <v>152</v>
      </c>
      <c r="D61" s="36" t="s">
        <v>442</v>
      </c>
      <c r="E61" s="36" t="s">
        <v>258</v>
      </c>
      <c r="F61" s="36" t="s">
        <v>432</v>
      </c>
      <c r="G61" s="37" t="n">
        <v>74</v>
      </c>
      <c r="H61" s="36" t="s">
        <v>68</v>
      </c>
      <c r="I61" s="43" t="n">
        <f aca="false">IF($A61="","",COUNTIFS($A$2:$A61,$A61))</f>
        <v>7</v>
      </c>
      <c r="J61" s="43" t="str">
        <f aca="false">IF($A61="","",$A61&amp;"-"&amp;$I61)</f>
        <v>24-7</v>
      </c>
      <c r="K61" s="38" t="str">
        <f aca="false">IF($A61="","",IF(COUNTIF(参数!$B$6:$B$8,$H61)=0,"× 付款方式","√"))</f>
        <v>√</v>
      </c>
    </row>
    <row r="62" customFormat="false" ht="13.5" hidden="false" customHeight="false" outlineLevel="0" collapsed="false">
      <c r="A62" s="41" t="n">
        <v>25</v>
      </c>
      <c r="B62" s="42" t="n">
        <v>46265</v>
      </c>
      <c r="C62" s="36" t="s">
        <v>154</v>
      </c>
      <c r="D62" s="36" t="s">
        <v>425</v>
      </c>
      <c r="E62" s="36" t="s">
        <v>258</v>
      </c>
      <c r="F62" s="36" t="s">
        <v>425</v>
      </c>
      <c r="G62" s="37" t="n">
        <v>12</v>
      </c>
      <c r="H62" s="36" t="s">
        <v>68</v>
      </c>
      <c r="I62" s="43" t="n">
        <f aca="false">IF($A62="","",COUNTIFS($A$2:$A62,$A62))</f>
        <v>1</v>
      </c>
      <c r="J62" s="43" t="str">
        <f aca="false">IF($A62="","",$A62&amp;"-"&amp;$I62)</f>
        <v>25-1</v>
      </c>
      <c r="K62" s="38" t="str">
        <f aca="false">IF($A62="","",IF(COUNTIF(参数!$B$6:$B$8,$H62)=0,"× 付款方式","√"))</f>
        <v>√</v>
      </c>
    </row>
    <row r="63" customFormat="false" ht="13.5" hidden="false" customHeight="false" outlineLevel="0" collapsed="false">
      <c r="A63" s="41" t="n">
        <v>25</v>
      </c>
      <c r="B63" s="42" t="n">
        <v>46265</v>
      </c>
      <c r="C63" s="36" t="s">
        <v>154</v>
      </c>
      <c r="D63" s="36" t="s">
        <v>423</v>
      </c>
      <c r="E63" s="36" t="s">
        <v>258</v>
      </c>
      <c r="F63" s="36" t="s">
        <v>424</v>
      </c>
      <c r="G63" s="37" t="n">
        <v>1.6</v>
      </c>
      <c r="H63" s="36" t="s">
        <v>68</v>
      </c>
      <c r="I63" s="43" t="n">
        <f aca="false">IF($A63="","",COUNTIFS($A$2:$A63,$A63))</f>
        <v>2</v>
      </c>
      <c r="J63" s="43" t="str">
        <f aca="false">IF($A63="","",$A63&amp;"-"&amp;$I63)</f>
        <v>25-2</v>
      </c>
      <c r="K63" s="38" t="str">
        <f aca="false">IF($A63="","",IF(COUNTIF(参数!$B$6:$B$8,$H63)=0,"× 付款方式","√"))</f>
        <v>√</v>
      </c>
    </row>
    <row r="64" customFormat="false" ht="13.5" hidden="false" customHeight="false" outlineLevel="0" collapsed="false">
      <c r="A64" s="41" t="n">
        <v>26</v>
      </c>
      <c r="B64" s="42" t="n">
        <v>46265</v>
      </c>
      <c r="C64" s="36" t="s">
        <v>156</v>
      </c>
      <c r="D64" s="36" t="s">
        <v>425</v>
      </c>
      <c r="E64" s="36" t="s">
        <v>258</v>
      </c>
      <c r="F64" s="36" t="s">
        <v>425</v>
      </c>
      <c r="G64" s="37" t="n">
        <v>15</v>
      </c>
      <c r="H64" s="36" t="s">
        <v>68</v>
      </c>
      <c r="I64" s="43" t="n">
        <f aca="false">IF($A64="","",COUNTIFS($A$2:$A64,$A64))</f>
        <v>1</v>
      </c>
      <c r="J64" s="43" t="str">
        <f aca="false">IF($A64="","",$A64&amp;"-"&amp;$I64)</f>
        <v>26-1</v>
      </c>
      <c r="K64" s="38" t="str">
        <f aca="false">IF($A64="","",IF(COUNTIF(参数!$B$6:$B$8,$H64)=0,"× 付款方式","√"))</f>
        <v>√</v>
      </c>
    </row>
    <row r="65" customFormat="false" ht="13.5" hidden="false" customHeight="false" outlineLevel="0" collapsed="false">
      <c r="A65" s="41" t="n">
        <v>26</v>
      </c>
      <c r="B65" s="42" t="n">
        <v>46265</v>
      </c>
      <c r="C65" s="36" t="s">
        <v>156</v>
      </c>
      <c r="D65" s="36" t="s">
        <v>442</v>
      </c>
      <c r="E65" s="36" t="s">
        <v>258</v>
      </c>
      <c r="F65" s="36" t="s">
        <v>432</v>
      </c>
      <c r="G65" s="37" t="n">
        <v>100</v>
      </c>
      <c r="H65" s="36" t="s">
        <v>68</v>
      </c>
      <c r="I65" s="43" t="n">
        <f aca="false">IF($A65="","",COUNTIFS($A$2:$A65,$A65))</f>
        <v>2</v>
      </c>
      <c r="J65" s="43" t="str">
        <f aca="false">IF($A65="","",$A65&amp;"-"&amp;$I65)</f>
        <v>26-2</v>
      </c>
      <c r="K65" s="38" t="str">
        <f aca="false">IF($A65="","",IF(COUNTIF(参数!$B$6:$B$8,$H65)=0,"× 付款方式","√"))</f>
        <v>√</v>
      </c>
    </row>
    <row r="66" customFormat="false" ht="13.5" hidden="false" customHeight="false" outlineLevel="0" collapsed="false">
      <c r="A66" s="41" t="n">
        <v>26</v>
      </c>
      <c r="B66" s="42" t="n">
        <v>46265</v>
      </c>
      <c r="C66" s="36" t="s">
        <v>156</v>
      </c>
      <c r="D66" s="36" t="s">
        <v>430</v>
      </c>
      <c r="E66" s="36" t="s">
        <v>258</v>
      </c>
      <c r="F66" s="36" t="s">
        <v>430</v>
      </c>
      <c r="G66" s="37" t="n">
        <v>100</v>
      </c>
      <c r="H66" s="36" t="s">
        <v>68</v>
      </c>
      <c r="I66" s="43" t="n">
        <f aca="false">IF($A66="","",COUNTIFS($A$2:$A66,$A66))</f>
        <v>3</v>
      </c>
      <c r="J66" s="43" t="str">
        <f aca="false">IF($A66="","",$A66&amp;"-"&amp;$I66)</f>
        <v>26-3</v>
      </c>
      <c r="K66" s="38" t="str">
        <f aca="false">IF($A66="","",IF(COUNTIF(参数!$B$6:$B$8,$H66)=0,"× 付款方式","√"))</f>
        <v>√</v>
      </c>
    </row>
    <row r="67" customFormat="false" ht="13.5" hidden="false" customHeight="false" outlineLevel="0" collapsed="false">
      <c r="A67" s="41" t="n">
        <v>26</v>
      </c>
      <c r="B67" s="42" t="n">
        <v>46265</v>
      </c>
      <c r="C67" s="36" t="s">
        <v>156</v>
      </c>
      <c r="D67" s="36" t="s">
        <v>441</v>
      </c>
      <c r="E67" s="36" t="s">
        <v>258</v>
      </c>
      <c r="F67" s="36" t="s">
        <v>424</v>
      </c>
      <c r="G67" s="37" t="n">
        <v>45</v>
      </c>
      <c r="H67" s="36" t="s">
        <v>68</v>
      </c>
      <c r="I67" s="43" t="n">
        <f aca="false">IF($A67="","",COUNTIFS($A$2:$A67,$A67))</f>
        <v>4</v>
      </c>
      <c r="J67" s="43" t="str">
        <f aca="false">IF($A67="","",$A67&amp;"-"&amp;$I67)</f>
        <v>26-4</v>
      </c>
      <c r="K67" s="38" t="str">
        <f aca="false">IF($A67="","",IF(COUNTIF(参数!$B$6:$B$8,$H67)=0,"× 付款方式","√"))</f>
        <v>√</v>
      </c>
    </row>
    <row r="68" customFormat="false" ht="13.5" hidden="false" customHeight="false" outlineLevel="0" collapsed="false">
      <c r="A68" s="41" t="n">
        <v>26</v>
      </c>
      <c r="B68" s="42" t="n">
        <v>46265</v>
      </c>
      <c r="C68" s="36" t="s">
        <v>156</v>
      </c>
      <c r="D68" s="36" t="s">
        <v>423</v>
      </c>
      <c r="E68" s="36" t="s">
        <v>258</v>
      </c>
      <c r="F68" s="36" t="s">
        <v>424</v>
      </c>
      <c r="G68" s="37" t="n">
        <v>61.4</v>
      </c>
      <c r="H68" s="36" t="s">
        <v>68</v>
      </c>
      <c r="I68" s="43" t="n">
        <f aca="false">IF($A68="","",COUNTIFS($A$2:$A68,$A68))</f>
        <v>5</v>
      </c>
      <c r="J68" s="43" t="str">
        <f aca="false">IF($A68="","",$A68&amp;"-"&amp;$I68)</f>
        <v>26-5</v>
      </c>
      <c r="K68" s="38" t="str">
        <f aca="false">IF($A68="","",IF(COUNTIF(参数!$B$6:$B$8,$H68)=0,"× 付款方式","√"))</f>
        <v>√</v>
      </c>
    </row>
    <row r="69" customFormat="false" ht="13.5" hidden="false" customHeight="false" outlineLevel="0" collapsed="false">
      <c r="A69" s="41" t="n">
        <v>26</v>
      </c>
      <c r="B69" s="42" t="n">
        <v>46265</v>
      </c>
      <c r="C69" s="36" t="s">
        <v>156</v>
      </c>
      <c r="D69" s="36" t="s">
        <v>443</v>
      </c>
      <c r="E69" s="36" t="s">
        <v>258</v>
      </c>
      <c r="F69" s="36" t="s">
        <v>424</v>
      </c>
      <c r="G69" s="37" t="n">
        <v>40</v>
      </c>
      <c r="H69" s="36" t="s">
        <v>68</v>
      </c>
      <c r="I69" s="43" t="n">
        <f aca="false">IF($A69="","",COUNTIFS($A$2:$A69,$A69))</f>
        <v>6</v>
      </c>
      <c r="J69" s="43" t="str">
        <f aca="false">IF($A69="","",$A69&amp;"-"&amp;$I69)</f>
        <v>26-6</v>
      </c>
      <c r="K69" s="38" t="str">
        <f aca="false">IF($A69="","",IF(COUNTIF(参数!$B$6:$B$8,$H69)=0,"× 付款方式","√"))</f>
        <v>√</v>
      </c>
    </row>
    <row r="70" customFormat="false" ht="13.5" hidden="false" customHeight="false" outlineLevel="0" collapsed="false">
      <c r="A70" s="41" t="n">
        <v>26</v>
      </c>
      <c r="B70" s="42" t="n">
        <v>46265</v>
      </c>
      <c r="C70" s="36" t="s">
        <v>156</v>
      </c>
      <c r="D70" s="36" t="s">
        <v>421</v>
      </c>
      <c r="E70" s="36" t="s">
        <v>258</v>
      </c>
      <c r="F70" s="36" t="s">
        <v>421</v>
      </c>
      <c r="G70" s="37" t="n">
        <v>810.75</v>
      </c>
      <c r="H70" s="36" t="s">
        <v>68</v>
      </c>
      <c r="I70" s="43" t="n">
        <f aca="false">IF($A70="","",COUNTIFS($A$2:$A70,$A70))</f>
        <v>7</v>
      </c>
      <c r="J70" s="43" t="str">
        <f aca="false">IF($A70="","",$A70&amp;"-"&amp;$I70)</f>
        <v>26-7</v>
      </c>
      <c r="K70" s="38" t="str">
        <f aca="false">IF($A70="","",IF(COUNTIF(参数!$B$6:$B$8,$H70)=0,"× 付款方式","√"))</f>
        <v>√</v>
      </c>
    </row>
    <row r="71" customFormat="false" ht="13.5" hidden="false" customHeight="false" outlineLevel="0" collapsed="false">
      <c r="A71" s="41" t="n">
        <v>27</v>
      </c>
      <c r="B71" s="42" t="n">
        <v>46265</v>
      </c>
      <c r="C71" s="36" t="s">
        <v>158</v>
      </c>
      <c r="D71" s="36" t="s">
        <v>430</v>
      </c>
      <c r="E71" s="36" t="s">
        <v>258</v>
      </c>
      <c r="F71" s="36" t="s">
        <v>430</v>
      </c>
      <c r="G71" s="37" t="n">
        <v>200</v>
      </c>
      <c r="H71" s="36" t="s">
        <v>68</v>
      </c>
      <c r="I71" s="43" t="n">
        <f aca="false">IF($A71="","",COUNTIFS($A$2:$A71,$A71))</f>
        <v>1</v>
      </c>
      <c r="J71" s="43" t="str">
        <f aca="false">IF($A71="","",$A71&amp;"-"&amp;$I71)</f>
        <v>27-1</v>
      </c>
      <c r="K71" s="38" t="str">
        <f aca="false">IF($A71="","",IF(COUNTIF(参数!$B$6:$B$8,$H71)=0,"× 付款方式","√"))</f>
        <v>√</v>
      </c>
    </row>
    <row r="72" customFormat="false" ht="13.5" hidden="false" customHeight="false" outlineLevel="0" collapsed="false">
      <c r="A72" s="41" t="n">
        <v>27</v>
      </c>
      <c r="B72" s="42" t="n">
        <v>46265</v>
      </c>
      <c r="C72" s="36" t="s">
        <v>158</v>
      </c>
      <c r="D72" s="36" t="s">
        <v>421</v>
      </c>
      <c r="E72" s="36" t="s">
        <v>258</v>
      </c>
      <c r="F72" s="36" t="s">
        <v>421</v>
      </c>
      <c r="G72" s="37" t="n">
        <v>500</v>
      </c>
      <c r="H72" s="36" t="s">
        <v>68</v>
      </c>
      <c r="I72" s="43" t="n">
        <f aca="false">IF($A72="","",COUNTIFS($A$2:$A72,$A72))</f>
        <v>2</v>
      </c>
      <c r="J72" s="43" t="str">
        <f aca="false">IF($A72="","",$A72&amp;"-"&amp;$I72)</f>
        <v>27-2</v>
      </c>
      <c r="K72" s="38" t="str">
        <f aca="false">IF($A72="","",IF(COUNTIF(参数!$B$6:$B$8,$H72)=0,"× 付款方式","√"))</f>
        <v>√</v>
      </c>
    </row>
    <row r="73" customFormat="false" ht="13.5" hidden="false" customHeight="false" outlineLevel="0" collapsed="false">
      <c r="A73" s="41" t="n">
        <v>27</v>
      </c>
      <c r="B73" s="42" t="n">
        <v>46265</v>
      </c>
      <c r="C73" s="36" t="s">
        <v>158</v>
      </c>
      <c r="D73" s="36" t="s">
        <v>442</v>
      </c>
      <c r="E73" s="36" t="s">
        <v>258</v>
      </c>
      <c r="F73" s="36" t="s">
        <v>432</v>
      </c>
      <c r="G73" s="37" t="n">
        <v>60</v>
      </c>
      <c r="H73" s="36" t="s">
        <v>68</v>
      </c>
      <c r="I73" s="43" t="n">
        <f aca="false">IF($A73="","",COUNTIFS($A$2:$A73,$A73))</f>
        <v>3</v>
      </c>
      <c r="J73" s="43" t="str">
        <f aca="false">IF($A73="","",$A73&amp;"-"&amp;$I73)</f>
        <v>27-3</v>
      </c>
      <c r="K73" s="38" t="str">
        <f aca="false">IF($A73="","",IF(COUNTIF(参数!$B$6:$B$8,$H73)=0,"× 付款方式","√"))</f>
        <v>√</v>
      </c>
    </row>
    <row r="74" customFormat="false" ht="13.5" hidden="false" customHeight="false" outlineLevel="0" collapsed="false">
      <c r="A74" s="41" t="n">
        <v>27</v>
      </c>
      <c r="B74" s="42" t="n">
        <v>46265</v>
      </c>
      <c r="C74" s="36" t="s">
        <v>158</v>
      </c>
      <c r="D74" s="36" t="s">
        <v>444</v>
      </c>
      <c r="E74" s="36" t="s">
        <v>258</v>
      </c>
      <c r="F74" s="36" t="s">
        <v>424</v>
      </c>
      <c r="G74" s="37" t="n">
        <v>30</v>
      </c>
      <c r="H74" s="36" t="s">
        <v>68</v>
      </c>
      <c r="I74" s="43" t="n">
        <f aca="false">IF($A74="","",COUNTIFS($A$2:$A74,$A74))</f>
        <v>4</v>
      </c>
      <c r="J74" s="43" t="str">
        <f aca="false">IF($A74="","",$A74&amp;"-"&amp;$I74)</f>
        <v>27-4</v>
      </c>
      <c r="K74" s="38" t="str">
        <f aca="false">IF($A74="","",IF(COUNTIF(参数!$B$6:$B$8,$H74)=0,"× 付款方式","√"))</f>
        <v>√</v>
      </c>
    </row>
    <row r="75" customFormat="false" ht="13.5" hidden="false" customHeight="false" outlineLevel="0" collapsed="false">
      <c r="A75" s="41" t="n">
        <v>27</v>
      </c>
      <c r="B75" s="42" t="n">
        <v>46265</v>
      </c>
      <c r="C75" s="36" t="s">
        <v>158</v>
      </c>
      <c r="D75" s="36" t="s">
        <v>423</v>
      </c>
      <c r="E75" s="36" t="s">
        <v>258</v>
      </c>
      <c r="F75" s="36" t="s">
        <v>424</v>
      </c>
      <c r="G75" s="37" t="n">
        <v>29.9</v>
      </c>
      <c r="H75" s="36" t="s">
        <v>68</v>
      </c>
      <c r="I75" s="43" t="n">
        <f aca="false">IF($A75="","",COUNTIFS($A$2:$A75,$A75))</f>
        <v>5</v>
      </c>
      <c r="J75" s="43" t="str">
        <f aca="false">IF($A75="","",$A75&amp;"-"&amp;$I75)</f>
        <v>27-5</v>
      </c>
      <c r="K75" s="38" t="str">
        <f aca="false">IF($A75="","",IF(COUNTIF(参数!$B$6:$B$8,$H75)=0,"× 付款方式","√"))</f>
        <v>√</v>
      </c>
    </row>
    <row r="76" customFormat="false" ht="13.5" hidden="false" customHeight="false" outlineLevel="0" collapsed="false">
      <c r="A76" s="41" t="n">
        <v>28</v>
      </c>
      <c r="B76" s="42" t="n">
        <v>46265</v>
      </c>
      <c r="C76" s="36" t="s">
        <v>160</v>
      </c>
      <c r="D76" s="36" t="s">
        <v>425</v>
      </c>
      <c r="E76" s="36" t="s">
        <v>258</v>
      </c>
      <c r="F76" s="36" t="s">
        <v>425</v>
      </c>
      <c r="G76" s="37" t="n">
        <v>23.3</v>
      </c>
      <c r="H76" s="36" t="s">
        <v>68</v>
      </c>
      <c r="I76" s="43" t="n">
        <f aca="false">IF($A76="","",COUNTIFS($A$2:$A76,$A76))</f>
        <v>1</v>
      </c>
      <c r="J76" s="43" t="str">
        <f aca="false">IF($A76="","",$A76&amp;"-"&amp;$I76)</f>
        <v>28-1</v>
      </c>
      <c r="K76" s="38" t="str">
        <f aca="false">IF($A76="","",IF(COUNTIF(参数!$B$6:$B$8,$H76)=0,"× 付款方式","√"))</f>
        <v>√</v>
      </c>
    </row>
    <row r="77" customFormat="false" ht="13.5" hidden="false" customHeight="false" outlineLevel="0" collapsed="false">
      <c r="A77" s="41" t="n">
        <v>28</v>
      </c>
      <c r="B77" s="42" t="n">
        <v>46265</v>
      </c>
      <c r="C77" s="36" t="s">
        <v>160</v>
      </c>
      <c r="D77" s="36" t="s">
        <v>423</v>
      </c>
      <c r="E77" s="36" t="s">
        <v>258</v>
      </c>
      <c r="F77" s="36" t="s">
        <v>424</v>
      </c>
      <c r="G77" s="37" t="n">
        <v>30.9</v>
      </c>
      <c r="H77" s="36" t="s">
        <v>68</v>
      </c>
      <c r="I77" s="43" t="n">
        <f aca="false">IF($A77="","",COUNTIFS($A$2:$A77,$A77))</f>
        <v>2</v>
      </c>
      <c r="J77" s="43" t="str">
        <f aca="false">IF($A77="","",$A77&amp;"-"&amp;$I77)</f>
        <v>28-2</v>
      </c>
      <c r="K77" s="38" t="str">
        <f aca="false">IF($A77="","",IF(COUNTIF(参数!$B$6:$B$8,$H77)=0,"× 付款方式","√"))</f>
        <v>√</v>
      </c>
    </row>
    <row r="78" customFormat="false" ht="13.5" hidden="false" customHeight="false" outlineLevel="0" collapsed="false">
      <c r="A78" s="41" t="n">
        <v>28</v>
      </c>
      <c r="B78" s="42" t="n">
        <v>46265</v>
      </c>
      <c r="C78" s="36" t="s">
        <v>160</v>
      </c>
      <c r="D78" s="36" t="s">
        <v>442</v>
      </c>
      <c r="E78" s="36" t="s">
        <v>258</v>
      </c>
      <c r="F78" s="36" t="s">
        <v>432</v>
      </c>
      <c r="G78" s="37" t="n">
        <v>50</v>
      </c>
      <c r="H78" s="36" t="s">
        <v>68</v>
      </c>
      <c r="I78" s="43" t="n">
        <f aca="false">IF($A78="","",COUNTIFS($A$2:$A78,$A78))</f>
        <v>3</v>
      </c>
      <c r="J78" s="43" t="str">
        <f aca="false">IF($A78="","",$A78&amp;"-"&amp;$I78)</f>
        <v>28-3</v>
      </c>
      <c r="K78" s="38" t="str">
        <f aca="false">IF($A78="","",IF(COUNTIF(参数!$B$6:$B$8,$H78)=0,"× 付款方式","√"))</f>
        <v>√</v>
      </c>
    </row>
    <row r="79" customFormat="false" ht="13.5" hidden="false" customHeight="false" outlineLevel="0" collapsed="false">
      <c r="A79" s="41" t="n">
        <v>28</v>
      </c>
      <c r="B79" s="42" t="n">
        <v>46265</v>
      </c>
      <c r="C79" s="36" t="s">
        <v>160</v>
      </c>
      <c r="D79" s="36" t="s">
        <v>443</v>
      </c>
      <c r="E79" s="36" t="s">
        <v>258</v>
      </c>
      <c r="F79" s="36" t="s">
        <v>424</v>
      </c>
      <c r="G79" s="37" t="n">
        <v>40</v>
      </c>
      <c r="H79" s="36" t="s">
        <v>68</v>
      </c>
      <c r="I79" s="43" t="n">
        <f aca="false">IF($A79="","",COUNTIFS($A$2:$A79,$A79))</f>
        <v>4</v>
      </c>
      <c r="J79" s="43" t="str">
        <f aca="false">IF($A79="","",$A79&amp;"-"&amp;$I79)</f>
        <v>28-4</v>
      </c>
      <c r="K79" s="38" t="str">
        <f aca="false">IF($A79="","",IF(COUNTIF(参数!$B$6:$B$8,$H79)=0,"× 付款方式","√"))</f>
        <v>√</v>
      </c>
    </row>
    <row r="80" customFormat="false" ht="13.5" hidden="false" customHeight="false" outlineLevel="0" collapsed="false">
      <c r="A80" s="41" t="n">
        <v>28</v>
      </c>
      <c r="B80" s="42" t="n">
        <v>46265</v>
      </c>
      <c r="C80" s="36" t="s">
        <v>160</v>
      </c>
      <c r="D80" s="36" t="s">
        <v>421</v>
      </c>
      <c r="E80" s="36" t="s">
        <v>258</v>
      </c>
      <c r="F80" s="36" t="s">
        <v>421</v>
      </c>
      <c r="G80" s="37" t="n">
        <v>500</v>
      </c>
      <c r="H80" s="36" t="s">
        <v>68</v>
      </c>
      <c r="I80" s="43" t="n">
        <f aca="false">IF($A80="","",COUNTIFS($A$2:$A80,$A80))</f>
        <v>5</v>
      </c>
      <c r="J80" s="43" t="str">
        <f aca="false">IF($A80="","",$A80&amp;"-"&amp;$I80)</f>
        <v>28-5</v>
      </c>
      <c r="K80" s="38" t="str">
        <f aca="false">IF($A80="","",IF(COUNTIF(参数!$B$6:$B$8,$H80)=0,"× 付款方式","√"))</f>
        <v>√</v>
      </c>
    </row>
    <row r="81" customFormat="false" ht="13.5" hidden="false" customHeight="false" outlineLevel="0" collapsed="false">
      <c r="A81" s="41" t="n">
        <v>29</v>
      </c>
      <c r="B81" s="42" t="n">
        <v>46265</v>
      </c>
      <c r="C81" s="36" t="s">
        <v>162</v>
      </c>
      <c r="D81" s="36" t="s">
        <v>421</v>
      </c>
      <c r="E81" s="36" t="s">
        <v>258</v>
      </c>
      <c r="F81" s="36" t="s">
        <v>421</v>
      </c>
      <c r="G81" s="37" t="n">
        <v>819</v>
      </c>
      <c r="H81" s="36" t="s">
        <v>68</v>
      </c>
      <c r="I81" s="43" t="n">
        <f aca="false">IF($A81="","",COUNTIFS($A$2:$A81,$A81))</f>
        <v>1</v>
      </c>
      <c r="J81" s="43" t="str">
        <f aca="false">IF($A81="","",$A81&amp;"-"&amp;$I81)</f>
        <v>29-1</v>
      </c>
      <c r="K81" s="38" t="str">
        <f aca="false">IF($A81="","",IF(COUNTIF(参数!$B$6:$B$8,$H81)=0,"× 付款方式","√"))</f>
        <v>√</v>
      </c>
    </row>
    <row r="82" customFormat="false" ht="13.5" hidden="false" customHeight="false" outlineLevel="0" collapsed="false">
      <c r="A82" s="41" t="n">
        <v>29</v>
      </c>
      <c r="B82" s="42" t="n">
        <v>46265</v>
      </c>
      <c r="C82" s="36" t="s">
        <v>162</v>
      </c>
      <c r="D82" s="36" t="s">
        <v>425</v>
      </c>
      <c r="E82" s="36" t="s">
        <v>258</v>
      </c>
      <c r="F82" s="36" t="s">
        <v>425</v>
      </c>
      <c r="G82" s="37" t="n">
        <v>20</v>
      </c>
      <c r="H82" s="36" t="s">
        <v>68</v>
      </c>
      <c r="I82" s="43" t="n">
        <f aca="false">IF($A82="","",COUNTIFS($A$2:$A82,$A82))</f>
        <v>2</v>
      </c>
      <c r="J82" s="43" t="str">
        <f aca="false">IF($A82="","",$A82&amp;"-"&amp;$I82)</f>
        <v>29-2</v>
      </c>
      <c r="K82" s="38" t="str">
        <f aca="false">IF($A82="","",IF(COUNTIF(参数!$B$6:$B$8,$H82)=0,"× 付款方式","√"))</f>
        <v>√</v>
      </c>
    </row>
    <row r="83" customFormat="false" ht="13.5" hidden="false" customHeight="false" outlineLevel="0" collapsed="false">
      <c r="A83" s="41" t="n">
        <v>30</v>
      </c>
      <c r="B83" s="42" t="n">
        <v>46265</v>
      </c>
      <c r="C83" s="36" t="s">
        <v>164</v>
      </c>
      <c r="D83" s="36" t="s">
        <v>421</v>
      </c>
      <c r="E83" s="36" t="s">
        <v>258</v>
      </c>
      <c r="F83" s="36" t="s">
        <v>421</v>
      </c>
      <c r="G83" s="37" t="n">
        <v>300</v>
      </c>
      <c r="H83" s="36" t="s">
        <v>68</v>
      </c>
      <c r="I83" s="43" t="n">
        <f aca="false">IF($A83="","",COUNTIFS($A$2:$A83,$A83))</f>
        <v>1</v>
      </c>
      <c r="J83" s="43" t="str">
        <f aca="false">IF($A83="","",$A83&amp;"-"&amp;$I83)</f>
        <v>30-1</v>
      </c>
      <c r="K83" s="38" t="str">
        <f aca="false">IF($A83="","",IF(COUNTIF(参数!$B$6:$B$8,$H83)=0,"× 付款方式","√"))</f>
        <v>√</v>
      </c>
    </row>
    <row r="84" customFormat="false" ht="13.5" hidden="false" customHeight="false" outlineLevel="0" collapsed="false">
      <c r="A84" s="41" t="n">
        <v>30</v>
      </c>
      <c r="B84" s="42" t="n">
        <v>46265</v>
      </c>
      <c r="C84" s="36" t="s">
        <v>164</v>
      </c>
      <c r="D84" s="36" t="s">
        <v>430</v>
      </c>
      <c r="E84" s="36" t="s">
        <v>258</v>
      </c>
      <c r="F84" s="36" t="s">
        <v>430</v>
      </c>
      <c r="G84" s="37" t="n">
        <v>100</v>
      </c>
      <c r="H84" s="36" t="s">
        <v>68</v>
      </c>
      <c r="I84" s="43" t="n">
        <f aca="false">IF($A84="","",COUNTIFS($A$2:$A84,$A84))</f>
        <v>2</v>
      </c>
      <c r="J84" s="43" t="str">
        <f aca="false">IF($A84="","",$A84&amp;"-"&amp;$I84)</f>
        <v>30-2</v>
      </c>
      <c r="K84" s="38" t="str">
        <f aca="false">IF($A84="","",IF(COUNTIF(参数!$B$6:$B$8,$H84)=0,"× 付款方式","√"))</f>
        <v>√</v>
      </c>
    </row>
    <row r="85" customFormat="false" ht="13.5" hidden="false" customHeight="false" outlineLevel="0" collapsed="false">
      <c r="A85" s="41" t="n">
        <v>30</v>
      </c>
      <c r="B85" s="42" t="n">
        <v>46265</v>
      </c>
      <c r="C85" s="36" t="s">
        <v>164</v>
      </c>
      <c r="D85" s="36" t="s">
        <v>431</v>
      </c>
      <c r="E85" s="36" t="s">
        <v>258</v>
      </c>
      <c r="F85" s="36" t="s">
        <v>424</v>
      </c>
      <c r="G85" s="37" t="n">
        <v>41.9</v>
      </c>
      <c r="H85" s="36" t="s">
        <v>68</v>
      </c>
      <c r="I85" s="43" t="n">
        <f aca="false">IF($A85="","",COUNTIFS($A$2:$A85,$A85))</f>
        <v>3</v>
      </c>
      <c r="J85" s="43" t="str">
        <f aca="false">IF($A85="","",$A85&amp;"-"&amp;$I85)</f>
        <v>30-3</v>
      </c>
      <c r="K85" s="38" t="str">
        <f aca="false">IF($A85="","",IF(COUNTIF(参数!$B$6:$B$8,$H85)=0,"× 付款方式","√"))</f>
        <v>√</v>
      </c>
    </row>
    <row r="86" customFormat="false" ht="13.5" hidden="false" customHeight="false" outlineLevel="0" collapsed="false">
      <c r="A86" s="41" t="n">
        <v>30</v>
      </c>
      <c r="B86" s="42" t="n">
        <v>46265</v>
      </c>
      <c r="C86" s="36" t="s">
        <v>164</v>
      </c>
      <c r="D86" s="36" t="s">
        <v>425</v>
      </c>
      <c r="E86" s="36" t="s">
        <v>258</v>
      </c>
      <c r="F86" s="36" t="s">
        <v>425</v>
      </c>
      <c r="G86" s="37" t="n">
        <v>10</v>
      </c>
      <c r="H86" s="36" t="s">
        <v>68</v>
      </c>
      <c r="I86" s="43" t="n">
        <f aca="false">IF($A86="","",COUNTIFS($A$2:$A86,$A86))</f>
        <v>4</v>
      </c>
      <c r="J86" s="43" t="str">
        <f aca="false">IF($A86="","",$A86&amp;"-"&amp;$I86)</f>
        <v>30-4</v>
      </c>
      <c r="K86" s="38" t="str">
        <f aca="false">IF($A86="","",IF(COUNTIF(参数!$B$6:$B$8,$H86)=0,"× 付款方式","√"))</f>
        <v>√</v>
      </c>
    </row>
    <row r="87" customFormat="false" ht="13.5" hidden="false" customHeight="false" outlineLevel="0" collapsed="false">
      <c r="A87" s="41" t="n">
        <v>30</v>
      </c>
      <c r="B87" s="42" t="n">
        <v>46265</v>
      </c>
      <c r="C87" s="36" t="s">
        <v>164</v>
      </c>
      <c r="D87" s="36" t="s">
        <v>443</v>
      </c>
      <c r="E87" s="36" t="s">
        <v>258</v>
      </c>
      <c r="F87" s="36" t="s">
        <v>424</v>
      </c>
      <c r="G87" s="37" t="n">
        <v>40</v>
      </c>
      <c r="H87" s="36" t="s">
        <v>68</v>
      </c>
      <c r="I87" s="43" t="n">
        <f aca="false">IF($A87="","",COUNTIFS($A$2:$A87,$A87))</f>
        <v>5</v>
      </c>
      <c r="J87" s="43" t="str">
        <f aca="false">IF($A87="","",$A87&amp;"-"&amp;$I87)</f>
        <v>30-5</v>
      </c>
      <c r="K87" s="38" t="str">
        <f aca="false">IF($A87="","",IF(COUNTIF(参数!$B$6:$B$8,$H87)=0,"× 付款方式","√"))</f>
        <v>√</v>
      </c>
    </row>
    <row r="88" customFormat="false" ht="13.5" hidden="false" customHeight="false" outlineLevel="0" collapsed="false">
      <c r="A88" s="41" t="n">
        <v>31</v>
      </c>
      <c r="B88" s="42" t="n">
        <v>46265</v>
      </c>
      <c r="C88" s="36" t="s">
        <v>168</v>
      </c>
      <c r="D88" s="36" t="s">
        <v>425</v>
      </c>
      <c r="E88" s="36" t="s">
        <v>258</v>
      </c>
      <c r="F88" s="36" t="s">
        <v>425</v>
      </c>
      <c r="G88" s="37" t="n">
        <v>6</v>
      </c>
      <c r="H88" s="36" t="s">
        <v>68</v>
      </c>
      <c r="I88" s="43" t="n">
        <f aca="false">IF($A88="","",COUNTIFS($A$2:$A88,$A88))</f>
        <v>1</v>
      </c>
      <c r="J88" s="43" t="str">
        <f aca="false">IF($A88="","",$A88&amp;"-"&amp;$I88)</f>
        <v>31-1</v>
      </c>
      <c r="K88" s="38" t="str">
        <f aca="false">IF($A88="","",IF(COUNTIF(参数!$B$6:$B$8,$H88)=0,"× 付款方式","√"))</f>
        <v>√</v>
      </c>
    </row>
    <row r="89" customFormat="false" ht="13.5" hidden="false" customHeight="false" outlineLevel="0" collapsed="false">
      <c r="A89" s="41" t="n">
        <v>31</v>
      </c>
      <c r="B89" s="42" t="n">
        <v>46265</v>
      </c>
      <c r="C89" s="36" t="s">
        <v>168</v>
      </c>
      <c r="D89" s="36" t="s">
        <v>430</v>
      </c>
      <c r="E89" s="36" t="s">
        <v>258</v>
      </c>
      <c r="F89" s="36" t="s">
        <v>430</v>
      </c>
      <c r="G89" s="37" t="n">
        <v>100</v>
      </c>
      <c r="H89" s="36" t="s">
        <v>68</v>
      </c>
      <c r="I89" s="43" t="n">
        <f aca="false">IF($A89="","",COUNTIFS($A$2:$A89,$A89))</f>
        <v>2</v>
      </c>
      <c r="J89" s="43" t="str">
        <f aca="false">IF($A89="","",$A89&amp;"-"&amp;$I89)</f>
        <v>31-2</v>
      </c>
      <c r="K89" s="38" t="str">
        <f aca="false">IF($A89="","",IF(COUNTIF(参数!$B$6:$B$8,$H89)=0,"× 付款方式","√"))</f>
        <v>√</v>
      </c>
    </row>
    <row r="90" customFormat="false" ht="13.5" hidden="false" customHeight="false" outlineLevel="0" collapsed="false">
      <c r="A90" s="41" t="n">
        <v>31</v>
      </c>
      <c r="B90" s="42" t="n">
        <v>46265</v>
      </c>
      <c r="C90" s="36" t="s">
        <v>168</v>
      </c>
      <c r="D90" s="36" t="s">
        <v>421</v>
      </c>
      <c r="E90" s="36" t="s">
        <v>258</v>
      </c>
      <c r="F90" s="36" t="s">
        <v>421</v>
      </c>
      <c r="G90" s="37" t="n">
        <v>300</v>
      </c>
      <c r="H90" s="36" t="s">
        <v>68</v>
      </c>
      <c r="I90" s="43" t="n">
        <f aca="false">IF($A90="","",COUNTIFS($A$2:$A90,$A90))</f>
        <v>3</v>
      </c>
      <c r="J90" s="43" t="str">
        <f aca="false">IF($A90="","",$A90&amp;"-"&amp;$I90)</f>
        <v>31-3</v>
      </c>
      <c r="K90" s="38" t="str">
        <f aca="false">IF($A90="","",IF(COUNTIF(参数!$B$6:$B$8,$H90)=0,"× 付款方式","√"))</f>
        <v>√</v>
      </c>
    </row>
    <row r="91" customFormat="false" ht="13.5" hidden="false" customHeight="false" outlineLevel="0" collapsed="false">
      <c r="A91" s="41" t="n">
        <v>32</v>
      </c>
      <c r="B91" s="42" t="n">
        <v>46265</v>
      </c>
      <c r="C91" s="36" t="s">
        <v>170</v>
      </c>
      <c r="D91" s="36" t="s">
        <v>421</v>
      </c>
      <c r="E91" s="36" t="s">
        <v>258</v>
      </c>
      <c r="F91" s="36" t="s">
        <v>421</v>
      </c>
      <c r="G91" s="37" t="n">
        <v>600</v>
      </c>
      <c r="H91" s="36" t="s">
        <v>68</v>
      </c>
      <c r="I91" s="43" t="n">
        <f aca="false">IF($A91="","",COUNTIFS($A$2:$A91,$A91))</f>
        <v>1</v>
      </c>
      <c r="J91" s="43" t="str">
        <f aca="false">IF($A91="","",$A91&amp;"-"&amp;$I91)</f>
        <v>32-1</v>
      </c>
      <c r="K91" s="38" t="str">
        <f aca="false">IF($A91="","",IF(COUNTIF(参数!$B$6:$B$8,$H91)=0,"× 付款方式","√"))</f>
        <v>√</v>
      </c>
    </row>
    <row r="92" customFormat="false" ht="13.5" hidden="false" customHeight="false" outlineLevel="0" collapsed="false">
      <c r="A92" s="41" t="n">
        <v>32</v>
      </c>
      <c r="B92" s="42" t="n">
        <v>46265</v>
      </c>
      <c r="C92" s="36" t="s">
        <v>170</v>
      </c>
      <c r="D92" s="36" t="s">
        <v>442</v>
      </c>
      <c r="E92" s="36" t="s">
        <v>258</v>
      </c>
      <c r="F92" s="36" t="s">
        <v>432</v>
      </c>
      <c r="G92" s="37" t="n">
        <v>80</v>
      </c>
      <c r="H92" s="36" t="s">
        <v>68</v>
      </c>
      <c r="I92" s="43" t="n">
        <f aca="false">IF($A92="","",COUNTIFS($A$2:$A92,$A92))</f>
        <v>2</v>
      </c>
      <c r="J92" s="43" t="str">
        <f aca="false">IF($A92="","",$A92&amp;"-"&amp;$I92)</f>
        <v>32-2</v>
      </c>
      <c r="K92" s="38" t="str">
        <f aca="false">IF($A92="","",IF(COUNTIF(参数!$B$6:$B$8,$H92)=0,"× 付款方式","√"))</f>
        <v>√</v>
      </c>
    </row>
    <row r="93" customFormat="false" ht="13.5" hidden="false" customHeight="false" outlineLevel="0" collapsed="false">
      <c r="A93" s="41" t="n">
        <v>32</v>
      </c>
      <c r="B93" s="42" t="n">
        <v>46265</v>
      </c>
      <c r="C93" s="36" t="s">
        <v>170</v>
      </c>
      <c r="D93" s="36" t="s">
        <v>425</v>
      </c>
      <c r="E93" s="36" t="s">
        <v>258</v>
      </c>
      <c r="F93" s="36" t="s">
        <v>425</v>
      </c>
      <c r="G93" s="37" t="n">
        <v>20</v>
      </c>
      <c r="H93" s="36" t="s">
        <v>68</v>
      </c>
      <c r="I93" s="43" t="n">
        <f aca="false">IF($A93="","",COUNTIFS($A$2:$A93,$A93))</f>
        <v>3</v>
      </c>
      <c r="J93" s="43" t="str">
        <f aca="false">IF($A93="","",$A93&amp;"-"&amp;$I93)</f>
        <v>32-3</v>
      </c>
      <c r="K93" s="38" t="str">
        <f aca="false">IF($A93="","",IF(COUNTIF(参数!$B$6:$B$8,$H93)=0,"× 付款方式","√"))</f>
        <v>√</v>
      </c>
    </row>
    <row r="94" customFormat="false" ht="13.5" hidden="false" customHeight="false" outlineLevel="0" collapsed="false">
      <c r="A94" s="41" t="n">
        <v>32</v>
      </c>
      <c r="B94" s="42" t="n">
        <v>46265</v>
      </c>
      <c r="C94" s="36" t="s">
        <v>170</v>
      </c>
      <c r="D94" s="36" t="s">
        <v>430</v>
      </c>
      <c r="E94" s="36" t="s">
        <v>258</v>
      </c>
      <c r="F94" s="36" t="s">
        <v>430</v>
      </c>
      <c r="G94" s="37" t="n">
        <v>100</v>
      </c>
      <c r="H94" s="36" t="s">
        <v>68</v>
      </c>
      <c r="I94" s="43" t="n">
        <f aca="false">IF($A94="","",COUNTIFS($A$2:$A94,$A94))</f>
        <v>4</v>
      </c>
      <c r="J94" s="43" t="str">
        <f aca="false">IF($A94="","",$A94&amp;"-"&amp;$I94)</f>
        <v>32-4</v>
      </c>
      <c r="K94" s="38" t="str">
        <f aca="false">IF($A94="","",IF(COUNTIF(参数!$B$6:$B$8,$H94)=0,"× 付款方式","√"))</f>
        <v>√</v>
      </c>
    </row>
    <row r="95" customFormat="false" ht="13.5" hidden="false" customHeight="false" outlineLevel="0" collapsed="false">
      <c r="A95" s="41" t="n">
        <v>33</v>
      </c>
      <c r="B95" s="42" t="n">
        <v>46265</v>
      </c>
      <c r="C95" s="36" t="s">
        <v>174</v>
      </c>
      <c r="D95" s="36" t="s">
        <v>425</v>
      </c>
      <c r="E95" s="36" t="s">
        <v>258</v>
      </c>
      <c r="F95" s="36" t="s">
        <v>425</v>
      </c>
      <c r="G95" s="37" t="n">
        <v>25</v>
      </c>
      <c r="H95" s="36" t="s">
        <v>68</v>
      </c>
      <c r="I95" s="43" t="n">
        <f aca="false">IF($A95="","",COUNTIFS($A$2:$A95,$A95))</f>
        <v>1</v>
      </c>
      <c r="J95" s="43" t="str">
        <f aca="false">IF($A95="","",$A95&amp;"-"&amp;$I95)</f>
        <v>33-1</v>
      </c>
      <c r="K95" s="38" t="str">
        <f aca="false">IF($A95="","",IF(COUNTIF(参数!$B$6:$B$8,$H95)=0,"× 付款方式","√"))</f>
        <v>√</v>
      </c>
    </row>
    <row r="96" customFormat="false" ht="13.5" hidden="false" customHeight="false" outlineLevel="0" collapsed="false">
      <c r="A96" s="41" t="n">
        <v>33</v>
      </c>
      <c r="B96" s="42" t="n">
        <v>46265</v>
      </c>
      <c r="C96" s="36" t="s">
        <v>174</v>
      </c>
      <c r="D96" s="36" t="s">
        <v>445</v>
      </c>
      <c r="E96" s="36" t="s">
        <v>258</v>
      </c>
      <c r="F96" s="36" t="s">
        <v>424</v>
      </c>
      <c r="G96" s="37" t="n">
        <v>45</v>
      </c>
      <c r="H96" s="36" t="s">
        <v>68</v>
      </c>
      <c r="I96" s="43" t="n">
        <f aca="false">IF($A96="","",COUNTIFS($A$2:$A96,$A96))</f>
        <v>2</v>
      </c>
      <c r="J96" s="43" t="str">
        <f aca="false">IF($A96="","",$A96&amp;"-"&amp;$I96)</f>
        <v>33-2</v>
      </c>
      <c r="K96" s="38" t="str">
        <f aca="false">IF($A96="","",IF(COUNTIF(参数!$B$6:$B$8,$H96)=0,"× 付款方式","√"))</f>
        <v>√</v>
      </c>
    </row>
    <row r="97" customFormat="false" ht="13.5" hidden="false" customHeight="false" outlineLevel="0" collapsed="false">
      <c r="A97" s="41" t="n">
        <v>33</v>
      </c>
      <c r="B97" s="42" t="n">
        <v>46265</v>
      </c>
      <c r="C97" s="36" t="s">
        <v>174</v>
      </c>
      <c r="D97" s="36" t="s">
        <v>425</v>
      </c>
      <c r="E97" s="36" t="s">
        <v>258</v>
      </c>
      <c r="F97" s="36" t="s">
        <v>425</v>
      </c>
      <c r="G97" s="37" t="n">
        <v>7.98</v>
      </c>
      <c r="H97" s="36" t="s">
        <v>68</v>
      </c>
      <c r="I97" s="43" t="n">
        <f aca="false">IF($A97="","",COUNTIFS($A$2:$A97,$A97))</f>
        <v>3</v>
      </c>
      <c r="J97" s="43" t="str">
        <f aca="false">IF($A97="","",$A97&amp;"-"&amp;$I97)</f>
        <v>33-3</v>
      </c>
      <c r="K97" s="38" t="str">
        <f aca="false">IF($A97="","",IF(COUNTIF(参数!$B$6:$B$8,$H97)=0,"× 付款方式","√"))</f>
        <v>√</v>
      </c>
    </row>
    <row r="98" customFormat="false" ht="13.5" hidden="false" customHeight="false" outlineLevel="0" collapsed="false">
      <c r="A98" s="41" t="n">
        <v>33</v>
      </c>
      <c r="B98" s="42" t="n">
        <v>46265</v>
      </c>
      <c r="C98" s="36" t="s">
        <v>174</v>
      </c>
      <c r="D98" s="36" t="s">
        <v>421</v>
      </c>
      <c r="E98" s="36" t="s">
        <v>258</v>
      </c>
      <c r="F98" s="36" t="s">
        <v>421</v>
      </c>
      <c r="G98" s="37" t="n">
        <v>600</v>
      </c>
      <c r="H98" s="36" t="s">
        <v>68</v>
      </c>
      <c r="I98" s="43" t="n">
        <f aca="false">IF($A98="","",COUNTIFS($A$2:$A98,$A98))</f>
        <v>4</v>
      </c>
      <c r="J98" s="43" t="str">
        <f aca="false">IF($A98="","",$A98&amp;"-"&amp;$I98)</f>
        <v>33-4</v>
      </c>
      <c r="K98" s="38" t="str">
        <f aca="false">IF($A98="","",IF(COUNTIF(参数!$B$6:$B$8,$H98)=0,"× 付款方式","√"))</f>
        <v>√</v>
      </c>
    </row>
    <row r="99" customFormat="false" ht="13.5" hidden="false" customHeight="false" outlineLevel="0" collapsed="false">
      <c r="A99" s="41" t="n">
        <v>34</v>
      </c>
      <c r="B99" s="42" t="n">
        <v>46265</v>
      </c>
      <c r="C99" s="36" t="s">
        <v>176</v>
      </c>
      <c r="D99" s="36" t="s">
        <v>446</v>
      </c>
      <c r="E99" s="36" t="s">
        <v>258</v>
      </c>
      <c r="F99" s="36" t="s">
        <v>424</v>
      </c>
      <c r="G99" s="37" t="n">
        <v>145</v>
      </c>
      <c r="H99" s="36" t="s">
        <v>68</v>
      </c>
      <c r="I99" s="43" t="n">
        <f aca="false">IF($A99="","",COUNTIFS($A$2:$A99,$A99))</f>
        <v>1</v>
      </c>
      <c r="J99" s="43" t="str">
        <f aca="false">IF($A99="","",$A99&amp;"-"&amp;$I99)</f>
        <v>34-1</v>
      </c>
      <c r="K99" s="38" t="str">
        <f aca="false">IF($A99="","",IF(COUNTIF(参数!$B$6:$B$8,$H99)=0,"× 付款方式","√"))</f>
        <v>√</v>
      </c>
    </row>
    <row r="100" customFormat="false" ht="13.5" hidden="false" customHeight="false" outlineLevel="0" collapsed="false">
      <c r="A100" s="41" t="n">
        <v>34</v>
      </c>
      <c r="B100" s="42" t="n">
        <v>46265</v>
      </c>
      <c r="C100" s="36" t="s">
        <v>176</v>
      </c>
      <c r="D100" s="36" t="s">
        <v>421</v>
      </c>
      <c r="E100" s="36" t="s">
        <v>258</v>
      </c>
      <c r="F100" s="36" t="s">
        <v>421</v>
      </c>
      <c r="G100" s="37" t="n">
        <v>1000</v>
      </c>
      <c r="H100" s="36" t="s">
        <v>68</v>
      </c>
      <c r="I100" s="43" t="n">
        <f aca="false">IF($A100="","",COUNTIFS($A$2:$A100,$A100))</f>
        <v>2</v>
      </c>
      <c r="J100" s="43" t="str">
        <f aca="false">IF($A100="","",$A100&amp;"-"&amp;$I100)</f>
        <v>34-2</v>
      </c>
      <c r="K100" s="38" t="str">
        <f aca="false">IF($A100="","",IF(COUNTIF(参数!$B$6:$B$8,$H100)=0,"× 付款方式","√"))</f>
        <v>√</v>
      </c>
    </row>
    <row r="101" customFormat="false" ht="13.5" hidden="false" customHeight="false" outlineLevel="0" collapsed="false">
      <c r="A101" s="41" t="n">
        <v>34</v>
      </c>
      <c r="B101" s="42" t="n">
        <v>46265</v>
      </c>
      <c r="C101" s="36" t="s">
        <v>176</v>
      </c>
      <c r="D101" s="36" t="s">
        <v>425</v>
      </c>
      <c r="E101" s="36" t="s">
        <v>258</v>
      </c>
      <c r="F101" s="36" t="s">
        <v>425</v>
      </c>
      <c r="G101" s="37" t="n">
        <v>13</v>
      </c>
      <c r="H101" s="36" t="s">
        <v>68</v>
      </c>
      <c r="I101" s="43" t="n">
        <f aca="false">IF($A101="","",COUNTIFS($A$2:$A101,$A101))</f>
        <v>3</v>
      </c>
      <c r="J101" s="43" t="str">
        <f aca="false">IF($A101="","",$A101&amp;"-"&amp;$I101)</f>
        <v>34-3</v>
      </c>
      <c r="K101" s="38" t="str">
        <f aca="false">IF($A101="","",IF(COUNTIF(参数!$B$6:$B$8,$H101)=0,"× 付款方式","√"))</f>
        <v>√</v>
      </c>
    </row>
    <row r="102" customFormat="false" ht="13.5" hidden="false" customHeight="false" outlineLevel="0" collapsed="false">
      <c r="A102" s="41" t="n">
        <v>34</v>
      </c>
      <c r="B102" s="42" t="n">
        <v>46265</v>
      </c>
      <c r="C102" s="36" t="s">
        <v>176</v>
      </c>
      <c r="D102" s="36" t="s">
        <v>426</v>
      </c>
      <c r="E102" s="36" t="s">
        <v>265</v>
      </c>
      <c r="F102" s="36" t="s">
        <v>264</v>
      </c>
      <c r="G102" s="37" t="n">
        <v>35.7</v>
      </c>
      <c r="H102" s="36" t="s">
        <v>68</v>
      </c>
      <c r="I102" s="43" t="n">
        <f aca="false">IF($A102="","",COUNTIFS($A$2:$A102,$A102))</f>
        <v>4</v>
      </c>
      <c r="J102" s="43" t="str">
        <f aca="false">IF($A102="","",$A102&amp;"-"&amp;$I102)</f>
        <v>34-4</v>
      </c>
      <c r="K102" s="38" t="str">
        <f aca="false">IF($A102="","",IF(COUNTIF(参数!$B$6:$B$8,$H102)=0,"× 付款方式","√"))</f>
        <v>√</v>
      </c>
    </row>
    <row r="103" customFormat="false" ht="13.5" hidden="false" customHeight="false" outlineLevel="0" collapsed="false">
      <c r="A103" s="41" t="n">
        <v>35</v>
      </c>
      <c r="B103" s="42" t="n">
        <v>46265</v>
      </c>
      <c r="C103" s="36" t="s">
        <v>180</v>
      </c>
      <c r="D103" s="36" t="s">
        <v>421</v>
      </c>
      <c r="E103" s="36" t="s">
        <v>258</v>
      </c>
      <c r="F103" s="36" t="s">
        <v>421</v>
      </c>
      <c r="G103" s="37" t="n">
        <v>500</v>
      </c>
      <c r="H103" s="36" t="s">
        <v>68</v>
      </c>
      <c r="I103" s="43" t="n">
        <f aca="false">IF($A103="","",COUNTIFS($A$2:$A103,$A103))</f>
        <v>1</v>
      </c>
      <c r="J103" s="43" t="str">
        <f aca="false">IF($A103="","",$A103&amp;"-"&amp;$I103)</f>
        <v>35-1</v>
      </c>
      <c r="K103" s="38" t="str">
        <f aca="false">IF($A103="","",IF(COUNTIF(参数!$B$6:$B$8,$H103)=0,"× 付款方式","√"))</f>
        <v>√</v>
      </c>
    </row>
    <row r="104" customFormat="false" ht="13.5" hidden="false" customHeight="false" outlineLevel="0" collapsed="false">
      <c r="A104" s="41" t="n">
        <v>35</v>
      </c>
      <c r="B104" s="42" t="n">
        <v>46265</v>
      </c>
      <c r="C104" s="36" t="s">
        <v>180</v>
      </c>
      <c r="D104" s="36" t="s">
        <v>430</v>
      </c>
      <c r="E104" s="36" t="s">
        <v>258</v>
      </c>
      <c r="F104" s="36" t="s">
        <v>430</v>
      </c>
      <c r="G104" s="37" t="n">
        <v>100</v>
      </c>
      <c r="H104" s="36" t="s">
        <v>68</v>
      </c>
      <c r="I104" s="43" t="n">
        <f aca="false">IF($A104="","",COUNTIFS($A$2:$A104,$A104))</f>
        <v>2</v>
      </c>
      <c r="J104" s="43" t="str">
        <f aca="false">IF($A104="","",$A104&amp;"-"&amp;$I104)</f>
        <v>35-2</v>
      </c>
      <c r="K104" s="38" t="str">
        <f aca="false">IF($A104="","",IF(COUNTIF(参数!$B$6:$B$8,$H104)=0,"× 付款方式","√"))</f>
        <v>√</v>
      </c>
    </row>
    <row r="105" customFormat="false" ht="13.5" hidden="false" customHeight="false" outlineLevel="0" collapsed="false">
      <c r="A105" s="41" t="n">
        <v>36</v>
      </c>
      <c r="B105" s="42" t="n">
        <v>46265</v>
      </c>
      <c r="C105" s="36" t="s">
        <v>182</v>
      </c>
      <c r="D105" s="36" t="s">
        <v>421</v>
      </c>
      <c r="E105" s="36" t="s">
        <v>258</v>
      </c>
      <c r="F105" s="36" t="s">
        <v>421</v>
      </c>
      <c r="G105" s="37" t="n">
        <v>300</v>
      </c>
      <c r="H105" s="36" t="s">
        <v>68</v>
      </c>
      <c r="I105" s="43" t="n">
        <f aca="false">IF($A105="","",COUNTIFS($A$2:$A105,$A105))</f>
        <v>1</v>
      </c>
      <c r="J105" s="43" t="str">
        <f aca="false">IF($A105="","",$A105&amp;"-"&amp;$I105)</f>
        <v>36-1</v>
      </c>
      <c r="K105" s="38" t="str">
        <f aca="false">IF($A105="","",IF(COUNTIF(参数!$B$6:$B$8,$H105)=0,"× 付款方式","√"))</f>
        <v>√</v>
      </c>
    </row>
    <row r="106" customFormat="false" ht="13.5" hidden="false" customHeight="false" outlineLevel="0" collapsed="false">
      <c r="A106" s="41" t="n">
        <v>36</v>
      </c>
      <c r="B106" s="42" t="n">
        <v>46265</v>
      </c>
      <c r="C106" s="36" t="s">
        <v>182</v>
      </c>
      <c r="D106" s="36" t="s">
        <v>447</v>
      </c>
      <c r="E106" s="36" t="s">
        <v>258</v>
      </c>
      <c r="F106" s="36" t="s">
        <v>424</v>
      </c>
      <c r="G106" s="37" t="n">
        <v>50</v>
      </c>
      <c r="H106" s="36" t="s">
        <v>68</v>
      </c>
      <c r="I106" s="43" t="n">
        <f aca="false">IF($A106="","",COUNTIFS($A$2:$A106,$A106))</f>
        <v>2</v>
      </c>
      <c r="J106" s="43" t="str">
        <f aca="false">IF($A106="","",$A106&amp;"-"&amp;$I106)</f>
        <v>36-2</v>
      </c>
      <c r="K106" s="38" t="str">
        <f aca="false">IF($A106="","",IF(COUNTIF(参数!$B$6:$B$8,$H106)=0,"× 付款方式","√"))</f>
        <v>√</v>
      </c>
    </row>
    <row r="107" customFormat="false" ht="13.5" hidden="false" customHeight="false" outlineLevel="0" collapsed="false">
      <c r="A107" s="41" t="n">
        <v>36</v>
      </c>
      <c r="B107" s="42" t="n">
        <v>46265</v>
      </c>
      <c r="C107" s="36" t="s">
        <v>182</v>
      </c>
      <c r="D107" s="36" t="s">
        <v>425</v>
      </c>
      <c r="E107" s="36" t="s">
        <v>258</v>
      </c>
      <c r="F107" s="36" t="s">
        <v>425</v>
      </c>
      <c r="G107" s="37" t="n">
        <v>5</v>
      </c>
      <c r="H107" s="36" t="s">
        <v>68</v>
      </c>
      <c r="I107" s="43" t="n">
        <f aca="false">IF($A107="","",COUNTIFS($A$2:$A107,$A107))</f>
        <v>3</v>
      </c>
      <c r="J107" s="43" t="str">
        <f aca="false">IF($A107="","",$A107&amp;"-"&amp;$I107)</f>
        <v>36-3</v>
      </c>
      <c r="K107" s="38" t="str">
        <f aca="false">IF($A107="","",IF(COUNTIF(参数!$B$6:$B$8,$H107)=0,"× 付款方式","√"))</f>
        <v>√</v>
      </c>
    </row>
    <row r="108" customFormat="false" ht="13.5" hidden="false" customHeight="false" outlineLevel="0" collapsed="false">
      <c r="A108" s="41" t="n">
        <v>37</v>
      </c>
      <c r="B108" s="42" t="n">
        <v>46265</v>
      </c>
      <c r="C108" s="36" t="s">
        <v>184</v>
      </c>
      <c r="D108" s="36" t="s">
        <v>421</v>
      </c>
      <c r="E108" s="36" t="s">
        <v>258</v>
      </c>
      <c r="F108" s="36" t="s">
        <v>421</v>
      </c>
      <c r="G108" s="37" t="n">
        <v>4000</v>
      </c>
      <c r="H108" s="36" t="s">
        <v>68</v>
      </c>
      <c r="I108" s="43" t="n">
        <f aca="false">IF($A108="","",COUNTIFS($A$2:$A108,$A108))</f>
        <v>1</v>
      </c>
      <c r="J108" s="43" t="str">
        <f aca="false">IF($A108="","",$A108&amp;"-"&amp;$I108)</f>
        <v>37-1</v>
      </c>
      <c r="K108" s="38" t="str">
        <f aca="false">IF($A108="","",IF(COUNTIF(参数!$B$6:$B$8,$H108)=0,"× 付款方式","√"))</f>
        <v>√</v>
      </c>
    </row>
    <row r="109" customFormat="false" ht="13.5" hidden="false" customHeight="false" outlineLevel="0" collapsed="false">
      <c r="A109" s="41" t="n">
        <v>37</v>
      </c>
      <c r="B109" s="42" t="n">
        <v>46265</v>
      </c>
      <c r="C109" s="36" t="s">
        <v>184</v>
      </c>
      <c r="D109" s="36" t="s">
        <v>423</v>
      </c>
      <c r="E109" s="36" t="s">
        <v>258</v>
      </c>
      <c r="F109" s="36"/>
      <c r="G109" s="37" t="n">
        <v>36.9</v>
      </c>
      <c r="H109" s="36" t="s">
        <v>68</v>
      </c>
      <c r="I109" s="43" t="n">
        <f aca="false">IF($A109="","",COUNTIFS($A$2:$A109,$A109))</f>
        <v>2</v>
      </c>
      <c r="J109" s="43" t="str">
        <f aca="false">IF($A109="","",$A109&amp;"-"&amp;$I109)</f>
        <v>37-2</v>
      </c>
      <c r="K109" s="38" t="str">
        <f aca="false">IF($A109="","",IF(COUNTIF(参数!$B$6:$B$8,$H109)=0,"× 付款方式","√"))</f>
        <v>√</v>
      </c>
    </row>
    <row r="110" customFormat="false" ht="13.5" hidden="false" customHeight="false" outlineLevel="0" collapsed="false">
      <c r="A110" s="41"/>
      <c r="B110" s="42"/>
      <c r="C110" s="36"/>
      <c r="D110" s="35"/>
      <c r="E110" s="36"/>
      <c r="F110" s="36"/>
      <c r="G110" s="37"/>
      <c r="H110" s="35"/>
      <c r="I110" s="43" t="str">
        <f aca="false">IF($A110="","",COUNTIFS($A$2:$A110,$A110))</f>
        <v/>
      </c>
      <c r="J110" s="43" t="str">
        <f aca="false">IF($A110="","",$A110&amp;"-"&amp;$I110)</f>
        <v/>
      </c>
      <c r="K110" s="38" t="str">
        <f aca="false">IF($A110="","",IF(COUNTIF(参数!$B$6:$B$8,$H110)=0,"× 付款方式","√"))</f>
        <v/>
      </c>
    </row>
    <row r="111" customFormat="false" ht="13.5" hidden="false" customHeight="false" outlineLevel="0" collapsed="false">
      <c r="A111" s="41"/>
      <c r="B111" s="42"/>
      <c r="C111" s="36"/>
      <c r="D111" s="35"/>
      <c r="E111" s="36"/>
      <c r="F111" s="36"/>
      <c r="G111" s="37"/>
      <c r="H111" s="35"/>
      <c r="I111" s="43" t="str">
        <f aca="false">IF($A111="","",COUNTIFS($A$2:$A111,$A111))</f>
        <v/>
      </c>
      <c r="J111" s="43" t="str">
        <f aca="false">IF($A111="","",$A111&amp;"-"&amp;$I111)</f>
        <v/>
      </c>
      <c r="K111" s="38" t="str">
        <f aca="false">IF($A111="","",IF(COUNTIF(参数!$B$6:$B$8,$H111)=0,"× 付款方式","√"))</f>
        <v/>
      </c>
    </row>
    <row r="112" customFormat="false" ht="13.5" hidden="false" customHeight="false" outlineLevel="0" collapsed="false">
      <c r="A112" s="41"/>
      <c r="B112" s="42"/>
      <c r="C112" s="36"/>
      <c r="D112" s="35"/>
      <c r="E112" s="36"/>
      <c r="F112" s="36"/>
      <c r="G112" s="37"/>
      <c r="H112" s="35"/>
      <c r="I112" s="43" t="str">
        <f aca="false">IF($A112="","",COUNTIFS($A$2:$A112,$A112))</f>
        <v/>
      </c>
      <c r="J112" s="43" t="str">
        <f aca="false">IF($A112="","",$A112&amp;"-"&amp;$I112)</f>
        <v/>
      </c>
      <c r="K112" s="38" t="str">
        <f aca="false">IF($A112="","",IF(COUNTIF(参数!$B$6:$B$8,$H112)=0,"× 付款方式","√"))</f>
        <v/>
      </c>
    </row>
    <row r="113" customFormat="false" ht="13.5" hidden="false" customHeight="false" outlineLevel="0" collapsed="false">
      <c r="A113" s="41"/>
      <c r="B113" s="42"/>
      <c r="C113" s="36"/>
      <c r="D113" s="35"/>
      <c r="E113" s="36"/>
      <c r="F113" s="36"/>
      <c r="G113" s="37"/>
      <c r="H113" s="35"/>
      <c r="I113" s="43" t="str">
        <f aca="false">IF($A113="","",COUNTIFS($A$2:$A113,$A113))</f>
        <v/>
      </c>
      <c r="J113" s="43" t="str">
        <f aca="false">IF($A113="","",$A113&amp;"-"&amp;$I113)</f>
        <v/>
      </c>
      <c r="K113" s="38" t="str">
        <f aca="false">IF($A113="","",IF(COUNTIF(参数!$B$6:$B$8,$H113)=0,"× 付款方式","√"))</f>
        <v/>
      </c>
    </row>
    <row r="114" customFormat="false" ht="13.5" hidden="false" customHeight="false" outlineLevel="0" collapsed="false">
      <c r="A114" s="41"/>
      <c r="B114" s="42"/>
      <c r="C114" s="36"/>
      <c r="D114" s="35"/>
      <c r="E114" s="36"/>
      <c r="F114" s="36"/>
      <c r="G114" s="37"/>
      <c r="H114" s="35"/>
      <c r="I114" s="43" t="str">
        <f aca="false">IF($A114="","",COUNTIFS($A$2:$A114,$A114))</f>
        <v/>
      </c>
      <c r="J114" s="43" t="str">
        <f aca="false">IF($A114="","",$A114&amp;"-"&amp;$I114)</f>
        <v/>
      </c>
      <c r="K114" s="38" t="str">
        <f aca="false">IF($A114="","",IF(COUNTIF(参数!$B$6:$B$8,$H114)=0,"× 付款方式","√"))</f>
        <v/>
      </c>
    </row>
    <row r="115" customFormat="false" ht="13.5" hidden="false" customHeight="false" outlineLevel="0" collapsed="false">
      <c r="A115" s="41"/>
      <c r="B115" s="42"/>
      <c r="C115" s="36"/>
      <c r="D115" s="35"/>
      <c r="E115" s="36"/>
      <c r="F115" s="36"/>
      <c r="G115" s="37"/>
      <c r="H115" s="35"/>
      <c r="I115" s="43" t="str">
        <f aca="false">IF($A115="","",COUNTIFS($A$2:$A115,$A115))</f>
        <v/>
      </c>
      <c r="J115" s="43" t="str">
        <f aca="false">IF($A115="","",$A115&amp;"-"&amp;$I115)</f>
        <v/>
      </c>
      <c r="K115" s="38" t="str">
        <f aca="false">IF($A115="","",IF(COUNTIF(参数!$B$6:$B$8,$H115)=0,"× 付款方式","√"))</f>
        <v/>
      </c>
    </row>
    <row r="116" customFormat="false" ht="13.5" hidden="false" customHeight="false" outlineLevel="0" collapsed="false">
      <c r="A116" s="41"/>
      <c r="B116" s="42"/>
      <c r="C116" s="36"/>
      <c r="D116" s="35"/>
      <c r="E116" s="36"/>
      <c r="F116" s="36"/>
      <c r="G116" s="37"/>
      <c r="H116" s="35"/>
      <c r="I116" s="43" t="str">
        <f aca="false">IF($A116="","",COUNTIFS($A$2:$A116,$A116))</f>
        <v/>
      </c>
      <c r="J116" s="43" t="str">
        <f aca="false">IF($A116="","",$A116&amp;"-"&amp;$I116)</f>
        <v/>
      </c>
      <c r="K116" s="38" t="str">
        <f aca="false">IF($A116="","",IF(COUNTIF(参数!$B$6:$B$8,$H116)=0,"× 付款方式","√"))</f>
        <v/>
      </c>
    </row>
    <row r="117" customFormat="false" ht="13.5" hidden="false" customHeight="false" outlineLevel="0" collapsed="false">
      <c r="A117" s="41"/>
      <c r="B117" s="42"/>
      <c r="C117" s="36"/>
      <c r="D117" s="35"/>
      <c r="E117" s="36"/>
      <c r="F117" s="36"/>
      <c r="G117" s="37"/>
      <c r="H117" s="35"/>
      <c r="I117" s="43" t="str">
        <f aca="false">IF($A117="","",COUNTIFS($A$2:$A117,$A117))</f>
        <v/>
      </c>
      <c r="J117" s="43" t="str">
        <f aca="false">IF($A117="","",$A117&amp;"-"&amp;$I117)</f>
        <v/>
      </c>
      <c r="K117" s="38" t="str">
        <f aca="false">IF($A117="","",IF(COUNTIF(参数!$B$6:$B$8,$H117)=0,"× 付款方式","√"))</f>
        <v/>
      </c>
    </row>
    <row r="118" customFormat="false" ht="13.5" hidden="false" customHeight="false" outlineLevel="0" collapsed="false">
      <c r="A118" s="41"/>
      <c r="B118" s="42"/>
      <c r="C118" s="36"/>
      <c r="D118" s="35"/>
      <c r="E118" s="36"/>
      <c r="F118" s="36"/>
      <c r="G118" s="37"/>
      <c r="H118" s="35"/>
      <c r="I118" s="43" t="str">
        <f aca="false">IF($A118="","",COUNTIFS($A$2:$A118,$A118))</f>
        <v/>
      </c>
      <c r="J118" s="43" t="str">
        <f aca="false">IF($A118="","",$A118&amp;"-"&amp;$I118)</f>
        <v/>
      </c>
      <c r="K118" s="38" t="str">
        <f aca="false">IF($A118="","",IF(COUNTIF(参数!$B$6:$B$8,$H118)=0,"× 付款方式","√"))</f>
        <v/>
      </c>
    </row>
    <row r="119" customFormat="false" ht="13.5" hidden="false" customHeight="false" outlineLevel="0" collapsed="false">
      <c r="A119" s="41"/>
      <c r="B119" s="42"/>
      <c r="C119" s="36"/>
      <c r="D119" s="35"/>
      <c r="E119" s="36"/>
      <c r="F119" s="36"/>
      <c r="G119" s="37"/>
      <c r="H119" s="35"/>
      <c r="I119" s="43" t="str">
        <f aca="false">IF($A119="","",COUNTIFS($A$2:$A119,$A119))</f>
        <v/>
      </c>
      <c r="J119" s="43" t="str">
        <f aca="false">IF($A119="","",$A119&amp;"-"&amp;$I119)</f>
        <v/>
      </c>
      <c r="K119" s="38" t="str">
        <f aca="false">IF($A119="","",IF(COUNTIF(参数!$B$6:$B$8,$H119)=0,"× 付款方式","√"))</f>
        <v/>
      </c>
    </row>
    <row r="120" customFormat="false" ht="13.5" hidden="false" customHeight="false" outlineLevel="0" collapsed="false">
      <c r="A120" s="41"/>
      <c r="B120" s="42"/>
      <c r="C120" s="36"/>
      <c r="D120" s="35"/>
      <c r="E120" s="36"/>
      <c r="F120" s="36"/>
      <c r="G120" s="37"/>
      <c r="H120" s="35"/>
      <c r="I120" s="43" t="str">
        <f aca="false">IF($A120="","",COUNTIFS($A$2:$A120,$A120))</f>
        <v/>
      </c>
      <c r="J120" s="43" t="str">
        <f aca="false">IF($A120="","",$A120&amp;"-"&amp;$I120)</f>
        <v/>
      </c>
      <c r="K120" s="38" t="str">
        <f aca="false">IF($A120="","",IF(COUNTIF(参数!$B$6:$B$8,$H120)=0,"× 付款方式","√"))</f>
        <v/>
      </c>
    </row>
    <row r="121" customFormat="false" ht="13.5" hidden="false" customHeight="false" outlineLevel="0" collapsed="false">
      <c r="A121" s="41"/>
      <c r="B121" s="42"/>
      <c r="C121" s="36"/>
      <c r="D121" s="35"/>
      <c r="E121" s="36"/>
      <c r="F121" s="36"/>
      <c r="G121" s="37"/>
      <c r="H121" s="35"/>
      <c r="I121" s="43" t="str">
        <f aca="false">IF($A121="","",COUNTIFS($A$2:$A121,$A121))</f>
        <v/>
      </c>
      <c r="J121" s="43" t="str">
        <f aca="false">IF($A121="","",$A121&amp;"-"&amp;$I121)</f>
        <v/>
      </c>
      <c r="K121" s="38" t="str">
        <f aca="false">IF($A121="","",IF(COUNTIF(参数!$B$6:$B$8,$H121)=0,"× 付款方式","√"))</f>
        <v/>
      </c>
    </row>
    <row r="122" customFormat="false" ht="13.5" hidden="false" customHeight="false" outlineLevel="0" collapsed="false">
      <c r="A122" s="41"/>
      <c r="B122" s="42"/>
      <c r="C122" s="36"/>
      <c r="D122" s="35"/>
      <c r="E122" s="36"/>
      <c r="F122" s="36"/>
      <c r="G122" s="37"/>
      <c r="H122" s="35"/>
      <c r="I122" s="43" t="str">
        <f aca="false">IF($A122="","",COUNTIFS($A$2:$A122,$A122))</f>
        <v/>
      </c>
      <c r="J122" s="43" t="str">
        <f aca="false">IF($A122="","",$A122&amp;"-"&amp;$I122)</f>
        <v/>
      </c>
      <c r="K122" s="38" t="str">
        <f aca="false">IF($A122="","",IF(COUNTIF(参数!$B$6:$B$8,$H122)=0,"× 付款方式","√"))</f>
        <v/>
      </c>
    </row>
    <row r="123" customFormat="false" ht="13.5" hidden="false" customHeight="false" outlineLevel="0" collapsed="false">
      <c r="A123" s="41"/>
      <c r="B123" s="42"/>
      <c r="C123" s="36"/>
      <c r="D123" s="35"/>
      <c r="E123" s="36"/>
      <c r="F123" s="36"/>
      <c r="G123" s="37"/>
      <c r="H123" s="35"/>
      <c r="I123" s="43" t="str">
        <f aca="false">IF($A123="","",COUNTIFS($A$2:$A123,$A123))</f>
        <v/>
      </c>
      <c r="J123" s="43" t="str">
        <f aca="false">IF($A123="","",$A123&amp;"-"&amp;$I123)</f>
        <v/>
      </c>
      <c r="K123" s="38" t="str">
        <f aca="false">IF($A123="","",IF(COUNTIF(参数!$B$6:$B$8,$H123)=0,"× 付款方式","√"))</f>
        <v/>
      </c>
    </row>
    <row r="124" customFormat="false" ht="13.5" hidden="false" customHeight="false" outlineLevel="0" collapsed="false">
      <c r="A124" s="41"/>
      <c r="B124" s="42"/>
      <c r="C124" s="36"/>
      <c r="D124" s="35"/>
      <c r="E124" s="36"/>
      <c r="F124" s="36"/>
      <c r="G124" s="37"/>
      <c r="H124" s="35"/>
      <c r="I124" s="43" t="str">
        <f aca="false">IF($A124="","",COUNTIFS($A$2:$A124,$A124))</f>
        <v/>
      </c>
      <c r="J124" s="43" t="str">
        <f aca="false">IF($A124="","",$A124&amp;"-"&amp;$I124)</f>
        <v/>
      </c>
      <c r="K124" s="38" t="str">
        <f aca="false">IF($A124="","",IF(COUNTIF(参数!$B$6:$B$8,$H124)=0,"× 付款方式","√"))</f>
        <v/>
      </c>
    </row>
    <row r="125" customFormat="false" ht="13.5" hidden="false" customHeight="false" outlineLevel="0" collapsed="false">
      <c r="A125" s="41"/>
      <c r="B125" s="42"/>
      <c r="C125" s="36"/>
      <c r="D125" s="35"/>
      <c r="E125" s="36"/>
      <c r="F125" s="36"/>
      <c r="G125" s="37"/>
      <c r="H125" s="35"/>
      <c r="I125" s="43" t="str">
        <f aca="false">IF($A125="","",COUNTIFS($A$2:$A125,$A125))</f>
        <v/>
      </c>
      <c r="J125" s="43" t="str">
        <f aca="false">IF($A125="","",$A125&amp;"-"&amp;$I125)</f>
        <v/>
      </c>
      <c r="K125" s="38" t="str">
        <f aca="false">IF($A125="","",IF(COUNTIF(参数!$B$6:$B$8,$H125)=0,"× 付款方式","√"))</f>
        <v/>
      </c>
    </row>
    <row r="126" customFormat="false" ht="13.5" hidden="false" customHeight="false" outlineLevel="0" collapsed="false">
      <c r="A126" s="41"/>
      <c r="B126" s="42"/>
      <c r="C126" s="36"/>
      <c r="D126" s="35"/>
      <c r="E126" s="36"/>
      <c r="F126" s="36"/>
      <c r="G126" s="37"/>
      <c r="H126" s="35"/>
      <c r="I126" s="43" t="str">
        <f aca="false">IF($A126="","",COUNTIFS($A$2:$A126,$A126))</f>
        <v/>
      </c>
      <c r="J126" s="43" t="str">
        <f aca="false">IF($A126="","",$A126&amp;"-"&amp;$I126)</f>
        <v/>
      </c>
      <c r="K126" s="38" t="str">
        <f aca="false">IF($A126="","",IF(COUNTIF(参数!$B$6:$B$8,$H126)=0,"× 付款方式","√"))</f>
        <v/>
      </c>
    </row>
    <row r="127" customFormat="false" ht="13.5" hidden="false" customHeight="false" outlineLevel="0" collapsed="false">
      <c r="A127" s="41"/>
      <c r="B127" s="42"/>
      <c r="C127" s="36"/>
      <c r="D127" s="35"/>
      <c r="E127" s="36"/>
      <c r="F127" s="36"/>
      <c r="G127" s="37"/>
      <c r="H127" s="35"/>
      <c r="I127" s="43" t="str">
        <f aca="false">IF($A127="","",COUNTIFS($A$2:$A127,$A127))</f>
        <v/>
      </c>
      <c r="J127" s="43" t="str">
        <f aca="false">IF($A127="","",$A127&amp;"-"&amp;$I127)</f>
        <v/>
      </c>
      <c r="K127" s="38" t="str">
        <f aca="false">IF($A127="","",IF(COUNTIF(参数!$B$6:$B$8,$H127)=0,"× 付款方式","√"))</f>
        <v/>
      </c>
    </row>
    <row r="128" customFormat="false" ht="13.5" hidden="false" customHeight="false" outlineLevel="0" collapsed="false">
      <c r="A128" s="41"/>
      <c r="B128" s="42"/>
      <c r="C128" s="36"/>
      <c r="D128" s="35"/>
      <c r="E128" s="36"/>
      <c r="F128" s="36"/>
      <c r="G128" s="37"/>
      <c r="H128" s="35"/>
      <c r="I128" s="43" t="str">
        <f aca="false">IF($A128="","",COUNTIFS($A$2:$A128,$A128))</f>
        <v/>
      </c>
      <c r="J128" s="43" t="str">
        <f aca="false">IF($A128="","",$A128&amp;"-"&amp;$I128)</f>
        <v/>
      </c>
      <c r="K128" s="38" t="str">
        <f aca="false">IF($A128="","",IF(COUNTIF(参数!$B$6:$B$8,$H128)=0,"× 付款方式","√"))</f>
        <v/>
      </c>
    </row>
    <row r="129" customFormat="false" ht="13.5" hidden="false" customHeight="false" outlineLevel="0" collapsed="false">
      <c r="A129" s="41"/>
      <c r="B129" s="42"/>
      <c r="C129" s="36"/>
      <c r="D129" s="35"/>
      <c r="E129" s="36"/>
      <c r="F129" s="36"/>
      <c r="G129" s="37"/>
      <c r="H129" s="35"/>
      <c r="I129" s="43" t="str">
        <f aca="false">IF($A129="","",COUNTIFS($A$2:$A129,$A129))</f>
        <v/>
      </c>
      <c r="J129" s="43" t="str">
        <f aca="false">IF($A129="","",$A129&amp;"-"&amp;$I129)</f>
        <v/>
      </c>
      <c r="K129" s="38" t="str">
        <f aca="false">IF($A129="","",IF(COUNTIF(参数!$B$6:$B$8,$H129)=0,"× 付款方式","√"))</f>
        <v/>
      </c>
    </row>
    <row r="130" customFormat="false" ht="13.5" hidden="false" customHeight="false" outlineLevel="0" collapsed="false">
      <c r="A130" s="41"/>
      <c r="B130" s="42"/>
      <c r="C130" s="36"/>
      <c r="D130" s="35"/>
      <c r="E130" s="36"/>
      <c r="F130" s="36"/>
      <c r="G130" s="37"/>
      <c r="H130" s="35"/>
      <c r="I130" s="43" t="str">
        <f aca="false">IF($A130="","",COUNTIFS($A$2:$A130,$A130))</f>
        <v/>
      </c>
      <c r="J130" s="43" t="str">
        <f aca="false">IF($A130="","",$A130&amp;"-"&amp;$I130)</f>
        <v/>
      </c>
      <c r="K130" s="38" t="str">
        <f aca="false">IF($A130="","",IF(COUNTIF(参数!$B$6:$B$8,$H130)=0,"× 付款方式","√"))</f>
        <v/>
      </c>
    </row>
    <row r="131" customFormat="false" ht="13.5" hidden="false" customHeight="false" outlineLevel="0" collapsed="false">
      <c r="A131" s="41"/>
      <c r="B131" s="42"/>
      <c r="C131" s="36"/>
      <c r="D131" s="35"/>
      <c r="E131" s="36"/>
      <c r="F131" s="36"/>
      <c r="G131" s="37"/>
      <c r="H131" s="35"/>
      <c r="I131" s="43" t="str">
        <f aca="false">IF($A131="","",COUNTIFS($A$2:$A131,$A131))</f>
        <v/>
      </c>
      <c r="J131" s="43" t="str">
        <f aca="false">IF($A131="","",$A131&amp;"-"&amp;$I131)</f>
        <v/>
      </c>
      <c r="K131" s="38" t="str">
        <f aca="false">IF($A131="","",IF(COUNTIF(参数!$B$6:$B$8,$H131)=0,"× 付款方式","√"))</f>
        <v/>
      </c>
    </row>
    <row r="132" customFormat="false" ht="13.5" hidden="false" customHeight="false" outlineLevel="0" collapsed="false">
      <c r="A132" s="41"/>
      <c r="B132" s="42"/>
      <c r="C132" s="36"/>
      <c r="D132" s="35"/>
      <c r="E132" s="36"/>
      <c r="F132" s="36"/>
      <c r="G132" s="37"/>
      <c r="H132" s="35"/>
      <c r="I132" s="43" t="str">
        <f aca="false">IF($A132="","",COUNTIFS($A$2:$A132,$A132))</f>
        <v/>
      </c>
      <c r="J132" s="43" t="str">
        <f aca="false">IF($A132="","",$A132&amp;"-"&amp;$I132)</f>
        <v/>
      </c>
      <c r="K132" s="38" t="str">
        <f aca="false">IF($A132="","",IF(COUNTIF(参数!$B$6:$B$8,$H132)=0,"× 付款方式","√"))</f>
        <v/>
      </c>
    </row>
    <row r="133" customFormat="false" ht="13.5" hidden="false" customHeight="false" outlineLevel="0" collapsed="false">
      <c r="A133" s="41"/>
      <c r="B133" s="42"/>
      <c r="C133" s="36"/>
      <c r="D133" s="35"/>
      <c r="E133" s="36"/>
      <c r="F133" s="36"/>
      <c r="G133" s="37"/>
      <c r="H133" s="35"/>
      <c r="I133" s="43" t="str">
        <f aca="false">IF($A133="","",COUNTIFS($A$2:$A133,$A133))</f>
        <v/>
      </c>
      <c r="J133" s="43" t="str">
        <f aca="false">IF($A133="","",$A133&amp;"-"&amp;$I133)</f>
        <v/>
      </c>
      <c r="K133" s="38" t="str">
        <f aca="false">IF($A133="","",IF(COUNTIF(参数!$B$6:$B$8,$H133)=0,"× 付款方式","√"))</f>
        <v/>
      </c>
    </row>
    <row r="134" customFormat="false" ht="13.5" hidden="false" customHeight="false" outlineLevel="0" collapsed="false">
      <c r="A134" s="41"/>
      <c r="B134" s="42"/>
      <c r="C134" s="36"/>
      <c r="D134" s="35"/>
      <c r="E134" s="36"/>
      <c r="F134" s="36"/>
      <c r="G134" s="37"/>
      <c r="H134" s="35"/>
      <c r="I134" s="43" t="str">
        <f aca="false">IF($A134="","",COUNTIFS($A$2:$A134,$A134))</f>
        <v/>
      </c>
      <c r="J134" s="43" t="str">
        <f aca="false">IF($A134="","",$A134&amp;"-"&amp;$I134)</f>
        <v/>
      </c>
      <c r="K134" s="38" t="str">
        <f aca="false">IF($A134="","",IF(COUNTIF(参数!$B$6:$B$8,$H134)=0,"× 付款方式","√"))</f>
        <v/>
      </c>
    </row>
    <row r="135" customFormat="false" ht="13.5" hidden="false" customHeight="false" outlineLevel="0" collapsed="false">
      <c r="A135" s="41"/>
      <c r="B135" s="42"/>
      <c r="C135" s="36"/>
      <c r="D135" s="35"/>
      <c r="E135" s="36"/>
      <c r="F135" s="36"/>
      <c r="G135" s="37"/>
      <c r="H135" s="35"/>
      <c r="I135" s="43" t="str">
        <f aca="false">IF($A135="","",COUNTIFS($A$2:$A135,$A135))</f>
        <v/>
      </c>
      <c r="J135" s="43" t="str">
        <f aca="false">IF($A135="","",$A135&amp;"-"&amp;$I135)</f>
        <v/>
      </c>
      <c r="K135" s="38" t="str">
        <f aca="false">IF($A135="","",IF(COUNTIF(参数!$B$6:$B$8,$H135)=0,"× 付款方式","√"))</f>
        <v/>
      </c>
    </row>
    <row r="136" customFormat="false" ht="13.5" hidden="false" customHeight="false" outlineLevel="0" collapsed="false">
      <c r="A136" s="41"/>
      <c r="B136" s="42"/>
      <c r="C136" s="36"/>
      <c r="D136" s="35"/>
      <c r="E136" s="36"/>
      <c r="F136" s="36"/>
      <c r="G136" s="37"/>
      <c r="H136" s="35"/>
      <c r="I136" s="43" t="str">
        <f aca="false">IF($A136="","",COUNTIFS($A$2:$A136,$A136))</f>
        <v/>
      </c>
      <c r="J136" s="43" t="str">
        <f aca="false">IF($A136="","",$A136&amp;"-"&amp;$I136)</f>
        <v/>
      </c>
      <c r="K136" s="38" t="str">
        <f aca="false">IF($A136="","",IF(COUNTIF(参数!$B$6:$B$8,$H136)=0,"× 付款方式","√"))</f>
        <v/>
      </c>
    </row>
    <row r="137" customFormat="false" ht="13.5" hidden="false" customHeight="false" outlineLevel="0" collapsed="false">
      <c r="A137" s="41"/>
      <c r="B137" s="42"/>
      <c r="C137" s="36"/>
      <c r="D137" s="35"/>
      <c r="E137" s="36"/>
      <c r="F137" s="36"/>
      <c r="G137" s="37"/>
      <c r="H137" s="35"/>
      <c r="I137" s="43" t="str">
        <f aca="false">IF($A137="","",COUNTIFS($A$2:$A137,$A137))</f>
        <v/>
      </c>
      <c r="J137" s="43" t="str">
        <f aca="false">IF($A137="","",$A137&amp;"-"&amp;$I137)</f>
        <v/>
      </c>
      <c r="K137" s="38" t="str">
        <f aca="false">IF($A137="","",IF(COUNTIF(参数!$B$6:$B$8,$H137)=0,"× 付款方式","√"))</f>
        <v/>
      </c>
    </row>
    <row r="138" customFormat="false" ht="13.5" hidden="false" customHeight="false" outlineLevel="0" collapsed="false">
      <c r="A138" s="41"/>
      <c r="B138" s="42"/>
      <c r="C138" s="36"/>
      <c r="D138" s="35"/>
      <c r="E138" s="36"/>
      <c r="F138" s="36"/>
      <c r="G138" s="37"/>
      <c r="H138" s="35"/>
      <c r="I138" s="43" t="str">
        <f aca="false">IF($A138="","",COUNTIFS($A$2:$A138,$A138))</f>
        <v/>
      </c>
      <c r="J138" s="43" t="str">
        <f aca="false">IF($A138="","",$A138&amp;"-"&amp;$I138)</f>
        <v/>
      </c>
      <c r="K138" s="38" t="str">
        <f aca="false">IF($A138="","",IF(COUNTIF(参数!$B$6:$B$8,$H138)=0,"× 付款方式","√"))</f>
        <v/>
      </c>
    </row>
    <row r="139" customFormat="false" ht="13.5" hidden="false" customHeight="false" outlineLevel="0" collapsed="false">
      <c r="A139" s="41"/>
      <c r="B139" s="42"/>
      <c r="C139" s="36"/>
      <c r="D139" s="35"/>
      <c r="E139" s="36"/>
      <c r="F139" s="36"/>
      <c r="G139" s="37"/>
      <c r="H139" s="35"/>
      <c r="I139" s="43" t="str">
        <f aca="false">IF($A139="","",COUNTIFS($A$2:$A139,$A139))</f>
        <v/>
      </c>
      <c r="J139" s="43" t="str">
        <f aca="false">IF($A139="","",$A139&amp;"-"&amp;$I139)</f>
        <v/>
      </c>
      <c r="K139" s="38" t="str">
        <f aca="false">IF($A139="","",IF(COUNTIF(参数!$B$6:$B$8,$H139)=0,"× 付款方式","√"))</f>
        <v/>
      </c>
    </row>
    <row r="140" customFormat="false" ht="13.5" hidden="false" customHeight="false" outlineLevel="0" collapsed="false">
      <c r="A140" s="41"/>
      <c r="B140" s="42"/>
      <c r="C140" s="36"/>
      <c r="D140" s="35"/>
      <c r="E140" s="36"/>
      <c r="F140" s="36"/>
      <c r="G140" s="37"/>
      <c r="H140" s="35"/>
      <c r="I140" s="43" t="str">
        <f aca="false">IF($A140="","",COUNTIFS($A$2:$A140,$A140))</f>
        <v/>
      </c>
      <c r="J140" s="43" t="str">
        <f aca="false">IF($A140="","",$A140&amp;"-"&amp;$I140)</f>
        <v/>
      </c>
      <c r="K140" s="38" t="str">
        <f aca="false">IF($A140="","",IF(COUNTIF(参数!$B$6:$B$8,$H140)=0,"× 付款方式","√"))</f>
        <v/>
      </c>
    </row>
    <row r="141" customFormat="false" ht="13.5" hidden="false" customHeight="false" outlineLevel="0" collapsed="false">
      <c r="A141" s="41"/>
      <c r="B141" s="42"/>
      <c r="C141" s="36"/>
      <c r="D141" s="35"/>
      <c r="E141" s="36"/>
      <c r="F141" s="36"/>
      <c r="G141" s="37"/>
      <c r="H141" s="35"/>
      <c r="I141" s="43" t="str">
        <f aca="false">IF($A141="","",COUNTIFS($A$2:$A141,$A141))</f>
        <v/>
      </c>
      <c r="J141" s="43" t="str">
        <f aca="false">IF($A141="","",$A141&amp;"-"&amp;$I141)</f>
        <v/>
      </c>
      <c r="K141" s="38" t="str">
        <f aca="false">IF($A141="","",IF(COUNTIF(参数!$B$6:$B$8,$H141)=0,"× 付款方式","√"))</f>
        <v/>
      </c>
    </row>
    <row r="142" customFormat="false" ht="13.5" hidden="false" customHeight="false" outlineLevel="0" collapsed="false">
      <c r="A142" s="41"/>
      <c r="B142" s="42"/>
      <c r="C142" s="36"/>
      <c r="D142" s="35"/>
      <c r="E142" s="36"/>
      <c r="F142" s="36"/>
      <c r="G142" s="37"/>
      <c r="H142" s="35"/>
      <c r="I142" s="43" t="str">
        <f aca="false">IF($A142="","",COUNTIFS($A$2:$A142,$A142))</f>
        <v/>
      </c>
      <c r="J142" s="43" t="str">
        <f aca="false">IF($A142="","",$A142&amp;"-"&amp;$I142)</f>
        <v/>
      </c>
      <c r="K142" s="38" t="str">
        <f aca="false">IF($A142="","",IF(COUNTIF(参数!$B$6:$B$8,$H142)=0,"× 付款方式","√"))</f>
        <v/>
      </c>
    </row>
    <row r="143" customFormat="false" ht="13.5" hidden="false" customHeight="false" outlineLevel="0" collapsed="false">
      <c r="A143" s="41"/>
      <c r="B143" s="42"/>
      <c r="C143" s="36"/>
      <c r="D143" s="35"/>
      <c r="E143" s="36"/>
      <c r="F143" s="36"/>
      <c r="G143" s="37"/>
      <c r="H143" s="35"/>
      <c r="I143" s="43" t="str">
        <f aca="false">IF($A143="","",COUNTIFS($A$2:$A143,$A143))</f>
        <v/>
      </c>
      <c r="J143" s="43" t="str">
        <f aca="false">IF($A143="","",$A143&amp;"-"&amp;$I143)</f>
        <v/>
      </c>
      <c r="K143" s="38" t="str">
        <f aca="false">IF($A143="","",IF(COUNTIF(参数!$B$6:$B$8,$H143)=0,"× 付款方式","√"))</f>
        <v/>
      </c>
    </row>
    <row r="144" customFormat="false" ht="13.5" hidden="false" customHeight="false" outlineLevel="0" collapsed="false">
      <c r="A144" s="41"/>
      <c r="B144" s="42"/>
      <c r="C144" s="36"/>
      <c r="D144" s="35"/>
      <c r="E144" s="36"/>
      <c r="F144" s="36"/>
      <c r="G144" s="37"/>
      <c r="H144" s="35"/>
      <c r="I144" s="43" t="str">
        <f aca="false">IF($A144="","",COUNTIFS($A$2:$A144,$A144))</f>
        <v/>
      </c>
      <c r="J144" s="43" t="str">
        <f aca="false">IF($A144="","",$A144&amp;"-"&amp;$I144)</f>
        <v/>
      </c>
      <c r="K144" s="38" t="str">
        <f aca="false">IF($A144="","",IF(COUNTIF(参数!$B$6:$B$8,$H144)=0,"× 付款方式","√"))</f>
        <v/>
      </c>
    </row>
    <row r="145" customFormat="false" ht="13.5" hidden="false" customHeight="false" outlineLevel="0" collapsed="false">
      <c r="A145" s="41"/>
      <c r="B145" s="42"/>
      <c r="C145" s="36"/>
      <c r="D145" s="35"/>
      <c r="E145" s="36"/>
      <c r="F145" s="36"/>
      <c r="G145" s="37"/>
      <c r="H145" s="35"/>
      <c r="I145" s="43" t="str">
        <f aca="false">IF($A145="","",COUNTIFS($A$2:$A145,$A145))</f>
        <v/>
      </c>
      <c r="J145" s="43" t="str">
        <f aca="false">IF($A145="","",$A145&amp;"-"&amp;$I145)</f>
        <v/>
      </c>
      <c r="K145" s="38" t="str">
        <f aca="false">IF($A145="","",IF(COUNTIF(参数!$B$6:$B$8,$H145)=0,"× 付款方式","√"))</f>
        <v/>
      </c>
    </row>
    <row r="146" customFormat="false" ht="13.5" hidden="false" customHeight="false" outlineLevel="0" collapsed="false">
      <c r="A146" s="41"/>
      <c r="B146" s="42"/>
      <c r="C146" s="36"/>
      <c r="D146" s="35"/>
      <c r="E146" s="36"/>
      <c r="F146" s="36"/>
      <c r="G146" s="37"/>
      <c r="H146" s="35"/>
      <c r="I146" s="43" t="str">
        <f aca="false">IF($A146="","",COUNTIFS($A$2:$A146,$A146))</f>
        <v/>
      </c>
      <c r="J146" s="43" t="str">
        <f aca="false">IF($A146="","",$A146&amp;"-"&amp;$I146)</f>
        <v/>
      </c>
      <c r="K146" s="38" t="str">
        <f aca="false">IF($A146="","",IF(COUNTIF(参数!$B$6:$B$8,$H146)=0,"× 付款方式","√"))</f>
        <v/>
      </c>
    </row>
    <row r="147" customFormat="false" ht="13.5" hidden="false" customHeight="false" outlineLevel="0" collapsed="false">
      <c r="A147" s="41"/>
      <c r="B147" s="42"/>
      <c r="C147" s="36"/>
      <c r="D147" s="35"/>
      <c r="E147" s="36"/>
      <c r="F147" s="36"/>
      <c r="G147" s="37"/>
      <c r="H147" s="35"/>
      <c r="I147" s="43" t="str">
        <f aca="false">IF($A147="","",COUNTIFS($A$2:$A147,$A147))</f>
        <v/>
      </c>
      <c r="J147" s="43" t="str">
        <f aca="false">IF($A147="","",$A147&amp;"-"&amp;$I147)</f>
        <v/>
      </c>
      <c r="K147" s="38" t="str">
        <f aca="false">IF($A147="","",IF(COUNTIF(参数!$B$6:$B$8,$H147)=0,"× 付款方式","√"))</f>
        <v/>
      </c>
    </row>
    <row r="148" customFormat="false" ht="13.5" hidden="false" customHeight="false" outlineLevel="0" collapsed="false">
      <c r="A148" s="41"/>
      <c r="B148" s="42"/>
      <c r="C148" s="36"/>
      <c r="D148" s="35"/>
      <c r="E148" s="36"/>
      <c r="F148" s="36"/>
      <c r="G148" s="37"/>
      <c r="H148" s="35"/>
      <c r="I148" s="43" t="str">
        <f aca="false">IF($A148="","",COUNTIFS($A$2:$A148,$A148))</f>
        <v/>
      </c>
      <c r="J148" s="43" t="str">
        <f aca="false">IF($A148="","",$A148&amp;"-"&amp;$I148)</f>
        <v/>
      </c>
      <c r="K148" s="38" t="str">
        <f aca="false">IF($A148="","",IF(COUNTIF(参数!$B$6:$B$8,$H148)=0,"× 付款方式","√"))</f>
        <v/>
      </c>
    </row>
    <row r="149" customFormat="false" ht="13.5" hidden="false" customHeight="false" outlineLevel="0" collapsed="false">
      <c r="A149" s="41"/>
      <c r="B149" s="42"/>
      <c r="C149" s="36"/>
      <c r="D149" s="35"/>
      <c r="E149" s="36"/>
      <c r="F149" s="36"/>
      <c r="G149" s="37"/>
      <c r="H149" s="35"/>
      <c r="I149" s="43" t="str">
        <f aca="false">IF($A149="","",COUNTIFS($A$2:$A149,$A149))</f>
        <v/>
      </c>
      <c r="J149" s="43" t="str">
        <f aca="false">IF($A149="","",$A149&amp;"-"&amp;$I149)</f>
        <v/>
      </c>
      <c r="K149" s="38" t="str">
        <f aca="false">IF($A149="","",IF(COUNTIF(参数!$B$6:$B$8,$H149)=0,"× 付款方式","√"))</f>
        <v/>
      </c>
    </row>
    <row r="150" customFormat="false" ht="13.5" hidden="false" customHeight="false" outlineLevel="0" collapsed="false">
      <c r="A150" s="41"/>
      <c r="B150" s="42"/>
      <c r="C150" s="36"/>
      <c r="D150" s="35"/>
      <c r="E150" s="36"/>
      <c r="F150" s="36"/>
      <c r="G150" s="37"/>
      <c r="H150" s="35"/>
      <c r="I150" s="43" t="str">
        <f aca="false">IF($A150="","",COUNTIFS($A$2:$A150,$A150))</f>
        <v/>
      </c>
      <c r="J150" s="43" t="str">
        <f aca="false">IF($A150="","",$A150&amp;"-"&amp;$I150)</f>
        <v/>
      </c>
      <c r="K150" s="38" t="str">
        <f aca="false">IF($A150="","",IF(COUNTIF(参数!$B$6:$B$8,$H150)=0,"× 付款方式","√"))</f>
        <v/>
      </c>
    </row>
    <row r="151" customFormat="false" ht="13.5" hidden="false" customHeight="false" outlineLevel="0" collapsed="false">
      <c r="A151" s="41"/>
      <c r="B151" s="42"/>
      <c r="C151" s="36"/>
      <c r="D151" s="35"/>
      <c r="E151" s="36"/>
      <c r="F151" s="36"/>
      <c r="G151" s="37"/>
      <c r="H151" s="35"/>
      <c r="I151" s="43" t="str">
        <f aca="false">IF($A151="","",COUNTIFS($A$2:$A151,$A151))</f>
        <v/>
      </c>
      <c r="J151" s="43" t="str">
        <f aca="false">IF($A151="","",$A151&amp;"-"&amp;$I151)</f>
        <v/>
      </c>
      <c r="K151" s="38" t="str">
        <f aca="false">IF($A151="","",IF(COUNTIF(参数!$B$6:$B$8,$H151)=0,"× 付款方式","√"))</f>
        <v/>
      </c>
    </row>
    <row r="152" customFormat="false" ht="13.5" hidden="false" customHeight="false" outlineLevel="0" collapsed="false">
      <c r="A152" s="41"/>
      <c r="B152" s="42"/>
      <c r="C152" s="36"/>
      <c r="D152" s="35"/>
      <c r="E152" s="36"/>
      <c r="F152" s="36"/>
      <c r="G152" s="37"/>
      <c r="H152" s="35"/>
      <c r="I152" s="43" t="str">
        <f aca="false">IF($A152="","",COUNTIFS($A$2:$A152,$A152))</f>
        <v/>
      </c>
      <c r="J152" s="43" t="str">
        <f aca="false">IF($A152="","",$A152&amp;"-"&amp;$I152)</f>
        <v/>
      </c>
      <c r="K152" s="38" t="str">
        <f aca="false">IF($A152="","",IF(COUNTIF(参数!$B$6:$B$8,$H152)=0,"× 付款方式","√"))</f>
        <v/>
      </c>
    </row>
    <row r="153" customFormat="false" ht="13.5" hidden="false" customHeight="false" outlineLevel="0" collapsed="false">
      <c r="A153" s="41"/>
      <c r="B153" s="42"/>
      <c r="C153" s="36"/>
      <c r="D153" s="35"/>
      <c r="E153" s="36"/>
      <c r="F153" s="36"/>
      <c r="G153" s="37"/>
      <c r="H153" s="35"/>
      <c r="I153" s="43" t="str">
        <f aca="false">IF($A153="","",COUNTIFS($A$2:$A153,$A153))</f>
        <v/>
      </c>
      <c r="J153" s="43" t="str">
        <f aca="false">IF($A153="","",$A153&amp;"-"&amp;$I153)</f>
        <v/>
      </c>
      <c r="K153" s="38" t="str">
        <f aca="false">IF($A153="","",IF(COUNTIF(参数!$B$6:$B$8,$H153)=0,"× 付款方式","√"))</f>
        <v/>
      </c>
    </row>
    <row r="154" customFormat="false" ht="13.5" hidden="false" customHeight="false" outlineLevel="0" collapsed="false">
      <c r="A154" s="41"/>
      <c r="B154" s="42"/>
      <c r="C154" s="36"/>
      <c r="D154" s="35"/>
      <c r="E154" s="36"/>
      <c r="F154" s="36"/>
      <c r="G154" s="37"/>
      <c r="H154" s="35"/>
      <c r="I154" s="43" t="str">
        <f aca="false">IF($A154="","",COUNTIFS($A$2:$A154,$A154))</f>
        <v/>
      </c>
      <c r="J154" s="43" t="str">
        <f aca="false">IF($A154="","",$A154&amp;"-"&amp;$I154)</f>
        <v/>
      </c>
      <c r="K154" s="38" t="str">
        <f aca="false">IF($A154="","",IF(COUNTIF(参数!$B$6:$B$8,$H154)=0,"× 付款方式","√"))</f>
        <v/>
      </c>
    </row>
    <row r="155" customFormat="false" ht="13.5" hidden="false" customHeight="false" outlineLevel="0" collapsed="false">
      <c r="A155" s="41"/>
      <c r="B155" s="42"/>
      <c r="C155" s="36"/>
      <c r="D155" s="35"/>
      <c r="E155" s="36"/>
      <c r="F155" s="36"/>
      <c r="G155" s="37"/>
      <c r="H155" s="35"/>
      <c r="I155" s="43" t="str">
        <f aca="false">IF($A155="","",COUNTIFS($A$2:$A155,$A155))</f>
        <v/>
      </c>
      <c r="J155" s="43" t="str">
        <f aca="false">IF($A155="","",$A155&amp;"-"&amp;$I155)</f>
        <v/>
      </c>
      <c r="K155" s="38" t="str">
        <f aca="false">IF($A155="","",IF(COUNTIF(参数!$B$6:$B$8,$H155)=0,"× 付款方式","√"))</f>
        <v/>
      </c>
    </row>
    <row r="156" customFormat="false" ht="13.5" hidden="false" customHeight="false" outlineLevel="0" collapsed="false">
      <c r="A156" s="41"/>
      <c r="B156" s="42"/>
      <c r="C156" s="36"/>
      <c r="D156" s="35"/>
      <c r="E156" s="36"/>
      <c r="F156" s="36"/>
      <c r="G156" s="37"/>
      <c r="H156" s="35"/>
      <c r="I156" s="43" t="str">
        <f aca="false">IF($A156="","",COUNTIFS($A$2:$A156,$A156))</f>
        <v/>
      </c>
      <c r="J156" s="43" t="str">
        <f aca="false">IF($A156="","",$A156&amp;"-"&amp;$I156)</f>
        <v/>
      </c>
      <c r="K156" s="38" t="str">
        <f aca="false">IF($A156="","",IF(COUNTIF(参数!$B$6:$B$8,$H156)=0,"× 付款方式","√"))</f>
        <v/>
      </c>
    </row>
    <row r="157" customFormat="false" ht="13.5" hidden="false" customHeight="false" outlineLevel="0" collapsed="false">
      <c r="A157" s="41"/>
      <c r="B157" s="42"/>
      <c r="C157" s="36"/>
      <c r="D157" s="35"/>
      <c r="E157" s="36"/>
      <c r="F157" s="36"/>
      <c r="G157" s="37"/>
      <c r="H157" s="35"/>
      <c r="I157" s="43" t="str">
        <f aca="false">IF($A157="","",COUNTIFS($A$2:$A157,$A157))</f>
        <v/>
      </c>
      <c r="J157" s="43" t="str">
        <f aca="false">IF($A157="","",$A157&amp;"-"&amp;$I157)</f>
        <v/>
      </c>
      <c r="K157" s="38" t="str">
        <f aca="false">IF($A157="","",IF(COUNTIF(参数!$B$6:$B$8,$H157)=0,"× 付款方式","√"))</f>
        <v/>
      </c>
    </row>
    <row r="158" customFormat="false" ht="13.5" hidden="false" customHeight="false" outlineLevel="0" collapsed="false">
      <c r="A158" s="41"/>
      <c r="B158" s="42"/>
      <c r="C158" s="36"/>
      <c r="D158" s="35"/>
      <c r="E158" s="36"/>
      <c r="F158" s="36"/>
      <c r="G158" s="37"/>
      <c r="H158" s="35"/>
      <c r="I158" s="43" t="str">
        <f aca="false">IF($A158="","",COUNTIFS($A$2:$A158,$A158))</f>
        <v/>
      </c>
      <c r="J158" s="43" t="str">
        <f aca="false">IF($A158="","",$A158&amp;"-"&amp;$I158)</f>
        <v/>
      </c>
      <c r="K158" s="38" t="str">
        <f aca="false">IF($A158="","",IF(COUNTIF(参数!$B$6:$B$8,$H158)=0,"× 付款方式","√"))</f>
        <v/>
      </c>
    </row>
    <row r="159" customFormat="false" ht="13.5" hidden="false" customHeight="false" outlineLevel="0" collapsed="false">
      <c r="A159" s="41"/>
      <c r="B159" s="42"/>
      <c r="C159" s="36"/>
      <c r="D159" s="35"/>
      <c r="E159" s="36"/>
      <c r="F159" s="36"/>
      <c r="G159" s="37"/>
      <c r="H159" s="35"/>
      <c r="I159" s="43" t="str">
        <f aca="false">IF($A159="","",COUNTIFS($A$2:$A159,$A159))</f>
        <v/>
      </c>
      <c r="J159" s="43" t="str">
        <f aca="false">IF($A159="","",$A159&amp;"-"&amp;$I159)</f>
        <v/>
      </c>
      <c r="K159" s="38" t="str">
        <f aca="false">IF($A159="","",IF(COUNTIF(参数!$B$6:$B$8,$H159)=0,"× 付款方式","√"))</f>
        <v/>
      </c>
    </row>
    <row r="160" customFormat="false" ht="13.5" hidden="false" customHeight="false" outlineLevel="0" collapsed="false">
      <c r="A160" s="41"/>
      <c r="B160" s="42"/>
      <c r="C160" s="36"/>
      <c r="D160" s="35"/>
      <c r="E160" s="36"/>
      <c r="F160" s="36"/>
      <c r="G160" s="37"/>
      <c r="H160" s="35"/>
      <c r="I160" s="43" t="str">
        <f aca="false">IF($A160="","",COUNTIFS($A$2:$A160,$A160))</f>
        <v/>
      </c>
      <c r="J160" s="43" t="str">
        <f aca="false">IF($A160="","",$A160&amp;"-"&amp;$I160)</f>
        <v/>
      </c>
      <c r="K160" s="38" t="str">
        <f aca="false">IF($A160="","",IF(COUNTIF(参数!$B$6:$B$8,$H160)=0,"× 付款方式","√"))</f>
        <v/>
      </c>
    </row>
    <row r="161" customFormat="false" ht="13.5" hidden="false" customHeight="false" outlineLevel="0" collapsed="false">
      <c r="A161" s="41"/>
      <c r="B161" s="42"/>
      <c r="C161" s="36"/>
      <c r="D161" s="35"/>
      <c r="E161" s="36"/>
      <c r="F161" s="36"/>
      <c r="G161" s="37"/>
      <c r="H161" s="35"/>
      <c r="I161" s="43" t="str">
        <f aca="false">IF($A161="","",COUNTIFS($A$2:$A161,$A161))</f>
        <v/>
      </c>
      <c r="J161" s="43" t="str">
        <f aca="false">IF($A161="","",$A161&amp;"-"&amp;$I161)</f>
        <v/>
      </c>
      <c r="K161" s="38" t="str">
        <f aca="false">IF($A161="","",IF(COUNTIF(参数!$B$6:$B$8,$H161)=0,"× 付款方式","√"))</f>
        <v/>
      </c>
    </row>
    <row r="162" customFormat="false" ht="13.5" hidden="false" customHeight="false" outlineLevel="0" collapsed="false">
      <c r="A162" s="41"/>
      <c r="B162" s="42"/>
      <c r="C162" s="36"/>
      <c r="D162" s="35"/>
      <c r="E162" s="36"/>
      <c r="F162" s="36"/>
      <c r="G162" s="37"/>
      <c r="H162" s="35"/>
      <c r="I162" s="43" t="str">
        <f aca="false">IF($A162="","",COUNTIFS($A$2:$A162,$A162))</f>
        <v/>
      </c>
      <c r="J162" s="43" t="str">
        <f aca="false">IF($A162="","",$A162&amp;"-"&amp;$I162)</f>
        <v/>
      </c>
      <c r="K162" s="38" t="str">
        <f aca="false">IF($A162="","",IF(COUNTIF(参数!$B$6:$B$8,$H162)=0,"× 付款方式","√"))</f>
        <v/>
      </c>
    </row>
    <row r="163" customFormat="false" ht="13.5" hidden="false" customHeight="false" outlineLevel="0" collapsed="false">
      <c r="A163" s="41"/>
      <c r="B163" s="42"/>
      <c r="C163" s="36"/>
      <c r="D163" s="35"/>
      <c r="E163" s="36"/>
      <c r="F163" s="36"/>
      <c r="G163" s="37"/>
      <c r="H163" s="35"/>
      <c r="I163" s="43" t="str">
        <f aca="false">IF($A163="","",COUNTIFS($A$2:$A163,$A163))</f>
        <v/>
      </c>
      <c r="J163" s="43" t="str">
        <f aca="false">IF($A163="","",$A163&amp;"-"&amp;$I163)</f>
        <v/>
      </c>
      <c r="K163" s="38" t="str">
        <f aca="false">IF($A163="","",IF(COUNTIF(参数!$B$6:$B$8,$H163)=0,"× 付款方式","√"))</f>
        <v/>
      </c>
    </row>
    <row r="164" customFormat="false" ht="13.5" hidden="false" customHeight="false" outlineLevel="0" collapsed="false">
      <c r="A164" s="41"/>
      <c r="B164" s="42"/>
      <c r="C164" s="36"/>
      <c r="D164" s="35"/>
      <c r="E164" s="36"/>
      <c r="F164" s="36"/>
      <c r="G164" s="37"/>
      <c r="H164" s="35"/>
      <c r="I164" s="43" t="str">
        <f aca="false">IF($A164="","",COUNTIFS($A$2:$A164,$A164))</f>
        <v/>
      </c>
      <c r="J164" s="43" t="str">
        <f aca="false">IF($A164="","",$A164&amp;"-"&amp;$I164)</f>
        <v/>
      </c>
      <c r="K164" s="38" t="str">
        <f aca="false">IF($A164="","",IF(COUNTIF(参数!$B$6:$B$8,$H164)=0,"× 付款方式","√"))</f>
        <v/>
      </c>
    </row>
    <row r="165" customFormat="false" ht="13.5" hidden="false" customHeight="false" outlineLevel="0" collapsed="false">
      <c r="A165" s="41"/>
      <c r="B165" s="42"/>
      <c r="C165" s="36"/>
      <c r="D165" s="35"/>
      <c r="E165" s="36"/>
      <c r="F165" s="36"/>
      <c r="G165" s="37"/>
      <c r="H165" s="35"/>
      <c r="I165" s="43" t="str">
        <f aca="false">IF($A165="","",COUNTIFS($A$2:$A165,$A165))</f>
        <v/>
      </c>
      <c r="J165" s="43" t="str">
        <f aca="false">IF($A165="","",$A165&amp;"-"&amp;$I165)</f>
        <v/>
      </c>
      <c r="K165" s="38" t="str">
        <f aca="false">IF($A165="","",IF(COUNTIF(参数!$B$6:$B$8,$H165)=0,"× 付款方式","√"))</f>
        <v/>
      </c>
    </row>
    <row r="166" customFormat="false" ht="13.5" hidden="false" customHeight="false" outlineLevel="0" collapsed="false">
      <c r="A166" s="41"/>
      <c r="B166" s="42"/>
      <c r="C166" s="36"/>
      <c r="D166" s="35"/>
      <c r="E166" s="36"/>
      <c r="F166" s="36"/>
      <c r="G166" s="37"/>
      <c r="H166" s="35"/>
      <c r="I166" s="43" t="str">
        <f aca="false">IF($A166="","",COUNTIFS($A$2:$A166,$A166))</f>
        <v/>
      </c>
      <c r="J166" s="43" t="str">
        <f aca="false">IF($A166="","",$A166&amp;"-"&amp;$I166)</f>
        <v/>
      </c>
      <c r="K166" s="38" t="str">
        <f aca="false">IF($A166="","",IF(COUNTIF(参数!$B$6:$B$8,$H166)=0,"× 付款方式","√"))</f>
        <v/>
      </c>
    </row>
    <row r="167" customFormat="false" ht="13.5" hidden="false" customHeight="false" outlineLevel="0" collapsed="false">
      <c r="A167" s="41"/>
      <c r="B167" s="42"/>
      <c r="C167" s="36"/>
      <c r="D167" s="35"/>
      <c r="E167" s="36"/>
      <c r="F167" s="36"/>
      <c r="G167" s="37"/>
      <c r="H167" s="35"/>
      <c r="I167" s="43" t="str">
        <f aca="false">IF($A167="","",COUNTIFS($A$2:$A167,$A167))</f>
        <v/>
      </c>
      <c r="J167" s="43" t="str">
        <f aca="false">IF($A167="","",$A167&amp;"-"&amp;$I167)</f>
        <v/>
      </c>
      <c r="K167" s="38" t="str">
        <f aca="false">IF($A167="","",IF(COUNTIF(参数!$B$6:$B$8,$H167)=0,"× 付款方式","√"))</f>
        <v/>
      </c>
    </row>
    <row r="168" customFormat="false" ht="13.5" hidden="false" customHeight="false" outlineLevel="0" collapsed="false">
      <c r="A168" s="41"/>
      <c r="B168" s="42"/>
      <c r="C168" s="36"/>
      <c r="D168" s="35"/>
      <c r="E168" s="36"/>
      <c r="F168" s="36"/>
      <c r="G168" s="37"/>
      <c r="H168" s="35"/>
      <c r="I168" s="43" t="str">
        <f aca="false">IF($A168="","",COUNTIFS($A$2:$A168,$A168))</f>
        <v/>
      </c>
      <c r="J168" s="43" t="str">
        <f aca="false">IF($A168="","",$A168&amp;"-"&amp;$I168)</f>
        <v/>
      </c>
      <c r="K168" s="38" t="str">
        <f aca="false">IF($A168="","",IF(COUNTIF(参数!$B$6:$B$8,$H168)=0,"× 付款方式","√"))</f>
        <v/>
      </c>
    </row>
    <row r="169" customFormat="false" ht="13.5" hidden="false" customHeight="false" outlineLevel="0" collapsed="false">
      <c r="A169" s="41"/>
      <c r="B169" s="42"/>
      <c r="C169" s="36"/>
      <c r="D169" s="35"/>
      <c r="E169" s="36"/>
      <c r="F169" s="36"/>
      <c r="G169" s="37"/>
      <c r="H169" s="35"/>
      <c r="I169" s="43" t="str">
        <f aca="false">IF($A169="","",COUNTIFS($A$2:$A169,$A169))</f>
        <v/>
      </c>
      <c r="J169" s="43" t="str">
        <f aca="false">IF($A169="","",$A169&amp;"-"&amp;$I169)</f>
        <v/>
      </c>
      <c r="K169" s="38" t="str">
        <f aca="false">IF($A169="","",IF(COUNTIF(参数!$B$6:$B$8,$H169)=0,"× 付款方式","√"))</f>
        <v/>
      </c>
    </row>
    <row r="170" customFormat="false" ht="13.5" hidden="false" customHeight="false" outlineLevel="0" collapsed="false">
      <c r="A170" s="41"/>
      <c r="B170" s="42"/>
      <c r="C170" s="36"/>
      <c r="D170" s="35"/>
      <c r="E170" s="36"/>
      <c r="F170" s="36"/>
      <c r="G170" s="37"/>
      <c r="H170" s="35"/>
      <c r="I170" s="43" t="str">
        <f aca="false">IF($A170="","",COUNTIFS($A$2:$A170,$A170))</f>
        <v/>
      </c>
      <c r="J170" s="43" t="str">
        <f aca="false">IF($A170="","",$A170&amp;"-"&amp;$I170)</f>
        <v/>
      </c>
      <c r="K170" s="38" t="str">
        <f aca="false">IF($A170="","",IF(COUNTIF(参数!$B$6:$B$8,$H170)=0,"× 付款方式","√"))</f>
        <v/>
      </c>
    </row>
    <row r="171" customFormat="false" ht="13.5" hidden="false" customHeight="false" outlineLevel="0" collapsed="false">
      <c r="A171" s="41"/>
      <c r="B171" s="42"/>
      <c r="C171" s="36"/>
      <c r="D171" s="35"/>
      <c r="E171" s="36"/>
      <c r="F171" s="36"/>
      <c r="G171" s="37"/>
      <c r="H171" s="35"/>
      <c r="I171" s="43" t="str">
        <f aca="false">IF($A171="","",COUNTIFS($A$2:$A171,$A171))</f>
        <v/>
      </c>
      <c r="J171" s="43" t="str">
        <f aca="false">IF($A171="","",$A171&amp;"-"&amp;$I171)</f>
        <v/>
      </c>
      <c r="K171" s="38" t="str">
        <f aca="false">IF($A171="","",IF(COUNTIF(参数!$B$6:$B$8,$H171)=0,"× 付款方式","√"))</f>
        <v/>
      </c>
    </row>
    <row r="172" customFormat="false" ht="13.5" hidden="false" customHeight="false" outlineLevel="0" collapsed="false">
      <c r="A172" s="41"/>
      <c r="B172" s="42"/>
      <c r="C172" s="36"/>
      <c r="D172" s="35"/>
      <c r="E172" s="36"/>
      <c r="F172" s="36"/>
      <c r="G172" s="37"/>
      <c r="H172" s="35"/>
      <c r="I172" s="43" t="str">
        <f aca="false">IF($A172="","",COUNTIFS($A$2:$A172,$A172))</f>
        <v/>
      </c>
      <c r="J172" s="43" t="str">
        <f aca="false">IF($A172="","",$A172&amp;"-"&amp;$I172)</f>
        <v/>
      </c>
      <c r="K172" s="38" t="str">
        <f aca="false">IF($A172="","",IF(COUNTIF(参数!$B$6:$B$8,$H172)=0,"× 付款方式","√"))</f>
        <v/>
      </c>
    </row>
    <row r="173" customFormat="false" ht="13.5" hidden="false" customHeight="false" outlineLevel="0" collapsed="false">
      <c r="A173" s="41"/>
      <c r="B173" s="42"/>
      <c r="C173" s="36"/>
      <c r="D173" s="35"/>
      <c r="E173" s="36"/>
      <c r="F173" s="36"/>
      <c r="G173" s="37"/>
      <c r="H173" s="35"/>
      <c r="I173" s="43" t="str">
        <f aca="false">IF($A173="","",COUNTIFS($A$2:$A173,$A173))</f>
        <v/>
      </c>
      <c r="J173" s="43" t="str">
        <f aca="false">IF($A173="","",$A173&amp;"-"&amp;$I173)</f>
        <v/>
      </c>
      <c r="K173" s="38" t="str">
        <f aca="false">IF($A173="","",IF(COUNTIF(参数!$B$6:$B$8,$H173)=0,"× 付款方式","√"))</f>
        <v/>
      </c>
    </row>
    <row r="174" customFormat="false" ht="13.5" hidden="false" customHeight="false" outlineLevel="0" collapsed="false">
      <c r="A174" s="41"/>
      <c r="B174" s="42"/>
      <c r="C174" s="36"/>
      <c r="D174" s="35"/>
      <c r="E174" s="36"/>
      <c r="F174" s="36"/>
      <c r="G174" s="37"/>
      <c r="H174" s="35"/>
      <c r="I174" s="43" t="str">
        <f aca="false">IF($A174="","",COUNTIFS($A$2:$A174,$A174))</f>
        <v/>
      </c>
      <c r="J174" s="43" t="str">
        <f aca="false">IF($A174="","",$A174&amp;"-"&amp;$I174)</f>
        <v/>
      </c>
      <c r="K174" s="38" t="str">
        <f aca="false">IF($A174="","",IF(COUNTIF(参数!$B$6:$B$8,$H174)=0,"× 付款方式","√"))</f>
        <v/>
      </c>
    </row>
    <row r="175" customFormat="false" ht="13.5" hidden="false" customHeight="false" outlineLevel="0" collapsed="false">
      <c r="A175" s="41"/>
      <c r="B175" s="42"/>
      <c r="C175" s="36"/>
      <c r="D175" s="35"/>
      <c r="E175" s="36"/>
      <c r="F175" s="36"/>
      <c r="G175" s="37"/>
      <c r="H175" s="35"/>
      <c r="I175" s="43" t="str">
        <f aca="false">IF($A175="","",COUNTIFS($A$2:$A175,$A175))</f>
        <v/>
      </c>
      <c r="J175" s="43" t="str">
        <f aca="false">IF($A175="","",$A175&amp;"-"&amp;$I175)</f>
        <v/>
      </c>
      <c r="K175" s="38" t="str">
        <f aca="false">IF($A175="","",IF(COUNTIF(参数!$B$6:$B$8,$H175)=0,"× 付款方式","√"))</f>
        <v/>
      </c>
    </row>
    <row r="176" customFormat="false" ht="13.5" hidden="false" customHeight="false" outlineLevel="0" collapsed="false">
      <c r="A176" s="41"/>
      <c r="B176" s="42"/>
      <c r="C176" s="36"/>
      <c r="D176" s="35"/>
      <c r="E176" s="36"/>
      <c r="F176" s="36"/>
      <c r="G176" s="37"/>
      <c r="H176" s="35"/>
      <c r="I176" s="43" t="str">
        <f aca="false">IF($A176="","",COUNTIFS($A$2:$A176,$A176))</f>
        <v/>
      </c>
      <c r="J176" s="43" t="str">
        <f aca="false">IF($A176="","",$A176&amp;"-"&amp;$I176)</f>
        <v/>
      </c>
      <c r="K176" s="38" t="str">
        <f aca="false">IF($A176="","",IF(COUNTIF(参数!$B$6:$B$8,$H176)=0,"× 付款方式","√"))</f>
        <v/>
      </c>
    </row>
    <row r="177" customFormat="false" ht="13.5" hidden="false" customHeight="false" outlineLevel="0" collapsed="false">
      <c r="A177" s="41"/>
      <c r="B177" s="42"/>
      <c r="C177" s="36"/>
      <c r="D177" s="35"/>
      <c r="E177" s="36"/>
      <c r="F177" s="36"/>
      <c r="G177" s="37"/>
      <c r="H177" s="35"/>
      <c r="I177" s="43" t="str">
        <f aca="false">IF($A177="","",COUNTIFS($A$2:$A177,$A177))</f>
        <v/>
      </c>
      <c r="J177" s="43" t="str">
        <f aca="false">IF($A177="","",$A177&amp;"-"&amp;$I177)</f>
        <v/>
      </c>
      <c r="K177" s="38" t="str">
        <f aca="false">IF($A177="","",IF(COUNTIF(参数!$B$6:$B$8,$H177)=0,"× 付款方式","√"))</f>
        <v/>
      </c>
    </row>
    <row r="178" customFormat="false" ht="13.5" hidden="false" customHeight="false" outlineLevel="0" collapsed="false">
      <c r="A178" s="41"/>
      <c r="B178" s="42"/>
      <c r="C178" s="36"/>
      <c r="D178" s="35"/>
      <c r="E178" s="36"/>
      <c r="F178" s="36"/>
      <c r="G178" s="37"/>
      <c r="H178" s="35"/>
      <c r="I178" s="43" t="str">
        <f aca="false">IF($A178="","",COUNTIFS($A$2:$A178,$A178))</f>
        <v/>
      </c>
      <c r="J178" s="43" t="str">
        <f aca="false">IF($A178="","",$A178&amp;"-"&amp;$I178)</f>
        <v/>
      </c>
      <c r="K178" s="38" t="str">
        <f aca="false">IF($A178="","",IF(COUNTIF(参数!$B$6:$B$8,$H178)=0,"× 付款方式","√"))</f>
        <v/>
      </c>
    </row>
    <row r="179" customFormat="false" ht="13.5" hidden="false" customHeight="false" outlineLevel="0" collapsed="false">
      <c r="A179" s="41"/>
      <c r="B179" s="42"/>
      <c r="C179" s="36"/>
      <c r="D179" s="35"/>
      <c r="E179" s="36"/>
      <c r="F179" s="36"/>
      <c r="G179" s="37"/>
      <c r="H179" s="35"/>
      <c r="I179" s="43" t="str">
        <f aca="false">IF($A179="","",COUNTIFS($A$2:$A179,$A179))</f>
        <v/>
      </c>
      <c r="J179" s="43" t="str">
        <f aca="false">IF($A179="","",$A179&amp;"-"&amp;$I179)</f>
        <v/>
      </c>
      <c r="K179" s="38" t="str">
        <f aca="false">IF($A179="","",IF(COUNTIF(参数!$B$6:$B$8,$H179)=0,"× 付款方式","√"))</f>
        <v/>
      </c>
    </row>
    <row r="180" customFormat="false" ht="13.5" hidden="false" customHeight="false" outlineLevel="0" collapsed="false">
      <c r="A180" s="41"/>
      <c r="B180" s="42"/>
      <c r="C180" s="36"/>
      <c r="D180" s="35"/>
      <c r="E180" s="36"/>
      <c r="F180" s="36"/>
      <c r="G180" s="37"/>
      <c r="H180" s="35"/>
      <c r="I180" s="43" t="str">
        <f aca="false">IF($A180="","",COUNTIFS($A$2:$A180,$A180))</f>
        <v/>
      </c>
      <c r="J180" s="43" t="str">
        <f aca="false">IF($A180="","",$A180&amp;"-"&amp;$I180)</f>
        <v/>
      </c>
      <c r="K180" s="38" t="str">
        <f aca="false">IF($A180="","",IF(COUNTIF(参数!$B$6:$B$8,$H180)=0,"× 付款方式","√"))</f>
        <v/>
      </c>
    </row>
    <row r="181" customFormat="false" ht="13.5" hidden="false" customHeight="false" outlineLevel="0" collapsed="false">
      <c r="A181" s="41"/>
      <c r="B181" s="42"/>
      <c r="C181" s="36"/>
      <c r="D181" s="35"/>
      <c r="E181" s="36"/>
      <c r="F181" s="36"/>
      <c r="G181" s="37"/>
      <c r="H181" s="35"/>
      <c r="I181" s="43" t="str">
        <f aca="false">IF($A181="","",COUNTIFS($A$2:$A181,$A181))</f>
        <v/>
      </c>
      <c r="J181" s="43" t="str">
        <f aca="false">IF($A181="","",$A181&amp;"-"&amp;$I181)</f>
        <v/>
      </c>
      <c r="K181" s="38" t="str">
        <f aca="false">IF($A181="","",IF(COUNTIF(参数!$B$6:$B$8,$H181)=0,"× 付款方式","√"))</f>
        <v/>
      </c>
    </row>
    <row r="182" customFormat="false" ht="13.5" hidden="false" customHeight="false" outlineLevel="0" collapsed="false">
      <c r="A182" s="41"/>
      <c r="B182" s="42"/>
      <c r="C182" s="36"/>
      <c r="D182" s="35"/>
      <c r="E182" s="36"/>
      <c r="F182" s="36"/>
      <c r="G182" s="37"/>
      <c r="H182" s="35"/>
      <c r="I182" s="43" t="str">
        <f aca="false">IF($A182="","",COUNTIFS($A$2:$A182,$A182))</f>
        <v/>
      </c>
      <c r="J182" s="43" t="str">
        <f aca="false">IF($A182="","",$A182&amp;"-"&amp;$I182)</f>
        <v/>
      </c>
      <c r="K182" s="38" t="str">
        <f aca="false">IF($A182="","",IF(COUNTIF(参数!$B$6:$B$8,$H182)=0,"× 付款方式","√"))</f>
        <v/>
      </c>
    </row>
    <row r="183" customFormat="false" ht="13.5" hidden="false" customHeight="false" outlineLevel="0" collapsed="false">
      <c r="A183" s="41"/>
      <c r="B183" s="42"/>
      <c r="C183" s="36"/>
      <c r="D183" s="35"/>
      <c r="E183" s="36"/>
      <c r="F183" s="36"/>
      <c r="G183" s="37"/>
      <c r="H183" s="35"/>
      <c r="I183" s="43" t="str">
        <f aca="false">IF($A183="","",COUNTIFS($A$2:$A183,$A183))</f>
        <v/>
      </c>
      <c r="J183" s="43" t="str">
        <f aca="false">IF($A183="","",$A183&amp;"-"&amp;$I183)</f>
        <v/>
      </c>
      <c r="K183" s="38" t="str">
        <f aca="false">IF($A183="","",IF(COUNTIF(参数!$B$6:$B$8,$H183)=0,"× 付款方式","√"))</f>
        <v/>
      </c>
    </row>
    <row r="184" customFormat="false" ht="13.5" hidden="false" customHeight="false" outlineLevel="0" collapsed="false">
      <c r="A184" s="41"/>
      <c r="B184" s="42"/>
      <c r="C184" s="36"/>
      <c r="D184" s="35"/>
      <c r="E184" s="36"/>
      <c r="F184" s="36"/>
      <c r="G184" s="37"/>
      <c r="H184" s="35"/>
      <c r="I184" s="43" t="str">
        <f aca="false">IF($A184="","",COUNTIFS($A$2:$A184,$A184))</f>
        <v/>
      </c>
      <c r="J184" s="43" t="str">
        <f aca="false">IF($A184="","",$A184&amp;"-"&amp;$I184)</f>
        <v/>
      </c>
      <c r="K184" s="38" t="str">
        <f aca="false">IF($A184="","",IF(COUNTIF(参数!$B$6:$B$8,$H184)=0,"× 付款方式","√"))</f>
        <v/>
      </c>
    </row>
    <row r="185" customFormat="false" ht="13.5" hidden="false" customHeight="false" outlineLevel="0" collapsed="false">
      <c r="A185" s="41"/>
      <c r="B185" s="42"/>
      <c r="C185" s="36"/>
      <c r="D185" s="35"/>
      <c r="E185" s="36"/>
      <c r="F185" s="36"/>
      <c r="G185" s="37"/>
      <c r="H185" s="35"/>
      <c r="I185" s="43" t="str">
        <f aca="false">IF($A185="","",COUNTIFS($A$2:$A185,$A185))</f>
        <v/>
      </c>
      <c r="J185" s="43" t="str">
        <f aca="false">IF($A185="","",$A185&amp;"-"&amp;$I185)</f>
        <v/>
      </c>
      <c r="K185" s="38" t="str">
        <f aca="false">IF($A185="","",IF(COUNTIF(参数!$B$6:$B$8,$H185)=0,"× 付款方式","√"))</f>
        <v/>
      </c>
    </row>
    <row r="186" customFormat="false" ht="13.5" hidden="false" customHeight="false" outlineLevel="0" collapsed="false">
      <c r="A186" s="41"/>
      <c r="B186" s="42"/>
      <c r="C186" s="36"/>
      <c r="D186" s="35"/>
      <c r="E186" s="36"/>
      <c r="F186" s="36"/>
      <c r="G186" s="37"/>
      <c r="H186" s="35"/>
      <c r="I186" s="43" t="str">
        <f aca="false">IF($A186="","",COUNTIFS($A$2:$A186,$A186))</f>
        <v/>
      </c>
      <c r="J186" s="43" t="str">
        <f aca="false">IF($A186="","",$A186&amp;"-"&amp;$I186)</f>
        <v/>
      </c>
      <c r="K186" s="38" t="str">
        <f aca="false">IF($A186="","",IF(COUNTIF(参数!$B$6:$B$8,$H186)=0,"× 付款方式","√"))</f>
        <v/>
      </c>
    </row>
    <row r="187" customFormat="false" ht="13.5" hidden="false" customHeight="false" outlineLevel="0" collapsed="false">
      <c r="A187" s="41"/>
      <c r="B187" s="42"/>
      <c r="C187" s="36"/>
      <c r="D187" s="35"/>
      <c r="E187" s="36"/>
      <c r="F187" s="36"/>
      <c r="G187" s="37"/>
      <c r="H187" s="35"/>
      <c r="I187" s="43" t="str">
        <f aca="false">IF($A187="","",COUNTIFS($A$2:$A187,$A187))</f>
        <v/>
      </c>
      <c r="J187" s="43" t="str">
        <f aca="false">IF($A187="","",$A187&amp;"-"&amp;$I187)</f>
        <v/>
      </c>
      <c r="K187" s="38" t="str">
        <f aca="false">IF($A187="","",IF(COUNTIF(参数!$B$6:$B$8,$H187)=0,"× 付款方式","√"))</f>
        <v/>
      </c>
    </row>
    <row r="188" customFormat="false" ht="13.5" hidden="false" customHeight="false" outlineLevel="0" collapsed="false">
      <c r="A188" s="41"/>
      <c r="B188" s="42"/>
      <c r="C188" s="36"/>
      <c r="D188" s="35"/>
      <c r="E188" s="36"/>
      <c r="F188" s="36"/>
      <c r="G188" s="37"/>
      <c r="H188" s="35"/>
      <c r="I188" s="43" t="str">
        <f aca="false">IF($A188="","",COUNTIFS($A$2:$A188,$A188))</f>
        <v/>
      </c>
      <c r="J188" s="43" t="str">
        <f aca="false">IF($A188="","",$A188&amp;"-"&amp;$I188)</f>
        <v/>
      </c>
      <c r="K188" s="38" t="str">
        <f aca="false">IF($A188="","",IF(COUNTIF(参数!$B$6:$B$8,$H188)=0,"× 付款方式","√"))</f>
        <v/>
      </c>
    </row>
    <row r="189" customFormat="false" ht="13.5" hidden="false" customHeight="false" outlineLevel="0" collapsed="false">
      <c r="A189" s="41"/>
      <c r="B189" s="42"/>
      <c r="C189" s="36"/>
      <c r="D189" s="35"/>
      <c r="E189" s="36"/>
      <c r="F189" s="36"/>
      <c r="G189" s="37"/>
      <c r="H189" s="35"/>
      <c r="I189" s="43" t="str">
        <f aca="false">IF($A189="","",COUNTIFS($A$2:$A189,$A189))</f>
        <v/>
      </c>
      <c r="J189" s="43" t="str">
        <f aca="false">IF($A189="","",$A189&amp;"-"&amp;$I189)</f>
        <v/>
      </c>
      <c r="K189" s="38" t="str">
        <f aca="false">IF($A189="","",IF(COUNTIF(参数!$B$6:$B$8,$H189)=0,"× 付款方式","√"))</f>
        <v/>
      </c>
    </row>
    <row r="190" customFormat="false" ht="13.5" hidden="false" customHeight="false" outlineLevel="0" collapsed="false">
      <c r="A190" s="41"/>
      <c r="B190" s="42"/>
      <c r="C190" s="36"/>
      <c r="D190" s="35"/>
      <c r="E190" s="36"/>
      <c r="F190" s="36"/>
      <c r="G190" s="37"/>
      <c r="H190" s="35"/>
      <c r="I190" s="43" t="str">
        <f aca="false">IF($A190="","",COUNTIFS($A$2:$A190,$A190))</f>
        <v/>
      </c>
      <c r="J190" s="43" t="str">
        <f aca="false">IF($A190="","",$A190&amp;"-"&amp;$I190)</f>
        <v/>
      </c>
      <c r="K190" s="38" t="str">
        <f aca="false">IF($A190="","",IF(COUNTIF(参数!$B$6:$B$8,$H190)=0,"× 付款方式","√"))</f>
        <v/>
      </c>
    </row>
    <row r="191" customFormat="false" ht="13.5" hidden="false" customHeight="false" outlineLevel="0" collapsed="false">
      <c r="A191" s="41"/>
      <c r="B191" s="42"/>
      <c r="C191" s="36"/>
      <c r="D191" s="35"/>
      <c r="E191" s="36"/>
      <c r="F191" s="36"/>
      <c r="G191" s="37"/>
      <c r="H191" s="35"/>
      <c r="I191" s="43" t="str">
        <f aca="false">IF($A191="","",COUNTIFS($A$2:$A191,$A191))</f>
        <v/>
      </c>
      <c r="J191" s="43" t="str">
        <f aca="false">IF($A191="","",$A191&amp;"-"&amp;$I191)</f>
        <v/>
      </c>
      <c r="K191" s="38" t="str">
        <f aca="false">IF($A191="","",IF(COUNTIF(参数!$B$6:$B$8,$H191)=0,"× 付款方式","√"))</f>
        <v/>
      </c>
    </row>
    <row r="192" customFormat="false" ht="13.5" hidden="false" customHeight="false" outlineLevel="0" collapsed="false">
      <c r="A192" s="41"/>
      <c r="B192" s="42"/>
      <c r="C192" s="36"/>
      <c r="D192" s="35"/>
      <c r="E192" s="36"/>
      <c r="F192" s="36"/>
      <c r="G192" s="37"/>
      <c r="H192" s="35"/>
      <c r="I192" s="43" t="str">
        <f aca="false">IF($A192="","",COUNTIFS($A$2:$A192,$A192))</f>
        <v/>
      </c>
      <c r="J192" s="43" t="str">
        <f aca="false">IF($A192="","",$A192&amp;"-"&amp;$I192)</f>
        <v/>
      </c>
      <c r="K192" s="38" t="str">
        <f aca="false">IF($A192="","",IF(COUNTIF(参数!$B$6:$B$8,$H192)=0,"× 付款方式","√"))</f>
        <v/>
      </c>
    </row>
    <row r="193" customFormat="false" ht="13.5" hidden="false" customHeight="false" outlineLevel="0" collapsed="false">
      <c r="A193" s="41"/>
      <c r="B193" s="42"/>
      <c r="C193" s="36"/>
      <c r="D193" s="35"/>
      <c r="E193" s="36"/>
      <c r="F193" s="36"/>
      <c r="G193" s="37"/>
      <c r="H193" s="35"/>
      <c r="I193" s="43" t="str">
        <f aca="false">IF($A193="","",COUNTIFS($A$2:$A193,$A193))</f>
        <v/>
      </c>
      <c r="J193" s="43" t="str">
        <f aca="false">IF($A193="","",$A193&amp;"-"&amp;$I193)</f>
        <v/>
      </c>
      <c r="K193" s="38" t="str">
        <f aca="false">IF($A193="","",IF(COUNTIF(参数!$B$6:$B$8,$H193)=0,"× 付款方式","√"))</f>
        <v/>
      </c>
    </row>
    <row r="194" customFormat="false" ht="13.5" hidden="false" customHeight="false" outlineLevel="0" collapsed="false">
      <c r="A194" s="41"/>
      <c r="B194" s="42"/>
      <c r="C194" s="36"/>
      <c r="D194" s="35"/>
      <c r="E194" s="36"/>
      <c r="F194" s="36"/>
      <c r="G194" s="37"/>
      <c r="H194" s="35"/>
      <c r="I194" s="43" t="str">
        <f aca="false">IF($A194="","",COUNTIFS($A$2:$A194,$A194))</f>
        <v/>
      </c>
      <c r="J194" s="43" t="str">
        <f aca="false">IF($A194="","",$A194&amp;"-"&amp;$I194)</f>
        <v/>
      </c>
      <c r="K194" s="38" t="str">
        <f aca="false">IF($A194="","",IF(COUNTIF(参数!$B$6:$B$8,$H194)=0,"× 付款方式","√"))</f>
        <v/>
      </c>
    </row>
    <row r="195" customFormat="false" ht="13.5" hidden="false" customHeight="false" outlineLevel="0" collapsed="false">
      <c r="A195" s="41"/>
      <c r="B195" s="42"/>
      <c r="C195" s="36"/>
      <c r="D195" s="35"/>
      <c r="E195" s="36"/>
      <c r="F195" s="36"/>
      <c r="G195" s="37"/>
      <c r="H195" s="35"/>
      <c r="I195" s="43" t="str">
        <f aca="false">IF($A195="","",COUNTIFS($A$2:$A195,$A195))</f>
        <v/>
      </c>
      <c r="J195" s="43" t="str">
        <f aca="false">IF($A195="","",$A195&amp;"-"&amp;$I195)</f>
        <v/>
      </c>
      <c r="K195" s="38" t="str">
        <f aca="false">IF($A195="","",IF(COUNTIF(参数!$B$6:$B$8,$H195)=0,"× 付款方式","√"))</f>
        <v/>
      </c>
    </row>
    <row r="196" customFormat="false" ht="13.5" hidden="false" customHeight="false" outlineLevel="0" collapsed="false">
      <c r="A196" s="41"/>
      <c r="B196" s="42"/>
      <c r="C196" s="36"/>
      <c r="D196" s="35"/>
      <c r="E196" s="36"/>
      <c r="F196" s="36"/>
      <c r="G196" s="37"/>
      <c r="H196" s="35"/>
      <c r="I196" s="43" t="str">
        <f aca="false">IF($A196="","",COUNTIFS($A$2:$A196,$A196))</f>
        <v/>
      </c>
      <c r="J196" s="43" t="str">
        <f aca="false">IF($A196="","",$A196&amp;"-"&amp;$I196)</f>
        <v/>
      </c>
      <c r="K196" s="38" t="str">
        <f aca="false">IF($A196="","",IF(COUNTIF(参数!$B$6:$B$8,$H196)=0,"× 付款方式","√"))</f>
        <v/>
      </c>
    </row>
    <row r="197" customFormat="false" ht="13.5" hidden="false" customHeight="false" outlineLevel="0" collapsed="false">
      <c r="A197" s="41"/>
      <c r="B197" s="42"/>
      <c r="C197" s="36"/>
      <c r="D197" s="35"/>
      <c r="E197" s="36"/>
      <c r="F197" s="36"/>
      <c r="G197" s="37"/>
      <c r="H197" s="35"/>
      <c r="I197" s="43" t="str">
        <f aca="false">IF($A197="","",COUNTIFS($A$2:$A197,$A197))</f>
        <v/>
      </c>
      <c r="J197" s="43" t="str">
        <f aca="false">IF($A197="","",$A197&amp;"-"&amp;$I197)</f>
        <v/>
      </c>
      <c r="K197" s="38" t="str">
        <f aca="false">IF($A197="","",IF(COUNTIF(参数!$B$6:$B$8,$H197)=0,"× 付款方式","√"))</f>
        <v/>
      </c>
    </row>
    <row r="198" customFormat="false" ht="13.5" hidden="false" customHeight="false" outlineLevel="0" collapsed="false">
      <c r="A198" s="41"/>
      <c r="B198" s="42"/>
      <c r="C198" s="36"/>
      <c r="D198" s="35"/>
      <c r="E198" s="36"/>
      <c r="F198" s="36"/>
      <c r="G198" s="37"/>
      <c r="H198" s="35"/>
      <c r="I198" s="43" t="str">
        <f aca="false">IF($A198="","",COUNTIFS($A$2:$A198,$A198))</f>
        <v/>
      </c>
      <c r="J198" s="43" t="str">
        <f aca="false">IF($A198="","",$A198&amp;"-"&amp;$I198)</f>
        <v/>
      </c>
      <c r="K198" s="38" t="str">
        <f aca="false">IF($A198="","",IF(COUNTIF(参数!$B$6:$B$8,$H198)=0,"× 付款方式","√"))</f>
        <v/>
      </c>
    </row>
    <row r="199" customFormat="false" ht="13.5" hidden="false" customHeight="false" outlineLevel="0" collapsed="false">
      <c r="A199" s="41"/>
      <c r="B199" s="42"/>
      <c r="C199" s="36"/>
      <c r="D199" s="35"/>
      <c r="E199" s="36"/>
      <c r="F199" s="36"/>
      <c r="G199" s="37"/>
      <c r="H199" s="35"/>
      <c r="I199" s="43" t="str">
        <f aca="false">IF($A199="","",COUNTIFS($A$2:$A199,$A199))</f>
        <v/>
      </c>
      <c r="J199" s="43" t="str">
        <f aca="false">IF($A199="","",$A199&amp;"-"&amp;$I199)</f>
        <v/>
      </c>
      <c r="K199" s="38" t="str">
        <f aca="false">IF($A199="","",IF(COUNTIF(参数!$B$6:$B$8,$H199)=0,"× 付款方式","√"))</f>
        <v/>
      </c>
    </row>
    <row r="200" customFormat="false" ht="13.5" hidden="false" customHeight="false" outlineLevel="0" collapsed="false">
      <c r="A200" s="41"/>
      <c r="B200" s="42"/>
      <c r="C200" s="36"/>
      <c r="D200" s="35"/>
      <c r="E200" s="36"/>
      <c r="F200" s="36"/>
      <c r="G200" s="37"/>
      <c r="H200" s="35"/>
      <c r="I200" s="43" t="str">
        <f aca="false">IF($A200="","",COUNTIFS($A$2:$A200,$A200))</f>
        <v/>
      </c>
      <c r="J200" s="43" t="str">
        <f aca="false">IF($A200="","",$A200&amp;"-"&amp;$I200)</f>
        <v/>
      </c>
      <c r="K200" s="38" t="str">
        <f aca="false">IF($A200="","",IF(COUNTIF(参数!$B$6:$B$8,$H200)=0,"× 付款方式","√"))</f>
        <v/>
      </c>
    </row>
    <row r="201" customFormat="false" ht="13.5" hidden="false" customHeight="false" outlineLevel="0" collapsed="false">
      <c r="A201" s="41"/>
      <c r="B201" s="42"/>
      <c r="C201" s="36"/>
      <c r="D201" s="35"/>
      <c r="E201" s="36"/>
      <c r="F201" s="36"/>
      <c r="G201" s="37"/>
      <c r="H201" s="35"/>
      <c r="I201" s="43" t="str">
        <f aca="false">IF($A201="","",COUNTIFS($A$2:$A201,$A201))</f>
        <v/>
      </c>
      <c r="J201" s="43" t="str">
        <f aca="false">IF($A201="","",$A201&amp;"-"&amp;$I201)</f>
        <v/>
      </c>
      <c r="K201" s="38" t="str">
        <f aca="false">IF($A201="","",IF(COUNTIF(参数!$B$6:$B$8,$H201)=0,"× 付款方式","√"))</f>
        <v/>
      </c>
    </row>
    <row r="202" customFormat="false" ht="13.5" hidden="false" customHeight="false" outlineLevel="0" collapsed="false">
      <c r="A202" s="41"/>
      <c r="B202" s="42"/>
      <c r="C202" s="36"/>
      <c r="D202" s="35"/>
      <c r="E202" s="36"/>
      <c r="F202" s="36"/>
      <c r="G202" s="37"/>
      <c r="H202" s="35"/>
      <c r="I202" s="43" t="str">
        <f aca="false">IF($A202="","",COUNTIFS($A$2:$A202,$A202))</f>
        <v/>
      </c>
      <c r="J202" s="43" t="str">
        <f aca="false">IF($A202="","",$A202&amp;"-"&amp;$I202)</f>
        <v/>
      </c>
      <c r="K202" s="38" t="str">
        <f aca="false">IF($A202="","",IF(COUNTIF(参数!$B$6:$B$8,$H202)=0,"× 付款方式","√"))</f>
        <v/>
      </c>
    </row>
    <row r="203" customFormat="false" ht="13.5" hidden="false" customHeight="false" outlineLevel="0" collapsed="false">
      <c r="A203" s="41"/>
      <c r="B203" s="42"/>
      <c r="C203" s="36"/>
      <c r="D203" s="35"/>
      <c r="E203" s="36"/>
      <c r="F203" s="36"/>
      <c r="G203" s="37"/>
      <c r="H203" s="35"/>
      <c r="I203" s="43" t="str">
        <f aca="false">IF($A203="","",COUNTIFS($A$2:$A203,$A203))</f>
        <v/>
      </c>
      <c r="J203" s="43" t="str">
        <f aca="false">IF($A203="","",$A203&amp;"-"&amp;$I203)</f>
        <v/>
      </c>
      <c r="K203" s="38" t="str">
        <f aca="false">IF($A203="","",IF(COUNTIF(参数!$B$6:$B$8,$H203)=0,"× 付款方式","√"))</f>
        <v/>
      </c>
    </row>
    <row r="204" customFormat="false" ht="13.5" hidden="false" customHeight="false" outlineLevel="0" collapsed="false">
      <c r="A204" s="41"/>
      <c r="B204" s="42"/>
      <c r="C204" s="36"/>
      <c r="D204" s="35"/>
      <c r="E204" s="36"/>
      <c r="F204" s="36"/>
      <c r="G204" s="37"/>
      <c r="H204" s="35"/>
      <c r="I204" s="43" t="str">
        <f aca="false">IF($A204="","",COUNTIFS($A$2:$A204,$A204))</f>
        <v/>
      </c>
      <c r="J204" s="43" t="str">
        <f aca="false">IF($A204="","",$A204&amp;"-"&amp;$I204)</f>
        <v/>
      </c>
      <c r="K204" s="38" t="str">
        <f aca="false">IF($A204="","",IF(COUNTIF(参数!$B$6:$B$8,$H204)=0,"× 付款方式","√"))</f>
        <v/>
      </c>
    </row>
    <row r="205" customFormat="false" ht="13.5" hidden="false" customHeight="false" outlineLevel="0" collapsed="false">
      <c r="A205" s="41"/>
      <c r="B205" s="42"/>
      <c r="C205" s="36"/>
      <c r="D205" s="35"/>
      <c r="E205" s="36"/>
      <c r="F205" s="36"/>
      <c r="G205" s="37"/>
      <c r="H205" s="35"/>
      <c r="I205" s="43" t="str">
        <f aca="false">IF($A205="","",COUNTIFS($A$2:$A205,$A205))</f>
        <v/>
      </c>
      <c r="J205" s="43" t="str">
        <f aca="false">IF($A205="","",$A205&amp;"-"&amp;$I205)</f>
        <v/>
      </c>
      <c r="K205" s="38" t="str">
        <f aca="false">IF($A205="","",IF(COUNTIF(参数!$B$6:$B$8,$H205)=0,"× 付款方式","√"))</f>
        <v/>
      </c>
    </row>
    <row r="206" customFormat="false" ht="13.5" hidden="false" customHeight="false" outlineLevel="0" collapsed="false">
      <c r="A206" s="41"/>
      <c r="B206" s="42"/>
      <c r="C206" s="36"/>
      <c r="D206" s="35"/>
      <c r="E206" s="36"/>
      <c r="F206" s="36"/>
      <c r="G206" s="37"/>
      <c r="H206" s="35"/>
      <c r="I206" s="43" t="str">
        <f aca="false">IF($A206="","",COUNTIFS($A$2:$A206,$A206))</f>
        <v/>
      </c>
      <c r="J206" s="43" t="str">
        <f aca="false">IF($A206="","",$A206&amp;"-"&amp;$I206)</f>
        <v/>
      </c>
      <c r="K206" s="38" t="str">
        <f aca="false">IF($A206="","",IF(COUNTIF(参数!$B$6:$B$8,$H206)=0,"× 付款方式","√"))</f>
        <v/>
      </c>
    </row>
    <row r="207" customFormat="false" ht="13.5" hidden="false" customHeight="false" outlineLevel="0" collapsed="false">
      <c r="A207" s="41"/>
      <c r="B207" s="42"/>
      <c r="C207" s="36"/>
      <c r="D207" s="35"/>
      <c r="E207" s="36"/>
      <c r="F207" s="36"/>
      <c r="G207" s="37"/>
      <c r="H207" s="35"/>
      <c r="I207" s="43" t="str">
        <f aca="false">IF($A207="","",COUNTIFS($A$2:$A207,$A207))</f>
        <v/>
      </c>
      <c r="J207" s="43" t="str">
        <f aca="false">IF($A207="","",$A207&amp;"-"&amp;$I207)</f>
        <v/>
      </c>
      <c r="K207" s="38" t="str">
        <f aca="false">IF($A207="","",IF(COUNTIF(参数!$B$6:$B$8,$H207)=0,"× 付款方式","√"))</f>
        <v/>
      </c>
    </row>
    <row r="208" customFormat="false" ht="13.5" hidden="false" customHeight="false" outlineLevel="0" collapsed="false">
      <c r="A208" s="41"/>
      <c r="B208" s="42"/>
      <c r="C208" s="36"/>
      <c r="D208" s="35"/>
      <c r="E208" s="36"/>
      <c r="F208" s="36"/>
      <c r="G208" s="37"/>
      <c r="H208" s="35"/>
      <c r="I208" s="43" t="str">
        <f aca="false">IF($A208="","",COUNTIFS($A$2:$A208,$A208))</f>
        <v/>
      </c>
      <c r="J208" s="43" t="str">
        <f aca="false">IF($A208="","",$A208&amp;"-"&amp;$I208)</f>
        <v/>
      </c>
      <c r="K208" s="38" t="str">
        <f aca="false">IF($A208="","",IF(COUNTIF(参数!$B$6:$B$8,$H208)=0,"× 付款方式","√"))</f>
        <v/>
      </c>
    </row>
    <row r="209" customFormat="false" ht="13.5" hidden="false" customHeight="false" outlineLevel="0" collapsed="false">
      <c r="A209" s="41"/>
      <c r="B209" s="42"/>
      <c r="C209" s="36"/>
      <c r="D209" s="35"/>
      <c r="E209" s="36"/>
      <c r="F209" s="36"/>
      <c r="G209" s="37"/>
      <c r="H209" s="35"/>
      <c r="I209" s="43" t="str">
        <f aca="false">IF($A209="","",COUNTIFS($A$2:$A209,$A209))</f>
        <v/>
      </c>
      <c r="J209" s="43" t="str">
        <f aca="false">IF($A209="","",$A209&amp;"-"&amp;$I209)</f>
        <v/>
      </c>
      <c r="K209" s="38" t="str">
        <f aca="false">IF($A209="","",IF(COUNTIF(参数!$B$6:$B$8,$H209)=0,"× 付款方式","√"))</f>
        <v/>
      </c>
    </row>
    <row r="210" customFormat="false" ht="13.5" hidden="false" customHeight="false" outlineLevel="0" collapsed="false">
      <c r="A210" s="41"/>
      <c r="B210" s="42"/>
      <c r="C210" s="36"/>
      <c r="D210" s="35"/>
      <c r="E210" s="36"/>
      <c r="F210" s="36"/>
      <c r="G210" s="37"/>
      <c r="H210" s="35"/>
      <c r="I210" s="43" t="str">
        <f aca="false">IF($A210="","",COUNTIFS($A$2:$A210,$A210))</f>
        <v/>
      </c>
      <c r="J210" s="43" t="str">
        <f aca="false">IF($A210="","",$A210&amp;"-"&amp;$I210)</f>
        <v/>
      </c>
      <c r="K210" s="38" t="str">
        <f aca="false">IF($A210="","",IF(COUNTIF(参数!$B$6:$B$8,$H210)=0,"× 付款方式","√"))</f>
        <v/>
      </c>
    </row>
    <row r="211" customFormat="false" ht="13.5" hidden="false" customHeight="false" outlineLevel="0" collapsed="false">
      <c r="A211" s="41"/>
      <c r="B211" s="42"/>
      <c r="C211" s="36"/>
      <c r="D211" s="35"/>
      <c r="E211" s="36"/>
      <c r="F211" s="36"/>
      <c r="G211" s="37"/>
      <c r="H211" s="35"/>
      <c r="I211" s="43" t="str">
        <f aca="false">IF($A211="","",COUNTIFS($A$2:$A211,$A211))</f>
        <v/>
      </c>
      <c r="J211" s="43" t="str">
        <f aca="false">IF($A211="","",$A211&amp;"-"&amp;$I211)</f>
        <v/>
      </c>
      <c r="K211" s="38" t="str">
        <f aca="false">IF($A211="","",IF(COUNTIF(参数!$B$6:$B$8,$H211)=0,"× 付款方式","√"))</f>
        <v/>
      </c>
    </row>
    <row r="212" customFormat="false" ht="13.5" hidden="false" customHeight="false" outlineLevel="0" collapsed="false">
      <c r="A212" s="41"/>
      <c r="B212" s="42"/>
      <c r="C212" s="36"/>
      <c r="D212" s="35"/>
      <c r="E212" s="36"/>
      <c r="F212" s="36"/>
      <c r="G212" s="37"/>
      <c r="H212" s="35"/>
      <c r="I212" s="43" t="str">
        <f aca="false">IF($A212="","",COUNTIFS($A$2:$A212,$A212))</f>
        <v/>
      </c>
      <c r="J212" s="43" t="str">
        <f aca="false">IF($A212="","",$A212&amp;"-"&amp;$I212)</f>
        <v/>
      </c>
      <c r="K212" s="38" t="str">
        <f aca="false">IF($A212="","",IF(COUNTIF(参数!$B$6:$B$8,$H212)=0,"× 付款方式","√"))</f>
        <v/>
      </c>
    </row>
    <row r="213" customFormat="false" ht="13.5" hidden="false" customHeight="false" outlineLevel="0" collapsed="false">
      <c r="A213" s="41"/>
      <c r="B213" s="42"/>
      <c r="C213" s="36"/>
      <c r="D213" s="35"/>
      <c r="E213" s="36"/>
      <c r="F213" s="36"/>
      <c r="G213" s="37"/>
      <c r="H213" s="35"/>
      <c r="I213" s="43" t="str">
        <f aca="false">IF($A213="","",COUNTIFS($A$2:$A213,$A213))</f>
        <v/>
      </c>
      <c r="J213" s="43" t="str">
        <f aca="false">IF($A213="","",$A213&amp;"-"&amp;$I213)</f>
        <v/>
      </c>
      <c r="K213" s="38" t="str">
        <f aca="false">IF($A213="","",IF(COUNTIF(参数!$B$6:$B$8,$H213)=0,"× 付款方式","√"))</f>
        <v/>
      </c>
    </row>
    <row r="214" customFormat="false" ht="13.5" hidden="false" customHeight="false" outlineLevel="0" collapsed="false">
      <c r="A214" s="41"/>
      <c r="B214" s="42"/>
      <c r="C214" s="36"/>
      <c r="D214" s="35"/>
      <c r="E214" s="36"/>
      <c r="F214" s="36"/>
      <c r="G214" s="37"/>
      <c r="H214" s="35"/>
      <c r="I214" s="43" t="str">
        <f aca="false">IF($A214="","",COUNTIFS($A$2:$A214,$A214))</f>
        <v/>
      </c>
      <c r="J214" s="43" t="str">
        <f aca="false">IF($A214="","",$A214&amp;"-"&amp;$I214)</f>
        <v/>
      </c>
      <c r="K214" s="38" t="str">
        <f aca="false">IF($A214="","",IF(COUNTIF(参数!$B$6:$B$8,$H214)=0,"× 付款方式","√"))</f>
        <v/>
      </c>
    </row>
    <row r="215" customFormat="false" ht="13.5" hidden="false" customHeight="false" outlineLevel="0" collapsed="false">
      <c r="A215" s="41"/>
      <c r="B215" s="42"/>
      <c r="C215" s="36"/>
      <c r="D215" s="35"/>
      <c r="E215" s="36"/>
      <c r="F215" s="36"/>
      <c r="G215" s="37"/>
      <c r="H215" s="35"/>
      <c r="I215" s="43" t="str">
        <f aca="false">IF($A215="","",COUNTIFS($A$2:$A215,$A215))</f>
        <v/>
      </c>
      <c r="J215" s="43" t="str">
        <f aca="false">IF($A215="","",$A215&amp;"-"&amp;$I215)</f>
        <v/>
      </c>
      <c r="K215" s="38" t="str">
        <f aca="false">IF($A215="","",IF(COUNTIF(参数!$B$6:$B$8,$H215)=0,"× 付款方式","√"))</f>
        <v/>
      </c>
    </row>
    <row r="216" customFormat="false" ht="13.5" hidden="false" customHeight="false" outlineLevel="0" collapsed="false">
      <c r="A216" s="41"/>
      <c r="B216" s="42"/>
      <c r="C216" s="36"/>
      <c r="D216" s="35"/>
      <c r="E216" s="36"/>
      <c r="F216" s="36"/>
      <c r="G216" s="37"/>
      <c r="H216" s="35"/>
      <c r="I216" s="43" t="str">
        <f aca="false">IF($A216="","",COUNTIFS($A$2:$A216,$A216))</f>
        <v/>
      </c>
      <c r="J216" s="43" t="str">
        <f aca="false">IF($A216="","",$A216&amp;"-"&amp;$I216)</f>
        <v/>
      </c>
      <c r="K216" s="38" t="str">
        <f aca="false">IF($A216="","",IF(COUNTIF(参数!$B$6:$B$8,$H216)=0,"× 付款方式","√"))</f>
        <v/>
      </c>
    </row>
    <row r="217" customFormat="false" ht="13.5" hidden="false" customHeight="false" outlineLevel="0" collapsed="false">
      <c r="A217" s="41"/>
      <c r="B217" s="42"/>
      <c r="C217" s="36"/>
      <c r="D217" s="35"/>
      <c r="E217" s="36"/>
      <c r="F217" s="36"/>
      <c r="G217" s="37"/>
      <c r="H217" s="35"/>
      <c r="I217" s="43" t="str">
        <f aca="false">IF($A217="","",COUNTIFS($A$2:$A217,$A217))</f>
        <v/>
      </c>
      <c r="J217" s="43" t="str">
        <f aca="false">IF($A217="","",$A217&amp;"-"&amp;$I217)</f>
        <v/>
      </c>
      <c r="K217" s="38" t="str">
        <f aca="false">IF($A217="","",IF(COUNTIF(参数!$B$6:$B$8,$H217)=0,"× 付款方式","√"))</f>
        <v/>
      </c>
    </row>
    <row r="218" customFormat="false" ht="13.5" hidden="false" customHeight="false" outlineLevel="0" collapsed="false">
      <c r="A218" s="41"/>
      <c r="B218" s="42"/>
      <c r="C218" s="36"/>
      <c r="D218" s="35"/>
      <c r="E218" s="36"/>
      <c r="F218" s="36"/>
      <c r="G218" s="37"/>
      <c r="H218" s="35"/>
      <c r="I218" s="43" t="str">
        <f aca="false">IF($A218="","",COUNTIFS($A$2:$A218,$A218))</f>
        <v/>
      </c>
      <c r="J218" s="43" t="str">
        <f aca="false">IF($A218="","",$A218&amp;"-"&amp;$I218)</f>
        <v/>
      </c>
      <c r="K218" s="38" t="str">
        <f aca="false">IF($A218="","",IF(COUNTIF(参数!$B$6:$B$8,$H218)=0,"× 付款方式","√"))</f>
        <v/>
      </c>
    </row>
    <row r="219" customFormat="false" ht="13.5" hidden="false" customHeight="false" outlineLevel="0" collapsed="false">
      <c r="A219" s="41"/>
      <c r="B219" s="42"/>
      <c r="C219" s="36"/>
      <c r="D219" s="35"/>
      <c r="E219" s="36"/>
      <c r="F219" s="36"/>
      <c r="G219" s="37"/>
      <c r="H219" s="35"/>
      <c r="I219" s="43" t="str">
        <f aca="false">IF($A219="","",COUNTIFS($A$2:$A219,$A219))</f>
        <v/>
      </c>
      <c r="J219" s="43" t="str">
        <f aca="false">IF($A219="","",$A219&amp;"-"&amp;$I219)</f>
        <v/>
      </c>
      <c r="K219" s="38" t="str">
        <f aca="false">IF($A219="","",IF(COUNTIF(参数!$B$6:$B$8,$H219)=0,"× 付款方式","√"))</f>
        <v/>
      </c>
    </row>
    <row r="220" customFormat="false" ht="13.5" hidden="false" customHeight="false" outlineLevel="0" collapsed="false">
      <c r="A220" s="41"/>
      <c r="B220" s="42"/>
      <c r="C220" s="36"/>
      <c r="D220" s="35"/>
      <c r="E220" s="36"/>
      <c r="F220" s="36"/>
      <c r="G220" s="37"/>
      <c r="H220" s="35"/>
      <c r="I220" s="43" t="str">
        <f aca="false">IF($A220="","",COUNTIFS($A$2:$A220,$A220))</f>
        <v/>
      </c>
      <c r="J220" s="43" t="str">
        <f aca="false">IF($A220="","",$A220&amp;"-"&amp;$I220)</f>
        <v/>
      </c>
      <c r="K220" s="38" t="str">
        <f aca="false">IF($A220="","",IF(COUNTIF(参数!$B$6:$B$8,$H220)=0,"× 付款方式","√"))</f>
        <v/>
      </c>
    </row>
    <row r="221" customFormat="false" ht="13.5" hidden="false" customHeight="false" outlineLevel="0" collapsed="false">
      <c r="A221" s="41"/>
      <c r="B221" s="42"/>
      <c r="C221" s="36"/>
      <c r="D221" s="35"/>
      <c r="E221" s="36"/>
      <c r="F221" s="36"/>
      <c r="G221" s="37"/>
      <c r="H221" s="35"/>
      <c r="I221" s="43" t="str">
        <f aca="false">IF($A221="","",COUNTIFS($A$2:$A221,$A221))</f>
        <v/>
      </c>
      <c r="J221" s="43" t="str">
        <f aca="false">IF($A221="","",$A221&amp;"-"&amp;$I221)</f>
        <v/>
      </c>
      <c r="K221" s="38" t="str">
        <f aca="false">IF($A221="","",IF(COUNTIF(参数!$B$6:$B$8,$H221)=0,"× 付款方式","√"))</f>
        <v/>
      </c>
    </row>
    <row r="222" customFormat="false" ht="13.5" hidden="false" customHeight="false" outlineLevel="0" collapsed="false">
      <c r="A222" s="41"/>
      <c r="B222" s="42"/>
      <c r="C222" s="36"/>
      <c r="D222" s="35"/>
      <c r="E222" s="36"/>
      <c r="F222" s="36"/>
      <c r="G222" s="37"/>
      <c r="H222" s="35"/>
      <c r="I222" s="43" t="str">
        <f aca="false">IF($A222="","",COUNTIFS($A$2:$A222,$A222))</f>
        <v/>
      </c>
      <c r="J222" s="43" t="str">
        <f aca="false">IF($A222="","",$A222&amp;"-"&amp;$I222)</f>
        <v/>
      </c>
      <c r="K222" s="38" t="str">
        <f aca="false">IF($A222="","",IF(COUNTIF(参数!$B$6:$B$8,$H222)=0,"× 付款方式","√"))</f>
        <v/>
      </c>
    </row>
    <row r="223" customFormat="false" ht="13.5" hidden="false" customHeight="false" outlineLevel="0" collapsed="false">
      <c r="A223" s="41"/>
      <c r="B223" s="42"/>
      <c r="C223" s="36"/>
      <c r="D223" s="35"/>
      <c r="E223" s="36"/>
      <c r="F223" s="36"/>
      <c r="G223" s="37"/>
      <c r="H223" s="35"/>
      <c r="I223" s="43" t="str">
        <f aca="false">IF($A223="","",COUNTIFS($A$2:$A223,$A223))</f>
        <v/>
      </c>
      <c r="J223" s="43" t="str">
        <f aca="false">IF($A223="","",$A223&amp;"-"&amp;$I223)</f>
        <v/>
      </c>
      <c r="K223" s="38" t="str">
        <f aca="false">IF($A223="","",IF(COUNTIF(参数!$B$6:$B$8,$H223)=0,"× 付款方式","√"))</f>
        <v/>
      </c>
    </row>
    <row r="224" customFormat="false" ht="13.5" hidden="false" customHeight="false" outlineLevel="0" collapsed="false">
      <c r="A224" s="41"/>
      <c r="B224" s="42"/>
      <c r="C224" s="36"/>
      <c r="D224" s="35"/>
      <c r="E224" s="36"/>
      <c r="F224" s="36"/>
      <c r="G224" s="37"/>
      <c r="H224" s="35"/>
      <c r="I224" s="43" t="str">
        <f aca="false">IF($A224="","",COUNTIFS($A$2:$A224,$A224))</f>
        <v/>
      </c>
      <c r="J224" s="43" t="str">
        <f aca="false">IF($A224="","",$A224&amp;"-"&amp;$I224)</f>
        <v/>
      </c>
      <c r="K224" s="38" t="str">
        <f aca="false">IF($A224="","",IF(COUNTIF(参数!$B$6:$B$8,$H224)=0,"× 付款方式","√"))</f>
        <v/>
      </c>
    </row>
    <row r="225" customFormat="false" ht="13.5" hidden="false" customHeight="false" outlineLevel="0" collapsed="false">
      <c r="A225" s="41"/>
      <c r="B225" s="42"/>
      <c r="C225" s="36"/>
      <c r="D225" s="35"/>
      <c r="E225" s="36"/>
      <c r="F225" s="36"/>
      <c r="G225" s="37"/>
      <c r="H225" s="35"/>
      <c r="I225" s="43" t="str">
        <f aca="false">IF($A225="","",COUNTIFS($A$2:$A225,$A225))</f>
        <v/>
      </c>
      <c r="J225" s="43" t="str">
        <f aca="false">IF($A225="","",$A225&amp;"-"&amp;$I225)</f>
        <v/>
      </c>
      <c r="K225" s="38" t="str">
        <f aca="false">IF($A225="","",IF(COUNTIF(参数!$B$6:$B$8,$H225)=0,"× 付款方式","√"))</f>
        <v/>
      </c>
    </row>
    <row r="226" customFormat="false" ht="13.5" hidden="false" customHeight="false" outlineLevel="0" collapsed="false">
      <c r="A226" s="41"/>
      <c r="B226" s="42"/>
      <c r="C226" s="36"/>
      <c r="D226" s="35"/>
      <c r="E226" s="36"/>
      <c r="F226" s="36"/>
      <c r="G226" s="37"/>
      <c r="H226" s="35"/>
      <c r="I226" s="43" t="str">
        <f aca="false">IF($A226="","",COUNTIFS($A$2:$A226,$A226))</f>
        <v/>
      </c>
      <c r="J226" s="43" t="str">
        <f aca="false">IF($A226="","",$A226&amp;"-"&amp;$I226)</f>
        <v/>
      </c>
      <c r="K226" s="38" t="str">
        <f aca="false">IF($A226="","",IF(COUNTIF(参数!$B$6:$B$8,$H226)=0,"× 付款方式","√"))</f>
        <v/>
      </c>
    </row>
    <row r="227" customFormat="false" ht="13.5" hidden="false" customHeight="false" outlineLevel="0" collapsed="false">
      <c r="A227" s="41"/>
      <c r="B227" s="42"/>
      <c r="C227" s="36"/>
      <c r="D227" s="35"/>
      <c r="E227" s="36"/>
      <c r="F227" s="36"/>
      <c r="G227" s="37"/>
      <c r="H227" s="35"/>
      <c r="I227" s="43" t="str">
        <f aca="false">IF($A227="","",COUNTIFS($A$2:$A227,$A227))</f>
        <v/>
      </c>
      <c r="J227" s="43" t="str">
        <f aca="false">IF($A227="","",$A227&amp;"-"&amp;$I227)</f>
        <v/>
      </c>
      <c r="K227" s="38" t="str">
        <f aca="false">IF($A227="","",IF(COUNTIF(参数!$B$6:$B$8,$H227)=0,"× 付款方式","√"))</f>
        <v/>
      </c>
    </row>
    <row r="228" customFormat="false" ht="13.5" hidden="false" customHeight="false" outlineLevel="0" collapsed="false">
      <c r="A228" s="41"/>
      <c r="B228" s="42"/>
      <c r="C228" s="36"/>
      <c r="D228" s="35"/>
      <c r="E228" s="36"/>
      <c r="F228" s="36"/>
      <c r="G228" s="37"/>
      <c r="H228" s="35"/>
      <c r="I228" s="43" t="str">
        <f aca="false">IF($A228="","",COUNTIFS($A$2:$A228,$A228))</f>
        <v/>
      </c>
      <c r="J228" s="43" t="str">
        <f aca="false">IF($A228="","",$A228&amp;"-"&amp;$I228)</f>
        <v/>
      </c>
      <c r="K228" s="38" t="str">
        <f aca="false">IF($A228="","",IF(COUNTIF(参数!$B$6:$B$8,$H228)=0,"× 付款方式","√"))</f>
        <v/>
      </c>
    </row>
    <row r="229" customFormat="false" ht="13.5" hidden="false" customHeight="false" outlineLevel="0" collapsed="false">
      <c r="A229" s="41"/>
      <c r="B229" s="42"/>
      <c r="C229" s="36"/>
      <c r="D229" s="35"/>
      <c r="E229" s="36"/>
      <c r="F229" s="36"/>
      <c r="G229" s="37"/>
      <c r="H229" s="35"/>
      <c r="I229" s="43" t="str">
        <f aca="false">IF($A229="","",COUNTIFS($A$2:$A229,$A229))</f>
        <v/>
      </c>
      <c r="J229" s="43" t="str">
        <f aca="false">IF($A229="","",$A229&amp;"-"&amp;$I229)</f>
        <v/>
      </c>
      <c r="K229" s="38" t="str">
        <f aca="false">IF($A229="","",IF(COUNTIF(参数!$B$6:$B$8,$H229)=0,"× 付款方式","√"))</f>
        <v/>
      </c>
    </row>
    <row r="230" customFormat="false" ht="13.5" hidden="false" customHeight="false" outlineLevel="0" collapsed="false">
      <c r="A230" s="41"/>
      <c r="B230" s="42"/>
      <c r="C230" s="36"/>
      <c r="D230" s="35"/>
      <c r="E230" s="36"/>
      <c r="F230" s="36"/>
      <c r="G230" s="37"/>
      <c r="H230" s="35"/>
      <c r="I230" s="43" t="str">
        <f aca="false">IF($A230="","",COUNTIFS($A$2:$A230,$A230))</f>
        <v/>
      </c>
      <c r="J230" s="43" t="str">
        <f aca="false">IF($A230="","",$A230&amp;"-"&amp;$I230)</f>
        <v/>
      </c>
      <c r="K230" s="38" t="str">
        <f aca="false">IF($A230="","",IF(COUNTIF(参数!$B$6:$B$8,$H230)=0,"× 付款方式","√"))</f>
        <v/>
      </c>
    </row>
    <row r="231" customFormat="false" ht="13.5" hidden="false" customHeight="false" outlineLevel="0" collapsed="false">
      <c r="A231" s="41"/>
      <c r="B231" s="42"/>
      <c r="C231" s="36"/>
      <c r="D231" s="35"/>
      <c r="E231" s="36"/>
      <c r="F231" s="36"/>
      <c r="G231" s="37"/>
      <c r="H231" s="35"/>
      <c r="I231" s="43" t="str">
        <f aca="false">IF($A231="","",COUNTIFS($A$2:$A231,$A231))</f>
        <v/>
      </c>
      <c r="J231" s="43" t="str">
        <f aca="false">IF($A231="","",$A231&amp;"-"&amp;$I231)</f>
        <v/>
      </c>
      <c r="K231" s="38" t="str">
        <f aca="false">IF($A231="","",IF(COUNTIF(参数!$B$6:$B$8,$H231)=0,"× 付款方式","√"))</f>
        <v/>
      </c>
    </row>
    <row r="232" customFormat="false" ht="13.5" hidden="false" customHeight="false" outlineLevel="0" collapsed="false">
      <c r="A232" s="41"/>
      <c r="B232" s="42"/>
      <c r="C232" s="36"/>
      <c r="D232" s="35"/>
      <c r="E232" s="36"/>
      <c r="F232" s="36"/>
      <c r="G232" s="37"/>
      <c r="H232" s="35"/>
      <c r="I232" s="43" t="str">
        <f aca="false">IF($A232="","",COUNTIFS($A$2:$A232,$A232))</f>
        <v/>
      </c>
      <c r="J232" s="43" t="str">
        <f aca="false">IF($A232="","",$A232&amp;"-"&amp;$I232)</f>
        <v/>
      </c>
      <c r="K232" s="38" t="str">
        <f aca="false">IF($A232="","",IF(COUNTIF(参数!$B$6:$B$8,$H232)=0,"× 付款方式","√"))</f>
        <v/>
      </c>
    </row>
    <row r="233" customFormat="false" ht="13.5" hidden="false" customHeight="false" outlineLevel="0" collapsed="false">
      <c r="A233" s="41"/>
      <c r="B233" s="42"/>
      <c r="C233" s="36"/>
      <c r="D233" s="35"/>
      <c r="E233" s="36"/>
      <c r="F233" s="36"/>
      <c r="G233" s="37"/>
      <c r="H233" s="35"/>
      <c r="I233" s="43" t="str">
        <f aca="false">IF($A233="","",COUNTIFS($A$2:$A233,$A233))</f>
        <v/>
      </c>
      <c r="J233" s="43" t="str">
        <f aca="false">IF($A233="","",$A233&amp;"-"&amp;$I233)</f>
        <v/>
      </c>
      <c r="K233" s="38" t="str">
        <f aca="false">IF($A233="","",IF(COUNTIF(参数!$B$6:$B$8,$H233)=0,"× 付款方式","√"))</f>
        <v/>
      </c>
    </row>
    <row r="234" customFormat="false" ht="13.5" hidden="false" customHeight="false" outlineLevel="0" collapsed="false">
      <c r="A234" s="41"/>
      <c r="B234" s="42"/>
      <c r="C234" s="36"/>
      <c r="D234" s="35"/>
      <c r="E234" s="36"/>
      <c r="F234" s="36"/>
      <c r="G234" s="37"/>
      <c r="H234" s="35"/>
      <c r="I234" s="43" t="str">
        <f aca="false">IF($A234="","",COUNTIFS($A$2:$A234,$A234))</f>
        <v/>
      </c>
      <c r="J234" s="43" t="str">
        <f aca="false">IF($A234="","",$A234&amp;"-"&amp;$I234)</f>
        <v/>
      </c>
      <c r="K234" s="38" t="str">
        <f aca="false">IF($A234="","",IF(COUNTIF(参数!$B$6:$B$8,$H234)=0,"× 付款方式","√"))</f>
        <v/>
      </c>
    </row>
    <row r="235" customFormat="false" ht="13.5" hidden="false" customHeight="false" outlineLevel="0" collapsed="false">
      <c r="A235" s="41"/>
      <c r="B235" s="42"/>
      <c r="C235" s="36"/>
      <c r="D235" s="35"/>
      <c r="E235" s="36"/>
      <c r="F235" s="36"/>
      <c r="G235" s="37"/>
      <c r="H235" s="35"/>
      <c r="I235" s="43" t="str">
        <f aca="false">IF($A235="","",COUNTIFS($A$2:$A235,$A235))</f>
        <v/>
      </c>
      <c r="J235" s="43" t="str">
        <f aca="false">IF($A235="","",$A235&amp;"-"&amp;$I235)</f>
        <v/>
      </c>
      <c r="K235" s="38" t="str">
        <f aca="false">IF($A235="","",IF(COUNTIF(参数!$B$6:$B$8,$H235)=0,"× 付款方式","√"))</f>
        <v/>
      </c>
    </row>
    <row r="236" customFormat="false" ht="13.5" hidden="false" customHeight="false" outlineLevel="0" collapsed="false">
      <c r="A236" s="41"/>
      <c r="B236" s="42"/>
      <c r="C236" s="36"/>
      <c r="D236" s="35"/>
      <c r="E236" s="36"/>
      <c r="F236" s="36"/>
      <c r="G236" s="37"/>
      <c r="H236" s="35"/>
      <c r="I236" s="43" t="str">
        <f aca="false">IF($A236="","",COUNTIFS($A$2:$A236,$A236))</f>
        <v/>
      </c>
      <c r="J236" s="43" t="str">
        <f aca="false">IF($A236="","",$A236&amp;"-"&amp;$I236)</f>
        <v/>
      </c>
      <c r="K236" s="38" t="str">
        <f aca="false">IF($A236="","",IF(COUNTIF(参数!$B$6:$B$8,$H236)=0,"× 付款方式","√"))</f>
        <v/>
      </c>
    </row>
    <row r="237" customFormat="false" ht="13.5" hidden="false" customHeight="false" outlineLevel="0" collapsed="false">
      <c r="A237" s="41"/>
      <c r="B237" s="42"/>
      <c r="C237" s="36"/>
      <c r="D237" s="35"/>
      <c r="E237" s="36"/>
      <c r="F237" s="36"/>
      <c r="G237" s="37"/>
      <c r="H237" s="35"/>
      <c r="I237" s="43" t="str">
        <f aca="false">IF($A237="","",COUNTIFS($A$2:$A237,$A237))</f>
        <v/>
      </c>
      <c r="J237" s="43" t="str">
        <f aca="false">IF($A237="","",$A237&amp;"-"&amp;$I237)</f>
        <v/>
      </c>
      <c r="K237" s="38" t="str">
        <f aca="false">IF($A237="","",IF(COUNTIF(参数!$B$6:$B$8,$H237)=0,"× 付款方式","√"))</f>
        <v/>
      </c>
    </row>
    <row r="238" customFormat="false" ht="13.5" hidden="false" customHeight="false" outlineLevel="0" collapsed="false">
      <c r="A238" s="41"/>
      <c r="B238" s="42"/>
      <c r="C238" s="36"/>
      <c r="D238" s="35"/>
      <c r="E238" s="36"/>
      <c r="F238" s="36"/>
      <c r="G238" s="37"/>
      <c r="H238" s="35"/>
      <c r="I238" s="43" t="str">
        <f aca="false">IF($A238="","",COUNTIFS($A$2:$A238,$A238))</f>
        <v/>
      </c>
      <c r="J238" s="43" t="str">
        <f aca="false">IF($A238="","",$A238&amp;"-"&amp;$I238)</f>
        <v/>
      </c>
      <c r="K238" s="38" t="str">
        <f aca="false">IF($A238="","",IF(COUNTIF(参数!$B$6:$B$8,$H238)=0,"× 付款方式","√"))</f>
        <v/>
      </c>
    </row>
    <row r="239" customFormat="false" ht="13.5" hidden="false" customHeight="false" outlineLevel="0" collapsed="false">
      <c r="A239" s="41"/>
      <c r="B239" s="42"/>
      <c r="C239" s="36"/>
      <c r="D239" s="35"/>
      <c r="E239" s="36"/>
      <c r="F239" s="36"/>
      <c r="G239" s="37"/>
      <c r="H239" s="35"/>
      <c r="I239" s="43" t="str">
        <f aca="false">IF($A239="","",COUNTIFS($A$2:$A239,$A239))</f>
        <v/>
      </c>
      <c r="J239" s="43" t="str">
        <f aca="false">IF($A239="","",$A239&amp;"-"&amp;$I239)</f>
        <v/>
      </c>
      <c r="K239" s="38" t="str">
        <f aca="false">IF($A239="","",IF(COUNTIF(参数!$B$6:$B$8,$H239)=0,"× 付款方式","√"))</f>
        <v/>
      </c>
    </row>
    <row r="240" customFormat="false" ht="13.5" hidden="false" customHeight="false" outlineLevel="0" collapsed="false">
      <c r="A240" s="41"/>
      <c r="B240" s="42"/>
      <c r="C240" s="36"/>
      <c r="D240" s="35"/>
      <c r="E240" s="36"/>
      <c r="F240" s="36"/>
      <c r="G240" s="37"/>
      <c r="H240" s="35"/>
      <c r="I240" s="43" t="str">
        <f aca="false">IF($A240="","",COUNTIFS($A$2:$A240,$A240))</f>
        <v/>
      </c>
      <c r="J240" s="43" t="str">
        <f aca="false">IF($A240="","",$A240&amp;"-"&amp;$I240)</f>
        <v/>
      </c>
      <c r="K240" s="38" t="str">
        <f aca="false">IF($A240="","",IF(COUNTIF(参数!$B$6:$B$8,$H240)=0,"× 付款方式","√"))</f>
        <v/>
      </c>
    </row>
    <row r="241" customFormat="false" ht="13.5" hidden="false" customHeight="false" outlineLevel="0" collapsed="false">
      <c r="A241" s="41"/>
      <c r="B241" s="42"/>
      <c r="C241" s="36"/>
      <c r="D241" s="35"/>
      <c r="E241" s="36"/>
      <c r="F241" s="36"/>
      <c r="G241" s="37"/>
      <c r="H241" s="35"/>
      <c r="I241" s="43" t="str">
        <f aca="false">IF($A241="","",COUNTIFS($A$2:$A241,$A241))</f>
        <v/>
      </c>
      <c r="J241" s="43" t="str">
        <f aca="false">IF($A241="","",$A241&amp;"-"&amp;$I241)</f>
        <v/>
      </c>
      <c r="K241" s="38" t="str">
        <f aca="false">IF($A241="","",IF(COUNTIF(参数!$B$6:$B$8,$H241)=0,"× 付款方式","√"))</f>
        <v/>
      </c>
    </row>
    <row r="242" customFormat="false" ht="13.5" hidden="false" customHeight="false" outlineLevel="0" collapsed="false">
      <c r="A242" s="41"/>
      <c r="B242" s="42"/>
      <c r="C242" s="36"/>
      <c r="D242" s="35"/>
      <c r="E242" s="36"/>
      <c r="F242" s="36"/>
      <c r="G242" s="37"/>
      <c r="H242" s="35"/>
      <c r="I242" s="43" t="str">
        <f aca="false">IF($A242="","",COUNTIFS($A$2:$A242,$A242))</f>
        <v/>
      </c>
      <c r="J242" s="43" t="str">
        <f aca="false">IF($A242="","",$A242&amp;"-"&amp;$I242)</f>
        <v/>
      </c>
      <c r="K242" s="38" t="str">
        <f aca="false">IF($A242="","",IF(COUNTIF(参数!$B$6:$B$8,$H242)=0,"× 付款方式","√"))</f>
        <v/>
      </c>
    </row>
    <row r="243" customFormat="false" ht="13.5" hidden="false" customHeight="false" outlineLevel="0" collapsed="false">
      <c r="A243" s="41"/>
      <c r="B243" s="42"/>
      <c r="C243" s="36"/>
      <c r="D243" s="35"/>
      <c r="E243" s="36"/>
      <c r="F243" s="36"/>
      <c r="G243" s="37"/>
      <c r="H243" s="35"/>
      <c r="I243" s="43" t="str">
        <f aca="false">IF($A243="","",COUNTIFS($A$2:$A243,$A243))</f>
        <v/>
      </c>
      <c r="J243" s="43" t="str">
        <f aca="false">IF($A243="","",$A243&amp;"-"&amp;$I243)</f>
        <v/>
      </c>
      <c r="K243" s="38" t="str">
        <f aca="false">IF($A243="","",IF(COUNTIF(参数!$B$6:$B$8,$H243)=0,"× 付款方式","√"))</f>
        <v/>
      </c>
    </row>
    <row r="244" customFormat="false" ht="13.5" hidden="false" customHeight="false" outlineLevel="0" collapsed="false">
      <c r="A244" s="41"/>
      <c r="B244" s="42"/>
      <c r="C244" s="36"/>
      <c r="D244" s="35"/>
      <c r="E244" s="36"/>
      <c r="F244" s="36"/>
      <c r="G244" s="37"/>
      <c r="H244" s="35"/>
      <c r="I244" s="43" t="str">
        <f aca="false">IF($A244="","",COUNTIFS($A$2:$A244,$A244))</f>
        <v/>
      </c>
      <c r="J244" s="43" t="str">
        <f aca="false">IF($A244="","",$A244&amp;"-"&amp;$I244)</f>
        <v/>
      </c>
      <c r="K244" s="38" t="str">
        <f aca="false">IF($A244="","",IF(COUNTIF(参数!$B$6:$B$8,$H244)=0,"× 付款方式","√"))</f>
        <v/>
      </c>
    </row>
    <row r="245" customFormat="false" ht="13.5" hidden="false" customHeight="false" outlineLevel="0" collapsed="false">
      <c r="A245" s="41"/>
      <c r="B245" s="42"/>
      <c r="C245" s="36"/>
      <c r="D245" s="35"/>
      <c r="E245" s="36"/>
      <c r="F245" s="36"/>
      <c r="G245" s="37"/>
      <c r="H245" s="35"/>
      <c r="I245" s="43" t="str">
        <f aca="false">IF($A245="","",COUNTIFS($A$2:$A245,$A245))</f>
        <v/>
      </c>
      <c r="J245" s="43" t="str">
        <f aca="false">IF($A245="","",$A245&amp;"-"&amp;$I245)</f>
        <v/>
      </c>
      <c r="K245" s="38" t="str">
        <f aca="false">IF($A245="","",IF(COUNTIF(参数!$B$6:$B$8,$H245)=0,"× 付款方式","√"))</f>
        <v/>
      </c>
    </row>
    <row r="246" customFormat="false" ht="13.5" hidden="false" customHeight="false" outlineLevel="0" collapsed="false">
      <c r="A246" s="41"/>
      <c r="B246" s="42"/>
      <c r="C246" s="36"/>
      <c r="D246" s="35"/>
      <c r="E246" s="36"/>
      <c r="F246" s="36"/>
      <c r="G246" s="37"/>
      <c r="H246" s="35"/>
      <c r="I246" s="43" t="str">
        <f aca="false">IF($A246="","",COUNTIFS($A$2:$A246,$A246))</f>
        <v/>
      </c>
      <c r="J246" s="43" t="str">
        <f aca="false">IF($A246="","",$A246&amp;"-"&amp;$I246)</f>
        <v/>
      </c>
      <c r="K246" s="38" t="str">
        <f aca="false">IF($A246="","",IF(COUNTIF(参数!$B$6:$B$8,$H246)=0,"× 付款方式","√"))</f>
        <v/>
      </c>
    </row>
    <row r="247" customFormat="false" ht="13.5" hidden="false" customHeight="false" outlineLevel="0" collapsed="false">
      <c r="A247" s="41"/>
      <c r="B247" s="42"/>
      <c r="C247" s="36"/>
      <c r="D247" s="35"/>
      <c r="E247" s="36"/>
      <c r="F247" s="36"/>
      <c r="G247" s="37"/>
      <c r="H247" s="35"/>
      <c r="I247" s="43" t="str">
        <f aca="false">IF($A247="","",COUNTIFS($A$2:$A247,$A247))</f>
        <v/>
      </c>
      <c r="J247" s="43" t="str">
        <f aca="false">IF($A247="","",$A247&amp;"-"&amp;$I247)</f>
        <v/>
      </c>
      <c r="K247" s="38" t="str">
        <f aca="false">IF($A247="","",IF(COUNTIF(参数!$B$6:$B$8,$H247)=0,"× 付款方式","√"))</f>
        <v/>
      </c>
    </row>
    <row r="248" customFormat="false" ht="13.5" hidden="false" customHeight="false" outlineLevel="0" collapsed="false">
      <c r="A248" s="41"/>
      <c r="B248" s="42"/>
      <c r="C248" s="36"/>
      <c r="D248" s="35"/>
      <c r="E248" s="36"/>
      <c r="F248" s="36"/>
      <c r="G248" s="37"/>
      <c r="H248" s="35"/>
      <c r="I248" s="43" t="str">
        <f aca="false">IF($A248="","",COUNTIFS($A$2:$A248,$A248))</f>
        <v/>
      </c>
      <c r="J248" s="43" t="str">
        <f aca="false">IF($A248="","",$A248&amp;"-"&amp;$I248)</f>
        <v/>
      </c>
      <c r="K248" s="38" t="str">
        <f aca="false">IF($A248="","",IF(COUNTIF(参数!$B$6:$B$8,$H248)=0,"× 付款方式","√"))</f>
        <v/>
      </c>
    </row>
    <row r="249" customFormat="false" ht="13.5" hidden="false" customHeight="false" outlineLevel="0" collapsed="false">
      <c r="A249" s="41"/>
      <c r="B249" s="42"/>
      <c r="C249" s="36"/>
      <c r="D249" s="35"/>
      <c r="E249" s="36"/>
      <c r="F249" s="36"/>
      <c r="G249" s="37"/>
      <c r="H249" s="35"/>
      <c r="I249" s="43" t="str">
        <f aca="false">IF($A249="","",COUNTIFS($A$2:$A249,$A249))</f>
        <v/>
      </c>
      <c r="J249" s="43" t="str">
        <f aca="false">IF($A249="","",$A249&amp;"-"&amp;$I249)</f>
        <v/>
      </c>
      <c r="K249" s="38" t="str">
        <f aca="false">IF($A249="","",IF(COUNTIF(参数!$B$6:$B$8,$H249)=0,"× 付款方式","√"))</f>
        <v/>
      </c>
    </row>
    <row r="250" customFormat="false" ht="13.5" hidden="false" customHeight="false" outlineLevel="0" collapsed="false">
      <c r="A250" s="41"/>
      <c r="B250" s="42"/>
      <c r="C250" s="36"/>
      <c r="D250" s="35"/>
      <c r="E250" s="36"/>
      <c r="F250" s="36"/>
      <c r="G250" s="37"/>
      <c r="H250" s="35"/>
      <c r="I250" s="43" t="str">
        <f aca="false">IF($A250="","",COUNTIFS($A$2:$A250,$A250))</f>
        <v/>
      </c>
      <c r="J250" s="43" t="str">
        <f aca="false">IF($A250="","",$A250&amp;"-"&amp;$I250)</f>
        <v/>
      </c>
      <c r="K250" s="38" t="str">
        <f aca="false">IF($A250="","",IF(COUNTIF(参数!$B$6:$B$8,$H250)=0,"× 付款方式","√"))</f>
        <v/>
      </c>
    </row>
    <row r="251" customFormat="false" ht="13.5" hidden="false" customHeight="false" outlineLevel="0" collapsed="false">
      <c r="A251" s="41"/>
      <c r="B251" s="42"/>
      <c r="C251" s="36"/>
      <c r="D251" s="35"/>
      <c r="E251" s="36"/>
      <c r="F251" s="36"/>
      <c r="G251" s="37"/>
      <c r="H251" s="35"/>
      <c r="I251" s="43" t="str">
        <f aca="false">IF($A251="","",COUNTIFS($A$2:$A251,$A251))</f>
        <v/>
      </c>
      <c r="J251" s="43" t="str">
        <f aca="false">IF($A251="","",$A251&amp;"-"&amp;$I251)</f>
        <v/>
      </c>
      <c r="K251" s="38" t="str">
        <f aca="false">IF($A251="","",IF(COUNTIF(参数!$B$6:$B$8,$H251)=0,"× 付款方式","√"))</f>
        <v/>
      </c>
    </row>
    <row r="252" customFormat="false" ht="13.5" hidden="false" customHeight="false" outlineLevel="0" collapsed="false">
      <c r="A252" s="41"/>
      <c r="B252" s="42"/>
      <c r="C252" s="36"/>
      <c r="D252" s="35"/>
      <c r="E252" s="36"/>
      <c r="F252" s="36"/>
      <c r="G252" s="37"/>
      <c r="H252" s="35"/>
      <c r="I252" s="43" t="str">
        <f aca="false">IF($A252="","",COUNTIFS($A$2:$A252,$A252))</f>
        <v/>
      </c>
      <c r="J252" s="43" t="str">
        <f aca="false">IF($A252="","",$A252&amp;"-"&amp;$I252)</f>
        <v/>
      </c>
      <c r="K252" s="38" t="str">
        <f aca="false">IF($A252="","",IF(COUNTIF(参数!$B$6:$B$8,$H252)=0,"× 付款方式","√"))</f>
        <v/>
      </c>
    </row>
    <row r="253" customFormat="false" ht="13.5" hidden="false" customHeight="false" outlineLevel="0" collapsed="false">
      <c r="A253" s="41"/>
      <c r="B253" s="42"/>
      <c r="C253" s="36"/>
      <c r="D253" s="35"/>
      <c r="E253" s="36"/>
      <c r="F253" s="36"/>
      <c r="G253" s="37"/>
      <c r="H253" s="35"/>
      <c r="I253" s="43" t="str">
        <f aca="false">IF($A253="","",COUNTIFS($A$2:$A253,$A253))</f>
        <v/>
      </c>
      <c r="J253" s="43" t="str">
        <f aca="false">IF($A253="","",$A253&amp;"-"&amp;$I253)</f>
        <v/>
      </c>
      <c r="K253" s="38" t="str">
        <f aca="false">IF($A253="","",IF(COUNTIF(参数!$B$6:$B$8,$H253)=0,"× 付款方式","√"))</f>
        <v/>
      </c>
    </row>
    <row r="254" customFormat="false" ht="13.5" hidden="false" customHeight="false" outlineLevel="0" collapsed="false">
      <c r="A254" s="41"/>
      <c r="B254" s="42"/>
      <c r="C254" s="36"/>
      <c r="D254" s="35"/>
      <c r="E254" s="36"/>
      <c r="F254" s="36"/>
      <c r="G254" s="37"/>
      <c r="H254" s="35"/>
      <c r="I254" s="43" t="str">
        <f aca="false">IF($A254="","",COUNTIFS($A$2:$A254,$A254))</f>
        <v/>
      </c>
      <c r="J254" s="43" t="str">
        <f aca="false">IF($A254="","",$A254&amp;"-"&amp;$I254)</f>
        <v/>
      </c>
      <c r="K254" s="38" t="str">
        <f aca="false">IF($A254="","",IF(COUNTIF(参数!$B$6:$B$8,$H254)=0,"× 付款方式","√"))</f>
        <v/>
      </c>
    </row>
    <row r="255" customFormat="false" ht="13.5" hidden="false" customHeight="false" outlineLevel="0" collapsed="false">
      <c r="A255" s="41"/>
      <c r="B255" s="42"/>
      <c r="C255" s="36"/>
      <c r="D255" s="35"/>
      <c r="E255" s="36"/>
      <c r="F255" s="36"/>
      <c r="G255" s="37"/>
      <c r="H255" s="35"/>
      <c r="I255" s="43" t="str">
        <f aca="false">IF($A255="","",COUNTIFS($A$2:$A255,$A255))</f>
        <v/>
      </c>
      <c r="J255" s="43" t="str">
        <f aca="false">IF($A255="","",$A255&amp;"-"&amp;$I255)</f>
        <v/>
      </c>
      <c r="K255" s="38" t="str">
        <f aca="false">IF($A255="","",IF(COUNTIF(参数!$B$6:$B$8,$H255)=0,"× 付款方式","√"))</f>
        <v/>
      </c>
    </row>
    <row r="256" customFormat="false" ht="13.5" hidden="false" customHeight="false" outlineLevel="0" collapsed="false">
      <c r="A256" s="41"/>
      <c r="B256" s="42"/>
      <c r="C256" s="36"/>
      <c r="D256" s="35"/>
      <c r="E256" s="36"/>
      <c r="F256" s="36"/>
      <c r="G256" s="37"/>
      <c r="H256" s="35"/>
      <c r="I256" s="43" t="str">
        <f aca="false">IF($A256="","",COUNTIFS($A$2:$A256,$A256))</f>
        <v/>
      </c>
      <c r="J256" s="43" t="str">
        <f aca="false">IF($A256="","",$A256&amp;"-"&amp;$I256)</f>
        <v/>
      </c>
      <c r="K256" s="38" t="str">
        <f aca="false">IF($A256="","",IF(COUNTIF(参数!$B$6:$B$8,$H256)=0,"× 付款方式","√"))</f>
        <v/>
      </c>
    </row>
    <row r="257" customFormat="false" ht="13.5" hidden="false" customHeight="false" outlineLevel="0" collapsed="false">
      <c r="A257" s="41"/>
      <c r="B257" s="42"/>
      <c r="C257" s="36"/>
      <c r="D257" s="35"/>
      <c r="E257" s="36"/>
      <c r="F257" s="36"/>
      <c r="G257" s="37"/>
      <c r="H257" s="35"/>
      <c r="I257" s="43" t="str">
        <f aca="false">IF($A257="","",COUNTIFS($A$2:$A257,$A257))</f>
        <v/>
      </c>
      <c r="J257" s="43" t="str">
        <f aca="false">IF($A257="","",$A257&amp;"-"&amp;$I257)</f>
        <v/>
      </c>
      <c r="K257" s="38" t="str">
        <f aca="false">IF($A257="","",IF(COUNTIF(参数!$B$6:$B$8,$H257)=0,"× 付款方式","√"))</f>
        <v/>
      </c>
    </row>
    <row r="258" customFormat="false" ht="13.5" hidden="false" customHeight="false" outlineLevel="0" collapsed="false">
      <c r="A258" s="41"/>
      <c r="B258" s="42"/>
      <c r="C258" s="36"/>
      <c r="D258" s="35"/>
      <c r="E258" s="36"/>
      <c r="F258" s="36"/>
      <c r="G258" s="37"/>
      <c r="H258" s="35"/>
      <c r="I258" s="43" t="str">
        <f aca="false">IF($A258="","",COUNTIFS($A$2:$A258,$A258))</f>
        <v/>
      </c>
      <c r="J258" s="43" t="str">
        <f aca="false">IF($A258="","",$A258&amp;"-"&amp;$I258)</f>
        <v/>
      </c>
      <c r="K258" s="38" t="str">
        <f aca="false">IF($A258="","",IF(COUNTIF(参数!$B$6:$B$8,$H258)=0,"× 付款方式","√"))</f>
        <v/>
      </c>
    </row>
    <row r="259" customFormat="false" ht="13.5" hidden="false" customHeight="false" outlineLevel="0" collapsed="false">
      <c r="A259" s="41"/>
      <c r="B259" s="42"/>
      <c r="C259" s="36"/>
      <c r="D259" s="35"/>
      <c r="E259" s="36"/>
      <c r="F259" s="36"/>
      <c r="G259" s="37"/>
      <c r="H259" s="35"/>
      <c r="I259" s="43" t="str">
        <f aca="false">IF($A259="","",COUNTIFS($A$2:$A259,$A259))</f>
        <v/>
      </c>
      <c r="J259" s="43" t="str">
        <f aca="false">IF($A259="","",$A259&amp;"-"&amp;$I259)</f>
        <v/>
      </c>
      <c r="K259" s="38" t="str">
        <f aca="false">IF($A259="","",IF(COUNTIF(参数!$B$6:$B$8,$H259)=0,"× 付款方式","√"))</f>
        <v/>
      </c>
    </row>
    <row r="260" customFormat="false" ht="13.5" hidden="false" customHeight="false" outlineLevel="0" collapsed="false">
      <c r="A260" s="41"/>
      <c r="B260" s="42"/>
      <c r="C260" s="36"/>
      <c r="D260" s="35"/>
      <c r="E260" s="36"/>
      <c r="F260" s="36"/>
      <c r="G260" s="37"/>
      <c r="H260" s="35"/>
      <c r="I260" s="43" t="str">
        <f aca="false">IF($A260="","",COUNTIFS($A$2:$A260,$A260))</f>
        <v/>
      </c>
      <c r="J260" s="43" t="str">
        <f aca="false">IF($A260="","",$A260&amp;"-"&amp;$I260)</f>
        <v/>
      </c>
      <c r="K260" s="38" t="str">
        <f aca="false">IF($A260="","",IF(COUNTIF(参数!$B$6:$B$8,$H260)=0,"× 付款方式","√"))</f>
        <v/>
      </c>
    </row>
    <row r="261" customFormat="false" ht="13.5" hidden="false" customHeight="false" outlineLevel="0" collapsed="false">
      <c r="A261" s="41"/>
      <c r="B261" s="42"/>
      <c r="C261" s="36"/>
      <c r="D261" s="35"/>
      <c r="E261" s="36"/>
      <c r="F261" s="36"/>
      <c r="G261" s="37"/>
      <c r="H261" s="35"/>
      <c r="I261" s="43" t="str">
        <f aca="false">IF($A261="","",COUNTIFS($A$2:$A261,$A261))</f>
        <v/>
      </c>
      <c r="J261" s="43" t="str">
        <f aca="false">IF($A261="","",$A261&amp;"-"&amp;$I261)</f>
        <v/>
      </c>
      <c r="K261" s="38" t="str">
        <f aca="false">IF($A261="","",IF(COUNTIF(参数!$B$6:$B$8,$H261)=0,"× 付款方式","√"))</f>
        <v/>
      </c>
    </row>
    <row r="262" customFormat="false" ht="13.5" hidden="false" customHeight="false" outlineLevel="0" collapsed="false">
      <c r="A262" s="41"/>
      <c r="B262" s="42"/>
      <c r="C262" s="36"/>
      <c r="D262" s="35"/>
      <c r="E262" s="36"/>
      <c r="F262" s="36"/>
      <c r="G262" s="37"/>
      <c r="H262" s="35"/>
      <c r="I262" s="43" t="str">
        <f aca="false">IF($A262="","",COUNTIFS($A$2:$A262,$A262))</f>
        <v/>
      </c>
      <c r="J262" s="43" t="str">
        <f aca="false">IF($A262="","",$A262&amp;"-"&amp;$I262)</f>
        <v/>
      </c>
      <c r="K262" s="38" t="str">
        <f aca="false">IF($A262="","",IF(COUNTIF(参数!$B$6:$B$8,$H262)=0,"× 付款方式","√"))</f>
        <v/>
      </c>
    </row>
    <row r="263" customFormat="false" ht="13.5" hidden="false" customHeight="false" outlineLevel="0" collapsed="false">
      <c r="A263" s="41"/>
      <c r="B263" s="42"/>
      <c r="C263" s="36"/>
      <c r="D263" s="35"/>
      <c r="E263" s="36"/>
      <c r="F263" s="36"/>
      <c r="G263" s="37"/>
      <c r="H263" s="35"/>
      <c r="I263" s="43" t="str">
        <f aca="false">IF($A263="","",COUNTIFS($A$2:$A263,$A263))</f>
        <v/>
      </c>
      <c r="J263" s="43" t="str">
        <f aca="false">IF($A263="","",$A263&amp;"-"&amp;$I263)</f>
        <v/>
      </c>
      <c r="K263" s="38" t="str">
        <f aca="false">IF($A263="","",IF(COUNTIF(参数!$B$6:$B$8,$H263)=0,"× 付款方式","√"))</f>
        <v/>
      </c>
    </row>
    <row r="264" customFormat="false" ht="13.5" hidden="false" customHeight="false" outlineLevel="0" collapsed="false">
      <c r="A264" s="41"/>
      <c r="B264" s="42"/>
      <c r="C264" s="36"/>
      <c r="D264" s="35"/>
      <c r="E264" s="36"/>
      <c r="F264" s="36"/>
      <c r="G264" s="37"/>
      <c r="H264" s="35"/>
      <c r="I264" s="43" t="str">
        <f aca="false">IF($A264="","",COUNTIFS($A$2:$A264,$A264))</f>
        <v/>
      </c>
      <c r="J264" s="43" t="str">
        <f aca="false">IF($A264="","",$A264&amp;"-"&amp;$I264)</f>
        <v/>
      </c>
      <c r="K264" s="38" t="str">
        <f aca="false">IF($A264="","",IF(COUNTIF(参数!$B$6:$B$8,$H264)=0,"× 付款方式","√"))</f>
        <v/>
      </c>
    </row>
    <row r="265" customFormat="false" ht="13.5" hidden="false" customHeight="false" outlineLevel="0" collapsed="false">
      <c r="A265" s="41"/>
      <c r="B265" s="42"/>
      <c r="C265" s="36"/>
      <c r="D265" s="35"/>
      <c r="E265" s="36"/>
      <c r="F265" s="36"/>
      <c r="G265" s="37"/>
      <c r="H265" s="35"/>
      <c r="I265" s="43" t="str">
        <f aca="false">IF($A265="","",COUNTIFS($A$2:$A265,$A265))</f>
        <v/>
      </c>
      <c r="J265" s="43" t="str">
        <f aca="false">IF($A265="","",$A265&amp;"-"&amp;$I265)</f>
        <v/>
      </c>
      <c r="K265" s="38" t="str">
        <f aca="false">IF($A265="","",IF(COUNTIF(参数!$B$6:$B$8,$H265)=0,"× 付款方式","√"))</f>
        <v/>
      </c>
    </row>
    <row r="266" customFormat="false" ht="13.5" hidden="false" customHeight="false" outlineLevel="0" collapsed="false">
      <c r="A266" s="41"/>
      <c r="B266" s="42"/>
      <c r="C266" s="36"/>
      <c r="D266" s="35"/>
      <c r="E266" s="36"/>
      <c r="F266" s="36"/>
      <c r="G266" s="37"/>
      <c r="H266" s="35"/>
      <c r="I266" s="43" t="str">
        <f aca="false">IF($A266="","",COUNTIFS($A$2:$A266,$A266))</f>
        <v/>
      </c>
      <c r="J266" s="43" t="str">
        <f aca="false">IF($A266="","",$A266&amp;"-"&amp;$I266)</f>
        <v/>
      </c>
      <c r="K266" s="38" t="str">
        <f aca="false">IF($A266="","",IF(COUNTIF(参数!$B$6:$B$8,$H266)=0,"× 付款方式","√"))</f>
        <v/>
      </c>
    </row>
    <row r="267" customFormat="false" ht="13.5" hidden="false" customHeight="false" outlineLevel="0" collapsed="false">
      <c r="A267" s="41"/>
      <c r="B267" s="42"/>
      <c r="C267" s="36"/>
      <c r="D267" s="35"/>
      <c r="E267" s="36"/>
      <c r="F267" s="36"/>
      <c r="G267" s="37"/>
      <c r="H267" s="35"/>
      <c r="I267" s="43" t="str">
        <f aca="false">IF($A267="","",COUNTIFS($A$2:$A267,$A267))</f>
        <v/>
      </c>
      <c r="J267" s="43" t="str">
        <f aca="false">IF($A267="","",$A267&amp;"-"&amp;$I267)</f>
        <v/>
      </c>
      <c r="K267" s="38" t="str">
        <f aca="false">IF($A267="","",IF(COUNTIF(参数!$B$6:$B$8,$H267)=0,"× 付款方式","√"))</f>
        <v/>
      </c>
    </row>
    <row r="268" customFormat="false" ht="13.5" hidden="false" customHeight="false" outlineLevel="0" collapsed="false">
      <c r="A268" s="41"/>
      <c r="B268" s="42"/>
      <c r="C268" s="36"/>
      <c r="D268" s="35"/>
      <c r="E268" s="36"/>
      <c r="F268" s="36"/>
      <c r="G268" s="37"/>
      <c r="H268" s="35"/>
      <c r="I268" s="43" t="str">
        <f aca="false">IF($A268="","",COUNTIFS($A$2:$A268,$A268))</f>
        <v/>
      </c>
      <c r="J268" s="43" t="str">
        <f aca="false">IF($A268="","",$A268&amp;"-"&amp;$I268)</f>
        <v/>
      </c>
      <c r="K268" s="38" t="str">
        <f aca="false">IF($A268="","",IF(COUNTIF(参数!$B$6:$B$8,$H268)=0,"× 付款方式","√"))</f>
        <v/>
      </c>
    </row>
    <row r="269" customFormat="false" ht="13.5" hidden="false" customHeight="false" outlineLevel="0" collapsed="false">
      <c r="A269" s="41"/>
      <c r="B269" s="42"/>
      <c r="C269" s="36"/>
      <c r="D269" s="35"/>
      <c r="E269" s="36"/>
      <c r="F269" s="36"/>
      <c r="G269" s="37"/>
      <c r="H269" s="35"/>
      <c r="I269" s="43" t="str">
        <f aca="false">IF($A269="","",COUNTIFS($A$2:$A269,$A269))</f>
        <v/>
      </c>
      <c r="J269" s="43" t="str">
        <f aca="false">IF($A269="","",$A269&amp;"-"&amp;$I269)</f>
        <v/>
      </c>
      <c r="K269" s="38" t="str">
        <f aca="false">IF($A269="","",IF(COUNTIF(参数!$B$6:$B$8,$H269)=0,"× 付款方式","√"))</f>
        <v/>
      </c>
    </row>
    <row r="270" customFormat="false" ht="13.5" hidden="false" customHeight="false" outlineLevel="0" collapsed="false">
      <c r="A270" s="41"/>
      <c r="B270" s="42"/>
      <c r="C270" s="36"/>
      <c r="D270" s="35"/>
      <c r="E270" s="36"/>
      <c r="F270" s="36"/>
      <c r="G270" s="37"/>
      <c r="H270" s="35"/>
      <c r="I270" s="43" t="str">
        <f aca="false">IF($A270="","",COUNTIFS($A$2:$A270,$A270))</f>
        <v/>
      </c>
      <c r="J270" s="43" t="str">
        <f aca="false">IF($A270="","",$A270&amp;"-"&amp;$I270)</f>
        <v/>
      </c>
      <c r="K270" s="38" t="str">
        <f aca="false">IF($A270="","",IF(COUNTIF(参数!$B$6:$B$8,$H270)=0,"× 付款方式","√"))</f>
        <v/>
      </c>
    </row>
    <row r="271" customFormat="false" ht="13.5" hidden="false" customHeight="false" outlineLevel="0" collapsed="false">
      <c r="A271" s="41"/>
      <c r="B271" s="42"/>
      <c r="C271" s="36"/>
      <c r="D271" s="35"/>
      <c r="E271" s="36"/>
      <c r="F271" s="36"/>
      <c r="G271" s="37"/>
      <c r="H271" s="35"/>
      <c r="I271" s="43" t="str">
        <f aca="false">IF($A271="","",COUNTIFS($A$2:$A271,$A271))</f>
        <v/>
      </c>
      <c r="J271" s="43" t="str">
        <f aca="false">IF($A271="","",$A271&amp;"-"&amp;$I271)</f>
        <v/>
      </c>
      <c r="K271" s="38" t="str">
        <f aca="false">IF($A271="","",IF(COUNTIF(参数!$B$6:$B$8,$H271)=0,"× 付款方式","√"))</f>
        <v/>
      </c>
    </row>
    <row r="272" customFormat="false" ht="13.5" hidden="false" customHeight="false" outlineLevel="0" collapsed="false">
      <c r="A272" s="41"/>
      <c r="B272" s="42"/>
      <c r="C272" s="36"/>
      <c r="D272" s="35"/>
      <c r="E272" s="36"/>
      <c r="F272" s="36"/>
      <c r="G272" s="37"/>
      <c r="H272" s="35"/>
      <c r="I272" s="43" t="str">
        <f aca="false">IF($A272="","",COUNTIFS($A$2:$A272,$A272))</f>
        <v/>
      </c>
      <c r="J272" s="43" t="str">
        <f aca="false">IF($A272="","",$A272&amp;"-"&amp;$I272)</f>
        <v/>
      </c>
      <c r="K272" s="38" t="str">
        <f aca="false">IF($A272="","",IF(COUNTIF(参数!$B$6:$B$8,$H272)=0,"× 付款方式","√"))</f>
        <v/>
      </c>
    </row>
    <row r="273" customFormat="false" ht="13.5" hidden="false" customHeight="false" outlineLevel="0" collapsed="false">
      <c r="A273" s="41"/>
      <c r="B273" s="42"/>
      <c r="C273" s="36"/>
      <c r="D273" s="35"/>
      <c r="E273" s="36"/>
      <c r="F273" s="36"/>
      <c r="G273" s="37"/>
      <c r="H273" s="35"/>
      <c r="I273" s="43" t="str">
        <f aca="false">IF($A273="","",COUNTIFS($A$2:$A273,$A273))</f>
        <v/>
      </c>
      <c r="J273" s="43" t="str">
        <f aca="false">IF($A273="","",$A273&amp;"-"&amp;$I273)</f>
        <v/>
      </c>
      <c r="K273" s="38" t="str">
        <f aca="false">IF($A273="","",IF(COUNTIF(参数!$B$6:$B$8,$H273)=0,"× 付款方式","√"))</f>
        <v/>
      </c>
    </row>
    <row r="274" customFormat="false" ht="13.5" hidden="false" customHeight="false" outlineLevel="0" collapsed="false">
      <c r="A274" s="41"/>
      <c r="B274" s="42"/>
      <c r="C274" s="36"/>
      <c r="D274" s="35"/>
      <c r="E274" s="36"/>
      <c r="F274" s="36"/>
      <c r="G274" s="37"/>
      <c r="H274" s="35"/>
      <c r="I274" s="43" t="str">
        <f aca="false">IF($A274="","",COUNTIFS($A$2:$A274,$A274))</f>
        <v/>
      </c>
      <c r="J274" s="43" t="str">
        <f aca="false">IF($A274="","",$A274&amp;"-"&amp;$I274)</f>
        <v/>
      </c>
      <c r="K274" s="38" t="str">
        <f aca="false">IF($A274="","",IF(COUNTIF(参数!$B$6:$B$8,$H274)=0,"× 付款方式","√"))</f>
        <v/>
      </c>
    </row>
    <row r="275" customFormat="false" ht="13.5" hidden="false" customHeight="false" outlineLevel="0" collapsed="false">
      <c r="A275" s="41"/>
      <c r="B275" s="42"/>
      <c r="C275" s="36"/>
      <c r="D275" s="35"/>
      <c r="E275" s="36"/>
      <c r="F275" s="36"/>
      <c r="G275" s="37"/>
      <c r="H275" s="35"/>
      <c r="I275" s="43" t="str">
        <f aca="false">IF($A275="","",COUNTIFS($A$2:$A275,$A275))</f>
        <v/>
      </c>
      <c r="J275" s="43" t="str">
        <f aca="false">IF($A275="","",$A275&amp;"-"&amp;$I275)</f>
        <v/>
      </c>
      <c r="K275" s="38" t="str">
        <f aca="false">IF($A275="","",IF(COUNTIF(参数!$B$6:$B$8,$H275)=0,"× 付款方式","√"))</f>
        <v/>
      </c>
    </row>
    <row r="276" customFormat="false" ht="13.5" hidden="false" customHeight="false" outlineLevel="0" collapsed="false">
      <c r="A276" s="41"/>
      <c r="B276" s="42"/>
      <c r="C276" s="36"/>
      <c r="D276" s="35"/>
      <c r="E276" s="36"/>
      <c r="F276" s="36"/>
      <c r="G276" s="37"/>
      <c r="H276" s="35"/>
      <c r="I276" s="43" t="str">
        <f aca="false">IF($A276="","",COUNTIFS($A$2:$A276,$A276))</f>
        <v/>
      </c>
      <c r="J276" s="43" t="str">
        <f aca="false">IF($A276="","",$A276&amp;"-"&amp;$I276)</f>
        <v/>
      </c>
      <c r="K276" s="38" t="str">
        <f aca="false">IF($A276="","",IF(COUNTIF(参数!$B$6:$B$8,$H276)=0,"× 付款方式","√"))</f>
        <v/>
      </c>
    </row>
    <row r="277" customFormat="false" ht="13.5" hidden="false" customHeight="false" outlineLevel="0" collapsed="false">
      <c r="A277" s="41"/>
      <c r="B277" s="42"/>
      <c r="C277" s="36"/>
      <c r="D277" s="35"/>
      <c r="E277" s="36"/>
      <c r="F277" s="36"/>
      <c r="G277" s="37"/>
      <c r="H277" s="35"/>
      <c r="I277" s="43" t="str">
        <f aca="false">IF($A277="","",COUNTIFS($A$2:$A277,$A277))</f>
        <v/>
      </c>
      <c r="J277" s="43" t="str">
        <f aca="false">IF($A277="","",$A277&amp;"-"&amp;$I277)</f>
        <v/>
      </c>
      <c r="K277" s="38" t="str">
        <f aca="false">IF($A277="","",IF(COUNTIF(参数!$B$6:$B$8,$H277)=0,"× 付款方式","√"))</f>
        <v/>
      </c>
    </row>
    <row r="278" customFormat="false" ht="13.5" hidden="false" customHeight="false" outlineLevel="0" collapsed="false">
      <c r="A278" s="41"/>
      <c r="B278" s="42"/>
      <c r="C278" s="36"/>
      <c r="D278" s="35"/>
      <c r="E278" s="36"/>
      <c r="F278" s="36"/>
      <c r="G278" s="37"/>
      <c r="H278" s="35"/>
      <c r="I278" s="43" t="str">
        <f aca="false">IF($A278="","",COUNTIFS($A$2:$A278,$A278))</f>
        <v/>
      </c>
      <c r="J278" s="43" t="str">
        <f aca="false">IF($A278="","",$A278&amp;"-"&amp;$I278)</f>
        <v/>
      </c>
      <c r="K278" s="38" t="str">
        <f aca="false">IF($A278="","",IF(COUNTIF(参数!$B$6:$B$8,$H278)=0,"× 付款方式","√"))</f>
        <v/>
      </c>
    </row>
    <row r="279" customFormat="false" ht="13.5" hidden="false" customHeight="false" outlineLevel="0" collapsed="false">
      <c r="A279" s="41"/>
      <c r="B279" s="42"/>
      <c r="C279" s="36"/>
      <c r="D279" s="35"/>
      <c r="E279" s="36"/>
      <c r="F279" s="36"/>
      <c r="G279" s="37"/>
      <c r="H279" s="35"/>
      <c r="I279" s="43" t="str">
        <f aca="false">IF($A279="","",COUNTIFS($A$2:$A279,$A279))</f>
        <v/>
      </c>
      <c r="J279" s="43" t="str">
        <f aca="false">IF($A279="","",$A279&amp;"-"&amp;$I279)</f>
        <v/>
      </c>
      <c r="K279" s="38" t="str">
        <f aca="false">IF($A279="","",IF(COUNTIF(参数!$B$6:$B$8,$H279)=0,"× 付款方式","√"))</f>
        <v/>
      </c>
    </row>
    <row r="280" customFormat="false" ht="13.5" hidden="false" customHeight="false" outlineLevel="0" collapsed="false">
      <c r="A280" s="41"/>
      <c r="B280" s="42"/>
      <c r="C280" s="36"/>
      <c r="D280" s="35"/>
      <c r="E280" s="36"/>
      <c r="F280" s="36"/>
      <c r="G280" s="37"/>
      <c r="H280" s="35"/>
      <c r="I280" s="43" t="str">
        <f aca="false">IF($A280="","",COUNTIFS($A$2:$A280,$A280))</f>
        <v/>
      </c>
      <c r="J280" s="43" t="str">
        <f aca="false">IF($A280="","",$A280&amp;"-"&amp;$I280)</f>
        <v/>
      </c>
      <c r="K280" s="38" t="str">
        <f aca="false">IF($A280="","",IF(COUNTIF(参数!$B$6:$B$8,$H280)=0,"× 付款方式","√"))</f>
        <v/>
      </c>
    </row>
    <row r="281" customFormat="false" ht="13.5" hidden="false" customHeight="false" outlineLevel="0" collapsed="false">
      <c r="A281" s="41"/>
      <c r="B281" s="42"/>
      <c r="C281" s="36"/>
      <c r="D281" s="35"/>
      <c r="E281" s="36"/>
      <c r="F281" s="36"/>
      <c r="G281" s="37"/>
      <c r="H281" s="35"/>
      <c r="I281" s="43" t="str">
        <f aca="false">IF($A281="","",COUNTIFS($A$2:$A281,$A281))</f>
        <v/>
      </c>
      <c r="J281" s="43" t="str">
        <f aca="false">IF($A281="","",$A281&amp;"-"&amp;$I281)</f>
        <v/>
      </c>
      <c r="K281" s="38" t="str">
        <f aca="false">IF($A281="","",IF(COUNTIF(参数!$B$6:$B$8,$H281)=0,"× 付款方式","√"))</f>
        <v/>
      </c>
    </row>
    <row r="282" customFormat="false" ht="13.5" hidden="false" customHeight="false" outlineLevel="0" collapsed="false">
      <c r="A282" s="41"/>
      <c r="B282" s="42"/>
      <c r="C282" s="36"/>
      <c r="D282" s="35"/>
      <c r="E282" s="36"/>
      <c r="F282" s="36"/>
      <c r="G282" s="37"/>
      <c r="H282" s="35"/>
      <c r="I282" s="43" t="str">
        <f aca="false">IF($A282="","",COUNTIFS($A$2:$A282,$A282))</f>
        <v/>
      </c>
      <c r="J282" s="43" t="str">
        <f aca="false">IF($A282="","",$A282&amp;"-"&amp;$I282)</f>
        <v/>
      </c>
      <c r="K282" s="38" t="str">
        <f aca="false">IF($A282="","",IF(COUNTIF(参数!$B$6:$B$8,$H282)=0,"× 付款方式","√"))</f>
        <v/>
      </c>
    </row>
    <row r="283" customFormat="false" ht="13.5" hidden="false" customHeight="false" outlineLevel="0" collapsed="false">
      <c r="A283" s="41"/>
      <c r="B283" s="42"/>
      <c r="C283" s="36"/>
      <c r="D283" s="35"/>
      <c r="E283" s="36"/>
      <c r="F283" s="36"/>
      <c r="G283" s="37"/>
      <c r="H283" s="35"/>
      <c r="I283" s="43" t="str">
        <f aca="false">IF($A283="","",COUNTIFS($A$2:$A283,$A283))</f>
        <v/>
      </c>
      <c r="J283" s="43" t="str">
        <f aca="false">IF($A283="","",$A283&amp;"-"&amp;$I283)</f>
        <v/>
      </c>
      <c r="K283" s="38" t="str">
        <f aca="false">IF($A283="","",IF(COUNTIF(参数!$B$6:$B$8,$H283)=0,"× 付款方式","√"))</f>
        <v/>
      </c>
    </row>
    <row r="284" customFormat="false" ht="13.5" hidden="false" customHeight="false" outlineLevel="0" collapsed="false">
      <c r="A284" s="41"/>
      <c r="B284" s="42"/>
      <c r="C284" s="36"/>
      <c r="D284" s="35"/>
      <c r="E284" s="36"/>
      <c r="F284" s="36"/>
      <c r="G284" s="37"/>
      <c r="H284" s="35"/>
      <c r="I284" s="43" t="str">
        <f aca="false">IF($A284="","",COUNTIFS($A$2:$A284,$A284))</f>
        <v/>
      </c>
      <c r="J284" s="43" t="str">
        <f aca="false">IF($A284="","",$A284&amp;"-"&amp;$I284)</f>
        <v/>
      </c>
      <c r="K284" s="38" t="str">
        <f aca="false">IF($A284="","",IF(COUNTIF(参数!$B$6:$B$8,$H284)=0,"× 付款方式","√"))</f>
        <v/>
      </c>
    </row>
    <row r="285" customFormat="false" ht="13.5" hidden="false" customHeight="false" outlineLevel="0" collapsed="false">
      <c r="A285" s="41"/>
      <c r="B285" s="42"/>
      <c r="C285" s="36"/>
      <c r="D285" s="35"/>
      <c r="E285" s="36"/>
      <c r="F285" s="36"/>
      <c r="G285" s="37"/>
      <c r="H285" s="35"/>
      <c r="I285" s="43" t="str">
        <f aca="false">IF($A285="","",COUNTIFS($A$2:$A285,$A285))</f>
        <v/>
      </c>
      <c r="J285" s="43" t="str">
        <f aca="false">IF($A285="","",$A285&amp;"-"&amp;$I285)</f>
        <v/>
      </c>
      <c r="K285" s="38" t="str">
        <f aca="false">IF($A285="","",IF(COUNTIF(参数!$B$6:$B$8,$H285)=0,"× 付款方式","√"))</f>
        <v/>
      </c>
    </row>
    <row r="286" customFormat="false" ht="13.5" hidden="false" customHeight="false" outlineLevel="0" collapsed="false">
      <c r="A286" s="41"/>
      <c r="B286" s="42"/>
      <c r="C286" s="36"/>
      <c r="D286" s="35"/>
      <c r="E286" s="36"/>
      <c r="F286" s="36"/>
      <c r="G286" s="37"/>
      <c r="H286" s="35"/>
      <c r="I286" s="43" t="str">
        <f aca="false">IF($A286="","",COUNTIFS($A$2:$A286,$A286))</f>
        <v/>
      </c>
      <c r="J286" s="43" t="str">
        <f aca="false">IF($A286="","",$A286&amp;"-"&amp;$I286)</f>
        <v/>
      </c>
      <c r="K286" s="38" t="str">
        <f aca="false">IF($A286="","",IF(COUNTIF(参数!$B$6:$B$8,$H286)=0,"× 付款方式","√"))</f>
        <v/>
      </c>
    </row>
    <row r="287" customFormat="false" ht="13.5" hidden="false" customHeight="false" outlineLevel="0" collapsed="false">
      <c r="A287" s="41"/>
      <c r="B287" s="42"/>
      <c r="C287" s="36"/>
      <c r="D287" s="35"/>
      <c r="E287" s="36"/>
      <c r="F287" s="36"/>
      <c r="G287" s="37"/>
      <c r="H287" s="35"/>
      <c r="I287" s="43" t="str">
        <f aca="false">IF($A287="","",COUNTIFS($A$2:$A287,$A287))</f>
        <v/>
      </c>
      <c r="J287" s="43" t="str">
        <f aca="false">IF($A287="","",$A287&amp;"-"&amp;$I287)</f>
        <v/>
      </c>
      <c r="K287" s="38" t="str">
        <f aca="false">IF($A287="","",IF(COUNTIF(参数!$B$6:$B$8,$H287)=0,"× 付款方式","√"))</f>
        <v/>
      </c>
    </row>
    <row r="288" customFormat="false" ht="13.5" hidden="false" customHeight="false" outlineLevel="0" collapsed="false">
      <c r="A288" s="41"/>
      <c r="B288" s="42"/>
      <c r="C288" s="36"/>
      <c r="D288" s="35"/>
      <c r="E288" s="36"/>
      <c r="F288" s="36"/>
      <c r="G288" s="37"/>
      <c r="H288" s="35"/>
      <c r="I288" s="43" t="str">
        <f aca="false">IF($A288="","",COUNTIFS($A$2:$A288,$A288))</f>
        <v/>
      </c>
      <c r="J288" s="43" t="str">
        <f aca="false">IF($A288="","",$A288&amp;"-"&amp;$I288)</f>
        <v/>
      </c>
      <c r="K288" s="38" t="str">
        <f aca="false">IF($A288="","",IF(COUNTIF(参数!$B$6:$B$8,$H288)=0,"× 付款方式","√"))</f>
        <v/>
      </c>
    </row>
    <row r="289" customFormat="false" ht="13.5" hidden="false" customHeight="false" outlineLevel="0" collapsed="false">
      <c r="A289" s="41"/>
      <c r="B289" s="42"/>
      <c r="C289" s="36"/>
      <c r="D289" s="35"/>
      <c r="E289" s="36"/>
      <c r="F289" s="36"/>
      <c r="G289" s="37"/>
      <c r="H289" s="35"/>
      <c r="I289" s="43" t="str">
        <f aca="false">IF($A289="","",COUNTIFS($A$2:$A289,$A289))</f>
        <v/>
      </c>
      <c r="J289" s="43" t="str">
        <f aca="false">IF($A289="","",$A289&amp;"-"&amp;$I289)</f>
        <v/>
      </c>
      <c r="K289" s="38" t="str">
        <f aca="false">IF($A289="","",IF(COUNTIF(参数!$B$6:$B$8,$H289)=0,"× 付款方式","√"))</f>
        <v/>
      </c>
    </row>
    <row r="290" customFormat="false" ht="13.5" hidden="false" customHeight="false" outlineLevel="0" collapsed="false">
      <c r="A290" s="41"/>
      <c r="B290" s="42"/>
      <c r="C290" s="36"/>
      <c r="D290" s="35"/>
      <c r="E290" s="36"/>
      <c r="F290" s="36"/>
      <c r="G290" s="37"/>
      <c r="H290" s="35"/>
      <c r="I290" s="43" t="str">
        <f aca="false">IF($A290="","",COUNTIFS($A$2:$A290,$A290))</f>
        <v/>
      </c>
      <c r="J290" s="43" t="str">
        <f aca="false">IF($A290="","",$A290&amp;"-"&amp;$I290)</f>
        <v/>
      </c>
      <c r="K290" s="38" t="str">
        <f aca="false">IF($A290="","",IF(COUNTIF(参数!$B$6:$B$8,$H290)=0,"× 付款方式","√"))</f>
        <v/>
      </c>
    </row>
    <row r="291" customFormat="false" ht="13.5" hidden="false" customHeight="false" outlineLevel="0" collapsed="false">
      <c r="A291" s="41"/>
      <c r="B291" s="42"/>
      <c r="C291" s="36"/>
      <c r="D291" s="35"/>
      <c r="E291" s="36"/>
      <c r="F291" s="36"/>
      <c r="G291" s="37"/>
      <c r="H291" s="35"/>
      <c r="I291" s="43" t="str">
        <f aca="false">IF($A291="","",COUNTIFS($A$2:$A291,$A291))</f>
        <v/>
      </c>
      <c r="J291" s="43" t="str">
        <f aca="false">IF($A291="","",$A291&amp;"-"&amp;$I291)</f>
        <v/>
      </c>
      <c r="K291" s="38" t="str">
        <f aca="false">IF($A291="","",IF(COUNTIF(参数!$B$6:$B$8,$H291)=0,"× 付款方式","√"))</f>
        <v/>
      </c>
    </row>
    <row r="292" customFormat="false" ht="13.5" hidden="false" customHeight="false" outlineLevel="0" collapsed="false">
      <c r="A292" s="41"/>
      <c r="B292" s="42"/>
      <c r="C292" s="36"/>
      <c r="D292" s="35"/>
      <c r="E292" s="36"/>
      <c r="F292" s="36"/>
      <c r="G292" s="37"/>
      <c r="H292" s="35"/>
      <c r="I292" s="43" t="str">
        <f aca="false">IF($A292="","",COUNTIFS($A$2:$A292,$A292))</f>
        <v/>
      </c>
      <c r="J292" s="43" t="str">
        <f aca="false">IF($A292="","",$A292&amp;"-"&amp;$I292)</f>
        <v/>
      </c>
      <c r="K292" s="38" t="str">
        <f aca="false">IF($A292="","",IF(COUNTIF(参数!$B$6:$B$8,$H292)=0,"× 付款方式","√"))</f>
        <v/>
      </c>
    </row>
    <row r="293" customFormat="false" ht="13.5" hidden="false" customHeight="false" outlineLevel="0" collapsed="false">
      <c r="A293" s="41"/>
      <c r="B293" s="42"/>
      <c r="C293" s="36"/>
      <c r="D293" s="35"/>
      <c r="E293" s="36"/>
      <c r="F293" s="36"/>
      <c r="G293" s="37"/>
      <c r="H293" s="35"/>
      <c r="I293" s="43" t="str">
        <f aca="false">IF($A293="","",COUNTIFS($A$2:$A293,$A293))</f>
        <v/>
      </c>
      <c r="J293" s="43" t="str">
        <f aca="false">IF($A293="","",$A293&amp;"-"&amp;$I293)</f>
        <v/>
      </c>
      <c r="K293" s="38" t="str">
        <f aca="false">IF($A293="","",IF(COUNTIF(参数!$B$6:$B$8,$H293)=0,"× 付款方式","√"))</f>
        <v/>
      </c>
    </row>
    <row r="294" customFormat="false" ht="13.5" hidden="false" customHeight="false" outlineLevel="0" collapsed="false">
      <c r="A294" s="41"/>
      <c r="B294" s="42"/>
      <c r="C294" s="36"/>
      <c r="D294" s="35"/>
      <c r="E294" s="36"/>
      <c r="F294" s="36"/>
      <c r="G294" s="37"/>
      <c r="H294" s="35"/>
      <c r="I294" s="43" t="str">
        <f aca="false">IF($A294="","",COUNTIFS($A$2:$A294,$A294))</f>
        <v/>
      </c>
      <c r="J294" s="43" t="str">
        <f aca="false">IF($A294="","",$A294&amp;"-"&amp;$I294)</f>
        <v/>
      </c>
      <c r="K294" s="38" t="str">
        <f aca="false">IF($A294="","",IF(COUNTIF(参数!$B$6:$B$8,$H294)=0,"× 付款方式","√"))</f>
        <v/>
      </c>
    </row>
    <row r="295" customFormat="false" ht="13.5" hidden="false" customHeight="false" outlineLevel="0" collapsed="false">
      <c r="A295" s="41"/>
      <c r="B295" s="42"/>
      <c r="C295" s="36"/>
      <c r="D295" s="35"/>
      <c r="E295" s="36"/>
      <c r="F295" s="36"/>
      <c r="G295" s="37"/>
      <c r="H295" s="35"/>
      <c r="I295" s="43" t="str">
        <f aca="false">IF($A295="","",COUNTIFS($A$2:$A295,$A295))</f>
        <v/>
      </c>
      <c r="J295" s="43" t="str">
        <f aca="false">IF($A295="","",$A295&amp;"-"&amp;$I295)</f>
        <v/>
      </c>
      <c r="K295" s="38" t="str">
        <f aca="false">IF($A295="","",IF(COUNTIF(参数!$B$6:$B$8,$H295)=0,"× 付款方式","√"))</f>
        <v/>
      </c>
    </row>
    <row r="296" customFormat="false" ht="13.5" hidden="false" customHeight="false" outlineLevel="0" collapsed="false">
      <c r="A296" s="41"/>
      <c r="B296" s="42"/>
      <c r="C296" s="36"/>
      <c r="D296" s="35"/>
      <c r="E296" s="36"/>
      <c r="F296" s="36"/>
      <c r="G296" s="37"/>
      <c r="H296" s="35"/>
      <c r="I296" s="43" t="str">
        <f aca="false">IF($A296="","",COUNTIFS($A$2:$A296,$A296))</f>
        <v/>
      </c>
      <c r="J296" s="43" t="str">
        <f aca="false">IF($A296="","",$A296&amp;"-"&amp;$I296)</f>
        <v/>
      </c>
      <c r="K296" s="38" t="str">
        <f aca="false">IF($A296="","",IF(COUNTIF(参数!$B$6:$B$8,$H296)=0,"× 付款方式","√"))</f>
        <v/>
      </c>
    </row>
    <row r="297" customFormat="false" ht="13.5" hidden="false" customHeight="false" outlineLevel="0" collapsed="false">
      <c r="A297" s="41"/>
      <c r="B297" s="42"/>
      <c r="C297" s="36"/>
      <c r="D297" s="35"/>
      <c r="E297" s="36"/>
      <c r="F297" s="36"/>
      <c r="G297" s="37"/>
      <c r="H297" s="35"/>
      <c r="I297" s="43" t="str">
        <f aca="false">IF($A297="","",COUNTIFS($A$2:$A297,$A297))</f>
        <v/>
      </c>
      <c r="J297" s="43" t="str">
        <f aca="false">IF($A297="","",$A297&amp;"-"&amp;$I297)</f>
        <v/>
      </c>
      <c r="K297" s="38" t="str">
        <f aca="false">IF($A297="","",IF(COUNTIF(参数!$B$6:$B$8,$H297)=0,"× 付款方式","√"))</f>
        <v/>
      </c>
    </row>
    <row r="298" customFormat="false" ht="13.5" hidden="false" customHeight="false" outlineLevel="0" collapsed="false">
      <c r="A298" s="41"/>
      <c r="B298" s="42"/>
      <c r="C298" s="36"/>
      <c r="D298" s="35"/>
      <c r="E298" s="36"/>
      <c r="F298" s="36"/>
      <c r="G298" s="37"/>
      <c r="H298" s="35"/>
      <c r="I298" s="43" t="str">
        <f aca="false">IF($A298="","",COUNTIFS($A$2:$A298,$A298))</f>
        <v/>
      </c>
      <c r="J298" s="43" t="str">
        <f aca="false">IF($A298="","",$A298&amp;"-"&amp;$I298)</f>
        <v/>
      </c>
      <c r="K298" s="38" t="str">
        <f aca="false">IF($A298="","",IF(COUNTIF(参数!$B$6:$B$8,$H298)=0,"× 付款方式","√"))</f>
        <v/>
      </c>
    </row>
    <row r="299" customFormat="false" ht="13.5" hidden="false" customHeight="false" outlineLevel="0" collapsed="false">
      <c r="A299" s="41"/>
      <c r="B299" s="42"/>
      <c r="C299" s="36"/>
      <c r="D299" s="35"/>
      <c r="E299" s="36"/>
      <c r="F299" s="36"/>
      <c r="G299" s="37"/>
      <c r="H299" s="35"/>
      <c r="I299" s="43" t="str">
        <f aca="false">IF($A299="","",COUNTIFS($A$2:$A299,$A299))</f>
        <v/>
      </c>
      <c r="J299" s="43" t="str">
        <f aca="false">IF($A299="","",$A299&amp;"-"&amp;$I299)</f>
        <v/>
      </c>
      <c r="K299" s="38" t="str">
        <f aca="false">IF($A299="","",IF(COUNTIF(参数!$B$6:$B$8,$H299)=0,"× 付款方式","√"))</f>
        <v/>
      </c>
    </row>
    <row r="300" customFormat="false" ht="13.5" hidden="false" customHeight="false" outlineLevel="0" collapsed="false">
      <c r="A300" s="41"/>
      <c r="B300" s="42"/>
      <c r="C300" s="36"/>
      <c r="D300" s="35"/>
      <c r="E300" s="36"/>
      <c r="F300" s="36"/>
      <c r="G300" s="37"/>
      <c r="H300" s="35"/>
      <c r="I300" s="43" t="str">
        <f aca="false">IF($A300="","",COUNTIFS($A$2:$A300,$A300))</f>
        <v/>
      </c>
      <c r="J300" s="43" t="str">
        <f aca="false">IF($A300="","",$A300&amp;"-"&amp;$I300)</f>
        <v/>
      </c>
      <c r="K300" s="38" t="str">
        <f aca="false">IF($A300="","",IF(COUNTIF(参数!$B$6:$B$8,$H300)=0,"× 付款方式","√"))</f>
        <v/>
      </c>
    </row>
    <row r="301" customFormat="false" ht="13.5" hidden="false" customHeight="false" outlineLevel="0" collapsed="false">
      <c r="A301" s="41"/>
      <c r="B301" s="42"/>
      <c r="C301" s="36"/>
      <c r="D301" s="35"/>
      <c r="E301" s="36"/>
      <c r="F301" s="36"/>
      <c r="G301" s="37"/>
      <c r="H301" s="35"/>
      <c r="I301" s="43" t="str">
        <f aca="false">IF($A301="","",COUNTIFS($A$2:$A301,$A301))</f>
        <v/>
      </c>
      <c r="J301" s="43" t="str">
        <f aca="false">IF($A301="","",$A301&amp;"-"&amp;$I301)</f>
        <v/>
      </c>
      <c r="K301" s="38" t="str">
        <f aca="false">IF($A301="","",IF(COUNTIF(参数!$B$6:$B$8,$H301)=0,"× 付款方式","√"))</f>
        <v/>
      </c>
    </row>
    <row r="302" customFormat="false" ht="13.5" hidden="false" customHeight="false" outlineLevel="0" collapsed="false">
      <c r="A302" s="41"/>
      <c r="B302" s="42"/>
      <c r="C302" s="36"/>
      <c r="D302" s="35"/>
      <c r="E302" s="36"/>
      <c r="F302" s="36"/>
      <c r="G302" s="37"/>
      <c r="H302" s="35"/>
      <c r="I302" s="43" t="str">
        <f aca="false">IF($A302="","",COUNTIFS($A$2:$A302,$A302))</f>
        <v/>
      </c>
      <c r="J302" s="43" t="str">
        <f aca="false">IF($A302="","",$A302&amp;"-"&amp;$I302)</f>
        <v/>
      </c>
      <c r="K302" s="38" t="str">
        <f aca="false">IF($A302="","",IF(COUNTIF(参数!$B$6:$B$8,$H302)=0,"× 付款方式","√"))</f>
        <v/>
      </c>
    </row>
    <row r="303" customFormat="false" ht="13.5" hidden="false" customHeight="false" outlineLevel="0" collapsed="false">
      <c r="A303" s="41"/>
      <c r="B303" s="42"/>
      <c r="C303" s="36"/>
      <c r="D303" s="35"/>
      <c r="E303" s="36"/>
      <c r="F303" s="36"/>
      <c r="G303" s="37"/>
      <c r="H303" s="35"/>
      <c r="I303" s="43" t="str">
        <f aca="false">IF($A303="","",COUNTIFS($A$2:$A303,$A303))</f>
        <v/>
      </c>
      <c r="J303" s="43" t="str">
        <f aca="false">IF($A303="","",$A303&amp;"-"&amp;$I303)</f>
        <v/>
      </c>
      <c r="K303" s="38" t="str">
        <f aca="false">IF($A303="","",IF(COUNTIF(参数!$B$6:$B$8,$H303)=0,"× 付款方式","√"))</f>
        <v/>
      </c>
    </row>
    <row r="304" customFormat="false" ht="13.5" hidden="false" customHeight="false" outlineLevel="0" collapsed="false">
      <c r="A304" s="41"/>
      <c r="B304" s="42"/>
      <c r="C304" s="36"/>
      <c r="D304" s="35"/>
      <c r="E304" s="36"/>
      <c r="F304" s="36"/>
      <c r="G304" s="37"/>
      <c r="H304" s="35"/>
      <c r="I304" s="43" t="str">
        <f aca="false">IF($A304="","",COUNTIFS($A$2:$A304,$A304))</f>
        <v/>
      </c>
      <c r="J304" s="43" t="str">
        <f aca="false">IF($A304="","",$A304&amp;"-"&amp;$I304)</f>
        <v/>
      </c>
      <c r="K304" s="38" t="str">
        <f aca="false">IF($A304="","",IF(COUNTIF(参数!$B$6:$B$8,$H304)=0,"× 付款方式","√"))</f>
        <v/>
      </c>
    </row>
    <row r="305" customFormat="false" ht="13.5" hidden="false" customHeight="false" outlineLevel="0" collapsed="false">
      <c r="A305" s="41"/>
      <c r="B305" s="42"/>
      <c r="C305" s="36"/>
      <c r="D305" s="35"/>
      <c r="E305" s="36"/>
      <c r="F305" s="36"/>
      <c r="G305" s="37"/>
      <c r="H305" s="35"/>
      <c r="I305" s="43" t="str">
        <f aca="false">IF($A305="","",COUNTIFS($A$2:$A305,$A305))</f>
        <v/>
      </c>
      <c r="J305" s="43" t="str">
        <f aca="false">IF($A305="","",$A305&amp;"-"&amp;$I305)</f>
        <v/>
      </c>
      <c r="K305" s="38" t="str">
        <f aca="false">IF($A305="","",IF(COUNTIF(参数!$B$6:$B$8,$H305)=0,"× 付款方式","√"))</f>
        <v/>
      </c>
    </row>
    <row r="306" customFormat="false" ht="13.5" hidden="false" customHeight="false" outlineLevel="0" collapsed="false">
      <c r="A306" s="41"/>
      <c r="B306" s="42"/>
      <c r="C306" s="36"/>
      <c r="D306" s="35"/>
      <c r="E306" s="36"/>
      <c r="F306" s="36"/>
      <c r="G306" s="37"/>
      <c r="H306" s="35"/>
      <c r="I306" s="43" t="str">
        <f aca="false">IF($A306="","",COUNTIFS($A$2:$A306,$A306))</f>
        <v/>
      </c>
      <c r="J306" s="43" t="str">
        <f aca="false">IF($A306="","",$A306&amp;"-"&amp;$I306)</f>
        <v/>
      </c>
      <c r="K306" s="38" t="str">
        <f aca="false">IF($A306="","",IF(COUNTIF(参数!$B$6:$B$8,$H306)=0,"× 付款方式","√"))</f>
        <v/>
      </c>
    </row>
    <row r="307" customFormat="false" ht="13.5" hidden="false" customHeight="false" outlineLevel="0" collapsed="false">
      <c r="A307" s="41"/>
      <c r="B307" s="42"/>
      <c r="C307" s="36"/>
      <c r="D307" s="35"/>
      <c r="E307" s="36"/>
      <c r="F307" s="36"/>
      <c r="G307" s="37"/>
      <c r="H307" s="35"/>
      <c r="I307" s="43" t="str">
        <f aca="false">IF($A307="","",COUNTIFS($A$2:$A307,$A307))</f>
        <v/>
      </c>
      <c r="J307" s="43" t="str">
        <f aca="false">IF($A307="","",$A307&amp;"-"&amp;$I307)</f>
        <v/>
      </c>
      <c r="K307" s="38" t="str">
        <f aca="false">IF($A307="","",IF(COUNTIF(参数!$B$6:$B$8,$H307)=0,"× 付款方式","√"))</f>
        <v/>
      </c>
    </row>
    <row r="308" customFormat="false" ht="13.5" hidden="false" customHeight="false" outlineLevel="0" collapsed="false">
      <c r="A308" s="41"/>
      <c r="B308" s="42"/>
      <c r="C308" s="36"/>
      <c r="D308" s="35"/>
      <c r="E308" s="36"/>
      <c r="F308" s="36"/>
      <c r="G308" s="37"/>
      <c r="H308" s="35"/>
      <c r="I308" s="43" t="str">
        <f aca="false">IF($A308="","",COUNTIFS($A$2:$A308,$A308))</f>
        <v/>
      </c>
      <c r="J308" s="43" t="str">
        <f aca="false">IF($A308="","",$A308&amp;"-"&amp;$I308)</f>
        <v/>
      </c>
      <c r="K308" s="38" t="str">
        <f aca="false">IF($A308="","",IF(COUNTIF(参数!$B$6:$B$8,$H308)=0,"× 付款方式","√"))</f>
        <v/>
      </c>
    </row>
    <row r="309" customFormat="false" ht="13.5" hidden="false" customHeight="false" outlineLevel="0" collapsed="false">
      <c r="A309" s="41"/>
      <c r="B309" s="42"/>
      <c r="C309" s="36"/>
      <c r="D309" s="35"/>
      <c r="E309" s="36"/>
      <c r="F309" s="36"/>
      <c r="G309" s="37"/>
      <c r="H309" s="35"/>
      <c r="I309" s="43" t="str">
        <f aca="false">IF($A309="","",COUNTIFS($A$2:$A309,$A309))</f>
        <v/>
      </c>
      <c r="J309" s="43" t="str">
        <f aca="false">IF($A309="","",$A309&amp;"-"&amp;$I309)</f>
        <v/>
      </c>
      <c r="K309" s="38" t="str">
        <f aca="false">IF($A309="","",IF(COUNTIF(参数!$B$6:$B$8,$H309)=0,"× 付款方式","√"))</f>
        <v/>
      </c>
    </row>
    <row r="310" customFormat="false" ht="13.5" hidden="false" customHeight="false" outlineLevel="0" collapsed="false">
      <c r="A310" s="41"/>
      <c r="B310" s="42"/>
      <c r="C310" s="36"/>
      <c r="D310" s="35"/>
      <c r="E310" s="36"/>
      <c r="F310" s="36"/>
      <c r="G310" s="37"/>
      <c r="H310" s="35"/>
      <c r="I310" s="43" t="str">
        <f aca="false">IF($A310="","",COUNTIFS($A$2:$A310,$A310))</f>
        <v/>
      </c>
      <c r="J310" s="43" t="str">
        <f aca="false">IF($A310="","",$A310&amp;"-"&amp;$I310)</f>
        <v/>
      </c>
      <c r="K310" s="38" t="str">
        <f aca="false">IF($A310="","",IF(COUNTIF(参数!$B$6:$B$8,$H310)=0,"× 付款方式","√"))</f>
        <v/>
      </c>
    </row>
    <row r="311" customFormat="false" ht="13.5" hidden="false" customHeight="false" outlineLevel="0" collapsed="false">
      <c r="A311" s="41"/>
      <c r="B311" s="42"/>
      <c r="C311" s="36"/>
      <c r="D311" s="35"/>
      <c r="E311" s="36"/>
      <c r="F311" s="36"/>
      <c r="G311" s="37"/>
      <c r="H311" s="35"/>
      <c r="I311" s="43" t="str">
        <f aca="false">IF($A311="","",COUNTIFS($A$2:$A311,$A311))</f>
        <v/>
      </c>
      <c r="J311" s="43" t="str">
        <f aca="false">IF($A311="","",$A311&amp;"-"&amp;$I311)</f>
        <v/>
      </c>
      <c r="K311" s="38" t="str">
        <f aca="false">IF($A311="","",IF(COUNTIF(参数!$B$6:$B$8,$H311)=0,"× 付款方式","√"))</f>
        <v/>
      </c>
    </row>
    <row r="312" customFormat="false" ht="13.5" hidden="false" customHeight="false" outlineLevel="0" collapsed="false">
      <c r="A312" s="41"/>
      <c r="B312" s="42"/>
      <c r="C312" s="36"/>
      <c r="D312" s="35"/>
      <c r="E312" s="36"/>
      <c r="F312" s="36"/>
      <c r="G312" s="37"/>
      <c r="H312" s="35"/>
      <c r="I312" s="43" t="str">
        <f aca="false">IF($A312="","",COUNTIFS($A$2:$A312,$A312))</f>
        <v/>
      </c>
      <c r="J312" s="43" t="str">
        <f aca="false">IF($A312="","",$A312&amp;"-"&amp;$I312)</f>
        <v/>
      </c>
      <c r="K312" s="38" t="str">
        <f aca="false">IF($A312="","",IF(COUNTIF(参数!$B$6:$B$8,$H312)=0,"× 付款方式","√"))</f>
        <v/>
      </c>
    </row>
    <row r="313" customFormat="false" ht="13.5" hidden="false" customHeight="false" outlineLevel="0" collapsed="false">
      <c r="A313" s="41"/>
      <c r="B313" s="42"/>
      <c r="C313" s="36"/>
      <c r="D313" s="35"/>
      <c r="E313" s="36"/>
      <c r="F313" s="36"/>
      <c r="G313" s="37"/>
      <c r="H313" s="35"/>
      <c r="I313" s="43" t="str">
        <f aca="false">IF($A313="","",COUNTIFS($A$2:$A313,$A313))</f>
        <v/>
      </c>
      <c r="J313" s="43" t="str">
        <f aca="false">IF($A313="","",$A313&amp;"-"&amp;$I313)</f>
        <v/>
      </c>
      <c r="K313" s="38" t="str">
        <f aca="false">IF($A313="","",IF(COUNTIF(参数!$B$6:$B$8,$H313)=0,"× 付款方式","√"))</f>
        <v/>
      </c>
    </row>
    <row r="314" customFormat="false" ht="13.5" hidden="false" customHeight="false" outlineLevel="0" collapsed="false">
      <c r="A314" s="41"/>
      <c r="B314" s="42"/>
      <c r="C314" s="36"/>
      <c r="D314" s="35"/>
      <c r="E314" s="36"/>
      <c r="F314" s="36"/>
      <c r="G314" s="37"/>
      <c r="H314" s="35"/>
      <c r="I314" s="43" t="str">
        <f aca="false">IF($A314="","",COUNTIFS($A$2:$A314,$A314))</f>
        <v/>
      </c>
      <c r="J314" s="43" t="str">
        <f aca="false">IF($A314="","",$A314&amp;"-"&amp;$I314)</f>
        <v/>
      </c>
      <c r="K314" s="38" t="str">
        <f aca="false">IF($A314="","",IF(COUNTIF(参数!$B$6:$B$8,$H314)=0,"× 付款方式","√"))</f>
        <v/>
      </c>
    </row>
    <row r="315" customFormat="false" ht="13.5" hidden="false" customHeight="false" outlineLevel="0" collapsed="false">
      <c r="A315" s="41"/>
      <c r="B315" s="42"/>
      <c r="C315" s="36"/>
      <c r="D315" s="35"/>
      <c r="E315" s="36"/>
      <c r="F315" s="36"/>
      <c r="G315" s="37"/>
      <c r="H315" s="35"/>
      <c r="I315" s="43" t="str">
        <f aca="false">IF($A315="","",COUNTIFS($A$2:$A315,$A315))</f>
        <v/>
      </c>
      <c r="J315" s="43" t="str">
        <f aca="false">IF($A315="","",$A315&amp;"-"&amp;$I315)</f>
        <v/>
      </c>
      <c r="K315" s="38" t="str">
        <f aca="false">IF($A315="","",IF(COUNTIF(参数!$B$6:$B$8,$H315)=0,"× 付款方式","√"))</f>
        <v/>
      </c>
    </row>
    <row r="316" customFormat="false" ht="13.5" hidden="false" customHeight="false" outlineLevel="0" collapsed="false">
      <c r="A316" s="41"/>
      <c r="B316" s="42"/>
      <c r="C316" s="36"/>
      <c r="D316" s="35"/>
      <c r="E316" s="36"/>
      <c r="F316" s="36"/>
      <c r="G316" s="37"/>
      <c r="H316" s="35"/>
      <c r="I316" s="43" t="str">
        <f aca="false">IF($A316="","",COUNTIFS($A$2:$A316,$A316))</f>
        <v/>
      </c>
      <c r="J316" s="43" t="str">
        <f aca="false">IF($A316="","",$A316&amp;"-"&amp;$I316)</f>
        <v/>
      </c>
      <c r="K316" s="38" t="str">
        <f aca="false">IF($A316="","",IF(COUNTIF(参数!$B$6:$B$8,$H316)=0,"× 付款方式","√"))</f>
        <v/>
      </c>
    </row>
    <row r="317" customFormat="false" ht="13.5" hidden="false" customHeight="false" outlineLevel="0" collapsed="false">
      <c r="A317" s="41"/>
      <c r="B317" s="42"/>
      <c r="C317" s="36"/>
      <c r="D317" s="35"/>
      <c r="E317" s="36"/>
      <c r="F317" s="36"/>
      <c r="G317" s="37"/>
      <c r="H317" s="35"/>
      <c r="I317" s="43" t="str">
        <f aca="false">IF($A317="","",COUNTIFS($A$2:$A317,$A317))</f>
        <v/>
      </c>
      <c r="J317" s="43" t="str">
        <f aca="false">IF($A317="","",$A317&amp;"-"&amp;$I317)</f>
        <v/>
      </c>
      <c r="K317" s="38" t="str">
        <f aca="false">IF($A317="","",IF(COUNTIF(参数!$B$6:$B$8,$H317)=0,"× 付款方式","√"))</f>
        <v/>
      </c>
    </row>
    <row r="318" customFormat="false" ht="13.5" hidden="false" customHeight="false" outlineLevel="0" collapsed="false">
      <c r="A318" s="41"/>
      <c r="B318" s="42"/>
      <c r="C318" s="36"/>
      <c r="D318" s="35"/>
      <c r="E318" s="36"/>
      <c r="F318" s="36"/>
      <c r="G318" s="37"/>
      <c r="H318" s="35"/>
      <c r="I318" s="43" t="str">
        <f aca="false">IF($A318="","",COUNTIFS($A$2:$A318,$A318))</f>
        <v/>
      </c>
      <c r="J318" s="43" t="str">
        <f aca="false">IF($A318="","",$A318&amp;"-"&amp;$I318)</f>
        <v/>
      </c>
      <c r="K318" s="38" t="str">
        <f aca="false">IF($A318="","",IF(COUNTIF(参数!$B$6:$B$8,$H318)=0,"× 付款方式","√"))</f>
        <v/>
      </c>
    </row>
    <row r="319" customFormat="false" ht="13.5" hidden="false" customHeight="false" outlineLevel="0" collapsed="false">
      <c r="A319" s="41"/>
      <c r="B319" s="42"/>
      <c r="C319" s="36"/>
      <c r="D319" s="35"/>
      <c r="E319" s="36"/>
      <c r="F319" s="36"/>
      <c r="G319" s="37"/>
      <c r="H319" s="35"/>
      <c r="I319" s="43" t="str">
        <f aca="false">IF($A319="","",COUNTIFS($A$2:$A319,$A319))</f>
        <v/>
      </c>
      <c r="J319" s="43" t="str">
        <f aca="false">IF($A319="","",$A319&amp;"-"&amp;$I319)</f>
        <v/>
      </c>
      <c r="K319" s="38" t="str">
        <f aca="false">IF($A319="","",IF(COUNTIF(参数!$B$6:$B$8,$H319)=0,"× 付款方式","√"))</f>
        <v/>
      </c>
    </row>
    <row r="320" customFormat="false" ht="13.5" hidden="false" customHeight="false" outlineLevel="0" collapsed="false">
      <c r="A320" s="41"/>
      <c r="B320" s="42"/>
      <c r="C320" s="36"/>
      <c r="D320" s="35"/>
      <c r="E320" s="36"/>
      <c r="F320" s="36"/>
      <c r="G320" s="37"/>
      <c r="H320" s="35"/>
      <c r="I320" s="43" t="str">
        <f aca="false">IF($A320="","",COUNTIFS($A$2:$A320,$A320))</f>
        <v/>
      </c>
      <c r="J320" s="43" t="str">
        <f aca="false">IF($A320="","",$A320&amp;"-"&amp;$I320)</f>
        <v/>
      </c>
      <c r="K320" s="38" t="str">
        <f aca="false">IF($A320="","",IF(COUNTIF(参数!$B$6:$B$8,$H320)=0,"× 付款方式","√"))</f>
        <v/>
      </c>
    </row>
    <row r="321" customFormat="false" ht="13.5" hidden="false" customHeight="false" outlineLevel="0" collapsed="false">
      <c r="A321" s="41"/>
      <c r="B321" s="42"/>
      <c r="C321" s="36"/>
      <c r="D321" s="35"/>
      <c r="E321" s="36"/>
      <c r="F321" s="36"/>
      <c r="G321" s="37"/>
      <c r="H321" s="35"/>
      <c r="I321" s="43" t="str">
        <f aca="false">IF($A321="","",COUNTIFS($A$2:$A321,$A321))</f>
        <v/>
      </c>
      <c r="J321" s="43" t="str">
        <f aca="false">IF($A321="","",$A321&amp;"-"&amp;$I321)</f>
        <v/>
      </c>
      <c r="K321" s="38" t="str">
        <f aca="false">IF($A321="","",IF(COUNTIF(参数!$B$6:$B$8,$H321)=0,"× 付款方式","√"))</f>
        <v/>
      </c>
    </row>
    <row r="322" customFormat="false" ht="13.5" hidden="false" customHeight="false" outlineLevel="0" collapsed="false">
      <c r="A322" s="41"/>
      <c r="B322" s="42"/>
      <c r="C322" s="36"/>
      <c r="D322" s="35"/>
      <c r="E322" s="36"/>
      <c r="F322" s="36"/>
      <c r="G322" s="37"/>
      <c r="H322" s="35"/>
      <c r="I322" s="43" t="str">
        <f aca="false">IF($A322="","",COUNTIFS($A$2:$A322,$A322))</f>
        <v/>
      </c>
      <c r="J322" s="43" t="str">
        <f aca="false">IF($A322="","",$A322&amp;"-"&amp;$I322)</f>
        <v/>
      </c>
      <c r="K322" s="38" t="str">
        <f aca="false">IF($A322="","",IF(COUNTIF(参数!$B$6:$B$8,$H322)=0,"× 付款方式","√"))</f>
        <v/>
      </c>
    </row>
    <row r="323" customFormat="false" ht="13.5" hidden="false" customHeight="false" outlineLevel="0" collapsed="false">
      <c r="A323" s="41"/>
      <c r="B323" s="42"/>
      <c r="C323" s="36"/>
      <c r="D323" s="35"/>
      <c r="E323" s="36"/>
      <c r="F323" s="36"/>
      <c r="G323" s="37"/>
      <c r="H323" s="35"/>
      <c r="I323" s="43" t="str">
        <f aca="false">IF($A323="","",COUNTIFS($A$2:$A323,$A323))</f>
        <v/>
      </c>
      <c r="J323" s="43" t="str">
        <f aca="false">IF($A323="","",$A323&amp;"-"&amp;$I323)</f>
        <v/>
      </c>
      <c r="K323" s="38" t="str">
        <f aca="false">IF($A323="","",IF(COUNTIF(参数!$B$6:$B$8,$H323)=0,"× 付款方式","√"))</f>
        <v/>
      </c>
    </row>
    <row r="324" customFormat="false" ht="13.5" hidden="false" customHeight="false" outlineLevel="0" collapsed="false">
      <c r="A324" s="41"/>
      <c r="B324" s="42"/>
      <c r="C324" s="36"/>
      <c r="D324" s="35"/>
      <c r="E324" s="36"/>
      <c r="F324" s="36"/>
      <c r="G324" s="37"/>
      <c r="H324" s="35"/>
      <c r="I324" s="43" t="str">
        <f aca="false">IF($A324="","",COUNTIFS($A$2:$A324,$A324))</f>
        <v/>
      </c>
      <c r="J324" s="43" t="str">
        <f aca="false">IF($A324="","",$A324&amp;"-"&amp;$I324)</f>
        <v/>
      </c>
      <c r="K324" s="38" t="str">
        <f aca="false">IF($A324="","",IF(COUNTIF(参数!$B$6:$B$8,$H324)=0,"× 付款方式","√"))</f>
        <v/>
      </c>
    </row>
    <row r="325" customFormat="false" ht="13.5" hidden="false" customHeight="false" outlineLevel="0" collapsed="false">
      <c r="A325" s="41"/>
      <c r="B325" s="42"/>
      <c r="C325" s="36"/>
      <c r="D325" s="35"/>
      <c r="E325" s="36"/>
      <c r="F325" s="36"/>
      <c r="G325" s="37"/>
      <c r="H325" s="35"/>
      <c r="I325" s="43" t="str">
        <f aca="false">IF($A325="","",COUNTIFS($A$2:$A325,$A325))</f>
        <v/>
      </c>
      <c r="J325" s="43" t="str">
        <f aca="false">IF($A325="","",$A325&amp;"-"&amp;$I325)</f>
        <v/>
      </c>
      <c r="K325" s="38" t="str">
        <f aca="false">IF($A325="","",IF(COUNTIF(参数!$B$6:$B$8,$H325)=0,"× 付款方式","√"))</f>
        <v/>
      </c>
    </row>
    <row r="326" customFormat="false" ht="13.5" hidden="false" customHeight="false" outlineLevel="0" collapsed="false">
      <c r="A326" s="41"/>
      <c r="B326" s="42"/>
      <c r="C326" s="36"/>
      <c r="D326" s="35"/>
      <c r="E326" s="36"/>
      <c r="F326" s="36"/>
      <c r="G326" s="37"/>
      <c r="H326" s="35"/>
      <c r="I326" s="43" t="str">
        <f aca="false">IF($A326="","",COUNTIFS($A$2:$A326,$A326))</f>
        <v/>
      </c>
      <c r="J326" s="43" t="str">
        <f aca="false">IF($A326="","",$A326&amp;"-"&amp;$I326)</f>
        <v/>
      </c>
      <c r="K326" s="38" t="str">
        <f aca="false">IF($A326="","",IF(COUNTIF(参数!$B$6:$B$8,$H326)=0,"× 付款方式","√"))</f>
        <v/>
      </c>
    </row>
    <row r="327" customFormat="false" ht="13.5" hidden="false" customHeight="false" outlineLevel="0" collapsed="false">
      <c r="A327" s="41"/>
      <c r="B327" s="42"/>
      <c r="C327" s="36"/>
      <c r="D327" s="35"/>
      <c r="E327" s="36"/>
      <c r="F327" s="36"/>
      <c r="G327" s="37"/>
      <c r="H327" s="35"/>
      <c r="I327" s="43" t="str">
        <f aca="false">IF($A327="","",COUNTIFS($A$2:$A327,$A327))</f>
        <v/>
      </c>
      <c r="J327" s="43" t="str">
        <f aca="false">IF($A327="","",$A327&amp;"-"&amp;$I327)</f>
        <v/>
      </c>
      <c r="K327" s="38" t="str">
        <f aca="false">IF($A327="","",IF(COUNTIF(参数!$B$6:$B$8,$H327)=0,"× 付款方式","√"))</f>
        <v/>
      </c>
    </row>
    <row r="328" customFormat="false" ht="13.5" hidden="false" customHeight="false" outlineLevel="0" collapsed="false">
      <c r="A328" s="41"/>
      <c r="B328" s="42"/>
      <c r="C328" s="36"/>
      <c r="D328" s="35"/>
      <c r="E328" s="36"/>
      <c r="F328" s="36"/>
      <c r="G328" s="37"/>
      <c r="H328" s="35"/>
      <c r="I328" s="43" t="str">
        <f aca="false">IF($A328="","",COUNTIFS($A$2:$A328,$A328))</f>
        <v/>
      </c>
      <c r="J328" s="43" t="str">
        <f aca="false">IF($A328="","",$A328&amp;"-"&amp;$I328)</f>
        <v/>
      </c>
      <c r="K328" s="38" t="str">
        <f aca="false">IF($A328="","",IF(COUNTIF(参数!$B$6:$B$8,$H328)=0,"× 付款方式","√"))</f>
        <v/>
      </c>
    </row>
    <row r="329" customFormat="false" ht="13.5" hidden="false" customHeight="false" outlineLevel="0" collapsed="false">
      <c r="A329" s="41"/>
      <c r="B329" s="42"/>
      <c r="C329" s="36"/>
      <c r="D329" s="35"/>
      <c r="E329" s="36"/>
      <c r="F329" s="36"/>
      <c r="G329" s="37"/>
      <c r="H329" s="35"/>
      <c r="I329" s="43" t="str">
        <f aca="false">IF($A329="","",COUNTIFS($A$2:$A329,$A329))</f>
        <v/>
      </c>
      <c r="J329" s="43" t="str">
        <f aca="false">IF($A329="","",$A329&amp;"-"&amp;$I329)</f>
        <v/>
      </c>
      <c r="K329" s="38" t="str">
        <f aca="false">IF($A329="","",IF(COUNTIF(参数!$B$6:$B$8,$H329)=0,"× 付款方式","√"))</f>
        <v/>
      </c>
    </row>
    <row r="330" customFormat="false" ht="13.5" hidden="false" customHeight="false" outlineLevel="0" collapsed="false">
      <c r="A330" s="41"/>
      <c r="B330" s="42"/>
      <c r="C330" s="36"/>
      <c r="D330" s="35"/>
      <c r="E330" s="36"/>
      <c r="F330" s="36"/>
      <c r="G330" s="37"/>
      <c r="H330" s="35"/>
      <c r="I330" s="43" t="str">
        <f aca="false">IF($A330="","",COUNTIFS($A$2:$A330,$A330))</f>
        <v/>
      </c>
      <c r="J330" s="43" t="str">
        <f aca="false">IF($A330="","",$A330&amp;"-"&amp;$I330)</f>
        <v/>
      </c>
      <c r="K330" s="38" t="str">
        <f aca="false">IF($A330="","",IF(COUNTIF(参数!$B$6:$B$8,$H330)=0,"× 付款方式","√"))</f>
        <v/>
      </c>
    </row>
    <row r="331" customFormat="false" ht="13.5" hidden="false" customHeight="false" outlineLevel="0" collapsed="false">
      <c r="A331" s="41"/>
      <c r="B331" s="42"/>
      <c r="C331" s="36"/>
      <c r="D331" s="35"/>
      <c r="E331" s="36"/>
      <c r="F331" s="36"/>
      <c r="G331" s="37"/>
      <c r="H331" s="35"/>
      <c r="I331" s="43" t="str">
        <f aca="false">IF($A331="","",COUNTIFS($A$2:$A331,$A331))</f>
        <v/>
      </c>
      <c r="J331" s="43" t="str">
        <f aca="false">IF($A331="","",$A331&amp;"-"&amp;$I331)</f>
        <v/>
      </c>
      <c r="K331" s="38" t="str">
        <f aca="false">IF($A331="","",IF(COUNTIF(参数!$B$6:$B$8,$H331)=0,"× 付款方式","√"))</f>
        <v/>
      </c>
    </row>
    <row r="332" customFormat="false" ht="13.5" hidden="false" customHeight="false" outlineLevel="0" collapsed="false">
      <c r="A332" s="41"/>
      <c r="B332" s="42"/>
      <c r="C332" s="36"/>
      <c r="D332" s="35"/>
      <c r="E332" s="36"/>
      <c r="F332" s="36"/>
      <c r="G332" s="37"/>
      <c r="H332" s="35"/>
      <c r="I332" s="43" t="str">
        <f aca="false">IF($A332="","",COUNTIFS($A$2:$A332,$A332))</f>
        <v/>
      </c>
      <c r="J332" s="43" t="str">
        <f aca="false">IF($A332="","",$A332&amp;"-"&amp;$I332)</f>
        <v/>
      </c>
      <c r="K332" s="38" t="str">
        <f aca="false">IF($A332="","",IF(COUNTIF(参数!$B$6:$B$8,$H332)=0,"× 付款方式","√"))</f>
        <v/>
      </c>
    </row>
    <row r="333" customFormat="false" ht="13.5" hidden="false" customHeight="false" outlineLevel="0" collapsed="false">
      <c r="A333" s="41"/>
      <c r="B333" s="42"/>
      <c r="C333" s="36"/>
      <c r="D333" s="35"/>
      <c r="E333" s="36"/>
      <c r="F333" s="36"/>
      <c r="G333" s="37"/>
      <c r="H333" s="35"/>
      <c r="I333" s="43" t="str">
        <f aca="false">IF($A333="","",COUNTIFS($A$2:$A333,$A333))</f>
        <v/>
      </c>
      <c r="J333" s="43" t="str">
        <f aca="false">IF($A333="","",$A333&amp;"-"&amp;$I333)</f>
        <v/>
      </c>
      <c r="K333" s="38" t="str">
        <f aca="false">IF($A333="","",IF(COUNTIF(参数!$B$6:$B$8,$H333)=0,"× 付款方式","√"))</f>
        <v/>
      </c>
    </row>
    <row r="334" customFormat="false" ht="13.5" hidden="false" customHeight="false" outlineLevel="0" collapsed="false">
      <c r="A334" s="41"/>
      <c r="B334" s="42"/>
      <c r="C334" s="36"/>
      <c r="D334" s="35"/>
      <c r="E334" s="36"/>
      <c r="F334" s="36"/>
      <c r="G334" s="37"/>
      <c r="H334" s="35"/>
      <c r="I334" s="43" t="str">
        <f aca="false">IF($A334="","",COUNTIFS($A$2:$A334,$A334))</f>
        <v/>
      </c>
      <c r="J334" s="43" t="str">
        <f aca="false">IF($A334="","",$A334&amp;"-"&amp;$I334)</f>
        <v/>
      </c>
      <c r="K334" s="38" t="str">
        <f aca="false">IF($A334="","",IF(COUNTIF(参数!$B$6:$B$8,$H334)=0,"× 付款方式","√"))</f>
        <v/>
      </c>
    </row>
    <row r="335" customFormat="false" ht="13.5" hidden="false" customHeight="false" outlineLevel="0" collapsed="false">
      <c r="A335" s="41"/>
      <c r="B335" s="42"/>
      <c r="C335" s="36"/>
      <c r="D335" s="35"/>
      <c r="E335" s="36"/>
      <c r="F335" s="36"/>
      <c r="G335" s="37"/>
      <c r="H335" s="35"/>
      <c r="I335" s="43" t="str">
        <f aca="false">IF($A335="","",COUNTIFS($A$2:$A335,$A335))</f>
        <v/>
      </c>
      <c r="J335" s="43" t="str">
        <f aca="false">IF($A335="","",$A335&amp;"-"&amp;$I335)</f>
        <v/>
      </c>
      <c r="K335" s="38" t="str">
        <f aca="false">IF($A335="","",IF(COUNTIF(参数!$B$6:$B$8,$H335)=0,"× 付款方式","√"))</f>
        <v/>
      </c>
    </row>
    <row r="336" customFormat="false" ht="13.5" hidden="false" customHeight="false" outlineLevel="0" collapsed="false">
      <c r="A336" s="41"/>
      <c r="B336" s="42"/>
      <c r="C336" s="36"/>
      <c r="D336" s="35"/>
      <c r="E336" s="36"/>
      <c r="F336" s="36"/>
      <c r="G336" s="37"/>
      <c r="H336" s="35"/>
      <c r="I336" s="43" t="str">
        <f aca="false">IF($A336="","",COUNTIFS($A$2:$A336,$A336))</f>
        <v/>
      </c>
      <c r="J336" s="43" t="str">
        <f aca="false">IF($A336="","",$A336&amp;"-"&amp;$I336)</f>
        <v/>
      </c>
      <c r="K336" s="38" t="str">
        <f aca="false">IF($A336="","",IF(COUNTIF(参数!$B$6:$B$8,$H336)=0,"× 付款方式","√"))</f>
        <v/>
      </c>
    </row>
    <row r="337" customFormat="false" ht="13.5" hidden="false" customHeight="false" outlineLevel="0" collapsed="false">
      <c r="A337" s="41"/>
      <c r="B337" s="42"/>
      <c r="C337" s="36"/>
      <c r="D337" s="35"/>
      <c r="E337" s="36"/>
      <c r="F337" s="36"/>
      <c r="G337" s="37"/>
      <c r="H337" s="35"/>
      <c r="I337" s="43" t="str">
        <f aca="false">IF($A337="","",COUNTIFS($A$2:$A337,$A337))</f>
        <v/>
      </c>
      <c r="J337" s="43" t="str">
        <f aca="false">IF($A337="","",$A337&amp;"-"&amp;$I337)</f>
        <v/>
      </c>
      <c r="K337" s="38" t="str">
        <f aca="false">IF($A337="","",IF(COUNTIF(参数!$B$6:$B$8,$H337)=0,"× 付款方式","√"))</f>
        <v/>
      </c>
    </row>
    <row r="338" customFormat="false" ht="13.5" hidden="false" customHeight="false" outlineLevel="0" collapsed="false">
      <c r="A338" s="41"/>
      <c r="B338" s="42"/>
      <c r="C338" s="36"/>
      <c r="D338" s="35"/>
      <c r="E338" s="36"/>
      <c r="F338" s="36"/>
      <c r="G338" s="37"/>
      <c r="H338" s="35"/>
      <c r="I338" s="43" t="str">
        <f aca="false">IF($A338="","",COUNTIFS($A$2:$A338,$A338))</f>
        <v/>
      </c>
      <c r="J338" s="43" t="str">
        <f aca="false">IF($A338="","",$A338&amp;"-"&amp;$I338)</f>
        <v/>
      </c>
      <c r="K338" s="38" t="str">
        <f aca="false">IF($A338="","",IF(COUNTIF(参数!$B$6:$B$8,$H338)=0,"× 付款方式","√"))</f>
        <v/>
      </c>
    </row>
    <row r="339" customFormat="false" ht="13.5" hidden="false" customHeight="false" outlineLevel="0" collapsed="false">
      <c r="A339" s="41"/>
      <c r="B339" s="42"/>
      <c r="C339" s="36"/>
      <c r="D339" s="35"/>
      <c r="E339" s="36"/>
      <c r="F339" s="36"/>
      <c r="G339" s="37"/>
      <c r="H339" s="35"/>
      <c r="I339" s="43" t="str">
        <f aca="false">IF($A339="","",COUNTIFS($A$2:$A339,$A339))</f>
        <v/>
      </c>
      <c r="J339" s="43" t="str">
        <f aca="false">IF($A339="","",$A339&amp;"-"&amp;$I339)</f>
        <v/>
      </c>
      <c r="K339" s="38" t="str">
        <f aca="false">IF($A339="","",IF(COUNTIF(参数!$B$6:$B$8,$H339)=0,"× 付款方式","√"))</f>
        <v/>
      </c>
    </row>
    <row r="340" customFormat="false" ht="13.5" hidden="false" customHeight="false" outlineLevel="0" collapsed="false">
      <c r="A340" s="41"/>
      <c r="B340" s="42"/>
      <c r="C340" s="36"/>
      <c r="D340" s="35"/>
      <c r="E340" s="36"/>
      <c r="F340" s="36"/>
      <c r="G340" s="37"/>
      <c r="H340" s="35"/>
      <c r="I340" s="43" t="str">
        <f aca="false">IF($A340="","",COUNTIFS($A$2:$A340,$A340))</f>
        <v/>
      </c>
      <c r="J340" s="43" t="str">
        <f aca="false">IF($A340="","",$A340&amp;"-"&amp;$I340)</f>
        <v/>
      </c>
      <c r="K340" s="38" t="str">
        <f aca="false">IF($A340="","",IF(COUNTIF(参数!$B$6:$B$8,$H340)=0,"× 付款方式","√"))</f>
        <v/>
      </c>
    </row>
    <row r="341" customFormat="false" ht="13.5" hidden="false" customHeight="false" outlineLevel="0" collapsed="false">
      <c r="A341" s="41"/>
      <c r="B341" s="42"/>
      <c r="C341" s="36"/>
      <c r="D341" s="35"/>
      <c r="E341" s="36"/>
      <c r="F341" s="36"/>
      <c r="G341" s="37"/>
      <c r="H341" s="35"/>
      <c r="I341" s="43" t="str">
        <f aca="false">IF($A341="","",COUNTIFS($A$2:$A341,$A341))</f>
        <v/>
      </c>
      <c r="J341" s="43" t="str">
        <f aca="false">IF($A341="","",$A341&amp;"-"&amp;$I341)</f>
        <v/>
      </c>
      <c r="K341" s="38" t="str">
        <f aca="false">IF($A341="","",IF(COUNTIF(参数!$B$6:$B$8,$H341)=0,"× 付款方式","√"))</f>
        <v/>
      </c>
    </row>
    <row r="342" customFormat="false" ht="13.5" hidden="false" customHeight="false" outlineLevel="0" collapsed="false">
      <c r="A342" s="41"/>
      <c r="B342" s="42"/>
      <c r="C342" s="36"/>
      <c r="D342" s="35"/>
      <c r="E342" s="36"/>
      <c r="F342" s="36"/>
      <c r="G342" s="37"/>
      <c r="H342" s="35"/>
      <c r="I342" s="43" t="str">
        <f aca="false">IF($A342="","",COUNTIFS($A$2:$A342,$A342))</f>
        <v/>
      </c>
      <c r="J342" s="43" t="str">
        <f aca="false">IF($A342="","",$A342&amp;"-"&amp;$I342)</f>
        <v/>
      </c>
      <c r="K342" s="38" t="str">
        <f aca="false">IF($A342="","",IF(COUNTIF(参数!$B$6:$B$8,$H342)=0,"× 付款方式","√"))</f>
        <v/>
      </c>
    </row>
    <row r="343" customFormat="false" ht="13.5" hidden="false" customHeight="false" outlineLevel="0" collapsed="false">
      <c r="A343" s="41"/>
      <c r="B343" s="42"/>
      <c r="C343" s="36"/>
      <c r="D343" s="35"/>
      <c r="E343" s="36"/>
      <c r="F343" s="36"/>
      <c r="G343" s="37"/>
      <c r="H343" s="35"/>
      <c r="I343" s="43" t="str">
        <f aca="false">IF($A343="","",COUNTIFS($A$2:$A343,$A343))</f>
        <v/>
      </c>
      <c r="J343" s="43" t="str">
        <f aca="false">IF($A343="","",$A343&amp;"-"&amp;$I343)</f>
        <v/>
      </c>
      <c r="K343" s="38" t="str">
        <f aca="false">IF($A343="","",IF(COUNTIF(参数!$B$6:$B$8,$H343)=0,"× 付款方式","√"))</f>
        <v/>
      </c>
    </row>
    <row r="344" customFormat="false" ht="13.5" hidden="false" customHeight="false" outlineLevel="0" collapsed="false">
      <c r="A344" s="41"/>
      <c r="B344" s="42"/>
      <c r="C344" s="36"/>
      <c r="D344" s="35"/>
      <c r="E344" s="36"/>
      <c r="F344" s="36"/>
      <c r="G344" s="37"/>
      <c r="H344" s="35"/>
      <c r="I344" s="43" t="str">
        <f aca="false">IF($A344="","",COUNTIFS($A$2:$A344,$A344))</f>
        <v/>
      </c>
      <c r="J344" s="43" t="str">
        <f aca="false">IF($A344="","",$A344&amp;"-"&amp;$I344)</f>
        <v/>
      </c>
      <c r="K344" s="38" t="str">
        <f aca="false">IF($A344="","",IF(COUNTIF(参数!$B$6:$B$8,$H344)=0,"× 付款方式","√"))</f>
        <v/>
      </c>
    </row>
    <row r="345" customFormat="false" ht="13.5" hidden="false" customHeight="false" outlineLevel="0" collapsed="false">
      <c r="A345" s="41"/>
      <c r="B345" s="42"/>
      <c r="C345" s="36"/>
      <c r="D345" s="35"/>
      <c r="E345" s="36"/>
      <c r="F345" s="36"/>
      <c r="G345" s="37"/>
      <c r="H345" s="35"/>
      <c r="I345" s="43" t="str">
        <f aca="false">IF($A345="","",COUNTIFS($A$2:$A345,$A345))</f>
        <v/>
      </c>
      <c r="J345" s="43" t="str">
        <f aca="false">IF($A345="","",$A345&amp;"-"&amp;$I345)</f>
        <v/>
      </c>
      <c r="K345" s="38" t="str">
        <f aca="false">IF($A345="","",IF(COUNTIF(参数!$B$6:$B$8,$H345)=0,"× 付款方式","√"))</f>
        <v/>
      </c>
    </row>
    <row r="346" customFormat="false" ht="13.5" hidden="false" customHeight="false" outlineLevel="0" collapsed="false">
      <c r="A346" s="41"/>
      <c r="B346" s="42"/>
      <c r="C346" s="36"/>
      <c r="D346" s="35"/>
      <c r="E346" s="36"/>
      <c r="F346" s="36"/>
      <c r="G346" s="37"/>
      <c r="H346" s="35"/>
      <c r="I346" s="43" t="str">
        <f aca="false">IF($A346="","",COUNTIFS($A$2:$A346,$A346))</f>
        <v/>
      </c>
      <c r="J346" s="43" t="str">
        <f aca="false">IF($A346="","",$A346&amp;"-"&amp;$I346)</f>
        <v/>
      </c>
      <c r="K346" s="38" t="str">
        <f aca="false">IF($A346="","",IF(COUNTIF(参数!$B$6:$B$8,$H346)=0,"× 付款方式","√"))</f>
        <v/>
      </c>
    </row>
    <row r="347" customFormat="false" ht="13.5" hidden="false" customHeight="false" outlineLevel="0" collapsed="false">
      <c r="A347" s="41"/>
      <c r="B347" s="42"/>
      <c r="C347" s="36"/>
      <c r="D347" s="35"/>
      <c r="E347" s="36"/>
      <c r="F347" s="36"/>
      <c r="G347" s="37"/>
      <c r="H347" s="35"/>
      <c r="I347" s="43" t="str">
        <f aca="false">IF($A347="","",COUNTIFS($A$2:$A347,$A347))</f>
        <v/>
      </c>
      <c r="J347" s="43" t="str">
        <f aca="false">IF($A347="","",$A347&amp;"-"&amp;$I347)</f>
        <v/>
      </c>
      <c r="K347" s="38" t="str">
        <f aca="false">IF($A347="","",IF(COUNTIF(参数!$B$6:$B$8,$H347)=0,"× 付款方式","√"))</f>
        <v/>
      </c>
    </row>
    <row r="348" customFormat="false" ht="13.5" hidden="false" customHeight="false" outlineLevel="0" collapsed="false">
      <c r="A348" s="41"/>
      <c r="B348" s="42"/>
      <c r="C348" s="36"/>
      <c r="D348" s="35"/>
      <c r="E348" s="36"/>
      <c r="F348" s="36"/>
      <c r="G348" s="37"/>
      <c r="H348" s="35"/>
      <c r="I348" s="43" t="str">
        <f aca="false">IF($A348="","",COUNTIFS($A$2:$A348,$A348))</f>
        <v/>
      </c>
      <c r="J348" s="43" t="str">
        <f aca="false">IF($A348="","",$A348&amp;"-"&amp;$I348)</f>
        <v/>
      </c>
      <c r="K348" s="38" t="str">
        <f aca="false">IF($A348="","",IF(COUNTIF(参数!$B$6:$B$8,$H348)=0,"× 付款方式","√"))</f>
        <v/>
      </c>
    </row>
    <row r="349" customFormat="false" ht="13.5" hidden="false" customHeight="false" outlineLevel="0" collapsed="false">
      <c r="A349" s="41"/>
      <c r="B349" s="42"/>
      <c r="C349" s="36"/>
      <c r="D349" s="35"/>
      <c r="E349" s="36"/>
      <c r="F349" s="36"/>
      <c r="G349" s="37"/>
      <c r="H349" s="35"/>
      <c r="I349" s="43" t="str">
        <f aca="false">IF($A349="","",COUNTIFS($A$2:$A349,$A349))</f>
        <v/>
      </c>
      <c r="J349" s="43" t="str">
        <f aca="false">IF($A349="","",$A349&amp;"-"&amp;$I349)</f>
        <v/>
      </c>
      <c r="K349" s="38" t="str">
        <f aca="false">IF($A349="","",IF(COUNTIF(参数!$B$6:$B$8,$H349)=0,"× 付款方式","√"))</f>
        <v/>
      </c>
    </row>
    <row r="350" customFormat="false" ht="13.5" hidden="false" customHeight="false" outlineLevel="0" collapsed="false">
      <c r="A350" s="41"/>
      <c r="B350" s="42"/>
      <c r="C350" s="36"/>
      <c r="D350" s="35"/>
      <c r="E350" s="36"/>
      <c r="F350" s="36"/>
      <c r="G350" s="37"/>
      <c r="H350" s="35"/>
      <c r="I350" s="43" t="str">
        <f aca="false">IF($A350="","",COUNTIFS($A$2:$A350,$A350))</f>
        <v/>
      </c>
      <c r="J350" s="43" t="str">
        <f aca="false">IF($A350="","",$A350&amp;"-"&amp;$I350)</f>
        <v/>
      </c>
      <c r="K350" s="38" t="str">
        <f aca="false">IF($A350="","",IF(COUNTIF(参数!$B$6:$B$8,$H350)=0,"× 付款方式","√"))</f>
        <v/>
      </c>
    </row>
    <row r="351" customFormat="false" ht="13.5" hidden="false" customHeight="false" outlineLevel="0" collapsed="false">
      <c r="A351" s="41"/>
      <c r="B351" s="42"/>
      <c r="C351" s="36"/>
      <c r="D351" s="35"/>
      <c r="E351" s="36"/>
      <c r="F351" s="36"/>
      <c r="G351" s="37"/>
      <c r="H351" s="35"/>
      <c r="I351" s="43" t="str">
        <f aca="false">IF($A351="","",COUNTIFS($A$2:$A351,$A351))</f>
        <v/>
      </c>
      <c r="J351" s="43" t="str">
        <f aca="false">IF($A351="","",$A351&amp;"-"&amp;$I351)</f>
        <v/>
      </c>
      <c r="K351" s="38" t="str">
        <f aca="false">IF($A351="","",IF(COUNTIF(参数!$B$6:$B$8,$H351)=0,"× 付款方式","√"))</f>
        <v/>
      </c>
    </row>
    <row r="352" customFormat="false" ht="13.5" hidden="false" customHeight="false" outlineLevel="0" collapsed="false">
      <c r="A352" s="41"/>
      <c r="B352" s="42"/>
      <c r="C352" s="36"/>
      <c r="D352" s="35"/>
      <c r="E352" s="36"/>
      <c r="F352" s="36"/>
      <c r="G352" s="37"/>
      <c r="H352" s="35"/>
      <c r="I352" s="43" t="str">
        <f aca="false">IF($A352="","",COUNTIFS($A$2:$A352,$A352))</f>
        <v/>
      </c>
      <c r="J352" s="43" t="str">
        <f aca="false">IF($A352="","",$A352&amp;"-"&amp;$I352)</f>
        <v/>
      </c>
      <c r="K352" s="38" t="str">
        <f aca="false">IF($A352="","",IF(COUNTIF(参数!$B$6:$B$8,$H352)=0,"× 付款方式","√"))</f>
        <v/>
      </c>
    </row>
    <row r="353" customFormat="false" ht="13.5" hidden="false" customHeight="false" outlineLevel="0" collapsed="false">
      <c r="A353" s="41"/>
      <c r="B353" s="42"/>
      <c r="C353" s="36"/>
      <c r="D353" s="35"/>
      <c r="E353" s="36"/>
      <c r="F353" s="36"/>
      <c r="G353" s="37"/>
      <c r="H353" s="35"/>
      <c r="I353" s="43" t="str">
        <f aca="false">IF($A353="","",COUNTIFS($A$2:$A353,$A353))</f>
        <v/>
      </c>
      <c r="J353" s="43" t="str">
        <f aca="false">IF($A353="","",$A353&amp;"-"&amp;$I353)</f>
        <v/>
      </c>
      <c r="K353" s="38" t="str">
        <f aca="false">IF($A353="","",IF(COUNTIF(参数!$B$6:$B$8,$H353)=0,"× 付款方式","√"))</f>
        <v/>
      </c>
    </row>
    <row r="354" customFormat="false" ht="13.5" hidden="false" customHeight="false" outlineLevel="0" collapsed="false">
      <c r="A354" s="41"/>
      <c r="B354" s="42"/>
      <c r="C354" s="36"/>
      <c r="D354" s="35"/>
      <c r="E354" s="36"/>
      <c r="F354" s="36"/>
      <c r="G354" s="37"/>
      <c r="H354" s="35"/>
      <c r="I354" s="43" t="str">
        <f aca="false">IF($A354="","",COUNTIFS($A$2:$A354,$A354))</f>
        <v/>
      </c>
      <c r="J354" s="43" t="str">
        <f aca="false">IF($A354="","",$A354&amp;"-"&amp;$I354)</f>
        <v/>
      </c>
      <c r="K354" s="38" t="str">
        <f aca="false">IF($A354="","",IF(COUNTIF(参数!$B$6:$B$8,$H354)=0,"× 付款方式","√"))</f>
        <v/>
      </c>
    </row>
    <row r="355" customFormat="false" ht="13.5" hidden="false" customHeight="false" outlineLevel="0" collapsed="false">
      <c r="A355" s="41"/>
      <c r="B355" s="42"/>
      <c r="C355" s="36"/>
      <c r="D355" s="35"/>
      <c r="E355" s="36"/>
      <c r="F355" s="36"/>
      <c r="G355" s="37"/>
      <c r="H355" s="35"/>
      <c r="I355" s="43" t="str">
        <f aca="false">IF($A355="","",COUNTIFS($A$2:$A355,$A355))</f>
        <v/>
      </c>
      <c r="J355" s="43" t="str">
        <f aca="false">IF($A355="","",$A355&amp;"-"&amp;$I355)</f>
        <v/>
      </c>
      <c r="K355" s="38" t="str">
        <f aca="false">IF($A355="","",IF(COUNTIF(参数!$B$6:$B$8,$H355)=0,"× 付款方式","√"))</f>
        <v/>
      </c>
    </row>
    <row r="356" customFormat="false" ht="13.5" hidden="false" customHeight="false" outlineLevel="0" collapsed="false">
      <c r="A356" s="41"/>
      <c r="B356" s="42"/>
      <c r="C356" s="36"/>
      <c r="D356" s="35"/>
      <c r="E356" s="36"/>
      <c r="F356" s="36"/>
      <c r="G356" s="37"/>
      <c r="H356" s="35"/>
      <c r="I356" s="43" t="str">
        <f aca="false">IF($A356="","",COUNTIFS($A$2:$A356,$A356))</f>
        <v/>
      </c>
      <c r="J356" s="43" t="str">
        <f aca="false">IF($A356="","",$A356&amp;"-"&amp;$I356)</f>
        <v/>
      </c>
      <c r="K356" s="38" t="str">
        <f aca="false">IF($A356="","",IF(COUNTIF(参数!$B$6:$B$8,$H356)=0,"× 付款方式","√"))</f>
        <v/>
      </c>
    </row>
    <row r="357" customFormat="false" ht="13.5" hidden="false" customHeight="false" outlineLevel="0" collapsed="false">
      <c r="A357" s="41"/>
      <c r="B357" s="42"/>
      <c r="C357" s="36"/>
      <c r="D357" s="35"/>
      <c r="E357" s="36"/>
      <c r="F357" s="36"/>
      <c r="G357" s="37"/>
      <c r="H357" s="35"/>
      <c r="I357" s="43" t="str">
        <f aca="false">IF($A357="","",COUNTIFS($A$2:$A357,$A357))</f>
        <v/>
      </c>
      <c r="J357" s="43" t="str">
        <f aca="false">IF($A357="","",$A357&amp;"-"&amp;$I357)</f>
        <v/>
      </c>
      <c r="K357" s="38" t="str">
        <f aca="false">IF($A357="","",IF(COUNTIF(参数!$B$6:$B$8,$H357)=0,"× 付款方式","√"))</f>
        <v/>
      </c>
    </row>
    <row r="358" customFormat="false" ht="13.5" hidden="false" customHeight="false" outlineLevel="0" collapsed="false">
      <c r="A358" s="41"/>
      <c r="B358" s="42"/>
      <c r="C358" s="36"/>
      <c r="D358" s="35"/>
      <c r="E358" s="36"/>
      <c r="F358" s="36"/>
      <c r="G358" s="37"/>
      <c r="H358" s="35"/>
      <c r="I358" s="43" t="str">
        <f aca="false">IF($A358="","",COUNTIFS($A$2:$A358,$A358))</f>
        <v/>
      </c>
      <c r="J358" s="43" t="str">
        <f aca="false">IF($A358="","",$A358&amp;"-"&amp;$I358)</f>
        <v/>
      </c>
      <c r="K358" s="38" t="str">
        <f aca="false">IF($A358="","",IF(COUNTIF(参数!$B$6:$B$8,$H358)=0,"× 付款方式","√"))</f>
        <v/>
      </c>
    </row>
    <row r="359" customFormat="false" ht="13.5" hidden="false" customHeight="false" outlineLevel="0" collapsed="false">
      <c r="A359" s="41"/>
      <c r="B359" s="42"/>
      <c r="C359" s="36"/>
      <c r="D359" s="35"/>
      <c r="E359" s="36"/>
      <c r="F359" s="36"/>
      <c r="G359" s="37"/>
      <c r="H359" s="35"/>
      <c r="I359" s="43" t="str">
        <f aca="false">IF($A359="","",COUNTIFS($A$2:$A359,$A359))</f>
        <v/>
      </c>
      <c r="J359" s="43" t="str">
        <f aca="false">IF($A359="","",$A359&amp;"-"&amp;$I359)</f>
        <v/>
      </c>
      <c r="K359" s="38" t="str">
        <f aca="false">IF($A359="","",IF(COUNTIF(参数!$B$6:$B$8,$H359)=0,"× 付款方式","√"))</f>
        <v/>
      </c>
    </row>
    <row r="360" customFormat="false" ht="13.5" hidden="false" customHeight="false" outlineLevel="0" collapsed="false">
      <c r="A360" s="41"/>
      <c r="B360" s="42"/>
      <c r="C360" s="36"/>
      <c r="D360" s="35"/>
      <c r="E360" s="36"/>
      <c r="F360" s="36"/>
      <c r="G360" s="37"/>
      <c r="H360" s="35"/>
      <c r="I360" s="43" t="str">
        <f aca="false">IF($A360="","",COUNTIFS($A$2:$A360,$A360))</f>
        <v/>
      </c>
      <c r="J360" s="43" t="str">
        <f aca="false">IF($A360="","",$A360&amp;"-"&amp;$I360)</f>
        <v/>
      </c>
      <c r="K360" s="38" t="str">
        <f aca="false">IF($A360="","",IF(COUNTIF(参数!$B$6:$B$8,$H360)=0,"× 付款方式","√"))</f>
        <v/>
      </c>
    </row>
    <row r="361" customFormat="false" ht="13.5" hidden="false" customHeight="false" outlineLevel="0" collapsed="false">
      <c r="A361" s="41"/>
      <c r="B361" s="42"/>
      <c r="C361" s="36"/>
      <c r="D361" s="35"/>
      <c r="E361" s="36"/>
      <c r="F361" s="36"/>
      <c r="G361" s="37"/>
      <c r="H361" s="35"/>
      <c r="I361" s="43" t="str">
        <f aca="false">IF($A361="","",COUNTIFS($A$2:$A361,$A361))</f>
        <v/>
      </c>
      <c r="J361" s="43" t="str">
        <f aca="false">IF($A361="","",$A361&amp;"-"&amp;$I361)</f>
        <v/>
      </c>
      <c r="K361" s="38" t="str">
        <f aca="false">IF($A361="","",IF(COUNTIF(参数!$B$6:$B$8,$H361)=0,"× 付款方式","√"))</f>
        <v/>
      </c>
    </row>
    <row r="362" customFormat="false" ht="13.5" hidden="false" customHeight="false" outlineLevel="0" collapsed="false">
      <c r="A362" s="41"/>
      <c r="B362" s="42"/>
      <c r="C362" s="36"/>
      <c r="D362" s="35"/>
      <c r="E362" s="36"/>
      <c r="F362" s="36"/>
      <c r="G362" s="37"/>
      <c r="H362" s="35"/>
      <c r="I362" s="43" t="str">
        <f aca="false">IF($A362="","",COUNTIFS($A$2:$A362,$A362))</f>
        <v/>
      </c>
      <c r="J362" s="43" t="str">
        <f aca="false">IF($A362="","",$A362&amp;"-"&amp;$I362)</f>
        <v/>
      </c>
      <c r="K362" s="38" t="str">
        <f aca="false">IF($A362="","",IF(COUNTIF(参数!$B$6:$B$8,$H362)=0,"× 付款方式","√"))</f>
        <v/>
      </c>
    </row>
    <row r="363" customFormat="false" ht="13.5" hidden="false" customHeight="false" outlineLevel="0" collapsed="false">
      <c r="A363" s="41"/>
      <c r="B363" s="42"/>
      <c r="C363" s="36"/>
      <c r="D363" s="35"/>
      <c r="E363" s="36"/>
      <c r="F363" s="36"/>
      <c r="G363" s="37"/>
      <c r="H363" s="35"/>
      <c r="I363" s="43" t="str">
        <f aca="false">IF($A363="","",COUNTIFS($A$2:$A363,$A363))</f>
        <v/>
      </c>
      <c r="J363" s="43" t="str">
        <f aca="false">IF($A363="","",$A363&amp;"-"&amp;$I363)</f>
        <v/>
      </c>
      <c r="K363" s="38" t="str">
        <f aca="false">IF($A363="","",IF(COUNTIF(参数!$B$6:$B$8,$H363)=0,"× 付款方式","√"))</f>
        <v/>
      </c>
    </row>
    <row r="364" customFormat="false" ht="13.5" hidden="false" customHeight="false" outlineLevel="0" collapsed="false">
      <c r="A364" s="41"/>
      <c r="B364" s="42"/>
      <c r="C364" s="36"/>
      <c r="D364" s="35"/>
      <c r="E364" s="36"/>
      <c r="F364" s="36"/>
      <c r="G364" s="37"/>
      <c r="H364" s="35"/>
      <c r="I364" s="43" t="str">
        <f aca="false">IF($A364="","",COUNTIFS($A$2:$A364,$A364))</f>
        <v/>
      </c>
      <c r="J364" s="43" t="str">
        <f aca="false">IF($A364="","",$A364&amp;"-"&amp;$I364)</f>
        <v/>
      </c>
      <c r="K364" s="38" t="str">
        <f aca="false">IF($A364="","",IF(COUNTIF(参数!$B$6:$B$8,$H364)=0,"× 付款方式","√"))</f>
        <v/>
      </c>
    </row>
    <row r="365" customFormat="false" ht="13.5" hidden="false" customHeight="false" outlineLevel="0" collapsed="false">
      <c r="A365" s="41"/>
      <c r="B365" s="42"/>
      <c r="C365" s="36"/>
      <c r="D365" s="35"/>
      <c r="E365" s="36"/>
      <c r="F365" s="36"/>
      <c r="G365" s="37"/>
      <c r="H365" s="35"/>
      <c r="I365" s="43" t="str">
        <f aca="false">IF($A365="","",COUNTIFS($A$2:$A365,$A365))</f>
        <v/>
      </c>
      <c r="J365" s="43" t="str">
        <f aca="false">IF($A365="","",$A365&amp;"-"&amp;$I365)</f>
        <v/>
      </c>
      <c r="K365" s="38" t="str">
        <f aca="false">IF($A365="","",IF(COUNTIF(参数!$B$6:$B$8,$H365)=0,"× 付款方式","√"))</f>
        <v/>
      </c>
    </row>
    <row r="366" customFormat="false" ht="13.5" hidden="false" customHeight="false" outlineLevel="0" collapsed="false">
      <c r="A366" s="41"/>
      <c r="B366" s="42"/>
      <c r="C366" s="36"/>
      <c r="D366" s="35"/>
      <c r="E366" s="36"/>
      <c r="F366" s="36"/>
      <c r="G366" s="37"/>
      <c r="H366" s="35"/>
      <c r="I366" s="43" t="str">
        <f aca="false">IF($A366="","",COUNTIFS($A$2:$A366,$A366))</f>
        <v/>
      </c>
      <c r="J366" s="43" t="str">
        <f aca="false">IF($A366="","",$A366&amp;"-"&amp;$I366)</f>
        <v/>
      </c>
      <c r="K366" s="38" t="str">
        <f aca="false">IF($A366="","",IF(COUNTIF(参数!$B$6:$B$8,$H366)=0,"× 付款方式","√"))</f>
        <v/>
      </c>
    </row>
    <row r="367" customFormat="false" ht="13.5" hidden="false" customHeight="false" outlineLevel="0" collapsed="false">
      <c r="A367" s="41"/>
      <c r="B367" s="42"/>
      <c r="C367" s="36"/>
      <c r="D367" s="35"/>
      <c r="E367" s="36"/>
      <c r="F367" s="36"/>
      <c r="G367" s="37"/>
      <c r="H367" s="35"/>
      <c r="I367" s="43" t="str">
        <f aca="false">IF($A367="","",COUNTIFS($A$2:$A367,$A367))</f>
        <v/>
      </c>
      <c r="J367" s="43" t="str">
        <f aca="false">IF($A367="","",$A367&amp;"-"&amp;$I367)</f>
        <v/>
      </c>
      <c r="K367" s="38" t="str">
        <f aca="false">IF($A367="","",IF(COUNTIF(参数!$B$6:$B$8,$H367)=0,"× 付款方式","√"))</f>
        <v/>
      </c>
    </row>
    <row r="368" customFormat="false" ht="13.5" hidden="false" customHeight="false" outlineLevel="0" collapsed="false">
      <c r="A368" s="41"/>
      <c r="B368" s="42"/>
      <c r="C368" s="36"/>
      <c r="D368" s="35"/>
      <c r="E368" s="36"/>
      <c r="F368" s="36"/>
      <c r="G368" s="37"/>
      <c r="H368" s="35"/>
      <c r="I368" s="43" t="str">
        <f aca="false">IF($A368="","",COUNTIFS($A$2:$A368,$A368))</f>
        <v/>
      </c>
      <c r="J368" s="43" t="str">
        <f aca="false">IF($A368="","",$A368&amp;"-"&amp;$I368)</f>
        <v/>
      </c>
      <c r="K368" s="38" t="str">
        <f aca="false">IF($A368="","",IF(COUNTIF(参数!$B$6:$B$8,$H368)=0,"× 付款方式","√"))</f>
        <v/>
      </c>
    </row>
    <row r="369" customFormat="false" ht="13.5" hidden="false" customHeight="false" outlineLevel="0" collapsed="false">
      <c r="A369" s="41"/>
      <c r="B369" s="42"/>
      <c r="C369" s="36"/>
      <c r="D369" s="35"/>
      <c r="E369" s="36"/>
      <c r="F369" s="36"/>
      <c r="G369" s="37"/>
      <c r="H369" s="35"/>
      <c r="I369" s="43" t="str">
        <f aca="false">IF($A369="","",COUNTIFS($A$2:$A369,$A369))</f>
        <v/>
      </c>
      <c r="J369" s="43" t="str">
        <f aca="false">IF($A369="","",$A369&amp;"-"&amp;$I369)</f>
        <v/>
      </c>
      <c r="K369" s="38" t="str">
        <f aca="false">IF($A369="","",IF(COUNTIF(参数!$B$6:$B$8,$H369)=0,"× 付款方式","√"))</f>
        <v/>
      </c>
    </row>
    <row r="370" customFormat="false" ht="13.5" hidden="false" customHeight="false" outlineLevel="0" collapsed="false">
      <c r="A370" s="41"/>
      <c r="B370" s="42"/>
      <c r="C370" s="36"/>
      <c r="D370" s="35"/>
      <c r="E370" s="36"/>
      <c r="F370" s="36"/>
      <c r="G370" s="37"/>
      <c r="H370" s="35"/>
      <c r="I370" s="43" t="str">
        <f aca="false">IF($A370="","",COUNTIFS($A$2:$A370,$A370))</f>
        <v/>
      </c>
      <c r="J370" s="43" t="str">
        <f aca="false">IF($A370="","",$A370&amp;"-"&amp;$I370)</f>
        <v/>
      </c>
      <c r="K370" s="38" t="str">
        <f aca="false">IF($A370="","",IF(COUNTIF(参数!$B$6:$B$8,$H370)=0,"× 付款方式","√"))</f>
        <v/>
      </c>
    </row>
    <row r="371" customFormat="false" ht="13.5" hidden="false" customHeight="false" outlineLevel="0" collapsed="false">
      <c r="A371" s="41"/>
      <c r="B371" s="42"/>
      <c r="C371" s="36"/>
      <c r="D371" s="35"/>
      <c r="E371" s="36"/>
      <c r="F371" s="36"/>
      <c r="G371" s="37"/>
      <c r="H371" s="35"/>
      <c r="I371" s="43" t="str">
        <f aca="false">IF($A371="","",COUNTIFS($A$2:$A371,$A371))</f>
        <v/>
      </c>
      <c r="J371" s="43" t="str">
        <f aca="false">IF($A371="","",$A371&amp;"-"&amp;$I371)</f>
        <v/>
      </c>
      <c r="K371" s="38" t="str">
        <f aca="false">IF($A371="","",IF(COUNTIF(参数!$B$6:$B$8,$H371)=0,"× 付款方式","√"))</f>
        <v/>
      </c>
    </row>
    <row r="372" customFormat="false" ht="13.5" hidden="false" customHeight="false" outlineLevel="0" collapsed="false">
      <c r="A372" s="41"/>
      <c r="B372" s="42"/>
      <c r="C372" s="36"/>
      <c r="D372" s="35"/>
      <c r="E372" s="36"/>
      <c r="F372" s="36"/>
      <c r="G372" s="37"/>
      <c r="H372" s="35"/>
      <c r="I372" s="43" t="str">
        <f aca="false">IF($A372="","",COUNTIFS($A$2:$A372,$A372))</f>
        <v/>
      </c>
      <c r="J372" s="43" t="str">
        <f aca="false">IF($A372="","",$A372&amp;"-"&amp;$I372)</f>
        <v/>
      </c>
      <c r="K372" s="38" t="str">
        <f aca="false">IF($A372="","",IF(COUNTIF(参数!$B$6:$B$8,$H372)=0,"× 付款方式","√"))</f>
        <v/>
      </c>
    </row>
    <row r="373" customFormat="false" ht="13.5" hidden="false" customHeight="false" outlineLevel="0" collapsed="false">
      <c r="A373" s="41"/>
      <c r="B373" s="42"/>
      <c r="C373" s="36"/>
      <c r="D373" s="35"/>
      <c r="E373" s="36"/>
      <c r="F373" s="36"/>
      <c r="G373" s="37"/>
      <c r="H373" s="35"/>
      <c r="I373" s="43" t="str">
        <f aca="false">IF($A373="","",COUNTIFS($A$2:$A373,$A373))</f>
        <v/>
      </c>
      <c r="J373" s="43" t="str">
        <f aca="false">IF($A373="","",$A373&amp;"-"&amp;$I373)</f>
        <v/>
      </c>
      <c r="K373" s="38" t="str">
        <f aca="false">IF($A373="","",IF(COUNTIF(参数!$B$6:$B$8,$H373)=0,"× 付款方式","√"))</f>
        <v/>
      </c>
    </row>
    <row r="374" customFormat="false" ht="13.5" hidden="false" customHeight="false" outlineLevel="0" collapsed="false">
      <c r="A374" s="41"/>
      <c r="B374" s="42"/>
      <c r="C374" s="36"/>
      <c r="D374" s="35"/>
      <c r="E374" s="36"/>
      <c r="F374" s="36"/>
      <c r="G374" s="37"/>
      <c r="H374" s="35"/>
      <c r="I374" s="43" t="str">
        <f aca="false">IF($A374="","",COUNTIFS($A$2:$A374,$A374))</f>
        <v/>
      </c>
      <c r="J374" s="43" t="str">
        <f aca="false">IF($A374="","",$A374&amp;"-"&amp;$I374)</f>
        <v/>
      </c>
      <c r="K374" s="38" t="str">
        <f aca="false">IF($A374="","",IF(COUNTIF(参数!$B$6:$B$8,$H374)=0,"× 付款方式","√"))</f>
        <v/>
      </c>
    </row>
    <row r="375" customFormat="false" ht="13.5" hidden="false" customHeight="false" outlineLevel="0" collapsed="false">
      <c r="A375" s="41"/>
      <c r="B375" s="42"/>
      <c r="C375" s="36"/>
      <c r="D375" s="35"/>
      <c r="E375" s="36"/>
      <c r="F375" s="36"/>
      <c r="G375" s="37"/>
      <c r="H375" s="35"/>
      <c r="I375" s="43" t="str">
        <f aca="false">IF($A375="","",COUNTIFS($A$2:$A375,$A375))</f>
        <v/>
      </c>
      <c r="J375" s="43" t="str">
        <f aca="false">IF($A375="","",$A375&amp;"-"&amp;$I375)</f>
        <v/>
      </c>
      <c r="K375" s="38" t="str">
        <f aca="false">IF($A375="","",IF(COUNTIF(参数!$B$6:$B$8,$H375)=0,"× 付款方式","√"))</f>
        <v/>
      </c>
    </row>
    <row r="376" customFormat="false" ht="13.5" hidden="false" customHeight="false" outlineLevel="0" collapsed="false">
      <c r="A376" s="41"/>
      <c r="B376" s="42"/>
      <c r="C376" s="36"/>
      <c r="D376" s="35"/>
      <c r="E376" s="36"/>
      <c r="F376" s="36"/>
      <c r="G376" s="37"/>
      <c r="H376" s="35"/>
      <c r="I376" s="43" t="str">
        <f aca="false">IF($A376="","",COUNTIFS($A$2:$A376,$A376))</f>
        <v/>
      </c>
      <c r="J376" s="43" t="str">
        <f aca="false">IF($A376="","",$A376&amp;"-"&amp;$I376)</f>
        <v/>
      </c>
      <c r="K376" s="38" t="str">
        <f aca="false">IF($A376="","",IF(COUNTIF(参数!$B$6:$B$8,$H376)=0,"× 付款方式","√"))</f>
        <v/>
      </c>
    </row>
    <row r="377" customFormat="false" ht="13.5" hidden="false" customHeight="false" outlineLevel="0" collapsed="false">
      <c r="A377" s="41"/>
      <c r="B377" s="42"/>
      <c r="C377" s="36"/>
      <c r="D377" s="35"/>
      <c r="E377" s="36"/>
      <c r="F377" s="36"/>
      <c r="G377" s="37"/>
      <c r="H377" s="35"/>
      <c r="I377" s="43" t="str">
        <f aca="false">IF($A377="","",COUNTIFS($A$2:$A377,$A377))</f>
        <v/>
      </c>
      <c r="J377" s="43" t="str">
        <f aca="false">IF($A377="","",$A377&amp;"-"&amp;$I377)</f>
        <v/>
      </c>
      <c r="K377" s="38" t="str">
        <f aca="false">IF($A377="","",IF(COUNTIF(参数!$B$6:$B$8,$H377)=0,"× 付款方式","√"))</f>
        <v/>
      </c>
    </row>
    <row r="378" customFormat="false" ht="13.5" hidden="false" customHeight="false" outlineLevel="0" collapsed="false">
      <c r="A378" s="41"/>
      <c r="B378" s="42"/>
      <c r="C378" s="36"/>
      <c r="D378" s="35"/>
      <c r="E378" s="36"/>
      <c r="F378" s="36"/>
      <c r="G378" s="37"/>
      <c r="H378" s="35"/>
      <c r="I378" s="43" t="str">
        <f aca="false">IF($A378="","",COUNTIFS($A$2:$A378,$A378))</f>
        <v/>
      </c>
      <c r="J378" s="43" t="str">
        <f aca="false">IF($A378="","",$A378&amp;"-"&amp;$I378)</f>
        <v/>
      </c>
      <c r="K378" s="38" t="str">
        <f aca="false">IF($A378="","",IF(COUNTIF(参数!$B$6:$B$8,$H378)=0,"× 付款方式","√"))</f>
        <v/>
      </c>
    </row>
    <row r="379" customFormat="false" ht="13.5" hidden="false" customHeight="false" outlineLevel="0" collapsed="false">
      <c r="A379" s="41"/>
      <c r="B379" s="42"/>
      <c r="C379" s="36"/>
      <c r="D379" s="35"/>
      <c r="E379" s="36"/>
      <c r="F379" s="36"/>
      <c r="G379" s="37"/>
      <c r="H379" s="35"/>
      <c r="I379" s="43" t="str">
        <f aca="false">IF($A379="","",COUNTIFS($A$2:$A379,$A379))</f>
        <v/>
      </c>
      <c r="J379" s="43" t="str">
        <f aca="false">IF($A379="","",$A379&amp;"-"&amp;$I379)</f>
        <v/>
      </c>
      <c r="K379" s="38" t="str">
        <f aca="false">IF($A379="","",IF(COUNTIF(参数!$B$6:$B$8,$H379)=0,"× 付款方式","√"))</f>
        <v/>
      </c>
    </row>
    <row r="380" customFormat="false" ht="13.5" hidden="false" customHeight="false" outlineLevel="0" collapsed="false">
      <c r="A380" s="41"/>
      <c r="B380" s="42"/>
      <c r="C380" s="36"/>
      <c r="D380" s="35"/>
      <c r="E380" s="36"/>
      <c r="F380" s="36"/>
      <c r="G380" s="37"/>
      <c r="H380" s="35"/>
      <c r="I380" s="43" t="str">
        <f aca="false">IF($A380="","",COUNTIFS($A$2:$A380,$A380))</f>
        <v/>
      </c>
      <c r="J380" s="43" t="str">
        <f aca="false">IF($A380="","",$A380&amp;"-"&amp;$I380)</f>
        <v/>
      </c>
      <c r="K380" s="38" t="str">
        <f aca="false">IF($A380="","",IF(COUNTIF(参数!$B$6:$B$8,$H380)=0,"× 付款方式","√"))</f>
        <v/>
      </c>
    </row>
    <row r="381" customFormat="false" ht="13.5" hidden="false" customHeight="false" outlineLevel="0" collapsed="false">
      <c r="A381" s="41"/>
      <c r="B381" s="42"/>
      <c r="C381" s="36"/>
      <c r="D381" s="35"/>
      <c r="E381" s="36"/>
      <c r="F381" s="36"/>
      <c r="G381" s="37"/>
      <c r="H381" s="35"/>
      <c r="I381" s="43" t="str">
        <f aca="false">IF($A381="","",COUNTIFS($A$2:$A381,$A381))</f>
        <v/>
      </c>
      <c r="J381" s="43" t="str">
        <f aca="false">IF($A381="","",$A381&amp;"-"&amp;$I381)</f>
        <v/>
      </c>
      <c r="K381" s="38" t="str">
        <f aca="false">IF($A381="","",IF(COUNTIF(参数!$B$6:$B$8,$H381)=0,"× 付款方式","√"))</f>
        <v/>
      </c>
    </row>
    <row r="382" customFormat="false" ht="13.5" hidden="false" customHeight="false" outlineLevel="0" collapsed="false">
      <c r="A382" s="41"/>
      <c r="B382" s="42"/>
      <c r="C382" s="36"/>
      <c r="D382" s="35"/>
      <c r="E382" s="36"/>
      <c r="F382" s="36"/>
      <c r="G382" s="37"/>
      <c r="H382" s="35"/>
      <c r="I382" s="43" t="str">
        <f aca="false">IF($A382="","",COUNTIFS($A$2:$A382,$A382))</f>
        <v/>
      </c>
      <c r="J382" s="43" t="str">
        <f aca="false">IF($A382="","",$A382&amp;"-"&amp;$I382)</f>
        <v/>
      </c>
      <c r="K382" s="38" t="str">
        <f aca="false">IF($A382="","",IF(COUNTIF(参数!$B$6:$B$8,$H382)=0,"× 付款方式","√"))</f>
        <v/>
      </c>
    </row>
    <row r="383" customFormat="false" ht="13.5" hidden="false" customHeight="false" outlineLevel="0" collapsed="false">
      <c r="A383" s="41"/>
      <c r="B383" s="42"/>
      <c r="C383" s="36"/>
      <c r="D383" s="35"/>
      <c r="E383" s="36"/>
      <c r="F383" s="36"/>
      <c r="G383" s="37"/>
      <c r="H383" s="35"/>
      <c r="I383" s="43" t="str">
        <f aca="false">IF($A383="","",COUNTIFS($A$2:$A383,$A383))</f>
        <v/>
      </c>
      <c r="J383" s="43" t="str">
        <f aca="false">IF($A383="","",$A383&amp;"-"&amp;$I383)</f>
        <v/>
      </c>
      <c r="K383" s="38" t="str">
        <f aca="false">IF($A383="","",IF(COUNTIF(参数!$B$6:$B$8,$H383)=0,"× 付款方式","√"))</f>
        <v/>
      </c>
    </row>
    <row r="384" customFormat="false" ht="13.5" hidden="false" customHeight="false" outlineLevel="0" collapsed="false">
      <c r="A384" s="41"/>
      <c r="B384" s="42"/>
      <c r="C384" s="36"/>
      <c r="D384" s="35"/>
      <c r="E384" s="36"/>
      <c r="F384" s="36"/>
      <c r="G384" s="37"/>
      <c r="H384" s="35"/>
      <c r="I384" s="43" t="str">
        <f aca="false">IF($A384="","",COUNTIFS($A$2:$A384,$A384))</f>
        <v/>
      </c>
      <c r="J384" s="43" t="str">
        <f aca="false">IF($A384="","",$A384&amp;"-"&amp;$I384)</f>
        <v/>
      </c>
      <c r="K384" s="38" t="str">
        <f aca="false">IF($A384="","",IF(COUNTIF(参数!$B$6:$B$8,$H384)=0,"× 付款方式","√"))</f>
        <v/>
      </c>
    </row>
    <row r="385" customFormat="false" ht="13.5" hidden="false" customHeight="false" outlineLevel="0" collapsed="false">
      <c r="A385" s="41"/>
      <c r="B385" s="42"/>
      <c r="C385" s="36"/>
      <c r="D385" s="35"/>
      <c r="E385" s="36"/>
      <c r="F385" s="36"/>
      <c r="G385" s="37"/>
      <c r="H385" s="35"/>
      <c r="I385" s="43" t="str">
        <f aca="false">IF($A385="","",COUNTIFS($A$2:$A385,$A385))</f>
        <v/>
      </c>
      <c r="J385" s="43" t="str">
        <f aca="false">IF($A385="","",$A385&amp;"-"&amp;$I385)</f>
        <v/>
      </c>
      <c r="K385" s="38" t="str">
        <f aca="false">IF($A385="","",IF(COUNTIF(参数!$B$6:$B$8,$H385)=0,"× 付款方式","√"))</f>
        <v/>
      </c>
    </row>
    <row r="386" customFormat="false" ht="13.5" hidden="false" customHeight="false" outlineLevel="0" collapsed="false">
      <c r="A386" s="41"/>
      <c r="B386" s="42"/>
      <c r="C386" s="36"/>
      <c r="D386" s="35"/>
      <c r="E386" s="36"/>
      <c r="F386" s="36"/>
      <c r="G386" s="37"/>
      <c r="H386" s="35"/>
      <c r="I386" s="43" t="str">
        <f aca="false">IF($A386="","",COUNTIFS($A$2:$A386,$A386))</f>
        <v/>
      </c>
      <c r="J386" s="43" t="str">
        <f aca="false">IF($A386="","",$A386&amp;"-"&amp;$I386)</f>
        <v/>
      </c>
      <c r="K386" s="38" t="str">
        <f aca="false">IF($A386="","",IF(COUNTIF(参数!$B$6:$B$8,$H386)=0,"× 付款方式","√"))</f>
        <v/>
      </c>
    </row>
    <row r="387" customFormat="false" ht="13.5" hidden="false" customHeight="false" outlineLevel="0" collapsed="false">
      <c r="A387" s="41"/>
      <c r="B387" s="42"/>
      <c r="C387" s="36"/>
      <c r="D387" s="35"/>
      <c r="E387" s="36"/>
      <c r="F387" s="36"/>
      <c r="G387" s="37"/>
      <c r="H387" s="35"/>
      <c r="I387" s="43" t="str">
        <f aca="false">IF($A387="","",COUNTIFS($A$2:$A387,$A387))</f>
        <v/>
      </c>
      <c r="J387" s="43" t="str">
        <f aca="false">IF($A387="","",$A387&amp;"-"&amp;$I387)</f>
        <v/>
      </c>
      <c r="K387" s="38" t="str">
        <f aca="false">IF($A387="","",IF(COUNTIF(参数!$B$6:$B$8,$H387)=0,"× 付款方式","√"))</f>
        <v/>
      </c>
    </row>
    <row r="388" customFormat="false" ht="13.5" hidden="false" customHeight="false" outlineLevel="0" collapsed="false">
      <c r="A388" s="41"/>
      <c r="B388" s="42"/>
      <c r="C388" s="36"/>
      <c r="D388" s="35"/>
      <c r="E388" s="36"/>
      <c r="F388" s="36"/>
      <c r="G388" s="37"/>
      <c r="H388" s="35"/>
      <c r="I388" s="43" t="str">
        <f aca="false">IF($A388="","",COUNTIFS($A$2:$A388,$A388))</f>
        <v/>
      </c>
      <c r="J388" s="43" t="str">
        <f aca="false">IF($A388="","",$A388&amp;"-"&amp;$I388)</f>
        <v/>
      </c>
      <c r="K388" s="38" t="str">
        <f aca="false">IF($A388="","",IF(COUNTIF(参数!$B$6:$B$8,$H388)=0,"× 付款方式","√"))</f>
        <v/>
      </c>
    </row>
    <row r="389" customFormat="false" ht="13.5" hidden="false" customHeight="false" outlineLevel="0" collapsed="false">
      <c r="A389" s="41"/>
      <c r="B389" s="42"/>
      <c r="C389" s="36"/>
      <c r="D389" s="35"/>
      <c r="E389" s="36"/>
      <c r="F389" s="36"/>
      <c r="G389" s="37"/>
      <c r="H389" s="35"/>
      <c r="I389" s="43" t="str">
        <f aca="false">IF($A389="","",COUNTIFS($A$2:$A389,$A389))</f>
        <v/>
      </c>
      <c r="J389" s="43" t="str">
        <f aca="false">IF($A389="","",$A389&amp;"-"&amp;$I389)</f>
        <v/>
      </c>
      <c r="K389" s="38" t="str">
        <f aca="false">IF($A389="","",IF(COUNTIF(参数!$B$6:$B$8,$H389)=0,"× 付款方式","√"))</f>
        <v/>
      </c>
    </row>
    <row r="390" customFormat="false" ht="13.5" hidden="false" customHeight="false" outlineLevel="0" collapsed="false">
      <c r="A390" s="41"/>
      <c r="B390" s="42"/>
      <c r="C390" s="36"/>
      <c r="D390" s="35"/>
      <c r="E390" s="36"/>
      <c r="F390" s="36"/>
      <c r="G390" s="37"/>
      <c r="H390" s="35"/>
      <c r="I390" s="43" t="str">
        <f aca="false">IF($A390="","",COUNTIFS($A$2:$A390,$A390))</f>
        <v/>
      </c>
      <c r="J390" s="43" t="str">
        <f aca="false">IF($A390="","",$A390&amp;"-"&amp;$I390)</f>
        <v/>
      </c>
      <c r="K390" s="38" t="str">
        <f aca="false">IF($A390="","",IF(COUNTIF(参数!$B$6:$B$8,$H390)=0,"× 付款方式","√"))</f>
        <v/>
      </c>
    </row>
    <row r="391" customFormat="false" ht="13.5" hidden="false" customHeight="false" outlineLevel="0" collapsed="false">
      <c r="A391" s="41"/>
      <c r="B391" s="42"/>
      <c r="C391" s="36"/>
      <c r="D391" s="35"/>
      <c r="E391" s="36"/>
      <c r="F391" s="36"/>
      <c r="G391" s="37"/>
      <c r="H391" s="35"/>
      <c r="I391" s="43" t="str">
        <f aca="false">IF($A391="","",COUNTIFS($A$2:$A391,$A391))</f>
        <v/>
      </c>
      <c r="J391" s="43" t="str">
        <f aca="false">IF($A391="","",$A391&amp;"-"&amp;$I391)</f>
        <v/>
      </c>
      <c r="K391" s="38" t="str">
        <f aca="false">IF($A391="","",IF(COUNTIF(参数!$B$6:$B$8,$H391)=0,"× 付款方式","√"))</f>
        <v/>
      </c>
    </row>
    <row r="392" customFormat="false" ht="13.5" hidden="false" customHeight="false" outlineLevel="0" collapsed="false">
      <c r="A392" s="41"/>
      <c r="B392" s="42"/>
      <c r="C392" s="36"/>
      <c r="D392" s="35"/>
      <c r="E392" s="36"/>
      <c r="F392" s="36"/>
      <c r="G392" s="37"/>
      <c r="H392" s="35"/>
      <c r="I392" s="43" t="str">
        <f aca="false">IF($A392="","",COUNTIFS($A$2:$A392,$A392))</f>
        <v/>
      </c>
      <c r="J392" s="43" t="str">
        <f aca="false">IF($A392="","",$A392&amp;"-"&amp;$I392)</f>
        <v/>
      </c>
      <c r="K392" s="38" t="str">
        <f aca="false">IF($A392="","",IF(COUNTIF(参数!$B$6:$B$8,$H392)=0,"× 付款方式","√"))</f>
        <v/>
      </c>
    </row>
    <row r="393" customFormat="false" ht="13.5" hidden="false" customHeight="false" outlineLevel="0" collapsed="false">
      <c r="A393" s="41"/>
      <c r="B393" s="42"/>
      <c r="C393" s="36"/>
      <c r="D393" s="35"/>
      <c r="E393" s="36"/>
      <c r="F393" s="36"/>
      <c r="G393" s="37"/>
      <c r="H393" s="35"/>
      <c r="I393" s="43" t="str">
        <f aca="false">IF($A393="","",COUNTIFS($A$2:$A393,$A393))</f>
        <v/>
      </c>
      <c r="J393" s="43" t="str">
        <f aca="false">IF($A393="","",$A393&amp;"-"&amp;$I393)</f>
        <v/>
      </c>
      <c r="K393" s="38" t="str">
        <f aca="false">IF($A393="","",IF(COUNTIF(参数!$B$6:$B$8,$H393)=0,"× 付款方式","√"))</f>
        <v/>
      </c>
    </row>
    <row r="394" customFormat="false" ht="13.5" hidden="false" customHeight="false" outlineLevel="0" collapsed="false">
      <c r="A394" s="41"/>
      <c r="B394" s="42"/>
      <c r="C394" s="36"/>
      <c r="D394" s="35"/>
      <c r="E394" s="36"/>
      <c r="F394" s="36"/>
      <c r="G394" s="37"/>
      <c r="H394" s="35"/>
      <c r="I394" s="43" t="str">
        <f aca="false">IF($A394="","",COUNTIFS($A$2:$A394,$A394))</f>
        <v/>
      </c>
      <c r="J394" s="43" t="str">
        <f aca="false">IF($A394="","",$A394&amp;"-"&amp;$I394)</f>
        <v/>
      </c>
      <c r="K394" s="38" t="str">
        <f aca="false">IF($A394="","",IF(COUNTIF(参数!$B$6:$B$8,$H394)=0,"× 付款方式","√"))</f>
        <v/>
      </c>
    </row>
    <row r="395" customFormat="false" ht="13.5" hidden="false" customHeight="false" outlineLevel="0" collapsed="false">
      <c r="A395" s="41"/>
      <c r="B395" s="42"/>
      <c r="C395" s="36"/>
      <c r="D395" s="35"/>
      <c r="E395" s="36"/>
      <c r="F395" s="36"/>
      <c r="G395" s="37"/>
      <c r="H395" s="35"/>
      <c r="I395" s="43" t="str">
        <f aca="false">IF($A395="","",COUNTIFS($A$2:$A395,$A395))</f>
        <v/>
      </c>
      <c r="J395" s="43" t="str">
        <f aca="false">IF($A395="","",$A395&amp;"-"&amp;$I395)</f>
        <v/>
      </c>
      <c r="K395" s="38" t="str">
        <f aca="false">IF($A395="","",IF(COUNTIF(参数!$B$6:$B$8,$H395)=0,"× 付款方式","√"))</f>
        <v/>
      </c>
    </row>
    <row r="396" customFormat="false" ht="13.5" hidden="false" customHeight="false" outlineLevel="0" collapsed="false">
      <c r="A396" s="41"/>
      <c r="B396" s="42"/>
      <c r="C396" s="36"/>
      <c r="D396" s="35"/>
      <c r="E396" s="36"/>
      <c r="F396" s="36"/>
      <c r="G396" s="37"/>
      <c r="H396" s="35"/>
      <c r="I396" s="43" t="str">
        <f aca="false">IF($A396="","",COUNTIFS($A$2:$A396,$A396))</f>
        <v/>
      </c>
      <c r="J396" s="43" t="str">
        <f aca="false">IF($A396="","",$A396&amp;"-"&amp;$I396)</f>
        <v/>
      </c>
      <c r="K396" s="38" t="str">
        <f aca="false">IF($A396="","",IF(COUNTIF(参数!$B$6:$B$8,$H396)=0,"× 付款方式","√"))</f>
        <v/>
      </c>
    </row>
    <row r="397" customFormat="false" ht="13.5" hidden="false" customHeight="false" outlineLevel="0" collapsed="false">
      <c r="A397" s="41"/>
      <c r="B397" s="42"/>
      <c r="C397" s="36"/>
      <c r="D397" s="35"/>
      <c r="E397" s="36"/>
      <c r="F397" s="36"/>
      <c r="G397" s="37"/>
      <c r="H397" s="35"/>
      <c r="I397" s="43" t="str">
        <f aca="false">IF($A397="","",COUNTIFS($A$2:$A397,$A397))</f>
        <v/>
      </c>
      <c r="J397" s="43" t="str">
        <f aca="false">IF($A397="","",$A397&amp;"-"&amp;$I397)</f>
        <v/>
      </c>
      <c r="K397" s="38" t="str">
        <f aca="false">IF($A397="","",IF(COUNTIF(参数!$B$6:$B$8,$H397)=0,"× 付款方式","√"))</f>
        <v/>
      </c>
    </row>
    <row r="398" customFormat="false" ht="13.5" hidden="false" customHeight="false" outlineLevel="0" collapsed="false">
      <c r="A398" s="41"/>
      <c r="B398" s="42"/>
      <c r="C398" s="36"/>
      <c r="D398" s="35"/>
      <c r="E398" s="36"/>
      <c r="F398" s="36"/>
      <c r="G398" s="37"/>
      <c r="H398" s="35"/>
      <c r="I398" s="43" t="str">
        <f aca="false">IF($A398="","",COUNTIFS($A$2:$A398,$A398))</f>
        <v/>
      </c>
      <c r="J398" s="43" t="str">
        <f aca="false">IF($A398="","",$A398&amp;"-"&amp;$I398)</f>
        <v/>
      </c>
      <c r="K398" s="38" t="str">
        <f aca="false">IF($A398="","",IF(COUNTIF(参数!$B$6:$B$8,$H398)=0,"× 付款方式","√"))</f>
        <v/>
      </c>
    </row>
    <row r="399" customFormat="false" ht="13.5" hidden="false" customHeight="false" outlineLevel="0" collapsed="false">
      <c r="A399" s="41"/>
      <c r="B399" s="42"/>
      <c r="C399" s="36"/>
      <c r="D399" s="35"/>
      <c r="E399" s="36"/>
      <c r="F399" s="36"/>
      <c r="G399" s="37"/>
      <c r="H399" s="35"/>
      <c r="I399" s="43" t="str">
        <f aca="false">IF($A399="","",COUNTIFS($A$2:$A399,$A399))</f>
        <v/>
      </c>
      <c r="J399" s="43" t="str">
        <f aca="false">IF($A399="","",$A399&amp;"-"&amp;$I399)</f>
        <v/>
      </c>
      <c r="K399" s="38" t="str">
        <f aca="false">IF($A399="","",IF(COUNTIF(参数!$B$6:$B$8,$H399)=0,"× 付款方式","√"))</f>
        <v/>
      </c>
    </row>
    <row r="400" customFormat="false" ht="13.5" hidden="false" customHeight="false" outlineLevel="0" collapsed="false">
      <c r="A400" s="41"/>
      <c r="B400" s="42"/>
      <c r="C400" s="36"/>
      <c r="D400" s="35"/>
      <c r="E400" s="36"/>
      <c r="F400" s="36"/>
      <c r="G400" s="37"/>
      <c r="H400" s="35"/>
      <c r="I400" s="43" t="str">
        <f aca="false">IF($A400="","",COUNTIFS($A$2:$A400,$A400))</f>
        <v/>
      </c>
      <c r="J400" s="43" t="str">
        <f aca="false">IF($A400="","",$A400&amp;"-"&amp;$I400)</f>
        <v/>
      </c>
      <c r="K400" s="38" t="str">
        <f aca="false">IF($A400="","",IF(COUNTIF(参数!$B$6:$B$8,$H400)=0,"× 付款方式","√"))</f>
        <v/>
      </c>
    </row>
    <row r="401" customFormat="false" ht="13.5" hidden="false" customHeight="false" outlineLevel="0" collapsed="false">
      <c r="A401" s="41"/>
      <c r="B401" s="42"/>
      <c r="C401" s="36"/>
      <c r="D401" s="35"/>
      <c r="E401" s="36"/>
      <c r="F401" s="36"/>
      <c r="G401" s="37"/>
      <c r="H401" s="35"/>
      <c r="I401" s="43" t="str">
        <f aca="false">IF($A401="","",COUNTIFS($A$2:$A401,$A401))</f>
        <v/>
      </c>
      <c r="J401" s="43" t="str">
        <f aca="false">IF($A401="","",$A401&amp;"-"&amp;$I401)</f>
        <v/>
      </c>
      <c r="K401" s="38" t="str">
        <f aca="false">IF($A401="","",IF(COUNTIF(参数!$B$6:$B$8,$H401)=0,"× 付款方式","√"))</f>
        <v/>
      </c>
    </row>
    <row r="402" customFormat="false" ht="13.5" hidden="false" customHeight="false" outlineLevel="0" collapsed="false">
      <c r="A402" s="41"/>
      <c r="B402" s="42"/>
      <c r="C402" s="36"/>
      <c r="D402" s="35"/>
      <c r="E402" s="36"/>
      <c r="F402" s="36"/>
      <c r="G402" s="37"/>
      <c r="H402" s="35"/>
      <c r="I402" s="43" t="str">
        <f aca="false">IF($A402="","",COUNTIFS($A$2:$A402,$A402))</f>
        <v/>
      </c>
      <c r="J402" s="43" t="str">
        <f aca="false">IF($A402="","",$A402&amp;"-"&amp;$I402)</f>
        <v/>
      </c>
      <c r="K402" s="38" t="str">
        <f aca="false">IF($A402="","",IF(COUNTIF(参数!$B$6:$B$8,$H402)=0,"× 付款方式","√"))</f>
        <v/>
      </c>
    </row>
    <row r="403" customFormat="false" ht="13.5" hidden="false" customHeight="false" outlineLevel="0" collapsed="false">
      <c r="A403" s="41"/>
      <c r="B403" s="42"/>
      <c r="C403" s="36"/>
      <c r="D403" s="35"/>
      <c r="E403" s="36"/>
      <c r="F403" s="36"/>
      <c r="G403" s="37"/>
      <c r="H403" s="35"/>
      <c r="I403" s="43" t="str">
        <f aca="false">IF($A403="","",COUNTIFS($A$2:$A403,$A403))</f>
        <v/>
      </c>
      <c r="J403" s="43" t="str">
        <f aca="false">IF($A403="","",$A403&amp;"-"&amp;$I403)</f>
        <v/>
      </c>
      <c r="K403" s="38" t="str">
        <f aca="false">IF($A403="","",IF(COUNTIF(参数!$B$6:$B$8,$H403)=0,"× 付款方式","√"))</f>
        <v/>
      </c>
    </row>
    <row r="404" customFormat="false" ht="13.5" hidden="false" customHeight="false" outlineLevel="0" collapsed="false">
      <c r="A404" s="41"/>
      <c r="B404" s="42"/>
      <c r="C404" s="36"/>
      <c r="D404" s="35"/>
      <c r="E404" s="36"/>
      <c r="F404" s="36"/>
      <c r="G404" s="37"/>
      <c r="H404" s="35"/>
      <c r="I404" s="43" t="str">
        <f aca="false">IF($A404="","",COUNTIFS($A$2:$A404,$A404))</f>
        <v/>
      </c>
      <c r="J404" s="43" t="str">
        <f aca="false">IF($A404="","",$A404&amp;"-"&amp;$I404)</f>
        <v/>
      </c>
      <c r="K404" s="38" t="str">
        <f aca="false">IF($A404="","",IF(COUNTIF(参数!$B$6:$B$8,$H404)=0,"× 付款方式","√"))</f>
        <v/>
      </c>
    </row>
    <row r="405" customFormat="false" ht="13.5" hidden="false" customHeight="false" outlineLevel="0" collapsed="false">
      <c r="A405" s="41"/>
      <c r="B405" s="42"/>
      <c r="C405" s="36"/>
      <c r="D405" s="35"/>
      <c r="E405" s="36"/>
      <c r="F405" s="36"/>
      <c r="G405" s="37"/>
      <c r="H405" s="35"/>
      <c r="I405" s="43" t="str">
        <f aca="false">IF($A405="","",COUNTIFS($A$2:$A405,$A405))</f>
        <v/>
      </c>
      <c r="J405" s="43" t="str">
        <f aca="false">IF($A405="","",$A405&amp;"-"&amp;$I405)</f>
        <v/>
      </c>
      <c r="K405" s="38" t="str">
        <f aca="false">IF($A405="","",IF(COUNTIF(参数!$B$6:$B$8,$H405)=0,"× 付款方式","√"))</f>
        <v/>
      </c>
    </row>
    <row r="406" customFormat="false" ht="13.5" hidden="false" customHeight="false" outlineLevel="0" collapsed="false">
      <c r="A406" s="41"/>
      <c r="B406" s="42"/>
      <c r="C406" s="36"/>
      <c r="D406" s="35"/>
      <c r="E406" s="36"/>
      <c r="F406" s="36"/>
      <c r="G406" s="37"/>
      <c r="H406" s="35"/>
      <c r="I406" s="43" t="str">
        <f aca="false">IF($A406="","",COUNTIFS($A$2:$A406,$A406))</f>
        <v/>
      </c>
      <c r="J406" s="43" t="str">
        <f aca="false">IF($A406="","",$A406&amp;"-"&amp;$I406)</f>
        <v/>
      </c>
      <c r="K406" s="38" t="str">
        <f aca="false">IF($A406="","",IF(COUNTIF(参数!$B$6:$B$8,$H406)=0,"× 付款方式","√"))</f>
        <v/>
      </c>
    </row>
    <row r="407" customFormat="false" ht="13.5" hidden="false" customHeight="false" outlineLevel="0" collapsed="false">
      <c r="A407" s="41"/>
      <c r="B407" s="42"/>
      <c r="C407" s="36"/>
      <c r="D407" s="35"/>
      <c r="E407" s="36"/>
      <c r="F407" s="36"/>
      <c r="G407" s="37"/>
      <c r="H407" s="35"/>
      <c r="I407" s="43" t="str">
        <f aca="false">IF($A407="","",COUNTIFS($A$2:$A407,$A407))</f>
        <v/>
      </c>
      <c r="J407" s="43" t="str">
        <f aca="false">IF($A407="","",$A407&amp;"-"&amp;$I407)</f>
        <v/>
      </c>
      <c r="K407" s="38" t="str">
        <f aca="false">IF($A407="","",IF(COUNTIF(参数!$B$6:$B$8,$H407)=0,"× 付款方式","√"))</f>
        <v/>
      </c>
    </row>
    <row r="408" customFormat="false" ht="13.5" hidden="false" customHeight="false" outlineLevel="0" collapsed="false">
      <c r="A408" s="41"/>
      <c r="B408" s="42"/>
      <c r="C408" s="36"/>
      <c r="D408" s="35"/>
      <c r="E408" s="36"/>
      <c r="F408" s="36"/>
      <c r="G408" s="37"/>
      <c r="H408" s="35"/>
      <c r="I408" s="43" t="str">
        <f aca="false">IF($A408="","",COUNTIFS($A$2:$A408,$A408))</f>
        <v/>
      </c>
      <c r="J408" s="43" t="str">
        <f aca="false">IF($A408="","",$A408&amp;"-"&amp;$I408)</f>
        <v/>
      </c>
      <c r="K408" s="38" t="str">
        <f aca="false">IF($A408="","",IF(COUNTIF(参数!$B$6:$B$8,$H408)=0,"× 付款方式","√"))</f>
        <v/>
      </c>
    </row>
    <row r="409" customFormat="false" ht="13.5" hidden="false" customHeight="false" outlineLevel="0" collapsed="false">
      <c r="A409" s="41"/>
      <c r="B409" s="42"/>
      <c r="C409" s="36"/>
      <c r="D409" s="35"/>
      <c r="E409" s="36"/>
      <c r="F409" s="36"/>
      <c r="G409" s="37"/>
      <c r="H409" s="35"/>
      <c r="I409" s="43" t="str">
        <f aca="false">IF($A409="","",COUNTIFS($A$2:$A409,$A409))</f>
        <v/>
      </c>
      <c r="J409" s="43" t="str">
        <f aca="false">IF($A409="","",$A409&amp;"-"&amp;$I409)</f>
        <v/>
      </c>
      <c r="K409" s="38" t="str">
        <f aca="false">IF($A409="","",IF(COUNTIF(参数!$B$6:$B$8,$H409)=0,"× 付款方式","√"))</f>
        <v/>
      </c>
    </row>
    <row r="410" customFormat="false" ht="13.5" hidden="false" customHeight="false" outlineLevel="0" collapsed="false">
      <c r="A410" s="41"/>
      <c r="B410" s="42"/>
      <c r="C410" s="36"/>
      <c r="D410" s="35"/>
      <c r="E410" s="36"/>
      <c r="F410" s="36"/>
      <c r="G410" s="37"/>
      <c r="H410" s="35"/>
      <c r="I410" s="43" t="str">
        <f aca="false">IF($A410="","",COUNTIFS($A$2:$A410,$A410))</f>
        <v/>
      </c>
      <c r="J410" s="43" t="str">
        <f aca="false">IF($A410="","",$A410&amp;"-"&amp;$I410)</f>
        <v/>
      </c>
      <c r="K410" s="38" t="str">
        <f aca="false">IF($A410="","",IF(COUNTIF(参数!$B$6:$B$8,$H410)=0,"× 付款方式","√"))</f>
        <v/>
      </c>
    </row>
    <row r="411" customFormat="false" ht="13.5" hidden="false" customHeight="false" outlineLevel="0" collapsed="false">
      <c r="A411" s="41"/>
      <c r="B411" s="42"/>
      <c r="C411" s="36"/>
      <c r="D411" s="35"/>
      <c r="E411" s="36"/>
      <c r="F411" s="36"/>
      <c r="G411" s="37"/>
      <c r="H411" s="35"/>
      <c r="I411" s="43" t="str">
        <f aca="false">IF($A411="","",COUNTIFS($A$2:$A411,$A411))</f>
        <v/>
      </c>
      <c r="J411" s="43" t="str">
        <f aca="false">IF($A411="","",$A411&amp;"-"&amp;$I411)</f>
        <v/>
      </c>
      <c r="K411" s="38" t="str">
        <f aca="false">IF($A411="","",IF(COUNTIF(参数!$B$6:$B$8,$H411)=0,"× 付款方式","√"))</f>
        <v/>
      </c>
    </row>
    <row r="412" customFormat="false" ht="13.5" hidden="false" customHeight="false" outlineLevel="0" collapsed="false">
      <c r="A412" s="41"/>
      <c r="B412" s="42"/>
      <c r="C412" s="36"/>
      <c r="D412" s="35"/>
      <c r="E412" s="36"/>
      <c r="F412" s="36"/>
      <c r="G412" s="37"/>
      <c r="H412" s="35"/>
      <c r="I412" s="43" t="str">
        <f aca="false">IF($A412="","",COUNTIFS($A$2:$A412,$A412))</f>
        <v/>
      </c>
      <c r="J412" s="43" t="str">
        <f aca="false">IF($A412="","",$A412&amp;"-"&amp;$I412)</f>
        <v/>
      </c>
      <c r="K412" s="38" t="str">
        <f aca="false">IF($A412="","",IF(COUNTIF(参数!$B$6:$B$8,$H412)=0,"× 付款方式","√"))</f>
        <v/>
      </c>
    </row>
    <row r="413" customFormat="false" ht="13.5" hidden="false" customHeight="false" outlineLevel="0" collapsed="false">
      <c r="A413" s="41"/>
      <c r="B413" s="42"/>
      <c r="C413" s="36"/>
      <c r="D413" s="35"/>
      <c r="E413" s="36"/>
      <c r="F413" s="36"/>
      <c r="G413" s="37"/>
      <c r="H413" s="35"/>
      <c r="I413" s="43" t="str">
        <f aca="false">IF($A413="","",COUNTIFS($A$2:$A413,$A413))</f>
        <v/>
      </c>
      <c r="J413" s="43" t="str">
        <f aca="false">IF($A413="","",$A413&amp;"-"&amp;$I413)</f>
        <v/>
      </c>
      <c r="K413" s="38" t="str">
        <f aca="false">IF($A413="","",IF(COUNTIF(参数!$B$6:$B$8,$H413)=0,"× 付款方式","√"))</f>
        <v/>
      </c>
    </row>
    <row r="414" customFormat="false" ht="13.5" hidden="false" customHeight="false" outlineLevel="0" collapsed="false">
      <c r="A414" s="41"/>
      <c r="B414" s="42"/>
      <c r="C414" s="36"/>
      <c r="D414" s="35"/>
      <c r="E414" s="36"/>
      <c r="F414" s="36"/>
      <c r="G414" s="37"/>
      <c r="H414" s="35"/>
      <c r="I414" s="43" t="str">
        <f aca="false">IF($A414="","",COUNTIFS($A$2:$A414,$A414))</f>
        <v/>
      </c>
      <c r="J414" s="43" t="str">
        <f aca="false">IF($A414="","",$A414&amp;"-"&amp;$I414)</f>
        <v/>
      </c>
      <c r="K414" s="38" t="str">
        <f aca="false">IF($A414="","",IF(COUNTIF(参数!$B$6:$B$8,$H414)=0,"× 付款方式","√"))</f>
        <v/>
      </c>
    </row>
    <row r="415" customFormat="false" ht="13.5" hidden="false" customHeight="false" outlineLevel="0" collapsed="false">
      <c r="A415" s="41"/>
      <c r="B415" s="42"/>
      <c r="C415" s="36"/>
      <c r="D415" s="35"/>
      <c r="E415" s="36"/>
      <c r="F415" s="36"/>
      <c r="G415" s="37"/>
      <c r="H415" s="35"/>
      <c r="I415" s="43" t="str">
        <f aca="false">IF($A415="","",COUNTIFS($A$2:$A415,$A415))</f>
        <v/>
      </c>
      <c r="J415" s="43" t="str">
        <f aca="false">IF($A415="","",$A415&amp;"-"&amp;$I415)</f>
        <v/>
      </c>
      <c r="K415" s="38" t="str">
        <f aca="false">IF($A415="","",IF(COUNTIF(参数!$B$6:$B$8,$H415)=0,"× 付款方式","√"))</f>
        <v/>
      </c>
    </row>
    <row r="416" customFormat="false" ht="13.5" hidden="false" customHeight="false" outlineLevel="0" collapsed="false">
      <c r="A416" s="41"/>
      <c r="B416" s="42"/>
      <c r="C416" s="36"/>
      <c r="D416" s="35"/>
      <c r="E416" s="36"/>
      <c r="F416" s="36"/>
      <c r="G416" s="37"/>
      <c r="H416" s="35"/>
      <c r="I416" s="43" t="str">
        <f aca="false">IF($A416="","",COUNTIFS($A$2:$A416,$A416))</f>
        <v/>
      </c>
      <c r="J416" s="43" t="str">
        <f aca="false">IF($A416="","",$A416&amp;"-"&amp;$I416)</f>
        <v/>
      </c>
      <c r="K416" s="38" t="str">
        <f aca="false">IF($A416="","",IF(COUNTIF(参数!$B$6:$B$8,$H416)=0,"× 付款方式","√"))</f>
        <v/>
      </c>
    </row>
    <row r="417" customFormat="false" ht="13.5" hidden="false" customHeight="false" outlineLevel="0" collapsed="false">
      <c r="A417" s="41"/>
      <c r="B417" s="42"/>
      <c r="C417" s="36"/>
      <c r="D417" s="35"/>
      <c r="E417" s="36"/>
      <c r="F417" s="36"/>
      <c r="G417" s="37"/>
      <c r="H417" s="35"/>
      <c r="I417" s="43" t="str">
        <f aca="false">IF($A417="","",COUNTIFS($A$2:$A417,$A417))</f>
        <v/>
      </c>
      <c r="J417" s="43" t="str">
        <f aca="false">IF($A417="","",$A417&amp;"-"&amp;$I417)</f>
        <v/>
      </c>
      <c r="K417" s="38" t="str">
        <f aca="false">IF($A417="","",IF(COUNTIF(参数!$B$6:$B$8,$H417)=0,"× 付款方式","√"))</f>
        <v/>
      </c>
    </row>
    <row r="418" customFormat="false" ht="13.5" hidden="false" customHeight="false" outlineLevel="0" collapsed="false">
      <c r="A418" s="41"/>
      <c r="B418" s="42"/>
      <c r="C418" s="36"/>
      <c r="D418" s="35"/>
      <c r="E418" s="36"/>
      <c r="F418" s="36"/>
      <c r="G418" s="37"/>
      <c r="H418" s="35"/>
      <c r="I418" s="43" t="str">
        <f aca="false">IF($A418="","",COUNTIFS($A$2:$A418,$A418))</f>
        <v/>
      </c>
      <c r="J418" s="43" t="str">
        <f aca="false">IF($A418="","",$A418&amp;"-"&amp;$I418)</f>
        <v/>
      </c>
      <c r="K418" s="38" t="str">
        <f aca="false">IF($A418="","",IF(COUNTIF(参数!$B$6:$B$8,$H418)=0,"× 付款方式","√"))</f>
        <v/>
      </c>
    </row>
    <row r="419" customFormat="false" ht="13.5" hidden="false" customHeight="false" outlineLevel="0" collapsed="false">
      <c r="A419" s="41"/>
      <c r="B419" s="42"/>
      <c r="C419" s="36"/>
      <c r="D419" s="35"/>
      <c r="E419" s="36"/>
      <c r="F419" s="36"/>
      <c r="G419" s="37"/>
      <c r="H419" s="35"/>
      <c r="I419" s="43" t="str">
        <f aca="false">IF($A419="","",COUNTIFS($A$2:$A419,$A419))</f>
        <v/>
      </c>
      <c r="J419" s="43" t="str">
        <f aca="false">IF($A419="","",$A419&amp;"-"&amp;$I419)</f>
        <v/>
      </c>
      <c r="K419" s="38" t="str">
        <f aca="false">IF($A419="","",IF(COUNTIF(参数!$B$6:$B$8,$H419)=0,"× 付款方式","√"))</f>
        <v/>
      </c>
    </row>
    <row r="420" customFormat="false" ht="13.5" hidden="false" customHeight="false" outlineLevel="0" collapsed="false">
      <c r="A420" s="41"/>
      <c r="B420" s="42"/>
      <c r="C420" s="36"/>
      <c r="D420" s="35"/>
      <c r="E420" s="36"/>
      <c r="F420" s="36"/>
      <c r="G420" s="37"/>
      <c r="H420" s="35"/>
      <c r="I420" s="43" t="str">
        <f aca="false">IF($A420="","",COUNTIFS($A$2:$A420,$A420))</f>
        <v/>
      </c>
      <c r="J420" s="43" t="str">
        <f aca="false">IF($A420="","",$A420&amp;"-"&amp;$I420)</f>
        <v/>
      </c>
      <c r="K420" s="38" t="str">
        <f aca="false">IF($A420="","",IF(COUNTIF(参数!$B$6:$B$8,$H420)=0,"× 付款方式","√"))</f>
        <v/>
      </c>
    </row>
    <row r="421" customFormat="false" ht="13.5" hidden="false" customHeight="false" outlineLevel="0" collapsed="false">
      <c r="A421" s="41"/>
      <c r="B421" s="42"/>
      <c r="C421" s="36"/>
      <c r="D421" s="35"/>
      <c r="E421" s="36"/>
      <c r="F421" s="36"/>
      <c r="G421" s="37"/>
      <c r="H421" s="35"/>
      <c r="I421" s="43" t="str">
        <f aca="false">IF($A421="","",COUNTIFS($A$2:$A421,$A421))</f>
        <v/>
      </c>
      <c r="J421" s="43" t="str">
        <f aca="false">IF($A421="","",$A421&amp;"-"&amp;$I421)</f>
        <v/>
      </c>
      <c r="K421" s="38" t="str">
        <f aca="false">IF($A421="","",IF(COUNTIF(参数!$B$6:$B$8,$H421)=0,"× 付款方式","√"))</f>
        <v/>
      </c>
    </row>
    <row r="422" customFormat="false" ht="13.5" hidden="false" customHeight="false" outlineLevel="0" collapsed="false">
      <c r="A422" s="41"/>
      <c r="B422" s="42"/>
      <c r="C422" s="36"/>
      <c r="D422" s="35"/>
      <c r="E422" s="36"/>
      <c r="F422" s="36"/>
      <c r="G422" s="37"/>
      <c r="H422" s="35"/>
      <c r="I422" s="43" t="str">
        <f aca="false">IF($A422="","",COUNTIFS($A$2:$A422,$A422))</f>
        <v/>
      </c>
      <c r="J422" s="43" t="str">
        <f aca="false">IF($A422="","",$A422&amp;"-"&amp;$I422)</f>
        <v/>
      </c>
      <c r="K422" s="38" t="str">
        <f aca="false">IF($A422="","",IF(COUNTIF(参数!$B$6:$B$8,$H422)=0,"× 付款方式","√"))</f>
        <v/>
      </c>
    </row>
    <row r="423" customFormat="false" ht="13.5" hidden="false" customHeight="false" outlineLevel="0" collapsed="false">
      <c r="A423" s="41"/>
      <c r="B423" s="42"/>
      <c r="C423" s="36"/>
      <c r="D423" s="35"/>
      <c r="E423" s="36"/>
      <c r="F423" s="36"/>
      <c r="G423" s="37"/>
      <c r="H423" s="35"/>
      <c r="I423" s="43" t="str">
        <f aca="false">IF($A423="","",COUNTIFS($A$2:$A423,$A423))</f>
        <v/>
      </c>
      <c r="J423" s="43" t="str">
        <f aca="false">IF($A423="","",$A423&amp;"-"&amp;$I423)</f>
        <v/>
      </c>
      <c r="K423" s="38" t="str">
        <f aca="false">IF($A423="","",IF(COUNTIF(参数!$B$6:$B$8,$H423)=0,"× 付款方式","√"))</f>
        <v/>
      </c>
    </row>
    <row r="424" customFormat="false" ht="13.5" hidden="false" customHeight="false" outlineLevel="0" collapsed="false">
      <c r="A424" s="41"/>
      <c r="B424" s="42"/>
      <c r="C424" s="36"/>
      <c r="D424" s="35"/>
      <c r="E424" s="36"/>
      <c r="F424" s="36"/>
      <c r="G424" s="37"/>
      <c r="H424" s="35"/>
      <c r="I424" s="43" t="str">
        <f aca="false">IF($A424="","",COUNTIFS($A$2:$A424,$A424))</f>
        <v/>
      </c>
      <c r="J424" s="43" t="str">
        <f aca="false">IF($A424="","",$A424&amp;"-"&amp;$I424)</f>
        <v/>
      </c>
      <c r="K424" s="38" t="str">
        <f aca="false">IF($A424="","",IF(COUNTIF(参数!$B$6:$B$8,$H424)=0,"× 付款方式","√"))</f>
        <v/>
      </c>
    </row>
    <row r="425" customFormat="false" ht="13.5" hidden="false" customHeight="false" outlineLevel="0" collapsed="false">
      <c r="A425" s="41"/>
      <c r="B425" s="42"/>
      <c r="C425" s="36"/>
      <c r="D425" s="35"/>
      <c r="E425" s="36"/>
      <c r="F425" s="36"/>
      <c r="G425" s="37"/>
      <c r="H425" s="35"/>
      <c r="I425" s="43" t="str">
        <f aca="false">IF($A425="","",COUNTIFS($A$2:$A425,$A425))</f>
        <v/>
      </c>
      <c r="J425" s="43" t="str">
        <f aca="false">IF($A425="","",$A425&amp;"-"&amp;$I425)</f>
        <v/>
      </c>
      <c r="K425" s="38" t="str">
        <f aca="false">IF($A425="","",IF(COUNTIF(参数!$B$6:$B$8,$H425)=0,"× 付款方式","√"))</f>
        <v/>
      </c>
    </row>
    <row r="426" customFormat="false" ht="13.5" hidden="false" customHeight="false" outlineLevel="0" collapsed="false">
      <c r="A426" s="41"/>
      <c r="B426" s="42"/>
      <c r="C426" s="36"/>
      <c r="D426" s="35"/>
      <c r="E426" s="36"/>
      <c r="F426" s="36"/>
      <c r="G426" s="37"/>
      <c r="H426" s="35"/>
      <c r="I426" s="43" t="str">
        <f aca="false">IF($A426="","",COUNTIFS($A$2:$A426,$A426))</f>
        <v/>
      </c>
      <c r="J426" s="43" t="str">
        <f aca="false">IF($A426="","",$A426&amp;"-"&amp;$I426)</f>
        <v/>
      </c>
      <c r="K426" s="38" t="str">
        <f aca="false">IF($A426="","",IF(COUNTIF(参数!$B$6:$B$8,$H426)=0,"× 付款方式","√"))</f>
        <v/>
      </c>
    </row>
    <row r="427" customFormat="false" ht="13.5" hidden="false" customHeight="false" outlineLevel="0" collapsed="false">
      <c r="A427" s="41"/>
      <c r="B427" s="42"/>
      <c r="C427" s="36"/>
      <c r="D427" s="35"/>
      <c r="E427" s="36"/>
      <c r="F427" s="36"/>
      <c r="G427" s="37"/>
      <c r="H427" s="35"/>
      <c r="I427" s="43" t="str">
        <f aca="false">IF($A427="","",COUNTIFS($A$2:$A427,$A427))</f>
        <v/>
      </c>
      <c r="J427" s="43" t="str">
        <f aca="false">IF($A427="","",$A427&amp;"-"&amp;$I427)</f>
        <v/>
      </c>
      <c r="K427" s="38" t="str">
        <f aca="false">IF($A427="","",IF(COUNTIF(参数!$B$6:$B$8,$H427)=0,"× 付款方式","√"))</f>
        <v/>
      </c>
    </row>
    <row r="428" customFormat="false" ht="13.5" hidden="false" customHeight="false" outlineLevel="0" collapsed="false">
      <c r="A428" s="41"/>
      <c r="B428" s="42"/>
      <c r="C428" s="36"/>
      <c r="D428" s="35"/>
      <c r="E428" s="36"/>
      <c r="F428" s="36"/>
      <c r="G428" s="37"/>
      <c r="H428" s="35"/>
      <c r="I428" s="43" t="str">
        <f aca="false">IF($A428="","",COUNTIFS($A$2:$A428,$A428))</f>
        <v/>
      </c>
      <c r="J428" s="43" t="str">
        <f aca="false">IF($A428="","",$A428&amp;"-"&amp;$I428)</f>
        <v/>
      </c>
      <c r="K428" s="38" t="str">
        <f aca="false">IF($A428="","",IF(COUNTIF(参数!$B$6:$B$8,$H428)=0,"× 付款方式","√"))</f>
        <v/>
      </c>
    </row>
    <row r="429" customFormat="false" ht="13.5" hidden="false" customHeight="false" outlineLevel="0" collapsed="false">
      <c r="A429" s="41"/>
      <c r="B429" s="42"/>
      <c r="C429" s="36"/>
      <c r="D429" s="35"/>
      <c r="E429" s="36"/>
      <c r="F429" s="36"/>
      <c r="G429" s="37"/>
      <c r="H429" s="35"/>
      <c r="I429" s="43" t="str">
        <f aca="false">IF($A429="","",COUNTIFS($A$2:$A429,$A429))</f>
        <v/>
      </c>
      <c r="J429" s="43" t="str">
        <f aca="false">IF($A429="","",$A429&amp;"-"&amp;$I429)</f>
        <v/>
      </c>
      <c r="K429" s="38" t="str">
        <f aca="false">IF($A429="","",IF(COUNTIF(参数!$B$6:$B$8,$H429)=0,"× 付款方式","√"))</f>
        <v/>
      </c>
    </row>
    <row r="430" customFormat="false" ht="13.5" hidden="false" customHeight="false" outlineLevel="0" collapsed="false">
      <c r="A430" s="41"/>
      <c r="B430" s="42"/>
      <c r="C430" s="36"/>
      <c r="D430" s="35"/>
      <c r="E430" s="36"/>
      <c r="F430" s="36"/>
      <c r="G430" s="37"/>
      <c r="H430" s="35"/>
      <c r="I430" s="43" t="str">
        <f aca="false">IF($A430="","",COUNTIFS($A$2:$A430,$A430))</f>
        <v/>
      </c>
      <c r="J430" s="43" t="str">
        <f aca="false">IF($A430="","",$A430&amp;"-"&amp;$I430)</f>
        <v/>
      </c>
      <c r="K430" s="38" t="str">
        <f aca="false">IF($A430="","",IF(COUNTIF(参数!$B$6:$B$8,$H430)=0,"× 付款方式","√"))</f>
        <v/>
      </c>
    </row>
    <row r="431" customFormat="false" ht="13.5" hidden="false" customHeight="false" outlineLevel="0" collapsed="false">
      <c r="A431" s="41"/>
      <c r="B431" s="42"/>
      <c r="C431" s="36"/>
      <c r="D431" s="35"/>
      <c r="E431" s="36"/>
      <c r="F431" s="36"/>
      <c r="G431" s="37"/>
      <c r="H431" s="35"/>
      <c r="I431" s="43" t="str">
        <f aca="false">IF($A431="","",COUNTIFS($A$2:$A431,$A431))</f>
        <v/>
      </c>
      <c r="J431" s="43" t="str">
        <f aca="false">IF($A431="","",$A431&amp;"-"&amp;$I431)</f>
        <v/>
      </c>
      <c r="K431" s="38" t="str">
        <f aca="false">IF($A431="","",IF(COUNTIF(参数!$B$6:$B$8,$H431)=0,"× 付款方式","√"))</f>
        <v/>
      </c>
    </row>
    <row r="432" customFormat="false" ht="13.5" hidden="false" customHeight="false" outlineLevel="0" collapsed="false">
      <c r="A432" s="41"/>
      <c r="B432" s="42"/>
      <c r="C432" s="36"/>
      <c r="D432" s="35"/>
      <c r="E432" s="36"/>
      <c r="F432" s="36"/>
      <c r="G432" s="37"/>
      <c r="H432" s="35"/>
      <c r="I432" s="43" t="str">
        <f aca="false">IF($A432="","",COUNTIFS($A$2:$A432,$A432))</f>
        <v/>
      </c>
      <c r="J432" s="43" t="str">
        <f aca="false">IF($A432="","",$A432&amp;"-"&amp;$I432)</f>
        <v/>
      </c>
      <c r="K432" s="38" t="str">
        <f aca="false">IF($A432="","",IF(COUNTIF(参数!$B$6:$B$8,$H432)=0,"× 付款方式","√"))</f>
        <v/>
      </c>
    </row>
    <row r="433" customFormat="false" ht="13.5" hidden="false" customHeight="false" outlineLevel="0" collapsed="false">
      <c r="A433" s="41"/>
      <c r="B433" s="42"/>
      <c r="C433" s="36"/>
      <c r="D433" s="35"/>
      <c r="E433" s="36"/>
      <c r="F433" s="36"/>
      <c r="G433" s="37"/>
      <c r="H433" s="35"/>
      <c r="I433" s="43" t="str">
        <f aca="false">IF($A433="","",COUNTIFS($A$2:$A433,$A433))</f>
        <v/>
      </c>
      <c r="J433" s="43" t="str">
        <f aca="false">IF($A433="","",$A433&amp;"-"&amp;$I433)</f>
        <v/>
      </c>
      <c r="K433" s="38" t="str">
        <f aca="false">IF($A433="","",IF(COUNTIF(参数!$B$6:$B$8,$H433)=0,"× 付款方式","√"))</f>
        <v/>
      </c>
    </row>
    <row r="434" customFormat="false" ht="13.5" hidden="false" customHeight="false" outlineLevel="0" collapsed="false">
      <c r="A434" s="41"/>
      <c r="B434" s="42"/>
      <c r="C434" s="36"/>
      <c r="D434" s="35"/>
      <c r="E434" s="36"/>
      <c r="F434" s="36"/>
      <c r="G434" s="37"/>
      <c r="H434" s="35"/>
      <c r="I434" s="43" t="str">
        <f aca="false">IF($A434="","",COUNTIFS($A$2:$A434,$A434))</f>
        <v/>
      </c>
      <c r="J434" s="43" t="str">
        <f aca="false">IF($A434="","",$A434&amp;"-"&amp;$I434)</f>
        <v/>
      </c>
      <c r="K434" s="38" t="str">
        <f aca="false">IF($A434="","",IF(COUNTIF(参数!$B$6:$B$8,$H434)=0,"× 付款方式","√"))</f>
        <v/>
      </c>
    </row>
    <row r="435" customFormat="false" ht="13.5" hidden="false" customHeight="false" outlineLevel="0" collapsed="false">
      <c r="A435" s="41"/>
      <c r="B435" s="42"/>
      <c r="C435" s="36"/>
      <c r="D435" s="35"/>
      <c r="E435" s="36"/>
      <c r="F435" s="36"/>
      <c r="G435" s="37"/>
      <c r="H435" s="35"/>
      <c r="I435" s="43" t="str">
        <f aca="false">IF($A435="","",COUNTIFS($A$2:$A435,$A435))</f>
        <v/>
      </c>
      <c r="J435" s="43" t="str">
        <f aca="false">IF($A435="","",$A435&amp;"-"&amp;$I435)</f>
        <v/>
      </c>
      <c r="K435" s="38" t="str">
        <f aca="false">IF($A435="","",IF(COUNTIF(参数!$B$6:$B$8,$H435)=0,"× 付款方式","√"))</f>
        <v/>
      </c>
    </row>
    <row r="436" customFormat="false" ht="13.5" hidden="false" customHeight="false" outlineLevel="0" collapsed="false">
      <c r="A436" s="41"/>
      <c r="B436" s="42"/>
      <c r="C436" s="36"/>
      <c r="D436" s="35"/>
      <c r="E436" s="36"/>
      <c r="F436" s="36"/>
      <c r="G436" s="37"/>
      <c r="H436" s="35"/>
      <c r="I436" s="43" t="str">
        <f aca="false">IF($A436="","",COUNTIFS($A$2:$A436,$A436))</f>
        <v/>
      </c>
      <c r="J436" s="43" t="str">
        <f aca="false">IF($A436="","",$A436&amp;"-"&amp;$I436)</f>
        <v/>
      </c>
      <c r="K436" s="38" t="str">
        <f aca="false">IF($A436="","",IF(COUNTIF(参数!$B$6:$B$8,$H436)=0,"× 付款方式","√"))</f>
        <v/>
      </c>
    </row>
    <row r="437" customFormat="false" ht="13.5" hidden="false" customHeight="false" outlineLevel="0" collapsed="false">
      <c r="A437" s="41"/>
      <c r="B437" s="42"/>
      <c r="C437" s="36"/>
      <c r="D437" s="35"/>
      <c r="E437" s="36"/>
      <c r="F437" s="36"/>
      <c r="G437" s="37"/>
      <c r="H437" s="35"/>
      <c r="I437" s="43" t="str">
        <f aca="false">IF($A437="","",COUNTIFS($A$2:$A437,$A437))</f>
        <v/>
      </c>
      <c r="J437" s="43" t="str">
        <f aca="false">IF($A437="","",$A437&amp;"-"&amp;$I437)</f>
        <v/>
      </c>
      <c r="K437" s="38" t="str">
        <f aca="false">IF($A437="","",IF(COUNTIF(参数!$B$6:$B$8,$H437)=0,"× 付款方式","√"))</f>
        <v/>
      </c>
    </row>
    <row r="438" customFormat="false" ht="13.5" hidden="false" customHeight="false" outlineLevel="0" collapsed="false">
      <c r="A438" s="41"/>
      <c r="B438" s="42"/>
      <c r="C438" s="36"/>
      <c r="D438" s="35"/>
      <c r="E438" s="36"/>
      <c r="F438" s="36"/>
      <c r="G438" s="37"/>
      <c r="H438" s="35"/>
      <c r="I438" s="43" t="str">
        <f aca="false">IF($A438="","",COUNTIFS($A$2:$A438,$A438))</f>
        <v/>
      </c>
      <c r="J438" s="43" t="str">
        <f aca="false">IF($A438="","",$A438&amp;"-"&amp;$I438)</f>
        <v/>
      </c>
      <c r="K438" s="38" t="str">
        <f aca="false">IF($A438="","",IF(COUNTIF(参数!$B$6:$B$8,$H438)=0,"× 付款方式","√"))</f>
        <v/>
      </c>
    </row>
    <row r="439" customFormat="false" ht="13.5" hidden="false" customHeight="false" outlineLevel="0" collapsed="false">
      <c r="A439" s="41"/>
      <c r="B439" s="42"/>
      <c r="C439" s="36"/>
      <c r="D439" s="35"/>
      <c r="E439" s="36"/>
      <c r="F439" s="36"/>
      <c r="G439" s="37"/>
      <c r="H439" s="35"/>
      <c r="I439" s="43" t="str">
        <f aca="false">IF($A439="","",COUNTIFS($A$2:$A439,$A439))</f>
        <v/>
      </c>
      <c r="J439" s="43" t="str">
        <f aca="false">IF($A439="","",$A439&amp;"-"&amp;$I439)</f>
        <v/>
      </c>
      <c r="K439" s="38" t="str">
        <f aca="false">IF($A439="","",IF(COUNTIF(参数!$B$6:$B$8,$H439)=0,"× 付款方式","√"))</f>
        <v/>
      </c>
    </row>
    <row r="440" customFormat="false" ht="13.5" hidden="false" customHeight="false" outlineLevel="0" collapsed="false">
      <c r="A440" s="41"/>
      <c r="B440" s="42"/>
      <c r="C440" s="36"/>
      <c r="D440" s="35"/>
      <c r="E440" s="36"/>
      <c r="F440" s="36"/>
      <c r="G440" s="37"/>
      <c r="H440" s="35"/>
      <c r="I440" s="43" t="str">
        <f aca="false">IF($A440="","",COUNTIFS($A$2:$A440,$A440))</f>
        <v/>
      </c>
      <c r="J440" s="43" t="str">
        <f aca="false">IF($A440="","",$A440&amp;"-"&amp;$I440)</f>
        <v/>
      </c>
      <c r="K440" s="38" t="str">
        <f aca="false">IF($A440="","",IF(COUNTIF(参数!$B$6:$B$8,$H440)=0,"× 付款方式","√"))</f>
        <v/>
      </c>
    </row>
    <row r="441" customFormat="false" ht="13.5" hidden="false" customHeight="false" outlineLevel="0" collapsed="false">
      <c r="A441" s="41"/>
      <c r="B441" s="42"/>
      <c r="C441" s="36"/>
      <c r="D441" s="35"/>
      <c r="E441" s="36"/>
      <c r="F441" s="36"/>
      <c r="G441" s="37"/>
      <c r="H441" s="35"/>
      <c r="I441" s="43" t="str">
        <f aca="false">IF($A441="","",COUNTIFS($A$2:$A441,$A441))</f>
        <v/>
      </c>
      <c r="J441" s="43" t="str">
        <f aca="false">IF($A441="","",$A441&amp;"-"&amp;$I441)</f>
        <v/>
      </c>
      <c r="K441" s="38" t="str">
        <f aca="false">IF($A441="","",IF(COUNTIF(参数!$B$6:$B$8,$H441)=0,"× 付款方式","√"))</f>
        <v/>
      </c>
    </row>
    <row r="442" customFormat="false" ht="13.5" hidden="false" customHeight="false" outlineLevel="0" collapsed="false">
      <c r="A442" s="41"/>
      <c r="B442" s="42"/>
      <c r="C442" s="36"/>
      <c r="D442" s="35"/>
      <c r="E442" s="36"/>
      <c r="F442" s="36"/>
      <c r="G442" s="37"/>
      <c r="H442" s="35"/>
      <c r="I442" s="43" t="str">
        <f aca="false">IF($A442="","",COUNTIFS($A$2:$A442,$A442))</f>
        <v/>
      </c>
      <c r="J442" s="43" t="str">
        <f aca="false">IF($A442="","",$A442&amp;"-"&amp;$I442)</f>
        <v/>
      </c>
      <c r="K442" s="38" t="str">
        <f aca="false">IF($A442="","",IF(COUNTIF(参数!$B$6:$B$8,$H442)=0,"× 付款方式","√"))</f>
        <v/>
      </c>
    </row>
    <row r="443" customFormat="false" ht="13.5" hidden="false" customHeight="false" outlineLevel="0" collapsed="false">
      <c r="A443" s="41"/>
      <c r="B443" s="42"/>
      <c r="C443" s="36"/>
      <c r="D443" s="35"/>
      <c r="E443" s="36"/>
      <c r="F443" s="36"/>
      <c r="G443" s="37"/>
      <c r="H443" s="35"/>
      <c r="I443" s="43" t="str">
        <f aca="false">IF($A443="","",COUNTIFS($A$2:$A443,$A443))</f>
        <v/>
      </c>
      <c r="J443" s="43" t="str">
        <f aca="false">IF($A443="","",$A443&amp;"-"&amp;$I443)</f>
        <v/>
      </c>
      <c r="K443" s="38" t="str">
        <f aca="false">IF($A443="","",IF(COUNTIF(参数!$B$6:$B$8,$H443)=0,"× 付款方式","√"))</f>
        <v/>
      </c>
    </row>
    <row r="444" customFormat="false" ht="13.5" hidden="false" customHeight="false" outlineLevel="0" collapsed="false">
      <c r="A444" s="41"/>
      <c r="B444" s="42"/>
      <c r="C444" s="36"/>
      <c r="D444" s="35"/>
      <c r="E444" s="36"/>
      <c r="F444" s="36"/>
      <c r="G444" s="37"/>
      <c r="H444" s="35"/>
      <c r="I444" s="43" t="str">
        <f aca="false">IF($A444="","",COUNTIFS($A$2:$A444,$A444))</f>
        <v/>
      </c>
      <c r="J444" s="43" t="str">
        <f aca="false">IF($A444="","",$A444&amp;"-"&amp;$I444)</f>
        <v/>
      </c>
      <c r="K444" s="38" t="str">
        <f aca="false">IF($A444="","",IF(COUNTIF(参数!$B$6:$B$8,$H444)=0,"× 付款方式","√"))</f>
        <v/>
      </c>
    </row>
    <row r="445" customFormat="false" ht="13.5" hidden="false" customHeight="false" outlineLevel="0" collapsed="false">
      <c r="A445" s="41"/>
      <c r="B445" s="42"/>
      <c r="C445" s="36"/>
      <c r="D445" s="35"/>
      <c r="E445" s="36"/>
      <c r="F445" s="36"/>
      <c r="G445" s="37"/>
      <c r="H445" s="35"/>
      <c r="I445" s="43" t="str">
        <f aca="false">IF($A445="","",COUNTIFS($A$2:$A445,$A445))</f>
        <v/>
      </c>
      <c r="J445" s="43" t="str">
        <f aca="false">IF($A445="","",$A445&amp;"-"&amp;$I445)</f>
        <v/>
      </c>
      <c r="K445" s="38" t="str">
        <f aca="false">IF($A445="","",IF(COUNTIF(参数!$B$6:$B$8,$H445)=0,"× 付款方式","√"))</f>
        <v/>
      </c>
    </row>
    <row r="446" customFormat="false" ht="13.5" hidden="false" customHeight="false" outlineLevel="0" collapsed="false">
      <c r="A446" s="41"/>
      <c r="B446" s="42"/>
      <c r="C446" s="36"/>
      <c r="D446" s="35"/>
      <c r="E446" s="36"/>
      <c r="F446" s="36"/>
      <c r="G446" s="37"/>
      <c r="H446" s="35"/>
      <c r="I446" s="43" t="str">
        <f aca="false">IF($A446="","",COUNTIFS($A$2:$A446,$A446))</f>
        <v/>
      </c>
      <c r="J446" s="43" t="str">
        <f aca="false">IF($A446="","",$A446&amp;"-"&amp;$I446)</f>
        <v/>
      </c>
      <c r="K446" s="38" t="str">
        <f aca="false">IF($A446="","",IF(COUNTIF(参数!$B$6:$B$8,$H446)=0,"× 付款方式","√"))</f>
        <v/>
      </c>
    </row>
    <row r="447" customFormat="false" ht="13.5" hidden="false" customHeight="false" outlineLevel="0" collapsed="false">
      <c r="A447" s="41"/>
      <c r="B447" s="42"/>
      <c r="C447" s="36"/>
      <c r="D447" s="35"/>
      <c r="E447" s="36"/>
      <c r="F447" s="36"/>
      <c r="G447" s="37"/>
      <c r="H447" s="35"/>
      <c r="I447" s="43" t="str">
        <f aca="false">IF($A447="","",COUNTIFS($A$2:$A447,$A447))</f>
        <v/>
      </c>
      <c r="J447" s="43" t="str">
        <f aca="false">IF($A447="","",$A447&amp;"-"&amp;$I447)</f>
        <v/>
      </c>
      <c r="K447" s="38" t="str">
        <f aca="false">IF($A447="","",IF(COUNTIF(参数!$B$6:$B$8,$H447)=0,"× 付款方式","√"))</f>
        <v/>
      </c>
    </row>
    <row r="448" customFormat="false" ht="13.5" hidden="false" customHeight="false" outlineLevel="0" collapsed="false">
      <c r="A448" s="41"/>
      <c r="B448" s="42"/>
      <c r="C448" s="36"/>
      <c r="D448" s="35"/>
      <c r="E448" s="36"/>
      <c r="F448" s="36"/>
      <c r="G448" s="37"/>
      <c r="H448" s="35"/>
      <c r="I448" s="43" t="str">
        <f aca="false">IF($A448="","",COUNTIFS($A$2:$A448,$A448))</f>
        <v/>
      </c>
      <c r="J448" s="43" t="str">
        <f aca="false">IF($A448="","",$A448&amp;"-"&amp;$I448)</f>
        <v/>
      </c>
      <c r="K448" s="38" t="str">
        <f aca="false">IF($A448="","",IF(COUNTIF(参数!$B$6:$B$8,$H448)=0,"× 付款方式","√"))</f>
        <v/>
      </c>
    </row>
    <row r="449" customFormat="false" ht="13.5" hidden="false" customHeight="false" outlineLevel="0" collapsed="false">
      <c r="A449" s="41"/>
      <c r="B449" s="42"/>
      <c r="C449" s="36"/>
      <c r="D449" s="35"/>
      <c r="E449" s="36"/>
      <c r="F449" s="36"/>
      <c r="G449" s="37"/>
      <c r="H449" s="35"/>
      <c r="I449" s="43" t="str">
        <f aca="false">IF($A449="","",COUNTIFS($A$2:$A449,$A449))</f>
        <v/>
      </c>
      <c r="J449" s="43" t="str">
        <f aca="false">IF($A449="","",$A449&amp;"-"&amp;$I449)</f>
        <v/>
      </c>
      <c r="K449" s="38" t="str">
        <f aca="false">IF($A449="","",IF(COUNTIF(参数!$B$6:$B$8,$H449)=0,"× 付款方式","√"))</f>
        <v/>
      </c>
    </row>
    <row r="450" customFormat="false" ht="13.5" hidden="false" customHeight="false" outlineLevel="0" collapsed="false">
      <c r="A450" s="41"/>
      <c r="B450" s="42"/>
      <c r="C450" s="36"/>
      <c r="D450" s="35"/>
      <c r="E450" s="36"/>
      <c r="F450" s="36"/>
      <c r="G450" s="37"/>
      <c r="H450" s="35"/>
      <c r="I450" s="43" t="str">
        <f aca="false">IF($A450="","",COUNTIFS($A$2:$A450,$A450))</f>
        <v/>
      </c>
      <c r="J450" s="43" t="str">
        <f aca="false">IF($A450="","",$A450&amp;"-"&amp;$I450)</f>
        <v/>
      </c>
      <c r="K450" s="38" t="str">
        <f aca="false">IF($A450="","",IF(COUNTIF(参数!$B$6:$B$8,$H450)=0,"× 付款方式","√"))</f>
        <v/>
      </c>
    </row>
    <row r="451" customFormat="false" ht="13.5" hidden="false" customHeight="false" outlineLevel="0" collapsed="false">
      <c r="A451" s="41"/>
      <c r="B451" s="42"/>
      <c r="C451" s="36"/>
      <c r="D451" s="35"/>
      <c r="E451" s="36"/>
      <c r="F451" s="36"/>
      <c r="G451" s="37"/>
      <c r="H451" s="35"/>
      <c r="I451" s="43" t="str">
        <f aca="false">IF($A451="","",COUNTIFS($A$2:$A451,$A451))</f>
        <v/>
      </c>
      <c r="J451" s="43" t="str">
        <f aca="false">IF($A451="","",$A451&amp;"-"&amp;$I451)</f>
        <v/>
      </c>
      <c r="K451" s="38" t="str">
        <f aca="false">IF($A451="","",IF(COUNTIF(参数!$B$6:$B$8,$H451)=0,"× 付款方式","√"))</f>
        <v/>
      </c>
    </row>
    <row r="452" customFormat="false" ht="13.5" hidden="false" customHeight="false" outlineLevel="0" collapsed="false">
      <c r="A452" s="41"/>
      <c r="B452" s="42"/>
      <c r="C452" s="36"/>
      <c r="D452" s="35"/>
      <c r="E452" s="36"/>
      <c r="F452" s="36"/>
      <c r="G452" s="37"/>
      <c r="H452" s="35"/>
      <c r="I452" s="43" t="str">
        <f aca="false">IF($A452="","",COUNTIFS($A$2:$A452,$A452))</f>
        <v/>
      </c>
      <c r="J452" s="43" t="str">
        <f aca="false">IF($A452="","",$A452&amp;"-"&amp;$I452)</f>
        <v/>
      </c>
      <c r="K452" s="38" t="str">
        <f aca="false">IF($A452="","",IF(COUNTIF(参数!$B$6:$B$8,$H452)=0,"× 付款方式","√"))</f>
        <v/>
      </c>
    </row>
    <row r="453" customFormat="false" ht="13.5" hidden="false" customHeight="false" outlineLevel="0" collapsed="false">
      <c r="A453" s="41"/>
      <c r="B453" s="42"/>
      <c r="C453" s="36"/>
      <c r="D453" s="35"/>
      <c r="E453" s="36"/>
      <c r="F453" s="36"/>
      <c r="G453" s="37"/>
      <c r="H453" s="35"/>
      <c r="I453" s="43" t="str">
        <f aca="false">IF($A453="","",COUNTIFS($A$2:$A453,$A453))</f>
        <v/>
      </c>
      <c r="J453" s="43" t="str">
        <f aca="false">IF($A453="","",$A453&amp;"-"&amp;$I453)</f>
        <v/>
      </c>
      <c r="K453" s="38" t="str">
        <f aca="false">IF($A453="","",IF(COUNTIF(参数!$B$6:$B$8,$H453)=0,"× 付款方式","√"))</f>
        <v/>
      </c>
    </row>
    <row r="454" customFormat="false" ht="13.5" hidden="false" customHeight="false" outlineLevel="0" collapsed="false">
      <c r="A454" s="41"/>
      <c r="B454" s="42"/>
      <c r="C454" s="36"/>
      <c r="D454" s="35"/>
      <c r="E454" s="36"/>
      <c r="F454" s="36"/>
      <c r="G454" s="37"/>
      <c r="H454" s="35"/>
      <c r="I454" s="43" t="str">
        <f aca="false">IF($A454="","",COUNTIFS($A$2:$A454,$A454))</f>
        <v/>
      </c>
      <c r="J454" s="43" t="str">
        <f aca="false">IF($A454="","",$A454&amp;"-"&amp;$I454)</f>
        <v/>
      </c>
      <c r="K454" s="38" t="str">
        <f aca="false">IF($A454="","",IF(COUNTIF(参数!$B$6:$B$8,$H454)=0,"× 付款方式","√"))</f>
        <v/>
      </c>
    </row>
    <row r="455" customFormat="false" ht="13.5" hidden="false" customHeight="false" outlineLevel="0" collapsed="false">
      <c r="A455" s="41"/>
      <c r="B455" s="42"/>
      <c r="C455" s="36"/>
      <c r="D455" s="35"/>
      <c r="E455" s="36"/>
      <c r="F455" s="36"/>
      <c r="G455" s="37"/>
      <c r="H455" s="35"/>
      <c r="I455" s="43" t="str">
        <f aca="false">IF($A455="","",COUNTIFS($A$2:$A455,$A455))</f>
        <v/>
      </c>
      <c r="J455" s="43" t="str">
        <f aca="false">IF($A455="","",$A455&amp;"-"&amp;$I455)</f>
        <v/>
      </c>
      <c r="K455" s="38" t="str">
        <f aca="false">IF($A455="","",IF(COUNTIF(参数!$B$6:$B$8,$H455)=0,"× 付款方式","√"))</f>
        <v/>
      </c>
    </row>
    <row r="456" customFormat="false" ht="13.5" hidden="false" customHeight="false" outlineLevel="0" collapsed="false">
      <c r="A456" s="41"/>
      <c r="B456" s="42"/>
      <c r="C456" s="36"/>
      <c r="D456" s="35"/>
      <c r="E456" s="36"/>
      <c r="F456" s="36"/>
      <c r="G456" s="37"/>
      <c r="H456" s="35"/>
      <c r="I456" s="43" t="str">
        <f aca="false">IF($A456="","",COUNTIFS($A$2:$A456,$A456))</f>
        <v/>
      </c>
      <c r="J456" s="43" t="str">
        <f aca="false">IF($A456="","",$A456&amp;"-"&amp;$I456)</f>
        <v/>
      </c>
      <c r="K456" s="38" t="str">
        <f aca="false">IF($A456="","",IF(COUNTIF(参数!$B$6:$B$8,$H456)=0,"× 付款方式","√"))</f>
        <v/>
      </c>
    </row>
    <row r="457" customFormat="false" ht="13.5" hidden="false" customHeight="false" outlineLevel="0" collapsed="false">
      <c r="A457" s="41"/>
      <c r="B457" s="42"/>
      <c r="C457" s="36"/>
      <c r="D457" s="35"/>
      <c r="E457" s="36"/>
      <c r="F457" s="36"/>
      <c r="G457" s="37"/>
      <c r="H457" s="35"/>
      <c r="I457" s="43" t="str">
        <f aca="false">IF($A457="","",COUNTIFS($A$2:$A457,$A457))</f>
        <v/>
      </c>
      <c r="J457" s="43" t="str">
        <f aca="false">IF($A457="","",$A457&amp;"-"&amp;$I457)</f>
        <v/>
      </c>
      <c r="K457" s="38" t="str">
        <f aca="false">IF($A457="","",IF(COUNTIF(参数!$B$6:$B$8,$H457)=0,"× 付款方式","√"))</f>
        <v/>
      </c>
    </row>
    <row r="458" customFormat="false" ht="13.5" hidden="false" customHeight="false" outlineLevel="0" collapsed="false">
      <c r="A458" s="41"/>
      <c r="B458" s="42"/>
      <c r="C458" s="36"/>
      <c r="D458" s="35"/>
      <c r="E458" s="36"/>
      <c r="F458" s="36"/>
      <c r="G458" s="37"/>
      <c r="H458" s="35"/>
      <c r="I458" s="43" t="str">
        <f aca="false">IF($A458="","",COUNTIFS($A$2:$A458,$A458))</f>
        <v/>
      </c>
      <c r="J458" s="43" t="str">
        <f aca="false">IF($A458="","",$A458&amp;"-"&amp;$I458)</f>
        <v/>
      </c>
      <c r="K458" s="38" t="str">
        <f aca="false">IF($A458="","",IF(COUNTIF(参数!$B$6:$B$8,$H458)=0,"× 付款方式","√"))</f>
        <v/>
      </c>
    </row>
    <row r="459" customFormat="false" ht="13.5" hidden="false" customHeight="false" outlineLevel="0" collapsed="false">
      <c r="A459" s="41"/>
      <c r="B459" s="42"/>
      <c r="C459" s="36"/>
      <c r="D459" s="35"/>
      <c r="E459" s="36"/>
      <c r="F459" s="36"/>
      <c r="G459" s="37"/>
      <c r="H459" s="35"/>
      <c r="I459" s="43" t="str">
        <f aca="false">IF($A459="","",COUNTIFS($A$2:$A459,$A459))</f>
        <v/>
      </c>
      <c r="J459" s="43" t="str">
        <f aca="false">IF($A459="","",$A459&amp;"-"&amp;$I459)</f>
        <v/>
      </c>
      <c r="K459" s="38" t="str">
        <f aca="false">IF($A459="","",IF(COUNTIF(参数!$B$6:$B$8,$H459)=0,"× 付款方式","√"))</f>
        <v/>
      </c>
    </row>
    <row r="460" customFormat="false" ht="13.5" hidden="false" customHeight="false" outlineLevel="0" collapsed="false">
      <c r="A460" s="41"/>
      <c r="B460" s="42"/>
      <c r="C460" s="36"/>
      <c r="D460" s="35"/>
      <c r="E460" s="36"/>
      <c r="F460" s="36"/>
      <c r="G460" s="37"/>
      <c r="H460" s="35"/>
      <c r="I460" s="43" t="str">
        <f aca="false">IF($A460="","",COUNTIFS($A$2:$A460,$A460))</f>
        <v/>
      </c>
      <c r="J460" s="43" t="str">
        <f aca="false">IF($A460="","",$A460&amp;"-"&amp;$I460)</f>
        <v/>
      </c>
      <c r="K460" s="38" t="str">
        <f aca="false">IF($A460="","",IF(COUNTIF(参数!$B$6:$B$8,$H460)=0,"× 付款方式","√"))</f>
        <v/>
      </c>
    </row>
    <row r="461" customFormat="false" ht="13.5" hidden="false" customHeight="false" outlineLevel="0" collapsed="false">
      <c r="A461" s="41"/>
      <c r="B461" s="42"/>
      <c r="C461" s="36"/>
      <c r="D461" s="35"/>
      <c r="E461" s="36"/>
      <c r="F461" s="36"/>
      <c r="G461" s="37"/>
      <c r="H461" s="35"/>
      <c r="I461" s="43" t="str">
        <f aca="false">IF($A461="","",COUNTIFS($A$2:$A461,$A461))</f>
        <v/>
      </c>
      <c r="J461" s="43" t="str">
        <f aca="false">IF($A461="","",$A461&amp;"-"&amp;$I461)</f>
        <v/>
      </c>
      <c r="K461" s="38" t="str">
        <f aca="false">IF($A461="","",IF(COUNTIF(参数!$B$6:$B$8,$H461)=0,"× 付款方式","√"))</f>
        <v/>
      </c>
    </row>
    <row r="462" customFormat="false" ht="13.5" hidden="false" customHeight="false" outlineLevel="0" collapsed="false">
      <c r="A462" s="41"/>
      <c r="B462" s="42"/>
      <c r="C462" s="36"/>
      <c r="D462" s="35"/>
      <c r="E462" s="36"/>
      <c r="F462" s="36"/>
      <c r="G462" s="37"/>
      <c r="H462" s="35"/>
      <c r="I462" s="43" t="str">
        <f aca="false">IF($A462="","",COUNTIFS($A$2:$A462,$A462))</f>
        <v/>
      </c>
      <c r="J462" s="43" t="str">
        <f aca="false">IF($A462="","",$A462&amp;"-"&amp;$I462)</f>
        <v/>
      </c>
      <c r="K462" s="38" t="str">
        <f aca="false">IF($A462="","",IF(COUNTIF(参数!$B$6:$B$8,$H462)=0,"× 付款方式","√"))</f>
        <v/>
      </c>
    </row>
    <row r="463" customFormat="false" ht="13.5" hidden="false" customHeight="false" outlineLevel="0" collapsed="false">
      <c r="A463" s="41"/>
      <c r="B463" s="42"/>
      <c r="C463" s="36"/>
      <c r="D463" s="35"/>
      <c r="E463" s="36"/>
      <c r="F463" s="36"/>
      <c r="G463" s="37"/>
      <c r="H463" s="35"/>
      <c r="I463" s="43" t="str">
        <f aca="false">IF($A463="","",COUNTIFS($A$2:$A463,$A463))</f>
        <v/>
      </c>
      <c r="J463" s="43" t="str">
        <f aca="false">IF($A463="","",$A463&amp;"-"&amp;$I463)</f>
        <v/>
      </c>
      <c r="K463" s="38" t="str">
        <f aca="false">IF($A463="","",IF(COUNTIF(参数!$B$6:$B$8,$H463)=0,"× 付款方式","√"))</f>
        <v/>
      </c>
    </row>
    <row r="464" customFormat="false" ht="13.5" hidden="false" customHeight="false" outlineLevel="0" collapsed="false">
      <c r="A464" s="41"/>
      <c r="B464" s="42"/>
      <c r="C464" s="36"/>
      <c r="D464" s="35"/>
      <c r="E464" s="36"/>
      <c r="F464" s="36"/>
      <c r="G464" s="37"/>
      <c r="H464" s="35"/>
      <c r="I464" s="43" t="str">
        <f aca="false">IF($A464="","",COUNTIFS($A$2:$A464,$A464))</f>
        <v/>
      </c>
      <c r="J464" s="43" t="str">
        <f aca="false">IF($A464="","",$A464&amp;"-"&amp;$I464)</f>
        <v/>
      </c>
      <c r="K464" s="38" t="str">
        <f aca="false">IF($A464="","",IF(COUNTIF(参数!$B$6:$B$8,$H464)=0,"× 付款方式","√"))</f>
        <v/>
      </c>
    </row>
    <row r="465" customFormat="false" ht="13.5" hidden="false" customHeight="false" outlineLevel="0" collapsed="false">
      <c r="A465" s="41"/>
      <c r="B465" s="42"/>
      <c r="C465" s="36"/>
      <c r="D465" s="35"/>
      <c r="E465" s="36"/>
      <c r="F465" s="36"/>
      <c r="G465" s="37"/>
      <c r="H465" s="35"/>
      <c r="I465" s="43" t="str">
        <f aca="false">IF($A465="","",COUNTIFS($A$2:$A465,$A465))</f>
        <v/>
      </c>
      <c r="J465" s="43" t="str">
        <f aca="false">IF($A465="","",$A465&amp;"-"&amp;$I465)</f>
        <v/>
      </c>
      <c r="K465" s="38" t="str">
        <f aca="false">IF($A465="","",IF(COUNTIF(参数!$B$6:$B$8,$H465)=0,"× 付款方式","√"))</f>
        <v/>
      </c>
    </row>
    <row r="466" customFormat="false" ht="13.5" hidden="false" customHeight="false" outlineLevel="0" collapsed="false">
      <c r="A466" s="41"/>
      <c r="B466" s="42"/>
      <c r="C466" s="36"/>
      <c r="D466" s="35"/>
      <c r="E466" s="36"/>
      <c r="F466" s="36"/>
      <c r="G466" s="37"/>
      <c r="H466" s="35"/>
      <c r="I466" s="43" t="str">
        <f aca="false">IF($A466="","",COUNTIFS($A$2:$A466,$A466))</f>
        <v/>
      </c>
      <c r="J466" s="43" t="str">
        <f aca="false">IF($A466="","",$A466&amp;"-"&amp;$I466)</f>
        <v/>
      </c>
      <c r="K466" s="38" t="str">
        <f aca="false">IF($A466="","",IF(COUNTIF(参数!$B$6:$B$8,$H466)=0,"× 付款方式","√"))</f>
        <v/>
      </c>
    </row>
    <row r="467" customFormat="false" ht="13.5" hidden="false" customHeight="false" outlineLevel="0" collapsed="false">
      <c r="A467" s="41"/>
      <c r="B467" s="42"/>
      <c r="C467" s="36"/>
      <c r="D467" s="35"/>
      <c r="E467" s="36"/>
      <c r="F467" s="36"/>
      <c r="G467" s="37"/>
      <c r="H467" s="35"/>
      <c r="I467" s="43" t="str">
        <f aca="false">IF($A467="","",COUNTIFS($A$2:$A467,$A467))</f>
        <v/>
      </c>
      <c r="J467" s="43" t="str">
        <f aca="false">IF($A467="","",$A467&amp;"-"&amp;$I467)</f>
        <v/>
      </c>
      <c r="K467" s="38" t="str">
        <f aca="false">IF($A467="","",IF(COUNTIF(参数!$B$6:$B$8,$H467)=0,"× 付款方式","√"))</f>
        <v/>
      </c>
    </row>
    <row r="468" customFormat="false" ht="13.5" hidden="false" customHeight="false" outlineLevel="0" collapsed="false">
      <c r="A468" s="41"/>
      <c r="B468" s="42"/>
      <c r="C468" s="36"/>
      <c r="D468" s="35"/>
      <c r="E468" s="36"/>
      <c r="F468" s="36"/>
      <c r="G468" s="37"/>
      <c r="H468" s="35"/>
      <c r="I468" s="43" t="str">
        <f aca="false">IF($A468="","",COUNTIFS($A$2:$A468,$A468))</f>
        <v/>
      </c>
      <c r="J468" s="43" t="str">
        <f aca="false">IF($A468="","",$A468&amp;"-"&amp;$I468)</f>
        <v/>
      </c>
      <c r="K468" s="38" t="str">
        <f aca="false">IF($A468="","",IF(COUNTIF(参数!$B$6:$B$8,$H468)=0,"× 付款方式","√"))</f>
        <v/>
      </c>
    </row>
    <row r="469" customFormat="false" ht="13.5" hidden="false" customHeight="false" outlineLevel="0" collapsed="false">
      <c r="A469" s="41"/>
      <c r="B469" s="42"/>
      <c r="C469" s="36"/>
      <c r="D469" s="35"/>
      <c r="E469" s="36"/>
      <c r="F469" s="36"/>
      <c r="G469" s="37"/>
      <c r="H469" s="35"/>
      <c r="I469" s="43" t="str">
        <f aca="false">IF($A469="","",COUNTIFS($A$2:$A469,$A469))</f>
        <v/>
      </c>
      <c r="J469" s="43" t="str">
        <f aca="false">IF($A469="","",$A469&amp;"-"&amp;$I469)</f>
        <v/>
      </c>
      <c r="K469" s="38" t="str">
        <f aca="false">IF($A469="","",IF(COUNTIF(参数!$B$6:$B$8,$H469)=0,"× 付款方式","√"))</f>
        <v/>
      </c>
    </row>
    <row r="470" customFormat="false" ht="13.5" hidden="false" customHeight="false" outlineLevel="0" collapsed="false">
      <c r="A470" s="41"/>
      <c r="B470" s="42"/>
      <c r="C470" s="36"/>
      <c r="D470" s="35"/>
      <c r="E470" s="36"/>
      <c r="F470" s="36"/>
      <c r="G470" s="37"/>
      <c r="H470" s="35"/>
      <c r="I470" s="43" t="str">
        <f aca="false">IF($A470="","",COUNTIFS($A$2:$A470,$A470))</f>
        <v/>
      </c>
      <c r="J470" s="43" t="str">
        <f aca="false">IF($A470="","",$A470&amp;"-"&amp;$I470)</f>
        <v/>
      </c>
      <c r="K470" s="38" t="str">
        <f aca="false">IF($A470="","",IF(COUNTIF(参数!$B$6:$B$8,$H470)=0,"× 付款方式","√"))</f>
        <v/>
      </c>
    </row>
    <row r="471" customFormat="false" ht="13.5" hidden="false" customHeight="false" outlineLevel="0" collapsed="false">
      <c r="A471" s="41"/>
      <c r="B471" s="42"/>
      <c r="C471" s="36"/>
      <c r="D471" s="35"/>
      <c r="E471" s="36"/>
      <c r="F471" s="36"/>
      <c r="G471" s="37"/>
      <c r="H471" s="35"/>
      <c r="I471" s="43" t="str">
        <f aca="false">IF($A471="","",COUNTIFS($A$2:$A471,$A471))</f>
        <v/>
      </c>
      <c r="J471" s="43" t="str">
        <f aca="false">IF($A471="","",$A471&amp;"-"&amp;$I471)</f>
        <v/>
      </c>
      <c r="K471" s="38" t="str">
        <f aca="false">IF($A471="","",IF(COUNTIF(参数!$B$6:$B$8,$H471)=0,"× 付款方式","√"))</f>
        <v/>
      </c>
    </row>
    <row r="472" customFormat="false" ht="13.5" hidden="false" customHeight="false" outlineLevel="0" collapsed="false">
      <c r="A472" s="41"/>
      <c r="B472" s="42"/>
      <c r="C472" s="36"/>
      <c r="D472" s="35"/>
      <c r="E472" s="36"/>
      <c r="F472" s="36"/>
      <c r="G472" s="37"/>
      <c r="H472" s="35"/>
      <c r="I472" s="43" t="str">
        <f aca="false">IF($A472="","",COUNTIFS($A$2:$A472,$A472))</f>
        <v/>
      </c>
      <c r="J472" s="43" t="str">
        <f aca="false">IF($A472="","",$A472&amp;"-"&amp;$I472)</f>
        <v/>
      </c>
      <c r="K472" s="38" t="str">
        <f aca="false">IF($A472="","",IF(COUNTIF(参数!$B$6:$B$8,$H472)=0,"× 付款方式","√"))</f>
        <v/>
      </c>
    </row>
    <row r="473" customFormat="false" ht="13.5" hidden="false" customHeight="false" outlineLevel="0" collapsed="false">
      <c r="A473" s="41"/>
      <c r="B473" s="42"/>
      <c r="C473" s="36"/>
      <c r="D473" s="35"/>
      <c r="E473" s="36"/>
      <c r="F473" s="36"/>
      <c r="G473" s="37"/>
      <c r="H473" s="35"/>
      <c r="I473" s="43" t="str">
        <f aca="false">IF($A473="","",COUNTIFS($A$2:$A473,$A473))</f>
        <v/>
      </c>
      <c r="J473" s="43" t="str">
        <f aca="false">IF($A473="","",$A473&amp;"-"&amp;$I473)</f>
        <v/>
      </c>
      <c r="K473" s="38" t="str">
        <f aca="false">IF($A473="","",IF(COUNTIF(参数!$B$6:$B$8,$H473)=0,"× 付款方式","√"))</f>
        <v/>
      </c>
    </row>
    <row r="474" customFormat="false" ht="13.5" hidden="false" customHeight="false" outlineLevel="0" collapsed="false">
      <c r="A474" s="41"/>
      <c r="B474" s="42"/>
      <c r="C474" s="36"/>
      <c r="D474" s="35"/>
      <c r="E474" s="36"/>
      <c r="F474" s="36"/>
      <c r="G474" s="37"/>
      <c r="H474" s="35"/>
      <c r="I474" s="43" t="str">
        <f aca="false">IF($A474="","",COUNTIFS($A$2:$A474,$A474))</f>
        <v/>
      </c>
      <c r="J474" s="43" t="str">
        <f aca="false">IF($A474="","",$A474&amp;"-"&amp;$I474)</f>
        <v/>
      </c>
      <c r="K474" s="38" t="str">
        <f aca="false">IF($A474="","",IF(COUNTIF(参数!$B$6:$B$8,$H474)=0,"× 付款方式","√"))</f>
        <v/>
      </c>
    </row>
    <row r="475" customFormat="false" ht="13.5" hidden="false" customHeight="false" outlineLevel="0" collapsed="false">
      <c r="A475" s="41"/>
      <c r="B475" s="42"/>
      <c r="C475" s="36"/>
      <c r="D475" s="35"/>
      <c r="E475" s="36"/>
      <c r="F475" s="36"/>
      <c r="G475" s="37"/>
      <c r="H475" s="35"/>
      <c r="I475" s="43" t="str">
        <f aca="false">IF($A475="","",COUNTIFS($A$2:$A475,$A475))</f>
        <v/>
      </c>
      <c r="J475" s="43" t="str">
        <f aca="false">IF($A475="","",$A475&amp;"-"&amp;$I475)</f>
        <v/>
      </c>
      <c r="K475" s="38" t="str">
        <f aca="false">IF($A475="","",IF(COUNTIF(参数!$B$6:$B$8,$H475)=0,"× 付款方式","√"))</f>
        <v/>
      </c>
    </row>
    <row r="476" customFormat="false" ht="13.5" hidden="false" customHeight="false" outlineLevel="0" collapsed="false">
      <c r="A476" s="41"/>
      <c r="B476" s="42"/>
      <c r="C476" s="36"/>
      <c r="D476" s="35"/>
      <c r="E476" s="36"/>
      <c r="F476" s="36"/>
      <c r="G476" s="37"/>
      <c r="H476" s="35"/>
      <c r="I476" s="43" t="str">
        <f aca="false">IF($A476="","",COUNTIFS($A$2:$A476,$A476))</f>
        <v/>
      </c>
      <c r="J476" s="43" t="str">
        <f aca="false">IF($A476="","",$A476&amp;"-"&amp;$I476)</f>
        <v/>
      </c>
      <c r="K476" s="38" t="str">
        <f aca="false">IF($A476="","",IF(COUNTIF(参数!$B$6:$B$8,$H476)=0,"× 付款方式","√"))</f>
        <v/>
      </c>
    </row>
    <row r="477" customFormat="false" ht="13.5" hidden="false" customHeight="false" outlineLevel="0" collapsed="false">
      <c r="A477" s="41"/>
      <c r="B477" s="42"/>
      <c r="C477" s="36"/>
      <c r="D477" s="35"/>
      <c r="E477" s="36"/>
      <c r="F477" s="36"/>
      <c r="G477" s="37"/>
      <c r="H477" s="35"/>
      <c r="I477" s="43" t="str">
        <f aca="false">IF($A477="","",COUNTIFS($A$2:$A477,$A477))</f>
        <v/>
      </c>
      <c r="J477" s="43" t="str">
        <f aca="false">IF($A477="","",$A477&amp;"-"&amp;$I477)</f>
        <v/>
      </c>
      <c r="K477" s="38" t="str">
        <f aca="false">IF($A477="","",IF(COUNTIF(参数!$B$6:$B$8,$H477)=0,"× 付款方式","√"))</f>
        <v/>
      </c>
    </row>
    <row r="478" customFormat="false" ht="13.5" hidden="false" customHeight="false" outlineLevel="0" collapsed="false">
      <c r="A478" s="41"/>
      <c r="B478" s="42"/>
      <c r="C478" s="36"/>
      <c r="D478" s="35"/>
      <c r="E478" s="36"/>
      <c r="F478" s="36"/>
      <c r="G478" s="37"/>
      <c r="H478" s="35"/>
      <c r="I478" s="43" t="str">
        <f aca="false">IF($A478="","",COUNTIFS($A$2:$A478,$A478))</f>
        <v/>
      </c>
      <c r="J478" s="43" t="str">
        <f aca="false">IF($A478="","",$A478&amp;"-"&amp;$I478)</f>
        <v/>
      </c>
      <c r="K478" s="38" t="str">
        <f aca="false">IF($A478="","",IF(COUNTIF(参数!$B$6:$B$8,$H478)=0,"× 付款方式","√"))</f>
        <v/>
      </c>
    </row>
    <row r="479" customFormat="false" ht="13.5" hidden="false" customHeight="false" outlineLevel="0" collapsed="false">
      <c r="A479" s="41"/>
      <c r="B479" s="42"/>
      <c r="C479" s="36"/>
      <c r="D479" s="35"/>
      <c r="E479" s="36"/>
      <c r="F479" s="36"/>
      <c r="G479" s="37"/>
      <c r="H479" s="35"/>
      <c r="I479" s="43" t="str">
        <f aca="false">IF($A479="","",COUNTIFS($A$2:$A479,$A479))</f>
        <v/>
      </c>
      <c r="J479" s="43" t="str">
        <f aca="false">IF($A479="","",$A479&amp;"-"&amp;$I479)</f>
        <v/>
      </c>
      <c r="K479" s="38" t="str">
        <f aca="false">IF($A479="","",IF(COUNTIF(参数!$B$6:$B$8,$H479)=0,"× 付款方式","√"))</f>
        <v/>
      </c>
    </row>
    <row r="480" customFormat="false" ht="13.5" hidden="false" customHeight="false" outlineLevel="0" collapsed="false">
      <c r="A480" s="41"/>
      <c r="B480" s="42"/>
      <c r="C480" s="36"/>
      <c r="D480" s="35"/>
      <c r="E480" s="36"/>
      <c r="F480" s="36"/>
      <c r="G480" s="37"/>
      <c r="H480" s="35"/>
      <c r="I480" s="43" t="str">
        <f aca="false">IF($A480="","",COUNTIFS($A$2:$A480,$A480))</f>
        <v/>
      </c>
      <c r="J480" s="43" t="str">
        <f aca="false">IF($A480="","",$A480&amp;"-"&amp;$I480)</f>
        <v/>
      </c>
      <c r="K480" s="38" t="str">
        <f aca="false">IF($A480="","",IF(COUNTIF(参数!$B$6:$B$8,$H480)=0,"× 付款方式","√"))</f>
        <v/>
      </c>
    </row>
    <row r="481" customFormat="false" ht="13.5" hidden="false" customHeight="false" outlineLevel="0" collapsed="false">
      <c r="A481" s="41"/>
      <c r="B481" s="42"/>
      <c r="C481" s="36"/>
      <c r="D481" s="35"/>
      <c r="E481" s="36"/>
      <c r="F481" s="36"/>
      <c r="G481" s="37"/>
      <c r="H481" s="35"/>
      <c r="I481" s="43" t="str">
        <f aca="false">IF($A481="","",COUNTIFS($A$2:$A481,$A481))</f>
        <v/>
      </c>
      <c r="J481" s="43" t="str">
        <f aca="false">IF($A481="","",$A481&amp;"-"&amp;$I481)</f>
        <v/>
      </c>
      <c r="K481" s="38" t="str">
        <f aca="false">IF($A481="","",IF(COUNTIF(参数!$B$6:$B$8,$H481)=0,"× 付款方式","√"))</f>
        <v/>
      </c>
    </row>
    <row r="482" customFormat="false" ht="13.5" hidden="false" customHeight="false" outlineLevel="0" collapsed="false">
      <c r="A482" s="41"/>
      <c r="B482" s="42"/>
      <c r="C482" s="36"/>
      <c r="D482" s="35"/>
      <c r="E482" s="36"/>
      <c r="F482" s="36"/>
      <c r="G482" s="37"/>
      <c r="H482" s="35"/>
      <c r="I482" s="43" t="str">
        <f aca="false">IF($A482="","",COUNTIFS($A$2:$A482,$A482))</f>
        <v/>
      </c>
      <c r="J482" s="43" t="str">
        <f aca="false">IF($A482="","",$A482&amp;"-"&amp;$I482)</f>
        <v/>
      </c>
      <c r="K482" s="38" t="str">
        <f aca="false">IF($A482="","",IF(COUNTIF(参数!$B$6:$B$8,$H482)=0,"× 付款方式","√"))</f>
        <v/>
      </c>
    </row>
    <row r="483" customFormat="false" ht="13.5" hidden="false" customHeight="false" outlineLevel="0" collapsed="false">
      <c r="A483" s="41"/>
      <c r="B483" s="42"/>
      <c r="C483" s="36"/>
      <c r="D483" s="35"/>
      <c r="E483" s="36"/>
      <c r="F483" s="36"/>
      <c r="G483" s="37"/>
      <c r="H483" s="35"/>
      <c r="I483" s="43" t="str">
        <f aca="false">IF($A483="","",COUNTIFS($A$2:$A483,$A483))</f>
        <v/>
      </c>
      <c r="J483" s="43" t="str">
        <f aca="false">IF($A483="","",$A483&amp;"-"&amp;$I483)</f>
        <v/>
      </c>
      <c r="K483" s="38" t="str">
        <f aca="false">IF($A483="","",IF(COUNTIF(参数!$B$6:$B$8,$H483)=0,"× 付款方式","√"))</f>
        <v/>
      </c>
    </row>
    <row r="484" customFormat="false" ht="13.5" hidden="false" customHeight="false" outlineLevel="0" collapsed="false">
      <c r="A484" s="41"/>
      <c r="B484" s="42"/>
      <c r="C484" s="36"/>
      <c r="D484" s="35"/>
      <c r="E484" s="36"/>
      <c r="F484" s="36"/>
      <c r="G484" s="37"/>
      <c r="H484" s="35"/>
      <c r="I484" s="43" t="str">
        <f aca="false">IF($A484="","",COUNTIFS($A$2:$A484,$A484))</f>
        <v/>
      </c>
      <c r="J484" s="43" t="str">
        <f aca="false">IF($A484="","",$A484&amp;"-"&amp;$I484)</f>
        <v/>
      </c>
      <c r="K484" s="38" t="str">
        <f aca="false">IF($A484="","",IF(COUNTIF(参数!$B$6:$B$8,$H484)=0,"× 付款方式","√"))</f>
        <v/>
      </c>
    </row>
    <row r="485" customFormat="false" ht="13.5" hidden="false" customHeight="false" outlineLevel="0" collapsed="false">
      <c r="A485" s="41"/>
      <c r="B485" s="42"/>
      <c r="C485" s="36"/>
      <c r="D485" s="35"/>
      <c r="E485" s="36"/>
      <c r="F485" s="36"/>
      <c r="G485" s="37"/>
      <c r="H485" s="35"/>
      <c r="I485" s="43" t="str">
        <f aca="false">IF($A485="","",COUNTIFS($A$2:$A485,$A485))</f>
        <v/>
      </c>
      <c r="J485" s="43" t="str">
        <f aca="false">IF($A485="","",$A485&amp;"-"&amp;$I485)</f>
        <v/>
      </c>
      <c r="K485" s="38" t="str">
        <f aca="false">IF($A485="","",IF(COUNTIF(参数!$B$6:$B$8,$H485)=0,"× 付款方式","√"))</f>
        <v/>
      </c>
    </row>
    <row r="486" customFormat="false" ht="13.5" hidden="false" customHeight="false" outlineLevel="0" collapsed="false">
      <c r="A486" s="41"/>
      <c r="B486" s="42"/>
      <c r="C486" s="36"/>
      <c r="D486" s="35"/>
      <c r="E486" s="36"/>
      <c r="F486" s="36"/>
      <c r="G486" s="37"/>
      <c r="H486" s="35"/>
      <c r="I486" s="43" t="str">
        <f aca="false">IF($A486="","",COUNTIFS($A$2:$A486,$A486))</f>
        <v/>
      </c>
      <c r="J486" s="43" t="str">
        <f aca="false">IF($A486="","",$A486&amp;"-"&amp;$I486)</f>
        <v/>
      </c>
      <c r="K486" s="38" t="str">
        <f aca="false">IF($A486="","",IF(COUNTIF(参数!$B$6:$B$8,$H486)=0,"× 付款方式","√"))</f>
        <v/>
      </c>
    </row>
    <row r="487" customFormat="false" ht="13.5" hidden="false" customHeight="false" outlineLevel="0" collapsed="false">
      <c r="A487" s="41"/>
      <c r="B487" s="42"/>
      <c r="C487" s="36"/>
      <c r="D487" s="35"/>
      <c r="E487" s="36"/>
      <c r="F487" s="36"/>
      <c r="G487" s="37"/>
      <c r="H487" s="35"/>
      <c r="I487" s="43" t="str">
        <f aca="false">IF($A487="","",COUNTIFS($A$2:$A487,$A487))</f>
        <v/>
      </c>
      <c r="J487" s="43" t="str">
        <f aca="false">IF($A487="","",$A487&amp;"-"&amp;$I487)</f>
        <v/>
      </c>
      <c r="K487" s="38" t="str">
        <f aca="false">IF($A487="","",IF(COUNTIF(参数!$B$6:$B$8,$H487)=0,"× 付款方式","√"))</f>
        <v/>
      </c>
    </row>
    <row r="488" customFormat="false" ht="13.5" hidden="false" customHeight="false" outlineLevel="0" collapsed="false">
      <c r="A488" s="41"/>
      <c r="B488" s="42"/>
      <c r="C488" s="36"/>
      <c r="D488" s="35"/>
      <c r="E488" s="36"/>
      <c r="F488" s="36"/>
      <c r="G488" s="37"/>
      <c r="H488" s="35"/>
      <c r="I488" s="43" t="str">
        <f aca="false">IF($A488="","",COUNTIFS($A$2:$A488,$A488))</f>
        <v/>
      </c>
      <c r="J488" s="43" t="str">
        <f aca="false">IF($A488="","",$A488&amp;"-"&amp;$I488)</f>
        <v/>
      </c>
      <c r="K488" s="38" t="str">
        <f aca="false">IF($A488="","",IF(COUNTIF(参数!$B$6:$B$8,$H488)=0,"× 付款方式","√"))</f>
        <v/>
      </c>
    </row>
    <row r="489" customFormat="false" ht="13.5" hidden="false" customHeight="false" outlineLevel="0" collapsed="false">
      <c r="A489" s="41"/>
      <c r="B489" s="42"/>
      <c r="C489" s="36"/>
      <c r="D489" s="35"/>
      <c r="E489" s="36"/>
      <c r="F489" s="36"/>
      <c r="G489" s="37"/>
      <c r="H489" s="35"/>
      <c r="I489" s="43" t="str">
        <f aca="false">IF($A489="","",COUNTIFS($A$2:$A489,$A489))</f>
        <v/>
      </c>
      <c r="J489" s="43" t="str">
        <f aca="false">IF($A489="","",$A489&amp;"-"&amp;$I489)</f>
        <v/>
      </c>
      <c r="K489" s="38" t="str">
        <f aca="false">IF($A489="","",IF(COUNTIF(参数!$B$6:$B$8,$H489)=0,"× 付款方式","√"))</f>
        <v/>
      </c>
    </row>
    <row r="490" customFormat="false" ht="13.5" hidden="false" customHeight="false" outlineLevel="0" collapsed="false">
      <c r="A490" s="41"/>
      <c r="B490" s="42"/>
      <c r="C490" s="36"/>
      <c r="D490" s="35"/>
      <c r="E490" s="36"/>
      <c r="F490" s="36"/>
      <c r="G490" s="37"/>
      <c r="H490" s="35"/>
      <c r="I490" s="43" t="str">
        <f aca="false">IF($A490="","",COUNTIFS($A$2:$A490,$A490))</f>
        <v/>
      </c>
      <c r="J490" s="43" t="str">
        <f aca="false">IF($A490="","",$A490&amp;"-"&amp;$I490)</f>
        <v/>
      </c>
      <c r="K490" s="38" t="str">
        <f aca="false">IF($A490="","",IF(COUNTIF(参数!$B$6:$B$8,$H490)=0,"× 付款方式","√"))</f>
        <v/>
      </c>
    </row>
    <row r="491" customFormat="false" ht="13.5" hidden="false" customHeight="false" outlineLevel="0" collapsed="false">
      <c r="A491" s="41"/>
      <c r="B491" s="42"/>
      <c r="C491" s="36"/>
      <c r="D491" s="35"/>
      <c r="E491" s="36"/>
      <c r="F491" s="36"/>
      <c r="G491" s="37"/>
      <c r="H491" s="35"/>
      <c r="I491" s="43" t="str">
        <f aca="false">IF($A491="","",COUNTIFS($A$2:$A491,$A491))</f>
        <v/>
      </c>
      <c r="J491" s="43" t="str">
        <f aca="false">IF($A491="","",$A491&amp;"-"&amp;$I491)</f>
        <v/>
      </c>
      <c r="K491" s="38" t="str">
        <f aca="false">IF($A491="","",IF(COUNTIF(参数!$B$6:$B$8,$H491)=0,"× 付款方式","√"))</f>
        <v/>
      </c>
    </row>
    <row r="492" customFormat="false" ht="13.5" hidden="false" customHeight="false" outlineLevel="0" collapsed="false">
      <c r="A492" s="41"/>
      <c r="B492" s="42"/>
      <c r="C492" s="36"/>
      <c r="D492" s="35"/>
      <c r="E492" s="36"/>
      <c r="F492" s="36"/>
      <c r="G492" s="37"/>
      <c r="H492" s="35"/>
      <c r="I492" s="43" t="str">
        <f aca="false">IF($A492="","",COUNTIFS($A$2:$A492,$A492))</f>
        <v/>
      </c>
      <c r="J492" s="43" t="str">
        <f aca="false">IF($A492="","",$A492&amp;"-"&amp;$I492)</f>
        <v/>
      </c>
      <c r="K492" s="38" t="str">
        <f aca="false">IF($A492="","",IF(COUNTIF(参数!$B$6:$B$8,$H492)=0,"× 付款方式","√"))</f>
        <v/>
      </c>
    </row>
    <row r="493" customFormat="false" ht="13.5" hidden="false" customHeight="false" outlineLevel="0" collapsed="false">
      <c r="A493" s="41"/>
      <c r="B493" s="42"/>
      <c r="C493" s="36"/>
      <c r="D493" s="35"/>
      <c r="E493" s="36"/>
      <c r="F493" s="36"/>
      <c r="G493" s="37"/>
      <c r="H493" s="35"/>
      <c r="I493" s="43" t="str">
        <f aca="false">IF($A493="","",COUNTIFS($A$2:$A493,$A493))</f>
        <v/>
      </c>
      <c r="J493" s="43" t="str">
        <f aca="false">IF($A493="","",$A493&amp;"-"&amp;$I493)</f>
        <v/>
      </c>
      <c r="K493" s="38" t="str">
        <f aca="false">IF($A493="","",IF(COUNTIF(参数!$B$6:$B$8,$H493)=0,"× 付款方式","√"))</f>
        <v/>
      </c>
    </row>
    <row r="494" customFormat="false" ht="13.5" hidden="false" customHeight="false" outlineLevel="0" collapsed="false">
      <c r="A494" s="41"/>
      <c r="B494" s="42"/>
      <c r="C494" s="36"/>
      <c r="D494" s="35"/>
      <c r="E494" s="36"/>
      <c r="F494" s="36"/>
      <c r="G494" s="37"/>
      <c r="H494" s="35"/>
      <c r="I494" s="43" t="str">
        <f aca="false">IF($A494="","",COUNTIFS($A$2:$A494,$A494))</f>
        <v/>
      </c>
      <c r="J494" s="43" t="str">
        <f aca="false">IF($A494="","",$A494&amp;"-"&amp;$I494)</f>
        <v/>
      </c>
      <c r="K494" s="38" t="str">
        <f aca="false">IF($A494="","",IF(COUNTIF(参数!$B$6:$B$8,$H494)=0,"× 付款方式","√"))</f>
        <v/>
      </c>
    </row>
    <row r="495" customFormat="false" ht="13.5" hidden="false" customHeight="false" outlineLevel="0" collapsed="false">
      <c r="A495" s="41"/>
      <c r="B495" s="42"/>
      <c r="C495" s="36"/>
      <c r="D495" s="35"/>
      <c r="E495" s="36"/>
      <c r="F495" s="36"/>
      <c r="G495" s="37"/>
      <c r="H495" s="35"/>
      <c r="I495" s="43" t="str">
        <f aca="false">IF($A495="","",COUNTIFS($A$2:$A495,$A495))</f>
        <v/>
      </c>
      <c r="J495" s="43" t="str">
        <f aca="false">IF($A495="","",$A495&amp;"-"&amp;$I495)</f>
        <v/>
      </c>
      <c r="K495" s="38" t="str">
        <f aca="false">IF($A495="","",IF(COUNTIF(参数!$B$6:$B$8,$H495)=0,"× 付款方式","√"))</f>
        <v/>
      </c>
    </row>
    <row r="496" customFormat="false" ht="13.5" hidden="false" customHeight="false" outlineLevel="0" collapsed="false">
      <c r="A496" s="41"/>
      <c r="B496" s="42"/>
      <c r="C496" s="36"/>
      <c r="D496" s="35"/>
      <c r="E496" s="36"/>
      <c r="F496" s="36"/>
      <c r="G496" s="37"/>
      <c r="H496" s="35"/>
      <c r="I496" s="43" t="str">
        <f aca="false">IF($A496="","",COUNTIFS($A$2:$A496,$A496))</f>
        <v/>
      </c>
      <c r="J496" s="43" t="str">
        <f aca="false">IF($A496="","",$A496&amp;"-"&amp;$I496)</f>
        <v/>
      </c>
      <c r="K496" s="38" t="str">
        <f aca="false">IF($A496="","",IF(COUNTIF(参数!$B$6:$B$8,$H496)=0,"× 付款方式","√"))</f>
        <v/>
      </c>
    </row>
    <row r="497" customFormat="false" ht="13.5" hidden="false" customHeight="false" outlineLevel="0" collapsed="false">
      <c r="A497" s="41"/>
      <c r="B497" s="42"/>
      <c r="C497" s="36"/>
      <c r="D497" s="35"/>
      <c r="E497" s="36"/>
      <c r="F497" s="36"/>
      <c r="G497" s="37"/>
      <c r="H497" s="35"/>
      <c r="I497" s="43" t="str">
        <f aca="false">IF($A497="","",COUNTIFS($A$2:$A497,$A497))</f>
        <v/>
      </c>
      <c r="J497" s="43" t="str">
        <f aca="false">IF($A497="","",$A497&amp;"-"&amp;$I497)</f>
        <v/>
      </c>
      <c r="K497" s="38" t="str">
        <f aca="false">IF($A497="","",IF(COUNTIF(参数!$B$6:$B$8,$H497)=0,"× 付款方式","√"))</f>
        <v/>
      </c>
    </row>
    <row r="498" customFormat="false" ht="13.5" hidden="false" customHeight="false" outlineLevel="0" collapsed="false">
      <c r="A498" s="41"/>
      <c r="B498" s="42"/>
      <c r="C498" s="36"/>
      <c r="D498" s="35"/>
      <c r="E498" s="36"/>
      <c r="F498" s="36"/>
      <c r="G498" s="37"/>
      <c r="H498" s="35"/>
      <c r="I498" s="43" t="str">
        <f aca="false">IF($A498="","",COUNTIFS($A$2:$A498,$A498))</f>
        <v/>
      </c>
      <c r="J498" s="43" t="str">
        <f aca="false">IF($A498="","",$A498&amp;"-"&amp;$I498)</f>
        <v/>
      </c>
      <c r="K498" s="38" t="str">
        <f aca="false">IF($A498="","",IF(COUNTIF(参数!$B$6:$B$8,$H498)=0,"× 付款方式","√"))</f>
        <v/>
      </c>
    </row>
    <row r="499" customFormat="false" ht="13.5" hidden="false" customHeight="false" outlineLevel="0" collapsed="false">
      <c r="A499" s="41"/>
      <c r="B499" s="42"/>
      <c r="C499" s="36"/>
      <c r="D499" s="35"/>
      <c r="E499" s="36"/>
      <c r="F499" s="36"/>
      <c r="G499" s="37"/>
      <c r="H499" s="35"/>
      <c r="I499" s="43" t="str">
        <f aca="false">IF($A499="","",COUNTIFS($A$2:$A499,$A499))</f>
        <v/>
      </c>
      <c r="J499" s="43" t="str">
        <f aca="false">IF($A499="","",$A499&amp;"-"&amp;$I499)</f>
        <v/>
      </c>
      <c r="K499" s="38" t="str">
        <f aca="false">IF($A499="","",IF(COUNTIF(参数!$B$6:$B$8,$H499)=0,"× 付款方式","√"))</f>
        <v/>
      </c>
    </row>
    <row r="500" customFormat="false" ht="13.5" hidden="false" customHeight="false" outlineLevel="0" collapsed="false">
      <c r="A500" s="41"/>
      <c r="B500" s="42"/>
      <c r="C500" s="36"/>
      <c r="D500" s="35"/>
      <c r="E500" s="36"/>
      <c r="F500" s="36"/>
      <c r="G500" s="37"/>
      <c r="H500" s="35"/>
      <c r="I500" s="43" t="str">
        <f aca="false">IF($A500="","",COUNTIFS($A$2:$A500,$A500))</f>
        <v/>
      </c>
      <c r="J500" s="43" t="str">
        <f aca="false">IF($A500="","",$A500&amp;"-"&amp;$I500)</f>
        <v/>
      </c>
      <c r="K500" s="38" t="str">
        <f aca="false">IF($A500="","",IF(COUNTIF(参数!$B$6:$B$8,$H500)=0,"× 付款方式","√"))</f>
        <v/>
      </c>
    </row>
    <row r="501" customFormat="false" ht="13.5" hidden="false" customHeight="false" outlineLevel="0" collapsed="false">
      <c r="A501" s="41"/>
      <c r="B501" s="42"/>
      <c r="C501" s="36"/>
      <c r="D501" s="35"/>
      <c r="E501" s="36"/>
      <c r="F501" s="36"/>
      <c r="G501" s="37"/>
      <c r="H501" s="35"/>
      <c r="I501" s="43" t="str">
        <f aca="false">IF($A501="","",COUNTIFS($A$2:$A501,$A501))</f>
        <v/>
      </c>
      <c r="J501" s="43" t="str">
        <f aca="false">IF($A501="","",$A501&amp;"-"&amp;$I501)</f>
        <v/>
      </c>
      <c r="K501" s="38" t="str">
        <f aca="false">IF($A501="","",IF(COUNTIF(参数!$B$6:$B$8,$H501)=0,"× 付款方式","√"))</f>
        <v/>
      </c>
    </row>
    <row r="502" customFormat="false" ht="13.5" hidden="false" customHeight="false" outlineLevel="0" collapsed="false">
      <c r="A502" s="41"/>
      <c r="B502" s="42"/>
      <c r="C502" s="36"/>
      <c r="D502" s="35"/>
      <c r="E502" s="36"/>
      <c r="F502" s="36"/>
      <c r="G502" s="37"/>
      <c r="H502" s="35"/>
      <c r="I502" s="43" t="str">
        <f aca="false">IF($A502="","",COUNTIFS($A$2:$A502,$A502))</f>
        <v/>
      </c>
      <c r="J502" s="43" t="str">
        <f aca="false">IF($A502="","",$A502&amp;"-"&amp;$I502)</f>
        <v/>
      </c>
      <c r="K502" s="38" t="str">
        <f aca="false">IF($A502="","",IF(COUNTIF(参数!$B$6:$B$8,$H502)=0,"× 付款方式","√"))</f>
        <v/>
      </c>
    </row>
    <row r="503" customFormat="false" ht="13.5" hidden="false" customHeight="false" outlineLevel="0" collapsed="false">
      <c r="A503" s="41"/>
      <c r="B503" s="42"/>
      <c r="C503" s="36"/>
      <c r="D503" s="35"/>
      <c r="E503" s="36"/>
      <c r="F503" s="36"/>
      <c r="G503" s="37"/>
      <c r="H503" s="35"/>
      <c r="I503" s="43" t="str">
        <f aca="false">IF($A503="","",COUNTIFS($A$2:$A503,$A503))</f>
        <v/>
      </c>
      <c r="J503" s="43" t="str">
        <f aca="false">IF($A503="","",$A503&amp;"-"&amp;$I503)</f>
        <v/>
      </c>
      <c r="K503" s="38" t="str">
        <f aca="false">IF($A503="","",IF(COUNTIF(参数!$B$6:$B$8,$H503)=0,"× 付款方式","√"))</f>
        <v/>
      </c>
    </row>
    <row r="504" customFormat="false" ht="13.5" hidden="false" customHeight="false" outlineLevel="0" collapsed="false">
      <c r="A504" s="41"/>
      <c r="B504" s="42"/>
      <c r="C504" s="36"/>
      <c r="D504" s="35"/>
      <c r="E504" s="36"/>
      <c r="F504" s="36"/>
      <c r="G504" s="37"/>
      <c r="H504" s="35"/>
      <c r="I504" s="43" t="str">
        <f aca="false">IF($A504="","",COUNTIFS($A$2:$A504,$A504))</f>
        <v/>
      </c>
      <c r="J504" s="43" t="str">
        <f aca="false">IF($A504="","",$A504&amp;"-"&amp;$I504)</f>
        <v/>
      </c>
      <c r="K504" s="38" t="str">
        <f aca="false">IF($A504="","",IF(COUNTIF(参数!$B$6:$B$8,$H504)=0,"× 付款方式","√"))</f>
        <v/>
      </c>
    </row>
    <row r="505" customFormat="false" ht="13.5" hidden="false" customHeight="false" outlineLevel="0" collapsed="false">
      <c r="A505" s="41"/>
      <c r="B505" s="42"/>
      <c r="C505" s="36"/>
      <c r="D505" s="35"/>
      <c r="E505" s="36"/>
      <c r="F505" s="36"/>
      <c r="G505" s="37"/>
      <c r="H505" s="35"/>
      <c r="I505" s="43" t="str">
        <f aca="false">IF($A505="","",COUNTIFS($A$2:$A505,$A505))</f>
        <v/>
      </c>
      <c r="J505" s="43" t="str">
        <f aca="false">IF($A505="","",$A505&amp;"-"&amp;$I505)</f>
        <v/>
      </c>
      <c r="K505" s="38" t="str">
        <f aca="false">IF($A505="","",IF(COUNTIF(参数!$B$6:$B$8,$H505)=0,"× 付款方式","√"))</f>
        <v/>
      </c>
    </row>
    <row r="506" customFormat="false" ht="13.5" hidden="false" customHeight="false" outlineLevel="0" collapsed="false">
      <c r="A506" s="41"/>
      <c r="B506" s="42"/>
      <c r="C506" s="36"/>
      <c r="D506" s="35"/>
      <c r="E506" s="36"/>
      <c r="F506" s="36"/>
      <c r="G506" s="37"/>
      <c r="H506" s="35"/>
      <c r="I506" s="43" t="str">
        <f aca="false">IF($A506="","",COUNTIFS($A$2:$A506,$A506))</f>
        <v/>
      </c>
      <c r="J506" s="43" t="str">
        <f aca="false">IF($A506="","",$A506&amp;"-"&amp;$I506)</f>
        <v/>
      </c>
      <c r="K506" s="38" t="str">
        <f aca="false">IF($A506="","",IF(COUNTIF(参数!$B$6:$B$8,$H506)=0,"× 付款方式","√"))</f>
        <v/>
      </c>
    </row>
    <row r="507" customFormat="false" ht="13.5" hidden="false" customHeight="false" outlineLevel="0" collapsed="false">
      <c r="A507" s="41"/>
      <c r="B507" s="42"/>
      <c r="C507" s="36"/>
      <c r="D507" s="35"/>
      <c r="E507" s="36"/>
      <c r="F507" s="36"/>
      <c r="G507" s="37"/>
      <c r="H507" s="35"/>
      <c r="I507" s="43" t="str">
        <f aca="false">IF($A507="","",COUNTIFS($A$2:$A507,$A507))</f>
        <v/>
      </c>
      <c r="J507" s="43" t="str">
        <f aca="false">IF($A507="","",$A507&amp;"-"&amp;$I507)</f>
        <v/>
      </c>
      <c r="K507" s="38" t="str">
        <f aca="false">IF($A507="","",IF(COUNTIF(参数!$B$6:$B$8,$H507)=0,"× 付款方式","√"))</f>
        <v/>
      </c>
    </row>
    <row r="508" customFormat="false" ht="13.5" hidden="false" customHeight="false" outlineLevel="0" collapsed="false">
      <c r="A508" s="41"/>
      <c r="B508" s="42"/>
      <c r="C508" s="36"/>
      <c r="D508" s="35"/>
      <c r="E508" s="36"/>
      <c r="F508" s="36"/>
      <c r="G508" s="37"/>
      <c r="H508" s="35"/>
      <c r="I508" s="43" t="str">
        <f aca="false">IF($A508="","",COUNTIFS($A$2:$A508,$A508))</f>
        <v/>
      </c>
      <c r="J508" s="43" t="str">
        <f aca="false">IF($A508="","",$A508&amp;"-"&amp;$I508)</f>
        <v/>
      </c>
      <c r="K508" s="38" t="str">
        <f aca="false">IF($A508="","",IF(COUNTIF(参数!$B$6:$B$8,$H508)=0,"× 付款方式","√"))</f>
        <v/>
      </c>
    </row>
    <row r="509" customFormat="false" ht="13.5" hidden="false" customHeight="false" outlineLevel="0" collapsed="false">
      <c r="A509" s="41"/>
      <c r="B509" s="42"/>
      <c r="C509" s="36"/>
      <c r="D509" s="35"/>
      <c r="E509" s="36"/>
      <c r="F509" s="36"/>
      <c r="G509" s="37"/>
      <c r="H509" s="35"/>
      <c r="I509" s="43" t="str">
        <f aca="false">IF($A509="","",COUNTIFS($A$2:$A509,$A509))</f>
        <v/>
      </c>
      <c r="J509" s="43" t="str">
        <f aca="false">IF($A509="","",$A509&amp;"-"&amp;$I509)</f>
        <v/>
      </c>
      <c r="K509" s="38" t="str">
        <f aca="false">IF($A509="","",IF(COUNTIF(参数!$B$6:$B$8,$H509)=0,"× 付款方式","√"))</f>
        <v/>
      </c>
    </row>
    <row r="510" customFormat="false" ht="13.5" hidden="false" customHeight="false" outlineLevel="0" collapsed="false">
      <c r="A510" s="41"/>
      <c r="B510" s="42"/>
      <c r="C510" s="36"/>
      <c r="D510" s="35"/>
      <c r="E510" s="36"/>
      <c r="F510" s="36"/>
      <c r="G510" s="37"/>
      <c r="H510" s="35"/>
      <c r="I510" s="43" t="str">
        <f aca="false">IF($A510="","",COUNTIFS($A$2:$A510,$A510))</f>
        <v/>
      </c>
      <c r="J510" s="43" t="str">
        <f aca="false">IF($A510="","",$A510&amp;"-"&amp;$I510)</f>
        <v/>
      </c>
      <c r="K510" s="38" t="str">
        <f aca="false">IF($A510="","",IF(COUNTIF(参数!$B$6:$B$8,$H510)=0,"× 付款方式","√"))</f>
        <v/>
      </c>
    </row>
    <row r="511" customFormat="false" ht="13.5" hidden="false" customHeight="false" outlineLevel="0" collapsed="false">
      <c r="A511" s="41"/>
      <c r="B511" s="42"/>
      <c r="C511" s="36"/>
      <c r="D511" s="35"/>
      <c r="E511" s="36"/>
      <c r="F511" s="36"/>
      <c r="G511" s="37"/>
      <c r="H511" s="35"/>
      <c r="I511" s="43" t="str">
        <f aca="false">IF($A511="","",COUNTIFS($A$2:$A511,$A511))</f>
        <v/>
      </c>
      <c r="J511" s="43" t="str">
        <f aca="false">IF($A511="","",$A511&amp;"-"&amp;$I511)</f>
        <v/>
      </c>
      <c r="K511" s="38" t="str">
        <f aca="false">IF($A511="","",IF(COUNTIF(参数!$B$6:$B$8,$H511)=0,"× 付款方式","√"))</f>
        <v/>
      </c>
    </row>
    <row r="512" customFormat="false" ht="13.5" hidden="false" customHeight="false" outlineLevel="0" collapsed="false">
      <c r="A512" s="41"/>
      <c r="B512" s="42"/>
      <c r="C512" s="36"/>
      <c r="D512" s="35"/>
      <c r="E512" s="36"/>
      <c r="F512" s="36"/>
      <c r="G512" s="37"/>
      <c r="H512" s="35"/>
      <c r="I512" s="43" t="str">
        <f aca="false">IF($A512="","",COUNTIFS($A$2:$A512,$A512))</f>
        <v/>
      </c>
      <c r="J512" s="43" t="str">
        <f aca="false">IF($A512="","",$A512&amp;"-"&amp;$I512)</f>
        <v/>
      </c>
      <c r="K512" s="38" t="str">
        <f aca="false">IF($A512="","",IF(COUNTIF(参数!$B$6:$B$8,$H512)=0,"× 付款方式","√"))</f>
        <v/>
      </c>
    </row>
    <row r="513" customFormat="false" ht="13.5" hidden="false" customHeight="false" outlineLevel="0" collapsed="false">
      <c r="A513" s="41"/>
      <c r="B513" s="42"/>
      <c r="C513" s="36"/>
      <c r="D513" s="35"/>
      <c r="E513" s="36"/>
      <c r="F513" s="36"/>
      <c r="G513" s="37"/>
      <c r="H513" s="35"/>
      <c r="I513" s="43" t="str">
        <f aca="false">IF($A513="","",COUNTIFS($A$2:$A513,$A513))</f>
        <v/>
      </c>
      <c r="J513" s="43" t="str">
        <f aca="false">IF($A513="","",$A513&amp;"-"&amp;$I513)</f>
        <v/>
      </c>
      <c r="K513" s="38" t="str">
        <f aca="false">IF($A513="","",IF(COUNTIF(参数!$B$6:$B$8,$H513)=0,"× 付款方式","√"))</f>
        <v/>
      </c>
    </row>
    <row r="514" customFormat="false" ht="13.5" hidden="false" customHeight="false" outlineLevel="0" collapsed="false">
      <c r="A514" s="41"/>
      <c r="B514" s="42"/>
      <c r="C514" s="36"/>
      <c r="D514" s="35"/>
      <c r="E514" s="36"/>
      <c r="F514" s="36"/>
      <c r="G514" s="37"/>
      <c r="H514" s="35"/>
      <c r="I514" s="43" t="str">
        <f aca="false">IF($A514="","",COUNTIFS($A$2:$A514,$A514))</f>
        <v/>
      </c>
      <c r="J514" s="43" t="str">
        <f aca="false">IF($A514="","",$A514&amp;"-"&amp;$I514)</f>
        <v/>
      </c>
      <c r="K514" s="38" t="str">
        <f aca="false">IF($A514="","",IF(COUNTIF(参数!$B$6:$B$8,$H514)=0,"× 付款方式","√"))</f>
        <v/>
      </c>
    </row>
    <row r="515" customFormat="false" ht="13.5" hidden="false" customHeight="false" outlineLevel="0" collapsed="false">
      <c r="A515" s="41"/>
      <c r="B515" s="42"/>
      <c r="C515" s="36"/>
      <c r="D515" s="35"/>
      <c r="E515" s="36"/>
      <c r="F515" s="36"/>
      <c r="G515" s="37"/>
      <c r="H515" s="35"/>
      <c r="I515" s="43" t="str">
        <f aca="false">IF($A515="","",COUNTIFS($A$2:$A515,$A515))</f>
        <v/>
      </c>
      <c r="J515" s="43" t="str">
        <f aca="false">IF($A515="","",$A515&amp;"-"&amp;$I515)</f>
        <v/>
      </c>
      <c r="K515" s="38" t="str">
        <f aca="false">IF($A515="","",IF(COUNTIF(参数!$B$6:$B$8,$H515)=0,"× 付款方式","√"))</f>
        <v/>
      </c>
    </row>
    <row r="516" customFormat="false" ht="13.5" hidden="false" customHeight="false" outlineLevel="0" collapsed="false">
      <c r="A516" s="41"/>
      <c r="B516" s="42"/>
      <c r="C516" s="36"/>
      <c r="D516" s="35"/>
      <c r="E516" s="36"/>
      <c r="F516" s="36"/>
      <c r="G516" s="37"/>
      <c r="H516" s="35"/>
      <c r="I516" s="43" t="str">
        <f aca="false">IF($A516="","",COUNTIFS($A$2:$A516,$A516))</f>
        <v/>
      </c>
      <c r="J516" s="43" t="str">
        <f aca="false">IF($A516="","",$A516&amp;"-"&amp;$I516)</f>
        <v/>
      </c>
      <c r="K516" s="38" t="str">
        <f aca="false">IF($A516="","",IF(COUNTIF(参数!$B$6:$B$8,$H516)=0,"× 付款方式","√"))</f>
        <v/>
      </c>
    </row>
    <row r="517" customFormat="false" ht="13.5" hidden="false" customHeight="false" outlineLevel="0" collapsed="false">
      <c r="A517" s="41"/>
      <c r="B517" s="42"/>
      <c r="C517" s="36"/>
      <c r="D517" s="35"/>
      <c r="E517" s="36"/>
      <c r="F517" s="36"/>
      <c r="G517" s="37"/>
      <c r="H517" s="35"/>
      <c r="I517" s="43" t="str">
        <f aca="false">IF($A517="","",COUNTIFS($A$2:$A517,$A517))</f>
        <v/>
      </c>
      <c r="J517" s="43" t="str">
        <f aca="false">IF($A517="","",$A517&amp;"-"&amp;$I517)</f>
        <v/>
      </c>
      <c r="K517" s="38" t="str">
        <f aca="false">IF($A517="","",IF(COUNTIF(参数!$B$6:$B$8,$H517)=0,"× 付款方式","√"))</f>
        <v/>
      </c>
    </row>
    <row r="518" customFormat="false" ht="13.5" hidden="false" customHeight="false" outlineLevel="0" collapsed="false">
      <c r="A518" s="41"/>
      <c r="B518" s="42"/>
      <c r="C518" s="36"/>
      <c r="D518" s="35"/>
      <c r="E518" s="36"/>
      <c r="F518" s="36"/>
      <c r="G518" s="37"/>
      <c r="H518" s="35"/>
      <c r="I518" s="43" t="str">
        <f aca="false">IF($A518="","",COUNTIFS($A$2:$A518,$A518))</f>
        <v/>
      </c>
      <c r="J518" s="43" t="str">
        <f aca="false">IF($A518="","",$A518&amp;"-"&amp;$I518)</f>
        <v/>
      </c>
      <c r="K518" s="38" t="str">
        <f aca="false">IF($A518="","",IF(COUNTIF(参数!$B$6:$B$8,$H518)=0,"× 付款方式","√"))</f>
        <v/>
      </c>
    </row>
    <row r="519" customFormat="false" ht="13.5" hidden="false" customHeight="false" outlineLevel="0" collapsed="false">
      <c r="A519" s="41"/>
      <c r="B519" s="42"/>
      <c r="C519" s="36"/>
      <c r="D519" s="35"/>
      <c r="E519" s="36"/>
      <c r="F519" s="36"/>
      <c r="G519" s="37"/>
      <c r="H519" s="35"/>
      <c r="I519" s="43" t="str">
        <f aca="false">IF($A519="","",COUNTIFS($A$2:$A519,$A519))</f>
        <v/>
      </c>
      <c r="J519" s="43" t="str">
        <f aca="false">IF($A519="","",$A519&amp;"-"&amp;$I519)</f>
        <v/>
      </c>
      <c r="K519" s="38" t="str">
        <f aca="false">IF($A519="","",IF(COUNTIF(参数!$B$6:$B$8,$H519)=0,"× 付款方式","√"))</f>
        <v/>
      </c>
    </row>
    <row r="520" customFormat="false" ht="13.5" hidden="false" customHeight="false" outlineLevel="0" collapsed="false">
      <c r="A520" s="41"/>
      <c r="B520" s="42"/>
      <c r="C520" s="36"/>
      <c r="D520" s="35"/>
      <c r="E520" s="36"/>
      <c r="F520" s="36"/>
      <c r="G520" s="37"/>
      <c r="H520" s="35"/>
      <c r="I520" s="43" t="str">
        <f aca="false">IF($A520="","",COUNTIFS($A$2:$A520,$A520))</f>
        <v/>
      </c>
      <c r="J520" s="43" t="str">
        <f aca="false">IF($A520="","",$A520&amp;"-"&amp;$I520)</f>
        <v/>
      </c>
      <c r="K520" s="38" t="str">
        <f aca="false">IF($A520="","",IF(COUNTIF(参数!$B$6:$B$8,$H520)=0,"× 付款方式","√"))</f>
        <v/>
      </c>
    </row>
    <row r="521" customFormat="false" ht="13.5" hidden="false" customHeight="false" outlineLevel="0" collapsed="false">
      <c r="A521" s="41"/>
      <c r="B521" s="42"/>
      <c r="C521" s="36"/>
      <c r="D521" s="35"/>
      <c r="E521" s="36"/>
      <c r="F521" s="36"/>
      <c r="G521" s="37"/>
      <c r="H521" s="35"/>
      <c r="I521" s="43" t="str">
        <f aca="false">IF($A521="","",COUNTIFS($A$2:$A521,$A521))</f>
        <v/>
      </c>
      <c r="J521" s="43" t="str">
        <f aca="false">IF($A521="","",$A521&amp;"-"&amp;$I521)</f>
        <v/>
      </c>
      <c r="K521" s="38" t="str">
        <f aca="false">IF($A521="","",IF(COUNTIF(参数!$B$6:$B$8,$H521)=0,"× 付款方式","√"))</f>
        <v/>
      </c>
    </row>
    <row r="522" customFormat="false" ht="13.5" hidden="false" customHeight="false" outlineLevel="0" collapsed="false">
      <c r="A522" s="41"/>
      <c r="B522" s="42"/>
      <c r="C522" s="36"/>
      <c r="D522" s="35"/>
      <c r="E522" s="36"/>
      <c r="F522" s="36"/>
      <c r="G522" s="37"/>
      <c r="H522" s="35"/>
      <c r="I522" s="43" t="str">
        <f aca="false">IF($A522="","",COUNTIFS($A$2:$A522,$A522))</f>
        <v/>
      </c>
      <c r="J522" s="43" t="str">
        <f aca="false">IF($A522="","",$A522&amp;"-"&amp;$I522)</f>
        <v/>
      </c>
      <c r="K522" s="38" t="str">
        <f aca="false">IF($A522="","",IF(COUNTIF(参数!$B$6:$B$8,$H522)=0,"× 付款方式","√"))</f>
        <v/>
      </c>
    </row>
    <row r="523" customFormat="false" ht="13.5" hidden="false" customHeight="false" outlineLevel="0" collapsed="false">
      <c r="A523" s="41"/>
      <c r="B523" s="42"/>
      <c r="C523" s="36"/>
      <c r="D523" s="35"/>
      <c r="E523" s="36"/>
      <c r="F523" s="36"/>
      <c r="G523" s="37"/>
      <c r="H523" s="35"/>
      <c r="I523" s="43" t="str">
        <f aca="false">IF($A523="","",COUNTIFS($A$2:$A523,$A523))</f>
        <v/>
      </c>
      <c r="J523" s="43" t="str">
        <f aca="false">IF($A523="","",$A523&amp;"-"&amp;$I523)</f>
        <v/>
      </c>
      <c r="K523" s="38" t="str">
        <f aca="false">IF($A523="","",IF(COUNTIF(参数!$B$6:$B$8,$H523)=0,"× 付款方式","√"))</f>
        <v/>
      </c>
    </row>
    <row r="524" customFormat="false" ht="13.5" hidden="false" customHeight="false" outlineLevel="0" collapsed="false">
      <c r="A524" s="41"/>
      <c r="B524" s="42"/>
      <c r="C524" s="36"/>
      <c r="D524" s="35"/>
      <c r="E524" s="36"/>
      <c r="F524" s="36"/>
      <c r="G524" s="37"/>
      <c r="H524" s="35"/>
      <c r="I524" s="43" t="str">
        <f aca="false">IF($A524="","",COUNTIFS($A$2:$A524,$A524))</f>
        <v/>
      </c>
      <c r="J524" s="43" t="str">
        <f aca="false">IF($A524="","",$A524&amp;"-"&amp;$I524)</f>
        <v/>
      </c>
      <c r="K524" s="38" t="str">
        <f aca="false">IF($A524="","",IF(COUNTIF(参数!$B$6:$B$8,$H524)=0,"× 付款方式","√"))</f>
        <v/>
      </c>
    </row>
    <row r="525" customFormat="false" ht="13.5" hidden="false" customHeight="false" outlineLevel="0" collapsed="false">
      <c r="A525" s="41"/>
      <c r="B525" s="42"/>
      <c r="C525" s="36"/>
      <c r="D525" s="35"/>
      <c r="E525" s="36"/>
      <c r="F525" s="36"/>
      <c r="G525" s="37"/>
      <c r="H525" s="35"/>
      <c r="I525" s="43" t="str">
        <f aca="false">IF($A525="","",COUNTIFS($A$2:$A525,$A525))</f>
        <v/>
      </c>
      <c r="J525" s="43" t="str">
        <f aca="false">IF($A525="","",$A525&amp;"-"&amp;$I525)</f>
        <v/>
      </c>
      <c r="K525" s="38" t="str">
        <f aca="false">IF($A525="","",IF(COUNTIF(参数!$B$6:$B$8,$H525)=0,"× 付款方式","√"))</f>
        <v/>
      </c>
    </row>
    <row r="526" customFormat="false" ht="13.5" hidden="false" customHeight="false" outlineLevel="0" collapsed="false">
      <c r="A526" s="41"/>
      <c r="B526" s="42"/>
      <c r="C526" s="36"/>
      <c r="D526" s="35"/>
      <c r="E526" s="36"/>
      <c r="F526" s="36"/>
      <c r="G526" s="37"/>
      <c r="H526" s="35"/>
      <c r="I526" s="43" t="str">
        <f aca="false">IF($A526="","",COUNTIFS($A$2:$A526,$A526))</f>
        <v/>
      </c>
      <c r="J526" s="43" t="str">
        <f aca="false">IF($A526="","",$A526&amp;"-"&amp;$I526)</f>
        <v/>
      </c>
      <c r="K526" s="38" t="str">
        <f aca="false">IF($A526="","",IF(COUNTIF(参数!$B$6:$B$8,$H526)=0,"× 付款方式","√"))</f>
        <v/>
      </c>
    </row>
    <row r="527" customFormat="false" ht="13.5" hidden="false" customHeight="false" outlineLevel="0" collapsed="false">
      <c r="A527" s="41"/>
      <c r="B527" s="42"/>
      <c r="C527" s="36"/>
      <c r="D527" s="35"/>
      <c r="E527" s="36"/>
      <c r="F527" s="36"/>
      <c r="G527" s="37"/>
      <c r="H527" s="35"/>
      <c r="I527" s="43" t="str">
        <f aca="false">IF($A527="","",COUNTIFS($A$2:$A527,$A527))</f>
        <v/>
      </c>
      <c r="J527" s="43" t="str">
        <f aca="false">IF($A527="","",$A527&amp;"-"&amp;$I527)</f>
        <v/>
      </c>
      <c r="K527" s="38" t="str">
        <f aca="false">IF($A527="","",IF(COUNTIF(参数!$B$6:$B$8,$H527)=0,"× 付款方式","√"))</f>
        <v/>
      </c>
    </row>
    <row r="528" customFormat="false" ht="13.5" hidden="false" customHeight="false" outlineLevel="0" collapsed="false">
      <c r="A528" s="41"/>
      <c r="B528" s="42"/>
      <c r="C528" s="36"/>
      <c r="D528" s="35"/>
      <c r="E528" s="36"/>
      <c r="F528" s="36"/>
      <c r="G528" s="37"/>
      <c r="H528" s="35"/>
      <c r="I528" s="43" t="str">
        <f aca="false">IF($A528="","",COUNTIFS($A$2:$A528,$A528))</f>
        <v/>
      </c>
      <c r="J528" s="43" t="str">
        <f aca="false">IF($A528="","",$A528&amp;"-"&amp;$I528)</f>
        <v/>
      </c>
      <c r="K528" s="38" t="str">
        <f aca="false">IF($A528="","",IF(COUNTIF(参数!$B$6:$B$8,$H528)=0,"× 付款方式","√"))</f>
        <v/>
      </c>
    </row>
    <row r="529" customFormat="false" ht="13.5" hidden="false" customHeight="false" outlineLevel="0" collapsed="false">
      <c r="A529" s="41"/>
      <c r="B529" s="42"/>
      <c r="C529" s="36"/>
      <c r="D529" s="35"/>
      <c r="E529" s="36"/>
      <c r="F529" s="36"/>
      <c r="G529" s="37"/>
      <c r="H529" s="35"/>
      <c r="I529" s="43" t="str">
        <f aca="false">IF($A529="","",COUNTIFS($A$2:$A529,$A529))</f>
        <v/>
      </c>
      <c r="J529" s="43" t="str">
        <f aca="false">IF($A529="","",$A529&amp;"-"&amp;$I529)</f>
        <v/>
      </c>
      <c r="K529" s="38" t="str">
        <f aca="false">IF($A529="","",IF(COUNTIF(参数!$B$6:$B$8,$H529)=0,"× 付款方式","√"))</f>
        <v/>
      </c>
    </row>
    <row r="530" customFormat="false" ht="13.5" hidden="false" customHeight="false" outlineLevel="0" collapsed="false">
      <c r="A530" s="41"/>
      <c r="B530" s="42"/>
      <c r="C530" s="36"/>
      <c r="D530" s="35"/>
      <c r="E530" s="36"/>
      <c r="F530" s="36"/>
      <c r="G530" s="37"/>
      <c r="H530" s="35"/>
      <c r="I530" s="43" t="str">
        <f aca="false">IF($A530="","",COUNTIFS($A$2:$A530,$A530))</f>
        <v/>
      </c>
      <c r="J530" s="43" t="str">
        <f aca="false">IF($A530="","",$A530&amp;"-"&amp;$I530)</f>
        <v/>
      </c>
      <c r="K530" s="38" t="str">
        <f aca="false">IF($A530="","",IF(COUNTIF(参数!$B$6:$B$8,$H530)=0,"× 付款方式","√"))</f>
        <v/>
      </c>
    </row>
    <row r="531" customFormat="false" ht="13.5" hidden="false" customHeight="false" outlineLevel="0" collapsed="false">
      <c r="A531" s="41"/>
      <c r="B531" s="42"/>
      <c r="C531" s="36"/>
      <c r="D531" s="35"/>
      <c r="E531" s="36"/>
      <c r="F531" s="36"/>
      <c r="G531" s="37"/>
      <c r="H531" s="35"/>
      <c r="I531" s="43" t="str">
        <f aca="false">IF($A531="","",COUNTIFS($A$2:$A531,$A531))</f>
        <v/>
      </c>
      <c r="J531" s="43" t="str">
        <f aca="false">IF($A531="","",$A531&amp;"-"&amp;$I531)</f>
        <v/>
      </c>
      <c r="K531" s="38" t="str">
        <f aca="false">IF($A531="","",IF(COUNTIF(参数!$B$6:$B$8,$H531)=0,"× 付款方式","√"))</f>
        <v/>
      </c>
    </row>
    <row r="532" customFormat="false" ht="13.5" hidden="false" customHeight="false" outlineLevel="0" collapsed="false">
      <c r="A532" s="41"/>
      <c r="B532" s="42"/>
      <c r="C532" s="36"/>
      <c r="D532" s="35"/>
      <c r="E532" s="36"/>
      <c r="F532" s="36"/>
      <c r="G532" s="37"/>
      <c r="H532" s="35"/>
      <c r="I532" s="43" t="str">
        <f aca="false">IF($A532="","",COUNTIFS($A$2:$A532,$A532))</f>
        <v/>
      </c>
      <c r="J532" s="43" t="str">
        <f aca="false">IF($A532="","",$A532&amp;"-"&amp;$I532)</f>
        <v/>
      </c>
      <c r="K532" s="38" t="str">
        <f aca="false">IF($A532="","",IF(COUNTIF(参数!$B$6:$B$8,$H532)=0,"× 付款方式","√"))</f>
        <v/>
      </c>
    </row>
    <row r="533" customFormat="false" ht="13.5" hidden="false" customHeight="false" outlineLevel="0" collapsed="false">
      <c r="A533" s="41"/>
      <c r="B533" s="42"/>
      <c r="C533" s="36"/>
      <c r="D533" s="35"/>
      <c r="E533" s="36"/>
      <c r="F533" s="36"/>
      <c r="G533" s="37"/>
      <c r="H533" s="35"/>
      <c r="I533" s="43" t="str">
        <f aca="false">IF($A533="","",COUNTIFS($A$2:$A533,$A533))</f>
        <v/>
      </c>
      <c r="J533" s="43" t="str">
        <f aca="false">IF($A533="","",$A533&amp;"-"&amp;$I533)</f>
        <v/>
      </c>
      <c r="K533" s="38" t="str">
        <f aca="false">IF($A533="","",IF(COUNTIF(参数!$B$6:$B$8,$H533)=0,"× 付款方式","√"))</f>
        <v/>
      </c>
    </row>
    <row r="534" customFormat="false" ht="13.5" hidden="false" customHeight="false" outlineLevel="0" collapsed="false">
      <c r="A534" s="41"/>
      <c r="B534" s="42"/>
      <c r="C534" s="36"/>
      <c r="D534" s="35"/>
      <c r="E534" s="36"/>
      <c r="F534" s="36"/>
      <c r="G534" s="37"/>
      <c r="H534" s="35"/>
      <c r="I534" s="43" t="str">
        <f aca="false">IF($A534="","",COUNTIFS($A$2:$A534,$A534))</f>
        <v/>
      </c>
      <c r="J534" s="43" t="str">
        <f aca="false">IF($A534="","",$A534&amp;"-"&amp;$I534)</f>
        <v/>
      </c>
      <c r="K534" s="38" t="str">
        <f aca="false">IF($A534="","",IF(COUNTIF(参数!$B$6:$B$8,$H534)=0,"× 付款方式","√"))</f>
        <v/>
      </c>
    </row>
    <row r="535" customFormat="false" ht="13.5" hidden="false" customHeight="false" outlineLevel="0" collapsed="false">
      <c r="A535" s="41"/>
      <c r="B535" s="42"/>
      <c r="C535" s="36"/>
      <c r="D535" s="35"/>
      <c r="E535" s="36"/>
      <c r="F535" s="36"/>
      <c r="G535" s="37"/>
      <c r="H535" s="35"/>
      <c r="I535" s="43" t="str">
        <f aca="false">IF($A535="","",COUNTIFS($A$2:$A535,$A535))</f>
        <v/>
      </c>
      <c r="J535" s="43" t="str">
        <f aca="false">IF($A535="","",$A535&amp;"-"&amp;$I535)</f>
        <v/>
      </c>
      <c r="K535" s="38" t="str">
        <f aca="false">IF($A535="","",IF(COUNTIF(参数!$B$6:$B$8,$H535)=0,"× 付款方式","√"))</f>
        <v/>
      </c>
    </row>
    <row r="536" customFormat="false" ht="13.5" hidden="false" customHeight="false" outlineLevel="0" collapsed="false">
      <c r="A536" s="41"/>
      <c r="B536" s="42"/>
      <c r="C536" s="36"/>
      <c r="D536" s="35"/>
      <c r="E536" s="36"/>
      <c r="F536" s="36"/>
      <c r="G536" s="37"/>
      <c r="H536" s="35"/>
      <c r="I536" s="43" t="str">
        <f aca="false">IF($A536="","",COUNTIFS($A$2:$A536,$A536))</f>
        <v/>
      </c>
      <c r="J536" s="43" t="str">
        <f aca="false">IF($A536="","",$A536&amp;"-"&amp;$I536)</f>
        <v/>
      </c>
      <c r="K536" s="38" t="str">
        <f aca="false">IF($A536="","",IF(COUNTIF(参数!$B$6:$B$8,$H536)=0,"× 付款方式","√"))</f>
        <v/>
      </c>
    </row>
    <row r="537" customFormat="false" ht="13.5" hidden="false" customHeight="false" outlineLevel="0" collapsed="false">
      <c r="A537" s="41"/>
      <c r="B537" s="42"/>
      <c r="C537" s="36"/>
      <c r="D537" s="35"/>
      <c r="E537" s="36"/>
      <c r="F537" s="36"/>
      <c r="G537" s="37"/>
      <c r="H537" s="35"/>
      <c r="I537" s="43" t="str">
        <f aca="false">IF($A537="","",COUNTIFS($A$2:$A537,$A537))</f>
        <v/>
      </c>
      <c r="J537" s="43" t="str">
        <f aca="false">IF($A537="","",$A537&amp;"-"&amp;$I537)</f>
        <v/>
      </c>
      <c r="K537" s="38" t="str">
        <f aca="false">IF($A537="","",IF(COUNTIF(参数!$B$6:$B$8,$H537)=0,"× 付款方式","√"))</f>
        <v/>
      </c>
    </row>
    <row r="538" customFormat="false" ht="13.5" hidden="false" customHeight="false" outlineLevel="0" collapsed="false">
      <c r="A538" s="41"/>
      <c r="B538" s="42"/>
      <c r="C538" s="36"/>
      <c r="D538" s="35"/>
      <c r="E538" s="36"/>
      <c r="F538" s="36"/>
      <c r="G538" s="37"/>
      <c r="H538" s="35"/>
      <c r="I538" s="43" t="str">
        <f aca="false">IF($A538="","",COUNTIFS($A$2:$A538,$A538))</f>
        <v/>
      </c>
      <c r="J538" s="43" t="str">
        <f aca="false">IF($A538="","",$A538&amp;"-"&amp;$I538)</f>
        <v/>
      </c>
      <c r="K538" s="38" t="str">
        <f aca="false">IF($A538="","",IF(COUNTIF(参数!$B$6:$B$8,$H538)=0,"× 付款方式","√"))</f>
        <v/>
      </c>
    </row>
    <row r="539" customFormat="false" ht="13.5" hidden="false" customHeight="false" outlineLevel="0" collapsed="false">
      <c r="A539" s="41"/>
      <c r="B539" s="42"/>
      <c r="C539" s="36"/>
      <c r="D539" s="35"/>
      <c r="E539" s="36"/>
      <c r="F539" s="36"/>
      <c r="G539" s="37"/>
      <c r="H539" s="35"/>
      <c r="I539" s="43" t="str">
        <f aca="false">IF($A539="","",COUNTIFS($A$2:$A539,$A539))</f>
        <v/>
      </c>
      <c r="J539" s="43" t="str">
        <f aca="false">IF($A539="","",$A539&amp;"-"&amp;$I539)</f>
        <v/>
      </c>
      <c r="K539" s="38" t="str">
        <f aca="false">IF($A539="","",IF(COUNTIF(参数!$B$6:$B$8,$H539)=0,"× 付款方式","√"))</f>
        <v/>
      </c>
    </row>
    <row r="540" customFormat="false" ht="13.5" hidden="false" customHeight="false" outlineLevel="0" collapsed="false">
      <c r="A540" s="41"/>
      <c r="B540" s="42"/>
      <c r="C540" s="36"/>
      <c r="D540" s="35"/>
      <c r="E540" s="36"/>
      <c r="F540" s="36"/>
      <c r="G540" s="37"/>
      <c r="H540" s="35"/>
      <c r="I540" s="43" t="str">
        <f aca="false">IF($A540="","",COUNTIFS($A$2:$A540,$A540))</f>
        <v/>
      </c>
      <c r="J540" s="43" t="str">
        <f aca="false">IF($A540="","",$A540&amp;"-"&amp;$I540)</f>
        <v/>
      </c>
      <c r="K540" s="38" t="str">
        <f aca="false">IF($A540="","",IF(COUNTIF(参数!$B$6:$B$8,$H540)=0,"× 付款方式","√"))</f>
        <v/>
      </c>
    </row>
    <row r="541" customFormat="false" ht="13.5" hidden="false" customHeight="false" outlineLevel="0" collapsed="false">
      <c r="A541" s="41"/>
      <c r="B541" s="42"/>
      <c r="C541" s="36"/>
      <c r="D541" s="35"/>
      <c r="E541" s="36"/>
      <c r="F541" s="36"/>
      <c r="G541" s="37"/>
      <c r="H541" s="35"/>
      <c r="I541" s="43" t="str">
        <f aca="false">IF($A541="","",COUNTIFS($A$2:$A541,$A541))</f>
        <v/>
      </c>
      <c r="J541" s="43" t="str">
        <f aca="false">IF($A541="","",$A541&amp;"-"&amp;$I541)</f>
        <v/>
      </c>
      <c r="K541" s="38" t="str">
        <f aca="false">IF($A541="","",IF(COUNTIF(参数!$B$6:$B$8,$H541)=0,"× 付款方式","√"))</f>
        <v/>
      </c>
    </row>
    <row r="542" customFormat="false" ht="13.5" hidden="false" customHeight="false" outlineLevel="0" collapsed="false">
      <c r="A542" s="41"/>
      <c r="B542" s="42"/>
      <c r="C542" s="36"/>
      <c r="D542" s="35"/>
      <c r="E542" s="36"/>
      <c r="F542" s="36"/>
      <c r="G542" s="37"/>
      <c r="H542" s="35"/>
      <c r="I542" s="43" t="str">
        <f aca="false">IF($A542="","",COUNTIFS($A$2:$A542,$A542))</f>
        <v/>
      </c>
      <c r="J542" s="43" t="str">
        <f aca="false">IF($A542="","",$A542&amp;"-"&amp;$I542)</f>
        <v/>
      </c>
      <c r="K542" s="38" t="str">
        <f aca="false">IF($A542="","",IF(COUNTIF(参数!$B$6:$B$8,$H542)=0,"× 付款方式","√"))</f>
        <v/>
      </c>
    </row>
    <row r="543" customFormat="false" ht="13.5" hidden="false" customHeight="false" outlineLevel="0" collapsed="false">
      <c r="A543" s="41"/>
      <c r="B543" s="42"/>
      <c r="C543" s="36"/>
      <c r="D543" s="35"/>
      <c r="E543" s="36"/>
      <c r="F543" s="36"/>
      <c r="G543" s="37"/>
      <c r="H543" s="35"/>
      <c r="I543" s="43" t="str">
        <f aca="false">IF($A543="","",COUNTIFS($A$2:$A543,$A543))</f>
        <v/>
      </c>
      <c r="J543" s="43" t="str">
        <f aca="false">IF($A543="","",$A543&amp;"-"&amp;$I543)</f>
        <v/>
      </c>
      <c r="K543" s="38" t="str">
        <f aca="false">IF($A543="","",IF(COUNTIF(参数!$B$6:$B$8,$H543)=0,"× 付款方式","√"))</f>
        <v/>
      </c>
    </row>
    <row r="544" customFormat="false" ht="13.5" hidden="false" customHeight="false" outlineLevel="0" collapsed="false">
      <c r="A544" s="41"/>
      <c r="B544" s="42"/>
      <c r="C544" s="36"/>
      <c r="D544" s="35"/>
      <c r="E544" s="36"/>
      <c r="F544" s="36"/>
      <c r="G544" s="37"/>
      <c r="H544" s="35"/>
      <c r="I544" s="43" t="str">
        <f aca="false">IF($A544="","",COUNTIFS($A$2:$A544,$A544))</f>
        <v/>
      </c>
      <c r="J544" s="43" t="str">
        <f aca="false">IF($A544="","",$A544&amp;"-"&amp;$I544)</f>
        <v/>
      </c>
      <c r="K544" s="38" t="str">
        <f aca="false">IF($A544="","",IF(COUNTIF(参数!$B$6:$B$8,$H544)=0,"× 付款方式","√"))</f>
        <v/>
      </c>
    </row>
    <row r="545" customFormat="false" ht="13.5" hidden="false" customHeight="false" outlineLevel="0" collapsed="false">
      <c r="A545" s="41"/>
      <c r="B545" s="42"/>
      <c r="C545" s="36"/>
      <c r="D545" s="35"/>
      <c r="E545" s="36"/>
      <c r="F545" s="36"/>
      <c r="G545" s="37"/>
      <c r="H545" s="35"/>
      <c r="I545" s="43" t="str">
        <f aca="false">IF($A545="","",COUNTIFS($A$2:$A545,$A545))</f>
        <v/>
      </c>
      <c r="J545" s="43" t="str">
        <f aca="false">IF($A545="","",$A545&amp;"-"&amp;$I545)</f>
        <v/>
      </c>
      <c r="K545" s="38" t="str">
        <f aca="false">IF($A545="","",IF(COUNTIF(参数!$B$6:$B$8,$H545)=0,"× 付款方式","√"))</f>
        <v/>
      </c>
    </row>
    <row r="546" customFormat="false" ht="13.5" hidden="false" customHeight="false" outlineLevel="0" collapsed="false">
      <c r="A546" s="41"/>
      <c r="B546" s="42"/>
      <c r="C546" s="36"/>
      <c r="D546" s="35"/>
      <c r="E546" s="36"/>
      <c r="F546" s="36"/>
      <c r="G546" s="37"/>
      <c r="H546" s="35"/>
      <c r="I546" s="43" t="str">
        <f aca="false">IF($A546="","",COUNTIFS($A$2:$A546,$A546))</f>
        <v/>
      </c>
      <c r="J546" s="43" t="str">
        <f aca="false">IF($A546="","",$A546&amp;"-"&amp;$I546)</f>
        <v/>
      </c>
      <c r="K546" s="38" t="str">
        <f aca="false">IF($A546="","",IF(COUNTIF(参数!$B$6:$B$8,$H546)=0,"× 付款方式","√"))</f>
        <v/>
      </c>
    </row>
    <row r="547" customFormat="false" ht="13.5" hidden="false" customHeight="false" outlineLevel="0" collapsed="false">
      <c r="A547" s="41"/>
      <c r="B547" s="42"/>
      <c r="C547" s="36"/>
      <c r="D547" s="35"/>
      <c r="E547" s="36"/>
      <c r="F547" s="36"/>
      <c r="G547" s="37"/>
      <c r="H547" s="35"/>
      <c r="I547" s="43" t="str">
        <f aca="false">IF($A547="","",COUNTIFS($A$2:$A547,$A547))</f>
        <v/>
      </c>
      <c r="J547" s="43" t="str">
        <f aca="false">IF($A547="","",$A547&amp;"-"&amp;$I547)</f>
        <v/>
      </c>
      <c r="K547" s="38" t="str">
        <f aca="false">IF($A547="","",IF(COUNTIF(参数!$B$6:$B$8,$H547)=0,"× 付款方式","√"))</f>
        <v/>
      </c>
    </row>
    <row r="548" customFormat="false" ht="13.5" hidden="false" customHeight="false" outlineLevel="0" collapsed="false">
      <c r="A548" s="41"/>
      <c r="B548" s="42"/>
      <c r="C548" s="36"/>
      <c r="D548" s="35"/>
      <c r="E548" s="36"/>
      <c r="F548" s="36"/>
      <c r="G548" s="37"/>
      <c r="H548" s="35"/>
      <c r="I548" s="43" t="str">
        <f aca="false">IF($A548="","",COUNTIFS($A$2:$A548,$A548))</f>
        <v/>
      </c>
      <c r="J548" s="43" t="str">
        <f aca="false">IF($A548="","",$A548&amp;"-"&amp;$I548)</f>
        <v/>
      </c>
      <c r="K548" s="38" t="str">
        <f aca="false">IF($A548="","",IF(COUNTIF(参数!$B$6:$B$8,$H548)=0,"× 付款方式","√"))</f>
        <v/>
      </c>
    </row>
    <row r="549" customFormat="false" ht="13.5" hidden="false" customHeight="false" outlineLevel="0" collapsed="false">
      <c r="A549" s="41"/>
      <c r="B549" s="42"/>
      <c r="C549" s="36"/>
      <c r="D549" s="35"/>
      <c r="E549" s="36"/>
      <c r="F549" s="36"/>
      <c r="G549" s="37"/>
      <c r="H549" s="35"/>
      <c r="I549" s="43" t="str">
        <f aca="false">IF($A549="","",COUNTIFS($A$2:$A549,$A549))</f>
        <v/>
      </c>
      <c r="J549" s="43" t="str">
        <f aca="false">IF($A549="","",$A549&amp;"-"&amp;$I549)</f>
        <v/>
      </c>
      <c r="K549" s="38" t="str">
        <f aca="false">IF($A549="","",IF(COUNTIF(参数!$B$6:$B$8,$H549)=0,"× 付款方式","√"))</f>
        <v/>
      </c>
    </row>
    <row r="550" customFormat="false" ht="13.5" hidden="false" customHeight="false" outlineLevel="0" collapsed="false">
      <c r="A550" s="41"/>
      <c r="B550" s="42"/>
      <c r="C550" s="36"/>
      <c r="D550" s="35"/>
      <c r="E550" s="36"/>
      <c r="F550" s="36"/>
      <c r="G550" s="37"/>
      <c r="H550" s="35"/>
      <c r="I550" s="43" t="str">
        <f aca="false">IF($A550="","",COUNTIFS($A$2:$A550,$A550))</f>
        <v/>
      </c>
      <c r="J550" s="43" t="str">
        <f aca="false">IF($A550="","",$A550&amp;"-"&amp;$I550)</f>
        <v/>
      </c>
      <c r="K550" s="38" t="str">
        <f aca="false">IF($A550="","",IF(COUNTIF(参数!$B$6:$B$8,$H550)=0,"× 付款方式","√"))</f>
        <v/>
      </c>
    </row>
    <row r="551" customFormat="false" ht="13.5" hidden="false" customHeight="false" outlineLevel="0" collapsed="false">
      <c r="A551" s="41"/>
      <c r="B551" s="42"/>
      <c r="C551" s="36"/>
      <c r="D551" s="35"/>
      <c r="E551" s="36"/>
      <c r="F551" s="36"/>
      <c r="G551" s="37"/>
      <c r="H551" s="35"/>
      <c r="I551" s="43" t="str">
        <f aca="false">IF($A551="","",COUNTIFS($A$2:$A551,$A551))</f>
        <v/>
      </c>
      <c r="J551" s="43" t="str">
        <f aca="false">IF($A551="","",$A551&amp;"-"&amp;$I551)</f>
        <v/>
      </c>
      <c r="K551" s="38" t="str">
        <f aca="false">IF($A551="","",IF(COUNTIF(参数!$B$6:$B$8,$H551)=0,"× 付款方式","√"))</f>
        <v/>
      </c>
    </row>
    <row r="552" customFormat="false" ht="13.5" hidden="false" customHeight="false" outlineLevel="0" collapsed="false">
      <c r="A552" s="41"/>
      <c r="B552" s="42"/>
      <c r="C552" s="36"/>
      <c r="D552" s="35"/>
      <c r="E552" s="36"/>
      <c r="F552" s="36"/>
      <c r="G552" s="37"/>
      <c r="H552" s="35"/>
      <c r="I552" s="43" t="str">
        <f aca="false">IF($A552="","",COUNTIFS($A$2:$A552,$A552))</f>
        <v/>
      </c>
      <c r="J552" s="43" t="str">
        <f aca="false">IF($A552="","",$A552&amp;"-"&amp;$I552)</f>
        <v/>
      </c>
      <c r="K552" s="38" t="str">
        <f aca="false">IF($A552="","",IF(COUNTIF(参数!$B$6:$B$8,$H552)=0,"× 付款方式","√"))</f>
        <v/>
      </c>
    </row>
    <row r="553" customFormat="false" ht="13.5" hidden="false" customHeight="false" outlineLevel="0" collapsed="false">
      <c r="A553" s="41"/>
      <c r="B553" s="42"/>
      <c r="C553" s="36"/>
      <c r="D553" s="35"/>
      <c r="E553" s="36"/>
      <c r="F553" s="36"/>
      <c r="G553" s="37"/>
      <c r="H553" s="35"/>
      <c r="I553" s="43" t="str">
        <f aca="false">IF($A553="","",COUNTIFS($A$2:$A553,$A553))</f>
        <v/>
      </c>
      <c r="J553" s="43" t="str">
        <f aca="false">IF($A553="","",$A553&amp;"-"&amp;$I553)</f>
        <v/>
      </c>
      <c r="K553" s="38" t="str">
        <f aca="false">IF($A553="","",IF(COUNTIF(参数!$B$6:$B$8,$H553)=0,"× 付款方式","√"))</f>
        <v/>
      </c>
    </row>
    <row r="554" customFormat="false" ht="13.5" hidden="false" customHeight="false" outlineLevel="0" collapsed="false">
      <c r="A554" s="41"/>
      <c r="B554" s="42"/>
      <c r="C554" s="36"/>
      <c r="D554" s="35"/>
      <c r="E554" s="36"/>
      <c r="F554" s="36"/>
      <c r="G554" s="37"/>
      <c r="H554" s="35"/>
      <c r="I554" s="43" t="str">
        <f aca="false">IF($A554="","",COUNTIFS($A$2:$A554,$A554))</f>
        <v/>
      </c>
      <c r="J554" s="43" t="str">
        <f aca="false">IF($A554="","",$A554&amp;"-"&amp;$I554)</f>
        <v/>
      </c>
      <c r="K554" s="38" t="str">
        <f aca="false">IF($A554="","",IF(COUNTIF(参数!$B$6:$B$8,$H554)=0,"× 付款方式","√"))</f>
        <v/>
      </c>
    </row>
    <row r="555" customFormat="false" ht="13.5" hidden="false" customHeight="false" outlineLevel="0" collapsed="false">
      <c r="A555" s="41"/>
      <c r="B555" s="42"/>
      <c r="C555" s="36"/>
      <c r="D555" s="35"/>
      <c r="E555" s="36"/>
      <c r="F555" s="36"/>
      <c r="G555" s="37"/>
      <c r="H555" s="35"/>
      <c r="I555" s="43" t="str">
        <f aca="false">IF($A555="","",COUNTIFS($A$2:$A555,$A555))</f>
        <v/>
      </c>
      <c r="J555" s="43" t="str">
        <f aca="false">IF($A555="","",$A555&amp;"-"&amp;$I555)</f>
        <v/>
      </c>
      <c r="K555" s="38" t="str">
        <f aca="false">IF($A555="","",IF(COUNTIF(参数!$B$6:$B$8,$H555)=0,"× 付款方式","√"))</f>
        <v/>
      </c>
    </row>
    <row r="556" customFormat="false" ht="13.5" hidden="false" customHeight="false" outlineLevel="0" collapsed="false">
      <c r="A556" s="41"/>
      <c r="B556" s="42"/>
      <c r="C556" s="36"/>
      <c r="D556" s="35"/>
      <c r="E556" s="36"/>
      <c r="F556" s="36"/>
      <c r="G556" s="37"/>
      <c r="H556" s="35"/>
      <c r="I556" s="43" t="str">
        <f aca="false">IF($A556="","",COUNTIFS($A$2:$A556,$A556))</f>
        <v/>
      </c>
      <c r="J556" s="43" t="str">
        <f aca="false">IF($A556="","",$A556&amp;"-"&amp;$I556)</f>
        <v/>
      </c>
      <c r="K556" s="38" t="str">
        <f aca="false">IF($A556="","",IF(COUNTIF(参数!$B$6:$B$8,$H556)=0,"× 付款方式","√"))</f>
        <v/>
      </c>
    </row>
    <row r="557" customFormat="false" ht="13.5" hidden="false" customHeight="false" outlineLevel="0" collapsed="false">
      <c r="A557" s="41"/>
      <c r="B557" s="42"/>
      <c r="C557" s="36"/>
      <c r="D557" s="35"/>
      <c r="E557" s="36"/>
      <c r="F557" s="36"/>
      <c r="G557" s="37"/>
      <c r="H557" s="35"/>
      <c r="I557" s="43" t="str">
        <f aca="false">IF($A557="","",COUNTIFS($A$2:$A557,$A557))</f>
        <v/>
      </c>
      <c r="J557" s="43" t="str">
        <f aca="false">IF($A557="","",$A557&amp;"-"&amp;$I557)</f>
        <v/>
      </c>
      <c r="K557" s="38" t="str">
        <f aca="false">IF($A557="","",IF(COUNTIF(参数!$B$6:$B$8,$H557)=0,"× 付款方式","√"))</f>
        <v/>
      </c>
    </row>
    <row r="558" customFormat="false" ht="13.5" hidden="false" customHeight="false" outlineLevel="0" collapsed="false">
      <c r="A558" s="41"/>
      <c r="B558" s="42"/>
      <c r="C558" s="36"/>
      <c r="D558" s="35"/>
      <c r="E558" s="36"/>
      <c r="F558" s="36"/>
      <c r="G558" s="37"/>
      <c r="H558" s="35"/>
      <c r="I558" s="43" t="str">
        <f aca="false">IF($A558="","",COUNTIFS($A$2:$A558,$A558))</f>
        <v/>
      </c>
      <c r="J558" s="43" t="str">
        <f aca="false">IF($A558="","",$A558&amp;"-"&amp;$I558)</f>
        <v/>
      </c>
      <c r="K558" s="38" t="str">
        <f aca="false">IF($A558="","",IF(COUNTIF(参数!$B$6:$B$8,$H558)=0,"× 付款方式","√"))</f>
        <v/>
      </c>
    </row>
    <row r="559" customFormat="false" ht="13.5" hidden="false" customHeight="false" outlineLevel="0" collapsed="false">
      <c r="A559" s="41"/>
      <c r="B559" s="42"/>
      <c r="C559" s="36"/>
      <c r="D559" s="35"/>
      <c r="E559" s="36"/>
      <c r="F559" s="36"/>
      <c r="G559" s="37"/>
      <c r="H559" s="35"/>
      <c r="I559" s="43" t="str">
        <f aca="false">IF($A559="","",COUNTIFS($A$2:$A559,$A559))</f>
        <v/>
      </c>
      <c r="J559" s="43" t="str">
        <f aca="false">IF($A559="","",$A559&amp;"-"&amp;$I559)</f>
        <v/>
      </c>
      <c r="K559" s="38" t="str">
        <f aca="false">IF($A559="","",IF(COUNTIF(参数!$B$6:$B$8,$H559)=0,"× 付款方式","√"))</f>
        <v/>
      </c>
    </row>
    <row r="560" customFormat="false" ht="13.5" hidden="false" customHeight="false" outlineLevel="0" collapsed="false">
      <c r="A560" s="41"/>
      <c r="B560" s="42"/>
      <c r="C560" s="36"/>
      <c r="D560" s="35"/>
      <c r="E560" s="36"/>
      <c r="F560" s="36"/>
      <c r="G560" s="37"/>
      <c r="H560" s="35"/>
      <c r="I560" s="43" t="str">
        <f aca="false">IF($A560="","",COUNTIFS($A$2:$A560,$A560))</f>
        <v/>
      </c>
      <c r="J560" s="43" t="str">
        <f aca="false">IF($A560="","",$A560&amp;"-"&amp;$I560)</f>
        <v/>
      </c>
      <c r="K560" s="38" t="str">
        <f aca="false">IF($A560="","",IF(COUNTIF(参数!$B$6:$B$8,$H560)=0,"× 付款方式","√"))</f>
        <v/>
      </c>
    </row>
    <row r="561" customFormat="false" ht="13.5" hidden="false" customHeight="false" outlineLevel="0" collapsed="false">
      <c r="A561" s="41"/>
      <c r="B561" s="42"/>
      <c r="C561" s="36"/>
      <c r="D561" s="35"/>
      <c r="E561" s="36"/>
      <c r="F561" s="36"/>
      <c r="G561" s="37"/>
      <c r="H561" s="35"/>
      <c r="I561" s="43" t="str">
        <f aca="false">IF($A561="","",COUNTIFS($A$2:$A561,$A561))</f>
        <v/>
      </c>
      <c r="J561" s="43" t="str">
        <f aca="false">IF($A561="","",$A561&amp;"-"&amp;$I561)</f>
        <v/>
      </c>
      <c r="K561" s="38" t="str">
        <f aca="false">IF($A561="","",IF(COUNTIF(参数!$B$6:$B$8,$H561)=0,"× 付款方式","√"))</f>
        <v/>
      </c>
    </row>
    <row r="562" customFormat="false" ht="13.5" hidden="false" customHeight="false" outlineLevel="0" collapsed="false">
      <c r="A562" s="41"/>
      <c r="B562" s="42"/>
      <c r="C562" s="36"/>
      <c r="D562" s="35"/>
      <c r="E562" s="36"/>
      <c r="F562" s="36"/>
      <c r="G562" s="37"/>
      <c r="H562" s="35"/>
      <c r="I562" s="43" t="str">
        <f aca="false">IF($A562="","",COUNTIFS($A$2:$A562,$A562))</f>
        <v/>
      </c>
      <c r="J562" s="43" t="str">
        <f aca="false">IF($A562="","",$A562&amp;"-"&amp;$I562)</f>
        <v/>
      </c>
      <c r="K562" s="38" t="str">
        <f aca="false">IF($A562="","",IF(COUNTIF(参数!$B$6:$B$8,$H562)=0,"× 付款方式","√"))</f>
        <v/>
      </c>
    </row>
    <row r="563" customFormat="false" ht="13.5" hidden="false" customHeight="false" outlineLevel="0" collapsed="false">
      <c r="A563" s="41"/>
      <c r="B563" s="42"/>
      <c r="C563" s="36"/>
      <c r="D563" s="35"/>
      <c r="E563" s="36"/>
      <c r="F563" s="36"/>
      <c r="G563" s="37"/>
      <c r="H563" s="35"/>
      <c r="I563" s="43" t="str">
        <f aca="false">IF($A563="","",COUNTIFS($A$2:$A563,$A563))</f>
        <v/>
      </c>
      <c r="J563" s="43" t="str">
        <f aca="false">IF($A563="","",$A563&amp;"-"&amp;$I563)</f>
        <v/>
      </c>
      <c r="K563" s="38" t="str">
        <f aca="false">IF($A563="","",IF(COUNTIF(参数!$B$6:$B$8,$H563)=0,"× 付款方式","√"))</f>
        <v/>
      </c>
    </row>
    <row r="564" customFormat="false" ht="13.5" hidden="false" customHeight="false" outlineLevel="0" collapsed="false">
      <c r="A564" s="41"/>
      <c r="B564" s="42"/>
      <c r="C564" s="36"/>
      <c r="D564" s="35"/>
      <c r="E564" s="36"/>
      <c r="F564" s="36"/>
      <c r="G564" s="37"/>
      <c r="H564" s="35"/>
      <c r="I564" s="43" t="str">
        <f aca="false">IF($A564="","",COUNTIFS($A$2:$A564,$A564))</f>
        <v/>
      </c>
      <c r="J564" s="43" t="str">
        <f aca="false">IF($A564="","",$A564&amp;"-"&amp;$I564)</f>
        <v/>
      </c>
      <c r="K564" s="38" t="str">
        <f aca="false">IF($A564="","",IF(COUNTIF(参数!$B$6:$B$8,$H564)=0,"× 付款方式","√"))</f>
        <v/>
      </c>
    </row>
    <row r="565" customFormat="false" ht="13.5" hidden="false" customHeight="false" outlineLevel="0" collapsed="false">
      <c r="A565" s="41"/>
      <c r="B565" s="42"/>
      <c r="C565" s="36"/>
      <c r="D565" s="35"/>
      <c r="E565" s="36"/>
      <c r="F565" s="36"/>
      <c r="G565" s="37"/>
      <c r="H565" s="35"/>
      <c r="I565" s="43" t="str">
        <f aca="false">IF($A565="","",COUNTIFS($A$2:$A565,$A565))</f>
        <v/>
      </c>
      <c r="J565" s="43" t="str">
        <f aca="false">IF($A565="","",$A565&amp;"-"&amp;$I565)</f>
        <v/>
      </c>
      <c r="K565" s="38" t="str">
        <f aca="false">IF($A565="","",IF(COUNTIF(参数!$B$6:$B$8,$H565)=0,"× 付款方式","√"))</f>
        <v/>
      </c>
    </row>
    <row r="566" customFormat="false" ht="13.5" hidden="false" customHeight="false" outlineLevel="0" collapsed="false">
      <c r="A566" s="41"/>
      <c r="B566" s="42"/>
      <c r="C566" s="36"/>
      <c r="D566" s="35"/>
      <c r="E566" s="36"/>
      <c r="F566" s="36"/>
      <c r="G566" s="37"/>
      <c r="H566" s="35"/>
      <c r="I566" s="43" t="str">
        <f aca="false">IF($A566="","",COUNTIFS($A$2:$A566,$A566))</f>
        <v/>
      </c>
      <c r="J566" s="43" t="str">
        <f aca="false">IF($A566="","",$A566&amp;"-"&amp;$I566)</f>
        <v/>
      </c>
      <c r="K566" s="38" t="str">
        <f aca="false">IF($A566="","",IF(COUNTIF(参数!$B$6:$B$8,$H566)=0,"× 付款方式","√"))</f>
        <v/>
      </c>
    </row>
    <row r="567" customFormat="false" ht="13.5" hidden="false" customHeight="false" outlineLevel="0" collapsed="false">
      <c r="A567" s="41"/>
      <c r="B567" s="42"/>
      <c r="C567" s="36"/>
      <c r="D567" s="35"/>
      <c r="E567" s="36"/>
      <c r="F567" s="36"/>
      <c r="G567" s="37"/>
      <c r="H567" s="35"/>
      <c r="I567" s="43" t="str">
        <f aca="false">IF($A567="","",COUNTIFS($A$2:$A567,$A567))</f>
        <v/>
      </c>
      <c r="J567" s="43" t="str">
        <f aca="false">IF($A567="","",$A567&amp;"-"&amp;$I567)</f>
        <v/>
      </c>
      <c r="K567" s="38" t="str">
        <f aca="false">IF($A567="","",IF(COUNTIF(参数!$B$6:$B$8,$H567)=0,"× 付款方式","√"))</f>
        <v/>
      </c>
    </row>
    <row r="568" customFormat="false" ht="13.5" hidden="false" customHeight="false" outlineLevel="0" collapsed="false">
      <c r="A568" s="41"/>
      <c r="B568" s="42"/>
      <c r="C568" s="36"/>
      <c r="D568" s="35"/>
      <c r="E568" s="36"/>
      <c r="F568" s="36"/>
      <c r="G568" s="37"/>
      <c r="H568" s="35"/>
      <c r="I568" s="43" t="str">
        <f aca="false">IF($A568="","",COUNTIFS($A$2:$A568,$A568))</f>
        <v/>
      </c>
      <c r="J568" s="43" t="str">
        <f aca="false">IF($A568="","",$A568&amp;"-"&amp;$I568)</f>
        <v/>
      </c>
      <c r="K568" s="38" t="str">
        <f aca="false">IF($A568="","",IF(COUNTIF(参数!$B$6:$B$8,$H568)=0,"× 付款方式","√"))</f>
        <v/>
      </c>
    </row>
    <row r="569" customFormat="false" ht="13.5" hidden="false" customHeight="false" outlineLevel="0" collapsed="false">
      <c r="A569" s="41"/>
      <c r="B569" s="42"/>
      <c r="C569" s="36"/>
      <c r="D569" s="35"/>
      <c r="E569" s="36"/>
      <c r="F569" s="36"/>
      <c r="G569" s="37"/>
      <c r="H569" s="35"/>
      <c r="I569" s="43" t="str">
        <f aca="false">IF($A569="","",COUNTIFS($A$2:$A569,$A569))</f>
        <v/>
      </c>
      <c r="J569" s="43" t="str">
        <f aca="false">IF($A569="","",$A569&amp;"-"&amp;$I569)</f>
        <v/>
      </c>
      <c r="K569" s="38" t="str">
        <f aca="false">IF($A569="","",IF(COUNTIF(参数!$B$6:$B$8,$H569)=0,"× 付款方式","√"))</f>
        <v/>
      </c>
    </row>
    <row r="570" customFormat="false" ht="13.5" hidden="false" customHeight="false" outlineLevel="0" collapsed="false">
      <c r="A570" s="41"/>
      <c r="B570" s="42"/>
      <c r="C570" s="36"/>
      <c r="D570" s="35"/>
      <c r="E570" s="36"/>
      <c r="F570" s="36"/>
      <c r="G570" s="37"/>
      <c r="H570" s="35"/>
      <c r="I570" s="43" t="str">
        <f aca="false">IF($A570="","",COUNTIFS($A$2:$A570,$A570))</f>
        <v/>
      </c>
      <c r="J570" s="43" t="str">
        <f aca="false">IF($A570="","",$A570&amp;"-"&amp;$I570)</f>
        <v/>
      </c>
      <c r="K570" s="38" t="str">
        <f aca="false">IF($A570="","",IF(COUNTIF(参数!$B$6:$B$8,$H570)=0,"× 付款方式","√"))</f>
        <v/>
      </c>
    </row>
    <row r="571" customFormat="false" ht="13.5" hidden="false" customHeight="false" outlineLevel="0" collapsed="false">
      <c r="A571" s="41"/>
      <c r="B571" s="42"/>
      <c r="C571" s="36"/>
      <c r="D571" s="35"/>
      <c r="E571" s="36"/>
      <c r="F571" s="36"/>
      <c r="G571" s="37"/>
      <c r="H571" s="35"/>
      <c r="I571" s="43" t="str">
        <f aca="false">IF($A571="","",COUNTIFS($A$2:$A571,$A571))</f>
        <v/>
      </c>
      <c r="J571" s="43" t="str">
        <f aca="false">IF($A571="","",$A571&amp;"-"&amp;$I571)</f>
        <v/>
      </c>
      <c r="K571" s="38" t="str">
        <f aca="false">IF($A571="","",IF(COUNTIF(参数!$B$6:$B$8,$H571)=0,"× 付款方式","√"))</f>
        <v/>
      </c>
    </row>
    <row r="572" customFormat="false" ht="13.5" hidden="false" customHeight="false" outlineLevel="0" collapsed="false">
      <c r="A572" s="41"/>
      <c r="B572" s="42"/>
      <c r="C572" s="36"/>
      <c r="D572" s="35"/>
      <c r="E572" s="36"/>
      <c r="F572" s="36"/>
      <c r="G572" s="37"/>
      <c r="H572" s="35"/>
      <c r="I572" s="43" t="str">
        <f aca="false">IF($A572="","",COUNTIFS($A$2:$A572,$A572))</f>
        <v/>
      </c>
      <c r="J572" s="43" t="str">
        <f aca="false">IF($A572="","",$A572&amp;"-"&amp;$I572)</f>
        <v/>
      </c>
      <c r="K572" s="38" t="str">
        <f aca="false">IF($A572="","",IF(COUNTIF(参数!$B$6:$B$8,$H572)=0,"× 付款方式","√"))</f>
        <v/>
      </c>
    </row>
    <row r="573" customFormat="false" ht="13.5" hidden="false" customHeight="false" outlineLevel="0" collapsed="false">
      <c r="A573" s="41"/>
      <c r="B573" s="42"/>
      <c r="C573" s="36"/>
      <c r="D573" s="35"/>
      <c r="E573" s="36"/>
      <c r="F573" s="36"/>
      <c r="G573" s="37"/>
      <c r="H573" s="35"/>
      <c r="I573" s="43" t="str">
        <f aca="false">IF($A573="","",COUNTIFS($A$2:$A573,$A573))</f>
        <v/>
      </c>
      <c r="J573" s="43" t="str">
        <f aca="false">IF($A573="","",$A573&amp;"-"&amp;$I573)</f>
        <v/>
      </c>
      <c r="K573" s="38" t="str">
        <f aca="false">IF($A573="","",IF(COUNTIF(参数!$B$6:$B$8,$H573)=0,"× 付款方式","√"))</f>
        <v/>
      </c>
    </row>
    <row r="574" customFormat="false" ht="13.5" hidden="false" customHeight="false" outlineLevel="0" collapsed="false">
      <c r="A574" s="41"/>
      <c r="B574" s="42"/>
      <c r="C574" s="36"/>
      <c r="D574" s="35"/>
      <c r="E574" s="36"/>
      <c r="F574" s="36"/>
      <c r="G574" s="37"/>
      <c r="H574" s="35"/>
      <c r="I574" s="43" t="str">
        <f aca="false">IF($A574="","",COUNTIFS($A$2:$A574,$A574))</f>
        <v/>
      </c>
      <c r="J574" s="43" t="str">
        <f aca="false">IF($A574="","",$A574&amp;"-"&amp;$I574)</f>
        <v/>
      </c>
      <c r="K574" s="38" t="str">
        <f aca="false">IF($A574="","",IF(COUNTIF(参数!$B$6:$B$8,$H574)=0,"× 付款方式","√"))</f>
        <v/>
      </c>
    </row>
    <row r="575" customFormat="false" ht="13.5" hidden="false" customHeight="false" outlineLevel="0" collapsed="false">
      <c r="A575" s="41"/>
      <c r="B575" s="42"/>
      <c r="C575" s="36"/>
      <c r="D575" s="35"/>
      <c r="E575" s="36"/>
      <c r="F575" s="36"/>
      <c r="G575" s="37"/>
      <c r="H575" s="35"/>
      <c r="I575" s="43" t="str">
        <f aca="false">IF($A575="","",COUNTIFS($A$2:$A575,$A575))</f>
        <v/>
      </c>
      <c r="J575" s="43" t="str">
        <f aca="false">IF($A575="","",$A575&amp;"-"&amp;$I575)</f>
        <v/>
      </c>
      <c r="K575" s="38" t="str">
        <f aca="false">IF($A575="","",IF(COUNTIF(参数!$B$6:$B$8,$H575)=0,"× 付款方式","√"))</f>
        <v/>
      </c>
    </row>
    <row r="576" customFormat="false" ht="13.5" hidden="false" customHeight="false" outlineLevel="0" collapsed="false">
      <c r="A576" s="41"/>
      <c r="B576" s="42"/>
      <c r="C576" s="36"/>
      <c r="D576" s="35"/>
      <c r="E576" s="36"/>
      <c r="F576" s="36"/>
      <c r="G576" s="37"/>
      <c r="H576" s="35"/>
      <c r="I576" s="43" t="str">
        <f aca="false">IF($A576="","",COUNTIFS($A$2:$A576,$A576))</f>
        <v/>
      </c>
      <c r="J576" s="43" t="str">
        <f aca="false">IF($A576="","",$A576&amp;"-"&amp;$I576)</f>
        <v/>
      </c>
      <c r="K576" s="38" t="str">
        <f aca="false">IF($A576="","",IF(COUNTIF(参数!$B$6:$B$8,$H576)=0,"× 付款方式","√"))</f>
        <v/>
      </c>
    </row>
    <row r="577" customFormat="false" ht="13.5" hidden="false" customHeight="false" outlineLevel="0" collapsed="false">
      <c r="A577" s="41"/>
      <c r="B577" s="42"/>
      <c r="C577" s="36"/>
      <c r="D577" s="35"/>
      <c r="E577" s="36"/>
      <c r="F577" s="36"/>
      <c r="G577" s="37"/>
      <c r="H577" s="35"/>
      <c r="I577" s="43" t="str">
        <f aca="false">IF($A577="","",COUNTIFS($A$2:$A577,$A577))</f>
        <v/>
      </c>
      <c r="J577" s="43" t="str">
        <f aca="false">IF($A577="","",$A577&amp;"-"&amp;$I577)</f>
        <v/>
      </c>
      <c r="K577" s="38" t="str">
        <f aca="false">IF($A577="","",IF(COUNTIF(参数!$B$6:$B$8,$H577)=0,"× 付款方式","√"))</f>
        <v/>
      </c>
    </row>
    <row r="578" customFormat="false" ht="13.5" hidden="false" customHeight="false" outlineLevel="0" collapsed="false">
      <c r="A578" s="41"/>
      <c r="B578" s="42"/>
      <c r="C578" s="36"/>
      <c r="D578" s="35"/>
      <c r="E578" s="36"/>
      <c r="F578" s="36"/>
      <c r="G578" s="37"/>
      <c r="H578" s="35"/>
      <c r="I578" s="43" t="str">
        <f aca="false">IF($A578="","",COUNTIFS($A$2:$A578,$A578))</f>
        <v/>
      </c>
      <c r="J578" s="43" t="str">
        <f aca="false">IF($A578="","",$A578&amp;"-"&amp;$I578)</f>
        <v/>
      </c>
      <c r="K578" s="38" t="str">
        <f aca="false">IF($A578="","",IF(COUNTIF(参数!$B$6:$B$8,$H578)=0,"× 付款方式","√"))</f>
        <v/>
      </c>
    </row>
    <row r="579" customFormat="false" ht="13.5" hidden="false" customHeight="false" outlineLevel="0" collapsed="false">
      <c r="A579" s="41"/>
      <c r="B579" s="42"/>
      <c r="C579" s="36"/>
      <c r="D579" s="35"/>
      <c r="E579" s="36"/>
      <c r="F579" s="36"/>
      <c r="G579" s="37"/>
      <c r="H579" s="35"/>
      <c r="I579" s="43" t="str">
        <f aca="false">IF($A579="","",COUNTIFS($A$2:$A579,$A579))</f>
        <v/>
      </c>
      <c r="J579" s="43" t="str">
        <f aca="false">IF($A579="","",$A579&amp;"-"&amp;$I579)</f>
        <v/>
      </c>
      <c r="K579" s="38" t="str">
        <f aca="false">IF($A579="","",IF(COUNTIF(参数!$B$6:$B$8,$H579)=0,"× 付款方式","√"))</f>
        <v/>
      </c>
    </row>
    <row r="580" customFormat="false" ht="13.5" hidden="false" customHeight="false" outlineLevel="0" collapsed="false">
      <c r="A580" s="41"/>
      <c r="B580" s="42"/>
      <c r="C580" s="36"/>
      <c r="D580" s="35"/>
      <c r="E580" s="36"/>
      <c r="F580" s="36"/>
      <c r="G580" s="37"/>
      <c r="H580" s="35"/>
      <c r="I580" s="43" t="str">
        <f aca="false">IF($A580="","",COUNTIFS($A$2:$A580,$A580))</f>
        <v/>
      </c>
      <c r="J580" s="43" t="str">
        <f aca="false">IF($A580="","",$A580&amp;"-"&amp;$I580)</f>
        <v/>
      </c>
      <c r="K580" s="38" t="str">
        <f aca="false">IF($A580="","",IF(COUNTIF(参数!$B$6:$B$8,$H580)=0,"× 付款方式","√"))</f>
        <v/>
      </c>
    </row>
    <row r="581" customFormat="false" ht="13.5" hidden="false" customHeight="false" outlineLevel="0" collapsed="false">
      <c r="A581" s="41"/>
      <c r="B581" s="42"/>
      <c r="C581" s="36"/>
      <c r="D581" s="35"/>
      <c r="E581" s="36"/>
      <c r="F581" s="36"/>
      <c r="G581" s="37"/>
      <c r="H581" s="35"/>
      <c r="I581" s="43" t="str">
        <f aca="false">IF($A581="","",COUNTIFS($A$2:$A581,$A581))</f>
        <v/>
      </c>
      <c r="J581" s="43" t="str">
        <f aca="false">IF($A581="","",$A581&amp;"-"&amp;$I581)</f>
        <v/>
      </c>
      <c r="K581" s="38" t="str">
        <f aca="false">IF($A581="","",IF(COUNTIF(参数!$B$6:$B$8,$H581)=0,"× 付款方式","√"))</f>
        <v/>
      </c>
    </row>
    <row r="582" customFormat="false" ht="13.5" hidden="false" customHeight="false" outlineLevel="0" collapsed="false">
      <c r="A582" s="41"/>
      <c r="B582" s="42"/>
      <c r="C582" s="36"/>
      <c r="D582" s="35"/>
      <c r="E582" s="36"/>
      <c r="F582" s="36"/>
      <c r="G582" s="37"/>
      <c r="H582" s="35"/>
      <c r="I582" s="43" t="str">
        <f aca="false">IF($A582="","",COUNTIFS($A$2:$A582,$A582))</f>
        <v/>
      </c>
      <c r="J582" s="43" t="str">
        <f aca="false">IF($A582="","",$A582&amp;"-"&amp;$I582)</f>
        <v/>
      </c>
      <c r="K582" s="38" t="str">
        <f aca="false">IF($A582="","",IF(COUNTIF(参数!$B$6:$B$8,$H582)=0,"× 付款方式","√"))</f>
        <v/>
      </c>
    </row>
    <row r="583" customFormat="false" ht="13.5" hidden="false" customHeight="false" outlineLevel="0" collapsed="false">
      <c r="A583" s="41"/>
      <c r="B583" s="42"/>
      <c r="C583" s="36"/>
      <c r="D583" s="35"/>
      <c r="E583" s="36"/>
      <c r="F583" s="36"/>
      <c r="G583" s="37"/>
      <c r="H583" s="35"/>
      <c r="I583" s="43" t="str">
        <f aca="false">IF($A583="","",COUNTIFS($A$2:$A583,$A583))</f>
        <v/>
      </c>
      <c r="J583" s="43" t="str">
        <f aca="false">IF($A583="","",$A583&amp;"-"&amp;$I583)</f>
        <v/>
      </c>
      <c r="K583" s="38" t="str">
        <f aca="false">IF($A583="","",IF(COUNTIF(参数!$B$6:$B$8,$H583)=0,"× 付款方式","√"))</f>
        <v/>
      </c>
    </row>
    <row r="584" customFormat="false" ht="13.5" hidden="false" customHeight="false" outlineLevel="0" collapsed="false">
      <c r="A584" s="41"/>
      <c r="B584" s="42"/>
      <c r="C584" s="36"/>
      <c r="D584" s="35"/>
      <c r="E584" s="36"/>
      <c r="F584" s="36"/>
      <c r="G584" s="37"/>
      <c r="H584" s="35"/>
      <c r="I584" s="43" t="str">
        <f aca="false">IF($A584="","",COUNTIFS($A$2:$A584,$A584))</f>
        <v/>
      </c>
      <c r="J584" s="43" t="str">
        <f aca="false">IF($A584="","",$A584&amp;"-"&amp;$I584)</f>
        <v/>
      </c>
      <c r="K584" s="38" t="str">
        <f aca="false">IF($A584="","",IF(COUNTIF(参数!$B$6:$B$8,$H584)=0,"× 付款方式","√"))</f>
        <v/>
      </c>
    </row>
    <row r="585" customFormat="false" ht="13.5" hidden="false" customHeight="false" outlineLevel="0" collapsed="false">
      <c r="A585" s="41"/>
      <c r="B585" s="42"/>
      <c r="C585" s="36"/>
      <c r="D585" s="35"/>
      <c r="E585" s="36"/>
      <c r="F585" s="36"/>
      <c r="G585" s="37"/>
      <c r="H585" s="35"/>
      <c r="I585" s="43" t="str">
        <f aca="false">IF($A585="","",COUNTIFS($A$2:$A585,$A585))</f>
        <v/>
      </c>
      <c r="J585" s="43" t="str">
        <f aca="false">IF($A585="","",$A585&amp;"-"&amp;$I585)</f>
        <v/>
      </c>
      <c r="K585" s="38" t="str">
        <f aca="false">IF($A585="","",IF(COUNTIF(参数!$B$6:$B$8,$H585)=0,"× 付款方式","√"))</f>
        <v/>
      </c>
    </row>
    <row r="586" customFormat="false" ht="13.5" hidden="false" customHeight="false" outlineLevel="0" collapsed="false">
      <c r="A586" s="41"/>
      <c r="B586" s="42"/>
      <c r="C586" s="36"/>
      <c r="D586" s="35"/>
      <c r="E586" s="36"/>
      <c r="F586" s="36"/>
      <c r="G586" s="37"/>
      <c r="H586" s="35"/>
      <c r="I586" s="43" t="str">
        <f aca="false">IF($A586="","",COUNTIFS($A$2:$A586,$A586))</f>
        <v/>
      </c>
      <c r="J586" s="43" t="str">
        <f aca="false">IF($A586="","",$A586&amp;"-"&amp;$I586)</f>
        <v/>
      </c>
      <c r="K586" s="38" t="str">
        <f aca="false">IF($A586="","",IF(COUNTIF(参数!$B$6:$B$8,$H586)=0,"× 付款方式","√"))</f>
        <v/>
      </c>
    </row>
    <row r="587" customFormat="false" ht="13.5" hidden="false" customHeight="false" outlineLevel="0" collapsed="false">
      <c r="A587" s="41"/>
      <c r="B587" s="42"/>
      <c r="C587" s="36"/>
      <c r="D587" s="35"/>
      <c r="E587" s="36"/>
      <c r="F587" s="36"/>
      <c r="G587" s="37"/>
      <c r="H587" s="35"/>
      <c r="I587" s="43" t="str">
        <f aca="false">IF($A587="","",COUNTIFS($A$2:$A587,$A587))</f>
        <v/>
      </c>
      <c r="J587" s="43" t="str">
        <f aca="false">IF($A587="","",$A587&amp;"-"&amp;$I587)</f>
        <v/>
      </c>
      <c r="K587" s="38" t="str">
        <f aca="false">IF($A587="","",IF(COUNTIF(参数!$B$6:$B$8,$H587)=0,"× 付款方式","√"))</f>
        <v/>
      </c>
    </row>
    <row r="588" customFormat="false" ht="13.5" hidden="false" customHeight="false" outlineLevel="0" collapsed="false">
      <c r="A588" s="41"/>
      <c r="B588" s="42"/>
      <c r="C588" s="36"/>
      <c r="D588" s="35"/>
      <c r="E588" s="36"/>
      <c r="F588" s="36"/>
      <c r="G588" s="37"/>
      <c r="H588" s="35"/>
      <c r="I588" s="43" t="str">
        <f aca="false">IF($A588="","",COUNTIFS($A$2:$A588,$A588))</f>
        <v/>
      </c>
      <c r="J588" s="43" t="str">
        <f aca="false">IF($A588="","",$A588&amp;"-"&amp;$I588)</f>
        <v/>
      </c>
      <c r="K588" s="38" t="str">
        <f aca="false">IF($A588="","",IF(COUNTIF(参数!$B$6:$B$8,$H588)=0,"× 付款方式","√"))</f>
        <v/>
      </c>
    </row>
    <row r="589" customFormat="false" ht="13.5" hidden="false" customHeight="false" outlineLevel="0" collapsed="false">
      <c r="A589" s="41"/>
      <c r="B589" s="42"/>
      <c r="C589" s="36"/>
      <c r="D589" s="35"/>
      <c r="E589" s="36"/>
      <c r="F589" s="36"/>
      <c r="G589" s="37"/>
      <c r="H589" s="35"/>
      <c r="I589" s="43" t="str">
        <f aca="false">IF($A589="","",COUNTIFS($A$2:$A589,$A589))</f>
        <v/>
      </c>
      <c r="J589" s="43" t="str">
        <f aca="false">IF($A589="","",$A589&amp;"-"&amp;$I589)</f>
        <v/>
      </c>
      <c r="K589" s="38" t="str">
        <f aca="false">IF($A589="","",IF(COUNTIF(参数!$B$6:$B$8,$H589)=0,"× 付款方式","√"))</f>
        <v/>
      </c>
    </row>
    <row r="590" customFormat="false" ht="13.5" hidden="false" customHeight="false" outlineLevel="0" collapsed="false">
      <c r="A590" s="41"/>
      <c r="B590" s="42"/>
      <c r="C590" s="36"/>
      <c r="D590" s="35"/>
      <c r="E590" s="36"/>
      <c r="F590" s="36"/>
      <c r="G590" s="37"/>
      <c r="H590" s="35"/>
      <c r="I590" s="43" t="str">
        <f aca="false">IF($A590="","",COUNTIFS($A$2:$A590,$A590))</f>
        <v/>
      </c>
      <c r="J590" s="43" t="str">
        <f aca="false">IF($A590="","",$A590&amp;"-"&amp;$I590)</f>
        <v/>
      </c>
      <c r="K590" s="38" t="str">
        <f aca="false">IF($A590="","",IF(COUNTIF(参数!$B$6:$B$8,$H590)=0,"× 付款方式","√"))</f>
        <v/>
      </c>
    </row>
    <row r="591" customFormat="false" ht="13.5" hidden="false" customHeight="false" outlineLevel="0" collapsed="false">
      <c r="A591" s="41"/>
      <c r="B591" s="42"/>
      <c r="C591" s="36"/>
      <c r="D591" s="35"/>
      <c r="E591" s="36"/>
      <c r="F591" s="36"/>
      <c r="G591" s="37"/>
      <c r="H591" s="35"/>
      <c r="I591" s="43" t="str">
        <f aca="false">IF($A591="","",COUNTIFS($A$2:$A591,$A591))</f>
        <v/>
      </c>
      <c r="J591" s="43" t="str">
        <f aca="false">IF($A591="","",$A591&amp;"-"&amp;$I591)</f>
        <v/>
      </c>
      <c r="K591" s="38" t="str">
        <f aca="false">IF($A591="","",IF(COUNTIF(参数!$B$6:$B$8,$H591)=0,"× 付款方式","√"))</f>
        <v/>
      </c>
    </row>
    <row r="592" customFormat="false" ht="13.5" hidden="false" customHeight="false" outlineLevel="0" collapsed="false">
      <c r="A592" s="41"/>
      <c r="B592" s="42"/>
      <c r="C592" s="36"/>
      <c r="D592" s="35"/>
      <c r="E592" s="36"/>
      <c r="F592" s="36"/>
      <c r="G592" s="37"/>
      <c r="H592" s="35"/>
      <c r="I592" s="43" t="str">
        <f aca="false">IF($A592="","",COUNTIFS($A$2:$A592,$A592))</f>
        <v/>
      </c>
      <c r="J592" s="43" t="str">
        <f aca="false">IF($A592="","",$A592&amp;"-"&amp;$I592)</f>
        <v/>
      </c>
      <c r="K592" s="38" t="str">
        <f aca="false">IF($A592="","",IF(COUNTIF(参数!$B$6:$B$8,$H592)=0,"× 付款方式","√"))</f>
        <v/>
      </c>
    </row>
    <row r="593" customFormat="false" ht="13.5" hidden="false" customHeight="false" outlineLevel="0" collapsed="false">
      <c r="A593" s="41"/>
      <c r="B593" s="42"/>
      <c r="C593" s="36"/>
      <c r="D593" s="35"/>
      <c r="E593" s="36"/>
      <c r="F593" s="36"/>
      <c r="G593" s="37"/>
      <c r="H593" s="35"/>
      <c r="I593" s="43" t="str">
        <f aca="false">IF($A593="","",COUNTIFS($A$2:$A593,$A593))</f>
        <v/>
      </c>
      <c r="J593" s="43" t="str">
        <f aca="false">IF($A593="","",$A593&amp;"-"&amp;$I593)</f>
        <v/>
      </c>
      <c r="K593" s="38" t="str">
        <f aca="false">IF($A593="","",IF(COUNTIF(参数!$B$6:$B$8,$H593)=0,"× 付款方式","√"))</f>
        <v/>
      </c>
    </row>
    <row r="594" customFormat="false" ht="13.5" hidden="false" customHeight="false" outlineLevel="0" collapsed="false">
      <c r="A594" s="41"/>
      <c r="B594" s="42"/>
      <c r="C594" s="36"/>
      <c r="D594" s="35"/>
      <c r="E594" s="36"/>
      <c r="F594" s="36"/>
      <c r="G594" s="37"/>
      <c r="H594" s="35"/>
      <c r="I594" s="43" t="str">
        <f aca="false">IF($A594="","",COUNTIFS($A$2:$A594,$A594))</f>
        <v/>
      </c>
      <c r="J594" s="43" t="str">
        <f aca="false">IF($A594="","",$A594&amp;"-"&amp;$I594)</f>
        <v/>
      </c>
      <c r="K594" s="38" t="str">
        <f aca="false">IF($A594="","",IF(COUNTIF(参数!$B$6:$B$8,$H594)=0,"× 付款方式","√"))</f>
        <v/>
      </c>
    </row>
    <row r="595" customFormat="false" ht="13.5" hidden="false" customHeight="false" outlineLevel="0" collapsed="false">
      <c r="A595" s="41"/>
      <c r="B595" s="42"/>
      <c r="C595" s="36"/>
      <c r="D595" s="35"/>
      <c r="E595" s="36"/>
      <c r="F595" s="36"/>
      <c r="G595" s="37"/>
      <c r="H595" s="35"/>
      <c r="I595" s="43" t="str">
        <f aca="false">IF($A595="","",COUNTIFS($A$2:$A595,$A595))</f>
        <v/>
      </c>
      <c r="J595" s="43" t="str">
        <f aca="false">IF($A595="","",$A595&amp;"-"&amp;$I595)</f>
        <v/>
      </c>
      <c r="K595" s="38" t="str">
        <f aca="false">IF($A595="","",IF(COUNTIF(参数!$B$6:$B$8,$H595)=0,"× 付款方式","√"))</f>
        <v/>
      </c>
    </row>
    <row r="596" customFormat="false" ht="13.5" hidden="false" customHeight="false" outlineLevel="0" collapsed="false">
      <c r="A596" s="41"/>
      <c r="B596" s="42"/>
      <c r="C596" s="36"/>
      <c r="D596" s="35"/>
      <c r="E596" s="36"/>
      <c r="F596" s="36"/>
      <c r="G596" s="37"/>
      <c r="H596" s="35"/>
      <c r="I596" s="43" t="str">
        <f aca="false">IF($A596="","",COUNTIFS($A$2:$A596,$A596))</f>
        <v/>
      </c>
      <c r="J596" s="43" t="str">
        <f aca="false">IF($A596="","",$A596&amp;"-"&amp;$I596)</f>
        <v/>
      </c>
      <c r="K596" s="38" t="str">
        <f aca="false">IF($A596="","",IF(COUNTIF(参数!$B$6:$B$8,$H596)=0,"× 付款方式","√"))</f>
        <v/>
      </c>
    </row>
    <row r="597" customFormat="false" ht="13.5" hidden="false" customHeight="false" outlineLevel="0" collapsed="false">
      <c r="A597" s="41"/>
      <c r="B597" s="42"/>
      <c r="C597" s="36"/>
      <c r="D597" s="35"/>
      <c r="E597" s="36"/>
      <c r="F597" s="36"/>
      <c r="G597" s="37"/>
      <c r="H597" s="35"/>
      <c r="I597" s="43" t="str">
        <f aca="false">IF($A597="","",COUNTIFS($A$2:$A597,$A597))</f>
        <v/>
      </c>
      <c r="J597" s="43" t="str">
        <f aca="false">IF($A597="","",$A597&amp;"-"&amp;$I597)</f>
        <v/>
      </c>
      <c r="K597" s="38" t="str">
        <f aca="false">IF($A597="","",IF(COUNTIF(参数!$B$6:$B$8,$H597)=0,"× 付款方式","√"))</f>
        <v/>
      </c>
    </row>
    <row r="598" customFormat="false" ht="13.5" hidden="false" customHeight="false" outlineLevel="0" collapsed="false">
      <c r="A598" s="41"/>
      <c r="B598" s="42"/>
      <c r="C598" s="36"/>
      <c r="D598" s="35"/>
      <c r="E598" s="36"/>
      <c r="F598" s="36"/>
      <c r="G598" s="37"/>
      <c r="H598" s="35"/>
      <c r="I598" s="43" t="str">
        <f aca="false">IF($A598="","",COUNTIFS($A$2:$A598,$A598))</f>
        <v/>
      </c>
      <c r="J598" s="43" t="str">
        <f aca="false">IF($A598="","",$A598&amp;"-"&amp;$I598)</f>
        <v/>
      </c>
      <c r="K598" s="38" t="str">
        <f aca="false">IF($A598="","",IF(COUNTIF(参数!$B$6:$B$8,$H598)=0,"× 付款方式","√"))</f>
        <v/>
      </c>
    </row>
    <row r="599" customFormat="false" ht="13.5" hidden="false" customHeight="false" outlineLevel="0" collapsed="false">
      <c r="A599" s="41"/>
      <c r="B599" s="42"/>
      <c r="C599" s="36"/>
      <c r="D599" s="35"/>
      <c r="E599" s="36"/>
      <c r="F599" s="36"/>
      <c r="G599" s="37"/>
      <c r="H599" s="35"/>
      <c r="I599" s="43" t="str">
        <f aca="false">IF($A599="","",COUNTIFS($A$2:$A599,$A599))</f>
        <v/>
      </c>
      <c r="J599" s="43" t="str">
        <f aca="false">IF($A599="","",$A599&amp;"-"&amp;$I599)</f>
        <v/>
      </c>
      <c r="K599" s="38" t="str">
        <f aca="false">IF($A599="","",IF(COUNTIF(参数!$B$6:$B$8,$H599)=0,"× 付款方式","√"))</f>
        <v/>
      </c>
    </row>
    <row r="600" customFormat="false" ht="13.5" hidden="false" customHeight="false" outlineLevel="0" collapsed="false">
      <c r="A600" s="41"/>
      <c r="B600" s="42"/>
      <c r="C600" s="36"/>
      <c r="D600" s="35"/>
      <c r="E600" s="36"/>
      <c r="F600" s="36"/>
      <c r="G600" s="37"/>
      <c r="H600" s="35"/>
      <c r="I600" s="43" t="str">
        <f aca="false">IF($A600="","",COUNTIFS($A$2:$A600,$A600))</f>
        <v/>
      </c>
      <c r="J600" s="43" t="str">
        <f aca="false">IF($A600="","",$A600&amp;"-"&amp;$I600)</f>
        <v/>
      </c>
      <c r="K600" s="38" t="str">
        <f aca="false">IF($A600="","",IF(COUNTIF(参数!$B$6:$B$8,$H600)=0,"× 付款方式","√"))</f>
        <v/>
      </c>
    </row>
    <row r="601" customFormat="false" ht="13.5" hidden="false" customHeight="false" outlineLevel="0" collapsed="false">
      <c r="A601" s="41"/>
      <c r="B601" s="42"/>
      <c r="C601" s="36"/>
      <c r="D601" s="35"/>
      <c r="E601" s="36"/>
      <c r="F601" s="36"/>
      <c r="G601" s="37"/>
      <c r="H601" s="35"/>
      <c r="I601" s="43" t="str">
        <f aca="false">IF($A601="","",COUNTIFS($A$2:$A601,$A601))</f>
        <v/>
      </c>
      <c r="J601" s="43" t="str">
        <f aca="false">IF($A601="","",$A601&amp;"-"&amp;$I601)</f>
        <v/>
      </c>
      <c r="K601" s="38" t="str">
        <f aca="false">IF($A601="","",IF(COUNTIF(参数!$B$6:$B$8,$H601)=0,"× 付款方式","√"))</f>
        <v/>
      </c>
    </row>
    <row r="602" customFormat="false" ht="13.5" hidden="false" customHeight="false" outlineLevel="0" collapsed="false">
      <c r="A602" s="41"/>
      <c r="B602" s="42"/>
      <c r="C602" s="36"/>
      <c r="D602" s="35"/>
      <c r="E602" s="36"/>
      <c r="F602" s="36"/>
      <c r="G602" s="37"/>
      <c r="H602" s="35"/>
      <c r="I602" s="43" t="str">
        <f aca="false">IF($A602="","",COUNTIFS($A$2:$A602,$A602))</f>
        <v/>
      </c>
      <c r="J602" s="43" t="str">
        <f aca="false">IF($A602="","",$A602&amp;"-"&amp;$I602)</f>
        <v/>
      </c>
      <c r="K602" s="38" t="str">
        <f aca="false">IF($A602="","",IF(COUNTIF(参数!$B$6:$B$8,$H602)=0,"× 付款方式","√"))</f>
        <v/>
      </c>
    </row>
    <row r="603" customFormat="false" ht="13.5" hidden="false" customHeight="false" outlineLevel="0" collapsed="false">
      <c r="A603" s="41"/>
      <c r="B603" s="42"/>
      <c r="C603" s="36"/>
      <c r="D603" s="35"/>
      <c r="E603" s="36"/>
      <c r="F603" s="36"/>
      <c r="G603" s="37"/>
      <c r="H603" s="35"/>
      <c r="I603" s="43" t="str">
        <f aca="false">IF($A603="","",COUNTIFS($A$2:$A603,$A603))</f>
        <v/>
      </c>
      <c r="J603" s="43" t="str">
        <f aca="false">IF($A603="","",$A603&amp;"-"&amp;$I603)</f>
        <v/>
      </c>
      <c r="K603" s="38" t="str">
        <f aca="false">IF($A603="","",IF(COUNTIF(参数!$B$6:$B$8,$H603)=0,"× 付款方式","√"))</f>
        <v/>
      </c>
    </row>
    <row r="604" customFormat="false" ht="13.5" hidden="false" customHeight="false" outlineLevel="0" collapsed="false">
      <c r="A604" s="41"/>
      <c r="B604" s="42"/>
      <c r="C604" s="36"/>
      <c r="D604" s="35"/>
      <c r="E604" s="36"/>
      <c r="F604" s="36"/>
      <c r="G604" s="37"/>
      <c r="H604" s="35"/>
      <c r="I604" s="43" t="str">
        <f aca="false">IF($A604="","",COUNTIFS($A$2:$A604,$A604))</f>
        <v/>
      </c>
      <c r="J604" s="43" t="str">
        <f aca="false">IF($A604="","",$A604&amp;"-"&amp;$I604)</f>
        <v/>
      </c>
      <c r="K604" s="38" t="str">
        <f aca="false">IF($A604="","",IF(COUNTIF(参数!$B$6:$B$8,$H604)=0,"× 付款方式","√"))</f>
        <v/>
      </c>
    </row>
    <row r="605" customFormat="false" ht="13.5" hidden="false" customHeight="false" outlineLevel="0" collapsed="false">
      <c r="A605" s="41"/>
      <c r="B605" s="42"/>
      <c r="C605" s="36"/>
      <c r="D605" s="35"/>
      <c r="E605" s="36"/>
      <c r="F605" s="36"/>
      <c r="G605" s="37"/>
      <c r="H605" s="35"/>
      <c r="I605" s="43" t="str">
        <f aca="false">IF($A605="","",COUNTIFS($A$2:$A605,$A605))</f>
        <v/>
      </c>
      <c r="J605" s="43" t="str">
        <f aca="false">IF($A605="","",$A605&amp;"-"&amp;$I605)</f>
        <v/>
      </c>
      <c r="K605" s="38" t="str">
        <f aca="false">IF($A605="","",IF(COUNTIF(参数!$B$6:$B$8,$H605)=0,"× 付款方式","√"))</f>
        <v/>
      </c>
    </row>
    <row r="606" customFormat="false" ht="13.5" hidden="false" customHeight="false" outlineLevel="0" collapsed="false">
      <c r="A606" s="41"/>
      <c r="B606" s="42"/>
      <c r="C606" s="36"/>
      <c r="D606" s="35"/>
      <c r="E606" s="36"/>
      <c r="F606" s="36"/>
      <c r="G606" s="37"/>
      <c r="H606" s="35"/>
      <c r="I606" s="43" t="str">
        <f aca="false">IF($A606="","",COUNTIFS($A$2:$A606,$A606))</f>
        <v/>
      </c>
      <c r="J606" s="43" t="str">
        <f aca="false">IF($A606="","",$A606&amp;"-"&amp;$I606)</f>
        <v/>
      </c>
      <c r="K606" s="38" t="str">
        <f aca="false">IF($A606="","",IF(COUNTIF(参数!$B$6:$B$8,$H606)=0,"× 付款方式","√"))</f>
        <v/>
      </c>
    </row>
    <row r="607" customFormat="false" ht="13.5" hidden="false" customHeight="false" outlineLevel="0" collapsed="false">
      <c r="A607" s="41"/>
      <c r="B607" s="42"/>
      <c r="C607" s="36"/>
      <c r="D607" s="35"/>
      <c r="E607" s="36"/>
      <c r="F607" s="36"/>
      <c r="G607" s="37"/>
      <c r="H607" s="35"/>
      <c r="I607" s="43" t="str">
        <f aca="false">IF($A607="","",COUNTIFS($A$2:$A607,$A607))</f>
        <v/>
      </c>
      <c r="J607" s="43" t="str">
        <f aca="false">IF($A607="","",$A607&amp;"-"&amp;$I607)</f>
        <v/>
      </c>
      <c r="K607" s="38" t="str">
        <f aca="false">IF($A607="","",IF(COUNTIF(参数!$B$6:$B$8,$H607)=0,"× 付款方式","√"))</f>
        <v/>
      </c>
    </row>
    <row r="608" customFormat="false" ht="13.5" hidden="false" customHeight="false" outlineLevel="0" collapsed="false">
      <c r="A608" s="41"/>
      <c r="B608" s="42"/>
      <c r="C608" s="36"/>
      <c r="D608" s="35"/>
      <c r="E608" s="36"/>
      <c r="F608" s="36"/>
      <c r="G608" s="37"/>
      <c r="H608" s="35"/>
      <c r="I608" s="43" t="str">
        <f aca="false">IF($A608="","",COUNTIFS($A$2:$A608,$A608))</f>
        <v/>
      </c>
      <c r="J608" s="43" t="str">
        <f aca="false">IF($A608="","",$A608&amp;"-"&amp;$I608)</f>
        <v/>
      </c>
      <c r="K608" s="38" t="str">
        <f aca="false">IF($A608="","",IF(COUNTIF(参数!$B$6:$B$8,$H608)=0,"× 付款方式","√"))</f>
        <v/>
      </c>
    </row>
    <row r="609" customFormat="false" ht="13.5" hidden="false" customHeight="false" outlineLevel="0" collapsed="false">
      <c r="A609" s="41"/>
      <c r="B609" s="42"/>
      <c r="C609" s="36"/>
      <c r="D609" s="35"/>
      <c r="E609" s="36"/>
      <c r="F609" s="36"/>
      <c r="G609" s="37"/>
      <c r="H609" s="35"/>
      <c r="I609" s="43" t="str">
        <f aca="false">IF($A609="","",COUNTIFS($A$2:$A609,$A609))</f>
        <v/>
      </c>
      <c r="J609" s="43" t="str">
        <f aca="false">IF($A609="","",$A609&amp;"-"&amp;$I609)</f>
        <v/>
      </c>
      <c r="K609" s="38" t="str">
        <f aca="false">IF($A609="","",IF(COUNTIF(参数!$B$6:$B$8,$H609)=0,"× 付款方式","√"))</f>
        <v/>
      </c>
    </row>
    <row r="610" customFormat="false" ht="13.5" hidden="false" customHeight="false" outlineLevel="0" collapsed="false">
      <c r="A610" s="41"/>
      <c r="B610" s="42"/>
      <c r="C610" s="36"/>
      <c r="D610" s="35"/>
      <c r="E610" s="36"/>
      <c r="F610" s="36"/>
      <c r="G610" s="37"/>
      <c r="H610" s="35"/>
      <c r="I610" s="43" t="str">
        <f aca="false">IF($A610="","",COUNTIFS($A$2:$A610,$A610))</f>
        <v/>
      </c>
      <c r="J610" s="43" t="str">
        <f aca="false">IF($A610="","",$A610&amp;"-"&amp;$I610)</f>
        <v/>
      </c>
      <c r="K610" s="38" t="str">
        <f aca="false">IF($A610="","",IF(COUNTIF(参数!$B$6:$B$8,$H610)=0,"× 付款方式","√"))</f>
        <v/>
      </c>
    </row>
    <row r="611" customFormat="false" ht="13.5" hidden="false" customHeight="false" outlineLevel="0" collapsed="false">
      <c r="A611" s="41"/>
      <c r="B611" s="42"/>
      <c r="C611" s="36"/>
      <c r="D611" s="35"/>
      <c r="E611" s="36"/>
      <c r="F611" s="36"/>
      <c r="G611" s="37"/>
      <c r="H611" s="35"/>
      <c r="I611" s="43" t="str">
        <f aca="false">IF($A611="","",COUNTIFS($A$2:$A611,$A611))</f>
        <v/>
      </c>
      <c r="J611" s="43" t="str">
        <f aca="false">IF($A611="","",$A611&amp;"-"&amp;$I611)</f>
        <v/>
      </c>
      <c r="K611" s="38" t="str">
        <f aca="false">IF($A611="","",IF(COUNTIF(参数!$B$6:$B$8,$H611)=0,"× 付款方式","√"))</f>
        <v/>
      </c>
    </row>
    <row r="612" customFormat="false" ht="13.5" hidden="false" customHeight="false" outlineLevel="0" collapsed="false">
      <c r="A612" s="41"/>
      <c r="B612" s="42"/>
      <c r="C612" s="36"/>
      <c r="D612" s="35"/>
      <c r="E612" s="36"/>
      <c r="F612" s="36"/>
      <c r="G612" s="37"/>
      <c r="H612" s="35"/>
      <c r="I612" s="43" t="str">
        <f aca="false">IF($A612="","",COUNTIFS($A$2:$A612,$A612))</f>
        <v/>
      </c>
      <c r="J612" s="43" t="str">
        <f aca="false">IF($A612="","",$A612&amp;"-"&amp;$I612)</f>
        <v/>
      </c>
      <c r="K612" s="38" t="str">
        <f aca="false">IF($A612="","",IF(COUNTIF(参数!$B$6:$B$8,$H612)=0,"× 付款方式","√"))</f>
        <v/>
      </c>
    </row>
    <row r="613" customFormat="false" ht="13.5" hidden="false" customHeight="false" outlineLevel="0" collapsed="false">
      <c r="A613" s="41"/>
      <c r="B613" s="42"/>
      <c r="C613" s="36"/>
      <c r="D613" s="35"/>
      <c r="E613" s="36"/>
      <c r="F613" s="36"/>
      <c r="G613" s="37"/>
      <c r="H613" s="35"/>
      <c r="I613" s="43" t="str">
        <f aca="false">IF($A613="","",COUNTIFS($A$2:$A613,$A613))</f>
        <v/>
      </c>
      <c r="J613" s="43" t="str">
        <f aca="false">IF($A613="","",$A613&amp;"-"&amp;$I613)</f>
        <v/>
      </c>
      <c r="K613" s="38" t="str">
        <f aca="false">IF($A613="","",IF(COUNTIF(参数!$B$6:$B$8,$H613)=0,"× 付款方式","√"))</f>
        <v/>
      </c>
    </row>
    <row r="614" customFormat="false" ht="13.5" hidden="false" customHeight="false" outlineLevel="0" collapsed="false">
      <c r="A614" s="41"/>
      <c r="B614" s="42"/>
      <c r="C614" s="36"/>
      <c r="D614" s="35"/>
      <c r="E614" s="36"/>
      <c r="F614" s="36"/>
      <c r="G614" s="37"/>
      <c r="H614" s="35"/>
      <c r="I614" s="43" t="str">
        <f aca="false">IF($A614="","",COUNTIFS($A$2:$A614,$A614))</f>
        <v/>
      </c>
      <c r="J614" s="43" t="str">
        <f aca="false">IF($A614="","",$A614&amp;"-"&amp;$I614)</f>
        <v/>
      </c>
      <c r="K614" s="38" t="str">
        <f aca="false">IF($A614="","",IF(COUNTIF(参数!$B$6:$B$8,$H614)=0,"× 付款方式","√"))</f>
        <v/>
      </c>
    </row>
    <row r="615" customFormat="false" ht="13.5" hidden="false" customHeight="false" outlineLevel="0" collapsed="false">
      <c r="A615" s="41"/>
      <c r="B615" s="42"/>
      <c r="C615" s="36"/>
      <c r="D615" s="35"/>
      <c r="E615" s="36"/>
      <c r="F615" s="36"/>
      <c r="G615" s="37"/>
      <c r="H615" s="35"/>
      <c r="I615" s="43" t="str">
        <f aca="false">IF($A615="","",COUNTIFS($A$2:$A615,$A615))</f>
        <v/>
      </c>
      <c r="J615" s="43" t="str">
        <f aca="false">IF($A615="","",$A615&amp;"-"&amp;$I615)</f>
        <v/>
      </c>
      <c r="K615" s="38" t="str">
        <f aca="false">IF($A615="","",IF(COUNTIF(参数!$B$6:$B$8,$H615)=0,"× 付款方式","√"))</f>
        <v/>
      </c>
    </row>
    <row r="616" customFormat="false" ht="13.5" hidden="false" customHeight="false" outlineLevel="0" collapsed="false">
      <c r="A616" s="41"/>
      <c r="B616" s="42"/>
      <c r="C616" s="36"/>
      <c r="D616" s="35"/>
      <c r="E616" s="36"/>
      <c r="F616" s="36"/>
      <c r="G616" s="37"/>
      <c r="H616" s="35"/>
      <c r="I616" s="43" t="str">
        <f aca="false">IF($A616="","",COUNTIFS($A$2:$A616,$A616))</f>
        <v/>
      </c>
      <c r="J616" s="43" t="str">
        <f aca="false">IF($A616="","",$A616&amp;"-"&amp;$I616)</f>
        <v/>
      </c>
      <c r="K616" s="38" t="str">
        <f aca="false">IF($A616="","",IF(COUNTIF(参数!$B$6:$B$8,$H616)=0,"× 付款方式","√"))</f>
        <v/>
      </c>
    </row>
    <row r="617" customFormat="false" ht="13.5" hidden="false" customHeight="false" outlineLevel="0" collapsed="false">
      <c r="A617" s="41"/>
      <c r="B617" s="42"/>
      <c r="C617" s="36"/>
      <c r="D617" s="35"/>
      <c r="E617" s="36"/>
      <c r="F617" s="36"/>
      <c r="G617" s="37"/>
      <c r="H617" s="35"/>
      <c r="I617" s="43" t="str">
        <f aca="false">IF($A617="","",COUNTIFS($A$2:$A617,$A617))</f>
        <v/>
      </c>
      <c r="J617" s="43" t="str">
        <f aca="false">IF($A617="","",$A617&amp;"-"&amp;$I617)</f>
        <v/>
      </c>
      <c r="K617" s="38" t="str">
        <f aca="false">IF($A617="","",IF(COUNTIF(参数!$B$6:$B$8,$H617)=0,"× 付款方式","√"))</f>
        <v/>
      </c>
    </row>
    <row r="618" customFormat="false" ht="13.5" hidden="false" customHeight="false" outlineLevel="0" collapsed="false">
      <c r="A618" s="41"/>
      <c r="B618" s="42"/>
      <c r="C618" s="36"/>
      <c r="D618" s="35"/>
      <c r="E618" s="36"/>
      <c r="F618" s="36"/>
      <c r="G618" s="37"/>
      <c r="H618" s="35"/>
      <c r="I618" s="43" t="str">
        <f aca="false">IF($A618="","",COUNTIFS($A$2:$A618,$A618))</f>
        <v/>
      </c>
      <c r="J618" s="43" t="str">
        <f aca="false">IF($A618="","",$A618&amp;"-"&amp;$I618)</f>
        <v/>
      </c>
      <c r="K618" s="38" t="str">
        <f aca="false">IF($A618="","",IF(COUNTIF(参数!$B$6:$B$8,$H618)=0,"× 付款方式","√"))</f>
        <v/>
      </c>
    </row>
    <row r="619" customFormat="false" ht="13.5" hidden="false" customHeight="false" outlineLevel="0" collapsed="false">
      <c r="A619" s="41"/>
      <c r="B619" s="42"/>
      <c r="C619" s="36"/>
      <c r="D619" s="35"/>
      <c r="E619" s="36"/>
      <c r="F619" s="36"/>
      <c r="G619" s="37"/>
      <c r="H619" s="35"/>
      <c r="I619" s="43" t="str">
        <f aca="false">IF($A619="","",COUNTIFS($A$2:$A619,$A619))</f>
        <v/>
      </c>
      <c r="J619" s="43" t="str">
        <f aca="false">IF($A619="","",$A619&amp;"-"&amp;$I619)</f>
        <v/>
      </c>
      <c r="K619" s="38" t="str">
        <f aca="false">IF($A619="","",IF(COUNTIF(参数!$B$6:$B$8,$H619)=0,"× 付款方式","√"))</f>
        <v/>
      </c>
    </row>
    <row r="620" customFormat="false" ht="13.5" hidden="false" customHeight="false" outlineLevel="0" collapsed="false">
      <c r="A620" s="41"/>
      <c r="B620" s="42"/>
      <c r="C620" s="36"/>
      <c r="D620" s="35"/>
      <c r="E620" s="36"/>
      <c r="F620" s="36"/>
      <c r="G620" s="37"/>
      <c r="H620" s="35"/>
      <c r="I620" s="43" t="str">
        <f aca="false">IF($A620="","",COUNTIFS($A$2:$A620,$A620))</f>
        <v/>
      </c>
      <c r="J620" s="43" t="str">
        <f aca="false">IF($A620="","",$A620&amp;"-"&amp;$I620)</f>
        <v/>
      </c>
      <c r="K620" s="38" t="str">
        <f aca="false">IF($A620="","",IF(COUNTIF(参数!$B$6:$B$8,$H620)=0,"× 付款方式","√"))</f>
        <v/>
      </c>
    </row>
    <row r="621" customFormat="false" ht="13.5" hidden="false" customHeight="false" outlineLevel="0" collapsed="false">
      <c r="A621" s="41"/>
      <c r="B621" s="42"/>
      <c r="C621" s="36"/>
      <c r="D621" s="35"/>
      <c r="E621" s="36"/>
      <c r="F621" s="36"/>
      <c r="G621" s="37"/>
      <c r="H621" s="35"/>
      <c r="I621" s="43" t="str">
        <f aca="false">IF($A621="","",COUNTIFS($A$2:$A621,$A621))</f>
        <v/>
      </c>
      <c r="J621" s="43" t="str">
        <f aca="false">IF($A621="","",$A621&amp;"-"&amp;$I621)</f>
        <v/>
      </c>
      <c r="K621" s="38" t="str">
        <f aca="false">IF($A621="","",IF(COUNTIF(参数!$B$6:$B$8,$H621)=0,"× 付款方式","√"))</f>
        <v/>
      </c>
    </row>
    <row r="622" customFormat="false" ht="13.5" hidden="false" customHeight="false" outlineLevel="0" collapsed="false">
      <c r="A622" s="41"/>
      <c r="B622" s="42"/>
      <c r="C622" s="36"/>
      <c r="D622" s="35"/>
      <c r="E622" s="36"/>
      <c r="F622" s="36"/>
      <c r="G622" s="37"/>
      <c r="H622" s="35"/>
      <c r="I622" s="43" t="str">
        <f aca="false">IF($A622="","",COUNTIFS($A$2:$A622,$A622))</f>
        <v/>
      </c>
      <c r="J622" s="43" t="str">
        <f aca="false">IF($A622="","",$A622&amp;"-"&amp;$I622)</f>
        <v/>
      </c>
      <c r="K622" s="38" t="str">
        <f aca="false">IF($A622="","",IF(COUNTIF(参数!$B$6:$B$8,$H622)=0,"× 付款方式","√"))</f>
        <v/>
      </c>
    </row>
    <row r="623" customFormat="false" ht="13.5" hidden="false" customHeight="false" outlineLevel="0" collapsed="false">
      <c r="A623" s="41"/>
      <c r="B623" s="42"/>
      <c r="C623" s="36"/>
      <c r="D623" s="35"/>
      <c r="E623" s="36"/>
      <c r="F623" s="36"/>
      <c r="G623" s="37"/>
      <c r="H623" s="35"/>
      <c r="I623" s="43" t="str">
        <f aca="false">IF($A623="","",COUNTIFS($A$2:$A623,$A623))</f>
        <v/>
      </c>
      <c r="J623" s="43" t="str">
        <f aca="false">IF($A623="","",$A623&amp;"-"&amp;$I623)</f>
        <v/>
      </c>
      <c r="K623" s="38" t="str">
        <f aca="false">IF($A623="","",IF(COUNTIF(参数!$B$6:$B$8,$H623)=0,"× 付款方式","√"))</f>
        <v/>
      </c>
    </row>
    <row r="624" customFormat="false" ht="13.5" hidden="false" customHeight="false" outlineLevel="0" collapsed="false">
      <c r="A624" s="41"/>
      <c r="B624" s="42"/>
      <c r="C624" s="36"/>
      <c r="D624" s="35"/>
      <c r="E624" s="36"/>
      <c r="F624" s="36"/>
      <c r="G624" s="37"/>
      <c r="H624" s="35"/>
      <c r="I624" s="43" t="str">
        <f aca="false">IF($A624="","",COUNTIFS($A$2:$A624,$A624))</f>
        <v/>
      </c>
      <c r="J624" s="43" t="str">
        <f aca="false">IF($A624="","",$A624&amp;"-"&amp;$I624)</f>
        <v/>
      </c>
      <c r="K624" s="38" t="str">
        <f aca="false">IF($A624="","",IF(COUNTIF(参数!$B$6:$B$8,$H624)=0,"× 付款方式","√"))</f>
        <v/>
      </c>
    </row>
    <row r="625" customFormat="false" ht="13.5" hidden="false" customHeight="false" outlineLevel="0" collapsed="false">
      <c r="A625" s="41"/>
      <c r="B625" s="42"/>
      <c r="C625" s="36"/>
      <c r="D625" s="35"/>
      <c r="E625" s="36"/>
      <c r="F625" s="36"/>
      <c r="G625" s="37"/>
      <c r="H625" s="35"/>
      <c r="I625" s="43" t="str">
        <f aca="false">IF($A625="","",COUNTIFS($A$2:$A625,$A625))</f>
        <v/>
      </c>
      <c r="J625" s="43" t="str">
        <f aca="false">IF($A625="","",$A625&amp;"-"&amp;$I625)</f>
        <v/>
      </c>
      <c r="K625" s="38" t="str">
        <f aca="false">IF($A625="","",IF(COUNTIF(参数!$B$6:$B$8,$H625)=0,"× 付款方式","√"))</f>
        <v/>
      </c>
    </row>
    <row r="626" customFormat="false" ht="13.5" hidden="false" customHeight="false" outlineLevel="0" collapsed="false">
      <c r="A626" s="41"/>
      <c r="B626" s="42"/>
      <c r="C626" s="36"/>
      <c r="D626" s="35"/>
      <c r="E626" s="36"/>
      <c r="F626" s="36"/>
      <c r="G626" s="37"/>
      <c r="H626" s="35"/>
      <c r="I626" s="43" t="str">
        <f aca="false">IF($A626="","",COUNTIFS($A$2:$A626,$A626))</f>
        <v/>
      </c>
      <c r="J626" s="43" t="str">
        <f aca="false">IF($A626="","",$A626&amp;"-"&amp;$I626)</f>
        <v/>
      </c>
      <c r="K626" s="38" t="str">
        <f aca="false">IF($A626="","",IF(COUNTIF(参数!$B$6:$B$8,$H626)=0,"× 付款方式","√"))</f>
        <v/>
      </c>
    </row>
    <row r="627" customFormat="false" ht="13.5" hidden="false" customHeight="false" outlineLevel="0" collapsed="false">
      <c r="A627" s="41"/>
      <c r="B627" s="42"/>
      <c r="C627" s="36"/>
      <c r="D627" s="35"/>
      <c r="E627" s="36"/>
      <c r="F627" s="36"/>
      <c r="G627" s="37"/>
      <c r="H627" s="35"/>
      <c r="I627" s="43" t="str">
        <f aca="false">IF($A627="","",COUNTIFS($A$2:$A627,$A627))</f>
        <v/>
      </c>
      <c r="J627" s="43" t="str">
        <f aca="false">IF($A627="","",$A627&amp;"-"&amp;$I627)</f>
        <v/>
      </c>
      <c r="K627" s="38" t="str">
        <f aca="false">IF($A627="","",IF(COUNTIF(参数!$B$6:$B$8,$H627)=0,"× 付款方式","√"))</f>
        <v/>
      </c>
    </row>
    <row r="628" customFormat="false" ht="13.5" hidden="false" customHeight="false" outlineLevel="0" collapsed="false">
      <c r="A628" s="41"/>
      <c r="B628" s="42"/>
      <c r="C628" s="36"/>
      <c r="D628" s="35"/>
      <c r="E628" s="36"/>
      <c r="F628" s="36"/>
      <c r="G628" s="37"/>
      <c r="H628" s="35"/>
      <c r="I628" s="43" t="str">
        <f aca="false">IF($A628="","",COUNTIFS($A$2:$A628,$A628))</f>
        <v/>
      </c>
      <c r="J628" s="43" t="str">
        <f aca="false">IF($A628="","",$A628&amp;"-"&amp;$I628)</f>
        <v/>
      </c>
      <c r="K628" s="38" t="str">
        <f aca="false">IF($A628="","",IF(COUNTIF(参数!$B$6:$B$8,$H628)=0,"× 付款方式","√"))</f>
        <v/>
      </c>
    </row>
    <row r="629" customFormat="false" ht="13.5" hidden="false" customHeight="false" outlineLevel="0" collapsed="false">
      <c r="A629" s="41"/>
      <c r="B629" s="42"/>
      <c r="C629" s="36"/>
      <c r="D629" s="35"/>
      <c r="E629" s="36"/>
      <c r="F629" s="36"/>
      <c r="G629" s="37"/>
      <c r="H629" s="35"/>
      <c r="I629" s="43" t="str">
        <f aca="false">IF($A629="","",COUNTIFS($A$2:$A629,$A629))</f>
        <v/>
      </c>
      <c r="J629" s="43" t="str">
        <f aca="false">IF($A629="","",$A629&amp;"-"&amp;$I629)</f>
        <v/>
      </c>
      <c r="K629" s="38" t="str">
        <f aca="false">IF($A629="","",IF(COUNTIF(参数!$B$6:$B$8,$H629)=0,"× 付款方式","√"))</f>
        <v/>
      </c>
    </row>
    <row r="630" customFormat="false" ht="13.5" hidden="false" customHeight="false" outlineLevel="0" collapsed="false">
      <c r="A630" s="41"/>
      <c r="B630" s="42"/>
      <c r="C630" s="36"/>
      <c r="D630" s="35"/>
      <c r="E630" s="36"/>
      <c r="F630" s="36"/>
      <c r="G630" s="37"/>
      <c r="H630" s="35"/>
      <c r="I630" s="43" t="str">
        <f aca="false">IF($A630="","",COUNTIFS($A$2:$A630,$A630))</f>
        <v/>
      </c>
      <c r="J630" s="43" t="str">
        <f aca="false">IF($A630="","",$A630&amp;"-"&amp;$I630)</f>
        <v/>
      </c>
      <c r="K630" s="38" t="str">
        <f aca="false">IF($A630="","",IF(COUNTIF(参数!$B$6:$B$8,$H630)=0,"× 付款方式","√"))</f>
        <v/>
      </c>
    </row>
    <row r="631" customFormat="false" ht="13.5" hidden="false" customHeight="false" outlineLevel="0" collapsed="false">
      <c r="A631" s="41"/>
      <c r="B631" s="42"/>
      <c r="C631" s="36"/>
      <c r="D631" s="35"/>
      <c r="E631" s="36"/>
      <c r="F631" s="36"/>
      <c r="G631" s="37"/>
      <c r="H631" s="35"/>
      <c r="I631" s="43" t="str">
        <f aca="false">IF($A631="","",COUNTIFS($A$2:$A631,$A631))</f>
        <v/>
      </c>
      <c r="J631" s="43" t="str">
        <f aca="false">IF($A631="","",$A631&amp;"-"&amp;$I631)</f>
        <v/>
      </c>
      <c r="K631" s="38" t="str">
        <f aca="false">IF($A631="","",IF(COUNTIF(参数!$B$6:$B$8,$H631)=0,"× 付款方式","√"))</f>
        <v/>
      </c>
    </row>
    <row r="632" customFormat="false" ht="13.5" hidden="false" customHeight="false" outlineLevel="0" collapsed="false">
      <c r="A632" s="41"/>
      <c r="B632" s="42"/>
      <c r="C632" s="36"/>
      <c r="D632" s="35"/>
      <c r="E632" s="36"/>
      <c r="F632" s="36"/>
      <c r="G632" s="37"/>
      <c r="H632" s="35"/>
      <c r="I632" s="43" t="str">
        <f aca="false">IF($A632="","",COUNTIFS($A$2:$A632,$A632))</f>
        <v/>
      </c>
      <c r="J632" s="43" t="str">
        <f aca="false">IF($A632="","",$A632&amp;"-"&amp;$I632)</f>
        <v/>
      </c>
      <c r="K632" s="38" t="str">
        <f aca="false">IF($A632="","",IF(COUNTIF(参数!$B$6:$B$8,$H632)=0,"× 付款方式","√"))</f>
        <v/>
      </c>
    </row>
    <row r="633" customFormat="false" ht="13.5" hidden="false" customHeight="false" outlineLevel="0" collapsed="false">
      <c r="A633" s="41"/>
      <c r="B633" s="42"/>
      <c r="C633" s="36"/>
      <c r="D633" s="35"/>
      <c r="E633" s="36"/>
      <c r="F633" s="36"/>
      <c r="G633" s="37"/>
      <c r="H633" s="35"/>
      <c r="I633" s="43" t="str">
        <f aca="false">IF($A633="","",COUNTIFS($A$2:$A633,$A633))</f>
        <v/>
      </c>
      <c r="J633" s="43" t="str">
        <f aca="false">IF($A633="","",$A633&amp;"-"&amp;$I633)</f>
        <v/>
      </c>
      <c r="K633" s="38" t="str">
        <f aca="false">IF($A633="","",IF(COUNTIF(参数!$B$6:$B$8,$H633)=0,"× 付款方式","√"))</f>
        <v/>
      </c>
    </row>
    <row r="634" customFormat="false" ht="13.5" hidden="false" customHeight="false" outlineLevel="0" collapsed="false">
      <c r="A634" s="41"/>
      <c r="B634" s="42"/>
      <c r="C634" s="36"/>
      <c r="D634" s="35"/>
      <c r="E634" s="36"/>
      <c r="F634" s="36"/>
      <c r="G634" s="37"/>
      <c r="H634" s="35"/>
      <c r="I634" s="43" t="str">
        <f aca="false">IF($A634="","",COUNTIFS($A$2:$A634,$A634))</f>
        <v/>
      </c>
      <c r="J634" s="43" t="str">
        <f aca="false">IF($A634="","",$A634&amp;"-"&amp;$I634)</f>
        <v/>
      </c>
      <c r="K634" s="38" t="str">
        <f aca="false">IF($A634="","",IF(COUNTIF(参数!$B$6:$B$8,$H634)=0,"× 付款方式","√"))</f>
        <v/>
      </c>
    </row>
    <row r="635" customFormat="false" ht="13.5" hidden="false" customHeight="false" outlineLevel="0" collapsed="false">
      <c r="A635" s="41"/>
      <c r="B635" s="42"/>
      <c r="C635" s="36"/>
      <c r="D635" s="35"/>
      <c r="E635" s="36"/>
      <c r="F635" s="36"/>
      <c r="G635" s="37"/>
      <c r="H635" s="35"/>
      <c r="I635" s="43" t="str">
        <f aca="false">IF($A635="","",COUNTIFS($A$2:$A635,$A635))</f>
        <v/>
      </c>
      <c r="J635" s="43" t="str">
        <f aca="false">IF($A635="","",$A635&amp;"-"&amp;$I635)</f>
        <v/>
      </c>
      <c r="K635" s="38" t="str">
        <f aca="false">IF($A635="","",IF(COUNTIF(参数!$B$6:$B$8,$H635)=0,"× 付款方式","√"))</f>
        <v/>
      </c>
    </row>
    <row r="636" customFormat="false" ht="13.5" hidden="false" customHeight="false" outlineLevel="0" collapsed="false">
      <c r="A636" s="41"/>
      <c r="B636" s="42"/>
      <c r="C636" s="36"/>
      <c r="D636" s="35"/>
      <c r="E636" s="36"/>
      <c r="F636" s="36"/>
      <c r="G636" s="37"/>
      <c r="H636" s="35"/>
      <c r="I636" s="43" t="str">
        <f aca="false">IF($A636="","",COUNTIFS($A$2:$A636,$A636))</f>
        <v/>
      </c>
      <c r="J636" s="43" t="str">
        <f aca="false">IF($A636="","",$A636&amp;"-"&amp;$I636)</f>
        <v/>
      </c>
      <c r="K636" s="38" t="str">
        <f aca="false">IF($A636="","",IF(COUNTIF(参数!$B$6:$B$8,$H636)=0,"× 付款方式","√"))</f>
        <v/>
      </c>
    </row>
    <row r="637" customFormat="false" ht="13.5" hidden="false" customHeight="false" outlineLevel="0" collapsed="false">
      <c r="A637" s="41"/>
      <c r="B637" s="42"/>
      <c r="C637" s="36"/>
      <c r="D637" s="35"/>
      <c r="E637" s="36"/>
      <c r="F637" s="36"/>
      <c r="G637" s="37"/>
      <c r="H637" s="35"/>
      <c r="I637" s="43" t="str">
        <f aca="false">IF($A637="","",COUNTIFS($A$2:$A637,$A637))</f>
        <v/>
      </c>
      <c r="J637" s="43" t="str">
        <f aca="false">IF($A637="","",$A637&amp;"-"&amp;$I637)</f>
        <v/>
      </c>
      <c r="K637" s="38" t="str">
        <f aca="false">IF($A637="","",IF(COUNTIF(参数!$B$6:$B$8,$H637)=0,"× 付款方式","√"))</f>
        <v/>
      </c>
    </row>
    <row r="638" customFormat="false" ht="13.5" hidden="false" customHeight="false" outlineLevel="0" collapsed="false">
      <c r="A638" s="41"/>
      <c r="B638" s="42"/>
      <c r="C638" s="36"/>
      <c r="D638" s="35"/>
      <c r="E638" s="36"/>
      <c r="F638" s="36"/>
      <c r="G638" s="37"/>
      <c r="H638" s="35"/>
      <c r="I638" s="43" t="str">
        <f aca="false">IF($A638="","",COUNTIFS($A$2:$A638,$A638))</f>
        <v/>
      </c>
      <c r="J638" s="43" t="str">
        <f aca="false">IF($A638="","",$A638&amp;"-"&amp;$I638)</f>
        <v/>
      </c>
      <c r="K638" s="38" t="str">
        <f aca="false">IF($A638="","",IF(COUNTIF(参数!$B$6:$B$8,$H638)=0,"× 付款方式","√"))</f>
        <v/>
      </c>
    </row>
    <row r="639" customFormat="false" ht="13.5" hidden="false" customHeight="false" outlineLevel="0" collapsed="false">
      <c r="A639" s="41"/>
      <c r="B639" s="42"/>
      <c r="C639" s="36"/>
      <c r="D639" s="35"/>
      <c r="E639" s="36"/>
      <c r="F639" s="36"/>
      <c r="G639" s="37"/>
      <c r="H639" s="35"/>
      <c r="I639" s="43" t="str">
        <f aca="false">IF($A639="","",COUNTIFS($A$2:$A639,$A639))</f>
        <v/>
      </c>
      <c r="J639" s="43" t="str">
        <f aca="false">IF($A639="","",$A639&amp;"-"&amp;$I639)</f>
        <v/>
      </c>
      <c r="K639" s="38" t="str">
        <f aca="false">IF($A639="","",IF(COUNTIF(参数!$B$6:$B$8,$H639)=0,"× 付款方式","√"))</f>
        <v/>
      </c>
    </row>
    <row r="640" customFormat="false" ht="13.5" hidden="false" customHeight="false" outlineLevel="0" collapsed="false">
      <c r="A640" s="41"/>
      <c r="B640" s="42"/>
      <c r="C640" s="36"/>
      <c r="D640" s="35"/>
      <c r="E640" s="36"/>
      <c r="F640" s="36"/>
      <c r="G640" s="37"/>
      <c r="H640" s="35"/>
      <c r="I640" s="43" t="str">
        <f aca="false">IF($A640="","",COUNTIFS($A$2:$A640,$A640))</f>
        <v/>
      </c>
      <c r="J640" s="43" t="str">
        <f aca="false">IF($A640="","",$A640&amp;"-"&amp;$I640)</f>
        <v/>
      </c>
      <c r="K640" s="38" t="str">
        <f aca="false">IF($A640="","",IF(COUNTIF(参数!$B$6:$B$8,$H640)=0,"× 付款方式","√"))</f>
        <v/>
      </c>
    </row>
    <row r="641" customFormat="false" ht="13.5" hidden="false" customHeight="false" outlineLevel="0" collapsed="false">
      <c r="A641" s="41"/>
      <c r="B641" s="42"/>
      <c r="C641" s="36"/>
      <c r="D641" s="35"/>
      <c r="E641" s="36"/>
      <c r="F641" s="36"/>
      <c r="G641" s="37"/>
      <c r="H641" s="35"/>
      <c r="I641" s="43" t="str">
        <f aca="false">IF($A641="","",COUNTIFS($A$2:$A641,$A641))</f>
        <v/>
      </c>
      <c r="J641" s="43" t="str">
        <f aca="false">IF($A641="","",$A641&amp;"-"&amp;$I641)</f>
        <v/>
      </c>
      <c r="K641" s="38" t="str">
        <f aca="false">IF($A641="","",IF(COUNTIF(参数!$B$6:$B$8,$H641)=0,"× 付款方式","√"))</f>
        <v/>
      </c>
    </row>
    <row r="642" customFormat="false" ht="13.5" hidden="false" customHeight="false" outlineLevel="0" collapsed="false">
      <c r="A642" s="41"/>
      <c r="B642" s="42"/>
      <c r="C642" s="36"/>
      <c r="D642" s="35"/>
      <c r="E642" s="36"/>
      <c r="F642" s="36"/>
      <c r="G642" s="37"/>
      <c r="H642" s="35"/>
      <c r="I642" s="43" t="str">
        <f aca="false">IF($A642="","",COUNTIFS($A$2:$A642,$A642))</f>
        <v/>
      </c>
      <c r="J642" s="43" t="str">
        <f aca="false">IF($A642="","",$A642&amp;"-"&amp;$I642)</f>
        <v/>
      </c>
      <c r="K642" s="38" t="str">
        <f aca="false">IF($A642="","",IF(COUNTIF(参数!$B$6:$B$8,$H642)=0,"× 付款方式","√"))</f>
        <v/>
      </c>
    </row>
    <row r="643" customFormat="false" ht="13.5" hidden="false" customHeight="false" outlineLevel="0" collapsed="false">
      <c r="A643" s="41"/>
      <c r="B643" s="42"/>
      <c r="C643" s="36"/>
      <c r="D643" s="35"/>
      <c r="E643" s="36"/>
      <c r="F643" s="36"/>
      <c r="G643" s="37"/>
      <c r="H643" s="35"/>
      <c r="I643" s="43" t="str">
        <f aca="false">IF($A643="","",COUNTIFS($A$2:$A643,$A643))</f>
        <v/>
      </c>
      <c r="J643" s="43" t="str">
        <f aca="false">IF($A643="","",$A643&amp;"-"&amp;$I643)</f>
        <v/>
      </c>
      <c r="K643" s="38" t="str">
        <f aca="false">IF($A643="","",IF(COUNTIF(参数!$B$6:$B$8,$H643)=0,"× 付款方式","√"))</f>
        <v/>
      </c>
    </row>
    <row r="644" customFormat="false" ht="13.5" hidden="false" customHeight="false" outlineLevel="0" collapsed="false">
      <c r="A644" s="41"/>
      <c r="B644" s="42"/>
      <c r="C644" s="36"/>
      <c r="D644" s="35"/>
      <c r="E644" s="36"/>
      <c r="F644" s="36"/>
      <c r="G644" s="37"/>
      <c r="H644" s="35"/>
      <c r="I644" s="43" t="str">
        <f aca="false">IF($A644="","",COUNTIFS($A$2:$A644,$A644))</f>
        <v/>
      </c>
      <c r="J644" s="43" t="str">
        <f aca="false">IF($A644="","",$A644&amp;"-"&amp;$I644)</f>
        <v/>
      </c>
      <c r="K644" s="38" t="str">
        <f aca="false">IF($A644="","",IF(COUNTIF(参数!$B$6:$B$8,$H644)=0,"× 付款方式","√"))</f>
        <v/>
      </c>
    </row>
    <row r="645" customFormat="false" ht="13.5" hidden="false" customHeight="false" outlineLevel="0" collapsed="false">
      <c r="A645" s="41"/>
      <c r="B645" s="42"/>
      <c r="C645" s="36"/>
      <c r="D645" s="35"/>
      <c r="E645" s="36"/>
      <c r="F645" s="36"/>
      <c r="G645" s="37"/>
      <c r="H645" s="35"/>
      <c r="I645" s="43" t="str">
        <f aca="false">IF($A645="","",COUNTIFS($A$2:$A645,$A645))</f>
        <v/>
      </c>
      <c r="J645" s="43" t="str">
        <f aca="false">IF($A645="","",$A645&amp;"-"&amp;$I645)</f>
        <v/>
      </c>
      <c r="K645" s="38" t="str">
        <f aca="false">IF($A645="","",IF(COUNTIF(参数!$B$6:$B$8,$H645)=0,"× 付款方式","√"))</f>
        <v/>
      </c>
    </row>
    <row r="646" customFormat="false" ht="13.5" hidden="false" customHeight="false" outlineLevel="0" collapsed="false">
      <c r="A646" s="41"/>
      <c r="B646" s="42"/>
      <c r="C646" s="36"/>
      <c r="D646" s="35"/>
      <c r="E646" s="36"/>
      <c r="F646" s="36"/>
      <c r="G646" s="37"/>
      <c r="H646" s="35"/>
      <c r="I646" s="43" t="str">
        <f aca="false">IF($A646="","",COUNTIFS($A$2:$A646,$A646))</f>
        <v/>
      </c>
      <c r="J646" s="43" t="str">
        <f aca="false">IF($A646="","",$A646&amp;"-"&amp;$I646)</f>
        <v/>
      </c>
      <c r="K646" s="38" t="str">
        <f aca="false">IF($A646="","",IF(COUNTIF(参数!$B$6:$B$8,$H646)=0,"× 付款方式","√"))</f>
        <v/>
      </c>
    </row>
    <row r="647" customFormat="false" ht="13.5" hidden="false" customHeight="false" outlineLevel="0" collapsed="false">
      <c r="A647" s="41"/>
      <c r="B647" s="42"/>
      <c r="C647" s="36"/>
      <c r="D647" s="35"/>
      <c r="E647" s="36"/>
      <c r="F647" s="36"/>
      <c r="G647" s="37"/>
      <c r="H647" s="35"/>
      <c r="I647" s="43" t="str">
        <f aca="false">IF($A647="","",COUNTIFS($A$2:$A647,$A647))</f>
        <v/>
      </c>
      <c r="J647" s="43" t="str">
        <f aca="false">IF($A647="","",$A647&amp;"-"&amp;$I647)</f>
        <v/>
      </c>
      <c r="K647" s="38" t="str">
        <f aca="false">IF($A647="","",IF(COUNTIF(参数!$B$6:$B$8,$H647)=0,"× 付款方式","√"))</f>
        <v/>
      </c>
    </row>
    <row r="648" customFormat="false" ht="13.5" hidden="false" customHeight="false" outlineLevel="0" collapsed="false">
      <c r="A648" s="41"/>
      <c r="B648" s="42"/>
      <c r="C648" s="36"/>
      <c r="D648" s="35"/>
      <c r="E648" s="36"/>
      <c r="F648" s="36"/>
      <c r="G648" s="37"/>
      <c r="H648" s="35"/>
      <c r="I648" s="43" t="str">
        <f aca="false">IF($A648="","",COUNTIFS($A$2:$A648,$A648))</f>
        <v/>
      </c>
      <c r="J648" s="43" t="str">
        <f aca="false">IF($A648="","",$A648&amp;"-"&amp;$I648)</f>
        <v/>
      </c>
      <c r="K648" s="38" t="str">
        <f aca="false">IF($A648="","",IF(COUNTIF(参数!$B$6:$B$8,$H648)=0,"× 付款方式","√"))</f>
        <v/>
      </c>
    </row>
    <row r="649" customFormat="false" ht="13.5" hidden="false" customHeight="false" outlineLevel="0" collapsed="false">
      <c r="A649" s="41"/>
      <c r="B649" s="42"/>
      <c r="C649" s="36"/>
      <c r="D649" s="35"/>
      <c r="E649" s="36"/>
      <c r="F649" s="36"/>
      <c r="G649" s="37"/>
      <c r="H649" s="35"/>
      <c r="I649" s="43" t="str">
        <f aca="false">IF($A649="","",COUNTIFS($A$2:$A649,$A649))</f>
        <v/>
      </c>
      <c r="J649" s="43" t="str">
        <f aca="false">IF($A649="","",$A649&amp;"-"&amp;$I649)</f>
        <v/>
      </c>
      <c r="K649" s="38" t="str">
        <f aca="false">IF($A649="","",IF(COUNTIF(参数!$B$6:$B$8,$H649)=0,"× 付款方式","√"))</f>
        <v/>
      </c>
    </row>
    <row r="650" customFormat="false" ht="13.5" hidden="false" customHeight="false" outlineLevel="0" collapsed="false">
      <c r="A650" s="41"/>
      <c r="B650" s="42"/>
      <c r="C650" s="36"/>
      <c r="D650" s="35"/>
      <c r="E650" s="36"/>
      <c r="F650" s="36"/>
      <c r="G650" s="37"/>
      <c r="H650" s="35"/>
      <c r="I650" s="43" t="str">
        <f aca="false">IF($A650="","",COUNTIFS($A$2:$A650,$A650))</f>
        <v/>
      </c>
      <c r="J650" s="43" t="str">
        <f aca="false">IF($A650="","",$A650&amp;"-"&amp;$I650)</f>
        <v/>
      </c>
      <c r="K650" s="38" t="str">
        <f aca="false">IF($A650="","",IF(COUNTIF(参数!$B$6:$B$8,$H650)=0,"× 付款方式","√"))</f>
        <v/>
      </c>
    </row>
    <row r="651" customFormat="false" ht="13.5" hidden="false" customHeight="false" outlineLevel="0" collapsed="false">
      <c r="A651" s="41"/>
      <c r="B651" s="42"/>
      <c r="C651" s="36"/>
      <c r="D651" s="35"/>
      <c r="E651" s="36"/>
      <c r="F651" s="36"/>
      <c r="G651" s="37"/>
      <c r="H651" s="35"/>
      <c r="I651" s="43" t="str">
        <f aca="false">IF($A651="","",COUNTIFS($A$2:$A651,$A651))</f>
        <v/>
      </c>
      <c r="J651" s="43" t="str">
        <f aca="false">IF($A651="","",$A651&amp;"-"&amp;$I651)</f>
        <v/>
      </c>
      <c r="K651" s="38" t="str">
        <f aca="false">IF($A651="","",IF(COUNTIF(参数!$B$6:$B$8,$H651)=0,"× 付款方式","√"))</f>
        <v/>
      </c>
    </row>
    <row r="652" customFormat="false" ht="13.5" hidden="false" customHeight="false" outlineLevel="0" collapsed="false">
      <c r="A652" s="41"/>
      <c r="B652" s="42"/>
      <c r="C652" s="36"/>
      <c r="D652" s="35"/>
      <c r="E652" s="36"/>
      <c r="F652" s="36"/>
      <c r="G652" s="37"/>
      <c r="H652" s="35"/>
      <c r="I652" s="43" t="str">
        <f aca="false">IF($A652="","",COUNTIFS($A$2:$A652,$A652))</f>
        <v/>
      </c>
      <c r="J652" s="43" t="str">
        <f aca="false">IF($A652="","",$A652&amp;"-"&amp;$I652)</f>
        <v/>
      </c>
      <c r="K652" s="38" t="str">
        <f aca="false">IF($A652="","",IF(COUNTIF(参数!$B$6:$B$8,$H652)=0,"× 付款方式","√"))</f>
        <v/>
      </c>
    </row>
    <row r="653" customFormat="false" ht="13.5" hidden="false" customHeight="false" outlineLevel="0" collapsed="false">
      <c r="A653" s="41"/>
      <c r="B653" s="42"/>
      <c r="C653" s="36"/>
      <c r="D653" s="35"/>
      <c r="E653" s="36"/>
      <c r="F653" s="36"/>
      <c r="G653" s="37"/>
      <c r="H653" s="35"/>
      <c r="I653" s="43" t="str">
        <f aca="false">IF($A653="","",COUNTIFS($A$2:$A653,$A653))</f>
        <v/>
      </c>
      <c r="J653" s="43" t="str">
        <f aca="false">IF($A653="","",$A653&amp;"-"&amp;$I653)</f>
        <v/>
      </c>
      <c r="K653" s="38" t="str">
        <f aca="false">IF($A653="","",IF(COUNTIF(参数!$B$6:$B$8,$H653)=0,"× 付款方式","√"))</f>
        <v/>
      </c>
    </row>
    <row r="654" customFormat="false" ht="13.5" hidden="false" customHeight="false" outlineLevel="0" collapsed="false">
      <c r="A654" s="41"/>
      <c r="B654" s="42"/>
      <c r="C654" s="36"/>
      <c r="D654" s="35"/>
      <c r="E654" s="36"/>
      <c r="F654" s="36"/>
      <c r="G654" s="37"/>
      <c r="H654" s="35"/>
      <c r="I654" s="43" t="str">
        <f aca="false">IF($A654="","",COUNTIFS($A$2:$A654,$A654))</f>
        <v/>
      </c>
      <c r="J654" s="43" t="str">
        <f aca="false">IF($A654="","",$A654&amp;"-"&amp;$I654)</f>
        <v/>
      </c>
      <c r="K654" s="38" t="str">
        <f aca="false">IF($A654="","",IF(COUNTIF(参数!$B$6:$B$8,$H654)=0,"× 付款方式","√"))</f>
        <v/>
      </c>
    </row>
    <row r="655" customFormat="false" ht="13.5" hidden="false" customHeight="false" outlineLevel="0" collapsed="false">
      <c r="A655" s="41"/>
      <c r="B655" s="42"/>
      <c r="C655" s="36"/>
      <c r="D655" s="35"/>
      <c r="E655" s="36"/>
      <c r="F655" s="36"/>
      <c r="G655" s="37"/>
      <c r="H655" s="35"/>
      <c r="I655" s="43" t="str">
        <f aca="false">IF($A655="","",COUNTIFS($A$2:$A655,$A655))</f>
        <v/>
      </c>
      <c r="J655" s="43" t="str">
        <f aca="false">IF($A655="","",$A655&amp;"-"&amp;$I655)</f>
        <v/>
      </c>
      <c r="K655" s="38" t="str">
        <f aca="false">IF($A655="","",IF(COUNTIF(参数!$B$6:$B$8,$H655)=0,"× 付款方式","√"))</f>
        <v/>
      </c>
    </row>
    <row r="656" customFormat="false" ht="13.5" hidden="false" customHeight="false" outlineLevel="0" collapsed="false">
      <c r="A656" s="41"/>
      <c r="B656" s="42"/>
      <c r="C656" s="36"/>
      <c r="D656" s="35"/>
      <c r="E656" s="36"/>
      <c r="F656" s="36"/>
      <c r="G656" s="37"/>
      <c r="H656" s="35"/>
      <c r="I656" s="43" t="str">
        <f aca="false">IF($A656="","",COUNTIFS($A$2:$A656,$A656))</f>
        <v/>
      </c>
      <c r="J656" s="43" t="str">
        <f aca="false">IF($A656="","",$A656&amp;"-"&amp;$I656)</f>
        <v/>
      </c>
      <c r="K656" s="38" t="str">
        <f aca="false">IF($A656="","",IF(COUNTIF(参数!$B$6:$B$8,$H656)=0,"× 付款方式","√"))</f>
        <v/>
      </c>
    </row>
    <row r="657" customFormat="false" ht="13.5" hidden="false" customHeight="false" outlineLevel="0" collapsed="false">
      <c r="A657" s="41"/>
      <c r="B657" s="42"/>
      <c r="C657" s="36"/>
      <c r="D657" s="35"/>
      <c r="E657" s="36"/>
      <c r="F657" s="36"/>
      <c r="G657" s="37"/>
      <c r="H657" s="35"/>
      <c r="I657" s="43" t="str">
        <f aca="false">IF($A657="","",COUNTIFS($A$2:$A657,$A657))</f>
        <v/>
      </c>
      <c r="J657" s="43" t="str">
        <f aca="false">IF($A657="","",$A657&amp;"-"&amp;$I657)</f>
        <v/>
      </c>
      <c r="K657" s="38" t="str">
        <f aca="false">IF($A657="","",IF(COUNTIF(参数!$B$6:$B$8,$H657)=0,"× 付款方式","√"))</f>
        <v/>
      </c>
    </row>
    <row r="658" customFormat="false" ht="13.5" hidden="false" customHeight="false" outlineLevel="0" collapsed="false">
      <c r="A658" s="41"/>
      <c r="B658" s="42"/>
      <c r="C658" s="36"/>
      <c r="D658" s="35"/>
      <c r="E658" s="36"/>
      <c r="F658" s="36"/>
      <c r="G658" s="37"/>
      <c r="H658" s="35"/>
      <c r="I658" s="43" t="str">
        <f aca="false">IF($A658="","",COUNTIFS($A$2:$A658,$A658))</f>
        <v/>
      </c>
      <c r="J658" s="43" t="str">
        <f aca="false">IF($A658="","",$A658&amp;"-"&amp;$I658)</f>
        <v/>
      </c>
      <c r="K658" s="38" t="str">
        <f aca="false">IF($A658="","",IF(COUNTIF(参数!$B$6:$B$8,$H658)=0,"× 付款方式","√"))</f>
        <v/>
      </c>
    </row>
    <row r="659" customFormat="false" ht="13.5" hidden="false" customHeight="false" outlineLevel="0" collapsed="false">
      <c r="A659" s="41"/>
      <c r="B659" s="42"/>
      <c r="C659" s="36"/>
      <c r="D659" s="35"/>
      <c r="E659" s="36"/>
      <c r="F659" s="36"/>
      <c r="G659" s="37"/>
      <c r="H659" s="35"/>
      <c r="I659" s="43" t="str">
        <f aca="false">IF($A659="","",COUNTIFS($A$2:$A659,$A659))</f>
        <v/>
      </c>
      <c r="J659" s="43" t="str">
        <f aca="false">IF($A659="","",$A659&amp;"-"&amp;$I659)</f>
        <v/>
      </c>
      <c r="K659" s="38" t="str">
        <f aca="false">IF($A659="","",IF(COUNTIF(参数!$B$6:$B$8,$H659)=0,"× 付款方式","√"))</f>
        <v/>
      </c>
    </row>
    <row r="660" customFormat="false" ht="13.5" hidden="false" customHeight="false" outlineLevel="0" collapsed="false">
      <c r="A660" s="41"/>
      <c r="B660" s="42"/>
      <c r="C660" s="36"/>
      <c r="D660" s="35"/>
      <c r="E660" s="36"/>
      <c r="F660" s="36"/>
      <c r="G660" s="37"/>
      <c r="H660" s="35"/>
      <c r="I660" s="43" t="str">
        <f aca="false">IF($A660="","",COUNTIFS($A$2:$A660,$A660))</f>
        <v/>
      </c>
      <c r="J660" s="43" t="str">
        <f aca="false">IF($A660="","",$A660&amp;"-"&amp;$I660)</f>
        <v/>
      </c>
      <c r="K660" s="38" t="str">
        <f aca="false">IF($A660="","",IF(COUNTIF(参数!$B$6:$B$8,$H660)=0,"× 付款方式","√"))</f>
        <v/>
      </c>
    </row>
    <row r="661" customFormat="false" ht="13.5" hidden="false" customHeight="false" outlineLevel="0" collapsed="false">
      <c r="A661" s="41"/>
      <c r="B661" s="42"/>
      <c r="C661" s="36"/>
      <c r="D661" s="35"/>
      <c r="E661" s="36"/>
      <c r="F661" s="36"/>
      <c r="G661" s="37"/>
      <c r="H661" s="35"/>
      <c r="I661" s="43" t="str">
        <f aca="false">IF($A661="","",COUNTIFS($A$2:$A661,$A661))</f>
        <v/>
      </c>
      <c r="J661" s="43" t="str">
        <f aca="false">IF($A661="","",$A661&amp;"-"&amp;$I661)</f>
        <v/>
      </c>
      <c r="K661" s="38" t="str">
        <f aca="false">IF($A661="","",IF(COUNTIF(参数!$B$6:$B$8,$H661)=0,"× 付款方式","√"))</f>
        <v/>
      </c>
    </row>
    <row r="662" customFormat="false" ht="13.5" hidden="false" customHeight="false" outlineLevel="0" collapsed="false">
      <c r="A662" s="41"/>
      <c r="B662" s="42"/>
      <c r="C662" s="36"/>
      <c r="D662" s="35"/>
      <c r="E662" s="36"/>
      <c r="F662" s="36"/>
      <c r="G662" s="37"/>
      <c r="H662" s="35"/>
      <c r="I662" s="43" t="str">
        <f aca="false">IF($A662="","",COUNTIFS($A$2:$A662,$A662))</f>
        <v/>
      </c>
      <c r="J662" s="43" t="str">
        <f aca="false">IF($A662="","",$A662&amp;"-"&amp;$I662)</f>
        <v/>
      </c>
      <c r="K662" s="38" t="str">
        <f aca="false">IF($A662="","",IF(COUNTIF(参数!$B$6:$B$8,$H662)=0,"× 付款方式","√"))</f>
        <v/>
      </c>
    </row>
    <row r="663" customFormat="false" ht="13.5" hidden="false" customHeight="false" outlineLevel="0" collapsed="false">
      <c r="A663" s="41"/>
      <c r="B663" s="42"/>
      <c r="C663" s="36"/>
      <c r="D663" s="35"/>
      <c r="E663" s="36"/>
      <c r="F663" s="36"/>
      <c r="G663" s="37"/>
      <c r="H663" s="35"/>
      <c r="I663" s="43" t="str">
        <f aca="false">IF($A663="","",COUNTIFS($A$2:$A663,$A663))</f>
        <v/>
      </c>
      <c r="J663" s="43" t="str">
        <f aca="false">IF($A663="","",$A663&amp;"-"&amp;$I663)</f>
        <v/>
      </c>
      <c r="K663" s="38" t="str">
        <f aca="false">IF($A663="","",IF(COUNTIF(参数!$B$6:$B$8,$H663)=0,"× 付款方式","√"))</f>
        <v/>
      </c>
    </row>
    <row r="664" customFormat="false" ht="13.5" hidden="false" customHeight="false" outlineLevel="0" collapsed="false">
      <c r="A664" s="41"/>
      <c r="B664" s="42"/>
      <c r="C664" s="36"/>
      <c r="D664" s="35"/>
      <c r="E664" s="36"/>
      <c r="F664" s="36"/>
      <c r="G664" s="37"/>
      <c r="H664" s="35"/>
      <c r="I664" s="43" t="str">
        <f aca="false">IF($A664="","",COUNTIFS($A$2:$A664,$A664))</f>
        <v/>
      </c>
      <c r="J664" s="43" t="str">
        <f aca="false">IF($A664="","",$A664&amp;"-"&amp;$I664)</f>
        <v/>
      </c>
      <c r="K664" s="38" t="str">
        <f aca="false">IF($A664="","",IF(COUNTIF(参数!$B$6:$B$8,$H664)=0,"× 付款方式","√"))</f>
        <v/>
      </c>
    </row>
    <row r="665" customFormat="false" ht="13.5" hidden="false" customHeight="false" outlineLevel="0" collapsed="false">
      <c r="A665" s="41"/>
      <c r="B665" s="42"/>
      <c r="C665" s="36"/>
      <c r="D665" s="35"/>
      <c r="E665" s="36"/>
      <c r="F665" s="36"/>
      <c r="G665" s="37"/>
      <c r="H665" s="35"/>
      <c r="I665" s="43" t="str">
        <f aca="false">IF($A665="","",COUNTIFS($A$2:$A665,$A665))</f>
        <v/>
      </c>
      <c r="J665" s="43" t="str">
        <f aca="false">IF($A665="","",$A665&amp;"-"&amp;$I665)</f>
        <v/>
      </c>
      <c r="K665" s="38" t="str">
        <f aca="false">IF($A665="","",IF(COUNTIF(参数!$B$6:$B$8,$H665)=0,"× 付款方式","√"))</f>
        <v/>
      </c>
    </row>
    <row r="666" customFormat="false" ht="13.5" hidden="false" customHeight="false" outlineLevel="0" collapsed="false">
      <c r="A666" s="41"/>
      <c r="B666" s="42"/>
      <c r="C666" s="36"/>
      <c r="D666" s="35"/>
      <c r="E666" s="36"/>
      <c r="F666" s="36"/>
      <c r="G666" s="37"/>
      <c r="H666" s="35"/>
      <c r="I666" s="43" t="str">
        <f aca="false">IF($A666="","",COUNTIFS($A$2:$A666,$A666))</f>
        <v/>
      </c>
      <c r="J666" s="43" t="str">
        <f aca="false">IF($A666="","",$A666&amp;"-"&amp;$I666)</f>
        <v/>
      </c>
      <c r="K666" s="38" t="str">
        <f aca="false">IF($A666="","",IF(COUNTIF(参数!$B$6:$B$8,$H666)=0,"× 付款方式","√"))</f>
        <v/>
      </c>
    </row>
    <row r="667" customFormat="false" ht="13.5" hidden="false" customHeight="false" outlineLevel="0" collapsed="false">
      <c r="A667" s="41"/>
      <c r="B667" s="42"/>
      <c r="C667" s="36"/>
      <c r="D667" s="35"/>
      <c r="E667" s="36"/>
      <c r="F667" s="36"/>
      <c r="G667" s="37"/>
      <c r="H667" s="35"/>
      <c r="I667" s="43" t="str">
        <f aca="false">IF($A667="","",COUNTIFS($A$2:$A667,$A667))</f>
        <v/>
      </c>
      <c r="J667" s="43" t="str">
        <f aca="false">IF($A667="","",$A667&amp;"-"&amp;$I667)</f>
        <v/>
      </c>
      <c r="K667" s="38" t="str">
        <f aca="false">IF($A667="","",IF(COUNTIF(参数!$B$6:$B$8,$H667)=0,"× 付款方式","√"))</f>
        <v/>
      </c>
    </row>
    <row r="668" customFormat="false" ht="13.5" hidden="false" customHeight="false" outlineLevel="0" collapsed="false">
      <c r="A668" s="41"/>
      <c r="B668" s="42"/>
      <c r="C668" s="36"/>
      <c r="D668" s="35"/>
      <c r="E668" s="36"/>
      <c r="F668" s="36"/>
      <c r="G668" s="37"/>
      <c r="H668" s="35"/>
      <c r="I668" s="43" t="str">
        <f aca="false">IF($A668="","",COUNTIFS($A$2:$A668,$A668))</f>
        <v/>
      </c>
      <c r="J668" s="43" t="str">
        <f aca="false">IF($A668="","",$A668&amp;"-"&amp;$I668)</f>
        <v/>
      </c>
      <c r="K668" s="38" t="str">
        <f aca="false">IF($A668="","",IF(COUNTIF(参数!$B$6:$B$8,$H668)=0,"× 付款方式","√"))</f>
        <v/>
      </c>
    </row>
    <row r="669" customFormat="false" ht="13.5" hidden="false" customHeight="false" outlineLevel="0" collapsed="false">
      <c r="A669" s="41"/>
      <c r="B669" s="42"/>
      <c r="C669" s="36"/>
      <c r="D669" s="35"/>
      <c r="E669" s="36"/>
      <c r="F669" s="36"/>
      <c r="G669" s="37"/>
      <c r="H669" s="35"/>
      <c r="I669" s="43" t="str">
        <f aca="false">IF($A669="","",COUNTIFS($A$2:$A669,$A669))</f>
        <v/>
      </c>
      <c r="J669" s="43" t="str">
        <f aca="false">IF($A669="","",$A669&amp;"-"&amp;$I669)</f>
        <v/>
      </c>
      <c r="K669" s="38" t="str">
        <f aca="false">IF($A669="","",IF(COUNTIF(参数!$B$6:$B$8,$H669)=0,"× 付款方式","√"))</f>
        <v/>
      </c>
    </row>
    <row r="670" customFormat="false" ht="13.5" hidden="false" customHeight="false" outlineLevel="0" collapsed="false">
      <c r="A670" s="41"/>
      <c r="B670" s="42"/>
      <c r="C670" s="36"/>
      <c r="D670" s="35"/>
      <c r="E670" s="36"/>
      <c r="F670" s="36"/>
      <c r="G670" s="37"/>
      <c r="H670" s="35"/>
      <c r="I670" s="43" t="str">
        <f aca="false">IF($A670="","",COUNTIFS($A$2:$A670,$A670))</f>
        <v/>
      </c>
      <c r="J670" s="43" t="str">
        <f aca="false">IF($A670="","",$A670&amp;"-"&amp;$I670)</f>
        <v/>
      </c>
      <c r="K670" s="38" t="str">
        <f aca="false">IF($A670="","",IF(COUNTIF(参数!$B$6:$B$8,$H670)=0,"× 付款方式","√"))</f>
        <v/>
      </c>
    </row>
    <row r="671" customFormat="false" ht="13.5" hidden="false" customHeight="false" outlineLevel="0" collapsed="false">
      <c r="A671" s="41"/>
      <c r="B671" s="42"/>
      <c r="C671" s="36"/>
      <c r="D671" s="35"/>
      <c r="E671" s="36"/>
      <c r="F671" s="36"/>
      <c r="G671" s="37"/>
      <c r="H671" s="35"/>
      <c r="I671" s="43" t="str">
        <f aca="false">IF($A671="","",COUNTIFS($A$2:$A671,$A671))</f>
        <v/>
      </c>
      <c r="J671" s="43" t="str">
        <f aca="false">IF($A671="","",$A671&amp;"-"&amp;$I671)</f>
        <v/>
      </c>
      <c r="K671" s="38" t="str">
        <f aca="false">IF($A671="","",IF(COUNTIF(参数!$B$6:$B$8,$H671)=0,"× 付款方式","√"))</f>
        <v/>
      </c>
    </row>
    <row r="672" customFormat="false" ht="13.5" hidden="false" customHeight="false" outlineLevel="0" collapsed="false">
      <c r="A672" s="41"/>
      <c r="B672" s="42"/>
      <c r="C672" s="36"/>
      <c r="D672" s="35"/>
      <c r="E672" s="36"/>
      <c r="F672" s="36"/>
      <c r="G672" s="37"/>
      <c r="H672" s="35"/>
      <c r="I672" s="43" t="str">
        <f aca="false">IF($A672="","",COUNTIFS($A$2:$A672,$A672))</f>
        <v/>
      </c>
      <c r="J672" s="43" t="str">
        <f aca="false">IF($A672="","",$A672&amp;"-"&amp;$I672)</f>
        <v/>
      </c>
      <c r="K672" s="38" t="str">
        <f aca="false">IF($A672="","",IF(COUNTIF(参数!$B$6:$B$8,$H672)=0,"× 付款方式","√"))</f>
        <v/>
      </c>
    </row>
    <row r="673" customFormat="false" ht="13.5" hidden="false" customHeight="false" outlineLevel="0" collapsed="false">
      <c r="A673" s="41"/>
      <c r="B673" s="42"/>
      <c r="C673" s="36"/>
      <c r="D673" s="35"/>
      <c r="E673" s="36"/>
      <c r="F673" s="36"/>
      <c r="G673" s="37"/>
      <c r="H673" s="35"/>
      <c r="I673" s="43" t="str">
        <f aca="false">IF($A673="","",COUNTIFS($A$2:$A673,$A673))</f>
        <v/>
      </c>
      <c r="J673" s="43" t="str">
        <f aca="false">IF($A673="","",$A673&amp;"-"&amp;$I673)</f>
        <v/>
      </c>
      <c r="K673" s="38" t="str">
        <f aca="false">IF($A673="","",IF(COUNTIF(参数!$B$6:$B$8,$H673)=0,"× 付款方式","√"))</f>
        <v/>
      </c>
    </row>
    <row r="674" customFormat="false" ht="13.5" hidden="false" customHeight="false" outlineLevel="0" collapsed="false">
      <c r="A674" s="41"/>
      <c r="B674" s="42"/>
      <c r="C674" s="36"/>
      <c r="D674" s="35"/>
      <c r="E674" s="36"/>
      <c r="F674" s="36"/>
      <c r="G674" s="37"/>
      <c r="H674" s="35"/>
      <c r="I674" s="43" t="str">
        <f aca="false">IF($A674="","",COUNTIFS($A$2:$A674,$A674))</f>
        <v/>
      </c>
      <c r="J674" s="43" t="str">
        <f aca="false">IF($A674="","",$A674&amp;"-"&amp;$I674)</f>
        <v/>
      </c>
      <c r="K674" s="38" t="str">
        <f aca="false">IF($A674="","",IF(COUNTIF(参数!$B$6:$B$8,$H674)=0,"× 付款方式","√"))</f>
        <v/>
      </c>
    </row>
    <row r="675" customFormat="false" ht="13.5" hidden="false" customHeight="false" outlineLevel="0" collapsed="false">
      <c r="A675" s="41"/>
      <c r="B675" s="42"/>
      <c r="C675" s="36"/>
      <c r="D675" s="35"/>
      <c r="E675" s="36"/>
      <c r="F675" s="36"/>
      <c r="G675" s="37"/>
      <c r="H675" s="35"/>
      <c r="I675" s="43" t="str">
        <f aca="false">IF($A675="","",COUNTIFS($A$2:$A675,$A675))</f>
        <v/>
      </c>
      <c r="J675" s="43" t="str">
        <f aca="false">IF($A675="","",$A675&amp;"-"&amp;$I675)</f>
        <v/>
      </c>
      <c r="K675" s="38" t="str">
        <f aca="false">IF($A675="","",IF(COUNTIF(参数!$B$6:$B$8,$H675)=0,"× 付款方式","√"))</f>
        <v/>
      </c>
    </row>
    <row r="676" customFormat="false" ht="13.5" hidden="false" customHeight="false" outlineLevel="0" collapsed="false">
      <c r="A676" s="41"/>
      <c r="B676" s="42"/>
      <c r="C676" s="36"/>
      <c r="D676" s="35"/>
      <c r="E676" s="36"/>
      <c r="F676" s="36"/>
      <c r="G676" s="37"/>
      <c r="H676" s="35"/>
      <c r="I676" s="43" t="str">
        <f aca="false">IF($A676="","",COUNTIFS($A$2:$A676,$A676))</f>
        <v/>
      </c>
      <c r="J676" s="43" t="str">
        <f aca="false">IF($A676="","",$A676&amp;"-"&amp;$I676)</f>
        <v/>
      </c>
      <c r="K676" s="38" t="str">
        <f aca="false">IF($A676="","",IF(COUNTIF(参数!$B$6:$B$8,$H676)=0,"× 付款方式","√"))</f>
        <v/>
      </c>
    </row>
    <row r="677" customFormat="false" ht="13.5" hidden="false" customHeight="false" outlineLevel="0" collapsed="false">
      <c r="A677" s="41"/>
      <c r="B677" s="42"/>
      <c r="C677" s="36"/>
      <c r="D677" s="35"/>
      <c r="E677" s="36"/>
      <c r="F677" s="36"/>
      <c r="G677" s="37"/>
      <c r="H677" s="35"/>
      <c r="I677" s="43" t="str">
        <f aca="false">IF($A677="","",COUNTIFS($A$2:$A677,$A677))</f>
        <v/>
      </c>
      <c r="J677" s="43" t="str">
        <f aca="false">IF($A677="","",$A677&amp;"-"&amp;$I677)</f>
        <v/>
      </c>
      <c r="K677" s="38" t="str">
        <f aca="false">IF($A677="","",IF(COUNTIF(参数!$B$6:$B$8,$H677)=0,"× 付款方式","√"))</f>
        <v/>
      </c>
    </row>
    <row r="678" customFormat="false" ht="13.5" hidden="false" customHeight="false" outlineLevel="0" collapsed="false">
      <c r="A678" s="41"/>
      <c r="B678" s="42"/>
      <c r="C678" s="36"/>
      <c r="D678" s="35"/>
      <c r="E678" s="36"/>
      <c r="F678" s="36"/>
      <c r="G678" s="37"/>
      <c r="H678" s="35"/>
      <c r="I678" s="43" t="str">
        <f aca="false">IF($A678="","",COUNTIFS($A$2:$A678,$A678))</f>
        <v/>
      </c>
      <c r="J678" s="43" t="str">
        <f aca="false">IF($A678="","",$A678&amp;"-"&amp;$I678)</f>
        <v/>
      </c>
      <c r="K678" s="38" t="str">
        <f aca="false">IF($A678="","",IF(COUNTIF(参数!$B$6:$B$8,$H678)=0,"× 付款方式","√"))</f>
        <v/>
      </c>
    </row>
    <row r="679" customFormat="false" ht="13.5" hidden="false" customHeight="false" outlineLevel="0" collapsed="false">
      <c r="A679" s="41"/>
      <c r="B679" s="42"/>
      <c r="C679" s="36"/>
      <c r="D679" s="35"/>
      <c r="E679" s="36"/>
      <c r="F679" s="36"/>
      <c r="G679" s="37"/>
      <c r="H679" s="35"/>
      <c r="I679" s="43" t="str">
        <f aca="false">IF($A679="","",COUNTIFS($A$2:$A679,$A679))</f>
        <v/>
      </c>
      <c r="J679" s="43" t="str">
        <f aca="false">IF($A679="","",$A679&amp;"-"&amp;$I679)</f>
        <v/>
      </c>
      <c r="K679" s="38" t="str">
        <f aca="false">IF($A679="","",IF(COUNTIF(参数!$B$6:$B$8,$H679)=0,"× 付款方式","√"))</f>
        <v/>
      </c>
    </row>
    <row r="680" customFormat="false" ht="13.5" hidden="false" customHeight="false" outlineLevel="0" collapsed="false">
      <c r="A680" s="41"/>
      <c r="B680" s="42"/>
      <c r="C680" s="36"/>
      <c r="D680" s="35"/>
      <c r="E680" s="36"/>
      <c r="F680" s="36"/>
      <c r="G680" s="37"/>
      <c r="H680" s="35"/>
      <c r="I680" s="43" t="str">
        <f aca="false">IF($A680="","",COUNTIFS($A$2:$A680,$A680))</f>
        <v/>
      </c>
      <c r="J680" s="43" t="str">
        <f aca="false">IF($A680="","",$A680&amp;"-"&amp;$I680)</f>
        <v/>
      </c>
      <c r="K680" s="38" t="str">
        <f aca="false">IF($A680="","",IF(COUNTIF(参数!$B$6:$B$8,$H680)=0,"× 付款方式","√"))</f>
        <v/>
      </c>
    </row>
    <row r="681" customFormat="false" ht="13.5" hidden="false" customHeight="false" outlineLevel="0" collapsed="false">
      <c r="A681" s="41"/>
      <c r="B681" s="42"/>
      <c r="C681" s="36"/>
      <c r="D681" s="35"/>
      <c r="E681" s="36"/>
      <c r="F681" s="36"/>
      <c r="G681" s="37"/>
      <c r="H681" s="35"/>
      <c r="I681" s="43" t="str">
        <f aca="false">IF($A681="","",COUNTIFS($A$2:$A681,$A681))</f>
        <v/>
      </c>
      <c r="J681" s="43" t="str">
        <f aca="false">IF($A681="","",$A681&amp;"-"&amp;$I681)</f>
        <v/>
      </c>
      <c r="K681" s="38" t="str">
        <f aca="false">IF($A681="","",IF(COUNTIF(参数!$B$6:$B$8,$H681)=0,"× 付款方式","√"))</f>
        <v/>
      </c>
    </row>
    <row r="682" customFormat="false" ht="13.5" hidden="false" customHeight="false" outlineLevel="0" collapsed="false">
      <c r="A682" s="41"/>
      <c r="B682" s="42"/>
      <c r="C682" s="36"/>
      <c r="D682" s="35"/>
      <c r="E682" s="36"/>
      <c r="F682" s="36"/>
      <c r="G682" s="37"/>
      <c r="H682" s="35"/>
      <c r="I682" s="43" t="str">
        <f aca="false">IF($A682="","",COUNTIFS($A$2:$A682,$A682))</f>
        <v/>
      </c>
      <c r="J682" s="43" t="str">
        <f aca="false">IF($A682="","",$A682&amp;"-"&amp;$I682)</f>
        <v/>
      </c>
      <c r="K682" s="38" t="str">
        <f aca="false">IF($A682="","",IF(COUNTIF(参数!$B$6:$B$8,$H682)=0,"× 付款方式","√"))</f>
        <v/>
      </c>
    </row>
    <row r="683" customFormat="false" ht="13.5" hidden="false" customHeight="false" outlineLevel="0" collapsed="false">
      <c r="A683" s="41"/>
      <c r="B683" s="42"/>
      <c r="C683" s="36"/>
      <c r="D683" s="35"/>
      <c r="E683" s="36"/>
      <c r="F683" s="36"/>
      <c r="G683" s="37"/>
      <c r="H683" s="35"/>
      <c r="I683" s="43" t="str">
        <f aca="false">IF($A683="","",COUNTIFS($A$2:$A683,$A683))</f>
        <v/>
      </c>
      <c r="J683" s="43" t="str">
        <f aca="false">IF($A683="","",$A683&amp;"-"&amp;$I683)</f>
        <v/>
      </c>
      <c r="K683" s="38" t="str">
        <f aca="false">IF($A683="","",IF(COUNTIF(参数!$B$6:$B$8,$H683)=0,"× 付款方式","√"))</f>
        <v/>
      </c>
    </row>
    <row r="684" customFormat="false" ht="13.5" hidden="false" customHeight="false" outlineLevel="0" collapsed="false">
      <c r="A684" s="41"/>
      <c r="B684" s="42"/>
      <c r="C684" s="36"/>
      <c r="D684" s="35"/>
      <c r="E684" s="36"/>
      <c r="F684" s="36"/>
      <c r="G684" s="37"/>
      <c r="H684" s="35"/>
      <c r="I684" s="43" t="str">
        <f aca="false">IF($A684="","",COUNTIFS($A$2:$A684,$A684))</f>
        <v/>
      </c>
      <c r="J684" s="43" t="str">
        <f aca="false">IF($A684="","",$A684&amp;"-"&amp;$I684)</f>
        <v/>
      </c>
      <c r="K684" s="38" t="str">
        <f aca="false">IF($A684="","",IF(COUNTIF(参数!$B$6:$B$8,$H684)=0,"× 付款方式","√"))</f>
        <v/>
      </c>
    </row>
    <row r="685" customFormat="false" ht="13.5" hidden="false" customHeight="false" outlineLevel="0" collapsed="false">
      <c r="A685" s="41"/>
      <c r="B685" s="42"/>
      <c r="C685" s="36"/>
      <c r="D685" s="35"/>
      <c r="E685" s="36"/>
      <c r="F685" s="36"/>
      <c r="G685" s="37"/>
      <c r="H685" s="35"/>
      <c r="I685" s="43" t="str">
        <f aca="false">IF($A685="","",COUNTIFS($A$2:$A685,$A685))</f>
        <v/>
      </c>
      <c r="J685" s="43" t="str">
        <f aca="false">IF($A685="","",$A685&amp;"-"&amp;$I685)</f>
        <v/>
      </c>
      <c r="K685" s="38" t="str">
        <f aca="false">IF($A685="","",IF(COUNTIF(参数!$B$6:$B$8,$H685)=0,"× 付款方式","√"))</f>
        <v/>
      </c>
    </row>
    <row r="686" customFormat="false" ht="13.5" hidden="false" customHeight="false" outlineLevel="0" collapsed="false">
      <c r="A686" s="41"/>
      <c r="B686" s="42"/>
      <c r="C686" s="36"/>
      <c r="D686" s="35"/>
      <c r="E686" s="36"/>
      <c r="F686" s="36"/>
      <c r="G686" s="37"/>
      <c r="H686" s="35"/>
      <c r="I686" s="43" t="str">
        <f aca="false">IF($A686="","",COUNTIFS($A$2:$A686,$A686))</f>
        <v/>
      </c>
      <c r="J686" s="43" t="str">
        <f aca="false">IF($A686="","",$A686&amp;"-"&amp;$I686)</f>
        <v/>
      </c>
      <c r="K686" s="38" t="str">
        <f aca="false">IF($A686="","",IF(COUNTIF(参数!$B$6:$B$8,$H686)=0,"× 付款方式","√"))</f>
        <v/>
      </c>
    </row>
    <row r="687" customFormat="false" ht="13.5" hidden="false" customHeight="false" outlineLevel="0" collapsed="false">
      <c r="A687" s="41"/>
      <c r="B687" s="42"/>
      <c r="C687" s="36"/>
      <c r="D687" s="35"/>
      <c r="E687" s="36"/>
      <c r="F687" s="36"/>
      <c r="G687" s="37"/>
      <c r="H687" s="35"/>
      <c r="I687" s="43" t="str">
        <f aca="false">IF($A687="","",COUNTIFS($A$2:$A687,$A687))</f>
        <v/>
      </c>
      <c r="J687" s="43" t="str">
        <f aca="false">IF($A687="","",$A687&amp;"-"&amp;$I687)</f>
        <v/>
      </c>
      <c r="K687" s="38" t="str">
        <f aca="false">IF($A687="","",IF(COUNTIF(参数!$B$6:$B$8,$H687)=0,"× 付款方式","√"))</f>
        <v/>
      </c>
    </row>
    <row r="688" customFormat="false" ht="13.5" hidden="false" customHeight="false" outlineLevel="0" collapsed="false">
      <c r="A688" s="41"/>
      <c r="B688" s="42"/>
      <c r="C688" s="36"/>
      <c r="D688" s="35"/>
      <c r="E688" s="36"/>
      <c r="F688" s="36"/>
      <c r="G688" s="37"/>
      <c r="H688" s="35"/>
      <c r="I688" s="43" t="str">
        <f aca="false">IF($A688="","",COUNTIFS($A$2:$A688,$A688))</f>
        <v/>
      </c>
      <c r="J688" s="43" t="str">
        <f aca="false">IF($A688="","",$A688&amp;"-"&amp;$I688)</f>
        <v/>
      </c>
      <c r="K688" s="38" t="str">
        <f aca="false">IF($A688="","",IF(COUNTIF(参数!$B$6:$B$8,$H688)=0,"× 付款方式","√"))</f>
        <v/>
      </c>
    </row>
    <row r="689" customFormat="false" ht="13.5" hidden="false" customHeight="false" outlineLevel="0" collapsed="false">
      <c r="A689" s="41"/>
      <c r="B689" s="42"/>
      <c r="C689" s="36"/>
      <c r="D689" s="35"/>
      <c r="E689" s="36"/>
      <c r="F689" s="36"/>
      <c r="G689" s="37"/>
      <c r="H689" s="35"/>
      <c r="I689" s="43" t="str">
        <f aca="false">IF($A689="","",COUNTIFS($A$2:$A689,$A689))</f>
        <v/>
      </c>
      <c r="J689" s="43" t="str">
        <f aca="false">IF($A689="","",$A689&amp;"-"&amp;$I689)</f>
        <v/>
      </c>
      <c r="K689" s="38" t="str">
        <f aca="false">IF($A689="","",IF(COUNTIF(参数!$B$6:$B$8,$H689)=0,"× 付款方式","√"))</f>
        <v/>
      </c>
    </row>
    <row r="690" customFormat="false" ht="13.5" hidden="false" customHeight="false" outlineLevel="0" collapsed="false">
      <c r="A690" s="41"/>
      <c r="B690" s="42"/>
      <c r="C690" s="36"/>
      <c r="D690" s="35"/>
      <c r="E690" s="36"/>
      <c r="F690" s="36"/>
      <c r="G690" s="37"/>
      <c r="H690" s="35"/>
      <c r="I690" s="43" t="str">
        <f aca="false">IF($A690="","",COUNTIFS($A$2:$A690,$A690))</f>
        <v/>
      </c>
      <c r="J690" s="43" t="str">
        <f aca="false">IF($A690="","",$A690&amp;"-"&amp;$I690)</f>
        <v/>
      </c>
      <c r="K690" s="38" t="str">
        <f aca="false">IF($A690="","",IF(COUNTIF(参数!$B$6:$B$8,$H690)=0,"× 付款方式","√"))</f>
        <v/>
      </c>
    </row>
    <row r="691" customFormat="false" ht="13.5" hidden="false" customHeight="false" outlineLevel="0" collapsed="false">
      <c r="A691" s="41"/>
      <c r="B691" s="42"/>
      <c r="C691" s="36"/>
      <c r="D691" s="35"/>
      <c r="E691" s="36"/>
      <c r="F691" s="36"/>
      <c r="G691" s="37"/>
      <c r="H691" s="35"/>
      <c r="I691" s="43" t="str">
        <f aca="false">IF($A691="","",COUNTIFS($A$2:$A691,$A691))</f>
        <v/>
      </c>
      <c r="J691" s="43" t="str">
        <f aca="false">IF($A691="","",$A691&amp;"-"&amp;$I691)</f>
        <v/>
      </c>
      <c r="K691" s="38" t="str">
        <f aca="false">IF($A691="","",IF(COUNTIF(参数!$B$6:$B$8,$H691)=0,"× 付款方式","√"))</f>
        <v/>
      </c>
    </row>
    <row r="692" customFormat="false" ht="13.5" hidden="false" customHeight="false" outlineLevel="0" collapsed="false">
      <c r="A692" s="41"/>
      <c r="B692" s="42"/>
      <c r="C692" s="36"/>
      <c r="D692" s="35"/>
      <c r="E692" s="36"/>
      <c r="F692" s="36"/>
      <c r="G692" s="37"/>
      <c r="H692" s="35"/>
      <c r="I692" s="43" t="str">
        <f aca="false">IF($A692="","",COUNTIFS($A$2:$A692,$A692))</f>
        <v/>
      </c>
      <c r="J692" s="43" t="str">
        <f aca="false">IF($A692="","",$A692&amp;"-"&amp;$I692)</f>
        <v/>
      </c>
      <c r="K692" s="38" t="str">
        <f aca="false">IF($A692="","",IF(COUNTIF(参数!$B$6:$B$8,$H692)=0,"× 付款方式","√"))</f>
        <v/>
      </c>
    </row>
    <row r="693" customFormat="false" ht="13.5" hidden="false" customHeight="false" outlineLevel="0" collapsed="false">
      <c r="A693" s="41"/>
      <c r="B693" s="42"/>
      <c r="C693" s="36"/>
      <c r="D693" s="35"/>
      <c r="E693" s="36"/>
      <c r="F693" s="36"/>
      <c r="G693" s="37"/>
      <c r="H693" s="35"/>
      <c r="I693" s="43" t="str">
        <f aca="false">IF($A693="","",COUNTIFS($A$2:$A693,$A693))</f>
        <v/>
      </c>
      <c r="J693" s="43" t="str">
        <f aca="false">IF($A693="","",$A693&amp;"-"&amp;$I693)</f>
        <v/>
      </c>
      <c r="K693" s="38" t="str">
        <f aca="false">IF($A693="","",IF(COUNTIF(参数!$B$6:$B$8,$H693)=0,"× 付款方式","√"))</f>
        <v/>
      </c>
    </row>
    <row r="694" customFormat="false" ht="13.5" hidden="false" customHeight="false" outlineLevel="0" collapsed="false">
      <c r="A694" s="41"/>
      <c r="B694" s="42"/>
      <c r="C694" s="36"/>
      <c r="D694" s="35"/>
      <c r="E694" s="36"/>
      <c r="F694" s="36"/>
      <c r="G694" s="37"/>
      <c r="H694" s="35"/>
      <c r="I694" s="43" t="str">
        <f aca="false">IF($A694="","",COUNTIFS($A$2:$A694,$A694))</f>
        <v/>
      </c>
      <c r="J694" s="43" t="str">
        <f aca="false">IF($A694="","",$A694&amp;"-"&amp;$I694)</f>
        <v/>
      </c>
      <c r="K694" s="38" t="str">
        <f aca="false">IF($A694="","",IF(COUNTIF(参数!$B$6:$B$8,$H694)=0,"× 付款方式","√"))</f>
        <v/>
      </c>
    </row>
    <row r="695" customFormat="false" ht="13.5" hidden="false" customHeight="false" outlineLevel="0" collapsed="false">
      <c r="A695" s="41"/>
      <c r="B695" s="42"/>
      <c r="C695" s="36"/>
      <c r="D695" s="35"/>
      <c r="E695" s="36"/>
      <c r="F695" s="36"/>
      <c r="G695" s="37"/>
      <c r="H695" s="35"/>
      <c r="I695" s="43" t="str">
        <f aca="false">IF($A695="","",COUNTIFS($A$2:$A695,$A695))</f>
        <v/>
      </c>
      <c r="J695" s="43" t="str">
        <f aca="false">IF($A695="","",$A695&amp;"-"&amp;$I695)</f>
        <v/>
      </c>
      <c r="K695" s="38" t="str">
        <f aca="false">IF($A695="","",IF(COUNTIF(参数!$B$6:$B$8,$H695)=0,"× 付款方式","√"))</f>
        <v/>
      </c>
    </row>
    <row r="696" customFormat="false" ht="13.5" hidden="false" customHeight="false" outlineLevel="0" collapsed="false">
      <c r="A696" s="41"/>
      <c r="B696" s="42"/>
      <c r="C696" s="36"/>
      <c r="D696" s="35"/>
      <c r="E696" s="36"/>
      <c r="F696" s="36"/>
      <c r="G696" s="37"/>
      <c r="H696" s="35"/>
      <c r="I696" s="43" t="str">
        <f aca="false">IF($A696="","",COUNTIFS($A$2:$A696,$A696))</f>
        <v/>
      </c>
      <c r="J696" s="43" t="str">
        <f aca="false">IF($A696="","",$A696&amp;"-"&amp;$I696)</f>
        <v/>
      </c>
      <c r="K696" s="38" t="str">
        <f aca="false">IF($A696="","",IF(COUNTIF(参数!$B$6:$B$8,$H696)=0,"× 付款方式","√"))</f>
        <v/>
      </c>
    </row>
    <row r="697" customFormat="false" ht="13.5" hidden="false" customHeight="false" outlineLevel="0" collapsed="false">
      <c r="A697" s="41"/>
      <c r="B697" s="42"/>
      <c r="C697" s="36"/>
      <c r="D697" s="35"/>
      <c r="E697" s="36"/>
      <c r="F697" s="36"/>
      <c r="G697" s="37"/>
      <c r="H697" s="35"/>
      <c r="I697" s="43" t="str">
        <f aca="false">IF($A697="","",COUNTIFS($A$2:$A697,$A697))</f>
        <v/>
      </c>
      <c r="J697" s="43" t="str">
        <f aca="false">IF($A697="","",$A697&amp;"-"&amp;$I697)</f>
        <v/>
      </c>
      <c r="K697" s="38" t="str">
        <f aca="false">IF($A697="","",IF(COUNTIF(参数!$B$6:$B$8,$H697)=0,"× 付款方式","√"))</f>
        <v/>
      </c>
    </row>
    <row r="698" customFormat="false" ht="13.5" hidden="false" customHeight="false" outlineLevel="0" collapsed="false">
      <c r="A698" s="41"/>
      <c r="B698" s="42"/>
      <c r="C698" s="36"/>
      <c r="D698" s="35"/>
      <c r="E698" s="36"/>
      <c r="F698" s="36"/>
      <c r="G698" s="37"/>
      <c r="H698" s="35"/>
      <c r="I698" s="43" t="str">
        <f aca="false">IF($A698="","",COUNTIFS($A$2:$A698,$A698))</f>
        <v/>
      </c>
      <c r="J698" s="43" t="str">
        <f aca="false">IF($A698="","",$A698&amp;"-"&amp;$I698)</f>
        <v/>
      </c>
      <c r="K698" s="38" t="str">
        <f aca="false">IF($A698="","",IF(COUNTIF(参数!$B$6:$B$8,$H698)=0,"× 付款方式","√"))</f>
        <v/>
      </c>
    </row>
    <row r="699" customFormat="false" ht="13.5" hidden="false" customHeight="false" outlineLevel="0" collapsed="false">
      <c r="A699" s="41"/>
      <c r="B699" s="42"/>
      <c r="C699" s="36"/>
      <c r="D699" s="35"/>
      <c r="E699" s="36"/>
      <c r="F699" s="36"/>
      <c r="G699" s="37"/>
      <c r="H699" s="35"/>
      <c r="I699" s="43" t="str">
        <f aca="false">IF($A699="","",COUNTIFS($A$2:$A699,$A699))</f>
        <v/>
      </c>
      <c r="J699" s="43" t="str">
        <f aca="false">IF($A699="","",$A699&amp;"-"&amp;$I699)</f>
        <v/>
      </c>
      <c r="K699" s="38" t="str">
        <f aca="false">IF($A699="","",IF(COUNTIF(参数!$B$6:$B$8,$H699)=0,"× 付款方式","√"))</f>
        <v/>
      </c>
    </row>
    <row r="700" customFormat="false" ht="13.5" hidden="false" customHeight="false" outlineLevel="0" collapsed="false">
      <c r="A700" s="41"/>
      <c r="B700" s="42"/>
      <c r="C700" s="36"/>
      <c r="D700" s="35"/>
      <c r="E700" s="36"/>
      <c r="F700" s="36"/>
      <c r="G700" s="37"/>
      <c r="H700" s="35"/>
      <c r="I700" s="43" t="str">
        <f aca="false">IF($A700="","",COUNTIFS($A$2:$A700,$A700))</f>
        <v/>
      </c>
      <c r="J700" s="43" t="str">
        <f aca="false">IF($A700="","",$A700&amp;"-"&amp;$I700)</f>
        <v/>
      </c>
      <c r="K700" s="38" t="str">
        <f aca="false">IF($A700="","",IF(COUNTIF(参数!$B$6:$B$8,$H700)=0,"× 付款方式","√"))</f>
        <v/>
      </c>
    </row>
    <row r="701" customFormat="false" ht="13.5" hidden="false" customHeight="false" outlineLevel="0" collapsed="false">
      <c r="A701" s="41"/>
      <c r="B701" s="42"/>
      <c r="C701" s="36"/>
      <c r="D701" s="35"/>
      <c r="E701" s="36"/>
      <c r="F701" s="36"/>
      <c r="G701" s="37"/>
      <c r="H701" s="35"/>
      <c r="I701" s="43" t="str">
        <f aca="false">IF($A701="","",COUNTIFS($A$2:$A701,$A701))</f>
        <v/>
      </c>
      <c r="J701" s="43" t="str">
        <f aca="false">IF($A701="","",$A701&amp;"-"&amp;$I701)</f>
        <v/>
      </c>
      <c r="K701" s="38" t="str">
        <f aca="false">IF($A701="","",IF(COUNTIF(参数!$B$6:$B$8,$H701)=0,"× 付款方式","√"))</f>
        <v/>
      </c>
    </row>
    <row r="702" customFormat="false" ht="13.5" hidden="false" customHeight="false" outlineLevel="0" collapsed="false">
      <c r="A702" s="41"/>
      <c r="B702" s="42"/>
      <c r="C702" s="36"/>
      <c r="D702" s="35"/>
      <c r="E702" s="36"/>
      <c r="F702" s="36"/>
      <c r="G702" s="37"/>
      <c r="H702" s="35"/>
      <c r="I702" s="43" t="str">
        <f aca="false">IF($A702="","",COUNTIFS($A$2:$A702,$A702))</f>
        <v/>
      </c>
      <c r="J702" s="43" t="str">
        <f aca="false">IF($A702="","",$A702&amp;"-"&amp;$I702)</f>
        <v/>
      </c>
      <c r="K702" s="38" t="str">
        <f aca="false">IF($A702="","",IF(COUNTIF(参数!$B$6:$B$8,$H702)=0,"× 付款方式","√"))</f>
        <v/>
      </c>
    </row>
    <row r="703" customFormat="false" ht="13.5" hidden="false" customHeight="false" outlineLevel="0" collapsed="false">
      <c r="A703" s="41"/>
      <c r="B703" s="42"/>
      <c r="C703" s="36"/>
      <c r="D703" s="35"/>
      <c r="E703" s="36"/>
      <c r="F703" s="36"/>
      <c r="G703" s="37"/>
      <c r="H703" s="35"/>
      <c r="I703" s="43" t="str">
        <f aca="false">IF($A703="","",COUNTIFS($A$2:$A703,$A703))</f>
        <v/>
      </c>
      <c r="J703" s="43" t="str">
        <f aca="false">IF($A703="","",$A703&amp;"-"&amp;$I703)</f>
        <v/>
      </c>
      <c r="K703" s="38" t="str">
        <f aca="false">IF($A703="","",IF(COUNTIF(参数!$B$6:$B$8,$H703)=0,"× 付款方式","√"))</f>
        <v/>
      </c>
    </row>
    <row r="704" customFormat="false" ht="13.5" hidden="false" customHeight="false" outlineLevel="0" collapsed="false">
      <c r="A704" s="41"/>
      <c r="B704" s="42"/>
      <c r="C704" s="36"/>
      <c r="D704" s="35"/>
      <c r="E704" s="36"/>
      <c r="F704" s="36"/>
      <c r="G704" s="37"/>
      <c r="H704" s="35"/>
      <c r="I704" s="43" t="str">
        <f aca="false">IF($A704="","",COUNTIFS($A$2:$A704,$A704))</f>
        <v/>
      </c>
      <c r="J704" s="43" t="str">
        <f aca="false">IF($A704="","",$A704&amp;"-"&amp;$I704)</f>
        <v/>
      </c>
      <c r="K704" s="38" t="str">
        <f aca="false">IF($A704="","",IF(COUNTIF(参数!$B$6:$B$8,$H704)=0,"× 付款方式","√"))</f>
        <v/>
      </c>
    </row>
    <row r="705" customFormat="false" ht="13.5" hidden="false" customHeight="false" outlineLevel="0" collapsed="false">
      <c r="A705" s="41"/>
      <c r="B705" s="42"/>
      <c r="C705" s="36"/>
      <c r="D705" s="35"/>
      <c r="E705" s="36"/>
      <c r="F705" s="36"/>
      <c r="G705" s="37"/>
      <c r="H705" s="35"/>
      <c r="I705" s="43" t="str">
        <f aca="false">IF($A705="","",COUNTIFS($A$2:$A705,$A705))</f>
        <v/>
      </c>
      <c r="J705" s="43" t="str">
        <f aca="false">IF($A705="","",$A705&amp;"-"&amp;$I705)</f>
        <v/>
      </c>
      <c r="K705" s="38" t="str">
        <f aca="false">IF($A705="","",IF(COUNTIF(参数!$B$6:$B$8,$H705)=0,"× 付款方式","√"))</f>
        <v/>
      </c>
    </row>
    <row r="706" customFormat="false" ht="13.5" hidden="false" customHeight="false" outlineLevel="0" collapsed="false">
      <c r="A706" s="41"/>
      <c r="B706" s="42"/>
      <c r="C706" s="36"/>
      <c r="D706" s="35"/>
      <c r="E706" s="36"/>
      <c r="F706" s="36"/>
      <c r="G706" s="37"/>
      <c r="H706" s="35"/>
      <c r="I706" s="43" t="str">
        <f aca="false">IF($A706="","",COUNTIFS($A$2:$A706,$A706))</f>
        <v/>
      </c>
      <c r="J706" s="43" t="str">
        <f aca="false">IF($A706="","",$A706&amp;"-"&amp;$I706)</f>
        <v/>
      </c>
      <c r="K706" s="38" t="str">
        <f aca="false">IF($A706="","",IF(COUNTIF(参数!$B$6:$B$8,$H706)=0,"× 付款方式","√"))</f>
        <v/>
      </c>
    </row>
    <row r="707" customFormat="false" ht="13.5" hidden="false" customHeight="false" outlineLevel="0" collapsed="false">
      <c r="A707" s="41"/>
      <c r="B707" s="42"/>
      <c r="C707" s="36"/>
      <c r="D707" s="35"/>
      <c r="E707" s="36"/>
      <c r="F707" s="36"/>
      <c r="G707" s="37"/>
      <c r="H707" s="35"/>
      <c r="I707" s="43" t="str">
        <f aca="false">IF($A707="","",COUNTIFS($A$2:$A707,$A707))</f>
        <v/>
      </c>
      <c r="J707" s="43" t="str">
        <f aca="false">IF($A707="","",$A707&amp;"-"&amp;$I707)</f>
        <v/>
      </c>
      <c r="K707" s="38" t="str">
        <f aca="false">IF($A707="","",IF(COUNTIF(参数!$B$6:$B$8,$H707)=0,"× 付款方式","√"))</f>
        <v/>
      </c>
    </row>
    <row r="708" customFormat="false" ht="13.5" hidden="false" customHeight="false" outlineLevel="0" collapsed="false">
      <c r="A708" s="41"/>
      <c r="B708" s="42"/>
      <c r="C708" s="36"/>
      <c r="D708" s="35"/>
      <c r="E708" s="36"/>
      <c r="F708" s="36"/>
      <c r="G708" s="37"/>
      <c r="H708" s="35"/>
      <c r="I708" s="43" t="str">
        <f aca="false">IF($A708="","",COUNTIFS($A$2:$A708,$A708))</f>
        <v/>
      </c>
      <c r="J708" s="43" t="str">
        <f aca="false">IF($A708="","",$A708&amp;"-"&amp;$I708)</f>
        <v/>
      </c>
      <c r="K708" s="38" t="str">
        <f aca="false">IF($A708="","",IF(COUNTIF(参数!$B$6:$B$8,$H708)=0,"× 付款方式","√"))</f>
        <v/>
      </c>
    </row>
    <row r="709" customFormat="false" ht="13.5" hidden="false" customHeight="false" outlineLevel="0" collapsed="false">
      <c r="A709" s="41"/>
      <c r="B709" s="42"/>
      <c r="C709" s="36"/>
      <c r="D709" s="35"/>
      <c r="E709" s="36"/>
      <c r="F709" s="36"/>
      <c r="G709" s="37"/>
      <c r="H709" s="35"/>
      <c r="I709" s="43" t="str">
        <f aca="false">IF($A709="","",COUNTIFS($A$2:$A709,$A709))</f>
        <v/>
      </c>
      <c r="J709" s="43" t="str">
        <f aca="false">IF($A709="","",$A709&amp;"-"&amp;$I709)</f>
        <v/>
      </c>
      <c r="K709" s="38" t="str">
        <f aca="false">IF($A709="","",IF(COUNTIF(参数!$B$6:$B$8,$H709)=0,"× 付款方式","√"))</f>
        <v/>
      </c>
    </row>
    <row r="710" customFormat="false" ht="13.5" hidden="false" customHeight="false" outlineLevel="0" collapsed="false">
      <c r="A710" s="41"/>
      <c r="B710" s="42"/>
      <c r="C710" s="36"/>
      <c r="D710" s="35"/>
      <c r="E710" s="36"/>
      <c r="F710" s="36"/>
      <c r="G710" s="37"/>
      <c r="H710" s="35"/>
      <c r="I710" s="43" t="str">
        <f aca="false">IF($A710="","",COUNTIFS($A$2:$A710,$A710))</f>
        <v/>
      </c>
      <c r="J710" s="43" t="str">
        <f aca="false">IF($A710="","",$A710&amp;"-"&amp;$I710)</f>
        <v/>
      </c>
      <c r="K710" s="38" t="str">
        <f aca="false">IF($A710="","",IF(COUNTIF(参数!$B$6:$B$8,$H710)=0,"× 付款方式","√"))</f>
        <v/>
      </c>
    </row>
    <row r="711" customFormat="false" ht="13.5" hidden="false" customHeight="false" outlineLevel="0" collapsed="false">
      <c r="A711" s="41"/>
      <c r="B711" s="42"/>
      <c r="C711" s="36"/>
      <c r="D711" s="35"/>
      <c r="E711" s="36"/>
      <c r="F711" s="36"/>
      <c r="G711" s="37"/>
      <c r="H711" s="35"/>
      <c r="I711" s="43" t="str">
        <f aca="false">IF($A711="","",COUNTIFS($A$2:$A711,$A711))</f>
        <v/>
      </c>
      <c r="J711" s="43" t="str">
        <f aca="false">IF($A711="","",$A711&amp;"-"&amp;$I711)</f>
        <v/>
      </c>
      <c r="K711" s="38" t="str">
        <f aca="false">IF($A711="","",IF(COUNTIF(参数!$B$6:$B$8,$H711)=0,"× 付款方式","√"))</f>
        <v/>
      </c>
    </row>
    <row r="712" customFormat="false" ht="13.5" hidden="false" customHeight="false" outlineLevel="0" collapsed="false">
      <c r="A712" s="41"/>
      <c r="B712" s="42"/>
      <c r="C712" s="36"/>
      <c r="D712" s="35"/>
      <c r="E712" s="36"/>
      <c r="F712" s="36"/>
      <c r="G712" s="37"/>
      <c r="H712" s="35"/>
      <c r="I712" s="43" t="str">
        <f aca="false">IF($A712="","",COUNTIFS($A$2:$A712,$A712))</f>
        <v/>
      </c>
      <c r="J712" s="43" t="str">
        <f aca="false">IF($A712="","",$A712&amp;"-"&amp;$I712)</f>
        <v/>
      </c>
      <c r="K712" s="38" t="str">
        <f aca="false">IF($A712="","",IF(COUNTIF(参数!$B$6:$B$8,$H712)=0,"× 付款方式","√"))</f>
        <v/>
      </c>
    </row>
    <row r="713" customFormat="false" ht="13.5" hidden="false" customHeight="false" outlineLevel="0" collapsed="false">
      <c r="A713" s="41"/>
      <c r="B713" s="42"/>
      <c r="C713" s="36"/>
      <c r="D713" s="35"/>
      <c r="E713" s="36"/>
      <c r="F713" s="36"/>
      <c r="G713" s="37"/>
      <c r="H713" s="35"/>
      <c r="I713" s="43" t="str">
        <f aca="false">IF($A713="","",COUNTIFS($A$2:$A713,$A713))</f>
        <v/>
      </c>
      <c r="J713" s="43" t="str">
        <f aca="false">IF($A713="","",$A713&amp;"-"&amp;$I713)</f>
        <v/>
      </c>
      <c r="K713" s="38" t="str">
        <f aca="false">IF($A713="","",IF(COUNTIF(参数!$B$6:$B$8,$H713)=0,"× 付款方式","√"))</f>
        <v/>
      </c>
    </row>
    <row r="714" customFormat="false" ht="13.5" hidden="false" customHeight="false" outlineLevel="0" collapsed="false">
      <c r="A714" s="41"/>
      <c r="B714" s="42"/>
      <c r="C714" s="36"/>
      <c r="D714" s="35"/>
      <c r="E714" s="36"/>
      <c r="F714" s="36"/>
      <c r="G714" s="37"/>
      <c r="H714" s="35"/>
      <c r="I714" s="43" t="str">
        <f aca="false">IF($A714="","",COUNTIFS($A$2:$A714,$A714))</f>
        <v/>
      </c>
      <c r="J714" s="43" t="str">
        <f aca="false">IF($A714="","",$A714&amp;"-"&amp;$I714)</f>
        <v/>
      </c>
      <c r="K714" s="38" t="str">
        <f aca="false">IF($A714="","",IF(COUNTIF(参数!$B$6:$B$8,$H714)=0,"× 付款方式","√"))</f>
        <v/>
      </c>
    </row>
    <row r="715" customFormat="false" ht="13.5" hidden="false" customHeight="false" outlineLevel="0" collapsed="false">
      <c r="A715" s="41"/>
      <c r="B715" s="42"/>
      <c r="C715" s="36"/>
      <c r="D715" s="35"/>
      <c r="E715" s="36"/>
      <c r="F715" s="36"/>
      <c r="G715" s="37"/>
      <c r="H715" s="35"/>
      <c r="I715" s="43" t="str">
        <f aca="false">IF($A715="","",COUNTIFS($A$2:$A715,$A715))</f>
        <v/>
      </c>
      <c r="J715" s="43" t="str">
        <f aca="false">IF($A715="","",$A715&amp;"-"&amp;$I715)</f>
        <v/>
      </c>
      <c r="K715" s="38" t="str">
        <f aca="false">IF($A715="","",IF(COUNTIF(参数!$B$6:$B$8,$H715)=0,"× 付款方式","√"))</f>
        <v/>
      </c>
    </row>
    <row r="716" customFormat="false" ht="13.5" hidden="false" customHeight="false" outlineLevel="0" collapsed="false">
      <c r="A716" s="41"/>
      <c r="B716" s="42"/>
      <c r="C716" s="36"/>
      <c r="D716" s="35"/>
      <c r="E716" s="36"/>
      <c r="F716" s="36"/>
      <c r="G716" s="37"/>
      <c r="H716" s="35"/>
      <c r="I716" s="43" t="str">
        <f aca="false">IF($A716="","",COUNTIFS($A$2:$A716,$A716))</f>
        <v/>
      </c>
      <c r="J716" s="43" t="str">
        <f aca="false">IF($A716="","",$A716&amp;"-"&amp;$I716)</f>
        <v/>
      </c>
      <c r="K716" s="38" t="str">
        <f aca="false">IF($A716="","",IF(COUNTIF(参数!$B$6:$B$8,$H716)=0,"× 付款方式","√"))</f>
        <v/>
      </c>
    </row>
    <row r="717" customFormat="false" ht="13.5" hidden="false" customHeight="false" outlineLevel="0" collapsed="false">
      <c r="A717" s="41"/>
      <c r="B717" s="42"/>
      <c r="C717" s="36"/>
      <c r="D717" s="35"/>
      <c r="E717" s="36"/>
      <c r="F717" s="36"/>
      <c r="G717" s="37"/>
      <c r="H717" s="35"/>
      <c r="I717" s="43" t="str">
        <f aca="false">IF($A717="","",COUNTIFS($A$2:$A717,$A717))</f>
        <v/>
      </c>
      <c r="J717" s="43" t="str">
        <f aca="false">IF($A717="","",$A717&amp;"-"&amp;$I717)</f>
        <v/>
      </c>
      <c r="K717" s="38" t="str">
        <f aca="false">IF($A717="","",IF(COUNTIF(参数!$B$6:$B$8,$H717)=0,"× 付款方式","√"))</f>
        <v/>
      </c>
    </row>
    <row r="718" customFormat="false" ht="13.5" hidden="false" customHeight="false" outlineLevel="0" collapsed="false">
      <c r="A718" s="41"/>
      <c r="B718" s="42"/>
      <c r="C718" s="36"/>
      <c r="D718" s="35"/>
      <c r="E718" s="36"/>
      <c r="F718" s="36"/>
      <c r="G718" s="37"/>
      <c r="H718" s="35"/>
      <c r="I718" s="43" t="str">
        <f aca="false">IF($A718="","",COUNTIFS($A$2:$A718,$A718))</f>
        <v/>
      </c>
      <c r="J718" s="43" t="str">
        <f aca="false">IF($A718="","",$A718&amp;"-"&amp;$I718)</f>
        <v/>
      </c>
      <c r="K718" s="38" t="str">
        <f aca="false">IF($A718="","",IF(COUNTIF(参数!$B$6:$B$8,$H718)=0,"× 付款方式","√"))</f>
        <v/>
      </c>
    </row>
    <row r="719" customFormat="false" ht="13.5" hidden="false" customHeight="false" outlineLevel="0" collapsed="false">
      <c r="A719" s="41"/>
      <c r="B719" s="42"/>
      <c r="C719" s="36"/>
      <c r="D719" s="35"/>
      <c r="E719" s="36"/>
      <c r="F719" s="36"/>
      <c r="G719" s="37"/>
      <c r="H719" s="35"/>
      <c r="I719" s="43" t="str">
        <f aca="false">IF($A719="","",COUNTIFS($A$2:$A719,$A719))</f>
        <v/>
      </c>
      <c r="J719" s="43" t="str">
        <f aca="false">IF($A719="","",$A719&amp;"-"&amp;$I719)</f>
        <v/>
      </c>
      <c r="K719" s="38" t="str">
        <f aca="false">IF($A719="","",IF(COUNTIF(参数!$B$6:$B$8,$H719)=0,"× 付款方式","√"))</f>
        <v/>
      </c>
    </row>
    <row r="720" customFormat="false" ht="13.5" hidden="false" customHeight="false" outlineLevel="0" collapsed="false">
      <c r="A720" s="41"/>
      <c r="B720" s="42"/>
      <c r="C720" s="36"/>
      <c r="D720" s="35"/>
      <c r="E720" s="36"/>
      <c r="F720" s="36"/>
      <c r="G720" s="37"/>
      <c r="H720" s="35"/>
      <c r="I720" s="43" t="str">
        <f aca="false">IF($A720="","",COUNTIFS($A$2:$A720,$A720))</f>
        <v/>
      </c>
      <c r="J720" s="43" t="str">
        <f aca="false">IF($A720="","",$A720&amp;"-"&amp;$I720)</f>
        <v/>
      </c>
      <c r="K720" s="38" t="str">
        <f aca="false">IF($A720="","",IF(COUNTIF(参数!$B$6:$B$8,$H720)=0,"× 付款方式","√"))</f>
        <v/>
      </c>
    </row>
    <row r="721" customFormat="false" ht="13.5" hidden="false" customHeight="false" outlineLevel="0" collapsed="false">
      <c r="A721" s="41"/>
      <c r="B721" s="42"/>
      <c r="C721" s="36"/>
      <c r="D721" s="35"/>
      <c r="E721" s="36"/>
      <c r="F721" s="36"/>
      <c r="G721" s="37"/>
      <c r="H721" s="35"/>
      <c r="I721" s="43" t="str">
        <f aca="false">IF($A721="","",COUNTIFS($A$2:$A721,$A721))</f>
        <v/>
      </c>
      <c r="J721" s="43" t="str">
        <f aca="false">IF($A721="","",$A721&amp;"-"&amp;$I721)</f>
        <v/>
      </c>
      <c r="K721" s="38" t="str">
        <f aca="false">IF($A721="","",IF(COUNTIF(参数!$B$6:$B$8,$H721)=0,"× 付款方式","√"))</f>
        <v/>
      </c>
    </row>
    <row r="722" customFormat="false" ht="13.5" hidden="false" customHeight="false" outlineLevel="0" collapsed="false">
      <c r="A722" s="41"/>
      <c r="B722" s="42"/>
      <c r="C722" s="36"/>
      <c r="D722" s="35"/>
      <c r="E722" s="36"/>
      <c r="F722" s="36"/>
      <c r="G722" s="37"/>
      <c r="H722" s="35"/>
      <c r="I722" s="43" t="str">
        <f aca="false">IF($A722="","",COUNTIFS($A$2:$A722,$A722))</f>
        <v/>
      </c>
      <c r="J722" s="43" t="str">
        <f aca="false">IF($A722="","",$A722&amp;"-"&amp;$I722)</f>
        <v/>
      </c>
      <c r="K722" s="38" t="str">
        <f aca="false">IF($A722="","",IF(COUNTIF(参数!$B$6:$B$8,$H722)=0,"× 付款方式","√"))</f>
        <v/>
      </c>
    </row>
    <row r="723" customFormat="false" ht="13.5" hidden="false" customHeight="false" outlineLevel="0" collapsed="false">
      <c r="A723" s="41"/>
      <c r="B723" s="42"/>
      <c r="C723" s="36"/>
      <c r="D723" s="35"/>
      <c r="E723" s="36"/>
      <c r="F723" s="36"/>
      <c r="G723" s="37"/>
      <c r="H723" s="35"/>
      <c r="I723" s="43" t="str">
        <f aca="false">IF($A723="","",COUNTIFS($A$2:$A723,$A723))</f>
        <v/>
      </c>
      <c r="J723" s="43" t="str">
        <f aca="false">IF($A723="","",$A723&amp;"-"&amp;$I723)</f>
        <v/>
      </c>
      <c r="K723" s="38" t="str">
        <f aca="false">IF($A723="","",IF(COUNTIF(参数!$B$6:$B$8,$H723)=0,"× 付款方式","√"))</f>
        <v/>
      </c>
    </row>
    <row r="724" customFormat="false" ht="13.5" hidden="false" customHeight="false" outlineLevel="0" collapsed="false">
      <c r="A724" s="41"/>
      <c r="B724" s="42"/>
      <c r="C724" s="36"/>
      <c r="D724" s="35"/>
      <c r="E724" s="36"/>
      <c r="F724" s="36"/>
      <c r="G724" s="37"/>
      <c r="H724" s="35"/>
      <c r="I724" s="43" t="str">
        <f aca="false">IF($A724="","",COUNTIFS($A$2:$A724,$A724))</f>
        <v/>
      </c>
      <c r="J724" s="43" t="str">
        <f aca="false">IF($A724="","",$A724&amp;"-"&amp;$I724)</f>
        <v/>
      </c>
      <c r="K724" s="38" t="str">
        <f aca="false">IF($A724="","",IF(COUNTIF(参数!$B$6:$B$8,$H724)=0,"× 付款方式","√"))</f>
        <v/>
      </c>
    </row>
    <row r="725" customFormat="false" ht="13.5" hidden="false" customHeight="false" outlineLevel="0" collapsed="false">
      <c r="A725" s="41"/>
      <c r="B725" s="42"/>
      <c r="C725" s="36"/>
      <c r="D725" s="35"/>
      <c r="E725" s="36"/>
      <c r="F725" s="36"/>
      <c r="G725" s="37"/>
      <c r="H725" s="35"/>
      <c r="I725" s="43" t="str">
        <f aca="false">IF($A725="","",COUNTIFS($A$2:$A725,$A725))</f>
        <v/>
      </c>
      <c r="J725" s="43" t="str">
        <f aca="false">IF($A725="","",$A725&amp;"-"&amp;$I725)</f>
        <v/>
      </c>
      <c r="K725" s="38" t="str">
        <f aca="false">IF($A725="","",IF(COUNTIF(参数!$B$6:$B$8,$H725)=0,"× 付款方式","√"))</f>
        <v/>
      </c>
    </row>
    <row r="726" customFormat="false" ht="13.5" hidden="false" customHeight="false" outlineLevel="0" collapsed="false">
      <c r="A726" s="41"/>
      <c r="B726" s="42"/>
      <c r="C726" s="36"/>
      <c r="D726" s="35"/>
      <c r="E726" s="36"/>
      <c r="F726" s="36"/>
      <c r="G726" s="37"/>
      <c r="H726" s="35"/>
      <c r="I726" s="43" t="str">
        <f aca="false">IF($A726="","",COUNTIFS($A$2:$A726,$A726))</f>
        <v/>
      </c>
      <c r="J726" s="43" t="str">
        <f aca="false">IF($A726="","",$A726&amp;"-"&amp;$I726)</f>
        <v/>
      </c>
      <c r="K726" s="38" t="str">
        <f aca="false">IF($A726="","",IF(COUNTIF(参数!$B$6:$B$8,$H726)=0,"× 付款方式","√"))</f>
        <v/>
      </c>
    </row>
    <row r="727" customFormat="false" ht="13.5" hidden="false" customHeight="false" outlineLevel="0" collapsed="false">
      <c r="A727" s="41"/>
      <c r="B727" s="42"/>
      <c r="C727" s="36"/>
      <c r="D727" s="35"/>
      <c r="E727" s="36"/>
      <c r="F727" s="36"/>
      <c r="G727" s="37"/>
      <c r="H727" s="35"/>
      <c r="I727" s="43" t="str">
        <f aca="false">IF($A727="","",COUNTIFS($A$2:$A727,$A727))</f>
        <v/>
      </c>
      <c r="J727" s="43" t="str">
        <f aca="false">IF($A727="","",$A727&amp;"-"&amp;$I727)</f>
        <v/>
      </c>
      <c r="K727" s="38" t="str">
        <f aca="false">IF($A727="","",IF(COUNTIF(参数!$B$6:$B$8,$H727)=0,"× 付款方式","√"))</f>
        <v/>
      </c>
    </row>
    <row r="728" customFormat="false" ht="13.5" hidden="false" customHeight="false" outlineLevel="0" collapsed="false">
      <c r="A728" s="41"/>
      <c r="B728" s="42"/>
      <c r="C728" s="36"/>
      <c r="D728" s="35"/>
      <c r="E728" s="36"/>
      <c r="F728" s="36"/>
      <c r="G728" s="37"/>
      <c r="H728" s="35"/>
      <c r="I728" s="43" t="str">
        <f aca="false">IF($A728="","",COUNTIFS($A$2:$A728,$A728))</f>
        <v/>
      </c>
      <c r="J728" s="43" t="str">
        <f aca="false">IF($A728="","",$A728&amp;"-"&amp;$I728)</f>
        <v/>
      </c>
      <c r="K728" s="38" t="str">
        <f aca="false">IF($A728="","",IF(COUNTIF(参数!$B$6:$B$8,$H728)=0,"× 付款方式","√"))</f>
        <v/>
      </c>
    </row>
    <row r="729" customFormat="false" ht="13.5" hidden="false" customHeight="false" outlineLevel="0" collapsed="false">
      <c r="A729" s="41"/>
      <c r="B729" s="42"/>
      <c r="C729" s="36"/>
      <c r="D729" s="35"/>
      <c r="E729" s="36"/>
      <c r="F729" s="36"/>
      <c r="G729" s="37"/>
      <c r="H729" s="35"/>
      <c r="I729" s="43" t="str">
        <f aca="false">IF($A729="","",COUNTIFS($A$2:$A729,$A729))</f>
        <v/>
      </c>
      <c r="J729" s="43" t="str">
        <f aca="false">IF($A729="","",$A729&amp;"-"&amp;$I729)</f>
        <v/>
      </c>
      <c r="K729" s="38" t="str">
        <f aca="false">IF($A729="","",IF(COUNTIF(参数!$B$6:$B$8,$H729)=0,"× 付款方式","√"))</f>
        <v/>
      </c>
    </row>
    <row r="730" customFormat="false" ht="13.5" hidden="false" customHeight="false" outlineLevel="0" collapsed="false">
      <c r="A730" s="41"/>
      <c r="B730" s="42"/>
      <c r="C730" s="36"/>
      <c r="D730" s="35"/>
      <c r="E730" s="36"/>
      <c r="F730" s="36"/>
      <c r="G730" s="37"/>
      <c r="H730" s="35"/>
      <c r="I730" s="43" t="str">
        <f aca="false">IF($A730="","",COUNTIFS($A$2:$A730,$A730))</f>
        <v/>
      </c>
      <c r="J730" s="43" t="str">
        <f aca="false">IF($A730="","",$A730&amp;"-"&amp;$I730)</f>
        <v/>
      </c>
      <c r="K730" s="38" t="str">
        <f aca="false">IF($A730="","",IF(COUNTIF(参数!$B$6:$B$8,$H730)=0,"× 付款方式","√"))</f>
        <v/>
      </c>
    </row>
    <row r="731" customFormat="false" ht="13.5" hidden="false" customHeight="false" outlineLevel="0" collapsed="false">
      <c r="A731" s="41"/>
      <c r="B731" s="42"/>
      <c r="C731" s="36"/>
      <c r="D731" s="35"/>
      <c r="E731" s="36"/>
      <c r="F731" s="36"/>
      <c r="G731" s="37"/>
      <c r="H731" s="35"/>
      <c r="I731" s="43" t="str">
        <f aca="false">IF($A731="","",COUNTIFS($A$2:$A731,$A731))</f>
        <v/>
      </c>
      <c r="J731" s="43" t="str">
        <f aca="false">IF($A731="","",$A731&amp;"-"&amp;$I731)</f>
        <v/>
      </c>
      <c r="K731" s="38" t="str">
        <f aca="false">IF($A731="","",IF(COUNTIF(参数!$B$6:$B$8,$H731)=0,"× 付款方式","√"))</f>
        <v/>
      </c>
    </row>
    <row r="732" customFormat="false" ht="13.5" hidden="false" customHeight="false" outlineLevel="0" collapsed="false">
      <c r="A732" s="41"/>
      <c r="B732" s="42"/>
      <c r="C732" s="36"/>
      <c r="D732" s="35"/>
      <c r="E732" s="36"/>
      <c r="F732" s="36"/>
      <c r="G732" s="37"/>
      <c r="H732" s="35"/>
      <c r="I732" s="43" t="str">
        <f aca="false">IF($A732="","",COUNTIFS($A$2:$A732,$A732))</f>
        <v/>
      </c>
      <c r="J732" s="43" t="str">
        <f aca="false">IF($A732="","",$A732&amp;"-"&amp;$I732)</f>
        <v/>
      </c>
      <c r="K732" s="38" t="str">
        <f aca="false">IF($A732="","",IF(COUNTIF(参数!$B$6:$B$8,$H732)=0,"× 付款方式","√"))</f>
        <v/>
      </c>
    </row>
    <row r="733" customFormat="false" ht="13.5" hidden="false" customHeight="false" outlineLevel="0" collapsed="false">
      <c r="A733" s="41"/>
      <c r="B733" s="42"/>
      <c r="C733" s="36"/>
      <c r="D733" s="35"/>
      <c r="E733" s="36"/>
      <c r="F733" s="36"/>
      <c r="G733" s="37"/>
      <c r="H733" s="35"/>
      <c r="I733" s="43" t="str">
        <f aca="false">IF($A733="","",COUNTIFS($A$2:$A733,$A733))</f>
        <v/>
      </c>
      <c r="J733" s="43" t="str">
        <f aca="false">IF($A733="","",$A733&amp;"-"&amp;$I733)</f>
        <v/>
      </c>
      <c r="K733" s="38" t="str">
        <f aca="false">IF($A733="","",IF(COUNTIF(参数!$B$6:$B$8,$H733)=0,"× 付款方式","√"))</f>
        <v/>
      </c>
    </row>
    <row r="734" customFormat="false" ht="13.5" hidden="false" customHeight="false" outlineLevel="0" collapsed="false">
      <c r="A734" s="41"/>
      <c r="B734" s="42"/>
      <c r="C734" s="36"/>
      <c r="D734" s="35"/>
      <c r="E734" s="36"/>
      <c r="F734" s="36"/>
      <c r="G734" s="37"/>
      <c r="H734" s="35"/>
      <c r="I734" s="43" t="str">
        <f aca="false">IF($A734="","",COUNTIFS($A$2:$A734,$A734))</f>
        <v/>
      </c>
      <c r="J734" s="43" t="str">
        <f aca="false">IF($A734="","",$A734&amp;"-"&amp;$I734)</f>
        <v/>
      </c>
      <c r="K734" s="38" t="str">
        <f aca="false">IF($A734="","",IF(COUNTIF(参数!$B$6:$B$8,$H734)=0,"× 付款方式","√"))</f>
        <v/>
      </c>
    </row>
    <row r="735" customFormat="false" ht="13.5" hidden="false" customHeight="false" outlineLevel="0" collapsed="false">
      <c r="A735" s="41"/>
      <c r="B735" s="42"/>
      <c r="C735" s="36"/>
      <c r="D735" s="35"/>
      <c r="E735" s="36"/>
      <c r="F735" s="36"/>
      <c r="G735" s="37"/>
      <c r="H735" s="35"/>
      <c r="I735" s="43" t="str">
        <f aca="false">IF($A735="","",COUNTIFS($A$2:$A735,$A735))</f>
        <v/>
      </c>
      <c r="J735" s="43" t="str">
        <f aca="false">IF($A735="","",$A735&amp;"-"&amp;$I735)</f>
        <v/>
      </c>
      <c r="K735" s="38" t="str">
        <f aca="false">IF($A735="","",IF(COUNTIF(参数!$B$6:$B$8,$H735)=0,"× 付款方式","√"))</f>
        <v/>
      </c>
    </row>
    <row r="736" customFormat="false" ht="13.5" hidden="false" customHeight="false" outlineLevel="0" collapsed="false">
      <c r="A736" s="41"/>
      <c r="B736" s="42"/>
      <c r="C736" s="36"/>
      <c r="D736" s="35"/>
      <c r="E736" s="36"/>
      <c r="F736" s="36"/>
      <c r="G736" s="37"/>
      <c r="H736" s="35"/>
      <c r="I736" s="43" t="str">
        <f aca="false">IF($A736="","",COUNTIFS($A$2:$A736,$A736))</f>
        <v/>
      </c>
      <c r="J736" s="43" t="str">
        <f aca="false">IF($A736="","",$A736&amp;"-"&amp;$I736)</f>
        <v/>
      </c>
      <c r="K736" s="38" t="str">
        <f aca="false">IF($A736="","",IF(COUNTIF(参数!$B$6:$B$8,$H736)=0,"× 付款方式","√"))</f>
        <v/>
      </c>
    </row>
    <row r="737" customFormat="false" ht="13.5" hidden="false" customHeight="false" outlineLevel="0" collapsed="false">
      <c r="A737" s="41"/>
      <c r="B737" s="42"/>
      <c r="C737" s="36"/>
      <c r="D737" s="35"/>
      <c r="E737" s="36"/>
      <c r="F737" s="36"/>
      <c r="G737" s="37"/>
      <c r="H737" s="35"/>
      <c r="I737" s="43" t="str">
        <f aca="false">IF($A737="","",COUNTIFS($A$2:$A737,$A737))</f>
        <v/>
      </c>
      <c r="J737" s="43" t="str">
        <f aca="false">IF($A737="","",$A737&amp;"-"&amp;$I737)</f>
        <v/>
      </c>
      <c r="K737" s="38" t="str">
        <f aca="false">IF($A737="","",IF(COUNTIF(参数!$B$6:$B$8,$H737)=0,"× 付款方式","√"))</f>
        <v/>
      </c>
    </row>
    <row r="738" customFormat="false" ht="13.5" hidden="false" customHeight="false" outlineLevel="0" collapsed="false">
      <c r="A738" s="41"/>
      <c r="B738" s="42"/>
      <c r="C738" s="36"/>
      <c r="D738" s="35"/>
      <c r="E738" s="36"/>
      <c r="F738" s="36"/>
      <c r="G738" s="37"/>
      <c r="H738" s="35"/>
      <c r="I738" s="43" t="str">
        <f aca="false">IF($A738="","",COUNTIFS($A$2:$A738,$A738))</f>
        <v/>
      </c>
      <c r="J738" s="43" t="str">
        <f aca="false">IF($A738="","",$A738&amp;"-"&amp;$I738)</f>
        <v/>
      </c>
      <c r="K738" s="38" t="str">
        <f aca="false">IF($A738="","",IF(COUNTIF(参数!$B$6:$B$8,$H738)=0,"× 付款方式","√"))</f>
        <v/>
      </c>
    </row>
    <row r="739" customFormat="false" ht="13.5" hidden="false" customHeight="false" outlineLevel="0" collapsed="false">
      <c r="A739" s="41"/>
      <c r="B739" s="42"/>
      <c r="C739" s="36"/>
      <c r="D739" s="35"/>
      <c r="E739" s="36"/>
      <c r="F739" s="36"/>
      <c r="G739" s="37"/>
      <c r="H739" s="35"/>
      <c r="I739" s="43" t="str">
        <f aca="false">IF($A739="","",COUNTIFS($A$2:$A739,$A739))</f>
        <v/>
      </c>
      <c r="J739" s="43" t="str">
        <f aca="false">IF($A739="","",$A739&amp;"-"&amp;$I739)</f>
        <v/>
      </c>
      <c r="K739" s="38" t="str">
        <f aca="false">IF($A739="","",IF(COUNTIF(参数!$B$6:$B$8,$H739)=0,"× 付款方式","√"))</f>
        <v/>
      </c>
    </row>
    <row r="740" customFormat="false" ht="13.5" hidden="false" customHeight="false" outlineLevel="0" collapsed="false">
      <c r="A740" s="41"/>
      <c r="B740" s="42"/>
      <c r="C740" s="36"/>
      <c r="D740" s="35"/>
      <c r="E740" s="36"/>
      <c r="F740" s="36"/>
      <c r="G740" s="37"/>
      <c r="H740" s="35"/>
      <c r="I740" s="43" t="str">
        <f aca="false">IF($A740="","",COUNTIFS($A$2:$A740,$A740))</f>
        <v/>
      </c>
      <c r="J740" s="43" t="str">
        <f aca="false">IF($A740="","",$A740&amp;"-"&amp;$I740)</f>
        <v/>
      </c>
      <c r="K740" s="38" t="str">
        <f aca="false">IF($A740="","",IF(COUNTIF(参数!$B$6:$B$8,$H740)=0,"× 付款方式","√"))</f>
        <v/>
      </c>
    </row>
    <row r="741" customFormat="false" ht="13.5" hidden="false" customHeight="false" outlineLevel="0" collapsed="false">
      <c r="A741" s="41"/>
      <c r="B741" s="42"/>
      <c r="C741" s="36"/>
      <c r="D741" s="35"/>
      <c r="E741" s="36"/>
      <c r="F741" s="36"/>
      <c r="G741" s="37"/>
      <c r="H741" s="35"/>
      <c r="I741" s="43" t="str">
        <f aca="false">IF($A741="","",COUNTIFS($A$2:$A741,$A741))</f>
        <v/>
      </c>
      <c r="J741" s="43" t="str">
        <f aca="false">IF($A741="","",$A741&amp;"-"&amp;$I741)</f>
        <v/>
      </c>
      <c r="K741" s="38" t="str">
        <f aca="false">IF($A741="","",IF(COUNTIF(参数!$B$6:$B$8,$H741)=0,"× 付款方式","√"))</f>
        <v/>
      </c>
    </row>
    <row r="742" customFormat="false" ht="13.5" hidden="false" customHeight="false" outlineLevel="0" collapsed="false">
      <c r="A742" s="41"/>
      <c r="B742" s="42"/>
      <c r="C742" s="36"/>
      <c r="D742" s="35"/>
      <c r="E742" s="36"/>
      <c r="F742" s="36"/>
      <c r="G742" s="37"/>
      <c r="H742" s="35"/>
      <c r="I742" s="43" t="str">
        <f aca="false">IF($A742="","",COUNTIFS($A$2:$A742,$A742))</f>
        <v/>
      </c>
      <c r="J742" s="43" t="str">
        <f aca="false">IF($A742="","",$A742&amp;"-"&amp;$I742)</f>
        <v/>
      </c>
      <c r="K742" s="38" t="str">
        <f aca="false">IF($A742="","",IF(COUNTIF(参数!$B$6:$B$8,$H742)=0,"× 付款方式","√"))</f>
        <v/>
      </c>
    </row>
    <row r="743" customFormat="false" ht="13.5" hidden="false" customHeight="false" outlineLevel="0" collapsed="false">
      <c r="A743" s="41"/>
      <c r="B743" s="42"/>
      <c r="C743" s="36"/>
      <c r="D743" s="35"/>
      <c r="E743" s="36"/>
      <c r="F743" s="36"/>
      <c r="G743" s="37"/>
      <c r="H743" s="35"/>
      <c r="I743" s="43" t="str">
        <f aca="false">IF($A743="","",COUNTIFS($A$2:$A743,$A743))</f>
        <v/>
      </c>
      <c r="J743" s="43" t="str">
        <f aca="false">IF($A743="","",$A743&amp;"-"&amp;$I743)</f>
        <v/>
      </c>
      <c r="K743" s="38" t="str">
        <f aca="false">IF($A743="","",IF(COUNTIF(参数!$B$6:$B$8,$H743)=0,"× 付款方式","√"))</f>
        <v/>
      </c>
    </row>
    <row r="744" customFormat="false" ht="13.5" hidden="false" customHeight="false" outlineLevel="0" collapsed="false">
      <c r="A744" s="41"/>
      <c r="B744" s="42"/>
      <c r="C744" s="36"/>
      <c r="D744" s="35"/>
      <c r="E744" s="36"/>
      <c r="F744" s="36"/>
      <c r="G744" s="37"/>
      <c r="H744" s="35"/>
      <c r="I744" s="43" t="str">
        <f aca="false">IF($A744="","",COUNTIFS($A$2:$A744,$A744))</f>
        <v/>
      </c>
      <c r="J744" s="43" t="str">
        <f aca="false">IF($A744="","",$A744&amp;"-"&amp;$I744)</f>
        <v/>
      </c>
      <c r="K744" s="38" t="str">
        <f aca="false">IF($A744="","",IF(COUNTIF(参数!$B$6:$B$8,$H744)=0,"× 付款方式","√"))</f>
        <v/>
      </c>
    </row>
    <row r="745" customFormat="false" ht="13.5" hidden="false" customHeight="false" outlineLevel="0" collapsed="false">
      <c r="A745" s="41"/>
      <c r="B745" s="42"/>
      <c r="C745" s="36"/>
      <c r="D745" s="35"/>
      <c r="E745" s="36"/>
      <c r="F745" s="36"/>
      <c r="G745" s="37"/>
      <c r="H745" s="35"/>
      <c r="I745" s="43" t="str">
        <f aca="false">IF($A745="","",COUNTIFS($A$2:$A745,$A745))</f>
        <v/>
      </c>
      <c r="J745" s="43" t="str">
        <f aca="false">IF($A745="","",$A745&amp;"-"&amp;$I745)</f>
        <v/>
      </c>
      <c r="K745" s="38" t="str">
        <f aca="false">IF($A745="","",IF(COUNTIF(参数!$B$6:$B$8,$H745)=0,"× 付款方式","√"))</f>
        <v/>
      </c>
    </row>
    <row r="746" customFormat="false" ht="13.5" hidden="false" customHeight="false" outlineLevel="0" collapsed="false">
      <c r="A746" s="41"/>
      <c r="B746" s="42"/>
      <c r="C746" s="36"/>
      <c r="D746" s="35"/>
      <c r="E746" s="36"/>
      <c r="F746" s="36"/>
      <c r="G746" s="37"/>
      <c r="H746" s="35"/>
      <c r="I746" s="43" t="str">
        <f aca="false">IF($A746="","",COUNTIFS($A$2:$A746,$A746))</f>
        <v/>
      </c>
      <c r="J746" s="43" t="str">
        <f aca="false">IF($A746="","",$A746&amp;"-"&amp;$I746)</f>
        <v/>
      </c>
      <c r="K746" s="38" t="str">
        <f aca="false">IF($A746="","",IF(COUNTIF(参数!$B$6:$B$8,$H746)=0,"× 付款方式","√"))</f>
        <v/>
      </c>
    </row>
    <row r="747" customFormat="false" ht="13.5" hidden="false" customHeight="false" outlineLevel="0" collapsed="false">
      <c r="A747" s="41"/>
      <c r="B747" s="42"/>
      <c r="C747" s="36"/>
      <c r="D747" s="35"/>
      <c r="E747" s="36"/>
      <c r="F747" s="36"/>
      <c r="G747" s="37"/>
      <c r="H747" s="35"/>
      <c r="I747" s="43" t="str">
        <f aca="false">IF($A747="","",COUNTIFS($A$2:$A747,$A747))</f>
        <v/>
      </c>
      <c r="J747" s="43" t="str">
        <f aca="false">IF($A747="","",$A747&amp;"-"&amp;$I747)</f>
        <v/>
      </c>
      <c r="K747" s="38" t="str">
        <f aca="false">IF($A747="","",IF(COUNTIF(参数!$B$6:$B$8,$H747)=0,"× 付款方式","√"))</f>
        <v/>
      </c>
    </row>
    <row r="748" customFormat="false" ht="13.5" hidden="false" customHeight="false" outlineLevel="0" collapsed="false">
      <c r="A748" s="41"/>
      <c r="B748" s="42"/>
      <c r="C748" s="36"/>
      <c r="D748" s="35"/>
      <c r="E748" s="36"/>
      <c r="F748" s="36"/>
      <c r="G748" s="37"/>
      <c r="H748" s="35"/>
      <c r="I748" s="43" t="str">
        <f aca="false">IF($A748="","",COUNTIFS($A$2:$A748,$A748))</f>
        <v/>
      </c>
      <c r="J748" s="43" t="str">
        <f aca="false">IF($A748="","",$A748&amp;"-"&amp;$I748)</f>
        <v/>
      </c>
      <c r="K748" s="38" t="str">
        <f aca="false">IF($A748="","",IF(COUNTIF(参数!$B$6:$B$8,$H748)=0,"× 付款方式","√"))</f>
        <v/>
      </c>
    </row>
    <row r="749" customFormat="false" ht="13.5" hidden="false" customHeight="false" outlineLevel="0" collapsed="false">
      <c r="A749" s="41"/>
      <c r="B749" s="42"/>
      <c r="C749" s="36"/>
      <c r="D749" s="35"/>
      <c r="E749" s="36"/>
      <c r="F749" s="36"/>
      <c r="G749" s="37"/>
      <c r="H749" s="35"/>
      <c r="I749" s="43" t="str">
        <f aca="false">IF($A749="","",COUNTIFS($A$2:$A749,$A749))</f>
        <v/>
      </c>
      <c r="J749" s="43" t="str">
        <f aca="false">IF($A749="","",$A749&amp;"-"&amp;$I749)</f>
        <v/>
      </c>
      <c r="K749" s="38" t="str">
        <f aca="false">IF($A749="","",IF(COUNTIF(参数!$B$6:$B$8,$H749)=0,"× 付款方式","√"))</f>
        <v/>
      </c>
    </row>
    <row r="750" customFormat="false" ht="13.5" hidden="false" customHeight="false" outlineLevel="0" collapsed="false">
      <c r="A750" s="41"/>
      <c r="B750" s="42"/>
      <c r="C750" s="36"/>
      <c r="D750" s="35"/>
      <c r="E750" s="36"/>
      <c r="F750" s="36"/>
      <c r="G750" s="37"/>
      <c r="H750" s="35"/>
      <c r="I750" s="43" t="str">
        <f aca="false">IF($A750="","",COUNTIFS($A$2:$A750,$A750))</f>
        <v/>
      </c>
      <c r="J750" s="43" t="str">
        <f aca="false">IF($A750="","",$A750&amp;"-"&amp;$I750)</f>
        <v/>
      </c>
      <c r="K750" s="38" t="str">
        <f aca="false">IF($A750="","",IF(COUNTIF(参数!$B$6:$B$8,$H750)=0,"× 付款方式","√"))</f>
        <v/>
      </c>
    </row>
    <row r="751" customFormat="false" ht="13.5" hidden="false" customHeight="false" outlineLevel="0" collapsed="false">
      <c r="A751" s="41"/>
      <c r="B751" s="42"/>
      <c r="C751" s="36"/>
      <c r="D751" s="35"/>
      <c r="E751" s="36"/>
      <c r="F751" s="36"/>
      <c r="G751" s="37"/>
      <c r="H751" s="35"/>
      <c r="I751" s="43" t="str">
        <f aca="false">IF($A751="","",COUNTIFS($A$2:$A751,$A751))</f>
        <v/>
      </c>
      <c r="J751" s="43" t="str">
        <f aca="false">IF($A751="","",$A751&amp;"-"&amp;$I751)</f>
        <v/>
      </c>
      <c r="K751" s="38" t="str">
        <f aca="false">IF($A751="","",IF(COUNTIF(参数!$B$6:$B$8,$H751)=0,"× 付款方式","√"))</f>
        <v/>
      </c>
    </row>
    <row r="752" customFormat="false" ht="13.5" hidden="false" customHeight="false" outlineLevel="0" collapsed="false">
      <c r="A752" s="41"/>
      <c r="B752" s="42"/>
      <c r="C752" s="36"/>
      <c r="D752" s="35"/>
      <c r="E752" s="36"/>
      <c r="F752" s="36"/>
      <c r="G752" s="37"/>
      <c r="H752" s="35"/>
      <c r="I752" s="43" t="str">
        <f aca="false">IF($A752="","",COUNTIFS($A$2:$A752,$A752))</f>
        <v/>
      </c>
      <c r="J752" s="43" t="str">
        <f aca="false">IF($A752="","",$A752&amp;"-"&amp;$I752)</f>
        <v/>
      </c>
      <c r="K752" s="38" t="str">
        <f aca="false">IF($A752="","",IF(COUNTIF(参数!$B$6:$B$8,$H752)=0,"× 付款方式","√"))</f>
        <v/>
      </c>
    </row>
    <row r="753" customFormat="false" ht="13.5" hidden="false" customHeight="false" outlineLevel="0" collapsed="false">
      <c r="A753" s="41"/>
      <c r="B753" s="42"/>
      <c r="C753" s="36"/>
      <c r="D753" s="35"/>
      <c r="E753" s="36"/>
      <c r="F753" s="36"/>
      <c r="G753" s="37"/>
      <c r="H753" s="35"/>
      <c r="I753" s="43" t="str">
        <f aca="false">IF($A753="","",COUNTIFS($A$2:$A753,$A753))</f>
        <v/>
      </c>
      <c r="J753" s="43" t="str">
        <f aca="false">IF($A753="","",$A753&amp;"-"&amp;$I753)</f>
        <v/>
      </c>
      <c r="K753" s="38" t="str">
        <f aca="false">IF($A753="","",IF(COUNTIF(参数!$B$6:$B$8,$H753)=0,"× 付款方式","√"))</f>
        <v/>
      </c>
    </row>
    <row r="754" customFormat="false" ht="13.5" hidden="false" customHeight="false" outlineLevel="0" collapsed="false">
      <c r="A754" s="41"/>
      <c r="B754" s="42"/>
      <c r="C754" s="36"/>
      <c r="D754" s="35"/>
      <c r="E754" s="36"/>
      <c r="F754" s="36"/>
      <c r="G754" s="37"/>
      <c r="H754" s="35"/>
      <c r="I754" s="43" t="str">
        <f aca="false">IF($A754="","",COUNTIFS($A$2:$A754,$A754))</f>
        <v/>
      </c>
      <c r="J754" s="43" t="str">
        <f aca="false">IF($A754="","",$A754&amp;"-"&amp;$I754)</f>
        <v/>
      </c>
      <c r="K754" s="38" t="str">
        <f aca="false">IF($A754="","",IF(COUNTIF(参数!$B$6:$B$8,$H754)=0,"× 付款方式","√"))</f>
        <v/>
      </c>
    </row>
    <row r="755" customFormat="false" ht="13.5" hidden="false" customHeight="false" outlineLevel="0" collapsed="false">
      <c r="A755" s="41"/>
      <c r="B755" s="42"/>
      <c r="C755" s="36"/>
      <c r="D755" s="35"/>
      <c r="E755" s="36"/>
      <c r="F755" s="36"/>
      <c r="G755" s="37"/>
      <c r="H755" s="35"/>
      <c r="I755" s="43" t="str">
        <f aca="false">IF($A755="","",COUNTIFS($A$2:$A755,$A755))</f>
        <v/>
      </c>
      <c r="J755" s="43" t="str">
        <f aca="false">IF($A755="","",$A755&amp;"-"&amp;$I755)</f>
        <v/>
      </c>
      <c r="K755" s="38" t="str">
        <f aca="false">IF($A755="","",IF(COUNTIF(参数!$B$6:$B$8,$H755)=0,"× 付款方式","√"))</f>
        <v/>
      </c>
    </row>
    <row r="756" customFormat="false" ht="13.5" hidden="false" customHeight="false" outlineLevel="0" collapsed="false">
      <c r="A756" s="41"/>
      <c r="B756" s="42"/>
      <c r="C756" s="36"/>
      <c r="D756" s="35"/>
      <c r="E756" s="36"/>
      <c r="F756" s="36"/>
      <c r="G756" s="37"/>
      <c r="H756" s="35"/>
      <c r="I756" s="43" t="str">
        <f aca="false">IF($A756="","",COUNTIFS($A$2:$A756,$A756))</f>
        <v/>
      </c>
      <c r="J756" s="43" t="str">
        <f aca="false">IF($A756="","",$A756&amp;"-"&amp;$I756)</f>
        <v/>
      </c>
      <c r="K756" s="38" t="str">
        <f aca="false">IF($A756="","",IF(COUNTIF(参数!$B$6:$B$8,$H756)=0,"× 付款方式","√"))</f>
        <v/>
      </c>
    </row>
    <row r="757" customFormat="false" ht="13.5" hidden="false" customHeight="false" outlineLevel="0" collapsed="false">
      <c r="A757" s="41"/>
      <c r="B757" s="42"/>
      <c r="C757" s="36"/>
      <c r="D757" s="35"/>
      <c r="E757" s="36"/>
      <c r="F757" s="36"/>
      <c r="G757" s="37"/>
      <c r="H757" s="35"/>
      <c r="I757" s="43" t="str">
        <f aca="false">IF($A757="","",COUNTIFS($A$2:$A757,$A757))</f>
        <v/>
      </c>
      <c r="J757" s="43" t="str">
        <f aca="false">IF($A757="","",$A757&amp;"-"&amp;$I757)</f>
        <v/>
      </c>
      <c r="K757" s="38" t="str">
        <f aca="false">IF($A757="","",IF(COUNTIF(参数!$B$6:$B$8,$H757)=0,"× 付款方式","√"))</f>
        <v/>
      </c>
    </row>
    <row r="758" customFormat="false" ht="13.5" hidden="false" customHeight="false" outlineLevel="0" collapsed="false">
      <c r="A758" s="41"/>
      <c r="B758" s="42"/>
      <c r="C758" s="36"/>
      <c r="D758" s="35"/>
      <c r="E758" s="36"/>
      <c r="F758" s="36"/>
      <c r="G758" s="37"/>
      <c r="H758" s="35"/>
      <c r="I758" s="43" t="str">
        <f aca="false">IF($A758="","",COUNTIFS($A$2:$A758,$A758))</f>
        <v/>
      </c>
      <c r="J758" s="43" t="str">
        <f aca="false">IF($A758="","",$A758&amp;"-"&amp;$I758)</f>
        <v/>
      </c>
      <c r="K758" s="38" t="str">
        <f aca="false">IF($A758="","",IF(COUNTIF(参数!$B$6:$B$8,$H758)=0,"× 付款方式","√"))</f>
        <v/>
      </c>
    </row>
    <row r="759" customFormat="false" ht="13.5" hidden="false" customHeight="false" outlineLevel="0" collapsed="false">
      <c r="A759" s="41"/>
      <c r="B759" s="42"/>
      <c r="C759" s="36"/>
      <c r="D759" s="35"/>
      <c r="E759" s="36"/>
      <c r="F759" s="36"/>
      <c r="G759" s="37"/>
      <c r="H759" s="35"/>
      <c r="I759" s="43" t="str">
        <f aca="false">IF($A759="","",COUNTIFS($A$2:$A759,$A759))</f>
        <v/>
      </c>
      <c r="J759" s="43" t="str">
        <f aca="false">IF($A759="","",$A759&amp;"-"&amp;$I759)</f>
        <v/>
      </c>
      <c r="K759" s="38" t="str">
        <f aca="false">IF($A759="","",IF(COUNTIF(参数!$B$6:$B$8,$H759)=0,"× 付款方式","√"))</f>
        <v/>
      </c>
    </row>
    <row r="760" customFormat="false" ht="13.5" hidden="false" customHeight="false" outlineLevel="0" collapsed="false">
      <c r="A760" s="41"/>
      <c r="B760" s="42"/>
      <c r="C760" s="36"/>
      <c r="D760" s="35"/>
      <c r="E760" s="36"/>
      <c r="F760" s="36"/>
      <c r="G760" s="37"/>
      <c r="H760" s="35"/>
      <c r="I760" s="43" t="str">
        <f aca="false">IF($A760="","",COUNTIFS($A$2:$A760,$A760))</f>
        <v/>
      </c>
      <c r="J760" s="43" t="str">
        <f aca="false">IF($A760="","",$A760&amp;"-"&amp;$I760)</f>
        <v/>
      </c>
      <c r="K760" s="38" t="str">
        <f aca="false">IF($A760="","",IF(COUNTIF(参数!$B$6:$B$8,$H760)=0,"× 付款方式","√"))</f>
        <v/>
      </c>
    </row>
    <row r="761" customFormat="false" ht="13.5" hidden="false" customHeight="false" outlineLevel="0" collapsed="false">
      <c r="A761" s="41"/>
      <c r="B761" s="42"/>
      <c r="C761" s="36"/>
      <c r="D761" s="35"/>
      <c r="E761" s="36"/>
      <c r="F761" s="36"/>
      <c r="G761" s="37"/>
      <c r="H761" s="35"/>
      <c r="I761" s="43" t="str">
        <f aca="false">IF($A761="","",COUNTIFS($A$2:$A761,$A761))</f>
        <v/>
      </c>
      <c r="J761" s="43" t="str">
        <f aca="false">IF($A761="","",$A761&amp;"-"&amp;$I761)</f>
        <v/>
      </c>
      <c r="K761" s="38" t="str">
        <f aca="false">IF($A761="","",IF(COUNTIF(参数!$B$6:$B$8,$H761)=0,"× 付款方式","√"))</f>
        <v/>
      </c>
    </row>
    <row r="762" customFormat="false" ht="13.5" hidden="false" customHeight="false" outlineLevel="0" collapsed="false">
      <c r="A762" s="41"/>
      <c r="B762" s="42"/>
      <c r="C762" s="36"/>
      <c r="D762" s="35"/>
      <c r="E762" s="36"/>
      <c r="F762" s="36"/>
      <c r="G762" s="37"/>
      <c r="H762" s="35"/>
      <c r="I762" s="43" t="str">
        <f aca="false">IF($A762="","",COUNTIFS($A$2:$A762,$A762))</f>
        <v/>
      </c>
      <c r="J762" s="43" t="str">
        <f aca="false">IF($A762="","",$A762&amp;"-"&amp;$I762)</f>
        <v/>
      </c>
      <c r="K762" s="38" t="str">
        <f aca="false">IF($A762="","",IF(COUNTIF(参数!$B$6:$B$8,$H762)=0,"× 付款方式","√"))</f>
        <v/>
      </c>
    </row>
    <row r="763" customFormat="false" ht="13.5" hidden="false" customHeight="false" outlineLevel="0" collapsed="false">
      <c r="A763" s="41"/>
      <c r="B763" s="42"/>
      <c r="C763" s="36"/>
      <c r="D763" s="35"/>
      <c r="E763" s="36"/>
      <c r="F763" s="36"/>
      <c r="G763" s="37"/>
      <c r="H763" s="35"/>
      <c r="I763" s="43" t="str">
        <f aca="false">IF($A763="","",COUNTIFS($A$2:$A763,$A763))</f>
        <v/>
      </c>
      <c r="J763" s="43" t="str">
        <f aca="false">IF($A763="","",$A763&amp;"-"&amp;$I763)</f>
        <v/>
      </c>
      <c r="K763" s="38" t="str">
        <f aca="false">IF($A763="","",IF(COUNTIF(参数!$B$6:$B$8,$H763)=0,"× 付款方式","√"))</f>
        <v/>
      </c>
    </row>
    <row r="764" customFormat="false" ht="13.5" hidden="false" customHeight="false" outlineLevel="0" collapsed="false">
      <c r="A764" s="41"/>
      <c r="B764" s="42"/>
      <c r="C764" s="36"/>
      <c r="D764" s="35"/>
      <c r="E764" s="36"/>
      <c r="F764" s="36"/>
      <c r="G764" s="37"/>
      <c r="H764" s="35"/>
      <c r="I764" s="43" t="str">
        <f aca="false">IF($A764="","",COUNTIFS($A$2:$A764,$A764))</f>
        <v/>
      </c>
      <c r="J764" s="43" t="str">
        <f aca="false">IF($A764="","",$A764&amp;"-"&amp;$I764)</f>
        <v/>
      </c>
      <c r="K764" s="38" t="str">
        <f aca="false">IF($A764="","",IF(COUNTIF(参数!$B$6:$B$8,$H764)=0,"× 付款方式","√"))</f>
        <v/>
      </c>
    </row>
    <row r="765" customFormat="false" ht="13.5" hidden="false" customHeight="false" outlineLevel="0" collapsed="false">
      <c r="A765" s="41"/>
      <c r="B765" s="42"/>
      <c r="C765" s="36"/>
      <c r="D765" s="35"/>
      <c r="E765" s="36"/>
      <c r="F765" s="36"/>
      <c r="G765" s="37"/>
      <c r="H765" s="35"/>
      <c r="I765" s="43" t="str">
        <f aca="false">IF($A765="","",COUNTIFS($A$2:$A765,$A765))</f>
        <v/>
      </c>
      <c r="J765" s="43" t="str">
        <f aca="false">IF($A765="","",$A765&amp;"-"&amp;$I765)</f>
        <v/>
      </c>
      <c r="K765" s="38" t="str">
        <f aca="false">IF($A765="","",IF(COUNTIF(参数!$B$6:$B$8,$H765)=0,"× 付款方式","√"))</f>
        <v/>
      </c>
    </row>
    <row r="766" customFormat="false" ht="13.5" hidden="false" customHeight="false" outlineLevel="0" collapsed="false">
      <c r="A766" s="41"/>
      <c r="B766" s="42"/>
      <c r="C766" s="36"/>
      <c r="D766" s="35"/>
      <c r="E766" s="36"/>
      <c r="F766" s="36"/>
      <c r="G766" s="37"/>
      <c r="H766" s="35"/>
      <c r="I766" s="43" t="str">
        <f aca="false">IF($A766="","",COUNTIFS($A$2:$A766,$A766))</f>
        <v/>
      </c>
      <c r="J766" s="43" t="str">
        <f aca="false">IF($A766="","",$A766&amp;"-"&amp;$I766)</f>
        <v/>
      </c>
      <c r="K766" s="38" t="str">
        <f aca="false">IF($A766="","",IF(COUNTIF(参数!$B$6:$B$8,$H766)=0,"× 付款方式","√"))</f>
        <v/>
      </c>
    </row>
    <row r="767" customFormat="false" ht="13.5" hidden="false" customHeight="false" outlineLevel="0" collapsed="false">
      <c r="A767" s="41"/>
      <c r="B767" s="42"/>
      <c r="C767" s="36"/>
      <c r="D767" s="35"/>
      <c r="E767" s="36"/>
      <c r="F767" s="36"/>
      <c r="G767" s="37"/>
      <c r="H767" s="35"/>
      <c r="I767" s="43" t="str">
        <f aca="false">IF($A767="","",COUNTIFS($A$2:$A767,$A767))</f>
        <v/>
      </c>
      <c r="J767" s="43" t="str">
        <f aca="false">IF($A767="","",$A767&amp;"-"&amp;$I767)</f>
        <v/>
      </c>
      <c r="K767" s="38" t="str">
        <f aca="false">IF($A767="","",IF(COUNTIF(参数!$B$6:$B$8,$H767)=0,"× 付款方式","√"))</f>
        <v/>
      </c>
    </row>
    <row r="768" customFormat="false" ht="13.5" hidden="false" customHeight="false" outlineLevel="0" collapsed="false">
      <c r="A768" s="41"/>
      <c r="B768" s="42"/>
      <c r="C768" s="36"/>
      <c r="D768" s="35"/>
      <c r="E768" s="36"/>
      <c r="F768" s="36"/>
      <c r="G768" s="37"/>
      <c r="H768" s="35"/>
      <c r="I768" s="43" t="str">
        <f aca="false">IF($A768="","",COUNTIFS($A$2:$A768,$A768))</f>
        <v/>
      </c>
      <c r="J768" s="43" t="str">
        <f aca="false">IF($A768="","",$A768&amp;"-"&amp;$I768)</f>
        <v/>
      </c>
      <c r="K768" s="38" t="str">
        <f aca="false">IF($A768="","",IF(COUNTIF(参数!$B$6:$B$8,$H768)=0,"× 付款方式","√"))</f>
        <v/>
      </c>
    </row>
    <row r="769" customFormat="false" ht="13.5" hidden="false" customHeight="false" outlineLevel="0" collapsed="false">
      <c r="A769" s="41"/>
      <c r="B769" s="42"/>
      <c r="C769" s="36"/>
      <c r="D769" s="35"/>
      <c r="E769" s="36"/>
      <c r="F769" s="36"/>
      <c r="G769" s="37"/>
      <c r="H769" s="35"/>
      <c r="I769" s="43" t="str">
        <f aca="false">IF($A769="","",COUNTIFS($A$2:$A769,$A769))</f>
        <v/>
      </c>
      <c r="J769" s="43" t="str">
        <f aca="false">IF($A769="","",$A769&amp;"-"&amp;$I769)</f>
        <v/>
      </c>
      <c r="K769" s="38" t="str">
        <f aca="false">IF($A769="","",IF(COUNTIF(参数!$B$6:$B$8,$H769)=0,"× 付款方式","√"))</f>
        <v/>
      </c>
    </row>
    <row r="770" customFormat="false" ht="13.5" hidden="false" customHeight="false" outlineLevel="0" collapsed="false">
      <c r="A770" s="41"/>
      <c r="B770" s="42"/>
      <c r="C770" s="36"/>
      <c r="D770" s="35"/>
      <c r="E770" s="36"/>
      <c r="F770" s="36"/>
      <c r="G770" s="37"/>
      <c r="H770" s="35"/>
      <c r="I770" s="43" t="str">
        <f aca="false">IF($A770="","",COUNTIFS($A$2:$A770,$A770))</f>
        <v/>
      </c>
      <c r="J770" s="43" t="str">
        <f aca="false">IF($A770="","",$A770&amp;"-"&amp;$I770)</f>
        <v/>
      </c>
      <c r="K770" s="38" t="str">
        <f aca="false">IF($A770="","",IF(COUNTIF(参数!$B$6:$B$8,$H770)=0,"× 付款方式","√"))</f>
        <v/>
      </c>
    </row>
    <row r="771" customFormat="false" ht="13.5" hidden="false" customHeight="false" outlineLevel="0" collapsed="false">
      <c r="A771" s="41"/>
      <c r="B771" s="42"/>
      <c r="C771" s="36"/>
      <c r="D771" s="35"/>
      <c r="E771" s="36"/>
      <c r="F771" s="36"/>
      <c r="G771" s="37"/>
      <c r="H771" s="35"/>
      <c r="I771" s="43" t="str">
        <f aca="false">IF($A771="","",COUNTIFS($A$2:$A771,$A771))</f>
        <v/>
      </c>
      <c r="J771" s="43" t="str">
        <f aca="false">IF($A771="","",$A771&amp;"-"&amp;$I771)</f>
        <v/>
      </c>
      <c r="K771" s="38" t="str">
        <f aca="false">IF($A771="","",IF(COUNTIF(参数!$B$6:$B$8,$H771)=0,"× 付款方式","√"))</f>
        <v/>
      </c>
    </row>
    <row r="772" customFormat="false" ht="13.5" hidden="false" customHeight="false" outlineLevel="0" collapsed="false">
      <c r="A772" s="41"/>
      <c r="B772" s="42"/>
      <c r="C772" s="36"/>
      <c r="D772" s="35"/>
      <c r="E772" s="36"/>
      <c r="F772" s="36"/>
      <c r="G772" s="37"/>
      <c r="H772" s="35"/>
      <c r="I772" s="43" t="str">
        <f aca="false">IF($A772="","",COUNTIFS($A$2:$A772,$A772))</f>
        <v/>
      </c>
      <c r="J772" s="43" t="str">
        <f aca="false">IF($A772="","",$A772&amp;"-"&amp;$I772)</f>
        <v/>
      </c>
      <c r="K772" s="38" t="str">
        <f aca="false">IF($A772="","",IF(COUNTIF(参数!$B$6:$B$8,$H772)=0,"× 付款方式","√"))</f>
        <v/>
      </c>
    </row>
    <row r="773" customFormat="false" ht="13.5" hidden="false" customHeight="false" outlineLevel="0" collapsed="false">
      <c r="A773" s="41"/>
      <c r="B773" s="42"/>
      <c r="C773" s="36"/>
      <c r="D773" s="35"/>
      <c r="E773" s="36"/>
      <c r="F773" s="36"/>
      <c r="G773" s="37"/>
      <c r="H773" s="35"/>
      <c r="I773" s="43" t="str">
        <f aca="false">IF($A773="","",COUNTIFS($A$2:$A773,$A773))</f>
        <v/>
      </c>
      <c r="J773" s="43" t="str">
        <f aca="false">IF($A773="","",$A773&amp;"-"&amp;$I773)</f>
        <v/>
      </c>
      <c r="K773" s="38" t="str">
        <f aca="false">IF($A773="","",IF(COUNTIF(参数!$B$6:$B$8,$H773)=0,"× 付款方式","√"))</f>
        <v/>
      </c>
    </row>
    <row r="774" customFormat="false" ht="13.5" hidden="false" customHeight="false" outlineLevel="0" collapsed="false">
      <c r="A774" s="41"/>
      <c r="B774" s="42"/>
      <c r="C774" s="36"/>
      <c r="D774" s="35"/>
      <c r="E774" s="36"/>
      <c r="F774" s="36"/>
      <c r="G774" s="37"/>
      <c r="H774" s="35"/>
      <c r="I774" s="43" t="str">
        <f aca="false">IF($A774="","",COUNTIFS($A$2:$A774,$A774))</f>
        <v/>
      </c>
      <c r="J774" s="43" t="str">
        <f aca="false">IF($A774="","",$A774&amp;"-"&amp;$I774)</f>
        <v/>
      </c>
      <c r="K774" s="38" t="str">
        <f aca="false">IF($A774="","",IF(COUNTIF(参数!$B$6:$B$8,$H774)=0,"× 付款方式","√"))</f>
        <v/>
      </c>
    </row>
    <row r="775" customFormat="false" ht="13.5" hidden="false" customHeight="false" outlineLevel="0" collapsed="false">
      <c r="A775" s="41"/>
      <c r="B775" s="42"/>
      <c r="C775" s="36"/>
      <c r="D775" s="35"/>
      <c r="E775" s="36"/>
      <c r="F775" s="36"/>
      <c r="G775" s="37"/>
      <c r="H775" s="35"/>
      <c r="I775" s="43" t="str">
        <f aca="false">IF($A775="","",COUNTIFS($A$2:$A775,$A775))</f>
        <v/>
      </c>
      <c r="J775" s="43" t="str">
        <f aca="false">IF($A775="","",$A775&amp;"-"&amp;$I775)</f>
        <v/>
      </c>
      <c r="K775" s="38" t="str">
        <f aca="false">IF($A775="","",IF(COUNTIF(参数!$B$6:$B$8,$H775)=0,"× 付款方式","√"))</f>
        <v/>
      </c>
    </row>
    <row r="776" customFormat="false" ht="13.5" hidden="false" customHeight="false" outlineLevel="0" collapsed="false">
      <c r="A776" s="41"/>
      <c r="B776" s="42"/>
      <c r="C776" s="36"/>
      <c r="D776" s="35"/>
      <c r="E776" s="36"/>
      <c r="F776" s="36"/>
      <c r="G776" s="37"/>
      <c r="H776" s="35"/>
      <c r="I776" s="43" t="str">
        <f aca="false">IF($A776="","",COUNTIFS($A$2:$A776,$A776))</f>
        <v/>
      </c>
      <c r="J776" s="43" t="str">
        <f aca="false">IF($A776="","",$A776&amp;"-"&amp;$I776)</f>
        <v/>
      </c>
      <c r="K776" s="38" t="str">
        <f aca="false">IF($A776="","",IF(COUNTIF(参数!$B$6:$B$8,$H776)=0,"× 付款方式","√"))</f>
        <v/>
      </c>
    </row>
    <row r="777" customFormat="false" ht="13.5" hidden="false" customHeight="false" outlineLevel="0" collapsed="false">
      <c r="A777" s="41"/>
      <c r="B777" s="42"/>
      <c r="C777" s="36"/>
      <c r="D777" s="35"/>
      <c r="E777" s="36"/>
      <c r="F777" s="36"/>
      <c r="G777" s="37"/>
      <c r="H777" s="35"/>
      <c r="I777" s="43" t="str">
        <f aca="false">IF($A777="","",COUNTIFS($A$2:$A777,$A777))</f>
        <v/>
      </c>
      <c r="J777" s="43" t="str">
        <f aca="false">IF($A777="","",$A777&amp;"-"&amp;$I777)</f>
        <v/>
      </c>
      <c r="K777" s="38" t="str">
        <f aca="false">IF($A777="","",IF(COUNTIF(参数!$B$6:$B$8,$H777)=0,"× 付款方式","√"))</f>
        <v/>
      </c>
    </row>
    <row r="778" customFormat="false" ht="13.5" hidden="false" customHeight="false" outlineLevel="0" collapsed="false">
      <c r="A778" s="41"/>
      <c r="B778" s="42"/>
      <c r="C778" s="36"/>
      <c r="D778" s="35"/>
      <c r="E778" s="36"/>
      <c r="F778" s="36"/>
      <c r="G778" s="37"/>
      <c r="H778" s="35"/>
      <c r="I778" s="43" t="str">
        <f aca="false">IF($A778="","",COUNTIFS($A$2:$A778,$A778))</f>
        <v/>
      </c>
      <c r="J778" s="43" t="str">
        <f aca="false">IF($A778="","",$A778&amp;"-"&amp;$I778)</f>
        <v/>
      </c>
      <c r="K778" s="38" t="str">
        <f aca="false">IF($A778="","",IF(COUNTIF(参数!$B$6:$B$8,$H778)=0,"× 付款方式","√"))</f>
        <v/>
      </c>
    </row>
    <row r="779" customFormat="false" ht="13.5" hidden="false" customHeight="false" outlineLevel="0" collapsed="false">
      <c r="A779" s="41"/>
      <c r="B779" s="42"/>
      <c r="C779" s="36"/>
      <c r="D779" s="35"/>
      <c r="E779" s="36"/>
      <c r="F779" s="36"/>
      <c r="G779" s="37"/>
      <c r="H779" s="35"/>
      <c r="I779" s="43" t="str">
        <f aca="false">IF($A779="","",COUNTIFS($A$2:$A779,$A779))</f>
        <v/>
      </c>
      <c r="J779" s="43" t="str">
        <f aca="false">IF($A779="","",$A779&amp;"-"&amp;$I779)</f>
        <v/>
      </c>
      <c r="K779" s="38" t="str">
        <f aca="false">IF($A779="","",IF(COUNTIF(参数!$B$6:$B$8,$H779)=0,"× 付款方式","√"))</f>
        <v/>
      </c>
    </row>
    <row r="780" customFormat="false" ht="13.5" hidden="false" customHeight="false" outlineLevel="0" collapsed="false">
      <c r="A780" s="41"/>
      <c r="B780" s="42"/>
      <c r="C780" s="36"/>
      <c r="D780" s="35"/>
      <c r="E780" s="36"/>
      <c r="F780" s="36"/>
      <c r="G780" s="37"/>
      <c r="H780" s="35"/>
      <c r="I780" s="43" t="str">
        <f aca="false">IF($A780="","",COUNTIFS($A$2:$A780,$A780))</f>
        <v/>
      </c>
      <c r="J780" s="43" t="str">
        <f aca="false">IF($A780="","",$A780&amp;"-"&amp;$I780)</f>
        <v/>
      </c>
      <c r="K780" s="38" t="str">
        <f aca="false">IF($A780="","",IF(COUNTIF(参数!$B$6:$B$8,$H780)=0,"× 付款方式","√"))</f>
        <v/>
      </c>
    </row>
    <row r="781" customFormat="false" ht="13.5" hidden="false" customHeight="false" outlineLevel="0" collapsed="false">
      <c r="A781" s="41"/>
      <c r="B781" s="42"/>
      <c r="C781" s="36"/>
      <c r="D781" s="35"/>
      <c r="E781" s="36"/>
      <c r="F781" s="36"/>
      <c r="G781" s="37"/>
      <c r="H781" s="35"/>
      <c r="I781" s="43" t="str">
        <f aca="false">IF($A781="","",COUNTIFS($A$2:$A781,$A781))</f>
        <v/>
      </c>
      <c r="J781" s="43" t="str">
        <f aca="false">IF($A781="","",$A781&amp;"-"&amp;$I781)</f>
        <v/>
      </c>
      <c r="K781" s="38" t="str">
        <f aca="false">IF($A781="","",IF(COUNTIF(参数!$B$6:$B$8,$H781)=0,"× 付款方式","√"))</f>
        <v/>
      </c>
    </row>
    <row r="782" customFormat="false" ht="13.5" hidden="false" customHeight="false" outlineLevel="0" collapsed="false">
      <c r="A782" s="41"/>
      <c r="B782" s="42"/>
      <c r="C782" s="36"/>
      <c r="D782" s="35"/>
      <c r="E782" s="36"/>
      <c r="F782" s="36"/>
      <c r="G782" s="37"/>
      <c r="H782" s="35"/>
      <c r="I782" s="43" t="str">
        <f aca="false">IF($A782="","",COUNTIFS($A$2:$A782,$A782))</f>
        <v/>
      </c>
      <c r="J782" s="43" t="str">
        <f aca="false">IF($A782="","",$A782&amp;"-"&amp;$I782)</f>
        <v/>
      </c>
      <c r="K782" s="38" t="str">
        <f aca="false">IF($A782="","",IF(COUNTIF(参数!$B$6:$B$8,$H782)=0,"× 付款方式","√"))</f>
        <v/>
      </c>
    </row>
    <row r="783" customFormat="false" ht="13.5" hidden="false" customHeight="false" outlineLevel="0" collapsed="false">
      <c r="A783" s="41"/>
      <c r="B783" s="42"/>
      <c r="C783" s="36"/>
      <c r="D783" s="35"/>
      <c r="E783" s="36"/>
      <c r="F783" s="36"/>
      <c r="G783" s="37"/>
      <c r="H783" s="35"/>
      <c r="I783" s="43" t="str">
        <f aca="false">IF($A783="","",COUNTIFS($A$2:$A783,$A783))</f>
        <v/>
      </c>
      <c r="J783" s="43" t="str">
        <f aca="false">IF($A783="","",$A783&amp;"-"&amp;$I783)</f>
        <v/>
      </c>
      <c r="K783" s="38" t="str">
        <f aca="false">IF($A783="","",IF(COUNTIF(参数!$B$6:$B$8,$H783)=0,"× 付款方式","√"))</f>
        <v/>
      </c>
    </row>
    <row r="784" customFormat="false" ht="13.5" hidden="false" customHeight="false" outlineLevel="0" collapsed="false">
      <c r="A784" s="41"/>
      <c r="B784" s="42"/>
      <c r="C784" s="36"/>
      <c r="D784" s="35"/>
      <c r="E784" s="36"/>
      <c r="F784" s="36"/>
      <c r="G784" s="37"/>
      <c r="H784" s="35"/>
      <c r="I784" s="43" t="str">
        <f aca="false">IF($A784="","",COUNTIFS($A$2:$A784,$A784))</f>
        <v/>
      </c>
      <c r="J784" s="43" t="str">
        <f aca="false">IF($A784="","",$A784&amp;"-"&amp;$I784)</f>
        <v/>
      </c>
      <c r="K784" s="38" t="str">
        <f aca="false">IF($A784="","",IF(COUNTIF(参数!$B$6:$B$8,$H784)=0,"× 付款方式","√"))</f>
        <v/>
      </c>
    </row>
    <row r="785" customFormat="false" ht="13.5" hidden="false" customHeight="false" outlineLevel="0" collapsed="false">
      <c r="A785" s="41"/>
      <c r="B785" s="42"/>
      <c r="C785" s="36"/>
      <c r="D785" s="35"/>
      <c r="E785" s="36"/>
      <c r="F785" s="36"/>
      <c r="G785" s="37"/>
      <c r="H785" s="35"/>
      <c r="I785" s="43" t="str">
        <f aca="false">IF($A785="","",COUNTIFS($A$2:$A785,$A785))</f>
        <v/>
      </c>
      <c r="J785" s="43" t="str">
        <f aca="false">IF($A785="","",$A785&amp;"-"&amp;$I785)</f>
        <v/>
      </c>
      <c r="K785" s="38" t="str">
        <f aca="false">IF($A785="","",IF(COUNTIF(参数!$B$6:$B$8,$H785)=0,"× 付款方式","√"))</f>
        <v/>
      </c>
    </row>
    <row r="786" customFormat="false" ht="13.5" hidden="false" customHeight="false" outlineLevel="0" collapsed="false">
      <c r="A786" s="41"/>
      <c r="B786" s="42"/>
      <c r="C786" s="36"/>
      <c r="D786" s="35"/>
      <c r="E786" s="36"/>
      <c r="F786" s="36"/>
      <c r="G786" s="37"/>
      <c r="H786" s="35"/>
      <c r="I786" s="43" t="str">
        <f aca="false">IF($A786="","",COUNTIFS($A$2:$A786,$A786))</f>
        <v/>
      </c>
      <c r="J786" s="43" t="str">
        <f aca="false">IF($A786="","",$A786&amp;"-"&amp;$I786)</f>
        <v/>
      </c>
      <c r="K786" s="38" t="str">
        <f aca="false">IF($A786="","",IF(COUNTIF(参数!$B$6:$B$8,$H786)=0,"× 付款方式","√"))</f>
        <v/>
      </c>
    </row>
    <row r="787" customFormat="false" ht="13.5" hidden="false" customHeight="false" outlineLevel="0" collapsed="false">
      <c r="A787" s="41"/>
      <c r="B787" s="42"/>
      <c r="C787" s="36"/>
      <c r="D787" s="35"/>
      <c r="E787" s="36"/>
      <c r="F787" s="36"/>
      <c r="G787" s="37"/>
      <c r="H787" s="35"/>
      <c r="I787" s="43" t="str">
        <f aca="false">IF($A787="","",COUNTIFS($A$2:$A787,$A787))</f>
        <v/>
      </c>
      <c r="J787" s="43" t="str">
        <f aca="false">IF($A787="","",$A787&amp;"-"&amp;$I787)</f>
        <v/>
      </c>
      <c r="K787" s="38" t="str">
        <f aca="false">IF($A787="","",IF(COUNTIF(参数!$B$6:$B$8,$H787)=0,"× 付款方式","√"))</f>
        <v/>
      </c>
    </row>
    <row r="788" customFormat="false" ht="13.5" hidden="false" customHeight="false" outlineLevel="0" collapsed="false">
      <c r="A788" s="41"/>
      <c r="B788" s="42"/>
      <c r="C788" s="36"/>
      <c r="D788" s="35"/>
      <c r="E788" s="36"/>
      <c r="F788" s="36"/>
      <c r="G788" s="37"/>
      <c r="H788" s="35"/>
      <c r="I788" s="43" t="str">
        <f aca="false">IF($A788="","",COUNTIFS($A$2:$A788,$A788))</f>
        <v/>
      </c>
      <c r="J788" s="43" t="str">
        <f aca="false">IF($A788="","",$A788&amp;"-"&amp;$I788)</f>
        <v/>
      </c>
      <c r="K788" s="38" t="str">
        <f aca="false">IF($A788="","",IF(COUNTIF(参数!$B$6:$B$8,$H788)=0,"× 付款方式","√"))</f>
        <v/>
      </c>
    </row>
    <row r="789" customFormat="false" ht="13.5" hidden="false" customHeight="false" outlineLevel="0" collapsed="false">
      <c r="A789" s="41"/>
      <c r="B789" s="42"/>
      <c r="C789" s="36"/>
      <c r="D789" s="35"/>
      <c r="E789" s="36"/>
      <c r="F789" s="36"/>
      <c r="G789" s="37"/>
      <c r="H789" s="35"/>
      <c r="I789" s="43" t="str">
        <f aca="false">IF($A789="","",COUNTIFS($A$2:$A789,$A789))</f>
        <v/>
      </c>
      <c r="J789" s="43" t="str">
        <f aca="false">IF($A789="","",$A789&amp;"-"&amp;$I789)</f>
        <v/>
      </c>
      <c r="K789" s="38" t="str">
        <f aca="false">IF($A789="","",IF(COUNTIF(参数!$B$6:$B$8,$H789)=0,"× 付款方式","√"))</f>
        <v/>
      </c>
    </row>
    <row r="790" customFormat="false" ht="13.5" hidden="false" customHeight="false" outlineLevel="0" collapsed="false">
      <c r="A790" s="41"/>
      <c r="B790" s="42"/>
      <c r="C790" s="36"/>
      <c r="D790" s="35"/>
      <c r="E790" s="36"/>
      <c r="F790" s="36"/>
      <c r="G790" s="37"/>
      <c r="H790" s="35"/>
      <c r="I790" s="43" t="str">
        <f aca="false">IF($A790="","",COUNTIFS($A$2:$A790,$A790))</f>
        <v/>
      </c>
      <c r="J790" s="43" t="str">
        <f aca="false">IF($A790="","",$A790&amp;"-"&amp;$I790)</f>
        <v/>
      </c>
      <c r="K790" s="38" t="str">
        <f aca="false">IF($A790="","",IF(COUNTIF(参数!$B$6:$B$8,$H790)=0,"× 付款方式","√"))</f>
        <v/>
      </c>
    </row>
    <row r="791" customFormat="false" ht="13.5" hidden="false" customHeight="false" outlineLevel="0" collapsed="false">
      <c r="A791" s="41"/>
      <c r="B791" s="42"/>
      <c r="C791" s="36"/>
      <c r="D791" s="35"/>
      <c r="E791" s="36"/>
      <c r="F791" s="36"/>
      <c r="G791" s="37"/>
      <c r="H791" s="35"/>
      <c r="I791" s="43" t="str">
        <f aca="false">IF($A791="","",COUNTIFS($A$2:$A791,$A791))</f>
        <v/>
      </c>
      <c r="J791" s="43" t="str">
        <f aca="false">IF($A791="","",$A791&amp;"-"&amp;$I791)</f>
        <v/>
      </c>
      <c r="K791" s="38" t="str">
        <f aca="false">IF($A791="","",IF(COUNTIF(参数!$B$6:$B$8,$H791)=0,"× 付款方式","√"))</f>
        <v/>
      </c>
    </row>
    <row r="792" customFormat="false" ht="13.5" hidden="false" customHeight="false" outlineLevel="0" collapsed="false">
      <c r="A792" s="41"/>
      <c r="B792" s="42"/>
      <c r="C792" s="36"/>
      <c r="D792" s="35"/>
      <c r="E792" s="36"/>
      <c r="F792" s="36"/>
      <c r="G792" s="37"/>
      <c r="H792" s="35"/>
      <c r="I792" s="43" t="str">
        <f aca="false">IF($A792="","",COUNTIFS($A$2:$A792,$A792))</f>
        <v/>
      </c>
      <c r="J792" s="43" t="str">
        <f aca="false">IF($A792="","",$A792&amp;"-"&amp;$I792)</f>
        <v/>
      </c>
      <c r="K792" s="38" t="str">
        <f aca="false">IF($A792="","",IF(COUNTIF(参数!$B$6:$B$8,$H792)=0,"× 付款方式","√"))</f>
        <v/>
      </c>
    </row>
    <row r="793" customFormat="false" ht="13.5" hidden="false" customHeight="false" outlineLevel="0" collapsed="false">
      <c r="A793" s="41"/>
      <c r="B793" s="42"/>
      <c r="C793" s="36"/>
      <c r="D793" s="35"/>
      <c r="E793" s="36"/>
      <c r="F793" s="36"/>
      <c r="G793" s="37"/>
      <c r="H793" s="35"/>
      <c r="I793" s="43" t="str">
        <f aca="false">IF($A793="","",COUNTIFS($A$2:$A793,$A793))</f>
        <v/>
      </c>
      <c r="J793" s="43" t="str">
        <f aca="false">IF($A793="","",$A793&amp;"-"&amp;$I793)</f>
        <v/>
      </c>
      <c r="K793" s="38" t="str">
        <f aca="false">IF($A793="","",IF(COUNTIF(参数!$B$6:$B$8,$H793)=0,"× 付款方式","√"))</f>
        <v/>
      </c>
    </row>
    <row r="794" customFormat="false" ht="13.5" hidden="false" customHeight="false" outlineLevel="0" collapsed="false">
      <c r="A794" s="41"/>
      <c r="B794" s="42"/>
      <c r="C794" s="36"/>
      <c r="D794" s="35"/>
      <c r="E794" s="36"/>
      <c r="F794" s="36"/>
      <c r="G794" s="37"/>
      <c r="H794" s="35"/>
      <c r="I794" s="43" t="str">
        <f aca="false">IF($A794="","",COUNTIFS($A$2:$A794,$A794))</f>
        <v/>
      </c>
      <c r="J794" s="43" t="str">
        <f aca="false">IF($A794="","",$A794&amp;"-"&amp;$I794)</f>
        <v/>
      </c>
      <c r="K794" s="38" t="str">
        <f aca="false">IF($A794="","",IF(COUNTIF(参数!$B$6:$B$8,$H794)=0,"× 付款方式","√"))</f>
        <v/>
      </c>
    </row>
    <row r="795" customFormat="false" ht="13.5" hidden="false" customHeight="false" outlineLevel="0" collapsed="false">
      <c r="A795" s="41"/>
      <c r="B795" s="42"/>
      <c r="C795" s="36"/>
      <c r="D795" s="35"/>
      <c r="E795" s="36"/>
      <c r="F795" s="36"/>
      <c r="G795" s="37"/>
      <c r="H795" s="35"/>
      <c r="I795" s="43" t="str">
        <f aca="false">IF($A795="","",COUNTIFS($A$2:$A795,$A795))</f>
        <v/>
      </c>
      <c r="J795" s="43" t="str">
        <f aca="false">IF($A795="","",$A795&amp;"-"&amp;$I795)</f>
        <v/>
      </c>
      <c r="K795" s="38" t="str">
        <f aca="false">IF($A795="","",IF(COUNTIF(参数!$B$6:$B$8,$H795)=0,"× 付款方式","√"))</f>
        <v/>
      </c>
    </row>
    <row r="796" customFormat="false" ht="13.5" hidden="false" customHeight="false" outlineLevel="0" collapsed="false">
      <c r="A796" s="41"/>
      <c r="B796" s="42"/>
      <c r="C796" s="36"/>
      <c r="D796" s="35"/>
      <c r="E796" s="36"/>
      <c r="F796" s="36"/>
      <c r="G796" s="37"/>
      <c r="H796" s="35"/>
      <c r="I796" s="43" t="str">
        <f aca="false">IF($A796="","",COUNTIFS($A$2:$A796,$A796))</f>
        <v/>
      </c>
      <c r="J796" s="43" t="str">
        <f aca="false">IF($A796="","",$A796&amp;"-"&amp;$I796)</f>
        <v/>
      </c>
      <c r="K796" s="38" t="str">
        <f aca="false">IF($A796="","",IF(COUNTIF(参数!$B$6:$B$8,$H796)=0,"× 付款方式","√"))</f>
        <v/>
      </c>
    </row>
    <row r="797" customFormat="false" ht="13.5" hidden="false" customHeight="false" outlineLevel="0" collapsed="false">
      <c r="A797" s="41"/>
      <c r="B797" s="42"/>
      <c r="C797" s="36"/>
      <c r="D797" s="35"/>
      <c r="E797" s="36"/>
      <c r="F797" s="36"/>
      <c r="G797" s="37"/>
      <c r="H797" s="35"/>
      <c r="I797" s="43" t="str">
        <f aca="false">IF($A797="","",COUNTIFS($A$2:$A797,$A797))</f>
        <v/>
      </c>
      <c r="J797" s="43" t="str">
        <f aca="false">IF($A797="","",$A797&amp;"-"&amp;$I797)</f>
        <v/>
      </c>
      <c r="K797" s="38" t="str">
        <f aca="false">IF($A797="","",IF(COUNTIF(参数!$B$6:$B$8,$H797)=0,"× 付款方式","√"))</f>
        <v/>
      </c>
    </row>
    <row r="798" customFormat="false" ht="13.5" hidden="false" customHeight="false" outlineLevel="0" collapsed="false">
      <c r="A798" s="41"/>
      <c r="B798" s="42"/>
      <c r="C798" s="36"/>
      <c r="D798" s="35"/>
      <c r="E798" s="36"/>
      <c r="F798" s="36"/>
      <c r="G798" s="37"/>
      <c r="H798" s="35"/>
      <c r="I798" s="43" t="str">
        <f aca="false">IF($A798="","",COUNTIFS($A$2:$A798,$A798))</f>
        <v/>
      </c>
      <c r="J798" s="43" t="str">
        <f aca="false">IF($A798="","",$A798&amp;"-"&amp;$I798)</f>
        <v/>
      </c>
      <c r="K798" s="38" t="str">
        <f aca="false">IF($A798="","",IF(COUNTIF(参数!$B$6:$B$8,$H798)=0,"× 付款方式","√"))</f>
        <v/>
      </c>
    </row>
    <row r="799" customFormat="false" ht="13.5" hidden="false" customHeight="false" outlineLevel="0" collapsed="false">
      <c r="A799" s="41"/>
      <c r="B799" s="42"/>
      <c r="C799" s="36"/>
      <c r="D799" s="35"/>
      <c r="E799" s="36"/>
      <c r="F799" s="36"/>
      <c r="G799" s="37"/>
      <c r="H799" s="35"/>
      <c r="I799" s="43" t="str">
        <f aca="false">IF($A799="","",COUNTIFS($A$2:$A799,$A799))</f>
        <v/>
      </c>
      <c r="J799" s="43" t="str">
        <f aca="false">IF($A799="","",$A799&amp;"-"&amp;$I799)</f>
        <v/>
      </c>
      <c r="K799" s="38" t="str">
        <f aca="false">IF($A799="","",IF(COUNTIF(参数!$B$6:$B$8,$H799)=0,"× 付款方式","√"))</f>
        <v/>
      </c>
    </row>
    <row r="800" customFormat="false" ht="13.5" hidden="false" customHeight="false" outlineLevel="0" collapsed="false">
      <c r="A800" s="41"/>
      <c r="B800" s="42"/>
      <c r="C800" s="36"/>
      <c r="D800" s="35"/>
      <c r="E800" s="36"/>
      <c r="F800" s="36"/>
      <c r="G800" s="37"/>
      <c r="H800" s="35"/>
      <c r="I800" s="43" t="str">
        <f aca="false">IF($A800="","",COUNTIFS($A$2:$A800,$A800))</f>
        <v/>
      </c>
      <c r="J800" s="43" t="str">
        <f aca="false">IF($A800="","",$A800&amp;"-"&amp;$I800)</f>
        <v/>
      </c>
      <c r="K800" s="38" t="str">
        <f aca="false">IF($A800="","",IF(COUNTIF(参数!$B$6:$B$8,$H800)=0,"× 付款方式","√"))</f>
        <v/>
      </c>
    </row>
    <row r="801" customFormat="false" ht="13.5" hidden="false" customHeight="false" outlineLevel="0" collapsed="false">
      <c r="A801" s="41"/>
      <c r="B801" s="42"/>
      <c r="C801" s="36"/>
      <c r="D801" s="35"/>
      <c r="E801" s="36"/>
      <c r="F801" s="36"/>
      <c r="G801" s="37"/>
      <c r="H801" s="35"/>
      <c r="I801" s="43" t="str">
        <f aca="false">IF($A801="","",COUNTIFS($A$2:$A801,$A801))</f>
        <v/>
      </c>
      <c r="J801" s="43" t="str">
        <f aca="false">IF($A801="","",$A801&amp;"-"&amp;$I801)</f>
        <v/>
      </c>
      <c r="K801" s="38" t="str">
        <f aca="false">IF($A801="","",IF(COUNTIF(参数!$B$6:$B$8,$H801)=0,"× 付款方式","√"))</f>
        <v/>
      </c>
    </row>
    <row r="802" customFormat="false" ht="13.5" hidden="false" customHeight="false" outlineLevel="0" collapsed="false">
      <c r="A802" s="41"/>
      <c r="B802" s="42"/>
      <c r="C802" s="36"/>
      <c r="D802" s="35"/>
      <c r="E802" s="36"/>
      <c r="F802" s="36"/>
      <c r="G802" s="37"/>
      <c r="H802" s="35"/>
      <c r="I802" s="43" t="str">
        <f aca="false">IF($A802="","",COUNTIFS($A$2:$A802,$A802))</f>
        <v/>
      </c>
      <c r="J802" s="43" t="str">
        <f aca="false">IF($A802="","",$A802&amp;"-"&amp;$I802)</f>
        <v/>
      </c>
      <c r="K802" s="38" t="str">
        <f aca="false">IF($A802="","",IF(COUNTIF(参数!$B$6:$B$8,$H802)=0,"× 付款方式","√"))</f>
        <v/>
      </c>
    </row>
    <row r="803" customFormat="false" ht="13.5" hidden="false" customHeight="false" outlineLevel="0" collapsed="false">
      <c r="A803" s="41"/>
      <c r="B803" s="42"/>
      <c r="C803" s="36"/>
      <c r="D803" s="35"/>
      <c r="E803" s="36"/>
      <c r="F803" s="36"/>
      <c r="G803" s="37"/>
      <c r="H803" s="35"/>
      <c r="I803" s="43" t="str">
        <f aca="false">IF($A803="","",COUNTIFS($A$2:$A803,$A803))</f>
        <v/>
      </c>
      <c r="J803" s="43" t="str">
        <f aca="false">IF($A803="","",$A803&amp;"-"&amp;$I803)</f>
        <v/>
      </c>
      <c r="K803" s="38" t="str">
        <f aca="false">IF($A803="","",IF(COUNTIF(参数!$B$6:$B$8,$H803)=0,"× 付款方式","√"))</f>
        <v/>
      </c>
    </row>
    <row r="804" customFormat="false" ht="13.5" hidden="false" customHeight="false" outlineLevel="0" collapsed="false">
      <c r="A804" s="41"/>
      <c r="B804" s="42"/>
      <c r="C804" s="36"/>
      <c r="D804" s="35"/>
      <c r="E804" s="36"/>
      <c r="F804" s="36"/>
      <c r="G804" s="37"/>
      <c r="H804" s="35"/>
      <c r="I804" s="43" t="str">
        <f aca="false">IF($A804="","",COUNTIFS($A$2:$A804,$A804))</f>
        <v/>
      </c>
      <c r="J804" s="43" t="str">
        <f aca="false">IF($A804="","",$A804&amp;"-"&amp;$I804)</f>
        <v/>
      </c>
      <c r="K804" s="38" t="str">
        <f aca="false">IF($A804="","",IF(COUNTIF(参数!$B$6:$B$8,$H804)=0,"× 付款方式","√"))</f>
        <v/>
      </c>
    </row>
    <row r="805" customFormat="false" ht="13.5" hidden="false" customHeight="false" outlineLevel="0" collapsed="false">
      <c r="A805" s="41"/>
      <c r="B805" s="42"/>
      <c r="C805" s="36"/>
      <c r="D805" s="35"/>
      <c r="E805" s="36"/>
      <c r="F805" s="36"/>
      <c r="G805" s="37"/>
      <c r="H805" s="35"/>
      <c r="I805" s="43" t="str">
        <f aca="false">IF($A805="","",COUNTIFS($A$2:$A805,$A805))</f>
        <v/>
      </c>
      <c r="J805" s="43" t="str">
        <f aca="false">IF($A805="","",$A805&amp;"-"&amp;$I805)</f>
        <v/>
      </c>
      <c r="K805" s="38" t="str">
        <f aca="false">IF($A805="","",IF(COUNTIF(参数!$B$6:$B$8,$H805)=0,"× 付款方式","√"))</f>
        <v/>
      </c>
    </row>
    <row r="806" customFormat="false" ht="13.5" hidden="false" customHeight="false" outlineLevel="0" collapsed="false">
      <c r="A806" s="41"/>
      <c r="B806" s="42"/>
      <c r="C806" s="36"/>
      <c r="D806" s="35"/>
      <c r="E806" s="36"/>
      <c r="F806" s="36"/>
      <c r="G806" s="37"/>
      <c r="H806" s="35"/>
      <c r="I806" s="43" t="str">
        <f aca="false">IF($A806="","",COUNTIFS($A$2:$A806,$A806))</f>
        <v/>
      </c>
      <c r="J806" s="43" t="str">
        <f aca="false">IF($A806="","",$A806&amp;"-"&amp;$I806)</f>
        <v/>
      </c>
      <c r="K806" s="38" t="str">
        <f aca="false">IF($A806="","",IF(COUNTIF(参数!$B$6:$B$8,$H806)=0,"× 付款方式","√"))</f>
        <v/>
      </c>
    </row>
    <row r="807" customFormat="false" ht="13.5" hidden="false" customHeight="false" outlineLevel="0" collapsed="false">
      <c r="A807" s="41"/>
      <c r="B807" s="42"/>
      <c r="C807" s="36"/>
      <c r="D807" s="35"/>
      <c r="E807" s="36"/>
      <c r="F807" s="36"/>
      <c r="G807" s="37"/>
      <c r="H807" s="35"/>
      <c r="I807" s="43" t="str">
        <f aca="false">IF($A807="","",COUNTIFS($A$2:$A807,$A807))</f>
        <v/>
      </c>
      <c r="J807" s="43" t="str">
        <f aca="false">IF($A807="","",$A807&amp;"-"&amp;$I807)</f>
        <v/>
      </c>
      <c r="K807" s="38" t="str">
        <f aca="false">IF($A807="","",IF(COUNTIF(参数!$B$6:$B$8,$H807)=0,"× 付款方式","√"))</f>
        <v/>
      </c>
    </row>
    <row r="808" customFormat="false" ht="13.5" hidden="false" customHeight="false" outlineLevel="0" collapsed="false">
      <c r="A808" s="41"/>
      <c r="B808" s="42"/>
      <c r="C808" s="36"/>
      <c r="D808" s="35"/>
      <c r="E808" s="36"/>
      <c r="F808" s="36"/>
      <c r="G808" s="37"/>
      <c r="H808" s="35"/>
      <c r="I808" s="43" t="str">
        <f aca="false">IF($A808="","",COUNTIFS($A$2:$A808,$A808))</f>
        <v/>
      </c>
      <c r="J808" s="43" t="str">
        <f aca="false">IF($A808="","",$A808&amp;"-"&amp;$I808)</f>
        <v/>
      </c>
      <c r="K808" s="38" t="str">
        <f aca="false">IF($A808="","",IF(COUNTIF(参数!$B$6:$B$8,$H808)=0,"× 付款方式","√"))</f>
        <v/>
      </c>
    </row>
    <row r="809" customFormat="false" ht="13.5" hidden="false" customHeight="false" outlineLevel="0" collapsed="false">
      <c r="A809" s="41"/>
      <c r="B809" s="42"/>
      <c r="C809" s="36"/>
      <c r="D809" s="35"/>
      <c r="E809" s="36"/>
      <c r="F809" s="36"/>
      <c r="G809" s="37"/>
      <c r="H809" s="35"/>
      <c r="I809" s="43" t="str">
        <f aca="false">IF($A809="","",COUNTIFS($A$2:$A809,$A809))</f>
        <v/>
      </c>
      <c r="J809" s="43" t="str">
        <f aca="false">IF($A809="","",$A809&amp;"-"&amp;$I809)</f>
        <v/>
      </c>
      <c r="K809" s="38" t="str">
        <f aca="false">IF($A809="","",IF(COUNTIF(参数!$B$6:$B$8,$H809)=0,"× 付款方式","√"))</f>
        <v/>
      </c>
    </row>
    <row r="810" customFormat="false" ht="13.5" hidden="false" customHeight="false" outlineLevel="0" collapsed="false">
      <c r="A810" s="41"/>
      <c r="B810" s="42"/>
      <c r="C810" s="36"/>
      <c r="D810" s="35"/>
      <c r="E810" s="36"/>
      <c r="F810" s="36"/>
      <c r="G810" s="37"/>
      <c r="H810" s="35"/>
      <c r="I810" s="43" t="str">
        <f aca="false">IF($A810="","",COUNTIFS($A$2:$A810,$A810))</f>
        <v/>
      </c>
      <c r="J810" s="43" t="str">
        <f aca="false">IF($A810="","",$A810&amp;"-"&amp;$I810)</f>
        <v/>
      </c>
      <c r="K810" s="38" t="str">
        <f aca="false">IF($A810="","",IF(COUNTIF(参数!$B$6:$B$8,$H810)=0,"× 付款方式","√"))</f>
        <v/>
      </c>
    </row>
    <row r="811" customFormat="false" ht="13.5" hidden="false" customHeight="false" outlineLevel="0" collapsed="false">
      <c r="A811" s="41"/>
      <c r="B811" s="42"/>
      <c r="C811" s="36"/>
      <c r="D811" s="35"/>
      <c r="E811" s="36"/>
      <c r="F811" s="36"/>
      <c r="G811" s="37"/>
      <c r="H811" s="35"/>
      <c r="I811" s="43" t="str">
        <f aca="false">IF($A811="","",COUNTIFS($A$2:$A811,$A811))</f>
        <v/>
      </c>
      <c r="J811" s="43" t="str">
        <f aca="false">IF($A811="","",$A811&amp;"-"&amp;$I811)</f>
        <v/>
      </c>
      <c r="K811" s="38" t="str">
        <f aca="false">IF($A811="","",IF(COUNTIF(参数!$B$6:$B$8,$H811)=0,"× 付款方式","√"))</f>
        <v/>
      </c>
    </row>
    <row r="812" customFormat="false" ht="13.5" hidden="false" customHeight="false" outlineLevel="0" collapsed="false">
      <c r="A812" s="41"/>
      <c r="B812" s="42"/>
      <c r="C812" s="36"/>
      <c r="D812" s="35"/>
      <c r="E812" s="36"/>
      <c r="F812" s="36"/>
      <c r="G812" s="37"/>
      <c r="H812" s="35"/>
      <c r="I812" s="43" t="str">
        <f aca="false">IF($A812="","",COUNTIFS($A$2:$A812,$A812))</f>
        <v/>
      </c>
      <c r="J812" s="43" t="str">
        <f aca="false">IF($A812="","",$A812&amp;"-"&amp;$I812)</f>
        <v/>
      </c>
      <c r="K812" s="38" t="str">
        <f aca="false">IF($A812="","",IF(COUNTIF(参数!$B$6:$B$8,$H812)=0,"× 付款方式","√"))</f>
        <v/>
      </c>
    </row>
    <row r="813" customFormat="false" ht="13.5" hidden="false" customHeight="false" outlineLevel="0" collapsed="false">
      <c r="A813" s="41"/>
      <c r="B813" s="42"/>
      <c r="C813" s="36"/>
      <c r="D813" s="35"/>
      <c r="E813" s="36"/>
      <c r="F813" s="36"/>
      <c r="G813" s="37"/>
      <c r="H813" s="35"/>
      <c r="I813" s="43" t="str">
        <f aca="false">IF($A813="","",COUNTIFS($A$2:$A813,$A813))</f>
        <v/>
      </c>
      <c r="J813" s="43" t="str">
        <f aca="false">IF($A813="","",$A813&amp;"-"&amp;$I813)</f>
        <v/>
      </c>
      <c r="K813" s="38" t="str">
        <f aca="false">IF($A813="","",IF(COUNTIF(参数!$B$6:$B$8,$H813)=0,"× 付款方式","√"))</f>
        <v/>
      </c>
    </row>
    <row r="814" customFormat="false" ht="13.5" hidden="false" customHeight="false" outlineLevel="0" collapsed="false">
      <c r="A814" s="41"/>
      <c r="B814" s="42"/>
      <c r="C814" s="36"/>
      <c r="D814" s="35"/>
      <c r="E814" s="36"/>
      <c r="F814" s="36"/>
      <c r="G814" s="37"/>
      <c r="H814" s="35"/>
      <c r="I814" s="43" t="str">
        <f aca="false">IF($A814="","",COUNTIFS($A$2:$A814,$A814))</f>
        <v/>
      </c>
      <c r="J814" s="43" t="str">
        <f aca="false">IF($A814="","",$A814&amp;"-"&amp;$I814)</f>
        <v/>
      </c>
      <c r="K814" s="38" t="str">
        <f aca="false">IF($A814="","",IF(COUNTIF(参数!$B$6:$B$8,$H814)=0,"× 付款方式","√"))</f>
        <v/>
      </c>
    </row>
    <row r="815" customFormat="false" ht="13.5" hidden="false" customHeight="false" outlineLevel="0" collapsed="false">
      <c r="A815" s="41"/>
      <c r="B815" s="42"/>
      <c r="C815" s="36"/>
      <c r="D815" s="35"/>
      <c r="E815" s="36"/>
      <c r="F815" s="36"/>
      <c r="G815" s="37"/>
      <c r="H815" s="35"/>
      <c r="I815" s="43" t="str">
        <f aca="false">IF($A815="","",COUNTIFS($A$2:$A815,$A815))</f>
        <v/>
      </c>
      <c r="J815" s="43" t="str">
        <f aca="false">IF($A815="","",$A815&amp;"-"&amp;$I815)</f>
        <v/>
      </c>
      <c r="K815" s="38" t="str">
        <f aca="false">IF($A815="","",IF(COUNTIF(参数!$B$6:$B$8,$H815)=0,"× 付款方式","√"))</f>
        <v/>
      </c>
    </row>
    <row r="816" customFormat="false" ht="13.5" hidden="false" customHeight="false" outlineLevel="0" collapsed="false">
      <c r="A816" s="41"/>
      <c r="B816" s="42"/>
      <c r="C816" s="36"/>
      <c r="D816" s="35"/>
      <c r="E816" s="36"/>
      <c r="F816" s="36"/>
      <c r="G816" s="37"/>
      <c r="H816" s="35"/>
      <c r="I816" s="43" t="str">
        <f aca="false">IF($A816="","",COUNTIFS($A$2:$A816,$A816))</f>
        <v/>
      </c>
      <c r="J816" s="43" t="str">
        <f aca="false">IF($A816="","",$A816&amp;"-"&amp;$I816)</f>
        <v/>
      </c>
      <c r="K816" s="38" t="str">
        <f aca="false">IF($A816="","",IF(COUNTIF(参数!$B$6:$B$8,$H816)=0,"× 付款方式","√"))</f>
        <v/>
      </c>
    </row>
    <row r="817" customFormat="false" ht="13.5" hidden="false" customHeight="false" outlineLevel="0" collapsed="false">
      <c r="A817" s="41"/>
      <c r="B817" s="42"/>
      <c r="C817" s="36"/>
      <c r="D817" s="35"/>
      <c r="E817" s="36"/>
      <c r="F817" s="36"/>
      <c r="G817" s="37"/>
      <c r="H817" s="35"/>
      <c r="I817" s="43" t="str">
        <f aca="false">IF($A817="","",COUNTIFS($A$2:$A817,$A817))</f>
        <v/>
      </c>
      <c r="J817" s="43" t="str">
        <f aca="false">IF($A817="","",$A817&amp;"-"&amp;$I817)</f>
        <v/>
      </c>
      <c r="K817" s="38" t="str">
        <f aca="false">IF($A817="","",IF(COUNTIF(参数!$B$6:$B$8,$H817)=0,"× 付款方式","√"))</f>
        <v/>
      </c>
    </row>
    <row r="818" customFormat="false" ht="13.5" hidden="false" customHeight="false" outlineLevel="0" collapsed="false">
      <c r="A818" s="41"/>
      <c r="B818" s="42"/>
      <c r="C818" s="36"/>
      <c r="D818" s="35"/>
      <c r="E818" s="36"/>
      <c r="F818" s="36"/>
      <c r="G818" s="37"/>
      <c r="H818" s="35"/>
      <c r="I818" s="43" t="str">
        <f aca="false">IF($A818="","",COUNTIFS($A$2:$A818,$A818))</f>
        <v/>
      </c>
      <c r="J818" s="43" t="str">
        <f aca="false">IF($A818="","",$A818&amp;"-"&amp;$I818)</f>
        <v/>
      </c>
      <c r="K818" s="38" t="str">
        <f aca="false">IF($A818="","",IF(COUNTIF(参数!$B$6:$B$8,$H818)=0,"× 付款方式","√"))</f>
        <v/>
      </c>
    </row>
    <row r="819" customFormat="false" ht="13.5" hidden="false" customHeight="false" outlineLevel="0" collapsed="false">
      <c r="A819" s="41"/>
      <c r="B819" s="42"/>
      <c r="C819" s="36"/>
      <c r="D819" s="35"/>
      <c r="E819" s="36"/>
      <c r="F819" s="36"/>
      <c r="G819" s="37"/>
      <c r="H819" s="35"/>
      <c r="I819" s="43" t="str">
        <f aca="false">IF($A819="","",COUNTIFS($A$2:$A819,$A819))</f>
        <v/>
      </c>
      <c r="J819" s="43" t="str">
        <f aca="false">IF($A819="","",$A819&amp;"-"&amp;$I819)</f>
        <v/>
      </c>
      <c r="K819" s="38" t="str">
        <f aca="false">IF($A819="","",IF(COUNTIF(参数!$B$6:$B$8,$H819)=0,"× 付款方式","√"))</f>
        <v/>
      </c>
    </row>
    <row r="820" customFormat="false" ht="13.5" hidden="false" customHeight="false" outlineLevel="0" collapsed="false">
      <c r="A820" s="41"/>
      <c r="B820" s="42"/>
      <c r="C820" s="36"/>
      <c r="D820" s="35"/>
      <c r="E820" s="36"/>
      <c r="F820" s="36"/>
      <c r="G820" s="37"/>
      <c r="H820" s="35"/>
      <c r="I820" s="43" t="str">
        <f aca="false">IF($A820="","",COUNTIFS($A$2:$A820,$A820))</f>
        <v/>
      </c>
      <c r="J820" s="43" t="str">
        <f aca="false">IF($A820="","",$A820&amp;"-"&amp;$I820)</f>
        <v/>
      </c>
      <c r="K820" s="38" t="str">
        <f aca="false">IF($A820="","",IF(COUNTIF(参数!$B$6:$B$8,$H820)=0,"× 付款方式","√"))</f>
        <v/>
      </c>
    </row>
    <row r="821" customFormat="false" ht="13.5" hidden="false" customHeight="false" outlineLevel="0" collapsed="false">
      <c r="A821" s="41"/>
      <c r="B821" s="42"/>
      <c r="C821" s="36"/>
      <c r="D821" s="35"/>
      <c r="E821" s="36"/>
      <c r="F821" s="36"/>
      <c r="G821" s="37"/>
      <c r="H821" s="35"/>
      <c r="I821" s="43" t="str">
        <f aca="false">IF($A821="","",COUNTIFS($A$2:$A821,$A821))</f>
        <v/>
      </c>
      <c r="J821" s="43" t="str">
        <f aca="false">IF($A821="","",$A821&amp;"-"&amp;$I821)</f>
        <v/>
      </c>
      <c r="K821" s="38" t="str">
        <f aca="false">IF($A821="","",IF(COUNTIF(参数!$B$6:$B$8,$H821)=0,"× 付款方式","√"))</f>
        <v/>
      </c>
    </row>
    <row r="822" customFormat="false" ht="13.5" hidden="false" customHeight="false" outlineLevel="0" collapsed="false">
      <c r="A822" s="41"/>
      <c r="B822" s="42"/>
      <c r="C822" s="36"/>
      <c r="D822" s="35"/>
      <c r="E822" s="36"/>
      <c r="F822" s="36"/>
      <c r="G822" s="37"/>
      <c r="H822" s="35"/>
      <c r="I822" s="43" t="str">
        <f aca="false">IF($A822="","",COUNTIFS($A$2:$A822,$A822))</f>
        <v/>
      </c>
      <c r="J822" s="43" t="str">
        <f aca="false">IF($A822="","",$A822&amp;"-"&amp;$I822)</f>
        <v/>
      </c>
      <c r="K822" s="38" t="str">
        <f aca="false">IF($A822="","",IF(COUNTIF(参数!$B$6:$B$8,$H822)=0,"× 付款方式","√"))</f>
        <v/>
      </c>
    </row>
    <row r="823" customFormat="false" ht="13.5" hidden="false" customHeight="false" outlineLevel="0" collapsed="false">
      <c r="A823" s="41"/>
      <c r="B823" s="42"/>
      <c r="C823" s="36"/>
      <c r="D823" s="35"/>
      <c r="E823" s="36"/>
      <c r="F823" s="36"/>
      <c r="G823" s="37"/>
      <c r="H823" s="35"/>
      <c r="I823" s="43" t="str">
        <f aca="false">IF($A823="","",COUNTIFS($A$2:$A823,$A823))</f>
        <v/>
      </c>
      <c r="J823" s="43" t="str">
        <f aca="false">IF($A823="","",$A823&amp;"-"&amp;$I823)</f>
        <v/>
      </c>
      <c r="K823" s="38" t="str">
        <f aca="false">IF($A823="","",IF(COUNTIF(参数!$B$6:$B$8,$H823)=0,"× 付款方式","√"))</f>
        <v/>
      </c>
    </row>
    <row r="824" customFormat="false" ht="13.5" hidden="false" customHeight="false" outlineLevel="0" collapsed="false">
      <c r="A824" s="41"/>
      <c r="B824" s="42"/>
      <c r="C824" s="36"/>
      <c r="D824" s="35"/>
      <c r="E824" s="36"/>
      <c r="F824" s="36"/>
      <c r="G824" s="37"/>
      <c r="H824" s="35"/>
      <c r="I824" s="43" t="str">
        <f aca="false">IF($A824="","",COUNTIFS($A$2:$A824,$A824))</f>
        <v/>
      </c>
      <c r="J824" s="43" t="str">
        <f aca="false">IF($A824="","",$A824&amp;"-"&amp;$I824)</f>
        <v/>
      </c>
      <c r="K824" s="38" t="str">
        <f aca="false">IF($A824="","",IF(COUNTIF(参数!$B$6:$B$8,$H824)=0,"× 付款方式","√"))</f>
        <v/>
      </c>
    </row>
    <row r="825" customFormat="false" ht="13.5" hidden="false" customHeight="false" outlineLevel="0" collapsed="false">
      <c r="A825" s="41"/>
      <c r="B825" s="42"/>
      <c r="C825" s="36"/>
      <c r="D825" s="35"/>
      <c r="E825" s="36"/>
      <c r="F825" s="36"/>
      <c r="G825" s="37"/>
      <c r="H825" s="35"/>
      <c r="I825" s="43" t="str">
        <f aca="false">IF($A825="","",COUNTIFS($A$2:$A825,$A825))</f>
        <v/>
      </c>
      <c r="J825" s="43" t="str">
        <f aca="false">IF($A825="","",$A825&amp;"-"&amp;$I825)</f>
        <v/>
      </c>
      <c r="K825" s="38" t="str">
        <f aca="false">IF($A825="","",IF(COUNTIF(参数!$B$6:$B$8,$H825)=0,"× 付款方式","√"))</f>
        <v/>
      </c>
    </row>
    <row r="826" customFormat="false" ht="13.5" hidden="false" customHeight="false" outlineLevel="0" collapsed="false">
      <c r="A826" s="41"/>
      <c r="B826" s="42"/>
      <c r="C826" s="36"/>
      <c r="D826" s="35"/>
      <c r="E826" s="36"/>
      <c r="F826" s="36"/>
      <c r="G826" s="37"/>
      <c r="H826" s="35"/>
      <c r="I826" s="43" t="str">
        <f aca="false">IF($A826="","",COUNTIFS($A$2:$A826,$A826))</f>
        <v/>
      </c>
      <c r="J826" s="43" t="str">
        <f aca="false">IF($A826="","",$A826&amp;"-"&amp;$I826)</f>
        <v/>
      </c>
      <c r="K826" s="38" t="str">
        <f aca="false">IF($A826="","",IF(COUNTIF(参数!$B$6:$B$8,$H826)=0,"× 付款方式","√"))</f>
        <v/>
      </c>
    </row>
    <row r="827" customFormat="false" ht="13.5" hidden="false" customHeight="false" outlineLevel="0" collapsed="false">
      <c r="A827" s="41"/>
      <c r="B827" s="42"/>
      <c r="C827" s="36"/>
      <c r="D827" s="35"/>
      <c r="E827" s="36"/>
      <c r="F827" s="36"/>
      <c r="G827" s="37"/>
      <c r="H827" s="35"/>
      <c r="I827" s="43" t="str">
        <f aca="false">IF($A827="","",COUNTIFS($A$2:$A827,$A827))</f>
        <v/>
      </c>
      <c r="J827" s="43" t="str">
        <f aca="false">IF($A827="","",$A827&amp;"-"&amp;$I827)</f>
        <v/>
      </c>
      <c r="K827" s="38" t="str">
        <f aca="false">IF($A827="","",IF(COUNTIF(参数!$B$6:$B$8,$H827)=0,"× 付款方式","√"))</f>
        <v/>
      </c>
    </row>
    <row r="828" customFormat="false" ht="13.5" hidden="false" customHeight="false" outlineLevel="0" collapsed="false">
      <c r="A828" s="41"/>
      <c r="B828" s="42"/>
      <c r="C828" s="36"/>
      <c r="D828" s="35"/>
      <c r="E828" s="36"/>
      <c r="F828" s="36"/>
      <c r="G828" s="37"/>
      <c r="H828" s="35"/>
      <c r="I828" s="43" t="str">
        <f aca="false">IF($A828="","",COUNTIFS($A$2:$A828,$A828))</f>
        <v/>
      </c>
      <c r="J828" s="43" t="str">
        <f aca="false">IF($A828="","",$A828&amp;"-"&amp;$I828)</f>
        <v/>
      </c>
      <c r="K828" s="38" t="str">
        <f aca="false">IF($A828="","",IF(COUNTIF(参数!$B$6:$B$8,$H828)=0,"× 付款方式","√"))</f>
        <v/>
      </c>
    </row>
    <row r="829" customFormat="false" ht="13.5" hidden="false" customHeight="false" outlineLevel="0" collapsed="false">
      <c r="A829" s="41"/>
      <c r="B829" s="42"/>
      <c r="C829" s="36"/>
      <c r="D829" s="35"/>
      <c r="E829" s="36"/>
      <c r="F829" s="36"/>
      <c r="G829" s="37"/>
      <c r="H829" s="35"/>
      <c r="I829" s="43" t="str">
        <f aca="false">IF($A829="","",COUNTIFS($A$2:$A829,$A829))</f>
        <v/>
      </c>
      <c r="J829" s="43" t="str">
        <f aca="false">IF($A829="","",$A829&amp;"-"&amp;$I829)</f>
        <v/>
      </c>
      <c r="K829" s="38" t="str">
        <f aca="false">IF($A829="","",IF(COUNTIF(参数!$B$6:$B$8,$H829)=0,"× 付款方式","√"))</f>
        <v/>
      </c>
    </row>
    <row r="830" customFormat="false" ht="13.5" hidden="false" customHeight="false" outlineLevel="0" collapsed="false">
      <c r="A830" s="41"/>
      <c r="B830" s="42"/>
      <c r="C830" s="36"/>
      <c r="D830" s="35"/>
      <c r="E830" s="36"/>
      <c r="F830" s="36"/>
      <c r="G830" s="37"/>
      <c r="H830" s="35"/>
      <c r="I830" s="43" t="str">
        <f aca="false">IF($A830="","",COUNTIFS($A$2:$A830,$A830))</f>
        <v/>
      </c>
      <c r="J830" s="43" t="str">
        <f aca="false">IF($A830="","",$A830&amp;"-"&amp;$I830)</f>
        <v/>
      </c>
      <c r="K830" s="38" t="str">
        <f aca="false">IF($A830="","",IF(COUNTIF(参数!$B$6:$B$8,$H830)=0,"× 付款方式","√"))</f>
        <v/>
      </c>
    </row>
    <row r="831" customFormat="false" ht="13.5" hidden="false" customHeight="false" outlineLevel="0" collapsed="false">
      <c r="A831" s="41"/>
      <c r="B831" s="42"/>
      <c r="C831" s="36"/>
      <c r="D831" s="35"/>
      <c r="E831" s="36"/>
      <c r="F831" s="36"/>
      <c r="G831" s="37"/>
      <c r="H831" s="35"/>
      <c r="I831" s="43" t="str">
        <f aca="false">IF($A831="","",COUNTIFS($A$2:$A831,$A831))</f>
        <v/>
      </c>
      <c r="J831" s="43" t="str">
        <f aca="false">IF($A831="","",$A831&amp;"-"&amp;$I831)</f>
        <v/>
      </c>
      <c r="K831" s="38" t="str">
        <f aca="false">IF($A831="","",IF(COUNTIF(参数!$B$6:$B$8,$H831)=0,"× 付款方式","√"))</f>
        <v/>
      </c>
    </row>
    <row r="832" customFormat="false" ht="13.5" hidden="false" customHeight="false" outlineLevel="0" collapsed="false">
      <c r="A832" s="41"/>
      <c r="B832" s="42"/>
      <c r="C832" s="36"/>
      <c r="D832" s="35"/>
      <c r="E832" s="36"/>
      <c r="F832" s="36"/>
      <c r="G832" s="37"/>
      <c r="H832" s="35"/>
      <c r="I832" s="43" t="str">
        <f aca="false">IF($A832="","",COUNTIFS($A$2:$A832,$A832))</f>
        <v/>
      </c>
      <c r="J832" s="43" t="str">
        <f aca="false">IF($A832="","",$A832&amp;"-"&amp;$I832)</f>
        <v/>
      </c>
      <c r="K832" s="38" t="str">
        <f aca="false">IF($A832="","",IF(COUNTIF(参数!$B$6:$B$8,$H832)=0,"× 付款方式","√"))</f>
        <v/>
      </c>
    </row>
    <row r="833" customFormat="false" ht="13.5" hidden="false" customHeight="false" outlineLevel="0" collapsed="false">
      <c r="A833" s="41"/>
      <c r="B833" s="42"/>
      <c r="C833" s="36"/>
      <c r="D833" s="35"/>
      <c r="E833" s="36"/>
      <c r="F833" s="36"/>
      <c r="G833" s="37"/>
      <c r="H833" s="35"/>
      <c r="I833" s="43" t="str">
        <f aca="false">IF($A833="","",COUNTIFS($A$2:$A833,$A833))</f>
        <v/>
      </c>
      <c r="J833" s="43" t="str">
        <f aca="false">IF($A833="","",$A833&amp;"-"&amp;$I833)</f>
        <v/>
      </c>
      <c r="K833" s="38" t="str">
        <f aca="false">IF($A833="","",IF(COUNTIF(参数!$B$6:$B$8,$H833)=0,"× 付款方式","√"))</f>
        <v/>
      </c>
    </row>
    <row r="834" customFormat="false" ht="13.5" hidden="false" customHeight="false" outlineLevel="0" collapsed="false">
      <c r="A834" s="41"/>
      <c r="B834" s="42"/>
      <c r="C834" s="36"/>
      <c r="D834" s="35"/>
      <c r="E834" s="36"/>
      <c r="F834" s="36"/>
      <c r="G834" s="37"/>
      <c r="H834" s="35"/>
      <c r="I834" s="43" t="str">
        <f aca="false">IF($A834="","",COUNTIFS($A$2:$A834,$A834))</f>
        <v/>
      </c>
      <c r="J834" s="43" t="str">
        <f aca="false">IF($A834="","",$A834&amp;"-"&amp;$I834)</f>
        <v/>
      </c>
      <c r="K834" s="38" t="str">
        <f aca="false">IF($A834="","",IF(COUNTIF(参数!$B$6:$B$8,$H834)=0,"× 付款方式","√"))</f>
        <v/>
      </c>
    </row>
    <row r="835" customFormat="false" ht="13.5" hidden="false" customHeight="false" outlineLevel="0" collapsed="false">
      <c r="A835" s="41"/>
      <c r="B835" s="42"/>
      <c r="C835" s="36"/>
      <c r="D835" s="35"/>
      <c r="E835" s="36"/>
      <c r="F835" s="36"/>
      <c r="G835" s="37"/>
      <c r="H835" s="35"/>
      <c r="I835" s="43" t="str">
        <f aca="false">IF($A835="","",COUNTIFS($A$2:$A835,$A835))</f>
        <v/>
      </c>
      <c r="J835" s="43" t="str">
        <f aca="false">IF($A835="","",$A835&amp;"-"&amp;$I835)</f>
        <v/>
      </c>
      <c r="K835" s="38" t="str">
        <f aca="false">IF($A835="","",IF(COUNTIF(参数!$B$6:$B$8,$H835)=0,"× 付款方式","√"))</f>
        <v/>
      </c>
    </row>
    <row r="836" customFormat="false" ht="13.5" hidden="false" customHeight="false" outlineLevel="0" collapsed="false">
      <c r="A836" s="41"/>
      <c r="B836" s="42"/>
      <c r="C836" s="36"/>
      <c r="D836" s="35"/>
      <c r="E836" s="36"/>
      <c r="F836" s="36"/>
      <c r="G836" s="37"/>
      <c r="H836" s="35"/>
      <c r="I836" s="43" t="str">
        <f aca="false">IF($A836="","",COUNTIFS($A$2:$A836,$A836))</f>
        <v/>
      </c>
      <c r="J836" s="43" t="str">
        <f aca="false">IF($A836="","",$A836&amp;"-"&amp;$I836)</f>
        <v/>
      </c>
      <c r="K836" s="38" t="str">
        <f aca="false">IF($A836="","",IF(COUNTIF(参数!$B$6:$B$8,$H836)=0,"× 付款方式","√"))</f>
        <v/>
      </c>
    </row>
    <row r="837" customFormat="false" ht="13.5" hidden="false" customHeight="false" outlineLevel="0" collapsed="false">
      <c r="A837" s="41"/>
      <c r="B837" s="42"/>
      <c r="C837" s="36"/>
      <c r="D837" s="35"/>
      <c r="E837" s="36"/>
      <c r="F837" s="36"/>
      <c r="G837" s="37"/>
      <c r="H837" s="35"/>
      <c r="I837" s="43" t="str">
        <f aca="false">IF($A837="","",COUNTIFS($A$2:$A837,$A837))</f>
        <v/>
      </c>
      <c r="J837" s="43" t="str">
        <f aca="false">IF($A837="","",$A837&amp;"-"&amp;$I837)</f>
        <v/>
      </c>
      <c r="K837" s="38" t="str">
        <f aca="false">IF($A837="","",IF(COUNTIF(参数!$B$6:$B$8,$H837)=0,"× 付款方式","√"))</f>
        <v/>
      </c>
    </row>
    <row r="838" customFormat="false" ht="13.5" hidden="false" customHeight="false" outlineLevel="0" collapsed="false">
      <c r="A838" s="41"/>
      <c r="B838" s="42"/>
      <c r="C838" s="36"/>
      <c r="D838" s="35"/>
      <c r="E838" s="36"/>
      <c r="F838" s="36"/>
      <c r="G838" s="37"/>
      <c r="H838" s="35"/>
      <c r="I838" s="43" t="str">
        <f aca="false">IF($A838="","",COUNTIFS($A$2:$A838,$A838))</f>
        <v/>
      </c>
      <c r="J838" s="43" t="str">
        <f aca="false">IF($A838="","",$A838&amp;"-"&amp;$I838)</f>
        <v/>
      </c>
      <c r="K838" s="38" t="str">
        <f aca="false">IF($A838="","",IF(COUNTIF(参数!$B$6:$B$8,$H838)=0,"× 付款方式","√"))</f>
        <v/>
      </c>
    </row>
    <row r="839" customFormat="false" ht="13.5" hidden="false" customHeight="false" outlineLevel="0" collapsed="false">
      <c r="A839" s="41"/>
      <c r="B839" s="42"/>
      <c r="C839" s="36"/>
      <c r="D839" s="35"/>
      <c r="E839" s="36"/>
      <c r="F839" s="36"/>
      <c r="G839" s="37"/>
      <c r="H839" s="35"/>
      <c r="I839" s="43" t="str">
        <f aca="false">IF($A839="","",COUNTIFS($A$2:$A839,$A839))</f>
        <v/>
      </c>
      <c r="J839" s="43" t="str">
        <f aca="false">IF($A839="","",$A839&amp;"-"&amp;$I839)</f>
        <v/>
      </c>
      <c r="K839" s="38" t="str">
        <f aca="false">IF($A839="","",IF(COUNTIF(参数!$B$6:$B$8,$H839)=0,"× 付款方式","√"))</f>
        <v/>
      </c>
    </row>
    <row r="840" customFormat="false" ht="13.5" hidden="false" customHeight="false" outlineLevel="0" collapsed="false">
      <c r="A840" s="41"/>
      <c r="B840" s="42"/>
      <c r="C840" s="36"/>
      <c r="D840" s="35"/>
      <c r="E840" s="36"/>
      <c r="F840" s="36"/>
      <c r="G840" s="37"/>
      <c r="H840" s="35"/>
      <c r="I840" s="43" t="str">
        <f aca="false">IF($A840="","",COUNTIFS($A$2:$A840,$A840))</f>
        <v/>
      </c>
      <c r="J840" s="43" t="str">
        <f aca="false">IF($A840="","",$A840&amp;"-"&amp;$I840)</f>
        <v/>
      </c>
      <c r="K840" s="38" t="str">
        <f aca="false">IF($A840="","",IF(COUNTIF(参数!$B$6:$B$8,$H840)=0,"× 付款方式","√"))</f>
        <v/>
      </c>
    </row>
    <row r="841" customFormat="false" ht="13.5" hidden="false" customHeight="false" outlineLevel="0" collapsed="false">
      <c r="A841" s="41"/>
      <c r="B841" s="42"/>
      <c r="C841" s="36"/>
      <c r="D841" s="35"/>
      <c r="E841" s="36"/>
      <c r="F841" s="36"/>
      <c r="G841" s="37"/>
      <c r="H841" s="35"/>
      <c r="I841" s="43" t="str">
        <f aca="false">IF($A841="","",COUNTIFS($A$2:$A841,$A841))</f>
        <v/>
      </c>
      <c r="J841" s="43" t="str">
        <f aca="false">IF($A841="","",$A841&amp;"-"&amp;$I841)</f>
        <v/>
      </c>
      <c r="K841" s="38" t="str">
        <f aca="false">IF($A841="","",IF(COUNTIF(参数!$B$6:$B$8,$H841)=0,"× 付款方式","√"))</f>
        <v/>
      </c>
    </row>
    <row r="842" customFormat="false" ht="13.5" hidden="false" customHeight="false" outlineLevel="0" collapsed="false">
      <c r="A842" s="41"/>
      <c r="B842" s="42"/>
      <c r="C842" s="36"/>
      <c r="D842" s="35"/>
      <c r="E842" s="36"/>
      <c r="F842" s="36"/>
      <c r="G842" s="37"/>
      <c r="H842" s="35"/>
      <c r="I842" s="43" t="str">
        <f aca="false">IF($A842="","",COUNTIFS($A$2:$A842,$A842))</f>
        <v/>
      </c>
      <c r="J842" s="43" t="str">
        <f aca="false">IF($A842="","",$A842&amp;"-"&amp;$I842)</f>
        <v/>
      </c>
      <c r="K842" s="38" t="str">
        <f aca="false">IF($A842="","",IF(COUNTIF(参数!$B$6:$B$8,$H842)=0,"× 付款方式","√"))</f>
        <v/>
      </c>
    </row>
    <row r="843" customFormat="false" ht="13.5" hidden="false" customHeight="false" outlineLevel="0" collapsed="false">
      <c r="A843" s="41"/>
      <c r="B843" s="42"/>
      <c r="C843" s="36"/>
      <c r="D843" s="35"/>
      <c r="E843" s="36"/>
      <c r="F843" s="36"/>
      <c r="G843" s="37"/>
      <c r="H843" s="35"/>
      <c r="I843" s="43" t="str">
        <f aca="false">IF($A843="","",COUNTIFS($A$2:$A843,$A843))</f>
        <v/>
      </c>
      <c r="J843" s="43" t="str">
        <f aca="false">IF($A843="","",$A843&amp;"-"&amp;$I843)</f>
        <v/>
      </c>
      <c r="K843" s="38" t="str">
        <f aca="false">IF($A843="","",IF(COUNTIF(参数!$B$6:$B$8,$H843)=0,"× 付款方式","√"))</f>
        <v/>
      </c>
    </row>
    <row r="844" customFormat="false" ht="13.5" hidden="false" customHeight="false" outlineLevel="0" collapsed="false">
      <c r="A844" s="41"/>
      <c r="B844" s="42"/>
      <c r="C844" s="36"/>
      <c r="D844" s="35"/>
      <c r="E844" s="36"/>
      <c r="F844" s="36"/>
      <c r="G844" s="37"/>
      <c r="H844" s="35"/>
      <c r="I844" s="43" t="str">
        <f aca="false">IF($A844="","",COUNTIFS($A$2:$A844,$A844))</f>
        <v/>
      </c>
      <c r="J844" s="43" t="str">
        <f aca="false">IF($A844="","",$A844&amp;"-"&amp;$I844)</f>
        <v/>
      </c>
      <c r="K844" s="38" t="str">
        <f aca="false">IF($A844="","",IF(COUNTIF(参数!$B$6:$B$8,$H844)=0,"× 付款方式","√"))</f>
        <v/>
      </c>
    </row>
    <row r="845" customFormat="false" ht="13.5" hidden="false" customHeight="false" outlineLevel="0" collapsed="false">
      <c r="A845" s="41"/>
      <c r="B845" s="42"/>
      <c r="C845" s="36"/>
      <c r="D845" s="35"/>
      <c r="E845" s="36"/>
      <c r="F845" s="36"/>
      <c r="G845" s="37"/>
      <c r="H845" s="35"/>
      <c r="I845" s="43" t="str">
        <f aca="false">IF($A845="","",COUNTIFS($A$2:$A845,$A845))</f>
        <v/>
      </c>
      <c r="J845" s="43" t="str">
        <f aca="false">IF($A845="","",$A845&amp;"-"&amp;$I845)</f>
        <v/>
      </c>
      <c r="K845" s="38" t="str">
        <f aca="false">IF($A845="","",IF(COUNTIF(参数!$B$6:$B$8,$H845)=0,"× 付款方式","√"))</f>
        <v/>
      </c>
    </row>
    <row r="846" customFormat="false" ht="13.5" hidden="false" customHeight="false" outlineLevel="0" collapsed="false">
      <c r="A846" s="41"/>
      <c r="B846" s="42"/>
      <c r="C846" s="36"/>
      <c r="D846" s="35"/>
      <c r="E846" s="36"/>
      <c r="F846" s="36"/>
      <c r="G846" s="37"/>
      <c r="H846" s="35"/>
      <c r="I846" s="43" t="str">
        <f aca="false">IF($A846="","",COUNTIFS($A$2:$A846,$A846))</f>
        <v/>
      </c>
      <c r="J846" s="43" t="str">
        <f aca="false">IF($A846="","",$A846&amp;"-"&amp;$I846)</f>
        <v/>
      </c>
      <c r="K846" s="38" t="str">
        <f aca="false">IF($A846="","",IF(COUNTIF(参数!$B$6:$B$8,$H846)=0,"× 付款方式","√"))</f>
        <v/>
      </c>
    </row>
    <row r="847" customFormat="false" ht="13.5" hidden="false" customHeight="false" outlineLevel="0" collapsed="false">
      <c r="A847" s="41"/>
      <c r="B847" s="42"/>
      <c r="C847" s="36"/>
      <c r="D847" s="35"/>
      <c r="E847" s="36"/>
      <c r="F847" s="36"/>
      <c r="G847" s="37"/>
      <c r="H847" s="35"/>
      <c r="I847" s="43" t="str">
        <f aca="false">IF($A847="","",COUNTIFS($A$2:$A847,$A847))</f>
        <v/>
      </c>
      <c r="J847" s="43" t="str">
        <f aca="false">IF($A847="","",$A847&amp;"-"&amp;$I847)</f>
        <v/>
      </c>
      <c r="K847" s="38" t="str">
        <f aca="false">IF($A847="","",IF(COUNTIF(参数!$B$6:$B$8,$H847)=0,"× 付款方式","√"))</f>
        <v/>
      </c>
    </row>
    <row r="848" customFormat="false" ht="13.5" hidden="false" customHeight="false" outlineLevel="0" collapsed="false">
      <c r="A848" s="41"/>
      <c r="B848" s="42"/>
      <c r="C848" s="36"/>
      <c r="D848" s="35"/>
      <c r="E848" s="36"/>
      <c r="F848" s="36"/>
      <c r="G848" s="37"/>
      <c r="H848" s="35"/>
      <c r="I848" s="43" t="str">
        <f aca="false">IF($A848="","",COUNTIFS($A$2:$A848,$A848))</f>
        <v/>
      </c>
      <c r="J848" s="43" t="str">
        <f aca="false">IF($A848="","",$A848&amp;"-"&amp;$I848)</f>
        <v/>
      </c>
      <c r="K848" s="38" t="str">
        <f aca="false">IF($A848="","",IF(COUNTIF(参数!$B$6:$B$8,$H848)=0,"× 付款方式","√"))</f>
        <v/>
      </c>
    </row>
    <row r="849" customFormat="false" ht="13.5" hidden="false" customHeight="false" outlineLevel="0" collapsed="false">
      <c r="A849" s="41"/>
      <c r="B849" s="42"/>
      <c r="C849" s="36"/>
      <c r="D849" s="35"/>
      <c r="E849" s="36"/>
      <c r="F849" s="36"/>
      <c r="G849" s="37"/>
      <c r="H849" s="35"/>
      <c r="I849" s="43" t="str">
        <f aca="false">IF($A849="","",COUNTIFS($A$2:$A849,$A849))</f>
        <v/>
      </c>
      <c r="J849" s="43" t="str">
        <f aca="false">IF($A849="","",$A849&amp;"-"&amp;$I849)</f>
        <v/>
      </c>
      <c r="K849" s="38" t="str">
        <f aca="false">IF($A849="","",IF(COUNTIF(参数!$B$6:$B$8,$H849)=0,"× 付款方式","√"))</f>
        <v/>
      </c>
    </row>
    <row r="850" customFormat="false" ht="13.5" hidden="false" customHeight="false" outlineLevel="0" collapsed="false">
      <c r="A850" s="41"/>
      <c r="B850" s="42"/>
      <c r="C850" s="36"/>
      <c r="D850" s="35"/>
      <c r="E850" s="36"/>
      <c r="F850" s="36"/>
      <c r="G850" s="37"/>
      <c r="H850" s="35"/>
      <c r="I850" s="43" t="str">
        <f aca="false">IF($A850="","",COUNTIFS($A$2:$A850,$A850))</f>
        <v/>
      </c>
      <c r="J850" s="43" t="str">
        <f aca="false">IF($A850="","",$A850&amp;"-"&amp;$I850)</f>
        <v/>
      </c>
      <c r="K850" s="38" t="str">
        <f aca="false">IF($A850="","",IF(COUNTIF(参数!$B$6:$B$8,$H850)=0,"× 付款方式","√"))</f>
        <v/>
      </c>
    </row>
    <row r="851" customFormat="false" ht="13.5" hidden="false" customHeight="false" outlineLevel="0" collapsed="false">
      <c r="A851" s="41"/>
      <c r="B851" s="42"/>
      <c r="C851" s="36"/>
      <c r="D851" s="35"/>
      <c r="E851" s="36"/>
      <c r="F851" s="36"/>
      <c r="G851" s="37"/>
      <c r="H851" s="35"/>
      <c r="I851" s="43" t="str">
        <f aca="false">IF($A851="","",COUNTIFS($A$2:$A851,$A851))</f>
        <v/>
      </c>
      <c r="J851" s="43" t="str">
        <f aca="false">IF($A851="","",$A851&amp;"-"&amp;$I851)</f>
        <v/>
      </c>
      <c r="K851" s="38" t="str">
        <f aca="false">IF($A851="","",IF(COUNTIF(参数!$B$6:$B$8,$H851)=0,"× 付款方式","√"))</f>
        <v/>
      </c>
    </row>
    <row r="852" customFormat="false" ht="13.5" hidden="false" customHeight="false" outlineLevel="0" collapsed="false">
      <c r="A852" s="41"/>
      <c r="B852" s="42"/>
      <c r="C852" s="36"/>
      <c r="D852" s="35"/>
      <c r="E852" s="36"/>
      <c r="F852" s="36"/>
      <c r="G852" s="37"/>
      <c r="H852" s="35"/>
      <c r="I852" s="43" t="str">
        <f aca="false">IF($A852="","",COUNTIFS($A$2:$A852,$A852))</f>
        <v/>
      </c>
      <c r="J852" s="43" t="str">
        <f aca="false">IF($A852="","",$A852&amp;"-"&amp;$I852)</f>
        <v/>
      </c>
      <c r="K852" s="38" t="str">
        <f aca="false">IF($A852="","",IF(COUNTIF(参数!$B$6:$B$8,$H852)=0,"× 付款方式","√"))</f>
        <v/>
      </c>
    </row>
    <row r="853" customFormat="false" ht="13.5" hidden="false" customHeight="false" outlineLevel="0" collapsed="false">
      <c r="A853" s="41"/>
      <c r="B853" s="42"/>
      <c r="C853" s="36"/>
      <c r="D853" s="35"/>
      <c r="E853" s="36"/>
      <c r="F853" s="36"/>
      <c r="G853" s="37"/>
      <c r="H853" s="35"/>
      <c r="I853" s="43" t="str">
        <f aca="false">IF($A853="","",COUNTIFS($A$2:$A853,$A853))</f>
        <v/>
      </c>
      <c r="J853" s="43" t="str">
        <f aca="false">IF($A853="","",$A853&amp;"-"&amp;$I853)</f>
        <v/>
      </c>
      <c r="K853" s="38" t="str">
        <f aca="false">IF($A853="","",IF(COUNTIF(参数!$B$6:$B$8,$H853)=0,"× 付款方式","√"))</f>
        <v/>
      </c>
    </row>
    <row r="854" customFormat="false" ht="13.5" hidden="false" customHeight="false" outlineLevel="0" collapsed="false">
      <c r="A854" s="41"/>
      <c r="B854" s="42"/>
      <c r="C854" s="36"/>
      <c r="D854" s="35"/>
      <c r="E854" s="36"/>
      <c r="F854" s="36"/>
      <c r="G854" s="37"/>
      <c r="H854" s="35"/>
      <c r="I854" s="43" t="str">
        <f aca="false">IF($A854="","",COUNTIFS($A$2:$A854,$A854))</f>
        <v/>
      </c>
      <c r="J854" s="43" t="str">
        <f aca="false">IF($A854="","",$A854&amp;"-"&amp;$I854)</f>
        <v/>
      </c>
      <c r="K854" s="38" t="str">
        <f aca="false">IF($A854="","",IF(COUNTIF(参数!$B$6:$B$8,$H854)=0,"× 付款方式","√"))</f>
        <v/>
      </c>
    </row>
    <row r="855" customFormat="false" ht="13.5" hidden="false" customHeight="false" outlineLevel="0" collapsed="false">
      <c r="A855" s="41"/>
      <c r="B855" s="42"/>
      <c r="C855" s="36"/>
      <c r="D855" s="35"/>
      <c r="E855" s="36"/>
      <c r="F855" s="36"/>
      <c r="G855" s="37"/>
      <c r="H855" s="35"/>
      <c r="I855" s="43" t="str">
        <f aca="false">IF($A855="","",COUNTIFS($A$2:$A855,$A855))</f>
        <v/>
      </c>
      <c r="J855" s="43" t="str">
        <f aca="false">IF($A855="","",$A855&amp;"-"&amp;$I855)</f>
        <v/>
      </c>
      <c r="K855" s="38" t="str">
        <f aca="false">IF($A855="","",IF(COUNTIF(参数!$B$6:$B$8,$H855)=0,"× 付款方式","√"))</f>
        <v/>
      </c>
    </row>
    <row r="856" customFormat="false" ht="13.5" hidden="false" customHeight="false" outlineLevel="0" collapsed="false">
      <c r="A856" s="41"/>
      <c r="B856" s="42"/>
      <c r="C856" s="36"/>
      <c r="D856" s="35"/>
      <c r="E856" s="36"/>
      <c r="F856" s="36"/>
      <c r="G856" s="37"/>
      <c r="H856" s="35"/>
      <c r="I856" s="43" t="str">
        <f aca="false">IF($A856="","",COUNTIFS($A$2:$A856,$A856))</f>
        <v/>
      </c>
      <c r="J856" s="43" t="str">
        <f aca="false">IF($A856="","",$A856&amp;"-"&amp;$I856)</f>
        <v/>
      </c>
      <c r="K856" s="38" t="str">
        <f aca="false">IF($A856="","",IF(COUNTIF(参数!$B$6:$B$8,$H856)=0,"× 付款方式","√"))</f>
        <v/>
      </c>
    </row>
    <row r="857" customFormat="false" ht="13.5" hidden="false" customHeight="false" outlineLevel="0" collapsed="false">
      <c r="A857" s="41"/>
      <c r="B857" s="42"/>
      <c r="C857" s="36"/>
      <c r="D857" s="35"/>
      <c r="E857" s="36"/>
      <c r="F857" s="36"/>
      <c r="G857" s="37"/>
      <c r="H857" s="35"/>
      <c r="I857" s="43" t="str">
        <f aca="false">IF($A857="","",COUNTIFS($A$2:$A857,$A857))</f>
        <v/>
      </c>
      <c r="J857" s="43" t="str">
        <f aca="false">IF($A857="","",$A857&amp;"-"&amp;$I857)</f>
        <v/>
      </c>
      <c r="K857" s="38" t="str">
        <f aca="false">IF($A857="","",IF(COUNTIF(参数!$B$6:$B$8,$H857)=0,"× 付款方式","√"))</f>
        <v/>
      </c>
    </row>
    <row r="858" customFormat="false" ht="13.5" hidden="false" customHeight="false" outlineLevel="0" collapsed="false">
      <c r="A858" s="41"/>
      <c r="B858" s="42"/>
      <c r="C858" s="36"/>
      <c r="D858" s="35"/>
      <c r="E858" s="36"/>
      <c r="F858" s="36"/>
      <c r="G858" s="37"/>
      <c r="H858" s="35"/>
      <c r="I858" s="43" t="str">
        <f aca="false">IF($A858="","",COUNTIFS($A$2:$A858,$A858))</f>
        <v/>
      </c>
      <c r="J858" s="43" t="str">
        <f aca="false">IF($A858="","",$A858&amp;"-"&amp;$I858)</f>
        <v/>
      </c>
      <c r="K858" s="38" t="str">
        <f aca="false">IF($A858="","",IF(COUNTIF(参数!$B$6:$B$8,$H858)=0,"× 付款方式","√"))</f>
        <v/>
      </c>
    </row>
    <row r="859" customFormat="false" ht="13.5" hidden="false" customHeight="false" outlineLevel="0" collapsed="false">
      <c r="A859" s="41"/>
      <c r="B859" s="42"/>
      <c r="C859" s="36"/>
      <c r="D859" s="35"/>
      <c r="E859" s="36"/>
      <c r="F859" s="36"/>
      <c r="G859" s="37"/>
      <c r="H859" s="35"/>
      <c r="I859" s="43" t="str">
        <f aca="false">IF($A859="","",COUNTIFS($A$2:$A859,$A859))</f>
        <v/>
      </c>
      <c r="J859" s="43" t="str">
        <f aca="false">IF($A859="","",$A859&amp;"-"&amp;$I859)</f>
        <v/>
      </c>
      <c r="K859" s="38" t="str">
        <f aca="false">IF($A859="","",IF(COUNTIF(参数!$B$6:$B$8,$H859)=0,"× 付款方式","√"))</f>
        <v/>
      </c>
    </row>
    <row r="860" customFormat="false" ht="13.5" hidden="false" customHeight="false" outlineLevel="0" collapsed="false">
      <c r="A860" s="41"/>
      <c r="B860" s="42"/>
      <c r="C860" s="36"/>
      <c r="D860" s="35"/>
      <c r="E860" s="36"/>
      <c r="F860" s="36"/>
      <c r="G860" s="37"/>
      <c r="H860" s="35"/>
      <c r="I860" s="43" t="str">
        <f aca="false">IF($A860="","",COUNTIFS($A$2:$A860,$A860))</f>
        <v/>
      </c>
      <c r="J860" s="43" t="str">
        <f aca="false">IF($A860="","",$A860&amp;"-"&amp;$I860)</f>
        <v/>
      </c>
      <c r="K860" s="38" t="str">
        <f aca="false">IF($A860="","",IF(COUNTIF(参数!$B$6:$B$8,$H860)=0,"× 付款方式","√"))</f>
        <v/>
      </c>
    </row>
    <row r="861" customFormat="false" ht="13.5" hidden="false" customHeight="false" outlineLevel="0" collapsed="false">
      <c r="A861" s="41"/>
      <c r="B861" s="42"/>
      <c r="C861" s="36"/>
      <c r="D861" s="35"/>
      <c r="E861" s="36"/>
      <c r="F861" s="36"/>
      <c r="G861" s="37"/>
      <c r="H861" s="35"/>
      <c r="I861" s="43" t="str">
        <f aca="false">IF($A861="","",COUNTIFS($A$2:$A861,$A861))</f>
        <v/>
      </c>
      <c r="J861" s="43" t="str">
        <f aca="false">IF($A861="","",$A861&amp;"-"&amp;$I861)</f>
        <v/>
      </c>
      <c r="K861" s="38" t="str">
        <f aca="false">IF($A861="","",IF(COUNTIF(参数!$B$6:$B$8,$H861)=0,"× 付款方式","√"))</f>
        <v/>
      </c>
    </row>
    <row r="862" customFormat="false" ht="13.5" hidden="false" customHeight="false" outlineLevel="0" collapsed="false">
      <c r="A862" s="41"/>
      <c r="B862" s="42"/>
      <c r="C862" s="36"/>
      <c r="D862" s="35"/>
      <c r="E862" s="36"/>
      <c r="F862" s="36"/>
      <c r="G862" s="37"/>
      <c r="H862" s="35"/>
      <c r="I862" s="43" t="str">
        <f aca="false">IF($A862="","",COUNTIFS($A$2:$A862,$A862))</f>
        <v/>
      </c>
      <c r="J862" s="43" t="str">
        <f aca="false">IF($A862="","",$A862&amp;"-"&amp;$I862)</f>
        <v/>
      </c>
      <c r="K862" s="38" t="str">
        <f aca="false">IF($A862="","",IF(COUNTIF(参数!$B$6:$B$8,$H862)=0,"× 付款方式","√"))</f>
        <v/>
      </c>
    </row>
    <row r="863" customFormat="false" ht="13.5" hidden="false" customHeight="false" outlineLevel="0" collapsed="false">
      <c r="A863" s="41"/>
      <c r="B863" s="42"/>
      <c r="C863" s="36"/>
      <c r="D863" s="35"/>
      <c r="E863" s="36"/>
      <c r="F863" s="36"/>
      <c r="G863" s="37"/>
      <c r="H863" s="35"/>
      <c r="I863" s="43" t="str">
        <f aca="false">IF($A863="","",COUNTIFS($A$2:$A863,$A863))</f>
        <v/>
      </c>
      <c r="J863" s="43" t="str">
        <f aca="false">IF($A863="","",$A863&amp;"-"&amp;$I863)</f>
        <v/>
      </c>
      <c r="K863" s="38" t="str">
        <f aca="false">IF($A863="","",IF(COUNTIF(参数!$B$6:$B$8,$H863)=0,"× 付款方式","√"))</f>
        <v/>
      </c>
    </row>
    <row r="864" customFormat="false" ht="13.5" hidden="false" customHeight="false" outlineLevel="0" collapsed="false">
      <c r="A864" s="41"/>
      <c r="B864" s="42"/>
      <c r="C864" s="36"/>
      <c r="D864" s="35"/>
      <c r="E864" s="36"/>
      <c r="F864" s="36"/>
      <c r="G864" s="37"/>
      <c r="H864" s="35"/>
      <c r="I864" s="43" t="str">
        <f aca="false">IF($A864="","",COUNTIFS($A$2:$A864,$A864))</f>
        <v/>
      </c>
      <c r="J864" s="43" t="str">
        <f aca="false">IF($A864="","",$A864&amp;"-"&amp;$I864)</f>
        <v/>
      </c>
      <c r="K864" s="38" t="str">
        <f aca="false">IF($A864="","",IF(COUNTIF(参数!$B$6:$B$8,$H864)=0,"× 付款方式","√"))</f>
        <v/>
      </c>
    </row>
    <row r="865" customFormat="false" ht="13.5" hidden="false" customHeight="false" outlineLevel="0" collapsed="false">
      <c r="A865" s="41"/>
      <c r="B865" s="42"/>
      <c r="C865" s="36"/>
      <c r="D865" s="35"/>
      <c r="E865" s="36"/>
      <c r="F865" s="36"/>
      <c r="G865" s="37"/>
      <c r="H865" s="35"/>
      <c r="I865" s="43" t="str">
        <f aca="false">IF($A865="","",COUNTIFS($A$2:$A865,$A865))</f>
        <v/>
      </c>
      <c r="J865" s="43" t="str">
        <f aca="false">IF($A865="","",$A865&amp;"-"&amp;$I865)</f>
        <v/>
      </c>
      <c r="K865" s="38" t="str">
        <f aca="false">IF($A865="","",IF(COUNTIF(参数!$B$6:$B$8,$H865)=0,"× 付款方式","√"))</f>
        <v/>
      </c>
    </row>
    <row r="866" customFormat="false" ht="13.5" hidden="false" customHeight="false" outlineLevel="0" collapsed="false">
      <c r="A866" s="41"/>
      <c r="B866" s="42"/>
      <c r="C866" s="36"/>
      <c r="D866" s="35"/>
      <c r="E866" s="36"/>
      <c r="F866" s="36"/>
      <c r="G866" s="37"/>
      <c r="H866" s="35"/>
      <c r="I866" s="43" t="str">
        <f aca="false">IF($A866="","",COUNTIFS($A$2:$A866,$A866))</f>
        <v/>
      </c>
      <c r="J866" s="43" t="str">
        <f aca="false">IF($A866="","",$A866&amp;"-"&amp;$I866)</f>
        <v/>
      </c>
      <c r="K866" s="38" t="str">
        <f aca="false">IF($A866="","",IF(COUNTIF(参数!$B$6:$B$8,$H866)=0,"× 付款方式","√"))</f>
        <v/>
      </c>
    </row>
    <row r="867" customFormat="false" ht="13.5" hidden="false" customHeight="false" outlineLevel="0" collapsed="false">
      <c r="A867" s="41"/>
      <c r="B867" s="42"/>
      <c r="C867" s="36"/>
      <c r="D867" s="35"/>
      <c r="E867" s="36"/>
      <c r="F867" s="36"/>
      <c r="G867" s="37"/>
      <c r="H867" s="35"/>
      <c r="I867" s="43" t="str">
        <f aca="false">IF($A867="","",COUNTIFS($A$2:$A867,$A867))</f>
        <v/>
      </c>
      <c r="J867" s="43" t="str">
        <f aca="false">IF($A867="","",$A867&amp;"-"&amp;$I867)</f>
        <v/>
      </c>
      <c r="K867" s="38" t="str">
        <f aca="false">IF($A867="","",IF(COUNTIF(参数!$B$6:$B$8,$H867)=0,"× 付款方式","√"))</f>
        <v/>
      </c>
    </row>
    <row r="868" customFormat="false" ht="13.5" hidden="false" customHeight="false" outlineLevel="0" collapsed="false">
      <c r="A868" s="41"/>
      <c r="B868" s="42"/>
      <c r="C868" s="36"/>
      <c r="D868" s="35"/>
      <c r="E868" s="36"/>
      <c r="F868" s="36"/>
      <c r="G868" s="37"/>
      <c r="H868" s="35"/>
      <c r="I868" s="43" t="str">
        <f aca="false">IF($A868="","",COUNTIFS($A$2:$A868,$A868))</f>
        <v/>
      </c>
      <c r="J868" s="43" t="str">
        <f aca="false">IF($A868="","",$A868&amp;"-"&amp;$I868)</f>
        <v/>
      </c>
      <c r="K868" s="38" t="str">
        <f aca="false">IF($A868="","",IF(COUNTIF(参数!$B$6:$B$8,$H868)=0,"× 付款方式","√"))</f>
        <v/>
      </c>
    </row>
    <row r="869" customFormat="false" ht="13.5" hidden="false" customHeight="false" outlineLevel="0" collapsed="false">
      <c r="A869" s="41"/>
      <c r="B869" s="42"/>
      <c r="C869" s="36"/>
      <c r="D869" s="35"/>
      <c r="E869" s="36"/>
      <c r="F869" s="36"/>
      <c r="G869" s="37"/>
      <c r="H869" s="35"/>
      <c r="I869" s="43" t="str">
        <f aca="false">IF($A869="","",COUNTIFS($A$2:$A869,$A869))</f>
        <v/>
      </c>
      <c r="J869" s="43" t="str">
        <f aca="false">IF($A869="","",$A869&amp;"-"&amp;$I869)</f>
        <v/>
      </c>
      <c r="K869" s="38" t="str">
        <f aca="false">IF($A869="","",IF(COUNTIF(参数!$B$6:$B$8,$H869)=0,"× 付款方式","√"))</f>
        <v/>
      </c>
    </row>
    <row r="870" customFormat="false" ht="13.5" hidden="false" customHeight="false" outlineLevel="0" collapsed="false">
      <c r="A870" s="41"/>
      <c r="B870" s="42"/>
      <c r="C870" s="36"/>
      <c r="D870" s="35"/>
      <c r="E870" s="36"/>
      <c r="F870" s="36"/>
      <c r="G870" s="37"/>
      <c r="H870" s="35"/>
      <c r="I870" s="43" t="str">
        <f aca="false">IF($A870="","",COUNTIFS($A$2:$A870,$A870))</f>
        <v/>
      </c>
      <c r="J870" s="43" t="str">
        <f aca="false">IF($A870="","",$A870&amp;"-"&amp;$I870)</f>
        <v/>
      </c>
      <c r="K870" s="38" t="str">
        <f aca="false">IF($A870="","",IF(COUNTIF(参数!$B$6:$B$8,$H870)=0,"× 付款方式","√"))</f>
        <v/>
      </c>
    </row>
    <row r="871" customFormat="false" ht="13.5" hidden="false" customHeight="false" outlineLevel="0" collapsed="false">
      <c r="A871" s="41"/>
      <c r="B871" s="42"/>
      <c r="C871" s="36"/>
      <c r="D871" s="35"/>
      <c r="E871" s="36"/>
      <c r="F871" s="36"/>
      <c r="G871" s="37"/>
      <c r="H871" s="35"/>
      <c r="I871" s="43" t="str">
        <f aca="false">IF($A871="","",COUNTIFS($A$2:$A871,$A871))</f>
        <v/>
      </c>
      <c r="J871" s="43" t="str">
        <f aca="false">IF($A871="","",$A871&amp;"-"&amp;$I871)</f>
        <v/>
      </c>
      <c r="K871" s="38" t="str">
        <f aca="false">IF($A871="","",IF(COUNTIF(参数!$B$6:$B$8,$H871)=0,"× 付款方式","√"))</f>
        <v/>
      </c>
    </row>
    <row r="872" customFormat="false" ht="13.5" hidden="false" customHeight="false" outlineLevel="0" collapsed="false">
      <c r="A872" s="41"/>
      <c r="B872" s="42"/>
      <c r="C872" s="36"/>
      <c r="D872" s="35"/>
      <c r="E872" s="36"/>
      <c r="F872" s="36"/>
      <c r="G872" s="37"/>
      <c r="H872" s="35"/>
      <c r="I872" s="43" t="str">
        <f aca="false">IF($A872="","",COUNTIFS($A$2:$A872,$A872))</f>
        <v/>
      </c>
      <c r="J872" s="43" t="str">
        <f aca="false">IF($A872="","",$A872&amp;"-"&amp;$I872)</f>
        <v/>
      </c>
      <c r="K872" s="38" t="str">
        <f aca="false">IF($A872="","",IF(COUNTIF(参数!$B$6:$B$8,$H872)=0,"× 付款方式","√"))</f>
        <v/>
      </c>
    </row>
    <row r="873" customFormat="false" ht="13.5" hidden="false" customHeight="false" outlineLevel="0" collapsed="false">
      <c r="A873" s="41"/>
      <c r="B873" s="42"/>
      <c r="C873" s="36"/>
      <c r="D873" s="35"/>
      <c r="E873" s="36"/>
      <c r="F873" s="36"/>
      <c r="G873" s="37"/>
      <c r="H873" s="35"/>
      <c r="I873" s="43" t="str">
        <f aca="false">IF($A873="","",COUNTIFS($A$2:$A873,$A873))</f>
        <v/>
      </c>
      <c r="J873" s="43" t="str">
        <f aca="false">IF($A873="","",$A873&amp;"-"&amp;$I873)</f>
        <v/>
      </c>
      <c r="K873" s="38" t="str">
        <f aca="false">IF($A873="","",IF(COUNTIF(参数!$B$6:$B$8,$H873)=0,"× 付款方式","√"))</f>
        <v/>
      </c>
    </row>
    <row r="874" customFormat="false" ht="13.5" hidden="false" customHeight="false" outlineLevel="0" collapsed="false">
      <c r="A874" s="41"/>
      <c r="B874" s="42"/>
      <c r="C874" s="36"/>
      <c r="D874" s="35"/>
      <c r="E874" s="36"/>
      <c r="F874" s="36"/>
      <c r="G874" s="37"/>
      <c r="H874" s="35"/>
      <c r="I874" s="43" t="str">
        <f aca="false">IF($A874="","",COUNTIFS($A$2:$A874,$A874))</f>
        <v/>
      </c>
      <c r="J874" s="43" t="str">
        <f aca="false">IF($A874="","",$A874&amp;"-"&amp;$I874)</f>
        <v/>
      </c>
      <c r="K874" s="38" t="str">
        <f aca="false">IF($A874="","",IF(COUNTIF(参数!$B$6:$B$8,$H874)=0,"× 付款方式","√"))</f>
        <v/>
      </c>
    </row>
    <row r="875" customFormat="false" ht="13.5" hidden="false" customHeight="false" outlineLevel="0" collapsed="false">
      <c r="A875" s="41"/>
      <c r="B875" s="42"/>
      <c r="C875" s="36"/>
      <c r="D875" s="35"/>
      <c r="E875" s="36"/>
      <c r="F875" s="36"/>
      <c r="G875" s="37"/>
      <c r="H875" s="35"/>
      <c r="I875" s="43" t="str">
        <f aca="false">IF($A875="","",COUNTIFS($A$2:$A875,$A875))</f>
        <v/>
      </c>
      <c r="J875" s="43" t="str">
        <f aca="false">IF($A875="","",$A875&amp;"-"&amp;$I875)</f>
        <v/>
      </c>
      <c r="K875" s="38" t="str">
        <f aca="false">IF($A875="","",IF(COUNTIF(参数!$B$6:$B$8,$H875)=0,"× 付款方式","√"))</f>
        <v/>
      </c>
    </row>
    <row r="876" customFormat="false" ht="13.5" hidden="false" customHeight="false" outlineLevel="0" collapsed="false">
      <c r="A876" s="41"/>
      <c r="B876" s="42"/>
      <c r="C876" s="36"/>
      <c r="D876" s="35"/>
      <c r="E876" s="36"/>
      <c r="F876" s="36"/>
      <c r="G876" s="37"/>
      <c r="H876" s="35"/>
      <c r="I876" s="43" t="str">
        <f aca="false">IF($A876="","",COUNTIFS($A$2:$A876,$A876))</f>
        <v/>
      </c>
      <c r="J876" s="43" t="str">
        <f aca="false">IF($A876="","",$A876&amp;"-"&amp;$I876)</f>
        <v/>
      </c>
      <c r="K876" s="38" t="str">
        <f aca="false">IF($A876="","",IF(COUNTIF(参数!$B$6:$B$8,$H876)=0,"× 付款方式","√"))</f>
        <v/>
      </c>
    </row>
    <row r="877" customFormat="false" ht="13.5" hidden="false" customHeight="false" outlineLevel="0" collapsed="false">
      <c r="A877" s="41"/>
      <c r="B877" s="42"/>
      <c r="C877" s="36"/>
      <c r="D877" s="35"/>
      <c r="E877" s="36"/>
      <c r="F877" s="36"/>
      <c r="G877" s="37"/>
      <c r="H877" s="35"/>
      <c r="I877" s="43" t="str">
        <f aca="false">IF($A877="","",COUNTIFS($A$2:$A877,$A877))</f>
        <v/>
      </c>
      <c r="J877" s="43" t="str">
        <f aca="false">IF($A877="","",$A877&amp;"-"&amp;$I877)</f>
        <v/>
      </c>
      <c r="K877" s="38" t="str">
        <f aca="false">IF($A877="","",IF(COUNTIF(参数!$B$6:$B$8,$H877)=0,"× 付款方式","√"))</f>
        <v/>
      </c>
    </row>
    <row r="878" customFormat="false" ht="13.5" hidden="false" customHeight="false" outlineLevel="0" collapsed="false">
      <c r="A878" s="41"/>
      <c r="B878" s="42"/>
      <c r="C878" s="36"/>
      <c r="D878" s="35"/>
      <c r="E878" s="36"/>
      <c r="F878" s="36"/>
      <c r="G878" s="37"/>
      <c r="H878" s="35"/>
      <c r="I878" s="43" t="str">
        <f aca="false">IF($A878="","",COUNTIFS($A$2:$A878,$A878))</f>
        <v/>
      </c>
      <c r="J878" s="43" t="str">
        <f aca="false">IF($A878="","",$A878&amp;"-"&amp;$I878)</f>
        <v/>
      </c>
      <c r="K878" s="38" t="str">
        <f aca="false">IF($A878="","",IF(COUNTIF(参数!$B$6:$B$8,$H878)=0,"× 付款方式","√"))</f>
        <v/>
      </c>
    </row>
    <row r="879" customFormat="false" ht="13.5" hidden="false" customHeight="false" outlineLevel="0" collapsed="false">
      <c r="A879" s="41"/>
      <c r="B879" s="42"/>
      <c r="C879" s="36"/>
      <c r="D879" s="35"/>
      <c r="E879" s="36"/>
      <c r="F879" s="36"/>
      <c r="G879" s="37"/>
      <c r="H879" s="35"/>
      <c r="I879" s="43" t="str">
        <f aca="false">IF($A879="","",COUNTIFS($A$2:$A879,$A879))</f>
        <v/>
      </c>
      <c r="J879" s="43" t="str">
        <f aca="false">IF($A879="","",$A879&amp;"-"&amp;$I879)</f>
        <v/>
      </c>
      <c r="K879" s="38" t="str">
        <f aca="false">IF($A879="","",IF(COUNTIF(参数!$B$6:$B$8,$H879)=0,"× 付款方式","√"))</f>
        <v/>
      </c>
    </row>
    <row r="880" customFormat="false" ht="13.5" hidden="false" customHeight="false" outlineLevel="0" collapsed="false">
      <c r="A880" s="41"/>
      <c r="B880" s="42"/>
      <c r="C880" s="36"/>
      <c r="D880" s="35"/>
      <c r="E880" s="36"/>
      <c r="F880" s="36"/>
      <c r="G880" s="37"/>
      <c r="H880" s="35"/>
      <c r="I880" s="43" t="str">
        <f aca="false">IF($A880="","",COUNTIFS($A$2:$A880,$A880))</f>
        <v/>
      </c>
      <c r="J880" s="43" t="str">
        <f aca="false">IF($A880="","",$A880&amp;"-"&amp;$I880)</f>
        <v/>
      </c>
      <c r="K880" s="38" t="str">
        <f aca="false">IF($A880="","",IF(COUNTIF(参数!$B$6:$B$8,$H880)=0,"× 付款方式","√"))</f>
        <v/>
      </c>
    </row>
    <row r="881" customFormat="false" ht="13.5" hidden="false" customHeight="false" outlineLevel="0" collapsed="false">
      <c r="A881" s="41"/>
      <c r="B881" s="42"/>
      <c r="C881" s="36"/>
      <c r="D881" s="35"/>
      <c r="E881" s="36"/>
      <c r="F881" s="36"/>
      <c r="G881" s="37"/>
      <c r="H881" s="35"/>
      <c r="I881" s="43" t="str">
        <f aca="false">IF($A881="","",COUNTIFS($A$2:$A881,$A881))</f>
        <v/>
      </c>
      <c r="J881" s="43" t="str">
        <f aca="false">IF($A881="","",$A881&amp;"-"&amp;$I881)</f>
        <v/>
      </c>
      <c r="K881" s="38" t="str">
        <f aca="false">IF($A881="","",IF(COUNTIF(参数!$B$6:$B$8,$H881)=0,"× 付款方式","√"))</f>
        <v/>
      </c>
    </row>
    <row r="882" customFormat="false" ht="13.5" hidden="false" customHeight="false" outlineLevel="0" collapsed="false">
      <c r="A882" s="41"/>
      <c r="B882" s="42"/>
      <c r="C882" s="36"/>
      <c r="D882" s="35"/>
      <c r="E882" s="36"/>
      <c r="F882" s="36"/>
      <c r="G882" s="37"/>
      <c r="H882" s="35"/>
      <c r="I882" s="43" t="str">
        <f aca="false">IF($A882="","",COUNTIFS($A$2:$A882,$A882))</f>
        <v/>
      </c>
      <c r="J882" s="43" t="str">
        <f aca="false">IF($A882="","",$A882&amp;"-"&amp;$I882)</f>
        <v/>
      </c>
      <c r="K882" s="38" t="str">
        <f aca="false">IF($A882="","",IF(COUNTIF(参数!$B$6:$B$8,$H882)=0,"× 付款方式","√"))</f>
        <v/>
      </c>
    </row>
    <row r="883" customFormat="false" ht="13.5" hidden="false" customHeight="false" outlineLevel="0" collapsed="false">
      <c r="A883" s="41"/>
      <c r="B883" s="42"/>
      <c r="C883" s="36"/>
      <c r="D883" s="35"/>
      <c r="E883" s="36"/>
      <c r="F883" s="36"/>
      <c r="G883" s="37"/>
      <c r="H883" s="35"/>
      <c r="I883" s="43" t="str">
        <f aca="false">IF($A883="","",COUNTIFS($A$2:$A883,$A883))</f>
        <v/>
      </c>
      <c r="J883" s="43" t="str">
        <f aca="false">IF($A883="","",$A883&amp;"-"&amp;$I883)</f>
        <v/>
      </c>
      <c r="K883" s="38" t="str">
        <f aca="false">IF($A883="","",IF(COUNTIF(参数!$B$6:$B$8,$H883)=0,"× 付款方式","√"))</f>
        <v/>
      </c>
    </row>
    <row r="884" customFormat="false" ht="13.5" hidden="false" customHeight="false" outlineLevel="0" collapsed="false">
      <c r="A884" s="41"/>
      <c r="B884" s="42"/>
      <c r="C884" s="36"/>
      <c r="D884" s="35"/>
      <c r="E884" s="36"/>
      <c r="F884" s="36"/>
      <c r="G884" s="37"/>
      <c r="H884" s="35"/>
      <c r="I884" s="43" t="str">
        <f aca="false">IF($A884="","",COUNTIFS($A$2:$A884,$A884))</f>
        <v/>
      </c>
      <c r="J884" s="43" t="str">
        <f aca="false">IF($A884="","",$A884&amp;"-"&amp;$I884)</f>
        <v/>
      </c>
      <c r="K884" s="38" t="str">
        <f aca="false">IF($A884="","",IF(COUNTIF(参数!$B$6:$B$8,$H884)=0,"× 付款方式","√"))</f>
        <v/>
      </c>
    </row>
    <row r="885" customFormat="false" ht="13.5" hidden="false" customHeight="false" outlineLevel="0" collapsed="false">
      <c r="A885" s="41"/>
      <c r="B885" s="42"/>
      <c r="C885" s="36"/>
      <c r="D885" s="35"/>
      <c r="E885" s="36"/>
      <c r="F885" s="36"/>
      <c r="G885" s="37"/>
      <c r="H885" s="35"/>
      <c r="I885" s="43" t="str">
        <f aca="false">IF($A885="","",COUNTIFS($A$2:$A885,$A885))</f>
        <v/>
      </c>
      <c r="J885" s="43" t="str">
        <f aca="false">IF($A885="","",$A885&amp;"-"&amp;$I885)</f>
        <v/>
      </c>
      <c r="K885" s="38" t="str">
        <f aca="false">IF($A885="","",IF(COUNTIF(参数!$B$6:$B$8,$H885)=0,"× 付款方式","√"))</f>
        <v/>
      </c>
    </row>
    <row r="886" customFormat="false" ht="13.5" hidden="false" customHeight="false" outlineLevel="0" collapsed="false">
      <c r="A886" s="41"/>
      <c r="B886" s="42"/>
      <c r="C886" s="36"/>
      <c r="D886" s="35"/>
      <c r="E886" s="36"/>
      <c r="F886" s="36"/>
      <c r="G886" s="37"/>
      <c r="H886" s="35"/>
      <c r="I886" s="43" t="str">
        <f aca="false">IF($A886="","",COUNTIFS($A$2:$A886,$A886))</f>
        <v/>
      </c>
      <c r="J886" s="43" t="str">
        <f aca="false">IF($A886="","",$A886&amp;"-"&amp;$I886)</f>
        <v/>
      </c>
      <c r="K886" s="38" t="str">
        <f aca="false">IF($A886="","",IF(COUNTIF(参数!$B$6:$B$8,$H886)=0,"× 付款方式","√"))</f>
        <v/>
      </c>
    </row>
    <row r="887" customFormat="false" ht="13.5" hidden="false" customHeight="false" outlineLevel="0" collapsed="false">
      <c r="A887" s="41"/>
      <c r="B887" s="42"/>
      <c r="C887" s="36"/>
      <c r="D887" s="35"/>
      <c r="E887" s="36"/>
      <c r="F887" s="36"/>
      <c r="G887" s="37"/>
      <c r="H887" s="35"/>
      <c r="I887" s="43" t="str">
        <f aca="false">IF($A887="","",COUNTIFS($A$2:$A887,$A887))</f>
        <v/>
      </c>
      <c r="J887" s="43" t="str">
        <f aca="false">IF($A887="","",$A887&amp;"-"&amp;$I887)</f>
        <v/>
      </c>
      <c r="K887" s="38" t="str">
        <f aca="false">IF($A887="","",IF(COUNTIF(参数!$B$6:$B$8,$H887)=0,"× 付款方式","√"))</f>
        <v/>
      </c>
    </row>
    <row r="888" customFormat="false" ht="13.5" hidden="false" customHeight="false" outlineLevel="0" collapsed="false">
      <c r="A888" s="41"/>
      <c r="B888" s="42"/>
      <c r="C888" s="36"/>
      <c r="D888" s="35"/>
      <c r="E888" s="36"/>
      <c r="F888" s="36"/>
      <c r="G888" s="37"/>
      <c r="H888" s="35"/>
      <c r="I888" s="43" t="str">
        <f aca="false">IF($A888="","",COUNTIFS($A$2:$A888,$A888))</f>
        <v/>
      </c>
      <c r="J888" s="43" t="str">
        <f aca="false">IF($A888="","",$A888&amp;"-"&amp;$I888)</f>
        <v/>
      </c>
      <c r="K888" s="38" t="str">
        <f aca="false">IF($A888="","",IF(COUNTIF(参数!$B$6:$B$8,$H888)=0,"× 付款方式","√"))</f>
        <v/>
      </c>
    </row>
    <row r="889" customFormat="false" ht="13.5" hidden="false" customHeight="false" outlineLevel="0" collapsed="false">
      <c r="A889" s="41"/>
      <c r="B889" s="42"/>
      <c r="C889" s="36"/>
      <c r="D889" s="35"/>
      <c r="E889" s="36"/>
      <c r="F889" s="36"/>
      <c r="G889" s="37"/>
      <c r="H889" s="35"/>
      <c r="I889" s="43" t="str">
        <f aca="false">IF($A889="","",COUNTIFS($A$2:$A889,$A889))</f>
        <v/>
      </c>
      <c r="J889" s="43" t="str">
        <f aca="false">IF($A889="","",$A889&amp;"-"&amp;$I889)</f>
        <v/>
      </c>
      <c r="K889" s="38" t="str">
        <f aca="false">IF($A889="","",IF(COUNTIF(参数!$B$6:$B$8,$H889)=0,"× 付款方式","√"))</f>
        <v/>
      </c>
    </row>
    <row r="890" customFormat="false" ht="13.5" hidden="false" customHeight="false" outlineLevel="0" collapsed="false">
      <c r="A890" s="41"/>
      <c r="B890" s="42"/>
      <c r="C890" s="36"/>
      <c r="D890" s="35"/>
      <c r="E890" s="36"/>
      <c r="F890" s="36"/>
      <c r="G890" s="37"/>
      <c r="H890" s="35"/>
      <c r="I890" s="43" t="str">
        <f aca="false">IF($A890="","",COUNTIFS($A$2:$A890,$A890))</f>
        <v/>
      </c>
      <c r="J890" s="43" t="str">
        <f aca="false">IF($A890="","",$A890&amp;"-"&amp;$I890)</f>
        <v/>
      </c>
      <c r="K890" s="38" t="str">
        <f aca="false">IF($A890="","",IF(COUNTIF(参数!$B$6:$B$8,$H890)=0,"× 付款方式","√"))</f>
        <v/>
      </c>
    </row>
    <row r="891" customFormat="false" ht="13.5" hidden="false" customHeight="false" outlineLevel="0" collapsed="false">
      <c r="A891" s="41"/>
      <c r="B891" s="42"/>
      <c r="C891" s="36"/>
      <c r="D891" s="35"/>
      <c r="E891" s="36"/>
      <c r="F891" s="36"/>
      <c r="G891" s="37"/>
      <c r="H891" s="35"/>
      <c r="I891" s="43" t="str">
        <f aca="false">IF($A891="","",COUNTIFS($A$2:$A891,$A891))</f>
        <v/>
      </c>
      <c r="J891" s="43" t="str">
        <f aca="false">IF($A891="","",$A891&amp;"-"&amp;$I891)</f>
        <v/>
      </c>
      <c r="K891" s="38" t="str">
        <f aca="false">IF($A891="","",IF(COUNTIF(参数!$B$6:$B$8,$H891)=0,"× 付款方式","√"))</f>
        <v/>
      </c>
    </row>
    <row r="892" customFormat="false" ht="13.5" hidden="false" customHeight="false" outlineLevel="0" collapsed="false">
      <c r="A892" s="41"/>
      <c r="B892" s="42"/>
      <c r="C892" s="36"/>
      <c r="D892" s="35"/>
      <c r="E892" s="36"/>
      <c r="F892" s="36"/>
      <c r="G892" s="37"/>
      <c r="H892" s="35"/>
      <c r="I892" s="43" t="str">
        <f aca="false">IF($A892="","",COUNTIFS($A$2:$A892,$A892))</f>
        <v/>
      </c>
      <c r="J892" s="43" t="str">
        <f aca="false">IF($A892="","",$A892&amp;"-"&amp;$I892)</f>
        <v/>
      </c>
      <c r="K892" s="38" t="str">
        <f aca="false">IF($A892="","",IF(COUNTIF(参数!$B$6:$B$8,$H892)=0,"× 付款方式","√"))</f>
        <v/>
      </c>
    </row>
    <row r="893" customFormat="false" ht="13.5" hidden="false" customHeight="false" outlineLevel="0" collapsed="false">
      <c r="A893" s="41"/>
      <c r="B893" s="42"/>
      <c r="C893" s="36"/>
      <c r="D893" s="35"/>
      <c r="E893" s="36"/>
      <c r="F893" s="36"/>
      <c r="G893" s="37"/>
      <c r="H893" s="35"/>
      <c r="I893" s="43" t="str">
        <f aca="false">IF($A893="","",COUNTIFS($A$2:$A893,$A893))</f>
        <v/>
      </c>
      <c r="J893" s="43" t="str">
        <f aca="false">IF($A893="","",$A893&amp;"-"&amp;$I893)</f>
        <v/>
      </c>
      <c r="K893" s="38" t="str">
        <f aca="false">IF($A893="","",IF(COUNTIF(参数!$B$6:$B$8,$H893)=0,"× 付款方式","√"))</f>
        <v/>
      </c>
    </row>
    <row r="894" customFormat="false" ht="13.5" hidden="false" customHeight="false" outlineLevel="0" collapsed="false">
      <c r="A894" s="41"/>
      <c r="B894" s="42"/>
      <c r="C894" s="36"/>
      <c r="D894" s="35"/>
      <c r="E894" s="36"/>
      <c r="F894" s="36"/>
      <c r="G894" s="37"/>
      <c r="H894" s="35"/>
      <c r="I894" s="43" t="str">
        <f aca="false">IF($A894="","",COUNTIFS($A$2:$A894,$A894))</f>
        <v/>
      </c>
      <c r="J894" s="43" t="str">
        <f aca="false">IF($A894="","",$A894&amp;"-"&amp;$I894)</f>
        <v/>
      </c>
      <c r="K894" s="38" t="str">
        <f aca="false">IF($A894="","",IF(COUNTIF(参数!$B$6:$B$8,$H894)=0,"× 付款方式","√"))</f>
        <v/>
      </c>
    </row>
    <row r="895" customFormat="false" ht="13.5" hidden="false" customHeight="false" outlineLevel="0" collapsed="false">
      <c r="A895" s="41"/>
      <c r="B895" s="42"/>
      <c r="C895" s="36"/>
      <c r="D895" s="35"/>
      <c r="E895" s="36"/>
      <c r="F895" s="36"/>
      <c r="G895" s="37"/>
      <c r="H895" s="35"/>
      <c r="I895" s="43" t="str">
        <f aca="false">IF($A895="","",COUNTIFS($A$2:$A895,$A895))</f>
        <v/>
      </c>
      <c r="J895" s="43" t="str">
        <f aca="false">IF($A895="","",$A895&amp;"-"&amp;$I895)</f>
        <v/>
      </c>
      <c r="K895" s="38" t="str">
        <f aca="false">IF($A895="","",IF(COUNTIF(参数!$B$6:$B$8,$H895)=0,"× 付款方式","√"))</f>
        <v/>
      </c>
    </row>
    <row r="896" customFormat="false" ht="13.5" hidden="false" customHeight="false" outlineLevel="0" collapsed="false">
      <c r="A896" s="41"/>
      <c r="B896" s="42"/>
      <c r="C896" s="36"/>
      <c r="D896" s="35"/>
      <c r="E896" s="36"/>
      <c r="F896" s="36"/>
      <c r="G896" s="37"/>
      <c r="H896" s="35"/>
      <c r="I896" s="43" t="str">
        <f aca="false">IF($A896="","",COUNTIFS($A$2:$A896,$A896))</f>
        <v/>
      </c>
      <c r="J896" s="43" t="str">
        <f aca="false">IF($A896="","",$A896&amp;"-"&amp;$I896)</f>
        <v/>
      </c>
      <c r="K896" s="38" t="str">
        <f aca="false">IF($A896="","",IF(COUNTIF(参数!$B$6:$B$8,$H896)=0,"× 付款方式","√"))</f>
        <v/>
      </c>
    </row>
    <row r="897" customFormat="false" ht="13.5" hidden="false" customHeight="false" outlineLevel="0" collapsed="false">
      <c r="A897" s="41"/>
      <c r="B897" s="42"/>
      <c r="C897" s="36"/>
      <c r="D897" s="35"/>
      <c r="E897" s="36"/>
      <c r="F897" s="36"/>
      <c r="G897" s="37"/>
      <c r="H897" s="35"/>
      <c r="I897" s="43" t="str">
        <f aca="false">IF($A897="","",COUNTIFS($A$2:$A897,$A897))</f>
        <v/>
      </c>
      <c r="J897" s="43" t="str">
        <f aca="false">IF($A897="","",$A897&amp;"-"&amp;$I897)</f>
        <v/>
      </c>
      <c r="K897" s="38" t="str">
        <f aca="false">IF($A897="","",IF(COUNTIF(参数!$B$6:$B$8,$H897)=0,"× 付款方式","√"))</f>
        <v/>
      </c>
    </row>
    <row r="898" customFormat="false" ht="13.5" hidden="false" customHeight="false" outlineLevel="0" collapsed="false">
      <c r="A898" s="41"/>
      <c r="B898" s="42"/>
      <c r="C898" s="36"/>
      <c r="D898" s="35"/>
      <c r="E898" s="36"/>
      <c r="F898" s="36"/>
      <c r="G898" s="37"/>
      <c r="H898" s="35"/>
      <c r="I898" s="43" t="str">
        <f aca="false">IF($A898="","",COUNTIFS($A$2:$A898,$A898))</f>
        <v/>
      </c>
      <c r="J898" s="43" t="str">
        <f aca="false">IF($A898="","",$A898&amp;"-"&amp;$I898)</f>
        <v/>
      </c>
      <c r="K898" s="38" t="str">
        <f aca="false">IF($A898="","",IF(COUNTIF(参数!$B$6:$B$8,$H898)=0,"× 付款方式","√"))</f>
        <v/>
      </c>
    </row>
    <row r="899" customFormat="false" ht="13.5" hidden="false" customHeight="false" outlineLevel="0" collapsed="false">
      <c r="A899" s="41"/>
      <c r="B899" s="42"/>
      <c r="C899" s="36"/>
      <c r="D899" s="35"/>
      <c r="E899" s="36"/>
      <c r="F899" s="36"/>
      <c r="G899" s="37"/>
      <c r="H899" s="35"/>
      <c r="I899" s="43" t="str">
        <f aca="false">IF($A899="","",COUNTIFS($A$2:$A899,$A899))</f>
        <v/>
      </c>
      <c r="J899" s="43" t="str">
        <f aca="false">IF($A899="","",$A899&amp;"-"&amp;$I899)</f>
        <v/>
      </c>
      <c r="K899" s="38" t="str">
        <f aca="false">IF($A899="","",IF(COUNTIF(参数!$B$6:$B$8,$H899)=0,"× 付款方式","√"))</f>
        <v/>
      </c>
    </row>
    <row r="900" customFormat="false" ht="13.5" hidden="false" customHeight="false" outlineLevel="0" collapsed="false">
      <c r="A900" s="41"/>
      <c r="B900" s="42"/>
      <c r="C900" s="36"/>
      <c r="D900" s="35"/>
      <c r="E900" s="36"/>
      <c r="F900" s="36"/>
      <c r="G900" s="37"/>
      <c r="H900" s="35"/>
      <c r="I900" s="43" t="str">
        <f aca="false">IF($A900="","",COUNTIFS($A$2:$A900,$A900))</f>
        <v/>
      </c>
      <c r="J900" s="43" t="str">
        <f aca="false">IF($A900="","",$A900&amp;"-"&amp;$I900)</f>
        <v/>
      </c>
      <c r="K900" s="38" t="str">
        <f aca="false">IF($A900="","",IF(COUNTIF(参数!$B$6:$B$8,$H900)=0,"× 付款方式","√"))</f>
        <v/>
      </c>
    </row>
    <row r="901" customFormat="false" ht="13.5" hidden="false" customHeight="false" outlineLevel="0" collapsed="false">
      <c r="A901" s="41"/>
      <c r="B901" s="42"/>
      <c r="C901" s="36"/>
      <c r="D901" s="35"/>
      <c r="E901" s="36"/>
      <c r="F901" s="36"/>
      <c r="G901" s="37"/>
      <c r="H901" s="35"/>
      <c r="I901" s="43" t="str">
        <f aca="false">IF($A901="","",COUNTIFS($A$2:$A901,$A901))</f>
        <v/>
      </c>
      <c r="J901" s="43" t="str">
        <f aca="false">IF($A901="","",$A901&amp;"-"&amp;$I901)</f>
        <v/>
      </c>
      <c r="K901" s="38" t="str">
        <f aca="false">IF($A901="","",IF(COUNTIF(参数!$B$6:$B$8,$H901)=0,"× 付款方式","√"))</f>
        <v/>
      </c>
    </row>
    <row r="902" customFormat="false" ht="13.5" hidden="false" customHeight="false" outlineLevel="0" collapsed="false">
      <c r="A902" s="41"/>
      <c r="B902" s="42"/>
      <c r="C902" s="36"/>
      <c r="D902" s="35"/>
      <c r="E902" s="36"/>
      <c r="F902" s="36"/>
      <c r="G902" s="37"/>
      <c r="H902" s="35"/>
      <c r="I902" s="43" t="str">
        <f aca="false">IF($A902="","",COUNTIFS($A$2:$A902,$A902))</f>
        <v/>
      </c>
      <c r="J902" s="43" t="str">
        <f aca="false">IF($A902="","",$A902&amp;"-"&amp;$I902)</f>
        <v/>
      </c>
      <c r="K902" s="38" t="str">
        <f aca="false">IF($A902="","",IF(COUNTIF(参数!$B$6:$B$8,$H902)=0,"× 付款方式","√"))</f>
        <v/>
      </c>
    </row>
    <row r="903" customFormat="false" ht="13.5" hidden="false" customHeight="false" outlineLevel="0" collapsed="false">
      <c r="A903" s="41"/>
      <c r="B903" s="42"/>
      <c r="C903" s="36"/>
      <c r="D903" s="35"/>
      <c r="E903" s="36"/>
      <c r="F903" s="36"/>
      <c r="G903" s="37"/>
      <c r="H903" s="35"/>
      <c r="I903" s="43" t="str">
        <f aca="false">IF($A903="","",COUNTIFS($A$2:$A903,$A903))</f>
        <v/>
      </c>
      <c r="J903" s="43" t="str">
        <f aca="false">IF($A903="","",$A903&amp;"-"&amp;$I903)</f>
        <v/>
      </c>
      <c r="K903" s="38" t="str">
        <f aca="false">IF($A903="","",IF(COUNTIF(参数!$B$6:$B$8,$H903)=0,"× 付款方式","√"))</f>
        <v/>
      </c>
    </row>
    <row r="904" customFormat="false" ht="13.5" hidden="false" customHeight="false" outlineLevel="0" collapsed="false">
      <c r="A904" s="41"/>
      <c r="B904" s="42"/>
      <c r="C904" s="36"/>
      <c r="D904" s="35"/>
      <c r="E904" s="36"/>
      <c r="F904" s="36"/>
      <c r="G904" s="37"/>
      <c r="H904" s="35"/>
      <c r="I904" s="43" t="str">
        <f aca="false">IF($A904="","",COUNTIFS($A$2:$A904,$A904))</f>
        <v/>
      </c>
      <c r="J904" s="43" t="str">
        <f aca="false">IF($A904="","",$A904&amp;"-"&amp;$I904)</f>
        <v/>
      </c>
      <c r="K904" s="38" t="str">
        <f aca="false">IF($A904="","",IF(COUNTIF(参数!$B$6:$B$8,$H904)=0,"× 付款方式","√"))</f>
        <v/>
      </c>
    </row>
    <row r="905" customFormat="false" ht="13.5" hidden="false" customHeight="false" outlineLevel="0" collapsed="false">
      <c r="A905" s="41"/>
      <c r="B905" s="42"/>
      <c r="C905" s="36"/>
      <c r="D905" s="35"/>
      <c r="E905" s="36"/>
      <c r="F905" s="36"/>
      <c r="G905" s="37"/>
      <c r="H905" s="35"/>
      <c r="I905" s="43" t="str">
        <f aca="false">IF($A905="","",COUNTIFS($A$2:$A905,$A905))</f>
        <v/>
      </c>
      <c r="J905" s="43" t="str">
        <f aca="false">IF($A905="","",$A905&amp;"-"&amp;$I905)</f>
        <v/>
      </c>
      <c r="K905" s="38" t="str">
        <f aca="false">IF($A905="","",IF(COUNTIF(参数!$B$6:$B$8,$H905)=0,"× 付款方式","√"))</f>
        <v/>
      </c>
    </row>
    <row r="906" customFormat="false" ht="13.5" hidden="false" customHeight="false" outlineLevel="0" collapsed="false">
      <c r="A906" s="41"/>
      <c r="B906" s="42"/>
      <c r="C906" s="36"/>
      <c r="D906" s="35"/>
      <c r="E906" s="36"/>
      <c r="F906" s="36"/>
      <c r="G906" s="37"/>
      <c r="H906" s="35"/>
      <c r="I906" s="43" t="str">
        <f aca="false">IF($A906="","",COUNTIFS($A$2:$A906,$A906))</f>
        <v/>
      </c>
      <c r="J906" s="43" t="str">
        <f aca="false">IF($A906="","",$A906&amp;"-"&amp;$I906)</f>
        <v/>
      </c>
      <c r="K906" s="38" t="str">
        <f aca="false">IF($A906="","",IF(COUNTIF(参数!$B$6:$B$8,$H906)=0,"× 付款方式","√"))</f>
        <v/>
      </c>
    </row>
    <row r="907" customFormat="false" ht="13.5" hidden="false" customHeight="false" outlineLevel="0" collapsed="false">
      <c r="A907" s="41"/>
      <c r="B907" s="42"/>
      <c r="C907" s="36"/>
      <c r="D907" s="35"/>
      <c r="E907" s="36"/>
      <c r="F907" s="36"/>
      <c r="G907" s="37"/>
      <c r="H907" s="35"/>
      <c r="I907" s="43" t="str">
        <f aca="false">IF($A907="","",COUNTIFS($A$2:$A907,$A907))</f>
        <v/>
      </c>
      <c r="J907" s="43" t="str">
        <f aca="false">IF($A907="","",$A907&amp;"-"&amp;$I907)</f>
        <v/>
      </c>
      <c r="K907" s="38" t="str">
        <f aca="false">IF($A907="","",IF(COUNTIF(参数!$B$6:$B$8,$H907)=0,"× 付款方式","√"))</f>
        <v/>
      </c>
    </row>
    <row r="908" customFormat="false" ht="13.5" hidden="false" customHeight="false" outlineLevel="0" collapsed="false">
      <c r="A908" s="41"/>
      <c r="B908" s="42"/>
      <c r="C908" s="36"/>
      <c r="D908" s="35"/>
      <c r="E908" s="36"/>
      <c r="F908" s="36"/>
      <c r="G908" s="37"/>
      <c r="H908" s="35"/>
      <c r="I908" s="43" t="str">
        <f aca="false">IF($A908="","",COUNTIFS($A$2:$A908,$A908))</f>
        <v/>
      </c>
      <c r="J908" s="43" t="str">
        <f aca="false">IF($A908="","",$A908&amp;"-"&amp;$I908)</f>
        <v/>
      </c>
      <c r="K908" s="38" t="str">
        <f aca="false">IF($A908="","",IF(COUNTIF(参数!$B$6:$B$8,$H908)=0,"× 付款方式","√"))</f>
        <v/>
      </c>
    </row>
    <row r="909" customFormat="false" ht="13.5" hidden="false" customHeight="false" outlineLevel="0" collapsed="false">
      <c r="A909" s="41"/>
      <c r="B909" s="42"/>
      <c r="C909" s="36"/>
      <c r="D909" s="35"/>
      <c r="E909" s="36"/>
      <c r="F909" s="36"/>
      <c r="G909" s="37"/>
      <c r="H909" s="35"/>
      <c r="I909" s="43" t="str">
        <f aca="false">IF($A909="","",COUNTIFS($A$2:$A909,$A909))</f>
        <v/>
      </c>
      <c r="J909" s="43" t="str">
        <f aca="false">IF($A909="","",$A909&amp;"-"&amp;$I909)</f>
        <v/>
      </c>
      <c r="K909" s="38" t="str">
        <f aca="false">IF($A909="","",IF(COUNTIF(参数!$B$6:$B$8,$H909)=0,"× 付款方式","√"))</f>
        <v/>
      </c>
    </row>
    <row r="910" customFormat="false" ht="13.5" hidden="false" customHeight="false" outlineLevel="0" collapsed="false">
      <c r="A910" s="41"/>
      <c r="B910" s="42"/>
      <c r="C910" s="36"/>
      <c r="D910" s="35"/>
      <c r="E910" s="36"/>
      <c r="F910" s="36"/>
      <c r="G910" s="37"/>
      <c r="H910" s="35"/>
      <c r="I910" s="43" t="str">
        <f aca="false">IF($A910="","",COUNTIFS($A$2:$A910,$A910))</f>
        <v/>
      </c>
      <c r="J910" s="43" t="str">
        <f aca="false">IF($A910="","",$A910&amp;"-"&amp;$I910)</f>
        <v/>
      </c>
      <c r="K910" s="38" t="str">
        <f aca="false">IF($A910="","",IF(COUNTIF(参数!$B$6:$B$8,$H910)=0,"× 付款方式","√"))</f>
        <v/>
      </c>
    </row>
    <row r="911" customFormat="false" ht="13.5" hidden="false" customHeight="false" outlineLevel="0" collapsed="false">
      <c r="A911" s="41"/>
      <c r="B911" s="42"/>
      <c r="C911" s="36"/>
      <c r="D911" s="35"/>
      <c r="E911" s="36"/>
      <c r="F911" s="36"/>
      <c r="G911" s="37"/>
      <c r="H911" s="35"/>
      <c r="I911" s="43" t="str">
        <f aca="false">IF($A911="","",COUNTIFS($A$2:$A911,$A911))</f>
        <v/>
      </c>
      <c r="J911" s="43" t="str">
        <f aca="false">IF($A911="","",$A911&amp;"-"&amp;$I911)</f>
        <v/>
      </c>
      <c r="K911" s="38" t="str">
        <f aca="false">IF($A911="","",IF(COUNTIF(参数!$B$6:$B$8,$H911)=0,"× 付款方式","√"))</f>
        <v/>
      </c>
    </row>
    <row r="912" customFormat="false" ht="13.5" hidden="false" customHeight="false" outlineLevel="0" collapsed="false">
      <c r="A912" s="41"/>
      <c r="B912" s="42"/>
      <c r="C912" s="36"/>
      <c r="D912" s="35"/>
      <c r="E912" s="36"/>
      <c r="F912" s="36"/>
      <c r="G912" s="37"/>
      <c r="H912" s="35"/>
      <c r="I912" s="43" t="str">
        <f aca="false">IF($A912="","",COUNTIFS($A$2:$A912,$A912))</f>
        <v/>
      </c>
      <c r="J912" s="43" t="str">
        <f aca="false">IF($A912="","",$A912&amp;"-"&amp;$I912)</f>
        <v/>
      </c>
      <c r="K912" s="38" t="str">
        <f aca="false">IF($A912="","",IF(COUNTIF(参数!$B$6:$B$8,$H912)=0,"× 付款方式","√"))</f>
        <v/>
      </c>
    </row>
    <row r="913" customFormat="false" ht="13.5" hidden="false" customHeight="false" outlineLevel="0" collapsed="false">
      <c r="A913" s="41"/>
      <c r="B913" s="42"/>
      <c r="C913" s="36"/>
      <c r="D913" s="35"/>
      <c r="E913" s="36"/>
      <c r="F913" s="36"/>
      <c r="G913" s="37"/>
      <c r="H913" s="35"/>
      <c r="I913" s="43" t="str">
        <f aca="false">IF($A913="","",COUNTIFS($A$2:$A913,$A913))</f>
        <v/>
      </c>
      <c r="J913" s="43" t="str">
        <f aca="false">IF($A913="","",$A913&amp;"-"&amp;$I913)</f>
        <v/>
      </c>
      <c r="K913" s="38" t="str">
        <f aca="false">IF($A913="","",IF(COUNTIF(参数!$B$6:$B$8,$H913)=0,"× 付款方式","√"))</f>
        <v/>
      </c>
    </row>
    <row r="914" customFormat="false" ht="13.5" hidden="false" customHeight="false" outlineLevel="0" collapsed="false">
      <c r="A914" s="41"/>
      <c r="B914" s="42"/>
      <c r="C914" s="36"/>
      <c r="D914" s="35"/>
      <c r="E914" s="36"/>
      <c r="F914" s="36"/>
      <c r="G914" s="37"/>
      <c r="H914" s="35"/>
      <c r="I914" s="43" t="str">
        <f aca="false">IF($A914="","",COUNTIFS($A$2:$A914,$A914))</f>
        <v/>
      </c>
      <c r="J914" s="43" t="str">
        <f aca="false">IF($A914="","",$A914&amp;"-"&amp;$I914)</f>
        <v/>
      </c>
      <c r="K914" s="38" t="str">
        <f aca="false">IF($A914="","",IF(COUNTIF(参数!$B$6:$B$8,$H914)=0,"× 付款方式","√"))</f>
        <v/>
      </c>
    </row>
    <row r="915" customFormat="false" ht="13.5" hidden="false" customHeight="false" outlineLevel="0" collapsed="false">
      <c r="A915" s="41"/>
      <c r="B915" s="42"/>
      <c r="C915" s="36"/>
      <c r="D915" s="35"/>
      <c r="E915" s="36"/>
      <c r="F915" s="36"/>
      <c r="G915" s="37"/>
      <c r="H915" s="35"/>
      <c r="I915" s="43" t="str">
        <f aca="false">IF($A915="","",COUNTIFS($A$2:$A915,$A915))</f>
        <v/>
      </c>
      <c r="J915" s="43" t="str">
        <f aca="false">IF($A915="","",$A915&amp;"-"&amp;$I915)</f>
        <v/>
      </c>
      <c r="K915" s="38" t="str">
        <f aca="false">IF($A915="","",IF(COUNTIF(参数!$B$6:$B$8,$H915)=0,"× 付款方式","√"))</f>
        <v/>
      </c>
    </row>
    <row r="916" customFormat="false" ht="13.5" hidden="false" customHeight="false" outlineLevel="0" collapsed="false">
      <c r="A916" s="41"/>
      <c r="B916" s="42"/>
      <c r="C916" s="36"/>
      <c r="D916" s="35"/>
      <c r="E916" s="36"/>
      <c r="F916" s="36"/>
      <c r="G916" s="37"/>
      <c r="H916" s="35"/>
      <c r="I916" s="43" t="str">
        <f aca="false">IF($A916="","",COUNTIFS($A$2:$A916,$A916))</f>
        <v/>
      </c>
      <c r="J916" s="43" t="str">
        <f aca="false">IF($A916="","",$A916&amp;"-"&amp;$I916)</f>
        <v/>
      </c>
      <c r="K916" s="38" t="str">
        <f aca="false">IF($A916="","",IF(COUNTIF(参数!$B$6:$B$8,$H916)=0,"× 付款方式","√"))</f>
        <v/>
      </c>
    </row>
    <row r="917" customFormat="false" ht="13.5" hidden="false" customHeight="false" outlineLevel="0" collapsed="false">
      <c r="A917" s="41"/>
      <c r="B917" s="42"/>
      <c r="C917" s="36"/>
      <c r="D917" s="35"/>
      <c r="E917" s="36"/>
      <c r="F917" s="36"/>
      <c r="G917" s="37"/>
      <c r="H917" s="35"/>
      <c r="I917" s="43" t="str">
        <f aca="false">IF($A917="","",COUNTIFS($A$2:$A917,$A917))</f>
        <v/>
      </c>
      <c r="J917" s="43" t="str">
        <f aca="false">IF($A917="","",$A917&amp;"-"&amp;$I917)</f>
        <v/>
      </c>
      <c r="K917" s="38" t="str">
        <f aca="false">IF($A917="","",IF(COUNTIF(参数!$B$6:$B$8,$H917)=0,"× 付款方式","√"))</f>
        <v/>
      </c>
    </row>
    <row r="918" customFormat="false" ht="13.5" hidden="false" customHeight="false" outlineLevel="0" collapsed="false">
      <c r="A918" s="41"/>
      <c r="B918" s="42"/>
      <c r="C918" s="36"/>
      <c r="D918" s="35"/>
      <c r="E918" s="36"/>
      <c r="F918" s="36"/>
      <c r="G918" s="37"/>
      <c r="H918" s="35"/>
      <c r="I918" s="43" t="str">
        <f aca="false">IF($A918="","",COUNTIFS($A$2:$A918,$A918))</f>
        <v/>
      </c>
      <c r="J918" s="43" t="str">
        <f aca="false">IF($A918="","",$A918&amp;"-"&amp;$I918)</f>
        <v/>
      </c>
      <c r="K918" s="38" t="str">
        <f aca="false">IF($A918="","",IF(COUNTIF(参数!$B$6:$B$8,$H918)=0,"× 付款方式","√"))</f>
        <v/>
      </c>
    </row>
    <row r="919" customFormat="false" ht="13.5" hidden="false" customHeight="false" outlineLevel="0" collapsed="false">
      <c r="A919" s="41"/>
      <c r="B919" s="42"/>
      <c r="C919" s="36"/>
      <c r="D919" s="35"/>
      <c r="E919" s="36"/>
      <c r="F919" s="36"/>
      <c r="G919" s="37"/>
      <c r="H919" s="35"/>
      <c r="I919" s="43" t="str">
        <f aca="false">IF($A919="","",COUNTIFS($A$2:$A919,$A919))</f>
        <v/>
      </c>
      <c r="J919" s="43" t="str">
        <f aca="false">IF($A919="","",$A919&amp;"-"&amp;$I919)</f>
        <v/>
      </c>
      <c r="K919" s="38" t="str">
        <f aca="false">IF($A919="","",IF(COUNTIF(参数!$B$6:$B$8,$H919)=0,"× 付款方式","√"))</f>
        <v/>
      </c>
    </row>
    <row r="920" customFormat="false" ht="13.5" hidden="false" customHeight="false" outlineLevel="0" collapsed="false">
      <c r="A920" s="41"/>
      <c r="B920" s="42"/>
      <c r="C920" s="36"/>
      <c r="D920" s="35"/>
      <c r="E920" s="36"/>
      <c r="F920" s="36"/>
      <c r="G920" s="37"/>
      <c r="H920" s="35"/>
      <c r="I920" s="43" t="str">
        <f aca="false">IF($A920="","",COUNTIFS($A$2:$A920,$A920))</f>
        <v/>
      </c>
      <c r="J920" s="43" t="str">
        <f aca="false">IF($A920="","",$A920&amp;"-"&amp;$I920)</f>
        <v/>
      </c>
      <c r="K920" s="38" t="str">
        <f aca="false">IF($A920="","",IF(COUNTIF(参数!$B$6:$B$8,$H920)=0,"× 付款方式","√"))</f>
        <v/>
      </c>
    </row>
    <row r="921" customFormat="false" ht="13.5" hidden="false" customHeight="false" outlineLevel="0" collapsed="false">
      <c r="A921" s="41"/>
      <c r="B921" s="42"/>
      <c r="C921" s="36"/>
      <c r="D921" s="35"/>
      <c r="E921" s="36"/>
      <c r="F921" s="36"/>
      <c r="G921" s="37"/>
      <c r="H921" s="35"/>
      <c r="I921" s="43" t="str">
        <f aca="false">IF($A921="","",COUNTIFS($A$2:$A921,$A921))</f>
        <v/>
      </c>
      <c r="J921" s="43" t="str">
        <f aca="false">IF($A921="","",$A921&amp;"-"&amp;$I921)</f>
        <v/>
      </c>
      <c r="K921" s="38" t="str">
        <f aca="false">IF($A921="","",IF(COUNTIF(参数!$B$6:$B$8,$H921)=0,"× 付款方式","√"))</f>
        <v/>
      </c>
    </row>
    <row r="922" customFormat="false" ht="13.5" hidden="false" customHeight="false" outlineLevel="0" collapsed="false">
      <c r="A922" s="41"/>
      <c r="B922" s="42"/>
      <c r="C922" s="36"/>
      <c r="D922" s="35"/>
      <c r="E922" s="36"/>
      <c r="F922" s="36"/>
      <c r="G922" s="37"/>
      <c r="H922" s="35"/>
      <c r="I922" s="43" t="str">
        <f aca="false">IF($A922="","",COUNTIFS($A$2:$A922,$A922))</f>
        <v/>
      </c>
      <c r="J922" s="43" t="str">
        <f aca="false">IF($A922="","",$A922&amp;"-"&amp;$I922)</f>
        <v/>
      </c>
      <c r="K922" s="38" t="str">
        <f aca="false">IF($A922="","",IF(COUNTIF(参数!$B$6:$B$8,$H922)=0,"× 付款方式","√"))</f>
        <v/>
      </c>
    </row>
    <row r="923" customFormat="false" ht="13.5" hidden="false" customHeight="false" outlineLevel="0" collapsed="false">
      <c r="A923" s="41"/>
      <c r="B923" s="42"/>
      <c r="C923" s="36"/>
      <c r="D923" s="35"/>
      <c r="E923" s="36"/>
      <c r="F923" s="36"/>
      <c r="G923" s="37"/>
      <c r="H923" s="35"/>
      <c r="I923" s="43" t="str">
        <f aca="false">IF($A923="","",COUNTIFS($A$2:$A923,$A923))</f>
        <v/>
      </c>
      <c r="J923" s="43" t="str">
        <f aca="false">IF($A923="","",$A923&amp;"-"&amp;$I923)</f>
        <v/>
      </c>
      <c r="K923" s="38" t="str">
        <f aca="false">IF($A923="","",IF(COUNTIF(参数!$B$6:$B$8,$H923)=0,"× 付款方式","√"))</f>
        <v/>
      </c>
    </row>
    <row r="924" customFormat="false" ht="13.5" hidden="false" customHeight="false" outlineLevel="0" collapsed="false">
      <c r="A924" s="41"/>
      <c r="B924" s="42"/>
      <c r="C924" s="36"/>
      <c r="D924" s="35"/>
      <c r="E924" s="36"/>
      <c r="F924" s="36"/>
      <c r="G924" s="37"/>
      <c r="H924" s="35"/>
      <c r="I924" s="43" t="str">
        <f aca="false">IF($A924="","",COUNTIFS($A$2:$A924,$A924))</f>
        <v/>
      </c>
      <c r="J924" s="43" t="str">
        <f aca="false">IF($A924="","",$A924&amp;"-"&amp;$I924)</f>
        <v/>
      </c>
      <c r="K924" s="38" t="str">
        <f aca="false">IF($A924="","",IF(COUNTIF(参数!$B$6:$B$8,$H924)=0,"× 付款方式","√"))</f>
        <v/>
      </c>
    </row>
    <row r="925" customFormat="false" ht="13.5" hidden="false" customHeight="false" outlineLevel="0" collapsed="false">
      <c r="A925" s="41"/>
      <c r="B925" s="42"/>
      <c r="C925" s="36"/>
      <c r="D925" s="35"/>
      <c r="E925" s="36"/>
      <c r="F925" s="36"/>
      <c r="G925" s="37"/>
      <c r="H925" s="35"/>
      <c r="I925" s="43" t="str">
        <f aca="false">IF($A925="","",COUNTIFS($A$2:$A925,$A925))</f>
        <v/>
      </c>
      <c r="J925" s="43" t="str">
        <f aca="false">IF($A925="","",$A925&amp;"-"&amp;$I925)</f>
        <v/>
      </c>
      <c r="K925" s="38" t="str">
        <f aca="false">IF($A925="","",IF(COUNTIF(参数!$B$6:$B$8,$H925)=0,"× 付款方式","√"))</f>
        <v/>
      </c>
    </row>
    <row r="926" customFormat="false" ht="13.5" hidden="false" customHeight="false" outlineLevel="0" collapsed="false">
      <c r="A926" s="41"/>
      <c r="B926" s="42"/>
      <c r="C926" s="36"/>
      <c r="D926" s="35"/>
      <c r="E926" s="36"/>
      <c r="F926" s="36"/>
      <c r="G926" s="37"/>
      <c r="H926" s="35"/>
      <c r="I926" s="43" t="str">
        <f aca="false">IF($A926="","",COUNTIFS($A$2:$A926,$A926))</f>
        <v/>
      </c>
      <c r="J926" s="43" t="str">
        <f aca="false">IF($A926="","",$A926&amp;"-"&amp;$I926)</f>
        <v/>
      </c>
      <c r="K926" s="38" t="str">
        <f aca="false">IF($A926="","",IF(COUNTIF(参数!$B$6:$B$8,$H926)=0,"× 付款方式","√"))</f>
        <v/>
      </c>
    </row>
    <row r="927" customFormat="false" ht="13.5" hidden="false" customHeight="false" outlineLevel="0" collapsed="false">
      <c r="A927" s="41"/>
      <c r="B927" s="42"/>
      <c r="C927" s="36"/>
      <c r="D927" s="35"/>
      <c r="E927" s="36"/>
      <c r="F927" s="36"/>
      <c r="G927" s="37"/>
      <c r="H927" s="35"/>
      <c r="I927" s="43" t="str">
        <f aca="false">IF($A927="","",COUNTIFS($A$2:$A927,$A927))</f>
        <v/>
      </c>
      <c r="J927" s="43" t="str">
        <f aca="false">IF($A927="","",$A927&amp;"-"&amp;$I927)</f>
        <v/>
      </c>
      <c r="K927" s="38" t="str">
        <f aca="false">IF($A927="","",IF(COUNTIF(参数!$B$6:$B$8,$H927)=0,"× 付款方式","√"))</f>
        <v/>
      </c>
    </row>
    <row r="928" customFormat="false" ht="13.5" hidden="false" customHeight="false" outlineLevel="0" collapsed="false">
      <c r="A928" s="41"/>
      <c r="B928" s="42"/>
      <c r="C928" s="36"/>
      <c r="D928" s="35"/>
      <c r="E928" s="36"/>
      <c r="F928" s="36"/>
      <c r="G928" s="37"/>
      <c r="H928" s="35"/>
      <c r="I928" s="43" t="str">
        <f aca="false">IF($A928="","",COUNTIFS($A$2:$A928,$A928))</f>
        <v/>
      </c>
      <c r="J928" s="43" t="str">
        <f aca="false">IF($A928="","",$A928&amp;"-"&amp;$I928)</f>
        <v/>
      </c>
      <c r="K928" s="38" t="str">
        <f aca="false">IF($A928="","",IF(COUNTIF(参数!$B$6:$B$8,$H928)=0,"× 付款方式","√"))</f>
        <v/>
      </c>
    </row>
    <row r="929" customFormat="false" ht="13.5" hidden="false" customHeight="false" outlineLevel="0" collapsed="false">
      <c r="A929" s="41"/>
      <c r="B929" s="42"/>
      <c r="C929" s="36"/>
      <c r="D929" s="35"/>
      <c r="E929" s="36"/>
      <c r="F929" s="36"/>
      <c r="G929" s="37"/>
      <c r="H929" s="35"/>
      <c r="I929" s="43" t="str">
        <f aca="false">IF($A929="","",COUNTIFS($A$2:$A929,$A929))</f>
        <v/>
      </c>
      <c r="J929" s="43" t="str">
        <f aca="false">IF($A929="","",$A929&amp;"-"&amp;$I929)</f>
        <v/>
      </c>
      <c r="K929" s="38" t="str">
        <f aca="false">IF($A929="","",IF(COUNTIF(参数!$B$6:$B$8,$H929)=0,"× 付款方式","√"))</f>
        <v/>
      </c>
    </row>
    <row r="930" customFormat="false" ht="13.5" hidden="false" customHeight="false" outlineLevel="0" collapsed="false">
      <c r="A930" s="41"/>
      <c r="B930" s="42"/>
      <c r="C930" s="36"/>
      <c r="D930" s="35"/>
      <c r="E930" s="36"/>
      <c r="F930" s="36"/>
      <c r="G930" s="37"/>
      <c r="H930" s="35"/>
      <c r="I930" s="43" t="str">
        <f aca="false">IF($A930="","",COUNTIFS($A$2:$A930,$A930))</f>
        <v/>
      </c>
      <c r="J930" s="43" t="str">
        <f aca="false">IF($A930="","",$A930&amp;"-"&amp;$I930)</f>
        <v/>
      </c>
      <c r="K930" s="38" t="str">
        <f aca="false">IF($A930="","",IF(COUNTIF(参数!$B$6:$B$8,$H930)=0,"× 付款方式","√"))</f>
        <v/>
      </c>
    </row>
    <row r="931" customFormat="false" ht="13.5" hidden="false" customHeight="false" outlineLevel="0" collapsed="false">
      <c r="A931" s="41"/>
      <c r="B931" s="42"/>
      <c r="C931" s="36"/>
      <c r="D931" s="35"/>
      <c r="E931" s="36"/>
      <c r="F931" s="36"/>
      <c r="G931" s="37"/>
      <c r="H931" s="35"/>
      <c r="I931" s="43" t="str">
        <f aca="false">IF($A931="","",COUNTIFS($A$2:$A931,$A931))</f>
        <v/>
      </c>
      <c r="J931" s="43" t="str">
        <f aca="false">IF($A931="","",$A931&amp;"-"&amp;$I931)</f>
        <v/>
      </c>
      <c r="K931" s="38" t="str">
        <f aca="false">IF($A931="","",IF(COUNTIF(参数!$B$6:$B$8,$H931)=0,"× 付款方式","√"))</f>
        <v/>
      </c>
    </row>
    <row r="932" customFormat="false" ht="13.5" hidden="false" customHeight="false" outlineLevel="0" collapsed="false">
      <c r="A932" s="41"/>
      <c r="B932" s="42"/>
      <c r="C932" s="36"/>
      <c r="D932" s="35"/>
      <c r="E932" s="36"/>
      <c r="F932" s="36"/>
      <c r="G932" s="37"/>
      <c r="H932" s="35"/>
      <c r="I932" s="43" t="str">
        <f aca="false">IF($A932="","",COUNTIFS($A$2:$A932,$A932))</f>
        <v/>
      </c>
      <c r="J932" s="43" t="str">
        <f aca="false">IF($A932="","",$A932&amp;"-"&amp;$I932)</f>
        <v/>
      </c>
      <c r="K932" s="38" t="str">
        <f aca="false">IF($A932="","",IF(COUNTIF(参数!$B$6:$B$8,$H932)=0,"× 付款方式","√"))</f>
        <v/>
      </c>
    </row>
    <row r="933" customFormat="false" ht="13.5" hidden="false" customHeight="false" outlineLevel="0" collapsed="false">
      <c r="A933" s="41"/>
      <c r="B933" s="42"/>
      <c r="C933" s="36"/>
      <c r="D933" s="35"/>
      <c r="E933" s="36"/>
      <c r="F933" s="36"/>
      <c r="G933" s="37"/>
      <c r="H933" s="35"/>
      <c r="I933" s="43" t="str">
        <f aca="false">IF($A933="","",COUNTIFS($A$2:$A933,$A933))</f>
        <v/>
      </c>
      <c r="J933" s="43" t="str">
        <f aca="false">IF($A933="","",$A933&amp;"-"&amp;$I933)</f>
        <v/>
      </c>
      <c r="K933" s="38" t="str">
        <f aca="false">IF($A933="","",IF(COUNTIF(参数!$B$6:$B$8,$H933)=0,"× 付款方式","√"))</f>
        <v/>
      </c>
    </row>
    <row r="934" customFormat="false" ht="13.5" hidden="false" customHeight="false" outlineLevel="0" collapsed="false">
      <c r="A934" s="41"/>
      <c r="B934" s="42"/>
      <c r="C934" s="36"/>
      <c r="D934" s="35"/>
      <c r="E934" s="36"/>
      <c r="F934" s="36"/>
      <c r="G934" s="37"/>
      <c r="H934" s="35"/>
      <c r="I934" s="43" t="str">
        <f aca="false">IF($A934="","",COUNTIFS($A$2:$A934,$A934))</f>
        <v/>
      </c>
      <c r="J934" s="43" t="str">
        <f aca="false">IF($A934="","",$A934&amp;"-"&amp;$I934)</f>
        <v/>
      </c>
      <c r="K934" s="38" t="str">
        <f aca="false">IF($A934="","",IF(COUNTIF(参数!$B$6:$B$8,$H934)=0,"× 付款方式","√"))</f>
        <v/>
      </c>
    </row>
    <row r="935" customFormat="false" ht="13.5" hidden="false" customHeight="false" outlineLevel="0" collapsed="false">
      <c r="A935" s="41"/>
      <c r="B935" s="42"/>
      <c r="C935" s="36"/>
      <c r="D935" s="35"/>
      <c r="E935" s="36"/>
      <c r="F935" s="36"/>
      <c r="G935" s="37"/>
      <c r="H935" s="35"/>
      <c r="I935" s="43" t="str">
        <f aca="false">IF($A935="","",COUNTIFS($A$2:$A935,$A935))</f>
        <v/>
      </c>
      <c r="J935" s="43" t="str">
        <f aca="false">IF($A935="","",$A935&amp;"-"&amp;$I935)</f>
        <v/>
      </c>
      <c r="K935" s="38" t="str">
        <f aca="false">IF($A935="","",IF(COUNTIF(参数!$B$6:$B$8,$H935)=0,"× 付款方式","√"))</f>
        <v/>
      </c>
    </row>
    <row r="936" customFormat="false" ht="13.5" hidden="false" customHeight="false" outlineLevel="0" collapsed="false">
      <c r="A936" s="41"/>
      <c r="B936" s="42"/>
      <c r="C936" s="36"/>
      <c r="D936" s="35"/>
      <c r="E936" s="36"/>
      <c r="F936" s="36"/>
      <c r="G936" s="37"/>
      <c r="H936" s="35"/>
      <c r="I936" s="43" t="str">
        <f aca="false">IF($A936="","",COUNTIFS($A$2:$A936,$A936))</f>
        <v/>
      </c>
      <c r="J936" s="43" t="str">
        <f aca="false">IF($A936="","",$A936&amp;"-"&amp;$I936)</f>
        <v/>
      </c>
      <c r="K936" s="38" t="str">
        <f aca="false">IF($A936="","",IF(COUNTIF(参数!$B$6:$B$8,$H936)=0,"× 付款方式","√"))</f>
        <v/>
      </c>
    </row>
    <row r="937" customFormat="false" ht="13.5" hidden="false" customHeight="false" outlineLevel="0" collapsed="false">
      <c r="A937" s="41"/>
      <c r="B937" s="42"/>
      <c r="C937" s="36"/>
      <c r="D937" s="35"/>
      <c r="E937" s="36"/>
      <c r="F937" s="36"/>
      <c r="G937" s="37"/>
      <c r="H937" s="35"/>
      <c r="I937" s="43" t="str">
        <f aca="false">IF($A937="","",COUNTIFS($A$2:$A937,$A937))</f>
        <v/>
      </c>
      <c r="J937" s="43" t="str">
        <f aca="false">IF($A937="","",$A937&amp;"-"&amp;$I937)</f>
        <v/>
      </c>
      <c r="K937" s="38" t="str">
        <f aca="false">IF($A937="","",IF(COUNTIF(参数!$B$6:$B$8,$H937)=0,"× 付款方式","√"))</f>
        <v/>
      </c>
    </row>
    <row r="938" customFormat="false" ht="13.5" hidden="false" customHeight="false" outlineLevel="0" collapsed="false">
      <c r="A938" s="41"/>
      <c r="B938" s="42"/>
      <c r="C938" s="36"/>
      <c r="D938" s="35"/>
      <c r="E938" s="36"/>
      <c r="F938" s="36"/>
      <c r="G938" s="37"/>
      <c r="H938" s="35"/>
      <c r="I938" s="43" t="str">
        <f aca="false">IF($A938="","",COUNTIFS($A$2:$A938,$A938))</f>
        <v/>
      </c>
      <c r="J938" s="43" t="str">
        <f aca="false">IF($A938="","",$A938&amp;"-"&amp;$I938)</f>
        <v/>
      </c>
      <c r="K938" s="38" t="str">
        <f aca="false">IF($A938="","",IF(COUNTIF(参数!$B$6:$B$8,$H938)=0,"× 付款方式","√"))</f>
        <v/>
      </c>
    </row>
    <row r="939" customFormat="false" ht="13.5" hidden="false" customHeight="false" outlineLevel="0" collapsed="false">
      <c r="A939" s="41"/>
      <c r="B939" s="42"/>
      <c r="C939" s="36"/>
      <c r="D939" s="35"/>
      <c r="E939" s="36"/>
      <c r="F939" s="36"/>
      <c r="G939" s="37"/>
      <c r="H939" s="35"/>
      <c r="I939" s="43" t="str">
        <f aca="false">IF($A939="","",COUNTIFS($A$2:$A939,$A939))</f>
        <v/>
      </c>
      <c r="J939" s="43" t="str">
        <f aca="false">IF($A939="","",$A939&amp;"-"&amp;$I939)</f>
        <v/>
      </c>
      <c r="K939" s="38" t="str">
        <f aca="false">IF($A939="","",IF(COUNTIF(参数!$B$6:$B$8,$H939)=0,"× 付款方式","√"))</f>
        <v/>
      </c>
    </row>
    <row r="940" customFormat="false" ht="13.5" hidden="false" customHeight="false" outlineLevel="0" collapsed="false">
      <c r="A940" s="41"/>
      <c r="B940" s="42"/>
      <c r="C940" s="36"/>
      <c r="D940" s="35"/>
      <c r="E940" s="36"/>
      <c r="F940" s="36"/>
      <c r="G940" s="37"/>
      <c r="H940" s="35"/>
      <c r="I940" s="43" t="str">
        <f aca="false">IF($A940="","",COUNTIFS($A$2:$A940,$A940))</f>
        <v/>
      </c>
      <c r="J940" s="43" t="str">
        <f aca="false">IF($A940="","",$A940&amp;"-"&amp;$I940)</f>
        <v/>
      </c>
      <c r="K940" s="38" t="str">
        <f aca="false">IF($A940="","",IF(COUNTIF(参数!$B$6:$B$8,$H940)=0,"× 付款方式","√"))</f>
        <v/>
      </c>
    </row>
    <row r="941" customFormat="false" ht="13.5" hidden="false" customHeight="false" outlineLevel="0" collapsed="false">
      <c r="A941" s="41"/>
      <c r="B941" s="42"/>
      <c r="C941" s="36"/>
      <c r="D941" s="35"/>
      <c r="E941" s="36"/>
      <c r="F941" s="36"/>
      <c r="G941" s="37"/>
      <c r="H941" s="35"/>
      <c r="I941" s="43" t="str">
        <f aca="false">IF($A941="","",COUNTIFS($A$2:$A941,$A941))</f>
        <v/>
      </c>
      <c r="J941" s="43" t="str">
        <f aca="false">IF($A941="","",$A941&amp;"-"&amp;$I941)</f>
        <v/>
      </c>
      <c r="K941" s="38" t="str">
        <f aca="false">IF($A941="","",IF(COUNTIF(参数!$B$6:$B$8,$H941)=0,"× 付款方式","√"))</f>
        <v/>
      </c>
    </row>
    <row r="942" customFormat="false" ht="13.5" hidden="false" customHeight="false" outlineLevel="0" collapsed="false">
      <c r="A942" s="41"/>
      <c r="B942" s="42"/>
      <c r="C942" s="36"/>
      <c r="D942" s="35"/>
      <c r="E942" s="36"/>
      <c r="F942" s="36"/>
      <c r="G942" s="37"/>
      <c r="H942" s="35"/>
      <c r="I942" s="43" t="str">
        <f aca="false">IF($A942="","",COUNTIFS($A$2:$A942,$A942))</f>
        <v/>
      </c>
      <c r="J942" s="43" t="str">
        <f aca="false">IF($A942="","",$A942&amp;"-"&amp;$I942)</f>
        <v/>
      </c>
      <c r="K942" s="38" t="str">
        <f aca="false">IF($A942="","",IF(COUNTIF(参数!$B$6:$B$8,$H942)=0,"× 付款方式","√"))</f>
        <v/>
      </c>
    </row>
    <row r="943" customFormat="false" ht="13.5" hidden="false" customHeight="false" outlineLevel="0" collapsed="false">
      <c r="A943" s="41"/>
      <c r="B943" s="42"/>
      <c r="C943" s="36"/>
      <c r="D943" s="35"/>
      <c r="E943" s="36"/>
      <c r="F943" s="36"/>
      <c r="G943" s="37"/>
      <c r="H943" s="35"/>
      <c r="I943" s="43" t="str">
        <f aca="false">IF($A943="","",COUNTIFS($A$2:$A943,$A943))</f>
        <v/>
      </c>
      <c r="J943" s="43" t="str">
        <f aca="false">IF($A943="","",$A943&amp;"-"&amp;$I943)</f>
        <v/>
      </c>
      <c r="K943" s="38" t="str">
        <f aca="false">IF($A943="","",IF(COUNTIF(参数!$B$6:$B$8,$H943)=0,"× 付款方式","√"))</f>
        <v/>
      </c>
    </row>
    <row r="944" customFormat="false" ht="13.5" hidden="false" customHeight="false" outlineLevel="0" collapsed="false">
      <c r="A944" s="41"/>
      <c r="B944" s="42"/>
      <c r="C944" s="36"/>
      <c r="D944" s="35"/>
      <c r="E944" s="36"/>
      <c r="F944" s="36"/>
      <c r="G944" s="37"/>
      <c r="H944" s="35"/>
      <c r="I944" s="43" t="str">
        <f aca="false">IF($A944="","",COUNTIFS($A$2:$A944,$A944))</f>
        <v/>
      </c>
      <c r="J944" s="43" t="str">
        <f aca="false">IF($A944="","",$A944&amp;"-"&amp;$I944)</f>
        <v/>
      </c>
      <c r="K944" s="38" t="str">
        <f aca="false">IF($A944="","",IF(COUNTIF(参数!$B$6:$B$8,$H944)=0,"× 付款方式","√"))</f>
        <v/>
      </c>
    </row>
    <row r="945" customFormat="false" ht="13.5" hidden="false" customHeight="false" outlineLevel="0" collapsed="false">
      <c r="A945" s="41"/>
      <c r="B945" s="42"/>
      <c r="C945" s="36"/>
      <c r="D945" s="35"/>
      <c r="E945" s="36"/>
      <c r="F945" s="36"/>
      <c r="G945" s="37"/>
      <c r="H945" s="35"/>
      <c r="I945" s="43" t="str">
        <f aca="false">IF($A945="","",COUNTIFS($A$2:$A945,$A945))</f>
        <v/>
      </c>
      <c r="J945" s="43" t="str">
        <f aca="false">IF($A945="","",$A945&amp;"-"&amp;$I945)</f>
        <v/>
      </c>
      <c r="K945" s="38" t="str">
        <f aca="false">IF($A945="","",IF(COUNTIF(参数!$B$6:$B$8,$H945)=0,"× 付款方式","√"))</f>
        <v/>
      </c>
    </row>
    <row r="946" customFormat="false" ht="13.5" hidden="false" customHeight="false" outlineLevel="0" collapsed="false">
      <c r="A946" s="41"/>
      <c r="B946" s="42"/>
      <c r="C946" s="36"/>
      <c r="D946" s="35"/>
      <c r="E946" s="36"/>
      <c r="F946" s="36"/>
      <c r="G946" s="37"/>
      <c r="H946" s="35"/>
      <c r="I946" s="43" t="str">
        <f aca="false">IF($A946="","",COUNTIFS($A$2:$A946,$A946))</f>
        <v/>
      </c>
      <c r="J946" s="43" t="str">
        <f aca="false">IF($A946="","",$A946&amp;"-"&amp;$I946)</f>
        <v/>
      </c>
      <c r="K946" s="38" t="str">
        <f aca="false">IF($A946="","",IF(COUNTIF(参数!$B$6:$B$8,$H946)=0,"× 付款方式","√"))</f>
        <v/>
      </c>
    </row>
    <row r="947" customFormat="false" ht="13.5" hidden="false" customHeight="false" outlineLevel="0" collapsed="false">
      <c r="A947" s="41"/>
      <c r="B947" s="42"/>
      <c r="C947" s="36"/>
      <c r="D947" s="35"/>
      <c r="E947" s="36"/>
      <c r="F947" s="36"/>
      <c r="G947" s="37"/>
      <c r="H947" s="35"/>
      <c r="I947" s="43" t="str">
        <f aca="false">IF($A947="","",COUNTIFS($A$2:$A947,$A947))</f>
        <v/>
      </c>
      <c r="J947" s="43" t="str">
        <f aca="false">IF($A947="","",$A947&amp;"-"&amp;$I947)</f>
        <v/>
      </c>
      <c r="K947" s="38" t="str">
        <f aca="false">IF($A947="","",IF(COUNTIF(参数!$B$6:$B$8,$H947)=0,"× 付款方式","√"))</f>
        <v/>
      </c>
    </row>
    <row r="948" customFormat="false" ht="13.5" hidden="false" customHeight="false" outlineLevel="0" collapsed="false">
      <c r="A948" s="41"/>
      <c r="B948" s="42"/>
      <c r="C948" s="36"/>
      <c r="D948" s="35"/>
      <c r="E948" s="36"/>
      <c r="F948" s="36"/>
      <c r="G948" s="37"/>
      <c r="H948" s="35"/>
      <c r="I948" s="43" t="str">
        <f aca="false">IF($A948="","",COUNTIFS($A$2:$A948,$A948))</f>
        <v/>
      </c>
      <c r="J948" s="43" t="str">
        <f aca="false">IF($A948="","",$A948&amp;"-"&amp;$I948)</f>
        <v/>
      </c>
      <c r="K948" s="38" t="str">
        <f aca="false">IF($A948="","",IF(COUNTIF(参数!$B$6:$B$8,$H948)=0,"× 付款方式","√"))</f>
        <v/>
      </c>
    </row>
    <row r="949" customFormat="false" ht="13.5" hidden="false" customHeight="false" outlineLevel="0" collapsed="false">
      <c r="A949" s="41"/>
      <c r="B949" s="42"/>
      <c r="C949" s="36"/>
      <c r="D949" s="35"/>
      <c r="E949" s="36"/>
      <c r="F949" s="36"/>
      <c r="G949" s="37"/>
      <c r="H949" s="35"/>
      <c r="I949" s="43" t="str">
        <f aca="false">IF($A949="","",COUNTIFS($A$2:$A949,$A949))</f>
        <v/>
      </c>
      <c r="J949" s="43" t="str">
        <f aca="false">IF($A949="","",$A949&amp;"-"&amp;$I949)</f>
        <v/>
      </c>
      <c r="K949" s="38" t="str">
        <f aca="false">IF($A949="","",IF(COUNTIF(参数!$B$6:$B$8,$H949)=0,"× 付款方式","√"))</f>
        <v/>
      </c>
    </row>
    <row r="950" customFormat="false" ht="13.5" hidden="false" customHeight="false" outlineLevel="0" collapsed="false">
      <c r="A950" s="41"/>
      <c r="B950" s="42"/>
      <c r="C950" s="36"/>
      <c r="D950" s="35"/>
      <c r="E950" s="36"/>
      <c r="F950" s="36"/>
      <c r="G950" s="37"/>
      <c r="H950" s="35"/>
      <c r="I950" s="43" t="str">
        <f aca="false">IF($A950="","",COUNTIFS($A$2:$A950,$A950))</f>
        <v/>
      </c>
      <c r="J950" s="43" t="str">
        <f aca="false">IF($A950="","",$A950&amp;"-"&amp;$I950)</f>
        <v/>
      </c>
      <c r="K950" s="38" t="str">
        <f aca="false">IF($A950="","",IF(COUNTIF(参数!$B$6:$B$8,$H950)=0,"× 付款方式","√"))</f>
        <v/>
      </c>
    </row>
    <row r="951" customFormat="false" ht="13.5" hidden="false" customHeight="false" outlineLevel="0" collapsed="false">
      <c r="A951" s="41"/>
      <c r="B951" s="42"/>
      <c r="C951" s="36"/>
      <c r="D951" s="35"/>
      <c r="E951" s="36"/>
      <c r="F951" s="36"/>
      <c r="G951" s="37"/>
      <c r="H951" s="35"/>
      <c r="I951" s="43" t="str">
        <f aca="false">IF($A951="","",COUNTIFS($A$2:$A951,$A951))</f>
        <v/>
      </c>
      <c r="J951" s="43" t="str">
        <f aca="false">IF($A951="","",$A951&amp;"-"&amp;$I951)</f>
        <v/>
      </c>
      <c r="K951" s="38" t="str">
        <f aca="false">IF($A951="","",IF(COUNTIF(参数!$B$6:$B$8,$H951)=0,"× 付款方式","√"))</f>
        <v/>
      </c>
    </row>
    <row r="952" customFormat="false" ht="13.5" hidden="false" customHeight="false" outlineLevel="0" collapsed="false">
      <c r="A952" s="41"/>
      <c r="B952" s="42"/>
      <c r="C952" s="36"/>
      <c r="D952" s="35"/>
      <c r="E952" s="36"/>
      <c r="F952" s="36"/>
      <c r="G952" s="37"/>
      <c r="H952" s="35"/>
      <c r="I952" s="43" t="str">
        <f aca="false">IF($A952="","",COUNTIFS($A$2:$A952,$A952))</f>
        <v/>
      </c>
      <c r="J952" s="43" t="str">
        <f aca="false">IF($A952="","",$A952&amp;"-"&amp;$I952)</f>
        <v/>
      </c>
      <c r="K952" s="38" t="str">
        <f aca="false">IF($A952="","",IF(COUNTIF(参数!$B$6:$B$8,$H952)=0,"× 付款方式","√"))</f>
        <v/>
      </c>
    </row>
    <row r="953" customFormat="false" ht="13.5" hidden="false" customHeight="false" outlineLevel="0" collapsed="false">
      <c r="A953" s="41"/>
      <c r="B953" s="42"/>
      <c r="C953" s="36"/>
      <c r="D953" s="35"/>
      <c r="E953" s="36"/>
      <c r="F953" s="36"/>
      <c r="G953" s="37"/>
      <c r="H953" s="35"/>
      <c r="I953" s="43" t="str">
        <f aca="false">IF($A953="","",COUNTIFS($A$2:$A953,$A953))</f>
        <v/>
      </c>
      <c r="J953" s="43" t="str">
        <f aca="false">IF($A953="","",$A953&amp;"-"&amp;$I953)</f>
        <v/>
      </c>
      <c r="K953" s="38" t="str">
        <f aca="false">IF($A953="","",IF(COUNTIF(参数!$B$6:$B$8,$H953)=0,"× 付款方式","√"))</f>
        <v/>
      </c>
    </row>
    <row r="954" customFormat="false" ht="13.5" hidden="false" customHeight="false" outlineLevel="0" collapsed="false">
      <c r="A954" s="41"/>
      <c r="B954" s="42"/>
      <c r="C954" s="36"/>
      <c r="D954" s="35"/>
      <c r="E954" s="36"/>
      <c r="F954" s="36"/>
      <c r="G954" s="37"/>
      <c r="H954" s="35"/>
      <c r="I954" s="43" t="str">
        <f aca="false">IF($A954="","",COUNTIFS($A$2:$A954,$A954))</f>
        <v/>
      </c>
      <c r="J954" s="43" t="str">
        <f aca="false">IF($A954="","",$A954&amp;"-"&amp;$I954)</f>
        <v/>
      </c>
      <c r="K954" s="38" t="str">
        <f aca="false">IF($A954="","",IF(COUNTIF(参数!$B$6:$B$8,$H954)=0,"× 付款方式","√"))</f>
        <v/>
      </c>
    </row>
    <row r="955" customFormat="false" ht="13.5" hidden="false" customHeight="false" outlineLevel="0" collapsed="false">
      <c r="A955" s="41"/>
      <c r="B955" s="42"/>
      <c r="C955" s="36"/>
      <c r="D955" s="35"/>
      <c r="E955" s="36"/>
      <c r="F955" s="36"/>
      <c r="G955" s="37"/>
      <c r="H955" s="35"/>
      <c r="I955" s="43" t="str">
        <f aca="false">IF($A955="","",COUNTIFS($A$2:$A955,$A955))</f>
        <v/>
      </c>
      <c r="J955" s="43" t="str">
        <f aca="false">IF($A955="","",$A955&amp;"-"&amp;$I955)</f>
        <v/>
      </c>
      <c r="K955" s="38" t="str">
        <f aca="false">IF($A955="","",IF(COUNTIF(参数!$B$6:$B$8,$H955)=0,"× 付款方式","√"))</f>
        <v/>
      </c>
    </row>
    <row r="956" customFormat="false" ht="13.5" hidden="false" customHeight="false" outlineLevel="0" collapsed="false">
      <c r="A956" s="41"/>
      <c r="B956" s="42"/>
      <c r="C956" s="36"/>
      <c r="D956" s="35"/>
      <c r="E956" s="36"/>
      <c r="F956" s="36"/>
      <c r="G956" s="37"/>
      <c r="H956" s="35"/>
      <c r="I956" s="43" t="str">
        <f aca="false">IF($A956="","",COUNTIFS($A$2:$A956,$A956))</f>
        <v/>
      </c>
      <c r="J956" s="43" t="str">
        <f aca="false">IF($A956="","",$A956&amp;"-"&amp;$I956)</f>
        <v/>
      </c>
      <c r="K956" s="38" t="str">
        <f aca="false">IF($A956="","",IF(COUNTIF(参数!$B$6:$B$8,$H956)=0,"× 付款方式","√"))</f>
        <v/>
      </c>
    </row>
    <row r="957" customFormat="false" ht="13.5" hidden="false" customHeight="false" outlineLevel="0" collapsed="false">
      <c r="A957" s="41"/>
      <c r="B957" s="42"/>
      <c r="C957" s="36"/>
      <c r="D957" s="35"/>
      <c r="E957" s="36"/>
      <c r="F957" s="36"/>
      <c r="G957" s="37"/>
      <c r="H957" s="35"/>
      <c r="I957" s="43" t="str">
        <f aca="false">IF($A957="","",COUNTIFS($A$2:$A957,$A957))</f>
        <v/>
      </c>
      <c r="J957" s="43" t="str">
        <f aca="false">IF($A957="","",$A957&amp;"-"&amp;$I957)</f>
        <v/>
      </c>
      <c r="K957" s="38" t="str">
        <f aca="false">IF($A957="","",IF(COUNTIF(参数!$B$6:$B$8,$H957)=0,"× 付款方式","√"))</f>
        <v/>
      </c>
    </row>
    <row r="958" customFormat="false" ht="13.5" hidden="false" customHeight="false" outlineLevel="0" collapsed="false">
      <c r="A958" s="41"/>
      <c r="B958" s="42"/>
      <c r="C958" s="36"/>
      <c r="D958" s="35"/>
      <c r="E958" s="36"/>
      <c r="F958" s="36"/>
      <c r="G958" s="37"/>
      <c r="H958" s="35"/>
      <c r="I958" s="43" t="str">
        <f aca="false">IF($A958="","",COUNTIFS($A$2:$A958,$A958))</f>
        <v/>
      </c>
      <c r="J958" s="43" t="str">
        <f aca="false">IF($A958="","",$A958&amp;"-"&amp;$I958)</f>
        <v/>
      </c>
      <c r="K958" s="38" t="str">
        <f aca="false">IF($A958="","",IF(COUNTIF(参数!$B$6:$B$8,$H958)=0,"× 付款方式","√"))</f>
        <v/>
      </c>
    </row>
    <row r="959" customFormat="false" ht="13.5" hidden="false" customHeight="false" outlineLevel="0" collapsed="false">
      <c r="A959" s="41"/>
      <c r="B959" s="42"/>
      <c r="C959" s="36"/>
      <c r="D959" s="35"/>
      <c r="E959" s="36"/>
      <c r="F959" s="36"/>
      <c r="G959" s="37"/>
      <c r="H959" s="35"/>
      <c r="I959" s="43" t="str">
        <f aca="false">IF($A959="","",COUNTIFS($A$2:$A959,$A959))</f>
        <v/>
      </c>
      <c r="J959" s="43" t="str">
        <f aca="false">IF($A959="","",$A959&amp;"-"&amp;$I959)</f>
        <v/>
      </c>
      <c r="K959" s="38" t="str">
        <f aca="false">IF($A959="","",IF(COUNTIF(参数!$B$6:$B$8,$H959)=0,"× 付款方式","√"))</f>
        <v/>
      </c>
    </row>
    <row r="960" customFormat="false" ht="13.5" hidden="false" customHeight="false" outlineLevel="0" collapsed="false">
      <c r="A960" s="41"/>
      <c r="B960" s="42"/>
      <c r="C960" s="36"/>
      <c r="D960" s="35"/>
      <c r="E960" s="36"/>
      <c r="F960" s="36"/>
      <c r="G960" s="37"/>
      <c r="H960" s="35"/>
      <c r="I960" s="43" t="str">
        <f aca="false">IF($A960="","",COUNTIFS($A$2:$A960,$A960))</f>
        <v/>
      </c>
      <c r="J960" s="43" t="str">
        <f aca="false">IF($A960="","",$A960&amp;"-"&amp;$I960)</f>
        <v/>
      </c>
      <c r="K960" s="38" t="str">
        <f aca="false">IF($A960="","",IF(COUNTIF(参数!$B$6:$B$8,$H960)=0,"× 付款方式","√"))</f>
        <v/>
      </c>
    </row>
    <row r="961" customFormat="false" ht="13.5" hidden="false" customHeight="false" outlineLevel="0" collapsed="false">
      <c r="A961" s="41"/>
      <c r="B961" s="42"/>
      <c r="C961" s="36"/>
      <c r="D961" s="35"/>
      <c r="E961" s="36"/>
      <c r="F961" s="36"/>
      <c r="G961" s="37"/>
      <c r="H961" s="35"/>
      <c r="I961" s="43" t="str">
        <f aca="false">IF($A961="","",COUNTIFS($A$2:$A961,$A961))</f>
        <v/>
      </c>
      <c r="J961" s="43" t="str">
        <f aca="false">IF($A961="","",$A961&amp;"-"&amp;$I961)</f>
        <v/>
      </c>
      <c r="K961" s="38" t="str">
        <f aca="false">IF($A961="","",IF(COUNTIF(参数!$B$6:$B$8,$H961)=0,"× 付款方式","√"))</f>
        <v/>
      </c>
    </row>
    <row r="962" customFormat="false" ht="13.5" hidden="false" customHeight="false" outlineLevel="0" collapsed="false">
      <c r="A962" s="41"/>
      <c r="B962" s="42"/>
      <c r="C962" s="36"/>
      <c r="D962" s="35"/>
      <c r="E962" s="36"/>
      <c r="F962" s="36"/>
      <c r="G962" s="37"/>
      <c r="H962" s="35"/>
      <c r="I962" s="43" t="str">
        <f aca="false">IF($A962="","",COUNTIFS($A$2:$A962,$A962))</f>
        <v/>
      </c>
      <c r="J962" s="43" t="str">
        <f aca="false">IF($A962="","",$A962&amp;"-"&amp;$I962)</f>
        <v/>
      </c>
      <c r="K962" s="38" t="str">
        <f aca="false">IF($A962="","",IF(COUNTIF(参数!$B$6:$B$8,$H962)=0,"× 付款方式","√"))</f>
        <v/>
      </c>
    </row>
    <row r="963" customFormat="false" ht="13.5" hidden="false" customHeight="false" outlineLevel="0" collapsed="false">
      <c r="A963" s="41"/>
      <c r="B963" s="42"/>
      <c r="C963" s="36"/>
      <c r="D963" s="35"/>
      <c r="E963" s="36"/>
      <c r="F963" s="36"/>
      <c r="G963" s="37"/>
      <c r="H963" s="35"/>
      <c r="I963" s="43" t="str">
        <f aca="false">IF($A963="","",COUNTIFS($A$2:$A963,$A963))</f>
        <v/>
      </c>
      <c r="J963" s="43" t="str">
        <f aca="false">IF($A963="","",$A963&amp;"-"&amp;$I963)</f>
        <v/>
      </c>
      <c r="K963" s="38" t="str">
        <f aca="false">IF($A963="","",IF(COUNTIF(参数!$B$6:$B$8,$H963)=0,"× 付款方式","√"))</f>
        <v/>
      </c>
    </row>
    <row r="964" customFormat="false" ht="13.5" hidden="false" customHeight="false" outlineLevel="0" collapsed="false">
      <c r="A964" s="41"/>
      <c r="B964" s="42"/>
      <c r="C964" s="36"/>
      <c r="D964" s="35"/>
      <c r="E964" s="36"/>
      <c r="F964" s="36"/>
      <c r="G964" s="37"/>
      <c r="H964" s="35"/>
      <c r="I964" s="43" t="str">
        <f aca="false">IF($A964="","",COUNTIFS($A$2:$A964,$A964))</f>
        <v/>
      </c>
      <c r="J964" s="43" t="str">
        <f aca="false">IF($A964="","",$A964&amp;"-"&amp;$I964)</f>
        <v/>
      </c>
      <c r="K964" s="38" t="str">
        <f aca="false">IF($A964="","",IF(COUNTIF(参数!$B$6:$B$8,$H964)=0,"× 付款方式","√"))</f>
        <v/>
      </c>
    </row>
    <row r="965" customFormat="false" ht="13.5" hidden="false" customHeight="false" outlineLevel="0" collapsed="false">
      <c r="A965" s="41"/>
      <c r="B965" s="42"/>
      <c r="C965" s="36"/>
      <c r="D965" s="35"/>
      <c r="E965" s="36"/>
      <c r="F965" s="36"/>
      <c r="G965" s="37"/>
      <c r="H965" s="35"/>
      <c r="I965" s="43" t="str">
        <f aca="false">IF($A965="","",COUNTIFS($A$2:$A965,$A965))</f>
        <v/>
      </c>
      <c r="J965" s="43" t="str">
        <f aca="false">IF($A965="","",$A965&amp;"-"&amp;$I965)</f>
        <v/>
      </c>
      <c r="K965" s="38" t="str">
        <f aca="false">IF($A965="","",IF(COUNTIF(参数!$B$6:$B$8,$H965)=0,"× 付款方式","√"))</f>
        <v/>
      </c>
    </row>
    <row r="966" customFormat="false" ht="13.5" hidden="false" customHeight="false" outlineLevel="0" collapsed="false">
      <c r="A966" s="41"/>
      <c r="B966" s="42"/>
      <c r="C966" s="36"/>
      <c r="D966" s="35"/>
      <c r="E966" s="36"/>
      <c r="F966" s="36"/>
      <c r="G966" s="37"/>
      <c r="H966" s="35"/>
      <c r="I966" s="43" t="str">
        <f aca="false">IF($A966="","",COUNTIFS($A$2:$A966,$A966))</f>
        <v/>
      </c>
      <c r="J966" s="43" t="str">
        <f aca="false">IF($A966="","",$A966&amp;"-"&amp;$I966)</f>
        <v/>
      </c>
      <c r="K966" s="38" t="str">
        <f aca="false">IF($A966="","",IF(COUNTIF(参数!$B$6:$B$8,$H966)=0,"× 付款方式","√"))</f>
        <v/>
      </c>
    </row>
    <row r="967" customFormat="false" ht="13.5" hidden="false" customHeight="false" outlineLevel="0" collapsed="false">
      <c r="A967" s="41"/>
      <c r="B967" s="42"/>
      <c r="C967" s="36"/>
      <c r="D967" s="35"/>
      <c r="E967" s="36"/>
      <c r="F967" s="36"/>
      <c r="G967" s="37"/>
      <c r="H967" s="35"/>
      <c r="I967" s="43" t="str">
        <f aca="false">IF($A967="","",COUNTIFS($A$2:$A967,$A967))</f>
        <v/>
      </c>
      <c r="J967" s="43" t="str">
        <f aca="false">IF($A967="","",$A967&amp;"-"&amp;$I967)</f>
        <v/>
      </c>
      <c r="K967" s="38" t="str">
        <f aca="false">IF($A967="","",IF(COUNTIF(参数!$B$6:$B$8,$H967)=0,"× 付款方式","√"))</f>
        <v/>
      </c>
    </row>
    <row r="968" customFormat="false" ht="13.5" hidden="false" customHeight="false" outlineLevel="0" collapsed="false">
      <c r="A968" s="41"/>
      <c r="B968" s="42"/>
      <c r="C968" s="36"/>
      <c r="D968" s="35"/>
      <c r="E968" s="36"/>
      <c r="F968" s="36"/>
      <c r="G968" s="37"/>
      <c r="H968" s="35"/>
      <c r="I968" s="43" t="str">
        <f aca="false">IF($A968="","",COUNTIFS($A$2:$A968,$A968))</f>
        <v/>
      </c>
      <c r="J968" s="43" t="str">
        <f aca="false">IF($A968="","",$A968&amp;"-"&amp;$I968)</f>
        <v/>
      </c>
      <c r="K968" s="38" t="str">
        <f aca="false">IF($A968="","",IF(COUNTIF(参数!$B$6:$B$8,$H968)=0,"× 付款方式","√"))</f>
        <v/>
      </c>
    </row>
    <row r="969" customFormat="false" ht="13.5" hidden="false" customHeight="false" outlineLevel="0" collapsed="false">
      <c r="A969" s="41"/>
      <c r="B969" s="42"/>
      <c r="C969" s="36"/>
      <c r="D969" s="35"/>
      <c r="E969" s="36"/>
      <c r="F969" s="36"/>
      <c r="G969" s="37"/>
      <c r="H969" s="35"/>
      <c r="I969" s="43" t="str">
        <f aca="false">IF($A969="","",COUNTIFS($A$2:$A969,$A969))</f>
        <v/>
      </c>
      <c r="J969" s="43" t="str">
        <f aca="false">IF($A969="","",$A969&amp;"-"&amp;$I969)</f>
        <v/>
      </c>
      <c r="K969" s="38" t="str">
        <f aca="false">IF($A969="","",IF(COUNTIF(参数!$B$6:$B$8,$H969)=0,"× 付款方式","√"))</f>
        <v/>
      </c>
    </row>
    <row r="970" customFormat="false" ht="13.5" hidden="false" customHeight="false" outlineLevel="0" collapsed="false">
      <c r="A970" s="41"/>
      <c r="B970" s="42"/>
      <c r="C970" s="36"/>
      <c r="D970" s="35"/>
      <c r="E970" s="36"/>
      <c r="F970" s="36"/>
      <c r="G970" s="37"/>
      <c r="H970" s="35"/>
      <c r="I970" s="43" t="str">
        <f aca="false">IF($A970="","",COUNTIFS($A$2:$A970,$A970))</f>
        <v/>
      </c>
      <c r="J970" s="43" t="str">
        <f aca="false">IF($A970="","",$A970&amp;"-"&amp;$I970)</f>
        <v/>
      </c>
      <c r="K970" s="38" t="str">
        <f aca="false">IF($A970="","",IF(COUNTIF(参数!$B$6:$B$8,$H970)=0,"× 付款方式","√"))</f>
        <v/>
      </c>
    </row>
    <row r="971" customFormat="false" ht="13.5" hidden="false" customHeight="false" outlineLevel="0" collapsed="false">
      <c r="A971" s="41"/>
      <c r="B971" s="42"/>
      <c r="C971" s="36"/>
      <c r="D971" s="35"/>
      <c r="E971" s="36"/>
      <c r="F971" s="36"/>
      <c r="G971" s="37"/>
      <c r="H971" s="35"/>
      <c r="I971" s="43" t="str">
        <f aca="false">IF($A971="","",COUNTIFS($A$2:$A971,$A971))</f>
        <v/>
      </c>
      <c r="J971" s="43" t="str">
        <f aca="false">IF($A971="","",$A971&amp;"-"&amp;$I971)</f>
        <v/>
      </c>
      <c r="K971" s="38" t="str">
        <f aca="false">IF($A971="","",IF(COUNTIF(参数!$B$6:$B$8,$H971)=0,"× 付款方式","√"))</f>
        <v/>
      </c>
    </row>
    <row r="972" customFormat="false" ht="13.5" hidden="false" customHeight="false" outlineLevel="0" collapsed="false">
      <c r="A972" s="41"/>
      <c r="B972" s="42"/>
      <c r="C972" s="36"/>
      <c r="D972" s="35"/>
      <c r="E972" s="36"/>
      <c r="F972" s="36"/>
      <c r="G972" s="37"/>
      <c r="H972" s="35"/>
      <c r="I972" s="43" t="str">
        <f aca="false">IF($A972="","",COUNTIFS($A$2:$A972,$A972))</f>
        <v/>
      </c>
      <c r="J972" s="43" t="str">
        <f aca="false">IF($A972="","",$A972&amp;"-"&amp;$I972)</f>
        <v/>
      </c>
      <c r="K972" s="38" t="str">
        <f aca="false">IF($A972="","",IF(COUNTIF(参数!$B$6:$B$8,$H972)=0,"× 付款方式","√"))</f>
        <v/>
      </c>
    </row>
    <row r="973" customFormat="false" ht="13.5" hidden="false" customHeight="false" outlineLevel="0" collapsed="false">
      <c r="A973" s="41"/>
      <c r="B973" s="42"/>
      <c r="C973" s="36"/>
      <c r="D973" s="35"/>
      <c r="E973" s="36"/>
      <c r="F973" s="36"/>
      <c r="G973" s="37"/>
      <c r="H973" s="35"/>
      <c r="I973" s="43" t="str">
        <f aca="false">IF($A973="","",COUNTIFS($A$2:$A973,$A973))</f>
        <v/>
      </c>
      <c r="J973" s="43" t="str">
        <f aca="false">IF($A973="","",$A973&amp;"-"&amp;$I973)</f>
        <v/>
      </c>
      <c r="K973" s="38" t="str">
        <f aca="false">IF($A973="","",IF(COUNTIF(参数!$B$6:$B$8,$H973)=0,"× 付款方式","√"))</f>
        <v/>
      </c>
    </row>
    <row r="974" customFormat="false" ht="13.5" hidden="false" customHeight="false" outlineLevel="0" collapsed="false">
      <c r="A974" s="41"/>
      <c r="B974" s="42"/>
      <c r="C974" s="36"/>
      <c r="D974" s="35"/>
      <c r="E974" s="36"/>
      <c r="F974" s="36"/>
      <c r="G974" s="37"/>
      <c r="H974" s="35"/>
      <c r="I974" s="43" t="str">
        <f aca="false">IF($A974="","",COUNTIFS($A$2:$A974,$A974))</f>
        <v/>
      </c>
      <c r="J974" s="43" t="str">
        <f aca="false">IF($A974="","",$A974&amp;"-"&amp;$I974)</f>
        <v/>
      </c>
      <c r="K974" s="38" t="str">
        <f aca="false">IF($A974="","",IF(COUNTIF(参数!$B$6:$B$8,$H974)=0,"× 付款方式","√"))</f>
        <v/>
      </c>
    </row>
    <row r="975" customFormat="false" ht="13.5" hidden="false" customHeight="false" outlineLevel="0" collapsed="false">
      <c r="A975" s="41"/>
      <c r="B975" s="42"/>
      <c r="C975" s="36"/>
      <c r="D975" s="35"/>
      <c r="E975" s="36"/>
      <c r="F975" s="36"/>
      <c r="G975" s="37"/>
      <c r="H975" s="35"/>
      <c r="I975" s="43" t="str">
        <f aca="false">IF($A975="","",COUNTIFS($A$2:$A975,$A975))</f>
        <v/>
      </c>
      <c r="J975" s="43" t="str">
        <f aca="false">IF($A975="","",$A975&amp;"-"&amp;$I975)</f>
        <v/>
      </c>
      <c r="K975" s="38" t="str">
        <f aca="false">IF($A975="","",IF(COUNTIF(参数!$B$6:$B$8,$H975)=0,"× 付款方式","√"))</f>
        <v/>
      </c>
    </row>
    <row r="976" customFormat="false" ht="13.5" hidden="false" customHeight="false" outlineLevel="0" collapsed="false">
      <c r="A976" s="41"/>
      <c r="B976" s="42"/>
      <c r="C976" s="36"/>
      <c r="D976" s="35"/>
      <c r="E976" s="36"/>
      <c r="F976" s="36"/>
      <c r="G976" s="37"/>
      <c r="H976" s="35"/>
      <c r="I976" s="43" t="str">
        <f aca="false">IF($A976="","",COUNTIFS($A$2:$A976,$A976))</f>
        <v/>
      </c>
      <c r="J976" s="43" t="str">
        <f aca="false">IF($A976="","",$A976&amp;"-"&amp;$I976)</f>
        <v/>
      </c>
      <c r="K976" s="38" t="str">
        <f aca="false">IF($A976="","",IF(COUNTIF(参数!$B$6:$B$8,$H976)=0,"× 付款方式","√"))</f>
        <v/>
      </c>
    </row>
    <row r="977" customFormat="false" ht="13.5" hidden="false" customHeight="false" outlineLevel="0" collapsed="false">
      <c r="A977" s="41"/>
      <c r="B977" s="42"/>
      <c r="C977" s="36"/>
      <c r="D977" s="35"/>
      <c r="E977" s="36"/>
      <c r="F977" s="36"/>
      <c r="G977" s="37"/>
      <c r="H977" s="35"/>
      <c r="I977" s="43" t="str">
        <f aca="false">IF($A977="","",COUNTIFS($A$2:$A977,$A977))</f>
        <v/>
      </c>
      <c r="J977" s="43" t="str">
        <f aca="false">IF($A977="","",$A977&amp;"-"&amp;$I977)</f>
        <v/>
      </c>
      <c r="K977" s="38" t="str">
        <f aca="false">IF($A977="","",IF(COUNTIF(参数!$B$6:$B$8,$H977)=0,"× 付款方式","√"))</f>
        <v/>
      </c>
    </row>
    <row r="978" customFormat="false" ht="13.5" hidden="false" customHeight="false" outlineLevel="0" collapsed="false">
      <c r="A978" s="41"/>
      <c r="B978" s="42"/>
      <c r="C978" s="36"/>
      <c r="D978" s="35"/>
      <c r="E978" s="36"/>
      <c r="F978" s="36"/>
      <c r="G978" s="37"/>
      <c r="H978" s="35"/>
      <c r="I978" s="43" t="str">
        <f aca="false">IF($A978="","",COUNTIFS($A$2:$A978,$A978))</f>
        <v/>
      </c>
      <c r="J978" s="43" t="str">
        <f aca="false">IF($A978="","",$A978&amp;"-"&amp;$I978)</f>
        <v/>
      </c>
      <c r="K978" s="38" t="str">
        <f aca="false">IF($A978="","",IF(COUNTIF(参数!$B$6:$B$8,$H978)=0,"× 付款方式","√"))</f>
        <v/>
      </c>
    </row>
    <row r="979" customFormat="false" ht="13.5" hidden="false" customHeight="false" outlineLevel="0" collapsed="false">
      <c r="A979" s="41"/>
      <c r="B979" s="42"/>
      <c r="C979" s="36"/>
      <c r="D979" s="35"/>
      <c r="E979" s="36"/>
      <c r="F979" s="36"/>
      <c r="G979" s="37"/>
      <c r="H979" s="35"/>
      <c r="I979" s="43" t="str">
        <f aca="false">IF($A979="","",COUNTIFS($A$2:$A979,$A979))</f>
        <v/>
      </c>
      <c r="J979" s="43" t="str">
        <f aca="false">IF($A979="","",$A979&amp;"-"&amp;$I979)</f>
        <v/>
      </c>
      <c r="K979" s="38" t="str">
        <f aca="false">IF($A979="","",IF(COUNTIF(参数!$B$6:$B$8,$H979)=0,"× 付款方式","√"))</f>
        <v/>
      </c>
    </row>
    <row r="980" customFormat="false" ht="13.5" hidden="false" customHeight="false" outlineLevel="0" collapsed="false">
      <c r="A980" s="41"/>
      <c r="B980" s="42"/>
      <c r="C980" s="36"/>
      <c r="D980" s="35"/>
      <c r="E980" s="36"/>
      <c r="F980" s="36"/>
      <c r="G980" s="37"/>
      <c r="H980" s="35"/>
      <c r="I980" s="43" t="str">
        <f aca="false">IF($A980="","",COUNTIFS($A$2:$A980,$A980))</f>
        <v/>
      </c>
      <c r="J980" s="43" t="str">
        <f aca="false">IF($A980="","",$A980&amp;"-"&amp;$I980)</f>
        <v/>
      </c>
      <c r="K980" s="38" t="str">
        <f aca="false">IF($A980="","",IF(COUNTIF(参数!$B$6:$B$8,$H980)=0,"× 付款方式","√"))</f>
        <v/>
      </c>
    </row>
    <row r="981" customFormat="false" ht="13.5" hidden="false" customHeight="false" outlineLevel="0" collapsed="false">
      <c r="A981" s="41"/>
      <c r="B981" s="42"/>
      <c r="C981" s="36"/>
      <c r="D981" s="35"/>
      <c r="E981" s="36"/>
      <c r="F981" s="36"/>
      <c r="G981" s="37"/>
      <c r="H981" s="35"/>
      <c r="I981" s="43" t="str">
        <f aca="false">IF($A981="","",COUNTIFS($A$2:$A981,$A981))</f>
        <v/>
      </c>
      <c r="J981" s="43" t="str">
        <f aca="false">IF($A981="","",$A981&amp;"-"&amp;$I981)</f>
        <v/>
      </c>
      <c r="K981" s="38" t="str">
        <f aca="false">IF($A981="","",IF(COUNTIF(参数!$B$6:$B$8,$H981)=0,"× 付款方式","√"))</f>
        <v/>
      </c>
    </row>
    <row r="982" customFormat="false" ht="13.5" hidden="false" customHeight="false" outlineLevel="0" collapsed="false">
      <c r="A982" s="41"/>
      <c r="B982" s="42"/>
      <c r="C982" s="36"/>
      <c r="D982" s="35"/>
      <c r="E982" s="36"/>
      <c r="F982" s="36"/>
      <c r="G982" s="37"/>
      <c r="H982" s="35"/>
      <c r="I982" s="43" t="str">
        <f aca="false">IF($A982="","",COUNTIFS($A$2:$A982,$A982))</f>
        <v/>
      </c>
      <c r="J982" s="43" t="str">
        <f aca="false">IF($A982="","",$A982&amp;"-"&amp;$I982)</f>
        <v/>
      </c>
      <c r="K982" s="38" t="str">
        <f aca="false">IF($A982="","",IF(COUNTIF(参数!$B$6:$B$8,$H982)=0,"× 付款方式","√"))</f>
        <v/>
      </c>
    </row>
    <row r="983" customFormat="false" ht="13.5" hidden="false" customHeight="false" outlineLevel="0" collapsed="false">
      <c r="A983" s="41"/>
      <c r="B983" s="42"/>
      <c r="C983" s="36"/>
      <c r="D983" s="35"/>
      <c r="E983" s="36"/>
      <c r="F983" s="36"/>
      <c r="G983" s="37"/>
      <c r="H983" s="35"/>
      <c r="I983" s="43" t="str">
        <f aca="false">IF($A983="","",COUNTIFS($A$2:$A983,$A983))</f>
        <v/>
      </c>
      <c r="J983" s="43" t="str">
        <f aca="false">IF($A983="","",$A983&amp;"-"&amp;$I983)</f>
        <v/>
      </c>
      <c r="K983" s="38" t="str">
        <f aca="false">IF($A983="","",IF(COUNTIF(参数!$B$6:$B$8,$H983)=0,"× 付款方式","√"))</f>
        <v/>
      </c>
    </row>
    <row r="984" customFormat="false" ht="13.5" hidden="false" customHeight="false" outlineLevel="0" collapsed="false">
      <c r="A984" s="41"/>
      <c r="B984" s="42"/>
      <c r="C984" s="36"/>
      <c r="D984" s="35"/>
      <c r="E984" s="36"/>
      <c r="F984" s="36"/>
      <c r="G984" s="37"/>
      <c r="H984" s="35"/>
      <c r="I984" s="43" t="str">
        <f aca="false">IF($A984="","",COUNTIFS($A$2:$A984,$A984))</f>
        <v/>
      </c>
      <c r="J984" s="43" t="str">
        <f aca="false">IF($A984="","",$A984&amp;"-"&amp;$I984)</f>
        <v/>
      </c>
      <c r="K984" s="38" t="str">
        <f aca="false">IF($A984="","",IF(COUNTIF(参数!$B$6:$B$8,$H984)=0,"× 付款方式","√"))</f>
        <v/>
      </c>
    </row>
    <row r="985" customFormat="false" ht="13.5" hidden="false" customHeight="false" outlineLevel="0" collapsed="false">
      <c r="A985" s="41"/>
      <c r="B985" s="42"/>
      <c r="C985" s="36"/>
      <c r="D985" s="35"/>
      <c r="E985" s="36"/>
      <c r="F985" s="36"/>
      <c r="G985" s="37"/>
      <c r="H985" s="35"/>
      <c r="I985" s="43" t="str">
        <f aca="false">IF($A985="","",COUNTIFS($A$2:$A985,$A985))</f>
        <v/>
      </c>
      <c r="J985" s="43" t="str">
        <f aca="false">IF($A985="","",$A985&amp;"-"&amp;$I985)</f>
        <v/>
      </c>
      <c r="K985" s="38" t="str">
        <f aca="false">IF($A985="","",IF(COUNTIF(参数!$B$6:$B$8,$H985)=0,"× 付款方式","√"))</f>
        <v/>
      </c>
    </row>
    <row r="986" customFormat="false" ht="13.5" hidden="false" customHeight="false" outlineLevel="0" collapsed="false">
      <c r="A986" s="41"/>
      <c r="B986" s="42"/>
      <c r="C986" s="36"/>
      <c r="D986" s="35"/>
      <c r="E986" s="36"/>
      <c r="F986" s="36"/>
      <c r="G986" s="37"/>
      <c r="H986" s="35"/>
      <c r="I986" s="43" t="str">
        <f aca="false">IF($A986="","",COUNTIFS($A$2:$A986,$A986))</f>
        <v/>
      </c>
      <c r="J986" s="43" t="str">
        <f aca="false">IF($A986="","",$A986&amp;"-"&amp;$I986)</f>
        <v/>
      </c>
      <c r="K986" s="38" t="str">
        <f aca="false">IF($A986="","",IF(COUNTIF(参数!$B$6:$B$8,$H986)=0,"× 付款方式","√"))</f>
        <v/>
      </c>
    </row>
    <row r="987" customFormat="false" ht="13.5" hidden="false" customHeight="false" outlineLevel="0" collapsed="false">
      <c r="A987" s="41"/>
      <c r="B987" s="42"/>
      <c r="C987" s="36"/>
      <c r="D987" s="35"/>
      <c r="E987" s="36"/>
      <c r="F987" s="36"/>
      <c r="G987" s="37"/>
      <c r="H987" s="35"/>
      <c r="I987" s="43" t="str">
        <f aca="false">IF($A987="","",COUNTIFS($A$2:$A987,$A987))</f>
        <v/>
      </c>
      <c r="J987" s="43" t="str">
        <f aca="false">IF($A987="","",$A987&amp;"-"&amp;$I987)</f>
        <v/>
      </c>
      <c r="K987" s="38" t="str">
        <f aca="false">IF($A987="","",IF(COUNTIF(参数!$B$6:$B$8,$H987)=0,"× 付款方式","√"))</f>
        <v/>
      </c>
    </row>
    <row r="988" customFormat="false" ht="13.5" hidden="false" customHeight="false" outlineLevel="0" collapsed="false">
      <c r="A988" s="41"/>
      <c r="B988" s="42"/>
      <c r="C988" s="36"/>
      <c r="D988" s="35"/>
      <c r="E988" s="36"/>
      <c r="F988" s="36"/>
      <c r="G988" s="37"/>
      <c r="H988" s="35"/>
      <c r="I988" s="43" t="str">
        <f aca="false">IF($A988="","",COUNTIFS($A$2:$A988,$A988))</f>
        <v/>
      </c>
      <c r="J988" s="43" t="str">
        <f aca="false">IF($A988="","",$A988&amp;"-"&amp;$I988)</f>
        <v/>
      </c>
      <c r="K988" s="38" t="str">
        <f aca="false">IF($A988="","",IF(COUNTIF(参数!$B$6:$B$8,$H988)=0,"× 付款方式","√"))</f>
        <v/>
      </c>
    </row>
    <row r="989" customFormat="false" ht="13.5" hidden="false" customHeight="false" outlineLevel="0" collapsed="false">
      <c r="A989" s="41"/>
      <c r="B989" s="42"/>
      <c r="C989" s="36"/>
      <c r="D989" s="35"/>
      <c r="E989" s="36"/>
      <c r="F989" s="36"/>
      <c r="G989" s="37"/>
      <c r="H989" s="35"/>
      <c r="I989" s="43" t="str">
        <f aca="false">IF($A989="","",COUNTIFS($A$2:$A989,$A989))</f>
        <v/>
      </c>
      <c r="J989" s="43" t="str">
        <f aca="false">IF($A989="","",$A989&amp;"-"&amp;$I989)</f>
        <v/>
      </c>
      <c r="K989" s="38" t="str">
        <f aca="false">IF($A989="","",IF(COUNTIF(参数!$B$6:$B$8,$H989)=0,"× 付款方式","√"))</f>
        <v/>
      </c>
    </row>
    <row r="990" customFormat="false" ht="13.5" hidden="false" customHeight="false" outlineLevel="0" collapsed="false">
      <c r="A990" s="41"/>
      <c r="B990" s="42"/>
      <c r="C990" s="36"/>
      <c r="D990" s="35"/>
      <c r="E990" s="36"/>
      <c r="F990" s="36"/>
      <c r="G990" s="37"/>
      <c r="H990" s="35"/>
      <c r="I990" s="43" t="str">
        <f aca="false">IF($A990="","",COUNTIFS($A$2:$A990,$A990))</f>
        <v/>
      </c>
      <c r="J990" s="43" t="str">
        <f aca="false">IF($A990="","",$A990&amp;"-"&amp;$I990)</f>
        <v/>
      </c>
      <c r="K990" s="38" t="str">
        <f aca="false">IF($A990="","",IF(COUNTIF(参数!$B$6:$B$8,$H990)=0,"× 付款方式","√"))</f>
        <v/>
      </c>
    </row>
    <row r="991" customFormat="false" ht="13.5" hidden="false" customHeight="false" outlineLevel="0" collapsed="false">
      <c r="A991" s="41"/>
      <c r="B991" s="42"/>
      <c r="C991" s="36"/>
      <c r="D991" s="35"/>
      <c r="E991" s="36"/>
      <c r="F991" s="36"/>
      <c r="G991" s="37"/>
      <c r="H991" s="35"/>
      <c r="I991" s="43" t="str">
        <f aca="false">IF($A991="","",COUNTIFS($A$2:$A991,$A991))</f>
        <v/>
      </c>
      <c r="J991" s="43" t="str">
        <f aca="false">IF($A991="","",$A991&amp;"-"&amp;$I991)</f>
        <v/>
      </c>
      <c r="K991" s="38" t="str">
        <f aca="false">IF($A991="","",IF(COUNTIF(参数!$B$6:$B$8,$H991)=0,"× 付款方式","√"))</f>
        <v/>
      </c>
    </row>
    <row r="992" customFormat="false" ht="13.5" hidden="false" customHeight="false" outlineLevel="0" collapsed="false">
      <c r="A992" s="41"/>
      <c r="B992" s="42"/>
      <c r="C992" s="36"/>
      <c r="D992" s="35"/>
      <c r="E992" s="36"/>
      <c r="F992" s="36"/>
      <c r="G992" s="37"/>
      <c r="H992" s="35"/>
      <c r="I992" s="43" t="str">
        <f aca="false">IF($A992="","",COUNTIFS($A$2:$A992,$A992))</f>
        <v/>
      </c>
      <c r="J992" s="43" t="str">
        <f aca="false">IF($A992="","",$A992&amp;"-"&amp;$I992)</f>
        <v/>
      </c>
      <c r="K992" s="38" t="str">
        <f aca="false">IF($A992="","",IF(COUNTIF(参数!$B$6:$B$8,$H992)=0,"× 付款方式","√"))</f>
        <v/>
      </c>
    </row>
    <row r="993" customFormat="false" ht="13.5" hidden="false" customHeight="false" outlineLevel="0" collapsed="false">
      <c r="A993" s="41"/>
      <c r="B993" s="42"/>
      <c r="C993" s="36"/>
      <c r="D993" s="35"/>
      <c r="E993" s="36"/>
      <c r="F993" s="36"/>
      <c r="G993" s="37"/>
      <c r="H993" s="35"/>
      <c r="I993" s="43" t="str">
        <f aca="false">IF($A993="","",COUNTIFS($A$2:$A993,$A993))</f>
        <v/>
      </c>
      <c r="J993" s="43" t="str">
        <f aca="false">IF($A993="","",$A993&amp;"-"&amp;$I993)</f>
        <v/>
      </c>
      <c r="K993" s="38" t="str">
        <f aca="false">IF($A993="","",IF(COUNTIF(参数!$B$6:$B$8,$H993)=0,"× 付款方式","√"))</f>
        <v/>
      </c>
    </row>
    <row r="994" customFormat="false" ht="13.5" hidden="false" customHeight="false" outlineLevel="0" collapsed="false">
      <c r="A994" s="41"/>
      <c r="B994" s="42"/>
      <c r="C994" s="36"/>
      <c r="D994" s="35"/>
      <c r="E994" s="36"/>
      <c r="F994" s="36"/>
      <c r="G994" s="37"/>
      <c r="H994" s="35"/>
      <c r="I994" s="43" t="str">
        <f aca="false">IF($A994="","",COUNTIFS($A$2:$A994,$A994))</f>
        <v/>
      </c>
      <c r="J994" s="43" t="str">
        <f aca="false">IF($A994="","",$A994&amp;"-"&amp;$I994)</f>
        <v/>
      </c>
      <c r="K994" s="38" t="str">
        <f aca="false">IF($A994="","",IF(COUNTIF(参数!$B$6:$B$8,$H994)=0,"× 付款方式","√"))</f>
        <v/>
      </c>
    </row>
    <row r="995" customFormat="false" ht="13.5" hidden="false" customHeight="false" outlineLevel="0" collapsed="false">
      <c r="A995" s="41"/>
      <c r="B995" s="42"/>
      <c r="C995" s="36"/>
      <c r="D995" s="35"/>
      <c r="E995" s="36"/>
      <c r="F995" s="36"/>
      <c r="G995" s="37"/>
      <c r="H995" s="35"/>
      <c r="I995" s="43" t="str">
        <f aca="false">IF($A995="","",COUNTIFS($A$2:$A995,$A995))</f>
        <v/>
      </c>
      <c r="J995" s="43" t="str">
        <f aca="false">IF($A995="","",$A995&amp;"-"&amp;$I995)</f>
        <v/>
      </c>
      <c r="K995" s="38" t="str">
        <f aca="false">IF($A995="","",IF(COUNTIF(参数!$B$6:$B$8,$H995)=0,"× 付款方式","√"))</f>
        <v/>
      </c>
    </row>
    <row r="996" customFormat="false" ht="13.5" hidden="false" customHeight="false" outlineLevel="0" collapsed="false">
      <c r="A996" s="41"/>
      <c r="B996" s="42"/>
      <c r="C996" s="36"/>
      <c r="D996" s="35"/>
      <c r="E996" s="36"/>
      <c r="F996" s="36"/>
      <c r="G996" s="37"/>
      <c r="H996" s="35"/>
      <c r="I996" s="43" t="str">
        <f aca="false">IF($A996="","",COUNTIFS($A$2:$A996,$A996))</f>
        <v/>
      </c>
      <c r="J996" s="43" t="str">
        <f aca="false">IF($A996="","",$A996&amp;"-"&amp;$I996)</f>
        <v/>
      </c>
      <c r="K996" s="38" t="str">
        <f aca="false">IF($A996="","",IF(COUNTIF(参数!$B$6:$B$8,$H996)=0,"× 付款方式","√"))</f>
        <v/>
      </c>
    </row>
    <row r="997" customFormat="false" ht="13.5" hidden="false" customHeight="false" outlineLevel="0" collapsed="false">
      <c r="A997" s="41"/>
      <c r="B997" s="42"/>
      <c r="C997" s="36"/>
      <c r="D997" s="35"/>
      <c r="E997" s="36"/>
      <c r="F997" s="36"/>
      <c r="G997" s="37"/>
      <c r="H997" s="35"/>
      <c r="I997" s="43" t="str">
        <f aca="false">IF($A997="","",COUNTIFS($A$2:$A997,$A997))</f>
        <v/>
      </c>
      <c r="J997" s="43" t="str">
        <f aca="false">IF($A997="","",$A997&amp;"-"&amp;$I997)</f>
        <v/>
      </c>
      <c r="K997" s="38" t="str">
        <f aca="false">IF($A997="","",IF(COUNTIF(参数!$B$6:$B$8,$H997)=0,"× 付款方式","√"))</f>
        <v/>
      </c>
    </row>
    <row r="998" customFormat="false" ht="13.5" hidden="false" customHeight="false" outlineLevel="0" collapsed="false">
      <c r="A998" s="41"/>
      <c r="B998" s="42"/>
      <c r="C998" s="36"/>
      <c r="D998" s="35"/>
      <c r="E998" s="36"/>
      <c r="F998" s="36"/>
      <c r="G998" s="37"/>
      <c r="H998" s="35"/>
      <c r="I998" s="43" t="str">
        <f aca="false">IF($A998="","",COUNTIFS($A$2:$A998,$A998))</f>
        <v/>
      </c>
      <c r="J998" s="43" t="str">
        <f aca="false">IF($A998="","",$A998&amp;"-"&amp;$I998)</f>
        <v/>
      </c>
      <c r="K998" s="38" t="str">
        <f aca="false">IF($A998="","",IF(COUNTIF(参数!$B$6:$B$8,$H998)=0,"× 付款方式","√"))</f>
        <v/>
      </c>
    </row>
    <row r="999" customFormat="false" ht="13.5" hidden="false" customHeight="false" outlineLevel="0" collapsed="false">
      <c r="A999" s="41"/>
      <c r="B999" s="42"/>
      <c r="C999" s="36"/>
      <c r="D999" s="35"/>
      <c r="E999" s="36"/>
      <c r="F999" s="36"/>
      <c r="G999" s="37"/>
      <c r="H999" s="35"/>
      <c r="I999" s="43" t="str">
        <f aca="false">IF($A999="","",COUNTIFS($A$2:$A999,$A999))</f>
        <v/>
      </c>
      <c r="J999" s="43" t="str">
        <f aca="false">IF($A999="","",$A999&amp;"-"&amp;$I999)</f>
        <v/>
      </c>
      <c r="K999" s="38" t="str">
        <f aca="false">IF($A999="","",IF(COUNTIF(参数!$B$6:$B$8,$H999)=0,"× 付款方式","√"))</f>
        <v/>
      </c>
    </row>
    <row r="1000" customFormat="false" ht="13.5" hidden="false" customHeight="false" outlineLevel="0" collapsed="false">
      <c r="A1000" s="41"/>
      <c r="B1000" s="42"/>
      <c r="C1000" s="36"/>
      <c r="D1000" s="35"/>
      <c r="E1000" s="36"/>
      <c r="F1000" s="36"/>
      <c r="G1000" s="37"/>
      <c r="H1000" s="35"/>
      <c r="I1000" s="43" t="str">
        <f aca="false">IF($A1000="","",COUNTIFS($A$2:$A1000,$A1000))</f>
        <v/>
      </c>
      <c r="J1000" s="43" t="str">
        <f aca="false">IF($A1000="","",$A1000&amp;"-"&amp;$I1000)</f>
        <v/>
      </c>
      <c r="K1000" s="38" t="str">
        <f aca="false">IF($A1000="","",IF(COUNTIF(参数!$B$6:$B$8,$H1000)=0,"× 付款方式","√"))</f>
        <v/>
      </c>
    </row>
    <row r="1001" customFormat="false" ht="13.5" hidden="false" customHeight="false" outlineLevel="0" collapsed="false">
      <c r="A1001" s="41"/>
      <c r="B1001" s="42"/>
      <c r="C1001" s="36"/>
      <c r="D1001" s="35"/>
      <c r="E1001" s="36"/>
      <c r="F1001" s="36"/>
      <c r="G1001" s="37"/>
      <c r="H1001" s="35"/>
      <c r="I1001" s="43" t="str">
        <f aca="false">IF($A1001="","",COUNTIFS($A$2:$A1001,$A1001))</f>
        <v/>
      </c>
      <c r="J1001" s="43" t="str">
        <f aca="false">IF($A1001="","",$A1001&amp;"-"&amp;$I1001)</f>
        <v/>
      </c>
      <c r="K1001" s="38" t="str">
        <f aca="false">IF($A1001="","",IF(COUNTIF(参数!$B$6:$B$8,$H1001)=0,"× 付款方式","√"))</f>
        <v/>
      </c>
    </row>
    <row r="1002" customFormat="false" ht="13.5" hidden="false" customHeight="false" outlineLevel="0" collapsed="false">
      <c r="A1002" s="41"/>
      <c r="B1002" s="42"/>
      <c r="C1002" s="36"/>
      <c r="D1002" s="35"/>
      <c r="E1002" s="36"/>
      <c r="F1002" s="36"/>
      <c r="G1002" s="37"/>
      <c r="H1002" s="35"/>
      <c r="I1002" s="43" t="str">
        <f aca="false">IF($A1002="","",COUNTIFS($A$2:$A1002,$A1002))</f>
        <v/>
      </c>
      <c r="J1002" s="43" t="str">
        <f aca="false">IF($A1002="","",$A1002&amp;"-"&amp;$I1002)</f>
        <v/>
      </c>
      <c r="K1002" s="38" t="str">
        <f aca="false">IF($A1002="","",IF(COUNTIF(参数!$B$6:$B$8,$H1002)=0,"× 付款方式","√"))</f>
        <v/>
      </c>
    </row>
    <row r="1003" customFormat="false" ht="13.5" hidden="false" customHeight="false" outlineLevel="0" collapsed="false">
      <c r="A1003" s="41"/>
      <c r="B1003" s="42"/>
      <c r="C1003" s="36"/>
      <c r="D1003" s="35"/>
      <c r="E1003" s="36"/>
      <c r="F1003" s="36"/>
      <c r="G1003" s="37"/>
      <c r="H1003" s="35"/>
      <c r="I1003" s="43" t="str">
        <f aca="false">IF($A1003="","",COUNTIFS($A$2:$A1003,$A1003))</f>
        <v/>
      </c>
      <c r="J1003" s="43" t="str">
        <f aca="false">IF($A1003="","",$A1003&amp;"-"&amp;$I1003)</f>
        <v/>
      </c>
      <c r="K1003" s="38" t="str">
        <f aca="false">IF($A1003="","",IF(COUNTIF(参数!$B$6:$B$8,$H1003)=0,"× 付款方式","√"))</f>
        <v/>
      </c>
    </row>
    <row r="1004" customFormat="false" ht="13.5" hidden="false" customHeight="false" outlineLevel="0" collapsed="false">
      <c r="A1004" s="41"/>
      <c r="B1004" s="42"/>
      <c r="C1004" s="36"/>
      <c r="D1004" s="35"/>
      <c r="E1004" s="36"/>
      <c r="F1004" s="36"/>
      <c r="G1004" s="37"/>
      <c r="H1004" s="35"/>
      <c r="I1004" s="43" t="str">
        <f aca="false">IF($A1004="","",COUNTIFS($A$2:$A1004,$A1004))</f>
        <v/>
      </c>
      <c r="J1004" s="43" t="str">
        <f aca="false">IF($A1004="","",$A1004&amp;"-"&amp;$I1004)</f>
        <v/>
      </c>
      <c r="K1004" s="38" t="str">
        <f aca="false">IF($A1004="","",IF(COUNTIF(参数!$B$6:$B$8,$H1004)=0,"× 付款方式","√"))</f>
        <v/>
      </c>
    </row>
    <row r="1005" customFormat="false" ht="13.5" hidden="false" customHeight="false" outlineLevel="0" collapsed="false">
      <c r="A1005" s="41"/>
      <c r="B1005" s="42"/>
      <c r="C1005" s="36"/>
      <c r="D1005" s="35"/>
      <c r="E1005" s="36"/>
      <c r="F1005" s="36"/>
      <c r="G1005" s="37"/>
      <c r="H1005" s="35"/>
      <c r="I1005" s="43" t="str">
        <f aca="false">IF($A1005="","",COUNTIFS($A$2:$A1005,$A1005))</f>
        <v/>
      </c>
      <c r="J1005" s="43" t="str">
        <f aca="false">IF($A1005="","",$A1005&amp;"-"&amp;$I1005)</f>
        <v/>
      </c>
      <c r="K1005" s="38" t="str">
        <f aca="false">IF($A1005="","",IF(COUNTIF(参数!$B$6:$B$8,$H1005)=0,"× 付款方式","√"))</f>
        <v/>
      </c>
    </row>
    <row r="1006" customFormat="false" ht="13.5" hidden="false" customHeight="false" outlineLevel="0" collapsed="false">
      <c r="A1006" s="41"/>
      <c r="B1006" s="42"/>
      <c r="C1006" s="36"/>
      <c r="D1006" s="35"/>
      <c r="E1006" s="36"/>
      <c r="F1006" s="36"/>
      <c r="G1006" s="37"/>
      <c r="H1006" s="35"/>
      <c r="I1006" s="43" t="str">
        <f aca="false">IF($A1006="","",COUNTIFS($A$2:$A1006,$A1006))</f>
        <v/>
      </c>
      <c r="J1006" s="43" t="str">
        <f aca="false">IF($A1006="","",$A1006&amp;"-"&amp;$I1006)</f>
        <v/>
      </c>
      <c r="K1006" s="38" t="str">
        <f aca="false">IF($A1006="","",IF(COUNTIF(参数!$B$6:$B$8,$H1006)=0,"× 付款方式","√"))</f>
        <v/>
      </c>
    </row>
    <row r="1007" customFormat="false" ht="13.5" hidden="false" customHeight="false" outlineLevel="0" collapsed="false">
      <c r="A1007" s="41"/>
      <c r="B1007" s="42"/>
      <c r="C1007" s="36"/>
      <c r="D1007" s="35"/>
      <c r="E1007" s="36"/>
      <c r="F1007" s="36"/>
      <c r="G1007" s="37"/>
      <c r="H1007" s="35"/>
      <c r="I1007" s="43" t="str">
        <f aca="false">IF($A1007="","",COUNTIFS($A$2:$A1007,$A1007))</f>
        <v/>
      </c>
      <c r="J1007" s="43" t="str">
        <f aca="false">IF($A1007="","",$A1007&amp;"-"&amp;$I1007)</f>
        <v/>
      </c>
      <c r="K1007" s="38" t="str">
        <f aca="false">IF($A1007="","",IF(COUNTIF(参数!$B$6:$B$8,$H1007)=0,"× 付款方式","√"))</f>
        <v/>
      </c>
    </row>
    <row r="1008" customFormat="false" ht="13.5" hidden="false" customHeight="false" outlineLevel="0" collapsed="false">
      <c r="A1008" s="41"/>
      <c r="B1008" s="42"/>
      <c r="C1008" s="36"/>
      <c r="D1008" s="35"/>
      <c r="E1008" s="36"/>
      <c r="F1008" s="36"/>
      <c r="G1008" s="37"/>
      <c r="H1008" s="35"/>
      <c r="I1008" s="43" t="str">
        <f aca="false">IF($A1008="","",COUNTIFS($A$2:$A1008,$A1008))</f>
        <v/>
      </c>
      <c r="J1008" s="43" t="str">
        <f aca="false">IF($A1008="","",$A1008&amp;"-"&amp;$I1008)</f>
        <v/>
      </c>
      <c r="K1008" s="38" t="str">
        <f aca="false">IF($A1008="","",IF(COUNTIF(参数!$B$6:$B$8,$H1008)=0,"× 付款方式","√"))</f>
        <v/>
      </c>
    </row>
    <row r="1009" customFormat="false" ht="13.5" hidden="false" customHeight="false" outlineLevel="0" collapsed="false">
      <c r="A1009" s="41"/>
      <c r="B1009" s="42"/>
      <c r="C1009" s="36"/>
      <c r="D1009" s="35"/>
      <c r="E1009" s="36"/>
      <c r="F1009" s="36"/>
      <c r="G1009" s="37"/>
      <c r="H1009" s="35"/>
      <c r="I1009" s="43" t="str">
        <f aca="false">IF($A1009="","",COUNTIFS($A$2:$A1009,$A1009))</f>
        <v/>
      </c>
      <c r="J1009" s="43" t="str">
        <f aca="false">IF($A1009="","",$A1009&amp;"-"&amp;$I1009)</f>
        <v/>
      </c>
      <c r="K1009" s="38" t="str">
        <f aca="false">IF($A1009="","",IF(COUNTIF(参数!$B$6:$B$8,$H1009)=0,"× 付款方式","√"))</f>
        <v/>
      </c>
    </row>
    <row r="1010" customFormat="false" ht="13.5" hidden="false" customHeight="false" outlineLevel="0" collapsed="false">
      <c r="A1010" s="41"/>
      <c r="B1010" s="42"/>
      <c r="C1010" s="36"/>
      <c r="D1010" s="35"/>
      <c r="E1010" s="36"/>
      <c r="F1010" s="36"/>
      <c r="G1010" s="37"/>
      <c r="H1010" s="35"/>
      <c r="I1010" s="43" t="str">
        <f aca="false">IF($A1010="","",COUNTIFS($A$2:$A1010,$A1010))</f>
        <v/>
      </c>
      <c r="J1010" s="43" t="str">
        <f aca="false">IF($A1010="","",$A1010&amp;"-"&amp;$I1010)</f>
        <v/>
      </c>
      <c r="K1010" s="38" t="str">
        <f aca="false">IF($A1010="","",IF(COUNTIF(参数!$B$6:$B$8,$H1010)=0,"× 付款方式","√"))</f>
        <v/>
      </c>
    </row>
    <row r="1011" customFormat="false" ht="13.5" hidden="false" customHeight="false" outlineLevel="0" collapsed="false">
      <c r="A1011" s="41"/>
      <c r="B1011" s="42"/>
      <c r="C1011" s="36"/>
      <c r="D1011" s="35"/>
      <c r="E1011" s="36"/>
      <c r="F1011" s="36"/>
      <c r="G1011" s="37"/>
      <c r="H1011" s="35"/>
      <c r="I1011" s="43" t="str">
        <f aca="false">IF($A1011="","",COUNTIFS($A$2:$A1011,$A1011))</f>
        <v/>
      </c>
      <c r="J1011" s="43" t="str">
        <f aca="false">IF($A1011="","",$A1011&amp;"-"&amp;$I1011)</f>
        <v/>
      </c>
      <c r="K1011" s="38" t="str">
        <f aca="false">IF($A1011="","",IF(COUNTIF(参数!$B$6:$B$8,$H1011)=0,"× 付款方式","√"))</f>
        <v/>
      </c>
    </row>
    <row r="1012" customFormat="false" ht="13.5" hidden="false" customHeight="false" outlineLevel="0" collapsed="false">
      <c r="A1012" s="41"/>
      <c r="B1012" s="42"/>
      <c r="C1012" s="36"/>
      <c r="D1012" s="35"/>
      <c r="E1012" s="36"/>
      <c r="F1012" s="36"/>
      <c r="G1012" s="37"/>
      <c r="H1012" s="35"/>
      <c r="I1012" s="43" t="str">
        <f aca="false">IF($A1012="","",COUNTIFS($A$2:$A1012,$A1012))</f>
        <v/>
      </c>
      <c r="J1012" s="43" t="str">
        <f aca="false">IF($A1012="","",$A1012&amp;"-"&amp;$I1012)</f>
        <v/>
      </c>
      <c r="K1012" s="38" t="str">
        <f aca="false">IF($A1012="","",IF(COUNTIF(参数!$B$6:$B$8,$H1012)=0,"× 付款方式","√"))</f>
        <v/>
      </c>
    </row>
    <row r="1013" customFormat="false" ht="13.5" hidden="false" customHeight="false" outlineLevel="0" collapsed="false">
      <c r="A1013" s="41"/>
      <c r="B1013" s="42"/>
      <c r="C1013" s="36"/>
      <c r="D1013" s="35"/>
      <c r="E1013" s="36"/>
      <c r="F1013" s="36"/>
      <c r="G1013" s="37"/>
      <c r="H1013" s="35"/>
      <c r="I1013" s="43" t="str">
        <f aca="false">IF($A1013="","",COUNTIFS($A$2:$A1013,$A1013))</f>
        <v/>
      </c>
      <c r="J1013" s="43" t="str">
        <f aca="false">IF($A1013="","",$A1013&amp;"-"&amp;$I1013)</f>
        <v/>
      </c>
      <c r="K1013" s="38" t="str">
        <f aca="false">IF($A1013="","",IF(COUNTIF(参数!$B$6:$B$8,$H1013)=0,"× 付款方式","√"))</f>
        <v/>
      </c>
    </row>
    <row r="1014" customFormat="false" ht="13.5" hidden="false" customHeight="false" outlineLevel="0" collapsed="false">
      <c r="A1014" s="41"/>
      <c r="B1014" s="42"/>
      <c r="C1014" s="36"/>
      <c r="D1014" s="35"/>
      <c r="E1014" s="36"/>
      <c r="F1014" s="36"/>
      <c r="G1014" s="37"/>
      <c r="H1014" s="35"/>
      <c r="I1014" s="43" t="str">
        <f aca="false">IF($A1014="","",COUNTIFS($A$2:$A1014,$A1014))</f>
        <v/>
      </c>
      <c r="J1014" s="43" t="str">
        <f aca="false">IF($A1014="","",$A1014&amp;"-"&amp;$I1014)</f>
        <v/>
      </c>
      <c r="K1014" s="38" t="str">
        <f aca="false">IF($A1014="","",IF(COUNTIF(参数!$B$6:$B$8,$H1014)=0,"× 付款方式","√"))</f>
        <v/>
      </c>
    </row>
    <row r="1015" customFormat="false" ht="13.5" hidden="false" customHeight="false" outlineLevel="0" collapsed="false">
      <c r="A1015" s="41"/>
      <c r="B1015" s="42"/>
      <c r="C1015" s="36"/>
      <c r="D1015" s="35"/>
      <c r="E1015" s="36"/>
      <c r="F1015" s="36"/>
      <c r="G1015" s="37"/>
      <c r="H1015" s="35"/>
      <c r="I1015" s="43" t="str">
        <f aca="false">IF($A1015="","",COUNTIFS($A$2:$A1015,$A1015))</f>
        <v/>
      </c>
      <c r="J1015" s="43" t="str">
        <f aca="false">IF($A1015="","",$A1015&amp;"-"&amp;$I1015)</f>
        <v/>
      </c>
      <c r="K1015" s="38" t="str">
        <f aca="false">IF($A1015="","",IF(COUNTIF(参数!$B$6:$B$8,$H1015)=0,"× 付款方式","√"))</f>
        <v/>
      </c>
    </row>
    <row r="1016" customFormat="false" ht="13.5" hidden="false" customHeight="false" outlineLevel="0" collapsed="false">
      <c r="A1016" s="41"/>
      <c r="B1016" s="42"/>
      <c r="C1016" s="36"/>
      <c r="D1016" s="35"/>
      <c r="E1016" s="36"/>
      <c r="F1016" s="36"/>
      <c r="G1016" s="37"/>
      <c r="H1016" s="35"/>
      <c r="I1016" s="43" t="str">
        <f aca="false">IF($A1016="","",COUNTIFS($A$2:$A1016,$A1016))</f>
        <v/>
      </c>
      <c r="J1016" s="43" t="str">
        <f aca="false">IF($A1016="","",$A1016&amp;"-"&amp;$I1016)</f>
        <v/>
      </c>
      <c r="K1016" s="38" t="str">
        <f aca="false">IF($A1016="","",IF(COUNTIF(参数!$B$6:$B$8,$H1016)=0,"× 付款方式","√"))</f>
        <v/>
      </c>
    </row>
    <row r="1017" customFormat="false" ht="13.5" hidden="false" customHeight="false" outlineLevel="0" collapsed="false">
      <c r="A1017" s="41"/>
      <c r="B1017" s="42"/>
      <c r="C1017" s="36"/>
      <c r="D1017" s="35"/>
      <c r="E1017" s="36"/>
      <c r="F1017" s="36"/>
      <c r="G1017" s="37"/>
      <c r="H1017" s="35"/>
      <c r="I1017" s="43" t="str">
        <f aca="false">IF($A1017="","",COUNTIFS($A$2:$A1017,$A1017))</f>
        <v/>
      </c>
      <c r="J1017" s="43" t="str">
        <f aca="false">IF($A1017="","",$A1017&amp;"-"&amp;$I1017)</f>
        <v/>
      </c>
      <c r="K1017" s="38" t="str">
        <f aca="false">IF($A1017="","",IF(COUNTIF(参数!$B$6:$B$8,$H1017)=0,"× 付款方式","√"))</f>
        <v/>
      </c>
    </row>
    <row r="1018" customFormat="false" ht="13.5" hidden="false" customHeight="false" outlineLevel="0" collapsed="false">
      <c r="A1018" s="41"/>
      <c r="B1018" s="42"/>
      <c r="C1018" s="36"/>
      <c r="D1018" s="35"/>
      <c r="E1018" s="36"/>
      <c r="F1018" s="36"/>
      <c r="G1018" s="37"/>
      <c r="H1018" s="35"/>
      <c r="I1018" s="43" t="str">
        <f aca="false">IF($A1018="","",COUNTIFS($A$2:$A1018,$A1018))</f>
        <v/>
      </c>
      <c r="J1018" s="43" t="str">
        <f aca="false">IF($A1018="","",$A1018&amp;"-"&amp;$I1018)</f>
        <v/>
      </c>
      <c r="K1018" s="38" t="str">
        <f aca="false">IF($A1018="","",IF(COUNTIF(参数!$B$6:$B$8,$H1018)=0,"× 付款方式","√"))</f>
        <v/>
      </c>
    </row>
    <row r="1019" customFormat="false" ht="13.5" hidden="false" customHeight="false" outlineLevel="0" collapsed="false">
      <c r="A1019" s="41"/>
      <c r="B1019" s="42"/>
      <c r="C1019" s="36"/>
      <c r="D1019" s="35"/>
      <c r="E1019" s="36"/>
      <c r="F1019" s="36"/>
      <c r="G1019" s="37"/>
      <c r="H1019" s="35"/>
      <c r="I1019" s="43" t="str">
        <f aca="false">IF($A1019="","",COUNTIFS($A$2:$A1019,$A1019))</f>
        <v/>
      </c>
      <c r="J1019" s="43" t="str">
        <f aca="false">IF($A1019="","",$A1019&amp;"-"&amp;$I1019)</f>
        <v/>
      </c>
      <c r="K1019" s="38" t="str">
        <f aca="false">IF($A1019="","",IF(COUNTIF(参数!$B$6:$B$8,$H1019)=0,"× 付款方式","√"))</f>
        <v/>
      </c>
    </row>
    <row r="1020" customFormat="false" ht="13.5" hidden="false" customHeight="false" outlineLevel="0" collapsed="false">
      <c r="A1020" s="41"/>
      <c r="B1020" s="42"/>
      <c r="C1020" s="36"/>
      <c r="D1020" s="35"/>
      <c r="E1020" s="36"/>
      <c r="F1020" s="36"/>
      <c r="G1020" s="37"/>
      <c r="H1020" s="35"/>
      <c r="I1020" s="43" t="str">
        <f aca="false">IF($A1020="","",COUNTIFS($A$2:$A1020,$A1020))</f>
        <v/>
      </c>
      <c r="J1020" s="43" t="str">
        <f aca="false">IF($A1020="","",$A1020&amp;"-"&amp;$I1020)</f>
        <v/>
      </c>
      <c r="K1020" s="38" t="str">
        <f aca="false">IF($A1020="","",IF(COUNTIF(参数!$B$6:$B$8,$H1020)=0,"× 付款方式","√"))</f>
        <v/>
      </c>
    </row>
    <row r="1021" customFormat="false" ht="13.5" hidden="false" customHeight="false" outlineLevel="0" collapsed="false">
      <c r="A1021" s="41"/>
      <c r="B1021" s="42"/>
      <c r="C1021" s="36"/>
      <c r="D1021" s="35"/>
      <c r="E1021" s="36"/>
      <c r="F1021" s="36"/>
      <c r="G1021" s="37"/>
      <c r="H1021" s="35"/>
      <c r="I1021" s="43" t="str">
        <f aca="false">IF($A1021="","",COUNTIFS($A$2:$A1021,$A1021))</f>
        <v/>
      </c>
      <c r="J1021" s="43" t="str">
        <f aca="false">IF($A1021="","",$A1021&amp;"-"&amp;$I1021)</f>
        <v/>
      </c>
      <c r="K1021" s="38" t="str">
        <f aca="false">IF($A1021="","",IF(COUNTIF(参数!$B$6:$B$8,$H1021)=0,"× 付款方式","√"))</f>
        <v/>
      </c>
    </row>
    <row r="1022" customFormat="false" ht="13.5" hidden="false" customHeight="false" outlineLevel="0" collapsed="false">
      <c r="A1022" s="41"/>
      <c r="B1022" s="42"/>
      <c r="C1022" s="36"/>
      <c r="D1022" s="35"/>
      <c r="E1022" s="36"/>
      <c r="F1022" s="36"/>
      <c r="G1022" s="37"/>
      <c r="H1022" s="35"/>
      <c r="I1022" s="43" t="str">
        <f aca="false">IF($A1022="","",COUNTIFS($A$2:$A1022,$A1022))</f>
        <v/>
      </c>
      <c r="J1022" s="43" t="str">
        <f aca="false">IF($A1022="","",$A1022&amp;"-"&amp;$I1022)</f>
        <v/>
      </c>
      <c r="K1022" s="38" t="str">
        <f aca="false">IF($A1022="","",IF(COUNTIF(参数!$B$6:$B$8,$H1022)=0,"× 付款方式","√"))</f>
        <v/>
      </c>
    </row>
    <row r="1023" customFormat="false" ht="13.5" hidden="false" customHeight="false" outlineLevel="0" collapsed="false">
      <c r="A1023" s="41"/>
      <c r="B1023" s="42"/>
      <c r="C1023" s="36"/>
      <c r="D1023" s="35"/>
      <c r="E1023" s="36"/>
      <c r="F1023" s="36"/>
      <c r="G1023" s="37"/>
      <c r="H1023" s="35"/>
      <c r="I1023" s="43" t="str">
        <f aca="false">IF($A1023="","",COUNTIFS($A$2:$A1023,$A1023))</f>
        <v/>
      </c>
      <c r="J1023" s="43" t="str">
        <f aca="false">IF($A1023="","",$A1023&amp;"-"&amp;$I1023)</f>
        <v/>
      </c>
      <c r="K1023" s="38" t="str">
        <f aca="false">IF($A1023="","",IF(COUNTIF(参数!$B$6:$B$8,$H1023)=0,"× 付款方式","√"))</f>
        <v/>
      </c>
    </row>
    <row r="1024" customFormat="false" ht="13.5" hidden="false" customHeight="false" outlineLevel="0" collapsed="false">
      <c r="A1024" s="41"/>
      <c r="B1024" s="42"/>
      <c r="C1024" s="36"/>
      <c r="D1024" s="35"/>
      <c r="E1024" s="36"/>
      <c r="F1024" s="36"/>
      <c r="G1024" s="37"/>
      <c r="H1024" s="35"/>
      <c r="I1024" s="43" t="str">
        <f aca="false">IF($A1024="","",COUNTIFS($A$2:$A1024,$A1024))</f>
        <v/>
      </c>
      <c r="J1024" s="43" t="str">
        <f aca="false">IF($A1024="","",$A1024&amp;"-"&amp;$I1024)</f>
        <v/>
      </c>
      <c r="K1024" s="38" t="str">
        <f aca="false">IF($A1024="","",IF(COUNTIF(参数!$B$6:$B$8,$H1024)=0,"× 付款方式","√"))</f>
        <v/>
      </c>
    </row>
    <row r="1025" customFormat="false" ht="13.5" hidden="false" customHeight="false" outlineLevel="0" collapsed="false">
      <c r="A1025" s="41"/>
      <c r="B1025" s="42"/>
      <c r="C1025" s="36"/>
      <c r="D1025" s="35"/>
      <c r="E1025" s="36"/>
      <c r="F1025" s="36"/>
      <c r="G1025" s="37"/>
      <c r="H1025" s="35"/>
      <c r="I1025" s="43" t="str">
        <f aca="false">IF($A1025="","",COUNTIFS($A$2:$A1025,$A1025))</f>
        <v/>
      </c>
      <c r="J1025" s="43" t="str">
        <f aca="false">IF($A1025="","",$A1025&amp;"-"&amp;$I1025)</f>
        <v/>
      </c>
      <c r="K1025" s="38" t="str">
        <f aca="false">IF($A1025="","",IF(COUNTIF(参数!$B$6:$B$8,$H1025)=0,"× 付款方式","√"))</f>
        <v/>
      </c>
    </row>
    <row r="1026" customFormat="false" ht="13.5" hidden="false" customHeight="false" outlineLevel="0" collapsed="false">
      <c r="A1026" s="41"/>
      <c r="B1026" s="42"/>
      <c r="C1026" s="36"/>
      <c r="D1026" s="35"/>
      <c r="E1026" s="36"/>
      <c r="F1026" s="36"/>
      <c r="G1026" s="37"/>
      <c r="H1026" s="35"/>
      <c r="I1026" s="43" t="str">
        <f aca="false">IF($A1026="","",COUNTIFS($A$2:$A1026,$A1026))</f>
        <v/>
      </c>
      <c r="J1026" s="43" t="str">
        <f aca="false">IF($A1026="","",$A1026&amp;"-"&amp;$I1026)</f>
        <v/>
      </c>
      <c r="K1026" s="38" t="str">
        <f aca="false">IF($A1026="","",IF(COUNTIF(参数!$B$6:$B$8,$H1026)=0,"× 付款方式","√"))</f>
        <v/>
      </c>
    </row>
    <row r="1027" customFormat="false" ht="13.5" hidden="false" customHeight="false" outlineLevel="0" collapsed="false">
      <c r="A1027" s="41"/>
      <c r="B1027" s="42"/>
      <c r="C1027" s="36"/>
      <c r="D1027" s="35"/>
      <c r="E1027" s="36"/>
      <c r="F1027" s="36"/>
      <c r="G1027" s="37"/>
      <c r="H1027" s="35"/>
      <c r="I1027" s="43" t="str">
        <f aca="false">IF($A1027="","",COUNTIFS($A$2:$A1027,$A1027))</f>
        <v/>
      </c>
      <c r="J1027" s="43" t="str">
        <f aca="false">IF($A1027="","",$A1027&amp;"-"&amp;$I1027)</f>
        <v/>
      </c>
      <c r="K1027" s="38" t="str">
        <f aca="false">IF($A1027="","",IF(COUNTIF(参数!$B$6:$B$8,$H1027)=0,"× 付款方式","√"))</f>
        <v/>
      </c>
    </row>
    <row r="1028" customFormat="false" ht="13.5" hidden="false" customHeight="false" outlineLevel="0" collapsed="false">
      <c r="A1028" s="41"/>
      <c r="B1028" s="42"/>
      <c r="C1028" s="36"/>
      <c r="D1028" s="35"/>
      <c r="E1028" s="36"/>
      <c r="F1028" s="36"/>
      <c r="G1028" s="37"/>
      <c r="H1028" s="35"/>
      <c r="I1028" s="43" t="str">
        <f aca="false">IF($A1028="","",COUNTIFS($A$2:$A1028,$A1028))</f>
        <v/>
      </c>
      <c r="J1028" s="43" t="str">
        <f aca="false">IF($A1028="","",$A1028&amp;"-"&amp;$I1028)</f>
        <v/>
      </c>
      <c r="K1028" s="38" t="str">
        <f aca="false">IF($A1028="","",IF(COUNTIF(参数!$B$6:$B$8,$H1028)=0,"× 付款方式","√"))</f>
        <v/>
      </c>
    </row>
    <row r="1029" customFormat="false" ht="13.5" hidden="false" customHeight="false" outlineLevel="0" collapsed="false">
      <c r="A1029" s="41"/>
      <c r="B1029" s="42"/>
      <c r="C1029" s="36"/>
      <c r="D1029" s="35"/>
      <c r="E1029" s="36"/>
      <c r="F1029" s="36"/>
      <c r="G1029" s="37"/>
      <c r="H1029" s="35"/>
      <c r="I1029" s="43" t="str">
        <f aca="false">IF($A1029="","",COUNTIFS($A$2:$A1029,$A1029))</f>
        <v/>
      </c>
      <c r="J1029" s="43" t="str">
        <f aca="false">IF($A1029="","",$A1029&amp;"-"&amp;$I1029)</f>
        <v/>
      </c>
      <c r="K1029" s="38" t="str">
        <f aca="false">IF($A1029="","",IF(COUNTIF(参数!$B$6:$B$8,$H1029)=0,"× 付款方式","√"))</f>
        <v/>
      </c>
    </row>
    <row r="1030" customFormat="false" ht="13.5" hidden="false" customHeight="false" outlineLevel="0" collapsed="false">
      <c r="A1030" s="41"/>
      <c r="B1030" s="42"/>
      <c r="C1030" s="36"/>
      <c r="D1030" s="35"/>
      <c r="E1030" s="36"/>
      <c r="F1030" s="36"/>
      <c r="G1030" s="37"/>
      <c r="H1030" s="35"/>
      <c r="I1030" s="43" t="str">
        <f aca="false">IF($A1030="","",COUNTIFS($A$2:$A1030,$A1030))</f>
        <v/>
      </c>
      <c r="J1030" s="43" t="str">
        <f aca="false">IF($A1030="","",$A1030&amp;"-"&amp;$I1030)</f>
        <v/>
      </c>
      <c r="K1030" s="38" t="str">
        <f aca="false">IF($A1030="","",IF(COUNTIF(参数!$B$6:$B$8,$H1030)=0,"× 付款方式","√"))</f>
        <v/>
      </c>
    </row>
    <row r="1031" customFormat="false" ht="13.5" hidden="false" customHeight="false" outlineLevel="0" collapsed="false">
      <c r="A1031" s="41"/>
      <c r="B1031" s="42"/>
      <c r="C1031" s="36"/>
      <c r="D1031" s="35"/>
      <c r="E1031" s="36"/>
      <c r="F1031" s="36"/>
      <c r="G1031" s="37"/>
      <c r="H1031" s="35"/>
      <c r="I1031" s="43" t="str">
        <f aca="false">IF($A1031="","",COUNTIFS($A$2:$A1031,$A1031))</f>
        <v/>
      </c>
      <c r="J1031" s="43" t="str">
        <f aca="false">IF($A1031="","",$A1031&amp;"-"&amp;$I1031)</f>
        <v/>
      </c>
      <c r="K1031" s="38" t="str">
        <f aca="false">IF($A1031="","",IF(COUNTIF(参数!$B$6:$B$8,$H1031)=0,"× 付款方式","√"))</f>
        <v/>
      </c>
    </row>
    <row r="1032" customFormat="false" ht="13.5" hidden="false" customHeight="false" outlineLevel="0" collapsed="false">
      <c r="A1032" s="41"/>
      <c r="B1032" s="42"/>
      <c r="C1032" s="36"/>
      <c r="D1032" s="35"/>
      <c r="E1032" s="36"/>
      <c r="F1032" s="36"/>
      <c r="G1032" s="37"/>
      <c r="H1032" s="35"/>
      <c r="I1032" s="43" t="str">
        <f aca="false">IF($A1032="","",COUNTIFS($A$2:$A1032,$A1032))</f>
        <v/>
      </c>
      <c r="J1032" s="43" t="str">
        <f aca="false">IF($A1032="","",$A1032&amp;"-"&amp;$I1032)</f>
        <v/>
      </c>
      <c r="K1032" s="38" t="str">
        <f aca="false">IF($A1032="","",IF(COUNTIF(参数!$B$6:$B$8,$H1032)=0,"× 付款方式","√"))</f>
        <v/>
      </c>
    </row>
    <row r="1033" customFormat="false" ht="13.5" hidden="false" customHeight="false" outlineLevel="0" collapsed="false">
      <c r="A1033" s="41"/>
      <c r="B1033" s="42"/>
      <c r="C1033" s="36"/>
      <c r="D1033" s="35"/>
      <c r="E1033" s="36"/>
      <c r="F1033" s="36"/>
      <c r="G1033" s="37"/>
      <c r="H1033" s="35"/>
      <c r="I1033" s="43" t="str">
        <f aca="false">IF($A1033="","",COUNTIFS($A$2:$A1033,$A1033))</f>
        <v/>
      </c>
      <c r="J1033" s="43" t="str">
        <f aca="false">IF($A1033="","",$A1033&amp;"-"&amp;$I1033)</f>
        <v/>
      </c>
      <c r="K1033" s="38" t="str">
        <f aca="false">IF($A1033="","",IF(COUNTIF(参数!$B$6:$B$8,$H1033)=0,"× 付款方式","√"))</f>
        <v/>
      </c>
    </row>
    <row r="1034" customFormat="false" ht="13.5" hidden="false" customHeight="false" outlineLevel="0" collapsed="false">
      <c r="A1034" s="41"/>
      <c r="B1034" s="42"/>
      <c r="C1034" s="36"/>
      <c r="D1034" s="35"/>
      <c r="E1034" s="36"/>
      <c r="F1034" s="36"/>
      <c r="G1034" s="37"/>
      <c r="H1034" s="35"/>
      <c r="I1034" s="43" t="str">
        <f aca="false">IF($A1034="","",COUNTIFS($A$2:$A1034,$A1034))</f>
        <v/>
      </c>
      <c r="J1034" s="43" t="str">
        <f aca="false">IF($A1034="","",$A1034&amp;"-"&amp;$I1034)</f>
        <v/>
      </c>
      <c r="K1034" s="38" t="str">
        <f aca="false">IF($A1034="","",IF(COUNTIF(参数!$B$6:$B$8,$H1034)=0,"× 付款方式","√"))</f>
        <v/>
      </c>
    </row>
    <row r="1035" customFormat="false" ht="13.5" hidden="false" customHeight="false" outlineLevel="0" collapsed="false">
      <c r="A1035" s="41"/>
      <c r="B1035" s="42"/>
      <c r="C1035" s="36"/>
      <c r="D1035" s="35"/>
      <c r="E1035" s="36"/>
      <c r="F1035" s="36"/>
      <c r="G1035" s="37"/>
      <c r="H1035" s="35"/>
      <c r="I1035" s="43" t="str">
        <f aca="false">IF($A1035="","",COUNTIFS($A$2:$A1035,$A1035))</f>
        <v/>
      </c>
      <c r="J1035" s="43" t="str">
        <f aca="false">IF($A1035="","",$A1035&amp;"-"&amp;$I1035)</f>
        <v/>
      </c>
      <c r="K1035" s="38" t="str">
        <f aca="false">IF($A1035="","",IF(COUNTIF(参数!$B$6:$B$8,$H1035)=0,"× 付款方式","√"))</f>
        <v/>
      </c>
    </row>
    <row r="1036" customFormat="false" ht="13.5" hidden="false" customHeight="false" outlineLevel="0" collapsed="false">
      <c r="A1036" s="41"/>
      <c r="B1036" s="42"/>
      <c r="C1036" s="36"/>
      <c r="D1036" s="35"/>
      <c r="E1036" s="36"/>
      <c r="F1036" s="36"/>
      <c r="G1036" s="37"/>
      <c r="H1036" s="35"/>
      <c r="I1036" s="43" t="str">
        <f aca="false">IF($A1036="","",COUNTIFS($A$2:$A1036,$A1036))</f>
        <v/>
      </c>
      <c r="J1036" s="43" t="str">
        <f aca="false">IF($A1036="","",$A1036&amp;"-"&amp;$I1036)</f>
        <v/>
      </c>
      <c r="K1036" s="38" t="str">
        <f aca="false">IF($A1036="","",IF(COUNTIF(参数!$B$6:$B$8,$H1036)=0,"× 付款方式","√"))</f>
        <v/>
      </c>
    </row>
    <row r="1037" customFormat="false" ht="13.5" hidden="false" customHeight="false" outlineLevel="0" collapsed="false">
      <c r="A1037" s="41"/>
      <c r="B1037" s="42"/>
      <c r="C1037" s="36"/>
      <c r="D1037" s="35"/>
      <c r="E1037" s="36"/>
      <c r="F1037" s="36"/>
      <c r="G1037" s="37"/>
      <c r="H1037" s="35"/>
      <c r="I1037" s="43" t="str">
        <f aca="false">IF($A1037="","",COUNTIFS($A$2:$A1037,$A1037))</f>
        <v/>
      </c>
      <c r="J1037" s="43" t="str">
        <f aca="false">IF($A1037="","",$A1037&amp;"-"&amp;$I1037)</f>
        <v/>
      </c>
      <c r="K1037" s="38" t="str">
        <f aca="false">IF($A1037="","",IF(COUNTIF(参数!$B$6:$B$8,$H1037)=0,"× 付款方式","√"))</f>
        <v/>
      </c>
    </row>
    <row r="1038" customFormat="false" ht="13.5" hidden="false" customHeight="false" outlineLevel="0" collapsed="false">
      <c r="A1038" s="41"/>
      <c r="B1038" s="42"/>
      <c r="C1038" s="36"/>
      <c r="D1038" s="35"/>
      <c r="E1038" s="36"/>
      <c r="F1038" s="36"/>
      <c r="G1038" s="37"/>
      <c r="H1038" s="35"/>
      <c r="I1038" s="43" t="str">
        <f aca="false">IF($A1038="","",COUNTIFS($A$2:$A1038,$A1038))</f>
        <v/>
      </c>
      <c r="J1038" s="43" t="str">
        <f aca="false">IF($A1038="","",$A1038&amp;"-"&amp;$I1038)</f>
        <v/>
      </c>
      <c r="K1038" s="38" t="str">
        <f aca="false">IF($A1038="","",IF(COUNTIF(参数!$B$6:$B$8,$H1038)=0,"× 付款方式","√"))</f>
        <v/>
      </c>
    </row>
    <row r="1039" customFormat="false" ht="13.5" hidden="false" customHeight="false" outlineLevel="0" collapsed="false">
      <c r="A1039" s="41"/>
      <c r="B1039" s="42"/>
      <c r="C1039" s="36"/>
      <c r="D1039" s="35"/>
      <c r="E1039" s="36"/>
      <c r="F1039" s="36"/>
      <c r="G1039" s="37"/>
      <c r="H1039" s="35"/>
      <c r="I1039" s="43" t="str">
        <f aca="false">IF($A1039="","",COUNTIFS($A$2:$A1039,$A1039))</f>
        <v/>
      </c>
      <c r="J1039" s="43" t="str">
        <f aca="false">IF($A1039="","",$A1039&amp;"-"&amp;$I1039)</f>
        <v/>
      </c>
      <c r="K1039" s="38" t="str">
        <f aca="false">IF($A1039="","",IF(COUNTIF(参数!$B$6:$B$8,$H1039)=0,"× 付款方式","√"))</f>
        <v/>
      </c>
    </row>
    <row r="1040" customFormat="false" ht="13.5" hidden="false" customHeight="false" outlineLevel="0" collapsed="false">
      <c r="A1040" s="41"/>
      <c r="B1040" s="42"/>
      <c r="C1040" s="36"/>
      <c r="D1040" s="35"/>
      <c r="E1040" s="36"/>
      <c r="F1040" s="36"/>
      <c r="G1040" s="37"/>
      <c r="H1040" s="35"/>
      <c r="I1040" s="43" t="str">
        <f aca="false">IF($A1040="","",COUNTIFS($A$2:$A1040,$A1040))</f>
        <v/>
      </c>
      <c r="J1040" s="43" t="str">
        <f aca="false">IF($A1040="","",$A1040&amp;"-"&amp;$I1040)</f>
        <v/>
      </c>
      <c r="K1040" s="38" t="str">
        <f aca="false">IF($A1040="","",IF(COUNTIF(参数!$B$6:$B$8,$H1040)=0,"× 付款方式","√"))</f>
        <v/>
      </c>
    </row>
    <row r="1041" customFormat="false" ht="13.5" hidden="false" customHeight="false" outlineLevel="0" collapsed="false">
      <c r="A1041" s="41"/>
      <c r="B1041" s="42"/>
      <c r="C1041" s="36"/>
      <c r="D1041" s="35"/>
      <c r="E1041" s="36"/>
      <c r="F1041" s="36"/>
      <c r="G1041" s="37"/>
      <c r="H1041" s="35"/>
      <c r="I1041" s="43" t="str">
        <f aca="false">IF($A1041="","",COUNTIFS($A$2:$A1041,$A1041))</f>
        <v/>
      </c>
      <c r="J1041" s="43" t="str">
        <f aca="false">IF($A1041="","",$A1041&amp;"-"&amp;$I1041)</f>
        <v/>
      </c>
      <c r="K1041" s="38" t="str">
        <f aca="false">IF($A1041="","",IF(COUNTIF(参数!$B$6:$B$8,$H1041)=0,"× 付款方式","√"))</f>
        <v/>
      </c>
    </row>
    <row r="1042" customFormat="false" ht="13.5" hidden="false" customHeight="false" outlineLevel="0" collapsed="false">
      <c r="A1042" s="41"/>
      <c r="B1042" s="42"/>
      <c r="C1042" s="36"/>
      <c r="D1042" s="35"/>
      <c r="E1042" s="36"/>
      <c r="F1042" s="36"/>
      <c r="G1042" s="37"/>
      <c r="H1042" s="35"/>
      <c r="I1042" s="43" t="str">
        <f aca="false">IF($A1042="","",COUNTIFS($A$2:$A1042,$A1042))</f>
        <v/>
      </c>
      <c r="J1042" s="43" t="str">
        <f aca="false">IF($A1042="","",$A1042&amp;"-"&amp;$I1042)</f>
        <v/>
      </c>
      <c r="K1042" s="38" t="str">
        <f aca="false">IF($A1042="","",IF(COUNTIF(参数!$B$6:$B$8,$H1042)=0,"× 付款方式","√"))</f>
        <v/>
      </c>
    </row>
    <row r="1043" customFormat="false" ht="13.5" hidden="false" customHeight="false" outlineLevel="0" collapsed="false">
      <c r="A1043" s="41"/>
      <c r="B1043" s="42"/>
      <c r="C1043" s="36"/>
      <c r="D1043" s="35"/>
      <c r="E1043" s="36"/>
      <c r="F1043" s="36"/>
      <c r="G1043" s="37"/>
      <c r="H1043" s="35"/>
      <c r="I1043" s="43" t="str">
        <f aca="false">IF($A1043="","",COUNTIFS($A$2:$A1043,$A1043))</f>
        <v/>
      </c>
      <c r="J1043" s="43" t="str">
        <f aca="false">IF($A1043="","",$A1043&amp;"-"&amp;$I1043)</f>
        <v/>
      </c>
      <c r="K1043" s="38" t="str">
        <f aca="false">IF($A1043="","",IF(COUNTIF(参数!$B$6:$B$8,$H1043)=0,"× 付款方式","√"))</f>
        <v/>
      </c>
    </row>
    <row r="1044" customFormat="false" ht="13.5" hidden="false" customHeight="false" outlineLevel="0" collapsed="false">
      <c r="A1044" s="41"/>
      <c r="B1044" s="42"/>
      <c r="C1044" s="36"/>
      <c r="D1044" s="35"/>
      <c r="E1044" s="36"/>
      <c r="F1044" s="36"/>
      <c r="G1044" s="37"/>
      <c r="H1044" s="35"/>
      <c r="I1044" s="43" t="str">
        <f aca="false">IF($A1044="","",COUNTIFS($A$2:$A1044,$A1044))</f>
        <v/>
      </c>
      <c r="J1044" s="43" t="str">
        <f aca="false">IF($A1044="","",$A1044&amp;"-"&amp;$I1044)</f>
        <v/>
      </c>
      <c r="K1044" s="38" t="str">
        <f aca="false">IF($A1044="","",IF(COUNTIF(参数!$B$6:$B$8,$H1044)=0,"× 付款方式","√"))</f>
        <v/>
      </c>
    </row>
    <row r="1045" customFormat="false" ht="13.5" hidden="false" customHeight="false" outlineLevel="0" collapsed="false">
      <c r="A1045" s="41"/>
      <c r="B1045" s="42"/>
      <c r="C1045" s="36"/>
      <c r="D1045" s="35"/>
      <c r="E1045" s="36"/>
      <c r="F1045" s="36"/>
      <c r="G1045" s="37"/>
      <c r="H1045" s="35"/>
      <c r="I1045" s="43" t="str">
        <f aca="false">IF($A1045="","",COUNTIFS($A$2:$A1045,$A1045))</f>
        <v/>
      </c>
      <c r="J1045" s="43" t="str">
        <f aca="false">IF($A1045="","",$A1045&amp;"-"&amp;$I1045)</f>
        <v/>
      </c>
      <c r="K1045" s="38" t="str">
        <f aca="false">IF($A1045="","",IF(COUNTIF(参数!$B$6:$B$8,$H1045)=0,"× 付款方式","√"))</f>
        <v/>
      </c>
    </row>
    <row r="1046" customFormat="false" ht="13.5" hidden="false" customHeight="false" outlineLevel="0" collapsed="false">
      <c r="A1046" s="41"/>
      <c r="B1046" s="42"/>
      <c r="C1046" s="36"/>
      <c r="D1046" s="35"/>
      <c r="E1046" s="36"/>
      <c r="F1046" s="36"/>
      <c r="G1046" s="37"/>
      <c r="H1046" s="35"/>
      <c r="I1046" s="43" t="str">
        <f aca="false">IF($A1046="","",COUNTIFS($A$2:$A1046,$A1046))</f>
        <v/>
      </c>
      <c r="J1046" s="43" t="str">
        <f aca="false">IF($A1046="","",$A1046&amp;"-"&amp;$I1046)</f>
        <v/>
      </c>
      <c r="K1046" s="38" t="str">
        <f aca="false">IF($A1046="","",IF(COUNTIF(参数!$B$6:$B$8,$H1046)=0,"× 付款方式","√"))</f>
        <v/>
      </c>
    </row>
    <row r="1047" customFormat="false" ht="13.5" hidden="false" customHeight="false" outlineLevel="0" collapsed="false">
      <c r="A1047" s="41"/>
      <c r="B1047" s="42"/>
      <c r="C1047" s="36"/>
      <c r="D1047" s="35"/>
      <c r="E1047" s="36"/>
      <c r="F1047" s="36"/>
      <c r="G1047" s="37"/>
      <c r="H1047" s="35"/>
      <c r="I1047" s="43" t="str">
        <f aca="false">IF($A1047="","",COUNTIFS($A$2:$A1047,$A1047))</f>
        <v/>
      </c>
      <c r="J1047" s="43" t="str">
        <f aca="false">IF($A1047="","",$A1047&amp;"-"&amp;$I1047)</f>
        <v/>
      </c>
      <c r="K1047" s="38" t="str">
        <f aca="false">IF($A1047="","",IF(COUNTIF(参数!$B$6:$B$8,$H1047)=0,"× 付款方式","√"))</f>
        <v/>
      </c>
    </row>
    <row r="1048" customFormat="false" ht="13.5" hidden="false" customHeight="false" outlineLevel="0" collapsed="false">
      <c r="A1048" s="41"/>
      <c r="B1048" s="42"/>
      <c r="C1048" s="36"/>
      <c r="D1048" s="35"/>
      <c r="E1048" s="36"/>
      <c r="F1048" s="36"/>
      <c r="G1048" s="37"/>
      <c r="H1048" s="35"/>
      <c r="I1048" s="43" t="str">
        <f aca="false">IF($A1048="","",COUNTIFS($A$2:$A1048,$A1048))</f>
        <v/>
      </c>
      <c r="J1048" s="43" t="str">
        <f aca="false">IF($A1048="","",$A1048&amp;"-"&amp;$I1048)</f>
        <v/>
      </c>
      <c r="K1048" s="38" t="str">
        <f aca="false">IF($A1048="","",IF(COUNTIF(参数!$B$6:$B$8,$H1048)=0,"× 付款方式","√"))</f>
        <v/>
      </c>
    </row>
    <row r="1049" customFormat="false" ht="13.5" hidden="false" customHeight="false" outlineLevel="0" collapsed="false">
      <c r="A1049" s="41"/>
      <c r="B1049" s="42"/>
      <c r="C1049" s="36"/>
      <c r="D1049" s="35"/>
      <c r="E1049" s="36"/>
      <c r="F1049" s="36"/>
      <c r="G1049" s="37"/>
      <c r="H1049" s="35"/>
      <c r="I1049" s="43" t="str">
        <f aca="false">IF($A1049="","",COUNTIFS($A$2:$A1049,$A1049))</f>
        <v/>
      </c>
      <c r="J1049" s="43" t="str">
        <f aca="false">IF($A1049="","",$A1049&amp;"-"&amp;$I1049)</f>
        <v/>
      </c>
      <c r="K1049" s="38" t="str">
        <f aca="false">IF($A1049="","",IF(COUNTIF(参数!$B$6:$B$8,$H1049)=0,"× 付款方式","√"))</f>
        <v/>
      </c>
    </row>
    <row r="1050" customFormat="false" ht="13.5" hidden="false" customHeight="false" outlineLevel="0" collapsed="false">
      <c r="A1050" s="41"/>
      <c r="B1050" s="42"/>
      <c r="C1050" s="36"/>
      <c r="D1050" s="35"/>
      <c r="E1050" s="36"/>
      <c r="F1050" s="36"/>
      <c r="G1050" s="37"/>
      <c r="H1050" s="35"/>
      <c r="I1050" s="43" t="str">
        <f aca="false">IF($A1050="","",COUNTIFS($A$2:$A1050,$A1050))</f>
        <v/>
      </c>
      <c r="J1050" s="43" t="str">
        <f aca="false">IF($A1050="","",$A1050&amp;"-"&amp;$I1050)</f>
        <v/>
      </c>
      <c r="K1050" s="38" t="str">
        <f aca="false">IF($A1050="","",IF(COUNTIF(参数!$B$6:$B$8,$H1050)=0,"× 付款方式","√"))</f>
        <v/>
      </c>
    </row>
    <row r="1051" customFormat="false" ht="13.5" hidden="false" customHeight="false" outlineLevel="0" collapsed="false">
      <c r="A1051" s="41"/>
      <c r="B1051" s="42"/>
      <c r="C1051" s="36"/>
      <c r="D1051" s="35"/>
      <c r="E1051" s="36"/>
      <c r="F1051" s="36"/>
      <c r="G1051" s="37"/>
      <c r="H1051" s="35"/>
      <c r="I1051" s="43" t="str">
        <f aca="false">IF($A1051="","",COUNTIFS($A$2:$A1051,$A1051))</f>
        <v/>
      </c>
      <c r="J1051" s="43" t="str">
        <f aca="false">IF($A1051="","",$A1051&amp;"-"&amp;$I1051)</f>
        <v/>
      </c>
      <c r="K1051" s="38" t="str">
        <f aca="false">IF($A1051="","",IF(COUNTIF(参数!$B$6:$B$8,$H1051)=0,"× 付款方式","√"))</f>
        <v/>
      </c>
    </row>
    <row r="1052" customFormat="false" ht="13.5" hidden="false" customHeight="false" outlineLevel="0" collapsed="false">
      <c r="A1052" s="41"/>
      <c r="B1052" s="42"/>
      <c r="C1052" s="36"/>
      <c r="D1052" s="35"/>
      <c r="E1052" s="36"/>
      <c r="F1052" s="36"/>
      <c r="G1052" s="37"/>
      <c r="H1052" s="35"/>
      <c r="I1052" s="43" t="str">
        <f aca="false">IF($A1052="","",COUNTIFS($A$2:$A1052,$A1052))</f>
        <v/>
      </c>
      <c r="J1052" s="43" t="str">
        <f aca="false">IF($A1052="","",$A1052&amp;"-"&amp;$I1052)</f>
        <v/>
      </c>
      <c r="K1052" s="38" t="str">
        <f aca="false">IF($A1052="","",IF(COUNTIF(参数!$B$6:$B$8,$H1052)=0,"× 付款方式","√"))</f>
        <v/>
      </c>
    </row>
    <row r="1053" customFormat="false" ht="13.5" hidden="false" customHeight="false" outlineLevel="0" collapsed="false">
      <c r="A1053" s="41"/>
      <c r="B1053" s="42"/>
      <c r="C1053" s="36"/>
      <c r="D1053" s="35"/>
      <c r="E1053" s="36"/>
      <c r="F1053" s="36"/>
      <c r="G1053" s="37"/>
      <c r="H1053" s="35"/>
      <c r="I1053" s="43" t="str">
        <f aca="false">IF($A1053="","",COUNTIFS($A$2:$A1053,$A1053))</f>
        <v/>
      </c>
      <c r="J1053" s="43" t="str">
        <f aca="false">IF($A1053="","",$A1053&amp;"-"&amp;$I1053)</f>
        <v/>
      </c>
      <c r="K1053" s="38" t="str">
        <f aca="false">IF($A1053="","",IF(COUNTIF(参数!$B$6:$B$8,$H1053)=0,"× 付款方式","√"))</f>
        <v/>
      </c>
    </row>
    <row r="1054" customFormat="false" ht="13.5" hidden="false" customHeight="false" outlineLevel="0" collapsed="false">
      <c r="A1054" s="41"/>
      <c r="B1054" s="42"/>
      <c r="C1054" s="36"/>
      <c r="D1054" s="35"/>
      <c r="E1054" s="36"/>
      <c r="F1054" s="36"/>
      <c r="G1054" s="37"/>
      <c r="H1054" s="35"/>
      <c r="I1054" s="43" t="str">
        <f aca="false">IF($A1054="","",COUNTIFS($A$2:$A1054,$A1054))</f>
        <v/>
      </c>
      <c r="J1054" s="43" t="str">
        <f aca="false">IF($A1054="","",$A1054&amp;"-"&amp;$I1054)</f>
        <v/>
      </c>
      <c r="K1054" s="38" t="str">
        <f aca="false">IF($A1054="","",IF(COUNTIF(参数!$B$6:$B$8,$H1054)=0,"× 付款方式","√"))</f>
        <v/>
      </c>
    </row>
    <row r="1055" customFormat="false" ht="13.5" hidden="false" customHeight="false" outlineLevel="0" collapsed="false">
      <c r="A1055" s="41"/>
      <c r="B1055" s="42"/>
      <c r="C1055" s="36"/>
      <c r="D1055" s="35"/>
      <c r="E1055" s="36"/>
      <c r="F1055" s="36"/>
      <c r="G1055" s="37"/>
      <c r="H1055" s="35"/>
      <c r="I1055" s="43" t="str">
        <f aca="false">IF($A1055="","",COUNTIFS($A$2:$A1055,$A1055))</f>
        <v/>
      </c>
      <c r="J1055" s="43" t="str">
        <f aca="false">IF($A1055="","",$A1055&amp;"-"&amp;$I1055)</f>
        <v/>
      </c>
      <c r="K1055" s="38" t="str">
        <f aca="false">IF($A1055="","",IF(COUNTIF(参数!$B$6:$B$8,$H1055)=0,"× 付款方式","√"))</f>
        <v/>
      </c>
    </row>
    <row r="1056" customFormat="false" ht="13.5" hidden="false" customHeight="false" outlineLevel="0" collapsed="false">
      <c r="A1056" s="41"/>
      <c r="B1056" s="42"/>
      <c r="C1056" s="36"/>
      <c r="D1056" s="35"/>
      <c r="E1056" s="36"/>
      <c r="F1056" s="36"/>
      <c r="G1056" s="37"/>
      <c r="H1056" s="35"/>
      <c r="I1056" s="43" t="str">
        <f aca="false">IF($A1056="","",COUNTIFS($A$2:$A1056,$A1056))</f>
        <v/>
      </c>
      <c r="J1056" s="43" t="str">
        <f aca="false">IF($A1056="","",$A1056&amp;"-"&amp;$I1056)</f>
        <v/>
      </c>
      <c r="K1056" s="38" t="str">
        <f aca="false">IF($A1056="","",IF(COUNTIF(参数!$B$6:$B$8,$H1056)=0,"× 付款方式","√"))</f>
        <v/>
      </c>
    </row>
    <row r="1057" customFormat="false" ht="13.5" hidden="false" customHeight="false" outlineLevel="0" collapsed="false">
      <c r="A1057" s="41"/>
      <c r="B1057" s="42"/>
      <c r="C1057" s="36"/>
      <c r="D1057" s="35"/>
      <c r="E1057" s="36"/>
      <c r="F1057" s="36"/>
      <c r="G1057" s="37"/>
      <c r="H1057" s="35"/>
      <c r="I1057" s="43" t="str">
        <f aca="false">IF($A1057="","",COUNTIFS($A$2:$A1057,$A1057))</f>
        <v/>
      </c>
      <c r="J1057" s="43" t="str">
        <f aca="false">IF($A1057="","",$A1057&amp;"-"&amp;$I1057)</f>
        <v/>
      </c>
      <c r="K1057" s="38" t="str">
        <f aca="false">IF($A1057="","",IF(COUNTIF(参数!$B$6:$B$8,$H1057)=0,"× 付款方式","√"))</f>
        <v/>
      </c>
    </row>
    <row r="1058" customFormat="false" ht="13.5" hidden="false" customHeight="false" outlineLevel="0" collapsed="false">
      <c r="A1058" s="41"/>
      <c r="B1058" s="42"/>
      <c r="C1058" s="36"/>
      <c r="D1058" s="35"/>
      <c r="E1058" s="36"/>
      <c r="F1058" s="36"/>
      <c r="G1058" s="37"/>
      <c r="H1058" s="35"/>
      <c r="I1058" s="43" t="str">
        <f aca="false">IF($A1058="","",COUNTIFS($A$2:$A1058,$A1058))</f>
        <v/>
      </c>
      <c r="J1058" s="43" t="str">
        <f aca="false">IF($A1058="","",$A1058&amp;"-"&amp;$I1058)</f>
        <v/>
      </c>
      <c r="K1058" s="38" t="str">
        <f aca="false">IF($A1058="","",IF(COUNTIF(参数!$B$6:$B$8,$H1058)=0,"× 付款方式","√"))</f>
        <v/>
      </c>
    </row>
    <row r="1059" customFormat="false" ht="13.5" hidden="false" customHeight="false" outlineLevel="0" collapsed="false">
      <c r="A1059" s="41"/>
      <c r="B1059" s="42"/>
      <c r="C1059" s="36"/>
      <c r="D1059" s="35"/>
      <c r="E1059" s="36"/>
      <c r="F1059" s="36"/>
      <c r="G1059" s="37"/>
      <c r="H1059" s="35"/>
      <c r="I1059" s="43" t="str">
        <f aca="false">IF($A1059="","",COUNTIFS($A$2:$A1059,$A1059))</f>
        <v/>
      </c>
      <c r="J1059" s="43" t="str">
        <f aca="false">IF($A1059="","",$A1059&amp;"-"&amp;$I1059)</f>
        <v/>
      </c>
      <c r="K1059" s="38" t="str">
        <f aca="false">IF($A1059="","",IF(COUNTIF(参数!$B$6:$B$8,$H1059)=0,"× 付款方式","√"))</f>
        <v/>
      </c>
    </row>
    <row r="1060" customFormat="false" ht="13.5" hidden="false" customHeight="false" outlineLevel="0" collapsed="false">
      <c r="A1060" s="41"/>
      <c r="B1060" s="42"/>
      <c r="C1060" s="36"/>
      <c r="D1060" s="35"/>
      <c r="E1060" s="36"/>
      <c r="F1060" s="36"/>
      <c r="G1060" s="37"/>
      <c r="H1060" s="35"/>
      <c r="I1060" s="43" t="str">
        <f aca="false">IF($A1060="","",COUNTIFS($A$2:$A1060,$A1060))</f>
        <v/>
      </c>
      <c r="J1060" s="43" t="str">
        <f aca="false">IF($A1060="","",$A1060&amp;"-"&amp;$I1060)</f>
        <v/>
      </c>
      <c r="K1060" s="38" t="str">
        <f aca="false">IF($A1060="","",IF(COUNTIF(参数!$B$6:$B$8,$H1060)=0,"× 付款方式","√"))</f>
        <v/>
      </c>
    </row>
    <row r="1061" customFormat="false" ht="13.5" hidden="false" customHeight="false" outlineLevel="0" collapsed="false">
      <c r="A1061" s="41"/>
      <c r="B1061" s="42"/>
      <c r="C1061" s="36"/>
      <c r="D1061" s="35"/>
      <c r="E1061" s="36"/>
      <c r="F1061" s="36"/>
      <c r="G1061" s="37"/>
      <c r="H1061" s="35"/>
      <c r="I1061" s="43" t="str">
        <f aca="false">IF($A1061="","",COUNTIFS($A$2:$A1061,$A1061))</f>
        <v/>
      </c>
      <c r="J1061" s="43" t="str">
        <f aca="false">IF($A1061="","",$A1061&amp;"-"&amp;$I1061)</f>
        <v/>
      </c>
      <c r="K1061" s="38" t="str">
        <f aca="false">IF($A1061="","",IF(COUNTIF(参数!$B$6:$B$8,$H1061)=0,"× 付款方式","√"))</f>
        <v/>
      </c>
    </row>
    <row r="1062" customFormat="false" ht="13.5" hidden="false" customHeight="false" outlineLevel="0" collapsed="false">
      <c r="A1062" s="41"/>
      <c r="B1062" s="42"/>
      <c r="C1062" s="36"/>
      <c r="D1062" s="35"/>
      <c r="E1062" s="36"/>
      <c r="F1062" s="36"/>
      <c r="G1062" s="37"/>
      <c r="H1062" s="35"/>
      <c r="I1062" s="43" t="str">
        <f aca="false">IF($A1062="","",COUNTIFS($A$2:$A1062,$A1062))</f>
        <v/>
      </c>
      <c r="J1062" s="43" t="str">
        <f aca="false">IF($A1062="","",$A1062&amp;"-"&amp;$I1062)</f>
        <v/>
      </c>
      <c r="K1062" s="38" t="str">
        <f aca="false">IF($A1062="","",IF(COUNTIF(参数!$B$6:$B$8,$H1062)=0,"× 付款方式","√"))</f>
        <v/>
      </c>
    </row>
    <row r="1063" customFormat="false" ht="13.5" hidden="false" customHeight="false" outlineLevel="0" collapsed="false">
      <c r="A1063" s="41"/>
      <c r="B1063" s="42"/>
      <c r="C1063" s="36"/>
      <c r="D1063" s="35"/>
      <c r="E1063" s="36"/>
      <c r="F1063" s="36"/>
      <c r="G1063" s="37"/>
      <c r="H1063" s="35"/>
      <c r="I1063" s="43" t="str">
        <f aca="false">IF($A1063="","",COUNTIFS($A$2:$A1063,$A1063))</f>
        <v/>
      </c>
      <c r="J1063" s="43" t="str">
        <f aca="false">IF($A1063="","",$A1063&amp;"-"&amp;$I1063)</f>
        <v/>
      </c>
      <c r="K1063" s="38" t="str">
        <f aca="false">IF($A1063="","",IF(COUNTIF(参数!$B$6:$B$8,$H1063)=0,"× 付款方式","√"))</f>
        <v/>
      </c>
    </row>
    <row r="1064" customFormat="false" ht="13.5" hidden="false" customHeight="false" outlineLevel="0" collapsed="false">
      <c r="A1064" s="41"/>
      <c r="B1064" s="42"/>
      <c r="C1064" s="36"/>
      <c r="D1064" s="35"/>
      <c r="E1064" s="36"/>
      <c r="F1064" s="36"/>
      <c r="G1064" s="37"/>
      <c r="H1064" s="35"/>
      <c r="I1064" s="43" t="str">
        <f aca="false">IF($A1064="","",COUNTIFS($A$2:$A1064,$A1064))</f>
        <v/>
      </c>
      <c r="J1064" s="43" t="str">
        <f aca="false">IF($A1064="","",$A1064&amp;"-"&amp;$I1064)</f>
        <v/>
      </c>
      <c r="K1064" s="38" t="str">
        <f aca="false">IF($A1064="","",IF(COUNTIF(参数!$B$6:$B$8,$H1064)=0,"× 付款方式","√"))</f>
        <v/>
      </c>
    </row>
    <row r="1065" customFormat="false" ht="13.5" hidden="false" customHeight="false" outlineLevel="0" collapsed="false">
      <c r="A1065" s="41"/>
      <c r="B1065" s="42"/>
      <c r="C1065" s="36"/>
      <c r="D1065" s="35"/>
      <c r="E1065" s="36"/>
      <c r="F1065" s="36"/>
      <c r="G1065" s="37"/>
      <c r="H1065" s="35"/>
      <c r="I1065" s="43" t="str">
        <f aca="false">IF($A1065="","",COUNTIFS($A$2:$A1065,$A1065))</f>
        <v/>
      </c>
      <c r="J1065" s="43" t="str">
        <f aca="false">IF($A1065="","",$A1065&amp;"-"&amp;$I1065)</f>
        <v/>
      </c>
      <c r="K1065" s="38" t="str">
        <f aca="false">IF($A1065="","",IF(COUNTIF(参数!$B$6:$B$8,$H1065)=0,"× 付款方式","√"))</f>
        <v/>
      </c>
    </row>
    <row r="1066" customFormat="false" ht="13.5" hidden="false" customHeight="false" outlineLevel="0" collapsed="false">
      <c r="A1066" s="41"/>
      <c r="B1066" s="42"/>
      <c r="C1066" s="36"/>
      <c r="D1066" s="35"/>
      <c r="E1066" s="36"/>
      <c r="F1066" s="36"/>
      <c r="G1066" s="37"/>
      <c r="H1066" s="35"/>
      <c r="I1066" s="43" t="str">
        <f aca="false">IF($A1066="","",COUNTIFS($A$2:$A1066,$A1066))</f>
        <v/>
      </c>
      <c r="J1066" s="43" t="str">
        <f aca="false">IF($A1066="","",$A1066&amp;"-"&amp;$I1066)</f>
        <v/>
      </c>
      <c r="K1066" s="38" t="str">
        <f aca="false">IF($A1066="","",IF(COUNTIF(参数!$B$6:$B$8,$H1066)=0,"× 付款方式","√"))</f>
        <v/>
      </c>
    </row>
    <row r="1067" customFormat="false" ht="13.5" hidden="false" customHeight="false" outlineLevel="0" collapsed="false">
      <c r="A1067" s="41"/>
      <c r="B1067" s="42"/>
      <c r="C1067" s="36"/>
      <c r="D1067" s="35"/>
      <c r="E1067" s="36"/>
      <c r="F1067" s="36"/>
      <c r="G1067" s="37"/>
      <c r="H1067" s="35"/>
      <c r="I1067" s="43" t="str">
        <f aca="false">IF($A1067="","",COUNTIFS($A$2:$A1067,$A1067))</f>
        <v/>
      </c>
      <c r="J1067" s="43" t="str">
        <f aca="false">IF($A1067="","",$A1067&amp;"-"&amp;$I1067)</f>
        <v/>
      </c>
      <c r="K1067" s="38" t="str">
        <f aca="false">IF($A1067="","",IF(COUNTIF(参数!$B$6:$B$8,$H1067)=0,"× 付款方式","√"))</f>
        <v/>
      </c>
    </row>
    <row r="1068" customFormat="false" ht="13.5" hidden="false" customHeight="false" outlineLevel="0" collapsed="false">
      <c r="A1068" s="41"/>
      <c r="B1068" s="42"/>
      <c r="C1068" s="36"/>
      <c r="D1068" s="35"/>
      <c r="E1068" s="36"/>
      <c r="F1068" s="36"/>
      <c r="G1068" s="37"/>
      <c r="H1068" s="35"/>
      <c r="I1068" s="43" t="str">
        <f aca="false">IF($A1068="","",COUNTIFS($A$2:$A1068,$A1068))</f>
        <v/>
      </c>
      <c r="J1068" s="43" t="str">
        <f aca="false">IF($A1068="","",$A1068&amp;"-"&amp;$I1068)</f>
        <v/>
      </c>
      <c r="K1068" s="38" t="str">
        <f aca="false">IF($A1068="","",IF(COUNTIF(参数!$B$6:$B$8,$H1068)=0,"× 付款方式","√"))</f>
        <v/>
      </c>
    </row>
    <row r="1069" customFormat="false" ht="13.5" hidden="false" customHeight="false" outlineLevel="0" collapsed="false">
      <c r="A1069" s="41"/>
      <c r="B1069" s="42"/>
      <c r="C1069" s="36"/>
      <c r="D1069" s="35"/>
      <c r="E1069" s="36"/>
      <c r="F1069" s="36"/>
      <c r="G1069" s="37"/>
      <c r="H1069" s="35"/>
      <c r="I1069" s="43" t="str">
        <f aca="false">IF($A1069="","",COUNTIFS($A$2:$A1069,$A1069))</f>
        <v/>
      </c>
      <c r="J1069" s="43" t="str">
        <f aca="false">IF($A1069="","",$A1069&amp;"-"&amp;$I1069)</f>
        <v/>
      </c>
      <c r="K1069" s="38" t="str">
        <f aca="false">IF($A1069="","",IF(COUNTIF(参数!$B$6:$B$8,$H1069)=0,"× 付款方式","√"))</f>
        <v/>
      </c>
    </row>
    <row r="1070" customFormat="false" ht="13.5" hidden="false" customHeight="false" outlineLevel="0" collapsed="false">
      <c r="A1070" s="41"/>
      <c r="B1070" s="42"/>
      <c r="C1070" s="36"/>
      <c r="D1070" s="35"/>
      <c r="E1070" s="36"/>
      <c r="F1070" s="36"/>
      <c r="G1070" s="37"/>
      <c r="H1070" s="35"/>
      <c r="I1070" s="43" t="str">
        <f aca="false">IF($A1070="","",COUNTIFS($A$2:$A1070,$A1070))</f>
        <v/>
      </c>
      <c r="J1070" s="43" t="str">
        <f aca="false">IF($A1070="","",$A1070&amp;"-"&amp;$I1070)</f>
        <v/>
      </c>
      <c r="K1070" s="38" t="str">
        <f aca="false">IF($A1070="","",IF(COUNTIF(参数!$B$6:$B$8,$H1070)=0,"× 付款方式","√"))</f>
        <v/>
      </c>
    </row>
    <row r="1071" customFormat="false" ht="13.5" hidden="false" customHeight="false" outlineLevel="0" collapsed="false">
      <c r="A1071" s="41"/>
      <c r="B1071" s="42"/>
      <c r="C1071" s="36"/>
      <c r="D1071" s="35"/>
      <c r="E1071" s="36"/>
      <c r="F1071" s="36"/>
      <c r="G1071" s="37"/>
      <c r="H1071" s="35"/>
      <c r="I1071" s="43" t="str">
        <f aca="false">IF($A1071="","",COUNTIFS($A$2:$A1071,$A1071))</f>
        <v/>
      </c>
      <c r="J1071" s="43" t="str">
        <f aca="false">IF($A1071="","",$A1071&amp;"-"&amp;$I1071)</f>
        <v/>
      </c>
      <c r="K1071" s="38" t="str">
        <f aca="false">IF($A1071="","",IF(COUNTIF(参数!$B$6:$B$8,$H1071)=0,"× 付款方式","√"))</f>
        <v/>
      </c>
    </row>
    <row r="1072" customFormat="false" ht="13.5" hidden="false" customHeight="false" outlineLevel="0" collapsed="false">
      <c r="A1072" s="41"/>
      <c r="B1072" s="42"/>
      <c r="C1072" s="36"/>
      <c r="D1072" s="35"/>
      <c r="E1072" s="36"/>
      <c r="F1072" s="36"/>
      <c r="G1072" s="37"/>
      <c r="H1072" s="35"/>
      <c r="I1072" s="43" t="str">
        <f aca="false">IF($A1072="","",COUNTIFS($A$2:$A1072,$A1072))</f>
        <v/>
      </c>
      <c r="J1072" s="43" t="str">
        <f aca="false">IF($A1072="","",$A1072&amp;"-"&amp;$I1072)</f>
        <v/>
      </c>
      <c r="K1072" s="38" t="str">
        <f aca="false">IF($A1072="","",IF(COUNTIF(参数!$B$6:$B$8,$H1072)=0,"× 付款方式","√"))</f>
        <v/>
      </c>
    </row>
    <row r="1073" customFormat="false" ht="13.5" hidden="false" customHeight="false" outlineLevel="0" collapsed="false">
      <c r="A1073" s="41"/>
      <c r="B1073" s="42"/>
      <c r="C1073" s="36"/>
      <c r="D1073" s="35"/>
      <c r="E1073" s="36"/>
      <c r="F1073" s="36"/>
      <c r="G1073" s="37"/>
      <c r="H1073" s="35"/>
      <c r="I1073" s="43" t="str">
        <f aca="false">IF($A1073="","",COUNTIFS($A$2:$A1073,$A1073))</f>
        <v/>
      </c>
      <c r="J1073" s="43" t="str">
        <f aca="false">IF($A1073="","",$A1073&amp;"-"&amp;$I1073)</f>
        <v/>
      </c>
      <c r="K1073" s="38" t="str">
        <f aca="false">IF($A1073="","",IF(COUNTIF(参数!$B$6:$B$8,$H1073)=0,"× 付款方式","√"))</f>
        <v/>
      </c>
    </row>
    <row r="1074" customFormat="false" ht="13.5" hidden="false" customHeight="false" outlineLevel="0" collapsed="false">
      <c r="A1074" s="41"/>
      <c r="B1074" s="42"/>
      <c r="C1074" s="36"/>
      <c r="D1074" s="35"/>
      <c r="E1074" s="36"/>
      <c r="F1074" s="36"/>
      <c r="G1074" s="37"/>
      <c r="H1074" s="35"/>
      <c r="I1074" s="43" t="str">
        <f aca="false">IF($A1074="","",COUNTIFS($A$2:$A1074,$A1074))</f>
        <v/>
      </c>
      <c r="J1074" s="43" t="str">
        <f aca="false">IF($A1074="","",$A1074&amp;"-"&amp;$I1074)</f>
        <v/>
      </c>
      <c r="K1074" s="38" t="str">
        <f aca="false">IF($A1074="","",IF(COUNTIF(参数!$B$6:$B$8,$H1074)=0,"× 付款方式","√"))</f>
        <v/>
      </c>
    </row>
    <row r="1075" customFormat="false" ht="13.5" hidden="false" customHeight="false" outlineLevel="0" collapsed="false">
      <c r="A1075" s="41"/>
      <c r="B1075" s="42"/>
      <c r="C1075" s="36"/>
      <c r="D1075" s="35"/>
      <c r="E1075" s="36"/>
      <c r="F1075" s="36"/>
      <c r="G1075" s="37"/>
      <c r="H1075" s="35"/>
      <c r="I1075" s="43" t="str">
        <f aca="false">IF($A1075="","",COUNTIFS($A$2:$A1075,$A1075))</f>
        <v/>
      </c>
      <c r="J1075" s="43" t="str">
        <f aca="false">IF($A1075="","",$A1075&amp;"-"&amp;$I1075)</f>
        <v/>
      </c>
      <c r="K1075" s="38" t="str">
        <f aca="false">IF($A1075="","",IF(COUNTIF(参数!$B$6:$B$8,$H1075)=0,"× 付款方式","√"))</f>
        <v/>
      </c>
    </row>
    <row r="1076" customFormat="false" ht="13.5" hidden="false" customHeight="false" outlineLevel="0" collapsed="false">
      <c r="A1076" s="41"/>
      <c r="B1076" s="42"/>
      <c r="C1076" s="36"/>
      <c r="D1076" s="35"/>
      <c r="E1076" s="36"/>
      <c r="F1076" s="36"/>
      <c r="G1076" s="37"/>
      <c r="H1076" s="35"/>
      <c r="I1076" s="43" t="str">
        <f aca="false">IF($A1076="","",COUNTIFS($A$2:$A1076,$A1076))</f>
        <v/>
      </c>
      <c r="J1076" s="43" t="str">
        <f aca="false">IF($A1076="","",$A1076&amp;"-"&amp;$I1076)</f>
        <v/>
      </c>
      <c r="K1076" s="38" t="str">
        <f aca="false">IF($A1076="","",IF(COUNTIF(参数!$B$6:$B$8,$H1076)=0,"× 付款方式","√"))</f>
        <v/>
      </c>
    </row>
    <row r="1077" customFormat="false" ht="13.5" hidden="false" customHeight="false" outlineLevel="0" collapsed="false">
      <c r="A1077" s="41"/>
      <c r="B1077" s="42"/>
      <c r="C1077" s="36"/>
      <c r="D1077" s="35"/>
      <c r="E1077" s="36"/>
      <c r="F1077" s="36"/>
      <c r="G1077" s="37"/>
      <c r="H1077" s="35"/>
      <c r="I1077" s="43" t="str">
        <f aca="false">IF($A1077="","",COUNTIFS($A$2:$A1077,$A1077))</f>
        <v/>
      </c>
      <c r="J1077" s="43" t="str">
        <f aca="false">IF($A1077="","",$A1077&amp;"-"&amp;$I1077)</f>
        <v/>
      </c>
      <c r="K1077" s="38" t="str">
        <f aca="false">IF($A1077="","",IF(COUNTIF(参数!$B$6:$B$8,$H1077)=0,"× 付款方式","√"))</f>
        <v/>
      </c>
    </row>
    <row r="1078" customFormat="false" ht="13.5" hidden="false" customHeight="false" outlineLevel="0" collapsed="false">
      <c r="A1078" s="41"/>
      <c r="B1078" s="42"/>
      <c r="C1078" s="36"/>
      <c r="D1078" s="35"/>
      <c r="E1078" s="36"/>
      <c r="F1078" s="36"/>
      <c r="G1078" s="37"/>
      <c r="H1078" s="35"/>
      <c r="I1078" s="43" t="str">
        <f aca="false">IF($A1078="","",COUNTIFS($A$2:$A1078,$A1078))</f>
        <v/>
      </c>
      <c r="J1078" s="43" t="str">
        <f aca="false">IF($A1078="","",$A1078&amp;"-"&amp;$I1078)</f>
        <v/>
      </c>
      <c r="K1078" s="38" t="str">
        <f aca="false">IF($A1078="","",IF(COUNTIF(参数!$B$6:$B$8,$H1078)=0,"× 付款方式","√"))</f>
        <v/>
      </c>
    </row>
    <row r="1079" customFormat="false" ht="13.5" hidden="false" customHeight="false" outlineLevel="0" collapsed="false">
      <c r="A1079" s="41"/>
      <c r="B1079" s="42"/>
      <c r="C1079" s="36"/>
      <c r="D1079" s="35"/>
      <c r="E1079" s="36"/>
      <c r="F1079" s="36"/>
      <c r="G1079" s="37"/>
      <c r="H1079" s="35"/>
      <c r="I1079" s="43" t="str">
        <f aca="false">IF($A1079="","",COUNTIFS($A$2:$A1079,$A1079))</f>
        <v/>
      </c>
      <c r="J1079" s="43" t="str">
        <f aca="false">IF($A1079="","",$A1079&amp;"-"&amp;$I1079)</f>
        <v/>
      </c>
      <c r="K1079" s="38" t="str">
        <f aca="false">IF($A1079="","",IF(COUNTIF(参数!$B$6:$B$8,$H1079)=0,"× 付款方式","√"))</f>
        <v/>
      </c>
    </row>
    <row r="1080" customFormat="false" ht="13.5" hidden="false" customHeight="false" outlineLevel="0" collapsed="false">
      <c r="A1080" s="41"/>
      <c r="B1080" s="42"/>
      <c r="C1080" s="36"/>
      <c r="D1080" s="35"/>
      <c r="E1080" s="36"/>
      <c r="F1080" s="36"/>
      <c r="G1080" s="37"/>
      <c r="H1080" s="35"/>
      <c r="I1080" s="43" t="str">
        <f aca="false">IF($A1080="","",COUNTIFS($A$2:$A1080,$A1080))</f>
        <v/>
      </c>
      <c r="J1080" s="43" t="str">
        <f aca="false">IF($A1080="","",$A1080&amp;"-"&amp;$I1080)</f>
        <v/>
      </c>
      <c r="K1080" s="38" t="str">
        <f aca="false">IF($A1080="","",IF(COUNTIF(参数!$B$6:$B$8,$H1080)=0,"× 付款方式","√"))</f>
        <v/>
      </c>
    </row>
    <row r="1081" customFormat="false" ht="13.5" hidden="false" customHeight="false" outlineLevel="0" collapsed="false">
      <c r="A1081" s="41"/>
      <c r="B1081" s="42"/>
      <c r="C1081" s="36"/>
      <c r="D1081" s="35"/>
      <c r="E1081" s="36"/>
      <c r="F1081" s="36"/>
      <c r="G1081" s="37"/>
      <c r="H1081" s="35"/>
      <c r="I1081" s="43" t="str">
        <f aca="false">IF($A1081="","",COUNTIFS($A$2:$A1081,$A1081))</f>
        <v/>
      </c>
      <c r="J1081" s="43" t="str">
        <f aca="false">IF($A1081="","",$A1081&amp;"-"&amp;$I1081)</f>
        <v/>
      </c>
      <c r="K1081" s="38" t="str">
        <f aca="false">IF($A1081="","",IF(COUNTIF(参数!$B$6:$B$8,$H1081)=0,"× 付款方式","√"))</f>
        <v/>
      </c>
    </row>
    <row r="1082" customFormat="false" ht="13.5" hidden="false" customHeight="false" outlineLevel="0" collapsed="false">
      <c r="A1082" s="41"/>
      <c r="B1082" s="42"/>
      <c r="C1082" s="36"/>
      <c r="D1082" s="35"/>
      <c r="E1082" s="36"/>
      <c r="F1082" s="36"/>
      <c r="G1082" s="37"/>
      <c r="H1082" s="35"/>
      <c r="I1082" s="43" t="str">
        <f aca="false">IF($A1082="","",COUNTIFS($A$2:$A1082,$A1082))</f>
        <v/>
      </c>
      <c r="J1082" s="43" t="str">
        <f aca="false">IF($A1082="","",$A1082&amp;"-"&amp;$I1082)</f>
        <v/>
      </c>
      <c r="K1082" s="38" t="str">
        <f aca="false">IF($A1082="","",IF(COUNTIF(参数!$B$6:$B$8,$H1082)=0,"× 付款方式","√"))</f>
        <v/>
      </c>
    </row>
    <row r="1083" customFormat="false" ht="13.5" hidden="false" customHeight="false" outlineLevel="0" collapsed="false">
      <c r="A1083" s="41"/>
      <c r="B1083" s="42"/>
      <c r="C1083" s="36"/>
      <c r="D1083" s="35"/>
      <c r="E1083" s="36"/>
      <c r="F1083" s="36"/>
      <c r="G1083" s="37"/>
      <c r="H1083" s="35"/>
      <c r="I1083" s="43" t="str">
        <f aca="false">IF($A1083="","",COUNTIFS($A$2:$A1083,$A1083))</f>
        <v/>
      </c>
      <c r="J1083" s="43" t="str">
        <f aca="false">IF($A1083="","",$A1083&amp;"-"&amp;$I1083)</f>
        <v/>
      </c>
      <c r="K1083" s="38" t="str">
        <f aca="false">IF($A1083="","",IF(COUNTIF(参数!$B$6:$B$8,$H1083)=0,"× 付款方式","√"))</f>
        <v/>
      </c>
    </row>
    <row r="1084" customFormat="false" ht="13.5" hidden="false" customHeight="false" outlineLevel="0" collapsed="false">
      <c r="A1084" s="41"/>
      <c r="B1084" s="42"/>
      <c r="C1084" s="36"/>
      <c r="D1084" s="35"/>
      <c r="E1084" s="36"/>
      <c r="F1084" s="36"/>
      <c r="G1084" s="37"/>
      <c r="H1084" s="35"/>
      <c r="I1084" s="43" t="str">
        <f aca="false">IF($A1084="","",COUNTIFS($A$2:$A1084,$A1084))</f>
        <v/>
      </c>
      <c r="J1084" s="43" t="str">
        <f aca="false">IF($A1084="","",$A1084&amp;"-"&amp;$I1084)</f>
        <v/>
      </c>
      <c r="K1084" s="38" t="str">
        <f aca="false">IF($A1084="","",IF(COUNTIF(参数!$B$6:$B$8,$H1084)=0,"× 付款方式","√"))</f>
        <v/>
      </c>
    </row>
    <row r="1085" customFormat="false" ht="13.5" hidden="false" customHeight="false" outlineLevel="0" collapsed="false">
      <c r="A1085" s="41"/>
      <c r="B1085" s="42"/>
      <c r="C1085" s="36"/>
      <c r="D1085" s="35"/>
      <c r="E1085" s="36"/>
      <c r="F1085" s="36"/>
      <c r="G1085" s="37"/>
      <c r="H1085" s="35"/>
      <c r="I1085" s="43" t="str">
        <f aca="false">IF($A1085="","",COUNTIFS($A$2:$A1085,$A1085))</f>
        <v/>
      </c>
      <c r="J1085" s="43" t="str">
        <f aca="false">IF($A1085="","",$A1085&amp;"-"&amp;$I1085)</f>
        <v/>
      </c>
      <c r="K1085" s="38" t="str">
        <f aca="false">IF($A1085="","",IF(COUNTIF(参数!$B$6:$B$8,$H1085)=0,"× 付款方式","√"))</f>
        <v/>
      </c>
    </row>
    <row r="1086" customFormat="false" ht="13.5" hidden="false" customHeight="false" outlineLevel="0" collapsed="false">
      <c r="A1086" s="41"/>
      <c r="B1086" s="42"/>
      <c r="C1086" s="36"/>
      <c r="D1086" s="35"/>
      <c r="E1086" s="36"/>
      <c r="F1086" s="36"/>
      <c r="G1086" s="37"/>
      <c r="H1086" s="35"/>
      <c r="I1086" s="43" t="str">
        <f aca="false">IF($A1086="","",COUNTIFS($A$2:$A1086,$A1086))</f>
        <v/>
      </c>
      <c r="J1086" s="43" t="str">
        <f aca="false">IF($A1086="","",$A1086&amp;"-"&amp;$I1086)</f>
        <v/>
      </c>
      <c r="K1086" s="38" t="str">
        <f aca="false">IF($A1086="","",IF(COUNTIF(参数!$B$6:$B$8,$H1086)=0,"× 付款方式","√"))</f>
        <v/>
      </c>
    </row>
    <row r="1087" customFormat="false" ht="13.5" hidden="false" customHeight="false" outlineLevel="0" collapsed="false">
      <c r="A1087" s="41"/>
      <c r="B1087" s="42"/>
      <c r="C1087" s="36"/>
      <c r="D1087" s="35"/>
      <c r="E1087" s="36"/>
      <c r="F1087" s="36"/>
      <c r="G1087" s="37"/>
      <c r="H1087" s="35"/>
      <c r="I1087" s="43" t="str">
        <f aca="false">IF($A1087="","",COUNTIFS($A$2:$A1087,$A1087))</f>
        <v/>
      </c>
      <c r="J1087" s="43" t="str">
        <f aca="false">IF($A1087="","",$A1087&amp;"-"&amp;$I1087)</f>
        <v/>
      </c>
      <c r="K1087" s="38" t="str">
        <f aca="false">IF($A1087="","",IF(COUNTIF(参数!$B$6:$B$8,$H1087)=0,"× 付款方式","√"))</f>
        <v/>
      </c>
    </row>
    <row r="1088" customFormat="false" ht="13.5" hidden="false" customHeight="false" outlineLevel="0" collapsed="false">
      <c r="A1088" s="41"/>
      <c r="B1088" s="42"/>
      <c r="C1088" s="36"/>
      <c r="D1088" s="35"/>
      <c r="E1088" s="36"/>
      <c r="F1088" s="36"/>
      <c r="G1088" s="37"/>
      <c r="H1088" s="35"/>
      <c r="I1088" s="43" t="str">
        <f aca="false">IF($A1088="","",COUNTIFS($A$2:$A1088,$A1088))</f>
        <v/>
      </c>
      <c r="J1088" s="43" t="str">
        <f aca="false">IF($A1088="","",$A1088&amp;"-"&amp;$I1088)</f>
        <v/>
      </c>
      <c r="K1088" s="38" t="str">
        <f aca="false">IF($A1088="","",IF(COUNTIF(参数!$B$6:$B$8,$H1088)=0,"× 付款方式","√"))</f>
        <v/>
      </c>
    </row>
    <row r="1089" customFormat="false" ht="13.5" hidden="false" customHeight="false" outlineLevel="0" collapsed="false">
      <c r="A1089" s="41"/>
      <c r="B1089" s="42"/>
      <c r="C1089" s="36"/>
      <c r="D1089" s="35"/>
      <c r="E1089" s="36"/>
      <c r="F1089" s="36"/>
      <c r="G1089" s="37"/>
      <c r="H1089" s="35"/>
      <c r="I1089" s="43" t="str">
        <f aca="false">IF($A1089="","",COUNTIFS($A$2:$A1089,$A1089))</f>
        <v/>
      </c>
      <c r="J1089" s="43" t="str">
        <f aca="false">IF($A1089="","",$A1089&amp;"-"&amp;$I1089)</f>
        <v/>
      </c>
      <c r="K1089" s="38" t="str">
        <f aca="false">IF($A1089="","",IF(COUNTIF(参数!$B$6:$B$8,$H1089)=0,"× 付款方式","√"))</f>
        <v/>
      </c>
    </row>
    <row r="1090" customFormat="false" ht="13.5" hidden="false" customHeight="false" outlineLevel="0" collapsed="false">
      <c r="A1090" s="41"/>
      <c r="B1090" s="42"/>
      <c r="C1090" s="36"/>
      <c r="D1090" s="35"/>
      <c r="E1090" s="36"/>
      <c r="F1090" s="36"/>
      <c r="G1090" s="37"/>
      <c r="H1090" s="35"/>
      <c r="I1090" s="43" t="str">
        <f aca="false">IF($A1090="","",COUNTIFS($A$2:$A1090,$A1090))</f>
        <v/>
      </c>
      <c r="J1090" s="43" t="str">
        <f aca="false">IF($A1090="","",$A1090&amp;"-"&amp;$I1090)</f>
        <v/>
      </c>
      <c r="K1090" s="38" t="str">
        <f aca="false">IF($A1090="","",IF(COUNTIF(参数!$B$6:$B$8,$H1090)=0,"× 付款方式","√"))</f>
        <v/>
      </c>
    </row>
    <row r="1091" customFormat="false" ht="13.5" hidden="false" customHeight="false" outlineLevel="0" collapsed="false">
      <c r="A1091" s="41"/>
      <c r="B1091" s="42"/>
      <c r="C1091" s="36"/>
      <c r="D1091" s="35"/>
      <c r="E1091" s="36"/>
      <c r="F1091" s="36"/>
      <c r="G1091" s="37"/>
      <c r="H1091" s="35"/>
      <c r="I1091" s="43" t="str">
        <f aca="false">IF($A1091="","",COUNTIFS($A$2:$A1091,$A1091))</f>
        <v/>
      </c>
      <c r="J1091" s="43" t="str">
        <f aca="false">IF($A1091="","",$A1091&amp;"-"&amp;$I1091)</f>
        <v/>
      </c>
      <c r="K1091" s="38" t="str">
        <f aca="false">IF($A1091="","",IF(COUNTIF(参数!$B$6:$B$8,$H1091)=0,"× 付款方式","√"))</f>
        <v/>
      </c>
    </row>
    <row r="1092" customFormat="false" ht="13.5" hidden="false" customHeight="false" outlineLevel="0" collapsed="false">
      <c r="A1092" s="41"/>
      <c r="B1092" s="42"/>
      <c r="C1092" s="36"/>
      <c r="D1092" s="35"/>
      <c r="E1092" s="36"/>
      <c r="F1092" s="36"/>
      <c r="G1092" s="37"/>
      <c r="H1092" s="35"/>
      <c r="I1092" s="43" t="str">
        <f aca="false">IF($A1092="","",COUNTIFS($A$2:$A1092,$A1092))</f>
        <v/>
      </c>
      <c r="J1092" s="43" t="str">
        <f aca="false">IF($A1092="","",$A1092&amp;"-"&amp;$I1092)</f>
        <v/>
      </c>
      <c r="K1092" s="38" t="str">
        <f aca="false">IF($A1092="","",IF(COUNTIF(参数!$B$6:$B$8,$H1092)=0,"× 付款方式","√"))</f>
        <v/>
      </c>
    </row>
    <row r="1093" customFormat="false" ht="13.5" hidden="false" customHeight="false" outlineLevel="0" collapsed="false">
      <c r="A1093" s="41"/>
      <c r="B1093" s="42"/>
      <c r="C1093" s="36"/>
      <c r="D1093" s="35"/>
      <c r="E1093" s="36"/>
      <c r="F1093" s="36"/>
      <c r="G1093" s="37"/>
      <c r="H1093" s="35"/>
      <c r="I1093" s="43" t="str">
        <f aca="false">IF($A1093="","",COUNTIFS($A$2:$A1093,$A1093))</f>
        <v/>
      </c>
      <c r="J1093" s="43" t="str">
        <f aca="false">IF($A1093="","",$A1093&amp;"-"&amp;$I1093)</f>
        <v/>
      </c>
      <c r="K1093" s="38" t="str">
        <f aca="false">IF($A1093="","",IF(COUNTIF(参数!$B$6:$B$8,$H1093)=0,"× 付款方式","√"))</f>
        <v/>
      </c>
    </row>
    <row r="1094" customFormat="false" ht="13.5" hidden="false" customHeight="false" outlineLevel="0" collapsed="false">
      <c r="A1094" s="41"/>
      <c r="B1094" s="42"/>
      <c r="C1094" s="36"/>
      <c r="D1094" s="35"/>
      <c r="E1094" s="36"/>
      <c r="F1094" s="36"/>
      <c r="G1094" s="37"/>
      <c r="H1094" s="35"/>
      <c r="I1094" s="43" t="str">
        <f aca="false">IF($A1094="","",COUNTIFS($A$2:$A1094,$A1094))</f>
        <v/>
      </c>
      <c r="J1094" s="43" t="str">
        <f aca="false">IF($A1094="","",$A1094&amp;"-"&amp;$I1094)</f>
        <v/>
      </c>
      <c r="K1094" s="38" t="str">
        <f aca="false">IF($A1094="","",IF(COUNTIF(参数!$B$6:$B$8,$H1094)=0,"× 付款方式","√"))</f>
        <v/>
      </c>
    </row>
    <row r="1095" customFormat="false" ht="13.5" hidden="false" customHeight="false" outlineLevel="0" collapsed="false">
      <c r="A1095" s="41"/>
      <c r="B1095" s="42"/>
      <c r="C1095" s="36"/>
      <c r="D1095" s="35"/>
      <c r="E1095" s="36"/>
      <c r="F1095" s="36"/>
      <c r="G1095" s="37"/>
      <c r="H1095" s="35"/>
      <c r="I1095" s="43" t="str">
        <f aca="false">IF($A1095="","",COUNTIFS($A$2:$A1095,$A1095))</f>
        <v/>
      </c>
      <c r="J1095" s="43" t="str">
        <f aca="false">IF($A1095="","",$A1095&amp;"-"&amp;$I1095)</f>
        <v/>
      </c>
      <c r="K1095" s="38" t="str">
        <f aca="false">IF($A1095="","",IF(COUNTIF(参数!$B$6:$B$8,$H1095)=0,"× 付款方式","√"))</f>
        <v/>
      </c>
    </row>
    <row r="1096" customFormat="false" ht="13.5" hidden="false" customHeight="false" outlineLevel="0" collapsed="false">
      <c r="A1096" s="41"/>
      <c r="B1096" s="42"/>
      <c r="C1096" s="36"/>
      <c r="D1096" s="35"/>
      <c r="E1096" s="36"/>
      <c r="F1096" s="36"/>
      <c r="G1096" s="37"/>
      <c r="H1096" s="35"/>
      <c r="I1096" s="43" t="str">
        <f aca="false">IF($A1096="","",COUNTIFS($A$2:$A1096,$A1096))</f>
        <v/>
      </c>
      <c r="J1096" s="43" t="str">
        <f aca="false">IF($A1096="","",$A1096&amp;"-"&amp;$I1096)</f>
        <v/>
      </c>
      <c r="K1096" s="38" t="str">
        <f aca="false">IF($A1096="","",IF(COUNTIF(参数!$B$6:$B$8,$H1096)=0,"× 付款方式","√"))</f>
        <v/>
      </c>
    </row>
    <row r="1097" customFormat="false" ht="13.5" hidden="false" customHeight="false" outlineLevel="0" collapsed="false">
      <c r="A1097" s="41"/>
      <c r="B1097" s="42"/>
      <c r="C1097" s="36"/>
      <c r="D1097" s="35"/>
      <c r="E1097" s="36"/>
      <c r="F1097" s="36"/>
      <c r="G1097" s="37"/>
      <c r="H1097" s="35"/>
      <c r="I1097" s="43" t="str">
        <f aca="false">IF($A1097="","",COUNTIFS($A$2:$A1097,$A1097))</f>
        <v/>
      </c>
      <c r="J1097" s="43" t="str">
        <f aca="false">IF($A1097="","",$A1097&amp;"-"&amp;$I1097)</f>
        <v/>
      </c>
      <c r="K1097" s="38" t="str">
        <f aca="false">IF($A1097="","",IF(COUNTIF(参数!$B$6:$B$8,$H1097)=0,"× 付款方式","√"))</f>
        <v/>
      </c>
    </row>
    <row r="1098" customFormat="false" ht="13.5" hidden="false" customHeight="false" outlineLevel="0" collapsed="false">
      <c r="A1098" s="41"/>
      <c r="B1098" s="42"/>
      <c r="C1098" s="36"/>
      <c r="D1098" s="35"/>
      <c r="E1098" s="36"/>
      <c r="F1098" s="36"/>
      <c r="G1098" s="37"/>
      <c r="H1098" s="35"/>
      <c r="I1098" s="43" t="str">
        <f aca="false">IF($A1098="","",COUNTIFS($A$2:$A1098,$A1098))</f>
        <v/>
      </c>
      <c r="J1098" s="43" t="str">
        <f aca="false">IF($A1098="","",$A1098&amp;"-"&amp;$I1098)</f>
        <v/>
      </c>
      <c r="K1098" s="38" t="str">
        <f aca="false">IF($A1098="","",IF(COUNTIF(参数!$B$6:$B$8,$H1098)=0,"× 付款方式","√"))</f>
        <v/>
      </c>
    </row>
    <row r="1099" customFormat="false" ht="13.5" hidden="false" customHeight="false" outlineLevel="0" collapsed="false">
      <c r="A1099" s="41"/>
      <c r="B1099" s="42"/>
      <c r="C1099" s="36"/>
      <c r="D1099" s="35"/>
      <c r="E1099" s="36"/>
      <c r="F1099" s="36"/>
      <c r="G1099" s="37"/>
      <c r="H1099" s="35"/>
      <c r="I1099" s="43" t="str">
        <f aca="false">IF($A1099="","",COUNTIFS($A$2:$A1099,$A1099))</f>
        <v/>
      </c>
      <c r="J1099" s="43" t="str">
        <f aca="false">IF($A1099="","",$A1099&amp;"-"&amp;$I1099)</f>
        <v/>
      </c>
      <c r="K1099" s="38" t="str">
        <f aca="false">IF($A1099="","",IF(COUNTIF(参数!$B$6:$B$8,$H1099)=0,"× 付款方式","√"))</f>
        <v/>
      </c>
    </row>
    <row r="1100" customFormat="false" ht="13.5" hidden="false" customHeight="false" outlineLevel="0" collapsed="false">
      <c r="A1100" s="41"/>
      <c r="B1100" s="42"/>
      <c r="C1100" s="36"/>
      <c r="D1100" s="35"/>
      <c r="E1100" s="36"/>
      <c r="F1100" s="36"/>
      <c r="G1100" s="37"/>
      <c r="H1100" s="35"/>
      <c r="I1100" s="43" t="str">
        <f aca="false">IF($A1100="","",COUNTIFS($A$2:$A1100,$A1100))</f>
        <v/>
      </c>
      <c r="J1100" s="43" t="str">
        <f aca="false">IF($A1100="","",$A1100&amp;"-"&amp;$I1100)</f>
        <v/>
      </c>
      <c r="K1100" s="38" t="str">
        <f aca="false">IF($A1100="","",IF(COUNTIF(参数!$B$6:$B$8,$H1100)=0,"× 付款方式","√"))</f>
        <v/>
      </c>
    </row>
    <row r="1101" customFormat="false" ht="13.5" hidden="false" customHeight="false" outlineLevel="0" collapsed="false">
      <c r="A1101" s="41"/>
      <c r="B1101" s="42"/>
      <c r="C1101" s="36"/>
      <c r="D1101" s="35"/>
      <c r="E1101" s="36"/>
      <c r="F1101" s="36"/>
      <c r="G1101" s="37"/>
      <c r="H1101" s="35"/>
      <c r="I1101" s="43" t="str">
        <f aca="false">IF($A1101="","",COUNTIFS($A$2:$A1101,$A1101))</f>
        <v/>
      </c>
      <c r="J1101" s="43" t="str">
        <f aca="false">IF($A1101="","",$A1101&amp;"-"&amp;$I1101)</f>
        <v/>
      </c>
      <c r="K1101" s="38" t="str">
        <f aca="false">IF($A1101="","",IF(COUNTIF(参数!$B$6:$B$8,$H1101)=0,"× 付款方式","√"))</f>
        <v/>
      </c>
    </row>
    <row r="1102" customFormat="false" ht="13.5" hidden="false" customHeight="false" outlineLevel="0" collapsed="false">
      <c r="A1102" s="41"/>
      <c r="B1102" s="42"/>
      <c r="C1102" s="36"/>
      <c r="D1102" s="35"/>
      <c r="E1102" s="36"/>
      <c r="F1102" s="36"/>
      <c r="G1102" s="37"/>
      <c r="H1102" s="35"/>
      <c r="I1102" s="43" t="str">
        <f aca="false">IF($A1102="","",COUNTIFS($A$2:$A1102,$A1102))</f>
        <v/>
      </c>
      <c r="J1102" s="43" t="str">
        <f aca="false">IF($A1102="","",$A1102&amp;"-"&amp;$I1102)</f>
        <v/>
      </c>
      <c r="K1102" s="38" t="str">
        <f aca="false">IF($A1102="","",IF(COUNTIF(参数!$B$6:$B$8,$H1102)=0,"× 付款方式","√"))</f>
        <v/>
      </c>
    </row>
    <row r="1103" customFormat="false" ht="13.5" hidden="false" customHeight="false" outlineLevel="0" collapsed="false">
      <c r="A1103" s="41"/>
      <c r="B1103" s="42"/>
      <c r="C1103" s="36"/>
      <c r="D1103" s="35"/>
      <c r="E1103" s="36"/>
      <c r="F1103" s="36"/>
      <c r="G1103" s="37"/>
      <c r="H1103" s="35"/>
      <c r="I1103" s="43" t="str">
        <f aca="false">IF($A1103="","",COUNTIFS($A$2:$A1103,$A1103))</f>
        <v/>
      </c>
      <c r="J1103" s="43" t="str">
        <f aca="false">IF($A1103="","",$A1103&amp;"-"&amp;$I1103)</f>
        <v/>
      </c>
      <c r="K1103" s="38" t="str">
        <f aca="false">IF($A1103="","",IF(COUNTIF(参数!$B$6:$B$8,$H1103)=0,"× 付款方式","√"))</f>
        <v/>
      </c>
    </row>
    <row r="1104" customFormat="false" ht="13.5" hidden="false" customHeight="false" outlineLevel="0" collapsed="false">
      <c r="A1104" s="41"/>
      <c r="B1104" s="42"/>
      <c r="C1104" s="36"/>
      <c r="D1104" s="35"/>
      <c r="E1104" s="36"/>
      <c r="F1104" s="36"/>
      <c r="G1104" s="37"/>
      <c r="H1104" s="35"/>
      <c r="I1104" s="43" t="str">
        <f aca="false">IF($A1104="","",COUNTIFS($A$2:$A1104,$A1104))</f>
        <v/>
      </c>
      <c r="J1104" s="43" t="str">
        <f aca="false">IF($A1104="","",$A1104&amp;"-"&amp;$I1104)</f>
        <v/>
      </c>
      <c r="K1104" s="38" t="str">
        <f aca="false">IF($A1104="","",IF(COUNTIF(参数!$B$6:$B$8,$H1104)=0,"× 付款方式","√"))</f>
        <v/>
      </c>
    </row>
    <row r="1105" customFormat="false" ht="13.5" hidden="false" customHeight="false" outlineLevel="0" collapsed="false">
      <c r="A1105" s="41"/>
      <c r="B1105" s="42"/>
      <c r="C1105" s="36"/>
      <c r="D1105" s="35"/>
      <c r="E1105" s="36"/>
      <c r="F1105" s="36"/>
      <c r="G1105" s="37"/>
      <c r="H1105" s="35"/>
      <c r="I1105" s="43" t="str">
        <f aca="false">IF($A1105="","",COUNTIFS($A$2:$A1105,$A1105))</f>
        <v/>
      </c>
      <c r="J1105" s="43" t="str">
        <f aca="false">IF($A1105="","",$A1105&amp;"-"&amp;$I1105)</f>
        <v/>
      </c>
      <c r="K1105" s="38" t="str">
        <f aca="false">IF($A1105="","",IF(COUNTIF(参数!$B$6:$B$8,$H1105)=0,"× 付款方式","√"))</f>
        <v/>
      </c>
    </row>
    <row r="1106" customFormat="false" ht="13.5" hidden="false" customHeight="false" outlineLevel="0" collapsed="false">
      <c r="A1106" s="41"/>
      <c r="B1106" s="42"/>
      <c r="C1106" s="36"/>
      <c r="D1106" s="35"/>
      <c r="E1106" s="36"/>
      <c r="F1106" s="36"/>
      <c r="G1106" s="37"/>
      <c r="H1106" s="35"/>
      <c r="I1106" s="43" t="str">
        <f aca="false">IF($A1106="","",COUNTIFS($A$2:$A1106,$A1106))</f>
        <v/>
      </c>
      <c r="J1106" s="43" t="str">
        <f aca="false">IF($A1106="","",$A1106&amp;"-"&amp;$I1106)</f>
        <v/>
      </c>
      <c r="K1106" s="38" t="str">
        <f aca="false">IF($A1106="","",IF(COUNTIF(参数!$B$6:$B$8,$H1106)=0,"× 付款方式","√"))</f>
        <v/>
      </c>
    </row>
    <row r="1107" customFormat="false" ht="13.5" hidden="false" customHeight="false" outlineLevel="0" collapsed="false">
      <c r="A1107" s="41"/>
      <c r="B1107" s="42"/>
      <c r="C1107" s="36"/>
      <c r="D1107" s="35"/>
      <c r="E1107" s="36"/>
      <c r="F1107" s="36"/>
      <c r="G1107" s="37"/>
      <c r="H1107" s="35"/>
      <c r="I1107" s="43" t="str">
        <f aca="false">IF($A1107="","",COUNTIFS($A$2:$A1107,$A1107))</f>
        <v/>
      </c>
      <c r="J1107" s="43" t="str">
        <f aca="false">IF($A1107="","",$A1107&amp;"-"&amp;$I1107)</f>
        <v/>
      </c>
      <c r="K1107" s="38" t="str">
        <f aca="false">IF($A1107="","",IF(COUNTIF(参数!$B$6:$B$8,$H1107)=0,"× 付款方式","√"))</f>
        <v/>
      </c>
    </row>
    <row r="1108" customFormat="false" ht="13.5" hidden="false" customHeight="false" outlineLevel="0" collapsed="false">
      <c r="A1108" s="41"/>
      <c r="B1108" s="42"/>
      <c r="C1108" s="36"/>
      <c r="D1108" s="35"/>
      <c r="E1108" s="36"/>
      <c r="F1108" s="36"/>
      <c r="G1108" s="37"/>
      <c r="H1108" s="35"/>
      <c r="I1108" s="43" t="str">
        <f aca="false">IF($A1108="","",COUNTIFS($A$2:$A1108,$A1108))</f>
        <v/>
      </c>
      <c r="J1108" s="43" t="str">
        <f aca="false">IF($A1108="","",$A1108&amp;"-"&amp;$I1108)</f>
        <v/>
      </c>
      <c r="K1108" s="38" t="str">
        <f aca="false">IF($A1108="","",IF(COUNTIF(参数!$B$6:$B$8,$H1108)=0,"× 付款方式","√"))</f>
        <v/>
      </c>
    </row>
    <row r="1109" customFormat="false" ht="13.5" hidden="false" customHeight="false" outlineLevel="0" collapsed="false">
      <c r="A1109" s="41"/>
      <c r="B1109" s="42"/>
      <c r="C1109" s="36"/>
      <c r="D1109" s="35"/>
      <c r="E1109" s="36"/>
      <c r="F1109" s="36"/>
      <c r="G1109" s="37"/>
      <c r="H1109" s="35"/>
      <c r="I1109" s="43" t="str">
        <f aca="false">IF($A1109="","",COUNTIFS($A$2:$A1109,$A1109))</f>
        <v/>
      </c>
      <c r="J1109" s="43" t="str">
        <f aca="false">IF($A1109="","",$A1109&amp;"-"&amp;$I1109)</f>
        <v/>
      </c>
      <c r="K1109" s="38" t="str">
        <f aca="false">IF($A1109="","",IF(COUNTIF(参数!$B$6:$B$8,$H1109)=0,"× 付款方式","√"))</f>
        <v/>
      </c>
    </row>
    <row r="1110" customFormat="false" ht="13.5" hidden="false" customHeight="false" outlineLevel="0" collapsed="false">
      <c r="A1110" s="41"/>
      <c r="B1110" s="42"/>
      <c r="C1110" s="36"/>
      <c r="D1110" s="35"/>
      <c r="E1110" s="36"/>
      <c r="F1110" s="36"/>
      <c r="G1110" s="37"/>
      <c r="H1110" s="35"/>
      <c r="I1110" s="43" t="str">
        <f aca="false">IF($A1110="","",COUNTIFS($A$2:$A1110,$A1110))</f>
        <v/>
      </c>
      <c r="J1110" s="43" t="str">
        <f aca="false">IF($A1110="","",$A1110&amp;"-"&amp;$I1110)</f>
        <v/>
      </c>
      <c r="K1110" s="38" t="str">
        <f aca="false">IF($A1110="","",IF(COUNTIF(参数!$B$6:$B$8,$H1110)=0,"× 付款方式","√"))</f>
        <v/>
      </c>
    </row>
    <row r="1111" customFormat="false" ht="13.5" hidden="false" customHeight="false" outlineLevel="0" collapsed="false">
      <c r="A1111" s="41"/>
      <c r="B1111" s="42"/>
      <c r="C1111" s="36"/>
      <c r="D1111" s="35"/>
      <c r="E1111" s="36"/>
      <c r="F1111" s="36"/>
      <c r="G1111" s="37"/>
      <c r="H1111" s="35"/>
      <c r="I1111" s="43" t="str">
        <f aca="false">IF($A1111="","",COUNTIFS($A$2:$A1111,$A1111))</f>
        <v/>
      </c>
      <c r="J1111" s="43" t="str">
        <f aca="false">IF($A1111="","",$A1111&amp;"-"&amp;$I1111)</f>
        <v/>
      </c>
      <c r="K1111" s="38" t="str">
        <f aca="false">IF($A1111="","",IF(COUNTIF(参数!$B$6:$B$8,$H1111)=0,"× 付款方式","√"))</f>
        <v/>
      </c>
    </row>
    <row r="1112" customFormat="false" ht="13.5" hidden="false" customHeight="false" outlineLevel="0" collapsed="false">
      <c r="A1112" s="41"/>
      <c r="B1112" s="42"/>
      <c r="C1112" s="36"/>
      <c r="D1112" s="35"/>
      <c r="E1112" s="36"/>
      <c r="F1112" s="36"/>
      <c r="G1112" s="37"/>
      <c r="H1112" s="35"/>
      <c r="I1112" s="43" t="str">
        <f aca="false">IF($A1112="","",COUNTIFS($A$2:$A1112,$A1112))</f>
        <v/>
      </c>
      <c r="J1112" s="43" t="str">
        <f aca="false">IF($A1112="","",$A1112&amp;"-"&amp;$I1112)</f>
        <v/>
      </c>
      <c r="K1112" s="38" t="str">
        <f aca="false">IF($A1112="","",IF(COUNTIF(参数!$B$6:$B$8,$H1112)=0,"× 付款方式","√"))</f>
        <v/>
      </c>
    </row>
    <row r="1113" customFormat="false" ht="13.5" hidden="false" customHeight="false" outlineLevel="0" collapsed="false">
      <c r="A1113" s="41"/>
      <c r="B1113" s="42"/>
      <c r="C1113" s="36"/>
      <c r="D1113" s="35"/>
      <c r="E1113" s="36"/>
      <c r="F1113" s="36"/>
      <c r="G1113" s="37"/>
      <c r="H1113" s="35"/>
      <c r="I1113" s="43" t="str">
        <f aca="false">IF($A1113="","",COUNTIFS($A$2:$A1113,$A1113))</f>
        <v/>
      </c>
      <c r="J1113" s="43" t="str">
        <f aca="false">IF($A1113="","",$A1113&amp;"-"&amp;$I1113)</f>
        <v/>
      </c>
      <c r="K1113" s="38" t="str">
        <f aca="false">IF($A1113="","",IF(COUNTIF(参数!$B$6:$B$8,$H1113)=0,"× 付款方式","√"))</f>
        <v/>
      </c>
    </row>
    <row r="1114" customFormat="false" ht="13.5" hidden="false" customHeight="false" outlineLevel="0" collapsed="false">
      <c r="A1114" s="41"/>
      <c r="B1114" s="42"/>
      <c r="C1114" s="36"/>
      <c r="D1114" s="35"/>
      <c r="E1114" s="36"/>
      <c r="F1114" s="36"/>
      <c r="G1114" s="37"/>
      <c r="H1114" s="35"/>
      <c r="I1114" s="43" t="str">
        <f aca="false">IF($A1114="","",COUNTIFS($A$2:$A1114,$A1114))</f>
        <v/>
      </c>
      <c r="J1114" s="43" t="str">
        <f aca="false">IF($A1114="","",$A1114&amp;"-"&amp;$I1114)</f>
        <v/>
      </c>
      <c r="K1114" s="38" t="str">
        <f aca="false">IF($A1114="","",IF(COUNTIF(参数!$B$6:$B$8,$H1114)=0,"× 付款方式","√"))</f>
        <v/>
      </c>
    </row>
    <row r="1115" customFormat="false" ht="13.5" hidden="false" customHeight="false" outlineLevel="0" collapsed="false">
      <c r="A1115" s="41"/>
      <c r="B1115" s="42"/>
      <c r="C1115" s="36"/>
      <c r="D1115" s="35"/>
      <c r="E1115" s="36"/>
      <c r="F1115" s="36"/>
      <c r="G1115" s="37"/>
      <c r="H1115" s="35"/>
      <c r="I1115" s="43" t="str">
        <f aca="false">IF($A1115="","",COUNTIFS($A$2:$A1115,$A1115))</f>
        <v/>
      </c>
      <c r="J1115" s="43" t="str">
        <f aca="false">IF($A1115="","",$A1115&amp;"-"&amp;$I1115)</f>
        <v/>
      </c>
      <c r="K1115" s="38" t="str">
        <f aca="false">IF($A1115="","",IF(COUNTIF(参数!$B$6:$B$8,$H1115)=0,"× 付款方式","√"))</f>
        <v/>
      </c>
    </row>
    <row r="1116" customFormat="false" ht="13.5" hidden="false" customHeight="false" outlineLevel="0" collapsed="false">
      <c r="A1116" s="41"/>
      <c r="B1116" s="42"/>
      <c r="C1116" s="36"/>
      <c r="D1116" s="35"/>
      <c r="E1116" s="36"/>
      <c r="F1116" s="36"/>
      <c r="G1116" s="37"/>
      <c r="H1116" s="35"/>
      <c r="I1116" s="43" t="str">
        <f aca="false">IF($A1116="","",COUNTIFS($A$2:$A1116,$A1116))</f>
        <v/>
      </c>
      <c r="J1116" s="43" t="str">
        <f aca="false">IF($A1116="","",$A1116&amp;"-"&amp;$I1116)</f>
        <v/>
      </c>
      <c r="K1116" s="38" t="str">
        <f aca="false">IF($A1116="","",IF(COUNTIF(参数!$B$6:$B$8,$H1116)=0,"× 付款方式","√"))</f>
        <v/>
      </c>
    </row>
    <row r="1117" customFormat="false" ht="13.5" hidden="false" customHeight="false" outlineLevel="0" collapsed="false">
      <c r="A1117" s="41"/>
      <c r="B1117" s="42"/>
      <c r="C1117" s="36"/>
      <c r="D1117" s="35"/>
      <c r="E1117" s="36"/>
      <c r="F1117" s="36"/>
      <c r="G1117" s="37"/>
      <c r="H1117" s="35"/>
      <c r="I1117" s="43" t="str">
        <f aca="false">IF($A1117="","",COUNTIFS($A$2:$A1117,$A1117))</f>
        <v/>
      </c>
      <c r="J1117" s="43" t="str">
        <f aca="false">IF($A1117="","",$A1117&amp;"-"&amp;$I1117)</f>
        <v/>
      </c>
      <c r="K1117" s="38" t="str">
        <f aca="false">IF($A1117="","",IF(COUNTIF(参数!$B$6:$B$8,$H1117)=0,"× 付款方式","√"))</f>
        <v/>
      </c>
    </row>
    <row r="1118" customFormat="false" ht="13.5" hidden="false" customHeight="false" outlineLevel="0" collapsed="false">
      <c r="A1118" s="41"/>
      <c r="B1118" s="42"/>
      <c r="C1118" s="36"/>
      <c r="D1118" s="35"/>
      <c r="E1118" s="36"/>
      <c r="F1118" s="36"/>
      <c r="G1118" s="37"/>
      <c r="H1118" s="35"/>
      <c r="I1118" s="43" t="str">
        <f aca="false">IF($A1118="","",COUNTIFS($A$2:$A1118,$A1118))</f>
        <v/>
      </c>
      <c r="J1118" s="43" t="str">
        <f aca="false">IF($A1118="","",$A1118&amp;"-"&amp;$I1118)</f>
        <v/>
      </c>
      <c r="K1118" s="38" t="str">
        <f aca="false">IF($A1118="","",IF(COUNTIF(参数!$B$6:$B$8,$H1118)=0,"× 付款方式","√"))</f>
        <v/>
      </c>
    </row>
    <row r="1119" customFormat="false" ht="13.5" hidden="false" customHeight="false" outlineLevel="0" collapsed="false">
      <c r="A1119" s="41"/>
      <c r="B1119" s="42"/>
      <c r="C1119" s="36"/>
      <c r="D1119" s="35"/>
      <c r="E1119" s="36"/>
      <c r="F1119" s="36"/>
      <c r="G1119" s="37"/>
      <c r="H1119" s="35"/>
      <c r="I1119" s="43" t="str">
        <f aca="false">IF($A1119="","",COUNTIFS($A$2:$A1119,$A1119))</f>
        <v/>
      </c>
      <c r="J1119" s="43" t="str">
        <f aca="false">IF($A1119="","",$A1119&amp;"-"&amp;$I1119)</f>
        <v/>
      </c>
      <c r="K1119" s="38" t="str">
        <f aca="false">IF($A1119="","",IF(COUNTIF(参数!$B$6:$B$8,$H1119)=0,"× 付款方式","√"))</f>
        <v/>
      </c>
    </row>
    <row r="1120" customFormat="false" ht="13.5" hidden="false" customHeight="false" outlineLevel="0" collapsed="false">
      <c r="A1120" s="41"/>
      <c r="B1120" s="42"/>
      <c r="C1120" s="36"/>
      <c r="D1120" s="35"/>
      <c r="E1120" s="36"/>
      <c r="F1120" s="36"/>
      <c r="G1120" s="37"/>
      <c r="H1120" s="35"/>
      <c r="I1120" s="43" t="str">
        <f aca="false">IF($A1120="","",COUNTIFS($A$2:$A1120,$A1120))</f>
        <v/>
      </c>
      <c r="J1120" s="43" t="str">
        <f aca="false">IF($A1120="","",$A1120&amp;"-"&amp;$I1120)</f>
        <v/>
      </c>
      <c r="K1120" s="38" t="str">
        <f aca="false">IF($A1120="","",IF(COUNTIF(参数!$B$6:$B$8,$H1120)=0,"× 付款方式","√"))</f>
        <v/>
      </c>
    </row>
    <row r="1121" customFormat="false" ht="13.5" hidden="false" customHeight="false" outlineLevel="0" collapsed="false">
      <c r="A1121" s="41"/>
      <c r="B1121" s="42"/>
      <c r="C1121" s="36"/>
      <c r="D1121" s="35"/>
      <c r="E1121" s="36"/>
      <c r="F1121" s="36"/>
      <c r="G1121" s="37"/>
      <c r="H1121" s="35"/>
      <c r="I1121" s="43" t="str">
        <f aca="false">IF($A1121="","",COUNTIFS($A$2:$A1121,$A1121))</f>
        <v/>
      </c>
      <c r="J1121" s="43" t="str">
        <f aca="false">IF($A1121="","",$A1121&amp;"-"&amp;$I1121)</f>
        <v/>
      </c>
      <c r="K1121" s="38" t="str">
        <f aca="false">IF($A1121="","",IF(COUNTIF(参数!$B$6:$B$8,$H1121)=0,"× 付款方式","√"))</f>
        <v/>
      </c>
    </row>
    <row r="1122" customFormat="false" ht="13.5" hidden="false" customHeight="false" outlineLevel="0" collapsed="false">
      <c r="A1122" s="41"/>
      <c r="B1122" s="42"/>
      <c r="C1122" s="36"/>
      <c r="D1122" s="35"/>
      <c r="E1122" s="36"/>
      <c r="F1122" s="36"/>
      <c r="G1122" s="37"/>
      <c r="H1122" s="35"/>
      <c r="I1122" s="43" t="str">
        <f aca="false">IF($A1122="","",COUNTIFS($A$2:$A1122,$A1122))</f>
        <v/>
      </c>
      <c r="J1122" s="43" t="str">
        <f aca="false">IF($A1122="","",$A1122&amp;"-"&amp;$I1122)</f>
        <v/>
      </c>
      <c r="K1122" s="38" t="str">
        <f aca="false">IF($A1122="","",IF(COUNTIF(参数!$B$6:$B$8,$H1122)=0,"× 付款方式","√"))</f>
        <v/>
      </c>
    </row>
    <row r="1123" customFormat="false" ht="13.5" hidden="false" customHeight="false" outlineLevel="0" collapsed="false">
      <c r="A1123" s="41"/>
      <c r="B1123" s="42"/>
      <c r="C1123" s="36"/>
      <c r="D1123" s="35"/>
      <c r="E1123" s="36"/>
      <c r="F1123" s="36"/>
      <c r="G1123" s="37"/>
      <c r="H1123" s="35"/>
      <c r="I1123" s="43" t="str">
        <f aca="false">IF($A1123="","",COUNTIFS($A$2:$A1123,$A1123))</f>
        <v/>
      </c>
      <c r="J1123" s="43" t="str">
        <f aca="false">IF($A1123="","",$A1123&amp;"-"&amp;$I1123)</f>
        <v/>
      </c>
      <c r="K1123" s="38" t="str">
        <f aca="false">IF($A1123="","",IF(COUNTIF(参数!$B$6:$B$8,$H1123)=0,"× 付款方式","√"))</f>
        <v/>
      </c>
    </row>
    <row r="1124" customFormat="false" ht="13.5" hidden="false" customHeight="false" outlineLevel="0" collapsed="false">
      <c r="A1124" s="41"/>
      <c r="B1124" s="42"/>
      <c r="C1124" s="36"/>
      <c r="D1124" s="35"/>
      <c r="E1124" s="36"/>
      <c r="F1124" s="36"/>
      <c r="G1124" s="37"/>
      <c r="H1124" s="35"/>
      <c r="I1124" s="43" t="str">
        <f aca="false">IF($A1124="","",COUNTIFS($A$2:$A1124,$A1124))</f>
        <v/>
      </c>
      <c r="J1124" s="43" t="str">
        <f aca="false">IF($A1124="","",$A1124&amp;"-"&amp;$I1124)</f>
        <v/>
      </c>
      <c r="K1124" s="38" t="str">
        <f aca="false">IF($A1124="","",IF(COUNTIF(参数!$B$6:$B$8,$H1124)=0,"× 付款方式","√"))</f>
        <v/>
      </c>
    </row>
    <row r="1125" customFormat="false" ht="13.5" hidden="false" customHeight="false" outlineLevel="0" collapsed="false">
      <c r="A1125" s="41"/>
      <c r="B1125" s="42"/>
      <c r="C1125" s="36"/>
      <c r="D1125" s="35"/>
      <c r="E1125" s="36"/>
      <c r="F1125" s="36"/>
      <c r="G1125" s="37"/>
      <c r="H1125" s="35"/>
      <c r="I1125" s="43" t="str">
        <f aca="false">IF($A1125="","",COUNTIFS($A$2:$A1125,$A1125))</f>
        <v/>
      </c>
      <c r="J1125" s="43" t="str">
        <f aca="false">IF($A1125="","",$A1125&amp;"-"&amp;$I1125)</f>
        <v/>
      </c>
      <c r="K1125" s="38" t="str">
        <f aca="false">IF($A1125="","",IF(COUNTIF(参数!$B$6:$B$8,$H1125)=0,"× 付款方式","√"))</f>
        <v/>
      </c>
    </row>
    <row r="1126" customFormat="false" ht="13.5" hidden="false" customHeight="false" outlineLevel="0" collapsed="false">
      <c r="A1126" s="41"/>
      <c r="B1126" s="42"/>
      <c r="C1126" s="36"/>
      <c r="D1126" s="35"/>
      <c r="E1126" s="36"/>
      <c r="F1126" s="36"/>
      <c r="G1126" s="37"/>
      <c r="H1126" s="35"/>
      <c r="I1126" s="43" t="str">
        <f aca="false">IF($A1126="","",COUNTIFS($A$2:$A1126,$A1126))</f>
        <v/>
      </c>
      <c r="J1126" s="43" t="str">
        <f aca="false">IF($A1126="","",$A1126&amp;"-"&amp;$I1126)</f>
        <v/>
      </c>
      <c r="K1126" s="38" t="str">
        <f aca="false">IF($A1126="","",IF(COUNTIF(参数!$B$6:$B$8,$H1126)=0,"× 付款方式","√"))</f>
        <v/>
      </c>
    </row>
    <row r="1127" customFormat="false" ht="13.5" hidden="false" customHeight="false" outlineLevel="0" collapsed="false">
      <c r="A1127" s="41"/>
      <c r="B1127" s="42"/>
      <c r="C1127" s="36"/>
      <c r="D1127" s="35"/>
      <c r="E1127" s="36"/>
      <c r="F1127" s="36"/>
      <c r="G1127" s="37"/>
      <c r="H1127" s="35"/>
      <c r="I1127" s="43" t="str">
        <f aca="false">IF($A1127="","",COUNTIFS($A$2:$A1127,$A1127))</f>
        <v/>
      </c>
      <c r="J1127" s="43" t="str">
        <f aca="false">IF($A1127="","",$A1127&amp;"-"&amp;$I1127)</f>
        <v/>
      </c>
      <c r="K1127" s="38" t="str">
        <f aca="false">IF($A1127="","",IF(COUNTIF(参数!$B$6:$B$8,$H1127)=0,"× 付款方式","√"))</f>
        <v/>
      </c>
    </row>
    <row r="1128" customFormat="false" ht="13.5" hidden="false" customHeight="false" outlineLevel="0" collapsed="false">
      <c r="A1128" s="41"/>
      <c r="B1128" s="42"/>
      <c r="C1128" s="36"/>
      <c r="D1128" s="35"/>
      <c r="E1128" s="36"/>
      <c r="F1128" s="36"/>
      <c r="G1128" s="37"/>
      <c r="H1128" s="35"/>
      <c r="I1128" s="43" t="str">
        <f aca="false">IF($A1128="","",COUNTIFS($A$2:$A1128,$A1128))</f>
        <v/>
      </c>
      <c r="J1128" s="43" t="str">
        <f aca="false">IF($A1128="","",$A1128&amp;"-"&amp;$I1128)</f>
        <v/>
      </c>
      <c r="K1128" s="38" t="str">
        <f aca="false">IF($A1128="","",IF(COUNTIF(参数!$B$6:$B$8,$H1128)=0,"× 付款方式","√"))</f>
        <v/>
      </c>
    </row>
    <row r="1129" customFormat="false" ht="13.5" hidden="false" customHeight="false" outlineLevel="0" collapsed="false">
      <c r="A1129" s="41"/>
      <c r="B1129" s="42"/>
      <c r="C1129" s="36"/>
      <c r="D1129" s="35"/>
      <c r="E1129" s="36"/>
      <c r="F1129" s="36"/>
      <c r="G1129" s="37"/>
      <c r="H1129" s="35"/>
      <c r="I1129" s="43" t="str">
        <f aca="false">IF($A1129="","",COUNTIFS($A$2:$A1129,$A1129))</f>
        <v/>
      </c>
      <c r="J1129" s="43" t="str">
        <f aca="false">IF($A1129="","",$A1129&amp;"-"&amp;$I1129)</f>
        <v/>
      </c>
      <c r="K1129" s="38" t="str">
        <f aca="false">IF($A1129="","",IF(COUNTIF(参数!$B$6:$B$8,$H1129)=0,"× 付款方式","√"))</f>
        <v/>
      </c>
    </row>
    <row r="1130" customFormat="false" ht="13.5" hidden="false" customHeight="false" outlineLevel="0" collapsed="false">
      <c r="A1130" s="41"/>
      <c r="B1130" s="42"/>
      <c r="C1130" s="36"/>
      <c r="D1130" s="35"/>
      <c r="E1130" s="36"/>
      <c r="F1130" s="36"/>
      <c r="G1130" s="37"/>
      <c r="H1130" s="35"/>
      <c r="I1130" s="43" t="str">
        <f aca="false">IF($A1130="","",COUNTIFS($A$2:$A1130,$A1130))</f>
        <v/>
      </c>
      <c r="J1130" s="43" t="str">
        <f aca="false">IF($A1130="","",$A1130&amp;"-"&amp;$I1130)</f>
        <v/>
      </c>
      <c r="K1130" s="38" t="str">
        <f aca="false">IF($A1130="","",IF(COUNTIF(参数!$B$6:$B$8,$H1130)=0,"× 付款方式","√"))</f>
        <v/>
      </c>
    </row>
    <row r="1131" customFormat="false" ht="13.5" hidden="false" customHeight="false" outlineLevel="0" collapsed="false">
      <c r="A1131" s="41"/>
      <c r="B1131" s="42"/>
      <c r="C1131" s="36"/>
      <c r="D1131" s="35"/>
      <c r="E1131" s="36"/>
      <c r="F1131" s="36"/>
      <c r="G1131" s="37"/>
      <c r="H1131" s="35"/>
      <c r="I1131" s="43" t="str">
        <f aca="false">IF($A1131="","",COUNTIFS($A$2:$A1131,$A1131))</f>
        <v/>
      </c>
      <c r="J1131" s="43" t="str">
        <f aca="false">IF($A1131="","",$A1131&amp;"-"&amp;$I1131)</f>
        <v/>
      </c>
      <c r="K1131" s="38" t="str">
        <f aca="false">IF($A1131="","",IF(COUNTIF(参数!$B$6:$B$8,$H1131)=0,"× 付款方式","√"))</f>
        <v/>
      </c>
    </row>
    <row r="1132" customFormat="false" ht="13.5" hidden="false" customHeight="false" outlineLevel="0" collapsed="false">
      <c r="A1132" s="41"/>
      <c r="B1132" s="42"/>
      <c r="C1132" s="36"/>
      <c r="D1132" s="35"/>
      <c r="E1132" s="36"/>
      <c r="F1132" s="36"/>
      <c r="G1132" s="37"/>
      <c r="H1132" s="35"/>
      <c r="I1132" s="43" t="str">
        <f aca="false">IF($A1132="","",COUNTIFS($A$2:$A1132,$A1132))</f>
        <v/>
      </c>
      <c r="J1132" s="43" t="str">
        <f aca="false">IF($A1132="","",$A1132&amp;"-"&amp;$I1132)</f>
        <v/>
      </c>
      <c r="K1132" s="38" t="str">
        <f aca="false">IF($A1132="","",IF(COUNTIF(参数!$B$6:$B$8,$H1132)=0,"× 付款方式","√"))</f>
        <v/>
      </c>
    </row>
    <row r="1133" customFormat="false" ht="13.5" hidden="false" customHeight="false" outlineLevel="0" collapsed="false">
      <c r="A1133" s="41"/>
      <c r="B1133" s="42"/>
      <c r="C1133" s="36"/>
      <c r="D1133" s="35"/>
      <c r="E1133" s="36"/>
      <c r="F1133" s="36"/>
      <c r="G1133" s="37"/>
      <c r="H1133" s="35"/>
      <c r="I1133" s="43" t="str">
        <f aca="false">IF($A1133="","",COUNTIFS($A$2:$A1133,$A1133))</f>
        <v/>
      </c>
      <c r="J1133" s="43" t="str">
        <f aca="false">IF($A1133="","",$A1133&amp;"-"&amp;$I1133)</f>
        <v/>
      </c>
      <c r="K1133" s="38" t="str">
        <f aca="false">IF($A1133="","",IF(COUNTIF(参数!$B$6:$B$8,$H1133)=0,"× 付款方式","√"))</f>
        <v/>
      </c>
    </row>
    <row r="1134" customFormat="false" ht="13.5" hidden="false" customHeight="false" outlineLevel="0" collapsed="false">
      <c r="A1134" s="41"/>
      <c r="B1134" s="42"/>
      <c r="C1134" s="36"/>
      <c r="D1134" s="35"/>
      <c r="E1134" s="36"/>
      <c r="F1134" s="36"/>
      <c r="G1134" s="37"/>
      <c r="H1134" s="35"/>
      <c r="I1134" s="43" t="str">
        <f aca="false">IF($A1134="","",COUNTIFS($A$2:$A1134,$A1134))</f>
        <v/>
      </c>
      <c r="J1134" s="43" t="str">
        <f aca="false">IF($A1134="","",$A1134&amp;"-"&amp;$I1134)</f>
        <v/>
      </c>
      <c r="K1134" s="38" t="str">
        <f aca="false">IF($A1134="","",IF(COUNTIF(参数!$B$6:$B$8,$H1134)=0,"× 付款方式","√"))</f>
        <v/>
      </c>
    </row>
    <row r="1135" customFormat="false" ht="13.5" hidden="false" customHeight="false" outlineLevel="0" collapsed="false">
      <c r="A1135" s="41"/>
      <c r="B1135" s="42"/>
      <c r="C1135" s="36"/>
      <c r="D1135" s="35"/>
      <c r="E1135" s="36"/>
      <c r="F1135" s="36"/>
      <c r="G1135" s="37"/>
      <c r="H1135" s="35"/>
      <c r="I1135" s="43" t="str">
        <f aca="false">IF($A1135="","",COUNTIFS($A$2:$A1135,$A1135))</f>
        <v/>
      </c>
      <c r="J1135" s="43" t="str">
        <f aca="false">IF($A1135="","",$A1135&amp;"-"&amp;$I1135)</f>
        <v/>
      </c>
      <c r="K1135" s="38" t="str">
        <f aca="false">IF($A1135="","",IF(COUNTIF(参数!$B$6:$B$8,$H1135)=0,"× 付款方式","√"))</f>
        <v/>
      </c>
    </row>
    <row r="1136" customFormat="false" ht="13.5" hidden="false" customHeight="false" outlineLevel="0" collapsed="false">
      <c r="A1136" s="41"/>
      <c r="B1136" s="42"/>
      <c r="C1136" s="36"/>
      <c r="D1136" s="35"/>
      <c r="E1136" s="36"/>
      <c r="F1136" s="36"/>
      <c r="G1136" s="37"/>
      <c r="H1136" s="35"/>
      <c r="I1136" s="43" t="str">
        <f aca="false">IF($A1136="","",COUNTIFS($A$2:$A1136,$A1136))</f>
        <v/>
      </c>
      <c r="J1136" s="43" t="str">
        <f aca="false">IF($A1136="","",$A1136&amp;"-"&amp;$I1136)</f>
        <v/>
      </c>
      <c r="K1136" s="38" t="str">
        <f aca="false">IF($A1136="","",IF(COUNTIF(参数!$B$6:$B$8,$H1136)=0,"× 付款方式","√"))</f>
        <v/>
      </c>
    </row>
    <row r="1137" customFormat="false" ht="13.5" hidden="false" customHeight="false" outlineLevel="0" collapsed="false">
      <c r="A1137" s="41"/>
      <c r="B1137" s="42"/>
      <c r="C1137" s="36"/>
      <c r="D1137" s="35"/>
      <c r="E1137" s="36"/>
      <c r="F1137" s="36"/>
      <c r="G1137" s="37"/>
      <c r="H1137" s="35"/>
      <c r="I1137" s="43" t="str">
        <f aca="false">IF($A1137="","",COUNTIFS($A$2:$A1137,$A1137))</f>
        <v/>
      </c>
      <c r="J1137" s="43" t="str">
        <f aca="false">IF($A1137="","",$A1137&amp;"-"&amp;$I1137)</f>
        <v/>
      </c>
      <c r="K1137" s="38" t="str">
        <f aca="false">IF($A1137="","",IF(COUNTIF(参数!$B$6:$B$8,$H1137)=0,"× 付款方式","√"))</f>
        <v/>
      </c>
    </row>
    <row r="1138" customFormat="false" ht="13.5" hidden="false" customHeight="false" outlineLevel="0" collapsed="false">
      <c r="A1138" s="41"/>
      <c r="B1138" s="42"/>
      <c r="C1138" s="36"/>
      <c r="D1138" s="35"/>
      <c r="E1138" s="36"/>
      <c r="F1138" s="36"/>
      <c r="G1138" s="37"/>
      <c r="H1138" s="35"/>
      <c r="I1138" s="43" t="str">
        <f aca="false">IF($A1138="","",COUNTIFS($A$2:$A1138,$A1138))</f>
        <v/>
      </c>
      <c r="J1138" s="43" t="str">
        <f aca="false">IF($A1138="","",$A1138&amp;"-"&amp;$I1138)</f>
        <v/>
      </c>
      <c r="K1138" s="38" t="str">
        <f aca="false">IF($A1138="","",IF(COUNTIF(参数!$B$6:$B$8,$H1138)=0,"× 付款方式","√"))</f>
        <v/>
      </c>
    </row>
    <row r="1139" customFormat="false" ht="13.5" hidden="false" customHeight="false" outlineLevel="0" collapsed="false">
      <c r="A1139" s="41"/>
      <c r="B1139" s="42"/>
      <c r="C1139" s="36"/>
      <c r="D1139" s="35"/>
      <c r="E1139" s="36"/>
      <c r="F1139" s="36"/>
      <c r="G1139" s="37"/>
      <c r="H1139" s="35"/>
      <c r="I1139" s="43" t="str">
        <f aca="false">IF($A1139="","",COUNTIFS($A$2:$A1139,$A1139))</f>
        <v/>
      </c>
      <c r="J1139" s="43" t="str">
        <f aca="false">IF($A1139="","",$A1139&amp;"-"&amp;$I1139)</f>
        <v/>
      </c>
      <c r="K1139" s="38" t="str">
        <f aca="false">IF($A1139="","",IF(COUNTIF(参数!$B$6:$B$8,$H1139)=0,"× 付款方式","√"))</f>
        <v/>
      </c>
    </row>
    <row r="1140" customFormat="false" ht="13.5" hidden="false" customHeight="false" outlineLevel="0" collapsed="false">
      <c r="A1140" s="41"/>
      <c r="B1140" s="42"/>
      <c r="C1140" s="36"/>
      <c r="D1140" s="35"/>
      <c r="E1140" s="36"/>
      <c r="F1140" s="36"/>
      <c r="G1140" s="37"/>
      <c r="H1140" s="35"/>
      <c r="I1140" s="43" t="str">
        <f aca="false">IF($A1140="","",COUNTIFS($A$2:$A1140,$A1140))</f>
        <v/>
      </c>
      <c r="J1140" s="43" t="str">
        <f aca="false">IF($A1140="","",$A1140&amp;"-"&amp;$I1140)</f>
        <v/>
      </c>
      <c r="K1140" s="38" t="str">
        <f aca="false">IF($A1140="","",IF(COUNTIF(参数!$B$6:$B$8,$H1140)=0,"× 付款方式","√"))</f>
        <v/>
      </c>
    </row>
    <row r="1141" customFormat="false" ht="13.5" hidden="false" customHeight="false" outlineLevel="0" collapsed="false">
      <c r="A1141" s="41"/>
      <c r="B1141" s="42"/>
      <c r="C1141" s="36"/>
      <c r="D1141" s="35"/>
      <c r="E1141" s="36"/>
      <c r="F1141" s="36"/>
      <c r="G1141" s="37"/>
      <c r="H1141" s="35"/>
      <c r="I1141" s="43" t="str">
        <f aca="false">IF($A1141="","",COUNTIFS($A$2:$A1141,$A1141))</f>
        <v/>
      </c>
      <c r="J1141" s="43" t="str">
        <f aca="false">IF($A1141="","",$A1141&amp;"-"&amp;$I1141)</f>
        <v/>
      </c>
      <c r="K1141" s="38" t="str">
        <f aca="false">IF($A1141="","",IF(COUNTIF(参数!$B$6:$B$8,$H1141)=0,"× 付款方式","√"))</f>
        <v/>
      </c>
    </row>
    <row r="1142" customFormat="false" ht="13.5" hidden="false" customHeight="false" outlineLevel="0" collapsed="false">
      <c r="A1142" s="41"/>
      <c r="B1142" s="42"/>
      <c r="C1142" s="36"/>
      <c r="D1142" s="35"/>
      <c r="E1142" s="36"/>
      <c r="F1142" s="36"/>
      <c r="G1142" s="37"/>
      <c r="H1142" s="35"/>
      <c r="I1142" s="43" t="str">
        <f aca="false">IF($A1142="","",COUNTIFS($A$2:$A1142,$A1142))</f>
        <v/>
      </c>
      <c r="J1142" s="43" t="str">
        <f aca="false">IF($A1142="","",$A1142&amp;"-"&amp;$I1142)</f>
        <v/>
      </c>
      <c r="K1142" s="38" t="str">
        <f aca="false">IF($A1142="","",IF(COUNTIF(参数!$B$6:$B$8,$H1142)=0,"× 付款方式","√"))</f>
        <v/>
      </c>
    </row>
    <row r="1143" customFormat="false" ht="13.5" hidden="false" customHeight="false" outlineLevel="0" collapsed="false">
      <c r="A1143" s="41"/>
      <c r="B1143" s="42"/>
      <c r="C1143" s="36"/>
      <c r="D1143" s="35"/>
      <c r="E1143" s="36"/>
      <c r="F1143" s="36"/>
      <c r="G1143" s="37"/>
      <c r="H1143" s="35"/>
      <c r="I1143" s="43" t="str">
        <f aca="false">IF($A1143="","",COUNTIFS($A$2:$A1143,$A1143))</f>
        <v/>
      </c>
      <c r="J1143" s="43" t="str">
        <f aca="false">IF($A1143="","",$A1143&amp;"-"&amp;$I1143)</f>
        <v/>
      </c>
      <c r="K1143" s="38" t="str">
        <f aca="false">IF($A1143="","",IF(COUNTIF(参数!$B$6:$B$8,$H1143)=0,"× 付款方式","√"))</f>
        <v/>
      </c>
    </row>
    <row r="1144" customFormat="false" ht="13.5" hidden="false" customHeight="false" outlineLevel="0" collapsed="false">
      <c r="A1144" s="41"/>
      <c r="B1144" s="42"/>
      <c r="C1144" s="36"/>
      <c r="D1144" s="35"/>
      <c r="E1144" s="36"/>
      <c r="F1144" s="36"/>
      <c r="G1144" s="37"/>
      <c r="H1144" s="35"/>
      <c r="I1144" s="43" t="str">
        <f aca="false">IF($A1144="","",COUNTIFS($A$2:$A1144,$A1144))</f>
        <v/>
      </c>
      <c r="J1144" s="43" t="str">
        <f aca="false">IF($A1144="","",$A1144&amp;"-"&amp;$I1144)</f>
        <v/>
      </c>
      <c r="K1144" s="38" t="str">
        <f aca="false">IF($A1144="","",IF(COUNTIF(参数!$B$6:$B$8,$H1144)=0,"× 付款方式","√"))</f>
        <v/>
      </c>
    </row>
    <row r="1145" customFormat="false" ht="13.5" hidden="false" customHeight="false" outlineLevel="0" collapsed="false">
      <c r="A1145" s="41"/>
      <c r="B1145" s="42"/>
      <c r="C1145" s="36"/>
      <c r="D1145" s="35"/>
      <c r="E1145" s="36"/>
      <c r="F1145" s="36"/>
      <c r="G1145" s="37"/>
      <c r="H1145" s="35"/>
      <c r="I1145" s="43" t="str">
        <f aca="false">IF($A1145="","",COUNTIFS($A$2:$A1145,$A1145))</f>
        <v/>
      </c>
      <c r="J1145" s="43" t="str">
        <f aca="false">IF($A1145="","",$A1145&amp;"-"&amp;$I1145)</f>
        <v/>
      </c>
      <c r="K1145" s="38" t="str">
        <f aca="false">IF($A1145="","",IF(COUNTIF(参数!$B$6:$B$8,$H1145)=0,"× 付款方式","√"))</f>
        <v/>
      </c>
    </row>
    <row r="1146" customFormat="false" ht="13.5" hidden="false" customHeight="false" outlineLevel="0" collapsed="false">
      <c r="A1146" s="41"/>
      <c r="B1146" s="42"/>
      <c r="C1146" s="36"/>
      <c r="D1146" s="35"/>
      <c r="E1146" s="36"/>
      <c r="F1146" s="36"/>
      <c r="G1146" s="37"/>
      <c r="H1146" s="35"/>
      <c r="I1146" s="43" t="str">
        <f aca="false">IF($A1146="","",COUNTIFS($A$2:$A1146,$A1146))</f>
        <v/>
      </c>
      <c r="J1146" s="43" t="str">
        <f aca="false">IF($A1146="","",$A1146&amp;"-"&amp;$I1146)</f>
        <v/>
      </c>
      <c r="K1146" s="38" t="str">
        <f aca="false">IF($A1146="","",IF(COUNTIF(参数!$B$6:$B$8,$H1146)=0,"× 付款方式","√"))</f>
        <v/>
      </c>
    </row>
    <row r="1147" customFormat="false" ht="13.5" hidden="false" customHeight="false" outlineLevel="0" collapsed="false">
      <c r="A1147" s="41"/>
      <c r="B1147" s="42"/>
      <c r="C1147" s="36"/>
      <c r="D1147" s="35"/>
      <c r="E1147" s="36"/>
      <c r="F1147" s="36"/>
      <c r="G1147" s="37"/>
      <c r="H1147" s="35"/>
      <c r="I1147" s="43" t="str">
        <f aca="false">IF($A1147="","",COUNTIFS($A$2:$A1147,$A1147))</f>
        <v/>
      </c>
      <c r="J1147" s="43" t="str">
        <f aca="false">IF($A1147="","",$A1147&amp;"-"&amp;$I1147)</f>
        <v/>
      </c>
      <c r="K1147" s="38" t="str">
        <f aca="false">IF($A1147="","",IF(COUNTIF(参数!$B$6:$B$8,$H1147)=0,"× 付款方式","√"))</f>
        <v/>
      </c>
    </row>
    <row r="1148" customFormat="false" ht="13.5" hidden="false" customHeight="false" outlineLevel="0" collapsed="false">
      <c r="A1148" s="41"/>
      <c r="B1148" s="42"/>
      <c r="C1148" s="36"/>
      <c r="D1148" s="35"/>
      <c r="E1148" s="36"/>
      <c r="F1148" s="36"/>
      <c r="G1148" s="37"/>
      <c r="H1148" s="35"/>
      <c r="I1148" s="43" t="str">
        <f aca="false">IF($A1148="","",COUNTIFS($A$2:$A1148,$A1148))</f>
        <v/>
      </c>
      <c r="J1148" s="43" t="str">
        <f aca="false">IF($A1148="","",$A1148&amp;"-"&amp;$I1148)</f>
        <v/>
      </c>
      <c r="K1148" s="38" t="str">
        <f aca="false">IF($A1148="","",IF(COUNTIF(参数!$B$6:$B$8,$H1148)=0,"× 付款方式","√"))</f>
        <v/>
      </c>
    </row>
    <row r="1149" customFormat="false" ht="13.5" hidden="false" customHeight="false" outlineLevel="0" collapsed="false">
      <c r="A1149" s="41"/>
      <c r="B1149" s="42"/>
      <c r="C1149" s="36"/>
      <c r="D1149" s="35"/>
      <c r="E1149" s="36"/>
      <c r="F1149" s="36"/>
      <c r="G1149" s="37"/>
      <c r="H1149" s="35"/>
      <c r="I1149" s="43" t="str">
        <f aca="false">IF($A1149="","",COUNTIFS($A$2:$A1149,$A1149))</f>
        <v/>
      </c>
      <c r="J1149" s="43" t="str">
        <f aca="false">IF($A1149="","",$A1149&amp;"-"&amp;$I1149)</f>
        <v/>
      </c>
      <c r="K1149" s="38" t="str">
        <f aca="false">IF($A1149="","",IF(COUNTIF(参数!$B$6:$B$8,$H1149)=0,"× 付款方式","√"))</f>
        <v/>
      </c>
    </row>
    <row r="1150" customFormat="false" ht="13.5" hidden="false" customHeight="false" outlineLevel="0" collapsed="false">
      <c r="A1150" s="41"/>
      <c r="B1150" s="42"/>
      <c r="C1150" s="36"/>
      <c r="D1150" s="35"/>
      <c r="E1150" s="36"/>
      <c r="F1150" s="36"/>
      <c r="G1150" s="37"/>
      <c r="H1150" s="35"/>
      <c r="I1150" s="43" t="str">
        <f aca="false">IF($A1150="","",COUNTIFS($A$2:$A1150,$A1150))</f>
        <v/>
      </c>
      <c r="J1150" s="43" t="str">
        <f aca="false">IF($A1150="","",$A1150&amp;"-"&amp;$I1150)</f>
        <v/>
      </c>
      <c r="K1150" s="38" t="str">
        <f aca="false">IF($A1150="","",IF(COUNTIF(参数!$B$6:$B$8,$H1150)=0,"× 付款方式","√"))</f>
        <v/>
      </c>
    </row>
    <row r="1151" customFormat="false" ht="13.5" hidden="false" customHeight="false" outlineLevel="0" collapsed="false">
      <c r="A1151" s="41"/>
      <c r="B1151" s="42"/>
      <c r="C1151" s="36"/>
      <c r="D1151" s="35"/>
      <c r="E1151" s="36"/>
      <c r="F1151" s="36"/>
      <c r="G1151" s="37"/>
      <c r="H1151" s="35"/>
      <c r="I1151" s="43" t="str">
        <f aca="false">IF($A1151="","",COUNTIFS($A$2:$A1151,$A1151))</f>
        <v/>
      </c>
      <c r="J1151" s="43" t="str">
        <f aca="false">IF($A1151="","",$A1151&amp;"-"&amp;$I1151)</f>
        <v/>
      </c>
      <c r="K1151" s="38" t="str">
        <f aca="false">IF($A1151="","",IF(COUNTIF(参数!$B$6:$B$8,$H1151)=0,"× 付款方式","√"))</f>
        <v/>
      </c>
    </row>
    <row r="1152" customFormat="false" ht="13.5" hidden="false" customHeight="false" outlineLevel="0" collapsed="false">
      <c r="A1152" s="41"/>
      <c r="B1152" s="42"/>
      <c r="C1152" s="36"/>
      <c r="D1152" s="35"/>
      <c r="E1152" s="36"/>
      <c r="F1152" s="36"/>
      <c r="G1152" s="37"/>
      <c r="H1152" s="35"/>
      <c r="I1152" s="43" t="str">
        <f aca="false">IF($A1152="","",COUNTIFS($A$2:$A1152,$A1152))</f>
        <v/>
      </c>
      <c r="J1152" s="43" t="str">
        <f aca="false">IF($A1152="","",$A1152&amp;"-"&amp;$I1152)</f>
        <v/>
      </c>
      <c r="K1152" s="38" t="str">
        <f aca="false">IF($A1152="","",IF(COUNTIF(参数!$B$6:$B$8,$H1152)=0,"× 付款方式","√"))</f>
        <v/>
      </c>
    </row>
    <row r="1153" customFormat="false" ht="13.5" hidden="false" customHeight="false" outlineLevel="0" collapsed="false">
      <c r="A1153" s="41"/>
      <c r="B1153" s="42"/>
      <c r="C1153" s="36"/>
      <c r="D1153" s="35"/>
      <c r="E1153" s="36"/>
      <c r="F1153" s="36"/>
      <c r="G1153" s="37"/>
      <c r="H1153" s="35"/>
      <c r="I1153" s="43" t="str">
        <f aca="false">IF($A1153="","",COUNTIFS($A$2:$A1153,$A1153))</f>
        <v/>
      </c>
      <c r="J1153" s="43" t="str">
        <f aca="false">IF($A1153="","",$A1153&amp;"-"&amp;$I1153)</f>
        <v/>
      </c>
      <c r="K1153" s="38" t="str">
        <f aca="false">IF($A1153="","",IF(COUNTIF(参数!$B$6:$B$8,$H1153)=0,"× 付款方式","√"))</f>
        <v/>
      </c>
    </row>
    <row r="1154" customFormat="false" ht="13.5" hidden="false" customHeight="false" outlineLevel="0" collapsed="false">
      <c r="A1154" s="41"/>
      <c r="B1154" s="42"/>
      <c r="C1154" s="36"/>
      <c r="D1154" s="35"/>
      <c r="E1154" s="36"/>
      <c r="F1154" s="36"/>
      <c r="G1154" s="37"/>
      <c r="H1154" s="35"/>
      <c r="I1154" s="43" t="str">
        <f aca="false">IF($A1154="","",COUNTIFS($A$2:$A1154,$A1154))</f>
        <v/>
      </c>
      <c r="J1154" s="43" t="str">
        <f aca="false">IF($A1154="","",$A1154&amp;"-"&amp;$I1154)</f>
        <v/>
      </c>
      <c r="K1154" s="38" t="str">
        <f aca="false">IF($A1154="","",IF(COUNTIF(参数!$B$6:$B$8,$H1154)=0,"× 付款方式","√"))</f>
        <v/>
      </c>
    </row>
    <row r="1155" customFormat="false" ht="13.5" hidden="false" customHeight="false" outlineLevel="0" collapsed="false">
      <c r="A1155" s="41"/>
      <c r="B1155" s="42"/>
      <c r="C1155" s="36"/>
      <c r="D1155" s="35"/>
      <c r="E1155" s="36"/>
      <c r="F1155" s="36"/>
      <c r="G1155" s="37"/>
      <c r="H1155" s="35"/>
      <c r="I1155" s="43" t="str">
        <f aca="false">IF($A1155="","",COUNTIFS($A$2:$A1155,$A1155))</f>
        <v/>
      </c>
      <c r="J1155" s="43" t="str">
        <f aca="false">IF($A1155="","",$A1155&amp;"-"&amp;$I1155)</f>
        <v/>
      </c>
      <c r="K1155" s="38" t="str">
        <f aca="false">IF($A1155="","",IF(COUNTIF(参数!$B$6:$B$8,$H1155)=0,"× 付款方式","√"))</f>
        <v/>
      </c>
    </row>
    <row r="1156" customFormat="false" ht="13.5" hidden="false" customHeight="false" outlineLevel="0" collapsed="false">
      <c r="A1156" s="41"/>
      <c r="B1156" s="42"/>
      <c r="C1156" s="36"/>
      <c r="D1156" s="35"/>
      <c r="E1156" s="36"/>
      <c r="F1156" s="36"/>
      <c r="G1156" s="37"/>
      <c r="H1156" s="35"/>
      <c r="I1156" s="43" t="str">
        <f aca="false">IF($A1156="","",COUNTIFS($A$2:$A1156,$A1156))</f>
        <v/>
      </c>
      <c r="J1156" s="43" t="str">
        <f aca="false">IF($A1156="","",$A1156&amp;"-"&amp;$I1156)</f>
        <v/>
      </c>
      <c r="K1156" s="38" t="str">
        <f aca="false">IF($A1156="","",IF(COUNTIF(参数!$B$6:$B$8,$H1156)=0,"× 付款方式","√"))</f>
        <v/>
      </c>
    </row>
    <row r="1157" customFormat="false" ht="13.5" hidden="false" customHeight="false" outlineLevel="0" collapsed="false">
      <c r="A1157" s="41"/>
      <c r="B1157" s="42"/>
      <c r="C1157" s="36"/>
      <c r="D1157" s="35"/>
      <c r="E1157" s="36"/>
      <c r="F1157" s="36"/>
      <c r="G1157" s="37"/>
      <c r="H1157" s="35"/>
      <c r="I1157" s="43" t="str">
        <f aca="false">IF($A1157="","",COUNTIFS($A$2:$A1157,$A1157))</f>
        <v/>
      </c>
      <c r="J1157" s="43" t="str">
        <f aca="false">IF($A1157="","",$A1157&amp;"-"&amp;$I1157)</f>
        <v/>
      </c>
      <c r="K1157" s="38" t="str">
        <f aca="false">IF($A1157="","",IF(COUNTIF(参数!$B$6:$B$8,$H1157)=0,"× 付款方式","√"))</f>
        <v/>
      </c>
    </row>
    <row r="1158" customFormat="false" ht="13.5" hidden="false" customHeight="false" outlineLevel="0" collapsed="false">
      <c r="A1158" s="41"/>
      <c r="B1158" s="42"/>
      <c r="C1158" s="36"/>
      <c r="D1158" s="35"/>
      <c r="E1158" s="36"/>
      <c r="F1158" s="36"/>
      <c r="G1158" s="37"/>
      <c r="H1158" s="35"/>
      <c r="I1158" s="43" t="str">
        <f aca="false">IF($A1158="","",COUNTIFS($A$2:$A1158,$A1158))</f>
        <v/>
      </c>
      <c r="J1158" s="43" t="str">
        <f aca="false">IF($A1158="","",$A1158&amp;"-"&amp;$I1158)</f>
        <v/>
      </c>
      <c r="K1158" s="38" t="str">
        <f aca="false">IF($A1158="","",IF(COUNTIF(参数!$B$6:$B$8,$H1158)=0,"× 付款方式","√"))</f>
        <v/>
      </c>
    </row>
    <row r="1159" customFormat="false" ht="13.5" hidden="false" customHeight="false" outlineLevel="0" collapsed="false">
      <c r="A1159" s="41"/>
      <c r="B1159" s="42"/>
      <c r="C1159" s="36"/>
      <c r="D1159" s="35"/>
      <c r="E1159" s="36"/>
      <c r="F1159" s="36"/>
      <c r="G1159" s="37"/>
      <c r="H1159" s="35"/>
      <c r="I1159" s="43" t="str">
        <f aca="false">IF($A1159="","",COUNTIFS($A$2:$A1159,$A1159))</f>
        <v/>
      </c>
      <c r="J1159" s="43" t="str">
        <f aca="false">IF($A1159="","",$A1159&amp;"-"&amp;$I1159)</f>
        <v/>
      </c>
      <c r="K1159" s="38" t="str">
        <f aca="false">IF($A1159="","",IF(COUNTIF(参数!$B$6:$B$8,$H1159)=0,"× 付款方式","√"))</f>
        <v/>
      </c>
    </row>
    <row r="1160" customFormat="false" ht="13.5" hidden="false" customHeight="false" outlineLevel="0" collapsed="false">
      <c r="A1160" s="41"/>
      <c r="B1160" s="42"/>
      <c r="C1160" s="36"/>
      <c r="D1160" s="35"/>
      <c r="E1160" s="36"/>
      <c r="F1160" s="36"/>
      <c r="G1160" s="37"/>
      <c r="H1160" s="35"/>
      <c r="I1160" s="43" t="str">
        <f aca="false">IF($A1160="","",COUNTIFS($A$2:$A1160,$A1160))</f>
        <v/>
      </c>
      <c r="J1160" s="43" t="str">
        <f aca="false">IF($A1160="","",$A1160&amp;"-"&amp;$I1160)</f>
        <v/>
      </c>
      <c r="K1160" s="38" t="str">
        <f aca="false">IF($A1160="","",IF(COUNTIF(参数!$B$6:$B$8,$H1160)=0,"× 付款方式","√"))</f>
        <v/>
      </c>
    </row>
    <row r="1161" customFormat="false" ht="13.5" hidden="false" customHeight="false" outlineLevel="0" collapsed="false">
      <c r="A1161" s="41"/>
      <c r="B1161" s="42"/>
      <c r="C1161" s="36"/>
      <c r="D1161" s="35"/>
      <c r="E1161" s="36"/>
      <c r="F1161" s="36"/>
      <c r="G1161" s="37"/>
      <c r="H1161" s="35"/>
      <c r="I1161" s="43" t="str">
        <f aca="false">IF($A1161="","",COUNTIFS($A$2:$A1161,$A1161))</f>
        <v/>
      </c>
      <c r="J1161" s="43" t="str">
        <f aca="false">IF($A1161="","",$A1161&amp;"-"&amp;$I1161)</f>
        <v/>
      </c>
      <c r="K1161" s="38" t="str">
        <f aca="false">IF($A1161="","",IF(COUNTIF(参数!$B$6:$B$8,$H1161)=0,"× 付款方式","√"))</f>
        <v/>
      </c>
    </row>
    <row r="1162" customFormat="false" ht="13.5" hidden="false" customHeight="false" outlineLevel="0" collapsed="false">
      <c r="A1162" s="41"/>
      <c r="B1162" s="42"/>
      <c r="C1162" s="36"/>
      <c r="D1162" s="35"/>
      <c r="E1162" s="36"/>
      <c r="F1162" s="36"/>
      <c r="G1162" s="37"/>
      <c r="H1162" s="35"/>
      <c r="I1162" s="43" t="str">
        <f aca="false">IF($A1162="","",COUNTIFS($A$2:$A1162,$A1162))</f>
        <v/>
      </c>
      <c r="J1162" s="43" t="str">
        <f aca="false">IF($A1162="","",$A1162&amp;"-"&amp;$I1162)</f>
        <v/>
      </c>
      <c r="K1162" s="38" t="str">
        <f aca="false">IF($A1162="","",IF(COUNTIF(参数!$B$6:$B$8,$H1162)=0,"× 付款方式","√"))</f>
        <v/>
      </c>
    </row>
    <row r="1163" customFormat="false" ht="13.5" hidden="false" customHeight="false" outlineLevel="0" collapsed="false">
      <c r="A1163" s="41"/>
      <c r="B1163" s="42"/>
      <c r="C1163" s="36"/>
      <c r="D1163" s="35"/>
      <c r="E1163" s="36"/>
      <c r="F1163" s="36"/>
      <c r="G1163" s="37"/>
      <c r="H1163" s="35"/>
      <c r="I1163" s="43" t="str">
        <f aca="false">IF($A1163="","",COUNTIFS($A$2:$A1163,$A1163))</f>
        <v/>
      </c>
      <c r="J1163" s="43" t="str">
        <f aca="false">IF($A1163="","",$A1163&amp;"-"&amp;$I1163)</f>
        <v/>
      </c>
      <c r="K1163" s="38" t="str">
        <f aca="false">IF($A1163="","",IF(COUNTIF(参数!$B$6:$B$8,$H1163)=0,"× 付款方式","√"))</f>
        <v/>
      </c>
    </row>
    <row r="1164" customFormat="false" ht="13.5" hidden="false" customHeight="false" outlineLevel="0" collapsed="false">
      <c r="A1164" s="41"/>
      <c r="B1164" s="42"/>
      <c r="C1164" s="36"/>
      <c r="D1164" s="35"/>
      <c r="E1164" s="36"/>
      <c r="F1164" s="36"/>
      <c r="G1164" s="37"/>
      <c r="H1164" s="35"/>
      <c r="I1164" s="43" t="str">
        <f aca="false">IF($A1164="","",COUNTIFS($A$2:$A1164,$A1164))</f>
        <v/>
      </c>
      <c r="J1164" s="43" t="str">
        <f aca="false">IF($A1164="","",$A1164&amp;"-"&amp;$I1164)</f>
        <v/>
      </c>
      <c r="K1164" s="38" t="str">
        <f aca="false">IF($A1164="","",IF(COUNTIF(参数!$B$6:$B$8,$H1164)=0,"× 付款方式","√"))</f>
        <v/>
      </c>
    </row>
    <row r="1165" customFormat="false" ht="13.5" hidden="false" customHeight="false" outlineLevel="0" collapsed="false">
      <c r="A1165" s="41"/>
      <c r="B1165" s="42"/>
      <c r="C1165" s="36"/>
      <c r="D1165" s="35"/>
      <c r="E1165" s="36"/>
      <c r="F1165" s="36"/>
      <c r="G1165" s="37"/>
      <c r="H1165" s="35"/>
      <c r="I1165" s="43" t="str">
        <f aca="false">IF($A1165="","",COUNTIFS($A$2:$A1165,$A1165))</f>
        <v/>
      </c>
      <c r="J1165" s="43" t="str">
        <f aca="false">IF($A1165="","",$A1165&amp;"-"&amp;$I1165)</f>
        <v/>
      </c>
      <c r="K1165" s="38" t="str">
        <f aca="false">IF($A1165="","",IF(COUNTIF(参数!$B$6:$B$8,$H1165)=0,"× 付款方式","√"))</f>
        <v/>
      </c>
    </row>
    <row r="1166" customFormat="false" ht="13.5" hidden="false" customHeight="false" outlineLevel="0" collapsed="false">
      <c r="A1166" s="41"/>
      <c r="B1166" s="42"/>
      <c r="C1166" s="36"/>
      <c r="D1166" s="35"/>
      <c r="E1166" s="36"/>
      <c r="F1166" s="36"/>
      <c r="G1166" s="37"/>
      <c r="H1166" s="35"/>
      <c r="I1166" s="43" t="str">
        <f aca="false">IF($A1166="","",COUNTIFS($A$2:$A1166,$A1166))</f>
        <v/>
      </c>
      <c r="J1166" s="43" t="str">
        <f aca="false">IF($A1166="","",$A1166&amp;"-"&amp;$I1166)</f>
        <v/>
      </c>
      <c r="K1166" s="38" t="str">
        <f aca="false">IF($A1166="","",IF(COUNTIF(参数!$B$6:$B$8,$H1166)=0,"× 付款方式","√"))</f>
        <v/>
      </c>
    </row>
    <row r="1167" customFormat="false" ht="13.5" hidden="false" customHeight="false" outlineLevel="0" collapsed="false">
      <c r="A1167" s="41"/>
      <c r="B1167" s="42"/>
      <c r="C1167" s="36"/>
      <c r="D1167" s="35"/>
      <c r="E1167" s="36"/>
      <c r="F1167" s="36"/>
      <c r="G1167" s="37"/>
      <c r="H1167" s="35"/>
      <c r="I1167" s="43" t="str">
        <f aca="false">IF($A1167="","",COUNTIFS($A$2:$A1167,$A1167))</f>
        <v/>
      </c>
      <c r="J1167" s="43" t="str">
        <f aca="false">IF($A1167="","",$A1167&amp;"-"&amp;$I1167)</f>
        <v/>
      </c>
      <c r="K1167" s="38" t="str">
        <f aca="false">IF($A1167="","",IF(COUNTIF(参数!$B$6:$B$8,$H1167)=0,"× 付款方式","√"))</f>
        <v/>
      </c>
    </row>
    <row r="1168" customFormat="false" ht="13.5" hidden="false" customHeight="false" outlineLevel="0" collapsed="false">
      <c r="A1168" s="41"/>
      <c r="B1168" s="42"/>
      <c r="C1168" s="36"/>
      <c r="D1168" s="35"/>
      <c r="E1168" s="36"/>
      <c r="F1168" s="36"/>
      <c r="G1168" s="37"/>
      <c r="H1168" s="35"/>
      <c r="I1168" s="43" t="str">
        <f aca="false">IF($A1168="","",COUNTIFS($A$2:$A1168,$A1168))</f>
        <v/>
      </c>
      <c r="J1168" s="43" t="str">
        <f aca="false">IF($A1168="","",$A1168&amp;"-"&amp;$I1168)</f>
        <v/>
      </c>
      <c r="K1168" s="38" t="str">
        <f aca="false">IF($A1168="","",IF(COUNTIF(参数!$B$6:$B$8,$H1168)=0,"× 付款方式","√"))</f>
        <v/>
      </c>
    </row>
    <row r="1169" customFormat="false" ht="13.5" hidden="false" customHeight="false" outlineLevel="0" collapsed="false">
      <c r="A1169" s="41"/>
      <c r="B1169" s="42"/>
      <c r="C1169" s="36"/>
      <c r="D1169" s="35"/>
      <c r="E1169" s="36"/>
      <c r="F1169" s="36"/>
      <c r="G1169" s="37"/>
      <c r="H1169" s="35"/>
      <c r="I1169" s="43" t="str">
        <f aca="false">IF($A1169="","",COUNTIFS($A$2:$A1169,$A1169))</f>
        <v/>
      </c>
      <c r="J1169" s="43" t="str">
        <f aca="false">IF($A1169="","",$A1169&amp;"-"&amp;$I1169)</f>
        <v/>
      </c>
      <c r="K1169" s="38" t="str">
        <f aca="false">IF($A1169="","",IF(COUNTIF(参数!$B$6:$B$8,$H1169)=0,"× 付款方式","√"))</f>
        <v/>
      </c>
    </row>
    <row r="1170" customFormat="false" ht="13.5" hidden="false" customHeight="false" outlineLevel="0" collapsed="false">
      <c r="A1170" s="41"/>
      <c r="B1170" s="42"/>
      <c r="C1170" s="36"/>
      <c r="D1170" s="35"/>
      <c r="E1170" s="36"/>
      <c r="F1170" s="36"/>
      <c r="G1170" s="37"/>
      <c r="H1170" s="35"/>
      <c r="I1170" s="43" t="str">
        <f aca="false">IF($A1170="","",COUNTIFS($A$2:$A1170,$A1170))</f>
        <v/>
      </c>
      <c r="J1170" s="43" t="str">
        <f aca="false">IF($A1170="","",$A1170&amp;"-"&amp;$I1170)</f>
        <v/>
      </c>
      <c r="K1170" s="38" t="str">
        <f aca="false">IF($A1170="","",IF(COUNTIF(参数!$B$6:$B$8,$H1170)=0,"× 付款方式","√"))</f>
        <v/>
      </c>
    </row>
    <row r="1171" customFormat="false" ht="13.5" hidden="false" customHeight="false" outlineLevel="0" collapsed="false">
      <c r="A1171" s="41"/>
      <c r="B1171" s="42"/>
      <c r="C1171" s="36"/>
      <c r="D1171" s="35"/>
      <c r="E1171" s="36"/>
      <c r="F1171" s="36"/>
      <c r="G1171" s="37"/>
      <c r="H1171" s="35"/>
      <c r="I1171" s="43" t="str">
        <f aca="false">IF($A1171="","",COUNTIFS($A$2:$A1171,$A1171))</f>
        <v/>
      </c>
      <c r="J1171" s="43" t="str">
        <f aca="false">IF($A1171="","",$A1171&amp;"-"&amp;$I1171)</f>
        <v/>
      </c>
      <c r="K1171" s="38" t="str">
        <f aca="false">IF($A1171="","",IF(COUNTIF(参数!$B$6:$B$8,$H1171)=0,"× 付款方式","√"))</f>
        <v/>
      </c>
    </row>
    <row r="1172" customFormat="false" ht="13.5" hidden="false" customHeight="false" outlineLevel="0" collapsed="false">
      <c r="A1172" s="41"/>
      <c r="B1172" s="42"/>
      <c r="C1172" s="36"/>
      <c r="D1172" s="35"/>
      <c r="E1172" s="36"/>
      <c r="F1172" s="36"/>
      <c r="G1172" s="37"/>
      <c r="H1172" s="35"/>
      <c r="I1172" s="43" t="str">
        <f aca="false">IF($A1172="","",COUNTIFS($A$2:$A1172,$A1172))</f>
        <v/>
      </c>
      <c r="J1172" s="43" t="str">
        <f aca="false">IF($A1172="","",$A1172&amp;"-"&amp;$I1172)</f>
        <v/>
      </c>
      <c r="K1172" s="38" t="str">
        <f aca="false">IF($A1172="","",IF(COUNTIF(参数!$B$6:$B$8,$H1172)=0,"× 付款方式","√"))</f>
        <v/>
      </c>
    </row>
    <row r="1173" customFormat="false" ht="13.5" hidden="false" customHeight="false" outlineLevel="0" collapsed="false">
      <c r="A1173" s="41"/>
      <c r="B1173" s="42"/>
      <c r="C1173" s="36"/>
      <c r="D1173" s="35"/>
      <c r="E1173" s="36"/>
      <c r="F1173" s="36"/>
      <c r="G1173" s="37"/>
      <c r="H1173" s="35"/>
      <c r="I1173" s="43" t="str">
        <f aca="false">IF($A1173="","",COUNTIFS($A$2:$A1173,$A1173))</f>
        <v/>
      </c>
      <c r="J1173" s="43" t="str">
        <f aca="false">IF($A1173="","",$A1173&amp;"-"&amp;$I1173)</f>
        <v/>
      </c>
      <c r="K1173" s="38" t="str">
        <f aca="false">IF($A1173="","",IF(COUNTIF(参数!$B$6:$B$8,$H1173)=0,"× 付款方式","√"))</f>
        <v/>
      </c>
    </row>
    <row r="1174" customFormat="false" ht="13.5" hidden="false" customHeight="false" outlineLevel="0" collapsed="false">
      <c r="A1174" s="41"/>
      <c r="B1174" s="42"/>
      <c r="C1174" s="36"/>
      <c r="D1174" s="35"/>
      <c r="E1174" s="36"/>
      <c r="F1174" s="36"/>
      <c r="G1174" s="37"/>
      <c r="H1174" s="35"/>
      <c r="I1174" s="43" t="str">
        <f aca="false">IF($A1174="","",COUNTIFS($A$2:$A1174,$A1174))</f>
        <v/>
      </c>
      <c r="J1174" s="43" t="str">
        <f aca="false">IF($A1174="","",$A1174&amp;"-"&amp;$I1174)</f>
        <v/>
      </c>
      <c r="K1174" s="38" t="str">
        <f aca="false">IF($A1174="","",IF(COUNTIF(参数!$B$6:$B$8,$H1174)=0,"× 付款方式","√"))</f>
        <v/>
      </c>
    </row>
    <row r="1175" customFormat="false" ht="13.5" hidden="false" customHeight="false" outlineLevel="0" collapsed="false">
      <c r="A1175" s="41"/>
      <c r="B1175" s="42"/>
      <c r="C1175" s="36"/>
      <c r="D1175" s="35"/>
      <c r="E1175" s="36"/>
      <c r="F1175" s="36"/>
      <c r="G1175" s="37"/>
      <c r="H1175" s="35"/>
      <c r="I1175" s="43" t="str">
        <f aca="false">IF($A1175="","",COUNTIFS($A$2:$A1175,$A1175))</f>
        <v/>
      </c>
      <c r="J1175" s="43" t="str">
        <f aca="false">IF($A1175="","",$A1175&amp;"-"&amp;$I1175)</f>
        <v/>
      </c>
      <c r="K1175" s="38" t="str">
        <f aca="false">IF($A1175="","",IF(COUNTIF(参数!$B$6:$B$8,$H1175)=0,"× 付款方式","√"))</f>
        <v/>
      </c>
    </row>
    <row r="1176" customFormat="false" ht="13.5" hidden="false" customHeight="false" outlineLevel="0" collapsed="false">
      <c r="A1176" s="41"/>
      <c r="B1176" s="42"/>
      <c r="C1176" s="36"/>
      <c r="D1176" s="35"/>
      <c r="E1176" s="36"/>
      <c r="F1176" s="36"/>
      <c r="G1176" s="37"/>
      <c r="H1176" s="35"/>
      <c r="I1176" s="43" t="str">
        <f aca="false">IF($A1176="","",COUNTIFS($A$2:$A1176,$A1176))</f>
        <v/>
      </c>
      <c r="J1176" s="43" t="str">
        <f aca="false">IF($A1176="","",$A1176&amp;"-"&amp;$I1176)</f>
        <v/>
      </c>
      <c r="K1176" s="38" t="str">
        <f aca="false">IF($A1176="","",IF(COUNTIF(参数!$B$6:$B$8,$H1176)=0,"× 付款方式","√"))</f>
        <v/>
      </c>
    </row>
    <row r="1177" customFormat="false" ht="13.5" hidden="false" customHeight="false" outlineLevel="0" collapsed="false">
      <c r="A1177" s="41"/>
      <c r="B1177" s="42"/>
      <c r="C1177" s="36"/>
      <c r="D1177" s="35"/>
      <c r="E1177" s="36"/>
      <c r="F1177" s="36"/>
      <c r="G1177" s="37"/>
      <c r="H1177" s="35"/>
      <c r="I1177" s="43" t="str">
        <f aca="false">IF($A1177="","",COUNTIFS($A$2:$A1177,$A1177))</f>
        <v/>
      </c>
      <c r="J1177" s="43" t="str">
        <f aca="false">IF($A1177="","",$A1177&amp;"-"&amp;$I1177)</f>
        <v/>
      </c>
      <c r="K1177" s="38" t="str">
        <f aca="false">IF($A1177="","",IF(COUNTIF(参数!$B$6:$B$8,$H1177)=0,"× 付款方式","√"))</f>
        <v/>
      </c>
    </row>
    <row r="1178" customFormat="false" ht="13.5" hidden="false" customHeight="false" outlineLevel="0" collapsed="false">
      <c r="A1178" s="41"/>
      <c r="B1178" s="42"/>
      <c r="C1178" s="36"/>
      <c r="D1178" s="35"/>
      <c r="E1178" s="36"/>
      <c r="F1178" s="36"/>
      <c r="G1178" s="37"/>
      <c r="H1178" s="35"/>
      <c r="I1178" s="43" t="str">
        <f aca="false">IF($A1178="","",COUNTIFS($A$2:$A1178,$A1178))</f>
        <v/>
      </c>
      <c r="J1178" s="43" t="str">
        <f aca="false">IF($A1178="","",$A1178&amp;"-"&amp;$I1178)</f>
        <v/>
      </c>
      <c r="K1178" s="38" t="str">
        <f aca="false">IF($A1178="","",IF(COUNTIF(参数!$B$6:$B$8,$H1178)=0,"× 付款方式","√"))</f>
        <v/>
      </c>
    </row>
    <row r="1179" customFormat="false" ht="13.5" hidden="false" customHeight="false" outlineLevel="0" collapsed="false">
      <c r="A1179" s="41"/>
      <c r="B1179" s="42"/>
      <c r="C1179" s="36"/>
      <c r="D1179" s="35"/>
      <c r="E1179" s="36"/>
      <c r="F1179" s="36"/>
      <c r="G1179" s="37"/>
      <c r="H1179" s="35"/>
      <c r="I1179" s="43" t="str">
        <f aca="false">IF($A1179="","",COUNTIFS($A$2:$A1179,$A1179))</f>
        <v/>
      </c>
      <c r="J1179" s="43" t="str">
        <f aca="false">IF($A1179="","",$A1179&amp;"-"&amp;$I1179)</f>
        <v/>
      </c>
      <c r="K1179" s="38" t="str">
        <f aca="false">IF($A1179="","",IF(COUNTIF(参数!$B$6:$B$8,$H1179)=0,"× 付款方式","√"))</f>
        <v/>
      </c>
    </row>
    <row r="1180" customFormat="false" ht="13.5" hidden="false" customHeight="false" outlineLevel="0" collapsed="false">
      <c r="A1180" s="41"/>
      <c r="B1180" s="42"/>
      <c r="C1180" s="36"/>
      <c r="D1180" s="35"/>
      <c r="E1180" s="36"/>
      <c r="F1180" s="36"/>
      <c r="G1180" s="37"/>
      <c r="H1180" s="35"/>
      <c r="I1180" s="43" t="str">
        <f aca="false">IF($A1180="","",COUNTIFS($A$2:$A1180,$A1180))</f>
        <v/>
      </c>
      <c r="J1180" s="43" t="str">
        <f aca="false">IF($A1180="","",$A1180&amp;"-"&amp;$I1180)</f>
        <v/>
      </c>
      <c r="K1180" s="38" t="str">
        <f aca="false">IF($A1180="","",IF(COUNTIF(参数!$B$6:$B$8,$H1180)=0,"× 付款方式","√"))</f>
        <v/>
      </c>
    </row>
    <row r="1181" customFormat="false" ht="13.5" hidden="false" customHeight="false" outlineLevel="0" collapsed="false">
      <c r="A1181" s="41"/>
      <c r="B1181" s="42"/>
      <c r="C1181" s="36"/>
      <c r="D1181" s="35"/>
      <c r="E1181" s="36"/>
      <c r="F1181" s="36"/>
      <c r="G1181" s="37"/>
      <c r="H1181" s="35"/>
      <c r="I1181" s="43" t="str">
        <f aca="false">IF($A1181="","",COUNTIFS($A$2:$A1181,$A1181))</f>
        <v/>
      </c>
      <c r="J1181" s="43" t="str">
        <f aca="false">IF($A1181="","",$A1181&amp;"-"&amp;$I1181)</f>
        <v/>
      </c>
      <c r="K1181" s="38" t="str">
        <f aca="false">IF($A1181="","",IF(COUNTIF(参数!$B$6:$B$8,$H1181)=0,"× 付款方式","√"))</f>
        <v/>
      </c>
    </row>
    <row r="1182" customFormat="false" ht="13.5" hidden="false" customHeight="false" outlineLevel="0" collapsed="false">
      <c r="A1182" s="41"/>
      <c r="B1182" s="42"/>
      <c r="C1182" s="36"/>
      <c r="D1182" s="35"/>
      <c r="E1182" s="36"/>
      <c r="F1182" s="36"/>
      <c r="G1182" s="37"/>
      <c r="H1182" s="35"/>
      <c r="I1182" s="43" t="str">
        <f aca="false">IF($A1182="","",COUNTIFS($A$2:$A1182,$A1182))</f>
        <v/>
      </c>
      <c r="J1182" s="43" t="str">
        <f aca="false">IF($A1182="","",$A1182&amp;"-"&amp;$I1182)</f>
        <v/>
      </c>
      <c r="K1182" s="38" t="str">
        <f aca="false">IF($A1182="","",IF(COUNTIF(参数!$B$6:$B$8,$H1182)=0,"× 付款方式","√"))</f>
        <v/>
      </c>
    </row>
    <row r="1183" customFormat="false" ht="13.5" hidden="false" customHeight="false" outlineLevel="0" collapsed="false">
      <c r="A1183" s="41"/>
      <c r="B1183" s="42"/>
      <c r="C1183" s="36"/>
      <c r="D1183" s="35"/>
      <c r="E1183" s="36"/>
      <c r="F1183" s="36"/>
      <c r="G1183" s="37"/>
      <c r="H1183" s="35"/>
      <c r="I1183" s="43" t="str">
        <f aca="false">IF($A1183="","",COUNTIFS($A$2:$A1183,$A1183))</f>
        <v/>
      </c>
      <c r="J1183" s="43" t="str">
        <f aca="false">IF($A1183="","",$A1183&amp;"-"&amp;$I1183)</f>
        <v/>
      </c>
      <c r="K1183" s="38" t="str">
        <f aca="false">IF($A1183="","",IF(COUNTIF(参数!$B$6:$B$8,$H1183)=0,"× 付款方式","√"))</f>
        <v/>
      </c>
    </row>
    <row r="1184" customFormat="false" ht="13.5" hidden="false" customHeight="false" outlineLevel="0" collapsed="false">
      <c r="A1184" s="41"/>
      <c r="B1184" s="42"/>
      <c r="C1184" s="36"/>
      <c r="D1184" s="35"/>
      <c r="E1184" s="36"/>
      <c r="F1184" s="36"/>
      <c r="G1184" s="37"/>
      <c r="H1184" s="35"/>
      <c r="I1184" s="43" t="str">
        <f aca="false">IF($A1184="","",COUNTIFS($A$2:$A1184,$A1184))</f>
        <v/>
      </c>
      <c r="J1184" s="43" t="str">
        <f aca="false">IF($A1184="","",$A1184&amp;"-"&amp;$I1184)</f>
        <v/>
      </c>
      <c r="K1184" s="38" t="str">
        <f aca="false">IF($A1184="","",IF(COUNTIF(参数!$B$6:$B$8,$H1184)=0,"× 付款方式","√"))</f>
        <v/>
      </c>
    </row>
    <row r="1185" customFormat="false" ht="13.5" hidden="false" customHeight="false" outlineLevel="0" collapsed="false">
      <c r="A1185" s="41"/>
      <c r="B1185" s="42"/>
      <c r="C1185" s="36"/>
      <c r="D1185" s="35"/>
      <c r="E1185" s="36"/>
      <c r="F1185" s="36"/>
      <c r="G1185" s="37"/>
      <c r="H1185" s="35"/>
      <c r="I1185" s="43" t="str">
        <f aca="false">IF($A1185="","",COUNTIFS($A$2:$A1185,$A1185))</f>
        <v/>
      </c>
      <c r="J1185" s="43" t="str">
        <f aca="false">IF($A1185="","",$A1185&amp;"-"&amp;$I1185)</f>
        <v/>
      </c>
      <c r="K1185" s="38" t="str">
        <f aca="false">IF($A1185="","",IF(COUNTIF(参数!$B$6:$B$8,$H1185)=0,"× 付款方式","√"))</f>
        <v/>
      </c>
    </row>
    <row r="1186" customFormat="false" ht="13.5" hidden="false" customHeight="false" outlineLevel="0" collapsed="false">
      <c r="A1186" s="41"/>
      <c r="B1186" s="42"/>
      <c r="C1186" s="36"/>
      <c r="D1186" s="35"/>
      <c r="E1186" s="36"/>
      <c r="F1186" s="36"/>
      <c r="G1186" s="37"/>
      <c r="H1186" s="35"/>
      <c r="I1186" s="43" t="str">
        <f aca="false">IF($A1186="","",COUNTIFS($A$2:$A1186,$A1186))</f>
        <v/>
      </c>
      <c r="J1186" s="43" t="str">
        <f aca="false">IF($A1186="","",$A1186&amp;"-"&amp;$I1186)</f>
        <v/>
      </c>
      <c r="K1186" s="38" t="str">
        <f aca="false">IF($A1186="","",IF(COUNTIF(参数!$B$6:$B$8,$H1186)=0,"× 付款方式","√"))</f>
        <v/>
      </c>
    </row>
    <row r="1187" customFormat="false" ht="13.5" hidden="false" customHeight="false" outlineLevel="0" collapsed="false">
      <c r="A1187" s="41"/>
      <c r="B1187" s="42"/>
      <c r="C1187" s="36"/>
      <c r="D1187" s="35"/>
      <c r="E1187" s="36"/>
      <c r="F1187" s="36"/>
      <c r="G1187" s="37"/>
      <c r="H1187" s="35"/>
      <c r="I1187" s="43" t="str">
        <f aca="false">IF($A1187="","",COUNTIFS($A$2:$A1187,$A1187))</f>
        <v/>
      </c>
      <c r="J1187" s="43" t="str">
        <f aca="false">IF($A1187="","",$A1187&amp;"-"&amp;$I1187)</f>
        <v/>
      </c>
      <c r="K1187" s="38" t="str">
        <f aca="false">IF($A1187="","",IF(COUNTIF(参数!$B$6:$B$8,$H1187)=0,"× 付款方式","√"))</f>
        <v/>
      </c>
    </row>
    <row r="1188" customFormat="false" ht="13.5" hidden="false" customHeight="false" outlineLevel="0" collapsed="false">
      <c r="A1188" s="41"/>
      <c r="B1188" s="42"/>
      <c r="C1188" s="36"/>
      <c r="D1188" s="35"/>
      <c r="E1188" s="36"/>
      <c r="F1188" s="36"/>
      <c r="G1188" s="37"/>
      <c r="H1188" s="35"/>
      <c r="I1188" s="43" t="str">
        <f aca="false">IF($A1188="","",COUNTIFS($A$2:$A1188,$A1188))</f>
        <v/>
      </c>
      <c r="J1188" s="43" t="str">
        <f aca="false">IF($A1188="","",$A1188&amp;"-"&amp;$I1188)</f>
        <v/>
      </c>
      <c r="K1188" s="38" t="str">
        <f aca="false">IF($A1188="","",IF(COUNTIF(参数!$B$6:$B$8,$H1188)=0,"× 付款方式","√"))</f>
        <v/>
      </c>
    </row>
    <row r="1189" customFormat="false" ht="13.5" hidden="false" customHeight="false" outlineLevel="0" collapsed="false">
      <c r="A1189" s="41"/>
      <c r="B1189" s="42"/>
      <c r="C1189" s="36"/>
      <c r="D1189" s="35"/>
      <c r="E1189" s="36"/>
      <c r="F1189" s="36"/>
      <c r="G1189" s="37"/>
      <c r="H1189" s="35"/>
      <c r="I1189" s="43" t="str">
        <f aca="false">IF($A1189="","",COUNTIFS($A$2:$A1189,$A1189))</f>
        <v/>
      </c>
      <c r="J1189" s="43" t="str">
        <f aca="false">IF($A1189="","",$A1189&amp;"-"&amp;$I1189)</f>
        <v/>
      </c>
      <c r="K1189" s="38" t="str">
        <f aca="false">IF($A1189="","",IF(COUNTIF(参数!$B$6:$B$8,$H1189)=0,"× 付款方式","√"))</f>
        <v/>
      </c>
    </row>
    <row r="1190" customFormat="false" ht="13.5" hidden="false" customHeight="false" outlineLevel="0" collapsed="false">
      <c r="A1190" s="41"/>
      <c r="B1190" s="42"/>
      <c r="C1190" s="36"/>
      <c r="D1190" s="35"/>
      <c r="E1190" s="36"/>
      <c r="F1190" s="36"/>
      <c r="G1190" s="37"/>
      <c r="H1190" s="35"/>
      <c r="I1190" s="43" t="str">
        <f aca="false">IF($A1190="","",COUNTIFS($A$2:$A1190,$A1190))</f>
        <v/>
      </c>
      <c r="J1190" s="43" t="str">
        <f aca="false">IF($A1190="","",$A1190&amp;"-"&amp;$I1190)</f>
        <v/>
      </c>
      <c r="K1190" s="38" t="str">
        <f aca="false">IF($A1190="","",IF(COUNTIF(参数!$B$6:$B$8,$H1190)=0,"× 付款方式","√"))</f>
        <v/>
      </c>
    </row>
    <row r="1191" customFormat="false" ht="13.5" hidden="false" customHeight="false" outlineLevel="0" collapsed="false">
      <c r="A1191" s="41"/>
      <c r="B1191" s="42"/>
      <c r="C1191" s="36"/>
      <c r="D1191" s="35"/>
      <c r="E1191" s="36"/>
      <c r="F1191" s="36"/>
      <c r="G1191" s="37"/>
      <c r="H1191" s="35"/>
      <c r="I1191" s="43" t="str">
        <f aca="false">IF($A1191="","",COUNTIFS($A$2:$A1191,$A1191))</f>
        <v/>
      </c>
      <c r="J1191" s="43" t="str">
        <f aca="false">IF($A1191="","",$A1191&amp;"-"&amp;$I1191)</f>
        <v/>
      </c>
      <c r="K1191" s="38" t="str">
        <f aca="false">IF($A1191="","",IF(COUNTIF(参数!$B$6:$B$8,$H1191)=0,"× 付款方式","√"))</f>
        <v/>
      </c>
    </row>
    <row r="1192" customFormat="false" ht="13.5" hidden="false" customHeight="false" outlineLevel="0" collapsed="false">
      <c r="A1192" s="41"/>
      <c r="B1192" s="42"/>
      <c r="C1192" s="36"/>
      <c r="D1192" s="35"/>
      <c r="E1192" s="36"/>
      <c r="F1192" s="36"/>
      <c r="G1192" s="37"/>
      <c r="H1192" s="35"/>
      <c r="I1192" s="43" t="str">
        <f aca="false">IF($A1192="","",COUNTIFS($A$2:$A1192,$A1192))</f>
        <v/>
      </c>
      <c r="J1192" s="43" t="str">
        <f aca="false">IF($A1192="","",$A1192&amp;"-"&amp;$I1192)</f>
        <v/>
      </c>
      <c r="K1192" s="38" t="str">
        <f aca="false">IF($A1192="","",IF(COUNTIF(参数!$B$6:$B$8,$H1192)=0,"× 付款方式","√"))</f>
        <v/>
      </c>
    </row>
    <row r="1193" customFormat="false" ht="13.5" hidden="false" customHeight="false" outlineLevel="0" collapsed="false">
      <c r="A1193" s="41"/>
      <c r="B1193" s="42"/>
      <c r="C1193" s="36"/>
      <c r="D1193" s="35"/>
      <c r="E1193" s="36"/>
      <c r="F1193" s="36"/>
      <c r="G1193" s="37"/>
      <c r="H1193" s="35"/>
      <c r="I1193" s="43" t="str">
        <f aca="false">IF($A1193="","",COUNTIFS($A$2:$A1193,$A1193))</f>
        <v/>
      </c>
      <c r="J1193" s="43" t="str">
        <f aca="false">IF($A1193="","",$A1193&amp;"-"&amp;$I1193)</f>
        <v/>
      </c>
      <c r="K1193" s="38" t="str">
        <f aca="false">IF($A1193="","",IF(COUNTIF(参数!$B$6:$B$8,$H1193)=0,"× 付款方式","√"))</f>
        <v/>
      </c>
    </row>
    <row r="1194" customFormat="false" ht="13.5" hidden="false" customHeight="false" outlineLevel="0" collapsed="false">
      <c r="A1194" s="41"/>
      <c r="B1194" s="42"/>
      <c r="C1194" s="36"/>
      <c r="D1194" s="35"/>
      <c r="E1194" s="36"/>
      <c r="F1194" s="36"/>
      <c r="G1194" s="37"/>
      <c r="H1194" s="35"/>
      <c r="I1194" s="43" t="str">
        <f aca="false">IF($A1194="","",COUNTIFS($A$2:$A1194,$A1194))</f>
        <v/>
      </c>
      <c r="J1194" s="43" t="str">
        <f aca="false">IF($A1194="","",$A1194&amp;"-"&amp;$I1194)</f>
        <v/>
      </c>
      <c r="K1194" s="38" t="str">
        <f aca="false">IF($A1194="","",IF(COUNTIF(参数!$B$6:$B$8,$H1194)=0,"× 付款方式","√"))</f>
        <v/>
      </c>
    </row>
    <row r="1195" customFormat="false" ht="13.5" hidden="false" customHeight="false" outlineLevel="0" collapsed="false">
      <c r="A1195" s="41"/>
      <c r="B1195" s="42"/>
      <c r="C1195" s="36"/>
      <c r="D1195" s="35"/>
      <c r="E1195" s="36"/>
      <c r="F1195" s="36"/>
      <c r="G1195" s="37"/>
      <c r="H1195" s="35"/>
      <c r="I1195" s="43" t="str">
        <f aca="false">IF($A1195="","",COUNTIFS($A$2:$A1195,$A1195))</f>
        <v/>
      </c>
      <c r="J1195" s="43" t="str">
        <f aca="false">IF($A1195="","",$A1195&amp;"-"&amp;$I1195)</f>
        <v/>
      </c>
      <c r="K1195" s="38" t="str">
        <f aca="false">IF($A1195="","",IF(COUNTIF(参数!$B$6:$B$8,$H1195)=0,"× 付款方式","√"))</f>
        <v/>
      </c>
    </row>
    <row r="1196" customFormat="false" ht="13.5" hidden="false" customHeight="false" outlineLevel="0" collapsed="false">
      <c r="A1196" s="41"/>
      <c r="B1196" s="42"/>
      <c r="C1196" s="36"/>
      <c r="D1196" s="35"/>
      <c r="E1196" s="36"/>
      <c r="F1196" s="36"/>
      <c r="G1196" s="37"/>
      <c r="H1196" s="35"/>
      <c r="I1196" s="43" t="str">
        <f aca="false">IF($A1196="","",COUNTIFS($A$2:$A1196,$A1196))</f>
        <v/>
      </c>
      <c r="J1196" s="43" t="str">
        <f aca="false">IF($A1196="","",$A1196&amp;"-"&amp;$I1196)</f>
        <v/>
      </c>
      <c r="K1196" s="38" t="str">
        <f aca="false">IF($A1196="","",IF(COUNTIF(参数!$B$6:$B$8,$H1196)=0,"× 付款方式","√"))</f>
        <v/>
      </c>
    </row>
    <row r="1197" customFormat="false" ht="13.5" hidden="false" customHeight="false" outlineLevel="0" collapsed="false">
      <c r="A1197" s="41"/>
      <c r="B1197" s="42"/>
      <c r="C1197" s="36"/>
      <c r="D1197" s="35"/>
      <c r="E1197" s="36"/>
      <c r="F1197" s="36"/>
      <c r="G1197" s="37"/>
      <c r="H1197" s="35"/>
      <c r="I1197" s="43" t="str">
        <f aca="false">IF($A1197="","",COUNTIFS($A$2:$A1197,$A1197))</f>
        <v/>
      </c>
      <c r="J1197" s="43" t="str">
        <f aca="false">IF($A1197="","",$A1197&amp;"-"&amp;$I1197)</f>
        <v/>
      </c>
      <c r="K1197" s="38" t="str">
        <f aca="false">IF($A1197="","",IF(COUNTIF(参数!$B$6:$B$8,$H1197)=0,"× 付款方式","√"))</f>
        <v/>
      </c>
    </row>
    <row r="1198" customFormat="false" ht="13.5" hidden="false" customHeight="false" outlineLevel="0" collapsed="false">
      <c r="A1198" s="41"/>
      <c r="B1198" s="42"/>
      <c r="C1198" s="36"/>
      <c r="D1198" s="35"/>
      <c r="E1198" s="36"/>
      <c r="F1198" s="36"/>
      <c r="G1198" s="37"/>
      <c r="H1198" s="35"/>
      <c r="I1198" s="43" t="str">
        <f aca="false">IF($A1198="","",COUNTIFS($A$2:$A1198,$A1198))</f>
        <v/>
      </c>
      <c r="J1198" s="43" t="str">
        <f aca="false">IF($A1198="","",$A1198&amp;"-"&amp;$I1198)</f>
        <v/>
      </c>
      <c r="K1198" s="38" t="str">
        <f aca="false">IF($A1198="","",IF(COUNTIF(参数!$B$6:$B$8,$H1198)=0,"× 付款方式","√"))</f>
        <v/>
      </c>
    </row>
    <row r="1199" customFormat="false" ht="13.5" hidden="false" customHeight="false" outlineLevel="0" collapsed="false">
      <c r="A1199" s="41"/>
      <c r="B1199" s="42"/>
      <c r="C1199" s="36"/>
      <c r="D1199" s="35"/>
      <c r="E1199" s="36"/>
      <c r="F1199" s="36"/>
      <c r="G1199" s="37"/>
      <c r="H1199" s="35"/>
      <c r="I1199" s="43" t="str">
        <f aca="false">IF($A1199="","",COUNTIFS($A$2:$A1199,$A1199))</f>
        <v/>
      </c>
      <c r="J1199" s="43" t="str">
        <f aca="false">IF($A1199="","",$A1199&amp;"-"&amp;$I1199)</f>
        <v/>
      </c>
      <c r="K1199" s="38" t="str">
        <f aca="false">IF($A1199="","",IF(COUNTIF(参数!$B$6:$B$8,$H1199)=0,"× 付款方式","√"))</f>
        <v/>
      </c>
    </row>
    <row r="1200" customFormat="false" ht="13.5" hidden="false" customHeight="false" outlineLevel="0" collapsed="false">
      <c r="A1200" s="41"/>
      <c r="B1200" s="42"/>
      <c r="C1200" s="36"/>
      <c r="D1200" s="35"/>
      <c r="E1200" s="36"/>
      <c r="F1200" s="36"/>
      <c r="G1200" s="37"/>
      <c r="H1200" s="35"/>
      <c r="I1200" s="43" t="str">
        <f aca="false">IF($A1200="","",COUNTIFS($A$2:$A1200,$A1200))</f>
        <v/>
      </c>
      <c r="J1200" s="43" t="str">
        <f aca="false">IF($A1200="","",$A1200&amp;"-"&amp;$I1200)</f>
        <v/>
      </c>
      <c r="K1200" s="38" t="str">
        <f aca="false">IF($A1200="","",IF(COUNTIF(参数!$B$6:$B$8,$H1200)=0,"× 付款方式","√"))</f>
        <v/>
      </c>
    </row>
    <row r="1201" customFormat="false" ht="13.5" hidden="false" customHeight="false" outlineLevel="0" collapsed="false">
      <c r="A1201" s="41"/>
      <c r="B1201" s="42"/>
      <c r="C1201" s="36"/>
      <c r="D1201" s="35"/>
      <c r="E1201" s="36"/>
      <c r="F1201" s="36"/>
      <c r="G1201" s="37"/>
      <c r="H1201" s="35"/>
      <c r="I1201" s="43" t="str">
        <f aca="false">IF($A1201="","",COUNTIFS($A$2:$A1201,$A1201))</f>
        <v/>
      </c>
      <c r="J1201" s="43" t="str">
        <f aca="false">IF($A1201="","",$A1201&amp;"-"&amp;$I1201)</f>
        <v/>
      </c>
      <c r="K1201" s="38" t="str">
        <f aca="false">IF($A1201="","",IF(COUNTIF(参数!$B$6:$B$8,$H1201)=0,"× 付款方式","√"))</f>
        <v/>
      </c>
    </row>
  </sheetData>
  <dataValidations count="3">
    <dataValidation allowBlank="true" errorStyle="stop" operator="between" showDropDown="false" showErrorMessage="true" showInputMessage="true" sqref="C1:C2201" type="list">
      <formula1>门店对照!$C:$C</formula1>
      <formula2>0</formula2>
    </dataValidation>
    <dataValidation allowBlank="true" errorStyle="stop" operator="between" showDropDown="false" showErrorMessage="true" showInputMessage="true" sqref="E1:E2201" type="list">
      <formula1>$N:$N</formula1>
      <formula2>0</formula2>
    </dataValidation>
    <dataValidation allowBlank="true" errorStyle="stop" operator="between" showDropDown="false" showErrorMessage="true" showInputMessage="true" sqref="F1:F2201" type="list">
      <formula1>$P:$P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7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1" min="3" style="0" width="13"/>
  </cols>
  <sheetData>
    <row r="1" customFormat="false" ht="27" hidden="false" customHeight="true" outlineLevel="0" collapsed="false">
      <c r="A1" s="17" t="s">
        <v>88</v>
      </c>
      <c r="B1" s="17" t="s">
        <v>284</v>
      </c>
      <c r="C1" s="17" t="s">
        <v>286</v>
      </c>
      <c r="D1" s="17" t="s">
        <v>287</v>
      </c>
      <c r="E1" s="17" t="s">
        <v>288</v>
      </c>
      <c r="F1" s="17" t="s">
        <v>227</v>
      </c>
      <c r="G1" s="17" t="s">
        <v>229</v>
      </c>
      <c r="H1" s="17" t="s">
        <v>289</v>
      </c>
      <c r="I1" s="17" t="s">
        <v>232</v>
      </c>
      <c r="J1" s="17" t="s">
        <v>234</v>
      </c>
      <c r="K1" s="17" t="s">
        <v>238</v>
      </c>
      <c r="L1" s="32" t="s">
        <v>290</v>
      </c>
      <c r="M1" s="17" t="s">
        <v>240</v>
      </c>
      <c r="N1" s="17" t="s">
        <v>242</v>
      </c>
      <c r="O1" s="17" t="s">
        <v>244</v>
      </c>
      <c r="P1" s="17" t="s">
        <v>256</v>
      </c>
      <c r="Q1" s="17" t="s">
        <v>253</v>
      </c>
      <c r="R1" s="17" t="s">
        <v>263</v>
      </c>
      <c r="S1" s="17" t="s">
        <v>261</v>
      </c>
      <c r="T1" s="17" t="s">
        <v>260</v>
      </c>
      <c r="U1" s="17" t="s">
        <v>259</v>
      </c>
      <c r="V1" s="17" t="s">
        <v>245</v>
      </c>
      <c r="W1" s="17" t="s">
        <v>291</v>
      </c>
      <c r="X1" s="17" t="s">
        <v>292</v>
      </c>
      <c r="Y1" s="17" t="s">
        <v>293</v>
      </c>
      <c r="Z1" s="17" t="s">
        <v>236</v>
      </c>
      <c r="AA1" s="17" t="s">
        <v>294</v>
      </c>
      <c r="AB1" s="17" t="s">
        <v>252</v>
      </c>
      <c r="AC1" s="17" t="s">
        <v>247</v>
      </c>
      <c r="AD1" s="17" t="s">
        <v>295</v>
      </c>
      <c r="AE1" s="17" t="s">
        <v>268</v>
      </c>
    </row>
    <row r="2" customFormat="false" ht="13.5" hidden="false" customHeight="false" outlineLevel="0" collapsed="false">
      <c r="A2" s="45" t="n">
        <f aca="false">IFERROR(MATCH("门店代码",输入海典!$1:$1,0),0)</f>
        <v>2</v>
      </c>
      <c r="B2" s="46" t="b">
        <f aca="false">IF($A$2=0,FALSE(),ISTEXT(INDEX(INDEX(输入海典!$A$1:$AN$20000,0,$A$2),2)))</f>
        <v>1</v>
      </c>
      <c r="C2" s="45" t="n">
        <f aca="false">IFERROR(MATCH(C$1,输入海典!$1:$1,0),0)</f>
        <v>5</v>
      </c>
      <c r="D2" s="45" t="n">
        <f aca="false">IFERROR(MATCH(D$1,输入海典!$1:$1,0),0)</f>
        <v>6</v>
      </c>
      <c r="E2" s="45" t="n">
        <f aca="false">IFERROR(MATCH(E$1,输入海典!$1:$1,0),0)</f>
        <v>7</v>
      </c>
      <c r="F2" s="45" t="n">
        <f aca="false">IFERROR(MATCH(F$1,输入海典!$1:$1,0),0)</f>
        <v>8</v>
      </c>
      <c r="G2" s="45" t="n">
        <f aca="false">IFERROR(MATCH(G$1,输入海典!$1:$1,0),0)</f>
        <v>9</v>
      </c>
      <c r="H2" s="45" t="n">
        <f aca="false">IFERROR(MATCH(H$1,输入海典!$1:$1,0),0)</f>
        <v>10</v>
      </c>
      <c r="I2" s="45" t="n">
        <f aca="false">IFERROR(MATCH(I$1,输入海典!$1:$1,0),0)</f>
        <v>11</v>
      </c>
      <c r="J2" s="45" t="n">
        <f aca="false">IFERROR(MATCH(J$1,输入海典!$1:$1,0),0)</f>
        <v>12</v>
      </c>
      <c r="K2" s="45" t="n">
        <f aca="false">IFERROR(MATCH(K$1,输入海典!$1:$1,0),0)</f>
        <v>13</v>
      </c>
      <c r="L2" s="45" t="n">
        <f aca="false">IFERROR(MATCH(L$1,输入海典!$1:$1,0),0)</f>
        <v>14</v>
      </c>
      <c r="M2" s="45" t="n">
        <f aca="false">IFERROR(MATCH(M$1,输入海典!$1:$1,0),0)</f>
        <v>15</v>
      </c>
      <c r="N2" s="45" t="n">
        <f aca="false">IFERROR(MATCH(N$1,输入海典!$1:$1,0),0)</f>
        <v>16</v>
      </c>
      <c r="O2" s="45" t="n">
        <f aca="false">IFERROR(MATCH(O$1,输入海典!$1:$1,0),0)</f>
        <v>17</v>
      </c>
      <c r="P2" s="45" t="n">
        <f aca="false">IFERROR(MATCH(P$1,输入海典!$1:$1,0),0)</f>
        <v>18</v>
      </c>
      <c r="Q2" s="45" t="n">
        <f aca="false">IFERROR(MATCH(Q$1,输入海典!$1:$1,0),0)</f>
        <v>19</v>
      </c>
      <c r="R2" s="45" t="n">
        <f aca="false">IFERROR(MATCH(R$1,输入海典!$1:$1,0),0)</f>
        <v>20</v>
      </c>
      <c r="S2" s="45" t="n">
        <f aca="false">IFERROR(MATCH(S$1,输入海典!$1:$1,0),0)</f>
        <v>21</v>
      </c>
      <c r="T2" s="45" t="n">
        <f aca="false">IFERROR(MATCH(T$1,输入海典!$1:$1,0),0)</f>
        <v>22</v>
      </c>
      <c r="U2" s="45" t="n">
        <f aca="false">IFERROR(MATCH(U$1,输入海典!$1:$1,0),0)</f>
        <v>23</v>
      </c>
      <c r="V2" s="45" t="n">
        <f aca="false">IFERROR(MATCH(V$1,输入海典!$1:$1,0),0)</f>
        <v>24</v>
      </c>
      <c r="W2" s="45" t="n">
        <f aca="false">IFERROR(MATCH(W$1,输入海典!$1:$1,0),0)</f>
        <v>25</v>
      </c>
      <c r="X2" s="45" t="n">
        <f aca="false">IFERROR(MATCH(X$1,输入海典!$1:$1,0),0)</f>
        <v>26</v>
      </c>
      <c r="Y2" s="45" t="n">
        <f aca="false">IFERROR(MATCH(Y$1,输入海典!$1:$1,0),0)</f>
        <v>27</v>
      </c>
      <c r="Z2" s="45" t="n">
        <f aca="false">IFERROR(MATCH(Z$1,输入海典!$1:$1,0),0)</f>
        <v>28</v>
      </c>
      <c r="AA2" s="45" t="n">
        <f aca="false">IFERROR(MATCH(AA$1,输入海典!$1:$1,0),0)</f>
        <v>29</v>
      </c>
      <c r="AB2" s="45" t="n">
        <f aca="false">IFERROR(MATCH(AB$1,输入海典!$1:$1,0),0)</f>
        <v>30</v>
      </c>
      <c r="AC2" s="45" t="n">
        <f aca="false">IFERROR(MATCH(AC$1,输入海典!$1:$1,0),0)</f>
        <v>31</v>
      </c>
      <c r="AD2" s="45" t="n">
        <f aca="false">IFERROR(MATCH(AD$1,输入海典!$1:$1,0),0)</f>
        <v>32</v>
      </c>
      <c r="AE2" s="45" t="n">
        <f aca="false">IFERROR(MATCH(AE$1,输入海典!$1:$1,0),0)</f>
        <v>33</v>
      </c>
    </row>
    <row r="3" customFormat="false" ht="14.9" hidden="false" customHeight="false" outlineLevel="0" collapsed="false">
      <c r="A3" s="25" t="n">
        <f aca="false">IF(门店对照!$D2=1,门店对照!$A2,"#未启用#")</f>
        <v>2001</v>
      </c>
      <c r="B3" s="26" t="str">
        <f aca="false">IF(门店对照!$B2="","",门店对照!$B2)</f>
        <v>柏人商城分店（1店）</v>
      </c>
      <c r="C3" s="15" t="n">
        <f aca="false">IF(OR(C$2=0,$A$2=0),0,SUMIFS(INDEX(输入海典!$A$1:$AN$20000,0,C$2),INDEX(输入海典!$A$1:$AN$20000,0,$A$2),IF($B$2,""&amp;$A3,$A3)))</f>
        <v>6428.43</v>
      </c>
      <c r="D3" s="15" t="n">
        <f aca="false">IF(OR(D$2=0,$A$2=0),0,SUMIFS(INDEX(输入海典!$A$1:$AN$20000,0,D$2),INDEX(输入海典!$A$1:$AN$20000,0,$A$2),IF($B$2,""&amp;$A3,$A3)))</f>
        <v>0</v>
      </c>
      <c r="E3" s="15" t="n">
        <f aca="false">IF(OR(E$2=0,$A$2=0),0,SUMIFS(INDEX(输入海典!$A$1:$AN$20000,0,E$2),INDEX(输入海典!$A$1:$AN$20000,0,$A$2),IF($B$2,""&amp;$A3,$A3)))</f>
        <v>22768.52</v>
      </c>
      <c r="F3" s="15" t="n">
        <f aca="false">IF(OR(F$2=0,$A$2=0),0,SUMIFS(INDEX(输入海典!$A$1:$AN$20000,0,F$2),INDEX(输入海典!$A$1:$AN$20000,0,$A$2),IF($B$2,""&amp;$A3,$A3)))</f>
        <v>6716.34</v>
      </c>
      <c r="G3" s="15" t="n">
        <f aca="false">IF(OR(G$2=0,$A$2=0),0,SUMIFS(INDEX(输入海典!$A$1:$AN$20000,0,G$2),INDEX(输入海典!$A$1:$AN$20000,0,$A$2),IF($B$2,""&amp;$A3,$A3)))</f>
        <v>0</v>
      </c>
      <c r="H3" s="15" t="n">
        <f aca="false">IF(OR(H$2=0,$A$2=0),0,SUMIFS(INDEX(输入海典!$A$1:$AN$20000,0,H$2),INDEX(输入海典!$A$1:$AN$20000,0,$A$2),IF($B$2,""&amp;$A3,$A3)))</f>
        <v>0</v>
      </c>
      <c r="I3" s="15" t="n">
        <f aca="false">IF(OR(I$2=0,$A$2=0),0,SUMIFS(INDEX(输入海典!$A$1:$AN$20000,0,I$2),INDEX(输入海典!$A$1:$AN$20000,0,$A$2),IF($B$2,""&amp;$A3,$A3)))</f>
        <v>0</v>
      </c>
      <c r="J3" s="15" t="n">
        <f aca="false">IF(OR(J$2=0,$A$2=0),0,SUMIFS(INDEX(输入海典!$A$1:$AN$20000,0,J$2),INDEX(输入海典!$A$1:$AN$20000,0,$A$2),IF($B$2,""&amp;$A3,$A3)))</f>
        <v>0</v>
      </c>
      <c r="K3" s="15" t="n">
        <f aca="false">IF(OR(K$2=0,$A$2=0),0,SUMIFS(INDEX(输入海典!$A$1:$AN$20000,0,K$2),INDEX(输入海典!$A$1:$AN$20000,0,$A$2),IF($B$2,""&amp;$A3,$A3)))</f>
        <v>0</v>
      </c>
      <c r="L3" s="15" t="n">
        <f aca="false">IF(OR(L$2=0,$A$2=0),0,SUMIFS(INDEX(输入海典!$A$1:$AN$20000,0,L$2),INDEX(输入海典!$A$1:$AN$20000,0,$A$2),IF($B$2,""&amp;$A3,$A3)))</f>
        <v>0</v>
      </c>
      <c r="M3" s="15" t="n">
        <f aca="false">IF(OR(M$2=0,$A$2=0),0,SUMIFS(INDEX(输入海典!$A$1:$AN$20000,0,M$2),INDEX(输入海典!$A$1:$AN$20000,0,$A$2),IF($B$2,""&amp;$A3,$A3)))</f>
        <v>47.5</v>
      </c>
      <c r="N3" s="15" t="n">
        <f aca="false">IF(OR(N$2=0,$A$2=0),0,SUMIFS(INDEX(输入海典!$A$1:$AN$20000,0,N$2),INDEX(输入海典!$A$1:$AN$20000,0,$A$2),IF($B$2,""&amp;$A3,$A3)))</f>
        <v>0</v>
      </c>
      <c r="O3" s="15" t="n">
        <f aca="false">IF(OR(O$2=0,$A$2=0),0,SUMIFS(INDEX(输入海典!$A$1:$AN$20000,0,O$2),INDEX(输入海典!$A$1:$AN$20000,0,$A$2),IF($B$2,""&amp;$A3,$A3)))</f>
        <v>0</v>
      </c>
      <c r="P3" s="15" t="n">
        <f aca="false">IF(OR(P$2=0,$A$2=0),0,SUMIFS(INDEX(输入海典!$A$1:$AN$20000,0,P$2),INDEX(输入海典!$A$1:$AN$20000,0,$A$2),IF($B$2,""&amp;$A3,$A3)))</f>
        <v>0</v>
      </c>
      <c r="Q3" s="15" t="n">
        <f aca="false">IF(OR(Q$2=0,$A$2=0),0,SUMIFS(INDEX(输入海典!$A$1:$AN$20000,0,Q$2),INDEX(输入海典!$A$1:$AN$20000,0,$A$2),IF($B$2,""&amp;$A3,$A3)))</f>
        <v>0</v>
      </c>
      <c r="R3" s="15" t="n">
        <f aca="false">IF(OR(R$2=0,$A$2=0),0,SUMIFS(INDEX(输入海典!$A$1:$AN$20000,0,R$2),INDEX(输入海典!$A$1:$AN$20000,0,$A$2),IF($B$2,""&amp;$A3,$A3)))</f>
        <v>0</v>
      </c>
      <c r="S3" s="15" t="n">
        <f aca="false">IF(OR(S$2=0,$A$2=0),0,SUMIFS(INDEX(输入海典!$A$1:$AN$20000,0,S$2),INDEX(输入海典!$A$1:$AN$20000,0,$A$2),IF($B$2,""&amp;$A3,$A3)))</f>
        <v>0</v>
      </c>
      <c r="T3" s="15" t="n">
        <f aca="false">IF(OR(T$2=0,$A$2=0),0,SUMIFS(INDEX(输入海典!$A$1:$AN$20000,0,T$2),INDEX(输入海典!$A$1:$AN$20000,0,$A$2),IF($B$2,""&amp;$A3,$A3)))</f>
        <v>29.62</v>
      </c>
      <c r="U3" s="15" t="n">
        <f aca="false">IF(OR(U$2=0,$A$2=0),0,SUMIFS(INDEX(输入海典!$A$1:$AN$20000,0,U$2),INDEX(输入海典!$A$1:$AN$20000,0,$A$2),IF($B$2,""&amp;$A3,$A3)))</f>
        <v>419.1</v>
      </c>
      <c r="V3" s="15" t="n">
        <f aca="false">IF(OR(V$2=0,$A$2=0),0,SUMIFS(INDEX(输入海典!$A$1:$AN$20000,0,V$2),INDEX(输入海典!$A$1:$AN$20000,0,$A$2),IF($B$2,""&amp;$A3,$A3)))</f>
        <v>0</v>
      </c>
      <c r="W3" s="15" t="n">
        <f aca="false">IF(OR(W$2=0,$A$2=0),0,SUMIFS(INDEX(输入海典!$A$1:$AN$20000,0,W$2),INDEX(输入海典!$A$1:$AN$20000,0,$A$2),IF($B$2,""&amp;$A3,$A3)))</f>
        <v>0</v>
      </c>
      <c r="X3" s="15" t="n">
        <f aca="false">IF(OR(X$2=0,$A$2=0),0,SUMIFS(INDEX(输入海典!$A$1:$AN$20000,0,X$2),INDEX(输入海典!$A$1:$AN$20000,0,$A$2),IF($B$2,""&amp;$A3,$A3)))</f>
        <v>0</v>
      </c>
      <c r="Y3" s="15" t="n">
        <f aca="false">IF(OR(Y$2=0,$A$2=0),0,SUMIFS(INDEX(输入海典!$A$1:$AN$20000,0,Y$2),INDEX(输入海典!$A$1:$AN$20000,0,$A$2),IF($B$2,""&amp;$A3,$A3)))</f>
        <v>0</v>
      </c>
      <c r="Z3" s="15" t="n">
        <f aca="false">IF(OR(Z$2=0,$A$2=0),0,SUMIFS(INDEX(输入海典!$A$1:$AN$20000,0,Z$2),INDEX(输入海典!$A$1:$AN$20000,0,$A$2),IF($B$2,""&amp;$A3,$A3)))</f>
        <v>0</v>
      </c>
      <c r="AA3" s="15" t="n">
        <f aca="false">IF(OR(AA$2=0,$A$2=0),0,SUMIFS(INDEX(输入海典!$A$1:$AN$20000,0,AA$2),INDEX(输入海典!$A$1:$AN$20000,0,$A$2),IF($B$2,""&amp;$A3,$A3)))</f>
        <v>0</v>
      </c>
      <c r="AB3" s="15" t="n">
        <f aca="false">IF(OR(AB$2=0,$A$2=0),0,SUMIFS(INDEX(输入海典!$A$1:$AN$20000,0,AB$2),INDEX(输入海典!$A$1:$AN$20000,0,$A$2),IF($B$2,""&amp;$A3,$A3)))</f>
        <v>0</v>
      </c>
      <c r="AC3" s="15" t="n">
        <f aca="false">IF(OR(AC$2=0,$A$2=0),0,SUMIFS(INDEX(输入海典!$A$1:$AN$20000,0,AC$2),INDEX(输入海典!$A$1:$AN$20000,0,$A$2),IF($B$2,""&amp;$A3,$A3)))</f>
        <v>0</v>
      </c>
      <c r="AD3" s="15" t="n">
        <f aca="false">IF(OR(AD$2=0,$A$2=0),0,SUMIFS(INDEX(输入海典!$A$1:$AN$20000,0,AD$2),INDEX(输入海典!$A$1:$AN$20000,0,$A$2),IF($B$2,""&amp;$A3,$A3)))</f>
        <v>0</v>
      </c>
      <c r="AE3" s="15" t="n">
        <f aca="false">IF(OR(AE$2=0,$A$2=0),0,SUMIFS(INDEX(输入海典!$A$1:$AN$20000,0,AE$2),INDEX(输入海典!$A$1:$AN$20000,0,$A$2),IF($B$2,""&amp;$A3,$A3)))</f>
        <v>36409.51</v>
      </c>
    </row>
    <row r="4" customFormat="false" ht="14.9" hidden="false" customHeight="false" outlineLevel="0" collapsed="false">
      <c r="A4" s="25" t="n">
        <f aca="false">IF(门店对照!$D3=1,门店对照!$A3,"#未启用#")</f>
        <v>2002</v>
      </c>
      <c r="B4" s="26" t="str">
        <f aca="false">IF(门店对照!$B3="","",门店对照!$B3)</f>
        <v>新隆分店（2分店）</v>
      </c>
      <c r="C4" s="15" t="n">
        <f aca="false">IF(OR(C$2=0,$A$2=0),0,SUMIFS(INDEX(输入海典!$A$1:$AN$20000,0,C$2),INDEX(输入海典!$A$1:$AN$20000,0,$A$2),IF($B$2,""&amp;$A4,$A4)))</f>
        <v>40649.83</v>
      </c>
      <c r="D4" s="15" t="n">
        <f aca="false">IF(OR(D$2=0,$A$2=0),0,SUMIFS(INDEX(输入海典!$A$1:$AN$20000,0,D$2),INDEX(输入海典!$A$1:$AN$20000,0,$A$2),IF($B$2,""&amp;$A4,$A4)))</f>
        <v>250321.02</v>
      </c>
      <c r="E4" s="15" t="n">
        <f aca="false">IF(OR(E$2=0,$A$2=0),0,SUMIFS(INDEX(输入海典!$A$1:$AN$20000,0,E$2),INDEX(输入海典!$A$1:$AN$20000,0,$A$2),IF($B$2,""&amp;$A4,$A4)))</f>
        <v>103203.75</v>
      </c>
      <c r="F4" s="15" t="n">
        <f aca="false">IF(OR(F$2=0,$A$2=0),0,SUMIFS(INDEX(输入海典!$A$1:$AN$20000,0,F$2),INDEX(输入海典!$A$1:$AN$20000,0,$A$2),IF($B$2,""&amp;$A4,$A4)))</f>
        <v>44535.92</v>
      </c>
      <c r="G4" s="15" t="n">
        <f aca="false">IF(OR(G$2=0,$A$2=0),0,SUMIFS(INDEX(输入海典!$A$1:$AN$20000,0,G$2),INDEX(输入海典!$A$1:$AN$20000,0,$A$2),IF($B$2,""&amp;$A4,$A4)))</f>
        <v>485.45</v>
      </c>
      <c r="H4" s="15" t="n">
        <f aca="false">IF(OR(H$2=0,$A$2=0),0,SUMIFS(INDEX(输入海典!$A$1:$AN$20000,0,H$2),INDEX(输入海典!$A$1:$AN$20000,0,$A$2),IF($B$2,""&amp;$A4,$A4)))</f>
        <v>0</v>
      </c>
      <c r="I4" s="15" t="n">
        <f aca="false">IF(OR(I$2=0,$A$2=0),0,SUMIFS(INDEX(输入海典!$A$1:$AN$20000,0,I$2),INDEX(输入海典!$A$1:$AN$20000,0,$A$2),IF($B$2,""&amp;$A4,$A4)))</f>
        <v>0</v>
      </c>
      <c r="J4" s="15" t="n">
        <f aca="false">IF(OR(J$2=0,$A$2=0),0,SUMIFS(INDEX(输入海典!$A$1:$AN$20000,0,J$2),INDEX(输入海典!$A$1:$AN$20000,0,$A$2),IF($B$2,""&amp;$A4,$A4)))</f>
        <v>0</v>
      </c>
      <c r="K4" s="15" t="n">
        <f aca="false">IF(OR(K$2=0,$A$2=0),0,SUMIFS(INDEX(输入海典!$A$1:$AN$20000,0,K$2),INDEX(输入海典!$A$1:$AN$20000,0,$A$2),IF($B$2,""&amp;$A4,$A4)))</f>
        <v>0</v>
      </c>
      <c r="L4" s="15" t="n">
        <f aca="false">IF(OR(L$2=0,$A$2=0),0,SUMIFS(INDEX(输入海典!$A$1:$AN$20000,0,L$2),INDEX(输入海典!$A$1:$AN$20000,0,$A$2),IF($B$2,""&amp;$A4,$A4)))</f>
        <v>0</v>
      </c>
      <c r="M4" s="15" t="n">
        <f aca="false">IF(OR(M$2=0,$A$2=0),0,SUMIFS(INDEX(输入海典!$A$1:$AN$20000,0,M$2),INDEX(输入海典!$A$1:$AN$20000,0,$A$2),IF($B$2,""&amp;$A4,$A4)))</f>
        <v>0</v>
      </c>
      <c r="N4" s="15" t="n">
        <f aca="false">IF(OR(N$2=0,$A$2=0),0,SUMIFS(INDEX(输入海典!$A$1:$AN$20000,0,N$2),INDEX(输入海典!$A$1:$AN$20000,0,$A$2),IF($B$2,""&amp;$A4,$A4)))</f>
        <v>0</v>
      </c>
      <c r="O4" s="15" t="n">
        <f aca="false">IF(OR(O$2=0,$A$2=0),0,SUMIFS(INDEX(输入海典!$A$1:$AN$20000,0,O$2),INDEX(输入海典!$A$1:$AN$20000,0,$A$2),IF($B$2,""&amp;$A4,$A4)))</f>
        <v>0</v>
      </c>
      <c r="P4" s="15" t="n">
        <f aca="false">IF(OR(P$2=0,$A$2=0),0,SUMIFS(INDEX(输入海典!$A$1:$AN$20000,0,P$2),INDEX(输入海典!$A$1:$AN$20000,0,$A$2),IF($B$2,""&amp;$A4,$A4)))</f>
        <v>0</v>
      </c>
      <c r="Q4" s="15" t="n">
        <f aca="false">IF(OR(Q$2=0,$A$2=0),0,SUMIFS(INDEX(输入海典!$A$1:$AN$20000,0,Q$2),INDEX(输入海典!$A$1:$AN$20000,0,$A$2),IF($B$2,""&amp;$A4,$A4)))</f>
        <v>2656.85</v>
      </c>
      <c r="R4" s="15" t="n">
        <f aca="false">IF(OR(R$2=0,$A$2=0),0,SUMIFS(INDEX(输入海典!$A$1:$AN$20000,0,R$2),INDEX(输入海典!$A$1:$AN$20000,0,$A$2),IF($B$2,""&amp;$A4,$A4)))</f>
        <v>0</v>
      </c>
      <c r="S4" s="15" t="n">
        <f aca="false">IF(OR(S$2=0,$A$2=0),0,SUMIFS(INDEX(输入海典!$A$1:$AN$20000,0,S$2),INDEX(输入海典!$A$1:$AN$20000,0,$A$2),IF($B$2,""&amp;$A4,$A4)))</f>
        <v>0</v>
      </c>
      <c r="T4" s="15" t="n">
        <f aca="false">IF(OR(T$2=0,$A$2=0),0,SUMIFS(INDEX(输入海典!$A$1:$AN$20000,0,T$2),INDEX(输入海典!$A$1:$AN$20000,0,$A$2),IF($B$2,""&amp;$A4,$A4)))</f>
        <v>22.53</v>
      </c>
      <c r="U4" s="15" t="n">
        <f aca="false">IF(OR(U$2=0,$A$2=0),0,SUMIFS(INDEX(输入海典!$A$1:$AN$20000,0,U$2),INDEX(输入海典!$A$1:$AN$20000,0,$A$2),IF($B$2,""&amp;$A4,$A4)))</f>
        <v>2246.1</v>
      </c>
      <c r="V4" s="15" t="n">
        <f aca="false">IF(OR(V$2=0,$A$2=0),0,SUMIFS(INDEX(输入海典!$A$1:$AN$20000,0,V$2),INDEX(输入海典!$A$1:$AN$20000,0,$A$2),IF($B$2,""&amp;$A4,$A4)))</f>
        <v>0</v>
      </c>
      <c r="W4" s="15" t="n">
        <f aca="false">IF(OR(W$2=0,$A$2=0),0,SUMIFS(INDEX(输入海典!$A$1:$AN$20000,0,W$2),INDEX(输入海典!$A$1:$AN$20000,0,$A$2),IF($B$2,""&amp;$A4,$A4)))</f>
        <v>0</v>
      </c>
      <c r="X4" s="15" t="n">
        <f aca="false">IF(OR(X$2=0,$A$2=0),0,SUMIFS(INDEX(输入海典!$A$1:$AN$20000,0,X$2),INDEX(输入海典!$A$1:$AN$20000,0,$A$2),IF($B$2,""&amp;$A4,$A4)))</f>
        <v>0</v>
      </c>
      <c r="Y4" s="15" t="n">
        <f aca="false">IF(OR(Y$2=0,$A$2=0),0,SUMIFS(INDEX(输入海典!$A$1:$AN$20000,0,Y$2),INDEX(输入海典!$A$1:$AN$20000,0,$A$2),IF($B$2,""&amp;$A4,$A4)))</f>
        <v>0</v>
      </c>
      <c r="Z4" s="15" t="n">
        <f aca="false">IF(OR(Z$2=0,$A$2=0),0,SUMIFS(INDEX(输入海典!$A$1:$AN$20000,0,Z$2),INDEX(输入海典!$A$1:$AN$20000,0,$A$2),IF($B$2,""&amp;$A4,$A4)))</f>
        <v>0</v>
      </c>
      <c r="AA4" s="15" t="n">
        <f aca="false">IF(OR(AA$2=0,$A$2=0),0,SUMIFS(INDEX(输入海典!$A$1:$AN$20000,0,AA$2),INDEX(输入海典!$A$1:$AN$20000,0,$A$2),IF($B$2,""&amp;$A4,$A4)))</f>
        <v>0</v>
      </c>
      <c r="AB4" s="15" t="n">
        <f aca="false">IF(OR(AB$2=0,$A$2=0),0,SUMIFS(INDEX(输入海典!$A$1:$AN$20000,0,AB$2),INDEX(输入海典!$A$1:$AN$20000,0,$A$2),IF($B$2,""&amp;$A4,$A4)))</f>
        <v>0</v>
      </c>
      <c r="AC4" s="15" t="n">
        <f aca="false">IF(OR(AC$2=0,$A$2=0),0,SUMIFS(INDEX(输入海典!$A$1:$AN$20000,0,AC$2),INDEX(输入海典!$A$1:$AN$20000,0,$A$2),IF($B$2,""&amp;$A4,$A4)))</f>
        <v>0</v>
      </c>
      <c r="AD4" s="15" t="n">
        <f aca="false">IF(OR(AD$2=0,$A$2=0),0,SUMIFS(INDEX(输入海典!$A$1:$AN$20000,0,AD$2),INDEX(输入海典!$A$1:$AN$20000,0,$A$2),IF($B$2,""&amp;$A4,$A4)))</f>
        <v>0</v>
      </c>
      <c r="AE4" s="15" t="n">
        <f aca="false">IF(OR(AE$2=0,$A$2=0),0,SUMIFS(INDEX(输入海典!$A$1:$AN$20000,0,AE$2),INDEX(输入海典!$A$1:$AN$20000,0,$A$2),IF($B$2,""&amp;$A4,$A4)))</f>
        <v>444121.45</v>
      </c>
    </row>
    <row r="5" customFormat="false" ht="14.9" hidden="false" customHeight="false" outlineLevel="0" collapsed="false">
      <c r="A5" s="25" t="n">
        <f aca="false">IF(门店对照!$D4=1,门店对照!$A4,"#未启用#")</f>
        <v>2003</v>
      </c>
      <c r="B5" s="26" t="str">
        <f aca="false">IF(门店对照!$B4="","",门店对照!$B4)</f>
        <v>康庄东路分店（3店）</v>
      </c>
      <c r="C5" s="15" t="n">
        <f aca="false">IF(OR(C$2=0,$A$2=0),0,SUMIFS(INDEX(输入海典!$A$1:$AN$20000,0,C$2),INDEX(输入海典!$A$1:$AN$20000,0,$A$2),IF($B$2,""&amp;$A5,$A5)))</f>
        <v>10963.03</v>
      </c>
      <c r="D5" s="15" t="n">
        <f aca="false">IF(OR(D$2=0,$A$2=0),0,SUMIFS(INDEX(输入海典!$A$1:$AN$20000,0,D$2),INDEX(输入海典!$A$1:$AN$20000,0,$A$2),IF($B$2,""&amp;$A5,$A5)))</f>
        <v>39158.39</v>
      </c>
      <c r="E5" s="15" t="n">
        <f aca="false">IF(OR(E$2=0,$A$2=0),0,SUMIFS(INDEX(输入海典!$A$1:$AN$20000,0,E$2),INDEX(输入海典!$A$1:$AN$20000,0,$A$2),IF($B$2,""&amp;$A5,$A5)))</f>
        <v>9808.79</v>
      </c>
      <c r="F5" s="15" t="n">
        <f aca="false">IF(OR(F$2=0,$A$2=0),0,SUMIFS(INDEX(输入海典!$A$1:$AN$20000,0,F$2),INDEX(输入海典!$A$1:$AN$20000,0,$A$2),IF($B$2,""&amp;$A5,$A5)))</f>
        <v>30706.84</v>
      </c>
      <c r="G5" s="15" t="n">
        <f aca="false">IF(OR(G$2=0,$A$2=0),0,SUMIFS(INDEX(输入海典!$A$1:$AN$20000,0,G$2),INDEX(输入海典!$A$1:$AN$20000,0,$A$2),IF($B$2,""&amp;$A5,$A5)))</f>
        <v>144</v>
      </c>
      <c r="H5" s="15" t="n">
        <f aca="false">IF(OR(H$2=0,$A$2=0),0,SUMIFS(INDEX(输入海典!$A$1:$AN$20000,0,H$2),INDEX(输入海典!$A$1:$AN$20000,0,$A$2),IF($B$2,""&amp;$A5,$A5)))</f>
        <v>30700.31</v>
      </c>
      <c r="I5" s="15" t="n">
        <f aca="false">IF(OR(I$2=0,$A$2=0),0,SUMIFS(INDEX(输入海典!$A$1:$AN$20000,0,I$2),INDEX(输入海典!$A$1:$AN$20000,0,$A$2),IF($B$2,""&amp;$A5,$A5)))</f>
        <v>586.28</v>
      </c>
      <c r="J5" s="15" t="n">
        <f aca="false">IF(OR(J$2=0,$A$2=0),0,SUMIFS(INDEX(输入海典!$A$1:$AN$20000,0,J$2),INDEX(输入海典!$A$1:$AN$20000,0,$A$2),IF($B$2,""&amp;$A5,$A5)))</f>
        <v>0</v>
      </c>
      <c r="K5" s="15" t="n">
        <f aca="false">IF(OR(K$2=0,$A$2=0),0,SUMIFS(INDEX(输入海典!$A$1:$AN$20000,0,K$2),INDEX(输入海典!$A$1:$AN$20000,0,$A$2),IF($B$2,""&amp;$A5,$A5)))</f>
        <v>0</v>
      </c>
      <c r="L5" s="15" t="n">
        <f aca="false">IF(OR(L$2=0,$A$2=0),0,SUMIFS(INDEX(输入海典!$A$1:$AN$20000,0,L$2),INDEX(输入海典!$A$1:$AN$20000,0,$A$2),IF($B$2,""&amp;$A5,$A5)))</f>
        <v>0</v>
      </c>
      <c r="M5" s="15" t="n">
        <f aca="false">IF(OR(M$2=0,$A$2=0),0,SUMIFS(INDEX(输入海典!$A$1:$AN$20000,0,M$2),INDEX(输入海典!$A$1:$AN$20000,0,$A$2),IF($B$2,""&amp;$A5,$A5)))</f>
        <v>92.2</v>
      </c>
      <c r="N5" s="15" t="n">
        <f aca="false">IF(OR(N$2=0,$A$2=0),0,SUMIFS(INDEX(输入海典!$A$1:$AN$20000,0,N$2),INDEX(输入海典!$A$1:$AN$20000,0,$A$2),IF($B$2,""&amp;$A5,$A5)))</f>
        <v>0</v>
      </c>
      <c r="O5" s="15" t="n">
        <f aca="false">IF(OR(O$2=0,$A$2=0),0,SUMIFS(INDEX(输入海典!$A$1:$AN$20000,0,O$2),INDEX(输入海典!$A$1:$AN$20000,0,$A$2),IF($B$2,""&amp;$A5,$A5)))</f>
        <v>0</v>
      </c>
      <c r="P5" s="15" t="n">
        <f aca="false">IF(OR(P$2=0,$A$2=0),0,SUMIFS(INDEX(输入海典!$A$1:$AN$20000,0,P$2),INDEX(输入海典!$A$1:$AN$20000,0,$A$2),IF($B$2,""&amp;$A5,$A5)))</f>
        <v>0</v>
      </c>
      <c r="Q5" s="15" t="n">
        <f aca="false">IF(OR(Q$2=0,$A$2=0),0,SUMIFS(INDEX(输入海典!$A$1:$AN$20000,0,Q$2),INDEX(输入海典!$A$1:$AN$20000,0,$A$2),IF($B$2,""&amp;$A5,$A5)))</f>
        <v>4183.84</v>
      </c>
      <c r="R5" s="15" t="n">
        <f aca="false">IF(OR(R$2=0,$A$2=0),0,SUMIFS(INDEX(输入海典!$A$1:$AN$20000,0,R$2),INDEX(输入海典!$A$1:$AN$20000,0,$A$2),IF($B$2,""&amp;$A5,$A5)))</f>
        <v>0</v>
      </c>
      <c r="S5" s="15" t="n">
        <f aca="false">IF(OR(S$2=0,$A$2=0),0,SUMIFS(INDEX(输入海典!$A$1:$AN$20000,0,S$2),INDEX(输入海典!$A$1:$AN$20000,0,$A$2),IF($B$2,""&amp;$A5,$A5)))</f>
        <v>0</v>
      </c>
      <c r="T5" s="15" t="n">
        <f aca="false">IF(OR(T$2=0,$A$2=0),0,SUMIFS(INDEX(输入海典!$A$1:$AN$20000,0,T$2),INDEX(输入海典!$A$1:$AN$20000,0,$A$2),IF($B$2,""&amp;$A5,$A5)))</f>
        <v>10.08</v>
      </c>
      <c r="U5" s="15" t="n">
        <f aca="false">IF(OR(U$2=0,$A$2=0),0,SUMIFS(INDEX(输入海典!$A$1:$AN$20000,0,U$2),INDEX(输入海典!$A$1:$AN$20000,0,$A$2),IF($B$2,""&amp;$A5,$A5)))</f>
        <v>2024.2</v>
      </c>
      <c r="V5" s="15" t="n">
        <f aca="false">IF(OR(V$2=0,$A$2=0),0,SUMIFS(INDEX(输入海典!$A$1:$AN$20000,0,V$2),INDEX(输入海典!$A$1:$AN$20000,0,$A$2),IF($B$2,""&amp;$A5,$A5)))</f>
        <v>0</v>
      </c>
      <c r="W5" s="15" t="n">
        <f aca="false">IF(OR(W$2=0,$A$2=0),0,SUMIFS(INDEX(输入海典!$A$1:$AN$20000,0,W$2),INDEX(输入海典!$A$1:$AN$20000,0,$A$2),IF($B$2,""&amp;$A5,$A5)))</f>
        <v>0</v>
      </c>
      <c r="X5" s="15" t="n">
        <f aca="false">IF(OR(X$2=0,$A$2=0),0,SUMIFS(INDEX(输入海典!$A$1:$AN$20000,0,X$2),INDEX(输入海典!$A$1:$AN$20000,0,$A$2),IF($B$2,""&amp;$A5,$A5)))</f>
        <v>0</v>
      </c>
      <c r="Y5" s="15" t="n">
        <f aca="false">IF(OR(Y$2=0,$A$2=0),0,SUMIFS(INDEX(输入海典!$A$1:$AN$20000,0,Y$2),INDEX(输入海典!$A$1:$AN$20000,0,$A$2),IF($B$2,""&amp;$A5,$A5)))</f>
        <v>0</v>
      </c>
      <c r="Z5" s="15" t="n">
        <f aca="false">IF(OR(Z$2=0,$A$2=0),0,SUMIFS(INDEX(输入海典!$A$1:$AN$20000,0,Z$2),INDEX(输入海典!$A$1:$AN$20000,0,$A$2),IF($B$2,""&amp;$A5,$A5)))</f>
        <v>0</v>
      </c>
      <c r="AA5" s="15" t="n">
        <f aca="false">IF(OR(AA$2=0,$A$2=0),0,SUMIFS(INDEX(输入海典!$A$1:$AN$20000,0,AA$2),INDEX(输入海典!$A$1:$AN$20000,0,$A$2),IF($B$2,""&amp;$A5,$A5)))</f>
        <v>0</v>
      </c>
      <c r="AB5" s="15" t="n">
        <f aca="false">IF(OR(AB$2=0,$A$2=0),0,SUMIFS(INDEX(输入海典!$A$1:$AN$20000,0,AB$2),INDEX(输入海典!$A$1:$AN$20000,0,$A$2),IF($B$2,""&amp;$A5,$A5)))</f>
        <v>0</v>
      </c>
      <c r="AC5" s="15" t="n">
        <f aca="false">IF(OR(AC$2=0,$A$2=0),0,SUMIFS(INDEX(输入海典!$A$1:$AN$20000,0,AC$2),INDEX(输入海典!$A$1:$AN$20000,0,$A$2),IF($B$2,""&amp;$A5,$A5)))</f>
        <v>0</v>
      </c>
      <c r="AD5" s="15" t="n">
        <f aca="false">IF(OR(AD$2=0,$A$2=0),0,SUMIFS(INDEX(输入海典!$A$1:$AN$20000,0,AD$2),INDEX(输入海典!$A$1:$AN$20000,0,$A$2),IF($B$2,""&amp;$A5,$A5)))</f>
        <v>0</v>
      </c>
      <c r="AE5" s="15" t="n">
        <f aca="false">IF(OR(AE$2=0,$A$2=0),0,SUMIFS(INDEX(输入海典!$A$1:$AN$20000,0,AE$2),INDEX(输入海典!$A$1:$AN$20000,0,$A$2),IF($B$2,""&amp;$A5,$A5)))</f>
        <v>128377.96</v>
      </c>
    </row>
    <row r="6" customFormat="false" ht="14.9" hidden="false" customHeight="false" outlineLevel="0" collapsed="false">
      <c r="A6" s="25" t="n">
        <f aca="false">IF(门店对照!$D5=1,门店对照!$A5,"#未启用#")</f>
        <v>2004</v>
      </c>
      <c r="B6" s="26" t="str">
        <f aca="false">IF(门店对照!$B5="","",门店对照!$B5)</f>
        <v>东关分店（4分店）</v>
      </c>
      <c r="C6" s="15" t="n">
        <f aca="false">IF(OR(C$2=0,$A$2=0),0,SUMIFS(INDEX(输入海典!$A$1:$AN$20000,0,C$2),INDEX(输入海典!$A$1:$AN$20000,0,$A$2),IF($B$2,""&amp;$A6,$A6)))</f>
        <v>13679.31</v>
      </c>
      <c r="D6" s="15" t="n">
        <f aca="false">IF(OR(D$2=0,$A$2=0),0,SUMIFS(INDEX(输入海典!$A$1:$AN$20000,0,D$2),INDEX(输入海典!$A$1:$AN$20000,0,$A$2),IF($B$2,""&amp;$A6,$A6)))</f>
        <v>53492.2</v>
      </c>
      <c r="E6" s="15" t="n">
        <f aca="false">IF(OR(E$2=0,$A$2=0),0,SUMIFS(INDEX(输入海典!$A$1:$AN$20000,0,E$2),INDEX(输入海典!$A$1:$AN$20000,0,$A$2),IF($B$2,""&amp;$A6,$A6)))</f>
        <v>5004.6</v>
      </c>
      <c r="F6" s="15" t="n">
        <f aca="false">IF(OR(F$2=0,$A$2=0),0,SUMIFS(INDEX(输入海典!$A$1:$AN$20000,0,F$2),INDEX(输入海典!$A$1:$AN$20000,0,$A$2),IF($B$2,""&amp;$A6,$A6)))</f>
        <v>21335.84</v>
      </c>
      <c r="G6" s="15" t="n">
        <f aca="false">IF(OR(G$2=0,$A$2=0),0,SUMIFS(INDEX(输入海典!$A$1:$AN$20000,0,G$2),INDEX(输入海典!$A$1:$AN$20000,0,$A$2),IF($B$2,""&amp;$A6,$A6)))</f>
        <v>0</v>
      </c>
      <c r="H6" s="15" t="n">
        <f aca="false">IF(OR(H$2=0,$A$2=0),0,SUMIFS(INDEX(输入海典!$A$1:$AN$20000,0,H$2),INDEX(输入海典!$A$1:$AN$20000,0,$A$2),IF($B$2,""&amp;$A6,$A6)))</f>
        <v>4415.97</v>
      </c>
      <c r="I6" s="15" t="n">
        <f aca="false">IF(OR(I$2=0,$A$2=0),0,SUMIFS(INDEX(输入海典!$A$1:$AN$20000,0,I$2),INDEX(输入海典!$A$1:$AN$20000,0,$A$2),IF($B$2,""&amp;$A6,$A6)))</f>
        <v>0</v>
      </c>
      <c r="J6" s="15" t="n">
        <f aca="false">IF(OR(J$2=0,$A$2=0),0,SUMIFS(INDEX(输入海典!$A$1:$AN$20000,0,J$2),INDEX(输入海典!$A$1:$AN$20000,0,$A$2),IF($B$2,""&amp;$A6,$A6)))</f>
        <v>0</v>
      </c>
      <c r="K6" s="15" t="n">
        <f aca="false">IF(OR(K$2=0,$A$2=0),0,SUMIFS(INDEX(输入海典!$A$1:$AN$20000,0,K$2),INDEX(输入海典!$A$1:$AN$20000,0,$A$2),IF($B$2,""&amp;$A6,$A6)))</f>
        <v>0</v>
      </c>
      <c r="L6" s="15" t="n">
        <f aca="false">IF(OR(L$2=0,$A$2=0),0,SUMIFS(INDEX(输入海典!$A$1:$AN$20000,0,L$2),INDEX(输入海典!$A$1:$AN$20000,0,$A$2),IF($B$2,""&amp;$A6,$A6)))</f>
        <v>0</v>
      </c>
      <c r="M6" s="15" t="n">
        <f aca="false">IF(OR(M$2=0,$A$2=0),0,SUMIFS(INDEX(输入海典!$A$1:$AN$20000,0,M$2),INDEX(输入海典!$A$1:$AN$20000,0,$A$2),IF($B$2,""&amp;$A6,$A6)))</f>
        <v>716</v>
      </c>
      <c r="N6" s="15" t="n">
        <f aca="false">IF(OR(N$2=0,$A$2=0),0,SUMIFS(INDEX(输入海典!$A$1:$AN$20000,0,N$2),INDEX(输入海典!$A$1:$AN$20000,0,$A$2),IF($B$2,""&amp;$A6,$A6)))</f>
        <v>34.7</v>
      </c>
      <c r="O6" s="15" t="n">
        <f aca="false">IF(OR(O$2=0,$A$2=0),0,SUMIFS(INDEX(输入海典!$A$1:$AN$20000,0,O$2),INDEX(输入海典!$A$1:$AN$20000,0,$A$2),IF($B$2,""&amp;$A6,$A6)))</f>
        <v>0</v>
      </c>
      <c r="P6" s="15" t="n">
        <f aca="false">IF(OR(P$2=0,$A$2=0),0,SUMIFS(INDEX(输入海典!$A$1:$AN$20000,0,P$2),INDEX(输入海典!$A$1:$AN$20000,0,$A$2),IF($B$2,""&amp;$A6,$A6)))</f>
        <v>0</v>
      </c>
      <c r="Q6" s="15" t="n">
        <f aca="false">IF(OR(Q$2=0,$A$2=0),0,SUMIFS(INDEX(输入海典!$A$1:$AN$20000,0,Q$2),INDEX(输入海典!$A$1:$AN$20000,0,$A$2),IF($B$2,""&amp;$A6,$A6)))</f>
        <v>8394.24</v>
      </c>
      <c r="R6" s="15" t="n">
        <f aca="false">IF(OR(R$2=0,$A$2=0),0,SUMIFS(INDEX(输入海典!$A$1:$AN$20000,0,R$2),INDEX(输入海典!$A$1:$AN$20000,0,$A$2),IF($B$2,""&amp;$A6,$A6)))</f>
        <v>0</v>
      </c>
      <c r="S6" s="15" t="n">
        <f aca="false">IF(OR(S$2=0,$A$2=0),0,SUMIFS(INDEX(输入海典!$A$1:$AN$20000,0,S$2),INDEX(输入海典!$A$1:$AN$20000,0,$A$2),IF($B$2,""&amp;$A6,$A6)))</f>
        <v>0</v>
      </c>
      <c r="T6" s="15" t="n">
        <f aca="false">IF(OR(T$2=0,$A$2=0),0,SUMIFS(INDEX(输入海典!$A$1:$AN$20000,0,T$2),INDEX(输入海典!$A$1:$AN$20000,0,$A$2),IF($B$2,""&amp;$A6,$A6)))</f>
        <v>69.18</v>
      </c>
      <c r="U6" s="15" t="n">
        <f aca="false">IF(OR(U$2=0,$A$2=0),0,SUMIFS(INDEX(输入海典!$A$1:$AN$20000,0,U$2),INDEX(输入海典!$A$1:$AN$20000,0,$A$2),IF($B$2,""&amp;$A6,$A6)))</f>
        <v>899</v>
      </c>
      <c r="V6" s="15" t="n">
        <f aca="false">IF(OR(V$2=0,$A$2=0),0,SUMIFS(INDEX(输入海典!$A$1:$AN$20000,0,V$2),INDEX(输入海典!$A$1:$AN$20000,0,$A$2),IF($B$2,""&amp;$A6,$A6)))</f>
        <v>0</v>
      </c>
      <c r="W6" s="15" t="n">
        <f aca="false">IF(OR(W$2=0,$A$2=0),0,SUMIFS(INDEX(输入海典!$A$1:$AN$20000,0,W$2),INDEX(输入海典!$A$1:$AN$20000,0,$A$2),IF($B$2,""&amp;$A6,$A6)))</f>
        <v>0</v>
      </c>
      <c r="X6" s="15" t="n">
        <f aca="false">IF(OR(X$2=0,$A$2=0),0,SUMIFS(INDEX(输入海典!$A$1:$AN$20000,0,X$2),INDEX(输入海典!$A$1:$AN$20000,0,$A$2),IF($B$2,""&amp;$A6,$A6)))</f>
        <v>0</v>
      </c>
      <c r="Y6" s="15" t="n">
        <f aca="false">IF(OR(Y$2=0,$A$2=0),0,SUMIFS(INDEX(输入海典!$A$1:$AN$20000,0,Y$2),INDEX(输入海典!$A$1:$AN$20000,0,$A$2),IF($B$2,""&amp;$A6,$A6)))</f>
        <v>0</v>
      </c>
      <c r="Z6" s="15" t="n">
        <f aca="false">IF(OR(Z$2=0,$A$2=0),0,SUMIFS(INDEX(输入海典!$A$1:$AN$20000,0,Z$2),INDEX(输入海典!$A$1:$AN$20000,0,$A$2),IF($B$2,""&amp;$A6,$A6)))</f>
        <v>0</v>
      </c>
      <c r="AA6" s="15" t="n">
        <f aca="false">IF(OR(AA$2=0,$A$2=0),0,SUMIFS(INDEX(输入海典!$A$1:$AN$20000,0,AA$2),INDEX(输入海典!$A$1:$AN$20000,0,$A$2),IF($B$2,""&amp;$A6,$A6)))</f>
        <v>0</v>
      </c>
      <c r="AB6" s="15" t="n">
        <f aca="false">IF(OR(AB$2=0,$A$2=0),0,SUMIFS(INDEX(输入海典!$A$1:$AN$20000,0,AB$2),INDEX(输入海典!$A$1:$AN$20000,0,$A$2),IF($B$2,""&amp;$A6,$A6)))</f>
        <v>0</v>
      </c>
      <c r="AC6" s="15" t="n">
        <f aca="false">IF(OR(AC$2=0,$A$2=0),0,SUMIFS(INDEX(输入海典!$A$1:$AN$20000,0,AC$2),INDEX(输入海典!$A$1:$AN$20000,0,$A$2),IF($B$2,""&amp;$A6,$A6)))</f>
        <v>0</v>
      </c>
      <c r="AD6" s="15" t="n">
        <f aca="false">IF(OR(AD$2=0,$A$2=0),0,SUMIFS(INDEX(输入海典!$A$1:$AN$20000,0,AD$2),INDEX(输入海典!$A$1:$AN$20000,0,$A$2),IF($B$2,""&amp;$A6,$A6)))</f>
        <v>0</v>
      </c>
      <c r="AE6" s="15" t="n">
        <f aca="false">IF(OR(AE$2=0,$A$2=0),0,SUMIFS(INDEX(输入海典!$A$1:$AN$20000,0,AE$2),INDEX(输入海典!$A$1:$AN$20000,0,$A$2),IF($B$2,""&amp;$A6,$A6)))</f>
        <v>108041.04</v>
      </c>
    </row>
    <row r="7" customFormat="false" ht="14.9" hidden="false" customHeight="false" outlineLevel="0" collapsed="false">
      <c r="A7" s="25" t="n">
        <f aca="false">IF(门店对照!$D6=1,门店对照!$A6,"#未启用#")</f>
        <v>2005</v>
      </c>
      <c r="B7" s="26" t="str">
        <f aca="false">IF(门店对照!$B6="","",门店对照!$B6)</f>
        <v>象城街分店（5店）</v>
      </c>
      <c r="C7" s="15" t="n">
        <f aca="false">IF(OR(C$2=0,$A$2=0),0,SUMIFS(INDEX(输入海典!$A$1:$AN$20000,0,C$2),INDEX(输入海典!$A$1:$AN$20000,0,$A$2),IF($B$2,""&amp;$A7,$A7)))</f>
        <v>12662.26</v>
      </c>
      <c r="D7" s="15" t="n">
        <f aca="false">IF(OR(D$2=0,$A$2=0),0,SUMIFS(INDEX(输入海典!$A$1:$AN$20000,0,D$2),INDEX(输入海典!$A$1:$AN$20000,0,$A$2),IF($B$2,""&amp;$A7,$A7)))</f>
        <v>50395.95</v>
      </c>
      <c r="E7" s="15" t="n">
        <f aca="false">IF(OR(E$2=0,$A$2=0),0,SUMIFS(INDEX(输入海典!$A$1:$AN$20000,0,E$2),INDEX(输入海典!$A$1:$AN$20000,0,$A$2),IF($B$2,""&amp;$A7,$A7)))</f>
        <v>18036.9</v>
      </c>
      <c r="F7" s="15" t="n">
        <f aca="false">IF(OR(F$2=0,$A$2=0),0,SUMIFS(INDEX(输入海典!$A$1:$AN$20000,0,F$2),INDEX(输入海典!$A$1:$AN$20000,0,$A$2),IF($B$2,""&amp;$A7,$A7)))</f>
        <v>28845.65</v>
      </c>
      <c r="G7" s="15" t="n">
        <f aca="false">IF(OR(G$2=0,$A$2=0),0,SUMIFS(INDEX(输入海典!$A$1:$AN$20000,0,G$2),INDEX(输入海典!$A$1:$AN$20000,0,$A$2),IF($B$2,""&amp;$A7,$A7)))</f>
        <v>0</v>
      </c>
      <c r="H7" s="15" t="n">
        <f aca="false">IF(OR(H$2=0,$A$2=0),0,SUMIFS(INDEX(输入海典!$A$1:$AN$20000,0,H$2),INDEX(输入海典!$A$1:$AN$20000,0,$A$2),IF($B$2,""&amp;$A7,$A7)))</f>
        <v>0</v>
      </c>
      <c r="I7" s="15" t="n">
        <f aca="false">IF(OR(I$2=0,$A$2=0),0,SUMIFS(INDEX(输入海典!$A$1:$AN$20000,0,I$2),INDEX(输入海典!$A$1:$AN$20000,0,$A$2),IF($B$2,""&amp;$A7,$A7)))</f>
        <v>2583.12</v>
      </c>
      <c r="J7" s="15" t="n">
        <f aca="false">IF(OR(J$2=0,$A$2=0),0,SUMIFS(INDEX(输入海典!$A$1:$AN$20000,0,J$2),INDEX(输入海典!$A$1:$AN$20000,0,$A$2),IF($B$2,""&amp;$A7,$A7)))</f>
        <v>0</v>
      </c>
      <c r="K7" s="15" t="n">
        <f aca="false">IF(OR(K$2=0,$A$2=0),0,SUMIFS(INDEX(输入海典!$A$1:$AN$20000,0,K$2),INDEX(输入海典!$A$1:$AN$20000,0,$A$2),IF($B$2,""&amp;$A7,$A7)))</f>
        <v>0</v>
      </c>
      <c r="L7" s="15" t="n">
        <f aca="false">IF(OR(L$2=0,$A$2=0),0,SUMIFS(INDEX(输入海典!$A$1:$AN$20000,0,L$2),INDEX(输入海典!$A$1:$AN$20000,0,$A$2),IF($B$2,""&amp;$A7,$A7)))</f>
        <v>0</v>
      </c>
      <c r="M7" s="15" t="n">
        <f aca="false">IF(OR(M$2=0,$A$2=0),0,SUMIFS(INDEX(输入海典!$A$1:$AN$20000,0,M$2),INDEX(输入海典!$A$1:$AN$20000,0,$A$2),IF($B$2,""&amp;$A7,$A7)))</f>
        <v>192.6</v>
      </c>
      <c r="N7" s="15" t="n">
        <f aca="false">IF(OR(N$2=0,$A$2=0),0,SUMIFS(INDEX(输入海典!$A$1:$AN$20000,0,N$2),INDEX(输入海典!$A$1:$AN$20000,0,$A$2),IF($B$2,""&amp;$A7,$A7)))</f>
        <v>0</v>
      </c>
      <c r="O7" s="15" t="n">
        <f aca="false">IF(OR(O$2=0,$A$2=0),0,SUMIFS(INDEX(输入海典!$A$1:$AN$20000,0,O$2),INDEX(输入海典!$A$1:$AN$20000,0,$A$2),IF($B$2,""&amp;$A7,$A7)))</f>
        <v>0</v>
      </c>
      <c r="P7" s="15" t="n">
        <f aca="false">IF(OR(P$2=0,$A$2=0),0,SUMIFS(INDEX(输入海典!$A$1:$AN$20000,0,P$2),INDEX(输入海典!$A$1:$AN$20000,0,$A$2),IF($B$2,""&amp;$A7,$A7)))</f>
        <v>0</v>
      </c>
      <c r="Q7" s="15" t="n">
        <f aca="false">IF(OR(Q$2=0,$A$2=0),0,SUMIFS(INDEX(输入海典!$A$1:$AN$20000,0,Q$2),INDEX(输入海典!$A$1:$AN$20000,0,$A$2),IF($B$2,""&amp;$A7,$A7)))</f>
        <v>626.84</v>
      </c>
      <c r="R7" s="15" t="n">
        <f aca="false">IF(OR(R$2=0,$A$2=0),0,SUMIFS(INDEX(输入海典!$A$1:$AN$20000,0,R$2),INDEX(输入海典!$A$1:$AN$20000,0,$A$2),IF($B$2,""&amp;$A7,$A7)))</f>
        <v>0</v>
      </c>
      <c r="S7" s="15" t="n">
        <f aca="false">IF(OR(S$2=0,$A$2=0),0,SUMIFS(INDEX(输入海典!$A$1:$AN$20000,0,S$2),INDEX(输入海典!$A$1:$AN$20000,0,$A$2),IF($B$2,""&amp;$A7,$A7)))</f>
        <v>0</v>
      </c>
      <c r="T7" s="15" t="n">
        <f aca="false">IF(OR(T$2=0,$A$2=0),0,SUMIFS(INDEX(输入海典!$A$1:$AN$20000,0,T$2),INDEX(输入海典!$A$1:$AN$20000,0,$A$2),IF($B$2,""&amp;$A7,$A7)))</f>
        <v>43.28</v>
      </c>
      <c r="U7" s="15" t="n">
        <f aca="false">IF(OR(U$2=0,$A$2=0),0,SUMIFS(INDEX(输入海典!$A$1:$AN$20000,0,U$2),INDEX(输入海典!$A$1:$AN$20000,0,$A$2),IF($B$2,""&amp;$A7,$A7)))</f>
        <v>3271.3</v>
      </c>
      <c r="V7" s="15" t="n">
        <f aca="false">IF(OR(V$2=0,$A$2=0),0,SUMIFS(INDEX(输入海典!$A$1:$AN$20000,0,V$2),INDEX(输入海典!$A$1:$AN$20000,0,$A$2),IF($B$2,""&amp;$A7,$A7)))</f>
        <v>0</v>
      </c>
      <c r="W7" s="15" t="n">
        <f aca="false">IF(OR(W$2=0,$A$2=0),0,SUMIFS(INDEX(输入海典!$A$1:$AN$20000,0,W$2),INDEX(输入海典!$A$1:$AN$20000,0,$A$2),IF($B$2,""&amp;$A7,$A7)))</f>
        <v>0</v>
      </c>
      <c r="X7" s="15" t="n">
        <f aca="false">IF(OR(X$2=0,$A$2=0),0,SUMIFS(INDEX(输入海典!$A$1:$AN$20000,0,X$2),INDEX(输入海典!$A$1:$AN$20000,0,$A$2),IF($B$2,""&amp;$A7,$A7)))</f>
        <v>0</v>
      </c>
      <c r="Y7" s="15" t="n">
        <f aca="false">IF(OR(Y$2=0,$A$2=0),0,SUMIFS(INDEX(输入海典!$A$1:$AN$20000,0,Y$2),INDEX(输入海典!$A$1:$AN$20000,0,$A$2),IF($B$2,""&amp;$A7,$A7)))</f>
        <v>0</v>
      </c>
      <c r="Z7" s="15" t="n">
        <f aca="false">IF(OR(Z$2=0,$A$2=0),0,SUMIFS(INDEX(输入海典!$A$1:$AN$20000,0,Z$2),INDEX(输入海典!$A$1:$AN$20000,0,$A$2),IF($B$2,""&amp;$A7,$A7)))</f>
        <v>0</v>
      </c>
      <c r="AA7" s="15" t="n">
        <f aca="false">IF(OR(AA$2=0,$A$2=0),0,SUMIFS(INDEX(输入海典!$A$1:$AN$20000,0,AA$2),INDEX(输入海典!$A$1:$AN$20000,0,$A$2),IF($B$2,""&amp;$A7,$A7)))</f>
        <v>0</v>
      </c>
      <c r="AB7" s="15" t="n">
        <f aca="false">IF(OR(AB$2=0,$A$2=0),0,SUMIFS(INDEX(输入海典!$A$1:$AN$20000,0,AB$2),INDEX(输入海典!$A$1:$AN$20000,0,$A$2),IF($B$2,""&amp;$A7,$A7)))</f>
        <v>0</v>
      </c>
      <c r="AC7" s="15" t="n">
        <f aca="false">IF(OR(AC$2=0,$A$2=0),0,SUMIFS(INDEX(输入海典!$A$1:$AN$20000,0,AC$2),INDEX(输入海典!$A$1:$AN$20000,0,$A$2),IF($B$2,""&amp;$A7,$A7)))</f>
        <v>0</v>
      </c>
      <c r="AD7" s="15" t="n">
        <f aca="false">IF(OR(AD$2=0,$A$2=0),0,SUMIFS(INDEX(输入海典!$A$1:$AN$20000,0,AD$2),INDEX(输入海典!$A$1:$AN$20000,0,$A$2),IF($B$2,""&amp;$A7,$A7)))</f>
        <v>0</v>
      </c>
      <c r="AE7" s="15" t="n">
        <f aca="false">IF(OR(AE$2=0,$A$2=0),0,SUMIFS(INDEX(输入海典!$A$1:$AN$20000,0,AE$2),INDEX(输入海典!$A$1:$AN$20000,0,$A$2),IF($B$2,""&amp;$A7,$A7)))</f>
        <v>116657.9</v>
      </c>
    </row>
    <row r="8" customFormat="false" ht="14.9" hidden="false" customHeight="false" outlineLevel="0" collapsed="false">
      <c r="A8" s="25" t="n">
        <f aca="false">IF(门店对照!$D7=1,门店对照!$A7,"#未启用#")</f>
        <v>2006</v>
      </c>
      <c r="B8" s="26" t="str">
        <f aca="false">IF(门店对照!$B7="","",门店对照!$B7)</f>
        <v>博荣分店（6分店）</v>
      </c>
      <c r="C8" s="15" t="n">
        <f aca="false">IF(OR(C$2=0,$A$2=0),0,SUMIFS(INDEX(输入海典!$A$1:$AN$20000,0,C$2),INDEX(输入海典!$A$1:$AN$20000,0,$A$2),IF($B$2,""&amp;$A8,$A8)))</f>
        <v>4575.05</v>
      </c>
      <c r="D8" s="15" t="n">
        <f aca="false">IF(OR(D$2=0,$A$2=0),0,SUMIFS(INDEX(输入海典!$A$1:$AN$20000,0,D$2),INDEX(输入海典!$A$1:$AN$20000,0,$A$2),IF($B$2,""&amp;$A8,$A8)))</f>
        <v>0</v>
      </c>
      <c r="E8" s="15" t="n">
        <f aca="false">IF(OR(E$2=0,$A$2=0),0,SUMIFS(INDEX(输入海典!$A$1:$AN$20000,0,E$2),INDEX(输入海典!$A$1:$AN$20000,0,$A$2),IF($B$2,""&amp;$A8,$A8)))</f>
        <v>33428.3</v>
      </c>
      <c r="F8" s="15" t="n">
        <f aca="false">IF(OR(F$2=0,$A$2=0),0,SUMIFS(INDEX(输入海典!$A$1:$AN$20000,0,F$2),INDEX(输入海典!$A$1:$AN$20000,0,$A$2),IF($B$2,""&amp;$A8,$A8)))</f>
        <v>21770.57</v>
      </c>
      <c r="G8" s="15" t="n">
        <f aca="false">IF(OR(G$2=0,$A$2=0),0,SUMIFS(INDEX(输入海典!$A$1:$AN$20000,0,G$2),INDEX(输入海典!$A$1:$AN$20000,0,$A$2),IF($B$2,""&amp;$A8,$A8)))</f>
        <v>291.52</v>
      </c>
      <c r="H8" s="15" t="n">
        <f aca="false">IF(OR(H$2=0,$A$2=0),0,SUMIFS(INDEX(输入海典!$A$1:$AN$20000,0,H$2),INDEX(输入海典!$A$1:$AN$20000,0,$A$2),IF($B$2,""&amp;$A8,$A8)))</f>
        <v>3402.37</v>
      </c>
      <c r="I8" s="15" t="n">
        <f aca="false">IF(OR(I$2=0,$A$2=0),0,SUMIFS(INDEX(输入海典!$A$1:$AN$20000,0,I$2),INDEX(输入海典!$A$1:$AN$20000,0,$A$2),IF($B$2,""&amp;$A8,$A8)))</f>
        <v>0</v>
      </c>
      <c r="J8" s="15" t="n">
        <f aca="false">IF(OR(J$2=0,$A$2=0),0,SUMIFS(INDEX(输入海典!$A$1:$AN$20000,0,J$2),INDEX(输入海典!$A$1:$AN$20000,0,$A$2),IF($B$2,""&amp;$A8,$A8)))</f>
        <v>0</v>
      </c>
      <c r="K8" s="15" t="n">
        <f aca="false">IF(OR(K$2=0,$A$2=0),0,SUMIFS(INDEX(输入海典!$A$1:$AN$20000,0,K$2),INDEX(输入海典!$A$1:$AN$20000,0,$A$2),IF($B$2,""&amp;$A8,$A8)))</f>
        <v>0</v>
      </c>
      <c r="L8" s="15" t="n">
        <f aca="false">IF(OR(L$2=0,$A$2=0),0,SUMIFS(INDEX(输入海典!$A$1:$AN$20000,0,L$2),INDEX(输入海典!$A$1:$AN$20000,0,$A$2),IF($B$2,""&amp;$A8,$A8)))</f>
        <v>0</v>
      </c>
      <c r="M8" s="15" t="n">
        <f aca="false">IF(OR(M$2=0,$A$2=0),0,SUMIFS(INDEX(输入海典!$A$1:$AN$20000,0,M$2),INDEX(输入海典!$A$1:$AN$20000,0,$A$2),IF($B$2,""&amp;$A8,$A8)))</f>
        <v>209.2</v>
      </c>
      <c r="N8" s="15" t="n">
        <f aca="false">IF(OR(N$2=0,$A$2=0),0,SUMIFS(INDEX(输入海典!$A$1:$AN$20000,0,N$2),INDEX(输入海典!$A$1:$AN$20000,0,$A$2),IF($B$2,""&amp;$A8,$A8)))</f>
        <v>0</v>
      </c>
      <c r="O8" s="15" t="n">
        <f aca="false">IF(OR(O$2=0,$A$2=0),0,SUMIFS(INDEX(输入海典!$A$1:$AN$20000,0,O$2),INDEX(输入海典!$A$1:$AN$20000,0,$A$2),IF($B$2,""&amp;$A8,$A8)))</f>
        <v>0</v>
      </c>
      <c r="P8" s="15" t="n">
        <f aca="false">IF(OR(P$2=0,$A$2=0),0,SUMIFS(INDEX(输入海典!$A$1:$AN$20000,0,P$2),INDEX(输入海典!$A$1:$AN$20000,0,$A$2),IF($B$2,""&amp;$A8,$A8)))</f>
        <v>0</v>
      </c>
      <c r="Q8" s="15" t="n">
        <f aca="false">IF(OR(Q$2=0,$A$2=0),0,SUMIFS(INDEX(输入海典!$A$1:$AN$20000,0,Q$2),INDEX(输入海典!$A$1:$AN$20000,0,$A$2),IF($B$2,""&amp;$A8,$A8)))</f>
        <v>534.7</v>
      </c>
      <c r="R8" s="15" t="n">
        <f aca="false">IF(OR(R$2=0,$A$2=0),0,SUMIFS(INDEX(输入海典!$A$1:$AN$20000,0,R$2),INDEX(输入海典!$A$1:$AN$20000,0,$A$2),IF($B$2,""&amp;$A8,$A8)))</f>
        <v>0</v>
      </c>
      <c r="S8" s="15" t="n">
        <f aca="false">IF(OR(S$2=0,$A$2=0),0,SUMIFS(INDEX(输入海典!$A$1:$AN$20000,0,S$2),INDEX(输入海典!$A$1:$AN$20000,0,$A$2),IF($B$2,""&amp;$A8,$A8)))</f>
        <v>0</v>
      </c>
      <c r="T8" s="15" t="n">
        <f aca="false">IF(OR(T$2=0,$A$2=0),0,SUMIFS(INDEX(输入海典!$A$1:$AN$20000,0,T$2),INDEX(输入海典!$A$1:$AN$20000,0,$A$2),IF($B$2,""&amp;$A8,$A8)))</f>
        <v>38.71</v>
      </c>
      <c r="U8" s="15" t="n">
        <f aca="false">IF(OR(U$2=0,$A$2=0),0,SUMIFS(INDEX(输入海典!$A$1:$AN$20000,0,U$2),INDEX(输入海典!$A$1:$AN$20000,0,$A$2),IF($B$2,""&amp;$A8,$A8)))</f>
        <v>1103.2</v>
      </c>
      <c r="V8" s="15" t="n">
        <f aca="false">IF(OR(V$2=0,$A$2=0),0,SUMIFS(INDEX(输入海典!$A$1:$AN$20000,0,V$2),INDEX(输入海典!$A$1:$AN$20000,0,$A$2),IF($B$2,""&amp;$A8,$A8)))</f>
        <v>0</v>
      </c>
      <c r="W8" s="15" t="n">
        <f aca="false">IF(OR(W$2=0,$A$2=0),0,SUMIFS(INDEX(输入海典!$A$1:$AN$20000,0,W$2),INDEX(输入海典!$A$1:$AN$20000,0,$A$2),IF($B$2,""&amp;$A8,$A8)))</f>
        <v>0</v>
      </c>
      <c r="X8" s="15" t="n">
        <f aca="false">IF(OR(X$2=0,$A$2=0),0,SUMIFS(INDEX(输入海典!$A$1:$AN$20000,0,X$2),INDEX(输入海典!$A$1:$AN$20000,0,$A$2),IF($B$2,""&amp;$A8,$A8)))</f>
        <v>0</v>
      </c>
      <c r="Y8" s="15" t="n">
        <f aca="false">IF(OR(Y$2=0,$A$2=0),0,SUMIFS(INDEX(输入海典!$A$1:$AN$20000,0,Y$2),INDEX(输入海典!$A$1:$AN$20000,0,$A$2),IF($B$2,""&amp;$A8,$A8)))</f>
        <v>0</v>
      </c>
      <c r="Z8" s="15" t="n">
        <f aca="false">IF(OR(Z$2=0,$A$2=0),0,SUMIFS(INDEX(输入海典!$A$1:$AN$20000,0,Z$2),INDEX(输入海典!$A$1:$AN$20000,0,$A$2),IF($B$2,""&amp;$A8,$A8)))</f>
        <v>0</v>
      </c>
      <c r="AA8" s="15" t="n">
        <f aca="false">IF(OR(AA$2=0,$A$2=0),0,SUMIFS(INDEX(输入海典!$A$1:$AN$20000,0,AA$2),INDEX(输入海典!$A$1:$AN$20000,0,$A$2),IF($B$2,""&amp;$A8,$A8)))</f>
        <v>0</v>
      </c>
      <c r="AB8" s="15" t="n">
        <f aca="false">IF(OR(AB$2=0,$A$2=0),0,SUMIFS(INDEX(输入海典!$A$1:$AN$20000,0,AB$2),INDEX(输入海典!$A$1:$AN$20000,0,$A$2),IF($B$2,""&amp;$A8,$A8)))</f>
        <v>0</v>
      </c>
      <c r="AC8" s="15" t="n">
        <f aca="false">IF(OR(AC$2=0,$A$2=0),0,SUMIFS(INDEX(输入海典!$A$1:$AN$20000,0,AC$2),INDEX(输入海典!$A$1:$AN$20000,0,$A$2),IF($B$2,""&amp;$A8,$A8)))</f>
        <v>0</v>
      </c>
      <c r="AD8" s="15" t="n">
        <f aca="false">IF(OR(AD$2=0,$A$2=0),0,SUMIFS(INDEX(输入海典!$A$1:$AN$20000,0,AD$2),INDEX(输入海典!$A$1:$AN$20000,0,$A$2),IF($B$2,""&amp;$A8,$A8)))</f>
        <v>0</v>
      </c>
      <c r="AE8" s="15" t="n">
        <f aca="false">IF(OR(AE$2=0,$A$2=0),0,SUMIFS(INDEX(输入海典!$A$1:$AN$20000,0,AE$2),INDEX(输入海典!$A$1:$AN$20000,0,$A$2),IF($B$2,""&amp;$A8,$A8)))</f>
        <v>65353.62</v>
      </c>
    </row>
    <row r="9" customFormat="false" ht="14.9" hidden="false" customHeight="false" outlineLevel="0" collapsed="false">
      <c r="A9" s="25" t="n">
        <f aca="false">IF(门店对照!$D8=1,门店对照!$A8,"#未启用#")</f>
        <v>2007</v>
      </c>
      <c r="B9" s="26" t="str">
        <f aca="false">IF(门店对照!$B8="","",门店对照!$B8)</f>
        <v>华鑫分店（7店）</v>
      </c>
      <c r="C9" s="15" t="n">
        <f aca="false">IF(OR(C$2=0,$A$2=0),0,SUMIFS(INDEX(输入海典!$A$1:$AN$20000,0,C$2),INDEX(输入海典!$A$1:$AN$20000,0,$A$2),IF($B$2,""&amp;$A9,$A9)))</f>
        <v>12722.01</v>
      </c>
      <c r="D9" s="15" t="n">
        <f aca="false">IF(OR(D$2=0,$A$2=0),0,SUMIFS(INDEX(输入海典!$A$1:$AN$20000,0,D$2),INDEX(输入海典!$A$1:$AN$20000,0,$A$2),IF($B$2,""&amp;$A9,$A9)))</f>
        <v>0</v>
      </c>
      <c r="E9" s="15" t="n">
        <f aca="false">IF(OR(E$2=0,$A$2=0),0,SUMIFS(INDEX(输入海典!$A$1:$AN$20000,0,E$2),INDEX(输入海典!$A$1:$AN$20000,0,$A$2),IF($B$2,""&amp;$A9,$A9)))</f>
        <v>33811.43</v>
      </c>
      <c r="F9" s="15" t="n">
        <f aca="false">IF(OR(F$2=0,$A$2=0),0,SUMIFS(INDEX(输入海典!$A$1:$AN$20000,0,F$2),INDEX(输入海典!$A$1:$AN$20000,0,$A$2),IF($B$2,""&amp;$A9,$A9)))</f>
        <v>11838.8</v>
      </c>
      <c r="G9" s="15" t="n">
        <f aca="false">IF(OR(G$2=0,$A$2=0),0,SUMIFS(INDEX(输入海典!$A$1:$AN$20000,0,G$2),INDEX(输入海典!$A$1:$AN$20000,0,$A$2),IF($B$2,""&amp;$A9,$A9)))</f>
        <v>0</v>
      </c>
      <c r="H9" s="15" t="n">
        <f aca="false">IF(OR(H$2=0,$A$2=0),0,SUMIFS(INDEX(输入海典!$A$1:$AN$20000,0,H$2),INDEX(输入海典!$A$1:$AN$20000,0,$A$2),IF($B$2,""&amp;$A9,$A9)))</f>
        <v>0</v>
      </c>
      <c r="I9" s="15" t="n">
        <f aca="false">IF(OR(I$2=0,$A$2=0),0,SUMIFS(INDEX(输入海典!$A$1:$AN$20000,0,I$2),INDEX(输入海典!$A$1:$AN$20000,0,$A$2),IF($B$2,""&amp;$A9,$A9)))</f>
        <v>0</v>
      </c>
      <c r="J9" s="15" t="n">
        <f aca="false">IF(OR(J$2=0,$A$2=0),0,SUMIFS(INDEX(输入海典!$A$1:$AN$20000,0,J$2),INDEX(输入海典!$A$1:$AN$20000,0,$A$2),IF($B$2,""&amp;$A9,$A9)))</f>
        <v>2189.3</v>
      </c>
      <c r="K9" s="15" t="n">
        <f aca="false">IF(OR(K$2=0,$A$2=0),0,SUMIFS(INDEX(输入海典!$A$1:$AN$20000,0,K$2),INDEX(输入海典!$A$1:$AN$20000,0,$A$2),IF($B$2,""&amp;$A9,$A9)))</f>
        <v>0</v>
      </c>
      <c r="L9" s="15" t="n">
        <f aca="false">IF(OR(L$2=0,$A$2=0),0,SUMIFS(INDEX(输入海典!$A$1:$AN$20000,0,L$2),INDEX(输入海典!$A$1:$AN$20000,0,$A$2),IF($B$2,""&amp;$A9,$A9)))</f>
        <v>0</v>
      </c>
      <c r="M9" s="15" t="n">
        <f aca="false">IF(OR(M$2=0,$A$2=0),0,SUMIFS(INDEX(输入海典!$A$1:$AN$20000,0,M$2),INDEX(输入海典!$A$1:$AN$20000,0,$A$2),IF($B$2,""&amp;$A9,$A9)))</f>
        <v>213.9</v>
      </c>
      <c r="N9" s="15" t="n">
        <f aca="false">IF(OR(N$2=0,$A$2=0),0,SUMIFS(INDEX(输入海典!$A$1:$AN$20000,0,N$2),INDEX(输入海典!$A$1:$AN$20000,0,$A$2),IF($B$2,""&amp;$A9,$A9)))</f>
        <v>236.5</v>
      </c>
      <c r="O9" s="15" t="n">
        <f aca="false">IF(OR(O$2=0,$A$2=0),0,SUMIFS(INDEX(输入海典!$A$1:$AN$20000,0,O$2),INDEX(输入海典!$A$1:$AN$20000,0,$A$2),IF($B$2,""&amp;$A9,$A9)))</f>
        <v>0</v>
      </c>
      <c r="P9" s="15" t="n">
        <f aca="false">IF(OR(P$2=0,$A$2=0),0,SUMIFS(INDEX(输入海典!$A$1:$AN$20000,0,P$2),INDEX(输入海典!$A$1:$AN$20000,0,$A$2),IF($B$2,""&amp;$A9,$A9)))</f>
        <v>0</v>
      </c>
      <c r="Q9" s="15" t="n">
        <f aca="false">IF(OR(Q$2=0,$A$2=0),0,SUMIFS(INDEX(输入海典!$A$1:$AN$20000,0,Q$2),INDEX(输入海典!$A$1:$AN$20000,0,$A$2),IF($B$2,""&amp;$A9,$A9)))</f>
        <v>679.48</v>
      </c>
      <c r="R9" s="15" t="n">
        <f aca="false">IF(OR(R$2=0,$A$2=0),0,SUMIFS(INDEX(输入海典!$A$1:$AN$20000,0,R$2),INDEX(输入海典!$A$1:$AN$20000,0,$A$2),IF($B$2,""&amp;$A9,$A9)))</f>
        <v>0</v>
      </c>
      <c r="S9" s="15" t="n">
        <f aca="false">IF(OR(S$2=0,$A$2=0),0,SUMIFS(INDEX(输入海典!$A$1:$AN$20000,0,S$2),INDEX(输入海典!$A$1:$AN$20000,0,$A$2),IF($B$2,""&amp;$A9,$A9)))</f>
        <v>0</v>
      </c>
      <c r="T9" s="15" t="n">
        <f aca="false">IF(OR(T$2=0,$A$2=0),0,SUMIFS(INDEX(输入海典!$A$1:$AN$20000,0,T$2),INDEX(输入海典!$A$1:$AN$20000,0,$A$2),IF($B$2,""&amp;$A9,$A9)))</f>
        <v>94.8</v>
      </c>
      <c r="U9" s="15" t="n">
        <f aca="false">IF(OR(U$2=0,$A$2=0),0,SUMIFS(INDEX(输入海典!$A$1:$AN$20000,0,U$2),INDEX(输入海典!$A$1:$AN$20000,0,$A$2),IF($B$2,""&amp;$A9,$A9)))</f>
        <v>2556.8</v>
      </c>
      <c r="V9" s="15" t="n">
        <f aca="false">IF(OR(V$2=0,$A$2=0),0,SUMIFS(INDEX(输入海典!$A$1:$AN$20000,0,V$2),INDEX(输入海典!$A$1:$AN$20000,0,$A$2),IF($B$2,""&amp;$A9,$A9)))</f>
        <v>0</v>
      </c>
      <c r="W9" s="15" t="n">
        <f aca="false">IF(OR(W$2=0,$A$2=0),0,SUMIFS(INDEX(输入海典!$A$1:$AN$20000,0,W$2),INDEX(输入海典!$A$1:$AN$20000,0,$A$2),IF($B$2,""&amp;$A9,$A9)))</f>
        <v>0</v>
      </c>
      <c r="X9" s="15" t="n">
        <f aca="false">IF(OR(X$2=0,$A$2=0),0,SUMIFS(INDEX(输入海典!$A$1:$AN$20000,0,X$2),INDEX(输入海典!$A$1:$AN$20000,0,$A$2),IF($B$2,""&amp;$A9,$A9)))</f>
        <v>0</v>
      </c>
      <c r="Y9" s="15" t="n">
        <f aca="false">IF(OR(Y$2=0,$A$2=0),0,SUMIFS(INDEX(输入海典!$A$1:$AN$20000,0,Y$2),INDEX(输入海典!$A$1:$AN$20000,0,$A$2),IF($B$2,""&amp;$A9,$A9)))</f>
        <v>0</v>
      </c>
      <c r="Z9" s="15" t="n">
        <f aca="false">IF(OR(Z$2=0,$A$2=0),0,SUMIFS(INDEX(输入海典!$A$1:$AN$20000,0,Z$2),INDEX(输入海典!$A$1:$AN$20000,0,$A$2),IF($B$2,""&amp;$A9,$A9)))</f>
        <v>0</v>
      </c>
      <c r="AA9" s="15" t="n">
        <f aca="false">IF(OR(AA$2=0,$A$2=0),0,SUMIFS(INDEX(输入海典!$A$1:$AN$20000,0,AA$2),INDEX(输入海典!$A$1:$AN$20000,0,$A$2),IF($B$2,""&amp;$A9,$A9)))</f>
        <v>0</v>
      </c>
      <c r="AB9" s="15" t="n">
        <f aca="false">IF(OR(AB$2=0,$A$2=0),0,SUMIFS(INDEX(输入海典!$A$1:$AN$20000,0,AB$2),INDEX(输入海典!$A$1:$AN$20000,0,$A$2),IF($B$2,""&amp;$A9,$A9)))</f>
        <v>0</v>
      </c>
      <c r="AC9" s="15" t="n">
        <f aca="false">IF(OR(AC$2=0,$A$2=0),0,SUMIFS(INDEX(输入海典!$A$1:$AN$20000,0,AC$2),INDEX(输入海典!$A$1:$AN$20000,0,$A$2),IF($B$2,""&amp;$A9,$A9)))</f>
        <v>0</v>
      </c>
      <c r="AD9" s="15" t="n">
        <f aca="false">IF(OR(AD$2=0,$A$2=0),0,SUMIFS(INDEX(输入海典!$A$1:$AN$20000,0,AD$2),INDEX(输入海典!$A$1:$AN$20000,0,$A$2),IF($B$2,""&amp;$A9,$A9)))</f>
        <v>0</v>
      </c>
      <c r="AE9" s="15" t="n">
        <f aca="false">IF(OR(AE$2=0,$A$2=0),0,SUMIFS(INDEX(输入海典!$A$1:$AN$20000,0,AE$2),INDEX(输入海典!$A$1:$AN$20000,0,$A$2),IF($B$2,""&amp;$A9,$A9)))</f>
        <v>64343.02</v>
      </c>
    </row>
    <row r="10" customFormat="false" ht="14.9" hidden="false" customHeight="false" outlineLevel="0" collapsed="false">
      <c r="A10" s="25" t="n">
        <f aca="false">IF(门店对照!$D9=1,门店对照!$A9,"#未启用#")</f>
        <v>2008</v>
      </c>
      <c r="B10" s="26" t="str">
        <f aca="false">IF(门店对照!$B9="","",门店对照!$B9)</f>
        <v>博昭分店（8分店）</v>
      </c>
      <c r="C10" s="15" t="n">
        <f aca="false">IF(OR(C$2=0,$A$2=0),0,SUMIFS(INDEX(输入海典!$A$1:$AN$20000,0,C$2),INDEX(输入海典!$A$1:$AN$20000,0,$A$2),IF($B$2,""&amp;$A10,$A10)))</f>
        <v>8028.82</v>
      </c>
      <c r="D10" s="15" t="n">
        <f aca="false">IF(OR(D$2=0,$A$2=0),0,SUMIFS(INDEX(输入海典!$A$1:$AN$20000,0,D$2),INDEX(输入海典!$A$1:$AN$20000,0,$A$2),IF($B$2,""&amp;$A10,$A10)))</f>
        <v>0</v>
      </c>
      <c r="E10" s="15" t="n">
        <f aca="false">IF(OR(E$2=0,$A$2=0),0,SUMIFS(INDEX(输入海典!$A$1:$AN$20000,0,E$2),INDEX(输入海典!$A$1:$AN$20000,0,$A$2),IF($B$2,""&amp;$A10,$A10)))</f>
        <v>53118.64</v>
      </c>
      <c r="F10" s="15" t="n">
        <f aca="false">IF(OR(F$2=0,$A$2=0),0,SUMIFS(INDEX(输入海典!$A$1:$AN$20000,0,F$2),INDEX(输入海典!$A$1:$AN$20000,0,$A$2),IF($B$2,""&amp;$A10,$A10)))</f>
        <v>10758.32</v>
      </c>
      <c r="G10" s="15" t="n">
        <f aca="false">IF(OR(G$2=0,$A$2=0),0,SUMIFS(INDEX(输入海典!$A$1:$AN$20000,0,G$2),INDEX(输入海典!$A$1:$AN$20000,0,$A$2),IF($B$2,""&amp;$A10,$A10)))</f>
        <v>0</v>
      </c>
      <c r="H10" s="15" t="n">
        <f aca="false">IF(OR(H$2=0,$A$2=0),0,SUMIFS(INDEX(输入海典!$A$1:$AN$20000,0,H$2),INDEX(输入海典!$A$1:$AN$20000,0,$A$2),IF($B$2,""&amp;$A10,$A10)))</f>
        <v>0</v>
      </c>
      <c r="I10" s="15" t="n">
        <f aca="false">IF(OR(I$2=0,$A$2=0),0,SUMIFS(INDEX(输入海典!$A$1:$AN$20000,0,I$2),INDEX(输入海典!$A$1:$AN$20000,0,$A$2),IF($B$2,""&amp;$A10,$A10)))</f>
        <v>0</v>
      </c>
      <c r="J10" s="15" t="n">
        <f aca="false">IF(OR(J$2=0,$A$2=0),0,SUMIFS(INDEX(输入海典!$A$1:$AN$20000,0,J$2),INDEX(输入海典!$A$1:$AN$20000,0,$A$2),IF($B$2,""&amp;$A10,$A10)))</f>
        <v>0</v>
      </c>
      <c r="K10" s="15" t="n">
        <f aca="false">IF(OR(K$2=0,$A$2=0),0,SUMIFS(INDEX(输入海典!$A$1:$AN$20000,0,K$2),INDEX(输入海典!$A$1:$AN$20000,0,$A$2),IF($B$2,""&amp;$A10,$A10)))</f>
        <v>0</v>
      </c>
      <c r="L10" s="15" t="n">
        <f aca="false">IF(OR(L$2=0,$A$2=0),0,SUMIFS(INDEX(输入海典!$A$1:$AN$20000,0,L$2),INDEX(输入海典!$A$1:$AN$20000,0,$A$2),IF($B$2,""&amp;$A10,$A10)))</f>
        <v>0</v>
      </c>
      <c r="M10" s="15" t="n">
        <f aca="false">IF(OR(M$2=0,$A$2=0),0,SUMIFS(INDEX(输入海典!$A$1:$AN$20000,0,M$2),INDEX(输入海典!$A$1:$AN$20000,0,$A$2),IF($B$2,""&amp;$A10,$A10)))</f>
        <v>0</v>
      </c>
      <c r="N10" s="15" t="n">
        <f aca="false">IF(OR(N$2=0,$A$2=0),0,SUMIFS(INDEX(输入海典!$A$1:$AN$20000,0,N$2),INDEX(输入海典!$A$1:$AN$20000,0,$A$2),IF($B$2,""&amp;$A10,$A10)))</f>
        <v>0</v>
      </c>
      <c r="O10" s="15" t="n">
        <f aca="false">IF(OR(O$2=0,$A$2=0),0,SUMIFS(INDEX(输入海典!$A$1:$AN$20000,0,O$2),INDEX(输入海典!$A$1:$AN$20000,0,$A$2),IF($B$2,""&amp;$A10,$A10)))</f>
        <v>0</v>
      </c>
      <c r="P10" s="15" t="n">
        <f aca="false">IF(OR(P$2=0,$A$2=0),0,SUMIFS(INDEX(输入海典!$A$1:$AN$20000,0,P$2),INDEX(输入海典!$A$1:$AN$20000,0,$A$2),IF($B$2,""&amp;$A10,$A10)))</f>
        <v>0.3</v>
      </c>
      <c r="Q10" s="15" t="n">
        <f aca="false">IF(OR(Q$2=0,$A$2=0),0,SUMIFS(INDEX(输入海典!$A$1:$AN$20000,0,Q$2),INDEX(输入海典!$A$1:$AN$20000,0,$A$2),IF($B$2,""&amp;$A10,$A10)))</f>
        <v>203.15</v>
      </c>
      <c r="R10" s="15" t="n">
        <f aca="false">IF(OR(R$2=0,$A$2=0),0,SUMIFS(INDEX(输入海典!$A$1:$AN$20000,0,R$2),INDEX(输入海典!$A$1:$AN$20000,0,$A$2),IF($B$2,""&amp;$A10,$A10)))</f>
        <v>0</v>
      </c>
      <c r="S10" s="15" t="n">
        <f aca="false">IF(OR(S$2=0,$A$2=0),0,SUMIFS(INDEX(输入海典!$A$1:$AN$20000,0,S$2),INDEX(输入海典!$A$1:$AN$20000,0,$A$2),IF($B$2,""&amp;$A10,$A10)))</f>
        <v>35</v>
      </c>
      <c r="T10" s="15" t="n">
        <f aca="false">IF(OR(T$2=0,$A$2=0),0,SUMIFS(INDEX(输入海典!$A$1:$AN$20000,0,T$2),INDEX(输入海典!$A$1:$AN$20000,0,$A$2),IF($B$2,""&amp;$A10,$A10)))</f>
        <v>302.21</v>
      </c>
      <c r="U10" s="15" t="n">
        <f aca="false">IF(OR(U$2=0,$A$2=0),0,SUMIFS(INDEX(输入海典!$A$1:$AN$20000,0,U$2),INDEX(输入海典!$A$1:$AN$20000,0,$A$2),IF($B$2,""&amp;$A10,$A10)))</f>
        <v>3496.7</v>
      </c>
      <c r="V10" s="15" t="n">
        <f aca="false">IF(OR(V$2=0,$A$2=0),0,SUMIFS(INDEX(输入海典!$A$1:$AN$20000,0,V$2),INDEX(输入海典!$A$1:$AN$20000,0,$A$2),IF($B$2,""&amp;$A10,$A10)))</f>
        <v>0</v>
      </c>
      <c r="W10" s="15" t="n">
        <f aca="false">IF(OR(W$2=0,$A$2=0),0,SUMIFS(INDEX(输入海典!$A$1:$AN$20000,0,W$2),INDEX(输入海典!$A$1:$AN$20000,0,$A$2),IF($B$2,""&amp;$A10,$A10)))</f>
        <v>0</v>
      </c>
      <c r="X10" s="15" t="n">
        <f aca="false">IF(OR(X$2=0,$A$2=0),0,SUMIFS(INDEX(输入海典!$A$1:$AN$20000,0,X$2),INDEX(输入海典!$A$1:$AN$20000,0,$A$2),IF($B$2,""&amp;$A10,$A10)))</f>
        <v>0</v>
      </c>
      <c r="Y10" s="15" t="n">
        <f aca="false">IF(OR(Y$2=0,$A$2=0),0,SUMIFS(INDEX(输入海典!$A$1:$AN$20000,0,Y$2),INDEX(输入海典!$A$1:$AN$20000,0,$A$2),IF($B$2,""&amp;$A10,$A10)))</f>
        <v>0</v>
      </c>
      <c r="Z10" s="15" t="n">
        <f aca="false">IF(OR(Z$2=0,$A$2=0),0,SUMIFS(INDEX(输入海典!$A$1:$AN$20000,0,Z$2),INDEX(输入海典!$A$1:$AN$20000,0,$A$2),IF($B$2,""&amp;$A10,$A10)))</f>
        <v>0</v>
      </c>
      <c r="AA10" s="15" t="n">
        <f aca="false">IF(OR(AA$2=0,$A$2=0),0,SUMIFS(INDEX(输入海典!$A$1:$AN$20000,0,AA$2),INDEX(输入海典!$A$1:$AN$20000,0,$A$2),IF($B$2,""&amp;$A10,$A10)))</f>
        <v>0</v>
      </c>
      <c r="AB10" s="15" t="n">
        <f aca="false">IF(OR(AB$2=0,$A$2=0),0,SUMIFS(INDEX(输入海典!$A$1:$AN$20000,0,AB$2),INDEX(输入海典!$A$1:$AN$20000,0,$A$2),IF($B$2,""&amp;$A10,$A10)))</f>
        <v>0</v>
      </c>
      <c r="AC10" s="15" t="n">
        <f aca="false">IF(OR(AC$2=0,$A$2=0),0,SUMIFS(INDEX(输入海典!$A$1:$AN$20000,0,AC$2),INDEX(输入海典!$A$1:$AN$20000,0,$A$2),IF($B$2,""&amp;$A10,$A10)))</f>
        <v>0</v>
      </c>
      <c r="AD10" s="15" t="n">
        <f aca="false">IF(OR(AD$2=0,$A$2=0),0,SUMIFS(INDEX(输入海典!$A$1:$AN$20000,0,AD$2),INDEX(输入海典!$A$1:$AN$20000,0,$A$2),IF($B$2,""&amp;$A10,$A10)))</f>
        <v>0</v>
      </c>
      <c r="AE10" s="15" t="n">
        <f aca="false">IF(OR(AE$2=0,$A$2=0),0,SUMIFS(INDEX(输入海典!$A$1:$AN$20000,0,AE$2),INDEX(输入海典!$A$1:$AN$20000,0,$A$2),IF($B$2,""&amp;$A10,$A10)))</f>
        <v>75943.14</v>
      </c>
    </row>
    <row r="11" customFormat="false" ht="14.9" hidden="false" customHeight="false" outlineLevel="0" collapsed="false">
      <c r="A11" s="25" t="n">
        <f aca="false">IF(门店对照!$D10=1,门店对照!$A10,"#未启用#")</f>
        <v>2009</v>
      </c>
      <c r="B11" s="26" t="str">
        <f aca="false">IF(门店对照!$B10="","",门店对照!$B10)</f>
        <v>大霍分店（9分店）</v>
      </c>
      <c r="C11" s="15" t="n">
        <f aca="false">IF(OR(C$2=0,$A$2=0),0,SUMIFS(INDEX(输入海典!$A$1:$AN$20000,0,C$2),INDEX(输入海典!$A$1:$AN$20000,0,$A$2),IF($B$2,""&amp;$A11,$A11)))</f>
        <v>9880.5</v>
      </c>
      <c r="D11" s="15" t="n">
        <f aca="false">IF(OR(D$2=0,$A$2=0),0,SUMIFS(INDEX(输入海典!$A$1:$AN$20000,0,D$2),INDEX(输入海典!$A$1:$AN$20000,0,$A$2),IF($B$2,""&amp;$A11,$A11)))</f>
        <v>0</v>
      </c>
      <c r="E11" s="15" t="n">
        <f aca="false">IF(OR(E$2=0,$A$2=0),0,SUMIFS(INDEX(输入海典!$A$1:$AN$20000,0,E$2),INDEX(输入海典!$A$1:$AN$20000,0,$A$2),IF($B$2,""&amp;$A11,$A11)))</f>
        <v>22410.18</v>
      </c>
      <c r="F11" s="15" t="n">
        <f aca="false">IF(OR(F$2=0,$A$2=0),0,SUMIFS(INDEX(输入海典!$A$1:$AN$20000,0,F$2),INDEX(输入海典!$A$1:$AN$20000,0,$A$2),IF($B$2,""&amp;$A11,$A11)))</f>
        <v>3361.43</v>
      </c>
      <c r="G11" s="15" t="n">
        <f aca="false">IF(OR(G$2=0,$A$2=0),0,SUMIFS(INDEX(输入海典!$A$1:$AN$20000,0,G$2),INDEX(输入海典!$A$1:$AN$20000,0,$A$2),IF($B$2,""&amp;$A11,$A11)))</f>
        <v>0</v>
      </c>
      <c r="H11" s="15" t="n">
        <f aca="false">IF(OR(H$2=0,$A$2=0),0,SUMIFS(INDEX(输入海典!$A$1:$AN$20000,0,H$2),INDEX(输入海典!$A$1:$AN$20000,0,$A$2),IF($B$2,""&amp;$A11,$A11)))</f>
        <v>0</v>
      </c>
      <c r="I11" s="15" t="n">
        <f aca="false">IF(OR(I$2=0,$A$2=0),0,SUMIFS(INDEX(输入海典!$A$1:$AN$20000,0,I$2),INDEX(输入海典!$A$1:$AN$20000,0,$A$2),IF($B$2,""&amp;$A11,$A11)))</f>
        <v>0</v>
      </c>
      <c r="J11" s="15" t="n">
        <f aca="false">IF(OR(J$2=0,$A$2=0),0,SUMIFS(INDEX(输入海典!$A$1:$AN$20000,0,J$2),INDEX(输入海典!$A$1:$AN$20000,0,$A$2),IF($B$2,""&amp;$A11,$A11)))</f>
        <v>0</v>
      </c>
      <c r="K11" s="15" t="n">
        <f aca="false">IF(OR(K$2=0,$A$2=0),0,SUMIFS(INDEX(输入海典!$A$1:$AN$20000,0,K$2),INDEX(输入海典!$A$1:$AN$20000,0,$A$2),IF($B$2,""&amp;$A11,$A11)))</f>
        <v>0</v>
      </c>
      <c r="L11" s="15" t="n">
        <f aca="false">IF(OR(L$2=0,$A$2=0),0,SUMIFS(INDEX(输入海典!$A$1:$AN$20000,0,L$2),INDEX(输入海典!$A$1:$AN$20000,0,$A$2),IF($B$2,""&amp;$A11,$A11)))</f>
        <v>0</v>
      </c>
      <c r="M11" s="15" t="n">
        <f aca="false">IF(OR(M$2=0,$A$2=0),0,SUMIFS(INDEX(输入海典!$A$1:$AN$20000,0,M$2),INDEX(输入海典!$A$1:$AN$20000,0,$A$2),IF($B$2,""&amp;$A11,$A11)))</f>
        <v>0</v>
      </c>
      <c r="N11" s="15" t="n">
        <f aca="false">IF(OR(N$2=0,$A$2=0),0,SUMIFS(INDEX(输入海典!$A$1:$AN$20000,0,N$2),INDEX(输入海典!$A$1:$AN$20000,0,$A$2),IF($B$2,""&amp;$A11,$A11)))</f>
        <v>0</v>
      </c>
      <c r="O11" s="15" t="n">
        <f aca="false">IF(OR(O$2=0,$A$2=0),0,SUMIFS(INDEX(输入海典!$A$1:$AN$20000,0,O$2),INDEX(输入海典!$A$1:$AN$20000,0,$A$2),IF($B$2,""&amp;$A11,$A11)))</f>
        <v>0</v>
      </c>
      <c r="P11" s="15" t="n">
        <f aca="false">IF(OR(P$2=0,$A$2=0),0,SUMIFS(INDEX(输入海典!$A$1:$AN$20000,0,P$2),INDEX(输入海典!$A$1:$AN$20000,0,$A$2),IF($B$2,""&amp;$A11,$A11)))</f>
        <v>0</v>
      </c>
      <c r="Q11" s="15" t="n">
        <f aca="false">IF(OR(Q$2=0,$A$2=0),0,SUMIFS(INDEX(输入海典!$A$1:$AN$20000,0,Q$2),INDEX(输入海典!$A$1:$AN$20000,0,$A$2),IF($B$2,""&amp;$A11,$A11)))</f>
        <v>417.65</v>
      </c>
      <c r="R11" s="15" t="n">
        <f aca="false">IF(OR(R$2=0,$A$2=0),0,SUMIFS(INDEX(输入海典!$A$1:$AN$20000,0,R$2),INDEX(输入海典!$A$1:$AN$20000,0,$A$2),IF($B$2,""&amp;$A11,$A11)))</f>
        <v>0</v>
      </c>
      <c r="S11" s="15" t="n">
        <f aca="false">IF(OR(S$2=0,$A$2=0),0,SUMIFS(INDEX(输入海典!$A$1:$AN$20000,0,S$2),INDEX(输入海典!$A$1:$AN$20000,0,$A$2),IF($B$2,""&amp;$A11,$A11)))</f>
        <v>0</v>
      </c>
      <c r="T11" s="15" t="n">
        <f aca="false">IF(OR(T$2=0,$A$2=0),0,SUMIFS(INDEX(输入海典!$A$1:$AN$20000,0,T$2),INDEX(输入海典!$A$1:$AN$20000,0,$A$2),IF($B$2,""&amp;$A11,$A11)))</f>
        <v>47.84</v>
      </c>
      <c r="U11" s="15" t="n">
        <f aca="false">IF(OR(U$2=0,$A$2=0),0,SUMIFS(INDEX(输入海典!$A$1:$AN$20000,0,U$2),INDEX(输入海典!$A$1:$AN$20000,0,$A$2),IF($B$2,""&amp;$A11,$A11)))</f>
        <v>502.1</v>
      </c>
      <c r="V11" s="15" t="n">
        <f aca="false">IF(OR(V$2=0,$A$2=0),0,SUMIFS(INDEX(输入海典!$A$1:$AN$20000,0,V$2),INDEX(输入海典!$A$1:$AN$20000,0,$A$2),IF($B$2,""&amp;$A11,$A11)))</f>
        <v>0</v>
      </c>
      <c r="W11" s="15" t="n">
        <f aca="false">IF(OR(W$2=0,$A$2=0),0,SUMIFS(INDEX(输入海典!$A$1:$AN$20000,0,W$2),INDEX(输入海典!$A$1:$AN$20000,0,$A$2),IF($B$2,""&amp;$A11,$A11)))</f>
        <v>0</v>
      </c>
      <c r="X11" s="15" t="n">
        <f aca="false">IF(OR(X$2=0,$A$2=0),0,SUMIFS(INDEX(输入海典!$A$1:$AN$20000,0,X$2),INDEX(输入海典!$A$1:$AN$20000,0,$A$2),IF($B$2,""&amp;$A11,$A11)))</f>
        <v>0</v>
      </c>
      <c r="Y11" s="15" t="n">
        <f aca="false">IF(OR(Y$2=0,$A$2=0),0,SUMIFS(INDEX(输入海典!$A$1:$AN$20000,0,Y$2),INDEX(输入海典!$A$1:$AN$20000,0,$A$2),IF($B$2,""&amp;$A11,$A11)))</f>
        <v>0</v>
      </c>
      <c r="Z11" s="15" t="n">
        <f aca="false">IF(OR(Z$2=0,$A$2=0),0,SUMIFS(INDEX(输入海典!$A$1:$AN$20000,0,Z$2),INDEX(输入海典!$A$1:$AN$20000,0,$A$2),IF($B$2,""&amp;$A11,$A11)))</f>
        <v>0</v>
      </c>
      <c r="AA11" s="15" t="n">
        <f aca="false">IF(OR(AA$2=0,$A$2=0),0,SUMIFS(INDEX(输入海典!$A$1:$AN$20000,0,AA$2),INDEX(输入海典!$A$1:$AN$20000,0,$A$2),IF($B$2,""&amp;$A11,$A11)))</f>
        <v>0</v>
      </c>
      <c r="AB11" s="15" t="n">
        <f aca="false">IF(OR(AB$2=0,$A$2=0),0,SUMIFS(INDEX(输入海典!$A$1:$AN$20000,0,AB$2),INDEX(输入海典!$A$1:$AN$20000,0,$A$2),IF($B$2,""&amp;$A11,$A11)))</f>
        <v>0</v>
      </c>
      <c r="AC11" s="15" t="n">
        <f aca="false">IF(OR(AC$2=0,$A$2=0),0,SUMIFS(INDEX(输入海典!$A$1:$AN$20000,0,AC$2),INDEX(输入海典!$A$1:$AN$20000,0,$A$2),IF($B$2,""&amp;$A11,$A11)))</f>
        <v>0</v>
      </c>
      <c r="AD11" s="15" t="n">
        <f aca="false">IF(OR(AD$2=0,$A$2=0),0,SUMIFS(INDEX(输入海典!$A$1:$AN$20000,0,AD$2),INDEX(输入海典!$A$1:$AN$20000,0,$A$2),IF($B$2,""&amp;$A11,$A11)))</f>
        <v>0</v>
      </c>
      <c r="AE11" s="15" t="n">
        <f aca="false">IF(OR(AE$2=0,$A$2=0),0,SUMIFS(INDEX(输入海典!$A$1:$AN$20000,0,AE$2),INDEX(输入海典!$A$1:$AN$20000,0,$A$2),IF($B$2,""&amp;$A11,$A11)))</f>
        <v>36619.7</v>
      </c>
    </row>
    <row r="12" customFormat="false" ht="14.9" hidden="false" customHeight="false" outlineLevel="0" collapsed="false">
      <c r="A12" s="25" t="n">
        <f aca="false">IF(门店对照!$D11=1,门店对照!$A11,"#未启用#")</f>
        <v>2010</v>
      </c>
      <c r="B12" s="26" t="str">
        <f aca="false">IF(门店对照!$B11="","",门店对照!$B11)</f>
        <v>莲子镇分店(10分店)</v>
      </c>
      <c r="C12" s="15" t="n">
        <f aca="false">IF(OR(C$2=0,$A$2=0),0,SUMIFS(INDEX(输入海典!$A$1:$AN$20000,0,C$2),INDEX(输入海典!$A$1:$AN$20000,0,$A$2),IF($B$2,""&amp;$A12,$A12)))</f>
        <v>23656.79</v>
      </c>
      <c r="D12" s="15" t="n">
        <f aca="false">IF(OR(D$2=0,$A$2=0),0,SUMIFS(INDEX(输入海典!$A$1:$AN$20000,0,D$2),INDEX(输入海典!$A$1:$AN$20000,0,$A$2),IF($B$2,""&amp;$A12,$A12)))</f>
        <v>0</v>
      </c>
      <c r="E12" s="15" t="n">
        <f aca="false">IF(OR(E$2=0,$A$2=0),0,SUMIFS(INDEX(输入海典!$A$1:$AN$20000,0,E$2),INDEX(输入海典!$A$1:$AN$20000,0,$A$2),IF($B$2,""&amp;$A12,$A12)))</f>
        <v>67547.35</v>
      </c>
      <c r="F12" s="15" t="n">
        <f aca="false">IF(OR(F$2=0,$A$2=0),0,SUMIFS(INDEX(输入海典!$A$1:$AN$20000,0,F$2),INDEX(输入海典!$A$1:$AN$20000,0,$A$2),IF($B$2,""&amp;$A12,$A12)))</f>
        <v>14875.36</v>
      </c>
      <c r="G12" s="15" t="n">
        <f aca="false">IF(OR(G$2=0,$A$2=0),0,SUMIFS(INDEX(输入海典!$A$1:$AN$20000,0,G$2),INDEX(输入海典!$A$1:$AN$20000,0,$A$2),IF($B$2,""&amp;$A12,$A12)))</f>
        <v>0</v>
      </c>
      <c r="H12" s="15" t="n">
        <f aca="false">IF(OR(H$2=0,$A$2=0),0,SUMIFS(INDEX(输入海典!$A$1:$AN$20000,0,H$2),INDEX(输入海典!$A$1:$AN$20000,0,$A$2),IF($B$2,""&amp;$A12,$A12)))</f>
        <v>0</v>
      </c>
      <c r="I12" s="15" t="n">
        <f aca="false">IF(OR(I$2=0,$A$2=0),0,SUMIFS(INDEX(输入海典!$A$1:$AN$20000,0,I$2),INDEX(输入海典!$A$1:$AN$20000,0,$A$2),IF($B$2,""&amp;$A12,$A12)))</f>
        <v>0</v>
      </c>
      <c r="J12" s="15" t="n">
        <f aca="false">IF(OR(J$2=0,$A$2=0),0,SUMIFS(INDEX(输入海典!$A$1:$AN$20000,0,J$2),INDEX(输入海典!$A$1:$AN$20000,0,$A$2),IF($B$2,""&amp;$A12,$A12)))</f>
        <v>0</v>
      </c>
      <c r="K12" s="15" t="n">
        <f aca="false">IF(OR(K$2=0,$A$2=0),0,SUMIFS(INDEX(输入海典!$A$1:$AN$20000,0,K$2),INDEX(输入海典!$A$1:$AN$20000,0,$A$2),IF($B$2,""&amp;$A12,$A12)))</f>
        <v>0</v>
      </c>
      <c r="L12" s="15" t="n">
        <f aca="false">IF(OR(L$2=0,$A$2=0),0,SUMIFS(INDEX(输入海典!$A$1:$AN$20000,0,L$2),INDEX(输入海典!$A$1:$AN$20000,0,$A$2),IF($B$2,""&amp;$A12,$A12)))</f>
        <v>0</v>
      </c>
      <c r="M12" s="15" t="n">
        <f aca="false">IF(OR(M$2=0,$A$2=0),0,SUMIFS(INDEX(输入海典!$A$1:$AN$20000,0,M$2),INDEX(输入海典!$A$1:$AN$20000,0,$A$2),IF($B$2,""&amp;$A12,$A12)))</f>
        <v>0</v>
      </c>
      <c r="N12" s="15" t="n">
        <f aca="false">IF(OR(N$2=0,$A$2=0),0,SUMIFS(INDEX(输入海典!$A$1:$AN$20000,0,N$2),INDEX(输入海典!$A$1:$AN$20000,0,$A$2),IF($B$2,""&amp;$A12,$A12)))</f>
        <v>0</v>
      </c>
      <c r="O12" s="15" t="n">
        <f aca="false">IF(OR(O$2=0,$A$2=0),0,SUMIFS(INDEX(输入海典!$A$1:$AN$20000,0,O$2),INDEX(输入海典!$A$1:$AN$20000,0,$A$2),IF($B$2,""&amp;$A12,$A12)))</f>
        <v>0</v>
      </c>
      <c r="P12" s="15" t="n">
        <f aca="false">IF(OR(P$2=0,$A$2=0),0,SUMIFS(INDEX(输入海典!$A$1:$AN$20000,0,P$2),INDEX(输入海典!$A$1:$AN$20000,0,$A$2),IF($B$2,""&amp;$A12,$A12)))</f>
        <v>0</v>
      </c>
      <c r="Q12" s="15" t="n">
        <f aca="false">IF(OR(Q$2=0,$A$2=0),0,SUMIFS(INDEX(输入海典!$A$1:$AN$20000,0,Q$2),INDEX(输入海典!$A$1:$AN$20000,0,$A$2),IF($B$2,""&amp;$A12,$A12)))</f>
        <v>206.9</v>
      </c>
      <c r="R12" s="15" t="n">
        <f aca="false">IF(OR(R$2=0,$A$2=0),0,SUMIFS(INDEX(输入海典!$A$1:$AN$20000,0,R$2),INDEX(输入海典!$A$1:$AN$20000,0,$A$2),IF($B$2,""&amp;$A12,$A12)))</f>
        <v>0</v>
      </c>
      <c r="S12" s="15" t="n">
        <f aca="false">IF(OR(S$2=0,$A$2=0),0,SUMIFS(INDEX(输入海典!$A$1:$AN$20000,0,S$2),INDEX(输入海典!$A$1:$AN$20000,0,$A$2),IF($B$2,""&amp;$A12,$A12)))</f>
        <v>0</v>
      </c>
      <c r="T12" s="15" t="n">
        <f aca="false">IF(OR(T$2=0,$A$2=0),0,SUMIFS(INDEX(输入海典!$A$1:$AN$20000,0,T$2),INDEX(输入海典!$A$1:$AN$20000,0,$A$2),IF($B$2,""&amp;$A12,$A12)))</f>
        <v>11.6</v>
      </c>
      <c r="U12" s="15" t="n">
        <f aca="false">IF(OR(U$2=0,$A$2=0),0,SUMIFS(INDEX(输入海典!$A$1:$AN$20000,0,U$2),INDEX(输入海典!$A$1:$AN$20000,0,$A$2),IF($B$2,""&amp;$A12,$A12)))</f>
        <v>982.2</v>
      </c>
      <c r="V12" s="15" t="n">
        <f aca="false">IF(OR(V$2=0,$A$2=0),0,SUMIFS(INDEX(输入海典!$A$1:$AN$20000,0,V$2),INDEX(输入海典!$A$1:$AN$20000,0,$A$2),IF($B$2,""&amp;$A12,$A12)))</f>
        <v>0</v>
      </c>
      <c r="W12" s="15" t="n">
        <f aca="false">IF(OR(W$2=0,$A$2=0),0,SUMIFS(INDEX(输入海典!$A$1:$AN$20000,0,W$2),INDEX(输入海典!$A$1:$AN$20000,0,$A$2),IF($B$2,""&amp;$A12,$A12)))</f>
        <v>0</v>
      </c>
      <c r="X12" s="15" t="n">
        <f aca="false">IF(OR(X$2=0,$A$2=0),0,SUMIFS(INDEX(输入海典!$A$1:$AN$20000,0,X$2),INDEX(输入海典!$A$1:$AN$20000,0,$A$2),IF($B$2,""&amp;$A12,$A12)))</f>
        <v>0</v>
      </c>
      <c r="Y12" s="15" t="n">
        <f aca="false">IF(OR(Y$2=0,$A$2=0),0,SUMIFS(INDEX(输入海典!$A$1:$AN$20000,0,Y$2),INDEX(输入海典!$A$1:$AN$20000,0,$A$2),IF($B$2,""&amp;$A12,$A12)))</f>
        <v>0</v>
      </c>
      <c r="Z12" s="15" t="n">
        <f aca="false">IF(OR(Z$2=0,$A$2=0),0,SUMIFS(INDEX(输入海典!$A$1:$AN$20000,0,Z$2),INDEX(输入海典!$A$1:$AN$20000,0,$A$2),IF($B$2,""&amp;$A12,$A12)))</f>
        <v>0</v>
      </c>
      <c r="AA12" s="15" t="n">
        <f aca="false">IF(OR(AA$2=0,$A$2=0),0,SUMIFS(INDEX(输入海典!$A$1:$AN$20000,0,AA$2),INDEX(输入海典!$A$1:$AN$20000,0,$A$2),IF($B$2,""&amp;$A12,$A12)))</f>
        <v>0</v>
      </c>
      <c r="AB12" s="15" t="n">
        <f aca="false">IF(OR(AB$2=0,$A$2=0),0,SUMIFS(INDEX(输入海典!$A$1:$AN$20000,0,AB$2),INDEX(输入海典!$A$1:$AN$20000,0,$A$2),IF($B$2,""&amp;$A12,$A12)))</f>
        <v>0</v>
      </c>
      <c r="AC12" s="15" t="n">
        <f aca="false">IF(OR(AC$2=0,$A$2=0),0,SUMIFS(INDEX(输入海典!$A$1:$AN$20000,0,AC$2),INDEX(输入海典!$A$1:$AN$20000,0,$A$2),IF($B$2,""&amp;$A12,$A12)))</f>
        <v>0</v>
      </c>
      <c r="AD12" s="15" t="n">
        <f aca="false">IF(OR(AD$2=0,$A$2=0),0,SUMIFS(INDEX(输入海典!$A$1:$AN$20000,0,AD$2),INDEX(输入海典!$A$1:$AN$20000,0,$A$2),IF($B$2,""&amp;$A12,$A12)))</f>
        <v>0</v>
      </c>
      <c r="AE12" s="15" t="n">
        <f aca="false">IF(OR(AE$2=0,$A$2=0),0,SUMIFS(INDEX(输入海典!$A$1:$AN$20000,0,AE$2),INDEX(输入海典!$A$1:$AN$20000,0,$A$2),IF($B$2,""&amp;$A12,$A12)))</f>
        <v>107280.2</v>
      </c>
    </row>
    <row r="13" customFormat="false" ht="14.9" hidden="false" customHeight="false" outlineLevel="0" collapsed="false">
      <c r="A13" s="25" t="n">
        <f aca="false">IF(门店对照!$D12=1,门店对照!$A12,"#未启用#")</f>
        <v>2011</v>
      </c>
      <c r="B13" s="26" t="str">
        <f aca="false">IF(门店对照!$B12="","",门店对照!$B12)</f>
        <v>毛尔寨分店(11分店)</v>
      </c>
      <c r="C13" s="15" t="n">
        <f aca="false">IF(OR(C$2=0,$A$2=0),0,SUMIFS(INDEX(输入海典!$A$1:$AN$20000,0,C$2),INDEX(输入海典!$A$1:$AN$20000,0,$A$2),IF($B$2,""&amp;$A13,$A13)))</f>
        <v>24370.58</v>
      </c>
      <c r="D13" s="15" t="n">
        <f aca="false">IF(OR(D$2=0,$A$2=0),0,SUMIFS(INDEX(输入海典!$A$1:$AN$20000,0,D$2),INDEX(输入海典!$A$1:$AN$20000,0,$A$2),IF($B$2,""&amp;$A13,$A13)))</f>
        <v>0</v>
      </c>
      <c r="E13" s="15" t="n">
        <f aca="false">IF(OR(E$2=0,$A$2=0),0,SUMIFS(INDEX(输入海典!$A$1:$AN$20000,0,E$2),INDEX(输入海典!$A$1:$AN$20000,0,$A$2),IF($B$2,""&amp;$A13,$A13)))</f>
        <v>14193.02</v>
      </c>
      <c r="F13" s="15" t="n">
        <f aca="false">IF(OR(F$2=0,$A$2=0),0,SUMIFS(INDEX(输入海典!$A$1:$AN$20000,0,F$2),INDEX(输入海典!$A$1:$AN$20000,0,$A$2),IF($B$2,""&amp;$A13,$A13)))</f>
        <v>2921.49</v>
      </c>
      <c r="G13" s="15" t="n">
        <f aca="false">IF(OR(G$2=0,$A$2=0),0,SUMIFS(INDEX(输入海典!$A$1:$AN$20000,0,G$2),INDEX(输入海典!$A$1:$AN$20000,0,$A$2),IF($B$2,""&amp;$A13,$A13)))</f>
        <v>0</v>
      </c>
      <c r="H13" s="15" t="n">
        <f aca="false">IF(OR(H$2=0,$A$2=0),0,SUMIFS(INDEX(输入海典!$A$1:$AN$20000,0,H$2),INDEX(输入海典!$A$1:$AN$20000,0,$A$2),IF($B$2,""&amp;$A13,$A13)))</f>
        <v>0</v>
      </c>
      <c r="I13" s="15" t="n">
        <f aca="false">IF(OR(I$2=0,$A$2=0),0,SUMIFS(INDEX(输入海典!$A$1:$AN$20000,0,I$2),INDEX(输入海典!$A$1:$AN$20000,0,$A$2),IF($B$2,""&amp;$A13,$A13)))</f>
        <v>0</v>
      </c>
      <c r="J13" s="15" t="n">
        <f aca="false">IF(OR(J$2=0,$A$2=0),0,SUMIFS(INDEX(输入海典!$A$1:$AN$20000,0,J$2),INDEX(输入海典!$A$1:$AN$20000,0,$A$2),IF($B$2,""&amp;$A13,$A13)))</f>
        <v>0</v>
      </c>
      <c r="K13" s="15" t="n">
        <f aca="false">IF(OR(K$2=0,$A$2=0),0,SUMIFS(INDEX(输入海典!$A$1:$AN$20000,0,K$2),INDEX(输入海典!$A$1:$AN$20000,0,$A$2),IF($B$2,""&amp;$A13,$A13)))</f>
        <v>0</v>
      </c>
      <c r="L13" s="15" t="n">
        <f aca="false">IF(OR(L$2=0,$A$2=0),0,SUMIFS(INDEX(输入海典!$A$1:$AN$20000,0,L$2),INDEX(输入海典!$A$1:$AN$20000,0,$A$2),IF($B$2,""&amp;$A13,$A13)))</f>
        <v>0</v>
      </c>
      <c r="M13" s="15" t="n">
        <f aca="false">IF(OR(M$2=0,$A$2=0),0,SUMIFS(INDEX(输入海典!$A$1:$AN$20000,0,M$2),INDEX(输入海典!$A$1:$AN$20000,0,$A$2),IF($B$2,""&amp;$A13,$A13)))</f>
        <v>0</v>
      </c>
      <c r="N13" s="15" t="n">
        <f aca="false">IF(OR(N$2=0,$A$2=0),0,SUMIFS(INDEX(输入海典!$A$1:$AN$20000,0,N$2),INDEX(输入海典!$A$1:$AN$20000,0,$A$2),IF($B$2,""&amp;$A13,$A13)))</f>
        <v>0</v>
      </c>
      <c r="O13" s="15" t="n">
        <f aca="false">IF(OR(O$2=0,$A$2=0),0,SUMIFS(INDEX(输入海典!$A$1:$AN$20000,0,O$2),INDEX(输入海典!$A$1:$AN$20000,0,$A$2),IF($B$2,""&amp;$A13,$A13)))</f>
        <v>0</v>
      </c>
      <c r="P13" s="15" t="n">
        <f aca="false">IF(OR(P$2=0,$A$2=0),0,SUMIFS(INDEX(输入海典!$A$1:$AN$20000,0,P$2),INDEX(输入海典!$A$1:$AN$20000,0,$A$2),IF($B$2,""&amp;$A13,$A13)))</f>
        <v>2.63</v>
      </c>
      <c r="Q13" s="15" t="n">
        <f aca="false">IF(OR(Q$2=0,$A$2=0),0,SUMIFS(INDEX(输入海典!$A$1:$AN$20000,0,Q$2),INDEX(输入海典!$A$1:$AN$20000,0,$A$2),IF($B$2,""&amp;$A13,$A13)))</f>
        <v>0</v>
      </c>
      <c r="R13" s="15" t="n">
        <f aca="false">IF(OR(R$2=0,$A$2=0),0,SUMIFS(INDEX(输入海典!$A$1:$AN$20000,0,R$2),INDEX(输入海典!$A$1:$AN$20000,0,$A$2),IF($B$2,""&amp;$A13,$A13)))</f>
        <v>0</v>
      </c>
      <c r="S13" s="15" t="n">
        <f aca="false">IF(OR(S$2=0,$A$2=0),0,SUMIFS(INDEX(输入海典!$A$1:$AN$20000,0,S$2),INDEX(输入海典!$A$1:$AN$20000,0,$A$2),IF($B$2,""&amp;$A13,$A13)))</f>
        <v>0</v>
      </c>
      <c r="T13" s="15" t="n">
        <f aca="false">IF(OR(T$2=0,$A$2=0),0,SUMIFS(INDEX(输入海典!$A$1:$AN$20000,0,T$2),INDEX(输入海典!$A$1:$AN$20000,0,$A$2),IF($B$2,""&amp;$A13,$A13)))</f>
        <v>212.14</v>
      </c>
      <c r="U13" s="15" t="n">
        <f aca="false">IF(OR(U$2=0,$A$2=0),0,SUMIFS(INDEX(输入海典!$A$1:$AN$20000,0,U$2),INDEX(输入海典!$A$1:$AN$20000,0,$A$2),IF($B$2,""&amp;$A13,$A13)))</f>
        <v>1123.5</v>
      </c>
      <c r="V13" s="15" t="n">
        <f aca="false">IF(OR(V$2=0,$A$2=0),0,SUMIFS(INDEX(输入海典!$A$1:$AN$20000,0,V$2),INDEX(输入海典!$A$1:$AN$20000,0,$A$2),IF($B$2,""&amp;$A13,$A13)))</f>
        <v>0</v>
      </c>
      <c r="W13" s="15" t="n">
        <f aca="false">IF(OR(W$2=0,$A$2=0),0,SUMIFS(INDEX(输入海典!$A$1:$AN$20000,0,W$2),INDEX(输入海典!$A$1:$AN$20000,0,$A$2),IF($B$2,""&amp;$A13,$A13)))</f>
        <v>0</v>
      </c>
      <c r="X13" s="15" t="n">
        <f aca="false">IF(OR(X$2=0,$A$2=0),0,SUMIFS(INDEX(输入海典!$A$1:$AN$20000,0,X$2),INDEX(输入海典!$A$1:$AN$20000,0,$A$2),IF($B$2,""&amp;$A13,$A13)))</f>
        <v>0</v>
      </c>
      <c r="Y13" s="15" t="n">
        <f aca="false">IF(OR(Y$2=0,$A$2=0),0,SUMIFS(INDEX(输入海典!$A$1:$AN$20000,0,Y$2),INDEX(输入海典!$A$1:$AN$20000,0,$A$2),IF($B$2,""&amp;$A13,$A13)))</f>
        <v>0</v>
      </c>
      <c r="Z13" s="15" t="n">
        <f aca="false">IF(OR(Z$2=0,$A$2=0),0,SUMIFS(INDEX(输入海典!$A$1:$AN$20000,0,Z$2),INDEX(输入海典!$A$1:$AN$20000,0,$A$2),IF($B$2,""&amp;$A13,$A13)))</f>
        <v>0</v>
      </c>
      <c r="AA13" s="15" t="n">
        <f aca="false">IF(OR(AA$2=0,$A$2=0),0,SUMIFS(INDEX(输入海典!$A$1:$AN$20000,0,AA$2),INDEX(输入海典!$A$1:$AN$20000,0,$A$2),IF($B$2,""&amp;$A13,$A13)))</f>
        <v>0</v>
      </c>
      <c r="AB13" s="15" t="n">
        <f aca="false">IF(OR(AB$2=0,$A$2=0),0,SUMIFS(INDEX(输入海典!$A$1:$AN$20000,0,AB$2),INDEX(输入海典!$A$1:$AN$20000,0,$A$2),IF($B$2,""&amp;$A13,$A13)))</f>
        <v>0</v>
      </c>
      <c r="AC13" s="15" t="n">
        <f aca="false">IF(OR(AC$2=0,$A$2=0),0,SUMIFS(INDEX(输入海典!$A$1:$AN$20000,0,AC$2),INDEX(输入海典!$A$1:$AN$20000,0,$A$2),IF($B$2,""&amp;$A13,$A13)))</f>
        <v>0</v>
      </c>
      <c r="AD13" s="15" t="n">
        <f aca="false">IF(OR(AD$2=0,$A$2=0),0,SUMIFS(INDEX(输入海典!$A$1:$AN$20000,0,AD$2),INDEX(输入海典!$A$1:$AN$20000,0,$A$2),IF($B$2,""&amp;$A13,$A13)))</f>
        <v>0</v>
      </c>
      <c r="AE13" s="15" t="n">
        <f aca="false">IF(OR(AE$2=0,$A$2=0),0,SUMIFS(INDEX(输入海典!$A$1:$AN$20000,0,AE$2),INDEX(输入海典!$A$1:$AN$20000,0,$A$2),IF($B$2,""&amp;$A13,$A13)))</f>
        <v>42823.36</v>
      </c>
    </row>
    <row r="14" customFormat="false" ht="14.9" hidden="false" customHeight="false" outlineLevel="0" collapsed="false">
      <c r="A14" s="25" t="n">
        <f aca="false">IF(门店对照!$D13=1,门店对照!$A13,"#未启用#")</f>
        <v>2012</v>
      </c>
      <c r="B14" s="26" t="str">
        <f aca="false">IF(门店对照!$B13="","",门店对照!$B13)</f>
        <v>泽畔分店（12分店）</v>
      </c>
      <c r="C14" s="15" t="n">
        <f aca="false">IF(OR(C$2=0,$A$2=0),0,SUMIFS(INDEX(输入海典!$A$1:$AN$20000,0,C$2),INDEX(输入海典!$A$1:$AN$20000,0,$A$2),IF($B$2,""&amp;$A14,$A14)))</f>
        <v>25649.6</v>
      </c>
      <c r="D14" s="15" t="n">
        <f aca="false">IF(OR(D$2=0,$A$2=0),0,SUMIFS(INDEX(输入海典!$A$1:$AN$20000,0,D$2),INDEX(输入海典!$A$1:$AN$20000,0,$A$2),IF($B$2,""&amp;$A14,$A14)))</f>
        <v>0</v>
      </c>
      <c r="E14" s="15" t="n">
        <f aca="false">IF(OR(E$2=0,$A$2=0),0,SUMIFS(INDEX(输入海典!$A$1:$AN$20000,0,E$2),INDEX(输入海典!$A$1:$AN$20000,0,$A$2),IF($B$2,""&amp;$A14,$A14)))</f>
        <v>20343.83</v>
      </c>
      <c r="F14" s="15" t="n">
        <f aca="false">IF(OR(F$2=0,$A$2=0),0,SUMIFS(INDEX(输入海典!$A$1:$AN$20000,0,F$2),INDEX(输入海典!$A$1:$AN$20000,0,$A$2),IF($B$2,""&amp;$A14,$A14)))</f>
        <v>3187.38</v>
      </c>
      <c r="G14" s="15" t="n">
        <f aca="false">IF(OR(G$2=0,$A$2=0),0,SUMIFS(INDEX(输入海典!$A$1:$AN$20000,0,G$2),INDEX(输入海典!$A$1:$AN$20000,0,$A$2),IF($B$2,""&amp;$A14,$A14)))</f>
        <v>0</v>
      </c>
      <c r="H14" s="15" t="n">
        <f aca="false">IF(OR(H$2=0,$A$2=0),0,SUMIFS(INDEX(输入海典!$A$1:$AN$20000,0,H$2),INDEX(输入海典!$A$1:$AN$20000,0,$A$2),IF($B$2,""&amp;$A14,$A14)))</f>
        <v>0</v>
      </c>
      <c r="I14" s="15" t="n">
        <f aca="false">IF(OR(I$2=0,$A$2=0),0,SUMIFS(INDEX(输入海典!$A$1:$AN$20000,0,I$2),INDEX(输入海典!$A$1:$AN$20000,0,$A$2),IF($B$2,""&amp;$A14,$A14)))</f>
        <v>0</v>
      </c>
      <c r="J14" s="15" t="n">
        <f aca="false">IF(OR(J$2=0,$A$2=0),0,SUMIFS(INDEX(输入海典!$A$1:$AN$20000,0,J$2),INDEX(输入海典!$A$1:$AN$20000,0,$A$2),IF($B$2,""&amp;$A14,$A14)))</f>
        <v>0</v>
      </c>
      <c r="K14" s="15" t="n">
        <f aca="false">IF(OR(K$2=0,$A$2=0),0,SUMIFS(INDEX(输入海典!$A$1:$AN$20000,0,K$2),INDEX(输入海典!$A$1:$AN$20000,0,$A$2),IF($B$2,""&amp;$A14,$A14)))</f>
        <v>0</v>
      </c>
      <c r="L14" s="15" t="n">
        <f aca="false">IF(OR(L$2=0,$A$2=0),0,SUMIFS(INDEX(输入海典!$A$1:$AN$20000,0,L$2),INDEX(输入海典!$A$1:$AN$20000,0,$A$2),IF($B$2,""&amp;$A14,$A14)))</f>
        <v>0</v>
      </c>
      <c r="M14" s="15" t="n">
        <f aca="false">IF(OR(M$2=0,$A$2=0),0,SUMIFS(INDEX(输入海典!$A$1:$AN$20000,0,M$2),INDEX(输入海典!$A$1:$AN$20000,0,$A$2),IF($B$2,""&amp;$A14,$A14)))</f>
        <v>0</v>
      </c>
      <c r="N14" s="15" t="n">
        <f aca="false">IF(OR(N$2=0,$A$2=0),0,SUMIFS(INDEX(输入海典!$A$1:$AN$20000,0,N$2),INDEX(输入海典!$A$1:$AN$20000,0,$A$2),IF($B$2,""&amp;$A14,$A14)))</f>
        <v>0</v>
      </c>
      <c r="O14" s="15" t="n">
        <f aca="false">IF(OR(O$2=0,$A$2=0),0,SUMIFS(INDEX(输入海典!$A$1:$AN$20000,0,O$2),INDEX(输入海典!$A$1:$AN$20000,0,$A$2),IF($B$2,""&amp;$A14,$A14)))</f>
        <v>0</v>
      </c>
      <c r="P14" s="15" t="n">
        <f aca="false">IF(OR(P$2=0,$A$2=0),0,SUMIFS(INDEX(输入海典!$A$1:$AN$20000,0,P$2),INDEX(输入海典!$A$1:$AN$20000,0,$A$2),IF($B$2,""&amp;$A14,$A14)))</f>
        <v>0</v>
      </c>
      <c r="Q14" s="15" t="n">
        <f aca="false">IF(OR(Q$2=0,$A$2=0),0,SUMIFS(INDEX(输入海典!$A$1:$AN$20000,0,Q$2),INDEX(输入海典!$A$1:$AN$20000,0,$A$2),IF($B$2,""&amp;$A14,$A14)))</f>
        <v>19.8</v>
      </c>
      <c r="R14" s="15" t="n">
        <f aca="false">IF(OR(R$2=0,$A$2=0),0,SUMIFS(INDEX(输入海典!$A$1:$AN$20000,0,R$2),INDEX(输入海典!$A$1:$AN$20000,0,$A$2),IF($B$2,""&amp;$A14,$A14)))</f>
        <v>0</v>
      </c>
      <c r="S14" s="15" t="n">
        <f aca="false">IF(OR(S$2=0,$A$2=0),0,SUMIFS(INDEX(输入海典!$A$1:$AN$20000,0,S$2),INDEX(输入海典!$A$1:$AN$20000,0,$A$2),IF($B$2,""&amp;$A14,$A14)))</f>
        <v>0</v>
      </c>
      <c r="T14" s="15" t="n">
        <f aca="false">IF(OR(T$2=0,$A$2=0),0,SUMIFS(INDEX(输入海典!$A$1:$AN$20000,0,T$2),INDEX(输入海典!$A$1:$AN$20000,0,$A$2),IF($B$2,""&amp;$A14,$A14)))</f>
        <v>56.26</v>
      </c>
      <c r="U14" s="15" t="n">
        <f aca="false">IF(OR(U$2=0,$A$2=0),0,SUMIFS(INDEX(输入海典!$A$1:$AN$20000,0,U$2),INDEX(输入海典!$A$1:$AN$20000,0,$A$2),IF($B$2,""&amp;$A14,$A14)))</f>
        <v>1342</v>
      </c>
      <c r="V14" s="15" t="n">
        <f aca="false">IF(OR(V$2=0,$A$2=0),0,SUMIFS(INDEX(输入海典!$A$1:$AN$20000,0,V$2),INDEX(输入海典!$A$1:$AN$20000,0,$A$2),IF($B$2,""&amp;$A14,$A14)))</f>
        <v>0</v>
      </c>
      <c r="W14" s="15" t="n">
        <f aca="false">IF(OR(W$2=0,$A$2=0),0,SUMIFS(INDEX(输入海典!$A$1:$AN$20000,0,W$2),INDEX(输入海典!$A$1:$AN$20000,0,$A$2),IF($B$2,""&amp;$A14,$A14)))</f>
        <v>0</v>
      </c>
      <c r="X14" s="15" t="n">
        <f aca="false">IF(OR(X$2=0,$A$2=0),0,SUMIFS(INDEX(输入海典!$A$1:$AN$20000,0,X$2),INDEX(输入海典!$A$1:$AN$20000,0,$A$2),IF($B$2,""&amp;$A14,$A14)))</f>
        <v>0</v>
      </c>
      <c r="Y14" s="15" t="n">
        <f aca="false">IF(OR(Y$2=0,$A$2=0),0,SUMIFS(INDEX(输入海典!$A$1:$AN$20000,0,Y$2),INDEX(输入海典!$A$1:$AN$20000,0,$A$2),IF($B$2,""&amp;$A14,$A14)))</f>
        <v>0</v>
      </c>
      <c r="Z14" s="15" t="n">
        <f aca="false">IF(OR(Z$2=0,$A$2=0),0,SUMIFS(INDEX(输入海典!$A$1:$AN$20000,0,Z$2),INDEX(输入海典!$A$1:$AN$20000,0,$A$2),IF($B$2,""&amp;$A14,$A14)))</f>
        <v>0</v>
      </c>
      <c r="AA14" s="15" t="n">
        <f aca="false">IF(OR(AA$2=0,$A$2=0),0,SUMIFS(INDEX(输入海典!$A$1:$AN$20000,0,AA$2),INDEX(输入海典!$A$1:$AN$20000,0,$A$2),IF($B$2,""&amp;$A14,$A14)))</f>
        <v>0</v>
      </c>
      <c r="AB14" s="15" t="n">
        <f aca="false">IF(OR(AB$2=0,$A$2=0),0,SUMIFS(INDEX(输入海典!$A$1:$AN$20000,0,AB$2),INDEX(输入海典!$A$1:$AN$20000,0,$A$2),IF($B$2,""&amp;$A14,$A14)))</f>
        <v>0</v>
      </c>
      <c r="AC14" s="15" t="n">
        <f aca="false">IF(OR(AC$2=0,$A$2=0),0,SUMIFS(INDEX(输入海典!$A$1:$AN$20000,0,AC$2),INDEX(输入海典!$A$1:$AN$20000,0,$A$2),IF($B$2,""&amp;$A14,$A14)))</f>
        <v>0</v>
      </c>
      <c r="AD14" s="15" t="n">
        <f aca="false">IF(OR(AD$2=0,$A$2=0),0,SUMIFS(INDEX(输入海典!$A$1:$AN$20000,0,AD$2),INDEX(输入海典!$A$1:$AN$20000,0,$A$2),IF($B$2,""&amp;$A14,$A14)))</f>
        <v>0</v>
      </c>
      <c r="AE14" s="15" t="n">
        <f aca="false">IF(OR(AE$2=0,$A$2=0),0,SUMIFS(INDEX(输入海典!$A$1:$AN$20000,0,AE$2),INDEX(输入海典!$A$1:$AN$20000,0,$A$2),IF($B$2,""&amp;$A14,$A14)))</f>
        <v>50656.25</v>
      </c>
    </row>
    <row r="15" customFormat="false" ht="14.9" hidden="false" customHeight="false" outlineLevel="0" collapsed="false">
      <c r="A15" s="25" t="n">
        <f aca="false">IF(门店对照!$D14=1,门店对照!$A14,"#未启用#")</f>
        <v>2014</v>
      </c>
      <c r="B15" s="26" t="str">
        <f aca="false">IF(门店对照!$B14="","",门店对照!$B14)</f>
        <v>博桥分店（14分店）</v>
      </c>
      <c r="C15" s="15" t="n">
        <f aca="false">IF(OR(C$2=0,$A$2=0),0,SUMIFS(INDEX(输入海典!$A$1:$AN$20000,0,C$2),INDEX(输入海典!$A$1:$AN$20000,0,$A$2),IF($B$2,""&amp;$A15,$A15)))</f>
        <v>21123.98</v>
      </c>
      <c r="D15" s="15" t="n">
        <f aca="false">IF(OR(D$2=0,$A$2=0),0,SUMIFS(INDEX(输入海典!$A$1:$AN$20000,0,D$2),INDEX(输入海典!$A$1:$AN$20000,0,$A$2),IF($B$2,""&amp;$A15,$A15)))</f>
        <v>0</v>
      </c>
      <c r="E15" s="15" t="n">
        <f aca="false">IF(OR(E$2=0,$A$2=0),0,SUMIFS(INDEX(输入海典!$A$1:$AN$20000,0,E$2),INDEX(输入海典!$A$1:$AN$20000,0,$A$2),IF($B$2,""&amp;$A15,$A15)))</f>
        <v>37186.78</v>
      </c>
      <c r="F15" s="15" t="n">
        <f aca="false">IF(OR(F$2=0,$A$2=0),0,SUMIFS(INDEX(输入海典!$A$1:$AN$20000,0,F$2),INDEX(输入海典!$A$1:$AN$20000,0,$A$2),IF($B$2,""&amp;$A15,$A15)))</f>
        <v>8906.05</v>
      </c>
      <c r="G15" s="15" t="n">
        <f aca="false">IF(OR(G$2=0,$A$2=0),0,SUMIFS(INDEX(输入海典!$A$1:$AN$20000,0,G$2),INDEX(输入海典!$A$1:$AN$20000,0,$A$2),IF($B$2,""&amp;$A15,$A15)))</f>
        <v>0</v>
      </c>
      <c r="H15" s="15" t="n">
        <f aca="false">IF(OR(H$2=0,$A$2=0),0,SUMIFS(INDEX(输入海典!$A$1:$AN$20000,0,H$2),INDEX(输入海典!$A$1:$AN$20000,0,$A$2),IF($B$2,""&amp;$A15,$A15)))</f>
        <v>0</v>
      </c>
      <c r="I15" s="15" t="n">
        <f aca="false">IF(OR(I$2=0,$A$2=0),0,SUMIFS(INDEX(输入海典!$A$1:$AN$20000,0,I$2),INDEX(输入海典!$A$1:$AN$20000,0,$A$2),IF($B$2,""&amp;$A15,$A15)))</f>
        <v>0</v>
      </c>
      <c r="J15" s="15" t="n">
        <f aca="false">IF(OR(J$2=0,$A$2=0),0,SUMIFS(INDEX(输入海典!$A$1:$AN$20000,0,J$2),INDEX(输入海典!$A$1:$AN$20000,0,$A$2),IF($B$2,""&amp;$A15,$A15)))</f>
        <v>0</v>
      </c>
      <c r="K15" s="15" t="n">
        <f aca="false">IF(OR(K$2=0,$A$2=0),0,SUMIFS(INDEX(输入海典!$A$1:$AN$20000,0,K$2),INDEX(输入海典!$A$1:$AN$20000,0,$A$2),IF($B$2,""&amp;$A15,$A15)))</f>
        <v>0</v>
      </c>
      <c r="L15" s="15" t="n">
        <f aca="false">IF(OR(L$2=0,$A$2=0),0,SUMIFS(INDEX(输入海典!$A$1:$AN$20000,0,L$2),INDEX(输入海典!$A$1:$AN$20000,0,$A$2),IF($B$2,""&amp;$A15,$A15)))</f>
        <v>0</v>
      </c>
      <c r="M15" s="15" t="n">
        <f aca="false">IF(OR(M$2=0,$A$2=0),0,SUMIFS(INDEX(输入海典!$A$1:$AN$20000,0,M$2),INDEX(输入海典!$A$1:$AN$20000,0,$A$2),IF($B$2,""&amp;$A15,$A15)))</f>
        <v>0</v>
      </c>
      <c r="N15" s="15" t="n">
        <f aca="false">IF(OR(N$2=0,$A$2=0),0,SUMIFS(INDEX(输入海典!$A$1:$AN$20000,0,N$2),INDEX(输入海典!$A$1:$AN$20000,0,$A$2),IF($B$2,""&amp;$A15,$A15)))</f>
        <v>0</v>
      </c>
      <c r="O15" s="15" t="n">
        <f aca="false">IF(OR(O$2=0,$A$2=0),0,SUMIFS(INDEX(输入海典!$A$1:$AN$20000,0,O$2),INDEX(输入海典!$A$1:$AN$20000,0,$A$2),IF($B$2,""&amp;$A15,$A15)))</f>
        <v>0</v>
      </c>
      <c r="P15" s="15" t="n">
        <f aca="false">IF(OR(P$2=0,$A$2=0),0,SUMIFS(INDEX(输入海典!$A$1:$AN$20000,0,P$2),INDEX(输入海典!$A$1:$AN$20000,0,$A$2),IF($B$2,""&amp;$A15,$A15)))</f>
        <v>-2.18</v>
      </c>
      <c r="Q15" s="15" t="n">
        <f aca="false">IF(OR(Q$2=0,$A$2=0),0,SUMIFS(INDEX(输入海典!$A$1:$AN$20000,0,Q$2),INDEX(输入海典!$A$1:$AN$20000,0,$A$2),IF($B$2,""&amp;$A15,$A15)))</f>
        <v>0</v>
      </c>
      <c r="R15" s="15" t="n">
        <f aca="false">IF(OR(R$2=0,$A$2=0),0,SUMIFS(INDEX(输入海典!$A$1:$AN$20000,0,R$2),INDEX(输入海典!$A$1:$AN$20000,0,$A$2),IF($B$2,""&amp;$A15,$A15)))</f>
        <v>0</v>
      </c>
      <c r="S15" s="15" t="n">
        <f aca="false">IF(OR(S$2=0,$A$2=0),0,SUMIFS(INDEX(输入海典!$A$1:$AN$20000,0,S$2),INDEX(输入海典!$A$1:$AN$20000,0,$A$2),IF($B$2,""&amp;$A15,$A15)))</f>
        <v>50</v>
      </c>
      <c r="T15" s="15" t="n">
        <f aca="false">IF(OR(T$2=0,$A$2=0),0,SUMIFS(INDEX(输入海典!$A$1:$AN$20000,0,T$2),INDEX(输入海典!$A$1:$AN$20000,0,$A$2),IF($B$2,""&amp;$A15,$A15)))</f>
        <v>374.18</v>
      </c>
      <c r="U15" s="15" t="n">
        <f aca="false">IF(OR(U$2=0,$A$2=0),0,SUMIFS(INDEX(输入海典!$A$1:$AN$20000,0,U$2),INDEX(输入海典!$A$1:$AN$20000,0,$A$2),IF($B$2,""&amp;$A15,$A15)))</f>
        <v>1790</v>
      </c>
      <c r="V15" s="15" t="n">
        <f aca="false">IF(OR(V$2=0,$A$2=0),0,SUMIFS(INDEX(输入海典!$A$1:$AN$20000,0,V$2),INDEX(输入海典!$A$1:$AN$20000,0,$A$2),IF($B$2,""&amp;$A15,$A15)))</f>
        <v>0</v>
      </c>
      <c r="W15" s="15" t="n">
        <f aca="false">IF(OR(W$2=0,$A$2=0),0,SUMIFS(INDEX(输入海典!$A$1:$AN$20000,0,W$2),INDEX(输入海典!$A$1:$AN$20000,0,$A$2),IF($B$2,""&amp;$A15,$A15)))</f>
        <v>0</v>
      </c>
      <c r="X15" s="15" t="n">
        <f aca="false">IF(OR(X$2=0,$A$2=0),0,SUMIFS(INDEX(输入海典!$A$1:$AN$20000,0,X$2),INDEX(输入海典!$A$1:$AN$20000,0,$A$2),IF($B$2,""&amp;$A15,$A15)))</f>
        <v>0</v>
      </c>
      <c r="Y15" s="15" t="n">
        <f aca="false">IF(OR(Y$2=0,$A$2=0),0,SUMIFS(INDEX(输入海典!$A$1:$AN$20000,0,Y$2),INDEX(输入海典!$A$1:$AN$20000,0,$A$2),IF($B$2,""&amp;$A15,$A15)))</f>
        <v>0</v>
      </c>
      <c r="Z15" s="15" t="n">
        <f aca="false">IF(OR(Z$2=0,$A$2=0),0,SUMIFS(INDEX(输入海典!$A$1:$AN$20000,0,Z$2),INDEX(输入海典!$A$1:$AN$20000,0,$A$2),IF($B$2,""&amp;$A15,$A15)))</f>
        <v>0</v>
      </c>
      <c r="AA15" s="15" t="n">
        <f aca="false">IF(OR(AA$2=0,$A$2=0),0,SUMIFS(INDEX(输入海典!$A$1:$AN$20000,0,AA$2),INDEX(输入海典!$A$1:$AN$20000,0,$A$2),IF($B$2,""&amp;$A15,$A15)))</f>
        <v>0</v>
      </c>
      <c r="AB15" s="15" t="n">
        <f aca="false">IF(OR(AB$2=0,$A$2=0),0,SUMIFS(INDEX(输入海典!$A$1:$AN$20000,0,AB$2),INDEX(输入海典!$A$1:$AN$20000,0,$A$2),IF($B$2,""&amp;$A15,$A15)))</f>
        <v>0</v>
      </c>
      <c r="AC15" s="15" t="n">
        <f aca="false">IF(OR(AC$2=0,$A$2=0),0,SUMIFS(INDEX(输入海典!$A$1:$AN$20000,0,AC$2),INDEX(输入海典!$A$1:$AN$20000,0,$A$2),IF($B$2,""&amp;$A15,$A15)))</f>
        <v>0</v>
      </c>
      <c r="AD15" s="15" t="n">
        <f aca="false">IF(OR(AD$2=0,$A$2=0),0,SUMIFS(INDEX(输入海典!$A$1:$AN$20000,0,AD$2),INDEX(输入海典!$A$1:$AN$20000,0,$A$2),IF($B$2,""&amp;$A15,$A15)))</f>
        <v>0</v>
      </c>
      <c r="AE15" s="15" t="n">
        <f aca="false">IF(OR(AE$2=0,$A$2=0),0,SUMIFS(INDEX(输入海典!$A$1:$AN$20000,0,AE$2),INDEX(输入海典!$A$1:$AN$20000,0,$A$2),IF($B$2,""&amp;$A15,$A15)))</f>
        <v>69428.81</v>
      </c>
    </row>
    <row r="16" customFormat="false" ht="14.9" hidden="false" customHeight="false" outlineLevel="0" collapsed="false">
      <c r="A16" s="25" t="n">
        <f aca="false">IF(门店对照!$D15=1,门店对照!$A15,"#未启用#")</f>
        <v>2015</v>
      </c>
      <c r="B16" s="26" t="str">
        <f aca="false">IF(门店对照!$B15="","",门店对照!$B15)</f>
        <v>齐村分店（15分店）</v>
      </c>
      <c r="C16" s="15" t="n">
        <f aca="false">IF(OR(C$2=0,$A$2=0),0,SUMIFS(INDEX(输入海典!$A$1:$AN$20000,0,C$2),INDEX(输入海典!$A$1:$AN$20000,0,$A$2),IF($B$2,""&amp;$A16,$A16)))</f>
        <v>28193.19</v>
      </c>
      <c r="D16" s="15" t="n">
        <f aca="false">IF(OR(D$2=0,$A$2=0),0,SUMIFS(INDEX(输入海典!$A$1:$AN$20000,0,D$2),INDEX(输入海典!$A$1:$AN$20000,0,$A$2),IF($B$2,""&amp;$A16,$A16)))</f>
        <v>0</v>
      </c>
      <c r="E16" s="15" t="n">
        <f aca="false">IF(OR(E$2=0,$A$2=0),0,SUMIFS(INDEX(输入海典!$A$1:$AN$20000,0,E$2),INDEX(输入海典!$A$1:$AN$20000,0,$A$2),IF($B$2,""&amp;$A16,$A16)))</f>
        <v>0</v>
      </c>
      <c r="F16" s="15" t="n">
        <f aca="false">IF(OR(F$2=0,$A$2=0),0,SUMIFS(INDEX(输入海典!$A$1:$AN$20000,0,F$2),INDEX(输入海典!$A$1:$AN$20000,0,$A$2),IF($B$2,""&amp;$A16,$A16)))</f>
        <v>0</v>
      </c>
      <c r="G16" s="15" t="n">
        <f aca="false">IF(OR(G$2=0,$A$2=0),0,SUMIFS(INDEX(输入海典!$A$1:$AN$20000,0,G$2),INDEX(输入海典!$A$1:$AN$20000,0,$A$2),IF($B$2,""&amp;$A16,$A16)))</f>
        <v>0</v>
      </c>
      <c r="H16" s="15" t="n">
        <f aca="false">IF(OR(H$2=0,$A$2=0),0,SUMIFS(INDEX(输入海典!$A$1:$AN$20000,0,H$2),INDEX(输入海典!$A$1:$AN$20000,0,$A$2),IF($B$2,""&amp;$A16,$A16)))</f>
        <v>0</v>
      </c>
      <c r="I16" s="15" t="n">
        <f aca="false">IF(OR(I$2=0,$A$2=0),0,SUMIFS(INDEX(输入海典!$A$1:$AN$20000,0,I$2),INDEX(输入海典!$A$1:$AN$20000,0,$A$2),IF($B$2,""&amp;$A16,$A16)))</f>
        <v>0</v>
      </c>
      <c r="J16" s="15" t="n">
        <f aca="false">IF(OR(J$2=0,$A$2=0),0,SUMIFS(INDEX(输入海典!$A$1:$AN$20000,0,J$2),INDEX(输入海典!$A$1:$AN$20000,0,$A$2),IF($B$2,""&amp;$A16,$A16)))</f>
        <v>0</v>
      </c>
      <c r="K16" s="15" t="n">
        <f aca="false">IF(OR(K$2=0,$A$2=0),0,SUMIFS(INDEX(输入海典!$A$1:$AN$20000,0,K$2),INDEX(输入海典!$A$1:$AN$20000,0,$A$2),IF($B$2,""&amp;$A16,$A16)))</f>
        <v>0</v>
      </c>
      <c r="L16" s="15" t="n">
        <f aca="false">IF(OR(L$2=0,$A$2=0),0,SUMIFS(INDEX(输入海典!$A$1:$AN$20000,0,L$2),INDEX(输入海典!$A$1:$AN$20000,0,$A$2),IF($B$2,""&amp;$A16,$A16)))</f>
        <v>0</v>
      </c>
      <c r="M16" s="15" t="n">
        <f aca="false">IF(OR(M$2=0,$A$2=0),0,SUMIFS(INDEX(输入海典!$A$1:$AN$20000,0,M$2),INDEX(输入海典!$A$1:$AN$20000,0,$A$2),IF($B$2,""&amp;$A16,$A16)))</f>
        <v>0</v>
      </c>
      <c r="N16" s="15" t="n">
        <f aca="false">IF(OR(N$2=0,$A$2=0),0,SUMIFS(INDEX(输入海典!$A$1:$AN$20000,0,N$2),INDEX(输入海典!$A$1:$AN$20000,0,$A$2),IF($B$2,""&amp;$A16,$A16)))</f>
        <v>0</v>
      </c>
      <c r="O16" s="15" t="n">
        <f aca="false">IF(OR(O$2=0,$A$2=0),0,SUMIFS(INDEX(输入海典!$A$1:$AN$20000,0,O$2),INDEX(输入海典!$A$1:$AN$20000,0,$A$2),IF($B$2,""&amp;$A16,$A16)))</f>
        <v>0</v>
      </c>
      <c r="P16" s="15" t="n">
        <f aca="false">IF(OR(P$2=0,$A$2=0),0,SUMIFS(INDEX(输入海典!$A$1:$AN$20000,0,P$2),INDEX(输入海典!$A$1:$AN$20000,0,$A$2),IF($B$2,""&amp;$A16,$A16)))</f>
        <v>0</v>
      </c>
      <c r="Q16" s="15" t="n">
        <f aca="false">IF(OR(Q$2=0,$A$2=0),0,SUMIFS(INDEX(输入海典!$A$1:$AN$20000,0,Q$2),INDEX(输入海典!$A$1:$AN$20000,0,$A$2),IF($B$2,""&amp;$A16,$A16)))</f>
        <v>0</v>
      </c>
      <c r="R16" s="15" t="n">
        <f aca="false">IF(OR(R$2=0,$A$2=0),0,SUMIFS(INDEX(输入海典!$A$1:$AN$20000,0,R$2),INDEX(输入海典!$A$1:$AN$20000,0,$A$2),IF($B$2,""&amp;$A16,$A16)))</f>
        <v>0</v>
      </c>
      <c r="S16" s="15" t="n">
        <f aca="false">IF(OR(S$2=0,$A$2=0),0,SUMIFS(INDEX(输入海典!$A$1:$AN$20000,0,S$2),INDEX(输入海典!$A$1:$AN$20000,0,$A$2),IF($B$2,""&amp;$A16,$A16)))</f>
        <v>0</v>
      </c>
      <c r="T16" s="15" t="n">
        <f aca="false">IF(OR(T$2=0,$A$2=0),0,SUMIFS(INDEX(输入海典!$A$1:$AN$20000,0,T$2),INDEX(输入海典!$A$1:$AN$20000,0,$A$2),IF($B$2,""&amp;$A16,$A16)))</f>
        <v>0</v>
      </c>
      <c r="U16" s="15" t="n">
        <f aca="false">IF(OR(U$2=0,$A$2=0),0,SUMIFS(INDEX(输入海典!$A$1:$AN$20000,0,U$2),INDEX(输入海典!$A$1:$AN$20000,0,$A$2),IF($B$2,""&amp;$A16,$A16)))</f>
        <v>0</v>
      </c>
      <c r="V16" s="15" t="n">
        <f aca="false">IF(OR(V$2=0,$A$2=0),0,SUMIFS(INDEX(输入海典!$A$1:$AN$20000,0,V$2),INDEX(输入海典!$A$1:$AN$20000,0,$A$2),IF($B$2,""&amp;$A16,$A16)))</f>
        <v>0</v>
      </c>
      <c r="W16" s="15" t="n">
        <f aca="false">IF(OR(W$2=0,$A$2=0),0,SUMIFS(INDEX(输入海典!$A$1:$AN$20000,0,W$2),INDEX(输入海典!$A$1:$AN$20000,0,$A$2),IF($B$2,""&amp;$A16,$A16)))</f>
        <v>0</v>
      </c>
      <c r="X16" s="15" t="n">
        <f aca="false">IF(OR(X$2=0,$A$2=0),0,SUMIFS(INDEX(输入海典!$A$1:$AN$20000,0,X$2),INDEX(输入海典!$A$1:$AN$20000,0,$A$2),IF($B$2,""&amp;$A16,$A16)))</f>
        <v>0</v>
      </c>
      <c r="Y16" s="15" t="n">
        <f aca="false">IF(OR(Y$2=0,$A$2=0),0,SUMIFS(INDEX(输入海典!$A$1:$AN$20000,0,Y$2),INDEX(输入海典!$A$1:$AN$20000,0,$A$2),IF($B$2,""&amp;$A16,$A16)))</f>
        <v>0</v>
      </c>
      <c r="Z16" s="15" t="n">
        <f aca="false">IF(OR(Z$2=0,$A$2=0),0,SUMIFS(INDEX(输入海典!$A$1:$AN$20000,0,Z$2),INDEX(输入海典!$A$1:$AN$20000,0,$A$2),IF($B$2,""&amp;$A16,$A16)))</f>
        <v>0</v>
      </c>
      <c r="AA16" s="15" t="n">
        <f aca="false">IF(OR(AA$2=0,$A$2=0),0,SUMIFS(INDEX(输入海典!$A$1:$AN$20000,0,AA$2),INDEX(输入海典!$A$1:$AN$20000,0,$A$2),IF($B$2,""&amp;$A16,$A16)))</f>
        <v>0</v>
      </c>
      <c r="AB16" s="15" t="n">
        <f aca="false">IF(OR(AB$2=0,$A$2=0),0,SUMIFS(INDEX(输入海典!$A$1:$AN$20000,0,AB$2),INDEX(输入海典!$A$1:$AN$20000,0,$A$2),IF($B$2,""&amp;$A16,$A16)))</f>
        <v>0</v>
      </c>
      <c r="AC16" s="15" t="n">
        <f aca="false">IF(OR(AC$2=0,$A$2=0),0,SUMIFS(INDEX(输入海典!$A$1:$AN$20000,0,AC$2),INDEX(输入海典!$A$1:$AN$20000,0,$A$2),IF($B$2,""&amp;$A16,$A16)))</f>
        <v>0</v>
      </c>
      <c r="AD16" s="15" t="n">
        <f aca="false">IF(OR(AD$2=0,$A$2=0),0,SUMIFS(INDEX(输入海典!$A$1:$AN$20000,0,AD$2),INDEX(输入海典!$A$1:$AN$20000,0,$A$2),IF($B$2,""&amp;$A16,$A16)))</f>
        <v>0</v>
      </c>
      <c r="AE16" s="15" t="n">
        <f aca="false">IF(OR(AE$2=0,$A$2=0),0,SUMIFS(INDEX(输入海典!$A$1:$AN$20000,0,AE$2),INDEX(输入海典!$A$1:$AN$20000,0,$A$2),IF($B$2,""&amp;$A16,$A16)))</f>
        <v>28193.19</v>
      </c>
    </row>
    <row r="17" customFormat="false" ht="14.9" hidden="false" customHeight="false" outlineLevel="0" collapsed="false">
      <c r="A17" s="25" t="n">
        <f aca="false">IF(门店对照!$D16=1,门店对照!$A16,"#未启用#")</f>
        <v>2017</v>
      </c>
      <c r="B17" s="26" t="str">
        <f aca="false">IF(门店对照!$B16="","",门店对照!$B16)</f>
        <v>博天分店（17分店）</v>
      </c>
      <c r="C17" s="15" t="n">
        <f aca="false">IF(OR(C$2=0,$A$2=0),0,SUMIFS(INDEX(输入海典!$A$1:$AN$20000,0,C$2),INDEX(输入海典!$A$1:$AN$20000,0,$A$2),IF($B$2,""&amp;$A17,$A17)))</f>
        <v>2922.7</v>
      </c>
      <c r="D17" s="15" t="n">
        <f aca="false">IF(OR(D$2=0,$A$2=0),0,SUMIFS(INDEX(输入海典!$A$1:$AN$20000,0,D$2),INDEX(输入海典!$A$1:$AN$20000,0,$A$2),IF($B$2,""&amp;$A17,$A17)))</f>
        <v>0</v>
      </c>
      <c r="E17" s="15" t="n">
        <f aca="false">IF(OR(E$2=0,$A$2=0),0,SUMIFS(INDEX(输入海典!$A$1:$AN$20000,0,E$2),INDEX(输入海典!$A$1:$AN$20000,0,$A$2),IF($B$2,""&amp;$A17,$A17)))</f>
        <v>5265.59</v>
      </c>
      <c r="F17" s="15" t="n">
        <f aca="false">IF(OR(F$2=0,$A$2=0),0,SUMIFS(INDEX(输入海典!$A$1:$AN$20000,0,F$2),INDEX(输入海典!$A$1:$AN$20000,0,$A$2),IF($B$2,""&amp;$A17,$A17)))</f>
        <v>968.02</v>
      </c>
      <c r="G17" s="15" t="n">
        <f aca="false">IF(OR(G$2=0,$A$2=0),0,SUMIFS(INDEX(输入海典!$A$1:$AN$20000,0,G$2),INDEX(输入海典!$A$1:$AN$20000,0,$A$2),IF($B$2,""&amp;$A17,$A17)))</f>
        <v>0</v>
      </c>
      <c r="H17" s="15" t="n">
        <f aca="false">IF(OR(H$2=0,$A$2=0),0,SUMIFS(INDEX(输入海典!$A$1:$AN$20000,0,H$2),INDEX(输入海典!$A$1:$AN$20000,0,$A$2),IF($B$2,""&amp;$A17,$A17)))</f>
        <v>0</v>
      </c>
      <c r="I17" s="15" t="n">
        <f aca="false">IF(OR(I$2=0,$A$2=0),0,SUMIFS(INDEX(输入海典!$A$1:$AN$20000,0,I$2),INDEX(输入海典!$A$1:$AN$20000,0,$A$2),IF($B$2,""&amp;$A17,$A17)))</f>
        <v>0</v>
      </c>
      <c r="J17" s="15" t="n">
        <f aca="false">IF(OR(J$2=0,$A$2=0),0,SUMIFS(INDEX(输入海典!$A$1:$AN$20000,0,J$2),INDEX(输入海典!$A$1:$AN$20000,0,$A$2),IF($B$2,""&amp;$A17,$A17)))</f>
        <v>0</v>
      </c>
      <c r="K17" s="15" t="n">
        <f aca="false">IF(OR(K$2=0,$A$2=0),0,SUMIFS(INDEX(输入海典!$A$1:$AN$20000,0,K$2),INDEX(输入海典!$A$1:$AN$20000,0,$A$2),IF($B$2,""&amp;$A17,$A17)))</f>
        <v>0</v>
      </c>
      <c r="L17" s="15" t="n">
        <f aca="false">IF(OR(L$2=0,$A$2=0),0,SUMIFS(INDEX(输入海典!$A$1:$AN$20000,0,L$2),INDEX(输入海典!$A$1:$AN$20000,0,$A$2),IF($B$2,""&amp;$A17,$A17)))</f>
        <v>0</v>
      </c>
      <c r="M17" s="15" t="n">
        <f aca="false">IF(OR(M$2=0,$A$2=0),0,SUMIFS(INDEX(输入海典!$A$1:$AN$20000,0,M$2),INDEX(输入海典!$A$1:$AN$20000,0,$A$2),IF($B$2,""&amp;$A17,$A17)))</f>
        <v>0</v>
      </c>
      <c r="N17" s="15" t="n">
        <f aca="false">IF(OR(N$2=0,$A$2=0),0,SUMIFS(INDEX(输入海典!$A$1:$AN$20000,0,N$2),INDEX(输入海典!$A$1:$AN$20000,0,$A$2),IF($B$2,""&amp;$A17,$A17)))</f>
        <v>0</v>
      </c>
      <c r="O17" s="15" t="n">
        <f aca="false">IF(OR(O$2=0,$A$2=0),0,SUMIFS(INDEX(输入海典!$A$1:$AN$20000,0,O$2),INDEX(输入海典!$A$1:$AN$20000,0,$A$2),IF($B$2,""&amp;$A17,$A17)))</f>
        <v>0</v>
      </c>
      <c r="P17" s="15" t="n">
        <f aca="false">IF(OR(P$2=0,$A$2=0),0,SUMIFS(INDEX(输入海典!$A$1:$AN$20000,0,P$2),INDEX(输入海典!$A$1:$AN$20000,0,$A$2),IF($B$2,""&amp;$A17,$A17)))</f>
        <v>0</v>
      </c>
      <c r="Q17" s="15" t="n">
        <f aca="false">IF(OR(Q$2=0,$A$2=0),0,SUMIFS(INDEX(输入海典!$A$1:$AN$20000,0,Q$2),INDEX(输入海典!$A$1:$AN$20000,0,$A$2),IF($B$2,""&amp;$A17,$A17)))</f>
        <v>0</v>
      </c>
      <c r="R17" s="15" t="n">
        <f aca="false">IF(OR(R$2=0,$A$2=0),0,SUMIFS(INDEX(输入海典!$A$1:$AN$20000,0,R$2),INDEX(输入海典!$A$1:$AN$20000,0,$A$2),IF($B$2,""&amp;$A17,$A17)))</f>
        <v>0</v>
      </c>
      <c r="S17" s="15" t="n">
        <f aca="false">IF(OR(S$2=0,$A$2=0),0,SUMIFS(INDEX(输入海典!$A$1:$AN$20000,0,S$2),INDEX(输入海典!$A$1:$AN$20000,0,$A$2),IF($B$2,""&amp;$A17,$A17)))</f>
        <v>0</v>
      </c>
      <c r="T17" s="15" t="n">
        <f aca="false">IF(OR(T$2=0,$A$2=0),0,SUMIFS(INDEX(输入海典!$A$1:$AN$20000,0,T$2),INDEX(输入海典!$A$1:$AN$20000,0,$A$2),IF($B$2,""&amp;$A17,$A17)))</f>
        <v>26.52</v>
      </c>
      <c r="U17" s="15" t="n">
        <f aca="false">IF(OR(U$2=0,$A$2=0),0,SUMIFS(INDEX(输入海典!$A$1:$AN$20000,0,U$2),INDEX(输入海典!$A$1:$AN$20000,0,$A$2),IF($B$2,""&amp;$A17,$A17)))</f>
        <v>813</v>
      </c>
      <c r="V17" s="15" t="n">
        <f aca="false">IF(OR(V$2=0,$A$2=0),0,SUMIFS(INDEX(输入海典!$A$1:$AN$20000,0,V$2),INDEX(输入海典!$A$1:$AN$20000,0,$A$2),IF($B$2,""&amp;$A17,$A17)))</f>
        <v>0</v>
      </c>
      <c r="W17" s="15" t="n">
        <f aca="false">IF(OR(W$2=0,$A$2=0),0,SUMIFS(INDEX(输入海典!$A$1:$AN$20000,0,W$2),INDEX(输入海典!$A$1:$AN$20000,0,$A$2),IF($B$2,""&amp;$A17,$A17)))</f>
        <v>0</v>
      </c>
      <c r="X17" s="15" t="n">
        <f aca="false">IF(OR(X$2=0,$A$2=0),0,SUMIFS(INDEX(输入海典!$A$1:$AN$20000,0,X$2),INDEX(输入海典!$A$1:$AN$20000,0,$A$2),IF($B$2,""&amp;$A17,$A17)))</f>
        <v>0</v>
      </c>
      <c r="Y17" s="15" t="n">
        <f aca="false">IF(OR(Y$2=0,$A$2=0),0,SUMIFS(INDEX(输入海典!$A$1:$AN$20000,0,Y$2),INDEX(输入海典!$A$1:$AN$20000,0,$A$2),IF($B$2,""&amp;$A17,$A17)))</f>
        <v>0</v>
      </c>
      <c r="Z17" s="15" t="n">
        <f aca="false">IF(OR(Z$2=0,$A$2=0),0,SUMIFS(INDEX(输入海典!$A$1:$AN$20000,0,Z$2),INDEX(输入海典!$A$1:$AN$20000,0,$A$2),IF($B$2,""&amp;$A17,$A17)))</f>
        <v>0</v>
      </c>
      <c r="AA17" s="15" t="n">
        <f aca="false">IF(OR(AA$2=0,$A$2=0),0,SUMIFS(INDEX(输入海典!$A$1:$AN$20000,0,AA$2),INDEX(输入海典!$A$1:$AN$20000,0,$A$2),IF($B$2,""&amp;$A17,$A17)))</f>
        <v>0</v>
      </c>
      <c r="AB17" s="15" t="n">
        <f aca="false">IF(OR(AB$2=0,$A$2=0),0,SUMIFS(INDEX(输入海典!$A$1:$AN$20000,0,AB$2),INDEX(输入海典!$A$1:$AN$20000,0,$A$2),IF($B$2,""&amp;$A17,$A17)))</f>
        <v>0</v>
      </c>
      <c r="AC17" s="15" t="n">
        <f aca="false">IF(OR(AC$2=0,$A$2=0),0,SUMIFS(INDEX(输入海典!$A$1:$AN$20000,0,AC$2),INDEX(输入海典!$A$1:$AN$20000,0,$A$2),IF($B$2,""&amp;$A17,$A17)))</f>
        <v>0</v>
      </c>
      <c r="AD17" s="15" t="n">
        <f aca="false">IF(OR(AD$2=0,$A$2=0),0,SUMIFS(INDEX(输入海典!$A$1:$AN$20000,0,AD$2),INDEX(输入海典!$A$1:$AN$20000,0,$A$2),IF($B$2,""&amp;$A17,$A17)))</f>
        <v>0</v>
      </c>
      <c r="AE17" s="15" t="n">
        <f aca="false">IF(OR(AE$2=0,$A$2=0),0,SUMIFS(INDEX(输入海典!$A$1:$AN$20000,0,AE$2),INDEX(输入海典!$A$1:$AN$20000,0,$A$2),IF($B$2,""&amp;$A17,$A17)))</f>
        <v>9995.83</v>
      </c>
    </row>
    <row r="18" customFormat="false" ht="14.9" hidden="false" customHeight="false" outlineLevel="0" collapsed="false">
      <c r="A18" s="25" t="n">
        <f aca="false">IF(门店对照!$D17=1,门店对照!$A17,"#未启用#")</f>
        <v>2018</v>
      </c>
      <c r="B18" s="26" t="str">
        <f aca="false">IF(门店对照!$B17="","",门店对照!$B17)</f>
        <v>魏家庄分店（18分店）</v>
      </c>
      <c r="C18" s="15" t="n">
        <f aca="false">IF(OR(C$2=0,$A$2=0),0,SUMIFS(INDEX(输入海典!$A$1:$AN$20000,0,C$2),INDEX(输入海典!$A$1:$AN$20000,0,$A$2),IF($B$2,""&amp;$A18,$A18)))</f>
        <v>10466.07</v>
      </c>
      <c r="D18" s="15" t="n">
        <f aca="false">IF(OR(D$2=0,$A$2=0),0,SUMIFS(INDEX(输入海典!$A$1:$AN$20000,0,D$2),INDEX(输入海典!$A$1:$AN$20000,0,$A$2),IF($B$2,""&amp;$A18,$A18)))</f>
        <v>0</v>
      </c>
      <c r="E18" s="15" t="n">
        <f aca="false">IF(OR(E$2=0,$A$2=0),0,SUMIFS(INDEX(输入海典!$A$1:$AN$20000,0,E$2),INDEX(输入海典!$A$1:$AN$20000,0,$A$2),IF($B$2,""&amp;$A18,$A18)))</f>
        <v>23834.39</v>
      </c>
      <c r="F18" s="15" t="n">
        <f aca="false">IF(OR(F$2=0,$A$2=0),0,SUMIFS(INDEX(输入海典!$A$1:$AN$20000,0,F$2),INDEX(输入海典!$A$1:$AN$20000,0,$A$2),IF($B$2,""&amp;$A18,$A18)))</f>
        <v>3799.09</v>
      </c>
      <c r="G18" s="15" t="n">
        <f aca="false">IF(OR(G$2=0,$A$2=0),0,SUMIFS(INDEX(输入海典!$A$1:$AN$20000,0,G$2),INDEX(输入海典!$A$1:$AN$20000,0,$A$2),IF($B$2,""&amp;$A18,$A18)))</f>
        <v>0</v>
      </c>
      <c r="H18" s="15" t="n">
        <f aca="false">IF(OR(H$2=0,$A$2=0),0,SUMIFS(INDEX(输入海典!$A$1:$AN$20000,0,H$2),INDEX(输入海典!$A$1:$AN$20000,0,$A$2),IF($B$2,""&amp;$A18,$A18)))</f>
        <v>0</v>
      </c>
      <c r="I18" s="15" t="n">
        <f aca="false">IF(OR(I$2=0,$A$2=0),0,SUMIFS(INDEX(输入海典!$A$1:$AN$20000,0,I$2),INDEX(输入海典!$A$1:$AN$20000,0,$A$2),IF($B$2,""&amp;$A18,$A18)))</f>
        <v>0</v>
      </c>
      <c r="J18" s="15" t="n">
        <f aca="false">IF(OR(J$2=0,$A$2=0),0,SUMIFS(INDEX(输入海典!$A$1:$AN$20000,0,J$2),INDEX(输入海典!$A$1:$AN$20000,0,$A$2),IF($B$2,""&amp;$A18,$A18)))</f>
        <v>0</v>
      </c>
      <c r="K18" s="15" t="n">
        <f aca="false">IF(OR(K$2=0,$A$2=0),0,SUMIFS(INDEX(输入海典!$A$1:$AN$20000,0,K$2),INDEX(输入海典!$A$1:$AN$20000,0,$A$2),IF($B$2,""&amp;$A18,$A18)))</f>
        <v>0</v>
      </c>
      <c r="L18" s="15" t="n">
        <f aca="false">IF(OR(L$2=0,$A$2=0),0,SUMIFS(INDEX(输入海典!$A$1:$AN$20000,0,L$2),INDEX(输入海典!$A$1:$AN$20000,0,$A$2),IF($B$2,""&amp;$A18,$A18)))</f>
        <v>0</v>
      </c>
      <c r="M18" s="15" t="n">
        <f aca="false">IF(OR(M$2=0,$A$2=0),0,SUMIFS(INDEX(输入海典!$A$1:$AN$20000,0,M$2),INDEX(输入海典!$A$1:$AN$20000,0,$A$2),IF($B$2,""&amp;$A18,$A18)))</f>
        <v>0</v>
      </c>
      <c r="N18" s="15" t="n">
        <f aca="false">IF(OR(N$2=0,$A$2=0),0,SUMIFS(INDEX(输入海典!$A$1:$AN$20000,0,N$2),INDEX(输入海典!$A$1:$AN$20000,0,$A$2),IF($B$2,""&amp;$A18,$A18)))</f>
        <v>0</v>
      </c>
      <c r="O18" s="15" t="n">
        <f aca="false">IF(OR(O$2=0,$A$2=0),0,SUMIFS(INDEX(输入海典!$A$1:$AN$20000,0,O$2),INDEX(输入海典!$A$1:$AN$20000,0,$A$2),IF($B$2,""&amp;$A18,$A18)))</f>
        <v>0</v>
      </c>
      <c r="P18" s="15" t="n">
        <f aca="false">IF(OR(P$2=0,$A$2=0),0,SUMIFS(INDEX(输入海典!$A$1:$AN$20000,0,P$2),INDEX(输入海典!$A$1:$AN$20000,0,$A$2),IF($B$2,""&amp;$A18,$A18)))</f>
        <v>0</v>
      </c>
      <c r="Q18" s="15" t="n">
        <f aca="false">IF(OR(Q$2=0,$A$2=0),0,SUMIFS(INDEX(输入海典!$A$1:$AN$20000,0,Q$2),INDEX(输入海典!$A$1:$AN$20000,0,$A$2),IF($B$2,""&amp;$A18,$A18)))</f>
        <v>0</v>
      </c>
      <c r="R18" s="15" t="n">
        <f aca="false">IF(OR(R$2=0,$A$2=0),0,SUMIFS(INDEX(输入海典!$A$1:$AN$20000,0,R$2),INDEX(输入海典!$A$1:$AN$20000,0,$A$2),IF($B$2,""&amp;$A18,$A18)))</f>
        <v>0</v>
      </c>
      <c r="S18" s="15" t="n">
        <f aca="false">IF(OR(S$2=0,$A$2=0),0,SUMIFS(INDEX(输入海典!$A$1:$AN$20000,0,S$2),INDEX(输入海典!$A$1:$AN$20000,0,$A$2),IF($B$2,""&amp;$A18,$A18)))</f>
        <v>0</v>
      </c>
      <c r="T18" s="15" t="n">
        <f aca="false">IF(OR(T$2=0,$A$2=0),0,SUMIFS(INDEX(输入海典!$A$1:$AN$20000,0,T$2),INDEX(输入海典!$A$1:$AN$20000,0,$A$2),IF($B$2,""&amp;$A18,$A18)))</f>
        <v>9.96</v>
      </c>
      <c r="U18" s="15" t="n">
        <f aca="false">IF(OR(U$2=0,$A$2=0),0,SUMIFS(INDEX(输入海典!$A$1:$AN$20000,0,U$2),INDEX(输入海典!$A$1:$AN$20000,0,$A$2),IF($B$2,""&amp;$A18,$A18)))</f>
        <v>280.4</v>
      </c>
      <c r="V18" s="15" t="n">
        <f aca="false">IF(OR(V$2=0,$A$2=0),0,SUMIFS(INDEX(输入海典!$A$1:$AN$20000,0,V$2),INDEX(输入海典!$A$1:$AN$20000,0,$A$2),IF($B$2,""&amp;$A18,$A18)))</f>
        <v>0</v>
      </c>
      <c r="W18" s="15" t="n">
        <f aca="false">IF(OR(W$2=0,$A$2=0),0,SUMIFS(INDEX(输入海典!$A$1:$AN$20000,0,W$2),INDEX(输入海典!$A$1:$AN$20000,0,$A$2),IF($B$2,""&amp;$A18,$A18)))</f>
        <v>0</v>
      </c>
      <c r="X18" s="15" t="n">
        <f aca="false">IF(OR(X$2=0,$A$2=0),0,SUMIFS(INDEX(输入海典!$A$1:$AN$20000,0,X$2),INDEX(输入海典!$A$1:$AN$20000,0,$A$2),IF($B$2,""&amp;$A18,$A18)))</f>
        <v>0</v>
      </c>
      <c r="Y18" s="15" t="n">
        <f aca="false">IF(OR(Y$2=0,$A$2=0),0,SUMIFS(INDEX(输入海典!$A$1:$AN$20000,0,Y$2),INDEX(输入海典!$A$1:$AN$20000,0,$A$2),IF($B$2,""&amp;$A18,$A18)))</f>
        <v>0</v>
      </c>
      <c r="Z18" s="15" t="n">
        <f aca="false">IF(OR(Z$2=0,$A$2=0),0,SUMIFS(INDEX(输入海典!$A$1:$AN$20000,0,Z$2),INDEX(输入海典!$A$1:$AN$20000,0,$A$2),IF($B$2,""&amp;$A18,$A18)))</f>
        <v>0</v>
      </c>
      <c r="AA18" s="15" t="n">
        <f aca="false">IF(OR(AA$2=0,$A$2=0),0,SUMIFS(INDEX(输入海典!$A$1:$AN$20000,0,AA$2),INDEX(输入海典!$A$1:$AN$20000,0,$A$2),IF($B$2,""&amp;$A18,$A18)))</f>
        <v>0</v>
      </c>
      <c r="AB18" s="15" t="n">
        <f aca="false">IF(OR(AB$2=0,$A$2=0),0,SUMIFS(INDEX(输入海典!$A$1:$AN$20000,0,AB$2),INDEX(输入海典!$A$1:$AN$20000,0,$A$2),IF($B$2,""&amp;$A18,$A18)))</f>
        <v>0</v>
      </c>
      <c r="AC18" s="15" t="n">
        <f aca="false">IF(OR(AC$2=0,$A$2=0),0,SUMIFS(INDEX(输入海典!$A$1:$AN$20000,0,AC$2),INDEX(输入海典!$A$1:$AN$20000,0,$A$2),IF($B$2,""&amp;$A18,$A18)))</f>
        <v>0</v>
      </c>
      <c r="AD18" s="15" t="n">
        <f aca="false">IF(OR(AD$2=0,$A$2=0),0,SUMIFS(INDEX(输入海典!$A$1:$AN$20000,0,AD$2),INDEX(输入海典!$A$1:$AN$20000,0,$A$2),IF($B$2,""&amp;$A18,$A18)))</f>
        <v>0</v>
      </c>
      <c r="AE18" s="15" t="n">
        <f aca="false">IF(OR(AE$2=0,$A$2=0),0,SUMIFS(INDEX(输入海典!$A$1:$AN$20000,0,AE$2),INDEX(输入海典!$A$1:$AN$20000,0,$A$2),IF($B$2,""&amp;$A18,$A18)))</f>
        <v>38389.91</v>
      </c>
    </row>
    <row r="19" customFormat="false" ht="14.9" hidden="false" customHeight="false" outlineLevel="0" collapsed="false">
      <c r="A19" s="25" t="n">
        <f aca="false">IF(门店对照!$D18=1,门店对照!$A18,"#未启用#")</f>
        <v>2022</v>
      </c>
      <c r="B19" s="26" t="str">
        <f aca="false">IF(门店对照!$B18="","",门店对照!$B18)</f>
        <v>北楼分店（22分店）</v>
      </c>
      <c r="C19" s="15" t="n">
        <f aca="false">IF(OR(C$2=0,$A$2=0),0,SUMIFS(INDEX(输入海典!$A$1:$AN$20000,0,C$2),INDEX(输入海典!$A$1:$AN$20000,0,$A$2),IF($B$2,""&amp;$A19,$A19)))</f>
        <v>14368.55</v>
      </c>
      <c r="D19" s="15" t="n">
        <f aca="false">IF(OR(D$2=0,$A$2=0),0,SUMIFS(INDEX(输入海典!$A$1:$AN$20000,0,D$2),INDEX(输入海典!$A$1:$AN$20000,0,$A$2),IF($B$2,""&amp;$A19,$A19)))</f>
        <v>0</v>
      </c>
      <c r="E19" s="15" t="n">
        <f aca="false">IF(OR(E$2=0,$A$2=0),0,SUMIFS(INDEX(输入海典!$A$1:$AN$20000,0,E$2),INDEX(输入海典!$A$1:$AN$20000,0,$A$2),IF($B$2,""&amp;$A19,$A19)))</f>
        <v>47975.88</v>
      </c>
      <c r="F19" s="15" t="n">
        <f aca="false">IF(OR(F$2=0,$A$2=0),0,SUMIFS(INDEX(输入海典!$A$1:$AN$20000,0,F$2),INDEX(输入海典!$A$1:$AN$20000,0,$A$2),IF($B$2,""&amp;$A19,$A19)))</f>
        <v>7948.42</v>
      </c>
      <c r="G19" s="15" t="n">
        <f aca="false">IF(OR(G$2=0,$A$2=0),0,SUMIFS(INDEX(输入海典!$A$1:$AN$20000,0,G$2),INDEX(输入海典!$A$1:$AN$20000,0,$A$2),IF($B$2,""&amp;$A19,$A19)))</f>
        <v>0</v>
      </c>
      <c r="H19" s="15" t="n">
        <f aca="false">IF(OR(H$2=0,$A$2=0),0,SUMIFS(INDEX(输入海典!$A$1:$AN$20000,0,H$2),INDEX(输入海典!$A$1:$AN$20000,0,$A$2),IF($B$2,""&amp;$A19,$A19)))</f>
        <v>0</v>
      </c>
      <c r="I19" s="15" t="n">
        <f aca="false">IF(OR(I$2=0,$A$2=0),0,SUMIFS(INDEX(输入海典!$A$1:$AN$20000,0,I$2),INDEX(输入海典!$A$1:$AN$20000,0,$A$2),IF($B$2,""&amp;$A19,$A19)))</f>
        <v>0</v>
      </c>
      <c r="J19" s="15" t="n">
        <f aca="false">IF(OR(J$2=0,$A$2=0),0,SUMIFS(INDEX(输入海典!$A$1:$AN$20000,0,J$2),INDEX(输入海典!$A$1:$AN$20000,0,$A$2),IF($B$2,""&amp;$A19,$A19)))</f>
        <v>0</v>
      </c>
      <c r="K19" s="15" t="n">
        <f aca="false">IF(OR(K$2=0,$A$2=0),0,SUMIFS(INDEX(输入海典!$A$1:$AN$20000,0,K$2),INDEX(输入海典!$A$1:$AN$20000,0,$A$2),IF($B$2,""&amp;$A19,$A19)))</f>
        <v>0</v>
      </c>
      <c r="L19" s="15" t="n">
        <f aca="false">IF(OR(L$2=0,$A$2=0),0,SUMIFS(INDEX(输入海典!$A$1:$AN$20000,0,L$2),INDEX(输入海典!$A$1:$AN$20000,0,$A$2),IF($B$2,""&amp;$A19,$A19)))</f>
        <v>0</v>
      </c>
      <c r="M19" s="15" t="n">
        <f aca="false">IF(OR(M$2=0,$A$2=0),0,SUMIFS(INDEX(输入海典!$A$1:$AN$20000,0,M$2),INDEX(输入海典!$A$1:$AN$20000,0,$A$2),IF($B$2,""&amp;$A19,$A19)))</f>
        <v>0</v>
      </c>
      <c r="N19" s="15" t="n">
        <f aca="false">IF(OR(N$2=0,$A$2=0),0,SUMIFS(INDEX(输入海典!$A$1:$AN$20000,0,N$2),INDEX(输入海典!$A$1:$AN$20000,0,$A$2),IF($B$2,""&amp;$A19,$A19)))</f>
        <v>0</v>
      </c>
      <c r="O19" s="15" t="n">
        <f aca="false">IF(OR(O$2=0,$A$2=0),0,SUMIFS(INDEX(输入海典!$A$1:$AN$20000,0,O$2),INDEX(输入海典!$A$1:$AN$20000,0,$A$2),IF($B$2,""&amp;$A19,$A19)))</f>
        <v>0</v>
      </c>
      <c r="P19" s="15" t="n">
        <f aca="false">IF(OR(P$2=0,$A$2=0),0,SUMIFS(INDEX(输入海典!$A$1:$AN$20000,0,P$2),INDEX(输入海典!$A$1:$AN$20000,0,$A$2),IF($B$2,""&amp;$A19,$A19)))</f>
        <v>0</v>
      </c>
      <c r="Q19" s="15" t="n">
        <f aca="false">IF(OR(Q$2=0,$A$2=0),0,SUMIFS(INDEX(输入海典!$A$1:$AN$20000,0,Q$2),INDEX(输入海典!$A$1:$AN$20000,0,$A$2),IF($B$2,""&amp;$A19,$A19)))</f>
        <v>51</v>
      </c>
      <c r="R19" s="15" t="n">
        <f aca="false">IF(OR(R$2=0,$A$2=0),0,SUMIFS(INDEX(输入海典!$A$1:$AN$20000,0,R$2),INDEX(输入海典!$A$1:$AN$20000,0,$A$2),IF($B$2,""&amp;$A19,$A19)))</f>
        <v>0</v>
      </c>
      <c r="S19" s="15" t="n">
        <f aca="false">IF(OR(S$2=0,$A$2=0),0,SUMIFS(INDEX(输入海典!$A$1:$AN$20000,0,S$2),INDEX(输入海典!$A$1:$AN$20000,0,$A$2),IF($B$2,""&amp;$A19,$A19)))</f>
        <v>0</v>
      </c>
      <c r="T19" s="15" t="n">
        <f aca="false">IF(OR(T$2=0,$A$2=0),0,SUMIFS(INDEX(输入海典!$A$1:$AN$20000,0,T$2),INDEX(输入海典!$A$1:$AN$20000,0,$A$2),IF($B$2,""&amp;$A19,$A19)))</f>
        <v>0</v>
      </c>
      <c r="U19" s="15" t="n">
        <f aca="false">IF(OR(U$2=0,$A$2=0),0,SUMIFS(INDEX(输入海典!$A$1:$AN$20000,0,U$2),INDEX(输入海典!$A$1:$AN$20000,0,$A$2),IF($B$2,""&amp;$A19,$A19)))</f>
        <v>375.1</v>
      </c>
      <c r="V19" s="15" t="n">
        <f aca="false">IF(OR(V$2=0,$A$2=0),0,SUMIFS(INDEX(输入海典!$A$1:$AN$20000,0,V$2),INDEX(输入海典!$A$1:$AN$20000,0,$A$2),IF($B$2,""&amp;$A19,$A19)))</f>
        <v>0</v>
      </c>
      <c r="W19" s="15" t="n">
        <f aca="false">IF(OR(W$2=0,$A$2=0),0,SUMIFS(INDEX(输入海典!$A$1:$AN$20000,0,W$2),INDEX(输入海典!$A$1:$AN$20000,0,$A$2),IF($B$2,""&amp;$A19,$A19)))</f>
        <v>0</v>
      </c>
      <c r="X19" s="15" t="n">
        <f aca="false">IF(OR(X$2=0,$A$2=0),0,SUMIFS(INDEX(输入海典!$A$1:$AN$20000,0,X$2),INDEX(输入海典!$A$1:$AN$20000,0,$A$2),IF($B$2,""&amp;$A19,$A19)))</f>
        <v>0</v>
      </c>
      <c r="Y19" s="15" t="n">
        <f aca="false">IF(OR(Y$2=0,$A$2=0),0,SUMIFS(INDEX(输入海典!$A$1:$AN$20000,0,Y$2),INDEX(输入海典!$A$1:$AN$20000,0,$A$2),IF($B$2,""&amp;$A19,$A19)))</f>
        <v>0</v>
      </c>
      <c r="Z19" s="15" t="n">
        <f aca="false">IF(OR(Z$2=0,$A$2=0),0,SUMIFS(INDEX(输入海典!$A$1:$AN$20000,0,Z$2),INDEX(输入海典!$A$1:$AN$20000,0,$A$2),IF($B$2,""&amp;$A19,$A19)))</f>
        <v>0</v>
      </c>
      <c r="AA19" s="15" t="n">
        <f aca="false">IF(OR(AA$2=0,$A$2=0),0,SUMIFS(INDEX(输入海典!$A$1:$AN$20000,0,AA$2),INDEX(输入海典!$A$1:$AN$20000,0,$A$2),IF($B$2,""&amp;$A19,$A19)))</f>
        <v>0</v>
      </c>
      <c r="AB19" s="15" t="n">
        <f aca="false">IF(OR(AB$2=0,$A$2=0),0,SUMIFS(INDEX(输入海典!$A$1:$AN$20000,0,AB$2),INDEX(输入海典!$A$1:$AN$20000,0,$A$2),IF($B$2,""&amp;$A19,$A19)))</f>
        <v>0</v>
      </c>
      <c r="AC19" s="15" t="n">
        <f aca="false">IF(OR(AC$2=0,$A$2=0),0,SUMIFS(INDEX(输入海典!$A$1:$AN$20000,0,AC$2),INDEX(输入海典!$A$1:$AN$20000,0,$A$2),IF($B$2,""&amp;$A19,$A19)))</f>
        <v>0</v>
      </c>
      <c r="AD19" s="15" t="n">
        <f aca="false">IF(OR(AD$2=0,$A$2=0),0,SUMIFS(INDEX(输入海典!$A$1:$AN$20000,0,AD$2),INDEX(输入海典!$A$1:$AN$20000,0,$A$2),IF($B$2,""&amp;$A19,$A19)))</f>
        <v>0</v>
      </c>
      <c r="AE19" s="15" t="n">
        <f aca="false">IF(OR(AE$2=0,$A$2=0),0,SUMIFS(INDEX(输入海典!$A$1:$AN$20000,0,AE$2),INDEX(输入海典!$A$1:$AN$20000,0,$A$2),IF($B$2,""&amp;$A19,$A19)))</f>
        <v>70718.95</v>
      </c>
    </row>
    <row r="20" customFormat="false" ht="14.9" hidden="false" customHeight="false" outlineLevel="0" collapsed="false">
      <c r="A20" s="25" t="n">
        <f aca="false">IF(门店对照!$D19=1,门店对照!$A19,"#未启用#")</f>
        <v>2023</v>
      </c>
      <c r="B20" s="26" t="str">
        <f aca="false">IF(门店对照!$B19="","",门店对照!$B19)</f>
        <v>尹村分店(23分店）</v>
      </c>
      <c r="C20" s="15" t="n">
        <f aca="false">IF(OR(C$2=0,$A$2=0),0,SUMIFS(INDEX(输入海典!$A$1:$AN$20000,0,C$2),INDEX(输入海典!$A$1:$AN$20000,0,$A$2),IF($B$2,""&amp;$A20,$A20)))</f>
        <v>10365.03</v>
      </c>
      <c r="D20" s="15" t="n">
        <f aca="false">IF(OR(D$2=0,$A$2=0),0,SUMIFS(INDEX(输入海典!$A$1:$AN$20000,0,D$2),INDEX(输入海典!$A$1:$AN$20000,0,$A$2),IF($B$2,""&amp;$A20,$A20)))</f>
        <v>0</v>
      </c>
      <c r="E20" s="15" t="n">
        <f aca="false">IF(OR(E$2=0,$A$2=0),0,SUMIFS(INDEX(输入海典!$A$1:$AN$20000,0,E$2),INDEX(输入海典!$A$1:$AN$20000,0,$A$2),IF($B$2,""&amp;$A20,$A20)))</f>
        <v>31791.54</v>
      </c>
      <c r="F20" s="15" t="n">
        <f aca="false">IF(OR(F$2=0,$A$2=0),0,SUMIFS(INDEX(输入海典!$A$1:$AN$20000,0,F$2),INDEX(输入海典!$A$1:$AN$20000,0,$A$2),IF($B$2,""&amp;$A20,$A20)))</f>
        <v>8446.29</v>
      </c>
      <c r="G20" s="15" t="n">
        <f aca="false">IF(OR(G$2=0,$A$2=0),0,SUMIFS(INDEX(输入海典!$A$1:$AN$20000,0,G$2),INDEX(输入海典!$A$1:$AN$20000,0,$A$2),IF($B$2,""&amp;$A20,$A20)))</f>
        <v>0</v>
      </c>
      <c r="H20" s="15" t="n">
        <f aca="false">IF(OR(H$2=0,$A$2=0),0,SUMIFS(INDEX(输入海典!$A$1:$AN$20000,0,H$2),INDEX(输入海典!$A$1:$AN$20000,0,$A$2),IF($B$2,""&amp;$A20,$A20)))</f>
        <v>0</v>
      </c>
      <c r="I20" s="15" t="n">
        <f aca="false">IF(OR(I$2=0,$A$2=0),0,SUMIFS(INDEX(输入海典!$A$1:$AN$20000,0,I$2),INDEX(输入海典!$A$1:$AN$20000,0,$A$2),IF($B$2,""&amp;$A20,$A20)))</f>
        <v>0</v>
      </c>
      <c r="J20" s="15" t="n">
        <f aca="false">IF(OR(J$2=0,$A$2=0),0,SUMIFS(INDEX(输入海典!$A$1:$AN$20000,0,J$2),INDEX(输入海典!$A$1:$AN$20000,0,$A$2),IF($B$2,""&amp;$A20,$A20)))</f>
        <v>0</v>
      </c>
      <c r="K20" s="15" t="n">
        <f aca="false">IF(OR(K$2=0,$A$2=0),0,SUMIFS(INDEX(输入海典!$A$1:$AN$20000,0,K$2),INDEX(输入海典!$A$1:$AN$20000,0,$A$2),IF($B$2,""&amp;$A20,$A20)))</f>
        <v>0</v>
      </c>
      <c r="L20" s="15" t="n">
        <f aca="false">IF(OR(L$2=0,$A$2=0),0,SUMIFS(INDEX(输入海典!$A$1:$AN$20000,0,L$2),INDEX(输入海典!$A$1:$AN$20000,0,$A$2),IF($B$2,""&amp;$A20,$A20)))</f>
        <v>0</v>
      </c>
      <c r="M20" s="15" t="n">
        <f aca="false">IF(OR(M$2=0,$A$2=0),0,SUMIFS(INDEX(输入海典!$A$1:$AN$20000,0,M$2),INDEX(输入海典!$A$1:$AN$20000,0,$A$2),IF($B$2,""&amp;$A20,$A20)))</f>
        <v>0</v>
      </c>
      <c r="N20" s="15" t="n">
        <f aca="false">IF(OR(N$2=0,$A$2=0),0,SUMIFS(INDEX(输入海典!$A$1:$AN$20000,0,N$2),INDEX(输入海典!$A$1:$AN$20000,0,$A$2),IF($B$2,""&amp;$A20,$A20)))</f>
        <v>0</v>
      </c>
      <c r="O20" s="15" t="n">
        <f aca="false">IF(OR(O$2=0,$A$2=0),0,SUMIFS(INDEX(输入海典!$A$1:$AN$20000,0,O$2),INDEX(输入海典!$A$1:$AN$20000,0,$A$2),IF($B$2,""&amp;$A20,$A20)))</f>
        <v>0</v>
      </c>
      <c r="P20" s="15" t="n">
        <f aca="false">IF(OR(P$2=0,$A$2=0),0,SUMIFS(INDEX(输入海典!$A$1:$AN$20000,0,P$2),INDEX(输入海典!$A$1:$AN$20000,0,$A$2),IF($B$2,""&amp;$A20,$A20)))</f>
        <v>0</v>
      </c>
      <c r="Q20" s="15" t="n">
        <f aca="false">IF(OR(Q$2=0,$A$2=0),0,SUMIFS(INDEX(输入海典!$A$1:$AN$20000,0,Q$2),INDEX(输入海典!$A$1:$AN$20000,0,$A$2),IF($B$2,""&amp;$A20,$A20)))</f>
        <v>64.4</v>
      </c>
      <c r="R20" s="15" t="n">
        <f aca="false">IF(OR(R$2=0,$A$2=0),0,SUMIFS(INDEX(输入海典!$A$1:$AN$20000,0,R$2),INDEX(输入海典!$A$1:$AN$20000,0,$A$2),IF($B$2,""&amp;$A20,$A20)))</f>
        <v>0</v>
      </c>
      <c r="S20" s="15" t="n">
        <f aca="false">IF(OR(S$2=0,$A$2=0),0,SUMIFS(INDEX(输入海典!$A$1:$AN$20000,0,S$2),INDEX(输入海典!$A$1:$AN$20000,0,$A$2),IF($B$2,""&amp;$A20,$A20)))</f>
        <v>0</v>
      </c>
      <c r="T20" s="15" t="n">
        <f aca="false">IF(OR(T$2=0,$A$2=0),0,SUMIFS(INDEX(输入海典!$A$1:$AN$20000,0,T$2),INDEX(输入海典!$A$1:$AN$20000,0,$A$2),IF($B$2,""&amp;$A20,$A20)))</f>
        <v>37.26</v>
      </c>
      <c r="U20" s="15" t="n">
        <f aca="false">IF(OR(U$2=0,$A$2=0),0,SUMIFS(INDEX(输入海典!$A$1:$AN$20000,0,U$2),INDEX(输入海典!$A$1:$AN$20000,0,$A$2),IF($B$2,""&amp;$A20,$A20)))</f>
        <v>1764.6</v>
      </c>
      <c r="V20" s="15" t="n">
        <f aca="false">IF(OR(V$2=0,$A$2=0),0,SUMIFS(INDEX(输入海典!$A$1:$AN$20000,0,V$2),INDEX(输入海典!$A$1:$AN$20000,0,$A$2),IF($B$2,""&amp;$A20,$A20)))</f>
        <v>0</v>
      </c>
      <c r="W20" s="15" t="n">
        <f aca="false">IF(OR(W$2=0,$A$2=0),0,SUMIFS(INDEX(输入海典!$A$1:$AN$20000,0,W$2),INDEX(输入海典!$A$1:$AN$20000,0,$A$2),IF($B$2,""&amp;$A20,$A20)))</f>
        <v>0</v>
      </c>
      <c r="X20" s="15" t="n">
        <f aca="false">IF(OR(X$2=0,$A$2=0),0,SUMIFS(INDEX(输入海典!$A$1:$AN$20000,0,X$2),INDEX(输入海典!$A$1:$AN$20000,0,$A$2),IF($B$2,""&amp;$A20,$A20)))</f>
        <v>0</v>
      </c>
      <c r="Y20" s="15" t="n">
        <f aca="false">IF(OR(Y$2=0,$A$2=0),0,SUMIFS(INDEX(输入海典!$A$1:$AN$20000,0,Y$2),INDEX(输入海典!$A$1:$AN$20000,0,$A$2),IF($B$2,""&amp;$A20,$A20)))</f>
        <v>0</v>
      </c>
      <c r="Z20" s="15" t="n">
        <f aca="false">IF(OR(Z$2=0,$A$2=0),0,SUMIFS(INDEX(输入海典!$A$1:$AN$20000,0,Z$2),INDEX(输入海典!$A$1:$AN$20000,0,$A$2),IF($B$2,""&amp;$A20,$A20)))</f>
        <v>0</v>
      </c>
      <c r="AA20" s="15" t="n">
        <f aca="false">IF(OR(AA$2=0,$A$2=0),0,SUMIFS(INDEX(输入海典!$A$1:$AN$20000,0,AA$2),INDEX(输入海典!$A$1:$AN$20000,0,$A$2),IF($B$2,""&amp;$A20,$A20)))</f>
        <v>0</v>
      </c>
      <c r="AB20" s="15" t="n">
        <f aca="false">IF(OR(AB$2=0,$A$2=0),0,SUMIFS(INDEX(输入海典!$A$1:$AN$20000,0,AB$2),INDEX(输入海典!$A$1:$AN$20000,0,$A$2),IF($B$2,""&amp;$A20,$A20)))</f>
        <v>0</v>
      </c>
      <c r="AC20" s="15" t="n">
        <f aca="false">IF(OR(AC$2=0,$A$2=0),0,SUMIFS(INDEX(输入海典!$A$1:$AN$20000,0,AC$2),INDEX(输入海典!$A$1:$AN$20000,0,$A$2),IF($B$2,""&amp;$A20,$A20)))</f>
        <v>0</v>
      </c>
      <c r="AD20" s="15" t="n">
        <f aca="false">IF(OR(AD$2=0,$A$2=0),0,SUMIFS(INDEX(输入海典!$A$1:$AN$20000,0,AD$2),INDEX(输入海典!$A$1:$AN$20000,0,$A$2),IF($B$2,""&amp;$A20,$A20)))</f>
        <v>0</v>
      </c>
      <c r="AE20" s="15" t="n">
        <f aca="false">IF(OR(AE$2=0,$A$2=0),0,SUMIFS(INDEX(输入海典!$A$1:$AN$20000,0,AE$2),INDEX(输入海典!$A$1:$AN$20000,0,$A$2),IF($B$2,""&amp;$A20,$A20)))</f>
        <v>52469.12</v>
      </c>
    </row>
    <row r="21" customFormat="false" ht="14.9" hidden="false" customHeight="false" outlineLevel="0" collapsed="false">
      <c r="A21" s="25" t="n">
        <f aca="false">IF(门店对照!$D20=1,门店对照!$A20,"#未启用#")</f>
        <v>2024</v>
      </c>
      <c r="B21" s="26" t="str">
        <f aca="false">IF(门店对照!$B20="","",门店对照!$B20)</f>
        <v>高村分店（24分店）</v>
      </c>
      <c r="C21" s="15" t="n">
        <f aca="false">IF(OR(C$2=0,$A$2=0),0,SUMIFS(INDEX(输入海典!$A$1:$AN$20000,0,C$2),INDEX(输入海典!$A$1:$AN$20000,0,$A$2),IF($B$2,""&amp;$A21,$A21)))</f>
        <v>38459.74</v>
      </c>
      <c r="D21" s="15" t="n">
        <f aca="false">IF(OR(D$2=0,$A$2=0),0,SUMIFS(INDEX(输入海典!$A$1:$AN$20000,0,D$2),INDEX(输入海典!$A$1:$AN$20000,0,$A$2),IF($B$2,""&amp;$A21,$A21)))</f>
        <v>0</v>
      </c>
      <c r="E21" s="15" t="n">
        <f aca="false">IF(OR(E$2=0,$A$2=0),0,SUMIFS(INDEX(输入海典!$A$1:$AN$20000,0,E$2),INDEX(输入海典!$A$1:$AN$20000,0,$A$2),IF($B$2,""&amp;$A21,$A21)))</f>
        <v>47887.5</v>
      </c>
      <c r="F21" s="15" t="n">
        <f aca="false">IF(OR(F$2=0,$A$2=0),0,SUMIFS(INDEX(输入海典!$A$1:$AN$20000,0,F$2),INDEX(输入海典!$A$1:$AN$20000,0,$A$2),IF($B$2,""&amp;$A21,$A21)))</f>
        <v>14787.59</v>
      </c>
      <c r="G21" s="15" t="n">
        <f aca="false">IF(OR(G$2=0,$A$2=0),0,SUMIFS(INDEX(输入海典!$A$1:$AN$20000,0,G$2),INDEX(输入海典!$A$1:$AN$20000,0,$A$2),IF($B$2,""&amp;$A21,$A21)))</f>
        <v>0</v>
      </c>
      <c r="H21" s="15" t="n">
        <f aca="false">IF(OR(H$2=0,$A$2=0),0,SUMIFS(INDEX(输入海典!$A$1:$AN$20000,0,H$2),INDEX(输入海典!$A$1:$AN$20000,0,$A$2),IF($B$2,""&amp;$A21,$A21)))</f>
        <v>0</v>
      </c>
      <c r="I21" s="15" t="n">
        <f aca="false">IF(OR(I$2=0,$A$2=0),0,SUMIFS(INDEX(输入海典!$A$1:$AN$20000,0,I$2),INDEX(输入海典!$A$1:$AN$20000,0,$A$2),IF($B$2,""&amp;$A21,$A21)))</f>
        <v>0</v>
      </c>
      <c r="J21" s="15" t="n">
        <f aca="false">IF(OR(J$2=0,$A$2=0),0,SUMIFS(INDEX(输入海典!$A$1:$AN$20000,0,J$2),INDEX(输入海典!$A$1:$AN$20000,0,$A$2),IF($B$2,""&amp;$A21,$A21)))</f>
        <v>0</v>
      </c>
      <c r="K21" s="15" t="n">
        <f aca="false">IF(OR(K$2=0,$A$2=0),0,SUMIFS(INDEX(输入海典!$A$1:$AN$20000,0,K$2),INDEX(输入海典!$A$1:$AN$20000,0,$A$2),IF($B$2,""&amp;$A21,$A21)))</f>
        <v>0</v>
      </c>
      <c r="L21" s="15" t="n">
        <f aca="false">IF(OR(L$2=0,$A$2=0),0,SUMIFS(INDEX(输入海典!$A$1:$AN$20000,0,L$2),INDEX(输入海典!$A$1:$AN$20000,0,$A$2),IF($B$2,""&amp;$A21,$A21)))</f>
        <v>0</v>
      </c>
      <c r="M21" s="15" t="n">
        <f aca="false">IF(OR(M$2=0,$A$2=0),0,SUMIFS(INDEX(输入海典!$A$1:$AN$20000,0,M$2),INDEX(输入海典!$A$1:$AN$20000,0,$A$2),IF($B$2,""&amp;$A21,$A21)))</f>
        <v>0</v>
      </c>
      <c r="N21" s="15" t="n">
        <f aca="false">IF(OR(N$2=0,$A$2=0),0,SUMIFS(INDEX(输入海典!$A$1:$AN$20000,0,N$2),INDEX(输入海典!$A$1:$AN$20000,0,$A$2),IF($B$2,""&amp;$A21,$A21)))</f>
        <v>0</v>
      </c>
      <c r="O21" s="15" t="n">
        <f aca="false">IF(OR(O$2=0,$A$2=0),0,SUMIFS(INDEX(输入海典!$A$1:$AN$20000,0,O$2),INDEX(输入海典!$A$1:$AN$20000,0,$A$2),IF($B$2,""&amp;$A21,$A21)))</f>
        <v>0</v>
      </c>
      <c r="P21" s="15" t="n">
        <f aca="false">IF(OR(P$2=0,$A$2=0),0,SUMIFS(INDEX(输入海典!$A$1:$AN$20000,0,P$2),INDEX(输入海典!$A$1:$AN$20000,0,$A$2),IF($B$2,""&amp;$A21,$A21)))</f>
        <v>0</v>
      </c>
      <c r="Q21" s="15" t="n">
        <f aca="false">IF(OR(Q$2=0,$A$2=0),0,SUMIFS(INDEX(输入海典!$A$1:$AN$20000,0,Q$2),INDEX(输入海典!$A$1:$AN$20000,0,$A$2),IF($B$2,""&amp;$A21,$A21)))</f>
        <v>177</v>
      </c>
      <c r="R21" s="15" t="n">
        <f aca="false">IF(OR(R$2=0,$A$2=0),0,SUMIFS(INDEX(输入海典!$A$1:$AN$20000,0,R$2),INDEX(输入海典!$A$1:$AN$20000,0,$A$2),IF($B$2,""&amp;$A21,$A21)))</f>
        <v>0</v>
      </c>
      <c r="S21" s="15" t="n">
        <f aca="false">IF(OR(S$2=0,$A$2=0),0,SUMIFS(INDEX(输入海典!$A$1:$AN$20000,0,S$2),INDEX(输入海典!$A$1:$AN$20000,0,$A$2),IF($B$2,""&amp;$A21,$A21)))</f>
        <v>0</v>
      </c>
      <c r="T21" s="15" t="n">
        <f aca="false">IF(OR(T$2=0,$A$2=0),0,SUMIFS(INDEX(输入海典!$A$1:$AN$20000,0,T$2),INDEX(输入海典!$A$1:$AN$20000,0,$A$2),IF($B$2,""&amp;$A21,$A21)))</f>
        <v>127.79</v>
      </c>
      <c r="U21" s="15" t="n">
        <f aca="false">IF(OR(U$2=0,$A$2=0),0,SUMIFS(INDEX(输入海典!$A$1:$AN$20000,0,U$2),INDEX(输入海典!$A$1:$AN$20000,0,$A$2),IF($B$2,""&amp;$A21,$A21)))</f>
        <v>438.3</v>
      </c>
      <c r="V21" s="15" t="n">
        <f aca="false">IF(OR(V$2=0,$A$2=0),0,SUMIFS(INDEX(输入海典!$A$1:$AN$20000,0,V$2),INDEX(输入海典!$A$1:$AN$20000,0,$A$2),IF($B$2,""&amp;$A21,$A21)))</f>
        <v>0</v>
      </c>
      <c r="W21" s="15" t="n">
        <f aca="false">IF(OR(W$2=0,$A$2=0),0,SUMIFS(INDEX(输入海典!$A$1:$AN$20000,0,W$2),INDEX(输入海典!$A$1:$AN$20000,0,$A$2),IF($B$2,""&amp;$A21,$A21)))</f>
        <v>0</v>
      </c>
      <c r="X21" s="15" t="n">
        <f aca="false">IF(OR(X$2=0,$A$2=0),0,SUMIFS(INDEX(输入海典!$A$1:$AN$20000,0,X$2),INDEX(输入海典!$A$1:$AN$20000,0,$A$2),IF($B$2,""&amp;$A21,$A21)))</f>
        <v>0</v>
      </c>
      <c r="Y21" s="15" t="n">
        <f aca="false">IF(OR(Y$2=0,$A$2=0),0,SUMIFS(INDEX(输入海典!$A$1:$AN$20000,0,Y$2),INDEX(输入海典!$A$1:$AN$20000,0,$A$2),IF($B$2,""&amp;$A21,$A21)))</f>
        <v>0</v>
      </c>
      <c r="Z21" s="15" t="n">
        <f aca="false">IF(OR(Z$2=0,$A$2=0),0,SUMIFS(INDEX(输入海典!$A$1:$AN$20000,0,Z$2),INDEX(输入海典!$A$1:$AN$20000,0,$A$2),IF($B$2,""&amp;$A21,$A21)))</f>
        <v>0</v>
      </c>
      <c r="AA21" s="15" t="n">
        <f aca="false">IF(OR(AA$2=0,$A$2=0),0,SUMIFS(INDEX(输入海典!$A$1:$AN$20000,0,AA$2),INDEX(输入海典!$A$1:$AN$20000,0,$A$2),IF($B$2,""&amp;$A21,$A21)))</f>
        <v>0</v>
      </c>
      <c r="AB21" s="15" t="n">
        <f aca="false">IF(OR(AB$2=0,$A$2=0),0,SUMIFS(INDEX(输入海典!$A$1:$AN$20000,0,AB$2),INDEX(输入海典!$A$1:$AN$20000,0,$A$2),IF($B$2,""&amp;$A21,$A21)))</f>
        <v>0</v>
      </c>
      <c r="AC21" s="15" t="n">
        <f aca="false">IF(OR(AC$2=0,$A$2=0),0,SUMIFS(INDEX(输入海典!$A$1:$AN$20000,0,AC$2),INDEX(输入海典!$A$1:$AN$20000,0,$A$2),IF($B$2,""&amp;$A21,$A21)))</f>
        <v>0</v>
      </c>
      <c r="AD21" s="15" t="n">
        <f aca="false">IF(OR(AD$2=0,$A$2=0),0,SUMIFS(INDEX(输入海典!$A$1:$AN$20000,0,AD$2),INDEX(输入海典!$A$1:$AN$20000,0,$A$2),IF($B$2,""&amp;$A21,$A21)))</f>
        <v>0</v>
      </c>
      <c r="AE21" s="15" t="n">
        <f aca="false">IF(OR(AE$2=0,$A$2=0),0,SUMIFS(INDEX(输入海典!$A$1:$AN$20000,0,AE$2),INDEX(输入海典!$A$1:$AN$20000,0,$A$2),IF($B$2,""&amp;$A21,$A21)))</f>
        <v>101877.92</v>
      </c>
    </row>
    <row r="22" customFormat="false" ht="14.9" hidden="false" customHeight="false" outlineLevel="0" collapsed="false">
      <c r="A22" s="25" t="n">
        <f aca="false">IF(门店对照!$D21=1,门店对照!$A21,"#未启用#")</f>
        <v>2026</v>
      </c>
      <c r="B22" s="26" t="str">
        <f aca="false">IF(门店对照!$B21="","",门店对照!$B21)</f>
        <v>彭村分店（26分店）</v>
      </c>
      <c r="C22" s="15" t="n">
        <f aca="false">IF(OR(C$2=0,$A$2=0),0,SUMIFS(INDEX(输入海典!$A$1:$AN$20000,0,C$2),INDEX(输入海典!$A$1:$AN$20000,0,$A$2),IF($B$2,""&amp;$A22,$A22)))</f>
        <v>7900.28</v>
      </c>
      <c r="D22" s="15" t="n">
        <f aca="false">IF(OR(D$2=0,$A$2=0),0,SUMIFS(INDEX(输入海典!$A$1:$AN$20000,0,D$2),INDEX(输入海典!$A$1:$AN$20000,0,$A$2),IF($B$2,""&amp;$A22,$A22)))</f>
        <v>0</v>
      </c>
      <c r="E22" s="15" t="n">
        <f aca="false">IF(OR(E$2=0,$A$2=0),0,SUMIFS(INDEX(输入海典!$A$1:$AN$20000,0,E$2),INDEX(输入海典!$A$1:$AN$20000,0,$A$2),IF($B$2,""&amp;$A22,$A22)))</f>
        <v>25243.96</v>
      </c>
      <c r="F22" s="15" t="n">
        <f aca="false">IF(OR(F$2=0,$A$2=0),0,SUMIFS(INDEX(输入海典!$A$1:$AN$20000,0,F$2),INDEX(输入海典!$A$1:$AN$20000,0,$A$2),IF($B$2,""&amp;$A22,$A22)))</f>
        <v>1260.36</v>
      </c>
      <c r="G22" s="15" t="n">
        <f aca="false">IF(OR(G$2=0,$A$2=0),0,SUMIFS(INDEX(输入海典!$A$1:$AN$20000,0,G$2),INDEX(输入海典!$A$1:$AN$20000,0,$A$2),IF($B$2,""&amp;$A22,$A22)))</f>
        <v>0</v>
      </c>
      <c r="H22" s="15" t="n">
        <f aca="false">IF(OR(H$2=0,$A$2=0),0,SUMIFS(INDEX(输入海典!$A$1:$AN$20000,0,H$2),INDEX(输入海典!$A$1:$AN$20000,0,$A$2),IF($B$2,""&amp;$A22,$A22)))</f>
        <v>0</v>
      </c>
      <c r="I22" s="15" t="n">
        <f aca="false">IF(OR(I$2=0,$A$2=0),0,SUMIFS(INDEX(输入海典!$A$1:$AN$20000,0,I$2),INDEX(输入海典!$A$1:$AN$20000,0,$A$2),IF($B$2,""&amp;$A22,$A22)))</f>
        <v>0</v>
      </c>
      <c r="J22" s="15" t="n">
        <f aca="false">IF(OR(J$2=0,$A$2=0),0,SUMIFS(INDEX(输入海典!$A$1:$AN$20000,0,J$2),INDEX(输入海典!$A$1:$AN$20000,0,$A$2),IF($B$2,""&amp;$A22,$A22)))</f>
        <v>0</v>
      </c>
      <c r="K22" s="15" t="n">
        <f aca="false">IF(OR(K$2=0,$A$2=0),0,SUMIFS(INDEX(输入海典!$A$1:$AN$20000,0,K$2),INDEX(输入海典!$A$1:$AN$20000,0,$A$2),IF($B$2,""&amp;$A22,$A22)))</f>
        <v>0</v>
      </c>
      <c r="L22" s="15" t="n">
        <f aca="false">IF(OR(L$2=0,$A$2=0),0,SUMIFS(INDEX(输入海典!$A$1:$AN$20000,0,L$2),INDEX(输入海典!$A$1:$AN$20000,0,$A$2),IF($B$2,""&amp;$A22,$A22)))</f>
        <v>0</v>
      </c>
      <c r="M22" s="15" t="n">
        <f aca="false">IF(OR(M$2=0,$A$2=0),0,SUMIFS(INDEX(输入海典!$A$1:$AN$20000,0,M$2),INDEX(输入海典!$A$1:$AN$20000,0,$A$2),IF($B$2,""&amp;$A22,$A22)))</f>
        <v>0</v>
      </c>
      <c r="N22" s="15" t="n">
        <f aca="false">IF(OR(N$2=0,$A$2=0),0,SUMIFS(INDEX(输入海典!$A$1:$AN$20000,0,N$2),INDEX(输入海典!$A$1:$AN$20000,0,$A$2),IF($B$2,""&amp;$A22,$A22)))</f>
        <v>0</v>
      </c>
      <c r="O22" s="15" t="n">
        <f aca="false">IF(OR(O$2=0,$A$2=0),0,SUMIFS(INDEX(输入海典!$A$1:$AN$20000,0,O$2),INDEX(输入海典!$A$1:$AN$20000,0,$A$2),IF($B$2,""&amp;$A22,$A22)))</f>
        <v>0</v>
      </c>
      <c r="P22" s="15" t="n">
        <f aca="false">IF(OR(P$2=0,$A$2=0),0,SUMIFS(INDEX(输入海典!$A$1:$AN$20000,0,P$2),INDEX(输入海典!$A$1:$AN$20000,0,$A$2),IF($B$2,""&amp;$A22,$A22)))</f>
        <v>-0.2</v>
      </c>
      <c r="Q22" s="15" t="n">
        <f aca="false">IF(OR(Q$2=0,$A$2=0),0,SUMIFS(INDEX(输入海典!$A$1:$AN$20000,0,Q$2),INDEX(输入海典!$A$1:$AN$20000,0,$A$2),IF($B$2,""&amp;$A22,$A22)))</f>
        <v>0</v>
      </c>
      <c r="R22" s="15" t="n">
        <f aca="false">IF(OR(R$2=0,$A$2=0),0,SUMIFS(INDEX(输入海典!$A$1:$AN$20000,0,R$2),INDEX(输入海典!$A$1:$AN$20000,0,$A$2),IF($B$2,""&amp;$A22,$A22)))</f>
        <v>0</v>
      </c>
      <c r="S22" s="15" t="n">
        <f aca="false">IF(OR(S$2=0,$A$2=0),0,SUMIFS(INDEX(输入海典!$A$1:$AN$20000,0,S$2),INDEX(输入海典!$A$1:$AN$20000,0,$A$2),IF($B$2,""&amp;$A22,$A22)))</f>
        <v>0</v>
      </c>
      <c r="T22" s="15" t="n">
        <f aca="false">IF(OR(T$2=0,$A$2=0),0,SUMIFS(INDEX(输入海典!$A$1:$AN$20000,0,T$2),INDEX(输入海典!$A$1:$AN$20000,0,$A$2),IF($B$2,""&amp;$A22,$A22)))</f>
        <v>15.2</v>
      </c>
      <c r="U22" s="15" t="n">
        <f aca="false">IF(OR(U$2=0,$A$2=0),0,SUMIFS(INDEX(输入海典!$A$1:$AN$20000,0,U$2),INDEX(输入海典!$A$1:$AN$20000,0,$A$2),IF($B$2,""&amp;$A22,$A22)))</f>
        <v>826.1</v>
      </c>
      <c r="V22" s="15" t="n">
        <f aca="false">IF(OR(V$2=0,$A$2=0),0,SUMIFS(INDEX(输入海典!$A$1:$AN$20000,0,V$2),INDEX(输入海典!$A$1:$AN$20000,0,$A$2),IF($B$2,""&amp;$A22,$A22)))</f>
        <v>0</v>
      </c>
      <c r="W22" s="15" t="n">
        <f aca="false">IF(OR(W$2=0,$A$2=0),0,SUMIFS(INDEX(输入海典!$A$1:$AN$20000,0,W$2),INDEX(输入海典!$A$1:$AN$20000,0,$A$2),IF($B$2,""&amp;$A22,$A22)))</f>
        <v>0</v>
      </c>
      <c r="X22" s="15" t="n">
        <f aca="false">IF(OR(X$2=0,$A$2=0),0,SUMIFS(INDEX(输入海典!$A$1:$AN$20000,0,X$2),INDEX(输入海典!$A$1:$AN$20000,0,$A$2),IF($B$2,""&amp;$A22,$A22)))</f>
        <v>0</v>
      </c>
      <c r="Y22" s="15" t="n">
        <f aca="false">IF(OR(Y$2=0,$A$2=0),0,SUMIFS(INDEX(输入海典!$A$1:$AN$20000,0,Y$2),INDEX(输入海典!$A$1:$AN$20000,0,$A$2),IF($B$2,""&amp;$A22,$A22)))</f>
        <v>0</v>
      </c>
      <c r="Z22" s="15" t="n">
        <f aca="false">IF(OR(Z$2=0,$A$2=0),0,SUMIFS(INDEX(输入海典!$A$1:$AN$20000,0,Z$2),INDEX(输入海典!$A$1:$AN$20000,0,$A$2),IF($B$2,""&amp;$A22,$A22)))</f>
        <v>0</v>
      </c>
      <c r="AA22" s="15" t="n">
        <f aca="false">IF(OR(AA$2=0,$A$2=0),0,SUMIFS(INDEX(输入海典!$A$1:$AN$20000,0,AA$2),INDEX(输入海典!$A$1:$AN$20000,0,$A$2),IF($B$2,""&amp;$A22,$A22)))</f>
        <v>0</v>
      </c>
      <c r="AB22" s="15" t="n">
        <f aca="false">IF(OR(AB$2=0,$A$2=0),0,SUMIFS(INDEX(输入海典!$A$1:$AN$20000,0,AB$2),INDEX(输入海典!$A$1:$AN$20000,0,$A$2),IF($B$2,""&amp;$A22,$A22)))</f>
        <v>0</v>
      </c>
      <c r="AC22" s="15" t="n">
        <f aca="false">IF(OR(AC$2=0,$A$2=0),0,SUMIFS(INDEX(输入海典!$A$1:$AN$20000,0,AC$2),INDEX(输入海典!$A$1:$AN$20000,0,$A$2),IF($B$2,""&amp;$A22,$A22)))</f>
        <v>0</v>
      </c>
      <c r="AD22" s="15" t="n">
        <f aca="false">IF(OR(AD$2=0,$A$2=0),0,SUMIFS(INDEX(输入海典!$A$1:$AN$20000,0,AD$2),INDEX(输入海典!$A$1:$AN$20000,0,$A$2),IF($B$2,""&amp;$A22,$A22)))</f>
        <v>0</v>
      </c>
      <c r="AE22" s="15" t="n">
        <f aca="false">IF(OR(AE$2=0,$A$2=0),0,SUMIFS(INDEX(输入海典!$A$1:$AN$20000,0,AE$2),INDEX(输入海典!$A$1:$AN$20000,0,$A$2),IF($B$2,""&amp;$A22,$A22)))</f>
        <v>35245.7</v>
      </c>
    </row>
    <row r="23" customFormat="false" ht="14.9" hidden="false" customHeight="false" outlineLevel="0" collapsed="false">
      <c r="A23" s="25" t="n">
        <f aca="false">IF(门店对照!$D22=1,门店对照!$A22,"#未启用#")</f>
        <v>2030</v>
      </c>
      <c r="B23" s="26" t="str">
        <f aca="false">IF(门店对照!$B22="","",门店对照!$B22)</f>
        <v>南位药店（30分店）</v>
      </c>
      <c r="C23" s="15" t="n">
        <f aca="false">IF(OR(C$2=0,$A$2=0),0,SUMIFS(INDEX(输入海典!$A$1:$AN$20000,0,C$2),INDEX(输入海典!$A$1:$AN$20000,0,$A$2),IF($B$2,""&amp;$A23,$A23)))</f>
        <v>10577.51</v>
      </c>
      <c r="D23" s="15" t="n">
        <f aca="false">IF(OR(D$2=0,$A$2=0),0,SUMIFS(INDEX(输入海典!$A$1:$AN$20000,0,D$2),INDEX(输入海典!$A$1:$AN$20000,0,$A$2),IF($B$2,""&amp;$A23,$A23)))</f>
        <v>0</v>
      </c>
      <c r="E23" s="15" t="n">
        <f aca="false">IF(OR(E$2=0,$A$2=0),0,SUMIFS(INDEX(输入海典!$A$1:$AN$20000,0,E$2),INDEX(输入海典!$A$1:$AN$20000,0,$A$2),IF($B$2,""&amp;$A23,$A23)))</f>
        <v>17060.49</v>
      </c>
      <c r="F23" s="15" t="n">
        <f aca="false">IF(OR(F$2=0,$A$2=0),0,SUMIFS(INDEX(输入海典!$A$1:$AN$20000,0,F$2),INDEX(输入海典!$A$1:$AN$20000,0,$A$2),IF($B$2,""&amp;$A23,$A23)))</f>
        <v>3761.34</v>
      </c>
      <c r="G23" s="15" t="n">
        <f aca="false">IF(OR(G$2=0,$A$2=0),0,SUMIFS(INDEX(输入海典!$A$1:$AN$20000,0,G$2),INDEX(输入海典!$A$1:$AN$20000,0,$A$2),IF($B$2,""&amp;$A23,$A23)))</f>
        <v>0</v>
      </c>
      <c r="H23" s="15" t="n">
        <f aca="false">IF(OR(H$2=0,$A$2=0),0,SUMIFS(INDEX(输入海典!$A$1:$AN$20000,0,H$2),INDEX(输入海典!$A$1:$AN$20000,0,$A$2),IF($B$2,""&amp;$A23,$A23)))</f>
        <v>0</v>
      </c>
      <c r="I23" s="15" t="n">
        <f aca="false">IF(OR(I$2=0,$A$2=0),0,SUMIFS(INDEX(输入海典!$A$1:$AN$20000,0,I$2),INDEX(输入海典!$A$1:$AN$20000,0,$A$2),IF($B$2,""&amp;$A23,$A23)))</f>
        <v>0</v>
      </c>
      <c r="J23" s="15" t="n">
        <f aca="false">IF(OR(J$2=0,$A$2=0),0,SUMIFS(INDEX(输入海典!$A$1:$AN$20000,0,J$2),INDEX(输入海典!$A$1:$AN$20000,0,$A$2),IF($B$2,""&amp;$A23,$A23)))</f>
        <v>0</v>
      </c>
      <c r="K23" s="15" t="n">
        <f aca="false">IF(OR(K$2=0,$A$2=0),0,SUMIFS(INDEX(输入海典!$A$1:$AN$20000,0,K$2),INDEX(输入海典!$A$1:$AN$20000,0,$A$2),IF($B$2,""&amp;$A23,$A23)))</f>
        <v>0</v>
      </c>
      <c r="L23" s="15" t="n">
        <f aca="false">IF(OR(L$2=0,$A$2=0),0,SUMIFS(INDEX(输入海典!$A$1:$AN$20000,0,L$2),INDEX(输入海典!$A$1:$AN$20000,0,$A$2),IF($B$2,""&amp;$A23,$A23)))</f>
        <v>0</v>
      </c>
      <c r="M23" s="15" t="n">
        <f aca="false">IF(OR(M$2=0,$A$2=0),0,SUMIFS(INDEX(输入海典!$A$1:$AN$20000,0,M$2),INDEX(输入海典!$A$1:$AN$20000,0,$A$2),IF($B$2,""&amp;$A23,$A23)))</f>
        <v>0</v>
      </c>
      <c r="N23" s="15" t="n">
        <f aca="false">IF(OR(N$2=0,$A$2=0),0,SUMIFS(INDEX(输入海典!$A$1:$AN$20000,0,N$2),INDEX(输入海典!$A$1:$AN$20000,0,$A$2),IF($B$2,""&amp;$A23,$A23)))</f>
        <v>0</v>
      </c>
      <c r="O23" s="15" t="n">
        <f aca="false">IF(OR(O$2=0,$A$2=0),0,SUMIFS(INDEX(输入海典!$A$1:$AN$20000,0,O$2),INDEX(输入海典!$A$1:$AN$20000,0,$A$2),IF($B$2,""&amp;$A23,$A23)))</f>
        <v>0</v>
      </c>
      <c r="P23" s="15" t="n">
        <f aca="false">IF(OR(P$2=0,$A$2=0),0,SUMIFS(INDEX(输入海典!$A$1:$AN$20000,0,P$2),INDEX(输入海典!$A$1:$AN$20000,0,$A$2),IF($B$2,""&amp;$A23,$A23)))</f>
        <v>-0.7</v>
      </c>
      <c r="Q23" s="15" t="n">
        <f aca="false">IF(OR(Q$2=0,$A$2=0),0,SUMIFS(INDEX(输入海典!$A$1:$AN$20000,0,Q$2),INDEX(输入海典!$A$1:$AN$20000,0,$A$2),IF($B$2,""&amp;$A23,$A23)))</f>
        <v>16.5</v>
      </c>
      <c r="R23" s="15" t="n">
        <f aca="false">IF(OR(R$2=0,$A$2=0),0,SUMIFS(INDEX(输入海典!$A$1:$AN$20000,0,R$2),INDEX(输入海典!$A$1:$AN$20000,0,$A$2),IF($B$2,""&amp;$A23,$A23)))</f>
        <v>0</v>
      </c>
      <c r="S23" s="15" t="n">
        <f aca="false">IF(OR(S$2=0,$A$2=0),0,SUMIFS(INDEX(输入海典!$A$1:$AN$20000,0,S$2),INDEX(输入海典!$A$1:$AN$20000,0,$A$2),IF($B$2,""&amp;$A23,$A23)))</f>
        <v>0</v>
      </c>
      <c r="T23" s="15" t="n">
        <f aca="false">IF(OR(T$2=0,$A$2=0),0,SUMIFS(INDEX(输入海典!$A$1:$AN$20000,0,T$2),INDEX(输入海典!$A$1:$AN$20000,0,$A$2),IF($B$2,""&amp;$A23,$A23)))</f>
        <v>3.81</v>
      </c>
      <c r="U23" s="15" t="n">
        <f aca="false">IF(OR(U$2=0,$A$2=0),0,SUMIFS(INDEX(输入海典!$A$1:$AN$20000,0,U$2),INDEX(输入海典!$A$1:$AN$20000,0,$A$2),IF($B$2,""&amp;$A23,$A23)))</f>
        <v>459.1</v>
      </c>
      <c r="V23" s="15" t="n">
        <f aca="false">IF(OR(V$2=0,$A$2=0),0,SUMIFS(INDEX(输入海典!$A$1:$AN$20000,0,V$2),INDEX(输入海典!$A$1:$AN$20000,0,$A$2),IF($B$2,""&amp;$A23,$A23)))</f>
        <v>0</v>
      </c>
      <c r="W23" s="15" t="n">
        <f aca="false">IF(OR(W$2=0,$A$2=0),0,SUMIFS(INDEX(输入海典!$A$1:$AN$20000,0,W$2),INDEX(输入海典!$A$1:$AN$20000,0,$A$2),IF($B$2,""&amp;$A23,$A23)))</f>
        <v>0</v>
      </c>
      <c r="X23" s="15" t="n">
        <f aca="false">IF(OR(X$2=0,$A$2=0),0,SUMIFS(INDEX(输入海典!$A$1:$AN$20000,0,X$2),INDEX(输入海典!$A$1:$AN$20000,0,$A$2),IF($B$2,""&amp;$A23,$A23)))</f>
        <v>0</v>
      </c>
      <c r="Y23" s="15" t="n">
        <f aca="false">IF(OR(Y$2=0,$A$2=0),0,SUMIFS(INDEX(输入海典!$A$1:$AN$20000,0,Y$2),INDEX(输入海典!$A$1:$AN$20000,0,$A$2),IF($B$2,""&amp;$A23,$A23)))</f>
        <v>0</v>
      </c>
      <c r="Z23" s="15" t="n">
        <f aca="false">IF(OR(Z$2=0,$A$2=0),0,SUMIFS(INDEX(输入海典!$A$1:$AN$20000,0,Z$2),INDEX(输入海典!$A$1:$AN$20000,0,$A$2),IF($B$2,""&amp;$A23,$A23)))</f>
        <v>0</v>
      </c>
      <c r="AA23" s="15" t="n">
        <f aca="false">IF(OR(AA$2=0,$A$2=0),0,SUMIFS(INDEX(输入海典!$A$1:$AN$20000,0,AA$2),INDEX(输入海典!$A$1:$AN$20000,0,$A$2),IF($B$2,""&amp;$A23,$A23)))</f>
        <v>0</v>
      </c>
      <c r="AB23" s="15" t="n">
        <f aca="false">IF(OR(AB$2=0,$A$2=0),0,SUMIFS(INDEX(输入海典!$A$1:$AN$20000,0,AB$2),INDEX(输入海典!$A$1:$AN$20000,0,$A$2),IF($B$2,""&amp;$A23,$A23)))</f>
        <v>0</v>
      </c>
      <c r="AC23" s="15" t="n">
        <f aca="false">IF(OR(AC$2=0,$A$2=0),0,SUMIFS(INDEX(输入海典!$A$1:$AN$20000,0,AC$2),INDEX(输入海典!$A$1:$AN$20000,0,$A$2),IF($B$2,""&amp;$A23,$A23)))</f>
        <v>0</v>
      </c>
      <c r="AD23" s="15" t="n">
        <f aca="false">IF(OR(AD$2=0,$A$2=0),0,SUMIFS(INDEX(输入海典!$A$1:$AN$20000,0,AD$2),INDEX(输入海典!$A$1:$AN$20000,0,$A$2),IF($B$2,""&amp;$A23,$A23)))</f>
        <v>0</v>
      </c>
      <c r="AE23" s="15" t="n">
        <f aca="false">IF(OR(AE$2=0,$A$2=0),0,SUMIFS(INDEX(输入海典!$A$1:$AN$20000,0,AE$2),INDEX(输入海典!$A$1:$AN$20000,0,$A$2),IF($B$2,""&amp;$A23,$A23)))</f>
        <v>31878.05</v>
      </c>
    </row>
    <row r="24" customFormat="false" ht="14.9" hidden="false" customHeight="false" outlineLevel="0" collapsed="false">
      <c r="A24" s="25" t="n">
        <f aca="false">IF(门店对照!$D23=1,门店对照!$A23,"#未启用#")</f>
        <v>2032</v>
      </c>
      <c r="B24" s="26" t="str">
        <f aca="false">IF(门店对照!$B23="","",门店对照!$B23)</f>
        <v>博园分店（32店）</v>
      </c>
      <c r="C24" s="15" t="n">
        <f aca="false">IF(OR(C$2=0,$A$2=0),0,SUMIFS(INDEX(输入海典!$A$1:$AN$20000,0,C$2),INDEX(输入海典!$A$1:$AN$20000,0,$A$2),IF($B$2,""&amp;$A24,$A24)))</f>
        <v>8260.86</v>
      </c>
      <c r="D24" s="15" t="n">
        <f aca="false">IF(OR(D$2=0,$A$2=0),0,SUMIFS(INDEX(输入海典!$A$1:$AN$20000,0,D$2),INDEX(输入海典!$A$1:$AN$20000,0,$A$2),IF($B$2,""&amp;$A24,$A24)))</f>
        <v>0</v>
      </c>
      <c r="E24" s="15" t="n">
        <f aca="false">IF(OR(E$2=0,$A$2=0),0,SUMIFS(INDEX(输入海典!$A$1:$AN$20000,0,E$2),INDEX(输入海典!$A$1:$AN$20000,0,$A$2),IF($B$2,""&amp;$A24,$A24)))</f>
        <v>21568.27</v>
      </c>
      <c r="F24" s="15" t="n">
        <f aca="false">IF(OR(F$2=0,$A$2=0),0,SUMIFS(INDEX(输入海典!$A$1:$AN$20000,0,F$2),INDEX(输入海典!$A$1:$AN$20000,0,$A$2),IF($B$2,""&amp;$A24,$A24)))</f>
        <v>10314.73</v>
      </c>
      <c r="G24" s="15" t="n">
        <f aca="false">IF(OR(G$2=0,$A$2=0),0,SUMIFS(INDEX(输入海典!$A$1:$AN$20000,0,G$2),INDEX(输入海典!$A$1:$AN$20000,0,$A$2),IF($B$2,""&amp;$A24,$A24)))</f>
        <v>0</v>
      </c>
      <c r="H24" s="15" t="n">
        <f aca="false">IF(OR(H$2=0,$A$2=0),0,SUMIFS(INDEX(输入海典!$A$1:$AN$20000,0,H$2),INDEX(输入海典!$A$1:$AN$20000,0,$A$2),IF($B$2,""&amp;$A24,$A24)))</f>
        <v>0</v>
      </c>
      <c r="I24" s="15" t="n">
        <f aca="false">IF(OR(I$2=0,$A$2=0),0,SUMIFS(INDEX(输入海典!$A$1:$AN$20000,0,I$2),INDEX(输入海典!$A$1:$AN$20000,0,$A$2),IF($B$2,""&amp;$A24,$A24)))</f>
        <v>0</v>
      </c>
      <c r="J24" s="15" t="n">
        <f aca="false">IF(OR(J$2=0,$A$2=0),0,SUMIFS(INDEX(输入海典!$A$1:$AN$20000,0,J$2),INDEX(输入海典!$A$1:$AN$20000,0,$A$2),IF($B$2,""&amp;$A24,$A24)))</f>
        <v>0</v>
      </c>
      <c r="K24" s="15" t="n">
        <f aca="false">IF(OR(K$2=0,$A$2=0),0,SUMIFS(INDEX(输入海典!$A$1:$AN$20000,0,K$2),INDEX(输入海典!$A$1:$AN$20000,0,$A$2),IF($B$2,""&amp;$A24,$A24)))</f>
        <v>0</v>
      </c>
      <c r="L24" s="15" t="n">
        <f aca="false">IF(OR(L$2=0,$A$2=0),0,SUMIFS(INDEX(输入海典!$A$1:$AN$20000,0,L$2),INDEX(输入海典!$A$1:$AN$20000,0,$A$2),IF($B$2,""&amp;$A24,$A24)))</f>
        <v>0</v>
      </c>
      <c r="M24" s="15" t="n">
        <f aca="false">IF(OR(M$2=0,$A$2=0),0,SUMIFS(INDEX(输入海典!$A$1:$AN$20000,0,M$2),INDEX(输入海典!$A$1:$AN$20000,0,$A$2),IF($B$2,""&amp;$A24,$A24)))</f>
        <v>0</v>
      </c>
      <c r="N24" s="15" t="n">
        <f aca="false">IF(OR(N$2=0,$A$2=0),0,SUMIFS(INDEX(输入海典!$A$1:$AN$20000,0,N$2),INDEX(输入海典!$A$1:$AN$20000,0,$A$2),IF($B$2,""&amp;$A24,$A24)))</f>
        <v>0</v>
      </c>
      <c r="O24" s="15" t="n">
        <f aca="false">IF(OR(O$2=0,$A$2=0),0,SUMIFS(INDEX(输入海典!$A$1:$AN$20000,0,O$2),INDEX(输入海典!$A$1:$AN$20000,0,$A$2),IF($B$2,""&amp;$A24,$A24)))</f>
        <v>0</v>
      </c>
      <c r="P24" s="15" t="n">
        <f aca="false">IF(OR(P$2=0,$A$2=0),0,SUMIFS(INDEX(输入海典!$A$1:$AN$20000,0,P$2),INDEX(输入海典!$A$1:$AN$20000,0,$A$2),IF($B$2,""&amp;$A24,$A24)))</f>
        <v>0</v>
      </c>
      <c r="Q24" s="15" t="n">
        <f aca="false">IF(OR(Q$2=0,$A$2=0),0,SUMIFS(INDEX(输入海典!$A$1:$AN$20000,0,Q$2),INDEX(输入海典!$A$1:$AN$20000,0,$A$2),IF($B$2,""&amp;$A24,$A24)))</f>
        <v>1996.8</v>
      </c>
      <c r="R24" s="15" t="n">
        <f aca="false">IF(OR(R$2=0,$A$2=0),0,SUMIFS(INDEX(输入海典!$A$1:$AN$20000,0,R$2),INDEX(输入海典!$A$1:$AN$20000,0,$A$2),IF($B$2,""&amp;$A24,$A24)))</f>
        <v>0</v>
      </c>
      <c r="S24" s="15" t="n">
        <f aca="false">IF(OR(S$2=0,$A$2=0),0,SUMIFS(INDEX(输入海典!$A$1:$AN$20000,0,S$2),INDEX(输入海典!$A$1:$AN$20000,0,$A$2),IF($B$2,""&amp;$A24,$A24)))</f>
        <v>0</v>
      </c>
      <c r="T24" s="15" t="n">
        <f aca="false">IF(OR(T$2=0,$A$2=0),0,SUMIFS(INDEX(输入海典!$A$1:$AN$20000,0,T$2),INDEX(输入海典!$A$1:$AN$20000,0,$A$2),IF($B$2,""&amp;$A24,$A24)))</f>
        <v>238.85</v>
      </c>
      <c r="U24" s="15" t="n">
        <f aca="false">IF(OR(U$2=0,$A$2=0),0,SUMIFS(INDEX(输入海典!$A$1:$AN$20000,0,U$2),INDEX(输入海典!$A$1:$AN$20000,0,$A$2),IF($B$2,""&amp;$A24,$A24)))</f>
        <v>1323</v>
      </c>
      <c r="V24" s="15" t="n">
        <f aca="false">IF(OR(V$2=0,$A$2=0),0,SUMIFS(INDEX(输入海典!$A$1:$AN$20000,0,V$2),INDEX(输入海典!$A$1:$AN$20000,0,$A$2),IF($B$2,""&amp;$A24,$A24)))</f>
        <v>0</v>
      </c>
      <c r="W24" s="15" t="n">
        <f aca="false">IF(OR(W$2=0,$A$2=0),0,SUMIFS(INDEX(输入海典!$A$1:$AN$20000,0,W$2),INDEX(输入海典!$A$1:$AN$20000,0,$A$2),IF($B$2,""&amp;$A24,$A24)))</f>
        <v>0</v>
      </c>
      <c r="X24" s="15" t="n">
        <f aca="false">IF(OR(X$2=0,$A$2=0),0,SUMIFS(INDEX(输入海典!$A$1:$AN$20000,0,X$2),INDEX(输入海典!$A$1:$AN$20000,0,$A$2),IF($B$2,""&amp;$A24,$A24)))</f>
        <v>0</v>
      </c>
      <c r="Y24" s="15" t="n">
        <f aca="false">IF(OR(Y$2=0,$A$2=0),0,SUMIFS(INDEX(输入海典!$A$1:$AN$20000,0,Y$2),INDEX(输入海典!$A$1:$AN$20000,0,$A$2),IF($B$2,""&amp;$A24,$A24)))</f>
        <v>0</v>
      </c>
      <c r="Z24" s="15" t="n">
        <f aca="false">IF(OR(Z$2=0,$A$2=0),0,SUMIFS(INDEX(输入海典!$A$1:$AN$20000,0,Z$2),INDEX(输入海典!$A$1:$AN$20000,0,$A$2),IF($B$2,""&amp;$A24,$A24)))</f>
        <v>0</v>
      </c>
      <c r="AA24" s="15" t="n">
        <f aca="false">IF(OR(AA$2=0,$A$2=0),0,SUMIFS(INDEX(输入海典!$A$1:$AN$20000,0,AA$2),INDEX(输入海典!$A$1:$AN$20000,0,$A$2),IF($B$2,""&amp;$A24,$A24)))</f>
        <v>0</v>
      </c>
      <c r="AB24" s="15" t="n">
        <f aca="false">IF(OR(AB$2=0,$A$2=0),0,SUMIFS(INDEX(输入海典!$A$1:$AN$20000,0,AB$2),INDEX(输入海典!$A$1:$AN$20000,0,$A$2),IF($B$2,""&amp;$A24,$A24)))</f>
        <v>0</v>
      </c>
      <c r="AC24" s="15" t="n">
        <f aca="false">IF(OR(AC$2=0,$A$2=0),0,SUMIFS(INDEX(输入海典!$A$1:$AN$20000,0,AC$2),INDEX(输入海典!$A$1:$AN$20000,0,$A$2),IF($B$2,""&amp;$A24,$A24)))</f>
        <v>0</v>
      </c>
      <c r="AD24" s="15" t="n">
        <f aca="false">IF(OR(AD$2=0,$A$2=0),0,SUMIFS(INDEX(输入海典!$A$1:$AN$20000,0,AD$2),INDEX(输入海典!$A$1:$AN$20000,0,$A$2),IF($B$2,""&amp;$A24,$A24)))</f>
        <v>0</v>
      </c>
      <c r="AE24" s="15" t="n">
        <f aca="false">IF(OR(AE$2=0,$A$2=0),0,SUMIFS(INDEX(输入海典!$A$1:$AN$20000,0,AE$2),INDEX(输入海典!$A$1:$AN$20000,0,$A$2),IF($B$2,""&amp;$A24,$A24)))</f>
        <v>43702.51</v>
      </c>
    </row>
    <row r="25" customFormat="false" ht="14.9" hidden="false" customHeight="false" outlineLevel="0" collapsed="false">
      <c r="A25" s="25" t="n">
        <f aca="false">IF(门店对照!$D24=1,门店对照!$A24,"#未启用#")</f>
        <v>2036</v>
      </c>
      <c r="B25" s="26" t="str">
        <f aca="false">IF(门店对照!$B24="","",门店对照!$B24)</f>
        <v>黑城分店（36分店）</v>
      </c>
      <c r="C25" s="15" t="n">
        <f aca="false">IF(OR(C$2=0,$A$2=0),0,SUMIFS(INDEX(输入海典!$A$1:$AN$20000,0,C$2),INDEX(输入海典!$A$1:$AN$20000,0,$A$2),IF($B$2,""&amp;$A25,$A25)))</f>
        <v>0</v>
      </c>
      <c r="D25" s="15" t="n">
        <f aca="false">IF(OR(D$2=0,$A$2=0),0,SUMIFS(INDEX(输入海典!$A$1:$AN$20000,0,D$2),INDEX(输入海典!$A$1:$AN$20000,0,$A$2),IF($B$2,""&amp;$A25,$A25)))</f>
        <v>0</v>
      </c>
      <c r="E25" s="15" t="n">
        <f aca="false">IF(OR(E$2=0,$A$2=0),0,SUMIFS(INDEX(输入海典!$A$1:$AN$20000,0,E$2),INDEX(输入海典!$A$1:$AN$20000,0,$A$2),IF($B$2,""&amp;$A25,$A25)))</f>
        <v>0</v>
      </c>
      <c r="F25" s="15" t="n">
        <f aca="false">IF(OR(F$2=0,$A$2=0),0,SUMIFS(INDEX(输入海典!$A$1:$AN$20000,0,F$2),INDEX(输入海典!$A$1:$AN$20000,0,$A$2),IF($B$2,""&amp;$A25,$A25)))</f>
        <v>0</v>
      </c>
      <c r="G25" s="15" t="n">
        <f aca="false">IF(OR(G$2=0,$A$2=0),0,SUMIFS(INDEX(输入海典!$A$1:$AN$20000,0,G$2),INDEX(输入海典!$A$1:$AN$20000,0,$A$2),IF($B$2,""&amp;$A25,$A25)))</f>
        <v>0</v>
      </c>
      <c r="H25" s="15" t="n">
        <f aca="false">IF(OR(H$2=0,$A$2=0),0,SUMIFS(INDEX(输入海典!$A$1:$AN$20000,0,H$2),INDEX(输入海典!$A$1:$AN$20000,0,$A$2),IF($B$2,""&amp;$A25,$A25)))</f>
        <v>0</v>
      </c>
      <c r="I25" s="15" t="n">
        <f aca="false">IF(OR(I$2=0,$A$2=0),0,SUMIFS(INDEX(输入海典!$A$1:$AN$20000,0,I$2),INDEX(输入海典!$A$1:$AN$20000,0,$A$2),IF($B$2,""&amp;$A25,$A25)))</f>
        <v>0</v>
      </c>
      <c r="J25" s="15" t="n">
        <f aca="false">IF(OR(J$2=0,$A$2=0),0,SUMIFS(INDEX(输入海典!$A$1:$AN$20000,0,J$2),INDEX(输入海典!$A$1:$AN$20000,0,$A$2),IF($B$2,""&amp;$A25,$A25)))</f>
        <v>0</v>
      </c>
      <c r="K25" s="15" t="n">
        <f aca="false">IF(OR(K$2=0,$A$2=0),0,SUMIFS(INDEX(输入海典!$A$1:$AN$20000,0,K$2),INDEX(输入海典!$A$1:$AN$20000,0,$A$2),IF($B$2,""&amp;$A25,$A25)))</f>
        <v>0</v>
      </c>
      <c r="L25" s="15" t="n">
        <f aca="false">IF(OR(L$2=0,$A$2=0),0,SUMIFS(INDEX(输入海典!$A$1:$AN$20000,0,L$2),INDEX(输入海典!$A$1:$AN$20000,0,$A$2),IF($B$2,""&amp;$A25,$A25)))</f>
        <v>0</v>
      </c>
      <c r="M25" s="15" t="n">
        <f aca="false">IF(OR(M$2=0,$A$2=0),0,SUMIFS(INDEX(输入海典!$A$1:$AN$20000,0,M$2),INDEX(输入海典!$A$1:$AN$20000,0,$A$2),IF($B$2,""&amp;$A25,$A25)))</f>
        <v>0</v>
      </c>
      <c r="N25" s="15" t="n">
        <f aca="false">IF(OR(N$2=0,$A$2=0),0,SUMIFS(INDEX(输入海典!$A$1:$AN$20000,0,N$2),INDEX(输入海典!$A$1:$AN$20000,0,$A$2),IF($B$2,""&amp;$A25,$A25)))</f>
        <v>0</v>
      </c>
      <c r="O25" s="15" t="n">
        <f aca="false">IF(OR(O$2=0,$A$2=0),0,SUMIFS(INDEX(输入海典!$A$1:$AN$20000,0,O$2),INDEX(输入海典!$A$1:$AN$20000,0,$A$2),IF($B$2,""&amp;$A25,$A25)))</f>
        <v>0</v>
      </c>
      <c r="P25" s="15" t="n">
        <f aca="false">IF(OR(P$2=0,$A$2=0),0,SUMIFS(INDEX(输入海典!$A$1:$AN$20000,0,P$2),INDEX(输入海典!$A$1:$AN$20000,0,$A$2),IF($B$2,""&amp;$A25,$A25)))</f>
        <v>0</v>
      </c>
      <c r="Q25" s="15" t="n">
        <f aca="false">IF(OR(Q$2=0,$A$2=0),0,SUMIFS(INDEX(输入海典!$A$1:$AN$20000,0,Q$2),INDEX(输入海典!$A$1:$AN$20000,0,$A$2),IF($B$2,""&amp;$A25,$A25)))</f>
        <v>0</v>
      </c>
      <c r="R25" s="15" t="n">
        <f aca="false">IF(OR(R$2=0,$A$2=0),0,SUMIFS(INDEX(输入海典!$A$1:$AN$20000,0,R$2),INDEX(输入海典!$A$1:$AN$20000,0,$A$2),IF($B$2,""&amp;$A25,$A25)))</f>
        <v>0</v>
      </c>
      <c r="S25" s="15" t="n">
        <f aca="false">IF(OR(S$2=0,$A$2=0),0,SUMIFS(INDEX(输入海典!$A$1:$AN$20000,0,S$2),INDEX(输入海典!$A$1:$AN$20000,0,$A$2),IF($B$2,""&amp;$A25,$A25)))</f>
        <v>0</v>
      </c>
      <c r="T25" s="15" t="n">
        <f aca="false">IF(OR(T$2=0,$A$2=0),0,SUMIFS(INDEX(输入海典!$A$1:$AN$20000,0,T$2),INDEX(输入海典!$A$1:$AN$20000,0,$A$2),IF($B$2,""&amp;$A25,$A25)))</f>
        <v>0</v>
      </c>
      <c r="U25" s="15" t="n">
        <f aca="false">IF(OR(U$2=0,$A$2=0),0,SUMIFS(INDEX(输入海典!$A$1:$AN$20000,0,U$2),INDEX(输入海典!$A$1:$AN$20000,0,$A$2),IF($B$2,""&amp;$A25,$A25)))</f>
        <v>0</v>
      </c>
      <c r="V25" s="15" t="n">
        <f aca="false">IF(OR(V$2=0,$A$2=0),0,SUMIFS(INDEX(输入海典!$A$1:$AN$20000,0,V$2),INDEX(输入海典!$A$1:$AN$20000,0,$A$2),IF($B$2,""&amp;$A25,$A25)))</f>
        <v>0</v>
      </c>
      <c r="W25" s="15" t="n">
        <f aca="false">IF(OR(W$2=0,$A$2=0),0,SUMIFS(INDEX(输入海典!$A$1:$AN$20000,0,W$2),INDEX(输入海典!$A$1:$AN$20000,0,$A$2),IF($B$2,""&amp;$A25,$A25)))</f>
        <v>0</v>
      </c>
      <c r="X25" s="15" t="n">
        <f aca="false">IF(OR(X$2=0,$A$2=0),0,SUMIFS(INDEX(输入海典!$A$1:$AN$20000,0,X$2),INDEX(输入海典!$A$1:$AN$20000,0,$A$2),IF($B$2,""&amp;$A25,$A25)))</f>
        <v>0</v>
      </c>
      <c r="Y25" s="15" t="n">
        <f aca="false">IF(OR(Y$2=0,$A$2=0),0,SUMIFS(INDEX(输入海典!$A$1:$AN$20000,0,Y$2),INDEX(输入海典!$A$1:$AN$20000,0,$A$2),IF($B$2,""&amp;$A25,$A25)))</f>
        <v>0</v>
      </c>
      <c r="Z25" s="15" t="n">
        <f aca="false">IF(OR(Z$2=0,$A$2=0),0,SUMIFS(INDEX(输入海典!$A$1:$AN$20000,0,Z$2),INDEX(输入海典!$A$1:$AN$20000,0,$A$2),IF($B$2,""&amp;$A25,$A25)))</f>
        <v>0</v>
      </c>
      <c r="AA25" s="15" t="n">
        <f aca="false">IF(OR(AA$2=0,$A$2=0),0,SUMIFS(INDEX(输入海典!$A$1:$AN$20000,0,AA$2),INDEX(输入海典!$A$1:$AN$20000,0,$A$2),IF($B$2,""&amp;$A25,$A25)))</f>
        <v>0</v>
      </c>
      <c r="AB25" s="15" t="n">
        <f aca="false">IF(OR(AB$2=0,$A$2=0),0,SUMIFS(INDEX(输入海典!$A$1:$AN$20000,0,AB$2),INDEX(输入海典!$A$1:$AN$20000,0,$A$2),IF($B$2,""&amp;$A25,$A25)))</f>
        <v>0</v>
      </c>
      <c r="AC25" s="15" t="n">
        <f aca="false">IF(OR(AC$2=0,$A$2=0),0,SUMIFS(INDEX(输入海典!$A$1:$AN$20000,0,AC$2),INDEX(输入海典!$A$1:$AN$20000,0,$A$2),IF($B$2,""&amp;$A25,$A25)))</f>
        <v>0</v>
      </c>
      <c r="AD25" s="15" t="n">
        <f aca="false">IF(OR(AD$2=0,$A$2=0),0,SUMIFS(INDEX(输入海典!$A$1:$AN$20000,0,AD$2),INDEX(输入海典!$A$1:$AN$20000,0,$A$2),IF($B$2,""&amp;$A25,$A25)))</f>
        <v>0</v>
      </c>
      <c r="AE25" s="15" t="n">
        <f aca="false">IF(OR(AE$2=0,$A$2=0),0,SUMIFS(INDEX(输入海典!$A$1:$AN$20000,0,AE$2),INDEX(输入海典!$A$1:$AN$20000,0,$A$2),IF($B$2,""&amp;$A25,$A25)))</f>
        <v>0</v>
      </c>
    </row>
    <row r="26" customFormat="false" ht="14.9" hidden="false" customHeight="false" outlineLevel="0" collapsed="false">
      <c r="A26" s="25" t="n">
        <f aca="false">IF(门店对照!$D25=1,门店对照!$A25,"#未启用#")</f>
        <v>2037</v>
      </c>
      <c r="B26" s="26" t="str">
        <f aca="false">IF(门店对照!$B25="","",门店对照!$B25)</f>
        <v>新华路分店（37店）</v>
      </c>
      <c r="C26" s="15" t="n">
        <f aca="false">IF(OR(C$2=0,$A$2=0),0,SUMIFS(INDEX(输入海典!$A$1:$AN$20000,0,C$2),INDEX(输入海典!$A$1:$AN$20000,0,$A$2),IF($B$2,""&amp;$A26,$A26)))</f>
        <v>9545.13</v>
      </c>
      <c r="D26" s="15" t="n">
        <f aca="false">IF(OR(D$2=0,$A$2=0),0,SUMIFS(INDEX(输入海典!$A$1:$AN$20000,0,D$2),INDEX(输入海典!$A$1:$AN$20000,0,$A$2),IF($B$2,""&amp;$A26,$A26)))</f>
        <v>0</v>
      </c>
      <c r="E26" s="15" t="n">
        <f aca="false">IF(OR(E$2=0,$A$2=0),0,SUMIFS(INDEX(输入海典!$A$1:$AN$20000,0,E$2),INDEX(输入海典!$A$1:$AN$20000,0,$A$2),IF($B$2,""&amp;$A26,$A26)))</f>
        <v>17503.44</v>
      </c>
      <c r="F26" s="15" t="n">
        <f aca="false">IF(OR(F$2=0,$A$2=0),0,SUMIFS(INDEX(输入海典!$A$1:$AN$20000,0,F$2),INDEX(输入海典!$A$1:$AN$20000,0,$A$2),IF($B$2,""&amp;$A26,$A26)))</f>
        <v>10175.12</v>
      </c>
      <c r="G26" s="15" t="n">
        <f aca="false">IF(OR(G$2=0,$A$2=0),0,SUMIFS(INDEX(输入海典!$A$1:$AN$20000,0,G$2),INDEX(输入海典!$A$1:$AN$20000,0,$A$2),IF($B$2,""&amp;$A26,$A26)))</f>
        <v>0</v>
      </c>
      <c r="H26" s="15" t="n">
        <f aca="false">IF(OR(H$2=0,$A$2=0),0,SUMIFS(INDEX(输入海典!$A$1:$AN$20000,0,H$2),INDEX(输入海典!$A$1:$AN$20000,0,$A$2),IF($B$2,""&amp;$A26,$A26)))</f>
        <v>302.86</v>
      </c>
      <c r="I26" s="15" t="n">
        <f aca="false">IF(OR(I$2=0,$A$2=0),0,SUMIFS(INDEX(输入海典!$A$1:$AN$20000,0,I$2),INDEX(输入海典!$A$1:$AN$20000,0,$A$2),IF($B$2,""&amp;$A26,$A26)))</f>
        <v>220.9</v>
      </c>
      <c r="J26" s="15" t="n">
        <f aca="false">IF(OR(J$2=0,$A$2=0),0,SUMIFS(INDEX(输入海典!$A$1:$AN$20000,0,J$2),INDEX(输入海典!$A$1:$AN$20000,0,$A$2),IF($B$2,""&amp;$A26,$A26)))</f>
        <v>0</v>
      </c>
      <c r="K26" s="15" t="n">
        <f aca="false">IF(OR(K$2=0,$A$2=0),0,SUMIFS(INDEX(输入海典!$A$1:$AN$20000,0,K$2),INDEX(输入海典!$A$1:$AN$20000,0,$A$2),IF($B$2,""&amp;$A26,$A26)))</f>
        <v>0</v>
      </c>
      <c r="L26" s="15" t="n">
        <f aca="false">IF(OR(L$2=0,$A$2=0),0,SUMIFS(INDEX(输入海典!$A$1:$AN$20000,0,L$2),INDEX(输入海典!$A$1:$AN$20000,0,$A$2),IF($B$2,""&amp;$A26,$A26)))</f>
        <v>0</v>
      </c>
      <c r="M26" s="15" t="n">
        <f aca="false">IF(OR(M$2=0,$A$2=0),0,SUMIFS(INDEX(输入海典!$A$1:$AN$20000,0,M$2),INDEX(输入海典!$A$1:$AN$20000,0,$A$2),IF($B$2,""&amp;$A26,$A26)))</f>
        <v>9448.2</v>
      </c>
      <c r="N26" s="15" t="n">
        <f aca="false">IF(OR(N$2=0,$A$2=0),0,SUMIFS(INDEX(输入海典!$A$1:$AN$20000,0,N$2),INDEX(输入海典!$A$1:$AN$20000,0,$A$2),IF($B$2,""&amp;$A26,$A26)))</f>
        <v>6618.4</v>
      </c>
      <c r="O26" s="15" t="n">
        <f aca="false">IF(OR(O$2=0,$A$2=0),0,SUMIFS(INDEX(输入海典!$A$1:$AN$20000,0,O$2),INDEX(输入海典!$A$1:$AN$20000,0,$A$2),IF($B$2,""&amp;$A26,$A26)))</f>
        <v>75</v>
      </c>
      <c r="P26" s="15" t="n">
        <f aca="false">IF(OR(P$2=0,$A$2=0),0,SUMIFS(INDEX(输入海典!$A$1:$AN$20000,0,P$2),INDEX(输入海典!$A$1:$AN$20000,0,$A$2),IF($B$2,""&amp;$A26,$A26)))</f>
        <v>0</v>
      </c>
      <c r="Q26" s="15" t="n">
        <f aca="false">IF(OR(Q$2=0,$A$2=0),0,SUMIFS(INDEX(输入海典!$A$1:$AN$20000,0,Q$2),INDEX(输入海典!$A$1:$AN$20000,0,$A$2),IF($B$2,""&amp;$A26,$A26)))</f>
        <v>1783.99</v>
      </c>
      <c r="R26" s="15" t="n">
        <f aca="false">IF(OR(R$2=0,$A$2=0),0,SUMIFS(INDEX(输入海典!$A$1:$AN$20000,0,R$2),INDEX(输入海典!$A$1:$AN$20000,0,$A$2),IF($B$2,""&amp;$A26,$A26)))</f>
        <v>0</v>
      </c>
      <c r="S26" s="15" t="n">
        <f aca="false">IF(OR(S$2=0,$A$2=0),0,SUMIFS(INDEX(输入海典!$A$1:$AN$20000,0,S$2),INDEX(输入海典!$A$1:$AN$20000,0,$A$2),IF($B$2,""&amp;$A26,$A26)))</f>
        <v>0</v>
      </c>
      <c r="T26" s="15" t="n">
        <f aca="false">IF(OR(T$2=0,$A$2=0),0,SUMIFS(INDEX(输入海典!$A$1:$AN$20000,0,T$2),INDEX(输入海典!$A$1:$AN$20000,0,$A$2),IF($B$2,""&amp;$A26,$A26)))</f>
        <v>66.62</v>
      </c>
      <c r="U26" s="15" t="n">
        <f aca="false">IF(OR(U$2=0,$A$2=0),0,SUMIFS(INDEX(输入海典!$A$1:$AN$20000,0,U$2),INDEX(输入海典!$A$1:$AN$20000,0,$A$2),IF($B$2,""&amp;$A26,$A26)))</f>
        <v>1380.1</v>
      </c>
      <c r="V26" s="15" t="n">
        <f aca="false">IF(OR(V$2=0,$A$2=0),0,SUMIFS(INDEX(输入海典!$A$1:$AN$20000,0,V$2),INDEX(输入海典!$A$1:$AN$20000,0,$A$2),IF($B$2,""&amp;$A26,$A26)))</f>
        <v>0</v>
      </c>
      <c r="W26" s="15" t="n">
        <f aca="false">IF(OR(W$2=0,$A$2=0),0,SUMIFS(INDEX(输入海典!$A$1:$AN$20000,0,W$2),INDEX(输入海典!$A$1:$AN$20000,0,$A$2),IF($B$2,""&amp;$A26,$A26)))</f>
        <v>0</v>
      </c>
      <c r="X26" s="15" t="n">
        <f aca="false">IF(OR(X$2=0,$A$2=0),0,SUMIFS(INDEX(输入海典!$A$1:$AN$20000,0,X$2),INDEX(输入海典!$A$1:$AN$20000,0,$A$2),IF($B$2,""&amp;$A26,$A26)))</f>
        <v>0</v>
      </c>
      <c r="Y26" s="15" t="n">
        <f aca="false">IF(OR(Y$2=0,$A$2=0),0,SUMIFS(INDEX(输入海典!$A$1:$AN$20000,0,Y$2),INDEX(输入海典!$A$1:$AN$20000,0,$A$2),IF($B$2,""&amp;$A26,$A26)))</f>
        <v>0</v>
      </c>
      <c r="Z26" s="15" t="n">
        <f aca="false">IF(OR(Z$2=0,$A$2=0),0,SUMIFS(INDEX(输入海典!$A$1:$AN$20000,0,Z$2),INDEX(输入海典!$A$1:$AN$20000,0,$A$2),IF($B$2,""&amp;$A26,$A26)))</f>
        <v>0</v>
      </c>
      <c r="AA26" s="15" t="n">
        <f aca="false">IF(OR(AA$2=0,$A$2=0),0,SUMIFS(INDEX(输入海典!$A$1:$AN$20000,0,AA$2),INDEX(输入海典!$A$1:$AN$20000,0,$A$2),IF($B$2,""&amp;$A26,$A26)))</f>
        <v>0</v>
      </c>
      <c r="AB26" s="15" t="n">
        <f aca="false">IF(OR(AB$2=0,$A$2=0),0,SUMIFS(INDEX(输入海典!$A$1:$AN$20000,0,AB$2),INDEX(输入海典!$A$1:$AN$20000,0,$A$2),IF($B$2,""&amp;$A26,$A26)))</f>
        <v>0</v>
      </c>
      <c r="AC26" s="15" t="n">
        <f aca="false">IF(OR(AC$2=0,$A$2=0),0,SUMIFS(INDEX(输入海典!$A$1:$AN$20000,0,AC$2),INDEX(输入海典!$A$1:$AN$20000,0,$A$2),IF($B$2,""&amp;$A26,$A26)))</f>
        <v>0</v>
      </c>
      <c r="AD26" s="15" t="n">
        <f aca="false">IF(OR(AD$2=0,$A$2=0),0,SUMIFS(INDEX(输入海典!$A$1:$AN$20000,0,AD$2),INDEX(输入海典!$A$1:$AN$20000,0,$A$2),IF($B$2,""&amp;$A26,$A26)))</f>
        <v>0</v>
      </c>
      <c r="AE26" s="15" t="n">
        <f aca="false">IF(OR(AE$2=0,$A$2=0),0,SUMIFS(INDEX(输入海典!$A$1:$AN$20000,0,AE$2),INDEX(输入海典!$A$1:$AN$20000,0,$A$2),IF($B$2,""&amp;$A26,$A26)))</f>
        <v>57119.76</v>
      </c>
    </row>
    <row r="27" customFormat="false" ht="14.9" hidden="false" customHeight="false" outlineLevel="0" collapsed="false">
      <c r="A27" s="25" t="n">
        <f aca="false">IF(门店对照!$D26=1,门店对照!$A26,"#未启用#")</f>
        <v>2038</v>
      </c>
      <c r="B27" s="26" t="str">
        <f aca="false">IF(门店对照!$B26="","",门店对照!$B26)</f>
        <v>杨村王街分店（38分店）</v>
      </c>
      <c r="C27" s="15" t="n">
        <f aca="false">IF(OR(C$2=0,$A$2=0),0,SUMIFS(INDEX(输入海典!$A$1:$AN$20000,0,C$2),INDEX(输入海典!$A$1:$AN$20000,0,$A$2),IF($B$2,""&amp;$A27,$A27)))</f>
        <v>9460.39</v>
      </c>
      <c r="D27" s="15" t="n">
        <f aca="false">IF(OR(D$2=0,$A$2=0),0,SUMIFS(INDEX(输入海典!$A$1:$AN$20000,0,D$2),INDEX(输入海典!$A$1:$AN$20000,0,$A$2),IF($B$2,""&amp;$A27,$A27)))</f>
        <v>0</v>
      </c>
      <c r="E27" s="15" t="n">
        <f aca="false">IF(OR(E$2=0,$A$2=0),0,SUMIFS(INDEX(输入海典!$A$1:$AN$20000,0,E$2),INDEX(输入海典!$A$1:$AN$20000,0,$A$2),IF($B$2,""&amp;$A27,$A27)))</f>
        <v>22645.69</v>
      </c>
      <c r="F27" s="15" t="n">
        <f aca="false">IF(OR(F$2=0,$A$2=0),0,SUMIFS(INDEX(输入海典!$A$1:$AN$20000,0,F$2),INDEX(输入海典!$A$1:$AN$20000,0,$A$2),IF($B$2,""&amp;$A27,$A27)))</f>
        <v>3890.4</v>
      </c>
      <c r="G27" s="15" t="n">
        <f aca="false">IF(OR(G$2=0,$A$2=0),0,SUMIFS(INDEX(输入海典!$A$1:$AN$20000,0,G$2),INDEX(输入海典!$A$1:$AN$20000,0,$A$2),IF($B$2,""&amp;$A27,$A27)))</f>
        <v>0</v>
      </c>
      <c r="H27" s="15" t="n">
        <f aca="false">IF(OR(H$2=0,$A$2=0),0,SUMIFS(INDEX(输入海典!$A$1:$AN$20000,0,H$2),INDEX(输入海典!$A$1:$AN$20000,0,$A$2),IF($B$2,""&amp;$A27,$A27)))</f>
        <v>0</v>
      </c>
      <c r="I27" s="15" t="n">
        <f aca="false">IF(OR(I$2=0,$A$2=0),0,SUMIFS(INDEX(输入海典!$A$1:$AN$20000,0,I$2),INDEX(输入海典!$A$1:$AN$20000,0,$A$2),IF($B$2,""&amp;$A27,$A27)))</f>
        <v>0</v>
      </c>
      <c r="J27" s="15" t="n">
        <f aca="false">IF(OR(J$2=0,$A$2=0),0,SUMIFS(INDEX(输入海典!$A$1:$AN$20000,0,J$2),INDEX(输入海典!$A$1:$AN$20000,0,$A$2),IF($B$2,""&amp;$A27,$A27)))</f>
        <v>0</v>
      </c>
      <c r="K27" s="15" t="n">
        <f aca="false">IF(OR(K$2=0,$A$2=0),0,SUMIFS(INDEX(输入海典!$A$1:$AN$20000,0,K$2),INDEX(输入海典!$A$1:$AN$20000,0,$A$2),IF($B$2,""&amp;$A27,$A27)))</f>
        <v>0</v>
      </c>
      <c r="L27" s="15" t="n">
        <f aca="false">IF(OR(L$2=0,$A$2=0),0,SUMIFS(INDEX(输入海典!$A$1:$AN$20000,0,L$2),INDEX(输入海典!$A$1:$AN$20000,0,$A$2),IF($B$2,""&amp;$A27,$A27)))</f>
        <v>0</v>
      </c>
      <c r="M27" s="15" t="n">
        <f aca="false">IF(OR(M$2=0,$A$2=0),0,SUMIFS(INDEX(输入海典!$A$1:$AN$20000,0,M$2),INDEX(输入海典!$A$1:$AN$20000,0,$A$2),IF($B$2,""&amp;$A27,$A27)))</f>
        <v>0</v>
      </c>
      <c r="N27" s="15" t="n">
        <f aca="false">IF(OR(N$2=0,$A$2=0),0,SUMIFS(INDEX(输入海典!$A$1:$AN$20000,0,N$2),INDEX(输入海典!$A$1:$AN$20000,0,$A$2),IF($B$2,""&amp;$A27,$A27)))</f>
        <v>0</v>
      </c>
      <c r="O27" s="15" t="n">
        <f aca="false">IF(OR(O$2=0,$A$2=0),0,SUMIFS(INDEX(输入海典!$A$1:$AN$20000,0,O$2),INDEX(输入海典!$A$1:$AN$20000,0,$A$2),IF($B$2,""&amp;$A27,$A27)))</f>
        <v>0</v>
      </c>
      <c r="P27" s="15" t="n">
        <f aca="false">IF(OR(P$2=0,$A$2=0),0,SUMIFS(INDEX(输入海典!$A$1:$AN$20000,0,P$2),INDEX(输入海典!$A$1:$AN$20000,0,$A$2),IF($B$2,""&amp;$A27,$A27)))</f>
        <v>0</v>
      </c>
      <c r="Q27" s="15" t="n">
        <f aca="false">IF(OR(Q$2=0,$A$2=0),0,SUMIFS(INDEX(输入海典!$A$1:$AN$20000,0,Q$2),INDEX(输入海典!$A$1:$AN$20000,0,$A$2),IF($B$2,""&amp;$A27,$A27)))</f>
        <v>390</v>
      </c>
      <c r="R27" s="15" t="n">
        <f aca="false">IF(OR(R$2=0,$A$2=0),0,SUMIFS(INDEX(输入海典!$A$1:$AN$20000,0,R$2),INDEX(输入海典!$A$1:$AN$20000,0,$A$2),IF($B$2,""&amp;$A27,$A27)))</f>
        <v>0</v>
      </c>
      <c r="S27" s="15" t="n">
        <f aca="false">IF(OR(S$2=0,$A$2=0),0,SUMIFS(INDEX(输入海典!$A$1:$AN$20000,0,S$2),INDEX(输入海典!$A$1:$AN$20000,0,$A$2),IF($B$2,""&amp;$A27,$A27)))</f>
        <v>0</v>
      </c>
      <c r="T27" s="15" t="n">
        <f aca="false">IF(OR(T$2=0,$A$2=0),0,SUMIFS(INDEX(输入海典!$A$1:$AN$20000,0,T$2),INDEX(输入海典!$A$1:$AN$20000,0,$A$2),IF($B$2,""&amp;$A27,$A27)))</f>
        <v>36.92</v>
      </c>
      <c r="U27" s="15" t="n">
        <f aca="false">IF(OR(U$2=0,$A$2=0),0,SUMIFS(INDEX(输入海典!$A$1:$AN$20000,0,U$2),INDEX(输入海典!$A$1:$AN$20000,0,$A$2),IF($B$2,""&amp;$A27,$A27)))</f>
        <v>559</v>
      </c>
      <c r="V27" s="15" t="n">
        <f aca="false">IF(OR(V$2=0,$A$2=0),0,SUMIFS(INDEX(输入海典!$A$1:$AN$20000,0,V$2),INDEX(输入海典!$A$1:$AN$20000,0,$A$2),IF($B$2,""&amp;$A27,$A27)))</f>
        <v>0</v>
      </c>
      <c r="W27" s="15" t="n">
        <f aca="false">IF(OR(W$2=0,$A$2=0),0,SUMIFS(INDEX(输入海典!$A$1:$AN$20000,0,W$2),INDEX(输入海典!$A$1:$AN$20000,0,$A$2),IF($B$2,""&amp;$A27,$A27)))</f>
        <v>0</v>
      </c>
      <c r="X27" s="15" t="n">
        <f aca="false">IF(OR(X$2=0,$A$2=0),0,SUMIFS(INDEX(输入海典!$A$1:$AN$20000,0,X$2),INDEX(输入海典!$A$1:$AN$20000,0,$A$2),IF($B$2,""&amp;$A27,$A27)))</f>
        <v>0</v>
      </c>
      <c r="Y27" s="15" t="n">
        <f aca="false">IF(OR(Y$2=0,$A$2=0),0,SUMIFS(INDEX(输入海典!$A$1:$AN$20000,0,Y$2),INDEX(输入海典!$A$1:$AN$20000,0,$A$2),IF($B$2,""&amp;$A27,$A27)))</f>
        <v>0</v>
      </c>
      <c r="Z27" s="15" t="n">
        <f aca="false">IF(OR(Z$2=0,$A$2=0),0,SUMIFS(INDEX(输入海典!$A$1:$AN$20000,0,Z$2),INDEX(输入海典!$A$1:$AN$20000,0,$A$2),IF($B$2,""&amp;$A27,$A27)))</f>
        <v>0</v>
      </c>
      <c r="AA27" s="15" t="n">
        <f aca="false">IF(OR(AA$2=0,$A$2=0),0,SUMIFS(INDEX(输入海典!$A$1:$AN$20000,0,AA$2),INDEX(输入海典!$A$1:$AN$20000,0,$A$2),IF($B$2,""&amp;$A27,$A27)))</f>
        <v>0</v>
      </c>
      <c r="AB27" s="15" t="n">
        <f aca="false">IF(OR(AB$2=0,$A$2=0),0,SUMIFS(INDEX(输入海典!$A$1:$AN$20000,0,AB$2),INDEX(输入海典!$A$1:$AN$20000,0,$A$2),IF($B$2,""&amp;$A27,$A27)))</f>
        <v>0</v>
      </c>
      <c r="AC27" s="15" t="n">
        <f aca="false">IF(OR(AC$2=0,$A$2=0),0,SUMIFS(INDEX(输入海典!$A$1:$AN$20000,0,AC$2),INDEX(输入海典!$A$1:$AN$20000,0,$A$2),IF($B$2,""&amp;$A27,$A27)))</f>
        <v>0</v>
      </c>
      <c r="AD27" s="15" t="n">
        <f aca="false">IF(OR(AD$2=0,$A$2=0),0,SUMIFS(INDEX(输入海典!$A$1:$AN$20000,0,AD$2),INDEX(输入海典!$A$1:$AN$20000,0,$A$2),IF($B$2,""&amp;$A27,$A27)))</f>
        <v>0</v>
      </c>
      <c r="AE27" s="15" t="n">
        <f aca="false">IF(OR(AE$2=0,$A$2=0),0,SUMIFS(INDEX(输入海典!$A$1:$AN$20000,0,AE$2),INDEX(输入海典!$A$1:$AN$20000,0,$A$2),IF($B$2,""&amp;$A27,$A27)))</f>
        <v>36982.4</v>
      </c>
    </row>
    <row r="28" customFormat="false" ht="14.9" hidden="false" customHeight="false" outlineLevel="0" collapsed="false">
      <c r="A28" s="25" t="n">
        <f aca="false">IF(门店对照!$D27=1,门店对照!$A27,"#未启用#")</f>
        <v>2039</v>
      </c>
      <c r="B28" s="26" t="str">
        <f aca="false">IF(门店对照!$B27="","",门店对照!$B27)</f>
        <v>千户营滏阳分店（39分店）</v>
      </c>
      <c r="C28" s="15" t="n">
        <f aca="false">IF(OR(C$2=0,$A$2=0),0,SUMIFS(INDEX(输入海典!$A$1:$AN$20000,0,C$2),INDEX(输入海典!$A$1:$AN$20000,0,$A$2),IF($B$2,""&amp;$A28,$A28)))</f>
        <v>27210.58</v>
      </c>
      <c r="D28" s="15" t="n">
        <f aca="false">IF(OR(D$2=0,$A$2=0),0,SUMIFS(INDEX(输入海典!$A$1:$AN$20000,0,D$2),INDEX(输入海典!$A$1:$AN$20000,0,$A$2),IF($B$2,""&amp;$A28,$A28)))</f>
        <v>0</v>
      </c>
      <c r="E28" s="15" t="n">
        <f aca="false">IF(OR(E$2=0,$A$2=0),0,SUMIFS(INDEX(输入海典!$A$1:$AN$20000,0,E$2),INDEX(输入海典!$A$1:$AN$20000,0,$A$2),IF($B$2,""&amp;$A28,$A28)))</f>
        <v>38038.03</v>
      </c>
      <c r="F28" s="15" t="n">
        <f aca="false">IF(OR(F$2=0,$A$2=0),0,SUMIFS(INDEX(输入海典!$A$1:$AN$20000,0,F$2),INDEX(输入海典!$A$1:$AN$20000,0,$A$2),IF($B$2,""&amp;$A28,$A28)))</f>
        <v>7025.29</v>
      </c>
      <c r="G28" s="15" t="n">
        <f aca="false">IF(OR(G$2=0,$A$2=0),0,SUMIFS(INDEX(输入海典!$A$1:$AN$20000,0,G$2),INDEX(输入海典!$A$1:$AN$20000,0,$A$2),IF($B$2,""&amp;$A28,$A28)))</f>
        <v>0</v>
      </c>
      <c r="H28" s="15" t="n">
        <f aca="false">IF(OR(H$2=0,$A$2=0),0,SUMIFS(INDEX(输入海典!$A$1:$AN$20000,0,H$2),INDEX(输入海典!$A$1:$AN$20000,0,$A$2),IF($B$2,""&amp;$A28,$A28)))</f>
        <v>0</v>
      </c>
      <c r="I28" s="15" t="n">
        <f aca="false">IF(OR(I$2=0,$A$2=0),0,SUMIFS(INDEX(输入海典!$A$1:$AN$20000,0,I$2),INDEX(输入海典!$A$1:$AN$20000,0,$A$2),IF($B$2,""&amp;$A28,$A28)))</f>
        <v>0</v>
      </c>
      <c r="J28" s="15" t="n">
        <f aca="false">IF(OR(J$2=0,$A$2=0),0,SUMIFS(INDEX(输入海典!$A$1:$AN$20000,0,J$2),INDEX(输入海典!$A$1:$AN$20000,0,$A$2),IF($B$2,""&amp;$A28,$A28)))</f>
        <v>0</v>
      </c>
      <c r="K28" s="15" t="n">
        <f aca="false">IF(OR(K$2=0,$A$2=0),0,SUMIFS(INDEX(输入海典!$A$1:$AN$20000,0,K$2),INDEX(输入海典!$A$1:$AN$20000,0,$A$2),IF($B$2,""&amp;$A28,$A28)))</f>
        <v>0</v>
      </c>
      <c r="L28" s="15" t="n">
        <f aca="false">IF(OR(L$2=0,$A$2=0),0,SUMIFS(INDEX(输入海典!$A$1:$AN$20000,0,L$2),INDEX(输入海典!$A$1:$AN$20000,0,$A$2),IF($B$2,""&amp;$A28,$A28)))</f>
        <v>0</v>
      </c>
      <c r="M28" s="15" t="n">
        <f aca="false">IF(OR(M$2=0,$A$2=0),0,SUMIFS(INDEX(输入海典!$A$1:$AN$20000,0,M$2),INDEX(输入海典!$A$1:$AN$20000,0,$A$2),IF($B$2,""&amp;$A28,$A28)))</f>
        <v>0</v>
      </c>
      <c r="N28" s="15" t="n">
        <f aca="false">IF(OR(N$2=0,$A$2=0),0,SUMIFS(INDEX(输入海典!$A$1:$AN$20000,0,N$2),INDEX(输入海典!$A$1:$AN$20000,0,$A$2),IF($B$2,""&amp;$A28,$A28)))</f>
        <v>0</v>
      </c>
      <c r="O28" s="15" t="n">
        <f aca="false">IF(OR(O$2=0,$A$2=0),0,SUMIFS(INDEX(输入海典!$A$1:$AN$20000,0,O$2),INDEX(输入海典!$A$1:$AN$20000,0,$A$2),IF($B$2,""&amp;$A28,$A28)))</f>
        <v>0</v>
      </c>
      <c r="P28" s="15" t="n">
        <f aca="false">IF(OR(P$2=0,$A$2=0),0,SUMIFS(INDEX(输入海典!$A$1:$AN$20000,0,P$2),INDEX(输入海典!$A$1:$AN$20000,0,$A$2),IF($B$2,""&amp;$A28,$A28)))</f>
        <v>-0.26</v>
      </c>
      <c r="Q28" s="15" t="n">
        <f aca="false">IF(OR(Q$2=0,$A$2=0),0,SUMIFS(INDEX(输入海典!$A$1:$AN$20000,0,Q$2),INDEX(输入海典!$A$1:$AN$20000,0,$A$2),IF($B$2,""&amp;$A28,$A28)))</f>
        <v>0</v>
      </c>
      <c r="R28" s="15" t="n">
        <f aca="false">IF(OR(R$2=0,$A$2=0),0,SUMIFS(INDEX(输入海典!$A$1:$AN$20000,0,R$2),INDEX(输入海典!$A$1:$AN$20000,0,$A$2),IF($B$2,""&amp;$A28,$A28)))</f>
        <v>0</v>
      </c>
      <c r="S28" s="15" t="n">
        <f aca="false">IF(OR(S$2=0,$A$2=0),0,SUMIFS(INDEX(输入海典!$A$1:$AN$20000,0,S$2),INDEX(输入海典!$A$1:$AN$20000,0,$A$2),IF($B$2,""&amp;$A28,$A28)))</f>
        <v>65</v>
      </c>
      <c r="T28" s="15" t="n">
        <f aca="false">IF(OR(T$2=0,$A$2=0),0,SUMIFS(INDEX(输入海典!$A$1:$AN$20000,0,T$2),INDEX(输入海典!$A$1:$AN$20000,0,$A$2),IF($B$2,""&amp;$A28,$A28)))</f>
        <v>242.68</v>
      </c>
      <c r="U28" s="15" t="n">
        <f aca="false">IF(OR(U$2=0,$A$2=0),0,SUMIFS(INDEX(输入海典!$A$1:$AN$20000,0,U$2),INDEX(输入海典!$A$1:$AN$20000,0,$A$2),IF($B$2,""&amp;$A28,$A28)))</f>
        <v>1336.1</v>
      </c>
      <c r="V28" s="15" t="n">
        <f aca="false">IF(OR(V$2=0,$A$2=0),0,SUMIFS(INDEX(输入海典!$A$1:$AN$20000,0,V$2),INDEX(输入海典!$A$1:$AN$20000,0,$A$2),IF($B$2,""&amp;$A28,$A28)))</f>
        <v>0</v>
      </c>
      <c r="W28" s="15" t="n">
        <f aca="false">IF(OR(W$2=0,$A$2=0),0,SUMIFS(INDEX(输入海典!$A$1:$AN$20000,0,W$2),INDEX(输入海典!$A$1:$AN$20000,0,$A$2),IF($B$2,""&amp;$A28,$A28)))</f>
        <v>0</v>
      </c>
      <c r="X28" s="15" t="n">
        <f aca="false">IF(OR(X$2=0,$A$2=0),0,SUMIFS(INDEX(输入海典!$A$1:$AN$20000,0,X$2),INDEX(输入海典!$A$1:$AN$20000,0,$A$2),IF($B$2,""&amp;$A28,$A28)))</f>
        <v>0</v>
      </c>
      <c r="Y28" s="15" t="n">
        <f aca="false">IF(OR(Y$2=0,$A$2=0),0,SUMIFS(INDEX(输入海典!$A$1:$AN$20000,0,Y$2),INDEX(输入海典!$A$1:$AN$20000,0,$A$2),IF($B$2,""&amp;$A28,$A28)))</f>
        <v>0</v>
      </c>
      <c r="Z28" s="15" t="n">
        <f aca="false">IF(OR(Z$2=0,$A$2=0),0,SUMIFS(INDEX(输入海典!$A$1:$AN$20000,0,Z$2),INDEX(输入海典!$A$1:$AN$20000,0,$A$2),IF($B$2,""&amp;$A28,$A28)))</f>
        <v>0</v>
      </c>
      <c r="AA28" s="15" t="n">
        <f aca="false">IF(OR(AA$2=0,$A$2=0),0,SUMIFS(INDEX(输入海典!$A$1:$AN$20000,0,AA$2),INDEX(输入海典!$A$1:$AN$20000,0,$A$2),IF($B$2,""&amp;$A28,$A28)))</f>
        <v>0</v>
      </c>
      <c r="AB28" s="15" t="n">
        <f aca="false">IF(OR(AB$2=0,$A$2=0),0,SUMIFS(INDEX(输入海典!$A$1:$AN$20000,0,AB$2),INDEX(输入海典!$A$1:$AN$20000,0,$A$2),IF($B$2,""&amp;$A28,$A28)))</f>
        <v>0</v>
      </c>
      <c r="AC28" s="15" t="n">
        <f aca="false">IF(OR(AC$2=0,$A$2=0),0,SUMIFS(INDEX(输入海典!$A$1:$AN$20000,0,AC$2),INDEX(输入海典!$A$1:$AN$20000,0,$A$2),IF($B$2,""&amp;$A28,$A28)))</f>
        <v>0</v>
      </c>
      <c r="AD28" s="15" t="n">
        <f aca="false">IF(OR(AD$2=0,$A$2=0),0,SUMIFS(INDEX(输入海典!$A$1:$AN$20000,0,AD$2),INDEX(输入海典!$A$1:$AN$20000,0,$A$2),IF($B$2,""&amp;$A28,$A28)))</f>
        <v>0</v>
      </c>
      <c r="AE28" s="15" t="n">
        <f aca="false">IF(OR(AE$2=0,$A$2=0),0,SUMIFS(INDEX(输入海典!$A$1:$AN$20000,0,AE$2),INDEX(输入海典!$A$1:$AN$20000,0,$A$2),IF($B$2,""&amp;$A28,$A28)))</f>
        <v>73917.42</v>
      </c>
    </row>
    <row r="29" customFormat="false" ht="14.9" hidden="false" customHeight="false" outlineLevel="0" collapsed="false">
      <c r="A29" s="25" t="n">
        <f aca="false">IF(门店对照!$D28=1,门店对照!$A28,"#未启用#")</f>
        <v>2040</v>
      </c>
      <c r="B29" s="26" t="str">
        <f aca="false">IF(门店对照!$B28="","",门店对照!$B28)</f>
        <v>大张庄博尧分店（40分店）</v>
      </c>
      <c r="C29" s="15" t="n">
        <f aca="false">IF(OR(C$2=0,$A$2=0),0,SUMIFS(INDEX(输入海典!$A$1:$AN$20000,0,C$2),INDEX(输入海典!$A$1:$AN$20000,0,$A$2),IF($B$2,""&amp;$A29,$A29)))</f>
        <v>24616.18</v>
      </c>
      <c r="D29" s="15" t="n">
        <f aca="false">IF(OR(D$2=0,$A$2=0),0,SUMIFS(INDEX(输入海典!$A$1:$AN$20000,0,D$2),INDEX(输入海典!$A$1:$AN$20000,0,$A$2),IF($B$2,""&amp;$A29,$A29)))</f>
        <v>0</v>
      </c>
      <c r="E29" s="15" t="n">
        <f aca="false">IF(OR(E$2=0,$A$2=0),0,SUMIFS(INDEX(输入海典!$A$1:$AN$20000,0,E$2),INDEX(输入海典!$A$1:$AN$20000,0,$A$2),IF($B$2,""&amp;$A29,$A29)))</f>
        <v>56152.95</v>
      </c>
      <c r="F29" s="15" t="n">
        <f aca="false">IF(OR(F$2=0,$A$2=0),0,SUMIFS(INDEX(输入海典!$A$1:$AN$20000,0,F$2),INDEX(输入海典!$A$1:$AN$20000,0,$A$2),IF($B$2,""&amp;$A29,$A29)))</f>
        <v>10613.67</v>
      </c>
      <c r="G29" s="15" t="n">
        <f aca="false">IF(OR(G$2=0,$A$2=0),0,SUMIFS(INDEX(输入海典!$A$1:$AN$20000,0,G$2),INDEX(输入海典!$A$1:$AN$20000,0,$A$2),IF($B$2,""&amp;$A29,$A29)))</f>
        <v>0</v>
      </c>
      <c r="H29" s="15" t="n">
        <f aca="false">IF(OR(H$2=0,$A$2=0),0,SUMIFS(INDEX(输入海典!$A$1:$AN$20000,0,H$2),INDEX(输入海典!$A$1:$AN$20000,0,$A$2),IF($B$2,""&amp;$A29,$A29)))</f>
        <v>0</v>
      </c>
      <c r="I29" s="15" t="n">
        <f aca="false">IF(OR(I$2=0,$A$2=0),0,SUMIFS(INDEX(输入海典!$A$1:$AN$20000,0,I$2),INDEX(输入海典!$A$1:$AN$20000,0,$A$2),IF($B$2,""&amp;$A29,$A29)))</f>
        <v>0</v>
      </c>
      <c r="J29" s="15" t="n">
        <f aca="false">IF(OR(J$2=0,$A$2=0),0,SUMIFS(INDEX(输入海典!$A$1:$AN$20000,0,J$2),INDEX(输入海典!$A$1:$AN$20000,0,$A$2),IF($B$2,""&amp;$A29,$A29)))</f>
        <v>0</v>
      </c>
      <c r="K29" s="15" t="n">
        <f aca="false">IF(OR(K$2=0,$A$2=0),0,SUMIFS(INDEX(输入海典!$A$1:$AN$20000,0,K$2),INDEX(输入海典!$A$1:$AN$20000,0,$A$2),IF($B$2,""&amp;$A29,$A29)))</f>
        <v>0</v>
      </c>
      <c r="L29" s="15" t="n">
        <f aca="false">IF(OR(L$2=0,$A$2=0),0,SUMIFS(INDEX(输入海典!$A$1:$AN$20000,0,L$2),INDEX(输入海典!$A$1:$AN$20000,0,$A$2),IF($B$2,""&amp;$A29,$A29)))</f>
        <v>0</v>
      </c>
      <c r="M29" s="15" t="n">
        <f aca="false">IF(OR(M$2=0,$A$2=0),0,SUMIFS(INDEX(输入海典!$A$1:$AN$20000,0,M$2),INDEX(输入海典!$A$1:$AN$20000,0,$A$2),IF($B$2,""&amp;$A29,$A29)))</f>
        <v>0</v>
      </c>
      <c r="N29" s="15" t="n">
        <f aca="false">IF(OR(N$2=0,$A$2=0),0,SUMIFS(INDEX(输入海典!$A$1:$AN$20000,0,N$2),INDEX(输入海典!$A$1:$AN$20000,0,$A$2),IF($B$2,""&amp;$A29,$A29)))</f>
        <v>0</v>
      </c>
      <c r="O29" s="15" t="n">
        <f aca="false">IF(OR(O$2=0,$A$2=0),0,SUMIFS(INDEX(输入海典!$A$1:$AN$20000,0,O$2),INDEX(输入海典!$A$1:$AN$20000,0,$A$2),IF($B$2,""&amp;$A29,$A29)))</f>
        <v>0</v>
      </c>
      <c r="P29" s="15" t="n">
        <f aca="false">IF(OR(P$2=0,$A$2=0),0,SUMIFS(INDEX(输入海典!$A$1:$AN$20000,0,P$2),INDEX(输入海典!$A$1:$AN$20000,0,$A$2),IF($B$2,""&amp;$A29,$A29)))</f>
        <v>-1.15</v>
      </c>
      <c r="Q29" s="15" t="n">
        <f aca="false">IF(OR(Q$2=0,$A$2=0),0,SUMIFS(INDEX(输入海典!$A$1:$AN$20000,0,Q$2),INDEX(输入海典!$A$1:$AN$20000,0,$A$2),IF($B$2,""&amp;$A29,$A29)))</f>
        <v>177</v>
      </c>
      <c r="R29" s="15" t="n">
        <f aca="false">IF(OR(R$2=0,$A$2=0),0,SUMIFS(INDEX(输入海典!$A$1:$AN$20000,0,R$2),INDEX(输入海典!$A$1:$AN$20000,0,$A$2),IF($B$2,""&amp;$A29,$A29)))</f>
        <v>0</v>
      </c>
      <c r="S29" s="15" t="n">
        <f aca="false">IF(OR(S$2=0,$A$2=0),0,SUMIFS(INDEX(输入海典!$A$1:$AN$20000,0,S$2),INDEX(输入海典!$A$1:$AN$20000,0,$A$2),IF($B$2,""&amp;$A29,$A29)))</f>
        <v>0</v>
      </c>
      <c r="T29" s="15" t="n">
        <f aca="false">IF(OR(T$2=0,$A$2=0),0,SUMIFS(INDEX(输入海典!$A$1:$AN$20000,0,T$2),INDEX(输入海典!$A$1:$AN$20000,0,$A$2),IF($B$2,""&amp;$A29,$A29)))</f>
        <v>46.46</v>
      </c>
      <c r="U29" s="15" t="n">
        <f aca="false">IF(OR(U$2=0,$A$2=0),0,SUMIFS(INDEX(输入海典!$A$1:$AN$20000,0,U$2),INDEX(输入海典!$A$1:$AN$20000,0,$A$2),IF($B$2,""&amp;$A29,$A29)))</f>
        <v>745.4</v>
      </c>
      <c r="V29" s="15" t="n">
        <f aca="false">IF(OR(V$2=0,$A$2=0),0,SUMIFS(INDEX(输入海典!$A$1:$AN$20000,0,V$2),INDEX(输入海典!$A$1:$AN$20000,0,$A$2),IF($B$2,""&amp;$A29,$A29)))</f>
        <v>0</v>
      </c>
      <c r="W29" s="15" t="n">
        <f aca="false">IF(OR(W$2=0,$A$2=0),0,SUMIFS(INDEX(输入海典!$A$1:$AN$20000,0,W$2),INDEX(输入海典!$A$1:$AN$20000,0,$A$2),IF($B$2,""&amp;$A29,$A29)))</f>
        <v>0</v>
      </c>
      <c r="X29" s="15" t="n">
        <f aca="false">IF(OR(X$2=0,$A$2=0),0,SUMIFS(INDEX(输入海典!$A$1:$AN$20000,0,X$2),INDEX(输入海典!$A$1:$AN$20000,0,$A$2),IF($B$2,""&amp;$A29,$A29)))</f>
        <v>0</v>
      </c>
      <c r="Y29" s="15" t="n">
        <f aca="false">IF(OR(Y$2=0,$A$2=0),0,SUMIFS(INDEX(输入海典!$A$1:$AN$20000,0,Y$2),INDEX(输入海典!$A$1:$AN$20000,0,$A$2),IF($B$2,""&amp;$A29,$A29)))</f>
        <v>0</v>
      </c>
      <c r="Z29" s="15" t="n">
        <f aca="false">IF(OR(Z$2=0,$A$2=0),0,SUMIFS(INDEX(输入海典!$A$1:$AN$20000,0,Z$2),INDEX(输入海典!$A$1:$AN$20000,0,$A$2),IF($B$2,""&amp;$A29,$A29)))</f>
        <v>0</v>
      </c>
      <c r="AA29" s="15" t="n">
        <f aca="false">IF(OR(AA$2=0,$A$2=0),0,SUMIFS(INDEX(输入海典!$A$1:$AN$20000,0,AA$2),INDEX(输入海典!$A$1:$AN$20000,0,$A$2),IF($B$2,""&amp;$A29,$A29)))</f>
        <v>0</v>
      </c>
      <c r="AB29" s="15" t="n">
        <f aca="false">IF(OR(AB$2=0,$A$2=0),0,SUMIFS(INDEX(输入海典!$A$1:$AN$20000,0,AB$2),INDEX(输入海典!$A$1:$AN$20000,0,$A$2),IF($B$2,""&amp;$A29,$A29)))</f>
        <v>0</v>
      </c>
      <c r="AC29" s="15" t="n">
        <f aca="false">IF(OR(AC$2=0,$A$2=0),0,SUMIFS(INDEX(输入海典!$A$1:$AN$20000,0,AC$2),INDEX(输入海典!$A$1:$AN$20000,0,$A$2),IF($B$2,""&amp;$A29,$A29)))</f>
        <v>0</v>
      </c>
      <c r="AD29" s="15" t="n">
        <f aca="false">IF(OR(AD$2=0,$A$2=0),0,SUMIFS(INDEX(输入海典!$A$1:$AN$20000,0,AD$2),INDEX(输入海典!$A$1:$AN$20000,0,$A$2),IF($B$2,""&amp;$A29,$A29)))</f>
        <v>0</v>
      </c>
      <c r="AE29" s="15" t="n">
        <f aca="false">IF(OR(AE$2=0,$A$2=0),0,SUMIFS(INDEX(输入海典!$A$1:$AN$20000,0,AE$2),INDEX(输入海典!$A$1:$AN$20000,0,$A$2),IF($B$2,""&amp;$A29,$A29)))</f>
        <v>92350.51</v>
      </c>
    </row>
    <row r="30" customFormat="false" ht="14.9" hidden="false" customHeight="false" outlineLevel="0" collapsed="false">
      <c r="A30" s="25" t="n">
        <f aca="false">IF(门店对照!$D29=1,门店对照!$A29,"#未启用#")</f>
        <v>2041</v>
      </c>
      <c r="B30" s="26" t="str">
        <f aca="false">IF(门店对照!$B29="","",门店对照!$B29)</f>
        <v>郝庄分店（41分店）</v>
      </c>
      <c r="C30" s="15" t="n">
        <f aca="false">IF(OR(C$2=0,$A$2=0),0,SUMIFS(INDEX(输入海典!$A$1:$AN$20000,0,C$2),INDEX(输入海典!$A$1:$AN$20000,0,$A$2),IF($B$2,""&amp;$A30,$A30)))</f>
        <v>14774.25</v>
      </c>
      <c r="D30" s="15" t="n">
        <f aca="false">IF(OR(D$2=0,$A$2=0),0,SUMIFS(INDEX(输入海典!$A$1:$AN$20000,0,D$2),INDEX(输入海典!$A$1:$AN$20000,0,$A$2),IF($B$2,""&amp;$A30,$A30)))</f>
        <v>0</v>
      </c>
      <c r="E30" s="15" t="n">
        <f aca="false">IF(OR(E$2=0,$A$2=0),0,SUMIFS(INDEX(输入海典!$A$1:$AN$20000,0,E$2),INDEX(输入海典!$A$1:$AN$20000,0,$A$2),IF($B$2,""&amp;$A30,$A30)))</f>
        <v>37722.67</v>
      </c>
      <c r="F30" s="15" t="n">
        <f aca="false">IF(OR(F$2=0,$A$2=0),0,SUMIFS(INDEX(输入海典!$A$1:$AN$20000,0,F$2),INDEX(输入海典!$A$1:$AN$20000,0,$A$2),IF($B$2,""&amp;$A30,$A30)))</f>
        <v>0</v>
      </c>
      <c r="G30" s="15" t="n">
        <f aca="false">IF(OR(G$2=0,$A$2=0),0,SUMIFS(INDEX(输入海典!$A$1:$AN$20000,0,G$2),INDEX(输入海典!$A$1:$AN$20000,0,$A$2),IF($B$2,""&amp;$A30,$A30)))</f>
        <v>0</v>
      </c>
      <c r="H30" s="15" t="n">
        <f aca="false">IF(OR(H$2=0,$A$2=0),0,SUMIFS(INDEX(输入海典!$A$1:$AN$20000,0,H$2),INDEX(输入海典!$A$1:$AN$20000,0,$A$2),IF($B$2,""&amp;$A30,$A30)))</f>
        <v>0</v>
      </c>
      <c r="I30" s="15" t="n">
        <f aca="false">IF(OR(I$2=0,$A$2=0),0,SUMIFS(INDEX(输入海典!$A$1:$AN$20000,0,I$2),INDEX(输入海典!$A$1:$AN$20000,0,$A$2),IF($B$2,""&amp;$A30,$A30)))</f>
        <v>0</v>
      </c>
      <c r="J30" s="15" t="n">
        <f aca="false">IF(OR(J$2=0,$A$2=0),0,SUMIFS(INDEX(输入海典!$A$1:$AN$20000,0,J$2),INDEX(输入海典!$A$1:$AN$20000,0,$A$2),IF($B$2,""&amp;$A30,$A30)))</f>
        <v>0</v>
      </c>
      <c r="K30" s="15" t="n">
        <f aca="false">IF(OR(K$2=0,$A$2=0),0,SUMIFS(INDEX(输入海典!$A$1:$AN$20000,0,K$2),INDEX(输入海典!$A$1:$AN$20000,0,$A$2),IF($B$2,""&amp;$A30,$A30)))</f>
        <v>0</v>
      </c>
      <c r="L30" s="15" t="n">
        <f aca="false">IF(OR(L$2=0,$A$2=0),0,SUMIFS(INDEX(输入海典!$A$1:$AN$20000,0,L$2),INDEX(输入海典!$A$1:$AN$20000,0,$A$2),IF($B$2,""&amp;$A30,$A30)))</f>
        <v>0</v>
      </c>
      <c r="M30" s="15" t="n">
        <f aca="false">IF(OR(M$2=0,$A$2=0),0,SUMIFS(INDEX(输入海典!$A$1:$AN$20000,0,M$2),INDEX(输入海典!$A$1:$AN$20000,0,$A$2),IF($B$2,""&amp;$A30,$A30)))</f>
        <v>0</v>
      </c>
      <c r="N30" s="15" t="n">
        <f aca="false">IF(OR(N$2=0,$A$2=0),0,SUMIFS(INDEX(输入海典!$A$1:$AN$20000,0,N$2),INDEX(输入海典!$A$1:$AN$20000,0,$A$2),IF($B$2,""&amp;$A30,$A30)))</f>
        <v>0</v>
      </c>
      <c r="O30" s="15" t="n">
        <f aca="false">IF(OR(O$2=0,$A$2=0),0,SUMIFS(INDEX(输入海典!$A$1:$AN$20000,0,O$2),INDEX(输入海典!$A$1:$AN$20000,0,$A$2),IF($B$2,""&amp;$A30,$A30)))</f>
        <v>0</v>
      </c>
      <c r="P30" s="15" t="n">
        <f aca="false">IF(OR(P$2=0,$A$2=0),0,SUMIFS(INDEX(输入海典!$A$1:$AN$20000,0,P$2),INDEX(输入海典!$A$1:$AN$20000,0,$A$2),IF($B$2,""&amp;$A30,$A30)))</f>
        <v>-9.36</v>
      </c>
      <c r="Q30" s="15" t="n">
        <f aca="false">IF(OR(Q$2=0,$A$2=0),0,SUMIFS(INDEX(输入海典!$A$1:$AN$20000,0,Q$2),INDEX(输入海典!$A$1:$AN$20000,0,$A$2),IF($B$2,""&amp;$A30,$A30)))</f>
        <v>138</v>
      </c>
      <c r="R30" s="15" t="n">
        <f aca="false">IF(OR(R$2=0,$A$2=0),0,SUMIFS(INDEX(输入海典!$A$1:$AN$20000,0,R$2),INDEX(输入海典!$A$1:$AN$20000,0,$A$2),IF($B$2,""&amp;$A30,$A30)))</f>
        <v>0</v>
      </c>
      <c r="S30" s="15" t="n">
        <f aca="false">IF(OR(S$2=0,$A$2=0),0,SUMIFS(INDEX(输入海典!$A$1:$AN$20000,0,S$2),INDEX(输入海典!$A$1:$AN$20000,0,$A$2),IF($B$2,""&amp;$A30,$A30)))</f>
        <v>0</v>
      </c>
      <c r="T30" s="15" t="n">
        <f aca="false">IF(OR(T$2=0,$A$2=0),0,SUMIFS(INDEX(输入海典!$A$1:$AN$20000,0,T$2),INDEX(输入海典!$A$1:$AN$20000,0,$A$2),IF($B$2,""&amp;$A30,$A30)))</f>
        <v>69.56</v>
      </c>
      <c r="U30" s="15" t="n">
        <f aca="false">IF(OR(U$2=0,$A$2=0),0,SUMIFS(INDEX(输入海典!$A$1:$AN$20000,0,U$2),INDEX(输入海典!$A$1:$AN$20000,0,$A$2),IF($B$2,""&amp;$A30,$A30)))</f>
        <v>938.4</v>
      </c>
      <c r="V30" s="15" t="n">
        <f aca="false">IF(OR(V$2=0,$A$2=0),0,SUMIFS(INDEX(输入海典!$A$1:$AN$20000,0,V$2),INDEX(输入海典!$A$1:$AN$20000,0,$A$2),IF($B$2,""&amp;$A30,$A30)))</f>
        <v>0</v>
      </c>
      <c r="W30" s="15" t="n">
        <f aca="false">IF(OR(W$2=0,$A$2=0),0,SUMIFS(INDEX(输入海典!$A$1:$AN$20000,0,W$2),INDEX(输入海典!$A$1:$AN$20000,0,$A$2),IF($B$2,""&amp;$A30,$A30)))</f>
        <v>0</v>
      </c>
      <c r="X30" s="15" t="n">
        <f aca="false">IF(OR(X$2=0,$A$2=0),0,SUMIFS(INDEX(输入海典!$A$1:$AN$20000,0,X$2),INDEX(输入海典!$A$1:$AN$20000,0,$A$2),IF($B$2,""&amp;$A30,$A30)))</f>
        <v>0</v>
      </c>
      <c r="Y30" s="15" t="n">
        <f aca="false">IF(OR(Y$2=0,$A$2=0),0,SUMIFS(INDEX(输入海典!$A$1:$AN$20000,0,Y$2),INDEX(输入海典!$A$1:$AN$20000,0,$A$2),IF($B$2,""&amp;$A30,$A30)))</f>
        <v>0</v>
      </c>
      <c r="Z30" s="15" t="n">
        <f aca="false">IF(OR(Z$2=0,$A$2=0),0,SUMIFS(INDEX(输入海典!$A$1:$AN$20000,0,Z$2),INDEX(输入海典!$A$1:$AN$20000,0,$A$2),IF($B$2,""&amp;$A30,$A30)))</f>
        <v>0</v>
      </c>
      <c r="AA30" s="15" t="n">
        <f aca="false">IF(OR(AA$2=0,$A$2=0),0,SUMIFS(INDEX(输入海典!$A$1:$AN$20000,0,AA$2),INDEX(输入海典!$A$1:$AN$20000,0,$A$2),IF($B$2,""&amp;$A30,$A30)))</f>
        <v>0</v>
      </c>
      <c r="AB30" s="15" t="n">
        <f aca="false">IF(OR(AB$2=0,$A$2=0),0,SUMIFS(INDEX(输入海典!$A$1:$AN$20000,0,AB$2),INDEX(输入海典!$A$1:$AN$20000,0,$A$2),IF($B$2,""&amp;$A30,$A30)))</f>
        <v>0</v>
      </c>
      <c r="AC30" s="15" t="n">
        <f aca="false">IF(OR(AC$2=0,$A$2=0),0,SUMIFS(INDEX(输入海典!$A$1:$AN$20000,0,AC$2),INDEX(输入海典!$A$1:$AN$20000,0,$A$2),IF($B$2,""&amp;$A30,$A30)))</f>
        <v>0</v>
      </c>
      <c r="AD30" s="15" t="n">
        <f aca="false">IF(OR(AD$2=0,$A$2=0),0,SUMIFS(INDEX(输入海典!$A$1:$AN$20000,0,AD$2),INDEX(输入海典!$A$1:$AN$20000,0,$A$2),IF($B$2,""&amp;$A30,$A30)))</f>
        <v>0</v>
      </c>
      <c r="AE30" s="15" t="n">
        <f aca="false">IF(OR(AE$2=0,$A$2=0),0,SUMIFS(INDEX(输入海典!$A$1:$AN$20000,0,AE$2),INDEX(输入海典!$A$1:$AN$20000,0,$A$2),IF($B$2,""&amp;$A30,$A30)))</f>
        <v>53633.52</v>
      </c>
    </row>
    <row r="31" customFormat="false" ht="14.9" hidden="false" customHeight="false" outlineLevel="0" collapsed="false">
      <c r="A31" s="25" t="n">
        <f aca="false">IF(门店对照!$D30=1,门店对照!$A30,"#未启用#")</f>
        <v>2042</v>
      </c>
      <c r="B31" s="26" t="str">
        <f aca="false">IF(门店对照!$B30="","",门店对照!$B30)</f>
        <v>白家寨博远分店（42分店）</v>
      </c>
      <c r="C31" s="15" t="n">
        <f aca="false">IF(OR(C$2=0,$A$2=0),0,SUMIFS(INDEX(输入海典!$A$1:$AN$20000,0,C$2),INDEX(输入海典!$A$1:$AN$20000,0,$A$2),IF($B$2,""&amp;$A31,$A31)))</f>
        <v>14901.93</v>
      </c>
      <c r="D31" s="15" t="n">
        <f aca="false">IF(OR(D$2=0,$A$2=0),0,SUMIFS(INDEX(输入海典!$A$1:$AN$20000,0,D$2),INDEX(输入海典!$A$1:$AN$20000,0,$A$2),IF($B$2,""&amp;$A31,$A31)))</f>
        <v>0</v>
      </c>
      <c r="E31" s="15" t="n">
        <f aca="false">IF(OR(E$2=0,$A$2=0),0,SUMIFS(INDEX(输入海典!$A$1:$AN$20000,0,E$2),INDEX(输入海典!$A$1:$AN$20000,0,$A$2),IF($B$2,""&amp;$A31,$A31)))</f>
        <v>27558.97</v>
      </c>
      <c r="F31" s="15" t="n">
        <f aca="false">IF(OR(F$2=0,$A$2=0),0,SUMIFS(INDEX(输入海典!$A$1:$AN$20000,0,F$2),INDEX(输入海典!$A$1:$AN$20000,0,$A$2),IF($B$2,""&amp;$A31,$A31)))</f>
        <v>5297.9</v>
      </c>
      <c r="G31" s="15" t="n">
        <f aca="false">IF(OR(G$2=0,$A$2=0),0,SUMIFS(INDEX(输入海典!$A$1:$AN$20000,0,G$2),INDEX(输入海典!$A$1:$AN$20000,0,$A$2),IF($B$2,""&amp;$A31,$A31)))</f>
        <v>0</v>
      </c>
      <c r="H31" s="15" t="n">
        <f aca="false">IF(OR(H$2=0,$A$2=0),0,SUMIFS(INDEX(输入海典!$A$1:$AN$20000,0,H$2),INDEX(输入海典!$A$1:$AN$20000,0,$A$2),IF($B$2,""&amp;$A31,$A31)))</f>
        <v>0</v>
      </c>
      <c r="I31" s="15" t="n">
        <f aca="false">IF(OR(I$2=0,$A$2=0),0,SUMIFS(INDEX(输入海典!$A$1:$AN$20000,0,I$2),INDEX(输入海典!$A$1:$AN$20000,0,$A$2),IF($B$2,""&amp;$A31,$A31)))</f>
        <v>0</v>
      </c>
      <c r="J31" s="15" t="n">
        <f aca="false">IF(OR(J$2=0,$A$2=0),0,SUMIFS(INDEX(输入海典!$A$1:$AN$20000,0,J$2),INDEX(输入海典!$A$1:$AN$20000,0,$A$2),IF($B$2,""&amp;$A31,$A31)))</f>
        <v>0</v>
      </c>
      <c r="K31" s="15" t="n">
        <f aca="false">IF(OR(K$2=0,$A$2=0),0,SUMIFS(INDEX(输入海典!$A$1:$AN$20000,0,K$2),INDEX(输入海典!$A$1:$AN$20000,0,$A$2),IF($B$2,""&amp;$A31,$A31)))</f>
        <v>0</v>
      </c>
      <c r="L31" s="15" t="n">
        <f aca="false">IF(OR(L$2=0,$A$2=0),0,SUMIFS(INDEX(输入海典!$A$1:$AN$20000,0,L$2),INDEX(输入海典!$A$1:$AN$20000,0,$A$2),IF($B$2,""&amp;$A31,$A31)))</f>
        <v>0</v>
      </c>
      <c r="M31" s="15" t="n">
        <f aca="false">IF(OR(M$2=0,$A$2=0),0,SUMIFS(INDEX(输入海典!$A$1:$AN$20000,0,M$2),INDEX(输入海典!$A$1:$AN$20000,0,$A$2),IF($B$2,""&amp;$A31,$A31)))</f>
        <v>0</v>
      </c>
      <c r="N31" s="15" t="n">
        <f aca="false">IF(OR(N$2=0,$A$2=0),0,SUMIFS(INDEX(输入海典!$A$1:$AN$20000,0,N$2),INDEX(输入海典!$A$1:$AN$20000,0,$A$2),IF($B$2,""&amp;$A31,$A31)))</f>
        <v>0</v>
      </c>
      <c r="O31" s="15" t="n">
        <f aca="false">IF(OR(O$2=0,$A$2=0),0,SUMIFS(INDEX(输入海典!$A$1:$AN$20000,0,O$2),INDEX(输入海典!$A$1:$AN$20000,0,$A$2),IF($B$2,""&amp;$A31,$A31)))</f>
        <v>0</v>
      </c>
      <c r="P31" s="15" t="n">
        <f aca="false">IF(OR(P$2=0,$A$2=0),0,SUMIFS(INDEX(输入海典!$A$1:$AN$20000,0,P$2),INDEX(输入海典!$A$1:$AN$20000,0,$A$2),IF($B$2,""&amp;$A31,$A31)))</f>
        <v>0</v>
      </c>
      <c r="Q31" s="15" t="n">
        <f aca="false">IF(OR(Q$2=0,$A$2=0),0,SUMIFS(INDEX(输入海典!$A$1:$AN$20000,0,Q$2),INDEX(输入海典!$A$1:$AN$20000,0,$A$2),IF($B$2,""&amp;$A31,$A31)))</f>
        <v>16.2</v>
      </c>
      <c r="R31" s="15" t="n">
        <f aca="false">IF(OR(R$2=0,$A$2=0),0,SUMIFS(INDEX(输入海典!$A$1:$AN$20000,0,R$2),INDEX(输入海典!$A$1:$AN$20000,0,$A$2),IF($B$2,""&amp;$A31,$A31)))</f>
        <v>0</v>
      </c>
      <c r="S31" s="15" t="n">
        <f aca="false">IF(OR(S$2=0,$A$2=0),0,SUMIFS(INDEX(输入海典!$A$1:$AN$20000,0,S$2),INDEX(输入海典!$A$1:$AN$20000,0,$A$2),IF($B$2,""&amp;$A31,$A31)))</f>
        <v>0</v>
      </c>
      <c r="T31" s="15" t="n">
        <f aca="false">IF(OR(T$2=0,$A$2=0),0,SUMIFS(INDEX(输入海典!$A$1:$AN$20000,0,T$2),INDEX(输入海典!$A$1:$AN$20000,0,$A$2),IF($B$2,""&amp;$A31,$A31)))</f>
        <v>18</v>
      </c>
      <c r="U31" s="15" t="n">
        <f aca="false">IF(OR(U$2=0,$A$2=0),0,SUMIFS(INDEX(输入海典!$A$1:$AN$20000,0,U$2),INDEX(输入海典!$A$1:$AN$20000,0,$A$2),IF($B$2,""&amp;$A31,$A31)))</f>
        <v>1865</v>
      </c>
      <c r="V31" s="15" t="n">
        <f aca="false">IF(OR(V$2=0,$A$2=0),0,SUMIFS(INDEX(输入海典!$A$1:$AN$20000,0,V$2),INDEX(输入海典!$A$1:$AN$20000,0,$A$2),IF($B$2,""&amp;$A31,$A31)))</f>
        <v>0</v>
      </c>
      <c r="W31" s="15" t="n">
        <f aca="false">IF(OR(W$2=0,$A$2=0),0,SUMIFS(INDEX(输入海典!$A$1:$AN$20000,0,W$2),INDEX(输入海典!$A$1:$AN$20000,0,$A$2),IF($B$2,""&amp;$A31,$A31)))</f>
        <v>0</v>
      </c>
      <c r="X31" s="15" t="n">
        <f aca="false">IF(OR(X$2=0,$A$2=0),0,SUMIFS(INDEX(输入海典!$A$1:$AN$20000,0,X$2),INDEX(输入海典!$A$1:$AN$20000,0,$A$2),IF($B$2,""&amp;$A31,$A31)))</f>
        <v>0</v>
      </c>
      <c r="Y31" s="15" t="n">
        <f aca="false">IF(OR(Y$2=0,$A$2=0),0,SUMIFS(INDEX(输入海典!$A$1:$AN$20000,0,Y$2),INDEX(输入海典!$A$1:$AN$20000,0,$A$2),IF($B$2,""&amp;$A31,$A31)))</f>
        <v>0</v>
      </c>
      <c r="Z31" s="15" t="n">
        <f aca="false">IF(OR(Z$2=0,$A$2=0),0,SUMIFS(INDEX(输入海典!$A$1:$AN$20000,0,Z$2),INDEX(输入海典!$A$1:$AN$20000,0,$A$2),IF($B$2,""&amp;$A31,$A31)))</f>
        <v>0</v>
      </c>
      <c r="AA31" s="15" t="n">
        <f aca="false">IF(OR(AA$2=0,$A$2=0),0,SUMIFS(INDEX(输入海典!$A$1:$AN$20000,0,AA$2),INDEX(输入海典!$A$1:$AN$20000,0,$A$2),IF($B$2,""&amp;$A31,$A31)))</f>
        <v>0</v>
      </c>
      <c r="AB31" s="15" t="n">
        <f aca="false">IF(OR(AB$2=0,$A$2=0),0,SUMIFS(INDEX(输入海典!$A$1:$AN$20000,0,AB$2),INDEX(输入海典!$A$1:$AN$20000,0,$A$2),IF($B$2,""&amp;$A31,$A31)))</f>
        <v>0</v>
      </c>
      <c r="AC31" s="15" t="n">
        <f aca="false">IF(OR(AC$2=0,$A$2=0),0,SUMIFS(INDEX(输入海典!$A$1:$AN$20000,0,AC$2),INDEX(输入海典!$A$1:$AN$20000,0,$A$2),IF($B$2,""&amp;$A31,$A31)))</f>
        <v>0</v>
      </c>
      <c r="AD31" s="15" t="n">
        <f aca="false">IF(OR(AD$2=0,$A$2=0),0,SUMIFS(INDEX(输入海典!$A$1:$AN$20000,0,AD$2),INDEX(输入海典!$A$1:$AN$20000,0,$A$2),IF($B$2,""&amp;$A31,$A31)))</f>
        <v>0</v>
      </c>
      <c r="AE31" s="15" t="n">
        <f aca="false">IF(OR(AE$2=0,$A$2=0),0,SUMIFS(INDEX(输入海典!$A$1:$AN$20000,0,AE$2),INDEX(输入海典!$A$1:$AN$20000,0,$A$2),IF($B$2,""&amp;$A31,$A31)))</f>
        <v>49658</v>
      </c>
    </row>
    <row r="32" customFormat="false" ht="14.9" hidden="false" customHeight="false" outlineLevel="0" collapsed="false">
      <c r="A32" s="25" t="n">
        <f aca="false">IF(门店对照!$D31=1,门店对照!$A31,"#未启用#")</f>
        <v>2043</v>
      </c>
      <c r="B32" s="26" t="str">
        <f aca="false">IF(门店对照!$B31="","",门店对照!$B31)</f>
        <v>临城县博福分店43店</v>
      </c>
      <c r="C32" s="15" t="n">
        <f aca="false">IF(OR(C$2=0,$A$2=0),0,SUMIFS(INDEX(输入海典!$A$1:$AN$20000,0,C$2),INDEX(输入海典!$A$1:$AN$20000,0,$A$2),IF($B$2,""&amp;$A32,$A32)))</f>
        <v>5461.07</v>
      </c>
      <c r="D32" s="15" t="n">
        <f aca="false">IF(OR(D$2=0,$A$2=0),0,SUMIFS(INDEX(输入海典!$A$1:$AN$20000,0,D$2),INDEX(输入海典!$A$1:$AN$20000,0,$A$2),IF($B$2,""&amp;$A32,$A32)))</f>
        <v>0</v>
      </c>
      <c r="E32" s="15" t="n">
        <f aca="false">IF(OR(E$2=0,$A$2=0),0,SUMIFS(INDEX(输入海典!$A$1:$AN$20000,0,E$2),INDEX(输入海典!$A$1:$AN$20000,0,$A$2),IF($B$2,""&amp;$A32,$A32)))</f>
        <v>26420.44</v>
      </c>
      <c r="F32" s="15" t="n">
        <f aca="false">IF(OR(F$2=0,$A$2=0),0,SUMIFS(INDEX(输入海典!$A$1:$AN$20000,0,F$2),INDEX(输入海典!$A$1:$AN$20000,0,$A$2),IF($B$2,""&amp;$A32,$A32)))</f>
        <v>10373.25</v>
      </c>
      <c r="G32" s="15" t="n">
        <f aca="false">IF(OR(G$2=0,$A$2=0),0,SUMIFS(INDEX(输入海典!$A$1:$AN$20000,0,G$2),INDEX(输入海典!$A$1:$AN$20000,0,$A$2),IF($B$2,""&amp;$A32,$A32)))</f>
        <v>0</v>
      </c>
      <c r="H32" s="15" t="n">
        <f aca="false">IF(OR(H$2=0,$A$2=0),0,SUMIFS(INDEX(输入海典!$A$1:$AN$20000,0,H$2),INDEX(输入海典!$A$1:$AN$20000,0,$A$2),IF($B$2,""&amp;$A32,$A32)))</f>
        <v>15991.6</v>
      </c>
      <c r="I32" s="15" t="n">
        <f aca="false">IF(OR(I$2=0,$A$2=0),0,SUMIFS(INDEX(输入海典!$A$1:$AN$20000,0,I$2),INDEX(输入海典!$A$1:$AN$20000,0,$A$2),IF($B$2,""&amp;$A32,$A32)))</f>
        <v>0</v>
      </c>
      <c r="J32" s="15" t="n">
        <f aca="false">IF(OR(J$2=0,$A$2=0),0,SUMIFS(INDEX(输入海典!$A$1:$AN$20000,0,J$2),INDEX(输入海典!$A$1:$AN$20000,0,$A$2),IF($B$2,""&amp;$A32,$A32)))</f>
        <v>0</v>
      </c>
      <c r="K32" s="15" t="n">
        <f aca="false">IF(OR(K$2=0,$A$2=0),0,SUMIFS(INDEX(输入海典!$A$1:$AN$20000,0,K$2),INDEX(输入海典!$A$1:$AN$20000,0,$A$2),IF($B$2,""&amp;$A32,$A32)))</f>
        <v>2168.8</v>
      </c>
      <c r="L32" s="15" t="n">
        <f aca="false">IF(OR(L$2=0,$A$2=0),0,SUMIFS(INDEX(输入海典!$A$1:$AN$20000,0,L$2),INDEX(输入海典!$A$1:$AN$20000,0,$A$2),IF($B$2,""&amp;$A32,$A32)))</f>
        <v>0</v>
      </c>
      <c r="M32" s="15" t="n">
        <f aca="false">IF(OR(M$2=0,$A$2=0),0,SUMIFS(INDEX(输入海典!$A$1:$AN$20000,0,M$2),INDEX(输入海典!$A$1:$AN$20000,0,$A$2),IF($B$2,""&amp;$A32,$A32)))</f>
        <v>206.3</v>
      </c>
      <c r="N32" s="15" t="n">
        <f aca="false">IF(OR(N$2=0,$A$2=0),0,SUMIFS(INDEX(输入海典!$A$1:$AN$20000,0,N$2),INDEX(输入海典!$A$1:$AN$20000,0,$A$2),IF($B$2,""&amp;$A32,$A32)))</f>
        <v>0</v>
      </c>
      <c r="O32" s="15" t="n">
        <f aca="false">IF(OR(O$2=0,$A$2=0),0,SUMIFS(INDEX(输入海典!$A$1:$AN$20000,0,O$2),INDEX(输入海典!$A$1:$AN$20000,0,$A$2),IF($B$2,""&amp;$A32,$A32)))</f>
        <v>0</v>
      </c>
      <c r="P32" s="15" t="n">
        <f aca="false">IF(OR(P$2=0,$A$2=0),0,SUMIFS(INDEX(输入海典!$A$1:$AN$20000,0,P$2),INDEX(输入海典!$A$1:$AN$20000,0,$A$2),IF($B$2,""&amp;$A32,$A32)))</f>
        <v>0</v>
      </c>
      <c r="Q32" s="15" t="n">
        <f aca="false">IF(OR(Q$2=0,$A$2=0),0,SUMIFS(INDEX(输入海典!$A$1:$AN$20000,0,Q$2),INDEX(输入海典!$A$1:$AN$20000,0,$A$2),IF($B$2,""&amp;$A32,$A32)))</f>
        <v>8652.19</v>
      </c>
      <c r="R32" s="15" t="n">
        <f aca="false">IF(OR(R$2=0,$A$2=0),0,SUMIFS(INDEX(输入海典!$A$1:$AN$20000,0,R$2),INDEX(输入海典!$A$1:$AN$20000,0,$A$2),IF($B$2,""&amp;$A32,$A32)))</f>
        <v>0</v>
      </c>
      <c r="S32" s="15" t="n">
        <f aca="false">IF(OR(S$2=0,$A$2=0),0,SUMIFS(INDEX(输入海典!$A$1:$AN$20000,0,S$2),INDEX(输入海典!$A$1:$AN$20000,0,$A$2),IF($B$2,""&amp;$A32,$A32)))</f>
        <v>0</v>
      </c>
      <c r="T32" s="15" t="n">
        <f aca="false">IF(OR(T$2=0,$A$2=0),0,SUMIFS(INDEX(输入海典!$A$1:$AN$20000,0,T$2),INDEX(输入海典!$A$1:$AN$20000,0,$A$2),IF($B$2,""&amp;$A32,$A32)))</f>
        <v>7.6</v>
      </c>
      <c r="U32" s="15" t="n">
        <f aca="false">IF(OR(U$2=0,$A$2=0),0,SUMIFS(INDEX(输入海典!$A$1:$AN$20000,0,U$2),INDEX(输入海典!$A$1:$AN$20000,0,$A$2),IF($B$2,""&amp;$A32,$A32)))</f>
        <v>924.5</v>
      </c>
      <c r="V32" s="15" t="n">
        <f aca="false">IF(OR(V$2=0,$A$2=0),0,SUMIFS(INDEX(输入海典!$A$1:$AN$20000,0,V$2),INDEX(输入海典!$A$1:$AN$20000,0,$A$2),IF($B$2,""&amp;$A32,$A32)))</f>
        <v>0</v>
      </c>
      <c r="W32" s="15" t="n">
        <f aca="false">IF(OR(W$2=0,$A$2=0),0,SUMIFS(INDEX(输入海典!$A$1:$AN$20000,0,W$2),INDEX(输入海典!$A$1:$AN$20000,0,$A$2),IF($B$2,""&amp;$A32,$A32)))</f>
        <v>0</v>
      </c>
      <c r="X32" s="15" t="n">
        <f aca="false">IF(OR(X$2=0,$A$2=0),0,SUMIFS(INDEX(输入海典!$A$1:$AN$20000,0,X$2),INDEX(输入海典!$A$1:$AN$20000,0,$A$2),IF($B$2,""&amp;$A32,$A32)))</f>
        <v>0</v>
      </c>
      <c r="Y32" s="15" t="n">
        <f aca="false">IF(OR(Y$2=0,$A$2=0),0,SUMIFS(INDEX(输入海典!$A$1:$AN$20000,0,Y$2),INDEX(输入海典!$A$1:$AN$20000,0,$A$2),IF($B$2,""&amp;$A32,$A32)))</f>
        <v>0</v>
      </c>
      <c r="Z32" s="15" t="n">
        <f aca="false">IF(OR(Z$2=0,$A$2=0),0,SUMIFS(INDEX(输入海典!$A$1:$AN$20000,0,Z$2),INDEX(输入海典!$A$1:$AN$20000,0,$A$2),IF($B$2,""&amp;$A32,$A32)))</f>
        <v>0</v>
      </c>
      <c r="AA32" s="15" t="n">
        <f aca="false">IF(OR(AA$2=0,$A$2=0),0,SUMIFS(INDEX(输入海典!$A$1:$AN$20000,0,AA$2),INDEX(输入海典!$A$1:$AN$20000,0,$A$2),IF($B$2,""&amp;$A32,$A32)))</f>
        <v>0</v>
      </c>
      <c r="AB32" s="15" t="n">
        <f aca="false">IF(OR(AB$2=0,$A$2=0),0,SUMIFS(INDEX(输入海典!$A$1:$AN$20000,0,AB$2),INDEX(输入海典!$A$1:$AN$20000,0,$A$2),IF($B$2,""&amp;$A32,$A32)))</f>
        <v>0</v>
      </c>
      <c r="AC32" s="15" t="n">
        <f aca="false">IF(OR(AC$2=0,$A$2=0),0,SUMIFS(INDEX(输入海典!$A$1:$AN$20000,0,AC$2),INDEX(输入海典!$A$1:$AN$20000,0,$A$2),IF($B$2,""&amp;$A32,$A32)))</f>
        <v>0</v>
      </c>
      <c r="AD32" s="15" t="n">
        <f aca="false">IF(OR(AD$2=0,$A$2=0),0,SUMIFS(INDEX(输入海典!$A$1:$AN$20000,0,AD$2),INDEX(输入海典!$A$1:$AN$20000,0,$A$2),IF($B$2,""&amp;$A32,$A32)))</f>
        <v>0</v>
      </c>
      <c r="AE32" s="15" t="n">
        <f aca="false">IF(OR(AE$2=0,$A$2=0),0,SUMIFS(INDEX(输入海典!$A$1:$AN$20000,0,AE$2),INDEX(输入海典!$A$1:$AN$20000,0,$A$2),IF($B$2,""&amp;$A32,$A32)))</f>
        <v>70205.75</v>
      </c>
    </row>
    <row r="33" customFormat="false" ht="14.9" hidden="false" customHeight="false" outlineLevel="0" collapsed="false">
      <c r="A33" s="25" t="n">
        <f aca="false">IF(门店对照!$D32=1,门店对照!$A32,"#未启用#")</f>
        <v>2044</v>
      </c>
      <c r="B33" s="26" t="str">
        <f aca="false">IF(门店对照!$B32="","",门店对照!$B32)</f>
        <v>临城县博营分店（44分店）</v>
      </c>
      <c r="C33" s="15" t="n">
        <f aca="false">IF(OR(C$2=0,$A$2=0),0,SUMIFS(INDEX(输入海典!$A$1:$AN$20000,0,C$2),INDEX(输入海典!$A$1:$AN$20000,0,$A$2),IF($B$2,""&amp;$A33,$A33)))</f>
        <v>14656.89</v>
      </c>
      <c r="D33" s="15" t="n">
        <f aca="false">IF(OR(D$2=0,$A$2=0),0,SUMIFS(INDEX(输入海典!$A$1:$AN$20000,0,D$2),INDEX(输入海典!$A$1:$AN$20000,0,$A$2),IF($B$2,""&amp;$A33,$A33)))</f>
        <v>0</v>
      </c>
      <c r="E33" s="15" t="n">
        <f aca="false">IF(OR(E$2=0,$A$2=0),0,SUMIFS(INDEX(输入海典!$A$1:$AN$20000,0,E$2),INDEX(输入海典!$A$1:$AN$20000,0,$A$2),IF($B$2,""&amp;$A33,$A33)))</f>
        <v>21046.77</v>
      </c>
      <c r="F33" s="15" t="n">
        <f aca="false">IF(OR(F$2=0,$A$2=0),0,SUMIFS(INDEX(输入海典!$A$1:$AN$20000,0,F$2),INDEX(输入海典!$A$1:$AN$20000,0,$A$2),IF($B$2,""&amp;$A33,$A33)))</f>
        <v>0</v>
      </c>
      <c r="G33" s="15" t="n">
        <f aca="false">IF(OR(G$2=0,$A$2=0),0,SUMIFS(INDEX(输入海典!$A$1:$AN$20000,0,G$2),INDEX(输入海典!$A$1:$AN$20000,0,$A$2),IF($B$2,""&amp;$A33,$A33)))</f>
        <v>0</v>
      </c>
      <c r="H33" s="15" t="n">
        <f aca="false">IF(OR(H$2=0,$A$2=0),0,SUMIFS(INDEX(输入海典!$A$1:$AN$20000,0,H$2),INDEX(输入海典!$A$1:$AN$20000,0,$A$2),IF($B$2,""&amp;$A33,$A33)))</f>
        <v>0</v>
      </c>
      <c r="I33" s="15" t="n">
        <f aca="false">IF(OR(I$2=0,$A$2=0),0,SUMIFS(INDEX(输入海典!$A$1:$AN$20000,0,I$2),INDEX(输入海典!$A$1:$AN$20000,0,$A$2),IF($B$2,""&amp;$A33,$A33)))</f>
        <v>0</v>
      </c>
      <c r="J33" s="15" t="n">
        <f aca="false">IF(OR(J$2=0,$A$2=0),0,SUMIFS(INDEX(输入海典!$A$1:$AN$20000,0,J$2),INDEX(输入海典!$A$1:$AN$20000,0,$A$2),IF($B$2,""&amp;$A33,$A33)))</f>
        <v>0</v>
      </c>
      <c r="K33" s="15" t="n">
        <f aca="false">IF(OR(K$2=0,$A$2=0),0,SUMIFS(INDEX(输入海典!$A$1:$AN$20000,0,K$2),INDEX(输入海典!$A$1:$AN$20000,0,$A$2),IF($B$2,""&amp;$A33,$A33)))</f>
        <v>0</v>
      </c>
      <c r="L33" s="15" t="n">
        <f aca="false">IF(OR(L$2=0,$A$2=0),0,SUMIFS(INDEX(输入海典!$A$1:$AN$20000,0,L$2),INDEX(输入海典!$A$1:$AN$20000,0,$A$2),IF($B$2,""&amp;$A33,$A33)))</f>
        <v>0</v>
      </c>
      <c r="M33" s="15" t="n">
        <f aca="false">IF(OR(M$2=0,$A$2=0),0,SUMIFS(INDEX(输入海典!$A$1:$AN$20000,0,M$2),INDEX(输入海典!$A$1:$AN$20000,0,$A$2),IF($B$2,""&amp;$A33,$A33)))</f>
        <v>0</v>
      </c>
      <c r="N33" s="15" t="n">
        <f aca="false">IF(OR(N$2=0,$A$2=0),0,SUMIFS(INDEX(输入海典!$A$1:$AN$20000,0,N$2),INDEX(输入海典!$A$1:$AN$20000,0,$A$2),IF($B$2,""&amp;$A33,$A33)))</f>
        <v>0</v>
      </c>
      <c r="O33" s="15" t="n">
        <f aca="false">IF(OR(O$2=0,$A$2=0),0,SUMIFS(INDEX(输入海典!$A$1:$AN$20000,0,O$2),INDEX(输入海典!$A$1:$AN$20000,0,$A$2),IF($B$2,""&amp;$A33,$A33)))</f>
        <v>0</v>
      </c>
      <c r="P33" s="15" t="n">
        <f aca="false">IF(OR(P$2=0,$A$2=0),0,SUMIFS(INDEX(输入海典!$A$1:$AN$20000,0,P$2),INDEX(输入海典!$A$1:$AN$20000,0,$A$2),IF($B$2,""&amp;$A33,$A33)))</f>
        <v>0</v>
      </c>
      <c r="Q33" s="15" t="n">
        <f aca="false">IF(OR(Q$2=0,$A$2=0),0,SUMIFS(INDEX(输入海典!$A$1:$AN$20000,0,Q$2),INDEX(输入海典!$A$1:$AN$20000,0,$A$2),IF($B$2,""&amp;$A33,$A33)))</f>
        <v>157</v>
      </c>
      <c r="R33" s="15" t="n">
        <f aca="false">IF(OR(R$2=0,$A$2=0),0,SUMIFS(INDEX(输入海典!$A$1:$AN$20000,0,R$2),INDEX(输入海典!$A$1:$AN$20000,0,$A$2),IF($B$2,""&amp;$A33,$A33)))</f>
        <v>0</v>
      </c>
      <c r="S33" s="15" t="n">
        <f aca="false">IF(OR(S$2=0,$A$2=0),0,SUMIFS(INDEX(输入海典!$A$1:$AN$20000,0,S$2),INDEX(输入海典!$A$1:$AN$20000,0,$A$2),IF($B$2,""&amp;$A33,$A33)))</f>
        <v>0</v>
      </c>
      <c r="T33" s="15" t="n">
        <f aca="false">IF(OR(T$2=0,$A$2=0),0,SUMIFS(INDEX(输入海典!$A$1:$AN$20000,0,T$2),INDEX(输入海典!$A$1:$AN$20000,0,$A$2),IF($B$2,""&amp;$A33,$A33)))</f>
        <v>30.25</v>
      </c>
      <c r="U33" s="15" t="n">
        <f aca="false">IF(OR(U$2=0,$A$2=0),0,SUMIFS(INDEX(输入海典!$A$1:$AN$20000,0,U$2),INDEX(输入海典!$A$1:$AN$20000,0,$A$2),IF($B$2,""&amp;$A33,$A33)))</f>
        <v>1452</v>
      </c>
      <c r="V33" s="15" t="n">
        <f aca="false">IF(OR(V$2=0,$A$2=0),0,SUMIFS(INDEX(输入海典!$A$1:$AN$20000,0,V$2),INDEX(输入海典!$A$1:$AN$20000,0,$A$2),IF($B$2,""&amp;$A33,$A33)))</f>
        <v>0</v>
      </c>
      <c r="W33" s="15" t="n">
        <f aca="false">IF(OR(W$2=0,$A$2=0),0,SUMIFS(INDEX(输入海典!$A$1:$AN$20000,0,W$2),INDEX(输入海典!$A$1:$AN$20000,0,$A$2),IF($B$2,""&amp;$A33,$A33)))</f>
        <v>0</v>
      </c>
      <c r="X33" s="15" t="n">
        <f aca="false">IF(OR(X$2=0,$A$2=0),0,SUMIFS(INDEX(输入海典!$A$1:$AN$20000,0,X$2),INDEX(输入海典!$A$1:$AN$20000,0,$A$2),IF($B$2,""&amp;$A33,$A33)))</f>
        <v>0</v>
      </c>
      <c r="Y33" s="15" t="n">
        <f aca="false">IF(OR(Y$2=0,$A$2=0),0,SUMIFS(INDEX(输入海典!$A$1:$AN$20000,0,Y$2),INDEX(输入海典!$A$1:$AN$20000,0,$A$2),IF($B$2,""&amp;$A33,$A33)))</f>
        <v>0</v>
      </c>
      <c r="Z33" s="15" t="n">
        <f aca="false">IF(OR(Z$2=0,$A$2=0),0,SUMIFS(INDEX(输入海典!$A$1:$AN$20000,0,Z$2),INDEX(输入海典!$A$1:$AN$20000,0,$A$2),IF($B$2,""&amp;$A33,$A33)))</f>
        <v>0</v>
      </c>
      <c r="AA33" s="15" t="n">
        <f aca="false">IF(OR(AA$2=0,$A$2=0),0,SUMIFS(INDEX(输入海典!$A$1:$AN$20000,0,AA$2),INDEX(输入海典!$A$1:$AN$20000,0,$A$2),IF($B$2,""&amp;$A33,$A33)))</f>
        <v>0</v>
      </c>
      <c r="AB33" s="15" t="n">
        <f aca="false">IF(OR(AB$2=0,$A$2=0),0,SUMIFS(INDEX(输入海典!$A$1:$AN$20000,0,AB$2),INDEX(输入海典!$A$1:$AN$20000,0,$A$2),IF($B$2,""&amp;$A33,$A33)))</f>
        <v>0</v>
      </c>
      <c r="AC33" s="15" t="n">
        <f aca="false">IF(OR(AC$2=0,$A$2=0),0,SUMIFS(INDEX(输入海典!$A$1:$AN$20000,0,AC$2),INDEX(输入海典!$A$1:$AN$20000,0,$A$2),IF($B$2,""&amp;$A33,$A33)))</f>
        <v>0</v>
      </c>
      <c r="AD33" s="15" t="n">
        <f aca="false">IF(OR(AD$2=0,$A$2=0),0,SUMIFS(INDEX(输入海典!$A$1:$AN$20000,0,AD$2),INDEX(输入海典!$A$1:$AN$20000,0,$A$2),IF($B$2,""&amp;$A33,$A33)))</f>
        <v>0</v>
      </c>
      <c r="AE33" s="15" t="n">
        <f aca="false">IF(OR(AE$2=0,$A$2=0),0,SUMIFS(INDEX(输入海典!$A$1:$AN$20000,0,AE$2),INDEX(输入海典!$A$1:$AN$20000,0,$A$2),IF($B$2,""&amp;$A33,$A33)))</f>
        <v>37342.91</v>
      </c>
    </row>
    <row r="34" customFormat="false" ht="14.9" hidden="false" customHeight="false" outlineLevel="0" collapsed="false">
      <c r="A34" s="25" t="n">
        <f aca="false">IF(门店对照!$D33=1,门店对照!$A33,"#未启用#")</f>
        <v>2046</v>
      </c>
      <c r="B34" s="26" t="str">
        <f aca="false">IF(门店对照!$B33="","",门店对照!$B33)</f>
        <v>临城县博康分店（46分店）</v>
      </c>
      <c r="C34" s="15" t="n">
        <f aca="false">IF(OR(C$2=0,$A$2=0),0,SUMIFS(INDEX(输入海典!$A$1:$AN$20000,0,C$2),INDEX(输入海典!$A$1:$AN$20000,0,$A$2),IF($B$2,""&amp;$A34,$A34)))</f>
        <v>5048.45</v>
      </c>
      <c r="D34" s="15" t="n">
        <f aca="false">IF(OR(D$2=0,$A$2=0),0,SUMIFS(INDEX(输入海典!$A$1:$AN$20000,0,D$2),INDEX(输入海典!$A$1:$AN$20000,0,$A$2),IF($B$2,""&amp;$A34,$A34)))</f>
        <v>0</v>
      </c>
      <c r="E34" s="15" t="n">
        <f aca="false">IF(OR(E$2=0,$A$2=0),0,SUMIFS(INDEX(输入海典!$A$1:$AN$20000,0,E$2),INDEX(输入海典!$A$1:$AN$20000,0,$A$2),IF($B$2,""&amp;$A34,$A34)))</f>
        <v>18997.38</v>
      </c>
      <c r="F34" s="15" t="n">
        <f aca="false">IF(OR(F$2=0,$A$2=0),0,SUMIFS(INDEX(输入海典!$A$1:$AN$20000,0,F$2),INDEX(输入海典!$A$1:$AN$20000,0,$A$2),IF($B$2,""&amp;$A34,$A34)))</f>
        <v>0</v>
      </c>
      <c r="G34" s="15" t="n">
        <f aca="false">IF(OR(G$2=0,$A$2=0),0,SUMIFS(INDEX(输入海典!$A$1:$AN$20000,0,G$2),INDEX(输入海典!$A$1:$AN$20000,0,$A$2),IF($B$2,""&amp;$A34,$A34)))</f>
        <v>0</v>
      </c>
      <c r="H34" s="15" t="n">
        <f aca="false">IF(OR(H$2=0,$A$2=0),0,SUMIFS(INDEX(输入海典!$A$1:$AN$20000,0,H$2),INDEX(输入海典!$A$1:$AN$20000,0,$A$2),IF($B$2,""&amp;$A34,$A34)))</f>
        <v>0</v>
      </c>
      <c r="I34" s="15" t="n">
        <f aca="false">IF(OR(I$2=0,$A$2=0),0,SUMIFS(INDEX(输入海典!$A$1:$AN$20000,0,I$2),INDEX(输入海典!$A$1:$AN$20000,0,$A$2),IF($B$2,""&amp;$A34,$A34)))</f>
        <v>604.2</v>
      </c>
      <c r="J34" s="15" t="n">
        <f aca="false">IF(OR(J$2=0,$A$2=0),0,SUMIFS(INDEX(输入海典!$A$1:$AN$20000,0,J$2),INDEX(输入海典!$A$1:$AN$20000,0,$A$2),IF($B$2,""&amp;$A34,$A34)))</f>
        <v>0</v>
      </c>
      <c r="K34" s="15" t="n">
        <f aca="false">IF(OR(K$2=0,$A$2=0),0,SUMIFS(INDEX(输入海典!$A$1:$AN$20000,0,K$2),INDEX(输入海典!$A$1:$AN$20000,0,$A$2),IF($B$2,""&amp;$A34,$A34)))</f>
        <v>0</v>
      </c>
      <c r="L34" s="15" t="n">
        <f aca="false">IF(OR(L$2=0,$A$2=0),0,SUMIFS(INDEX(输入海典!$A$1:$AN$20000,0,L$2),INDEX(输入海典!$A$1:$AN$20000,0,$A$2),IF($B$2,""&amp;$A34,$A34)))</f>
        <v>0</v>
      </c>
      <c r="M34" s="15" t="n">
        <f aca="false">IF(OR(M$2=0,$A$2=0),0,SUMIFS(INDEX(输入海典!$A$1:$AN$20000,0,M$2),INDEX(输入海典!$A$1:$AN$20000,0,$A$2),IF($B$2,""&amp;$A34,$A34)))</f>
        <v>40</v>
      </c>
      <c r="N34" s="15" t="n">
        <f aca="false">IF(OR(N$2=0,$A$2=0),0,SUMIFS(INDEX(输入海典!$A$1:$AN$20000,0,N$2),INDEX(输入海典!$A$1:$AN$20000,0,$A$2),IF($B$2,""&amp;$A34,$A34)))</f>
        <v>0</v>
      </c>
      <c r="O34" s="15" t="n">
        <f aca="false">IF(OR(O$2=0,$A$2=0),0,SUMIFS(INDEX(输入海典!$A$1:$AN$20000,0,O$2),INDEX(输入海典!$A$1:$AN$20000,0,$A$2),IF($B$2,""&amp;$A34,$A34)))</f>
        <v>0</v>
      </c>
      <c r="P34" s="15" t="n">
        <f aca="false">IF(OR(P$2=0,$A$2=0),0,SUMIFS(INDEX(输入海典!$A$1:$AN$20000,0,P$2),INDEX(输入海典!$A$1:$AN$20000,0,$A$2),IF($B$2,""&amp;$A34,$A34)))</f>
        <v>0</v>
      </c>
      <c r="Q34" s="15" t="n">
        <f aca="false">IF(OR(Q$2=0,$A$2=0),0,SUMIFS(INDEX(输入海典!$A$1:$AN$20000,0,Q$2),INDEX(输入海典!$A$1:$AN$20000,0,$A$2),IF($B$2,""&amp;$A34,$A34)))</f>
        <v>1.17</v>
      </c>
      <c r="R34" s="15" t="n">
        <f aca="false">IF(OR(R$2=0,$A$2=0),0,SUMIFS(INDEX(输入海典!$A$1:$AN$20000,0,R$2),INDEX(输入海典!$A$1:$AN$20000,0,$A$2),IF($B$2,""&amp;$A34,$A34)))</f>
        <v>0</v>
      </c>
      <c r="S34" s="15" t="n">
        <f aca="false">IF(OR(S$2=0,$A$2=0),0,SUMIFS(INDEX(输入海典!$A$1:$AN$20000,0,S$2),INDEX(输入海典!$A$1:$AN$20000,0,$A$2),IF($B$2,""&amp;$A34,$A34)))</f>
        <v>0</v>
      </c>
      <c r="T34" s="15" t="n">
        <f aca="false">IF(OR(T$2=0,$A$2=0),0,SUMIFS(INDEX(输入海典!$A$1:$AN$20000,0,T$2),INDEX(输入海典!$A$1:$AN$20000,0,$A$2),IF($B$2,""&amp;$A34,$A34)))</f>
        <v>52.5</v>
      </c>
      <c r="U34" s="15" t="n">
        <f aca="false">IF(OR(U$2=0,$A$2=0),0,SUMIFS(INDEX(输入海典!$A$1:$AN$20000,0,U$2),INDEX(输入海典!$A$1:$AN$20000,0,$A$2),IF($B$2,""&amp;$A34,$A34)))</f>
        <v>685</v>
      </c>
      <c r="V34" s="15" t="n">
        <f aca="false">IF(OR(V$2=0,$A$2=0),0,SUMIFS(INDEX(输入海典!$A$1:$AN$20000,0,V$2),INDEX(输入海典!$A$1:$AN$20000,0,$A$2),IF($B$2,""&amp;$A34,$A34)))</f>
        <v>0</v>
      </c>
      <c r="W34" s="15" t="n">
        <f aca="false">IF(OR(W$2=0,$A$2=0),0,SUMIFS(INDEX(输入海典!$A$1:$AN$20000,0,W$2),INDEX(输入海典!$A$1:$AN$20000,0,$A$2),IF($B$2,""&amp;$A34,$A34)))</f>
        <v>0</v>
      </c>
      <c r="X34" s="15" t="n">
        <f aca="false">IF(OR(X$2=0,$A$2=0),0,SUMIFS(INDEX(输入海典!$A$1:$AN$20000,0,X$2),INDEX(输入海典!$A$1:$AN$20000,0,$A$2),IF($B$2,""&amp;$A34,$A34)))</f>
        <v>0</v>
      </c>
      <c r="Y34" s="15" t="n">
        <f aca="false">IF(OR(Y$2=0,$A$2=0),0,SUMIFS(INDEX(输入海典!$A$1:$AN$20000,0,Y$2),INDEX(输入海典!$A$1:$AN$20000,0,$A$2),IF($B$2,""&amp;$A34,$A34)))</f>
        <v>0</v>
      </c>
      <c r="Z34" s="15" t="n">
        <f aca="false">IF(OR(Z$2=0,$A$2=0),0,SUMIFS(INDEX(输入海典!$A$1:$AN$20000,0,Z$2),INDEX(输入海典!$A$1:$AN$20000,0,$A$2),IF($B$2,""&amp;$A34,$A34)))</f>
        <v>0</v>
      </c>
      <c r="AA34" s="15" t="n">
        <f aca="false">IF(OR(AA$2=0,$A$2=0),0,SUMIFS(INDEX(输入海典!$A$1:$AN$20000,0,AA$2),INDEX(输入海典!$A$1:$AN$20000,0,$A$2),IF($B$2,""&amp;$A34,$A34)))</f>
        <v>0</v>
      </c>
      <c r="AB34" s="15" t="n">
        <f aca="false">IF(OR(AB$2=0,$A$2=0),0,SUMIFS(INDEX(输入海典!$A$1:$AN$20000,0,AB$2),INDEX(输入海典!$A$1:$AN$20000,0,$A$2),IF($B$2,""&amp;$A34,$A34)))</f>
        <v>0</v>
      </c>
      <c r="AC34" s="15" t="n">
        <f aca="false">IF(OR(AC$2=0,$A$2=0),0,SUMIFS(INDEX(输入海典!$A$1:$AN$20000,0,AC$2),INDEX(输入海典!$A$1:$AN$20000,0,$A$2),IF($B$2,""&amp;$A34,$A34)))</f>
        <v>0</v>
      </c>
      <c r="AD34" s="15" t="n">
        <f aca="false">IF(OR(AD$2=0,$A$2=0),0,SUMIFS(INDEX(输入海典!$A$1:$AN$20000,0,AD$2),INDEX(输入海典!$A$1:$AN$20000,0,$A$2),IF($B$2,""&amp;$A34,$A34)))</f>
        <v>0</v>
      </c>
      <c r="AE34" s="15" t="n">
        <f aca="false">IF(OR(AE$2=0,$A$2=0),0,SUMIFS(INDEX(输入海典!$A$1:$AN$20000,0,AE$2),INDEX(输入海典!$A$1:$AN$20000,0,$A$2),IF($B$2,""&amp;$A34,$A34)))</f>
        <v>25428.7</v>
      </c>
    </row>
    <row r="35" customFormat="false" ht="14.9" hidden="false" customHeight="false" outlineLevel="0" collapsed="false">
      <c r="A35" s="25" t="n">
        <f aca="false">IF(门店对照!$D34=1,门店对照!$A34,"#未启用#")</f>
        <v>2047</v>
      </c>
      <c r="B35" s="26" t="str">
        <f aca="false">IF(门店对照!$B34="","",门店对照!$B34)</f>
        <v>博联分店（47分店）</v>
      </c>
      <c r="C35" s="15" t="n">
        <f aca="false">IF(OR(C$2=0,$A$2=0),0,SUMIFS(INDEX(输入海典!$A$1:$AN$20000,0,C$2),INDEX(输入海典!$A$1:$AN$20000,0,$A$2),IF($B$2,""&amp;$A35,$A35)))</f>
        <v>2872.93</v>
      </c>
      <c r="D35" s="15" t="n">
        <f aca="false">IF(OR(D$2=0,$A$2=0),0,SUMIFS(INDEX(输入海典!$A$1:$AN$20000,0,D$2),INDEX(输入海典!$A$1:$AN$20000,0,$A$2),IF($B$2,""&amp;$A35,$A35)))</f>
        <v>0</v>
      </c>
      <c r="E35" s="15" t="n">
        <f aca="false">IF(OR(E$2=0,$A$2=0),0,SUMIFS(INDEX(输入海典!$A$1:$AN$20000,0,E$2),INDEX(输入海典!$A$1:$AN$20000,0,$A$2),IF($B$2,""&amp;$A35,$A35)))</f>
        <v>13233.32</v>
      </c>
      <c r="F35" s="15" t="n">
        <f aca="false">IF(OR(F$2=0,$A$2=0),0,SUMIFS(INDEX(输入海典!$A$1:$AN$20000,0,F$2),INDEX(输入海典!$A$1:$AN$20000,0,$A$2),IF($B$2,""&amp;$A35,$A35)))</f>
        <v>4429.41</v>
      </c>
      <c r="G35" s="15" t="n">
        <f aca="false">IF(OR(G$2=0,$A$2=0),0,SUMIFS(INDEX(输入海典!$A$1:$AN$20000,0,G$2),INDEX(输入海典!$A$1:$AN$20000,0,$A$2),IF($B$2,""&amp;$A35,$A35)))</f>
        <v>0</v>
      </c>
      <c r="H35" s="15" t="n">
        <f aca="false">IF(OR(H$2=0,$A$2=0),0,SUMIFS(INDEX(输入海典!$A$1:$AN$20000,0,H$2),INDEX(输入海典!$A$1:$AN$20000,0,$A$2),IF($B$2,""&amp;$A35,$A35)))</f>
        <v>0</v>
      </c>
      <c r="I35" s="15" t="n">
        <f aca="false">IF(OR(I$2=0,$A$2=0),0,SUMIFS(INDEX(输入海典!$A$1:$AN$20000,0,I$2),INDEX(输入海典!$A$1:$AN$20000,0,$A$2),IF($B$2,""&amp;$A35,$A35)))</f>
        <v>0</v>
      </c>
      <c r="J35" s="15" t="n">
        <f aca="false">IF(OR(J$2=0,$A$2=0),0,SUMIFS(INDEX(输入海典!$A$1:$AN$20000,0,J$2),INDEX(输入海典!$A$1:$AN$20000,0,$A$2),IF($B$2,""&amp;$A35,$A35)))</f>
        <v>0</v>
      </c>
      <c r="K35" s="15" t="n">
        <f aca="false">IF(OR(K$2=0,$A$2=0),0,SUMIFS(INDEX(输入海典!$A$1:$AN$20000,0,K$2),INDEX(输入海典!$A$1:$AN$20000,0,$A$2),IF($B$2,""&amp;$A35,$A35)))</f>
        <v>0</v>
      </c>
      <c r="L35" s="15" t="n">
        <f aca="false">IF(OR(L$2=0,$A$2=0),0,SUMIFS(INDEX(输入海典!$A$1:$AN$20000,0,L$2),INDEX(输入海典!$A$1:$AN$20000,0,$A$2),IF($B$2,""&amp;$A35,$A35)))</f>
        <v>0</v>
      </c>
      <c r="M35" s="15" t="n">
        <f aca="false">IF(OR(M$2=0,$A$2=0),0,SUMIFS(INDEX(输入海典!$A$1:$AN$20000,0,M$2),INDEX(输入海典!$A$1:$AN$20000,0,$A$2),IF($B$2,""&amp;$A35,$A35)))</f>
        <v>0</v>
      </c>
      <c r="N35" s="15" t="n">
        <f aca="false">IF(OR(N$2=0,$A$2=0),0,SUMIFS(INDEX(输入海典!$A$1:$AN$20000,0,N$2),INDEX(输入海典!$A$1:$AN$20000,0,$A$2),IF($B$2,""&amp;$A35,$A35)))</f>
        <v>0</v>
      </c>
      <c r="O35" s="15" t="n">
        <f aca="false">IF(OR(O$2=0,$A$2=0),0,SUMIFS(INDEX(输入海典!$A$1:$AN$20000,0,O$2),INDEX(输入海典!$A$1:$AN$20000,0,$A$2),IF($B$2,""&amp;$A35,$A35)))</f>
        <v>0</v>
      </c>
      <c r="P35" s="15" t="n">
        <f aca="false">IF(OR(P$2=0,$A$2=0),0,SUMIFS(INDEX(输入海典!$A$1:$AN$20000,0,P$2),INDEX(输入海典!$A$1:$AN$20000,0,$A$2),IF($B$2,""&amp;$A35,$A35)))</f>
        <v>0</v>
      </c>
      <c r="Q35" s="15" t="n">
        <f aca="false">IF(OR(Q$2=0,$A$2=0),0,SUMIFS(INDEX(输入海典!$A$1:$AN$20000,0,Q$2),INDEX(输入海典!$A$1:$AN$20000,0,$A$2),IF($B$2,""&amp;$A35,$A35)))</f>
        <v>0</v>
      </c>
      <c r="R35" s="15" t="n">
        <f aca="false">IF(OR(R$2=0,$A$2=0),0,SUMIFS(INDEX(输入海典!$A$1:$AN$20000,0,R$2),INDEX(输入海典!$A$1:$AN$20000,0,$A$2),IF($B$2,""&amp;$A35,$A35)))</f>
        <v>0</v>
      </c>
      <c r="S35" s="15" t="n">
        <f aca="false">IF(OR(S$2=0,$A$2=0),0,SUMIFS(INDEX(输入海典!$A$1:$AN$20000,0,S$2),INDEX(输入海典!$A$1:$AN$20000,0,$A$2),IF($B$2,""&amp;$A35,$A35)))</f>
        <v>387</v>
      </c>
      <c r="T35" s="15" t="n">
        <f aca="false">IF(OR(T$2=0,$A$2=0),0,SUMIFS(INDEX(输入海典!$A$1:$AN$20000,0,T$2),INDEX(输入海典!$A$1:$AN$20000,0,$A$2),IF($B$2,""&amp;$A35,$A35)))</f>
        <v>0.01</v>
      </c>
      <c r="U35" s="15" t="n">
        <f aca="false">IF(OR(U$2=0,$A$2=0),0,SUMIFS(INDEX(输入海典!$A$1:$AN$20000,0,U$2),INDEX(输入海典!$A$1:$AN$20000,0,$A$2),IF($B$2,""&amp;$A35,$A35)))</f>
        <v>0</v>
      </c>
      <c r="V35" s="15" t="n">
        <f aca="false">IF(OR(V$2=0,$A$2=0),0,SUMIFS(INDEX(输入海典!$A$1:$AN$20000,0,V$2),INDEX(输入海典!$A$1:$AN$20000,0,$A$2),IF($B$2,""&amp;$A35,$A35)))</f>
        <v>0</v>
      </c>
      <c r="W35" s="15" t="n">
        <f aca="false">IF(OR(W$2=0,$A$2=0),0,SUMIFS(INDEX(输入海典!$A$1:$AN$20000,0,W$2),INDEX(输入海典!$A$1:$AN$20000,0,$A$2),IF($B$2,""&amp;$A35,$A35)))</f>
        <v>0</v>
      </c>
      <c r="X35" s="15" t="n">
        <f aca="false">IF(OR(X$2=0,$A$2=0),0,SUMIFS(INDEX(输入海典!$A$1:$AN$20000,0,X$2),INDEX(输入海典!$A$1:$AN$20000,0,$A$2),IF($B$2,""&amp;$A35,$A35)))</f>
        <v>0</v>
      </c>
      <c r="Y35" s="15" t="n">
        <f aca="false">IF(OR(Y$2=0,$A$2=0),0,SUMIFS(INDEX(输入海典!$A$1:$AN$20000,0,Y$2),INDEX(输入海典!$A$1:$AN$20000,0,$A$2),IF($B$2,""&amp;$A35,$A35)))</f>
        <v>0</v>
      </c>
      <c r="Z35" s="15" t="n">
        <f aca="false">IF(OR(Z$2=0,$A$2=0),0,SUMIFS(INDEX(输入海典!$A$1:$AN$20000,0,Z$2),INDEX(输入海典!$A$1:$AN$20000,0,$A$2),IF($B$2,""&amp;$A35,$A35)))</f>
        <v>0</v>
      </c>
      <c r="AA35" s="15" t="n">
        <f aca="false">IF(OR(AA$2=0,$A$2=0),0,SUMIFS(INDEX(输入海典!$A$1:$AN$20000,0,AA$2),INDEX(输入海典!$A$1:$AN$20000,0,$A$2),IF($B$2,""&amp;$A35,$A35)))</f>
        <v>0</v>
      </c>
      <c r="AB35" s="15" t="n">
        <f aca="false">IF(OR(AB$2=0,$A$2=0),0,SUMIFS(INDEX(输入海典!$A$1:$AN$20000,0,AB$2),INDEX(输入海典!$A$1:$AN$20000,0,$A$2),IF($B$2,""&amp;$A35,$A35)))</f>
        <v>0</v>
      </c>
      <c r="AC35" s="15" t="n">
        <f aca="false">IF(OR(AC$2=0,$A$2=0),0,SUMIFS(INDEX(输入海典!$A$1:$AN$20000,0,AC$2),INDEX(输入海典!$A$1:$AN$20000,0,$A$2),IF($B$2,""&amp;$A35,$A35)))</f>
        <v>0</v>
      </c>
      <c r="AD35" s="15" t="n">
        <f aca="false">IF(OR(AD$2=0,$A$2=0),0,SUMIFS(INDEX(输入海典!$A$1:$AN$20000,0,AD$2),INDEX(输入海典!$A$1:$AN$20000,0,$A$2),IF($B$2,""&amp;$A35,$A35)))</f>
        <v>0</v>
      </c>
      <c r="AE35" s="15" t="n">
        <f aca="false">IF(OR(AE$2=0,$A$2=0),0,SUMIFS(INDEX(输入海典!$A$1:$AN$20000,0,AE$2),INDEX(输入海典!$A$1:$AN$20000,0,$A$2),IF($B$2,""&amp;$A35,$A35)))</f>
        <v>20922.67</v>
      </c>
    </row>
    <row r="36" customFormat="false" ht="14.9" hidden="false" customHeight="false" outlineLevel="0" collapsed="false">
      <c r="A36" s="25" t="n">
        <f aca="false">IF(门店对照!$D35=1,门店对照!$A35,"#未启用#")</f>
        <v>2050</v>
      </c>
      <c r="B36" s="26" t="str">
        <f aca="false">IF(门店对照!$B35="","",门店对照!$B35)</f>
        <v>博诺医药-临城县博尚分店（50分店）</v>
      </c>
      <c r="C36" s="15" t="n">
        <f aca="false">IF(OR(C$2=0,$A$2=0),0,SUMIFS(INDEX(输入海典!$A$1:$AN$20000,0,C$2),INDEX(输入海典!$A$1:$AN$20000,0,$A$2),IF($B$2,""&amp;$A36,$A36)))</f>
        <v>4767.69</v>
      </c>
      <c r="D36" s="15" t="n">
        <f aca="false">IF(OR(D$2=0,$A$2=0),0,SUMIFS(INDEX(输入海典!$A$1:$AN$20000,0,D$2),INDEX(输入海典!$A$1:$AN$20000,0,$A$2),IF($B$2,""&amp;$A36,$A36)))</f>
        <v>0</v>
      </c>
      <c r="E36" s="15" t="n">
        <f aca="false">IF(OR(E$2=0,$A$2=0),0,SUMIFS(INDEX(输入海典!$A$1:$AN$20000,0,E$2),INDEX(输入海典!$A$1:$AN$20000,0,$A$2),IF($B$2,""&amp;$A36,$A36)))</f>
        <v>16136.43</v>
      </c>
      <c r="F36" s="15" t="n">
        <f aca="false">IF(OR(F$2=0,$A$2=0),0,SUMIFS(INDEX(输入海典!$A$1:$AN$20000,0,F$2),INDEX(输入海典!$A$1:$AN$20000,0,$A$2),IF($B$2,""&amp;$A36,$A36)))</f>
        <v>8740.49</v>
      </c>
      <c r="G36" s="15" t="n">
        <f aca="false">IF(OR(G$2=0,$A$2=0),0,SUMIFS(INDEX(输入海典!$A$1:$AN$20000,0,G$2),INDEX(输入海典!$A$1:$AN$20000,0,$A$2),IF($B$2,""&amp;$A36,$A36)))</f>
        <v>0</v>
      </c>
      <c r="H36" s="15" t="n">
        <f aca="false">IF(OR(H$2=0,$A$2=0),0,SUMIFS(INDEX(输入海典!$A$1:$AN$20000,0,H$2),INDEX(输入海典!$A$1:$AN$20000,0,$A$2),IF($B$2,""&amp;$A36,$A36)))</f>
        <v>0</v>
      </c>
      <c r="I36" s="15" t="n">
        <f aca="false">IF(OR(I$2=0,$A$2=0),0,SUMIFS(INDEX(输入海典!$A$1:$AN$20000,0,I$2),INDEX(输入海典!$A$1:$AN$20000,0,$A$2),IF($B$2,""&amp;$A36,$A36)))</f>
        <v>320.68</v>
      </c>
      <c r="J36" s="15" t="n">
        <f aca="false">IF(OR(J$2=0,$A$2=0),0,SUMIFS(INDEX(输入海典!$A$1:$AN$20000,0,J$2),INDEX(输入海典!$A$1:$AN$20000,0,$A$2),IF($B$2,""&amp;$A36,$A36)))</f>
        <v>0</v>
      </c>
      <c r="K36" s="15" t="n">
        <f aca="false">IF(OR(K$2=0,$A$2=0),0,SUMIFS(INDEX(输入海典!$A$1:$AN$20000,0,K$2),INDEX(输入海典!$A$1:$AN$20000,0,$A$2),IF($B$2,""&amp;$A36,$A36)))</f>
        <v>0</v>
      </c>
      <c r="L36" s="15" t="n">
        <f aca="false">IF(OR(L$2=0,$A$2=0),0,SUMIFS(INDEX(输入海典!$A$1:$AN$20000,0,L$2),INDEX(输入海典!$A$1:$AN$20000,0,$A$2),IF($B$2,""&amp;$A36,$A36)))</f>
        <v>0</v>
      </c>
      <c r="M36" s="15" t="n">
        <f aca="false">IF(OR(M$2=0,$A$2=0),0,SUMIFS(INDEX(输入海典!$A$1:$AN$20000,0,M$2),INDEX(输入海典!$A$1:$AN$20000,0,$A$2),IF($B$2,""&amp;$A36,$A36)))</f>
        <v>778.4</v>
      </c>
      <c r="N36" s="15" t="n">
        <f aca="false">IF(OR(N$2=0,$A$2=0),0,SUMIFS(INDEX(输入海典!$A$1:$AN$20000,0,N$2),INDEX(输入海典!$A$1:$AN$20000,0,$A$2),IF($B$2,""&amp;$A36,$A36)))</f>
        <v>0</v>
      </c>
      <c r="O36" s="15" t="n">
        <f aca="false">IF(OR(O$2=0,$A$2=0),0,SUMIFS(INDEX(输入海典!$A$1:$AN$20000,0,O$2),INDEX(输入海典!$A$1:$AN$20000,0,$A$2),IF($B$2,""&amp;$A36,$A36)))</f>
        <v>0</v>
      </c>
      <c r="P36" s="15" t="n">
        <f aca="false">IF(OR(P$2=0,$A$2=0),0,SUMIFS(INDEX(输入海典!$A$1:$AN$20000,0,P$2),INDEX(输入海典!$A$1:$AN$20000,0,$A$2),IF($B$2,""&amp;$A36,$A36)))</f>
        <v>0</v>
      </c>
      <c r="Q36" s="15" t="n">
        <f aca="false">IF(OR(Q$2=0,$A$2=0),0,SUMIFS(INDEX(输入海典!$A$1:$AN$20000,0,Q$2),INDEX(输入海典!$A$1:$AN$20000,0,$A$2),IF($B$2,""&amp;$A36,$A36)))</f>
        <v>143</v>
      </c>
      <c r="R36" s="15" t="n">
        <f aca="false">IF(OR(R$2=0,$A$2=0),0,SUMIFS(INDEX(输入海典!$A$1:$AN$20000,0,R$2),INDEX(输入海典!$A$1:$AN$20000,0,$A$2),IF($B$2,""&amp;$A36,$A36)))</f>
        <v>0</v>
      </c>
      <c r="S36" s="15" t="n">
        <f aca="false">IF(OR(S$2=0,$A$2=0),0,SUMIFS(INDEX(输入海典!$A$1:$AN$20000,0,S$2),INDEX(输入海典!$A$1:$AN$20000,0,$A$2),IF($B$2,""&amp;$A36,$A36)))</f>
        <v>0</v>
      </c>
      <c r="T36" s="15" t="n">
        <f aca="false">IF(OR(T$2=0,$A$2=0),0,SUMIFS(INDEX(输入海典!$A$1:$AN$20000,0,T$2),INDEX(输入海典!$A$1:$AN$20000,0,$A$2),IF($B$2,""&amp;$A36,$A36)))</f>
        <v>44.98</v>
      </c>
      <c r="U36" s="15" t="n">
        <f aca="false">IF(OR(U$2=0,$A$2=0),0,SUMIFS(INDEX(输入海典!$A$1:$AN$20000,0,U$2),INDEX(输入海典!$A$1:$AN$20000,0,$A$2),IF($B$2,""&amp;$A36,$A36)))</f>
        <v>948.1</v>
      </c>
      <c r="V36" s="15" t="n">
        <f aca="false">IF(OR(V$2=0,$A$2=0),0,SUMIFS(INDEX(输入海典!$A$1:$AN$20000,0,V$2),INDEX(输入海典!$A$1:$AN$20000,0,$A$2),IF($B$2,""&amp;$A36,$A36)))</f>
        <v>0</v>
      </c>
      <c r="W36" s="15" t="n">
        <f aca="false">IF(OR(W$2=0,$A$2=0),0,SUMIFS(INDEX(输入海典!$A$1:$AN$20000,0,W$2),INDEX(输入海典!$A$1:$AN$20000,0,$A$2),IF($B$2,""&amp;$A36,$A36)))</f>
        <v>0</v>
      </c>
      <c r="X36" s="15" t="n">
        <f aca="false">IF(OR(X$2=0,$A$2=0),0,SUMIFS(INDEX(输入海典!$A$1:$AN$20000,0,X$2),INDEX(输入海典!$A$1:$AN$20000,0,$A$2),IF($B$2,""&amp;$A36,$A36)))</f>
        <v>0</v>
      </c>
      <c r="Y36" s="15" t="n">
        <f aca="false">IF(OR(Y$2=0,$A$2=0),0,SUMIFS(INDEX(输入海典!$A$1:$AN$20000,0,Y$2),INDEX(输入海典!$A$1:$AN$20000,0,$A$2),IF($B$2,""&amp;$A36,$A36)))</f>
        <v>0</v>
      </c>
      <c r="Z36" s="15" t="n">
        <f aca="false">IF(OR(Z$2=0,$A$2=0),0,SUMIFS(INDEX(输入海典!$A$1:$AN$20000,0,Z$2),INDEX(输入海典!$A$1:$AN$20000,0,$A$2),IF($B$2,""&amp;$A36,$A36)))</f>
        <v>0</v>
      </c>
      <c r="AA36" s="15" t="n">
        <f aca="false">IF(OR(AA$2=0,$A$2=0),0,SUMIFS(INDEX(输入海典!$A$1:$AN$20000,0,AA$2),INDEX(输入海典!$A$1:$AN$20000,0,$A$2),IF($B$2,""&amp;$A36,$A36)))</f>
        <v>0</v>
      </c>
      <c r="AB36" s="15" t="n">
        <f aca="false">IF(OR(AB$2=0,$A$2=0),0,SUMIFS(INDEX(输入海典!$A$1:$AN$20000,0,AB$2),INDEX(输入海典!$A$1:$AN$20000,0,$A$2),IF($B$2,""&amp;$A36,$A36)))</f>
        <v>0</v>
      </c>
      <c r="AC36" s="15" t="n">
        <f aca="false">IF(OR(AC$2=0,$A$2=0),0,SUMIFS(INDEX(输入海典!$A$1:$AN$20000,0,AC$2),INDEX(输入海典!$A$1:$AN$20000,0,$A$2),IF($B$2,""&amp;$A36,$A36)))</f>
        <v>0</v>
      </c>
      <c r="AD36" s="15" t="n">
        <f aca="false">IF(OR(AD$2=0,$A$2=0),0,SUMIFS(INDEX(输入海典!$A$1:$AN$20000,0,AD$2),INDEX(输入海典!$A$1:$AN$20000,0,$A$2),IF($B$2,""&amp;$A36,$A36)))</f>
        <v>0</v>
      </c>
      <c r="AE36" s="15" t="n">
        <f aca="false">IF(OR(AE$2=0,$A$2=0),0,SUMIFS(INDEX(输入海典!$A$1:$AN$20000,0,AE$2),INDEX(输入海典!$A$1:$AN$20000,0,$A$2),IF($B$2,""&amp;$A36,$A36)))</f>
        <v>31879.77</v>
      </c>
    </row>
    <row r="37" customFormat="false" ht="14.9" hidden="false" customHeight="false" outlineLevel="0" collapsed="false">
      <c r="A37" s="25" t="n">
        <f aca="false">IF(门店对照!$D36=1,门店对照!$A36,"#未启用#")</f>
        <v>2053</v>
      </c>
      <c r="B37" s="26" t="str">
        <f aca="false">IF(门店对照!$B36="","",门店对照!$B36)</f>
        <v>博诺医药-博鑫分店（53分店）</v>
      </c>
      <c r="C37" s="15" t="n">
        <f aca="false">IF(OR(C$2=0,$A$2=0),0,SUMIFS(INDEX(输入海典!$A$1:$AN$20000,0,C$2),INDEX(输入海典!$A$1:$AN$20000,0,$A$2),IF($B$2,""&amp;$A37,$A37)))</f>
        <v>6527.6</v>
      </c>
      <c r="D37" s="15" t="n">
        <f aca="false">IF(OR(D$2=0,$A$2=0),0,SUMIFS(INDEX(输入海典!$A$1:$AN$20000,0,D$2),INDEX(输入海典!$A$1:$AN$20000,0,$A$2),IF($B$2,""&amp;$A37,$A37)))</f>
        <v>0</v>
      </c>
      <c r="E37" s="15" t="n">
        <f aca="false">IF(OR(E$2=0,$A$2=0),0,SUMIFS(INDEX(输入海典!$A$1:$AN$20000,0,E$2),INDEX(输入海典!$A$1:$AN$20000,0,$A$2),IF($B$2,""&amp;$A37,$A37)))</f>
        <v>26318.19</v>
      </c>
      <c r="F37" s="15" t="n">
        <f aca="false">IF(OR(F$2=0,$A$2=0),0,SUMIFS(INDEX(输入海典!$A$1:$AN$20000,0,F$2),INDEX(输入海典!$A$1:$AN$20000,0,$A$2),IF($B$2,""&amp;$A37,$A37)))</f>
        <v>6831.64</v>
      </c>
      <c r="G37" s="15" t="n">
        <f aca="false">IF(OR(G$2=0,$A$2=0),0,SUMIFS(INDEX(输入海典!$A$1:$AN$20000,0,G$2),INDEX(输入海典!$A$1:$AN$20000,0,$A$2),IF($B$2,""&amp;$A37,$A37)))</f>
        <v>0</v>
      </c>
      <c r="H37" s="15" t="n">
        <f aca="false">IF(OR(H$2=0,$A$2=0),0,SUMIFS(INDEX(输入海典!$A$1:$AN$20000,0,H$2),INDEX(输入海典!$A$1:$AN$20000,0,$A$2),IF($B$2,""&amp;$A37,$A37)))</f>
        <v>0</v>
      </c>
      <c r="I37" s="15" t="n">
        <f aca="false">IF(OR(I$2=0,$A$2=0),0,SUMIFS(INDEX(输入海典!$A$1:$AN$20000,0,I$2),INDEX(输入海典!$A$1:$AN$20000,0,$A$2),IF($B$2,""&amp;$A37,$A37)))</f>
        <v>0</v>
      </c>
      <c r="J37" s="15" t="n">
        <f aca="false">IF(OR(J$2=0,$A$2=0),0,SUMIFS(INDEX(输入海典!$A$1:$AN$20000,0,J$2),INDEX(输入海典!$A$1:$AN$20000,0,$A$2),IF($B$2,""&amp;$A37,$A37)))</f>
        <v>0</v>
      </c>
      <c r="K37" s="15" t="n">
        <f aca="false">IF(OR(K$2=0,$A$2=0),0,SUMIFS(INDEX(输入海典!$A$1:$AN$20000,0,K$2),INDEX(输入海典!$A$1:$AN$20000,0,$A$2),IF($B$2,""&amp;$A37,$A37)))</f>
        <v>0</v>
      </c>
      <c r="L37" s="15" t="n">
        <f aca="false">IF(OR(L$2=0,$A$2=0),0,SUMIFS(INDEX(输入海典!$A$1:$AN$20000,0,L$2),INDEX(输入海典!$A$1:$AN$20000,0,$A$2),IF($B$2,""&amp;$A37,$A37)))</f>
        <v>0</v>
      </c>
      <c r="M37" s="15" t="n">
        <f aca="false">IF(OR(M$2=0,$A$2=0),0,SUMIFS(INDEX(输入海典!$A$1:$AN$20000,0,M$2),INDEX(输入海典!$A$1:$AN$20000,0,$A$2),IF($B$2,""&amp;$A37,$A37)))</f>
        <v>107.2</v>
      </c>
      <c r="N37" s="15" t="n">
        <f aca="false">IF(OR(N$2=0,$A$2=0),0,SUMIFS(INDEX(输入海典!$A$1:$AN$20000,0,N$2),INDEX(输入海典!$A$1:$AN$20000,0,$A$2),IF($B$2,""&amp;$A37,$A37)))</f>
        <v>0</v>
      </c>
      <c r="O37" s="15" t="n">
        <f aca="false">IF(OR(O$2=0,$A$2=0),0,SUMIFS(INDEX(输入海典!$A$1:$AN$20000,0,O$2),INDEX(输入海典!$A$1:$AN$20000,0,$A$2),IF($B$2,""&amp;$A37,$A37)))</f>
        <v>0</v>
      </c>
      <c r="P37" s="15" t="n">
        <f aca="false">IF(OR(P$2=0,$A$2=0),0,SUMIFS(INDEX(输入海典!$A$1:$AN$20000,0,P$2),INDEX(输入海典!$A$1:$AN$20000,0,$A$2),IF($B$2,""&amp;$A37,$A37)))</f>
        <v>-0.84</v>
      </c>
      <c r="Q37" s="15" t="n">
        <f aca="false">IF(OR(Q$2=0,$A$2=0),0,SUMIFS(INDEX(输入海典!$A$1:$AN$20000,0,Q$2),INDEX(输入海典!$A$1:$AN$20000,0,$A$2),IF($B$2,""&amp;$A37,$A37)))</f>
        <v>916.08</v>
      </c>
      <c r="R37" s="15" t="n">
        <f aca="false">IF(OR(R$2=0,$A$2=0),0,SUMIFS(INDEX(输入海典!$A$1:$AN$20000,0,R$2),INDEX(输入海典!$A$1:$AN$20000,0,$A$2),IF($B$2,""&amp;$A37,$A37)))</f>
        <v>0</v>
      </c>
      <c r="S37" s="15" t="n">
        <f aca="false">IF(OR(S$2=0,$A$2=0),0,SUMIFS(INDEX(输入海典!$A$1:$AN$20000,0,S$2),INDEX(输入海典!$A$1:$AN$20000,0,$A$2),IF($B$2,""&amp;$A37,$A37)))</f>
        <v>0</v>
      </c>
      <c r="T37" s="15" t="n">
        <f aca="false">IF(OR(T$2=0,$A$2=0),0,SUMIFS(INDEX(输入海典!$A$1:$AN$20000,0,T$2),INDEX(输入海典!$A$1:$AN$20000,0,$A$2),IF($B$2,""&amp;$A37,$A37)))</f>
        <v>13.72</v>
      </c>
      <c r="U37" s="15" t="n">
        <f aca="false">IF(OR(U$2=0,$A$2=0),0,SUMIFS(INDEX(输入海典!$A$1:$AN$20000,0,U$2),INDEX(输入海典!$A$1:$AN$20000,0,$A$2),IF($B$2,""&amp;$A37,$A37)))</f>
        <v>519</v>
      </c>
      <c r="V37" s="15" t="n">
        <f aca="false">IF(OR(V$2=0,$A$2=0),0,SUMIFS(INDEX(输入海典!$A$1:$AN$20000,0,V$2),INDEX(输入海典!$A$1:$AN$20000,0,$A$2),IF($B$2,""&amp;$A37,$A37)))</f>
        <v>0</v>
      </c>
      <c r="W37" s="15" t="n">
        <f aca="false">IF(OR(W$2=0,$A$2=0),0,SUMIFS(INDEX(输入海典!$A$1:$AN$20000,0,W$2),INDEX(输入海典!$A$1:$AN$20000,0,$A$2),IF($B$2,""&amp;$A37,$A37)))</f>
        <v>0</v>
      </c>
      <c r="X37" s="15" t="n">
        <f aca="false">IF(OR(X$2=0,$A$2=0),0,SUMIFS(INDEX(输入海典!$A$1:$AN$20000,0,X$2),INDEX(输入海典!$A$1:$AN$20000,0,$A$2),IF($B$2,""&amp;$A37,$A37)))</f>
        <v>0</v>
      </c>
      <c r="Y37" s="15" t="n">
        <f aca="false">IF(OR(Y$2=0,$A$2=0),0,SUMIFS(INDEX(输入海典!$A$1:$AN$20000,0,Y$2),INDEX(输入海典!$A$1:$AN$20000,0,$A$2),IF($B$2,""&amp;$A37,$A37)))</f>
        <v>0</v>
      </c>
      <c r="Z37" s="15" t="n">
        <f aca="false">IF(OR(Z$2=0,$A$2=0),0,SUMIFS(INDEX(输入海典!$A$1:$AN$20000,0,Z$2),INDEX(输入海典!$A$1:$AN$20000,0,$A$2),IF($B$2,""&amp;$A37,$A37)))</f>
        <v>0</v>
      </c>
      <c r="AA37" s="15" t="n">
        <f aca="false">IF(OR(AA$2=0,$A$2=0),0,SUMIFS(INDEX(输入海典!$A$1:$AN$20000,0,AA$2),INDEX(输入海典!$A$1:$AN$20000,0,$A$2),IF($B$2,""&amp;$A37,$A37)))</f>
        <v>0</v>
      </c>
      <c r="AB37" s="15" t="n">
        <f aca="false">IF(OR(AB$2=0,$A$2=0),0,SUMIFS(INDEX(输入海典!$A$1:$AN$20000,0,AB$2),INDEX(输入海典!$A$1:$AN$20000,0,$A$2),IF($B$2,""&amp;$A37,$A37)))</f>
        <v>0</v>
      </c>
      <c r="AC37" s="15" t="n">
        <f aca="false">IF(OR(AC$2=0,$A$2=0),0,SUMIFS(INDEX(输入海典!$A$1:$AN$20000,0,AC$2),INDEX(输入海典!$A$1:$AN$20000,0,$A$2),IF($B$2,""&amp;$A37,$A37)))</f>
        <v>0</v>
      </c>
      <c r="AD37" s="15" t="n">
        <f aca="false">IF(OR(AD$2=0,$A$2=0),0,SUMIFS(INDEX(输入海典!$A$1:$AN$20000,0,AD$2),INDEX(输入海典!$A$1:$AN$20000,0,$A$2),IF($B$2,""&amp;$A37,$A37)))</f>
        <v>0</v>
      </c>
      <c r="AE37" s="15" t="n">
        <f aca="false">IF(OR(AE$2=0,$A$2=0),0,SUMIFS(INDEX(输入海典!$A$1:$AN$20000,0,AE$2),INDEX(输入海典!$A$1:$AN$20000,0,$A$2),IF($B$2,""&amp;$A37,$A37)))</f>
        <v>41232.59</v>
      </c>
    </row>
    <row r="38" customFormat="false" ht="14.9" hidden="false" customHeight="false" outlineLevel="0" collapsed="false">
      <c r="A38" s="25" t="n">
        <f aca="false">IF(门店对照!$D37=1,门店对照!$A37,"#未启用#")</f>
        <v>2055</v>
      </c>
      <c r="B38" s="26" t="str">
        <f aca="false">IF(门店对照!$B37="","",门店对照!$B37)</f>
        <v>博魏分店（55分店）</v>
      </c>
      <c r="C38" s="15" t="n">
        <f aca="false">IF(OR(C$2=0,$A$2=0),0,SUMIFS(INDEX(输入海典!$A$1:$AN$20000,0,C$2),INDEX(输入海典!$A$1:$AN$20000,0,$A$2),IF($B$2,""&amp;$A38,$A38)))</f>
        <v>10010.43</v>
      </c>
      <c r="D38" s="15" t="n">
        <f aca="false">IF(OR(D$2=0,$A$2=0),0,SUMIFS(INDEX(输入海典!$A$1:$AN$20000,0,D$2),INDEX(输入海典!$A$1:$AN$20000,0,$A$2),IF($B$2,""&amp;$A38,$A38)))</f>
        <v>0</v>
      </c>
      <c r="E38" s="15" t="n">
        <f aca="false">IF(OR(E$2=0,$A$2=0),0,SUMIFS(INDEX(输入海典!$A$1:$AN$20000,0,E$2),INDEX(输入海典!$A$1:$AN$20000,0,$A$2),IF($B$2,""&amp;$A38,$A38)))</f>
        <v>25494.12</v>
      </c>
      <c r="F38" s="15" t="n">
        <f aca="false">IF(OR(F$2=0,$A$2=0),0,SUMIFS(INDEX(输入海典!$A$1:$AN$20000,0,F$2),INDEX(输入海典!$A$1:$AN$20000,0,$A$2),IF($B$2,""&amp;$A38,$A38)))</f>
        <v>0</v>
      </c>
      <c r="G38" s="15" t="n">
        <f aca="false">IF(OR(G$2=0,$A$2=0),0,SUMIFS(INDEX(输入海典!$A$1:$AN$20000,0,G$2),INDEX(输入海典!$A$1:$AN$20000,0,$A$2),IF($B$2,""&amp;$A38,$A38)))</f>
        <v>0</v>
      </c>
      <c r="H38" s="15" t="n">
        <f aca="false">IF(OR(H$2=0,$A$2=0),0,SUMIFS(INDEX(输入海典!$A$1:$AN$20000,0,H$2),INDEX(输入海典!$A$1:$AN$20000,0,$A$2),IF($B$2,""&amp;$A38,$A38)))</f>
        <v>0</v>
      </c>
      <c r="I38" s="15" t="n">
        <f aca="false">IF(OR(I$2=0,$A$2=0),0,SUMIFS(INDEX(输入海典!$A$1:$AN$20000,0,I$2),INDEX(输入海典!$A$1:$AN$20000,0,$A$2),IF($B$2,""&amp;$A38,$A38)))</f>
        <v>0</v>
      </c>
      <c r="J38" s="15" t="n">
        <f aca="false">IF(OR(J$2=0,$A$2=0),0,SUMIFS(INDEX(输入海典!$A$1:$AN$20000,0,J$2),INDEX(输入海典!$A$1:$AN$20000,0,$A$2),IF($B$2,""&amp;$A38,$A38)))</f>
        <v>0</v>
      </c>
      <c r="K38" s="15" t="n">
        <f aca="false">IF(OR(K$2=0,$A$2=0),0,SUMIFS(INDEX(输入海典!$A$1:$AN$20000,0,K$2),INDEX(输入海典!$A$1:$AN$20000,0,$A$2),IF($B$2,""&amp;$A38,$A38)))</f>
        <v>0</v>
      </c>
      <c r="L38" s="15" t="n">
        <f aca="false">IF(OR(L$2=0,$A$2=0),0,SUMIFS(INDEX(输入海典!$A$1:$AN$20000,0,L$2),INDEX(输入海典!$A$1:$AN$20000,0,$A$2),IF($B$2,""&amp;$A38,$A38)))</f>
        <v>0</v>
      </c>
      <c r="M38" s="15" t="n">
        <f aca="false">IF(OR(M$2=0,$A$2=0),0,SUMIFS(INDEX(输入海典!$A$1:$AN$20000,0,M$2),INDEX(输入海典!$A$1:$AN$20000,0,$A$2),IF($B$2,""&amp;$A38,$A38)))</f>
        <v>0</v>
      </c>
      <c r="N38" s="15" t="n">
        <f aca="false">IF(OR(N$2=0,$A$2=0),0,SUMIFS(INDEX(输入海典!$A$1:$AN$20000,0,N$2),INDEX(输入海典!$A$1:$AN$20000,0,$A$2),IF($B$2,""&amp;$A38,$A38)))</f>
        <v>0</v>
      </c>
      <c r="O38" s="15" t="n">
        <f aca="false">IF(OR(O$2=0,$A$2=0),0,SUMIFS(INDEX(输入海典!$A$1:$AN$20000,0,O$2),INDEX(输入海典!$A$1:$AN$20000,0,$A$2),IF($B$2,""&amp;$A38,$A38)))</f>
        <v>0</v>
      </c>
      <c r="P38" s="15" t="n">
        <f aca="false">IF(OR(P$2=0,$A$2=0),0,SUMIFS(INDEX(输入海典!$A$1:$AN$20000,0,P$2),INDEX(输入海典!$A$1:$AN$20000,0,$A$2),IF($B$2,""&amp;$A38,$A38)))</f>
        <v>0</v>
      </c>
      <c r="Q38" s="15" t="n">
        <f aca="false">IF(OR(Q$2=0,$A$2=0),0,SUMIFS(INDEX(输入海典!$A$1:$AN$20000,0,Q$2),INDEX(输入海典!$A$1:$AN$20000,0,$A$2),IF($B$2,""&amp;$A38,$A38)))</f>
        <v>15.3</v>
      </c>
      <c r="R38" s="15" t="n">
        <f aca="false">IF(OR(R$2=0,$A$2=0),0,SUMIFS(INDEX(输入海典!$A$1:$AN$20000,0,R$2),INDEX(输入海典!$A$1:$AN$20000,0,$A$2),IF($B$2,""&amp;$A38,$A38)))</f>
        <v>0</v>
      </c>
      <c r="S38" s="15" t="n">
        <f aca="false">IF(OR(S$2=0,$A$2=0),0,SUMIFS(INDEX(输入海典!$A$1:$AN$20000,0,S$2),INDEX(输入海典!$A$1:$AN$20000,0,$A$2),IF($B$2,""&amp;$A38,$A38)))</f>
        <v>0</v>
      </c>
      <c r="T38" s="15" t="n">
        <f aca="false">IF(OR(T$2=0,$A$2=0),0,SUMIFS(INDEX(输入海典!$A$1:$AN$20000,0,T$2),INDEX(输入海典!$A$1:$AN$20000,0,$A$2),IF($B$2,""&amp;$A38,$A38)))</f>
        <v>37.6</v>
      </c>
      <c r="U38" s="15" t="n">
        <f aca="false">IF(OR(U$2=0,$A$2=0),0,SUMIFS(INDEX(输入海典!$A$1:$AN$20000,0,U$2),INDEX(输入海典!$A$1:$AN$20000,0,$A$2),IF($B$2,""&amp;$A38,$A38)))</f>
        <v>155</v>
      </c>
      <c r="V38" s="15" t="n">
        <f aca="false">IF(OR(V$2=0,$A$2=0),0,SUMIFS(INDEX(输入海典!$A$1:$AN$20000,0,V$2),INDEX(输入海典!$A$1:$AN$20000,0,$A$2),IF($B$2,""&amp;$A38,$A38)))</f>
        <v>0</v>
      </c>
      <c r="W38" s="15" t="n">
        <f aca="false">IF(OR(W$2=0,$A$2=0),0,SUMIFS(INDEX(输入海典!$A$1:$AN$20000,0,W$2),INDEX(输入海典!$A$1:$AN$20000,0,$A$2),IF($B$2,""&amp;$A38,$A38)))</f>
        <v>0</v>
      </c>
      <c r="X38" s="15" t="n">
        <f aca="false">IF(OR(X$2=0,$A$2=0),0,SUMIFS(INDEX(输入海典!$A$1:$AN$20000,0,X$2),INDEX(输入海典!$A$1:$AN$20000,0,$A$2),IF($B$2,""&amp;$A38,$A38)))</f>
        <v>0</v>
      </c>
      <c r="Y38" s="15" t="n">
        <f aca="false">IF(OR(Y$2=0,$A$2=0),0,SUMIFS(INDEX(输入海典!$A$1:$AN$20000,0,Y$2),INDEX(输入海典!$A$1:$AN$20000,0,$A$2),IF($B$2,""&amp;$A38,$A38)))</f>
        <v>0</v>
      </c>
      <c r="Z38" s="15" t="n">
        <f aca="false">IF(OR(Z$2=0,$A$2=0),0,SUMIFS(INDEX(输入海典!$A$1:$AN$20000,0,Z$2),INDEX(输入海典!$A$1:$AN$20000,0,$A$2),IF($B$2,""&amp;$A38,$A38)))</f>
        <v>0</v>
      </c>
      <c r="AA38" s="15" t="n">
        <f aca="false">IF(OR(AA$2=0,$A$2=0),0,SUMIFS(INDEX(输入海典!$A$1:$AN$20000,0,AA$2),INDEX(输入海典!$A$1:$AN$20000,0,$A$2),IF($B$2,""&amp;$A38,$A38)))</f>
        <v>0</v>
      </c>
      <c r="AB38" s="15" t="n">
        <f aca="false">IF(OR(AB$2=0,$A$2=0),0,SUMIFS(INDEX(输入海典!$A$1:$AN$20000,0,AB$2),INDEX(输入海典!$A$1:$AN$20000,0,$A$2),IF($B$2,""&amp;$A38,$A38)))</f>
        <v>0</v>
      </c>
      <c r="AC38" s="15" t="n">
        <f aca="false">IF(OR(AC$2=0,$A$2=0),0,SUMIFS(INDEX(输入海典!$A$1:$AN$20000,0,AC$2),INDEX(输入海典!$A$1:$AN$20000,0,$A$2),IF($B$2,""&amp;$A38,$A38)))</f>
        <v>0</v>
      </c>
      <c r="AD38" s="15" t="n">
        <f aca="false">IF(OR(AD$2=0,$A$2=0),0,SUMIFS(INDEX(输入海典!$A$1:$AN$20000,0,AD$2),INDEX(输入海典!$A$1:$AN$20000,0,$A$2),IF($B$2,""&amp;$A38,$A38)))</f>
        <v>0</v>
      </c>
      <c r="AE38" s="15" t="n">
        <f aca="false">IF(OR(AE$2=0,$A$2=0),0,SUMIFS(INDEX(输入海典!$A$1:$AN$20000,0,AE$2),INDEX(输入海典!$A$1:$AN$20000,0,$A$2),IF($B$2,""&amp;$A38,$A38)))</f>
        <v>35712.45</v>
      </c>
    </row>
    <row r="39" customFormat="false" ht="14.9" hidden="false" customHeight="false" outlineLevel="0" collapsed="false">
      <c r="A39" s="25" t="n">
        <f aca="false">IF(门店对照!$D38=1,门店对照!$A38,"#未启用#")</f>
        <v>2057</v>
      </c>
      <c r="B39" s="26" t="str">
        <f aca="false">IF(门店对照!$B38="","",门店对照!$B38)</f>
        <v>临城县博城分店（57分店）</v>
      </c>
      <c r="C39" s="15" t="n">
        <f aca="false">IF(OR(C$2=0,$A$2=0),0,SUMIFS(INDEX(输入海典!$A$1:$AN$20000,0,C$2),INDEX(输入海典!$A$1:$AN$20000,0,$A$2),IF($B$2,""&amp;$A39,$A39)))</f>
        <v>35773.47</v>
      </c>
      <c r="D39" s="15" t="n">
        <f aca="false">IF(OR(D$2=0,$A$2=0),0,SUMIFS(INDEX(输入海典!$A$1:$AN$20000,0,D$2),INDEX(输入海典!$A$1:$AN$20000,0,$A$2),IF($B$2,""&amp;$A39,$A39)))</f>
        <v>0</v>
      </c>
      <c r="E39" s="15" t="n">
        <f aca="false">IF(OR(E$2=0,$A$2=0),0,SUMIFS(INDEX(输入海典!$A$1:$AN$20000,0,E$2),INDEX(输入海典!$A$1:$AN$20000,0,$A$2),IF($B$2,""&amp;$A39,$A39)))</f>
        <v>15145.85</v>
      </c>
      <c r="F39" s="15" t="n">
        <f aca="false">IF(OR(F$2=0,$A$2=0),0,SUMIFS(INDEX(输入海典!$A$1:$AN$20000,0,F$2),INDEX(输入海典!$A$1:$AN$20000,0,$A$2),IF($B$2,""&amp;$A39,$A39)))</f>
        <v>0</v>
      </c>
      <c r="G39" s="15" t="n">
        <f aca="false">IF(OR(G$2=0,$A$2=0),0,SUMIFS(INDEX(输入海典!$A$1:$AN$20000,0,G$2),INDEX(输入海典!$A$1:$AN$20000,0,$A$2),IF($B$2,""&amp;$A39,$A39)))</f>
        <v>0</v>
      </c>
      <c r="H39" s="15" t="n">
        <f aca="false">IF(OR(H$2=0,$A$2=0),0,SUMIFS(INDEX(输入海典!$A$1:$AN$20000,0,H$2),INDEX(输入海典!$A$1:$AN$20000,0,$A$2),IF($B$2,""&amp;$A39,$A39)))</f>
        <v>0</v>
      </c>
      <c r="I39" s="15" t="n">
        <f aca="false">IF(OR(I$2=0,$A$2=0),0,SUMIFS(INDEX(输入海典!$A$1:$AN$20000,0,I$2),INDEX(输入海典!$A$1:$AN$20000,0,$A$2),IF($B$2,""&amp;$A39,$A39)))</f>
        <v>0</v>
      </c>
      <c r="J39" s="15" t="n">
        <f aca="false">IF(OR(J$2=0,$A$2=0),0,SUMIFS(INDEX(输入海典!$A$1:$AN$20000,0,J$2),INDEX(输入海典!$A$1:$AN$20000,0,$A$2),IF($B$2,""&amp;$A39,$A39)))</f>
        <v>0</v>
      </c>
      <c r="K39" s="15" t="n">
        <f aca="false">IF(OR(K$2=0,$A$2=0),0,SUMIFS(INDEX(输入海典!$A$1:$AN$20000,0,K$2),INDEX(输入海典!$A$1:$AN$20000,0,$A$2),IF($B$2,""&amp;$A39,$A39)))</f>
        <v>0</v>
      </c>
      <c r="L39" s="15" t="n">
        <f aca="false">IF(OR(L$2=0,$A$2=0),0,SUMIFS(INDEX(输入海典!$A$1:$AN$20000,0,L$2),INDEX(输入海典!$A$1:$AN$20000,0,$A$2),IF($B$2,""&amp;$A39,$A39)))</f>
        <v>0</v>
      </c>
      <c r="M39" s="15" t="n">
        <f aca="false">IF(OR(M$2=0,$A$2=0),0,SUMIFS(INDEX(输入海典!$A$1:$AN$20000,0,M$2),INDEX(输入海典!$A$1:$AN$20000,0,$A$2),IF($B$2,""&amp;$A39,$A39)))</f>
        <v>0</v>
      </c>
      <c r="N39" s="15" t="n">
        <f aca="false">IF(OR(N$2=0,$A$2=0),0,SUMIFS(INDEX(输入海典!$A$1:$AN$20000,0,N$2),INDEX(输入海典!$A$1:$AN$20000,0,$A$2),IF($B$2,""&amp;$A39,$A39)))</f>
        <v>0</v>
      </c>
      <c r="O39" s="15" t="n">
        <f aca="false">IF(OR(O$2=0,$A$2=0),0,SUMIFS(INDEX(输入海典!$A$1:$AN$20000,0,O$2),INDEX(输入海典!$A$1:$AN$20000,0,$A$2),IF($B$2,""&amp;$A39,$A39)))</f>
        <v>0</v>
      </c>
      <c r="P39" s="15" t="n">
        <f aca="false">IF(OR(P$2=0,$A$2=0),0,SUMIFS(INDEX(输入海典!$A$1:$AN$20000,0,P$2),INDEX(输入海典!$A$1:$AN$20000,0,$A$2),IF($B$2,""&amp;$A39,$A39)))</f>
        <v>-1</v>
      </c>
      <c r="Q39" s="15" t="n">
        <f aca="false">IF(OR(Q$2=0,$A$2=0),0,SUMIFS(INDEX(输入海典!$A$1:$AN$20000,0,Q$2),INDEX(输入海典!$A$1:$AN$20000,0,$A$2),IF($B$2,""&amp;$A39,$A39)))</f>
        <v>0</v>
      </c>
      <c r="R39" s="15" t="n">
        <f aca="false">IF(OR(R$2=0,$A$2=0),0,SUMIFS(INDEX(输入海典!$A$1:$AN$20000,0,R$2),INDEX(输入海典!$A$1:$AN$20000,0,$A$2),IF($B$2,""&amp;$A39,$A39)))</f>
        <v>0</v>
      </c>
      <c r="S39" s="15" t="n">
        <f aca="false">IF(OR(S$2=0,$A$2=0),0,SUMIFS(INDEX(输入海典!$A$1:$AN$20000,0,S$2),INDEX(输入海典!$A$1:$AN$20000,0,$A$2),IF($B$2,""&amp;$A39,$A39)))</f>
        <v>0</v>
      </c>
      <c r="T39" s="15" t="n">
        <f aca="false">IF(OR(T$2=0,$A$2=0),0,SUMIFS(INDEX(输入海典!$A$1:$AN$20000,0,T$2),INDEX(输入海典!$A$1:$AN$20000,0,$A$2),IF($B$2,""&amp;$A39,$A39)))</f>
        <v>59.44</v>
      </c>
      <c r="U39" s="15" t="n">
        <f aca="false">IF(OR(U$2=0,$A$2=0),0,SUMIFS(INDEX(输入海典!$A$1:$AN$20000,0,U$2),INDEX(输入海典!$A$1:$AN$20000,0,$A$2),IF($B$2,""&amp;$A39,$A39)))</f>
        <v>848</v>
      </c>
      <c r="V39" s="15" t="n">
        <f aca="false">IF(OR(V$2=0,$A$2=0),0,SUMIFS(INDEX(输入海典!$A$1:$AN$20000,0,V$2),INDEX(输入海典!$A$1:$AN$20000,0,$A$2),IF($B$2,""&amp;$A39,$A39)))</f>
        <v>0</v>
      </c>
      <c r="W39" s="15" t="n">
        <f aca="false">IF(OR(W$2=0,$A$2=0),0,SUMIFS(INDEX(输入海典!$A$1:$AN$20000,0,W$2),INDEX(输入海典!$A$1:$AN$20000,0,$A$2),IF($B$2,""&amp;$A39,$A39)))</f>
        <v>0</v>
      </c>
      <c r="X39" s="15" t="n">
        <f aca="false">IF(OR(X$2=0,$A$2=0),0,SUMIFS(INDEX(输入海典!$A$1:$AN$20000,0,X$2),INDEX(输入海典!$A$1:$AN$20000,0,$A$2),IF($B$2,""&amp;$A39,$A39)))</f>
        <v>0</v>
      </c>
      <c r="Y39" s="15" t="n">
        <f aca="false">IF(OR(Y$2=0,$A$2=0),0,SUMIFS(INDEX(输入海典!$A$1:$AN$20000,0,Y$2),INDEX(输入海典!$A$1:$AN$20000,0,$A$2),IF($B$2,""&amp;$A39,$A39)))</f>
        <v>0</v>
      </c>
      <c r="Z39" s="15" t="n">
        <f aca="false">IF(OR(Z$2=0,$A$2=0),0,SUMIFS(INDEX(输入海典!$A$1:$AN$20000,0,Z$2),INDEX(输入海典!$A$1:$AN$20000,0,$A$2),IF($B$2,""&amp;$A39,$A39)))</f>
        <v>0</v>
      </c>
      <c r="AA39" s="15" t="n">
        <f aca="false">IF(OR(AA$2=0,$A$2=0),0,SUMIFS(INDEX(输入海典!$A$1:$AN$20000,0,AA$2),INDEX(输入海典!$A$1:$AN$20000,0,$A$2),IF($B$2,""&amp;$A39,$A39)))</f>
        <v>0</v>
      </c>
      <c r="AB39" s="15" t="n">
        <f aca="false">IF(OR(AB$2=0,$A$2=0),0,SUMIFS(INDEX(输入海典!$A$1:$AN$20000,0,AB$2),INDEX(输入海典!$A$1:$AN$20000,0,$A$2),IF($B$2,""&amp;$A39,$A39)))</f>
        <v>0</v>
      </c>
      <c r="AC39" s="15" t="n">
        <f aca="false">IF(OR(AC$2=0,$A$2=0),0,SUMIFS(INDEX(输入海典!$A$1:$AN$20000,0,AC$2),INDEX(输入海典!$A$1:$AN$20000,0,$A$2),IF($B$2,""&amp;$A39,$A39)))</f>
        <v>0</v>
      </c>
      <c r="AD39" s="15" t="n">
        <f aca="false">IF(OR(AD$2=0,$A$2=0),0,SUMIFS(INDEX(输入海典!$A$1:$AN$20000,0,AD$2),INDEX(输入海典!$A$1:$AN$20000,0,$A$2),IF($B$2,""&amp;$A39,$A39)))</f>
        <v>0</v>
      </c>
      <c r="AE39" s="15" t="n">
        <f aca="false">IF(OR(AE$2=0,$A$2=0),0,SUMIFS(INDEX(输入海典!$A$1:$AN$20000,0,AE$2),INDEX(输入海典!$A$1:$AN$20000,0,$A$2),IF($B$2,""&amp;$A39,$A39)))</f>
        <v>51825.76</v>
      </c>
    </row>
    <row r="40" customFormat="false" ht="14.9" hidden="false" customHeight="false" outlineLevel="0" collapsed="false">
      <c r="A40" s="25" t="n">
        <f aca="false">IF(门店对照!$D39=1,门店对照!$A39,"#未启用#")</f>
        <v>2060</v>
      </c>
      <c r="B40" s="26" t="str">
        <f aca="false">IF(门店对照!$B39="","",门店对照!$B39)</f>
        <v>博景分店（60分店）</v>
      </c>
      <c r="C40" s="15" t="n">
        <f aca="false">IF(OR(C$2=0,$A$2=0),0,SUMIFS(INDEX(输入海典!$A$1:$AN$20000,0,C$2),INDEX(输入海典!$A$1:$AN$20000,0,$A$2),IF($B$2,""&amp;$A40,$A40)))</f>
        <v>4964.48</v>
      </c>
      <c r="D40" s="15" t="n">
        <f aca="false">IF(OR(D$2=0,$A$2=0),0,SUMIFS(INDEX(输入海典!$A$1:$AN$20000,0,D$2),INDEX(输入海典!$A$1:$AN$20000,0,$A$2),IF($B$2,""&amp;$A40,$A40)))</f>
        <v>0</v>
      </c>
      <c r="E40" s="15" t="n">
        <f aca="false">IF(OR(E$2=0,$A$2=0),0,SUMIFS(INDEX(输入海典!$A$1:$AN$20000,0,E$2),INDEX(输入海典!$A$1:$AN$20000,0,$A$2),IF($B$2,""&amp;$A40,$A40)))</f>
        <v>21838.73</v>
      </c>
      <c r="F40" s="15" t="n">
        <f aca="false">IF(OR(F$2=0,$A$2=0),0,SUMIFS(INDEX(输入海典!$A$1:$AN$20000,0,F$2),INDEX(输入海典!$A$1:$AN$20000,0,$A$2),IF($B$2,""&amp;$A40,$A40)))</f>
        <v>7112.52</v>
      </c>
      <c r="G40" s="15" t="n">
        <f aca="false">IF(OR(G$2=0,$A$2=0),0,SUMIFS(INDEX(输入海典!$A$1:$AN$20000,0,G$2),INDEX(输入海典!$A$1:$AN$20000,0,$A$2),IF($B$2,""&amp;$A40,$A40)))</f>
        <v>0</v>
      </c>
      <c r="H40" s="15" t="n">
        <f aca="false">IF(OR(H$2=0,$A$2=0),0,SUMIFS(INDEX(输入海典!$A$1:$AN$20000,0,H$2),INDEX(输入海典!$A$1:$AN$20000,0,$A$2),IF($B$2,""&amp;$A40,$A40)))</f>
        <v>0</v>
      </c>
      <c r="I40" s="15" t="n">
        <f aca="false">IF(OR(I$2=0,$A$2=0),0,SUMIFS(INDEX(输入海典!$A$1:$AN$20000,0,I$2),INDEX(输入海典!$A$1:$AN$20000,0,$A$2),IF($B$2,""&amp;$A40,$A40)))</f>
        <v>0</v>
      </c>
      <c r="J40" s="15" t="n">
        <f aca="false">IF(OR(J$2=0,$A$2=0),0,SUMIFS(INDEX(输入海典!$A$1:$AN$20000,0,J$2),INDEX(输入海典!$A$1:$AN$20000,0,$A$2),IF($B$2,""&amp;$A40,$A40)))</f>
        <v>0</v>
      </c>
      <c r="K40" s="15" t="n">
        <f aca="false">IF(OR(K$2=0,$A$2=0),0,SUMIFS(INDEX(输入海典!$A$1:$AN$20000,0,K$2),INDEX(输入海典!$A$1:$AN$20000,0,$A$2),IF($B$2,""&amp;$A40,$A40)))</f>
        <v>0</v>
      </c>
      <c r="L40" s="15" t="n">
        <f aca="false">IF(OR(L$2=0,$A$2=0),0,SUMIFS(INDEX(输入海典!$A$1:$AN$20000,0,L$2),INDEX(输入海典!$A$1:$AN$20000,0,$A$2),IF($B$2,""&amp;$A40,$A40)))</f>
        <v>0</v>
      </c>
      <c r="M40" s="15" t="n">
        <f aca="false">IF(OR(M$2=0,$A$2=0),0,SUMIFS(INDEX(输入海典!$A$1:$AN$20000,0,M$2),INDEX(输入海典!$A$1:$AN$20000,0,$A$2),IF($B$2,""&amp;$A40,$A40)))</f>
        <v>103</v>
      </c>
      <c r="N40" s="15" t="n">
        <f aca="false">IF(OR(N$2=0,$A$2=0),0,SUMIFS(INDEX(输入海典!$A$1:$AN$20000,0,N$2),INDEX(输入海典!$A$1:$AN$20000,0,$A$2),IF($B$2,""&amp;$A40,$A40)))</f>
        <v>169.5</v>
      </c>
      <c r="O40" s="15" t="n">
        <f aca="false">IF(OR(O$2=0,$A$2=0),0,SUMIFS(INDEX(输入海典!$A$1:$AN$20000,0,O$2),INDEX(输入海典!$A$1:$AN$20000,0,$A$2),IF($B$2,""&amp;$A40,$A40)))</f>
        <v>0</v>
      </c>
      <c r="P40" s="15" t="n">
        <f aca="false">IF(OR(P$2=0,$A$2=0),0,SUMIFS(INDEX(输入海典!$A$1:$AN$20000,0,P$2),INDEX(输入海典!$A$1:$AN$20000,0,$A$2),IF($B$2,""&amp;$A40,$A40)))</f>
        <v>0</v>
      </c>
      <c r="Q40" s="15" t="n">
        <f aca="false">IF(OR(Q$2=0,$A$2=0),0,SUMIFS(INDEX(输入海典!$A$1:$AN$20000,0,Q$2),INDEX(输入海典!$A$1:$AN$20000,0,$A$2),IF($B$2,""&amp;$A40,$A40)))</f>
        <v>501</v>
      </c>
      <c r="R40" s="15" t="n">
        <f aca="false">IF(OR(R$2=0,$A$2=0),0,SUMIFS(INDEX(输入海典!$A$1:$AN$20000,0,R$2),INDEX(输入海典!$A$1:$AN$20000,0,$A$2),IF($B$2,""&amp;$A40,$A40)))</f>
        <v>0</v>
      </c>
      <c r="S40" s="15" t="n">
        <f aca="false">IF(OR(S$2=0,$A$2=0),0,SUMIFS(INDEX(输入海典!$A$1:$AN$20000,0,S$2),INDEX(输入海典!$A$1:$AN$20000,0,$A$2),IF($B$2,""&amp;$A40,$A40)))</f>
        <v>0</v>
      </c>
      <c r="T40" s="15" t="n">
        <f aca="false">IF(OR(T$2=0,$A$2=0),0,SUMIFS(INDEX(输入海典!$A$1:$AN$20000,0,T$2),INDEX(输入海典!$A$1:$AN$20000,0,$A$2),IF($B$2,""&amp;$A40,$A40)))</f>
        <v>17.58</v>
      </c>
      <c r="U40" s="15" t="n">
        <f aca="false">IF(OR(U$2=0,$A$2=0),0,SUMIFS(INDEX(输入海典!$A$1:$AN$20000,0,U$2),INDEX(输入海典!$A$1:$AN$20000,0,$A$2),IF($B$2,""&amp;$A40,$A40)))</f>
        <v>1801</v>
      </c>
      <c r="V40" s="15" t="n">
        <f aca="false">IF(OR(V$2=0,$A$2=0),0,SUMIFS(INDEX(输入海典!$A$1:$AN$20000,0,V$2),INDEX(输入海典!$A$1:$AN$20000,0,$A$2),IF($B$2,""&amp;$A40,$A40)))</f>
        <v>0</v>
      </c>
      <c r="W40" s="15" t="n">
        <f aca="false">IF(OR(W$2=0,$A$2=0),0,SUMIFS(INDEX(输入海典!$A$1:$AN$20000,0,W$2),INDEX(输入海典!$A$1:$AN$20000,0,$A$2),IF($B$2,""&amp;$A40,$A40)))</f>
        <v>0</v>
      </c>
      <c r="X40" s="15" t="n">
        <f aca="false">IF(OR(X$2=0,$A$2=0),0,SUMIFS(INDEX(输入海典!$A$1:$AN$20000,0,X$2),INDEX(输入海典!$A$1:$AN$20000,0,$A$2),IF($B$2,""&amp;$A40,$A40)))</f>
        <v>0</v>
      </c>
      <c r="Y40" s="15" t="n">
        <f aca="false">IF(OR(Y$2=0,$A$2=0),0,SUMIFS(INDEX(输入海典!$A$1:$AN$20000,0,Y$2),INDEX(输入海典!$A$1:$AN$20000,0,$A$2),IF($B$2,""&amp;$A40,$A40)))</f>
        <v>0</v>
      </c>
      <c r="Z40" s="15" t="n">
        <f aca="false">IF(OR(Z$2=0,$A$2=0),0,SUMIFS(INDEX(输入海典!$A$1:$AN$20000,0,Z$2),INDEX(输入海典!$A$1:$AN$20000,0,$A$2),IF($B$2,""&amp;$A40,$A40)))</f>
        <v>0</v>
      </c>
      <c r="AA40" s="15" t="n">
        <f aca="false">IF(OR(AA$2=0,$A$2=0),0,SUMIFS(INDEX(输入海典!$A$1:$AN$20000,0,AA$2),INDEX(输入海典!$A$1:$AN$20000,0,$A$2),IF($B$2,""&amp;$A40,$A40)))</f>
        <v>0</v>
      </c>
      <c r="AB40" s="15" t="n">
        <f aca="false">IF(OR(AB$2=0,$A$2=0),0,SUMIFS(INDEX(输入海典!$A$1:$AN$20000,0,AB$2),INDEX(输入海典!$A$1:$AN$20000,0,$A$2),IF($B$2,""&amp;$A40,$A40)))</f>
        <v>0</v>
      </c>
      <c r="AC40" s="15" t="n">
        <f aca="false">IF(OR(AC$2=0,$A$2=0),0,SUMIFS(INDEX(输入海典!$A$1:$AN$20000,0,AC$2),INDEX(输入海典!$A$1:$AN$20000,0,$A$2),IF($B$2,""&amp;$A40,$A40)))</f>
        <v>0</v>
      </c>
      <c r="AD40" s="15" t="n">
        <f aca="false">IF(OR(AD$2=0,$A$2=0),0,SUMIFS(INDEX(输入海典!$A$1:$AN$20000,0,AD$2),INDEX(输入海典!$A$1:$AN$20000,0,$A$2),IF($B$2,""&amp;$A40,$A40)))</f>
        <v>0</v>
      </c>
      <c r="AE40" s="15" t="n">
        <f aca="false">IF(OR(AE$2=0,$A$2=0),0,SUMIFS(INDEX(输入海典!$A$1:$AN$20000,0,AE$2),INDEX(输入海典!$A$1:$AN$20000,0,$A$2),IF($B$2,""&amp;$A40,$A40)))</f>
        <v>36507.81</v>
      </c>
    </row>
    <row r="41" customFormat="false" ht="14.9" hidden="false" customHeight="false" outlineLevel="0" collapsed="false">
      <c r="A41" s="25" t="n">
        <f aca="false">IF(门店对照!$D40=1,门店对照!$A40,"#未启用#")</f>
        <v>2062</v>
      </c>
      <c r="B41" s="26" t="str">
        <f aca="false">IF(门店对照!$B40="","",门店对照!$B40)</f>
        <v>西范村分店（62分店）</v>
      </c>
      <c r="C41" s="15" t="n">
        <f aca="false">IF(OR(C$2=0,$A$2=0),0,SUMIFS(INDEX(输入海典!$A$1:$AN$20000,0,C$2),INDEX(输入海典!$A$1:$AN$20000,0,$A$2),IF($B$2,""&amp;$A41,$A41)))</f>
        <v>6528.35</v>
      </c>
      <c r="D41" s="15" t="n">
        <f aca="false">IF(OR(D$2=0,$A$2=0),0,SUMIFS(INDEX(输入海典!$A$1:$AN$20000,0,D$2),INDEX(输入海典!$A$1:$AN$20000,0,$A$2),IF($B$2,""&amp;$A41,$A41)))</f>
        <v>0</v>
      </c>
      <c r="E41" s="15" t="n">
        <f aca="false">IF(OR(E$2=0,$A$2=0),0,SUMIFS(INDEX(输入海典!$A$1:$AN$20000,0,E$2),INDEX(输入海典!$A$1:$AN$20000,0,$A$2),IF($B$2,""&amp;$A41,$A41)))</f>
        <v>50548.02</v>
      </c>
      <c r="F41" s="15" t="n">
        <f aca="false">IF(OR(F$2=0,$A$2=0),0,SUMIFS(INDEX(输入海典!$A$1:$AN$20000,0,F$2),INDEX(输入海典!$A$1:$AN$20000,0,$A$2),IF($B$2,""&amp;$A41,$A41)))</f>
        <v>10937.56</v>
      </c>
      <c r="G41" s="15" t="n">
        <f aca="false">IF(OR(G$2=0,$A$2=0),0,SUMIFS(INDEX(输入海典!$A$1:$AN$20000,0,G$2),INDEX(输入海典!$A$1:$AN$20000,0,$A$2),IF($B$2,""&amp;$A41,$A41)))</f>
        <v>0</v>
      </c>
      <c r="H41" s="15" t="n">
        <f aca="false">IF(OR(H$2=0,$A$2=0),0,SUMIFS(INDEX(输入海典!$A$1:$AN$20000,0,H$2),INDEX(输入海典!$A$1:$AN$20000,0,$A$2),IF($B$2,""&amp;$A41,$A41)))</f>
        <v>0</v>
      </c>
      <c r="I41" s="15" t="n">
        <f aca="false">IF(OR(I$2=0,$A$2=0),0,SUMIFS(INDEX(输入海典!$A$1:$AN$20000,0,I$2),INDEX(输入海典!$A$1:$AN$20000,0,$A$2),IF($B$2,""&amp;$A41,$A41)))</f>
        <v>0</v>
      </c>
      <c r="J41" s="15" t="n">
        <f aca="false">IF(OR(J$2=0,$A$2=0),0,SUMIFS(INDEX(输入海典!$A$1:$AN$20000,0,J$2),INDEX(输入海典!$A$1:$AN$20000,0,$A$2),IF($B$2,""&amp;$A41,$A41)))</f>
        <v>0</v>
      </c>
      <c r="K41" s="15" t="n">
        <f aca="false">IF(OR(K$2=0,$A$2=0),0,SUMIFS(INDEX(输入海典!$A$1:$AN$20000,0,K$2),INDEX(输入海典!$A$1:$AN$20000,0,$A$2),IF($B$2,""&amp;$A41,$A41)))</f>
        <v>0</v>
      </c>
      <c r="L41" s="15" t="n">
        <f aca="false">IF(OR(L$2=0,$A$2=0),0,SUMIFS(INDEX(输入海典!$A$1:$AN$20000,0,L$2),INDEX(输入海典!$A$1:$AN$20000,0,$A$2),IF($B$2,""&amp;$A41,$A41)))</f>
        <v>0</v>
      </c>
      <c r="M41" s="15" t="n">
        <f aca="false">IF(OR(M$2=0,$A$2=0),0,SUMIFS(INDEX(输入海典!$A$1:$AN$20000,0,M$2),INDEX(输入海典!$A$1:$AN$20000,0,$A$2),IF($B$2,""&amp;$A41,$A41)))</f>
        <v>0</v>
      </c>
      <c r="N41" s="15" t="n">
        <f aca="false">IF(OR(N$2=0,$A$2=0),0,SUMIFS(INDEX(输入海典!$A$1:$AN$20000,0,N$2),INDEX(输入海典!$A$1:$AN$20000,0,$A$2),IF($B$2,""&amp;$A41,$A41)))</f>
        <v>681.8</v>
      </c>
      <c r="O41" s="15" t="n">
        <f aca="false">IF(OR(O$2=0,$A$2=0),0,SUMIFS(INDEX(输入海典!$A$1:$AN$20000,0,O$2),INDEX(输入海典!$A$1:$AN$20000,0,$A$2),IF($B$2,""&amp;$A41,$A41)))</f>
        <v>0</v>
      </c>
      <c r="P41" s="15" t="n">
        <f aca="false">IF(OR(P$2=0,$A$2=0),0,SUMIFS(INDEX(输入海典!$A$1:$AN$20000,0,P$2),INDEX(输入海典!$A$1:$AN$20000,0,$A$2),IF($B$2,""&amp;$A41,$A41)))</f>
        <v>0</v>
      </c>
      <c r="Q41" s="15" t="n">
        <f aca="false">IF(OR(Q$2=0,$A$2=0),0,SUMIFS(INDEX(输入海典!$A$1:$AN$20000,0,Q$2),INDEX(输入海典!$A$1:$AN$20000,0,$A$2),IF($B$2,""&amp;$A41,$A41)))</f>
        <v>0</v>
      </c>
      <c r="R41" s="15" t="n">
        <f aca="false">IF(OR(R$2=0,$A$2=0),0,SUMIFS(INDEX(输入海典!$A$1:$AN$20000,0,R$2),INDEX(输入海典!$A$1:$AN$20000,0,$A$2),IF($B$2,""&amp;$A41,$A41)))</f>
        <v>0</v>
      </c>
      <c r="S41" s="15" t="n">
        <f aca="false">IF(OR(S$2=0,$A$2=0),0,SUMIFS(INDEX(输入海典!$A$1:$AN$20000,0,S$2),INDEX(输入海典!$A$1:$AN$20000,0,$A$2),IF($B$2,""&amp;$A41,$A41)))</f>
        <v>0</v>
      </c>
      <c r="T41" s="15" t="n">
        <f aca="false">IF(OR(T$2=0,$A$2=0),0,SUMIFS(INDEX(输入海典!$A$1:$AN$20000,0,T$2),INDEX(输入海典!$A$1:$AN$20000,0,$A$2),IF($B$2,""&amp;$A41,$A41)))</f>
        <v>11.62</v>
      </c>
      <c r="U41" s="15" t="n">
        <f aca="false">IF(OR(U$2=0,$A$2=0),0,SUMIFS(INDEX(输入海典!$A$1:$AN$20000,0,U$2),INDEX(输入海典!$A$1:$AN$20000,0,$A$2),IF($B$2,""&amp;$A41,$A41)))</f>
        <v>1197.1</v>
      </c>
      <c r="V41" s="15" t="n">
        <f aca="false">IF(OR(V$2=0,$A$2=0),0,SUMIFS(INDEX(输入海典!$A$1:$AN$20000,0,V$2),INDEX(输入海典!$A$1:$AN$20000,0,$A$2),IF($B$2,""&amp;$A41,$A41)))</f>
        <v>0</v>
      </c>
      <c r="W41" s="15" t="n">
        <f aca="false">IF(OR(W$2=0,$A$2=0),0,SUMIFS(INDEX(输入海典!$A$1:$AN$20000,0,W$2),INDEX(输入海典!$A$1:$AN$20000,0,$A$2),IF($B$2,""&amp;$A41,$A41)))</f>
        <v>0</v>
      </c>
      <c r="X41" s="15" t="n">
        <f aca="false">IF(OR(X$2=0,$A$2=0),0,SUMIFS(INDEX(输入海典!$A$1:$AN$20000,0,X$2),INDEX(输入海典!$A$1:$AN$20000,0,$A$2),IF($B$2,""&amp;$A41,$A41)))</f>
        <v>0</v>
      </c>
      <c r="Y41" s="15" t="n">
        <f aca="false">IF(OR(Y$2=0,$A$2=0),0,SUMIFS(INDEX(输入海典!$A$1:$AN$20000,0,Y$2),INDEX(输入海典!$A$1:$AN$20000,0,$A$2),IF($B$2,""&amp;$A41,$A41)))</f>
        <v>0</v>
      </c>
      <c r="Z41" s="15" t="n">
        <f aca="false">IF(OR(Z$2=0,$A$2=0),0,SUMIFS(INDEX(输入海典!$A$1:$AN$20000,0,Z$2),INDEX(输入海典!$A$1:$AN$20000,0,$A$2),IF($B$2,""&amp;$A41,$A41)))</f>
        <v>0</v>
      </c>
      <c r="AA41" s="15" t="n">
        <f aca="false">IF(OR(AA$2=0,$A$2=0),0,SUMIFS(INDEX(输入海典!$A$1:$AN$20000,0,AA$2),INDEX(输入海典!$A$1:$AN$20000,0,$A$2),IF($B$2,""&amp;$A41,$A41)))</f>
        <v>0</v>
      </c>
      <c r="AB41" s="15" t="n">
        <f aca="false">IF(OR(AB$2=0,$A$2=0),0,SUMIFS(INDEX(输入海典!$A$1:$AN$20000,0,AB$2),INDEX(输入海典!$A$1:$AN$20000,0,$A$2),IF($B$2,""&amp;$A41,$A41)))</f>
        <v>0</v>
      </c>
      <c r="AC41" s="15" t="n">
        <f aca="false">IF(OR(AC$2=0,$A$2=0),0,SUMIFS(INDEX(输入海典!$A$1:$AN$20000,0,AC$2),INDEX(输入海典!$A$1:$AN$20000,0,$A$2),IF($B$2,""&amp;$A41,$A41)))</f>
        <v>0</v>
      </c>
      <c r="AD41" s="15" t="n">
        <f aca="false">IF(OR(AD$2=0,$A$2=0),0,SUMIFS(INDEX(输入海典!$A$1:$AN$20000,0,AD$2),INDEX(输入海典!$A$1:$AN$20000,0,$A$2),IF($B$2,""&amp;$A41,$A41)))</f>
        <v>0</v>
      </c>
      <c r="AE41" s="15" t="n">
        <f aca="false">IF(OR(AE$2=0,$A$2=0),0,SUMIFS(INDEX(输入海典!$A$1:$AN$20000,0,AE$2),INDEX(输入海典!$A$1:$AN$20000,0,$A$2),IF($B$2,""&amp;$A41,$A41)))</f>
        <v>69904.45</v>
      </c>
    </row>
    <row r="42" customFormat="false" ht="14.9" hidden="false" customHeight="false" outlineLevel="0" collapsed="false">
      <c r="A42" s="25" t="n">
        <f aca="false">IF(门店对照!$D41=1,门店对照!$A41,"#未启用#")</f>
        <v>2063</v>
      </c>
      <c r="B42" s="26" t="str">
        <f aca="false">IF(门店对照!$B41="","",门店对照!$B41)</f>
        <v>博医分店（63分店）</v>
      </c>
      <c r="C42" s="15" t="n">
        <f aca="false">IF(OR(C$2=0,$A$2=0),0,SUMIFS(INDEX(输入海典!$A$1:$AN$20000,0,C$2),INDEX(输入海典!$A$1:$AN$20000,0,$A$2),IF($B$2,""&amp;$A42,$A42)))</f>
        <v>12771.72</v>
      </c>
      <c r="D42" s="15" t="n">
        <f aca="false">IF(OR(D$2=0,$A$2=0),0,SUMIFS(INDEX(输入海典!$A$1:$AN$20000,0,D$2),INDEX(输入海典!$A$1:$AN$20000,0,$A$2),IF($B$2,""&amp;$A42,$A42)))</f>
        <v>33715.62</v>
      </c>
      <c r="E42" s="15" t="n">
        <f aca="false">IF(OR(E$2=0,$A$2=0),0,SUMIFS(INDEX(输入海典!$A$1:$AN$20000,0,E$2),INDEX(输入海典!$A$1:$AN$20000,0,$A$2),IF($B$2,""&amp;$A42,$A42)))</f>
        <v>11689.01</v>
      </c>
      <c r="F42" s="15" t="n">
        <f aca="false">IF(OR(F$2=0,$A$2=0),0,SUMIFS(INDEX(输入海典!$A$1:$AN$20000,0,F$2),INDEX(输入海典!$A$1:$AN$20000,0,$A$2),IF($B$2,""&amp;$A42,$A42)))</f>
        <v>30171.06</v>
      </c>
      <c r="G42" s="15" t="n">
        <f aca="false">IF(OR(G$2=0,$A$2=0),0,SUMIFS(INDEX(输入海典!$A$1:$AN$20000,0,G$2),INDEX(输入海典!$A$1:$AN$20000,0,$A$2),IF($B$2,""&amp;$A42,$A42)))</f>
        <v>0</v>
      </c>
      <c r="H42" s="15" t="n">
        <f aca="false">IF(OR(H$2=0,$A$2=0),0,SUMIFS(INDEX(输入海典!$A$1:$AN$20000,0,H$2),INDEX(输入海典!$A$1:$AN$20000,0,$A$2),IF($B$2,""&amp;$A42,$A42)))</f>
        <v>12209.19</v>
      </c>
      <c r="I42" s="15" t="n">
        <f aca="false">IF(OR(I$2=0,$A$2=0),0,SUMIFS(INDEX(输入海典!$A$1:$AN$20000,0,I$2),INDEX(输入海典!$A$1:$AN$20000,0,$A$2),IF($B$2,""&amp;$A42,$A42)))</f>
        <v>0</v>
      </c>
      <c r="J42" s="15" t="n">
        <f aca="false">IF(OR(J$2=0,$A$2=0),0,SUMIFS(INDEX(输入海典!$A$1:$AN$20000,0,J$2),INDEX(输入海典!$A$1:$AN$20000,0,$A$2),IF($B$2,""&amp;$A42,$A42)))</f>
        <v>0</v>
      </c>
      <c r="K42" s="15" t="n">
        <f aca="false">IF(OR(K$2=0,$A$2=0),0,SUMIFS(INDEX(输入海典!$A$1:$AN$20000,0,K$2),INDEX(输入海典!$A$1:$AN$20000,0,$A$2),IF($B$2,""&amp;$A42,$A42)))</f>
        <v>2268.7</v>
      </c>
      <c r="L42" s="15" t="n">
        <f aca="false">IF(OR(L$2=0,$A$2=0),0,SUMIFS(INDEX(输入海典!$A$1:$AN$20000,0,L$2),INDEX(输入海典!$A$1:$AN$20000,0,$A$2),IF($B$2,""&amp;$A42,$A42)))</f>
        <v>0</v>
      </c>
      <c r="M42" s="15" t="n">
        <f aca="false">IF(OR(M$2=0,$A$2=0),0,SUMIFS(INDEX(输入海典!$A$1:$AN$20000,0,M$2),INDEX(输入海典!$A$1:$AN$20000,0,$A$2),IF($B$2,""&amp;$A42,$A42)))</f>
        <v>59</v>
      </c>
      <c r="N42" s="15" t="n">
        <f aca="false">IF(OR(N$2=0,$A$2=0),0,SUMIFS(INDEX(输入海典!$A$1:$AN$20000,0,N$2),INDEX(输入海典!$A$1:$AN$20000,0,$A$2),IF($B$2,""&amp;$A42,$A42)))</f>
        <v>0</v>
      </c>
      <c r="O42" s="15" t="n">
        <f aca="false">IF(OR(O$2=0,$A$2=0),0,SUMIFS(INDEX(输入海典!$A$1:$AN$20000,0,O$2),INDEX(输入海典!$A$1:$AN$20000,0,$A$2),IF($B$2,""&amp;$A42,$A42)))</f>
        <v>0</v>
      </c>
      <c r="P42" s="15" t="n">
        <f aca="false">IF(OR(P$2=0,$A$2=0),0,SUMIFS(INDEX(输入海典!$A$1:$AN$20000,0,P$2),INDEX(输入海典!$A$1:$AN$20000,0,$A$2),IF($B$2,""&amp;$A42,$A42)))</f>
        <v>0</v>
      </c>
      <c r="Q42" s="15" t="n">
        <f aca="false">IF(OR(Q$2=0,$A$2=0),0,SUMIFS(INDEX(输入海典!$A$1:$AN$20000,0,Q$2),INDEX(输入海典!$A$1:$AN$20000,0,$A$2),IF($B$2,""&amp;$A42,$A42)))</f>
        <v>11319.93</v>
      </c>
      <c r="R42" s="15" t="n">
        <f aca="false">IF(OR(R$2=0,$A$2=0),0,SUMIFS(INDEX(输入海典!$A$1:$AN$20000,0,R$2),INDEX(输入海典!$A$1:$AN$20000,0,$A$2),IF($B$2,""&amp;$A42,$A42)))</f>
        <v>0</v>
      </c>
      <c r="S42" s="15" t="n">
        <f aca="false">IF(OR(S$2=0,$A$2=0),0,SUMIFS(INDEX(输入海典!$A$1:$AN$20000,0,S$2),INDEX(输入海典!$A$1:$AN$20000,0,$A$2),IF($B$2,""&amp;$A42,$A42)))</f>
        <v>0</v>
      </c>
      <c r="T42" s="15" t="n">
        <f aca="false">IF(OR(T$2=0,$A$2=0),0,SUMIFS(INDEX(输入海典!$A$1:$AN$20000,0,T$2),INDEX(输入海典!$A$1:$AN$20000,0,$A$2),IF($B$2,""&amp;$A42,$A42)))</f>
        <v>136.39</v>
      </c>
      <c r="U42" s="15" t="n">
        <f aca="false">IF(OR(U$2=0,$A$2=0),0,SUMIFS(INDEX(输入海典!$A$1:$AN$20000,0,U$2),INDEX(输入海典!$A$1:$AN$20000,0,$A$2),IF($B$2,""&amp;$A42,$A42)))</f>
        <v>4203.27</v>
      </c>
      <c r="V42" s="15" t="n">
        <f aca="false">IF(OR(V$2=0,$A$2=0),0,SUMIFS(INDEX(输入海典!$A$1:$AN$20000,0,V$2),INDEX(输入海典!$A$1:$AN$20000,0,$A$2),IF($B$2,""&amp;$A42,$A42)))</f>
        <v>0</v>
      </c>
      <c r="W42" s="15" t="n">
        <f aca="false">IF(OR(W$2=0,$A$2=0),0,SUMIFS(INDEX(输入海典!$A$1:$AN$20000,0,W$2),INDEX(输入海典!$A$1:$AN$20000,0,$A$2),IF($B$2,""&amp;$A42,$A42)))</f>
        <v>0</v>
      </c>
      <c r="X42" s="15" t="n">
        <f aca="false">IF(OR(X$2=0,$A$2=0),0,SUMIFS(INDEX(输入海典!$A$1:$AN$20000,0,X$2),INDEX(输入海典!$A$1:$AN$20000,0,$A$2),IF($B$2,""&amp;$A42,$A42)))</f>
        <v>0</v>
      </c>
      <c r="Y42" s="15" t="n">
        <f aca="false">IF(OR(Y$2=0,$A$2=0),0,SUMIFS(INDEX(输入海典!$A$1:$AN$20000,0,Y$2),INDEX(输入海典!$A$1:$AN$20000,0,$A$2),IF($B$2,""&amp;$A42,$A42)))</f>
        <v>0</v>
      </c>
      <c r="Z42" s="15" t="n">
        <f aca="false">IF(OR(Z$2=0,$A$2=0),0,SUMIFS(INDEX(输入海典!$A$1:$AN$20000,0,Z$2),INDEX(输入海典!$A$1:$AN$20000,0,$A$2),IF($B$2,""&amp;$A42,$A42)))</f>
        <v>0</v>
      </c>
      <c r="AA42" s="15" t="n">
        <f aca="false">IF(OR(AA$2=0,$A$2=0),0,SUMIFS(INDEX(输入海典!$A$1:$AN$20000,0,AA$2),INDEX(输入海典!$A$1:$AN$20000,0,$A$2),IF($B$2,""&amp;$A42,$A42)))</f>
        <v>0</v>
      </c>
      <c r="AB42" s="15" t="n">
        <f aca="false">IF(OR(AB$2=0,$A$2=0),0,SUMIFS(INDEX(输入海典!$A$1:$AN$20000,0,AB$2),INDEX(输入海典!$A$1:$AN$20000,0,$A$2),IF($B$2,""&amp;$A42,$A42)))</f>
        <v>0</v>
      </c>
      <c r="AC42" s="15" t="n">
        <f aca="false">IF(OR(AC$2=0,$A$2=0),0,SUMIFS(INDEX(输入海典!$A$1:$AN$20000,0,AC$2),INDEX(输入海典!$A$1:$AN$20000,0,$A$2),IF($B$2,""&amp;$A42,$A42)))</f>
        <v>0</v>
      </c>
      <c r="AD42" s="15" t="n">
        <f aca="false">IF(OR(AD$2=0,$A$2=0),0,SUMIFS(INDEX(输入海典!$A$1:$AN$20000,0,AD$2),INDEX(输入海典!$A$1:$AN$20000,0,$A$2),IF($B$2,""&amp;$A42,$A42)))</f>
        <v>0</v>
      </c>
      <c r="AE42" s="15" t="n">
        <f aca="false">IF(OR(AE$2=0,$A$2=0),0,SUMIFS(INDEX(输入海典!$A$1:$AN$20000,0,AE$2),INDEX(输入海典!$A$1:$AN$20000,0,$A$2),IF($B$2,""&amp;$A42,$A42)))</f>
        <v>118543.89</v>
      </c>
    </row>
    <row r="43" customFormat="false" ht="13.5" hidden="false" customHeight="false" outlineLevel="0" collapsed="false">
      <c r="A43" s="25" t="n">
        <f aca="false">IF(门店对照!$D42=1,门店对照!$A42,"#未启用#")</f>
        <v>2064</v>
      </c>
      <c r="B43" s="26" t="str">
        <f aca="false">IF(门店对照!$B42="","",门店对照!$B42)</f>
        <v>博诺旗舰店</v>
      </c>
      <c r="C43" s="15" t="n">
        <f aca="false">IF(OR(C$2=0,$A$2=0),0,SUMIFS(INDEX(输入海典!$A$1:$AN$20000,0,C$2),INDEX(输入海典!$A$1:$AN$20000,0,$A$2),IF($B$2,""&amp;$A43,$A43)))</f>
        <v>699.75</v>
      </c>
      <c r="D43" s="15" t="n">
        <f aca="false">IF(OR(D$2=0,$A$2=0),0,SUMIFS(INDEX(输入海典!$A$1:$AN$20000,0,D$2),INDEX(输入海典!$A$1:$AN$20000,0,$A$2),IF($B$2,""&amp;$A43,$A43)))</f>
        <v>0</v>
      </c>
      <c r="E43" s="15" t="n">
        <f aca="false">IF(OR(E$2=0,$A$2=0),0,SUMIFS(INDEX(输入海典!$A$1:$AN$20000,0,E$2),INDEX(输入海典!$A$1:$AN$20000,0,$A$2),IF($B$2,""&amp;$A43,$A43)))</f>
        <v>0</v>
      </c>
      <c r="F43" s="15" t="n">
        <f aca="false">IF(OR(F$2=0,$A$2=0),0,SUMIFS(INDEX(输入海典!$A$1:$AN$20000,0,F$2),INDEX(输入海典!$A$1:$AN$20000,0,$A$2),IF($B$2,""&amp;$A43,$A43)))</f>
        <v>0</v>
      </c>
      <c r="G43" s="15" t="n">
        <f aca="false">IF(OR(G$2=0,$A$2=0),0,SUMIFS(INDEX(输入海典!$A$1:$AN$20000,0,G$2),INDEX(输入海典!$A$1:$AN$20000,0,$A$2),IF($B$2,""&amp;$A43,$A43)))</f>
        <v>0</v>
      </c>
      <c r="H43" s="15" t="n">
        <f aca="false">IF(OR(H$2=0,$A$2=0),0,SUMIFS(INDEX(输入海典!$A$1:$AN$20000,0,H$2),INDEX(输入海典!$A$1:$AN$20000,0,$A$2),IF($B$2,""&amp;$A43,$A43)))</f>
        <v>0</v>
      </c>
      <c r="I43" s="15" t="n">
        <f aca="false">IF(OR(I$2=0,$A$2=0),0,SUMIFS(INDEX(输入海典!$A$1:$AN$20000,0,I$2),INDEX(输入海典!$A$1:$AN$20000,0,$A$2),IF($B$2,""&amp;$A43,$A43)))</f>
        <v>0</v>
      </c>
      <c r="J43" s="15" t="n">
        <f aca="false">IF(OR(J$2=0,$A$2=0),0,SUMIFS(INDEX(输入海典!$A$1:$AN$20000,0,J$2),INDEX(输入海典!$A$1:$AN$20000,0,$A$2),IF($B$2,""&amp;$A43,$A43)))</f>
        <v>0</v>
      </c>
      <c r="K43" s="15" t="n">
        <f aca="false">IF(OR(K$2=0,$A$2=0),0,SUMIFS(INDEX(输入海典!$A$1:$AN$20000,0,K$2),INDEX(输入海典!$A$1:$AN$20000,0,$A$2),IF($B$2,""&amp;$A43,$A43)))</f>
        <v>0</v>
      </c>
      <c r="L43" s="15" t="n">
        <f aca="false">IF(OR(L$2=0,$A$2=0),0,SUMIFS(INDEX(输入海典!$A$1:$AN$20000,0,L$2),INDEX(输入海典!$A$1:$AN$20000,0,$A$2),IF($B$2,""&amp;$A43,$A43)))</f>
        <v>0</v>
      </c>
      <c r="M43" s="15" t="n">
        <f aca="false">IF(OR(M$2=0,$A$2=0),0,SUMIFS(INDEX(输入海典!$A$1:$AN$20000,0,M$2),INDEX(输入海典!$A$1:$AN$20000,0,$A$2),IF($B$2,""&amp;$A43,$A43)))</f>
        <v>0</v>
      </c>
      <c r="N43" s="15" t="n">
        <f aca="false">IF(OR(N$2=0,$A$2=0),0,SUMIFS(INDEX(输入海典!$A$1:$AN$20000,0,N$2),INDEX(输入海典!$A$1:$AN$20000,0,$A$2),IF($B$2,""&amp;$A43,$A43)))</f>
        <v>0</v>
      </c>
      <c r="O43" s="15" t="n">
        <f aca="false">IF(OR(O$2=0,$A$2=0),0,SUMIFS(INDEX(输入海典!$A$1:$AN$20000,0,O$2),INDEX(输入海典!$A$1:$AN$20000,0,$A$2),IF($B$2,""&amp;$A43,$A43)))</f>
        <v>0</v>
      </c>
      <c r="P43" s="15" t="n">
        <f aca="false">IF(OR(P$2=0,$A$2=0),0,SUMIFS(INDEX(输入海典!$A$1:$AN$20000,0,P$2),INDEX(输入海典!$A$1:$AN$20000,0,$A$2),IF($B$2,""&amp;$A43,$A43)))</f>
        <v>0</v>
      </c>
      <c r="Q43" s="15" t="n">
        <f aca="false">IF(OR(Q$2=0,$A$2=0),0,SUMIFS(INDEX(输入海典!$A$1:$AN$20000,0,Q$2),INDEX(输入海典!$A$1:$AN$20000,0,$A$2),IF($B$2,""&amp;$A43,$A43)))</f>
        <v>0</v>
      </c>
      <c r="R43" s="15" t="n">
        <f aca="false">IF(OR(R$2=0,$A$2=0),0,SUMIFS(INDEX(输入海典!$A$1:$AN$20000,0,R$2),INDEX(输入海典!$A$1:$AN$20000,0,$A$2),IF($B$2,""&amp;$A43,$A43)))</f>
        <v>0</v>
      </c>
      <c r="S43" s="15" t="n">
        <f aca="false">IF(OR(S$2=0,$A$2=0),0,SUMIFS(INDEX(输入海典!$A$1:$AN$20000,0,S$2),INDEX(输入海典!$A$1:$AN$20000,0,$A$2),IF($B$2,""&amp;$A43,$A43)))</f>
        <v>0</v>
      </c>
      <c r="T43" s="15" t="n">
        <f aca="false">IF(OR(T$2=0,$A$2=0),0,SUMIFS(INDEX(输入海典!$A$1:$AN$20000,0,T$2),INDEX(输入海典!$A$1:$AN$20000,0,$A$2),IF($B$2,""&amp;$A43,$A43)))</f>
        <v>0</v>
      </c>
      <c r="U43" s="15" t="n">
        <f aca="false">IF(OR(U$2=0,$A$2=0),0,SUMIFS(INDEX(输入海典!$A$1:$AN$20000,0,U$2),INDEX(输入海典!$A$1:$AN$20000,0,$A$2),IF($B$2,""&amp;$A43,$A43)))</f>
        <v>0</v>
      </c>
      <c r="V43" s="15" t="n">
        <f aca="false">IF(OR(V$2=0,$A$2=0),0,SUMIFS(INDEX(输入海典!$A$1:$AN$20000,0,V$2),INDEX(输入海典!$A$1:$AN$20000,0,$A$2),IF($B$2,""&amp;$A43,$A43)))</f>
        <v>0</v>
      </c>
      <c r="W43" s="15" t="n">
        <f aca="false">IF(OR(W$2=0,$A$2=0),0,SUMIFS(INDEX(输入海典!$A$1:$AN$20000,0,W$2),INDEX(输入海典!$A$1:$AN$20000,0,$A$2),IF($B$2,""&amp;$A43,$A43)))</f>
        <v>0</v>
      </c>
      <c r="X43" s="15" t="n">
        <f aca="false">IF(OR(X$2=0,$A$2=0),0,SUMIFS(INDEX(输入海典!$A$1:$AN$20000,0,X$2),INDEX(输入海典!$A$1:$AN$20000,0,$A$2),IF($B$2,""&amp;$A43,$A43)))</f>
        <v>0</v>
      </c>
      <c r="Y43" s="15" t="n">
        <f aca="false">IF(OR(Y$2=0,$A$2=0),0,SUMIFS(INDEX(输入海典!$A$1:$AN$20000,0,Y$2),INDEX(输入海典!$A$1:$AN$20000,0,$A$2),IF($B$2,""&amp;$A43,$A43)))</f>
        <v>0</v>
      </c>
      <c r="Z43" s="15" t="n">
        <f aca="false">IF(OR(Z$2=0,$A$2=0),0,SUMIFS(INDEX(输入海典!$A$1:$AN$20000,0,Z$2),INDEX(输入海典!$A$1:$AN$20000,0,$A$2),IF($B$2,""&amp;$A43,$A43)))</f>
        <v>0</v>
      </c>
      <c r="AA43" s="15" t="n">
        <f aca="false">IF(OR(AA$2=0,$A$2=0),0,SUMIFS(INDEX(输入海典!$A$1:$AN$20000,0,AA$2),INDEX(输入海典!$A$1:$AN$20000,0,$A$2),IF($B$2,""&amp;$A43,$A43)))</f>
        <v>0</v>
      </c>
      <c r="AB43" s="15" t="n">
        <f aca="false">IF(OR(AB$2=0,$A$2=0),0,SUMIFS(INDEX(输入海典!$A$1:$AN$20000,0,AB$2),INDEX(输入海典!$A$1:$AN$20000,0,$A$2),IF($B$2,""&amp;$A43,$A43)))</f>
        <v>0</v>
      </c>
      <c r="AC43" s="15" t="n">
        <f aca="false">IF(OR(AC$2=0,$A$2=0),0,SUMIFS(INDEX(输入海典!$A$1:$AN$20000,0,AC$2),INDEX(输入海典!$A$1:$AN$20000,0,$A$2),IF($B$2,""&amp;$A43,$A43)))</f>
        <v>0</v>
      </c>
      <c r="AD43" s="15" t="n">
        <f aca="false">IF(OR(AD$2=0,$A$2=0),0,SUMIFS(INDEX(输入海典!$A$1:$AN$20000,0,AD$2),INDEX(输入海典!$A$1:$AN$20000,0,$A$2),IF($B$2,""&amp;$A43,$A43)))</f>
        <v>0</v>
      </c>
      <c r="AE43" s="15" t="n">
        <f aca="false">IF(OR(AE$2=0,$A$2=0),0,SUMIFS(INDEX(输入海典!$A$1:$AN$20000,0,AE$2),INDEX(输入海典!$A$1:$AN$20000,0,$A$2),IF($B$2,""&amp;$A43,$A43)))</f>
        <v>699.75</v>
      </c>
    </row>
    <row r="44" customFormat="false" ht="14.9" hidden="false" customHeight="false" outlineLevel="0" collapsed="false">
      <c r="A44" s="25" t="n">
        <f aca="false">IF(门店对照!$D43=1,门店对照!$A43,"#未启用#")</f>
        <v>2066</v>
      </c>
      <c r="B44" s="26" t="str">
        <f aca="false">IF(门店对照!$B43="","",门店对照!$B43)</f>
        <v>博实分店（66分店）</v>
      </c>
      <c r="C44" s="15" t="n">
        <f aca="false">IF(OR(C$2=0,$A$2=0),0,SUMIFS(INDEX(输入海典!$A$1:$AN$20000,0,C$2),INDEX(输入海典!$A$1:$AN$20000,0,$A$2),IF($B$2,""&amp;$A44,$A44)))</f>
        <v>14896.88</v>
      </c>
      <c r="D44" s="15" t="n">
        <f aca="false">IF(OR(D$2=0,$A$2=0),0,SUMIFS(INDEX(输入海典!$A$1:$AN$20000,0,D$2),INDEX(输入海典!$A$1:$AN$20000,0,$A$2),IF($B$2,""&amp;$A44,$A44)))</f>
        <v>0</v>
      </c>
      <c r="E44" s="15" t="n">
        <f aca="false">IF(OR(E$2=0,$A$2=0),0,SUMIFS(INDEX(输入海典!$A$1:$AN$20000,0,E$2),INDEX(输入海典!$A$1:$AN$20000,0,$A$2),IF($B$2,""&amp;$A44,$A44)))</f>
        <v>34268.58</v>
      </c>
      <c r="F44" s="15" t="n">
        <f aca="false">IF(OR(F$2=0,$A$2=0),0,SUMIFS(INDEX(输入海典!$A$1:$AN$20000,0,F$2),INDEX(输入海典!$A$1:$AN$20000,0,$A$2),IF($B$2,""&amp;$A44,$A44)))</f>
        <v>11657.84</v>
      </c>
      <c r="G44" s="15" t="n">
        <f aca="false">IF(OR(G$2=0,$A$2=0),0,SUMIFS(INDEX(输入海典!$A$1:$AN$20000,0,G$2),INDEX(输入海典!$A$1:$AN$20000,0,$A$2),IF($B$2,""&amp;$A44,$A44)))</f>
        <v>0</v>
      </c>
      <c r="H44" s="15" t="n">
        <f aca="false">IF(OR(H$2=0,$A$2=0),0,SUMIFS(INDEX(输入海典!$A$1:$AN$20000,0,H$2),INDEX(输入海典!$A$1:$AN$20000,0,$A$2),IF($B$2,""&amp;$A44,$A44)))</f>
        <v>0</v>
      </c>
      <c r="I44" s="15" t="n">
        <f aca="false">IF(OR(I$2=0,$A$2=0),0,SUMIFS(INDEX(输入海典!$A$1:$AN$20000,0,I$2),INDEX(输入海典!$A$1:$AN$20000,0,$A$2),IF($B$2,""&amp;$A44,$A44)))</f>
        <v>0</v>
      </c>
      <c r="J44" s="15" t="n">
        <f aca="false">IF(OR(J$2=0,$A$2=0),0,SUMIFS(INDEX(输入海典!$A$1:$AN$20000,0,J$2),INDEX(输入海典!$A$1:$AN$20000,0,$A$2),IF($B$2,""&amp;$A44,$A44)))</f>
        <v>0</v>
      </c>
      <c r="K44" s="15" t="n">
        <f aca="false">IF(OR(K$2=0,$A$2=0),0,SUMIFS(INDEX(输入海典!$A$1:$AN$20000,0,K$2),INDEX(输入海典!$A$1:$AN$20000,0,$A$2),IF($B$2,""&amp;$A44,$A44)))</f>
        <v>0</v>
      </c>
      <c r="L44" s="15" t="n">
        <f aca="false">IF(OR(L$2=0,$A$2=0),0,SUMIFS(INDEX(输入海典!$A$1:$AN$20000,0,L$2),INDEX(输入海典!$A$1:$AN$20000,0,$A$2),IF($B$2,""&amp;$A44,$A44)))</f>
        <v>0</v>
      </c>
      <c r="M44" s="15" t="n">
        <f aca="false">IF(OR(M$2=0,$A$2=0),0,SUMIFS(INDEX(输入海典!$A$1:$AN$20000,0,M$2),INDEX(输入海典!$A$1:$AN$20000,0,$A$2),IF($B$2,""&amp;$A44,$A44)))</f>
        <v>53.5</v>
      </c>
      <c r="N44" s="15" t="n">
        <f aca="false">IF(OR(N$2=0,$A$2=0),0,SUMIFS(INDEX(输入海典!$A$1:$AN$20000,0,N$2),INDEX(输入海典!$A$1:$AN$20000,0,$A$2),IF($B$2,""&amp;$A44,$A44)))</f>
        <v>81.9</v>
      </c>
      <c r="O44" s="15" t="n">
        <f aca="false">IF(OR(O$2=0,$A$2=0),0,SUMIFS(INDEX(输入海典!$A$1:$AN$20000,0,O$2),INDEX(输入海典!$A$1:$AN$20000,0,$A$2),IF($B$2,""&amp;$A44,$A44)))</f>
        <v>0</v>
      </c>
      <c r="P44" s="15" t="n">
        <f aca="false">IF(OR(P$2=0,$A$2=0),0,SUMIFS(INDEX(输入海典!$A$1:$AN$20000,0,P$2),INDEX(输入海典!$A$1:$AN$20000,0,$A$2),IF($B$2,""&amp;$A44,$A44)))</f>
        <v>0</v>
      </c>
      <c r="Q44" s="15" t="n">
        <f aca="false">IF(OR(Q$2=0,$A$2=0),0,SUMIFS(INDEX(输入海典!$A$1:$AN$20000,0,Q$2),INDEX(输入海典!$A$1:$AN$20000,0,$A$2),IF($B$2,""&amp;$A44,$A44)))</f>
        <v>230.1</v>
      </c>
      <c r="R44" s="15" t="n">
        <f aca="false">IF(OR(R$2=0,$A$2=0),0,SUMIFS(INDEX(输入海典!$A$1:$AN$20000,0,R$2),INDEX(输入海典!$A$1:$AN$20000,0,$A$2),IF($B$2,""&amp;$A44,$A44)))</f>
        <v>0</v>
      </c>
      <c r="S44" s="15" t="n">
        <f aca="false">IF(OR(S$2=0,$A$2=0),0,SUMIFS(INDEX(输入海典!$A$1:$AN$20000,0,S$2),INDEX(输入海典!$A$1:$AN$20000,0,$A$2),IF($B$2,""&amp;$A44,$A44)))</f>
        <v>0</v>
      </c>
      <c r="T44" s="15" t="n">
        <f aca="false">IF(OR(T$2=0,$A$2=0),0,SUMIFS(INDEX(输入海典!$A$1:$AN$20000,0,T$2),INDEX(输入海典!$A$1:$AN$20000,0,$A$2),IF($B$2,""&amp;$A44,$A44)))</f>
        <v>28.93</v>
      </c>
      <c r="U44" s="15" t="n">
        <f aca="false">IF(OR(U$2=0,$A$2=0),0,SUMIFS(INDEX(输入海典!$A$1:$AN$20000,0,U$2),INDEX(输入海典!$A$1:$AN$20000,0,$A$2),IF($B$2,""&amp;$A44,$A44)))</f>
        <v>2502.2</v>
      </c>
      <c r="V44" s="15" t="n">
        <f aca="false">IF(OR(V$2=0,$A$2=0),0,SUMIFS(INDEX(输入海典!$A$1:$AN$20000,0,V$2),INDEX(输入海典!$A$1:$AN$20000,0,$A$2),IF($B$2,""&amp;$A44,$A44)))</f>
        <v>0</v>
      </c>
      <c r="W44" s="15" t="n">
        <f aca="false">IF(OR(W$2=0,$A$2=0),0,SUMIFS(INDEX(输入海典!$A$1:$AN$20000,0,W$2),INDEX(输入海典!$A$1:$AN$20000,0,$A$2),IF($B$2,""&amp;$A44,$A44)))</f>
        <v>0</v>
      </c>
      <c r="X44" s="15" t="n">
        <f aca="false">IF(OR(X$2=0,$A$2=0),0,SUMIFS(INDEX(输入海典!$A$1:$AN$20000,0,X$2),INDEX(输入海典!$A$1:$AN$20000,0,$A$2),IF($B$2,""&amp;$A44,$A44)))</f>
        <v>0</v>
      </c>
      <c r="Y44" s="15" t="n">
        <f aca="false">IF(OR(Y$2=0,$A$2=0),0,SUMIFS(INDEX(输入海典!$A$1:$AN$20000,0,Y$2),INDEX(输入海典!$A$1:$AN$20000,0,$A$2),IF($B$2,""&amp;$A44,$A44)))</f>
        <v>0</v>
      </c>
      <c r="Z44" s="15" t="n">
        <f aca="false">IF(OR(Z$2=0,$A$2=0),0,SUMIFS(INDEX(输入海典!$A$1:$AN$20000,0,Z$2),INDEX(输入海典!$A$1:$AN$20000,0,$A$2),IF($B$2,""&amp;$A44,$A44)))</f>
        <v>0</v>
      </c>
      <c r="AA44" s="15" t="n">
        <f aca="false">IF(OR(AA$2=0,$A$2=0),0,SUMIFS(INDEX(输入海典!$A$1:$AN$20000,0,AA$2),INDEX(输入海典!$A$1:$AN$20000,0,$A$2),IF($B$2,""&amp;$A44,$A44)))</f>
        <v>0</v>
      </c>
      <c r="AB44" s="15" t="n">
        <f aca="false">IF(OR(AB$2=0,$A$2=0),0,SUMIFS(INDEX(输入海典!$A$1:$AN$20000,0,AB$2),INDEX(输入海典!$A$1:$AN$20000,0,$A$2),IF($B$2,""&amp;$A44,$A44)))</f>
        <v>0</v>
      </c>
      <c r="AC44" s="15" t="n">
        <f aca="false">IF(OR(AC$2=0,$A$2=0),0,SUMIFS(INDEX(输入海典!$A$1:$AN$20000,0,AC$2),INDEX(输入海典!$A$1:$AN$20000,0,$A$2),IF($B$2,""&amp;$A44,$A44)))</f>
        <v>0</v>
      </c>
      <c r="AD44" s="15" t="n">
        <f aca="false">IF(OR(AD$2=0,$A$2=0),0,SUMIFS(INDEX(输入海典!$A$1:$AN$20000,0,AD$2),INDEX(输入海典!$A$1:$AN$20000,0,$A$2),IF($B$2,""&amp;$A44,$A44)))</f>
        <v>0</v>
      </c>
      <c r="AE44" s="15" t="n">
        <f aca="false">IF(OR(AE$2=0,$A$2=0),0,SUMIFS(INDEX(输入海典!$A$1:$AN$20000,0,AE$2),INDEX(输入海典!$A$1:$AN$20000,0,$A$2),IF($B$2,""&amp;$A44,$A44)))</f>
        <v>63719.93</v>
      </c>
    </row>
    <row r="45" customFormat="false" ht="14.9" hidden="false" customHeight="false" outlineLevel="0" collapsed="false">
      <c r="A45" s="25" t="n">
        <f aca="false">IF(门店对照!$D44=1,门店对照!$A44,"#未启用#")</f>
        <v>2067</v>
      </c>
      <c r="B45" s="26" t="str">
        <f aca="false">IF(门店对照!$B44="","",门店对照!$B44)</f>
        <v>博亮分店（67分店）</v>
      </c>
      <c r="C45" s="15" t="n">
        <f aca="false">IF(OR(C$2=0,$A$2=0),0,SUMIFS(INDEX(输入海典!$A$1:$AN$20000,0,C$2),INDEX(输入海典!$A$1:$AN$20000,0,$A$2),IF($B$2,""&amp;$A45,$A45)))</f>
        <v>3632.88</v>
      </c>
      <c r="D45" s="15" t="n">
        <f aca="false">IF(OR(D$2=0,$A$2=0),0,SUMIFS(INDEX(输入海典!$A$1:$AN$20000,0,D$2),INDEX(输入海典!$A$1:$AN$20000,0,$A$2),IF($B$2,""&amp;$A45,$A45)))</f>
        <v>0</v>
      </c>
      <c r="E45" s="15" t="n">
        <f aca="false">IF(OR(E$2=0,$A$2=0),0,SUMIFS(INDEX(输入海典!$A$1:$AN$20000,0,E$2),INDEX(输入海典!$A$1:$AN$20000,0,$A$2),IF($B$2,""&amp;$A45,$A45)))</f>
        <v>23675.18</v>
      </c>
      <c r="F45" s="15" t="n">
        <f aca="false">IF(OR(F$2=0,$A$2=0),0,SUMIFS(INDEX(输入海典!$A$1:$AN$20000,0,F$2),INDEX(输入海典!$A$1:$AN$20000,0,$A$2),IF($B$2,""&amp;$A45,$A45)))</f>
        <v>0</v>
      </c>
      <c r="G45" s="15" t="n">
        <f aca="false">IF(OR(G$2=0,$A$2=0),0,SUMIFS(INDEX(输入海典!$A$1:$AN$20000,0,G$2),INDEX(输入海典!$A$1:$AN$20000,0,$A$2),IF($B$2,""&amp;$A45,$A45)))</f>
        <v>0</v>
      </c>
      <c r="H45" s="15" t="n">
        <f aca="false">IF(OR(H$2=0,$A$2=0),0,SUMIFS(INDEX(输入海典!$A$1:$AN$20000,0,H$2),INDEX(输入海典!$A$1:$AN$20000,0,$A$2),IF($B$2,""&amp;$A45,$A45)))</f>
        <v>0</v>
      </c>
      <c r="I45" s="15" t="n">
        <f aca="false">IF(OR(I$2=0,$A$2=0),0,SUMIFS(INDEX(输入海典!$A$1:$AN$20000,0,I$2),INDEX(输入海典!$A$1:$AN$20000,0,$A$2),IF($B$2,""&amp;$A45,$A45)))</f>
        <v>0</v>
      </c>
      <c r="J45" s="15" t="n">
        <f aca="false">IF(OR(J$2=0,$A$2=0),0,SUMIFS(INDEX(输入海典!$A$1:$AN$20000,0,J$2),INDEX(输入海典!$A$1:$AN$20000,0,$A$2),IF($B$2,""&amp;$A45,$A45)))</f>
        <v>0</v>
      </c>
      <c r="K45" s="15" t="n">
        <f aca="false">IF(OR(K$2=0,$A$2=0),0,SUMIFS(INDEX(输入海典!$A$1:$AN$20000,0,K$2),INDEX(输入海典!$A$1:$AN$20000,0,$A$2),IF($B$2,""&amp;$A45,$A45)))</f>
        <v>0</v>
      </c>
      <c r="L45" s="15" t="n">
        <f aca="false">IF(OR(L$2=0,$A$2=0),0,SUMIFS(INDEX(输入海典!$A$1:$AN$20000,0,L$2),INDEX(输入海典!$A$1:$AN$20000,0,$A$2),IF($B$2,""&amp;$A45,$A45)))</f>
        <v>0</v>
      </c>
      <c r="M45" s="15" t="n">
        <f aca="false">IF(OR(M$2=0,$A$2=0),0,SUMIFS(INDEX(输入海典!$A$1:$AN$20000,0,M$2),INDEX(输入海典!$A$1:$AN$20000,0,$A$2),IF($B$2,""&amp;$A45,$A45)))</f>
        <v>613.3</v>
      </c>
      <c r="N45" s="15" t="n">
        <f aca="false">IF(OR(N$2=0,$A$2=0),0,SUMIFS(INDEX(输入海典!$A$1:$AN$20000,0,N$2),INDEX(输入海典!$A$1:$AN$20000,0,$A$2),IF($B$2,""&amp;$A45,$A45)))</f>
        <v>0</v>
      </c>
      <c r="O45" s="15" t="n">
        <f aca="false">IF(OR(O$2=0,$A$2=0),0,SUMIFS(INDEX(输入海典!$A$1:$AN$20000,0,O$2),INDEX(输入海典!$A$1:$AN$20000,0,$A$2),IF($B$2,""&amp;$A45,$A45)))</f>
        <v>0</v>
      </c>
      <c r="P45" s="15" t="n">
        <f aca="false">IF(OR(P$2=0,$A$2=0),0,SUMIFS(INDEX(输入海典!$A$1:$AN$20000,0,P$2),INDEX(输入海典!$A$1:$AN$20000,0,$A$2),IF($B$2,""&amp;$A45,$A45)))</f>
        <v>0</v>
      </c>
      <c r="Q45" s="15" t="n">
        <f aca="false">IF(OR(Q$2=0,$A$2=0),0,SUMIFS(INDEX(输入海典!$A$1:$AN$20000,0,Q$2),INDEX(输入海典!$A$1:$AN$20000,0,$A$2),IF($B$2,""&amp;$A45,$A45)))</f>
        <v>182.8</v>
      </c>
      <c r="R45" s="15" t="n">
        <f aca="false">IF(OR(R$2=0,$A$2=0),0,SUMIFS(INDEX(输入海典!$A$1:$AN$20000,0,R$2),INDEX(输入海典!$A$1:$AN$20000,0,$A$2),IF($B$2,""&amp;$A45,$A45)))</f>
        <v>0</v>
      </c>
      <c r="S45" s="15" t="n">
        <f aca="false">IF(OR(S$2=0,$A$2=0),0,SUMIFS(INDEX(输入海典!$A$1:$AN$20000,0,S$2),INDEX(输入海典!$A$1:$AN$20000,0,$A$2),IF($B$2,""&amp;$A45,$A45)))</f>
        <v>5</v>
      </c>
      <c r="T45" s="15" t="n">
        <f aca="false">IF(OR(T$2=0,$A$2=0),0,SUMIFS(INDEX(输入海典!$A$1:$AN$20000,0,T$2),INDEX(输入海典!$A$1:$AN$20000,0,$A$2),IF($B$2,""&amp;$A45,$A45)))</f>
        <v>12.93</v>
      </c>
      <c r="U45" s="15" t="n">
        <f aca="false">IF(OR(U$2=0,$A$2=0),0,SUMIFS(INDEX(输入海典!$A$1:$AN$20000,0,U$2),INDEX(输入海典!$A$1:$AN$20000,0,$A$2),IF($B$2,""&amp;$A45,$A45)))</f>
        <v>981</v>
      </c>
      <c r="V45" s="15" t="n">
        <f aca="false">IF(OR(V$2=0,$A$2=0),0,SUMIFS(INDEX(输入海典!$A$1:$AN$20000,0,V$2),INDEX(输入海典!$A$1:$AN$20000,0,$A$2),IF($B$2,""&amp;$A45,$A45)))</f>
        <v>0</v>
      </c>
      <c r="W45" s="15" t="n">
        <f aca="false">IF(OR(W$2=0,$A$2=0),0,SUMIFS(INDEX(输入海典!$A$1:$AN$20000,0,W$2),INDEX(输入海典!$A$1:$AN$20000,0,$A$2),IF($B$2,""&amp;$A45,$A45)))</f>
        <v>0</v>
      </c>
      <c r="X45" s="15" t="n">
        <f aca="false">IF(OR(X$2=0,$A$2=0),0,SUMIFS(INDEX(输入海典!$A$1:$AN$20000,0,X$2),INDEX(输入海典!$A$1:$AN$20000,0,$A$2),IF($B$2,""&amp;$A45,$A45)))</f>
        <v>0</v>
      </c>
      <c r="Y45" s="15" t="n">
        <f aca="false">IF(OR(Y$2=0,$A$2=0),0,SUMIFS(INDEX(输入海典!$A$1:$AN$20000,0,Y$2),INDEX(输入海典!$A$1:$AN$20000,0,$A$2),IF($B$2,""&amp;$A45,$A45)))</f>
        <v>0</v>
      </c>
      <c r="Z45" s="15" t="n">
        <f aca="false">IF(OR(Z$2=0,$A$2=0),0,SUMIFS(INDEX(输入海典!$A$1:$AN$20000,0,Z$2),INDEX(输入海典!$A$1:$AN$20000,0,$A$2),IF($B$2,""&amp;$A45,$A45)))</f>
        <v>0</v>
      </c>
      <c r="AA45" s="15" t="n">
        <f aca="false">IF(OR(AA$2=0,$A$2=0),0,SUMIFS(INDEX(输入海典!$A$1:$AN$20000,0,AA$2),INDEX(输入海典!$A$1:$AN$20000,0,$A$2),IF($B$2,""&amp;$A45,$A45)))</f>
        <v>0</v>
      </c>
      <c r="AB45" s="15" t="n">
        <f aca="false">IF(OR(AB$2=0,$A$2=0),0,SUMIFS(INDEX(输入海典!$A$1:$AN$20000,0,AB$2),INDEX(输入海典!$A$1:$AN$20000,0,$A$2),IF($B$2,""&amp;$A45,$A45)))</f>
        <v>0</v>
      </c>
      <c r="AC45" s="15" t="n">
        <f aca="false">IF(OR(AC$2=0,$A$2=0),0,SUMIFS(INDEX(输入海典!$A$1:$AN$20000,0,AC$2),INDEX(输入海典!$A$1:$AN$20000,0,$A$2),IF($B$2,""&amp;$A45,$A45)))</f>
        <v>0</v>
      </c>
      <c r="AD45" s="15" t="n">
        <f aca="false">IF(OR(AD$2=0,$A$2=0),0,SUMIFS(INDEX(输入海典!$A$1:$AN$20000,0,AD$2),INDEX(输入海典!$A$1:$AN$20000,0,$A$2),IF($B$2,""&amp;$A45,$A45)))</f>
        <v>0</v>
      </c>
      <c r="AE45" s="15" t="n">
        <f aca="false">IF(OR(AE$2=0,$A$2=0),0,SUMIFS(INDEX(输入海典!$A$1:$AN$20000,0,AE$2),INDEX(输入海典!$A$1:$AN$20000,0,$A$2),IF($B$2,""&amp;$A45,$A45)))</f>
        <v>29103.09</v>
      </c>
    </row>
    <row r="46" customFormat="false" ht="14.9" hidden="false" customHeight="false" outlineLevel="0" collapsed="false">
      <c r="A46" s="25" t="n">
        <f aca="false">IF(门店对照!$D45=1,门店对照!$A45,"#未启用#")</f>
        <v>2068</v>
      </c>
      <c r="B46" s="26" t="str">
        <f aca="false">IF(门店对照!$B45="","",门店对照!$B45)</f>
        <v>博山分店（68分店）</v>
      </c>
      <c r="C46" s="15" t="n">
        <f aca="false">IF(OR(C$2=0,$A$2=0),0,SUMIFS(INDEX(输入海典!$A$1:$AN$20000,0,C$2),INDEX(输入海典!$A$1:$AN$20000,0,$A$2),IF($B$2,""&amp;$A46,$A46)))</f>
        <v>9684.9</v>
      </c>
      <c r="D46" s="15" t="n">
        <f aca="false">IF(OR(D$2=0,$A$2=0),0,SUMIFS(INDEX(输入海典!$A$1:$AN$20000,0,D$2),INDEX(输入海典!$A$1:$AN$20000,0,$A$2),IF($B$2,""&amp;$A46,$A46)))</f>
        <v>0</v>
      </c>
      <c r="E46" s="15" t="n">
        <f aca="false">IF(OR(E$2=0,$A$2=0),0,SUMIFS(INDEX(输入海典!$A$1:$AN$20000,0,E$2),INDEX(输入海典!$A$1:$AN$20000,0,$A$2),IF($B$2,""&amp;$A46,$A46)))</f>
        <v>39370.79</v>
      </c>
      <c r="F46" s="15" t="n">
        <f aca="false">IF(OR(F$2=0,$A$2=0),0,SUMIFS(INDEX(输入海典!$A$1:$AN$20000,0,F$2),INDEX(输入海典!$A$1:$AN$20000,0,$A$2),IF($B$2,""&amp;$A46,$A46)))</f>
        <v>11959.95</v>
      </c>
      <c r="G46" s="15" t="n">
        <f aca="false">IF(OR(G$2=0,$A$2=0),0,SUMIFS(INDEX(输入海典!$A$1:$AN$20000,0,G$2),INDEX(输入海典!$A$1:$AN$20000,0,$A$2),IF($B$2,""&amp;$A46,$A46)))</f>
        <v>0</v>
      </c>
      <c r="H46" s="15" t="n">
        <f aca="false">IF(OR(H$2=0,$A$2=0),0,SUMIFS(INDEX(输入海典!$A$1:$AN$20000,0,H$2),INDEX(输入海典!$A$1:$AN$20000,0,$A$2),IF($B$2,""&amp;$A46,$A46)))</f>
        <v>0</v>
      </c>
      <c r="I46" s="15" t="n">
        <f aca="false">IF(OR(I$2=0,$A$2=0),0,SUMIFS(INDEX(输入海典!$A$1:$AN$20000,0,I$2),INDEX(输入海典!$A$1:$AN$20000,0,$A$2),IF($B$2,""&amp;$A46,$A46)))</f>
        <v>0</v>
      </c>
      <c r="J46" s="15" t="n">
        <f aca="false">IF(OR(J$2=0,$A$2=0),0,SUMIFS(INDEX(输入海典!$A$1:$AN$20000,0,J$2),INDEX(输入海典!$A$1:$AN$20000,0,$A$2),IF($B$2,""&amp;$A46,$A46)))</f>
        <v>0</v>
      </c>
      <c r="K46" s="15" t="n">
        <f aca="false">IF(OR(K$2=0,$A$2=0),0,SUMIFS(INDEX(输入海典!$A$1:$AN$20000,0,K$2),INDEX(输入海典!$A$1:$AN$20000,0,$A$2),IF($B$2,""&amp;$A46,$A46)))</f>
        <v>0</v>
      </c>
      <c r="L46" s="15" t="n">
        <f aca="false">IF(OR(L$2=0,$A$2=0),0,SUMIFS(INDEX(输入海典!$A$1:$AN$20000,0,L$2),INDEX(输入海典!$A$1:$AN$20000,0,$A$2),IF($B$2,""&amp;$A46,$A46)))</f>
        <v>0</v>
      </c>
      <c r="M46" s="15" t="n">
        <f aca="false">IF(OR(M$2=0,$A$2=0),0,SUMIFS(INDEX(输入海典!$A$1:$AN$20000,0,M$2),INDEX(输入海典!$A$1:$AN$20000,0,$A$2),IF($B$2,""&amp;$A46,$A46)))</f>
        <v>0</v>
      </c>
      <c r="N46" s="15" t="n">
        <f aca="false">IF(OR(N$2=0,$A$2=0),0,SUMIFS(INDEX(输入海典!$A$1:$AN$20000,0,N$2),INDEX(输入海典!$A$1:$AN$20000,0,$A$2),IF($B$2,""&amp;$A46,$A46)))</f>
        <v>0</v>
      </c>
      <c r="O46" s="15" t="n">
        <f aca="false">IF(OR(O$2=0,$A$2=0),0,SUMIFS(INDEX(输入海典!$A$1:$AN$20000,0,O$2),INDEX(输入海典!$A$1:$AN$20000,0,$A$2),IF($B$2,""&amp;$A46,$A46)))</f>
        <v>0</v>
      </c>
      <c r="P46" s="15" t="n">
        <f aca="false">IF(OR(P$2=0,$A$2=0),0,SUMIFS(INDEX(输入海典!$A$1:$AN$20000,0,P$2),INDEX(输入海典!$A$1:$AN$20000,0,$A$2),IF($B$2,""&amp;$A46,$A46)))</f>
        <v>-0.1</v>
      </c>
      <c r="Q46" s="15" t="n">
        <f aca="false">IF(OR(Q$2=0,$A$2=0),0,SUMIFS(INDEX(输入海典!$A$1:$AN$20000,0,Q$2),INDEX(输入海典!$A$1:$AN$20000,0,$A$2),IF($B$2,""&amp;$A46,$A46)))</f>
        <v>133.08</v>
      </c>
      <c r="R46" s="15" t="n">
        <f aca="false">IF(OR(R$2=0,$A$2=0),0,SUMIFS(INDEX(输入海典!$A$1:$AN$20000,0,R$2),INDEX(输入海典!$A$1:$AN$20000,0,$A$2),IF($B$2,""&amp;$A46,$A46)))</f>
        <v>0</v>
      </c>
      <c r="S46" s="15" t="n">
        <f aca="false">IF(OR(S$2=0,$A$2=0),0,SUMIFS(INDEX(输入海典!$A$1:$AN$20000,0,S$2),INDEX(输入海典!$A$1:$AN$20000,0,$A$2),IF($B$2,""&amp;$A46,$A46)))</f>
        <v>10</v>
      </c>
      <c r="T46" s="15" t="n">
        <f aca="false">IF(OR(T$2=0,$A$2=0),0,SUMIFS(INDEX(输入海典!$A$1:$AN$20000,0,T$2),INDEX(输入海典!$A$1:$AN$20000,0,$A$2),IF($B$2,""&amp;$A46,$A46)))</f>
        <v>48.44</v>
      </c>
      <c r="U46" s="15" t="n">
        <f aca="false">IF(OR(U$2=0,$A$2=0),0,SUMIFS(INDEX(输入海典!$A$1:$AN$20000,0,U$2),INDEX(输入海典!$A$1:$AN$20000,0,$A$2),IF($B$2,""&amp;$A46,$A46)))</f>
        <v>1951.3</v>
      </c>
      <c r="V46" s="15" t="n">
        <f aca="false">IF(OR(V$2=0,$A$2=0),0,SUMIFS(INDEX(输入海典!$A$1:$AN$20000,0,V$2),INDEX(输入海典!$A$1:$AN$20000,0,$A$2),IF($B$2,""&amp;$A46,$A46)))</f>
        <v>0</v>
      </c>
      <c r="W46" s="15" t="n">
        <f aca="false">IF(OR(W$2=0,$A$2=0),0,SUMIFS(INDEX(输入海典!$A$1:$AN$20000,0,W$2),INDEX(输入海典!$A$1:$AN$20000,0,$A$2),IF($B$2,""&amp;$A46,$A46)))</f>
        <v>0</v>
      </c>
      <c r="X46" s="15" t="n">
        <f aca="false">IF(OR(X$2=0,$A$2=0),0,SUMIFS(INDEX(输入海典!$A$1:$AN$20000,0,X$2),INDEX(输入海典!$A$1:$AN$20000,0,$A$2),IF($B$2,""&amp;$A46,$A46)))</f>
        <v>0</v>
      </c>
      <c r="Y46" s="15" t="n">
        <f aca="false">IF(OR(Y$2=0,$A$2=0),0,SUMIFS(INDEX(输入海典!$A$1:$AN$20000,0,Y$2),INDEX(输入海典!$A$1:$AN$20000,0,$A$2),IF($B$2,""&amp;$A46,$A46)))</f>
        <v>0</v>
      </c>
      <c r="Z46" s="15" t="n">
        <f aca="false">IF(OR(Z$2=0,$A$2=0),0,SUMIFS(INDEX(输入海典!$A$1:$AN$20000,0,Z$2),INDEX(输入海典!$A$1:$AN$20000,0,$A$2),IF($B$2,""&amp;$A46,$A46)))</f>
        <v>0</v>
      </c>
      <c r="AA46" s="15" t="n">
        <f aca="false">IF(OR(AA$2=0,$A$2=0),0,SUMIFS(INDEX(输入海典!$A$1:$AN$20000,0,AA$2),INDEX(输入海典!$A$1:$AN$20000,0,$A$2),IF($B$2,""&amp;$A46,$A46)))</f>
        <v>0</v>
      </c>
      <c r="AB46" s="15" t="n">
        <f aca="false">IF(OR(AB$2=0,$A$2=0),0,SUMIFS(INDEX(输入海典!$A$1:$AN$20000,0,AB$2),INDEX(输入海典!$A$1:$AN$20000,0,$A$2),IF($B$2,""&amp;$A46,$A46)))</f>
        <v>0</v>
      </c>
      <c r="AC46" s="15" t="n">
        <f aca="false">IF(OR(AC$2=0,$A$2=0),0,SUMIFS(INDEX(输入海典!$A$1:$AN$20000,0,AC$2),INDEX(输入海典!$A$1:$AN$20000,0,$A$2),IF($B$2,""&amp;$A46,$A46)))</f>
        <v>0</v>
      </c>
      <c r="AD46" s="15" t="n">
        <f aca="false">IF(OR(AD$2=0,$A$2=0),0,SUMIFS(INDEX(输入海典!$A$1:$AN$20000,0,AD$2),INDEX(输入海典!$A$1:$AN$20000,0,$A$2),IF($B$2,""&amp;$A46,$A46)))</f>
        <v>0</v>
      </c>
      <c r="AE46" s="15" t="n">
        <f aca="false">IF(OR(AE$2=0,$A$2=0),0,SUMIFS(INDEX(输入海典!$A$1:$AN$20000,0,AE$2),INDEX(输入海典!$A$1:$AN$20000,0,$A$2),IF($B$2,""&amp;$A46,$A46)))</f>
        <v>63158.36</v>
      </c>
    </row>
    <row r="47" customFormat="false" ht="14.9" hidden="false" customHeight="false" outlineLevel="0" collapsed="false">
      <c r="A47" s="25" t="n">
        <f aca="false">IF(门店对照!$D46=1,门店对照!$A46,"#未启用#")</f>
        <v>2069</v>
      </c>
      <c r="B47" s="26" t="str">
        <f aca="false">IF(门店对照!$B46="","",门店对照!$B46)</f>
        <v>博东分店（69店）</v>
      </c>
      <c r="C47" s="15" t="n">
        <f aca="false">IF(OR(C$2=0,$A$2=0),0,SUMIFS(INDEX(输入海典!$A$1:$AN$20000,0,C$2),INDEX(输入海典!$A$1:$AN$20000,0,$A$2),IF($B$2,""&amp;$A47,$A47)))</f>
        <v>0</v>
      </c>
      <c r="D47" s="15" t="n">
        <f aca="false">IF(OR(D$2=0,$A$2=0),0,SUMIFS(INDEX(输入海典!$A$1:$AN$20000,0,D$2),INDEX(输入海典!$A$1:$AN$20000,0,$A$2),IF($B$2,""&amp;$A47,$A47)))</f>
        <v>0</v>
      </c>
      <c r="E47" s="15" t="n">
        <f aca="false">IF(OR(E$2=0,$A$2=0),0,SUMIFS(INDEX(输入海典!$A$1:$AN$20000,0,E$2),INDEX(输入海典!$A$1:$AN$20000,0,$A$2),IF($B$2,""&amp;$A47,$A47)))</f>
        <v>0</v>
      </c>
      <c r="F47" s="15" t="n">
        <f aca="false">IF(OR(F$2=0,$A$2=0),0,SUMIFS(INDEX(输入海典!$A$1:$AN$20000,0,F$2),INDEX(输入海典!$A$1:$AN$20000,0,$A$2),IF($B$2,""&amp;$A47,$A47)))</f>
        <v>0</v>
      </c>
      <c r="G47" s="15" t="n">
        <f aca="false">IF(OR(G$2=0,$A$2=0),0,SUMIFS(INDEX(输入海典!$A$1:$AN$20000,0,G$2),INDEX(输入海典!$A$1:$AN$20000,0,$A$2),IF($B$2,""&amp;$A47,$A47)))</f>
        <v>0</v>
      </c>
      <c r="H47" s="15" t="n">
        <f aca="false">IF(OR(H$2=0,$A$2=0),0,SUMIFS(INDEX(输入海典!$A$1:$AN$20000,0,H$2),INDEX(输入海典!$A$1:$AN$20000,0,$A$2),IF($B$2,""&amp;$A47,$A47)))</f>
        <v>0</v>
      </c>
      <c r="I47" s="15" t="n">
        <f aca="false">IF(OR(I$2=0,$A$2=0),0,SUMIFS(INDEX(输入海典!$A$1:$AN$20000,0,I$2),INDEX(输入海典!$A$1:$AN$20000,0,$A$2),IF($B$2,""&amp;$A47,$A47)))</f>
        <v>0</v>
      </c>
      <c r="J47" s="15" t="n">
        <f aca="false">IF(OR(J$2=0,$A$2=0),0,SUMIFS(INDEX(输入海典!$A$1:$AN$20000,0,J$2),INDEX(输入海典!$A$1:$AN$20000,0,$A$2),IF($B$2,""&amp;$A47,$A47)))</f>
        <v>0</v>
      </c>
      <c r="K47" s="15" t="n">
        <f aca="false">IF(OR(K$2=0,$A$2=0),0,SUMIFS(INDEX(输入海典!$A$1:$AN$20000,0,K$2),INDEX(输入海典!$A$1:$AN$20000,0,$A$2),IF($B$2,""&amp;$A47,$A47)))</f>
        <v>0</v>
      </c>
      <c r="L47" s="15" t="n">
        <f aca="false">IF(OR(L$2=0,$A$2=0),0,SUMIFS(INDEX(输入海典!$A$1:$AN$20000,0,L$2),INDEX(输入海典!$A$1:$AN$20000,0,$A$2),IF($B$2,""&amp;$A47,$A47)))</f>
        <v>0</v>
      </c>
      <c r="M47" s="15" t="n">
        <f aca="false">IF(OR(M$2=0,$A$2=0),0,SUMIFS(INDEX(输入海典!$A$1:$AN$20000,0,M$2),INDEX(输入海典!$A$1:$AN$20000,0,$A$2),IF($B$2,""&amp;$A47,$A47)))</f>
        <v>0</v>
      </c>
      <c r="N47" s="15" t="n">
        <f aca="false">IF(OR(N$2=0,$A$2=0),0,SUMIFS(INDEX(输入海典!$A$1:$AN$20000,0,N$2),INDEX(输入海典!$A$1:$AN$20000,0,$A$2),IF($B$2,""&amp;$A47,$A47)))</f>
        <v>0</v>
      </c>
      <c r="O47" s="15" t="n">
        <f aca="false">IF(OR(O$2=0,$A$2=0),0,SUMIFS(INDEX(输入海典!$A$1:$AN$20000,0,O$2),INDEX(输入海典!$A$1:$AN$20000,0,$A$2),IF($B$2,""&amp;$A47,$A47)))</f>
        <v>0</v>
      </c>
      <c r="P47" s="15" t="n">
        <f aca="false">IF(OR(P$2=0,$A$2=0),0,SUMIFS(INDEX(输入海典!$A$1:$AN$20000,0,P$2),INDEX(输入海典!$A$1:$AN$20000,0,$A$2),IF($B$2,""&amp;$A47,$A47)))</f>
        <v>0</v>
      </c>
      <c r="Q47" s="15" t="n">
        <f aca="false">IF(OR(Q$2=0,$A$2=0),0,SUMIFS(INDEX(输入海典!$A$1:$AN$20000,0,Q$2),INDEX(输入海典!$A$1:$AN$20000,0,$A$2),IF($B$2,""&amp;$A47,$A47)))</f>
        <v>0</v>
      </c>
      <c r="R47" s="15" t="n">
        <f aca="false">IF(OR(R$2=0,$A$2=0),0,SUMIFS(INDEX(输入海典!$A$1:$AN$20000,0,R$2),INDEX(输入海典!$A$1:$AN$20000,0,$A$2),IF($B$2,""&amp;$A47,$A47)))</f>
        <v>0</v>
      </c>
      <c r="S47" s="15" t="n">
        <f aca="false">IF(OR(S$2=0,$A$2=0),0,SUMIFS(INDEX(输入海典!$A$1:$AN$20000,0,S$2),INDEX(输入海典!$A$1:$AN$20000,0,$A$2),IF($B$2,""&amp;$A47,$A47)))</f>
        <v>0</v>
      </c>
      <c r="T47" s="15" t="n">
        <f aca="false">IF(OR(T$2=0,$A$2=0),0,SUMIFS(INDEX(输入海典!$A$1:$AN$20000,0,T$2),INDEX(输入海典!$A$1:$AN$20000,0,$A$2),IF($B$2,""&amp;$A47,$A47)))</f>
        <v>0</v>
      </c>
      <c r="U47" s="15" t="n">
        <f aca="false">IF(OR(U$2=0,$A$2=0),0,SUMIFS(INDEX(输入海典!$A$1:$AN$20000,0,U$2),INDEX(输入海典!$A$1:$AN$20000,0,$A$2),IF($B$2,""&amp;$A47,$A47)))</f>
        <v>0</v>
      </c>
      <c r="V47" s="15" t="n">
        <f aca="false">IF(OR(V$2=0,$A$2=0),0,SUMIFS(INDEX(输入海典!$A$1:$AN$20000,0,V$2),INDEX(输入海典!$A$1:$AN$20000,0,$A$2),IF($B$2,""&amp;$A47,$A47)))</f>
        <v>0</v>
      </c>
      <c r="W47" s="15" t="n">
        <f aca="false">IF(OR(W$2=0,$A$2=0),0,SUMIFS(INDEX(输入海典!$A$1:$AN$20000,0,W$2),INDEX(输入海典!$A$1:$AN$20000,0,$A$2),IF($B$2,""&amp;$A47,$A47)))</f>
        <v>0</v>
      </c>
      <c r="X47" s="15" t="n">
        <f aca="false">IF(OR(X$2=0,$A$2=0),0,SUMIFS(INDEX(输入海典!$A$1:$AN$20000,0,X$2),INDEX(输入海典!$A$1:$AN$20000,0,$A$2),IF($B$2,""&amp;$A47,$A47)))</f>
        <v>0</v>
      </c>
      <c r="Y47" s="15" t="n">
        <f aca="false">IF(OR(Y$2=0,$A$2=0),0,SUMIFS(INDEX(输入海典!$A$1:$AN$20000,0,Y$2),INDEX(输入海典!$A$1:$AN$20000,0,$A$2),IF($B$2,""&amp;$A47,$A47)))</f>
        <v>0</v>
      </c>
      <c r="Z47" s="15" t="n">
        <f aca="false">IF(OR(Z$2=0,$A$2=0),0,SUMIFS(INDEX(输入海典!$A$1:$AN$20000,0,Z$2),INDEX(输入海典!$A$1:$AN$20000,0,$A$2),IF($B$2,""&amp;$A47,$A47)))</f>
        <v>0</v>
      </c>
      <c r="AA47" s="15" t="n">
        <f aca="false">IF(OR(AA$2=0,$A$2=0),0,SUMIFS(INDEX(输入海典!$A$1:$AN$20000,0,AA$2),INDEX(输入海典!$A$1:$AN$20000,0,$A$2),IF($B$2,""&amp;$A47,$A47)))</f>
        <v>0</v>
      </c>
      <c r="AB47" s="15" t="n">
        <f aca="false">IF(OR(AB$2=0,$A$2=0),0,SUMIFS(INDEX(输入海典!$A$1:$AN$20000,0,AB$2),INDEX(输入海典!$A$1:$AN$20000,0,$A$2),IF($B$2,""&amp;$A47,$A47)))</f>
        <v>0</v>
      </c>
      <c r="AC47" s="15" t="n">
        <f aca="false">IF(OR(AC$2=0,$A$2=0),0,SUMIFS(INDEX(输入海典!$A$1:$AN$20000,0,AC$2),INDEX(输入海典!$A$1:$AN$20000,0,$A$2),IF($B$2,""&amp;$A47,$A47)))</f>
        <v>0</v>
      </c>
      <c r="AD47" s="15" t="n">
        <f aca="false">IF(OR(AD$2=0,$A$2=0),0,SUMIFS(INDEX(输入海典!$A$1:$AN$20000,0,AD$2),INDEX(输入海典!$A$1:$AN$20000,0,$A$2),IF($B$2,""&amp;$A47,$A47)))</f>
        <v>0</v>
      </c>
      <c r="AE47" s="15" t="n">
        <f aca="false">IF(OR(AE$2=0,$A$2=0),0,SUMIFS(INDEX(输入海典!$A$1:$AN$20000,0,AE$2),INDEX(输入海典!$A$1:$AN$20000,0,$A$2),IF($B$2,""&amp;$A47,$A47)))</f>
        <v>0</v>
      </c>
    </row>
    <row r="48" customFormat="false" ht="14.9" hidden="false" customHeight="false" outlineLevel="0" collapsed="false">
      <c r="A48" s="25" t="str">
        <f aca="false">IF(门店对照!$D47=1,门店对照!$A47,"#未启用#")</f>
        <v>#未启用#</v>
      </c>
      <c r="B48" s="26" t="str">
        <f aca="false">IF(门店对照!$B47="","",门店对照!$B47)</f>
        <v>备用1</v>
      </c>
      <c r="C48" s="15" t="n">
        <f aca="false">IF(OR(C$2=0,$A$2=0),0,SUMIFS(INDEX(输入海典!$A$1:$AN$20000,0,C$2),INDEX(输入海典!$A$1:$AN$20000,0,$A$2),IF($B$2,""&amp;$A48,$A48)))</f>
        <v>0</v>
      </c>
      <c r="D48" s="15" t="n">
        <f aca="false">IF(OR(D$2=0,$A$2=0),0,SUMIFS(INDEX(输入海典!$A$1:$AN$20000,0,D$2),INDEX(输入海典!$A$1:$AN$20000,0,$A$2),IF($B$2,""&amp;$A48,$A48)))</f>
        <v>0</v>
      </c>
      <c r="E48" s="15" t="n">
        <f aca="false">IF(OR(E$2=0,$A$2=0),0,SUMIFS(INDEX(输入海典!$A$1:$AN$20000,0,E$2),INDEX(输入海典!$A$1:$AN$20000,0,$A$2),IF($B$2,""&amp;$A48,$A48)))</f>
        <v>0</v>
      </c>
      <c r="F48" s="15" t="n">
        <f aca="false">IF(OR(F$2=0,$A$2=0),0,SUMIFS(INDEX(输入海典!$A$1:$AN$20000,0,F$2),INDEX(输入海典!$A$1:$AN$20000,0,$A$2),IF($B$2,""&amp;$A48,$A48)))</f>
        <v>0</v>
      </c>
      <c r="G48" s="15" t="n">
        <f aca="false">IF(OR(G$2=0,$A$2=0),0,SUMIFS(INDEX(输入海典!$A$1:$AN$20000,0,G$2),INDEX(输入海典!$A$1:$AN$20000,0,$A$2),IF($B$2,""&amp;$A48,$A48)))</f>
        <v>0</v>
      </c>
      <c r="H48" s="15" t="n">
        <f aca="false">IF(OR(H$2=0,$A$2=0),0,SUMIFS(INDEX(输入海典!$A$1:$AN$20000,0,H$2),INDEX(输入海典!$A$1:$AN$20000,0,$A$2),IF($B$2,""&amp;$A48,$A48)))</f>
        <v>0</v>
      </c>
      <c r="I48" s="15" t="n">
        <f aca="false">IF(OR(I$2=0,$A$2=0),0,SUMIFS(INDEX(输入海典!$A$1:$AN$20000,0,I$2),INDEX(输入海典!$A$1:$AN$20000,0,$A$2),IF($B$2,""&amp;$A48,$A48)))</f>
        <v>0</v>
      </c>
      <c r="J48" s="15" t="n">
        <f aca="false">IF(OR(J$2=0,$A$2=0),0,SUMIFS(INDEX(输入海典!$A$1:$AN$20000,0,J$2),INDEX(输入海典!$A$1:$AN$20000,0,$A$2),IF($B$2,""&amp;$A48,$A48)))</f>
        <v>0</v>
      </c>
      <c r="K48" s="15" t="n">
        <f aca="false">IF(OR(K$2=0,$A$2=0),0,SUMIFS(INDEX(输入海典!$A$1:$AN$20000,0,K$2),INDEX(输入海典!$A$1:$AN$20000,0,$A$2),IF($B$2,""&amp;$A48,$A48)))</f>
        <v>0</v>
      </c>
      <c r="L48" s="15" t="n">
        <f aca="false">IF(OR(L$2=0,$A$2=0),0,SUMIFS(INDEX(输入海典!$A$1:$AN$20000,0,L$2),INDEX(输入海典!$A$1:$AN$20000,0,$A$2),IF($B$2,""&amp;$A48,$A48)))</f>
        <v>0</v>
      </c>
      <c r="M48" s="15" t="n">
        <f aca="false">IF(OR(M$2=0,$A$2=0),0,SUMIFS(INDEX(输入海典!$A$1:$AN$20000,0,M$2),INDEX(输入海典!$A$1:$AN$20000,0,$A$2),IF($B$2,""&amp;$A48,$A48)))</f>
        <v>0</v>
      </c>
      <c r="N48" s="15" t="n">
        <f aca="false">IF(OR(N$2=0,$A$2=0),0,SUMIFS(INDEX(输入海典!$A$1:$AN$20000,0,N$2),INDEX(输入海典!$A$1:$AN$20000,0,$A$2),IF($B$2,""&amp;$A48,$A48)))</f>
        <v>0</v>
      </c>
      <c r="O48" s="15" t="n">
        <f aca="false">IF(OR(O$2=0,$A$2=0),0,SUMIFS(INDEX(输入海典!$A$1:$AN$20000,0,O$2),INDEX(输入海典!$A$1:$AN$20000,0,$A$2),IF($B$2,""&amp;$A48,$A48)))</f>
        <v>0</v>
      </c>
      <c r="P48" s="15" t="n">
        <f aca="false">IF(OR(P$2=0,$A$2=0),0,SUMIFS(INDEX(输入海典!$A$1:$AN$20000,0,P$2),INDEX(输入海典!$A$1:$AN$20000,0,$A$2),IF($B$2,""&amp;$A48,$A48)))</f>
        <v>0</v>
      </c>
      <c r="Q48" s="15" t="n">
        <f aca="false">IF(OR(Q$2=0,$A$2=0),0,SUMIFS(INDEX(输入海典!$A$1:$AN$20000,0,Q$2),INDEX(输入海典!$A$1:$AN$20000,0,$A$2),IF($B$2,""&amp;$A48,$A48)))</f>
        <v>0</v>
      </c>
      <c r="R48" s="15" t="n">
        <f aca="false">IF(OR(R$2=0,$A$2=0),0,SUMIFS(INDEX(输入海典!$A$1:$AN$20000,0,R$2),INDEX(输入海典!$A$1:$AN$20000,0,$A$2),IF($B$2,""&amp;$A48,$A48)))</f>
        <v>0</v>
      </c>
      <c r="S48" s="15" t="n">
        <f aca="false">IF(OR(S$2=0,$A$2=0),0,SUMIFS(INDEX(输入海典!$A$1:$AN$20000,0,S$2),INDEX(输入海典!$A$1:$AN$20000,0,$A$2),IF($B$2,""&amp;$A48,$A48)))</f>
        <v>0</v>
      </c>
      <c r="T48" s="15" t="n">
        <f aca="false">IF(OR(T$2=0,$A$2=0),0,SUMIFS(INDEX(输入海典!$A$1:$AN$20000,0,T$2),INDEX(输入海典!$A$1:$AN$20000,0,$A$2),IF($B$2,""&amp;$A48,$A48)))</f>
        <v>0</v>
      </c>
      <c r="U48" s="15" t="n">
        <f aca="false">IF(OR(U$2=0,$A$2=0),0,SUMIFS(INDEX(输入海典!$A$1:$AN$20000,0,U$2),INDEX(输入海典!$A$1:$AN$20000,0,$A$2),IF($B$2,""&amp;$A48,$A48)))</f>
        <v>0</v>
      </c>
      <c r="V48" s="15" t="n">
        <f aca="false">IF(OR(V$2=0,$A$2=0),0,SUMIFS(INDEX(输入海典!$A$1:$AN$20000,0,V$2),INDEX(输入海典!$A$1:$AN$20000,0,$A$2),IF($B$2,""&amp;$A48,$A48)))</f>
        <v>0</v>
      </c>
      <c r="W48" s="15" t="n">
        <f aca="false">IF(OR(W$2=0,$A$2=0),0,SUMIFS(INDEX(输入海典!$A$1:$AN$20000,0,W$2),INDEX(输入海典!$A$1:$AN$20000,0,$A$2),IF($B$2,""&amp;$A48,$A48)))</f>
        <v>0</v>
      </c>
      <c r="X48" s="15" t="n">
        <f aca="false">IF(OR(X$2=0,$A$2=0),0,SUMIFS(INDEX(输入海典!$A$1:$AN$20000,0,X$2),INDEX(输入海典!$A$1:$AN$20000,0,$A$2),IF($B$2,""&amp;$A48,$A48)))</f>
        <v>0</v>
      </c>
      <c r="Y48" s="15" t="n">
        <f aca="false">IF(OR(Y$2=0,$A$2=0),0,SUMIFS(INDEX(输入海典!$A$1:$AN$20000,0,Y$2),INDEX(输入海典!$A$1:$AN$20000,0,$A$2),IF($B$2,""&amp;$A48,$A48)))</f>
        <v>0</v>
      </c>
      <c r="Z48" s="15" t="n">
        <f aca="false">IF(OR(Z$2=0,$A$2=0),0,SUMIFS(INDEX(输入海典!$A$1:$AN$20000,0,Z$2),INDEX(输入海典!$A$1:$AN$20000,0,$A$2),IF($B$2,""&amp;$A48,$A48)))</f>
        <v>0</v>
      </c>
      <c r="AA48" s="15" t="n">
        <f aca="false">IF(OR(AA$2=0,$A$2=0),0,SUMIFS(INDEX(输入海典!$A$1:$AN$20000,0,AA$2),INDEX(输入海典!$A$1:$AN$20000,0,$A$2),IF($B$2,""&amp;$A48,$A48)))</f>
        <v>0</v>
      </c>
      <c r="AB48" s="15" t="n">
        <f aca="false">IF(OR(AB$2=0,$A$2=0),0,SUMIFS(INDEX(输入海典!$A$1:$AN$20000,0,AB$2),INDEX(输入海典!$A$1:$AN$20000,0,$A$2),IF($B$2,""&amp;$A48,$A48)))</f>
        <v>0</v>
      </c>
      <c r="AC48" s="15" t="n">
        <f aca="false">IF(OR(AC$2=0,$A$2=0),0,SUMIFS(INDEX(输入海典!$A$1:$AN$20000,0,AC$2),INDEX(输入海典!$A$1:$AN$20000,0,$A$2),IF($B$2,""&amp;$A48,$A48)))</f>
        <v>0</v>
      </c>
      <c r="AD48" s="15" t="n">
        <f aca="false">IF(OR(AD$2=0,$A$2=0),0,SUMIFS(INDEX(输入海典!$A$1:$AN$20000,0,AD$2),INDEX(输入海典!$A$1:$AN$20000,0,$A$2),IF($B$2,""&amp;$A48,$A48)))</f>
        <v>0</v>
      </c>
      <c r="AE48" s="15" t="n">
        <f aca="false">IF(OR(AE$2=0,$A$2=0),0,SUMIFS(INDEX(输入海典!$A$1:$AN$20000,0,AE$2),INDEX(输入海典!$A$1:$AN$20000,0,$A$2),IF($B$2,""&amp;$A48,$A48)))</f>
        <v>0</v>
      </c>
    </row>
    <row r="49" customFormat="false" ht="14.9" hidden="false" customHeight="false" outlineLevel="0" collapsed="false">
      <c r="A49" s="25" t="str">
        <f aca="false">IF(门店对照!$D48=1,门店对照!$A48,"#未启用#")</f>
        <v>#未启用#</v>
      </c>
      <c r="B49" s="26" t="str">
        <f aca="false">IF(门店对照!$B48="","",门店对照!$B48)</f>
        <v>备用2</v>
      </c>
      <c r="C49" s="15" t="n">
        <f aca="false">IF(OR(C$2=0,$A$2=0),0,SUMIFS(INDEX(输入海典!$A$1:$AN$20000,0,C$2),INDEX(输入海典!$A$1:$AN$20000,0,$A$2),IF($B$2,""&amp;$A49,$A49)))</f>
        <v>0</v>
      </c>
      <c r="D49" s="15" t="n">
        <f aca="false">IF(OR(D$2=0,$A$2=0),0,SUMIFS(INDEX(输入海典!$A$1:$AN$20000,0,D$2),INDEX(输入海典!$A$1:$AN$20000,0,$A$2),IF($B$2,""&amp;$A49,$A49)))</f>
        <v>0</v>
      </c>
      <c r="E49" s="15" t="n">
        <f aca="false">IF(OR(E$2=0,$A$2=0),0,SUMIFS(INDEX(输入海典!$A$1:$AN$20000,0,E$2),INDEX(输入海典!$A$1:$AN$20000,0,$A$2),IF($B$2,""&amp;$A49,$A49)))</f>
        <v>0</v>
      </c>
      <c r="F49" s="15" t="n">
        <f aca="false">IF(OR(F$2=0,$A$2=0),0,SUMIFS(INDEX(输入海典!$A$1:$AN$20000,0,F$2),INDEX(输入海典!$A$1:$AN$20000,0,$A$2),IF($B$2,""&amp;$A49,$A49)))</f>
        <v>0</v>
      </c>
      <c r="G49" s="15" t="n">
        <f aca="false">IF(OR(G$2=0,$A$2=0),0,SUMIFS(INDEX(输入海典!$A$1:$AN$20000,0,G$2),INDEX(输入海典!$A$1:$AN$20000,0,$A$2),IF($B$2,""&amp;$A49,$A49)))</f>
        <v>0</v>
      </c>
      <c r="H49" s="15" t="n">
        <f aca="false">IF(OR(H$2=0,$A$2=0),0,SUMIFS(INDEX(输入海典!$A$1:$AN$20000,0,H$2),INDEX(输入海典!$A$1:$AN$20000,0,$A$2),IF($B$2,""&amp;$A49,$A49)))</f>
        <v>0</v>
      </c>
      <c r="I49" s="15" t="n">
        <f aca="false">IF(OR(I$2=0,$A$2=0),0,SUMIFS(INDEX(输入海典!$A$1:$AN$20000,0,I$2),INDEX(输入海典!$A$1:$AN$20000,0,$A$2),IF($B$2,""&amp;$A49,$A49)))</f>
        <v>0</v>
      </c>
      <c r="J49" s="15" t="n">
        <f aca="false">IF(OR(J$2=0,$A$2=0),0,SUMIFS(INDEX(输入海典!$A$1:$AN$20000,0,J$2),INDEX(输入海典!$A$1:$AN$20000,0,$A$2),IF($B$2,""&amp;$A49,$A49)))</f>
        <v>0</v>
      </c>
      <c r="K49" s="15" t="n">
        <f aca="false">IF(OR(K$2=0,$A$2=0),0,SUMIFS(INDEX(输入海典!$A$1:$AN$20000,0,K$2),INDEX(输入海典!$A$1:$AN$20000,0,$A$2),IF($B$2,""&amp;$A49,$A49)))</f>
        <v>0</v>
      </c>
      <c r="L49" s="15" t="n">
        <f aca="false">IF(OR(L$2=0,$A$2=0),0,SUMIFS(INDEX(输入海典!$A$1:$AN$20000,0,L$2),INDEX(输入海典!$A$1:$AN$20000,0,$A$2),IF($B$2,""&amp;$A49,$A49)))</f>
        <v>0</v>
      </c>
      <c r="M49" s="15" t="n">
        <f aca="false">IF(OR(M$2=0,$A$2=0),0,SUMIFS(INDEX(输入海典!$A$1:$AN$20000,0,M$2),INDEX(输入海典!$A$1:$AN$20000,0,$A$2),IF($B$2,""&amp;$A49,$A49)))</f>
        <v>0</v>
      </c>
      <c r="N49" s="15" t="n">
        <f aca="false">IF(OR(N$2=0,$A$2=0),0,SUMIFS(INDEX(输入海典!$A$1:$AN$20000,0,N$2),INDEX(输入海典!$A$1:$AN$20000,0,$A$2),IF($B$2,""&amp;$A49,$A49)))</f>
        <v>0</v>
      </c>
      <c r="O49" s="15" t="n">
        <f aca="false">IF(OR(O$2=0,$A$2=0),0,SUMIFS(INDEX(输入海典!$A$1:$AN$20000,0,O$2),INDEX(输入海典!$A$1:$AN$20000,0,$A$2),IF($B$2,""&amp;$A49,$A49)))</f>
        <v>0</v>
      </c>
      <c r="P49" s="15" t="n">
        <f aca="false">IF(OR(P$2=0,$A$2=0),0,SUMIFS(INDEX(输入海典!$A$1:$AN$20000,0,P$2),INDEX(输入海典!$A$1:$AN$20000,0,$A$2),IF($B$2,""&amp;$A49,$A49)))</f>
        <v>0</v>
      </c>
      <c r="Q49" s="15" t="n">
        <f aca="false">IF(OR(Q$2=0,$A$2=0),0,SUMIFS(INDEX(输入海典!$A$1:$AN$20000,0,Q$2),INDEX(输入海典!$A$1:$AN$20000,0,$A$2),IF($B$2,""&amp;$A49,$A49)))</f>
        <v>0</v>
      </c>
      <c r="R49" s="15" t="n">
        <f aca="false">IF(OR(R$2=0,$A$2=0),0,SUMIFS(INDEX(输入海典!$A$1:$AN$20000,0,R$2),INDEX(输入海典!$A$1:$AN$20000,0,$A$2),IF($B$2,""&amp;$A49,$A49)))</f>
        <v>0</v>
      </c>
      <c r="S49" s="15" t="n">
        <f aca="false">IF(OR(S$2=0,$A$2=0),0,SUMIFS(INDEX(输入海典!$A$1:$AN$20000,0,S$2),INDEX(输入海典!$A$1:$AN$20000,0,$A$2),IF($B$2,""&amp;$A49,$A49)))</f>
        <v>0</v>
      </c>
      <c r="T49" s="15" t="n">
        <f aca="false">IF(OR(T$2=0,$A$2=0),0,SUMIFS(INDEX(输入海典!$A$1:$AN$20000,0,T$2),INDEX(输入海典!$A$1:$AN$20000,0,$A$2),IF($B$2,""&amp;$A49,$A49)))</f>
        <v>0</v>
      </c>
      <c r="U49" s="15" t="n">
        <f aca="false">IF(OR(U$2=0,$A$2=0),0,SUMIFS(INDEX(输入海典!$A$1:$AN$20000,0,U$2),INDEX(输入海典!$A$1:$AN$20000,0,$A$2),IF($B$2,""&amp;$A49,$A49)))</f>
        <v>0</v>
      </c>
      <c r="V49" s="15" t="n">
        <f aca="false">IF(OR(V$2=0,$A$2=0),0,SUMIFS(INDEX(输入海典!$A$1:$AN$20000,0,V$2),INDEX(输入海典!$A$1:$AN$20000,0,$A$2),IF($B$2,""&amp;$A49,$A49)))</f>
        <v>0</v>
      </c>
      <c r="W49" s="15" t="n">
        <f aca="false">IF(OR(W$2=0,$A$2=0),0,SUMIFS(INDEX(输入海典!$A$1:$AN$20000,0,W$2),INDEX(输入海典!$A$1:$AN$20000,0,$A$2),IF($B$2,""&amp;$A49,$A49)))</f>
        <v>0</v>
      </c>
      <c r="X49" s="15" t="n">
        <f aca="false">IF(OR(X$2=0,$A$2=0),0,SUMIFS(INDEX(输入海典!$A$1:$AN$20000,0,X$2),INDEX(输入海典!$A$1:$AN$20000,0,$A$2),IF($B$2,""&amp;$A49,$A49)))</f>
        <v>0</v>
      </c>
      <c r="Y49" s="15" t="n">
        <f aca="false">IF(OR(Y$2=0,$A$2=0),0,SUMIFS(INDEX(输入海典!$A$1:$AN$20000,0,Y$2),INDEX(输入海典!$A$1:$AN$20000,0,$A$2),IF($B$2,""&amp;$A49,$A49)))</f>
        <v>0</v>
      </c>
      <c r="Z49" s="15" t="n">
        <f aca="false">IF(OR(Z$2=0,$A$2=0),0,SUMIFS(INDEX(输入海典!$A$1:$AN$20000,0,Z$2),INDEX(输入海典!$A$1:$AN$20000,0,$A$2),IF($B$2,""&amp;$A49,$A49)))</f>
        <v>0</v>
      </c>
      <c r="AA49" s="15" t="n">
        <f aca="false">IF(OR(AA$2=0,$A$2=0),0,SUMIFS(INDEX(输入海典!$A$1:$AN$20000,0,AA$2),INDEX(输入海典!$A$1:$AN$20000,0,$A$2),IF($B$2,""&amp;$A49,$A49)))</f>
        <v>0</v>
      </c>
      <c r="AB49" s="15" t="n">
        <f aca="false">IF(OR(AB$2=0,$A$2=0),0,SUMIFS(INDEX(输入海典!$A$1:$AN$20000,0,AB$2),INDEX(输入海典!$A$1:$AN$20000,0,$A$2),IF($B$2,""&amp;$A49,$A49)))</f>
        <v>0</v>
      </c>
      <c r="AC49" s="15" t="n">
        <f aca="false">IF(OR(AC$2=0,$A$2=0),0,SUMIFS(INDEX(输入海典!$A$1:$AN$20000,0,AC$2),INDEX(输入海典!$A$1:$AN$20000,0,$A$2),IF($B$2,""&amp;$A49,$A49)))</f>
        <v>0</v>
      </c>
      <c r="AD49" s="15" t="n">
        <f aca="false">IF(OR(AD$2=0,$A$2=0),0,SUMIFS(INDEX(输入海典!$A$1:$AN$20000,0,AD$2),INDEX(输入海典!$A$1:$AN$20000,0,$A$2),IF($B$2,""&amp;$A49,$A49)))</f>
        <v>0</v>
      </c>
      <c r="AE49" s="15" t="n">
        <f aca="false">IF(OR(AE$2=0,$A$2=0),0,SUMIFS(INDEX(输入海典!$A$1:$AN$20000,0,AE$2),INDEX(输入海典!$A$1:$AN$20000,0,$A$2),IF($B$2,""&amp;$A49,$A49)))</f>
        <v>0</v>
      </c>
    </row>
    <row r="50" customFormat="false" ht="14.9" hidden="false" customHeight="false" outlineLevel="0" collapsed="false">
      <c r="A50" s="25" t="str">
        <f aca="false">IF(门店对照!$D49=1,门店对照!$A49,"#未启用#")</f>
        <v>#未启用#</v>
      </c>
      <c r="B50" s="26" t="str">
        <f aca="false">IF(门店对照!$B49="","",门店对照!$B49)</f>
        <v>备用3</v>
      </c>
      <c r="C50" s="15" t="n">
        <f aca="false">IF(OR(C$2=0,$A$2=0),0,SUMIFS(INDEX(输入海典!$A$1:$AN$20000,0,C$2),INDEX(输入海典!$A$1:$AN$20000,0,$A$2),IF($B$2,""&amp;$A50,$A50)))</f>
        <v>0</v>
      </c>
      <c r="D50" s="15" t="n">
        <f aca="false">IF(OR(D$2=0,$A$2=0),0,SUMIFS(INDEX(输入海典!$A$1:$AN$20000,0,D$2),INDEX(输入海典!$A$1:$AN$20000,0,$A$2),IF($B$2,""&amp;$A50,$A50)))</f>
        <v>0</v>
      </c>
      <c r="E50" s="15" t="n">
        <f aca="false">IF(OR(E$2=0,$A$2=0),0,SUMIFS(INDEX(输入海典!$A$1:$AN$20000,0,E$2),INDEX(输入海典!$A$1:$AN$20000,0,$A$2),IF($B$2,""&amp;$A50,$A50)))</f>
        <v>0</v>
      </c>
      <c r="F50" s="15" t="n">
        <f aca="false">IF(OR(F$2=0,$A$2=0),0,SUMIFS(INDEX(输入海典!$A$1:$AN$20000,0,F$2),INDEX(输入海典!$A$1:$AN$20000,0,$A$2),IF($B$2,""&amp;$A50,$A50)))</f>
        <v>0</v>
      </c>
      <c r="G50" s="15" t="n">
        <f aca="false">IF(OR(G$2=0,$A$2=0),0,SUMIFS(INDEX(输入海典!$A$1:$AN$20000,0,G$2),INDEX(输入海典!$A$1:$AN$20000,0,$A$2),IF($B$2,""&amp;$A50,$A50)))</f>
        <v>0</v>
      </c>
      <c r="H50" s="15" t="n">
        <f aca="false">IF(OR(H$2=0,$A$2=0),0,SUMIFS(INDEX(输入海典!$A$1:$AN$20000,0,H$2),INDEX(输入海典!$A$1:$AN$20000,0,$A$2),IF($B$2,""&amp;$A50,$A50)))</f>
        <v>0</v>
      </c>
      <c r="I50" s="15" t="n">
        <f aca="false">IF(OR(I$2=0,$A$2=0),0,SUMIFS(INDEX(输入海典!$A$1:$AN$20000,0,I$2),INDEX(输入海典!$A$1:$AN$20000,0,$A$2),IF($B$2,""&amp;$A50,$A50)))</f>
        <v>0</v>
      </c>
      <c r="J50" s="15" t="n">
        <f aca="false">IF(OR(J$2=0,$A$2=0),0,SUMIFS(INDEX(输入海典!$A$1:$AN$20000,0,J$2),INDEX(输入海典!$A$1:$AN$20000,0,$A$2),IF($B$2,""&amp;$A50,$A50)))</f>
        <v>0</v>
      </c>
      <c r="K50" s="15" t="n">
        <f aca="false">IF(OR(K$2=0,$A$2=0),0,SUMIFS(INDEX(输入海典!$A$1:$AN$20000,0,K$2),INDEX(输入海典!$A$1:$AN$20000,0,$A$2),IF($B$2,""&amp;$A50,$A50)))</f>
        <v>0</v>
      </c>
      <c r="L50" s="15" t="n">
        <f aca="false">IF(OR(L$2=0,$A$2=0),0,SUMIFS(INDEX(输入海典!$A$1:$AN$20000,0,L$2),INDEX(输入海典!$A$1:$AN$20000,0,$A$2),IF($B$2,""&amp;$A50,$A50)))</f>
        <v>0</v>
      </c>
      <c r="M50" s="15" t="n">
        <f aca="false">IF(OR(M$2=0,$A$2=0),0,SUMIFS(INDEX(输入海典!$A$1:$AN$20000,0,M$2),INDEX(输入海典!$A$1:$AN$20000,0,$A$2),IF($B$2,""&amp;$A50,$A50)))</f>
        <v>0</v>
      </c>
      <c r="N50" s="15" t="n">
        <f aca="false">IF(OR(N$2=0,$A$2=0),0,SUMIFS(INDEX(输入海典!$A$1:$AN$20000,0,N$2),INDEX(输入海典!$A$1:$AN$20000,0,$A$2),IF($B$2,""&amp;$A50,$A50)))</f>
        <v>0</v>
      </c>
      <c r="O50" s="15" t="n">
        <f aca="false">IF(OR(O$2=0,$A$2=0),0,SUMIFS(INDEX(输入海典!$A$1:$AN$20000,0,O$2),INDEX(输入海典!$A$1:$AN$20000,0,$A$2),IF($B$2,""&amp;$A50,$A50)))</f>
        <v>0</v>
      </c>
      <c r="P50" s="15" t="n">
        <f aca="false">IF(OR(P$2=0,$A$2=0),0,SUMIFS(INDEX(输入海典!$A$1:$AN$20000,0,P$2),INDEX(输入海典!$A$1:$AN$20000,0,$A$2),IF($B$2,""&amp;$A50,$A50)))</f>
        <v>0</v>
      </c>
      <c r="Q50" s="15" t="n">
        <f aca="false">IF(OR(Q$2=0,$A$2=0),0,SUMIFS(INDEX(输入海典!$A$1:$AN$20000,0,Q$2),INDEX(输入海典!$A$1:$AN$20000,0,$A$2),IF($B$2,""&amp;$A50,$A50)))</f>
        <v>0</v>
      </c>
      <c r="R50" s="15" t="n">
        <f aca="false">IF(OR(R$2=0,$A$2=0),0,SUMIFS(INDEX(输入海典!$A$1:$AN$20000,0,R$2),INDEX(输入海典!$A$1:$AN$20000,0,$A$2),IF($B$2,""&amp;$A50,$A50)))</f>
        <v>0</v>
      </c>
      <c r="S50" s="15" t="n">
        <f aca="false">IF(OR(S$2=0,$A$2=0),0,SUMIFS(INDEX(输入海典!$A$1:$AN$20000,0,S$2),INDEX(输入海典!$A$1:$AN$20000,0,$A$2),IF($B$2,""&amp;$A50,$A50)))</f>
        <v>0</v>
      </c>
      <c r="T50" s="15" t="n">
        <f aca="false">IF(OR(T$2=0,$A$2=0),0,SUMIFS(INDEX(输入海典!$A$1:$AN$20000,0,T$2),INDEX(输入海典!$A$1:$AN$20000,0,$A$2),IF($B$2,""&amp;$A50,$A50)))</f>
        <v>0</v>
      </c>
      <c r="U50" s="15" t="n">
        <f aca="false">IF(OR(U$2=0,$A$2=0),0,SUMIFS(INDEX(输入海典!$A$1:$AN$20000,0,U$2),INDEX(输入海典!$A$1:$AN$20000,0,$A$2),IF($B$2,""&amp;$A50,$A50)))</f>
        <v>0</v>
      </c>
      <c r="V50" s="15" t="n">
        <f aca="false">IF(OR(V$2=0,$A$2=0),0,SUMIFS(INDEX(输入海典!$A$1:$AN$20000,0,V$2),INDEX(输入海典!$A$1:$AN$20000,0,$A$2),IF($B$2,""&amp;$A50,$A50)))</f>
        <v>0</v>
      </c>
      <c r="W50" s="15" t="n">
        <f aca="false">IF(OR(W$2=0,$A$2=0),0,SUMIFS(INDEX(输入海典!$A$1:$AN$20000,0,W$2),INDEX(输入海典!$A$1:$AN$20000,0,$A$2),IF($B$2,""&amp;$A50,$A50)))</f>
        <v>0</v>
      </c>
      <c r="X50" s="15" t="n">
        <f aca="false">IF(OR(X$2=0,$A$2=0),0,SUMIFS(INDEX(输入海典!$A$1:$AN$20000,0,X$2),INDEX(输入海典!$A$1:$AN$20000,0,$A$2),IF($B$2,""&amp;$A50,$A50)))</f>
        <v>0</v>
      </c>
      <c r="Y50" s="15" t="n">
        <f aca="false">IF(OR(Y$2=0,$A$2=0),0,SUMIFS(INDEX(输入海典!$A$1:$AN$20000,0,Y$2),INDEX(输入海典!$A$1:$AN$20000,0,$A$2),IF($B$2,""&amp;$A50,$A50)))</f>
        <v>0</v>
      </c>
      <c r="Z50" s="15" t="n">
        <f aca="false">IF(OR(Z$2=0,$A$2=0),0,SUMIFS(INDEX(输入海典!$A$1:$AN$20000,0,Z$2),INDEX(输入海典!$A$1:$AN$20000,0,$A$2),IF($B$2,""&amp;$A50,$A50)))</f>
        <v>0</v>
      </c>
      <c r="AA50" s="15" t="n">
        <f aca="false">IF(OR(AA$2=0,$A$2=0),0,SUMIFS(INDEX(输入海典!$A$1:$AN$20000,0,AA$2),INDEX(输入海典!$A$1:$AN$20000,0,$A$2),IF($B$2,""&amp;$A50,$A50)))</f>
        <v>0</v>
      </c>
      <c r="AB50" s="15" t="n">
        <f aca="false">IF(OR(AB$2=0,$A$2=0),0,SUMIFS(INDEX(输入海典!$A$1:$AN$20000,0,AB$2),INDEX(输入海典!$A$1:$AN$20000,0,$A$2),IF($B$2,""&amp;$A50,$A50)))</f>
        <v>0</v>
      </c>
      <c r="AC50" s="15" t="n">
        <f aca="false">IF(OR(AC$2=0,$A$2=0),0,SUMIFS(INDEX(输入海典!$A$1:$AN$20000,0,AC$2),INDEX(输入海典!$A$1:$AN$20000,0,$A$2),IF($B$2,""&amp;$A50,$A50)))</f>
        <v>0</v>
      </c>
      <c r="AD50" s="15" t="n">
        <f aca="false">IF(OR(AD$2=0,$A$2=0),0,SUMIFS(INDEX(输入海典!$A$1:$AN$20000,0,AD$2),INDEX(输入海典!$A$1:$AN$20000,0,$A$2),IF($B$2,""&amp;$A50,$A50)))</f>
        <v>0</v>
      </c>
      <c r="AE50" s="15" t="n">
        <f aca="false">IF(OR(AE$2=0,$A$2=0),0,SUMIFS(INDEX(输入海典!$A$1:$AN$20000,0,AE$2),INDEX(输入海典!$A$1:$AN$20000,0,$A$2),IF($B$2,""&amp;$A50,$A50)))</f>
        <v>0</v>
      </c>
    </row>
    <row r="51" customFormat="false" ht="14.9" hidden="false" customHeight="false" outlineLevel="0" collapsed="false">
      <c r="A51" s="25" t="str">
        <f aca="false">IF(门店对照!$D50=1,门店对照!$A50,"#未启用#")</f>
        <v>#未启用#</v>
      </c>
      <c r="B51" s="26" t="str">
        <f aca="false">IF(门店对照!$B50="","",门店对照!$B50)</f>
        <v>备用4</v>
      </c>
      <c r="C51" s="15" t="n">
        <f aca="false">IF(OR(C$2=0,$A$2=0),0,SUMIFS(INDEX(输入海典!$A$1:$AN$20000,0,C$2),INDEX(输入海典!$A$1:$AN$20000,0,$A$2),IF($B$2,""&amp;$A51,$A51)))</f>
        <v>0</v>
      </c>
      <c r="D51" s="15" t="n">
        <f aca="false">IF(OR(D$2=0,$A$2=0),0,SUMIFS(INDEX(输入海典!$A$1:$AN$20000,0,D$2),INDEX(输入海典!$A$1:$AN$20000,0,$A$2),IF($B$2,""&amp;$A51,$A51)))</f>
        <v>0</v>
      </c>
      <c r="E51" s="15" t="n">
        <f aca="false">IF(OR(E$2=0,$A$2=0),0,SUMIFS(INDEX(输入海典!$A$1:$AN$20000,0,E$2),INDEX(输入海典!$A$1:$AN$20000,0,$A$2),IF($B$2,""&amp;$A51,$A51)))</f>
        <v>0</v>
      </c>
      <c r="F51" s="15" t="n">
        <f aca="false">IF(OR(F$2=0,$A$2=0),0,SUMIFS(INDEX(输入海典!$A$1:$AN$20000,0,F$2),INDEX(输入海典!$A$1:$AN$20000,0,$A$2),IF($B$2,""&amp;$A51,$A51)))</f>
        <v>0</v>
      </c>
      <c r="G51" s="15" t="n">
        <f aca="false">IF(OR(G$2=0,$A$2=0),0,SUMIFS(INDEX(输入海典!$A$1:$AN$20000,0,G$2),INDEX(输入海典!$A$1:$AN$20000,0,$A$2),IF($B$2,""&amp;$A51,$A51)))</f>
        <v>0</v>
      </c>
      <c r="H51" s="15" t="n">
        <f aca="false">IF(OR(H$2=0,$A$2=0),0,SUMIFS(INDEX(输入海典!$A$1:$AN$20000,0,H$2),INDEX(输入海典!$A$1:$AN$20000,0,$A$2),IF($B$2,""&amp;$A51,$A51)))</f>
        <v>0</v>
      </c>
      <c r="I51" s="15" t="n">
        <f aca="false">IF(OR(I$2=0,$A$2=0),0,SUMIFS(INDEX(输入海典!$A$1:$AN$20000,0,I$2),INDEX(输入海典!$A$1:$AN$20000,0,$A$2),IF($B$2,""&amp;$A51,$A51)))</f>
        <v>0</v>
      </c>
      <c r="J51" s="15" t="n">
        <f aca="false">IF(OR(J$2=0,$A$2=0),0,SUMIFS(INDEX(输入海典!$A$1:$AN$20000,0,J$2),INDEX(输入海典!$A$1:$AN$20000,0,$A$2),IF($B$2,""&amp;$A51,$A51)))</f>
        <v>0</v>
      </c>
      <c r="K51" s="15" t="n">
        <f aca="false">IF(OR(K$2=0,$A$2=0),0,SUMIFS(INDEX(输入海典!$A$1:$AN$20000,0,K$2),INDEX(输入海典!$A$1:$AN$20000,0,$A$2),IF($B$2,""&amp;$A51,$A51)))</f>
        <v>0</v>
      </c>
      <c r="L51" s="15" t="n">
        <f aca="false">IF(OR(L$2=0,$A$2=0),0,SUMIFS(INDEX(输入海典!$A$1:$AN$20000,0,L$2),INDEX(输入海典!$A$1:$AN$20000,0,$A$2),IF($B$2,""&amp;$A51,$A51)))</f>
        <v>0</v>
      </c>
      <c r="M51" s="15" t="n">
        <f aca="false">IF(OR(M$2=0,$A$2=0),0,SUMIFS(INDEX(输入海典!$A$1:$AN$20000,0,M$2),INDEX(输入海典!$A$1:$AN$20000,0,$A$2),IF($B$2,""&amp;$A51,$A51)))</f>
        <v>0</v>
      </c>
      <c r="N51" s="15" t="n">
        <f aca="false">IF(OR(N$2=0,$A$2=0),0,SUMIFS(INDEX(输入海典!$A$1:$AN$20000,0,N$2),INDEX(输入海典!$A$1:$AN$20000,0,$A$2),IF($B$2,""&amp;$A51,$A51)))</f>
        <v>0</v>
      </c>
      <c r="O51" s="15" t="n">
        <f aca="false">IF(OR(O$2=0,$A$2=0),0,SUMIFS(INDEX(输入海典!$A$1:$AN$20000,0,O$2),INDEX(输入海典!$A$1:$AN$20000,0,$A$2),IF($B$2,""&amp;$A51,$A51)))</f>
        <v>0</v>
      </c>
      <c r="P51" s="15" t="n">
        <f aca="false">IF(OR(P$2=0,$A$2=0),0,SUMIFS(INDEX(输入海典!$A$1:$AN$20000,0,P$2),INDEX(输入海典!$A$1:$AN$20000,0,$A$2),IF($B$2,""&amp;$A51,$A51)))</f>
        <v>0</v>
      </c>
      <c r="Q51" s="15" t="n">
        <f aca="false">IF(OR(Q$2=0,$A$2=0),0,SUMIFS(INDEX(输入海典!$A$1:$AN$20000,0,Q$2),INDEX(输入海典!$A$1:$AN$20000,0,$A$2),IF($B$2,""&amp;$A51,$A51)))</f>
        <v>0</v>
      </c>
      <c r="R51" s="15" t="n">
        <f aca="false">IF(OR(R$2=0,$A$2=0),0,SUMIFS(INDEX(输入海典!$A$1:$AN$20000,0,R$2),INDEX(输入海典!$A$1:$AN$20000,0,$A$2),IF($B$2,""&amp;$A51,$A51)))</f>
        <v>0</v>
      </c>
      <c r="S51" s="15" t="n">
        <f aca="false">IF(OR(S$2=0,$A$2=0),0,SUMIFS(INDEX(输入海典!$A$1:$AN$20000,0,S$2),INDEX(输入海典!$A$1:$AN$20000,0,$A$2),IF($B$2,""&amp;$A51,$A51)))</f>
        <v>0</v>
      </c>
      <c r="T51" s="15" t="n">
        <f aca="false">IF(OR(T$2=0,$A$2=0),0,SUMIFS(INDEX(输入海典!$A$1:$AN$20000,0,T$2),INDEX(输入海典!$A$1:$AN$20000,0,$A$2),IF($B$2,""&amp;$A51,$A51)))</f>
        <v>0</v>
      </c>
      <c r="U51" s="15" t="n">
        <f aca="false">IF(OR(U$2=0,$A$2=0),0,SUMIFS(INDEX(输入海典!$A$1:$AN$20000,0,U$2),INDEX(输入海典!$A$1:$AN$20000,0,$A$2),IF($B$2,""&amp;$A51,$A51)))</f>
        <v>0</v>
      </c>
      <c r="V51" s="15" t="n">
        <f aca="false">IF(OR(V$2=0,$A$2=0),0,SUMIFS(INDEX(输入海典!$A$1:$AN$20000,0,V$2),INDEX(输入海典!$A$1:$AN$20000,0,$A$2),IF($B$2,""&amp;$A51,$A51)))</f>
        <v>0</v>
      </c>
      <c r="W51" s="15" t="n">
        <f aca="false">IF(OR(W$2=0,$A$2=0),0,SUMIFS(INDEX(输入海典!$A$1:$AN$20000,0,W$2),INDEX(输入海典!$A$1:$AN$20000,0,$A$2),IF($B$2,""&amp;$A51,$A51)))</f>
        <v>0</v>
      </c>
      <c r="X51" s="15" t="n">
        <f aca="false">IF(OR(X$2=0,$A$2=0),0,SUMIFS(INDEX(输入海典!$A$1:$AN$20000,0,X$2),INDEX(输入海典!$A$1:$AN$20000,0,$A$2),IF($B$2,""&amp;$A51,$A51)))</f>
        <v>0</v>
      </c>
      <c r="Y51" s="15" t="n">
        <f aca="false">IF(OR(Y$2=0,$A$2=0),0,SUMIFS(INDEX(输入海典!$A$1:$AN$20000,0,Y$2),INDEX(输入海典!$A$1:$AN$20000,0,$A$2),IF($B$2,""&amp;$A51,$A51)))</f>
        <v>0</v>
      </c>
      <c r="Z51" s="15" t="n">
        <f aca="false">IF(OR(Z$2=0,$A$2=0),0,SUMIFS(INDEX(输入海典!$A$1:$AN$20000,0,Z$2),INDEX(输入海典!$A$1:$AN$20000,0,$A$2),IF($B$2,""&amp;$A51,$A51)))</f>
        <v>0</v>
      </c>
      <c r="AA51" s="15" t="n">
        <f aca="false">IF(OR(AA$2=0,$A$2=0),0,SUMIFS(INDEX(输入海典!$A$1:$AN$20000,0,AA$2),INDEX(输入海典!$A$1:$AN$20000,0,$A$2),IF($B$2,""&amp;$A51,$A51)))</f>
        <v>0</v>
      </c>
      <c r="AB51" s="15" t="n">
        <f aca="false">IF(OR(AB$2=0,$A$2=0),0,SUMIFS(INDEX(输入海典!$A$1:$AN$20000,0,AB$2),INDEX(输入海典!$A$1:$AN$20000,0,$A$2),IF($B$2,""&amp;$A51,$A51)))</f>
        <v>0</v>
      </c>
      <c r="AC51" s="15" t="n">
        <f aca="false">IF(OR(AC$2=0,$A$2=0),0,SUMIFS(INDEX(输入海典!$A$1:$AN$20000,0,AC$2),INDEX(输入海典!$A$1:$AN$20000,0,$A$2),IF($B$2,""&amp;$A51,$A51)))</f>
        <v>0</v>
      </c>
      <c r="AD51" s="15" t="n">
        <f aca="false">IF(OR(AD$2=0,$A$2=0),0,SUMIFS(INDEX(输入海典!$A$1:$AN$20000,0,AD$2),INDEX(输入海典!$A$1:$AN$20000,0,$A$2),IF($B$2,""&amp;$A51,$A51)))</f>
        <v>0</v>
      </c>
      <c r="AE51" s="15" t="n">
        <f aca="false">IF(OR(AE$2=0,$A$2=0),0,SUMIFS(INDEX(输入海典!$A$1:$AN$20000,0,AE$2),INDEX(输入海典!$A$1:$AN$20000,0,$A$2),IF($B$2,""&amp;$A51,$A51)))</f>
        <v>0</v>
      </c>
    </row>
    <row r="52" customFormat="false" ht="14.9" hidden="false" customHeight="false" outlineLevel="0" collapsed="false">
      <c r="A52" s="25" t="str">
        <f aca="false">IF(门店对照!$D51=1,门店对照!$A51,"#未启用#")</f>
        <v>#未启用#</v>
      </c>
      <c r="B52" s="26" t="str">
        <f aca="false">IF(门店对照!$B51="","",门店对照!$B51)</f>
        <v>备用5</v>
      </c>
      <c r="C52" s="15" t="n">
        <f aca="false">IF(OR(C$2=0,$A$2=0),0,SUMIFS(INDEX(输入海典!$A$1:$AN$20000,0,C$2),INDEX(输入海典!$A$1:$AN$20000,0,$A$2),IF($B$2,""&amp;$A52,$A52)))</f>
        <v>0</v>
      </c>
      <c r="D52" s="15" t="n">
        <f aca="false">IF(OR(D$2=0,$A$2=0),0,SUMIFS(INDEX(输入海典!$A$1:$AN$20000,0,D$2),INDEX(输入海典!$A$1:$AN$20000,0,$A$2),IF($B$2,""&amp;$A52,$A52)))</f>
        <v>0</v>
      </c>
      <c r="E52" s="15" t="n">
        <f aca="false">IF(OR(E$2=0,$A$2=0),0,SUMIFS(INDEX(输入海典!$A$1:$AN$20000,0,E$2),INDEX(输入海典!$A$1:$AN$20000,0,$A$2),IF($B$2,""&amp;$A52,$A52)))</f>
        <v>0</v>
      </c>
      <c r="F52" s="15" t="n">
        <f aca="false">IF(OR(F$2=0,$A$2=0),0,SUMIFS(INDEX(输入海典!$A$1:$AN$20000,0,F$2),INDEX(输入海典!$A$1:$AN$20000,0,$A$2),IF($B$2,""&amp;$A52,$A52)))</f>
        <v>0</v>
      </c>
      <c r="G52" s="15" t="n">
        <f aca="false">IF(OR(G$2=0,$A$2=0),0,SUMIFS(INDEX(输入海典!$A$1:$AN$20000,0,G$2),INDEX(输入海典!$A$1:$AN$20000,0,$A$2),IF($B$2,""&amp;$A52,$A52)))</f>
        <v>0</v>
      </c>
      <c r="H52" s="15" t="n">
        <f aca="false">IF(OR(H$2=0,$A$2=0),0,SUMIFS(INDEX(输入海典!$A$1:$AN$20000,0,H$2),INDEX(输入海典!$A$1:$AN$20000,0,$A$2),IF($B$2,""&amp;$A52,$A52)))</f>
        <v>0</v>
      </c>
      <c r="I52" s="15" t="n">
        <f aca="false">IF(OR(I$2=0,$A$2=0),0,SUMIFS(INDEX(输入海典!$A$1:$AN$20000,0,I$2),INDEX(输入海典!$A$1:$AN$20000,0,$A$2),IF($B$2,""&amp;$A52,$A52)))</f>
        <v>0</v>
      </c>
      <c r="J52" s="15" t="n">
        <f aca="false">IF(OR(J$2=0,$A$2=0),0,SUMIFS(INDEX(输入海典!$A$1:$AN$20000,0,J$2),INDEX(输入海典!$A$1:$AN$20000,0,$A$2),IF($B$2,""&amp;$A52,$A52)))</f>
        <v>0</v>
      </c>
      <c r="K52" s="15" t="n">
        <f aca="false">IF(OR(K$2=0,$A$2=0),0,SUMIFS(INDEX(输入海典!$A$1:$AN$20000,0,K$2),INDEX(输入海典!$A$1:$AN$20000,0,$A$2),IF($B$2,""&amp;$A52,$A52)))</f>
        <v>0</v>
      </c>
      <c r="L52" s="15" t="n">
        <f aca="false">IF(OR(L$2=0,$A$2=0),0,SUMIFS(INDEX(输入海典!$A$1:$AN$20000,0,L$2),INDEX(输入海典!$A$1:$AN$20000,0,$A$2),IF($B$2,""&amp;$A52,$A52)))</f>
        <v>0</v>
      </c>
      <c r="M52" s="15" t="n">
        <f aca="false">IF(OR(M$2=0,$A$2=0),0,SUMIFS(INDEX(输入海典!$A$1:$AN$20000,0,M$2),INDEX(输入海典!$A$1:$AN$20000,0,$A$2),IF($B$2,""&amp;$A52,$A52)))</f>
        <v>0</v>
      </c>
      <c r="N52" s="15" t="n">
        <f aca="false">IF(OR(N$2=0,$A$2=0),0,SUMIFS(INDEX(输入海典!$A$1:$AN$20000,0,N$2),INDEX(输入海典!$A$1:$AN$20000,0,$A$2),IF($B$2,""&amp;$A52,$A52)))</f>
        <v>0</v>
      </c>
      <c r="O52" s="15" t="n">
        <f aca="false">IF(OR(O$2=0,$A$2=0),0,SUMIFS(INDEX(输入海典!$A$1:$AN$20000,0,O$2),INDEX(输入海典!$A$1:$AN$20000,0,$A$2),IF($B$2,""&amp;$A52,$A52)))</f>
        <v>0</v>
      </c>
      <c r="P52" s="15" t="n">
        <f aca="false">IF(OR(P$2=0,$A$2=0),0,SUMIFS(INDEX(输入海典!$A$1:$AN$20000,0,P$2),INDEX(输入海典!$A$1:$AN$20000,0,$A$2),IF($B$2,""&amp;$A52,$A52)))</f>
        <v>0</v>
      </c>
      <c r="Q52" s="15" t="n">
        <f aca="false">IF(OR(Q$2=0,$A$2=0),0,SUMIFS(INDEX(输入海典!$A$1:$AN$20000,0,Q$2),INDEX(输入海典!$A$1:$AN$20000,0,$A$2),IF($B$2,""&amp;$A52,$A52)))</f>
        <v>0</v>
      </c>
      <c r="R52" s="15" t="n">
        <f aca="false">IF(OR(R$2=0,$A$2=0),0,SUMIFS(INDEX(输入海典!$A$1:$AN$20000,0,R$2),INDEX(输入海典!$A$1:$AN$20000,0,$A$2),IF($B$2,""&amp;$A52,$A52)))</f>
        <v>0</v>
      </c>
      <c r="S52" s="15" t="n">
        <f aca="false">IF(OR(S$2=0,$A$2=0),0,SUMIFS(INDEX(输入海典!$A$1:$AN$20000,0,S$2),INDEX(输入海典!$A$1:$AN$20000,0,$A$2),IF($B$2,""&amp;$A52,$A52)))</f>
        <v>0</v>
      </c>
      <c r="T52" s="15" t="n">
        <f aca="false">IF(OR(T$2=0,$A$2=0),0,SUMIFS(INDEX(输入海典!$A$1:$AN$20000,0,T$2),INDEX(输入海典!$A$1:$AN$20000,0,$A$2),IF($B$2,""&amp;$A52,$A52)))</f>
        <v>0</v>
      </c>
      <c r="U52" s="15" t="n">
        <f aca="false">IF(OR(U$2=0,$A$2=0),0,SUMIFS(INDEX(输入海典!$A$1:$AN$20000,0,U$2),INDEX(输入海典!$A$1:$AN$20000,0,$A$2),IF($B$2,""&amp;$A52,$A52)))</f>
        <v>0</v>
      </c>
      <c r="V52" s="15" t="n">
        <f aca="false">IF(OR(V$2=0,$A$2=0),0,SUMIFS(INDEX(输入海典!$A$1:$AN$20000,0,V$2),INDEX(输入海典!$A$1:$AN$20000,0,$A$2),IF($B$2,""&amp;$A52,$A52)))</f>
        <v>0</v>
      </c>
      <c r="W52" s="15" t="n">
        <f aca="false">IF(OR(W$2=0,$A$2=0),0,SUMIFS(INDEX(输入海典!$A$1:$AN$20000,0,W$2),INDEX(输入海典!$A$1:$AN$20000,0,$A$2),IF($B$2,""&amp;$A52,$A52)))</f>
        <v>0</v>
      </c>
      <c r="X52" s="15" t="n">
        <f aca="false">IF(OR(X$2=0,$A$2=0),0,SUMIFS(INDEX(输入海典!$A$1:$AN$20000,0,X$2),INDEX(输入海典!$A$1:$AN$20000,0,$A$2),IF($B$2,""&amp;$A52,$A52)))</f>
        <v>0</v>
      </c>
      <c r="Y52" s="15" t="n">
        <f aca="false">IF(OR(Y$2=0,$A$2=0),0,SUMIFS(INDEX(输入海典!$A$1:$AN$20000,0,Y$2),INDEX(输入海典!$A$1:$AN$20000,0,$A$2),IF($B$2,""&amp;$A52,$A52)))</f>
        <v>0</v>
      </c>
      <c r="Z52" s="15" t="n">
        <f aca="false">IF(OR(Z$2=0,$A$2=0),0,SUMIFS(INDEX(输入海典!$A$1:$AN$20000,0,Z$2),INDEX(输入海典!$A$1:$AN$20000,0,$A$2),IF($B$2,""&amp;$A52,$A52)))</f>
        <v>0</v>
      </c>
      <c r="AA52" s="15" t="n">
        <f aca="false">IF(OR(AA$2=0,$A$2=0),0,SUMIFS(INDEX(输入海典!$A$1:$AN$20000,0,AA$2),INDEX(输入海典!$A$1:$AN$20000,0,$A$2),IF($B$2,""&amp;$A52,$A52)))</f>
        <v>0</v>
      </c>
      <c r="AB52" s="15" t="n">
        <f aca="false">IF(OR(AB$2=0,$A$2=0),0,SUMIFS(INDEX(输入海典!$A$1:$AN$20000,0,AB$2),INDEX(输入海典!$A$1:$AN$20000,0,$A$2),IF($B$2,""&amp;$A52,$A52)))</f>
        <v>0</v>
      </c>
      <c r="AC52" s="15" t="n">
        <f aca="false">IF(OR(AC$2=0,$A$2=0),0,SUMIFS(INDEX(输入海典!$A$1:$AN$20000,0,AC$2),INDEX(输入海典!$A$1:$AN$20000,0,$A$2),IF($B$2,""&amp;$A52,$A52)))</f>
        <v>0</v>
      </c>
      <c r="AD52" s="15" t="n">
        <f aca="false">IF(OR(AD$2=0,$A$2=0),0,SUMIFS(INDEX(输入海典!$A$1:$AN$20000,0,AD$2),INDEX(输入海典!$A$1:$AN$20000,0,$A$2),IF($B$2,""&amp;$A52,$A52)))</f>
        <v>0</v>
      </c>
      <c r="AE52" s="15" t="n">
        <f aca="false">IF(OR(AE$2=0,$A$2=0),0,SUMIFS(INDEX(输入海典!$A$1:$AN$20000,0,AE$2),INDEX(输入海典!$A$1:$AN$20000,0,$A$2),IF($B$2,""&amp;$A52,$A52)))</f>
        <v>0</v>
      </c>
    </row>
    <row r="53" customFormat="false" ht="14.9" hidden="false" customHeight="false" outlineLevel="0" collapsed="false">
      <c r="A53" s="25" t="str">
        <f aca="false">IF(门店对照!$D52=1,门店对照!$A52,"#未启用#")</f>
        <v>#未启用#</v>
      </c>
      <c r="B53" s="26" t="str">
        <f aca="false">IF(门店对照!$B52="","",门店对照!$B52)</f>
        <v>备用6</v>
      </c>
      <c r="C53" s="15" t="n">
        <f aca="false">IF(OR(C$2=0,$A$2=0),0,SUMIFS(INDEX(输入海典!$A$1:$AN$20000,0,C$2),INDEX(输入海典!$A$1:$AN$20000,0,$A$2),IF($B$2,""&amp;$A53,$A53)))</f>
        <v>0</v>
      </c>
      <c r="D53" s="15" t="n">
        <f aca="false">IF(OR(D$2=0,$A$2=0),0,SUMIFS(INDEX(输入海典!$A$1:$AN$20000,0,D$2),INDEX(输入海典!$A$1:$AN$20000,0,$A$2),IF($B$2,""&amp;$A53,$A53)))</f>
        <v>0</v>
      </c>
      <c r="E53" s="15" t="n">
        <f aca="false">IF(OR(E$2=0,$A$2=0),0,SUMIFS(INDEX(输入海典!$A$1:$AN$20000,0,E$2),INDEX(输入海典!$A$1:$AN$20000,0,$A$2),IF($B$2,""&amp;$A53,$A53)))</f>
        <v>0</v>
      </c>
      <c r="F53" s="15" t="n">
        <f aca="false">IF(OR(F$2=0,$A$2=0),0,SUMIFS(INDEX(输入海典!$A$1:$AN$20000,0,F$2),INDEX(输入海典!$A$1:$AN$20000,0,$A$2),IF($B$2,""&amp;$A53,$A53)))</f>
        <v>0</v>
      </c>
      <c r="G53" s="15" t="n">
        <f aca="false">IF(OR(G$2=0,$A$2=0),0,SUMIFS(INDEX(输入海典!$A$1:$AN$20000,0,G$2),INDEX(输入海典!$A$1:$AN$20000,0,$A$2),IF($B$2,""&amp;$A53,$A53)))</f>
        <v>0</v>
      </c>
      <c r="H53" s="15" t="n">
        <f aca="false">IF(OR(H$2=0,$A$2=0),0,SUMIFS(INDEX(输入海典!$A$1:$AN$20000,0,H$2),INDEX(输入海典!$A$1:$AN$20000,0,$A$2),IF($B$2,""&amp;$A53,$A53)))</f>
        <v>0</v>
      </c>
      <c r="I53" s="15" t="n">
        <f aca="false">IF(OR(I$2=0,$A$2=0),0,SUMIFS(INDEX(输入海典!$A$1:$AN$20000,0,I$2),INDEX(输入海典!$A$1:$AN$20000,0,$A$2),IF($B$2,""&amp;$A53,$A53)))</f>
        <v>0</v>
      </c>
      <c r="J53" s="15" t="n">
        <f aca="false">IF(OR(J$2=0,$A$2=0),0,SUMIFS(INDEX(输入海典!$A$1:$AN$20000,0,J$2),INDEX(输入海典!$A$1:$AN$20000,0,$A$2),IF($B$2,""&amp;$A53,$A53)))</f>
        <v>0</v>
      </c>
      <c r="K53" s="15" t="n">
        <f aca="false">IF(OR(K$2=0,$A$2=0),0,SUMIFS(INDEX(输入海典!$A$1:$AN$20000,0,K$2),INDEX(输入海典!$A$1:$AN$20000,0,$A$2),IF($B$2,""&amp;$A53,$A53)))</f>
        <v>0</v>
      </c>
      <c r="L53" s="15" t="n">
        <f aca="false">IF(OR(L$2=0,$A$2=0),0,SUMIFS(INDEX(输入海典!$A$1:$AN$20000,0,L$2),INDEX(输入海典!$A$1:$AN$20000,0,$A$2),IF($B$2,""&amp;$A53,$A53)))</f>
        <v>0</v>
      </c>
      <c r="M53" s="15" t="n">
        <f aca="false">IF(OR(M$2=0,$A$2=0),0,SUMIFS(INDEX(输入海典!$A$1:$AN$20000,0,M$2),INDEX(输入海典!$A$1:$AN$20000,0,$A$2),IF($B$2,""&amp;$A53,$A53)))</f>
        <v>0</v>
      </c>
      <c r="N53" s="15" t="n">
        <f aca="false">IF(OR(N$2=0,$A$2=0),0,SUMIFS(INDEX(输入海典!$A$1:$AN$20000,0,N$2),INDEX(输入海典!$A$1:$AN$20000,0,$A$2),IF($B$2,""&amp;$A53,$A53)))</f>
        <v>0</v>
      </c>
      <c r="O53" s="15" t="n">
        <f aca="false">IF(OR(O$2=0,$A$2=0),0,SUMIFS(INDEX(输入海典!$A$1:$AN$20000,0,O$2),INDEX(输入海典!$A$1:$AN$20000,0,$A$2),IF($B$2,""&amp;$A53,$A53)))</f>
        <v>0</v>
      </c>
      <c r="P53" s="15" t="n">
        <f aca="false">IF(OR(P$2=0,$A$2=0),0,SUMIFS(INDEX(输入海典!$A$1:$AN$20000,0,P$2),INDEX(输入海典!$A$1:$AN$20000,0,$A$2),IF($B$2,""&amp;$A53,$A53)))</f>
        <v>0</v>
      </c>
      <c r="Q53" s="15" t="n">
        <f aca="false">IF(OR(Q$2=0,$A$2=0),0,SUMIFS(INDEX(输入海典!$A$1:$AN$20000,0,Q$2),INDEX(输入海典!$A$1:$AN$20000,0,$A$2),IF($B$2,""&amp;$A53,$A53)))</f>
        <v>0</v>
      </c>
      <c r="R53" s="15" t="n">
        <f aca="false">IF(OR(R$2=0,$A$2=0),0,SUMIFS(INDEX(输入海典!$A$1:$AN$20000,0,R$2),INDEX(输入海典!$A$1:$AN$20000,0,$A$2),IF($B$2,""&amp;$A53,$A53)))</f>
        <v>0</v>
      </c>
      <c r="S53" s="15" t="n">
        <f aca="false">IF(OR(S$2=0,$A$2=0),0,SUMIFS(INDEX(输入海典!$A$1:$AN$20000,0,S$2),INDEX(输入海典!$A$1:$AN$20000,0,$A$2),IF($B$2,""&amp;$A53,$A53)))</f>
        <v>0</v>
      </c>
      <c r="T53" s="15" t="n">
        <f aca="false">IF(OR(T$2=0,$A$2=0),0,SUMIFS(INDEX(输入海典!$A$1:$AN$20000,0,T$2),INDEX(输入海典!$A$1:$AN$20000,0,$A$2),IF($B$2,""&amp;$A53,$A53)))</f>
        <v>0</v>
      </c>
      <c r="U53" s="15" t="n">
        <f aca="false">IF(OR(U$2=0,$A$2=0),0,SUMIFS(INDEX(输入海典!$A$1:$AN$20000,0,U$2),INDEX(输入海典!$A$1:$AN$20000,0,$A$2),IF($B$2,""&amp;$A53,$A53)))</f>
        <v>0</v>
      </c>
      <c r="V53" s="15" t="n">
        <f aca="false">IF(OR(V$2=0,$A$2=0),0,SUMIFS(INDEX(输入海典!$A$1:$AN$20000,0,V$2),INDEX(输入海典!$A$1:$AN$20000,0,$A$2),IF($B$2,""&amp;$A53,$A53)))</f>
        <v>0</v>
      </c>
      <c r="W53" s="15" t="n">
        <f aca="false">IF(OR(W$2=0,$A$2=0),0,SUMIFS(INDEX(输入海典!$A$1:$AN$20000,0,W$2),INDEX(输入海典!$A$1:$AN$20000,0,$A$2),IF($B$2,""&amp;$A53,$A53)))</f>
        <v>0</v>
      </c>
      <c r="X53" s="15" t="n">
        <f aca="false">IF(OR(X$2=0,$A$2=0),0,SUMIFS(INDEX(输入海典!$A$1:$AN$20000,0,X$2),INDEX(输入海典!$A$1:$AN$20000,0,$A$2),IF($B$2,""&amp;$A53,$A53)))</f>
        <v>0</v>
      </c>
      <c r="Y53" s="15" t="n">
        <f aca="false">IF(OR(Y$2=0,$A$2=0),0,SUMIFS(INDEX(输入海典!$A$1:$AN$20000,0,Y$2),INDEX(输入海典!$A$1:$AN$20000,0,$A$2),IF($B$2,""&amp;$A53,$A53)))</f>
        <v>0</v>
      </c>
      <c r="Z53" s="15" t="n">
        <f aca="false">IF(OR(Z$2=0,$A$2=0),0,SUMIFS(INDEX(输入海典!$A$1:$AN$20000,0,Z$2),INDEX(输入海典!$A$1:$AN$20000,0,$A$2),IF($B$2,""&amp;$A53,$A53)))</f>
        <v>0</v>
      </c>
      <c r="AA53" s="15" t="n">
        <f aca="false">IF(OR(AA$2=0,$A$2=0),0,SUMIFS(INDEX(输入海典!$A$1:$AN$20000,0,AA$2),INDEX(输入海典!$A$1:$AN$20000,0,$A$2),IF($B$2,""&amp;$A53,$A53)))</f>
        <v>0</v>
      </c>
      <c r="AB53" s="15" t="n">
        <f aca="false">IF(OR(AB$2=0,$A$2=0),0,SUMIFS(INDEX(输入海典!$A$1:$AN$20000,0,AB$2),INDEX(输入海典!$A$1:$AN$20000,0,$A$2),IF($B$2,""&amp;$A53,$A53)))</f>
        <v>0</v>
      </c>
      <c r="AC53" s="15" t="n">
        <f aca="false">IF(OR(AC$2=0,$A$2=0),0,SUMIFS(INDEX(输入海典!$A$1:$AN$20000,0,AC$2),INDEX(输入海典!$A$1:$AN$20000,0,$A$2),IF($B$2,""&amp;$A53,$A53)))</f>
        <v>0</v>
      </c>
      <c r="AD53" s="15" t="n">
        <f aca="false">IF(OR(AD$2=0,$A$2=0),0,SUMIFS(INDEX(输入海典!$A$1:$AN$20000,0,AD$2),INDEX(输入海典!$A$1:$AN$20000,0,$A$2),IF($B$2,""&amp;$A53,$A53)))</f>
        <v>0</v>
      </c>
      <c r="AE53" s="15" t="n">
        <f aca="false">IF(OR(AE$2=0,$A$2=0),0,SUMIFS(INDEX(输入海典!$A$1:$AN$20000,0,AE$2),INDEX(输入海典!$A$1:$AN$20000,0,$A$2),IF($B$2,""&amp;$A53,$A53)))</f>
        <v>0</v>
      </c>
    </row>
    <row r="54" customFormat="false" ht="14.9" hidden="false" customHeight="false" outlineLevel="0" collapsed="false">
      <c r="A54" s="25" t="str">
        <f aca="false">IF(门店对照!$D53=1,门店对照!$A53,"#未启用#")</f>
        <v>#未启用#</v>
      </c>
      <c r="B54" s="26" t="str">
        <f aca="false">IF(门店对照!$B53="","",门店对照!$B53)</f>
        <v>备用7</v>
      </c>
      <c r="C54" s="15" t="n">
        <f aca="false">IF(OR(C$2=0,$A$2=0),0,SUMIFS(INDEX(输入海典!$A$1:$AN$20000,0,C$2),INDEX(输入海典!$A$1:$AN$20000,0,$A$2),IF($B$2,""&amp;$A54,$A54)))</f>
        <v>0</v>
      </c>
      <c r="D54" s="15" t="n">
        <f aca="false">IF(OR(D$2=0,$A$2=0),0,SUMIFS(INDEX(输入海典!$A$1:$AN$20000,0,D$2),INDEX(输入海典!$A$1:$AN$20000,0,$A$2),IF($B$2,""&amp;$A54,$A54)))</f>
        <v>0</v>
      </c>
      <c r="E54" s="15" t="n">
        <f aca="false">IF(OR(E$2=0,$A$2=0),0,SUMIFS(INDEX(输入海典!$A$1:$AN$20000,0,E$2),INDEX(输入海典!$A$1:$AN$20000,0,$A$2),IF($B$2,""&amp;$A54,$A54)))</f>
        <v>0</v>
      </c>
      <c r="F54" s="15" t="n">
        <f aca="false">IF(OR(F$2=0,$A$2=0),0,SUMIFS(INDEX(输入海典!$A$1:$AN$20000,0,F$2),INDEX(输入海典!$A$1:$AN$20000,0,$A$2),IF($B$2,""&amp;$A54,$A54)))</f>
        <v>0</v>
      </c>
      <c r="G54" s="15" t="n">
        <f aca="false">IF(OR(G$2=0,$A$2=0),0,SUMIFS(INDEX(输入海典!$A$1:$AN$20000,0,G$2),INDEX(输入海典!$A$1:$AN$20000,0,$A$2),IF($B$2,""&amp;$A54,$A54)))</f>
        <v>0</v>
      </c>
      <c r="H54" s="15" t="n">
        <f aca="false">IF(OR(H$2=0,$A$2=0),0,SUMIFS(INDEX(输入海典!$A$1:$AN$20000,0,H$2),INDEX(输入海典!$A$1:$AN$20000,0,$A$2),IF($B$2,""&amp;$A54,$A54)))</f>
        <v>0</v>
      </c>
      <c r="I54" s="15" t="n">
        <f aca="false">IF(OR(I$2=0,$A$2=0),0,SUMIFS(INDEX(输入海典!$A$1:$AN$20000,0,I$2),INDEX(输入海典!$A$1:$AN$20000,0,$A$2),IF($B$2,""&amp;$A54,$A54)))</f>
        <v>0</v>
      </c>
      <c r="J54" s="15" t="n">
        <f aca="false">IF(OR(J$2=0,$A$2=0),0,SUMIFS(INDEX(输入海典!$A$1:$AN$20000,0,J$2),INDEX(输入海典!$A$1:$AN$20000,0,$A$2),IF($B$2,""&amp;$A54,$A54)))</f>
        <v>0</v>
      </c>
      <c r="K54" s="15" t="n">
        <f aca="false">IF(OR(K$2=0,$A$2=0),0,SUMIFS(INDEX(输入海典!$A$1:$AN$20000,0,K$2),INDEX(输入海典!$A$1:$AN$20000,0,$A$2),IF($B$2,""&amp;$A54,$A54)))</f>
        <v>0</v>
      </c>
      <c r="L54" s="15" t="n">
        <f aca="false">IF(OR(L$2=0,$A$2=0),0,SUMIFS(INDEX(输入海典!$A$1:$AN$20000,0,L$2),INDEX(输入海典!$A$1:$AN$20000,0,$A$2),IF($B$2,""&amp;$A54,$A54)))</f>
        <v>0</v>
      </c>
      <c r="M54" s="15" t="n">
        <f aca="false">IF(OR(M$2=0,$A$2=0),0,SUMIFS(INDEX(输入海典!$A$1:$AN$20000,0,M$2),INDEX(输入海典!$A$1:$AN$20000,0,$A$2),IF($B$2,""&amp;$A54,$A54)))</f>
        <v>0</v>
      </c>
      <c r="N54" s="15" t="n">
        <f aca="false">IF(OR(N$2=0,$A$2=0),0,SUMIFS(INDEX(输入海典!$A$1:$AN$20000,0,N$2),INDEX(输入海典!$A$1:$AN$20000,0,$A$2),IF($B$2,""&amp;$A54,$A54)))</f>
        <v>0</v>
      </c>
      <c r="O54" s="15" t="n">
        <f aca="false">IF(OR(O$2=0,$A$2=0),0,SUMIFS(INDEX(输入海典!$A$1:$AN$20000,0,O$2),INDEX(输入海典!$A$1:$AN$20000,0,$A$2),IF($B$2,""&amp;$A54,$A54)))</f>
        <v>0</v>
      </c>
      <c r="P54" s="15" t="n">
        <f aca="false">IF(OR(P$2=0,$A$2=0),0,SUMIFS(INDEX(输入海典!$A$1:$AN$20000,0,P$2),INDEX(输入海典!$A$1:$AN$20000,0,$A$2),IF($B$2,""&amp;$A54,$A54)))</f>
        <v>0</v>
      </c>
      <c r="Q54" s="15" t="n">
        <f aca="false">IF(OR(Q$2=0,$A$2=0),0,SUMIFS(INDEX(输入海典!$A$1:$AN$20000,0,Q$2),INDEX(输入海典!$A$1:$AN$20000,0,$A$2),IF($B$2,""&amp;$A54,$A54)))</f>
        <v>0</v>
      </c>
      <c r="R54" s="15" t="n">
        <f aca="false">IF(OR(R$2=0,$A$2=0),0,SUMIFS(INDEX(输入海典!$A$1:$AN$20000,0,R$2),INDEX(输入海典!$A$1:$AN$20000,0,$A$2),IF($B$2,""&amp;$A54,$A54)))</f>
        <v>0</v>
      </c>
      <c r="S54" s="15" t="n">
        <f aca="false">IF(OR(S$2=0,$A$2=0),0,SUMIFS(INDEX(输入海典!$A$1:$AN$20000,0,S$2),INDEX(输入海典!$A$1:$AN$20000,0,$A$2),IF($B$2,""&amp;$A54,$A54)))</f>
        <v>0</v>
      </c>
      <c r="T54" s="15" t="n">
        <f aca="false">IF(OR(T$2=0,$A$2=0),0,SUMIFS(INDEX(输入海典!$A$1:$AN$20000,0,T$2),INDEX(输入海典!$A$1:$AN$20000,0,$A$2),IF($B$2,""&amp;$A54,$A54)))</f>
        <v>0</v>
      </c>
      <c r="U54" s="15" t="n">
        <f aca="false">IF(OR(U$2=0,$A$2=0),0,SUMIFS(INDEX(输入海典!$A$1:$AN$20000,0,U$2),INDEX(输入海典!$A$1:$AN$20000,0,$A$2),IF($B$2,""&amp;$A54,$A54)))</f>
        <v>0</v>
      </c>
      <c r="V54" s="15" t="n">
        <f aca="false">IF(OR(V$2=0,$A$2=0),0,SUMIFS(INDEX(输入海典!$A$1:$AN$20000,0,V$2),INDEX(输入海典!$A$1:$AN$20000,0,$A$2),IF($B$2,""&amp;$A54,$A54)))</f>
        <v>0</v>
      </c>
      <c r="W54" s="15" t="n">
        <f aca="false">IF(OR(W$2=0,$A$2=0),0,SUMIFS(INDEX(输入海典!$A$1:$AN$20000,0,W$2),INDEX(输入海典!$A$1:$AN$20000,0,$A$2),IF($B$2,""&amp;$A54,$A54)))</f>
        <v>0</v>
      </c>
      <c r="X54" s="15" t="n">
        <f aca="false">IF(OR(X$2=0,$A$2=0),0,SUMIFS(INDEX(输入海典!$A$1:$AN$20000,0,X$2),INDEX(输入海典!$A$1:$AN$20000,0,$A$2),IF($B$2,""&amp;$A54,$A54)))</f>
        <v>0</v>
      </c>
      <c r="Y54" s="15" t="n">
        <f aca="false">IF(OR(Y$2=0,$A$2=0),0,SUMIFS(INDEX(输入海典!$A$1:$AN$20000,0,Y$2),INDEX(输入海典!$A$1:$AN$20000,0,$A$2),IF($B$2,""&amp;$A54,$A54)))</f>
        <v>0</v>
      </c>
      <c r="Z54" s="15" t="n">
        <f aca="false">IF(OR(Z$2=0,$A$2=0),0,SUMIFS(INDEX(输入海典!$A$1:$AN$20000,0,Z$2),INDEX(输入海典!$A$1:$AN$20000,0,$A$2),IF($B$2,""&amp;$A54,$A54)))</f>
        <v>0</v>
      </c>
      <c r="AA54" s="15" t="n">
        <f aca="false">IF(OR(AA$2=0,$A$2=0),0,SUMIFS(INDEX(输入海典!$A$1:$AN$20000,0,AA$2),INDEX(输入海典!$A$1:$AN$20000,0,$A$2),IF($B$2,""&amp;$A54,$A54)))</f>
        <v>0</v>
      </c>
      <c r="AB54" s="15" t="n">
        <f aca="false">IF(OR(AB$2=0,$A$2=0),0,SUMIFS(INDEX(输入海典!$A$1:$AN$20000,0,AB$2),INDEX(输入海典!$A$1:$AN$20000,0,$A$2),IF($B$2,""&amp;$A54,$A54)))</f>
        <v>0</v>
      </c>
      <c r="AC54" s="15" t="n">
        <f aca="false">IF(OR(AC$2=0,$A$2=0),0,SUMIFS(INDEX(输入海典!$A$1:$AN$20000,0,AC$2),INDEX(输入海典!$A$1:$AN$20000,0,$A$2),IF($B$2,""&amp;$A54,$A54)))</f>
        <v>0</v>
      </c>
      <c r="AD54" s="15" t="n">
        <f aca="false">IF(OR(AD$2=0,$A$2=0),0,SUMIFS(INDEX(输入海典!$A$1:$AN$20000,0,AD$2),INDEX(输入海典!$A$1:$AN$20000,0,$A$2),IF($B$2,""&amp;$A54,$A54)))</f>
        <v>0</v>
      </c>
      <c r="AE54" s="15" t="n">
        <f aca="false">IF(OR(AE$2=0,$A$2=0),0,SUMIFS(INDEX(输入海典!$A$1:$AN$20000,0,AE$2),INDEX(输入海典!$A$1:$AN$20000,0,$A$2),IF($B$2,""&amp;$A54,$A54)))</f>
        <v>0</v>
      </c>
    </row>
    <row r="55" customFormat="false" ht="14.9" hidden="false" customHeight="false" outlineLevel="0" collapsed="false">
      <c r="A55" s="25" t="str">
        <f aca="false">IF(门店对照!$D54=1,门店对照!$A54,"#未启用#")</f>
        <v>#未启用#</v>
      </c>
      <c r="B55" s="26" t="str">
        <f aca="false">IF(门店对照!$B54="","",门店对照!$B54)</f>
        <v>备用8</v>
      </c>
      <c r="C55" s="15" t="n">
        <f aca="false">IF(OR(C$2=0,$A$2=0),0,SUMIFS(INDEX(输入海典!$A$1:$AN$20000,0,C$2),INDEX(输入海典!$A$1:$AN$20000,0,$A$2),IF($B$2,""&amp;$A55,$A55)))</f>
        <v>0</v>
      </c>
      <c r="D55" s="15" t="n">
        <f aca="false">IF(OR(D$2=0,$A$2=0),0,SUMIFS(INDEX(输入海典!$A$1:$AN$20000,0,D$2),INDEX(输入海典!$A$1:$AN$20000,0,$A$2),IF($B$2,""&amp;$A55,$A55)))</f>
        <v>0</v>
      </c>
      <c r="E55" s="15" t="n">
        <f aca="false">IF(OR(E$2=0,$A$2=0),0,SUMIFS(INDEX(输入海典!$A$1:$AN$20000,0,E$2),INDEX(输入海典!$A$1:$AN$20000,0,$A$2),IF($B$2,""&amp;$A55,$A55)))</f>
        <v>0</v>
      </c>
      <c r="F55" s="15" t="n">
        <f aca="false">IF(OR(F$2=0,$A$2=0),0,SUMIFS(INDEX(输入海典!$A$1:$AN$20000,0,F$2),INDEX(输入海典!$A$1:$AN$20000,0,$A$2),IF($B$2,""&amp;$A55,$A55)))</f>
        <v>0</v>
      </c>
      <c r="G55" s="15" t="n">
        <f aca="false">IF(OR(G$2=0,$A$2=0),0,SUMIFS(INDEX(输入海典!$A$1:$AN$20000,0,G$2),INDEX(输入海典!$A$1:$AN$20000,0,$A$2),IF($B$2,""&amp;$A55,$A55)))</f>
        <v>0</v>
      </c>
      <c r="H55" s="15" t="n">
        <f aca="false">IF(OR(H$2=0,$A$2=0),0,SUMIFS(INDEX(输入海典!$A$1:$AN$20000,0,H$2),INDEX(输入海典!$A$1:$AN$20000,0,$A$2),IF($B$2,""&amp;$A55,$A55)))</f>
        <v>0</v>
      </c>
      <c r="I55" s="15" t="n">
        <f aca="false">IF(OR(I$2=0,$A$2=0),0,SUMIFS(INDEX(输入海典!$A$1:$AN$20000,0,I$2),INDEX(输入海典!$A$1:$AN$20000,0,$A$2),IF($B$2,""&amp;$A55,$A55)))</f>
        <v>0</v>
      </c>
      <c r="J55" s="15" t="n">
        <f aca="false">IF(OR(J$2=0,$A$2=0),0,SUMIFS(INDEX(输入海典!$A$1:$AN$20000,0,J$2),INDEX(输入海典!$A$1:$AN$20000,0,$A$2),IF($B$2,""&amp;$A55,$A55)))</f>
        <v>0</v>
      </c>
      <c r="K55" s="15" t="n">
        <f aca="false">IF(OR(K$2=0,$A$2=0),0,SUMIFS(INDEX(输入海典!$A$1:$AN$20000,0,K$2),INDEX(输入海典!$A$1:$AN$20000,0,$A$2),IF($B$2,""&amp;$A55,$A55)))</f>
        <v>0</v>
      </c>
      <c r="L55" s="15" t="n">
        <f aca="false">IF(OR(L$2=0,$A$2=0),0,SUMIFS(INDEX(输入海典!$A$1:$AN$20000,0,L$2),INDEX(输入海典!$A$1:$AN$20000,0,$A$2),IF($B$2,""&amp;$A55,$A55)))</f>
        <v>0</v>
      </c>
      <c r="M55" s="15" t="n">
        <f aca="false">IF(OR(M$2=0,$A$2=0),0,SUMIFS(INDEX(输入海典!$A$1:$AN$20000,0,M$2),INDEX(输入海典!$A$1:$AN$20000,0,$A$2),IF($B$2,""&amp;$A55,$A55)))</f>
        <v>0</v>
      </c>
      <c r="N55" s="15" t="n">
        <f aca="false">IF(OR(N$2=0,$A$2=0),0,SUMIFS(INDEX(输入海典!$A$1:$AN$20000,0,N$2),INDEX(输入海典!$A$1:$AN$20000,0,$A$2),IF($B$2,""&amp;$A55,$A55)))</f>
        <v>0</v>
      </c>
      <c r="O55" s="15" t="n">
        <f aca="false">IF(OR(O$2=0,$A$2=0),0,SUMIFS(INDEX(输入海典!$A$1:$AN$20000,0,O$2),INDEX(输入海典!$A$1:$AN$20000,0,$A$2),IF($B$2,""&amp;$A55,$A55)))</f>
        <v>0</v>
      </c>
      <c r="P55" s="15" t="n">
        <f aca="false">IF(OR(P$2=0,$A$2=0),0,SUMIFS(INDEX(输入海典!$A$1:$AN$20000,0,P$2),INDEX(输入海典!$A$1:$AN$20000,0,$A$2),IF($B$2,""&amp;$A55,$A55)))</f>
        <v>0</v>
      </c>
      <c r="Q55" s="15" t="n">
        <f aca="false">IF(OR(Q$2=0,$A$2=0),0,SUMIFS(INDEX(输入海典!$A$1:$AN$20000,0,Q$2),INDEX(输入海典!$A$1:$AN$20000,0,$A$2),IF($B$2,""&amp;$A55,$A55)))</f>
        <v>0</v>
      </c>
      <c r="R55" s="15" t="n">
        <f aca="false">IF(OR(R$2=0,$A$2=0),0,SUMIFS(INDEX(输入海典!$A$1:$AN$20000,0,R$2),INDEX(输入海典!$A$1:$AN$20000,0,$A$2),IF($B$2,""&amp;$A55,$A55)))</f>
        <v>0</v>
      </c>
      <c r="S55" s="15" t="n">
        <f aca="false">IF(OR(S$2=0,$A$2=0),0,SUMIFS(INDEX(输入海典!$A$1:$AN$20000,0,S$2),INDEX(输入海典!$A$1:$AN$20000,0,$A$2),IF($B$2,""&amp;$A55,$A55)))</f>
        <v>0</v>
      </c>
      <c r="T55" s="15" t="n">
        <f aca="false">IF(OR(T$2=0,$A$2=0),0,SUMIFS(INDEX(输入海典!$A$1:$AN$20000,0,T$2),INDEX(输入海典!$A$1:$AN$20000,0,$A$2),IF($B$2,""&amp;$A55,$A55)))</f>
        <v>0</v>
      </c>
      <c r="U55" s="15" t="n">
        <f aca="false">IF(OR(U$2=0,$A$2=0),0,SUMIFS(INDEX(输入海典!$A$1:$AN$20000,0,U$2),INDEX(输入海典!$A$1:$AN$20000,0,$A$2),IF($B$2,""&amp;$A55,$A55)))</f>
        <v>0</v>
      </c>
      <c r="V55" s="15" t="n">
        <f aca="false">IF(OR(V$2=0,$A$2=0),0,SUMIFS(INDEX(输入海典!$A$1:$AN$20000,0,V$2),INDEX(输入海典!$A$1:$AN$20000,0,$A$2),IF($B$2,""&amp;$A55,$A55)))</f>
        <v>0</v>
      </c>
      <c r="W55" s="15" t="n">
        <f aca="false">IF(OR(W$2=0,$A$2=0),0,SUMIFS(INDEX(输入海典!$A$1:$AN$20000,0,W$2),INDEX(输入海典!$A$1:$AN$20000,0,$A$2),IF($B$2,""&amp;$A55,$A55)))</f>
        <v>0</v>
      </c>
      <c r="X55" s="15" t="n">
        <f aca="false">IF(OR(X$2=0,$A$2=0),0,SUMIFS(INDEX(输入海典!$A$1:$AN$20000,0,X$2),INDEX(输入海典!$A$1:$AN$20000,0,$A$2),IF($B$2,""&amp;$A55,$A55)))</f>
        <v>0</v>
      </c>
      <c r="Y55" s="15" t="n">
        <f aca="false">IF(OR(Y$2=0,$A$2=0),0,SUMIFS(INDEX(输入海典!$A$1:$AN$20000,0,Y$2),INDEX(输入海典!$A$1:$AN$20000,0,$A$2),IF($B$2,""&amp;$A55,$A55)))</f>
        <v>0</v>
      </c>
      <c r="Z55" s="15" t="n">
        <f aca="false">IF(OR(Z$2=0,$A$2=0),0,SUMIFS(INDEX(输入海典!$A$1:$AN$20000,0,Z$2),INDEX(输入海典!$A$1:$AN$20000,0,$A$2),IF($B$2,""&amp;$A55,$A55)))</f>
        <v>0</v>
      </c>
      <c r="AA55" s="15" t="n">
        <f aca="false">IF(OR(AA$2=0,$A$2=0),0,SUMIFS(INDEX(输入海典!$A$1:$AN$20000,0,AA$2),INDEX(输入海典!$A$1:$AN$20000,0,$A$2),IF($B$2,""&amp;$A55,$A55)))</f>
        <v>0</v>
      </c>
      <c r="AB55" s="15" t="n">
        <f aca="false">IF(OR(AB$2=0,$A$2=0),0,SUMIFS(INDEX(输入海典!$A$1:$AN$20000,0,AB$2),INDEX(输入海典!$A$1:$AN$20000,0,$A$2),IF($B$2,""&amp;$A55,$A55)))</f>
        <v>0</v>
      </c>
      <c r="AC55" s="15" t="n">
        <f aca="false">IF(OR(AC$2=0,$A$2=0),0,SUMIFS(INDEX(输入海典!$A$1:$AN$20000,0,AC$2),INDEX(输入海典!$A$1:$AN$20000,0,$A$2),IF($B$2,""&amp;$A55,$A55)))</f>
        <v>0</v>
      </c>
      <c r="AD55" s="15" t="n">
        <f aca="false">IF(OR(AD$2=0,$A$2=0),0,SUMIFS(INDEX(输入海典!$A$1:$AN$20000,0,AD$2),INDEX(输入海典!$A$1:$AN$20000,0,$A$2),IF($B$2,""&amp;$A55,$A55)))</f>
        <v>0</v>
      </c>
      <c r="AE55" s="15" t="n">
        <f aca="false">IF(OR(AE$2=0,$A$2=0),0,SUMIFS(INDEX(输入海典!$A$1:$AN$20000,0,AE$2),INDEX(输入海典!$A$1:$AN$20000,0,$A$2),IF($B$2,""&amp;$A55,$A55)))</f>
        <v>0</v>
      </c>
    </row>
    <row r="56" customFormat="false" ht="14.9" hidden="false" customHeight="false" outlineLevel="0" collapsed="false">
      <c r="A56" s="25" t="str">
        <f aca="false">IF(门店对照!$D55=1,门店对照!$A55,"#未启用#")</f>
        <v>#未启用#</v>
      </c>
      <c r="B56" s="26" t="str">
        <f aca="false">IF(门店对照!$B55="","",门店对照!$B55)</f>
        <v>备用9</v>
      </c>
      <c r="C56" s="15" t="n">
        <f aca="false">IF(OR(C$2=0,$A$2=0),0,SUMIFS(INDEX(输入海典!$A$1:$AN$20000,0,C$2),INDEX(输入海典!$A$1:$AN$20000,0,$A$2),IF($B$2,""&amp;$A56,$A56)))</f>
        <v>0</v>
      </c>
      <c r="D56" s="15" t="n">
        <f aca="false">IF(OR(D$2=0,$A$2=0),0,SUMIFS(INDEX(输入海典!$A$1:$AN$20000,0,D$2),INDEX(输入海典!$A$1:$AN$20000,0,$A$2),IF($B$2,""&amp;$A56,$A56)))</f>
        <v>0</v>
      </c>
      <c r="E56" s="15" t="n">
        <f aca="false">IF(OR(E$2=0,$A$2=0),0,SUMIFS(INDEX(输入海典!$A$1:$AN$20000,0,E$2),INDEX(输入海典!$A$1:$AN$20000,0,$A$2),IF($B$2,""&amp;$A56,$A56)))</f>
        <v>0</v>
      </c>
      <c r="F56" s="15" t="n">
        <f aca="false">IF(OR(F$2=0,$A$2=0),0,SUMIFS(INDEX(输入海典!$A$1:$AN$20000,0,F$2),INDEX(输入海典!$A$1:$AN$20000,0,$A$2),IF($B$2,""&amp;$A56,$A56)))</f>
        <v>0</v>
      </c>
      <c r="G56" s="15" t="n">
        <f aca="false">IF(OR(G$2=0,$A$2=0),0,SUMIFS(INDEX(输入海典!$A$1:$AN$20000,0,G$2),INDEX(输入海典!$A$1:$AN$20000,0,$A$2),IF($B$2,""&amp;$A56,$A56)))</f>
        <v>0</v>
      </c>
      <c r="H56" s="15" t="n">
        <f aca="false">IF(OR(H$2=0,$A$2=0),0,SUMIFS(INDEX(输入海典!$A$1:$AN$20000,0,H$2),INDEX(输入海典!$A$1:$AN$20000,0,$A$2),IF($B$2,""&amp;$A56,$A56)))</f>
        <v>0</v>
      </c>
      <c r="I56" s="15" t="n">
        <f aca="false">IF(OR(I$2=0,$A$2=0),0,SUMIFS(INDEX(输入海典!$A$1:$AN$20000,0,I$2),INDEX(输入海典!$A$1:$AN$20000,0,$A$2),IF($B$2,""&amp;$A56,$A56)))</f>
        <v>0</v>
      </c>
      <c r="J56" s="15" t="n">
        <f aca="false">IF(OR(J$2=0,$A$2=0),0,SUMIFS(INDEX(输入海典!$A$1:$AN$20000,0,J$2),INDEX(输入海典!$A$1:$AN$20000,0,$A$2),IF($B$2,""&amp;$A56,$A56)))</f>
        <v>0</v>
      </c>
      <c r="K56" s="15" t="n">
        <f aca="false">IF(OR(K$2=0,$A$2=0),0,SUMIFS(INDEX(输入海典!$A$1:$AN$20000,0,K$2),INDEX(输入海典!$A$1:$AN$20000,0,$A$2),IF($B$2,""&amp;$A56,$A56)))</f>
        <v>0</v>
      </c>
      <c r="L56" s="15" t="n">
        <f aca="false">IF(OR(L$2=0,$A$2=0),0,SUMIFS(INDEX(输入海典!$A$1:$AN$20000,0,L$2),INDEX(输入海典!$A$1:$AN$20000,0,$A$2),IF($B$2,""&amp;$A56,$A56)))</f>
        <v>0</v>
      </c>
      <c r="M56" s="15" t="n">
        <f aca="false">IF(OR(M$2=0,$A$2=0),0,SUMIFS(INDEX(输入海典!$A$1:$AN$20000,0,M$2),INDEX(输入海典!$A$1:$AN$20000,0,$A$2),IF($B$2,""&amp;$A56,$A56)))</f>
        <v>0</v>
      </c>
      <c r="N56" s="15" t="n">
        <f aca="false">IF(OR(N$2=0,$A$2=0),0,SUMIFS(INDEX(输入海典!$A$1:$AN$20000,0,N$2),INDEX(输入海典!$A$1:$AN$20000,0,$A$2),IF($B$2,""&amp;$A56,$A56)))</f>
        <v>0</v>
      </c>
      <c r="O56" s="15" t="n">
        <f aca="false">IF(OR(O$2=0,$A$2=0),0,SUMIFS(INDEX(输入海典!$A$1:$AN$20000,0,O$2),INDEX(输入海典!$A$1:$AN$20000,0,$A$2),IF($B$2,""&amp;$A56,$A56)))</f>
        <v>0</v>
      </c>
      <c r="P56" s="15" t="n">
        <f aca="false">IF(OR(P$2=0,$A$2=0),0,SUMIFS(INDEX(输入海典!$A$1:$AN$20000,0,P$2),INDEX(输入海典!$A$1:$AN$20000,0,$A$2),IF($B$2,""&amp;$A56,$A56)))</f>
        <v>0</v>
      </c>
      <c r="Q56" s="15" t="n">
        <f aca="false">IF(OR(Q$2=0,$A$2=0),0,SUMIFS(INDEX(输入海典!$A$1:$AN$20000,0,Q$2),INDEX(输入海典!$A$1:$AN$20000,0,$A$2),IF($B$2,""&amp;$A56,$A56)))</f>
        <v>0</v>
      </c>
      <c r="R56" s="15" t="n">
        <f aca="false">IF(OR(R$2=0,$A$2=0),0,SUMIFS(INDEX(输入海典!$A$1:$AN$20000,0,R$2),INDEX(输入海典!$A$1:$AN$20000,0,$A$2),IF($B$2,""&amp;$A56,$A56)))</f>
        <v>0</v>
      </c>
      <c r="S56" s="15" t="n">
        <f aca="false">IF(OR(S$2=0,$A$2=0),0,SUMIFS(INDEX(输入海典!$A$1:$AN$20000,0,S$2),INDEX(输入海典!$A$1:$AN$20000,0,$A$2),IF($B$2,""&amp;$A56,$A56)))</f>
        <v>0</v>
      </c>
      <c r="T56" s="15" t="n">
        <f aca="false">IF(OR(T$2=0,$A$2=0),0,SUMIFS(INDEX(输入海典!$A$1:$AN$20000,0,T$2),INDEX(输入海典!$A$1:$AN$20000,0,$A$2),IF($B$2,""&amp;$A56,$A56)))</f>
        <v>0</v>
      </c>
      <c r="U56" s="15" t="n">
        <f aca="false">IF(OR(U$2=0,$A$2=0),0,SUMIFS(INDEX(输入海典!$A$1:$AN$20000,0,U$2),INDEX(输入海典!$A$1:$AN$20000,0,$A$2),IF($B$2,""&amp;$A56,$A56)))</f>
        <v>0</v>
      </c>
      <c r="V56" s="15" t="n">
        <f aca="false">IF(OR(V$2=0,$A$2=0),0,SUMIFS(INDEX(输入海典!$A$1:$AN$20000,0,V$2),INDEX(输入海典!$A$1:$AN$20000,0,$A$2),IF($B$2,""&amp;$A56,$A56)))</f>
        <v>0</v>
      </c>
      <c r="W56" s="15" t="n">
        <f aca="false">IF(OR(W$2=0,$A$2=0),0,SUMIFS(INDEX(输入海典!$A$1:$AN$20000,0,W$2),INDEX(输入海典!$A$1:$AN$20000,0,$A$2),IF($B$2,""&amp;$A56,$A56)))</f>
        <v>0</v>
      </c>
      <c r="X56" s="15" t="n">
        <f aca="false">IF(OR(X$2=0,$A$2=0),0,SUMIFS(INDEX(输入海典!$A$1:$AN$20000,0,X$2),INDEX(输入海典!$A$1:$AN$20000,0,$A$2),IF($B$2,""&amp;$A56,$A56)))</f>
        <v>0</v>
      </c>
      <c r="Y56" s="15" t="n">
        <f aca="false">IF(OR(Y$2=0,$A$2=0),0,SUMIFS(INDEX(输入海典!$A$1:$AN$20000,0,Y$2),INDEX(输入海典!$A$1:$AN$20000,0,$A$2),IF($B$2,""&amp;$A56,$A56)))</f>
        <v>0</v>
      </c>
      <c r="Z56" s="15" t="n">
        <f aca="false">IF(OR(Z$2=0,$A$2=0),0,SUMIFS(INDEX(输入海典!$A$1:$AN$20000,0,Z$2),INDEX(输入海典!$A$1:$AN$20000,0,$A$2),IF($B$2,""&amp;$A56,$A56)))</f>
        <v>0</v>
      </c>
      <c r="AA56" s="15" t="n">
        <f aca="false">IF(OR(AA$2=0,$A$2=0),0,SUMIFS(INDEX(输入海典!$A$1:$AN$20000,0,AA$2),INDEX(输入海典!$A$1:$AN$20000,0,$A$2),IF($B$2,""&amp;$A56,$A56)))</f>
        <v>0</v>
      </c>
      <c r="AB56" s="15" t="n">
        <f aca="false">IF(OR(AB$2=0,$A$2=0),0,SUMIFS(INDEX(输入海典!$A$1:$AN$20000,0,AB$2),INDEX(输入海典!$A$1:$AN$20000,0,$A$2),IF($B$2,""&amp;$A56,$A56)))</f>
        <v>0</v>
      </c>
      <c r="AC56" s="15" t="n">
        <f aca="false">IF(OR(AC$2=0,$A$2=0),0,SUMIFS(INDEX(输入海典!$A$1:$AN$20000,0,AC$2),INDEX(输入海典!$A$1:$AN$20000,0,$A$2),IF($B$2,""&amp;$A56,$A56)))</f>
        <v>0</v>
      </c>
      <c r="AD56" s="15" t="n">
        <f aca="false">IF(OR(AD$2=0,$A$2=0),0,SUMIFS(INDEX(输入海典!$A$1:$AN$20000,0,AD$2),INDEX(输入海典!$A$1:$AN$20000,0,$A$2),IF($B$2,""&amp;$A56,$A56)))</f>
        <v>0</v>
      </c>
      <c r="AE56" s="15" t="n">
        <f aca="false">IF(OR(AE$2=0,$A$2=0),0,SUMIFS(INDEX(输入海典!$A$1:$AN$20000,0,AE$2),INDEX(输入海典!$A$1:$AN$20000,0,$A$2),IF($B$2,""&amp;$A56,$A56)))</f>
        <v>0</v>
      </c>
    </row>
    <row r="57" customFormat="false" ht="14.9" hidden="false" customHeight="false" outlineLevel="0" collapsed="false">
      <c r="A57" s="25" t="str">
        <f aca="false">IF(门店对照!$D56=1,门店对照!$A56,"#未启用#")</f>
        <v>#未启用#</v>
      </c>
      <c r="B57" s="26" t="str">
        <f aca="false">IF(门店对照!$B56="","",门店对照!$B56)</f>
        <v>备用10</v>
      </c>
      <c r="C57" s="15" t="n">
        <f aca="false">IF(OR(C$2=0,$A$2=0),0,SUMIFS(INDEX(输入海典!$A$1:$AN$20000,0,C$2),INDEX(输入海典!$A$1:$AN$20000,0,$A$2),IF($B$2,""&amp;$A57,$A57)))</f>
        <v>0</v>
      </c>
      <c r="D57" s="15" t="n">
        <f aca="false">IF(OR(D$2=0,$A$2=0),0,SUMIFS(INDEX(输入海典!$A$1:$AN$20000,0,D$2),INDEX(输入海典!$A$1:$AN$20000,0,$A$2),IF($B$2,""&amp;$A57,$A57)))</f>
        <v>0</v>
      </c>
      <c r="E57" s="15" t="n">
        <f aca="false">IF(OR(E$2=0,$A$2=0),0,SUMIFS(INDEX(输入海典!$A$1:$AN$20000,0,E$2),INDEX(输入海典!$A$1:$AN$20000,0,$A$2),IF($B$2,""&amp;$A57,$A57)))</f>
        <v>0</v>
      </c>
      <c r="F57" s="15" t="n">
        <f aca="false">IF(OR(F$2=0,$A$2=0),0,SUMIFS(INDEX(输入海典!$A$1:$AN$20000,0,F$2),INDEX(输入海典!$A$1:$AN$20000,0,$A$2),IF($B$2,""&amp;$A57,$A57)))</f>
        <v>0</v>
      </c>
      <c r="G57" s="15" t="n">
        <f aca="false">IF(OR(G$2=0,$A$2=0),0,SUMIFS(INDEX(输入海典!$A$1:$AN$20000,0,G$2),INDEX(输入海典!$A$1:$AN$20000,0,$A$2),IF($B$2,""&amp;$A57,$A57)))</f>
        <v>0</v>
      </c>
      <c r="H57" s="15" t="n">
        <f aca="false">IF(OR(H$2=0,$A$2=0),0,SUMIFS(INDEX(输入海典!$A$1:$AN$20000,0,H$2),INDEX(输入海典!$A$1:$AN$20000,0,$A$2),IF($B$2,""&amp;$A57,$A57)))</f>
        <v>0</v>
      </c>
      <c r="I57" s="15" t="n">
        <f aca="false">IF(OR(I$2=0,$A$2=0),0,SUMIFS(INDEX(输入海典!$A$1:$AN$20000,0,I$2),INDEX(输入海典!$A$1:$AN$20000,0,$A$2),IF($B$2,""&amp;$A57,$A57)))</f>
        <v>0</v>
      </c>
      <c r="J57" s="15" t="n">
        <f aca="false">IF(OR(J$2=0,$A$2=0),0,SUMIFS(INDEX(输入海典!$A$1:$AN$20000,0,J$2),INDEX(输入海典!$A$1:$AN$20000,0,$A$2),IF($B$2,""&amp;$A57,$A57)))</f>
        <v>0</v>
      </c>
      <c r="K57" s="15" t="n">
        <f aca="false">IF(OR(K$2=0,$A$2=0),0,SUMIFS(INDEX(输入海典!$A$1:$AN$20000,0,K$2),INDEX(输入海典!$A$1:$AN$20000,0,$A$2),IF($B$2,""&amp;$A57,$A57)))</f>
        <v>0</v>
      </c>
      <c r="L57" s="15" t="n">
        <f aca="false">IF(OR(L$2=0,$A$2=0),0,SUMIFS(INDEX(输入海典!$A$1:$AN$20000,0,L$2),INDEX(输入海典!$A$1:$AN$20000,0,$A$2),IF($B$2,""&amp;$A57,$A57)))</f>
        <v>0</v>
      </c>
      <c r="M57" s="15" t="n">
        <f aca="false">IF(OR(M$2=0,$A$2=0),0,SUMIFS(INDEX(输入海典!$A$1:$AN$20000,0,M$2),INDEX(输入海典!$A$1:$AN$20000,0,$A$2),IF($B$2,""&amp;$A57,$A57)))</f>
        <v>0</v>
      </c>
      <c r="N57" s="15" t="n">
        <f aca="false">IF(OR(N$2=0,$A$2=0),0,SUMIFS(INDEX(输入海典!$A$1:$AN$20000,0,N$2),INDEX(输入海典!$A$1:$AN$20000,0,$A$2),IF($B$2,""&amp;$A57,$A57)))</f>
        <v>0</v>
      </c>
      <c r="O57" s="15" t="n">
        <f aca="false">IF(OR(O$2=0,$A$2=0),0,SUMIFS(INDEX(输入海典!$A$1:$AN$20000,0,O$2),INDEX(输入海典!$A$1:$AN$20000,0,$A$2),IF($B$2,""&amp;$A57,$A57)))</f>
        <v>0</v>
      </c>
      <c r="P57" s="15" t="n">
        <f aca="false">IF(OR(P$2=0,$A$2=0),0,SUMIFS(INDEX(输入海典!$A$1:$AN$20000,0,P$2),INDEX(输入海典!$A$1:$AN$20000,0,$A$2),IF($B$2,""&amp;$A57,$A57)))</f>
        <v>0</v>
      </c>
      <c r="Q57" s="15" t="n">
        <f aca="false">IF(OR(Q$2=0,$A$2=0),0,SUMIFS(INDEX(输入海典!$A$1:$AN$20000,0,Q$2),INDEX(输入海典!$A$1:$AN$20000,0,$A$2),IF($B$2,""&amp;$A57,$A57)))</f>
        <v>0</v>
      </c>
      <c r="R57" s="15" t="n">
        <f aca="false">IF(OR(R$2=0,$A$2=0),0,SUMIFS(INDEX(输入海典!$A$1:$AN$20000,0,R$2),INDEX(输入海典!$A$1:$AN$20000,0,$A$2),IF($B$2,""&amp;$A57,$A57)))</f>
        <v>0</v>
      </c>
      <c r="S57" s="15" t="n">
        <f aca="false">IF(OR(S$2=0,$A$2=0),0,SUMIFS(INDEX(输入海典!$A$1:$AN$20000,0,S$2),INDEX(输入海典!$A$1:$AN$20000,0,$A$2),IF($B$2,""&amp;$A57,$A57)))</f>
        <v>0</v>
      </c>
      <c r="T57" s="15" t="n">
        <f aca="false">IF(OR(T$2=0,$A$2=0),0,SUMIFS(INDEX(输入海典!$A$1:$AN$20000,0,T$2),INDEX(输入海典!$A$1:$AN$20000,0,$A$2),IF($B$2,""&amp;$A57,$A57)))</f>
        <v>0</v>
      </c>
      <c r="U57" s="15" t="n">
        <f aca="false">IF(OR(U$2=0,$A$2=0),0,SUMIFS(INDEX(输入海典!$A$1:$AN$20000,0,U$2),INDEX(输入海典!$A$1:$AN$20000,0,$A$2),IF($B$2,""&amp;$A57,$A57)))</f>
        <v>0</v>
      </c>
      <c r="V57" s="15" t="n">
        <f aca="false">IF(OR(V$2=0,$A$2=0),0,SUMIFS(INDEX(输入海典!$A$1:$AN$20000,0,V$2),INDEX(输入海典!$A$1:$AN$20000,0,$A$2),IF($B$2,""&amp;$A57,$A57)))</f>
        <v>0</v>
      </c>
      <c r="W57" s="15" t="n">
        <f aca="false">IF(OR(W$2=0,$A$2=0),0,SUMIFS(INDEX(输入海典!$A$1:$AN$20000,0,W$2),INDEX(输入海典!$A$1:$AN$20000,0,$A$2),IF($B$2,""&amp;$A57,$A57)))</f>
        <v>0</v>
      </c>
      <c r="X57" s="15" t="n">
        <f aca="false">IF(OR(X$2=0,$A$2=0),0,SUMIFS(INDEX(输入海典!$A$1:$AN$20000,0,X$2),INDEX(输入海典!$A$1:$AN$20000,0,$A$2),IF($B$2,""&amp;$A57,$A57)))</f>
        <v>0</v>
      </c>
      <c r="Y57" s="15" t="n">
        <f aca="false">IF(OR(Y$2=0,$A$2=0),0,SUMIFS(INDEX(输入海典!$A$1:$AN$20000,0,Y$2),INDEX(输入海典!$A$1:$AN$20000,0,$A$2),IF($B$2,""&amp;$A57,$A57)))</f>
        <v>0</v>
      </c>
      <c r="Z57" s="15" t="n">
        <f aca="false">IF(OR(Z$2=0,$A$2=0),0,SUMIFS(INDEX(输入海典!$A$1:$AN$20000,0,Z$2),INDEX(输入海典!$A$1:$AN$20000,0,$A$2),IF($B$2,""&amp;$A57,$A57)))</f>
        <v>0</v>
      </c>
      <c r="AA57" s="15" t="n">
        <f aca="false">IF(OR(AA$2=0,$A$2=0),0,SUMIFS(INDEX(输入海典!$A$1:$AN$20000,0,AA$2),INDEX(输入海典!$A$1:$AN$20000,0,$A$2),IF($B$2,""&amp;$A57,$A57)))</f>
        <v>0</v>
      </c>
      <c r="AB57" s="15" t="n">
        <f aca="false">IF(OR(AB$2=0,$A$2=0),0,SUMIFS(INDEX(输入海典!$A$1:$AN$20000,0,AB$2),INDEX(输入海典!$A$1:$AN$20000,0,$A$2),IF($B$2,""&amp;$A57,$A57)))</f>
        <v>0</v>
      </c>
      <c r="AC57" s="15" t="n">
        <f aca="false">IF(OR(AC$2=0,$A$2=0),0,SUMIFS(INDEX(输入海典!$A$1:$AN$20000,0,AC$2),INDEX(输入海典!$A$1:$AN$20000,0,$A$2),IF($B$2,""&amp;$A57,$A57)))</f>
        <v>0</v>
      </c>
      <c r="AD57" s="15" t="n">
        <f aca="false">IF(OR(AD$2=0,$A$2=0),0,SUMIFS(INDEX(输入海典!$A$1:$AN$20000,0,AD$2),INDEX(输入海典!$A$1:$AN$20000,0,$A$2),IF($B$2,""&amp;$A57,$A57)))</f>
        <v>0</v>
      </c>
      <c r="AE57" s="15" t="n">
        <f aca="false">IF(OR(AE$2=0,$A$2=0),0,SUMIFS(INDEX(输入海典!$A$1:$AN$20000,0,AE$2),INDEX(输入海典!$A$1:$AN$20000,0,$A$2),IF($B$2,""&amp;$A57,$A57)))</f>
        <v>0</v>
      </c>
    </row>
    <row r="58" customFormat="false" ht="14.9" hidden="false" customHeight="false" outlineLevel="0" collapsed="false">
      <c r="A58" s="25" t="str">
        <f aca="false">IF(门店对照!$D57=1,门店对照!$A57,"#未启用#")</f>
        <v>#未启用#</v>
      </c>
      <c r="B58" s="26" t="str">
        <f aca="false">IF(门店对照!$B57="","",门店对照!$B57)</f>
        <v>备用11</v>
      </c>
      <c r="C58" s="15" t="n">
        <f aca="false">IF(OR(C$2=0,$A$2=0),0,SUMIFS(INDEX(输入海典!$A$1:$AN$20000,0,C$2),INDEX(输入海典!$A$1:$AN$20000,0,$A$2),IF($B$2,""&amp;$A58,$A58)))</f>
        <v>0</v>
      </c>
      <c r="D58" s="15" t="n">
        <f aca="false">IF(OR(D$2=0,$A$2=0),0,SUMIFS(INDEX(输入海典!$A$1:$AN$20000,0,D$2),INDEX(输入海典!$A$1:$AN$20000,0,$A$2),IF($B$2,""&amp;$A58,$A58)))</f>
        <v>0</v>
      </c>
      <c r="E58" s="15" t="n">
        <f aca="false">IF(OR(E$2=0,$A$2=0),0,SUMIFS(INDEX(输入海典!$A$1:$AN$20000,0,E$2),INDEX(输入海典!$A$1:$AN$20000,0,$A$2),IF($B$2,""&amp;$A58,$A58)))</f>
        <v>0</v>
      </c>
      <c r="F58" s="15" t="n">
        <f aca="false">IF(OR(F$2=0,$A$2=0),0,SUMIFS(INDEX(输入海典!$A$1:$AN$20000,0,F$2),INDEX(输入海典!$A$1:$AN$20000,0,$A$2),IF($B$2,""&amp;$A58,$A58)))</f>
        <v>0</v>
      </c>
      <c r="G58" s="15" t="n">
        <f aca="false">IF(OR(G$2=0,$A$2=0),0,SUMIFS(INDEX(输入海典!$A$1:$AN$20000,0,G$2),INDEX(输入海典!$A$1:$AN$20000,0,$A$2),IF($B$2,""&amp;$A58,$A58)))</f>
        <v>0</v>
      </c>
      <c r="H58" s="15" t="n">
        <f aca="false">IF(OR(H$2=0,$A$2=0),0,SUMIFS(INDEX(输入海典!$A$1:$AN$20000,0,H$2),INDEX(输入海典!$A$1:$AN$20000,0,$A$2),IF($B$2,""&amp;$A58,$A58)))</f>
        <v>0</v>
      </c>
      <c r="I58" s="15" t="n">
        <f aca="false">IF(OR(I$2=0,$A$2=0),0,SUMIFS(INDEX(输入海典!$A$1:$AN$20000,0,I$2),INDEX(输入海典!$A$1:$AN$20000,0,$A$2),IF($B$2,""&amp;$A58,$A58)))</f>
        <v>0</v>
      </c>
      <c r="J58" s="15" t="n">
        <f aca="false">IF(OR(J$2=0,$A$2=0),0,SUMIFS(INDEX(输入海典!$A$1:$AN$20000,0,J$2),INDEX(输入海典!$A$1:$AN$20000,0,$A$2),IF($B$2,""&amp;$A58,$A58)))</f>
        <v>0</v>
      </c>
      <c r="K58" s="15" t="n">
        <f aca="false">IF(OR(K$2=0,$A$2=0),0,SUMIFS(INDEX(输入海典!$A$1:$AN$20000,0,K$2),INDEX(输入海典!$A$1:$AN$20000,0,$A$2),IF($B$2,""&amp;$A58,$A58)))</f>
        <v>0</v>
      </c>
      <c r="L58" s="15" t="n">
        <f aca="false">IF(OR(L$2=0,$A$2=0),0,SUMIFS(INDEX(输入海典!$A$1:$AN$20000,0,L$2),INDEX(输入海典!$A$1:$AN$20000,0,$A$2),IF($B$2,""&amp;$A58,$A58)))</f>
        <v>0</v>
      </c>
      <c r="M58" s="15" t="n">
        <f aca="false">IF(OR(M$2=0,$A$2=0),0,SUMIFS(INDEX(输入海典!$A$1:$AN$20000,0,M$2),INDEX(输入海典!$A$1:$AN$20000,0,$A$2),IF($B$2,""&amp;$A58,$A58)))</f>
        <v>0</v>
      </c>
      <c r="N58" s="15" t="n">
        <f aca="false">IF(OR(N$2=0,$A$2=0),0,SUMIFS(INDEX(输入海典!$A$1:$AN$20000,0,N$2),INDEX(输入海典!$A$1:$AN$20000,0,$A$2),IF($B$2,""&amp;$A58,$A58)))</f>
        <v>0</v>
      </c>
      <c r="O58" s="15" t="n">
        <f aca="false">IF(OR(O$2=0,$A$2=0),0,SUMIFS(INDEX(输入海典!$A$1:$AN$20000,0,O$2),INDEX(输入海典!$A$1:$AN$20000,0,$A$2),IF($B$2,""&amp;$A58,$A58)))</f>
        <v>0</v>
      </c>
      <c r="P58" s="15" t="n">
        <f aca="false">IF(OR(P$2=0,$A$2=0),0,SUMIFS(INDEX(输入海典!$A$1:$AN$20000,0,P$2),INDEX(输入海典!$A$1:$AN$20000,0,$A$2),IF($B$2,""&amp;$A58,$A58)))</f>
        <v>0</v>
      </c>
      <c r="Q58" s="15" t="n">
        <f aca="false">IF(OR(Q$2=0,$A$2=0),0,SUMIFS(INDEX(输入海典!$A$1:$AN$20000,0,Q$2),INDEX(输入海典!$A$1:$AN$20000,0,$A$2),IF($B$2,""&amp;$A58,$A58)))</f>
        <v>0</v>
      </c>
      <c r="R58" s="15" t="n">
        <f aca="false">IF(OR(R$2=0,$A$2=0),0,SUMIFS(INDEX(输入海典!$A$1:$AN$20000,0,R$2),INDEX(输入海典!$A$1:$AN$20000,0,$A$2),IF($B$2,""&amp;$A58,$A58)))</f>
        <v>0</v>
      </c>
      <c r="S58" s="15" t="n">
        <f aca="false">IF(OR(S$2=0,$A$2=0),0,SUMIFS(INDEX(输入海典!$A$1:$AN$20000,0,S$2),INDEX(输入海典!$A$1:$AN$20000,0,$A$2),IF($B$2,""&amp;$A58,$A58)))</f>
        <v>0</v>
      </c>
      <c r="T58" s="15" t="n">
        <f aca="false">IF(OR(T$2=0,$A$2=0),0,SUMIFS(INDEX(输入海典!$A$1:$AN$20000,0,T$2),INDEX(输入海典!$A$1:$AN$20000,0,$A$2),IF($B$2,""&amp;$A58,$A58)))</f>
        <v>0</v>
      </c>
      <c r="U58" s="15" t="n">
        <f aca="false">IF(OR(U$2=0,$A$2=0),0,SUMIFS(INDEX(输入海典!$A$1:$AN$20000,0,U$2),INDEX(输入海典!$A$1:$AN$20000,0,$A$2),IF($B$2,""&amp;$A58,$A58)))</f>
        <v>0</v>
      </c>
      <c r="V58" s="15" t="n">
        <f aca="false">IF(OR(V$2=0,$A$2=0),0,SUMIFS(INDEX(输入海典!$A$1:$AN$20000,0,V$2),INDEX(输入海典!$A$1:$AN$20000,0,$A$2),IF($B$2,""&amp;$A58,$A58)))</f>
        <v>0</v>
      </c>
      <c r="W58" s="15" t="n">
        <f aca="false">IF(OR(W$2=0,$A$2=0),0,SUMIFS(INDEX(输入海典!$A$1:$AN$20000,0,W$2),INDEX(输入海典!$A$1:$AN$20000,0,$A$2),IF($B$2,""&amp;$A58,$A58)))</f>
        <v>0</v>
      </c>
      <c r="X58" s="15" t="n">
        <f aca="false">IF(OR(X$2=0,$A$2=0),0,SUMIFS(INDEX(输入海典!$A$1:$AN$20000,0,X$2),INDEX(输入海典!$A$1:$AN$20000,0,$A$2),IF($B$2,""&amp;$A58,$A58)))</f>
        <v>0</v>
      </c>
      <c r="Y58" s="15" t="n">
        <f aca="false">IF(OR(Y$2=0,$A$2=0),0,SUMIFS(INDEX(输入海典!$A$1:$AN$20000,0,Y$2),INDEX(输入海典!$A$1:$AN$20000,0,$A$2),IF($B$2,""&amp;$A58,$A58)))</f>
        <v>0</v>
      </c>
      <c r="Z58" s="15" t="n">
        <f aca="false">IF(OR(Z$2=0,$A$2=0),0,SUMIFS(INDEX(输入海典!$A$1:$AN$20000,0,Z$2),INDEX(输入海典!$A$1:$AN$20000,0,$A$2),IF($B$2,""&amp;$A58,$A58)))</f>
        <v>0</v>
      </c>
      <c r="AA58" s="15" t="n">
        <f aca="false">IF(OR(AA$2=0,$A$2=0),0,SUMIFS(INDEX(输入海典!$A$1:$AN$20000,0,AA$2),INDEX(输入海典!$A$1:$AN$20000,0,$A$2),IF($B$2,""&amp;$A58,$A58)))</f>
        <v>0</v>
      </c>
      <c r="AB58" s="15" t="n">
        <f aca="false">IF(OR(AB$2=0,$A$2=0),0,SUMIFS(INDEX(输入海典!$A$1:$AN$20000,0,AB$2),INDEX(输入海典!$A$1:$AN$20000,0,$A$2),IF($B$2,""&amp;$A58,$A58)))</f>
        <v>0</v>
      </c>
      <c r="AC58" s="15" t="n">
        <f aca="false">IF(OR(AC$2=0,$A$2=0),0,SUMIFS(INDEX(输入海典!$A$1:$AN$20000,0,AC$2),INDEX(输入海典!$A$1:$AN$20000,0,$A$2),IF($B$2,""&amp;$A58,$A58)))</f>
        <v>0</v>
      </c>
      <c r="AD58" s="15" t="n">
        <f aca="false">IF(OR(AD$2=0,$A$2=0),0,SUMIFS(INDEX(输入海典!$A$1:$AN$20000,0,AD$2),INDEX(输入海典!$A$1:$AN$20000,0,$A$2),IF($B$2,""&amp;$A58,$A58)))</f>
        <v>0</v>
      </c>
      <c r="AE58" s="15" t="n">
        <f aca="false">IF(OR(AE$2=0,$A$2=0),0,SUMIFS(INDEX(输入海典!$A$1:$AN$20000,0,AE$2),INDEX(输入海典!$A$1:$AN$20000,0,$A$2),IF($B$2,""&amp;$A58,$A58)))</f>
        <v>0</v>
      </c>
    </row>
    <row r="59" customFormat="false" ht="14.9" hidden="false" customHeight="false" outlineLevel="0" collapsed="false">
      <c r="A59" s="25" t="str">
        <f aca="false">IF(门店对照!$D58=1,门店对照!$A58,"#未启用#")</f>
        <v>#未启用#</v>
      </c>
      <c r="B59" s="26" t="str">
        <f aca="false">IF(门店对照!$B58="","",门店对照!$B58)</f>
        <v>备用12</v>
      </c>
      <c r="C59" s="15" t="n">
        <f aca="false">IF(OR(C$2=0,$A$2=0),0,SUMIFS(INDEX(输入海典!$A$1:$AN$20000,0,C$2),INDEX(输入海典!$A$1:$AN$20000,0,$A$2),IF($B$2,""&amp;$A59,$A59)))</f>
        <v>0</v>
      </c>
      <c r="D59" s="15" t="n">
        <f aca="false">IF(OR(D$2=0,$A$2=0),0,SUMIFS(INDEX(输入海典!$A$1:$AN$20000,0,D$2),INDEX(输入海典!$A$1:$AN$20000,0,$A$2),IF($B$2,""&amp;$A59,$A59)))</f>
        <v>0</v>
      </c>
      <c r="E59" s="15" t="n">
        <f aca="false">IF(OR(E$2=0,$A$2=0),0,SUMIFS(INDEX(输入海典!$A$1:$AN$20000,0,E$2),INDEX(输入海典!$A$1:$AN$20000,0,$A$2),IF($B$2,""&amp;$A59,$A59)))</f>
        <v>0</v>
      </c>
      <c r="F59" s="15" t="n">
        <f aca="false">IF(OR(F$2=0,$A$2=0),0,SUMIFS(INDEX(输入海典!$A$1:$AN$20000,0,F$2),INDEX(输入海典!$A$1:$AN$20000,0,$A$2),IF($B$2,""&amp;$A59,$A59)))</f>
        <v>0</v>
      </c>
      <c r="G59" s="15" t="n">
        <f aca="false">IF(OR(G$2=0,$A$2=0),0,SUMIFS(INDEX(输入海典!$A$1:$AN$20000,0,G$2),INDEX(输入海典!$A$1:$AN$20000,0,$A$2),IF($B$2,""&amp;$A59,$A59)))</f>
        <v>0</v>
      </c>
      <c r="H59" s="15" t="n">
        <f aca="false">IF(OR(H$2=0,$A$2=0),0,SUMIFS(INDEX(输入海典!$A$1:$AN$20000,0,H$2),INDEX(输入海典!$A$1:$AN$20000,0,$A$2),IF($B$2,""&amp;$A59,$A59)))</f>
        <v>0</v>
      </c>
      <c r="I59" s="15" t="n">
        <f aca="false">IF(OR(I$2=0,$A$2=0),0,SUMIFS(INDEX(输入海典!$A$1:$AN$20000,0,I$2),INDEX(输入海典!$A$1:$AN$20000,0,$A$2),IF($B$2,""&amp;$A59,$A59)))</f>
        <v>0</v>
      </c>
      <c r="J59" s="15" t="n">
        <f aca="false">IF(OR(J$2=0,$A$2=0),0,SUMIFS(INDEX(输入海典!$A$1:$AN$20000,0,J$2),INDEX(输入海典!$A$1:$AN$20000,0,$A$2),IF($B$2,""&amp;$A59,$A59)))</f>
        <v>0</v>
      </c>
      <c r="K59" s="15" t="n">
        <f aca="false">IF(OR(K$2=0,$A$2=0),0,SUMIFS(INDEX(输入海典!$A$1:$AN$20000,0,K$2),INDEX(输入海典!$A$1:$AN$20000,0,$A$2),IF($B$2,""&amp;$A59,$A59)))</f>
        <v>0</v>
      </c>
      <c r="L59" s="15" t="n">
        <f aca="false">IF(OR(L$2=0,$A$2=0),0,SUMIFS(INDEX(输入海典!$A$1:$AN$20000,0,L$2),INDEX(输入海典!$A$1:$AN$20000,0,$A$2),IF($B$2,""&amp;$A59,$A59)))</f>
        <v>0</v>
      </c>
      <c r="M59" s="15" t="n">
        <f aca="false">IF(OR(M$2=0,$A$2=0),0,SUMIFS(INDEX(输入海典!$A$1:$AN$20000,0,M$2),INDEX(输入海典!$A$1:$AN$20000,0,$A$2),IF($B$2,""&amp;$A59,$A59)))</f>
        <v>0</v>
      </c>
      <c r="N59" s="15" t="n">
        <f aca="false">IF(OR(N$2=0,$A$2=0),0,SUMIFS(INDEX(输入海典!$A$1:$AN$20000,0,N$2),INDEX(输入海典!$A$1:$AN$20000,0,$A$2),IF($B$2,""&amp;$A59,$A59)))</f>
        <v>0</v>
      </c>
      <c r="O59" s="15" t="n">
        <f aca="false">IF(OR(O$2=0,$A$2=0),0,SUMIFS(INDEX(输入海典!$A$1:$AN$20000,0,O$2),INDEX(输入海典!$A$1:$AN$20000,0,$A$2),IF($B$2,""&amp;$A59,$A59)))</f>
        <v>0</v>
      </c>
      <c r="P59" s="15" t="n">
        <f aca="false">IF(OR(P$2=0,$A$2=0),0,SUMIFS(INDEX(输入海典!$A$1:$AN$20000,0,P$2),INDEX(输入海典!$A$1:$AN$20000,0,$A$2),IF($B$2,""&amp;$A59,$A59)))</f>
        <v>0</v>
      </c>
      <c r="Q59" s="15" t="n">
        <f aca="false">IF(OR(Q$2=0,$A$2=0),0,SUMIFS(INDEX(输入海典!$A$1:$AN$20000,0,Q$2),INDEX(输入海典!$A$1:$AN$20000,0,$A$2),IF($B$2,""&amp;$A59,$A59)))</f>
        <v>0</v>
      </c>
      <c r="R59" s="15" t="n">
        <f aca="false">IF(OR(R$2=0,$A$2=0),0,SUMIFS(INDEX(输入海典!$A$1:$AN$20000,0,R$2),INDEX(输入海典!$A$1:$AN$20000,0,$A$2),IF($B$2,""&amp;$A59,$A59)))</f>
        <v>0</v>
      </c>
      <c r="S59" s="15" t="n">
        <f aca="false">IF(OR(S$2=0,$A$2=0),0,SUMIFS(INDEX(输入海典!$A$1:$AN$20000,0,S$2),INDEX(输入海典!$A$1:$AN$20000,0,$A$2),IF($B$2,""&amp;$A59,$A59)))</f>
        <v>0</v>
      </c>
      <c r="T59" s="15" t="n">
        <f aca="false">IF(OR(T$2=0,$A$2=0),0,SUMIFS(INDEX(输入海典!$A$1:$AN$20000,0,T$2),INDEX(输入海典!$A$1:$AN$20000,0,$A$2),IF($B$2,""&amp;$A59,$A59)))</f>
        <v>0</v>
      </c>
      <c r="U59" s="15" t="n">
        <f aca="false">IF(OR(U$2=0,$A$2=0),0,SUMIFS(INDEX(输入海典!$A$1:$AN$20000,0,U$2),INDEX(输入海典!$A$1:$AN$20000,0,$A$2),IF($B$2,""&amp;$A59,$A59)))</f>
        <v>0</v>
      </c>
      <c r="V59" s="15" t="n">
        <f aca="false">IF(OR(V$2=0,$A$2=0),0,SUMIFS(INDEX(输入海典!$A$1:$AN$20000,0,V$2),INDEX(输入海典!$A$1:$AN$20000,0,$A$2),IF($B$2,""&amp;$A59,$A59)))</f>
        <v>0</v>
      </c>
      <c r="W59" s="15" t="n">
        <f aca="false">IF(OR(W$2=0,$A$2=0),0,SUMIFS(INDEX(输入海典!$A$1:$AN$20000,0,W$2),INDEX(输入海典!$A$1:$AN$20000,0,$A$2),IF($B$2,""&amp;$A59,$A59)))</f>
        <v>0</v>
      </c>
      <c r="X59" s="15" t="n">
        <f aca="false">IF(OR(X$2=0,$A$2=0),0,SUMIFS(INDEX(输入海典!$A$1:$AN$20000,0,X$2),INDEX(输入海典!$A$1:$AN$20000,0,$A$2),IF($B$2,""&amp;$A59,$A59)))</f>
        <v>0</v>
      </c>
      <c r="Y59" s="15" t="n">
        <f aca="false">IF(OR(Y$2=0,$A$2=0),0,SUMIFS(INDEX(输入海典!$A$1:$AN$20000,0,Y$2),INDEX(输入海典!$A$1:$AN$20000,0,$A$2),IF($B$2,""&amp;$A59,$A59)))</f>
        <v>0</v>
      </c>
      <c r="Z59" s="15" t="n">
        <f aca="false">IF(OR(Z$2=0,$A$2=0),0,SUMIFS(INDEX(输入海典!$A$1:$AN$20000,0,Z$2),INDEX(输入海典!$A$1:$AN$20000,0,$A$2),IF($B$2,""&amp;$A59,$A59)))</f>
        <v>0</v>
      </c>
      <c r="AA59" s="15" t="n">
        <f aca="false">IF(OR(AA$2=0,$A$2=0),0,SUMIFS(INDEX(输入海典!$A$1:$AN$20000,0,AA$2),INDEX(输入海典!$A$1:$AN$20000,0,$A$2),IF($B$2,""&amp;$A59,$A59)))</f>
        <v>0</v>
      </c>
      <c r="AB59" s="15" t="n">
        <f aca="false">IF(OR(AB$2=0,$A$2=0),0,SUMIFS(INDEX(输入海典!$A$1:$AN$20000,0,AB$2),INDEX(输入海典!$A$1:$AN$20000,0,$A$2),IF($B$2,""&amp;$A59,$A59)))</f>
        <v>0</v>
      </c>
      <c r="AC59" s="15" t="n">
        <f aca="false">IF(OR(AC$2=0,$A$2=0),0,SUMIFS(INDEX(输入海典!$A$1:$AN$20000,0,AC$2),INDEX(输入海典!$A$1:$AN$20000,0,$A$2),IF($B$2,""&amp;$A59,$A59)))</f>
        <v>0</v>
      </c>
      <c r="AD59" s="15" t="n">
        <f aca="false">IF(OR(AD$2=0,$A$2=0),0,SUMIFS(INDEX(输入海典!$A$1:$AN$20000,0,AD$2),INDEX(输入海典!$A$1:$AN$20000,0,$A$2),IF($B$2,""&amp;$A59,$A59)))</f>
        <v>0</v>
      </c>
      <c r="AE59" s="15" t="n">
        <f aca="false">IF(OR(AE$2=0,$A$2=0),0,SUMIFS(INDEX(输入海典!$A$1:$AN$20000,0,AE$2),INDEX(输入海典!$A$1:$AN$20000,0,$A$2),IF($B$2,""&amp;$A59,$A59)))</f>
        <v>0</v>
      </c>
    </row>
    <row r="60" customFormat="false" ht="14.9" hidden="false" customHeight="false" outlineLevel="0" collapsed="false">
      <c r="A60" s="25" t="str">
        <f aca="false">IF(门店对照!$D59=1,门店对照!$A59,"#未启用#")</f>
        <v>#未启用#</v>
      </c>
      <c r="B60" s="26" t="str">
        <f aca="false">IF(门店对照!$B59="","",门店对照!$B59)</f>
        <v>备用13</v>
      </c>
      <c r="C60" s="15" t="n">
        <f aca="false">IF(OR(C$2=0,$A$2=0),0,SUMIFS(INDEX(输入海典!$A$1:$AN$20000,0,C$2),INDEX(输入海典!$A$1:$AN$20000,0,$A$2),IF($B$2,""&amp;$A60,$A60)))</f>
        <v>0</v>
      </c>
      <c r="D60" s="15" t="n">
        <f aca="false">IF(OR(D$2=0,$A$2=0),0,SUMIFS(INDEX(输入海典!$A$1:$AN$20000,0,D$2),INDEX(输入海典!$A$1:$AN$20000,0,$A$2),IF($B$2,""&amp;$A60,$A60)))</f>
        <v>0</v>
      </c>
      <c r="E60" s="15" t="n">
        <f aca="false">IF(OR(E$2=0,$A$2=0),0,SUMIFS(INDEX(输入海典!$A$1:$AN$20000,0,E$2),INDEX(输入海典!$A$1:$AN$20000,0,$A$2),IF($B$2,""&amp;$A60,$A60)))</f>
        <v>0</v>
      </c>
      <c r="F60" s="15" t="n">
        <f aca="false">IF(OR(F$2=0,$A$2=0),0,SUMIFS(INDEX(输入海典!$A$1:$AN$20000,0,F$2),INDEX(输入海典!$A$1:$AN$20000,0,$A$2),IF($B$2,""&amp;$A60,$A60)))</f>
        <v>0</v>
      </c>
      <c r="G60" s="15" t="n">
        <f aca="false">IF(OR(G$2=0,$A$2=0),0,SUMIFS(INDEX(输入海典!$A$1:$AN$20000,0,G$2),INDEX(输入海典!$A$1:$AN$20000,0,$A$2),IF($B$2,""&amp;$A60,$A60)))</f>
        <v>0</v>
      </c>
      <c r="H60" s="15" t="n">
        <f aca="false">IF(OR(H$2=0,$A$2=0),0,SUMIFS(INDEX(输入海典!$A$1:$AN$20000,0,H$2),INDEX(输入海典!$A$1:$AN$20000,0,$A$2),IF($B$2,""&amp;$A60,$A60)))</f>
        <v>0</v>
      </c>
      <c r="I60" s="15" t="n">
        <f aca="false">IF(OR(I$2=0,$A$2=0),0,SUMIFS(INDEX(输入海典!$A$1:$AN$20000,0,I$2),INDEX(输入海典!$A$1:$AN$20000,0,$A$2),IF($B$2,""&amp;$A60,$A60)))</f>
        <v>0</v>
      </c>
      <c r="J60" s="15" t="n">
        <f aca="false">IF(OR(J$2=0,$A$2=0),0,SUMIFS(INDEX(输入海典!$A$1:$AN$20000,0,J$2),INDEX(输入海典!$A$1:$AN$20000,0,$A$2),IF($B$2,""&amp;$A60,$A60)))</f>
        <v>0</v>
      </c>
      <c r="K60" s="15" t="n">
        <f aca="false">IF(OR(K$2=0,$A$2=0),0,SUMIFS(INDEX(输入海典!$A$1:$AN$20000,0,K$2),INDEX(输入海典!$A$1:$AN$20000,0,$A$2),IF($B$2,""&amp;$A60,$A60)))</f>
        <v>0</v>
      </c>
      <c r="L60" s="15" t="n">
        <f aca="false">IF(OR(L$2=0,$A$2=0),0,SUMIFS(INDEX(输入海典!$A$1:$AN$20000,0,L$2),INDEX(输入海典!$A$1:$AN$20000,0,$A$2),IF($B$2,""&amp;$A60,$A60)))</f>
        <v>0</v>
      </c>
      <c r="M60" s="15" t="n">
        <f aca="false">IF(OR(M$2=0,$A$2=0),0,SUMIFS(INDEX(输入海典!$A$1:$AN$20000,0,M$2),INDEX(输入海典!$A$1:$AN$20000,0,$A$2),IF($B$2,""&amp;$A60,$A60)))</f>
        <v>0</v>
      </c>
      <c r="N60" s="15" t="n">
        <f aca="false">IF(OR(N$2=0,$A$2=0),0,SUMIFS(INDEX(输入海典!$A$1:$AN$20000,0,N$2),INDEX(输入海典!$A$1:$AN$20000,0,$A$2),IF($B$2,""&amp;$A60,$A60)))</f>
        <v>0</v>
      </c>
      <c r="O60" s="15" t="n">
        <f aca="false">IF(OR(O$2=0,$A$2=0),0,SUMIFS(INDEX(输入海典!$A$1:$AN$20000,0,O$2),INDEX(输入海典!$A$1:$AN$20000,0,$A$2),IF($B$2,""&amp;$A60,$A60)))</f>
        <v>0</v>
      </c>
      <c r="P60" s="15" t="n">
        <f aca="false">IF(OR(P$2=0,$A$2=0),0,SUMIFS(INDEX(输入海典!$A$1:$AN$20000,0,P$2),INDEX(输入海典!$A$1:$AN$20000,0,$A$2),IF($B$2,""&amp;$A60,$A60)))</f>
        <v>0</v>
      </c>
      <c r="Q60" s="15" t="n">
        <f aca="false">IF(OR(Q$2=0,$A$2=0),0,SUMIFS(INDEX(输入海典!$A$1:$AN$20000,0,Q$2),INDEX(输入海典!$A$1:$AN$20000,0,$A$2),IF($B$2,""&amp;$A60,$A60)))</f>
        <v>0</v>
      </c>
      <c r="R60" s="15" t="n">
        <f aca="false">IF(OR(R$2=0,$A$2=0),0,SUMIFS(INDEX(输入海典!$A$1:$AN$20000,0,R$2),INDEX(输入海典!$A$1:$AN$20000,0,$A$2),IF($B$2,""&amp;$A60,$A60)))</f>
        <v>0</v>
      </c>
      <c r="S60" s="15" t="n">
        <f aca="false">IF(OR(S$2=0,$A$2=0),0,SUMIFS(INDEX(输入海典!$A$1:$AN$20000,0,S$2),INDEX(输入海典!$A$1:$AN$20000,0,$A$2),IF($B$2,""&amp;$A60,$A60)))</f>
        <v>0</v>
      </c>
      <c r="T60" s="15" t="n">
        <f aca="false">IF(OR(T$2=0,$A$2=0),0,SUMIFS(INDEX(输入海典!$A$1:$AN$20000,0,T$2),INDEX(输入海典!$A$1:$AN$20000,0,$A$2),IF($B$2,""&amp;$A60,$A60)))</f>
        <v>0</v>
      </c>
      <c r="U60" s="15" t="n">
        <f aca="false">IF(OR(U$2=0,$A$2=0),0,SUMIFS(INDEX(输入海典!$A$1:$AN$20000,0,U$2),INDEX(输入海典!$A$1:$AN$20000,0,$A$2),IF($B$2,""&amp;$A60,$A60)))</f>
        <v>0</v>
      </c>
      <c r="V60" s="15" t="n">
        <f aca="false">IF(OR(V$2=0,$A$2=0),0,SUMIFS(INDEX(输入海典!$A$1:$AN$20000,0,V$2),INDEX(输入海典!$A$1:$AN$20000,0,$A$2),IF($B$2,""&amp;$A60,$A60)))</f>
        <v>0</v>
      </c>
      <c r="W60" s="15" t="n">
        <f aca="false">IF(OR(W$2=0,$A$2=0),0,SUMIFS(INDEX(输入海典!$A$1:$AN$20000,0,W$2),INDEX(输入海典!$A$1:$AN$20000,0,$A$2),IF($B$2,""&amp;$A60,$A60)))</f>
        <v>0</v>
      </c>
      <c r="X60" s="15" t="n">
        <f aca="false">IF(OR(X$2=0,$A$2=0),0,SUMIFS(INDEX(输入海典!$A$1:$AN$20000,0,X$2),INDEX(输入海典!$A$1:$AN$20000,0,$A$2),IF($B$2,""&amp;$A60,$A60)))</f>
        <v>0</v>
      </c>
      <c r="Y60" s="15" t="n">
        <f aca="false">IF(OR(Y$2=0,$A$2=0),0,SUMIFS(INDEX(输入海典!$A$1:$AN$20000,0,Y$2),INDEX(输入海典!$A$1:$AN$20000,0,$A$2),IF($B$2,""&amp;$A60,$A60)))</f>
        <v>0</v>
      </c>
      <c r="Z60" s="15" t="n">
        <f aca="false">IF(OR(Z$2=0,$A$2=0),0,SUMIFS(INDEX(输入海典!$A$1:$AN$20000,0,Z$2),INDEX(输入海典!$A$1:$AN$20000,0,$A$2),IF($B$2,""&amp;$A60,$A60)))</f>
        <v>0</v>
      </c>
      <c r="AA60" s="15" t="n">
        <f aca="false">IF(OR(AA$2=0,$A$2=0),0,SUMIFS(INDEX(输入海典!$A$1:$AN$20000,0,AA$2),INDEX(输入海典!$A$1:$AN$20000,0,$A$2),IF($B$2,""&amp;$A60,$A60)))</f>
        <v>0</v>
      </c>
      <c r="AB60" s="15" t="n">
        <f aca="false">IF(OR(AB$2=0,$A$2=0),0,SUMIFS(INDEX(输入海典!$A$1:$AN$20000,0,AB$2),INDEX(输入海典!$A$1:$AN$20000,0,$A$2),IF($B$2,""&amp;$A60,$A60)))</f>
        <v>0</v>
      </c>
      <c r="AC60" s="15" t="n">
        <f aca="false">IF(OR(AC$2=0,$A$2=0),0,SUMIFS(INDEX(输入海典!$A$1:$AN$20000,0,AC$2),INDEX(输入海典!$A$1:$AN$20000,0,$A$2),IF($B$2,""&amp;$A60,$A60)))</f>
        <v>0</v>
      </c>
      <c r="AD60" s="15" t="n">
        <f aca="false">IF(OR(AD$2=0,$A$2=0),0,SUMIFS(INDEX(输入海典!$A$1:$AN$20000,0,AD$2),INDEX(输入海典!$A$1:$AN$20000,0,$A$2),IF($B$2,""&amp;$A60,$A60)))</f>
        <v>0</v>
      </c>
      <c r="AE60" s="15" t="n">
        <f aca="false">IF(OR(AE$2=0,$A$2=0),0,SUMIFS(INDEX(输入海典!$A$1:$AN$20000,0,AE$2),INDEX(输入海典!$A$1:$AN$20000,0,$A$2),IF($B$2,""&amp;$A60,$A60)))</f>
        <v>0</v>
      </c>
    </row>
    <row r="61" customFormat="false" ht="14.9" hidden="false" customHeight="false" outlineLevel="0" collapsed="false">
      <c r="A61" s="25" t="str">
        <f aca="false">IF(门店对照!$D60=1,门店对照!$A60,"#未启用#")</f>
        <v>#未启用#</v>
      </c>
      <c r="B61" s="26" t="str">
        <f aca="false">IF(门店对照!$B60="","",门店对照!$B60)</f>
        <v>备用14</v>
      </c>
      <c r="C61" s="15" t="n">
        <f aca="false">IF(OR(C$2=0,$A$2=0),0,SUMIFS(INDEX(输入海典!$A$1:$AN$20000,0,C$2),INDEX(输入海典!$A$1:$AN$20000,0,$A$2),IF($B$2,""&amp;$A61,$A61)))</f>
        <v>0</v>
      </c>
      <c r="D61" s="15" t="n">
        <f aca="false">IF(OR(D$2=0,$A$2=0),0,SUMIFS(INDEX(输入海典!$A$1:$AN$20000,0,D$2),INDEX(输入海典!$A$1:$AN$20000,0,$A$2),IF($B$2,""&amp;$A61,$A61)))</f>
        <v>0</v>
      </c>
      <c r="E61" s="15" t="n">
        <f aca="false">IF(OR(E$2=0,$A$2=0),0,SUMIFS(INDEX(输入海典!$A$1:$AN$20000,0,E$2),INDEX(输入海典!$A$1:$AN$20000,0,$A$2),IF($B$2,""&amp;$A61,$A61)))</f>
        <v>0</v>
      </c>
      <c r="F61" s="15" t="n">
        <f aca="false">IF(OR(F$2=0,$A$2=0),0,SUMIFS(INDEX(输入海典!$A$1:$AN$20000,0,F$2),INDEX(输入海典!$A$1:$AN$20000,0,$A$2),IF($B$2,""&amp;$A61,$A61)))</f>
        <v>0</v>
      </c>
      <c r="G61" s="15" t="n">
        <f aca="false">IF(OR(G$2=0,$A$2=0),0,SUMIFS(INDEX(输入海典!$A$1:$AN$20000,0,G$2),INDEX(输入海典!$A$1:$AN$20000,0,$A$2),IF($B$2,""&amp;$A61,$A61)))</f>
        <v>0</v>
      </c>
      <c r="H61" s="15" t="n">
        <f aca="false">IF(OR(H$2=0,$A$2=0),0,SUMIFS(INDEX(输入海典!$A$1:$AN$20000,0,H$2),INDEX(输入海典!$A$1:$AN$20000,0,$A$2),IF($B$2,""&amp;$A61,$A61)))</f>
        <v>0</v>
      </c>
      <c r="I61" s="15" t="n">
        <f aca="false">IF(OR(I$2=0,$A$2=0),0,SUMIFS(INDEX(输入海典!$A$1:$AN$20000,0,I$2),INDEX(输入海典!$A$1:$AN$20000,0,$A$2),IF($B$2,""&amp;$A61,$A61)))</f>
        <v>0</v>
      </c>
      <c r="J61" s="15" t="n">
        <f aca="false">IF(OR(J$2=0,$A$2=0),0,SUMIFS(INDEX(输入海典!$A$1:$AN$20000,0,J$2),INDEX(输入海典!$A$1:$AN$20000,0,$A$2),IF($B$2,""&amp;$A61,$A61)))</f>
        <v>0</v>
      </c>
      <c r="K61" s="15" t="n">
        <f aca="false">IF(OR(K$2=0,$A$2=0),0,SUMIFS(INDEX(输入海典!$A$1:$AN$20000,0,K$2),INDEX(输入海典!$A$1:$AN$20000,0,$A$2),IF($B$2,""&amp;$A61,$A61)))</f>
        <v>0</v>
      </c>
      <c r="L61" s="15" t="n">
        <f aca="false">IF(OR(L$2=0,$A$2=0),0,SUMIFS(INDEX(输入海典!$A$1:$AN$20000,0,L$2),INDEX(输入海典!$A$1:$AN$20000,0,$A$2),IF($B$2,""&amp;$A61,$A61)))</f>
        <v>0</v>
      </c>
      <c r="M61" s="15" t="n">
        <f aca="false">IF(OR(M$2=0,$A$2=0),0,SUMIFS(INDEX(输入海典!$A$1:$AN$20000,0,M$2),INDEX(输入海典!$A$1:$AN$20000,0,$A$2),IF($B$2,""&amp;$A61,$A61)))</f>
        <v>0</v>
      </c>
      <c r="N61" s="15" t="n">
        <f aca="false">IF(OR(N$2=0,$A$2=0),0,SUMIFS(INDEX(输入海典!$A$1:$AN$20000,0,N$2),INDEX(输入海典!$A$1:$AN$20000,0,$A$2),IF($B$2,""&amp;$A61,$A61)))</f>
        <v>0</v>
      </c>
      <c r="O61" s="15" t="n">
        <f aca="false">IF(OR(O$2=0,$A$2=0),0,SUMIFS(INDEX(输入海典!$A$1:$AN$20000,0,O$2),INDEX(输入海典!$A$1:$AN$20000,0,$A$2),IF($B$2,""&amp;$A61,$A61)))</f>
        <v>0</v>
      </c>
      <c r="P61" s="15" t="n">
        <f aca="false">IF(OR(P$2=0,$A$2=0),0,SUMIFS(INDEX(输入海典!$A$1:$AN$20000,0,P$2),INDEX(输入海典!$A$1:$AN$20000,0,$A$2),IF($B$2,""&amp;$A61,$A61)))</f>
        <v>0</v>
      </c>
      <c r="Q61" s="15" t="n">
        <f aca="false">IF(OR(Q$2=0,$A$2=0),0,SUMIFS(INDEX(输入海典!$A$1:$AN$20000,0,Q$2),INDEX(输入海典!$A$1:$AN$20000,0,$A$2),IF($B$2,""&amp;$A61,$A61)))</f>
        <v>0</v>
      </c>
      <c r="R61" s="15" t="n">
        <f aca="false">IF(OR(R$2=0,$A$2=0),0,SUMIFS(INDEX(输入海典!$A$1:$AN$20000,0,R$2),INDEX(输入海典!$A$1:$AN$20000,0,$A$2),IF($B$2,""&amp;$A61,$A61)))</f>
        <v>0</v>
      </c>
      <c r="S61" s="15" t="n">
        <f aca="false">IF(OR(S$2=0,$A$2=0),0,SUMIFS(INDEX(输入海典!$A$1:$AN$20000,0,S$2),INDEX(输入海典!$A$1:$AN$20000,0,$A$2),IF($B$2,""&amp;$A61,$A61)))</f>
        <v>0</v>
      </c>
      <c r="T61" s="15" t="n">
        <f aca="false">IF(OR(T$2=0,$A$2=0),0,SUMIFS(INDEX(输入海典!$A$1:$AN$20000,0,T$2),INDEX(输入海典!$A$1:$AN$20000,0,$A$2),IF($B$2,""&amp;$A61,$A61)))</f>
        <v>0</v>
      </c>
      <c r="U61" s="15" t="n">
        <f aca="false">IF(OR(U$2=0,$A$2=0),0,SUMIFS(INDEX(输入海典!$A$1:$AN$20000,0,U$2),INDEX(输入海典!$A$1:$AN$20000,0,$A$2),IF($B$2,""&amp;$A61,$A61)))</f>
        <v>0</v>
      </c>
      <c r="V61" s="15" t="n">
        <f aca="false">IF(OR(V$2=0,$A$2=0),0,SUMIFS(INDEX(输入海典!$A$1:$AN$20000,0,V$2),INDEX(输入海典!$A$1:$AN$20000,0,$A$2),IF($B$2,""&amp;$A61,$A61)))</f>
        <v>0</v>
      </c>
      <c r="W61" s="15" t="n">
        <f aca="false">IF(OR(W$2=0,$A$2=0),0,SUMIFS(INDEX(输入海典!$A$1:$AN$20000,0,W$2),INDEX(输入海典!$A$1:$AN$20000,0,$A$2),IF($B$2,""&amp;$A61,$A61)))</f>
        <v>0</v>
      </c>
      <c r="X61" s="15" t="n">
        <f aca="false">IF(OR(X$2=0,$A$2=0),0,SUMIFS(INDEX(输入海典!$A$1:$AN$20000,0,X$2),INDEX(输入海典!$A$1:$AN$20000,0,$A$2),IF($B$2,""&amp;$A61,$A61)))</f>
        <v>0</v>
      </c>
      <c r="Y61" s="15" t="n">
        <f aca="false">IF(OR(Y$2=0,$A$2=0),0,SUMIFS(INDEX(输入海典!$A$1:$AN$20000,0,Y$2),INDEX(输入海典!$A$1:$AN$20000,0,$A$2),IF($B$2,""&amp;$A61,$A61)))</f>
        <v>0</v>
      </c>
      <c r="Z61" s="15" t="n">
        <f aca="false">IF(OR(Z$2=0,$A$2=0),0,SUMIFS(INDEX(输入海典!$A$1:$AN$20000,0,Z$2),INDEX(输入海典!$A$1:$AN$20000,0,$A$2),IF($B$2,""&amp;$A61,$A61)))</f>
        <v>0</v>
      </c>
      <c r="AA61" s="15" t="n">
        <f aca="false">IF(OR(AA$2=0,$A$2=0),0,SUMIFS(INDEX(输入海典!$A$1:$AN$20000,0,AA$2),INDEX(输入海典!$A$1:$AN$20000,0,$A$2),IF($B$2,""&amp;$A61,$A61)))</f>
        <v>0</v>
      </c>
      <c r="AB61" s="15" t="n">
        <f aca="false">IF(OR(AB$2=0,$A$2=0),0,SUMIFS(INDEX(输入海典!$A$1:$AN$20000,0,AB$2),INDEX(输入海典!$A$1:$AN$20000,0,$A$2),IF($B$2,""&amp;$A61,$A61)))</f>
        <v>0</v>
      </c>
      <c r="AC61" s="15" t="n">
        <f aca="false">IF(OR(AC$2=0,$A$2=0),0,SUMIFS(INDEX(输入海典!$A$1:$AN$20000,0,AC$2),INDEX(输入海典!$A$1:$AN$20000,0,$A$2),IF($B$2,""&amp;$A61,$A61)))</f>
        <v>0</v>
      </c>
      <c r="AD61" s="15" t="n">
        <f aca="false">IF(OR(AD$2=0,$A$2=0),0,SUMIFS(INDEX(输入海典!$A$1:$AN$20000,0,AD$2),INDEX(输入海典!$A$1:$AN$20000,0,$A$2),IF($B$2,""&amp;$A61,$A61)))</f>
        <v>0</v>
      </c>
      <c r="AE61" s="15" t="n">
        <f aca="false">IF(OR(AE$2=0,$A$2=0),0,SUMIFS(INDEX(输入海典!$A$1:$AN$20000,0,AE$2),INDEX(输入海典!$A$1:$AN$20000,0,$A$2),IF($B$2,""&amp;$A61,$A61)))</f>
        <v>0</v>
      </c>
    </row>
    <row r="62" customFormat="false" ht="14.9" hidden="false" customHeight="false" outlineLevel="0" collapsed="false">
      <c r="A62" s="25" t="str">
        <f aca="false">IF(门店对照!$D61=1,门店对照!$A61,"#未启用#")</f>
        <v>#未启用#</v>
      </c>
      <c r="B62" s="26" t="str">
        <f aca="false">IF(门店对照!$B61="","",门店对照!$B61)</f>
        <v>备用15</v>
      </c>
      <c r="C62" s="15" t="n">
        <f aca="false">IF(OR(C$2=0,$A$2=0),0,SUMIFS(INDEX(输入海典!$A$1:$AN$20000,0,C$2),INDEX(输入海典!$A$1:$AN$20000,0,$A$2),IF($B$2,""&amp;$A62,$A62)))</f>
        <v>0</v>
      </c>
      <c r="D62" s="15" t="n">
        <f aca="false">IF(OR(D$2=0,$A$2=0),0,SUMIFS(INDEX(输入海典!$A$1:$AN$20000,0,D$2),INDEX(输入海典!$A$1:$AN$20000,0,$A$2),IF($B$2,""&amp;$A62,$A62)))</f>
        <v>0</v>
      </c>
      <c r="E62" s="15" t="n">
        <f aca="false">IF(OR(E$2=0,$A$2=0),0,SUMIFS(INDEX(输入海典!$A$1:$AN$20000,0,E$2),INDEX(输入海典!$A$1:$AN$20000,0,$A$2),IF($B$2,""&amp;$A62,$A62)))</f>
        <v>0</v>
      </c>
      <c r="F62" s="15" t="n">
        <f aca="false">IF(OR(F$2=0,$A$2=0),0,SUMIFS(INDEX(输入海典!$A$1:$AN$20000,0,F$2),INDEX(输入海典!$A$1:$AN$20000,0,$A$2),IF($B$2,""&amp;$A62,$A62)))</f>
        <v>0</v>
      </c>
      <c r="G62" s="15" t="n">
        <f aca="false">IF(OR(G$2=0,$A$2=0),0,SUMIFS(INDEX(输入海典!$A$1:$AN$20000,0,G$2),INDEX(输入海典!$A$1:$AN$20000,0,$A$2),IF($B$2,""&amp;$A62,$A62)))</f>
        <v>0</v>
      </c>
      <c r="H62" s="15" t="n">
        <f aca="false">IF(OR(H$2=0,$A$2=0),0,SUMIFS(INDEX(输入海典!$A$1:$AN$20000,0,H$2),INDEX(输入海典!$A$1:$AN$20000,0,$A$2),IF($B$2,""&amp;$A62,$A62)))</f>
        <v>0</v>
      </c>
      <c r="I62" s="15" t="n">
        <f aca="false">IF(OR(I$2=0,$A$2=0),0,SUMIFS(INDEX(输入海典!$A$1:$AN$20000,0,I$2),INDEX(输入海典!$A$1:$AN$20000,0,$A$2),IF($B$2,""&amp;$A62,$A62)))</f>
        <v>0</v>
      </c>
      <c r="J62" s="15" t="n">
        <f aca="false">IF(OR(J$2=0,$A$2=0),0,SUMIFS(INDEX(输入海典!$A$1:$AN$20000,0,J$2),INDEX(输入海典!$A$1:$AN$20000,0,$A$2),IF($B$2,""&amp;$A62,$A62)))</f>
        <v>0</v>
      </c>
      <c r="K62" s="15" t="n">
        <f aca="false">IF(OR(K$2=0,$A$2=0),0,SUMIFS(INDEX(输入海典!$A$1:$AN$20000,0,K$2),INDEX(输入海典!$A$1:$AN$20000,0,$A$2),IF($B$2,""&amp;$A62,$A62)))</f>
        <v>0</v>
      </c>
      <c r="L62" s="15" t="n">
        <f aca="false">IF(OR(L$2=0,$A$2=0),0,SUMIFS(INDEX(输入海典!$A$1:$AN$20000,0,L$2),INDEX(输入海典!$A$1:$AN$20000,0,$A$2),IF($B$2,""&amp;$A62,$A62)))</f>
        <v>0</v>
      </c>
      <c r="M62" s="15" t="n">
        <f aca="false">IF(OR(M$2=0,$A$2=0),0,SUMIFS(INDEX(输入海典!$A$1:$AN$20000,0,M$2),INDEX(输入海典!$A$1:$AN$20000,0,$A$2),IF($B$2,""&amp;$A62,$A62)))</f>
        <v>0</v>
      </c>
      <c r="N62" s="15" t="n">
        <f aca="false">IF(OR(N$2=0,$A$2=0),0,SUMIFS(INDEX(输入海典!$A$1:$AN$20000,0,N$2),INDEX(输入海典!$A$1:$AN$20000,0,$A$2),IF($B$2,""&amp;$A62,$A62)))</f>
        <v>0</v>
      </c>
      <c r="O62" s="15" t="n">
        <f aca="false">IF(OR(O$2=0,$A$2=0),0,SUMIFS(INDEX(输入海典!$A$1:$AN$20000,0,O$2),INDEX(输入海典!$A$1:$AN$20000,0,$A$2),IF($B$2,""&amp;$A62,$A62)))</f>
        <v>0</v>
      </c>
      <c r="P62" s="15" t="n">
        <f aca="false">IF(OR(P$2=0,$A$2=0),0,SUMIFS(INDEX(输入海典!$A$1:$AN$20000,0,P$2),INDEX(输入海典!$A$1:$AN$20000,0,$A$2),IF($B$2,""&amp;$A62,$A62)))</f>
        <v>0</v>
      </c>
      <c r="Q62" s="15" t="n">
        <f aca="false">IF(OR(Q$2=0,$A$2=0),0,SUMIFS(INDEX(输入海典!$A$1:$AN$20000,0,Q$2),INDEX(输入海典!$A$1:$AN$20000,0,$A$2),IF($B$2,""&amp;$A62,$A62)))</f>
        <v>0</v>
      </c>
      <c r="R62" s="15" t="n">
        <f aca="false">IF(OR(R$2=0,$A$2=0),0,SUMIFS(INDEX(输入海典!$A$1:$AN$20000,0,R$2),INDEX(输入海典!$A$1:$AN$20000,0,$A$2),IF($B$2,""&amp;$A62,$A62)))</f>
        <v>0</v>
      </c>
      <c r="S62" s="15" t="n">
        <f aca="false">IF(OR(S$2=0,$A$2=0),0,SUMIFS(INDEX(输入海典!$A$1:$AN$20000,0,S$2),INDEX(输入海典!$A$1:$AN$20000,0,$A$2),IF($B$2,""&amp;$A62,$A62)))</f>
        <v>0</v>
      </c>
      <c r="T62" s="15" t="n">
        <f aca="false">IF(OR(T$2=0,$A$2=0),0,SUMIFS(INDEX(输入海典!$A$1:$AN$20000,0,T$2),INDEX(输入海典!$A$1:$AN$20000,0,$A$2),IF($B$2,""&amp;$A62,$A62)))</f>
        <v>0</v>
      </c>
      <c r="U62" s="15" t="n">
        <f aca="false">IF(OR(U$2=0,$A$2=0),0,SUMIFS(INDEX(输入海典!$A$1:$AN$20000,0,U$2),INDEX(输入海典!$A$1:$AN$20000,0,$A$2),IF($B$2,""&amp;$A62,$A62)))</f>
        <v>0</v>
      </c>
      <c r="V62" s="15" t="n">
        <f aca="false">IF(OR(V$2=0,$A$2=0),0,SUMIFS(INDEX(输入海典!$A$1:$AN$20000,0,V$2),INDEX(输入海典!$A$1:$AN$20000,0,$A$2),IF($B$2,""&amp;$A62,$A62)))</f>
        <v>0</v>
      </c>
      <c r="W62" s="15" t="n">
        <f aca="false">IF(OR(W$2=0,$A$2=0),0,SUMIFS(INDEX(输入海典!$A$1:$AN$20000,0,W$2),INDEX(输入海典!$A$1:$AN$20000,0,$A$2),IF($B$2,""&amp;$A62,$A62)))</f>
        <v>0</v>
      </c>
      <c r="X62" s="15" t="n">
        <f aca="false">IF(OR(X$2=0,$A$2=0),0,SUMIFS(INDEX(输入海典!$A$1:$AN$20000,0,X$2),INDEX(输入海典!$A$1:$AN$20000,0,$A$2),IF($B$2,""&amp;$A62,$A62)))</f>
        <v>0</v>
      </c>
      <c r="Y62" s="15" t="n">
        <f aca="false">IF(OR(Y$2=0,$A$2=0),0,SUMIFS(INDEX(输入海典!$A$1:$AN$20000,0,Y$2),INDEX(输入海典!$A$1:$AN$20000,0,$A$2),IF($B$2,""&amp;$A62,$A62)))</f>
        <v>0</v>
      </c>
      <c r="Z62" s="15" t="n">
        <f aca="false">IF(OR(Z$2=0,$A$2=0),0,SUMIFS(INDEX(输入海典!$A$1:$AN$20000,0,Z$2),INDEX(输入海典!$A$1:$AN$20000,0,$A$2),IF($B$2,""&amp;$A62,$A62)))</f>
        <v>0</v>
      </c>
      <c r="AA62" s="15" t="n">
        <f aca="false">IF(OR(AA$2=0,$A$2=0),0,SUMIFS(INDEX(输入海典!$A$1:$AN$20000,0,AA$2),INDEX(输入海典!$A$1:$AN$20000,0,$A$2),IF($B$2,""&amp;$A62,$A62)))</f>
        <v>0</v>
      </c>
      <c r="AB62" s="15" t="n">
        <f aca="false">IF(OR(AB$2=0,$A$2=0),0,SUMIFS(INDEX(输入海典!$A$1:$AN$20000,0,AB$2),INDEX(输入海典!$A$1:$AN$20000,0,$A$2),IF($B$2,""&amp;$A62,$A62)))</f>
        <v>0</v>
      </c>
      <c r="AC62" s="15" t="n">
        <f aca="false">IF(OR(AC$2=0,$A$2=0),0,SUMIFS(INDEX(输入海典!$A$1:$AN$20000,0,AC$2),INDEX(输入海典!$A$1:$AN$20000,0,$A$2),IF($B$2,""&amp;$A62,$A62)))</f>
        <v>0</v>
      </c>
      <c r="AD62" s="15" t="n">
        <f aca="false">IF(OR(AD$2=0,$A$2=0),0,SUMIFS(INDEX(输入海典!$A$1:$AN$20000,0,AD$2),INDEX(输入海典!$A$1:$AN$20000,0,$A$2),IF($B$2,""&amp;$A62,$A62)))</f>
        <v>0</v>
      </c>
      <c r="AE62" s="15" t="n">
        <f aca="false">IF(OR(AE$2=0,$A$2=0),0,SUMIFS(INDEX(输入海典!$A$1:$AN$20000,0,AE$2),INDEX(输入海典!$A$1:$AN$20000,0,$A$2),IF($B$2,""&amp;$A62,$A62)))</f>
        <v>0</v>
      </c>
    </row>
    <row r="63" customFormat="false" ht="14.9" hidden="false" customHeight="false" outlineLevel="0" collapsed="false">
      <c r="A63" s="25" t="str">
        <f aca="false">IF(门店对照!$D62=1,门店对照!$A62,"#未启用#")</f>
        <v>#未启用#</v>
      </c>
      <c r="B63" s="26" t="str">
        <f aca="false">IF(门店对照!$B62="","",门店对照!$B62)</f>
        <v>备用16</v>
      </c>
      <c r="C63" s="15" t="n">
        <f aca="false">IF(OR(C$2=0,$A$2=0),0,SUMIFS(INDEX(输入海典!$A$1:$AN$20000,0,C$2),INDEX(输入海典!$A$1:$AN$20000,0,$A$2),IF($B$2,""&amp;$A63,$A63)))</f>
        <v>0</v>
      </c>
      <c r="D63" s="15" t="n">
        <f aca="false">IF(OR(D$2=0,$A$2=0),0,SUMIFS(INDEX(输入海典!$A$1:$AN$20000,0,D$2),INDEX(输入海典!$A$1:$AN$20000,0,$A$2),IF($B$2,""&amp;$A63,$A63)))</f>
        <v>0</v>
      </c>
      <c r="E63" s="15" t="n">
        <f aca="false">IF(OR(E$2=0,$A$2=0),0,SUMIFS(INDEX(输入海典!$A$1:$AN$20000,0,E$2),INDEX(输入海典!$A$1:$AN$20000,0,$A$2),IF($B$2,""&amp;$A63,$A63)))</f>
        <v>0</v>
      </c>
      <c r="F63" s="15" t="n">
        <f aca="false">IF(OR(F$2=0,$A$2=0),0,SUMIFS(INDEX(输入海典!$A$1:$AN$20000,0,F$2),INDEX(输入海典!$A$1:$AN$20000,0,$A$2),IF($B$2,""&amp;$A63,$A63)))</f>
        <v>0</v>
      </c>
      <c r="G63" s="15" t="n">
        <f aca="false">IF(OR(G$2=0,$A$2=0),0,SUMIFS(INDEX(输入海典!$A$1:$AN$20000,0,G$2),INDEX(输入海典!$A$1:$AN$20000,0,$A$2),IF($B$2,""&amp;$A63,$A63)))</f>
        <v>0</v>
      </c>
      <c r="H63" s="15" t="n">
        <f aca="false">IF(OR(H$2=0,$A$2=0),0,SUMIFS(INDEX(输入海典!$A$1:$AN$20000,0,H$2),INDEX(输入海典!$A$1:$AN$20000,0,$A$2),IF($B$2,""&amp;$A63,$A63)))</f>
        <v>0</v>
      </c>
      <c r="I63" s="15" t="n">
        <f aca="false">IF(OR(I$2=0,$A$2=0),0,SUMIFS(INDEX(输入海典!$A$1:$AN$20000,0,I$2),INDEX(输入海典!$A$1:$AN$20000,0,$A$2),IF($B$2,""&amp;$A63,$A63)))</f>
        <v>0</v>
      </c>
      <c r="J63" s="15" t="n">
        <f aca="false">IF(OR(J$2=0,$A$2=0),0,SUMIFS(INDEX(输入海典!$A$1:$AN$20000,0,J$2),INDEX(输入海典!$A$1:$AN$20000,0,$A$2),IF($B$2,""&amp;$A63,$A63)))</f>
        <v>0</v>
      </c>
      <c r="K63" s="15" t="n">
        <f aca="false">IF(OR(K$2=0,$A$2=0),0,SUMIFS(INDEX(输入海典!$A$1:$AN$20000,0,K$2),INDEX(输入海典!$A$1:$AN$20000,0,$A$2),IF($B$2,""&amp;$A63,$A63)))</f>
        <v>0</v>
      </c>
      <c r="L63" s="15" t="n">
        <f aca="false">IF(OR(L$2=0,$A$2=0),0,SUMIFS(INDEX(输入海典!$A$1:$AN$20000,0,L$2),INDEX(输入海典!$A$1:$AN$20000,0,$A$2),IF($B$2,""&amp;$A63,$A63)))</f>
        <v>0</v>
      </c>
      <c r="M63" s="15" t="n">
        <f aca="false">IF(OR(M$2=0,$A$2=0),0,SUMIFS(INDEX(输入海典!$A$1:$AN$20000,0,M$2),INDEX(输入海典!$A$1:$AN$20000,0,$A$2),IF($B$2,""&amp;$A63,$A63)))</f>
        <v>0</v>
      </c>
      <c r="N63" s="15" t="n">
        <f aca="false">IF(OR(N$2=0,$A$2=0),0,SUMIFS(INDEX(输入海典!$A$1:$AN$20000,0,N$2),INDEX(输入海典!$A$1:$AN$20000,0,$A$2),IF($B$2,""&amp;$A63,$A63)))</f>
        <v>0</v>
      </c>
      <c r="O63" s="15" t="n">
        <f aca="false">IF(OR(O$2=0,$A$2=0),0,SUMIFS(INDEX(输入海典!$A$1:$AN$20000,0,O$2),INDEX(输入海典!$A$1:$AN$20000,0,$A$2),IF($B$2,""&amp;$A63,$A63)))</f>
        <v>0</v>
      </c>
      <c r="P63" s="15" t="n">
        <f aca="false">IF(OR(P$2=0,$A$2=0),0,SUMIFS(INDEX(输入海典!$A$1:$AN$20000,0,P$2),INDEX(输入海典!$A$1:$AN$20000,0,$A$2),IF($B$2,""&amp;$A63,$A63)))</f>
        <v>0</v>
      </c>
      <c r="Q63" s="15" t="n">
        <f aca="false">IF(OR(Q$2=0,$A$2=0),0,SUMIFS(INDEX(输入海典!$A$1:$AN$20000,0,Q$2),INDEX(输入海典!$A$1:$AN$20000,0,$A$2),IF($B$2,""&amp;$A63,$A63)))</f>
        <v>0</v>
      </c>
      <c r="R63" s="15" t="n">
        <f aca="false">IF(OR(R$2=0,$A$2=0),0,SUMIFS(INDEX(输入海典!$A$1:$AN$20000,0,R$2),INDEX(输入海典!$A$1:$AN$20000,0,$A$2),IF($B$2,""&amp;$A63,$A63)))</f>
        <v>0</v>
      </c>
      <c r="S63" s="15" t="n">
        <f aca="false">IF(OR(S$2=0,$A$2=0),0,SUMIFS(INDEX(输入海典!$A$1:$AN$20000,0,S$2),INDEX(输入海典!$A$1:$AN$20000,0,$A$2),IF($B$2,""&amp;$A63,$A63)))</f>
        <v>0</v>
      </c>
      <c r="T63" s="15" t="n">
        <f aca="false">IF(OR(T$2=0,$A$2=0),0,SUMIFS(INDEX(输入海典!$A$1:$AN$20000,0,T$2),INDEX(输入海典!$A$1:$AN$20000,0,$A$2),IF($B$2,""&amp;$A63,$A63)))</f>
        <v>0</v>
      </c>
      <c r="U63" s="15" t="n">
        <f aca="false">IF(OR(U$2=0,$A$2=0),0,SUMIFS(INDEX(输入海典!$A$1:$AN$20000,0,U$2),INDEX(输入海典!$A$1:$AN$20000,0,$A$2),IF($B$2,""&amp;$A63,$A63)))</f>
        <v>0</v>
      </c>
      <c r="V63" s="15" t="n">
        <f aca="false">IF(OR(V$2=0,$A$2=0),0,SUMIFS(INDEX(输入海典!$A$1:$AN$20000,0,V$2),INDEX(输入海典!$A$1:$AN$20000,0,$A$2),IF($B$2,""&amp;$A63,$A63)))</f>
        <v>0</v>
      </c>
      <c r="W63" s="15" t="n">
        <f aca="false">IF(OR(W$2=0,$A$2=0),0,SUMIFS(INDEX(输入海典!$A$1:$AN$20000,0,W$2),INDEX(输入海典!$A$1:$AN$20000,0,$A$2),IF($B$2,""&amp;$A63,$A63)))</f>
        <v>0</v>
      </c>
      <c r="X63" s="15" t="n">
        <f aca="false">IF(OR(X$2=0,$A$2=0),0,SUMIFS(INDEX(输入海典!$A$1:$AN$20000,0,X$2),INDEX(输入海典!$A$1:$AN$20000,0,$A$2),IF($B$2,""&amp;$A63,$A63)))</f>
        <v>0</v>
      </c>
      <c r="Y63" s="15" t="n">
        <f aca="false">IF(OR(Y$2=0,$A$2=0),0,SUMIFS(INDEX(输入海典!$A$1:$AN$20000,0,Y$2),INDEX(输入海典!$A$1:$AN$20000,0,$A$2),IF($B$2,""&amp;$A63,$A63)))</f>
        <v>0</v>
      </c>
      <c r="Z63" s="15" t="n">
        <f aca="false">IF(OR(Z$2=0,$A$2=0),0,SUMIFS(INDEX(输入海典!$A$1:$AN$20000,0,Z$2),INDEX(输入海典!$A$1:$AN$20000,0,$A$2),IF($B$2,""&amp;$A63,$A63)))</f>
        <v>0</v>
      </c>
      <c r="AA63" s="15" t="n">
        <f aca="false">IF(OR(AA$2=0,$A$2=0),0,SUMIFS(INDEX(输入海典!$A$1:$AN$20000,0,AA$2),INDEX(输入海典!$A$1:$AN$20000,0,$A$2),IF($B$2,""&amp;$A63,$A63)))</f>
        <v>0</v>
      </c>
      <c r="AB63" s="15" t="n">
        <f aca="false">IF(OR(AB$2=0,$A$2=0),0,SUMIFS(INDEX(输入海典!$A$1:$AN$20000,0,AB$2),INDEX(输入海典!$A$1:$AN$20000,0,$A$2),IF($B$2,""&amp;$A63,$A63)))</f>
        <v>0</v>
      </c>
      <c r="AC63" s="15" t="n">
        <f aca="false">IF(OR(AC$2=0,$A$2=0),0,SUMIFS(INDEX(输入海典!$A$1:$AN$20000,0,AC$2),INDEX(输入海典!$A$1:$AN$20000,0,$A$2),IF($B$2,""&amp;$A63,$A63)))</f>
        <v>0</v>
      </c>
      <c r="AD63" s="15" t="n">
        <f aca="false">IF(OR(AD$2=0,$A$2=0),0,SUMIFS(INDEX(输入海典!$A$1:$AN$20000,0,AD$2),INDEX(输入海典!$A$1:$AN$20000,0,$A$2),IF($B$2,""&amp;$A63,$A63)))</f>
        <v>0</v>
      </c>
      <c r="AE63" s="15" t="n">
        <f aca="false">IF(OR(AE$2=0,$A$2=0),0,SUMIFS(INDEX(输入海典!$A$1:$AN$20000,0,AE$2),INDEX(输入海典!$A$1:$AN$20000,0,$A$2),IF($B$2,""&amp;$A63,$A63)))</f>
        <v>0</v>
      </c>
    </row>
    <row r="64" customFormat="false" ht="14.9" hidden="false" customHeight="false" outlineLevel="0" collapsed="false">
      <c r="A64" s="25" t="str">
        <f aca="false">IF(门店对照!$D63=1,门店对照!$A63,"#未启用#")</f>
        <v>#未启用#</v>
      </c>
      <c r="B64" s="26" t="str">
        <f aca="false">IF(门店对照!$B63="","",门店对照!$B63)</f>
        <v>备用17</v>
      </c>
      <c r="C64" s="15" t="n">
        <f aca="false">IF(OR(C$2=0,$A$2=0),0,SUMIFS(INDEX(输入海典!$A$1:$AN$20000,0,C$2),INDEX(输入海典!$A$1:$AN$20000,0,$A$2),IF($B$2,""&amp;$A64,$A64)))</f>
        <v>0</v>
      </c>
      <c r="D64" s="15" t="n">
        <f aca="false">IF(OR(D$2=0,$A$2=0),0,SUMIFS(INDEX(输入海典!$A$1:$AN$20000,0,D$2),INDEX(输入海典!$A$1:$AN$20000,0,$A$2),IF($B$2,""&amp;$A64,$A64)))</f>
        <v>0</v>
      </c>
      <c r="E64" s="15" t="n">
        <f aca="false">IF(OR(E$2=0,$A$2=0),0,SUMIFS(INDEX(输入海典!$A$1:$AN$20000,0,E$2),INDEX(输入海典!$A$1:$AN$20000,0,$A$2),IF($B$2,""&amp;$A64,$A64)))</f>
        <v>0</v>
      </c>
      <c r="F64" s="15" t="n">
        <f aca="false">IF(OR(F$2=0,$A$2=0),0,SUMIFS(INDEX(输入海典!$A$1:$AN$20000,0,F$2),INDEX(输入海典!$A$1:$AN$20000,0,$A$2),IF($B$2,""&amp;$A64,$A64)))</f>
        <v>0</v>
      </c>
      <c r="G64" s="15" t="n">
        <f aca="false">IF(OR(G$2=0,$A$2=0),0,SUMIFS(INDEX(输入海典!$A$1:$AN$20000,0,G$2),INDEX(输入海典!$A$1:$AN$20000,0,$A$2),IF($B$2,""&amp;$A64,$A64)))</f>
        <v>0</v>
      </c>
      <c r="H64" s="15" t="n">
        <f aca="false">IF(OR(H$2=0,$A$2=0),0,SUMIFS(INDEX(输入海典!$A$1:$AN$20000,0,H$2),INDEX(输入海典!$A$1:$AN$20000,0,$A$2),IF($B$2,""&amp;$A64,$A64)))</f>
        <v>0</v>
      </c>
      <c r="I64" s="15" t="n">
        <f aca="false">IF(OR(I$2=0,$A$2=0),0,SUMIFS(INDEX(输入海典!$A$1:$AN$20000,0,I$2),INDEX(输入海典!$A$1:$AN$20000,0,$A$2),IF($B$2,""&amp;$A64,$A64)))</f>
        <v>0</v>
      </c>
      <c r="J64" s="15" t="n">
        <f aca="false">IF(OR(J$2=0,$A$2=0),0,SUMIFS(INDEX(输入海典!$A$1:$AN$20000,0,J$2),INDEX(输入海典!$A$1:$AN$20000,0,$A$2),IF($B$2,""&amp;$A64,$A64)))</f>
        <v>0</v>
      </c>
      <c r="K64" s="15" t="n">
        <f aca="false">IF(OR(K$2=0,$A$2=0),0,SUMIFS(INDEX(输入海典!$A$1:$AN$20000,0,K$2),INDEX(输入海典!$A$1:$AN$20000,0,$A$2),IF($B$2,""&amp;$A64,$A64)))</f>
        <v>0</v>
      </c>
      <c r="L64" s="15" t="n">
        <f aca="false">IF(OR(L$2=0,$A$2=0),0,SUMIFS(INDEX(输入海典!$A$1:$AN$20000,0,L$2),INDEX(输入海典!$A$1:$AN$20000,0,$A$2),IF($B$2,""&amp;$A64,$A64)))</f>
        <v>0</v>
      </c>
      <c r="M64" s="15" t="n">
        <f aca="false">IF(OR(M$2=0,$A$2=0),0,SUMIFS(INDEX(输入海典!$A$1:$AN$20000,0,M$2),INDEX(输入海典!$A$1:$AN$20000,0,$A$2),IF($B$2,""&amp;$A64,$A64)))</f>
        <v>0</v>
      </c>
      <c r="N64" s="15" t="n">
        <f aca="false">IF(OR(N$2=0,$A$2=0),0,SUMIFS(INDEX(输入海典!$A$1:$AN$20000,0,N$2),INDEX(输入海典!$A$1:$AN$20000,0,$A$2),IF($B$2,""&amp;$A64,$A64)))</f>
        <v>0</v>
      </c>
      <c r="O64" s="15" t="n">
        <f aca="false">IF(OR(O$2=0,$A$2=0),0,SUMIFS(INDEX(输入海典!$A$1:$AN$20000,0,O$2),INDEX(输入海典!$A$1:$AN$20000,0,$A$2),IF($B$2,""&amp;$A64,$A64)))</f>
        <v>0</v>
      </c>
      <c r="P64" s="15" t="n">
        <f aca="false">IF(OR(P$2=0,$A$2=0),0,SUMIFS(INDEX(输入海典!$A$1:$AN$20000,0,P$2),INDEX(输入海典!$A$1:$AN$20000,0,$A$2),IF($B$2,""&amp;$A64,$A64)))</f>
        <v>0</v>
      </c>
      <c r="Q64" s="15" t="n">
        <f aca="false">IF(OR(Q$2=0,$A$2=0),0,SUMIFS(INDEX(输入海典!$A$1:$AN$20000,0,Q$2),INDEX(输入海典!$A$1:$AN$20000,0,$A$2),IF($B$2,""&amp;$A64,$A64)))</f>
        <v>0</v>
      </c>
      <c r="R64" s="15" t="n">
        <f aca="false">IF(OR(R$2=0,$A$2=0),0,SUMIFS(INDEX(输入海典!$A$1:$AN$20000,0,R$2),INDEX(输入海典!$A$1:$AN$20000,0,$A$2),IF($B$2,""&amp;$A64,$A64)))</f>
        <v>0</v>
      </c>
      <c r="S64" s="15" t="n">
        <f aca="false">IF(OR(S$2=0,$A$2=0),0,SUMIFS(INDEX(输入海典!$A$1:$AN$20000,0,S$2),INDEX(输入海典!$A$1:$AN$20000,0,$A$2),IF($B$2,""&amp;$A64,$A64)))</f>
        <v>0</v>
      </c>
      <c r="T64" s="15" t="n">
        <f aca="false">IF(OR(T$2=0,$A$2=0),0,SUMIFS(INDEX(输入海典!$A$1:$AN$20000,0,T$2),INDEX(输入海典!$A$1:$AN$20000,0,$A$2),IF($B$2,""&amp;$A64,$A64)))</f>
        <v>0</v>
      </c>
      <c r="U64" s="15" t="n">
        <f aca="false">IF(OR(U$2=0,$A$2=0),0,SUMIFS(INDEX(输入海典!$A$1:$AN$20000,0,U$2),INDEX(输入海典!$A$1:$AN$20000,0,$A$2),IF($B$2,""&amp;$A64,$A64)))</f>
        <v>0</v>
      </c>
      <c r="V64" s="15" t="n">
        <f aca="false">IF(OR(V$2=0,$A$2=0),0,SUMIFS(INDEX(输入海典!$A$1:$AN$20000,0,V$2),INDEX(输入海典!$A$1:$AN$20000,0,$A$2),IF($B$2,""&amp;$A64,$A64)))</f>
        <v>0</v>
      </c>
      <c r="W64" s="15" t="n">
        <f aca="false">IF(OR(W$2=0,$A$2=0),0,SUMIFS(INDEX(输入海典!$A$1:$AN$20000,0,W$2),INDEX(输入海典!$A$1:$AN$20000,0,$A$2),IF($B$2,""&amp;$A64,$A64)))</f>
        <v>0</v>
      </c>
      <c r="X64" s="15" t="n">
        <f aca="false">IF(OR(X$2=0,$A$2=0),0,SUMIFS(INDEX(输入海典!$A$1:$AN$20000,0,X$2),INDEX(输入海典!$A$1:$AN$20000,0,$A$2),IF($B$2,""&amp;$A64,$A64)))</f>
        <v>0</v>
      </c>
      <c r="Y64" s="15" t="n">
        <f aca="false">IF(OR(Y$2=0,$A$2=0),0,SUMIFS(INDEX(输入海典!$A$1:$AN$20000,0,Y$2),INDEX(输入海典!$A$1:$AN$20000,0,$A$2),IF($B$2,""&amp;$A64,$A64)))</f>
        <v>0</v>
      </c>
      <c r="Z64" s="15" t="n">
        <f aca="false">IF(OR(Z$2=0,$A$2=0),0,SUMIFS(INDEX(输入海典!$A$1:$AN$20000,0,Z$2),INDEX(输入海典!$A$1:$AN$20000,0,$A$2),IF($B$2,""&amp;$A64,$A64)))</f>
        <v>0</v>
      </c>
      <c r="AA64" s="15" t="n">
        <f aca="false">IF(OR(AA$2=0,$A$2=0),0,SUMIFS(INDEX(输入海典!$A$1:$AN$20000,0,AA$2),INDEX(输入海典!$A$1:$AN$20000,0,$A$2),IF($B$2,""&amp;$A64,$A64)))</f>
        <v>0</v>
      </c>
      <c r="AB64" s="15" t="n">
        <f aca="false">IF(OR(AB$2=0,$A$2=0),0,SUMIFS(INDEX(输入海典!$A$1:$AN$20000,0,AB$2),INDEX(输入海典!$A$1:$AN$20000,0,$A$2),IF($B$2,""&amp;$A64,$A64)))</f>
        <v>0</v>
      </c>
      <c r="AC64" s="15" t="n">
        <f aca="false">IF(OR(AC$2=0,$A$2=0),0,SUMIFS(INDEX(输入海典!$A$1:$AN$20000,0,AC$2),INDEX(输入海典!$A$1:$AN$20000,0,$A$2),IF($B$2,""&amp;$A64,$A64)))</f>
        <v>0</v>
      </c>
      <c r="AD64" s="15" t="n">
        <f aca="false">IF(OR(AD$2=0,$A$2=0),0,SUMIFS(INDEX(输入海典!$A$1:$AN$20000,0,AD$2),INDEX(输入海典!$A$1:$AN$20000,0,$A$2),IF($B$2,""&amp;$A64,$A64)))</f>
        <v>0</v>
      </c>
      <c r="AE64" s="15" t="n">
        <f aca="false">IF(OR(AE$2=0,$A$2=0),0,SUMIFS(INDEX(输入海典!$A$1:$AN$20000,0,AE$2),INDEX(输入海典!$A$1:$AN$20000,0,$A$2),IF($B$2,""&amp;$A64,$A64)))</f>
        <v>0</v>
      </c>
    </row>
    <row r="65" customFormat="false" ht="14.9" hidden="false" customHeight="false" outlineLevel="0" collapsed="false">
      <c r="A65" s="25" t="str">
        <f aca="false">IF(门店对照!$D64=1,门店对照!$A64,"#未启用#")</f>
        <v>#未启用#</v>
      </c>
      <c r="B65" s="26" t="str">
        <f aca="false">IF(门店对照!$B64="","",门店对照!$B64)</f>
        <v>备用18</v>
      </c>
      <c r="C65" s="15" t="n">
        <f aca="false">IF(OR(C$2=0,$A$2=0),0,SUMIFS(INDEX(输入海典!$A$1:$AN$20000,0,C$2),INDEX(输入海典!$A$1:$AN$20000,0,$A$2),IF($B$2,""&amp;$A65,$A65)))</f>
        <v>0</v>
      </c>
      <c r="D65" s="15" t="n">
        <f aca="false">IF(OR(D$2=0,$A$2=0),0,SUMIFS(INDEX(输入海典!$A$1:$AN$20000,0,D$2),INDEX(输入海典!$A$1:$AN$20000,0,$A$2),IF($B$2,""&amp;$A65,$A65)))</f>
        <v>0</v>
      </c>
      <c r="E65" s="15" t="n">
        <f aca="false">IF(OR(E$2=0,$A$2=0),0,SUMIFS(INDEX(输入海典!$A$1:$AN$20000,0,E$2),INDEX(输入海典!$A$1:$AN$20000,0,$A$2),IF($B$2,""&amp;$A65,$A65)))</f>
        <v>0</v>
      </c>
      <c r="F65" s="15" t="n">
        <f aca="false">IF(OR(F$2=0,$A$2=0),0,SUMIFS(INDEX(输入海典!$A$1:$AN$20000,0,F$2),INDEX(输入海典!$A$1:$AN$20000,0,$A$2),IF($B$2,""&amp;$A65,$A65)))</f>
        <v>0</v>
      </c>
      <c r="G65" s="15" t="n">
        <f aca="false">IF(OR(G$2=0,$A$2=0),0,SUMIFS(INDEX(输入海典!$A$1:$AN$20000,0,G$2),INDEX(输入海典!$A$1:$AN$20000,0,$A$2),IF($B$2,""&amp;$A65,$A65)))</f>
        <v>0</v>
      </c>
      <c r="H65" s="15" t="n">
        <f aca="false">IF(OR(H$2=0,$A$2=0),0,SUMIFS(INDEX(输入海典!$A$1:$AN$20000,0,H$2),INDEX(输入海典!$A$1:$AN$20000,0,$A$2),IF($B$2,""&amp;$A65,$A65)))</f>
        <v>0</v>
      </c>
      <c r="I65" s="15" t="n">
        <f aca="false">IF(OR(I$2=0,$A$2=0),0,SUMIFS(INDEX(输入海典!$A$1:$AN$20000,0,I$2),INDEX(输入海典!$A$1:$AN$20000,0,$A$2),IF($B$2,""&amp;$A65,$A65)))</f>
        <v>0</v>
      </c>
      <c r="J65" s="15" t="n">
        <f aca="false">IF(OR(J$2=0,$A$2=0),0,SUMIFS(INDEX(输入海典!$A$1:$AN$20000,0,J$2),INDEX(输入海典!$A$1:$AN$20000,0,$A$2),IF($B$2,""&amp;$A65,$A65)))</f>
        <v>0</v>
      </c>
      <c r="K65" s="15" t="n">
        <f aca="false">IF(OR(K$2=0,$A$2=0),0,SUMIFS(INDEX(输入海典!$A$1:$AN$20000,0,K$2),INDEX(输入海典!$A$1:$AN$20000,0,$A$2),IF($B$2,""&amp;$A65,$A65)))</f>
        <v>0</v>
      </c>
      <c r="L65" s="15" t="n">
        <f aca="false">IF(OR(L$2=0,$A$2=0),0,SUMIFS(INDEX(输入海典!$A$1:$AN$20000,0,L$2),INDEX(输入海典!$A$1:$AN$20000,0,$A$2),IF($B$2,""&amp;$A65,$A65)))</f>
        <v>0</v>
      </c>
      <c r="M65" s="15" t="n">
        <f aca="false">IF(OR(M$2=0,$A$2=0),0,SUMIFS(INDEX(输入海典!$A$1:$AN$20000,0,M$2),INDEX(输入海典!$A$1:$AN$20000,0,$A$2),IF($B$2,""&amp;$A65,$A65)))</f>
        <v>0</v>
      </c>
      <c r="N65" s="15" t="n">
        <f aca="false">IF(OR(N$2=0,$A$2=0),0,SUMIFS(INDEX(输入海典!$A$1:$AN$20000,0,N$2),INDEX(输入海典!$A$1:$AN$20000,0,$A$2),IF($B$2,""&amp;$A65,$A65)))</f>
        <v>0</v>
      </c>
      <c r="O65" s="15" t="n">
        <f aca="false">IF(OR(O$2=0,$A$2=0),0,SUMIFS(INDEX(输入海典!$A$1:$AN$20000,0,O$2),INDEX(输入海典!$A$1:$AN$20000,0,$A$2),IF($B$2,""&amp;$A65,$A65)))</f>
        <v>0</v>
      </c>
      <c r="P65" s="15" t="n">
        <f aca="false">IF(OR(P$2=0,$A$2=0),0,SUMIFS(INDEX(输入海典!$A$1:$AN$20000,0,P$2),INDEX(输入海典!$A$1:$AN$20000,0,$A$2),IF($B$2,""&amp;$A65,$A65)))</f>
        <v>0</v>
      </c>
      <c r="Q65" s="15" t="n">
        <f aca="false">IF(OR(Q$2=0,$A$2=0),0,SUMIFS(INDEX(输入海典!$A$1:$AN$20000,0,Q$2),INDEX(输入海典!$A$1:$AN$20000,0,$A$2),IF($B$2,""&amp;$A65,$A65)))</f>
        <v>0</v>
      </c>
      <c r="R65" s="15" t="n">
        <f aca="false">IF(OR(R$2=0,$A$2=0),0,SUMIFS(INDEX(输入海典!$A$1:$AN$20000,0,R$2),INDEX(输入海典!$A$1:$AN$20000,0,$A$2),IF($B$2,""&amp;$A65,$A65)))</f>
        <v>0</v>
      </c>
      <c r="S65" s="15" t="n">
        <f aca="false">IF(OR(S$2=0,$A$2=0),0,SUMIFS(INDEX(输入海典!$A$1:$AN$20000,0,S$2),INDEX(输入海典!$A$1:$AN$20000,0,$A$2),IF($B$2,""&amp;$A65,$A65)))</f>
        <v>0</v>
      </c>
      <c r="T65" s="15" t="n">
        <f aca="false">IF(OR(T$2=0,$A$2=0),0,SUMIFS(INDEX(输入海典!$A$1:$AN$20000,0,T$2),INDEX(输入海典!$A$1:$AN$20000,0,$A$2),IF($B$2,""&amp;$A65,$A65)))</f>
        <v>0</v>
      </c>
      <c r="U65" s="15" t="n">
        <f aca="false">IF(OR(U$2=0,$A$2=0),0,SUMIFS(INDEX(输入海典!$A$1:$AN$20000,0,U$2),INDEX(输入海典!$A$1:$AN$20000,0,$A$2),IF($B$2,""&amp;$A65,$A65)))</f>
        <v>0</v>
      </c>
      <c r="V65" s="15" t="n">
        <f aca="false">IF(OR(V$2=0,$A$2=0),0,SUMIFS(INDEX(输入海典!$A$1:$AN$20000,0,V$2),INDEX(输入海典!$A$1:$AN$20000,0,$A$2),IF($B$2,""&amp;$A65,$A65)))</f>
        <v>0</v>
      </c>
      <c r="W65" s="15" t="n">
        <f aca="false">IF(OR(W$2=0,$A$2=0),0,SUMIFS(INDEX(输入海典!$A$1:$AN$20000,0,W$2),INDEX(输入海典!$A$1:$AN$20000,0,$A$2),IF($B$2,""&amp;$A65,$A65)))</f>
        <v>0</v>
      </c>
      <c r="X65" s="15" t="n">
        <f aca="false">IF(OR(X$2=0,$A$2=0),0,SUMIFS(INDEX(输入海典!$A$1:$AN$20000,0,X$2),INDEX(输入海典!$A$1:$AN$20000,0,$A$2),IF($B$2,""&amp;$A65,$A65)))</f>
        <v>0</v>
      </c>
      <c r="Y65" s="15" t="n">
        <f aca="false">IF(OR(Y$2=0,$A$2=0),0,SUMIFS(INDEX(输入海典!$A$1:$AN$20000,0,Y$2),INDEX(输入海典!$A$1:$AN$20000,0,$A$2),IF($B$2,""&amp;$A65,$A65)))</f>
        <v>0</v>
      </c>
      <c r="Z65" s="15" t="n">
        <f aca="false">IF(OR(Z$2=0,$A$2=0),0,SUMIFS(INDEX(输入海典!$A$1:$AN$20000,0,Z$2),INDEX(输入海典!$A$1:$AN$20000,0,$A$2),IF($B$2,""&amp;$A65,$A65)))</f>
        <v>0</v>
      </c>
      <c r="AA65" s="15" t="n">
        <f aca="false">IF(OR(AA$2=0,$A$2=0),0,SUMIFS(INDEX(输入海典!$A$1:$AN$20000,0,AA$2),INDEX(输入海典!$A$1:$AN$20000,0,$A$2),IF($B$2,""&amp;$A65,$A65)))</f>
        <v>0</v>
      </c>
      <c r="AB65" s="15" t="n">
        <f aca="false">IF(OR(AB$2=0,$A$2=0),0,SUMIFS(INDEX(输入海典!$A$1:$AN$20000,0,AB$2),INDEX(输入海典!$A$1:$AN$20000,0,$A$2),IF($B$2,""&amp;$A65,$A65)))</f>
        <v>0</v>
      </c>
      <c r="AC65" s="15" t="n">
        <f aca="false">IF(OR(AC$2=0,$A$2=0),0,SUMIFS(INDEX(输入海典!$A$1:$AN$20000,0,AC$2),INDEX(输入海典!$A$1:$AN$20000,0,$A$2),IF($B$2,""&amp;$A65,$A65)))</f>
        <v>0</v>
      </c>
      <c r="AD65" s="15" t="n">
        <f aca="false">IF(OR(AD$2=0,$A$2=0),0,SUMIFS(INDEX(输入海典!$A$1:$AN$20000,0,AD$2),INDEX(输入海典!$A$1:$AN$20000,0,$A$2),IF($B$2,""&amp;$A65,$A65)))</f>
        <v>0</v>
      </c>
      <c r="AE65" s="15" t="n">
        <f aca="false">IF(OR(AE$2=0,$A$2=0),0,SUMIFS(INDEX(输入海典!$A$1:$AN$20000,0,AE$2),INDEX(输入海典!$A$1:$AN$20000,0,$A$2),IF($B$2,""&amp;$A65,$A65)))</f>
        <v>0</v>
      </c>
    </row>
    <row r="66" customFormat="false" ht="14.9" hidden="false" customHeight="false" outlineLevel="0" collapsed="false">
      <c r="A66" s="25" t="str">
        <f aca="false">IF(门店对照!$D65=1,门店对照!$A65,"#未启用#")</f>
        <v>#未启用#</v>
      </c>
      <c r="B66" s="26" t="str">
        <f aca="false">IF(门店对照!$B65="","",门店对照!$B65)</f>
        <v>备用19</v>
      </c>
      <c r="C66" s="15" t="n">
        <f aca="false">IF(OR(C$2=0,$A$2=0),0,SUMIFS(INDEX(输入海典!$A$1:$AN$20000,0,C$2),INDEX(输入海典!$A$1:$AN$20000,0,$A$2),IF($B$2,""&amp;$A66,$A66)))</f>
        <v>0</v>
      </c>
      <c r="D66" s="15" t="n">
        <f aca="false">IF(OR(D$2=0,$A$2=0),0,SUMIFS(INDEX(输入海典!$A$1:$AN$20000,0,D$2),INDEX(输入海典!$A$1:$AN$20000,0,$A$2),IF($B$2,""&amp;$A66,$A66)))</f>
        <v>0</v>
      </c>
      <c r="E66" s="15" t="n">
        <f aca="false">IF(OR(E$2=0,$A$2=0),0,SUMIFS(INDEX(输入海典!$A$1:$AN$20000,0,E$2),INDEX(输入海典!$A$1:$AN$20000,0,$A$2),IF($B$2,""&amp;$A66,$A66)))</f>
        <v>0</v>
      </c>
      <c r="F66" s="15" t="n">
        <f aca="false">IF(OR(F$2=0,$A$2=0),0,SUMIFS(INDEX(输入海典!$A$1:$AN$20000,0,F$2),INDEX(输入海典!$A$1:$AN$20000,0,$A$2),IF($B$2,""&amp;$A66,$A66)))</f>
        <v>0</v>
      </c>
      <c r="G66" s="15" t="n">
        <f aca="false">IF(OR(G$2=0,$A$2=0),0,SUMIFS(INDEX(输入海典!$A$1:$AN$20000,0,G$2),INDEX(输入海典!$A$1:$AN$20000,0,$A$2),IF($B$2,""&amp;$A66,$A66)))</f>
        <v>0</v>
      </c>
      <c r="H66" s="15" t="n">
        <f aca="false">IF(OR(H$2=0,$A$2=0),0,SUMIFS(INDEX(输入海典!$A$1:$AN$20000,0,H$2),INDEX(输入海典!$A$1:$AN$20000,0,$A$2),IF($B$2,""&amp;$A66,$A66)))</f>
        <v>0</v>
      </c>
      <c r="I66" s="15" t="n">
        <f aca="false">IF(OR(I$2=0,$A$2=0),0,SUMIFS(INDEX(输入海典!$A$1:$AN$20000,0,I$2),INDEX(输入海典!$A$1:$AN$20000,0,$A$2),IF($B$2,""&amp;$A66,$A66)))</f>
        <v>0</v>
      </c>
      <c r="J66" s="15" t="n">
        <f aca="false">IF(OR(J$2=0,$A$2=0),0,SUMIFS(INDEX(输入海典!$A$1:$AN$20000,0,J$2),INDEX(输入海典!$A$1:$AN$20000,0,$A$2),IF($B$2,""&amp;$A66,$A66)))</f>
        <v>0</v>
      </c>
      <c r="K66" s="15" t="n">
        <f aca="false">IF(OR(K$2=0,$A$2=0),0,SUMIFS(INDEX(输入海典!$A$1:$AN$20000,0,K$2),INDEX(输入海典!$A$1:$AN$20000,0,$A$2),IF($B$2,""&amp;$A66,$A66)))</f>
        <v>0</v>
      </c>
      <c r="L66" s="15" t="n">
        <f aca="false">IF(OR(L$2=0,$A$2=0),0,SUMIFS(INDEX(输入海典!$A$1:$AN$20000,0,L$2),INDEX(输入海典!$A$1:$AN$20000,0,$A$2),IF($B$2,""&amp;$A66,$A66)))</f>
        <v>0</v>
      </c>
      <c r="M66" s="15" t="n">
        <f aca="false">IF(OR(M$2=0,$A$2=0),0,SUMIFS(INDEX(输入海典!$A$1:$AN$20000,0,M$2),INDEX(输入海典!$A$1:$AN$20000,0,$A$2),IF($B$2,""&amp;$A66,$A66)))</f>
        <v>0</v>
      </c>
      <c r="N66" s="15" t="n">
        <f aca="false">IF(OR(N$2=0,$A$2=0),0,SUMIFS(INDEX(输入海典!$A$1:$AN$20000,0,N$2),INDEX(输入海典!$A$1:$AN$20000,0,$A$2),IF($B$2,""&amp;$A66,$A66)))</f>
        <v>0</v>
      </c>
      <c r="O66" s="15" t="n">
        <f aca="false">IF(OR(O$2=0,$A$2=0),0,SUMIFS(INDEX(输入海典!$A$1:$AN$20000,0,O$2),INDEX(输入海典!$A$1:$AN$20000,0,$A$2),IF($B$2,""&amp;$A66,$A66)))</f>
        <v>0</v>
      </c>
      <c r="P66" s="15" t="n">
        <f aca="false">IF(OR(P$2=0,$A$2=0),0,SUMIFS(INDEX(输入海典!$A$1:$AN$20000,0,P$2),INDEX(输入海典!$A$1:$AN$20000,0,$A$2),IF($B$2,""&amp;$A66,$A66)))</f>
        <v>0</v>
      </c>
      <c r="Q66" s="15" t="n">
        <f aca="false">IF(OR(Q$2=0,$A$2=0),0,SUMIFS(INDEX(输入海典!$A$1:$AN$20000,0,Q$2),INDEX(输入海典!$A$1:$AN$20000,0,$A$2),IF($B$2,""&amp;$A66,$A66)))</f>
        <v>0</v>
      </c>
      <c r="R66" s="15" t="n">
        <f aca="false">IF(OR(R$2=0,$A$2=0),0,SUMIFS(INDEX(输入海典!$A$1:$AN$20000,0,R$2),INDEX(输入海典!$A$1:$AN$20000,0,$A$2),IF($B$2,""&amp;$A66,$A66)))</f>
        <v>0</v>
      </c>
      <c r="S66" s="15" t="n">
        <f aca="false">IF(OR(S$2=0,$A$2=0),0,SUMIFS(INDEX(输入海典!$A$1:$AN$20000,0,S$2),INDEX(输入海典!$A$1:$AN$20000,0,$A$2),IF($B$2,""&amp;$A66,$A66)))</f>
        <v>0</v>
      </c>
      <c r="T66" s="15" t="n">
        <f aca="false">IF(OR(T$2=0,$A$2=0),0,SUMIFS(INDEX(输入海典!$A$1:$AN$20000,0,T$2),INDEX(输入海典!$A$1:$AN$20000,0,$A$2),IF($B$2,""&amp;$A66,$A66)))</f>
        <v>0</v>
      </c>
      <c r="U66" s="15" t="n">
        <f aca="false">IF(OR(U$2=0,$A$2=0),0,SUMIFS(INDEX(输入海典!$A$1:$AN$20000,0,U$2),INDEX(输入海典!$A$1:$AN$20000,0,$A$2),IF($B$2,""&amp;$A66,$A66)))</f>
        <v>0</v>
      </c>
      <c r="V66" s="15" t="n">
        <f aca="false">IF(OR(V$2=0,$A$2=0),0,SUMIFS(INDEX(输入海典!$A$1:$AN$20000,0,V$2),INDEX(输入海典!$A$1:$AN$20000,0,$A$2),IF($B$2,""&amp;$A66,$A66)))</f>
        <v>0</v>
      </c>
      <c r="W66" s="15" t="n">
        <f aca="false">IF(OR(W$2=0,$A$2=0),0,SUMIFS(INDEX(输入海典!$A$1:$AN$20000,0,W$2),INDEX(输入海典!$A$1:$AN$20000,0,$A$2),IF($B$2,""&amp;$A66,$A66)))</f>
        <v>0</v>
      </c>
      <c r="X66" s="15" t="n">
        <f aca="false">IF(OR(X$2=0,$A$2=0),0,SUMIFS(INDEX(输入海典!$A$1:$AN$20000,0,X$2),INDEX(输入海典!$A$1:$AN$20000,0,$A$2),IF($B$2,""&amp;$A66,$A66)))</f>
        <v>0</v>
      </c>
      <c r="Y66" s="15" t="n">
        <f aca="false">IF(OR(Y$2=0,$A$2=0),0,SUMIFS(INDEX(输入海典!$A$1:$AN$20000,0,Y$2),INDEX(输入海典!$A$1:$AN$20000,0,$A$2),IF($B$2,""&amp;$A66,$A66)))</f>
        <v>0</v>
      </c>
      <c r="Z66" s="15" t="n">
        <f aca="false">IF(OR(Z$2=0,$A$2=0),0,SUMIFS(INDEX(输入海典!$A$1:$AN$20000,0,Z$2),INDEX(输入海典!$A$1:$AN$20000,0,$A$2),IF($B$2,""&amp;$A66,$A66)))</f>
        <v>0</v>
      </c>
      <c r="AA66" s="15" t="n">
        <f aca="false">IF(OR(AA$2=0,$A$2=0),0,SUMIFS(INDEX(输入海典!$A$1:$AN$20000,0,AA$2),INDEX(输入海典!$A$1:$AN$20000,0,$A$2),IF($B$2,""&amp;$A66,$A66)))</f>
        <v>0</v>
      </c>
      <c r="AB66" s="15" t="n">
        <f aca="false">IF(OR(AB$2=0,$A$2=0),0,SUMIFS(INDEX(输入海典!$A$1:$AN$20000,0,AB$2),INDEX(输入海典!$A$1:$AN$20000,0,$A$2),IF($B$2,""&amp;$A66,$A66)))</f>
        <v>0</v>
      </c>
      <c r="AC66" s="15" t="n">
        <f aca="false">IF(OR(AC$2=0,$A$2=0),0,SUMIFS(INDEX(输入海典!$A$1:$AN$20000,0,AC$2),INDEX(输入海典!$A$1:$AN$20000,0,$A$2),IF($B$2,""&amp;$A66,$A66)))</f>
        <v>0</v>
      </c>
      <c r="AD66" s="15" t="n">
        <f aca="false">IF(OR(AD$2=0,$A$2=0),0,SUMIFS(INDEX(输入海典!$A$1:$AN$20000,0,AD$2),INDEX(输入海典!$A$1:$AN$20000,0,$A$2),IF($B$2,""&amp;$A66,$A66)))</f>
        <v>0</v>
      </c>
      <c r="AE66" s="15" t="n">
        <f aca="false">IF(OR(AE$2=0,$A$2=0),0,SUMIFS(INDEX(输入海典!$A$1:$AN$20000,0,AE$2),INDEX(输入海典!$A$1:$AN$20000,0,$A$2),IF($B$2,""&amp;$A66,$A66)))</f>
        <v>0</v>
      </c>
    </row>
    <row r="67" customFormat="false" ht="14.9" hidden="false" customHeight="false" outlineLevel="0" collapsed="false">
      <c r="A67" s="25" t="str">
        <f aca="false">IF(门店对照!$D66=1,门店对照!$A66,"#未启用#")</f>
        <v>#未启用#</v>
      </c>
      <c r="B67" s="26" t="str">
        <f aca="false">IF(门店对照!$B66="","",门店对照!$B66)</f>
        <v>备用20</v>
      </c>
      <c r="C67" s="15" t="n">
        <f aca="false">IF(OR(C$2=0,$A$2=0),0,SUMIFS(INDEX(输入海典!$A$1:$AN$20000,0,C$2),INDEX(输入海典!$A$1:$AN$20000,0,$A$2),IF($B$2,""&amp;$A67,$A67)))</f>
        <v>0</v>
      </c>
      <c r="D67" s="15" t="n">
        <f aca="false">IF(OR(D$2=0,$A$2=0),0,SUMIFS(INDEX(输入海典!$A$1:$AN$20000,0,D$2),INDEX(输入海典!$A$1:$AN$20000,0,$A$2),IF($B$2,""&amp;$A67,$A67)))</f>
        <v>0</v>
      </c>
      <c r="E67" s="15" t="n">
        <f aca="false">IF(OR(E$2=0,$A$2=0),0,SUMIFS(INDEX(输入海典!$A$1:$AN$20000,0,E$2),INDEX(输入海典!$A$1:$AN$20000,0,$A$2),IF($B$2,""&amp;$A67,$A67)))</f>
        <v>0</v>
      </c>
      <c r="F67" s="15" t="n">
        <f aca="false">IF(OR(F$2=0,$A$2=0),0,SUMIFS(INDEX(输入海典!$A$1:$AN$20000,0,F$2),INDEX(输入海典!$A$1:$AN$20000,0,$A$2),IF($B$2,""&amp;$A67,$A67)))</f>
        <v>0</v>
      </c>
      <c r="G67" s="15" t="n">
        <f aca="false">IF(OR(G$2=0,$A$2=0),0,SUMIFS(INDEX(输入海典!$A$1:$AN$20000,0,G$2),INDEX(输入海典!$A$1:$AN$20000,0,$A$2),IF($B$2,""&amp;$A67,$A67)))</f>
        <v>0</v>
      </c>
      <c r="H67" s="15" t="n">
        <f aca="false">IF(OR(H$2=0,$A$2=0),0,SUMIFS(INDEX(输入海典!$A$1:$AN$20000,0,H$2),INDEX(输入海典!$A$1:$AN$20000,0,$A$2),IF($B$2,""&amp;$A67,$A67)))</f>
        <v>0</v>
      </c>
      <c r="I67" s="15" t="n">
        <f aca="false">IF(OR(I$2=0,$A$2=0),0,SUMIFS(INDEX(输入海典!$A$1:$AN$20000,0,I$2),INDEX(输入海典!$A$1:$AN$20000,0,$A$2),IF($B$2,""&amp;$A67,$A67)))</f>
        <v>0</v>
      </c>
      <c r="J67" s="15" t="n">
        <f aca="false">IF(OR(J$2=0,$A$2=0),0,SUMIFS(INDEX(输入海典!$A$1:$AN$20000,0,J$2),INDEX(输入海典!$A$1:$AN$20000,0,$A$2),IF($B$2,""&amp;$A67,$A67)))</f>
        <v>0</v>
      </c>
      <c r="K67" s="15" t="n">
        <f aca="false">IF(OR(K$2=0,$A$2=0),0,SUMIFS(INDEX(输入海典!$A$1:$AN$20000,0,K$2),INDEX(输入海典!$A$1:$AN$20000,0,$A$2),IF($B$2,""&amp;$A67,$A67)))</f>
        <v>0</v>
      </c>
      <c r="L67" s="15" t="n">
        <f aca="false">IF(OR(L$2=0,$A$2=0),0,SUMIFS(INDEX(输入海典!$A$1:$AN$20000,0,L$2),INDEX(输入海典!$A$1:$AN$20000,0,$A$2),IF($B$2,""&amp;$A67,$A67)))</f>
        <v>0</v>
      </c>
      <c r="M67" s="15" t="n">
        <f aca="false">IF(OR(M$2=0,$A$2=0),0,SUMIFS(INDEX(输入海典!$A$1:$AN$20000,0,M$2),INDEX(输入海典!$A$1:$AN$20000,0,$A$2),IF($B$2,""&amp;$A67,$A67)))</f>
        <v>0</v>
      </c>
      <c r="N67" s="15" t="n">
        <f aca="false">IF(OR(N$2=0,$A$2=0),0,SUMIFS(INDEX(输入海典!$A$1:$AN$20000,0,N$2),INDEX(输入海典!$A$1:$AN$20000,0,$A$2),IF($B$2,""&amp;$A67,$A67)))</f>
        <v>0</v>
      </c>
      <c r="O67" s="15" t="n">
        <f aca="false">IF(OR(O$2=0,$A$2=0),0,SUMIFS(INDEX(输入海典!$A$1:$AN$20000,0,O$2),INDEX(输入海典!$A$1:$AN$20000,0,$A$2),IF($B$2,""&amp;$A67,$A67)))</f>
        <v>0</v>
      </c>
      <c r="P67" s="15" t="n">
        <f aca="false">IF(OR(P$2=0,$A$2=0),0,SUMIFS(INDEX(输入海典!$A$1:$AN$20000,0,P$2),INDEX(输入海典!$A$1:$AN$20000,0,$A$2),IF($B$2,""&amp;$A67,$A67)))</f>
        <v>0</v>
      </c>
      <c r="Q67" s="15" t="n">
        <f aca="false">IF(OR(Q$2=0,$A$2=0),0,SUMIFS(INDEX(输入海典!$A$1:$AN$20000,0,Q$2),INDEX(输入海典!$A$1:$AN$20000,0,$A$2),IF($B$2,""&amp;$A67,$A67)))</f>
        <v>0</v>
      </c>
      <c r="R67" s="15" t="n">
        <f aca="false">IF(OR(R$2=0,$A$2=0),0,SUMIFS(INDEX(输入海典!$A$1:$AN$20000,0,R$2),INDEX(输入海典!$A$1:$AN$20000,0,$A$2),IF($B$2,""&amp;$A67,$A67)))</f>
        <v>0</v>
      </c>
      <c r="S67" s="15" t="n">
        <f aca="false">IF(OR(S$2=0,$A$2=0),0,SUMIFS(INDEX(输入海典!$A$1:$AN$20000,0,S$2),INDEX(输入海典!$A$1:$AN$20000,0,$A$2),IF($B$2,""&amp;$A67,$A67)))</f>
        <v>0</v>
      </c>
      <c r="T67" s="15" t="n">
        <f aca="false">IF(OR(T$2=0,$A$2=0),0,SUMIFS(INDEX(输入海典!$A$1:$AN$20000,0,T$2),INDEX(输入海典!$A$1:$AN$20000,0,$A$2),IF($B$2,""&amp;$A67,$A67)))</f>
        <v>0</v>
      </c>
      <c r="U67" s="15" t="n">
        <f aca="false">IF(OR(U$2=0,$A$2=0),0,SUMIFS(INDEX(输入海典!$A$1:$AN$20000,0,U$2),INDEX(输入海典!$A$1:$AN$20000,0,$A$2),IF($B$2,""&amp;$A67,$A67)))</f>
        <v>0</v>
      </c>
      <c r="V67" s="15" t="n">
        <f aca="false">IF(OR(V$2=0,$A$2=0),0,SUMIFS(INDEX(输入海典!$A$1:$AN$20000,0,V$2),INDEX(输入海典!$A$1:$AN$20000,0,$A$2),IF($B$2,""&amp;$A67,$A67)))</f>
        <v>0</v>
      </c>
      <c r="W67" s="15" t="n">
        <f aca="false">IF(OR(W$2=0,$A$2=0),0,SUMIFS(INDEX(输入海典!$A$1:$AN$20000,0,W$2),INDEX(输入海典!$A$1:$AN$20000,0,$A$2),IF($B$2,""&amp;$A67,$A67)))</f>
        <v>0</v>
      </c>
      <c r="X67" s="15" t="n">
        <f aca="false">IF(OR(X$2=0,$A$2=0),0,SUMIFS(INDEX(输入海典!$A$1:$AN$20000,0,X$2),INDEX(输入海典!$A$1:$AN$20000,0,$A$2),IF($B$2,""&amp;$A67,$A67)))</f>
        <v>0</v>
      </c>
      <c r="Y67" s="15" t="n">
        <f aca="false">IF(OR(Y$2=0,$A$2=0),0,SUMIFS(INDEX(输入海典!$A$1:$AN$20000,0,Y$2),INDEX(输入海典!$A$1:$AN$20000,0,$A$2),IF($B$2,""&amp;$A67,$A67)))</f>
        <v>0</v>
      </c>
      <c r="Z67" s="15" t="n">
        <f aca="false">IF(OR(Z$2=0,$A$2=0),0,SUMIFS(INDEX(输入海典!$A$1:$AN$20000,0,Z$2),INDEX(输入海典!$A$1:$AN$20000,0,$A$2),IF($B$2,""&amp;$A67,$A67)))</f>
        <v>0</v>
      </c>
      <c r="AA67" s="15" t="n">
        <f aca="false">IF(OR(AA$2=0,$A$2=0),0,SUMIFS(INDEX(输入海典!$A$1:$AN$20000,0,AA$2),INDEX(输入海典!$A$1:$AN$20000,0,$A$2),IF($B$2,""&amp;$A67,$A67)))</f>
        <v>0</v>
      </c>
      <c r="AB67" s="15" t="n">
        <f aca="false">IF(OR(AB$2=0,$A$2=0),0,SUMIFS(INDEX(输入海典!$A$1:$AN$20000,0,AB$2),INDEX(输入海典!$A$1:$AN$20000,0,$A$2),IF($B$2,""&amp;$A67,$A67)))</f>
        <v>0</v>
      </c>
      <c r="AC67" s="15" t="n">
        <f aca="false">IF(OR(AC$2=0,$A$2=0),0,SUMIFS(INDEX(输入海典!$A$1:$AN$20000,0,AC$2),INDEX(输入海典!$A$1:$AN$20000,0,$A$2),IF($B$2,""&amp;$A67,$A67)))</f>
        <v>0</v>
      </c>
      <c r="AD67" s="15" t="n">
        <f aca="false">IF(OR(AD$2=0,$A$2=0),0,SUMIFS(INDEX(输入海典!$A$1:$AN$20000,0,AD$2),INDEX(输入海典!$A$1:$AN$20000,0,$A$2),IF($B$2,""&amp;$A67,$A67)))</f>
        <v>0</v>
      </c>
      <c r="AE67" s="15" t="n">
        <f aca="false">IF(OR(AE$2=0,$A$2=0),0,SUMIFS(INDEX(输入海典!$A$1:$AN$20000,0,AE$2),INDEX(输入海典!$A$1:$AN$20000,0,$A$2),IF($B$2,""&amp;$A67,$A67)))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31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6" min="3" style="0" width="14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6"/>
    <col collapsed="false" customWidth="true" hidden="false" outlineLevel="0" max="11" min="11" style="0" width="7"/>
    <col collapsed="false" customWidth="true" hidden="false" outlineLevel="0" max="13" min="13" style="0" width="14"/>
  </cols>
  <sheetData>
    <row r="1" customFormat="false" ht="14.9" hidden="false" customHeight="false" outlineLevel="0" collapsed="false">
      <c r="A1" s="17" t="s">
        <v>448</v>
      </c>
      <c r="B1" s="17" t="s">
        <v>88</v>
      </c>
      <c r="C1" s="17" t="s">
        <v>412</v>
      </c>
      <c r="D1" s="17" t="s">
        <v>208</v>
      </c>
      <c r="E1" s="17" t="s">
        <v>209</v>
      </c>
      <c r="F1" s="17" t="s">
        <v>210</v>
      </c>
      <c r="G1" s="17" t="s">
        <v>449</v>
      </c>
      <c r="H1" s="17" t="s">
        <v>450</v>
      </c>
      <c r="I1" s="17" t="s">
        <v>451</v>
      </c>
      <c r="J1" s="17" t="s">
        <v>452</v>
      </c>
      <c r="K1" s="17" t="s">
        <v>453</v>
      </c>
      <c r="L1" s="17" t="s">
        <v>454</v>
      </c>
      <c r="M1" s="17" t="s">
        <v>413</v>
      </c>
    </row>
    <row r="2" customFormat="false" ht="13.5" hidden="false" customHeight="false" outlineLevel="0" collapsed="false">
      <c r="A2" s="47" t="n">
        <v>1</v>
      </c>
      <c r="B2" s="38" t="n">
        <f aca="false">助手收入!$B2</f>
        <v>2001</v>
      </c>
      <c r="C2" s="48" t="str">
        <f aca="false">助手收入!$C2</f>
        <v>柏人商城店</v>
      </c>
      <c r="D2" s="48" t="str">
        <f aca="false">科目对照收入!$B2&amp;""</f>
        <v>库存现金</v>
      </c>
      <c r="E2" s="48" t="str">
        <f aca="false">IF(AND(ROUND($G2,2)&lt;0,科目对照收入!$L2&lt;&gt;""),科目对照收入!$L2,科目对照收入!$C2)&amp;""</f>
        <v>库存现金</v>
      </c>
      <c r="F2" s="48" t="str">
        <f aca="false">IF(AND(ROUND($G2,2)&lt;0,科目对照收入!$L2&lt;&gt;""),科目对照收入!$M2,科目对照收入!$D2)&amp;""</f>
        <v/>
      </c>
      <c r="G2" s="49" t="n">
        <f aca="false">助手收入!$I2</f>
        <v>6428.43</v>
      </c>
      <c r="H2" s="49" t="n">
        <f aca="false">IF(ROUND($G2,2)&gt;0,ROUND($G2,2),"")</f>
        <v>6428.43</v>
      </c>
      <c r="I2" s="49" t="str">
        <f aca="false">IF(ROUND($G2,2)&lt;0,-ROUND($G2,2),"")</f>
        <v/>
      </c>
      <c r="J2" s="20" t="n">
        <f aca="false">IF(ROUND($G2,2)=0,0,1)</f>
        <v>1</v>
      </c>
      <c r="K2" s="20" t="n">
        <f aca="false">IF($J2=0,"",SUM($J$2:$J2))</f>
        <v>1</v>
      </c>
      <c r="L2" s="20" t="n">
        <f aca="false">IF($K2="","",$A2*100+$K2)</f>
        <v>101</v>
      </c>
      <c r="M2" s="48" t="str">
        <f aca="false">参数!$B$3</f>
        <v>7月收入</v>
      </c>
    </row>
    <row r="3" customFormat="false" ht="13.5" hidden="false" customHeight="false" outlineLevel="0" collapsed="false">
      <c r="A3" s="47" t="n">
        <v>1</v>
      </c>
      <c r="B3" s="38" t="n">
        <f aca="false">助手收入!$B2</f>
        <v>2001</v>
      </c>
      <c r="C3" s="48" t="str">
        <f aca="false">助手收入!$C2</f>
        <v>柏人商城店</v>
      </c>
      <c r="D3" s="48" t="str">
        <f aca="false">科目对照收入!$B3&amp;""</f>
        <v>聚合支付</v>
      </c>
      <c r="E3" s="48" t="str">
        <f aca="false">IF(AND(ROUND($G3,2)&lt;0,科目对照收入!$L3&lt;&gt;""),科目对照收入!$L3,科目对照收入!$C3)&amp;""</f>
        <v>应收账款</v>
      </c>
      <c r="F3" s="48" t="str">
        <f aca="false">IF(AND(ROUND($G3,2)&lt;0,科目对照收入!$L3&lt;&gt;""),科目对照收入!$M3,科目对照收入!$D3)&amp;""</f>
        <v>聚合支付</v>
      </c>
      <c r="G3" s="49" t="n">
        <f aca="false">ROUND(SUMIFS(输入聚合!$C:$C,输入聚合!$A:$A,助手收入!$X2)-SUMIFS(输入聚合!$D:$D,输入聚合!$A:$A,助手收入!$X2),2)</f>
        <v>22707.04</v>
      </c>
      <c r="H3" s="49" t="n">
        <f aca="false">IF(ROUND($G3,2)&gt;0,ROUND($G3,2),"")</f>
        <v>22707.04</v>
      </c>
      <c r="I3" s="49" t="str">
        <f aca="false">IF(ROUND($G3,2)&lt;0,-ROUND($G3,2),"")</f>
        <v/>
      </c>
      <c r="J3" s="20" t="n">
        <f aca="false">IF(ROUND($G3,2)=0,0,1)</f>
        <v>1</v>
      </c>
      <c r="K3" s="20" t="n">
        <f aca="false">IF($J3=0,"",SUM($J$2:$J3))</f>
        <v>2</v>
      </c>
      <c r="L3" s="20" t="n">
        <f aca="false">IF($K3="","",$A3*100+$K3)</f>
        <v>102</v>
      </c>
      <c r="M3" s="48" t="str">
        <f aca="false">参数!$B$3</f>
        <v>7月收入</v>
      </c>
    </row>
    <row r="4" customFormat="false" ht="13.5" hidden="false" customHeight="false" outlineLevel="0" collapsed="false">
      <c r="A4" s="47" t="n">
        <v>1</v>
      </c>
      <c r="B4" s="38" t="n">
        <f aca="false">助手收入!$B2</f>
        <v>2001</v>
      </c>
      <c r="C4" s="48" t="str">
        <f aca="false">助手收入!$C2</f>
        <v>柏人商城店</v>
      </c>
      <c r="D4" s="48" t="str">
        <f aca="false">科目对照收入!$B4&amp;""</f>
        <v>医保</v>
      </c>
      <c r="E4" s="48" t="str">
        <f aca="false">IF(AND(ROUND($G4,2)&lt;0,科目对照收入!$L4&lt;&gt;""),科目对照收入!$L4,科目对照收入!$C4)&amp;""</f>
        <v>应收账款</v>
      </c>
      <c r="F4" s="48" t="str">
        <f aca="false">IF(AND(ROUND($G4,2)&lt;0,科目对照收入!$L4&lt;&gt;""),科目对照收入!$M4,科目对照收入!$D4)&amp;""</f>
        <v>医保</v>
      </c>
      <c r="G4" s="49" t="n">
        <f aca="false">IF(COUNTIFS(输入平台!$A:$A,助手收入!$X2,输入平台!$B:$B,科目对照收入!$B4)&gt;0,ROUND(SUMIFS(输入平台!$C:$C,输入平台!$A:$A,助手收入!$X2,输入平台!$B:$B,科目对照收入!$B4),2),ROUND(海典汇总!$F$3+海典汇总!$G$3,2))</f>
        <v>6716.34</v>
      </c>
      <c r="H4" s="49" t="n">
        <f aca="false">IF(ROUND($G4,2)&gt;0,ROUND($G4,2),"")</f>
        <v>6716.34</v>
      </c>
      <c r="I4" s="49" t="str">
        <f aca="false">IF(ROUND($G4,2)&lt;0,-ROUND($G4,2),"")</f>
        <v/>
      </c>
      <c r="J4" s="20" t="n">
        <f aca="false">IF(ROUND($G4,2)=0,0,1)</f>
        <v>1</v>
      </c>
      <c r="K4" s="20" t="n">
        <f aca="false">IF($J4=0,"",SUM($J$2:$J4))</f>
        <v>3</v>
      </c>
      <c r="L4" s="20" t="n">
        <f aca="false">IF($K4="","",$A4*100+$K4)</f>
        <v>103</v>
      </c>
      <c r="M4" s="48" t="str">
        <f aca="false">参数!$B$3</f>
        <v>7月收入</v>
      </c>
    </row>
    <row r="5" customFormat="false" ht="13.5" hidden="false" customHeight="false" outlineLevel="0" collapsed="false">
      <c r="A5" s="47" t="n">
        <v>1</v>
      </c>
      <c r="B5" s="38" t="n">
        <f aca="false">助手收入!$B2</f>
        <v>2001</v>
      </c>
      <c r="C5" s="48" t="str">
        <f aca="false">助手收入!$C2</f>
        <v>柏人商城店</v>
      </c>
      <c r="D5" s="48" t="str">
        <f aca="false">科目对照收入!$B5&amp;""</f>
        <v>健e卡</v>
      </c>
      <c r="E5" s="48" t="str">
        <f aca="false">IF(AND(ROUND($G5,2)&lt;0,科目对照收入!$L5&lt;&gt;""),科目对照收入!$L5,科目对照收入!$C5)&amp;""</f>
        <v>应收账款</v>
      </c>
      <c r="F5" s="48" t="str">
        <f aca="false">IF(AND(ROUND($G5,2)&lt;0,科目对照收入!$L5&lt;&gt;""),科目对照收入!$M5,科目对照收入!$D5)&amp;""</f>
        <v>健e卡</v>
      </c>
      <c r="G5" s="49" t="n">
        <f aca="false">IF(COUNTIFS(输入平台!$A:$A,助手收入!$X2,输入平台!$B:$B,科目对照收入!$B5)&gt;0,ROUND(SUMIFS(输入平台!$C:$C,输入平台!$A:$A,助手收入!$X2,输入平台!$B:$B,科目对照收入!$B5),2),ROUND(海典汇总!$H$3,2))</f>
        <v>0</v>
      </c>
      <c r="H5" s="49" t="str">
        <f aca="false">IF(ROUND($G5,2)&gt;0,ROUND($G5,2),"")</f>
        <v/>
      </c>
      <c r="I5" s="49" t="str">
        <f aca="false">IF(ROUND($G5,2)&lt;0,-ROUND($G5,2),"")</f>
        <v/>
      </c>
      <c r="J5" s="20" t="n">
        <f aca="false">IF(ROUND($G5,2)=0,0,1)</f>
        <v>0</v>
      </c>
      <c r="K5" s="20" t="str">
        <f aca="false">IF($J5=0,"",SUM($J$2:$J5))</f>
        <v/>
      </c>
      <c r="L5" s="20" t="str">
        <f aca="false">IF($K5="","",$A5*100+$K5)</f>
        <v/>
      </c>
      <c r="M5" s="48" t="str">
        <f aca="false">参数!$B$3</f>
        <v>7月收入</v>
      </c>
    </row>
    <row r="6" customFormat="false" ht="13.5" hidden="false" customHeight="false" outlineLevel="0" collapsed="false">
      <c r="A6" s="47" t="n">
        <v>1</v>
      </c>
      <c r="B6" s="38" t="n">
        <f aca="false">助手收入!$B2</f>
        <v>2001</v>
      </c>
      <c r="C6" s="48" t="str">
        <f aca="false">助手收入!$C2</f>
        <v>柏人商城店</v>
      </c>
      <c r="D6" s="48" t="str">
        <f aca="false">科目对照收入!$B6&amp;""</f>
        <v>医卡通</v>
      </c>
      <c r="E6" s="48" t="str">
        <f aca="false">IF(AND(ROUND($G6,2)&lt;0,科目对照收入!$L6&lt;&gt;""),科目对照收入!$L6,科目对照收入!$C6)&amp;""</f>
        <v>应收账款</v>
      </c>
      <c r="F6" s="48" t="str">
        <f aca="false">IF(AND(ROUND($G6,2)&lt;0,科目对照收入!$L6&lt;&gt;""),科目对照收入!$M6,科目对照收入!$D6)&amp;""</f>
        <v>医卡通</v>
      </c>
      <c r="G6" s="49" t="n">
        <f aca="false">IF(COUNTIFS(输入平台!$A:$A,助手收入!$X2,输入平台!$B:$B,科目对照收入!$B6)&gt;0,ROUND(SUMIFS(输入平台!$C:$C,输入平台!$A:$A,助手收入!$X2,输入平台!$B:$B,科目对照收入!$B6),2),ROUND(海典汇总!$I$3,2))</f>
        <v>0</v>
      </c>
      <c r="H6" s="49" t="str">
        <f aca="false">IF(ROUND($G6,2)&gt;0,ROUND($G6,2),"")</f>
        <v/>
      </c>
      <c r="I6" s="49" t="str">
        <f aca="false">IF(ROUND($G6,2)&lt;0,-ROUND($G6,2),"")</f>
        <v/>
      </c>
      <c r="J6" s="20" t="n">
        <f aca="false">IF(ROUND($G6,2)=0,0,1)</f>
        <v>0</v>
      </c>
      <c r="K6" s="20" t="str">
        <f aca="false">IF($J6=0,"",SUM($J$2:$J6))</f>
        <v/>
      </c>
      <c r="L6" s="20" t="str">
        <f aca="false">IF($K6="","",$A6*100+$K6)</f>
        <v/>
      </c>
      <c r="M6" s="48" t="str">
        <f aca="false">参数!$B$3</f>
        <v>7月收入</v>
      </c>
    </row>
    <row r="7" customFormat="false" ht="13.5" hidden="false" customHeight="false" outlineLevel="0" collapsed="false">
      <c r="A7" s="47" t="n">
        <v>1</v>
      </c>
      <c r="B7" s="38" t="n">
        <f aca="false">助手收入!$B2</f>
        <v>2001</v>
      </c>
      <c r="C7" s="48" t="str">
        <f aca="false">助手收入!$C2</f>
        <v>柏人商城店</v>
      </c>
      <c r="D7" s="48" t="str">
        <f aca="false">科目对照收入!$B7&amp;""</f>
        <v>企健网</v>
      </c>
      <c r="E7" s="48" t="str">
        <f aca="false">IF(AND(ROUND($G7,2)&lt;0,科目对照收入!$L7&lt;&gt;""),科目对照收入!$L7,科目对照收入!$C7)&amp;""</f>
        <v>应收账款</v>
      </c>
      <c r="F7" s="48" t="str">
        <f aca="false">IF(AND(ROUND($G7,2)&lt;0,科目对照收入!$L7&lt;&gt;""),科目对照收入!$M7,科目对照收入!$D7)&amp;""</f>
        <v>企健网</v>
      </c>
      <c r="G7" s="49" t="n">
        <f aca="false">IF(COUNTIFS(输入平台!$A:$A,助手收入!$X2,输入平台!$B:$B,科目对照收入!$B7)&gt;0,ROUND(SUMIFS(输入平台!$C:$C,输入平台!$A:$A,助手收入!$X2,输入平台!$B:$B,科目对照收入!$B7),2),ROUND(海典汇总!$J$3,2))</f>
        <v>0</v>
      </c>
      <c r="H7" s="49" t="str">
        <f aca="false">IF(ROUND($G7,2)&gt;0,ROUND($G7,2),"")</f>
        <v/>
      </c>
      <c r="I7" s="49" t="str">
        <f aca="false">IF(ROUND($G7,2)&lt;0,-ROUND($G7,2),"")</f>
        <v/>
      </c>
      <c r="J7" s="20" t="n">
        <f aca="false">IF(ROUND($G7,2)=0,0,1)</f>
        <v>0</v>
      </c>
      <c r="K7" s="20" t="str">
        <f aca="false">IF($J7=0,"",SUM($J$2:$J7))</f>
        <v/>
      </c>
      <c r="L7" s="20" t="str">
        <f aca="false">IF($K7="","",$A7*100+$K7)</f>
        <v/>
      </c>
      <c r="M7" s="48" t="str">
        <f aca="false">参数!$B$3</f>
        <v>7月收入</v>
      </c>
    </row>
    <row r="8" customFormat="false" ht="13.5" hidden="false" customHeight="false" outlineLevel="0" collapsed="false">
      <c r="A8" s="47" t="n">
        <v>1</v>
      </c>
      <c r="B8" s="38" t="n">
        <f aca="false">助手收入!$B2</f>
        <v>2001</v>
      </c>
      <c r="C8" s="48" t="str">
        <f aca="false">助手收入!$C2</f>
        <v>柏人商城店</v>
      </c>
      <c r="D8" s="48" t="str">
        <f aca="false">科目对照收入!$B8&amp;""</f>
        <v>亲情卡</v>
      </c>
      <c r="E8" s="48" t="str">
        <f aca="false">IF(AND(ROUND($G8,2)&lt;0,科目对照收入!$L8&lt;&gt;""),科目对照收入!$L8,科目对照收入!$C8)&amp;""</f>
        <v>应收账款</v>
      </c>
      <c r="F8" s="48" t="str">
        <f aca="false">IF(AND(ROUND($G8,2)&lt;0,科目对照收入!$L8&lt;&gt;""),科目对照收入!$M8,科目对照收入!$D8)&amp;""</f>
        <v>亲情卡</v>
      </c>
      <c r="G8" s="49" t="n">
        <f aca="false">IF(COUNTIFS(输入平台!$A:$A,助手收入!$X2,输入平台!$B:$B,科目对照收入!$B8)&gt;0,ROUND(SUMIFS(输入平台!$C:$C,输入平台!$A:$A,助手收入!$X2,输入平台!$B:$B,科目对照收入!$B8),2),ROUND(海典汇总!$Z$3,2))</f>
        <v>0</v>
      </c>
      <c r="H8" s="49" t="str">
        <f aca="false">IF(ROUND($G8,2)&gt;0,ROUND($G8,2),"")</f>
        <v/>
      </c>
      <c r="I8" s="49" t="str">
        <f aca="false">IF(ROUND($G8,2)&lt;0,-ROUND($G8,2),"")</f>
        <v/>
      </c>
      <c r="J8" s="20" t="n">
        <f aca="false">IF(ROUND($G8,2)=0,0,1)</f>
        <v>0</v>
      </c>
      <c r="K8" s="20" t="str">
        <f aca="false">IF($J8=0,"",SUM($J$2:$J8))</f>
        <v/>
      </c>
      <c r="L8" s="20" t="str">
        <f aca="false">IF($K8="","",$A8*100+$K8)</f>
        <v/>
      </c>
      <c r="M8" s="48" t="str">
        <f aca="false">参数!$B$3</f>
        <v>7月收入</v>
      </c>
    </row>
    <row r="9" customFormat="false" ht="13.5" hidden="false" customHeight="false" outlineLevel="0" collapsed="false">
      <c r="A9" s="47" t="n">
        <v>1</v>
      </c>
      <c r="B9" s="38" t="n">
        <f aca="false">助手收入!$B2</f>
        <v>2001</v>
      </c>
      <c r="C9" s="48" t="str">
        <f aca="false">助手收入!$C2</f>
        <v>柏人商城店</v>
      </c>
      <c r="D9" s="48" t="str">
        <f aca="false">科目对照收入!$B9&amp;""</f>
        <v>24小时</v>
      </c>
      <c r="E9" s="48" t="str">
        <f aca="false">IF(AND(ROUND($G9,2)&lt;0,科目对照收入!$L9&lt;&gt;""),科目对照收入!$L9,科目对照收入!$C9)&amp;""</f>
        <v>应收账款</v>
      </c>
      <c r="F9" s="48" t="str">
        <f aca="false">IF(AND(ROUND($G9,2)&lt;0,科目对照收入!$L9&lt;&gt;""),科目对照收入!$M9,科目对照收入!$D9)&amp;""</f>
        <v>24小时</v>
      </c>
      <c r="G9" s="49" t="n">
        <f aca="false">IF(COUNTIFS(输入平台!$A:$A,助手收入!$X2,输入平台!$B:$B,科目对照收入!$B9)&gt;0,ROUND(SUMIFS(输入平台!$C:$C,输入平台!$A:$A,助手收入!$X2,输入平台!$B:$B,科目对照收入!$B9),2),ROUND(海典汇总!$K$3,2))</f>
        <v>0</v>
      </c>
      <c r="H9" s="49" t="str">
        <f aca="false">IF(ROUND($G9,2)&gt;0,ROUND($G9,2),"")</f>
        <v/>
      </c>
      <c r="I9" s="49" t="str">
        <f aca="false">IF(ROUND($G9,2)&lt;0,-ROUND($G9,2),"")</f>
        <v/>
      </c>
      <c r="J9" s="20" t="n">
        <f aca="false">IF(ROUND($G9,2)=0,0,1)</f>
        <v>0</v>
      </c>
      <c r="K9" s="20" t="str">
        <f aca="false">IF($J9=0,"",SUM($J$2:$J9))</f>
        <v/>
      </c>
      <c r="L9" s="20" t="str">
        <f aca="false">IF($K9="","",$A9*100+$K9)</f>
        <v/>
      </c>
      <c r="M9" s="48" t="str">
        <f aca="false">参数!$B$3</f>
        <v>7月收入</v>
      </c>
    </row>
    <row r="10" customFormat="false" ht="13.5" hidden="false" customHeight="false" outlineLevel="0" collapsed="false">
      <c r="A10" s="47" t="n">
        <v>1</v>
      </c>
      <c r="B10" s="38" t="n">
        <f aca="false">助手收入!$B2</f>
        <v>2001</v>
      </c>
      <c r="C10" s="48" t="str">
        <f aca="false">助手收入!$C2</f>
        <v>柏人商城店</v>
      </c>
      <c r="D10" s="48" t="str">
        <f aca="false">科目对照收入!$B10&amp;""</f>
        <v>美团</v>
      </c>
      <c r="E10" s="48" t="str">
        <f aca="false">IF(AND(ROUND($G10,2)&lt;0,科目对照收入!$L10&lt;&gt;""),科目对照收入!$L10,科目对照收入!$C10)&amp;""</f>
        <v>应收账款</v>
      </c>
      <c r="F10" s="48" t="str">
        <f aca="false">IF(AND(ROUND($G10,2)&lt;0,科目对照收入!$L10&lt;&gt;""),科目对照收入!$M10,科目对照收入!$D10)&amp;""</f>
        <v>美团</v>
      </c>
      <c r="G10" s="49" t="n">
        <f aca="false">IF(COUNTIFS(输入平台!$A:$A,助手收入!$X2,输入平台!$B:$B,科目对照收入!$B10)&gt;0,ROUND(SUMIFS(输入平台!$C:$C,输入平台!$A:$A,助手收入!$X2,输入平台!$B:$B,科目对照收入!$B10),2),ROUND(海典汇总!$M$3,2))</f>
        <v>47.5</v>
      </c>
      <c r="H10" s="49" t="n">
        <f aca="false">IF(ROUND($G10,2)&gt;0,ROUND($G10,2),"")</f>
        <v>47.5</v>
      </c>
      <c r="I10" s="49" t="str">
        <f aca="false">IF(ROUND($G10,2)&lt;0,-ROUND($G10,2),"")</f>
        <v/>
      </c>
      <c r="J10" s="20" t="n">
        <f aca="false">IF(ROUND($G10,2)=0,0,1)</f>
        <v>1</v>
      </c>
      <c r="K10" s="20" t="n">
        <f aca="false">IF($J10=0,"",SUM($J$2:$J10))</f>
        <v>4</v>
      </c>
      <c r="L10" s="20" t="n">
        <f aca="false">IF($K10="","",$A10*100+$K10)</f>
        <v>104</v>
      </c>
      <c r="M10" s="48" t="str">
        <f aca="false">参数!$B$3</f>
        <v>7月收入</v>
      </c>
    </row>
    <row r="11" customFormat="false" ht="13.5" hidden="false" customHeight="false" outlineLevel="0" collapsed="false">
      <c r="A11" s="47" t="n">
        <v>1</v>
      </c>
      <c r="B11" s="38" t="n">
        <f aca="false">助手收入!$B2</f>
        <v>2001</v>
      </c>
      <c r="C11" s="48" t="str">
        <f aca="false">助手收入!$C2</f>
        <v>柏人商城店</v>
      </c>
      <c r="D11" s="48" t="str">
        <f aca="false">科目对照收入!$B11&amp;""</f>
        <v>饿了么</v>
      </c>
      <c r="E11" s="48" t="str">
        <f aca="false">IF(AND(ROUND($G11,2)&lt;0,科目对照收入!$L11&lt;&gt;""),科目对照收入!$L11,科目对照收入!$C11)&amp;""</f>
        <v>应收账款</v>
      </c>
      <c r="F11" s="48" t="str">
        <f aca="false">IF(AND(ROUND($G11,2)&lt;0,科目对照收入!$L11&lt;&gt;""),科目对照收入!$M11,科目对照收入!$D11)&amp;""</f>
        <v>饿了么</v>
      </c>
      <c r="G11" s="49" t="n">
        <f aca="false">IF(COUNTIFS(输入平台!$A:$A,助手收入!$X2,输入平台!$B:$B,科目对照收入!$B11)&gt;0,ROUND(SUMIFS(输入平台!$C:$C,输入平台!$A:$A,助手收入!$X2,输入平台!$B:$B,科目对照收入!$B11),2),ROUND(海典汇总!$N$3,2))</f>
        <v>0</v>
      </c>
      <c r="H11" s="49" t="str">
        <f aca="false">IF(ROUND($G11,2)&gt;0,ROUND($G11,2),"")</f>
        <v/>
      </c>
      <c r="I11" s="49" t="str">
        <f aca="false">IF(ROUND($G11,2)&lt;0,-ROUND($G11,2),"")</f>
        <v/>
      </c>
      <c r="J11" s="20" t="n">
        <f aca="false">IF(ROUND($G11,2)=0,0,1)</f>
        <v>0</v>
      </c>
      <c r="K11" s="20" t="str">
        <f aca="false">IF($J11=0,"",SUM($J$2:$J11))</f>
        <v/>
      </c>
      <c r="L11" s="20" t="str">
        <f aca="false">IF($K11="","",$A11*100+$K11)</f>
        <v/>
      </c>
      <c r="M11" s="48" t="str">
        <f aca="false">参数!$B$3</f>
        <v>7月收入</v>
      </c>
    </row>
    <row r="12" customFormat="false" ht="13.5" hidden="false" customHeight="false" outlineLevel="0" collapsed="false">
      <c r="A12" s="47" t="n">
        <v>1</v>
      </c>
      <c r="B12" s="38" t="n">
        <f aca="false">助手收入!$B2</f>
        <v>2001</v>
      </c>
      <c r="C12" s="48" t="str">
        <f aca="false">助手收入!$C2</f>
        <v>柏人商城店</v>
      </c>
      <c r="D12" s="48" t="str">
        <f aca="false">科目对照收入!$B12&amp;""</f>
        <v>京东秒送</v>
      </c>
      <c r="E12" s="48" t="str">
        <f aca="false">IF(AND(ROUND($G12,2)&lt;0,科目对照收入!$L12&lt;&gt;""),科目对照收入!$L12,科目对照收入!$C12)&amp;""</f>
        <v>应收账款</v>
      </c>
      <c r="F12" s="48" t="str">
        <f aca="false">IF(AND(ROUND($G12,2)&lt;0,科目对照收入!$L12&lt;&gt;""),科目对照收入!$M12,科目对照收入!$D12)&amp;""</f>
        <v>京东秒送</v>
      </c>
      <c r="G12" s="49" t="n">
        <f aca="false">IF(COUNTIFS(输入平台!$A:$A,助手收入!$X2,输入平台!$B:$B,科目对照收入!$B12)&gt;0,ROUND(SUMIFS(输入平台!$C:$C,输入平台!$A:$A,助手收入!$X2,输入平台!$B:$B,科目对照收入!$B12),2),ROUND(海典汇总!$O$3,2))</f>
        <v>0</v>
      </c>
      <c r="H12" s="49" t="str">
        <f aca="false">IF(ROUND($G12,2)&gt;0,ROUND($G12,2),"")</f>
        <v/>
      </c>
      <c r="I12" s="49" t="str">
        <f aca="false">IF(ROUND($G12,2)&lt;0,-ROUND($G12,2),"")</f>
        <v/>
      </c>
      <c r="J12" s="20" t="n">
        <f aca="false">IF(ROUND($G12,2)=0,0,1)</f>
        <v>0</v>
      </c>
      <c r="K12" s="20" t="str">
        <f aca="false">IF($J12=0,"",SUM($J$2:$J12))</f>
        <v/>
      </c>
      <c r="L12" s="20" t="str">
        <f aca="false">IF($K12="","",$A12*100+$K12)</f>
        <v/>
      </c>
      <c r="M12" s="48" t="str">
        <f aca="false">参数!$B$3</f>
        <v>7月收入</v>
      </c>
    </row>
    <row r="13" customFormat="false" ht="13.5" hidden="false" customHeight="false" outlineLevel="0" collapsed="false">
      <c r="A13" s="47" t="n">
        <v>1</v>
      </c>
      <c r="B13" s="38" t="n">
        <f aca="false">助手收入!$B2</f>
        <v>2001</v>
      </c>
      <c r="C13" s="48" t="str">
        <f aca="false">助手收入!$C2</f>
        <v>柏人商城店</v>
      </c>
      <c r="D13" s="48" t="str">
        <f aca="false">科目对照收入!$B13&amp;""</f>
        <v>银联</v>
      </c>
      <c r="E13" s="48" t="str">
        <f aca="false">IF(AND(ROUND($G13,2)&lt;0,科目对照收入!$L13&lt;&gt;""),科目对照收入!$L13,科目对照收入!$C13)&amp;""</f>
        <v>应收账款</v>
      </c>
      <c r="F13" s="48" t="str">
        <f aca="false">IF(AND(ROUND($G13,2)&lt;0,科目对照收入!$L13&lt;&gt;""),科目对照收入!$M13,科目对照收入!$D13)&amp;""</f>
        <v>银联</v>
      </c>
      <c r="G13" s="49" t="n">
        <f aca="false">IF(COUNTIFS(输入平台!$A:$A,助手收入!$X2,输入平台!$B:$B,科目对照收入!$B13)&gt;0,ROUND(SUMIFS(输入平台!$C:$C,输入平台!$A:$A,助手收入!$X2,输入平台!$B:$B,科目对照收入!$B13),2),ROUND(海典汇总!$V$3,2))</f>
        <v>0</v>
      </c>
      <c r="H13" s="49" t="str">
        <f aca="false">IF(ROUND($G13,2)&gt;0,ROUND($G13,2),"")</f>
        <v/>
      </c>
      <c r="I13" s="49" t="str">
        <f aca="false">IF(ROUND($G13,2)&lt;0,-ROUND($G13,2),"")</f>
        <v/>
      </c>
      <c r="J13" s="20" t="n">
        <f aca="false">IF(ROUND($G13,2)=0,0,1)</f>
        <v>0</v>
      </c>
      <c r="K13" s="20" t="str">
        <f aca="false">IF($J13=0,"",SUM($J$2:$J13))</f>
        <v/>
      </c>
      <c r="L13" s="20" t="str">
        <f aca="false">IF($K13="","",$A13*100+$K13)</f>
        <v/>
      </c>
      <c r="M13" s="48" t="str">
        <f aca="false">参数!$B$3</f>
        <v>7月收入</v>
      </c>
    </row>
    <row r="14" customFormat="false" ht="13.5" hidden="false" customHeight="false" outlineLevel="0" collapsed="false">
      <c r="A14" s="47" t="n">
        <v>1</v>
      </c>
      <c r="B14" s="38" t="n">
        <f aca="false">助手收入!$B2</f>
        <v>2001</v>
      </c>
      <c r="C14" s="48" t="str">
        <f aca="false">助手收入!$C2</f>
        <v>柏人商城店</v>
      </c>
      <c r="D14" s="48" t="str">
        <f aca="false">科目对照收入!$B14&amp;""</f>
        <v>小镇外卖</v>
      </c>
      <c r="E14" s="48" t="str">
        <f aca="false">IF(AND(ROUND($G14,2)&lt;0,科目对照收入!$L14&lt;&gt;""),科目对照收入!$L14,科目对照收入!$C14)&amp;""</f>
        <v>应收账款</v>
      </c>
      <c r="F14" s="48" t="str">
        <f aca="false">IF(AND(ROUND($G14,2)&lt;0,科目对照收入!$L14&lt;&gt;""),科目对照收入!$M14,科目对照收入!$D14)&amp;""</f>
        <v>小镇外卖</v>
      </c>
      <c r="G14" s="49" t="n">
        <f aca="false">IF(COUNTIFS(输入平台!$A:$A,助手收入!$X2,输入平台!$B:$B,科目对照收入!$B14)&gt;0,ROUND(SUMIFS(输入平台!$C:$C,输入平台!$A:$A,助手收入!$X2,输入平台!$B:$B,科目对照收入!$B14),2),ROUND(海典汇总!$AC$3,2))</f>
        <v>0</v>
      </c>
      <c r="H14" s="49" t="str">
        <f aca="false">IF(ROUND($G14,2)&gt;0,ROUND($G14,2),"")</f>
        <v/>
      </c>
      <c r="I14" s="49" t="str">
        <f aca="false">IF(ROUND($G14,2)&lt;0,-ROUND($G14,2),"")</f>
        <v/>
      </c>
      <c r="J14" s="20" t="n">
        <f aca="false">IF(ROUND($G14,2)=0,0,1)</f>
        <v>0</v>
      </c>
      <c r="K14" s="20" t="str">
        <f aca="false">IF($J14=0,"",SUM($J$2:$J14))</f>
        <v/>
      </c>
      <c r="L14" s="20" t="str">
        <f aca="false">IF($K14="","",$A14*100+$K14)</f>
        <v/>
      </c>
      <c r="M14" s="48" t="str">
        <f aca="false">参数!$B$3</f>
        <v>7月收入</v>
      </c>
    </row>
    <row r="15" customFormat="false" ht="13.5" hidden="false" customHeight="false" outlineLevel="0" collapsed="false">
      <c r="A15" s="47" t="n">
        <v>1</v>
      </c>
      <c r="B15" s="38" t="n">
        <f aca="false">助手收入!$B2</f>
        <v>2001</v>
      </c>
      <c r="C15" s="48" t="str">
        <f aca="false">助手收入!$C2</f>
        <v>柏人商城店</v>
      </c>
      <c r="D15" s="48" t="str">
        <f aca="false">科目对照收入!$B15&amp;""</f>
        <v>OMS线上支付</v>
      </c>
      <c r="E15" s="48" t="str">
        <f aca="false">IF(AND(ROUND($G15,2)&lt;0,科目对照收入!$L15&lt;&gt;""),科目对照收入!$L15,科目对照收入!$C15)&amp;""</f>
        <v>应收账款</v>
      </c>
      <c r="F15" s="48" t="str">
        <f aca="false">IF(AND(ROUND($G15,2)&lt;0,科目对照收入!$L15&lt;&gt;""),科目对照收入!$M15,科目对照收入!$D15)&amp;""</f>
        <v>OMS线上</v>
      </c>
      <c r="G15" s="49" t="n">
        <f aca="false">IF(COUNTIFS(输入平台!$A:$A,助手收入!$X2,输入平台!$B:$B,科目对照收入!$B15)&gt;0,ROUND(SUMIFS(输入平台!$C:$C,输入平台!$A:$A,助手收入!$X2,输入平台!$B:$B,科目对照收入!$B15),2),ROUND(海典汇总!$L$3,2))</f>
        <v>0</v>
      </c>
      <c r="H15" s="49" t="str">
        <f aca="false">IF(ROUND($G15,2)&gt;0,ROUND($G15,2),"")</f>
        <v/>
      </c>
      <c r="I15" s="49" t="str">
        <f aca="false">IF(ROUND($G15,2)&lt;0,-ROUND($G15,2),"")</f>
        <v/>
      </c>
      <c r="J15" s="20" t="n">
        <f aca="false">IF(ROUND($G15,2)=0,0,1)</f>
        <v>0</v>
      </c>
      <c r="K15" s="20" t="str">
        <f aca="false">IF($J15=0,"",SUM($J$2:$J15))</f>
        <v/>
      </c>
      <c r="L15" s="20" t="str">
        <f aca="false">IF($K15="","",$A15*100+$K15)</f>
        <v/>
      </c>
      <c r="M15" s="48" t="str">
        <f aca="false">参数!$B$3</f>
        <v>7月收入</v>
      </c>
    </row>
    <row r="16" customFormat="false" ht="13.5" hidden="false" customHeight="false" outlineLevel="0" collapsed="false">
      <c r="A16" s="47" t="n">
        <v>1</v>
      </c>
      <c r="B16" s="38" t="n">
        <f aca="false">助手收入!$B2</f>
        <v>2001</v>
      </c>
      <c r="C16" s="48" t="str">
        <f aca="false">助手收入!$C2</f>
        <v>柏人商城店</v>
      </c>
      <c r="D16" s="48" t="str">
        <f aca="false">科目对照收入!$B16&amp;""</f>
        <v>平安药卡</v>
      </c>
      <c r="E16" s="48" t="str">
        <f aca="false">IF(AND(ROUND($G16,2)&lt;0,科目对照收入!$L16&lt;&gt;""),科目对照收入!$L16,科目对照收入!$C16)&amp;""</f>
        <v>应收账款</v>
      </c>
      <c r="F16" s="48" t="str">
        <f aca="false">IF(AND(ROUND($G16,2)&lt;0,科目对照收入!$L16&lt;&gt;""),科目对照收入!$M16,科目对照收入!$D16)&amp;""</f>
        <v>平安</v>
      </c>
      <c r="G16" s="49" t="n">
        <f aca="false">IF(COUNTIFS(输入平台!$A:$A,助手收入!$X2,输入平台!$B:$B,科目对照收入!$B16)&gt;0,ROUND(SUMIFS(输入平台!$C:$C,输入平台!$A:$A,助手收入!$X2,输入平台!$B:$B,科目对照收入!$B16),2),ROUND(海典汇总!$AB$3,2))</f>
        <v>0</v>
      </c>
      <c r="H16" s="49" t="str">
        <f aca="false">IF(ROUND($G16,2)&gt;0,ROUND($G16,2),"")</f>
        <v/>
      </c>
      <c r="I16" s="49" t="str">
        <f aca="false">IF(ROUND($G16,2)&lt;0,-ROUND($G16,2),"")</f>
        <v/>
      </c>
      <c r="J16" s="20" t="n">
        <f aca="false">IF(ROUND($G16,2)=0,0,1)</f>
        <v>0</v>
      </c>
      <c r="K16" s="20" t="str">
        <f aca="false">IF($J16=0,"",SUM($J$2:$J16))</f>
        <v/>
      </c>
      <c r="L16" s="20" t="str">
        <f aca="false">IF($K16="","",$A16*100+$K16)</f>
        <v/>
      </c>
      <c r="M16" s="48" t="str">
        <f aca="false">参数!$B$3</f>
        <v>7月收入</v>
      </c>
    </row>
    <row r="17" customFormat="false" ht="13.5" hidden="false" customHeight="false" outlineLevel="0" collapsed="false">
      <c r="A17" s="47" t="n">
        <v>1</v>
      </c>
      <c r="B17" s="38" t="n">
        <f aca="false">助手收入!$B2</f>
        <v>2001</v>
      </c>
      <c r="C17" s="48" t="str">
        <f aca="false">助手收入!$C2</f>
        <v>柏人商城店</v>
      </c>
      <c r="D17" s="48" t="str">
        <f aca="false">科目对照收入!$B17&amp;""</f>
        <v>储值卡</v>
      </c>
      <c r="E17" s="48" t="str">
        <f aca="false">IF(AND(ROUND($G17,2)&lt;0,科目对照收入!$L17&lt;&gt;""),科目对照收入!$L17,科目对照收入!$C17)&amp;""</f>
        <v>其他应收款</v>
      </c>
      <c r="F17" s="48" t="str">
        <f aca="false">IF(AND(ROUND($G17,2)&lt;0,科目对照收入!$L17&lt;&gt;""),科目对照收入!$M17,科目对照收入!$D17)&amp;""</f>
        <v>储值卡</v>
      </c>
      <c r="G17" s="49" t="n">
        <f aca="false">ROUND(海典汇总!$Q$3,2)</f>
        <v>0</v>
      </c>
      <c r="H17" s="49" t="str">
        <f aca="false">IF(ROUND($G17,2)&gt;0,ROUND($G17,2),"")</f>
        <v/>
      </c>
      <c r="I17" s="49" t="str">
        <f aca="false">IF(ROUND($G17,2)&lt;0,-ROUND($G17,2),"")</f>
        <v/>
      </c>
      <c r="J17" s="20" t="n">
        <f aca="false">IF(ROUND($G17,2)=0,0,1)</f>
        <v>0</v>
      </c>
      <c r="K17" s="20" t="str">
        <f aca="false">IF($J17=0,"",SUM($J$2:$J17))</f>
        <v/>
      </c>
      <c r="L17" s="20" t="str">
        <f aca="false">IF($K17="","",$A17*100+$K17)</f>
        <v/>
      </c>
      <c r="M17" s="48" t="str">
        <f aca="false">参数!$B$3</f>
        <v>7月收入</v>
      </c>
    </row>
    <row r="18" customFormat="false" ht="13.5" hidden="false" customHeight="false" outlineLevel="0" collapsed="false">
      <c r="A18" s="47" t="n">
        <v>1</v>
      </c>
      <c r="B18" s="38" t="n">
        <f aca="false">助手收入!$B2</f>
        <v>2001</v>
      </c>
      <c r="C18" s="48" t="str">
        <f aca="false">助手收入!$C2</f>
        <v>柏人商城店</v>
      </c>
      <c r="D18" s="48" t="str">
        <f aca="false">科目对照收入!$B18&amp;""</f>
        <v>会员零钱包</v>
      </c>
      <c r="E18" s="48" t="str">
        <f aca="false">IF(AND(ROUND($G18,2)&lt;0,科目对照收入!$L18&lt;&gt;""),科目对照收入!$L18,科目对照收入!$C18)&amp;""</f>
        <v>其他应收款</v>
      </c>
      <c r="F18" s="48" t="str">
        <f aca="false">IF(AND(ROUND($G18,2)&lt;0,科目对照收入!$L18&lt;&gt;""),科目对照收入!$M18,科目对照收入!$D18)&amp;""</f>
        <v>会员零钱包</v>
      </c>
      <c r="G18" s="49" t="n">
        <f aca="false">ROUND(海典汇总!$P$3,2)</f>
        <v>0</v>
      </c>
      <c r="H18" s="49" t="str">
        <f aca="false">IF(ROUND($G18,2)&gt;0,ROUND($G18,2),"")</f>
        <v/>
      </c>
      <c r="I18" s="49" t="str">
        <f aca="false">IF(ROUND($G18,2)&lt;0,-ROUND($G18,2),"")</f>
        <v/>
      </c>
      <c r="J18" s="20" t="n">
        <f aca="false">IF(ROUND($G18,2)=0,0,1)</f>
        <v>0</v>
      </c>
      <c r="K18" s="20" t="str">
        <f aca="false">IF($J18=0,"",SUM($J$2:$J18))</f>
        <v/>
      </c>
      <c r="L18" s="20" t="str">
        <f aca="false">IF($K18="","",$A18*100+$K18)</f>
        <v/>
      </c>
      <c r="M18" s="48" t="str">
        <f aca="false">参数!$B$3</f>
        <v>7月收入</v>
      </c>
    </row>
    <row r="19" customFormat="false" ht="13.5" hidden="false" customHeight="false" outlineLevel="0" collapsed="false">
      <c r="A19" s="47" t="n">
        <v>1</v>
      </c>
      <c r="B19" s="38" t="n">
        <f aca="false">助手收入!$B2</f>
        <v>2001</v>
      </c>
      <c r="C19" s="48" t="str">
        <f aca="false">助手收入!$C2</f>
        <v>柏人商城店</v>
      </c>
      <c r="D19" s="48" t="str">
        <f aca="false">科目对照收入!$B19&amp;""</f>
        <v>促销费</v>
      </c>
      <c r="E19" s="48" t="str">
        <f aca="false">IF(AND(ROUND($G19,2)&lt;0,科目对照收入!$L19&lt;&gt;""),科目对照收入!$L19,科目对照收入!$C19)&amp;""</f>
        <v>销售费用</v>
      </c>
      <c r="F19" s="48" t="str">
        <f aca="false">IF(AND(ROUND($G19,2)&lt;0,科目对照收入!$L19&lt;&gt;""),科目对照收入!$M19,科目对照收入!$D19)&amp;""</f>
        <v>促销费</v>
      </c>
      <c r="G19" s="49" t="n">
        <f aca="false">ROUND(海典汇总!$U$3+海典汇总!$T$3+海典汇总!$S$3,2)</f>
        <v>448.72</v>
      </c>
      <c r="H19" s="49" t="n">
        <f aca="false">IF(ROUND($G19,2)&gt;0,ROUND($G19,2),"")</f>
        <v>448.72</v>
      </c>
      <c r="I19" s="49" t="str">
        <f aca="false">IF(ROUND($G19,2)&lt;0,-ROUND($G19,2),"")</f>
        <v/>
      </c>
      <c r="J19" s="20" t="n">
        <f aca="false">IF(ROUND($G19,2)=0,0,1)</f>
        <v>1</v>
      </c>
      <c r="K19" s="20" t="n">
        <f aca="false">IF($J19=0,"",SUM($J$2:$J19))</f>
        <v>5</v>
      </c>
      <c r="L19" s="20" t="n">
        <f aca="false">IF($K19="","",$A19*100+$K19)</f>
        <v>105</v>
      </c>
      <c r="M19" s="48" t="str">
        <f aca="false">参数!$B$3</f>
        <v>7月收入</v>
      </c>
    </row>
    <row r="20" customFormat="false" ht="13.5" hidden="false" customHeight="false" outlineLevel="0" collapsed="false">
      <c r="A20" s="47" t="n">
        <v>1</v>
      </c>
      <c r="B20" s="38" t="n">
        <f aca="false">助手收入!$B2</f>
        <v>2001</v>
      </c>
      <c r="C20" s="48" t="str">
        <f aca="false">助手收入!$C2</f>
        <v>柏人商城店</v>
      </c>
      <c r="D20" s="48" t="str">
        <f aca="false">科目对照收入!$B20&amp;""</f>
        <v>积分</v>
      </c>
      <c r="E20" s="48" t="str">
        <f aca="false">IF(AND(ROUND($G20,2)&lt;0,科目对照收入!$L20&lt;&gt;""),科目对照收入!$L20,科目对照收入!$C20)&amp;""</f>
        <v>销售费用</v>
      </c>
      <c r="F20" s="48" t="str">
        <f aca="false">IF(AND(ROUND($G20,2)&lt;0,科目对照收入!$L20&lt;&gt;""),科目对照收入!$M20,科目对照收入!$D20)&amp;""</f>
        <v>积分</v>
      </c>
      <c r="G20" s="49" t="n">
        <f aca="false">ROUND(海典汇总!$R$3,2)</f>
        <v>0</v>
      </c>
      <c r="H20" s="49" t="str">
        <f aca="false">IF(ROUND($G20,2)&gt;0,ROUND($G20,2),"")</f>
        <v/>
      </c>
      <c r="I20" s="49" t="str">
        <f aca="false">IF(ROUND($G20,2)&lt;0,-ROUND($G20,2),"")</f>
        <v/>
      </c>
      <c r="J20" s="20" t="n">
        <f aca="false">IF(ROUND($G20,2)=0,0,1)</f>
        <v>0</v>
      </c>
      <c r="K20" s="20" t="str">
        <f aca="false">IF($J20=0,"",SUM($J$2:$J20))</f>
        <v/>
      </c>
      <c r="L20" s="20" t="str">
        <f aca="false">IF($K20="","",$A20*100+$K20)</f>
        <v/>
      </c>
      <c r="M20" s="48" t="str">
        <f aca="false">参数!$B$3</f>
        <v>7月收入</v>
      </c>
    </row>
    <row r="21" customFormat="false" ht="13.5" hidden="false" customHeight="false" outlineLevel="0" collapsed="false">
      <c r="A21" s="47" t="n">
        <v>1</v>
      </c>
      <c r="B21" s="38" t="n">
        <f aca="false">助手收入!$B2</f>
        <v>2001</v>
      </c>
      <c r="C21" s="48" t="str">
        <f aca="false">助手收入!$C2</f>
        <v>柏人商城店</v>
      </c>
      <c r="D21" s="48" t="str">
        <f aca="false">科目对照收入!$B21&amp;""</f>
        <v>手续费</v>
      </c>
      <c r="E21" s="48" t="str">
        <f aca="false">IF(AND(ROUND($G21,2)&lt;0,科目对照收入!$L21&lt;&gt;""),科目对照收入!$L21,科目对照收入!$C21)&amp;""</f>
        <v>财务费用</v>
      </c>
      <c r="F21" s="48" t="str">
        <f aca="false">IF(AND(ROUND($G21,2)&lt;0,科目对照收入!$L21&lt;&gt;""),科目对照收入!$M21,科目对照收入!$D21)&amp;""</f>
        <v>手续费</v>
      </c>
      <c r="G21" s="49" t="n">
        <f aca="false">ROUND(SUMIFS(输入聚合!$D:$D,输入聚合!$A:$A,助手收入!$X2),2)</f>
        <v>61.48</v>
      </c>
      <c r="H21" s="49" t="n">
        <f aca="false">IF(ROUND($G21,2)&gt;0,ROUND($G21,2),"")</f>
        <v>61.48</v>
      </c>
      <c r="I21" s="49" t="str">
        <f aca="false">IF(ROUND($G21,2)&lt;0,-ROUND($G21,2),"")</f>
        <v/>
      </c>
      <c r="J21" s="20" t="n">
        <f aca="false">IF(ROUND($G21,2)=0,0,1)</f>
        <v>1</v>
      </c>
      <c r="K21" s="20" t="n">
        <f aca="false">IF($J21=0,"",SUM($J$2:$J21))</f>
        <v>6</v>
      </c>
      <c r="L21" s="20" t="n">
        <f aca="false">IF($K21="","",$A21*100+$K21)</f>
        <v>106</v>
      </c>
      <c r="M21" s="48" t="str">
        <f aca="false">参数!$B$3</f>
        <v>7月收入</v>
      </c>
    </row>
    <row r="22" customFormat="false" ht="13.5" hidden="false" customHeight="false" outlineLevel="0" collapsed="false">
      <c r="A22" s="47" t="n">
        <v>1</v>
      </c>
      <c r="B22" s="38" t="n">
        <f aca="false">助手收入!$B2</f>
        <v>2001</v>
      </c>
      <c r="C22" s="48" t="str">
        <f aca="false">助手收入!$C2</f>
        <v>柏人商城店</v>
      </c>
      <c r="D22" s="48" t="str">
        <f aca="false">科目对照收入!$B22&amp;""</f>
        <v>主营业务收入</v>
      </c>
      <c r="E22" s="48" t="str">
        <f aca="false">IF(AND(ROUND($G22,2)&lt;0,科目对照收入!$L22&lt;&gt;""),科目对照收入!$L22,科目对照收入!$C22)&amp;""</f>
        <v>主营业务收入</v>
      </c>
      <c r="F22" s="48" t="str">
        <f aca="false">IF(AND(ROUND($G22,2)&lt;0,科目对照收入!$L22&lt;&gt;""),科目对照收入!$M22,科目对照收入!$D22)&amp;""</f>
        <v/>
      </c>
      <c r="G22" s="49" t="n">
        <f aca="false">-ROUND(助手收入!$G2,2)</f>
        <v>-36409.51</v>
      </c>
      <c r="H22" s="49" t="str">
        <f aca="false">IF(ROUND($G22,2)&gt;0,ROUND($G22,2),"")</f>
        <v/>
      </c>
      <c r="I22" s="49" t="n">
        <f aca="false">IF(ROUND($G22,2)&lt;0,-ROUND($G22,2),"")</f>
        <v>36409.51</v>
      </c>
      <c r="J22" s="20" t="n">
        <f aca="false">IF(ROUND($G22,2)=0,0,1)</f>
        <v>1</v>
      </c>
      <c r="K22" s="20" t="n">
        <f aca="false">IF($J22=0,"",SUM($J$2:$J22))</f>
        <v>7</v>
      </c>
      <c r="L22" s="20" t="n">
        <f aca="false">IF($K22="","",$A22*100+$K22)</f>
        <v>107</v>
      </c>
      <c r="M22" s="48" t="str">
        <f aca="false">参数!$B$3</f>
        <v>7月收入</v>
      </c>
    </row>
    <row r="23" customFormat="false" ht="13.5" hidden="false" customHeight="false" outlineLevel="0" collapsed="false">
      <c r="A23" s="47" t="n">
        <v>1</v>
      </c>
      <c r="B23" s="38" t="n">
        <f aca="false">助手收入!$B2</f>
        <v>2001</v>
      </c>
      <c r="C23" s="48" t="str">
        <f aca="false">助手收入!$C2</f>
        <v>柏人商城店</v>
      </c>
      <c r="D23" s="48" t="str">
        <f aca="false">科目对照收入!$B23&amp;""</f>
        <v>营业外收入</v>
      </c>
      <c r="E23" s="48" t="str">
        <f aca="false">IF(AND(ROUND($G23,2)&lt;0,科目对照收入!$L23&lt;&gt;""),科目对照收入!$L23,科目对照收入!$C23)&amp;""</f>
        <v>营业外收入</v>
      </c>
      <c r="F23" s="48" t="str">
        <f aca="false">IF(AND(ROUND($G23,2)&lt;0,科目对照收入!$L23&lt;&gt;""),科目对照收入!$M23,科目对照收入!$D23)&amp;""</f>
        <v/>
      </c>
      <c r="G23" s="49" t="n">
        <f aca="false">-ROUND(助手收入!$J2,2)</f>
        <v>-0</v>
      </c>
      <c r="H23" s="49" t="str">
        <f aca="false">IF(ROUND($G23,2)&gt;0,ROUND($G23,2),"")</f>
        <v/>
      </c>
      <c r="I23" s="49" t="str">
        <f aca="false">IF(ROUND($G23,2)&lt;0,-ROUND($G23,2),"")</f>
        <v/>
      </c>
      <c r="J23" s="20" t="n">
        <f aca="false">IF(ROUND($G23,2)=0,0,1)</f>
        <v>0</v>
      </c>
      <c r="K23" s="20" t="str">
        <f aca="false">IF($J23=0,"",SUM($J$2:$J23))</f>
        <v/>
      </c>
      <c r="L23" s="20" t="str">
        <f aca="false">IF($K23="","",$A23*100+$K23)</f>
        <v/>
      </c>
      <c r="M23" s="48" t="str">
        <f aca="false">参数!$B$3</f>
        <v>7月收入</v>
      </c>
    </row>
    <row r="24" customFormat="false" ht="13.5" hidden="false" customHeight="false" outlineLevel="0" collapsed="false">
      <c r="A24" s="47" t="n">
        <v>2</v>
      </c>
      <c r="B24" s="38" t="n">
        <f aca="false">助手收入!$B3</f>
        <v>2002</v>
      </c>
      <c r="C24" s="48" t="str">
        <f aca="false">助手收入!$C3</f>
        <v>新隆店</v>
      </c>
      <c r="D24" s="48" t="str">
        <f aca="false">科目对照收入!$B2&amp;""</f>
        <v>库存现金</v>
      </c>
      <c r="E24" s="48" t="str">
        <f aca="false">IF(AND(ROUND($G24,2)&lt;0,科目对照收入!$L2&lt;&gt;""),科目对照收入!$L2,科目对照收入!$C2)&amp;""</f>
        <v>库存现金</v>
      </c>
      <c r="F24" s="48" t="str">
        <f aca="false">IF(AND(ROUND($G24,2)&lt;0,科目对照收入!$L2&lt;&gt;""),科目对照收入!$M2,科目对照收入!$D2)&amp;""</f>
        <v/>
      </c>
      <c r="G24" s="49" t="n">
        <f aca="false">助手收入!$I3</f>
        <v>290970.85</v>
      </c>
      <c r="H24" s="49" t="n">
        <f aca="false">IF(ROUND($G24,2)&gt;0,ROUND($G24,2),"")</f>
        <v>290970.85</v>
      </c>
      <c r="I24" s="49" t="str">
        <f aca="false">IF(ROUND($G24,2)&lt;0,-ROUND($G24,2),"")</f>
        <v/>
      </c>
      <c r="J24" s="20" t="n">
        <f aca="false">IF(ROUND($G24,2)=0,0,1)</f>
        <v>1</v>
      </c>
      <c r="K24" s="20" t="n">
        <f aca="false">IF($J24=0,"",SUM($J$24:$J24))</f>
        <v>1</v>
      </c>
      <c r="L24" s="20" t="n">
        <f aca="false">IF($K24="","",$A24*100+$K24)</f>
        <v>201</v>
      </c>
      <c r="M24" s="48" t="str">
        <f aca="false">参数!$B$3</f>
        <v>7月收入</v>
      </c>
    </row>
    <row r="25" customFormat="false" ht="13.5" hidden="false" customHeight="false" outlineLevel="0" collapsed="false">
      <c r="A25" s="47" t="n">
        <v>2</v>
      </c>
      <c r="B25" s="38" t="n">
        <f aca="false">助手收入!$B3</f>
        <v>2002</v>
      </c>
      <c r="C25" s="48" t="str">
        <f aca="false">助手收入!$C3</f>
        <v>新隆店</v>
      </c>
      <c r="D25" s="48" t="str">
        <f aca="false">科目对照收入!$B3&amp;""</f>
        <v>聚合支付</v>
      </c>
      <c r="E25" s="48" t="str">
        <f aca="false">IF(AND(ROUND($G25,2)&lt;0,科目对照收入!$L3&lt;&gt;""),科目对照收入!$L3,科目对照收入!$C3)&amp;""</f>
        <v>应收账款</v>
      </c>
      <c r="F25" s="48" t="str">
        <f aca="false">IF(AND(ROUND($G25,2)&lt;0,科目对照收入!$L3&lt;&gt;""),科目对照收入!$M3,科目对照收入!$D3)&amp;""</f>
        <v>聚合支付</v>
      </c>
      <c r="G25" s="49" t="n">
        <f aca="false">ROUND(SUMIFS(输入聚合!$C:$C,输入聚合!$A:$A,助手收入!$X3)-SUMIFS(输入聚合!$D:$D,输入聚合!$A:$A,助手收入!$X3),2)</f>
        <v>102925.1</v>
      </c>
      <c r="H25" s="49" t="n">
        <f aca="false">IF(ROUND($G25,2)&gt;0,ROUND($G25,2),"")</f>
        <v>102925.1</v>
      </c>
      <c r="I25" s="49" t="str">
        <f aca="false">IF(ROUND($G25,2)&lt;0,-ROUND($G25,2),"")</f>
        <v/>
      </c>
      <c r="J25" s="20" t="n">
        <f aca="false">IF(ROUND($G25,2)=0,0,1)</f>
        <v>1</v>
      </c>
      <c r="K25" s="20" t="n">
        <f aca="false">IF($J25=0,"",SUM($J$24:$J25))</f>
        <v>2</v>
      </c>
      <c r="L25" s="20" t="n">
        <f aca="false">IF($K25="","",$A25*100+$K25)</f>
        <v>202</v>
      </c>
      <c r="M25" s="48" t="str">
        <f aca="false">参数!$B$3</f>
        <v>7月收入</v>
      </c>
    </row>
    <row r="26" customFormat="false" ht="13.5" hidden="false" customHeight="false" outlineLevel="0" collapsed="false">
      <c r="A26" s="47" t="n">
        <v>2</v>
      </c>
      <c r="B26" s="38" t="n">
        <f aca="false">助手收入!$B3</f>
        <v>2002</v>
      </c>
      <c r="C26" s="48" t="str">
        <f aca="false">助手收入!$C3</f>
        <v>新隆店</v>
      </c>
      <c r="D26" s="48" t="str">
        <f aca="false">科目对照收入!$B4&amp;""</f>
        <v>医保</v>
      </c>
      <c r="E26" s="48" t="str">
        <f aca="false">IF(AND(ROUND($G26,2)&lt;0,科目对照收入!$L4&lt;&gt;""),科目对照收入!$L4,科目对照收入!$C4)&amp;""</f>
        <v>应收账款</v>
      </c>
      <c r="F26" s="48" t="str">
        <f aca="false">IF(AND(ROUND($G26,2)&lt;0,科目对照收入!$L4&lt;&gt;""),科目对照收入!$M4,科目对照收入!$D4)&amp;""</f>
        <v>医保</v>
      </c>
      <c r="G26" s="49" t="n">
        <f aca="false">IF(COUNTIFS(输入平台!$A:$A,助手收入!$X3,输入平台!$B:$B,科目对照收入!$B4)&gt;0,ROUND(SUMIFS(输入平台!$C:$C,输入平台!$A:$A,助手收入!$X3,输入平台!$B:$B,科目对照收入!$B4),2),ROUND(海典汇总!$F$4+海典汇总!$G$4,2))</f>
        <v>45021.37</v>
      </c>
      <c r="H26" s="49" t="n">
        <f aca="false">IF(ROUND($G26,2)&gt;0,ROUND($G26,2),"")</f>
        <v>45021.37</v>
      </c>
      <c r="I26" s="49" t="str">
        <f aca="false">IF(ROUND($G26,2)&lt;0,-ROUND($G26,2),"")</f>
        <v/>
      </c>
      <c r="J26" s="20" t="n">
        <f aca="false">IF(ROUND($G26,2)=0,0,1)</f>
        <v>1</v>
      </c>
      <c r="K26" s="20" t="n">
        <f aca="false">IF($J26=0,"",SUM($J$24:$J26))</f>
        <v>3</v>
      </c>
      <c r="L26" s="20" t="n">
        <f aca="false">IF($K26="","",$A26*100+$K26)</f>
        <v>203</v>
      </c>
      <c r="M26" s="48" t="str">
        <f aca="false">参数!$B$3</f>
        <v>7月收入</v>
      </c>
    </row>
    <row r="27" customFormat="false" ht="13.5" hidden="false" customHeight="false" outlineLevel="0" collapsed="false">
      <c r="A27" s="47" t="n">
        <v>2</v>
      </c>
      <c r="B27" s="38" t="n">
        <f aca="false">助手收入!$B3</f>
        <v>2002</v>
      </c>
      <c r="C27" s="48" t="str">
        <f aca="false">助手收入!$C3</f>
        <v>新隆店</v>
      </c>
      <c r="D27" s="48" t="str">
        <f aca="false">科目对照收入!$B5&amp;""</f>
        <v>健e卡</v>
      </c>
      <c r="E27" s="48" t="str">
        <f aca="false">IF(AND(ROUND($G27,2)&lt;0,科目对照收入!$L5&lt;&gt;""),科目对照收入!$L5,科目对照收入!$C5)&amp;""</f>
        <v>应收账款</v>
      </c>
      <c r="F27" s="48" t="str">
        <f aca="false">IF(AND(ROUND($G27,2)&lt;0,科目对照收入!$L5&lt;&gt;""),科目对照收入!$M5,科目对照收入!$D5)&amp;""</f>
        <v>健e卡</v>
      </c>
      <c r="G27" s="49" t="n">
        <f aca="false">IF(COUNTIFS(输入平台!$A:$A,助手收入!$X3,输入平台!$B:$B,科目对照收入!$B5)&gt;0,ROUND(SUMIFS(输入平台!$C:$C,输入平台!$A:$A,助手收入!$X3,输入平台!$B:$B,科目对照收入!$B5),2),ROUND(海典汇总!$H$4,2))</f>
        <v>0</v>
      </c>
      <c r="H27" s="49" t="str">
        <f aca="false">IF(ROUND($G27,2)&gt;0,ROUND($G27,2),"")</f>
        <v/>
      </c>
      <c r="I27" s="49" t="str">
        <f aca="false">IF(ROUND($G27,2)&lt;0,-ROUND($G27,2),"")</f>
        <v/>
      </c>
      <c r="J27" s="20" t="n">
        <f aca="false">IF(ROUND($G27,2)=0,0,1)</f>
        <v>0</v>
      </c>
      <c r="K27" s="20" t="str">
        <f aca="false">IF($J27=0,"",SUM($J$24:$J27))</f>
        <v/>
      </c>
      <c r="L27" s="20" t="str">
        <f aca="false">IF($K27="","",$A27*100+$K27)</f>
        <v/>
      </c>
      <c r="M27" s="48" t="str">
        <f aca="false">参数!$B$3</f>
        <v>7月收入</v>
      </c>
    </row>
    <row r="28" customFormat="false" ht="13.5" hidden="false" customHeight="false" outlineLevel="0" collapsed="false">
      <c r="A28" s="47" t="n">
        <v>2</v>
      </c>
      <c r="B28" s="38" t="n">
        <f aca="false">助手收入!$B3</f>
        <v>2002</v>
      </c>
      <c r="C28" s="48" t="str">
        <f aca="false">助手收入!$C3</f>
        <v>新隆店</v>
      </c>
      <c r="D28" s="48" t="str">
        <f aca="false">科目对照收入!$B6&amp;""</f>
        <v>医卡通</v>
      </c>
      <c r="E28" s="48" t="str">
        <f aca="false">IF(AND(ROUND($G28,2)&lt;0,科目对照收入!$L6&lt;&gt;""),科目对照收入!$L6,科目对照收入!$C6)&amp;""</f>
        <v>应收账款</v>
      </c>
      <c r="F28" s="48" t="str">
        <f aca="false">IF(AND(ROUND($G28,2)&lt;0,科目对照收入!$L6&lt;&gt;""),科目对照收入!$M6,科目对照收入!$D6)&amp;""</f>
        <v>医卡通</v>
      </c>
      <c r="G28" s="49" t="n">
        <f aca="false">IF(COUNTIFS(输入平台!$A:$A,助手收入!$X3,输入平台!$B:$B,科目对照收入!$B6)&gt;0,ROUND(SUMIFS(输入平台!$C:$C,输入平台!$A:$A,助手收入!$X3,输入平台!$B:$B,科目对照收入!$B6),2),ROUND(海典汇总!$I$4,2))</f>
        <v>0</v>
      </c>
      <c r="H28" s="49" t="str">
        <f aca="false">IF(ROUND($G28,2)&gt;0,ROUND($G28,2),"")</f>
        <v/>
      </c>
      <c r="I28" s="49" t="str">
        <f aca="false">IF(ROUND($G28,2)&lt;0,-ROUND($G28,2),"")</f>
        <v/>
      </c>
      <c r="J28" s="20" t="n">
        <f aca="false">IF(ROUND($G28,2)=0,0,1)</f>
        <v>0</v>
      </c>
      <c r="K28" s="20" t="str">
        <f aca="false">IF($J28=0,"",SUM($J$24:$J28))</f>
        <v/>
      </c>
      <c r="L28" s="20" t="str">
        <f aca="false">IF($K28="","",$A28*100+$K28)</f>
        <v/>
      </c>
      <c r="M28" s="48" t="str">
        <f aca="false">参数!$B$3</f>
        <v>7月收入</v>
      </c>
    </row>
    <row r="29" customFormat="false" ht="13.5" hidden="false" customHeight="false" outlineLevel="0" collapsed="false">
      <c r="A29" s="47" t="n">
        <v>2</v>
      </c>
      <c r="B29" s="38" t="n">
        <f aca="false">助手收入!$B3</f>
        <v>2002</v>
      </c>
      <c r="C29" s="48" t="str">
        <f aca="false">助手收入!$C3</f>
        <v>新隆店</v>
      </c>
      <c r="D29" s="48" t="str">
        <f aca="false">科目对照收入!$B7&amp;""</f>
        <v>企健网</v>
      </c>
      <c r="E29" s="48" t="str">
        <f aca="false">IF(AND(ROUND($G29,2)&lt;0,科目对照收入!$L7&lt;&gt;""),科目对照收入!$L7,科目对照收入!$C7)&amp;""</f>
        <v>应收账款</v>
      </c>
      <c r="F29" s="48" t="str">
        <f aca="false">IF(AND(ROUND($G29,2)&lt;0,科目对照收入!$L7&lt;&gt;""),科目对照收入!$M7,科目对照收入!$D7)&amp;""</f>
        <v>企健网</v>
      </c>
      <c r="G29" s="49" t="n">
        <f aca="false">IF(COUNTIFS(输入平台!$A:$A,助手收入!$X3,输入平台!$B:$B,科目对照收入!$B7)&gt;0,ROUND(SUMIFS(输入平台!$C:$C,输入平台!$A:$A,助手收入!$X3,输入平台!$B:$B,科目对照收入!$B7),2),ROUND(海典汇总!$J$4,2))</f>
        <v>0</v>
      </c>
      <c r="H29" s="49" t="str">
        <f aca="false">IF(ROUND($G29,2)&gt;0,ROUND($G29,2),"")</f>
        <v/>
      </c>
      <c r="I29" s="49" t="str">
        <f aca="false">IF(ROUND($G29,2)&lt;0,-ROUND($G29,2),"")</f>
        <v/>
      </c>
      <c r="J29" s="20" t="n">
        <f aca="false">IF(ROUND($G29,2)=0,0,1)</f>
        <v>0</v>
      </c>
      <c r="K29" s="20" t="str">
        <f aca="false">IF($J29=0,"",SUM($J$24:$J29))</f>
        <v/>
      </c>
      <c r="L29" s="20" t="str">
        <f aca="false">IF($K29="","",$A29*100+$K29)</f>
        <v/>
      </c>
      <c r="M29" s="48" t="str">
        <f aca="false">参数!$B$3</f>
        <v>7月收入</v>
      </c>
    </row>
    <row r="30" customFormat="false" ht="13.5" hidden="false" customHeight="false" outlineLevel="0" collapsed="false">
      <c r="A30" s="47" t="n">
        <v>2</v>
      </c>
      <c r="B30" s="38" t="n">
        <f aca="false">助手收入!$B3</f>
        <v>2002</v>
      </c>
      <c r="C30" s="48" t="str">
        <f aca="false">助手收入!$C3</f>
        <v>新隆店</v>
      </c>
      <c r="D30" s="48" t="str">
        <f aca="false">科目对照收入!$B8&amp;""</f>
        <v>亲情卡</v>
      </c>
      <c r="E30" s="48" t="str">
        <f aca="false">IF(AND(ROUND($G30,2)&lt;0,科目对照收入!$L8&lt;&gt;""),科目对照收入!$L8,科目对照收入!$C8)&amp;""</f>
        <v>应收账款</v>
      </c>
      <c r="F30" s="48" t="str">
        <f aca="false">IF(AND(ROUND($G30,2)&lt;0,科目对照收入!$L8&lt;&gt;""),科目对照收入!$M8,科目对照收入!$D8)&amp;""</f>
        <v>亲情卡</v>
      </c>
      <c r="G30" s="49" t="n">
        <f aca="false">IF(COUNTIFS(输入平台!$A:$A,助手收入!$X3,输入平台!$B:$B,科目对照收入!$B8)&gt;0,ROUND(SUMIFS(输入平台!$C:$C,输入平台!$A:$A,助手收入!$X3,输入平台!$B:$B,科目对照收入!$B8),2),ROUND(海典汇总!$Z$4,2))</f>
        <v>0</v>
      </c>
      <c r="H30" s="49" t="str">
        <f aca="false">IF(ROUND($G30,2)&gt;0,ROUND($G30,2),"")</f>
        <v/>
      </c>
      <c r="I30" s="49" t="str">
        <f aca="false">IF(ROUND($G30,2)&lt;0,-ROUND($G30,2),"")</f>
        <v/>
      </c>
      <c r="J30" s="20" t="n">
        <f aca="false">IF(ROUND($G30,2)=0,0,1)</f>
        <v>0</v>
      </c>
      <c r="K30" s="20" t="str">
        <f aca="false">IF($J30=0,"",SUM($J$24:$J30))</f>
        <v/>
      </c>
      <c r="L30" s="20" t="str">
        <f aca="false">IF($K30="","",$A30*100+$K30)</f>
        <v/>
      </c>
      <c r="M30" s="48" t="str">
        <f aca="false">参数!$B$3</f>
        <v>7月收入</v>
      </c>
    </row>
    <row r="31" customFormat="false" ht="13.5" hidden="false" customHeight="false" outlineLevel="0" collapsed="false">
      <c r="A31" s="47" t="n">
        <v>2</v>
      </c>
      <c r="B31" s="38" t="n">
        <f aca="false">助手收入!$B3</f>
        <v>2002</v>
      </c>
      <c r="C31" s="48" t="str">
        <f aca="false">助手收入!$C3</f>
        <v>新隆店</v>
      </c>
      <c r="D31" s="48" t="str">
        <f aca="false">科目对照收入!$B9&amp;""</f>
        <v>24小时</v>
      </c>
      <c r="E31" s="48" t="str">
        <f aca="false">IF(AND(ROUND($G31,2)&lt;0,科目对照收入!$L9&lt;&gt;""),科目对照收入!$L9,科目对照收入!$C9)&amp;""</f>
        <v>应收账款</v>
      </c>
      <c r="F31" s="48" t="str">
        <f aca="false">IF(AND(ROUND($G31,2)&lt;0,科目对照收入!$L9&lt;&gt;""),科目对照收入!$M9,科目对照收入!$D9)&amp;""</f>
        <v>24小时</v>
      </c>
      <c r="G31" s="49" t="n">
        <f aca="false">IF(COUNTIFS(输入平台!$A:$A,助手收入!$X3,输入平台!$B:$B,科目对照收入!$B9)&gt;0,ROUND(SUMIFS(输入平台!$C:$C,输入平台!$A:$A,助手收入!$X3,输入平台!$B:$B,科目对照收入!$B9),2),ROUND(海典汇总!$K$4,2))</f>
        <v>0</v>
      </c>
      <c r="H31" s="49" t="str">
        <f aca="false">IF(ROUND($G31,2)&gt;0,ROUND($G31,2),"")</f>
        <v/>
      </c>
      <c r="I31" s="49" t="str">
        <f aca="false">IF(ROUND($G31,2)&lt;0,-ROUND($G31,2),"")</f>
        <v/>
      </c>
      <c r="J31" s="20" t="n">
        <f aca="false">IF(ROUND($G31,2)=0,0,1)</f>
        <v>0</v>
      </c>
      <c r="K31" s="20" t="str">
        <f aca="false">IF($J31=0,"",SUM($J$24:$J31))</f>
        <v/>
      </c>
      <c r="L31" s="20" t="str">
        <f aca="false">IF($K31="","",$A31*100+$K31)</f>
        <v/>
      </c>
      <c r="M31" s="48" t="str">
        <f aca="false">参数!$B$3</f>
        <v>7月收入</v>
      </c>
    </row>
    <row r="32" customFormat="false" ht="13.5" hidden="false" customHeight="false" outlineLevel="0" collapsed="false">
      <c r="A32" s="47" t="n">
        <v>2</v>
      </c>
      <c r="B32" s="38" t="n">
        <f aca="false">助手收入!$B3</f>
        <v>2002</v>
      </c>
      <c r="C32" s="48" t="str">
        <f aca="false">助手收入!$C3</f>
        <v>新隆店</v>
      </c>
      <c r="D32" s="48" t="str">
        <f aca="false">科目对照收入!$B10&amp;""</f>
        <v>美团</v>
      </c>
      <c r="E32" s="48" t="str">
        <f aca="false">IF(AND(ROUND($G32,2)&lt;0,科目对照收入!$L10&lt;&gt;""),科目对照收入!$L10,科目对照收入!$C10)&amp;""</f>
        <v>应收账款</v>
      </c>
      <c r="F32" s="48" t="str">
        <f aca="false">IF(AND(ROUND($G32,2)&lt;0,科目对照收入!$L10&lt;&gt;""),科目对照收入!$M10,科目对照收入!$D10)&amp;""</f>
        <v>美团</v>
      </c>
      <c r="G32" s="49" t="n">
        <f aca="false">IF(COUNTIFS(输入平台!$A:$A,助手收入!$X3,输入平台!$B:$B,科目对照收入!$B10)&gt;0,ROUND(SUMIFS(输入平台!$C:$C,输入平台!$A:$A,助手收入!$X3,输入平台!$B:$B,科目对照收入!$B10),2),ROUND(海典汇总!$M$4,2))</f>
        <v>0</v>
      </c>
      <c r="H32" s="49" t="str">
        <f aca="false">IF(ROUND($G32,2)&gt;0,ROUND($G32,2),"")</f>
        <v/>
      </c>
      <c r="I32" s="49" t="str">
        <f aca="false">IF(ROUND($G32,2)&lt;0,-ROUND($G32,2),"")</f>
        <v/>
      </c>
      <c r="J32" s="20" t="n">
        <f aca="false">IF(ROUND($G32,2)=0,0,1)</f>
        <v>0</v>
      </c>
      <c r="K32" s="20" t="str">
        <f aca="false">IF($J32=0,"",SUM($J$24:$J32))</f>
        <v/>
      </c>
      <c r="L32" s="20" t="str">
        <f aca="false">IF($K32="","",$A32*100+$K32)</f>
        <v/>
      </c>
      <c r="M32" s="48" t="str">
        <f aca="false">参数!$B$3</f>
        <v>7月收入</v>
      </c>
    </row>
    <row r="33" customFormat="false" ht="13.5" hidden="false" customHeight="false" outlineLevel="0" collapsed="false">
      <c r="A33" s="47" t="n">
        <v>2</v>
      </c>
      <c r="B33" s="38" t="n">
        <f aca="false">助手收入!$B3</f>
        <v>2002</v>
      </c>
      <c r="C33" s="48" t="str">
        <f aca="false">助手收入!$C3</f>
        <v>新隆店</v>
      </c>
      <c r="D33" s="48" t="str">
        <f aca="false">科目对照收入!$B11&amp;""</f>
        <v>饿了么</v>
      </c>
      <c r="E33" s="48" t="str">
        <f aca="false">IF(AND(ROUND($G33,2)&lt;0,科目对照收入!$L11&lt;&gt;""),科目对照收入!$L11,科目对照收入!$C11)&amp;""</f>
        <v>应收账款</v>
      </c>
      <c r="F33" s="48" t="str">
        <f aca="false">IF(AND(ROUND($G33,2)&lt;0,科目对照收入!$L11&lt;&gt;""),科目对照收入!$M11,科目对照收入!$D11)&amp;""</f>
        <v>饿了么</v>
      </c>
      <c r="G33" s="49" t="n">
        <f aca="false">IF(COUNTIFS(输入平台!$A:$A,助手收入!$X3,输入平台!$B:$B,科目对照收入!$B11)&gt;0,ROUND(SUMIFS(输入平台!$C:$C,输入平台!$A:$A,助手收入!$X3,输入平台!$B:$B,科目对照收入!$B11),2),ROUND(海典汇总!$N$4,2))</f>
        <v>0</v>
      </c>
      <c r="H33" s="49" t="str">
        <f aca="false">IF(ROUND($G33,2)&gt;0,ROUND($G33,2),"")</f>
        <v/>
      </c>
      <c r="I33" s="49" t="str">
        <f aca="false">IF(ROUND($G33,2)&lt;0,-ROUND($G33,2),"")</f>
        <v/>
      </c>
      <c r="J33" s="20" t="n">
        <f aca="false">IF(ROUND($G33,2)=0,0,1)</f>
        <v>0</v>
      </c>
      <c r="K33" s="20" t="str">
        <f aca="false">IF($J33=0,"",SUM($J$24:$J33))</f>
        <v/>
      </c>
      <c r="L33" s="20" t="str">
        <f aca="false">IF($K33="","",$A33*100+$K33)</f>
        <v/>
      </c>
      <c r="M33" s="48" t="str">
        <f aca="false">参数!$B$3</f>
        <v>7月收入</v>
      </c>
    </row>
    <row r="34" customFormat="false" ht="13.5" hidden="false" customHeight="false" outlineLevel="0" collapsed="false">
      <c r="A34" s="47" t="n">
        <v>2</v>
      </c>
      <c r="B34" s="38" t="n">
        <f aca="false">助手收入!$B3</f>
        <v>2002</v>
      </c>
      <c r="C34" s="48" t="str">
        <f aca="false">助手收入!$C3</f>
        <v>新隆店</v>
      </c>
      <c r="D34" s="48" t="str">
        <f aca="false">科目对照收入!$B12&amp;""</f>
        <v>京东秒送</v>
      </c>
      <c r="E34" s="48" t="str">
        <f aca="false">IF(AND(ROUND($G34,2)&lt;0,科目对照收入!$L12&lt;&gt;""),科目对照收入!$L12,科目对照收入!$C12)&amp;""</f>
        <v>应收账款</v>
      </c>
      <c r="F34" s="48" t="str">
        <f aca="false">IF(AND(ROUND($G34,2)&lt;0,科目对照收入!$L12&lt;&gt;""),科目对照收入!$M12,科目对照收入!$D12)&amp;""</f>
        <v>京东秒送</v>
      </c>
      <c r="G34" s="49" t="n">
        <f aca="false">IF(COUNTIFS(输入平台!$A:$A,助手收入!$X3,输入平台!$B:$B,科目对照收入!$B12)&gt;0,ROUND(SUMIFS(输入平台!$C:$C,输入平台!$A:$A,助手收入!$X3,输入平台!$B:$B,科目对照收入!$B12),2),ROUND(海典汇总!$O$4,2))</f>
        <v>0</v>
      </c>
      <c r="H34" s="49" t="str">
        <f aca="false">IF(ROUND($G34,2)&gt;0,ROUND($G34,2),"")</f>
        <v/>
      </c>
      <c r="I34" s="49" t="str">
        <f aca="false">IF(ROUND($G34,2)&lt;0,-ROUND($G34,2),"")</f>
        <v/>
      </c>
      <c r="J34" s="20" t="n">
        <f aca="false">IF(ROUND($G34,2)=0,0,1)</f>
        <v>0</v>
      </c>
      <c r="K34" s="20" t="str">
        <f aca="false">IF($J34=0,"",SUM($J$24:$J34))</f>
        <v/>
      </c>
      <c r="L34" s="20" t="str">
        <f aca="false">IF($K34="","",$A34*100+$K34)</f>
        <v/>
      </c>
      <c r="M34" s="48" t="str">
        <f aca="false">参数!$B$3</f>
        <v>7月收入</v>
      </c>
    </row>
    <row r="35" customFormat="false" ht="13.5" hidden="false" customHeight="false" outlineLevel="0" collapsed="false">
      <c r="A35" s="47" t="n">
        <v>2</v>
      </c>
      <c r="B35" s="38" t="n">
        <f aca="false">助手收入!$B3</f>
        <v>2002</v>
      </c>
      <c r="C35" s="48" t="str">
        <f aca="false">助手收入!$C3</f>
        <v>新隆店</v>
      </c>
      <c r="D35" s="48" t="str">
        <f aca="false">科目对照收入!$B13&amp;""</f>
        <v>银联</v>
      </c>
      <c r="E35" s="48" t="str">
        <f aca="false">IF(AND(ROUND($G35,2)&lt;0,科目对照收入!$L13&lt;&gt;""),科目对照收入!$L13,科目对照收入!$C13)&amp;""</f>
        <v>应收账款</v>
      </c>
      <c r="F35" s="48" t="str">
        <f aca="false">IF(AND(ROUND($G35,2)&lt;0,科目对照收入!$L13&lt;&gt;""),科目对照收入!$M13,科目对照收入!$D13)&amp;""</f>
        <v>银联</v>
      </c>
      <c r="G35" s="49" t="n">
        <f aca="false">IF(COUNTIFS(输入平台!$A:$A,助手收入!$X3,输入平台!$B:$B,科目对照收入!$B13)&gt;0,ROUND(SUMIFS(输入平台!$C:$C,输入平台!$A:$A,助手收入!$X3,输入平台!$B:$B,科目对照收入!$B13),2),ROUND(海典汇总!$V$4,2))</f>
        <v>0</v>
      </c>
      <c r="H35" s="49" t="str">
        <f aca="false">IF(ROUND($G35,2)&gt;0,ROUND($G35,2),"")</f>
        <v/>
      </c>
      <c r="I35" s="49" t="str">
        <f aca="false">IF(ROUND($G35,2)&lt;0,-ROUND($G35,2),"")</f>
        <v/>
      </c>
      <c r="J35" s="20" t="n">
        <f aca="false">IF(ROUND($G35,2)=0,0,1)</f>
        <v>0</v>
      </c>
      <c r="K35" s="20" t="str">
        <f aca="false">IF($J35=0,"",SUM($J$24:$J35))</f>
        <v/>
      </c>
      <c r="L35" s="20" t="str">
        <f aca="false">IF($K35="","",$A35*100+$K35)</f>
        <v/>
      </c>
      <c r="M35" s="48" t="str">
        <f aca="false">参数!$B$3</f>
        <v>7月收入</v>
      </c>
    </row>
    <row r="36" customFormat="false" ht="13.5" hidden="false" customHeight="false" outlineLevel="0" collapsed="false">
      <c r="A36" s="47" t="n">
        <v>2</v>
      </c>
      <c r="B36" s="38" t="n">
        <f aca="false">助手收入!$B3</f>
        <v>2002</v>
      </c>
      <c r="C36" s="48" t="str">
        <f aca="false">助手收入!$C3</f>
        <v>新隆店</v>
      </c>
      <c r="D36" s="48" t="str">
        <f aca="false">科目对照收入!$B14&amp;""</f>
        <v>小镇外卖</v>
      </c>
      <c r="E36" s="48" t="str">
        <f aca="false">IF(AND(ROUND($G36,2)&lt;0,科目对照收入!$L14&lt;&gt;""),科目对照收入!$L14,科目对照收入!$C14)&amp;""</f>
        <v>应收账款</v>
      </c>
      <c r="F36" s="48" t="str">
        <f aca="false">IF(AND(ROUND($G36,2)&lt;0,科目对照收入!$L14&lt;&gt;""),科目对照收入!$M14,科目对照收入!$D14)&amp;""</f>
        <v>小镇外卖</v>
      </c>
      <c r="G36" s="49" t="n">
        <f aca="false">IF(COUNTIFS(输入平台!$A:$A,助手收入!$X3,输入平台!$B:$B,科目对照收入!$B14)&gt;0,ROUND(SUMIFS(输入平台!$C:$C,输入平台!$A:$A,助手收入!$X3,输入平台!$B:$B,科目对照收入!$B14),2),ROUND(海典汇总!$AC$4,2))</f>
        <v>0</v>
      </c>
      <c r="H36" s="49" t="str">
        <f aca="false">IF(ROUND($G36,2)&gt;0,ROUND($G36,2),"")</f>
        <v/>
      </c>
      <c r="I36" s="49" t="str">
        <f aca="false">IF(ROUND($G36,2)&lt;0,-ROUND($G36,2),"")</f>
        <v/>
      </c>
      <c r="J36" s="20" t="n">
        <f aca="false">IF(ROUND($G36,2)=0,0,1)</f>
        <v>0</v>
      </c>
      <c r="K36" s="20" t="str">
        <f aca="false">IF($J36=0,"",SUM($J$24:$J36))</f>
        <v/>
      </c>
      <c r="L36" s="20" t="str">
        <f aca="false">IF($K36="","",$A36*100+$K36)</f>
        <v/>
      </c>
      <c r="M36" s="48" t="str">
        <f aca="false">参数!$B$3</f>
        <v>7月收入</v>
      </c>
    </row>
    <row r="37" customFormat="false" ht="13.5" hidden="false" customHeight="false" outlineLevel="0" collapsed="false">
      <c r="A37" s="47" t="n">
        <v>2</v>
      </c>
      <c r="B37" s="38" t="n">
        <f aca="false">助手收入!$B3</f>
        <v>2002</v>
      </c>
      <c r="C37" s="48" t="str">
        <f aca="false">助手收入!$C3</f>
        <v>新隆店</v>
      </c>
      <c r="D37" s="48" t="str">
        <f aca="false">科目对照收入!$B15&amp;""</f>
        <v>OMS线上支付</v>
      </c>
      <c r="E37" s="48" t="str">
        <f aca="false">IF(AND(ROUND($G37,2)&lt;0,科目对照收入!$L15&lt;&gt;""),科目对照收入!$L15,科目对照收入!$C15)&amp;""</f>
        <v>应收账款</v>
      </c>
      <c r="F37" s="48" t="str">
        <f aca="false">IF(AND(ROUND($G37,2)&lt;0,科目对照收入!$L15&lt;&gt;""),科目对照收入!$M15,科目对照收入!$D15)&amp;""</f>
        <v>OMS线上</v>
      </c>
      <c r="G37" s="49" t="n">
        <f aca="false">IF(COUNTIFS(输入平台!$A:$A,助手收入!$X3,输入平台!$B:$B,科目对照收入!$B15)&gt;0,ROUND(SUMIFS(输入平台!$C:$C,输入平台!$A:$A,助手收入!$X3,输入平台!$B:$B,科目对照收入!$B15),2),ROUND(海典汇总!$L$4,2))</f>
        <v>0</v>
      </c>
      <c r="H37" s="49" t="str">
        <f aca="false">IF(ROUND($G37,2)&gt;0,ROUND($G37,2),"")</f>
        <v/>
      </c>
      <c r="I37" s="49" t="str">
        <f aca="false">IF(ROUND($G37,2)&lt;0,-ROUND($G37,2),"")</f>
        <v/>
      </c>
      <c r="J37" s="20" t="n">
        <f aca="false">IF(ROUND($G37,2)=0,0,1)</f>
        <v>0</v>
      </c>
      <c r="K37" s="20" t="str">
        <f aca="false">IF($J37=0,"",SUM($J$24:$J37))</f>
        <v/>
      </c>
      <c r="L37" s="20" t="str">
        <f aca="false">IF($K37="","",$A37*100+$K37)</f>
        <v/>
      </c>
      <c r="M37" s="48" t="str">
        <f aca="false">参数!$B$3</f>
        <v>7月收入</v>
      </c>
    </row>
    <row r="38" customFormat="false" ht="13.5" hidden="false" customHeight="false" outlineLevel="0" collapsed="false">
      <c r="A38" s="47" t="n">
        <v>2</v>
      </c>
      <c r="B38" s="38" t="n">
        <f aca="false">助手收入!$B3</f>
        <v>2002</v>
      </c>
      <c r="C38" s="48" t="str">
        <f aca="false">助手收入!$C3</f>
        <v>新隆店</v>
      </c>
      <c r="D38" s="48" t="str">
        <f aca="false">科目对照收入!$B16&amp;""</f>
        <v>平安药卡</v>
      </c>
      <c r="E38" s="48" t="str">
        <f aca="false">IF(AND(ROUND($G38,2)&lt;0,科目对照收入!$L16&lt;&gt;""),科目对照收入!$L16,科目对照收入!$C16)&amp;""</f>
        <v>应收账款</v>
      </c>
      <c r="F38" s="48" t="str">
        <f aca="false">IF(AND(ROUND($G38,2)&lt;0,科目对照收入!$L16&lt;&gt;""),科目对照收入!$M16,科目对照收入!$D16)&amp;""</f>
        <v>平安</v>
      </c>
      <c r="G38" s="49" t="n">
        <f aca="false">IF(COUNTIFS(输入平台!$A:$A,助手收入!$X3,输入平台!$B:$B,科目对照收入!$B16)&gt;0,ROUND(SUMIFS(输入平台!$C:$C,输入平台!$A:$A,助手收入!$X3,输入平台!$B:$B,科目对照收入!$B16),2),ROUND(海典汇总!$AB$4,2))</f>
        <v>0</v>
      </c>
      <c r="H38" s="49" t="str">
        <f aca="false">IF(ROUND($G38,2)&gt;0,ROUND($G38,2),"")</f>
        <v/>
      </c>
      <c r="I38" s="49" t="str">
        <f aca="false">IF(ROUND($G38,2)&lt;0,-ROUND($G38,2),"")</f>
        <v/>
      </c>
      <c r="J38" s="20" t="n">
        <f aca="false">IF(ROUND($G38,2)=0,0,1)</f>
        <v>0</v>
      </c>
      <c r="K38" s="20" t="str">
        <f aca="false">IF($J38=0,"",SUM($J$24:$J38))</f>
        <v/>
      </c>
      <c r="L38" s="20" t="str">
        <f aca="false">IF($K38="","",$A38*100+$K38)</f>
        <v/>
      </c>
      <c r="M38" s="48" t="str">
        <f aca="false">参数!$B$3</f>
        <v>7月收入</v>
      </c>
    </row>
    <row r="39" customFormat="false" ht="13.5" hidden="false" customHeight="false" outlineLevel="0" collapsed="false">
      <c r="A39" s="47" t="n">
        <v>2</v>
      </c>
      <c r="B39" s="38" t="n">
        <f aca="false">助手收入!$B3</f>
        <v>2002</v>
      </c>
      <c r="C39" s="48" t="str">
        <f aca="false">助手收入!$C3</f>
        <v>新隆店</v>
      </c>
      <c r="D39" s="48" t="str">
        <f aca="false">科目对照收入!$B17&amp;""</f>
        <v>储值卡</v>
      </c>
      <c r="E39" s="48" t="str">
        <f aca="false">IF(AND(ROUND($G39,2)&lt;0,科目对照收入!$L17&lt;&gt;""),科目对照收入!$L17,科目对照收入!$C17)&amp;""</f>
        <v>其他应收款</v>
      </c>
      <c r="F39" s="48" t="str">
        <f aca="false">IF(AND(ROUND($G39,2)&lt;0,科目对照收入!$L17&lt;&gt;""),科目对照收入!$M17,科目对照收入!$D17)&amp;""</f>
        <v>储值卡</v>
      </c>
      <c r="G39" s="49" t="n">
        <f aca="false">ROUND(海典汇总!$Q$4,2)</f>
        <v>2656.85</v>
      </c>
      <c r="H39" s="49" t="n">
        <f aca="false">IF(ROUND($G39,2)&gt;0,ROUND($G39,2),"")</f>
        <v>2656.85</v>
      </c>
      <c r="I39" s="49" t="str">
        <f aca="false">IF(ROUND($G39,2)&lt;0,-ROUND($G39,2),"")</f>
        <v/>
      </c>
      <c r="J39" s="20" t="n">
        <f aca="false">IF(ROUND($G39,2)=0,0,1)</f>
        <v>1</v>
      </c>
      <c r="K39" s="20" t="n">
        <f aca="false">IF($J39=0,"",SUM($J$24:$J39))</f>
        <v>4</v>
      </c>
      <c r="L39" s="20" t="n">
        <f aca="false">IF($K39="","",$A39*100+$K39)</f>
        <v>204</v>
      </c>
      <c r="M39" s="48" t="str">
        <f aca="false">参数!$B$3</f>
        <v>7月收入</v>
      </c>
    </row>
    <row r="40" customFormat="false" ht="13.5" hidden="false" customHeight="false" outlineLevel="0" collapsed="false">
      <c r="A40" s="47" t="n">
        <v>2</v>
      </c>
      <c r="B40" s="38" t="n">
        <f aca="false">助手收入!$B3</f>
        <v>2002</v>
      </c>
      <c r="C40" s="48" t="str">
        <f aca="false">助手收入!$C3</f>
        <v>新隆店</v>
      </c>
      <c r="D40" s="48" t="str">
        <f aca="false">科目对照收入!$B18&amp;""</f>
        <v>会员零钱包</v>
      </c>
      <c r="E40" s="48" t="str">
        <f aca="false">IF(AND(ROUND($G40,2)&lt;0,科目对照收入!$L18&lt;&gt;""),科目对照收入!$L18,科目对照收入!$C18)&amp;""</f>
        <v>其他应收款</v>
      </c>
      <c r="F40" s="48" t="str">
        <f aca="false">IF(AND(ROUND($G40,2)&lt;0,科目对照收入!$L18&lt;&gt;""),科目对照收入!$M18,科目对照收入!$D18)&amp;""</f>
        <v>会员零钱包</v>
      </c>
      <c r="G40" s="49" t="n">
        <f aca="false">ROUND(海典汇总!$P$4,2)</f>
        <v>0</v>
      </c>
      <c r="H40" s="49" t="str">
        <f aca="false">IF(ROUND($G40,2)&gt;0,ROUND($G40,2),"")</f>
        <v/>
      </c>
      <c r="I40" s="49" t="str">
        <f aca="false">IF(ROUND($G40,2)&lt;0,-ROUND($G40,2),"")</f>
        <v/>
      </c>
      <c r="J40" s="20" t="n">
        <f aca="false">IF(ROUND($G40,2)=0,0,1)</f>
        <v>0</v>
      </c>
      <c r="K40" s="20" t="str">
        <f aca="false">IF($J40=0,"",SUM($J$24:$J40))</f>
        <v/>
      </c>
      <c r="L40" s="20" t="str">
        <f aca="false">IF($K40="","",$A40*100+$K40)</f>
        <v/>
      </c>
      <c r="M40" s="48" t="str">
        <f aca="false">参数!$B$3</f>
        <v>7月收入</v>
      </c>
    </row>
    <row r="41" customFormat="false" ht="13.5" hidden="false" customHeight="false" outlineLevel="0" collapsed="false">
      <c r="A41" s="47" t="n">
        <v>2</v>
      </c>
      <c r="B41" s="38" t="n">
        <f aca="false">助手收入!$B3</f>
        <v>2002</v>
      </c>
      <c r="C41" s="48" t="str">
        <f aca="false">助手收入!$C3</f>
        <v>新隆店</v>
      </c>
      <c r="D41" s="48" t="str">
        <f aca="false">科目对照收入!$B19&amp;""</f>
        <v>促销费</v>
      </c>
      <c r="E41" s="48" t="str">
        <f aca="false">IF(AND(ROUND($G41,2)&lt;0,科目对照收入!$L19&lt;&gt;""),科目对照收入!$L19,科目对照收入!$C19)&amp;""</f>
        <v>销售费用</v>
      </c>
      <c r="F41" s="48" t="str">
        <f aca="false">IF(AND(ROUND($G41,2)&lt;0,科目对照收入!$L19&lt;&gt;""),科目对照收入!$M19,科目对照收入!$D19)&amp;""</f>
        <v>促销费</v>
      </c>
      <c r="G41" s="49" t="n">
        <f aca="false">ROUND(海典汇总!$U$4+海典汇总!$T$4+海典汇总!$S$4,2)</f>
        <v>2268.63</v>
      </c>
      <c r="H41" s="49" t="n">
        <f aca="false">IF(ROUND($G41,2)&gt;0,ROUND($G41,2),"")</f>
        <v>2268.63</v>
      </c>
      <c r="I41" s="49" t="str">
        <f aca="false">IF(ROUND($G41,2)&lt;0,-ROUND($G41,2),"")</f>
        <v/>
      </c>
      <c r="J41" s="20" t="n">
        <f aca="false">IF(ROUND($G41,2)=0,0,1)</f>
        <v>1</v>
      </c>
      <c r="K41" s="20" t="n">
        <f aca="false">IF($J41=0,"",SUM($J$24:$J41))</f>
        <v>5</v>
      </c>
      <c r="L41" s="20" t="n">
        <f aca="false">IF($K41="","",$A41*100+$K41)</f>
        <v>205</v>
      </c>
      <c r="M41" s="48" t="str">
        <f aca="false">参数!$B$3</f>
        <v>7月收入</v>
      </c>
    </row>
    <row r="42" customFormat="false" ht="13.5" hidden="false" customHeight="false" outlineLevel="0" collapsed="false">
      <c r="A42" s="47" t="n">
        <v>2</v>
      </c>
      <c r="B42" s="38" t="n">
        <f aca="false">助手收入!$B3</f>
        <v>2002</v>
      </c>
      <c r="C42" s="48" t="str">
        <f aca="false">助手收入!$C3</f>
        <v>新隆店</v>
      </c>
      <c r="D42" s="48" t="str">
        <f aca="false">科目对照收入!$B20&amp;""</f>
        <v>积分</v>
      </c>
      <c r="E42" s="48" t="str">
        <f aca="false">IF(AND(ROUND($G42,2)&lt;0,科目对照收入!$L20&lt;&gt;""),科目对照收入!$L20,科目对照收入!$C20)&amp;""</f>
        <v>销售费用</v>
      </c>
      <c r="F42" s="48" t="str">
        <f aca="false">IF(AND(ROUND($G42,2)&lt;0,科目对照收入!$L20&lt;&gt;""),科目对照收入!$M20,科目对照收入!$D20)&amp;""</f>
        <v>积分</v>
      </c>
      <c r="G42" s="49" t="n">
        <f aca="false">ROUND(海典汇总!$R$4,2)</f>
        <v>0</v>
      </c>
      <c r="H42" s="49" t="str">
        <f aca="false">IF(ROUND($G42,2)&gt;0,ROUND($G42,2),"")</f>
        <v/>
      </c>
      <c r="I42" s="49" t="str">
        <f aca="false">IF(ROUND($G42,2)&lt;0,-ROUND($G42,2),"")</f>
        <v/>
      </c>
      <c r="J42" s="20" t="n">
        <f aca="false">IF(ROUND($G42,2)=0,0,1)</f>
        <v>0</v>
      </c>
      <c r="K42" s="20" t="str">
        <f aca="false">IF($J42=0,"",SUM($J$24:$J42))</f>
        <v/>
      </c>
      <c r="L42" s="20" t="str">
        <f aca="false">IF($K42="","",$A42*100+$K42)</f>
        <v/>
      </c>
      <c r="M42" s="48" t="str">
        <f aca="false">参数!$B$3</f>
        <v>7月收入</v>
      </c>
    </row>
    <row r="43" customFormat="false" ht="13.5" hidden="false" customHeight="false" outlineLevel="0" collapsed="false">
      <c r="A43" s="47" t="n">
        <v>2</v>
      </c>
      <c r="B43" s="38" t="n">
        <f aca="false">助手收入!$B3</f>
        <v>2002</v>
      </c>
      <c r="C43" s="48" t="str">
        <f aca="false">助手收入!$C3</f>
        <v>新隆店</v>
      </c>
      <c r="D43" s="48" t="str">
        <f aca="false">科目对照收入!$B21&amp;""</f>
        <v>手续费</v>
      </c>
      <c r="E43" s="48" t="str">
        <f aca="false">IF(AND(ROUND($G43,2)&lt;0,科目对照收入!$L21&lt;&gt;""),科目对照收入!$L21,科目对照收入!$C21)&amp;""</f>
        <v>财务费用</v>
      </c>
      <c r="F43" s="48" t="str">
        <f aca="false">IF(AND(ROUND($G43,2)&lt;0,科目对照收入!$L21&lt;&gt;""),科目对照收入!$M21,科目对照收入!$D21)&amp;""</f>
        <v>手续费</v>
      </c>
      <c r="G43" s="49" t="n">
        <f aca="false">ROUND(SUMIFS(输入聚合!$D:$D,输入聚合!$A:$A,助手收入!$X3),2)</f>
        <v>278.65</v>
      </c>
      <c r="H43" s="49" t="n">
        <f aca="false">IF(ROUND($G43,2)&gt;0,ROUND($G43,2),"")</f>
        <v>278.65</v>
      </c>
      <c r="I43" s="49" t="str">
        <f aca="false">IF(ROUND($G43,2)&lt;0,-ROUND($G43,2),"")</f>
        <v/>
      </c>
      <c r="J43" s="20" t="n">
        <f aca="false">IF(ROUND($G43,2)=0,0,1)</f>
        <v>1</v>
      </c>
      <c r="K43" s="20" t="n">
        <f aca="false">IF($J43=0,"",SUM($J$24:$J43))</f>
        <v>6</v>
      </c>
      <c r="L43" s="20" t="n">
        <f aca="false">IF($K43="","",$A43*100+$K43)</f>
        <v>206</v>
      </c>
      <c r="M43" s="48" t="str">
        <f aca="false">参数!$B$3</f>
        <v>7月收入</v>
      </c>
    </row>
    <row r="44" customFormat="false" ht="13.5" hidden="false" customHeight="false" outlineLevel="0" collapsed="false">
      <c r="A44" s="47" t="n">
        <v>2</v>
      </c>
      <c r="B44" s="38" t="n">
        <f aca="false">助手收入!$B3</f>
        <v>2002</v>
      </c>
      <c r="C44" s="48" t="str">
        <f aca="false">助手收入!$C3</f>
        <v>新隆店</v>
      </c>
      <c r="D44" s="48" t="str">
        <f aca="false">科目对照收入!$B22&amp;""</f>
        <v>主营业务收入</v>
      </c>
      <c r="E44" s="48" t="str">
        <f aca="false">IF(AND(ROUND($G44,2)&lt;0,科目对照收入!$L22&lt;&gt;""),科目对照收入!$L22,科目对照收入!$C22)&amp;""</f>
        <v>主营业务收入</v>
      </c>
      <c r="F44" s="48" t="str">
        <f aca="false">IF(AND(ROUND($G44,2)&lt;0,科目对照收入!$L22&lt;&gt;""),科目对照收入!$M22,科目对照收入!$D22)&amp;""</f>
        <v/>
      </c>
      <c r="G44" s="49" t="n">
        <f aca="false">-ROUND(助手收入!$G3,2)</f>
        <v>-444121.45</v>
      </c>
      <c r="H44" s="49" t="str">
        <f aca="false">IF(ROUND($G44,2)&gt;0,ROUND($G44,2),"")</f>
        <v/>
      </c>
      <c r="I44" s="49" t="n">
        <f aca="false">IF(ROUND($G44,2)&lt;0,-ROUND($G44,2),"")</f>
        <v>444121.45</v>
      </c>
      <c r="J44" s="20" t="n">
        <f aca="false">IF(ROUND($G44,2)=0,0,1)</f>
        <v>1</v>
      </c>
      <c r="K44" s="20" t="n">
        <f aca="false">IF($J44=0,"",SUM($J$24:$J44))</f>
        <v>7</v>
      </c>
      <c r="L44" s="20" t="n">
        <f aca="false">IF($K44="","",$A44*100+$K44)</f>
        <v>207</v>
      </c>
      <c r="M44" s="48" t="str">
        <f aca="false">参数!$B$3</f>
        <v>7月收入</v>
      </c>
    </row>
    <row r="45" customFormat="false" ht="13.5" hidden="false" customHeight="false" outlineLevel="0" collapsed="false">
      <c r="A45" s="47" t="n">
        <v>2</v>
      </c>
      <c r="B45" s="38" t="n">
        <f aca="false">助手收入!$B3</f>
        <v>2002</v>
      </c>
      <c r="C45" s="48" t="str">
        <f aca="false">助手收入!$C3</f>
        <v>新隆店</v>
      </c>
      <c r="D45" s="48" t="str">
        <f aca="false">科目对照收入!$B23&amp;""</f>
        <v>营业外收入</v>
      </c>
      <c r="E45" s="48" t="str">
        <f aca="false">IF(AND(ROUND($G45,2)&lt;0,科目对照收入!$L23&lt;&gt;""),科目对照收入!$L23,科目对照收入!$C23)&amp;""</f>
        <v>营业外收入</v>
      </c>
      <c r="F45" s="48" t="str">
        <f aca="false">IF(AND(ROUND($G45,2)&lt;0,科目对照收入!$L23&lt;&gt;""),科目对照收入!$M23,科目对照收入!$D23)&amp;""</f>
        <v/>
      </c>
      <c r="G45" s="49" t="n">
        <f aca="false">-ROUND(助手收入!$J3,2)</f>
        <v>-0</v>
      </c>
      <c r="H45" s="49" t="str">
        <f aca="false">IF(ROUND($G45,2)&gt;0,ROUND($G45,2),"")</f>
        <v/>
      </c>
      <c r="I45" s="49" t="str">
        <f aca="false">IF(ROUND($G45,2)&lt;0,-ROUND($G45,2),"")</f>
        <v/>
      </c>
      <c r="J45" s="20" t="n">
        <f aca="false">IF(ROUND($G45,2)=0,0,1)</f>
        <v>0</v>
      </c>
      <c r="K45" s="20" t="str">
        <f aca="false">IF($J45=0,"",SUM($J$24:$J45))</f>
        <v/>
      </c>
      <c r="L45" s="20" t="str">
        <f aca="false">IF($K45="","",$A45*100+$K45)</f>
        <v/>
      </c>
      <c r="M45" s="48" t="str">
        <f aca="false">参数!$B$3</f>
        <v>7月收入</v>
      </c>
    </row>
    <row r="46" customFormat="false" ht="13.5" hidden="false" customHeight="false" outlineLevel="0" collapsed="false">
      <c r="A46" s="47" t="n">
        <v>3</v>
      </c>
      <c r="B46" s="38" t="n">
        <f aca="false">助手收入!$B4</f>
        <v>2003</v>
      </c>
      <c r="C46" s="48" t="str">
        <f aca="false">助手收入!$C4</f>
        <v>康庄路店</v>
      </c>
      <c r="D46" s="48" t="str">
        <f aca="false">科目对照收入!$B2&amp;""</f>
        <v>库存现金</v>
      </c>
      <c r="E46" s="48" t="str">
        <f aca="false">IF(AND(ROUND($G46,2)&lt;0,科目对照收入!$L2&lt;&gt;""),科目对照收入!$L2,科目对照收入!$C2)&amp;""</f>
        <v>库存现金</v>
      </c>
      <c r="F46" s="48" t="str">
        <f aca="false">IF(AND(ROUND($G46,2)&lt;0,科目对照收入!$L2&lt;&gt;""),科目对照收入!$M2,科目对照收入!$D2)&amp;""</f>
        <v/>
      </c>
      <c r="G46" s="49" t="n">
        <f aca="false">助手收入!$I4</f>
        <v>50121.42</v>
      </c>
      <c r="H46" s="49" t="n">
        <f aca="false">IF(ROUND($G46,2)&gt;0,ROUND($G46,2),"")</f>
        <v>50121.42</v>
      </c>
      <c r="I46" s="49" t="str">
        <f aca="false">IF(ROUND($G46,2)&lt;0,-ROUND($G46,2),"")</f>
        <v/>
      </c>
      <c r="J46" s="20" t="n">
        <f aca="false">IF(ROUND($G46,2)=0,0,1)</f>
        <v>1</v>
      </c>
      <c r="K46" s="20" t="n">
        <f aca="false">IF($J46=0,"",SUM($J$46:$J46))</f>
        <v>1</v>
      </c>
      <c r="L46" s="20" t="n">
        <f aca="false">IF($K46="","",$A46*100+$K46)</f>
        <v>301</v>
      </c>
      <c r="M46" s="48" t="str">
        <f aca="false">参数!$B$3</f>
        <v>7月收入</v>
      </c>
    </row>
    <row r="47" customFormat="false" ht="13.5" hidden="false" customHeight="false" outlineLevel="0" collapsed="false">
      <c r="A47" s="47" t="n">
        <v>3</v>
      </c>
      <c r="B47" s="38" t="n">
        <f aca="false">助手收入!$B4</f>
        <v>2003</v>
      </c>
      <c r="C47" s="48" t="str">
        <f aca="false">助手收入!$C4</f>
        <v>康庄路店</v>
      </c>
      <c r="D47" s="48" t="str">
        <f aca="false">科目对照收入!$B3&amp;""</f>
        <v>聚合支付</v>
      </c>
      <c r="E47" s="48" t="str">
        <f aca="false">IF(AND(ROUND($G47,2)&lt;0,科目对照收入!$L3&lt;&gt;""),科目对照收入!$L3,科目对照收入!$C3)&amp;""</f>
        <v>应收账款</v>
      </c>
      <c r="F47" s="48" t="str">
        <f aca="false">IF(AND(ROUND($G47,2)&lt;0,科目对照收入!$L3&lt;&gt;""),科目对照收入!$M3,科目对照收入!$D3)&amp;""</f>
        <v>聚合支付</v>
      </c>
      <c r="G47" s="49" t="n">
        <f aca="false">ROUND(SUMIFS(输入聚合!$C:$C,输入聚合!$A:$A,助手收入!$X4)-SUMIFS(输入聚合!$D:$D,输入聚合!$A:$A,助手收入!$X4),2)</f>
        <v>9782.31</v>
      </c>
      <c r="H47" s="49" t="n">
        <f aca="false">IF(ROUND($G47,2)&gt;0,ROUND($G47,2),"")</f>
        <v>9782.31</v>
      </c>
      <c r="I47" s="49" t="str">
        <f aca="false">IF(ROUND($G47,2)&lt;0,-ROUND($G47,2),"")</f>
        <v/>
      </c>
      <c r="J47" s="20" t="n">
        <f aca="false">IF(ROUND($G47,2)=0,0,1)</f>
        <v>1</v>
      </c>
      <c r="K47" s="20" t="n">
        <f aca="false">IF($J47=0,"",SUM($J$46:$J47))</f>
        <v>2</v>
      </c>
      <c r="L47" s="20" t="n">
        <f aca="false">IF($K47="","",$A47*100+$K47)</f>
        <v>302</v>
      </c>
      <c r="M47" s="48" t="str">
        <f aca="false">参数!$B$3</f>
        <v>7月收入</v>
      </c>
    </row>
    <row r="48" customFormat="false" ht="13.5" hidden="false" customHeight="false" outlineLevel="0" collapsed="false">
      <c r="A48" s="47" t="n">
        <v>3</v>
      </c>
      <c r="B48" s="38" t="n">
        <f aca="false">助手收入!$B4</f>
        <v>2003</v>
      </c>
      <c r="C48" s="48" t="str">
        <f aca="false">助手收入!$C4</f>
        <v>康庄路店</v>
      </c>
      <c r="D48" s="48" t="str">
        <f aca="false">科目对照收入!$B4&amp;""</f>
        <v>医保</v>
      </c>
      <c r="E48" s="48" t="str">
        <f aca="false">IF(AND(ROUND($G48,2)&lt;0,科目对照收入!$L4&lt;&gt;""),科目对照收入!$L4,科目对照收入!$C4)&amp;""</f>
        <v>应收账款</v>
      </c>
      <c r="F48" s="48" t="str">
        <f aca="false">IF(AND(ROUND($G48,2)&lt;0,科目对照收入!$L4&lt;&gt;""),科目对照收入!$M4,科目对照收入!$D4)&amp;""</f>
        <v>医保</v>
      </c>
      <c r="G48" s="49" t="n">
        <f aca="false">IF(COUNTIFS(输入平台!$A:$A,助手收入!$X4,输入平台!$B:$B,科目对照收入!$B4)&gt;0,ROUND(SUMIFS(输入平台!$C:$C,输入平台!$A:$A,助手收入!$X4,输入平台!$B:$B,科目对照收入!$B4),2),ROUND(海典汇总!$F$5+海典汇总!$G$5,2))</f>
        <v>30850.84</v>
      </c>
      <c r="H48" s="49" t="n">
        <f aca="false">IF(ROUND($G48,2)&gt;0,ROUND($G48,2),"")</f>
        <v>30850.84</v>
      </c>
      <c r="I48" s="49" t="str">
        <f aca="false">IF(ROUND($G48,2)&lt;0,-ROUND($G48,2),"")</f>
        <v/>
      </c>
      <c r="J48" s="20" t="n">
        <f aca="false">IF(ROUND($G48,2)=0,0,1)</f>
        <v>1</v>
      </c>
      <c r="K48" s="20" t="n">
        <f aca="false">IF($J48=0,"",SUM($J$46:$J48))</f>
        <v>3</v>
      </c>
      <c r="L48" s="20" t="n">
        <f aca="false">IF($K48="","",$A48*100+$K48)</f>
        <v>303</v>
      </c>
      <c r="M48" s="48" t="str">
        <f aca="false">参数!$B$3</f>
        <v>7月收入</v>
      </c>
    </row>
    <row r="49" customFormat="false" ht="13.5" hidden="false" customHeight="false" outlineLevel="0" collapsed="false">
      <c r="A49" s="47" t="n">
        <v>3</v>
      </c>
      <c r="B49" s="38" t="n">
        <f aca="false">助手收入!$B4</f>
        <v>2003</v>
      </c>
      <c r="C49" s="48" t="str">
        <f aca="false">助手收入!$C4</f>
        <v>康庄路店</v>
      </c>
      <c r="D49" s="48" t="str">
        <f aca="false">科目对照收入!$B5&amp;""</f>
        <v>健e卡</v>
      </c>
      <c r="E49" s="48" t="str">
        <f aca="false">IF(AND(ROUND($G49,2)&lt;0,科目对照收入!$L5&lt;&gt;""),科目对照收入!$L5,科目对照收入!$C5)&amp;""</f>
        <v>应收账款</v>
      </c>
      <c r="F49" s="48" t="str">
        <f aca="false">IF(AND(ROUND($G49,2)&lt;0,科目对照收入!$L5&lt;&gt;""),科目对照收入!$M5,科目对照收入!$D5)&amp;""</f>
        <v>健e卡</v>
      </c>
      <c r="G49" s="49" t="n">
        <f aca="false">IF(COUNTIFS(输入平台!$A:$A,助手收入!$X4,输入平台!$B:$B,科目对照收入!$B5)&gt;0,ROUND(SUMIFS(输入平台!$C:$C,输入平台!$A:$A,助手收入!$X4,输入平台!$B:$B,科目对照收入!$B5),2),ROUND(海典汇总!$H$5,2))</f>
        <v>30700.31</v>
      </c>
      <c r="H49" s="49" t="n">
        <f aca="false">IF(ROUND($G49,2)&gt;0,ROUND($G49,2),"")</f>
        <v>30700.31</v>
      </c>
      <c r="I49" s="49" t="str">
        <f aca="false">IF(ROUND($G49,2)&lt;0,-ROUND($G49,2),"")</f>
        <v/>
      </c>
      <c r="J49" s="20" t="n">
        <f aca="false">IF(ROUND($G49,2)=0,0,1)</f>
        <v>1</v>
      </c>
      <c r="K49" s="20" t="n">
        <f aca="false">IF($J49=0,"",SUM($J$46:$J49))</f>
        <v>4</v>
      </c>
      <c r="L49" s="20" t="n">
        <f aca="false">IF($K49="","",$A49*100+$K49)</f>
        <v>304</v>
      </c>
      <c r="M49" s="48" t="str">
        <f aca="false">参数!$B$3</f>
        <v>7月收入</v>
      </c>
    </row>
    <row r="50" customFormat="false" ht="13.5" hidden="false" customHeight="false" outlineLevel="0" collapsed="false">
      <c r="A50" s="47" t="n">
        <v>3</v>
      </c>
      <c r="B50" s="38" t="n">
        <f aca="false">助手收入!$B4</f>
        <v>2003</v>
      </c>
      <c r="C50" s="48" t="str">
        <f aca="false">助手收入!$C4</f>
        <v>康庄路店</v>
      </c>
      <c r="D50" s="48" t="str">
        <f aca="false">科目对照收入!$B6&amp;""</f>
        <v>医卡通</v>
      </c>
      <c r="E50" s="48" t="str">
        <f aca="false">IF(AND(ROUND($G50,2)&lt;0,科目对照收入!$L6&lt;&gt;""),科目对照收入!$L6,科目对照收入!$C6)&amp;""</f>
        <v>应收账款</v>
      </c>
      <c r="F50" s="48" t="str">
        <f aca="false">IF(AND(ROUND($G50,2)&lt;0,科目对照收入!$L6&lt;&gt;""),科目对照收入!$M6,科目对照收入!$D6)&amp;""</f>
        <v>医卡通</v>
      </c>
      <c r="G50" s="49" t="n">
        <f aca="false">IF(COUNTIFS(输入平台!$A:$A,助手收入!$X4,输入平台!$B:$B,科目对照收入!$B6)&gt;0,ROUND(SUMIFS(输入平台!$C:$C,输入平台!$A:$A,助手收入!$X4,输入平台!$B:$B,科目对照收入!$B6),2),ROUND(海典汇总!$I$5,2))</f>
        <v>586.28</v>
      </c>
      <c r="H50" s="49" t="n">
        <f aca="false">IF(ROUND($G50,2)&gt;0,ROUND($G50,2),"")</f>
        <v>586.28</v>
      </c>
      <c r="I50" s="49" t="str">
        <f aca="false">IF(ROUND($G50,2)&lt;0,-ROUND($G50,2),"")</f>
        <v/>
      </c>
      <c r="J50" s="20" t="n">
        <f aca="false">IF(ROUND($G50,2)=0,0,1)</f>
        <v>1</v>
      </c>
      <c r="K50" s="20" t="n">
        <f aca="false">IF($J50=0,"",SUM($J$46:$J50))</f>
        <v>5</v>
      </c>
      <c r="L50" s="20" t="n">
        <f aca="false">IF($K50="","",$A50*100+$K50)</f>
        <v>305</v>
      </c>
      <c r="M50" s="48" t="str">
        <f aca="false">参数!$B$3</f>
        <v>7月收入</v>
      </c>
    </row>
    <row r="51" customFormat="false" ht="13.5" hidden="false" customHeight="false" outlineLevel="0" collapsed="false">
      <c r="A51" s="47" t="n">
        <v>3</v>
      </c>
      <c r="B51" s="38" t="n">
        <f aca="false">助手收入!$B4</f>
        <v>2003</v>
      </c>
      <c r="C51" s="48" t="str">
        <f aca="false">助手收入!$C4</f>
        <v>康庄路店</v>
      </c>
      <c r="D51" s="48" t="str">
        <f aca="false">科目对照收入!$B7&amp;""</f>
        <v>企健网</v>
      </c>
      <c r="E51" s="48" t="str">
        <f aca="false">IF(AND(ROUND($G51,2)&lt;0,科目对照收入!$L7&lt;&gt;""),科目对照收入!$L7,科目对照收入!$C7)&amp;""</f>
        <v>应收账款</v>
      </c>
      <c r="F51" s="48" t="str">
        <f aca="false">IF(AND(ROUND($G51,2)&lt;0,科目对照收入!$L7&lt;&gt;""),科目对照收入!$M7,科目对照收入!$D7)&amp;""</f>
        <v>企健网</v>
      </c>
      <c r="G51" s="49" t="n">
        <f aca="false">IF(COUNTIFS(输入平台!$A:$A,助手收入!$X4,输入平台!$B:$B,科目对照收入!$B7)&gt;0,ROUND(SUMIFS(输入平台!$C:$C,输入平台!$A:$A,助手收入!$X4,输入平台!$B:$B,科目对照收入!$B7),2),ROUND(海典汇总!$J$5,2))</f>
        <v>0</v>
      </c>
      <c r="H51" s="49" t="str">
        <f aca="false">IF(ROUND($G51,2)&gt;0,ROUND($G51,2),"")</f>
        <v/>
      </c>
      <c r="I51" s="49" t="str">
        <f aca="false">IF(ROUND($G51,2)&lt;0,-ROUND($G51,2),"")</f>
        <v/>
      </c>
      <c r="J51" s="20" t="n">
        <f aca="false">IF(ROUND($G51,2)=0,0,1)</f>
        <v>0</v>
      </c>
      <c r="K51" s="20" t="str">
        <f aca="false">IF($J51=0,"",SUM($J$46:$J51))</f>
        <v/>
      </c>
      <c r="L51" s="20" t="str">
        <f aca="false">IF($K51="","",$A51*100+$K51)</f>
        <v/>
      </c>
      <c r="M51" s="48" t="str">
        <f aca="false">参数!$B$3</f>
        <v>7月收入</v>
      </c>
    </row>
    <row r="52" customFormat="false" ht="13.5" hidden="false" customHeight="false" outlineLevel="0" collapsed="false">
      <c r="A52" s="47" t="n">
        <v>3</v>
      </c>
      <c r="B52" s="38" t="n">
        <f aca="false">助手收入!$B4</f>
        <v>2003</v>
      </c>
      <c r="C52" s="48" t="str">
        <f aca="false">助手收入!$C4</f>
        <v>康庄路店</v>
      </c>
      <c r="D52" s="48" t="str">
        <f aca="false">科目对照收入!$B8&amp;""</f>
        <v>亲情卡</v>
      </c>
      <c r="E52" s="48" t="str">
        <f aca="false">IF(AND(ROUND($G52,2)&lt;0,科目对照收入!$L8&lt;&gt;""),科目对照收入!$L8,科目对照收入!$C8)&amp;""</f>
        <v>应收账款</v>
      </c>
      <c r="F52" s="48" t="str">
        <f aca="false">IF(AND(ROUND($G52,2)&lt;0,科目对照收入!$L8&lt;&gt;""),科目对照收入!$M8,科目对照收入!$D8)&amp;""</f>
        <v>亲情卡</v>
      </c>
      <c r="G52" s="49" t="n">
        <f aca="false">IF(COUNTIFS(输入平台!$A:$A,助手收入!$X4,输入平台!$B:$B,科目对照收入!$B8)&gt;0,ROUND(SUMIFS(输入平台!$C:$C,输入平台!$A:$A,助手收入!$X4,输入平台!$B:$B,科目对照收入!$B8),2),ROUND(海典汇总!$Z$5,2))</f>
        <v>0</v>
      </c>
      <c r="H52" s="49" t="str">
        <f aca="false">IF(ROUND($G52,2)&gt;0,ROUND($G52,2),"")</f>
        <v/>
      </c>
      <c r="I52" s="49" t="str">
        <f aca="false">IF(ROUND($G52,2)&lt;0,-ROUND($G52,2),"")</f>
        <v/>
      </c>
      <c r="J52" s="20" t="n">
        <f aca="false">IF(ROUND($G52,2)=0,0,1)</f>
        <v>0</v>
      </c>
      <c r="K52" s="20" t="str">
        <f aca="false">IF($J52=0,"",SUM($J$46:$J52))</f>
        <v/>
      </c>
      <c r="L52" s="20" t="str">
        <f aca="false">IF($K52="","",$A52*100+$K52)</f>
        <v/>
      </c>
      <c r="M52" s="48" t="str">
        <f aca="false">参数!$B$3</f>
        <v>7月收入</v>
      </c>
    </row>
    <row r="53" customFormat="false" ht="13.5" hidden="false" customHeight="false" outlineLevel="0" collapsed="false">
      <c r="A53" s="47" t="n">
        <v>3</v>
      </c>
      <c r="B53" s="38" t="n">
        <f aca="false">助手收入!$B4</f>
        <v>2003</v>
      </c>
      <c r="C53" s="48" t="str">
        <f aca="false">助手收入!$C4</f>
        <v>康庄路店</v>
      </c>
      <c r="D53" s="48" t="str">
        <f aca="false">科目对照收入!$B9&amp;""</f>
        <v>24小时</v>
      </c>
      <c r="E53" s="48" t="str">
        <f aca="false">IF(AND(ROUND($G53,2)&lt;0,科目对照收入!$L9&lt;&gt;""),科目对照收入!$L9,科目对照收入!$C9)&amp;""</f>
        <v>应收账款</v>
      </c>
      <c r="F53" s="48" t="str">
        <f aca="false">IF(AND(ROUND($G53,2)&lt;0,科目对照收入!$L9&lt;&gt;""),科目对照收入!$M9,科目对照收入!$D9)&amp;""</f>
        <v>24小时</v>
      </c>
      <c r="G53" s="49" t="n">
        <f aca="false">IF(COUNTIFS(输入平台!$A:$A,助手收入!$X4,输入平台!$B:$B,科目对照收入!$B9)&gt;0,ROUND(SUMIFS(输入平台!$C:$C,输入平台!$A:$A,助手收入!$X4,输入平台!$B:$B,科目对照收入!$B9),2),ROUND(海典汇总!$K$5,2))</f>
        <v>0</v>
      </c>
      <c r="H53" s="49" t="str">
        <f aca="false">IF(ROUND($G53,2)&gt;0,ROUND($G53,2),"")</f>
        <v/>
      </c>
      <c r="I53" s="49" t="str">
        <f aca="false">IF(ROUND($G53,2)&lt;0,-ROUND($G53,2),"")</f>
        <v/>
      </c>
      <c r="J53" s="20" t="n">
        <f aca="false">IF(ROUND($G53,2)=0,0,1)</f>
        <v>0</v>
      </c>
      <c r="K53" s="20" t="str">
        <f aca="false">IF($J53=0,"",SUM($J$46:$J53))</f>
        <v/>
      </c>
      <c r="L53" s="20" t="str">
        <f aca="false">IF($K53="","",$A53*100+$K53)</f>
        <v/>
      </c>
      <c r="M53" s="48" t="str">
        <f aca="false">参数!$B$3</f>
        <v>7月收入</v>
      </c>
    </row>
    <row r="54" customFormat="false" ht="13.5" hidden="false" customHeight="false" outlineLevel="0" collapsed="false">
      <c r="A54" s="47" t="n">
        <v>3</v>
      </c>
      <c r="B54" s="38" t="n">
        <f aca="false">助手收入!$B4</f>
        <v>2003</v>
      </c>
      <c r="C54" s="48" t="str">
        <f aca="false">助手收入!$C4</f>
        <v>康庄路店</v>
      </c>
      <c r="D54" s="48" t="str">
        <f aca="false">科目对照收入!$B10&amp;""</f>
        <v>美团</v>
      </c>
      <c r="E54" s="48" t="str">
        <f aca="false">IF(AND(ROUND($G54,2)&lt;0,科目对照收入!$L10&lt;&gt;""),科目对照收入!$L10,科目对照收入!$C10)&amp;""</f>
        <v>应收账款</v>
      </c>
      <c r="F54" s="48" t="str">
        <f aca="false">IF(AND(ROUND($G54,2)&lt;0,科目对照收入!$L10&lt;&gt;""),科目对照收入!$M10,科目对照收入!$D10)&amp;""</f>
        <v>美团</v>
      </c>
      <c r="G54" s="49" t="n">
        <f aca="false">IF(COUNTIFS(输入平台!$A:$A,助手收入!$X4,输入平台!$B:$B,科目对照收入!$B10)&gt;0,ROUND(SUMIFS(输入平台!$C:$C,输入平台!$A:$A,助手收入!$X4,输入平台!$B:$B,科目对照收入!$B10),2),ROUND(海典汇总!$M$5,2))</f>
        <v>92.2</v>
      </c>
      <c r="H54" s="49" t="n">
        <f aca="false">IF(ROUND($G54,2)&gt;0,ROUND($G54,2),"")</f>
        <v>92.2</v>
      </c>
      <c r="I54" s="49" t="str">
        <f aca="false">IF(ROUND($G54,2)&lt;0,-ROUND($G54,2),"")</f>
        <v/>
      </c>
      <c r="J54" s="20" t="n">
        <f aca="false">IF(ROUND($G54,2)=0,0,1)</f>
        <v>1</v>
      </c>
      <c r="K54" s="20" t="n">
        <f aca="false">IF($J54=0,"",SUM($J$46:$J54))</f>
        <v>6</v>
      </c>
      <c r="L54" s="20" t="n">
        <f aca="false">IF($K54="","",$A54*100+$K54)</f>
        <v>306</v>
      </c>
      <c r="M54" s="48" t="str">
        <f aca="false">参数!$B$3</f>
        <v>7月收入</v>
      </c>
    </row>
    <row r="55" customFormat="false" ht="13.5" hidden="false" customHeight="false" outlineLevel="0" collapsed="false">
      <c r="A55" s="47" t="n">
        <v>3</v>
      </c>
      <c r="B55" s="38" t="n">
        <f aca="false">助手收入!$B4</f>
        <v>2003</v>
      </c>
      <c r="C55" s="48" t="str">
        <f aca="false">助手收入!$C4</f>
        <v>康庄路店</v>
      </c>
      <c r="D55" s="48" t="str">
        <f aca="false">科目对照收入!$B11&amp;""</f>
        <v>饿了么</v>
      </c>
      <c r="E55" s="48" t="str">
        <f aca="false">IF(AND(ROUND($G55,2)&lt;0,科目对照收入!$L11&lt;&gt;""),科目对照收入!$L11,科目对照收入!$C11)&amp;""</f>
        <v>应收账款</v>
      </c>
      <c r="F55" s="48" t="str">
        <f aca="false">IF(AND(ROUND($G55,2)&lt;0,科目对照收入!$L11&lt;&gt;""),科目对照收入!$M11,科目对照收入!$D11)&amp;""</f>
        <v>饿了么</v>
      </c>
      <c r="G55" s="49" t="n">
        <f aca="false">IF(COUNTIFS(输入平台!$A:$A,助手收入!$X4,输入平台!$B:$B,科目对照收入!$B11)&gt;0,ROUND(SUMIFS(输入平台!$C:$C,输入平台!$A:$A,助手收入!$X4,输入平台!$B:$B,科目对照收入!$B11),2),ROUND(海典汇总!$N$5,2))</f>
        <v>0</v>
      </c>
      <c r="H55" s="49" t="str">
        <f aca="false">IF(ROUND($G55,2)&gt;0,ROUND($G55,2),"")</f>
        <v/>
      </c>
      <c r="I55" s="49" t="str">
        <f aca="false">IF(ROUND($G55,2)&lt;0,-ROUND($G55,2),"")</f>
        <v/>
      </c>
      <c r="J55" s="20" t="n">
        <f aca="false">IF(ROUND($G55,2)=0,0,1)</f>
        <v>0</v>
      </c>
      <c r="K55" s="20" t="str">
        <f aca="false">IF($J55=0,"",SUM($J$46:$J55))</f>
        <v/>
      </c>
      <c r="L55" s="20" t="str">
        <f aca="false">IF($K55="","",$A55*100+$K55)</f>
        <v/>
      </c>
      <c r="M55" s="48" t="str">
        <f aca="false">参数!$B$3</f>
        <v>7月收入</v>
      </c>
    </row>
    <row r="56" customFormat="false" ht="13.5" hidden="false" customHeight="false" outlineLevel="0" collapsed="false">
      <c r="A56" s="47" t="n">
        <v>3</v>
      </c>
      <c r="B56" s="38" t="n">
        <f aca="false">助手收入!$B4</f>
        <v>2003</v>
      </c>
      <c r="C56" s="48" t="str">
        <f aca="false">助手收入!$C4</f>
        <v>康庄路店</v>
      </c>
      <c r="D56" s="48" t="str">
        <f aca="false">科目对照收入!$B12&amp;""</f>
        <v>京东秒送</v>
      </c>
      <c r="E56" s="48" t="str">
        <f aca="false">IF(AND(ROUND($G56,2)&lt;0,科目对照收入!$L12&lt;&gt;""),科目对照收入!$L12,科目对照收入!$C12)&amp;""</f>
        <v>应收账款</v>
      </c>
      <c r="F56" s="48" t="str">
        <f aca="false">IF(AND(ROUND($G56,2)&lt;0,科目对照收入!$L12&lt;&gt;""),科目对照收入!$M12,科目对照收入!$D12)&amp;""</f>
        <v>京东秒送</v>
      </c>
      <c r="G56" s="49" t="n">
        <f aca="false">IF(COUNTIFS(输入平台!$A:$A,助手收入!$X4,输入平台!$B:$B,科目对照收入!$B12)&gt;0,ROUND(SUMIFS(输入平台!$C:$C,输入平台!$A:$A,助手收入!$X4,输入平台!$B:$B,科目对照收入!$B12),2),ROUND(海典汇总!$O$5,2))</f>
        <v>0</v>
      </c>
      <c r="H56" s="49" t="str">
        <f aca="false">IF(ROUND($G56,2)&gt;0,ROUND($G56,2),"")</f>
        <v/>
      </c>
      <c r="I56" s="49" t="str">
        <f aca="false">IF(ROUND($G56,2)&lt;0,-ROUND($G56,2),"")</f>
        <v/>
      </c>
      <c r="J56" s="20" t="n">
        <f aca="false">IF(ROUND($G56,2)=0,0,1)</f>
        <v>0</v>
      </c>
      <c r="K56" s="20" t="str">
        <f aca="false">IF($J56=0,"",SUM($J$46:$J56))</f>
        <v/>
      </c>
      <c r="L56" s="20" t="str">
        <f aca="false">IF($K56="","",$A56*100+$K56)</f>
        <v/>
      </c>
      <c r="M56" s="48" t="str">
        <f aca="false">参数!$B$3</f>
        <v>7月收入</v>
      </c>
    </row>
    <row r="57" customFormat="false" ht="13.5" hidden="false" customHeight="false" outlineLevel="0" collapsed="false">
      <c r="A57" s="47" t="n">
        <v>3</v>
      </c>
      <c r="B57" s="38" t="n">
        <f aca="false">助手收入!$B4</f>
        <v>2003</v>
      </c>
      <c r="C57" s="48" t="str">
        <f aca="false">助手收入!$C4</f>
        <v>康庄路店</v>
      </c>
      <c r="D57" s="48" t="str">
        <f aca="false">科目对照收入!$B13&amp;""</f>
        <v>银联</v>
      </c>
      <c r="E57" s="48" t="str">
        <f aca="false">IF(AND(ROUND($G57,2)&lt;0,科目对照收入!$L13&lt;&gt;""),科目对照收入!$L13,科目对照收入!$C13)&amp;""</f>
        <v>应收账款</v>
      </c>
      <c r="F57" s="48" t="str">
        <f aca="false">IF(AND(ROUND($G57,2)&lt;0,科目对照收入!$L13&lt;&gt;""),科目对照收入!$M13,科目对照收入!$D13)&amp;""</f>
        <v>银联</v>
      </c>
      <c r="G57" s="49" t="n">
        <f aca="false">IF(COUNTIFS(输入平台!$A:$A,助手收入!$X4,输入平台!$B:$B,科目对照收入!$B13)&gt;0,ROUND(SUMIFS(输入平台!$C:$C,输入平台!$A:$A,助手收入!$X4,输入平台!$B:$B,科目对照收入!$B13),2),ROUND(海典汇总!$V$5,2))</f>
        <v>0</v>
      </c>
      <c r="H57" s="49" t="str">
        <f aca="false">IF(ROUND($G57,2)&gt;0,ROUND($G57,2),"")</f>
        <v/>
      </c>
      <c r="I57" s="49" t="str">
        <f aca="false">IF(ROUND($G57,2)&lt;0,-ROUND($G57,2),"")</f>
        <v/>
      </c>
      <c r="J57" s="20" t="n">
        <f aca="false">IF(ROUND($G57,2)=0,0,1)</f>
        <v>0</v>
      </c>
      <c r="K57" s="20" t="str">
        <f aca="false">IF($J57=0,"",SUM($J$46:$J57))</f>
        <v/>
      </c>
      <c r="L57" s="20" t="str">
        <f aca="false">IF($K57="","",$A57*100+$K57)</f>
        <v/>
      </c>
      <c r="M57" s="48" t="str">
        <f aca="false">参数!$B$3</f>
        <v>7月收入</v>
      </c>
    </row>
    <row r="58" customFormat="false" ht="13.5" hidden="false" customHeight="false" outlineLevel="0" collapsed="false">
      <c r="A58" s="47" t="n">
        <v>3</v>
      </c>
      <c r="B58" s="38" t="n">
        <f aca="false">助手收入!$B4</f>
        <v>2003</v>
      </c>
      <c r="C58" s="48" t="str">
        <f aca="false">助手收入!$C4</f>
        <v>康庄路店</v>
      </c>
      <c r="D58" s="48" t="str">
        <f aca="false">科目对照收入!$B14&amp;""</f>
        <v>小镇外卖</v>
      </c>
      <c r="E58" s="48" t="str">
        <f aca="false">IF(AND(ROUND($G58,2)&lt;0,科目对照收入!$L14&lt;&gt;""),科目对照收入!$L14,科目对照收入!$C14)&amp;""</f>
        <v>应收账款</v>
      </c>
      <c r="F58" s="48" t="str">
        <f aca="false">IF(AND(ROUND($G58,2)&lt;0,科目对照收入!$L14&lt;&gt;""),科目对照收入!$M14,科目对照收入!$D14)&amp;""</f>
        <v>小镇外卖</v>
      </c>
      <c r="G58" s="49" t="n">
        <f aca="false">IF(COUNTIFS(输入平台!$A:$A,助手收入!$X4,输入平台!$B:$B,科目对照收入!$B14)&gt;0,ROUND(SUMIFS(输入平台!$C:$C,输入平台!$A:$A,助手收入!$X4,输入平台!$B:$B,科目对照收入!$B14),2),ROUND(海典汇总!$AC$5,2))</f>
        <v>0</v>
      </c>
      <c r="H58" s="49" t="str">
        <f aca="false">IF(ROUND($G58,2)&gt;0,ROUND($G58,2),"")</f>
        <v/>
      </c>
      <c r="I58" s="49" t="str">
        <f aca="false">IF(ROUND($G58,2)&lt;0,-ROUND($G58,2),"")</f>
        <v/>
      </c>
      <c r="J58" s="20" t="n">
        <f aca="false">IF(ROUND($G58,2)=0,0,1)</f>
        <v>0</v>
      </c>
      <c r="K58" s="20" t="str">
        <f aca="false">IF($J58=0,"",SUM($J$46:$J58))</f>
        <v/>
      </c>
      <c r="L58" s="20" t="str">
        <f aca="false">IF($K58="","",$A58*100+$K58)</f>
        <v/>
      </c>
      <c r="M58" s="48" t="str">
        <f aca="false">参数!$B$3</f>
        <v>7月收入</v>
      </c>
    </row>
    <row r="59" customFormat="false" ht="13.5" hidden="false" customHeight="false" outlineLevel="0" collapsed="false">
      <c r="A59" s="47" t="n">
        <v>3</v>
      </c>
      <c r="B59" s="38" t="n">
        <f aca="false">助手收入!$B4</f>
        <v>2003</v>
      </c>
      <c r="C59" s="48" t="str">
        <f aca="false">助手收入!$C4</f>
        <v>康庄路店</v>
      </c>
      <c r="D59" s="48" t="str">
        <f aca="false">科目对照收入!$B15&amp;""</f>
        <v>OMS线上支付</v>
      </c>
      <c r="E59" s="48" t="str">
        <f aca="false">IF(AND(ROUND($G59,2)&lt;0,科目对照收入!$L15&lt;&gt;""),科目对照收入!$L15,科目对照收入!$C15)&amp;""</f>
        <v>应收账款</v>
      </c>
      <c r="F59" s="48" t="str">
        <f aca="false">IF(AND(ROUND($G59,2)&lt;0,科目对照收入!$L15&lt;&gt;""),科目对照收入!$M15,科目对照收入!$D15)&amp;""</f>
        <v>OMS线上</v>
      </c>
      <c r="G59" s="49" t="n">
        <f aca="false">IF(COUNTIFS(输入平台!$A:$A,助手收入!$X4,输入平台!$B:$B,科目对照收入!$B15)&gt;0,ROUND(SUMIFS(输入平台!$C:$C,输入平台!$A:$A,助手收入!$X4,输入平台!$B:$B,科目对照收入!$B15),2),ROUND(海典汇总!$L$5,2))</f>
        <v>0</v>
      </c>
      <c r="H59" s="49" t="str">
        <f aca="false">IF(ROUND($G59,2)&gt;0,ROUND($G59,2),"")</f>
        <v/>
      </c>
      <c r="I59" s="49" t="str">
        <f aca="false">IF(ROUND($G59,2)&lt;0,-ROUND($G59,2),"")</f>
        <v/>
      </c>
      <c r="J59" s="20" t="n">
        <f aca="false">IF(ROUND($G59,2)=0,0,1)</f>
        <v>0</v>
      </c>
      <c r="K59" s="20" t="str">
        <f aca="false">IF($J59=0,"",SUM($J$46:$J59))</f>
        <v/>
      </c>
      <c r="L59" s="20" t="str">
        <f aca="false">IF($K59="","",$A59*100+$K59)</f>
        <v/>
      </c>
      <c r="M59" s="48" t="str">
        <f aca="false">参数!$B$3</f>
        <v>7月收入</v>
      </c>
    </row>
    <row r="60" customFormat="false" ht="13.5" hidden="false" customHeight="false" outlineLevel="0" collapsed="false">
      <c r="A60" s="47" t="n">
        <v>3</v>
      </c>
      <c r="B60" s="38" t="n">
        <f aca="false">助手收入!$B4</f>
        <v>2003</v>
      </c>
      <c r="C60" s="48" t="str">
        <f aca="false">助手收入!$C4</f>
        <v>康庄路店</v>
      </c>
      <c r="D60" s="48" t="str">
        <f aca="false">科目对照收入!$B16&amp;""</f>
        <v>平安药卡</v>
      </c>
      <c r="E60" s="48" t="str">
        <f aca="false">IF(AND(ROUND($G60,2)&lt;0,科目对照收入!$L16&lt;&gt;""),科目对照收入!$L16,科目对照收入!$C16)&amp;""</f>
        <v>应收账款</v>
      </c>
      <c r="F60" s="48" t="str">
        <f aca="false">IF(AND(ROUND($G60,2)&lt;0,科目对照收入!$L16&lt;&gt;""),科目对照收入!$M16,科目对照收入!$D16)&amp;""</f>
        <v>平安</v>
      </c>
      <c r="G60" s="49" t="n">
        <f aca="false">IF(COUNTIFS(输入平台!$A:$A,助手收入!$X4,输入平台!$B:$B,科目对照收入!$B16)&gt;0,ROUND(SUMIFS(输入平台!$C:$C,输入平台!$A:$A,助手收入!$X4,输入平台!$B:$B,科目对照收入!$B16),2),ROUND(海典汇总!$AB$5,2))</f>
        <v>0</v>
      </c>
      <c r="H60" s="49" t="str">
        <f aca="false">IF(ROUND($G60,2)&gt;0,ROUND($G60,2),"")</f>
        <v/>
      </c>
      <c r="I60" s="49" t="str">
        <f aca="false">IF(ROUND($G60,2)&lt;0,-ROUND($G60,2),"")</f>
        <v/>
      </c>
      <c r="J60" s="20" t="n">
        <f aca="false">IF(ROUND($G60,2)=0,0,1)</f>
        <v>0</v>
      </c>
      <c r="K60" s="20" t="str">
        <f aca="false">IF($J60=0,"",SUM($J$46:$J60))</f>
        <v/>
      </c>
      <c r="L60" s="20" t="str">
        <f aca="false">IF($K60="","",$A60*100+$K60)</f>
        <v/>
      </c>
      <c r="M60" s="48" t="str">
        <f aca="false">参数!$B$3</f>
        <v>7月收入</v>
      </c>
    </row>
    <row r="61" customFormat="false" ht="13.5" hidden="false" customHeight="false" outlineLevel="0" collapsed="false">
      <c r="A61" s="47" t="n">
        <v>3</v>
      </c>
      <c r="B61" s="38" t="n">
        <f aca="false">助手收入!$B4</f>
        <v>2003</v>
      </c>
      <c r="C61" s="48" t="str">
        <f aca="false">助手收入!$C4</f>
        <v>康庄路店</v>
      </c>
      <c r="D61" s="48" t="str">
        <f aca="false">科目对照收入!$B17&amp;""</f>
        <v>储值卡</v>
      </c>
      <c r="E61" s="48" t="str">
        <f aca="false">IF(AND(ROUND($G61,2)&lt;0,科目对照收入!$L17&lt;&gt;""),科目对照收入!$L17,科目对照收入!$C17)&amp;""</f>
        <v>其他应收款</v>
      </c>
      <c r="F61" s="48" t="str">
        <f aca="false">IF(AND(ROUND($G61,2)&lt;0,科目对照收入!$L17&lt;&gt;""),科目对照收入!$M17,科目对照收入!$D17)&amp;""</f>
        <v>储值卡</v>
      </c>
      <c r="G61" s="49" t="n">
        <f aca="false">ROUND(海典汇总!$Q$5,2)</f>
        <v>4183.84</v>
      </c>
      <c r="H61" s="49" t="n">
        <f aca="false">IF(ROUND($G61,2)&gt;0,ROUND($G61,2),"")</f>
        <v>4183.84</v>
      </c>
      <c r="I61" s="49" t="str">
        <f aca="false">IF(ROUND($G61,2)&lt;0,-ROUND($G61,2),"")</f>
        <v/>
      </c>
      <c r="J61" s="20" t="n">
        <f aca="false">IF(ROUND($G61,2)=0,0,1)</f>
        <v>1</v>
      </c>
      <c r="K61" s="20" t="n">
        <f aca="false">IF($J61=0,"",SUM($J$46:$J61))</f>
        <v>7</v>
      </c>
      <c r="L61" s="20" t="n">
        <f aca="false">IF($K61="","",$A61*100+$K61)</f>
        <v>307</v>
      </c>
      <c r="M61" s="48" t="str">
        <f aca="false">参数!$B$3</f>
        <v>7月收入</v>
      </c>
    </row>
    <row r="62" customFormat="false" ht="13.5" hidden="false" customHeight="false" outlineLevel="0" collapsed="false">
      <c r="A62" s="47" t="n">
        <v>3</v>
      </c>
      <c r="B62" s="38" t="n">
        <f aca="false">助手收入!$B4</f>
        <v>2003</v>
      </c>
      <c r="C62" s="48" t="str">
        <f aca="false">助手收入!$C4</f>
        <v>康庄路店</v>
      </c>
      <c r="D62" s="48" t="str">
        <f aca="false">科目对照收入!$B18&amp;""</f>
        <v>会员零钱包</v>
      </c>
      <c r="E62" s="48" t="str">
        <f aca="false">IF(AND(ROUND($G62,2)&lt;0,科目对照收入!$L18&lt;&gt;""),科目对照收入!$L18,科目对照收入!$C18)&amp;""</f>
        <v>其他应收款</v>
      </c>
      <c r="F62" s="48" t="str">
        <f aca="false">IF(AND(ROUND($G62,2)&lt;0,科目对照收入!$L18&lt;&gt;""),科目对照收入!$M18,科目对照收入!$D18)&amp;""</f>
        <v>会员零钱包</v>
      </c>
      <c r="G62" s="49" t="n">
        <f aca="false">ROUND(海典汇总!$P$5,2)</f>
        <v>0</v>
      </c>
      <c r="H62" s="49" t="str">
        <f aca="false">IF(ROUND($G62,2)&gt;0,ROUND($G62,2),"")</f>
        <v/>
      </c>
      <c r="I62" s="49" t="str">
        <f aca="false">IF(ROUND($G62,2)&lt;0,-ROUND($G62,2),"")</f>
        <v/>
      </c>
      <c r="J62" s="20" t="n">
        <f aca="false">IF(ROUND($G62,2)=0,0,1)</f>
        <v>0</v>
      </c>
      <c r="K62" s="20" t="str">
        <f aca="false">IF($J62=0,"",SUM($J$46:$J62))</f>
        <v/>
      </c>
      <c r="L62" s="20" t="str">
        <f aca="false">IF($K62="","",$A62*100+$K62)</f>
        <v/>
      </c>
      <c r="M62" s="48" t="str">
        <f aca="false">参数!$B$3</f>
        <v>7月收入</v>
      </c>
    </row>
    <row r="63" customFormat="false" ht="13.5" hidden="false" customHeight="false" outlineLevel="0" collapsed="false">
      <c r="A63" s="47" t="n">
        <v>3</v>
      </c>
      <c r="B63" s="38" t="n">
        <f aca="false">助手收入!$B4</f>
        <v>2003</v>
      </c>
      <c r="C63" s="48" t="str">
        <f aca="false">助手收入!$C4</f>
        <v>康庄路店</v>
      </c>
      <c r="D63" s="48" t="str">
        <f aca="false">科目对照收入!$B19&amp;""</f>
        <v>促销费</v>
      </c>
      <c r="E63" s="48" t="str">
        <f aca="false">IF(AND(ROUND($G63,2)&lt;0,科目对照收入!$L19&lt;&gt;""),科目对照收入!$L19,科目对照收入!$C19)&amp;""</f>
        <v>销售费用</v>
      </c>
      <c r="F63" s="48" t="str">
        <f aca="false">IF(AND(ROUND($G63,2)&lt;0,科目对照收入!$L19&lt;&gt;""),科目对照收入!$M19,科目对照收入!$D19)&amp;""</f>
        <v>促销费</v>
      </c>
      <c r="G63" s="49" t="n">
        <f aca="false">ROUND(海典汇总!$U$5+海典汇总!$T$5+海典汇总!$S$5,2)</f>
        <v>2034.28</v>
      </c>
      <c r="H63" s="49" t="n">
        <f aca="false">IF(ROUND($G63,2)&gt;0,ROUND($G63,2),"")</f>
        <v>2034.28</v>
      </c>
      <c r="I63" s="49" t="str">
        <f aca="false">IF(ROUND($G63,2)&lt;0,-ROUND($G63,2),"")</f>
        <v/>
      </c>
      <c r="J63" s="20" t="n">
        <f aca="false">IF(ROUND($G63,2)=0,0,1)</f>
        <v>1</v>
      </c>
      <c r="K63" s="20" t="n">
        <f aca="false">IF($J63=0,"",SUM($J$46:$J63))</f>
        <v>8</v>
      </c>
      <c r="L63" s="20" t="n">
        <f aca="false">IF($K63="","",$A63*100+$K63)</f>
        <v>308</v>
      </c>
      <c r="M63" s="48" t="str">
        <f aca="false">参数!$B$3</f>
        <v>7月收入</v>
      </c>
    </row>
    <row r="64" customFormat="false" ht="13.5" hidden="false" customHeight="false" outlineLevel="0" collapsed="false">
      <c r="A64" s="47" t="n">
        <v>3</v>
      </c>
      <c r="B64" s="38" t="n">
        <f aca="false">助手收入!$B4</f>
        <v>2003</v>
      </c>
      <c r="C64" s="48" t="str">
        <f aca="false">助手收入!$C4</f>
        <v>康庄路店</v>
      </c>
      <c r="D64" s="48" t="str">
        <f aca="false">科目对照收入!$B20&amp;""</f>
        <v>积分</v>
      </c>
      <c r="E64" s="48" t="str">
        <f aca="false">IF(AND(ROUND($G64,2)&lt;0,科目对照收入!$L20&lt;&gt;""),科目对照收入!$L20,科目对照收入!$C20)&amp;""</f>
        <v>销售费用</v>
      </c>
      <c r="F64" s="48" t="str">
        <f aca="false">IF(AND(ROUND($G64,2)&lt;0,科目对照收入!$L20&lt;&gt;""),科目对照收入!$M20,科目对照收入!$D20)&amp;""</f>
        <v>积分</v>
      </c>
      <c r="G64" s="49" t="n">
        <f aca="false">ROUND(海典汇总!$R$5,2)</f>
        <v>0</v>
      </c>
      <c r="H64" s="49" t="str">
        <f aca="false">IF(ROUND($G64,2)&gt;0,ROUND($G64,2),"")</f>
        <v/>
      </c>
      <c r="I64" s="49" t="str">
        <f aca="false">IF(ROUND($G64,2)&lt;0,-ROUND($G64,2),"")</f>
        <v/>
      </c>
      <c r="J64" s="20" t="n">
        <f aca="false">IF(ROUND($G64,2)=0,0,1)</f>
        <v>0</v>
      </c>
      <c r="K64" s="20" t="str">
        <f aca="false">IF($J64=0,"",SUM($J$46:$J64))</f>
        <v/>
      </c>
      <c r="L64" s="20" t="str">
        <f aca="false">IF($K64="","",$A64*100+$K64)</f>
        <v/>
      </c>
      <c r="M64" s="48" t="str">
        <f aca="false">参数!$B$3</f>
        <v>7月收入</v>
      </c>
    </row>
    <row r="65" customFormat="false" ht="13.5" hidden="false" customHeight="false" outlineLevel="0" collapsed="false">
      <c r="A65" s="47" t="n">
        <v>3</v>
      </c>
      <c r="B65" s="38" t="n">
        <f aca="false">助手收入!$B4</f>
        <v>2003</v>
      </c>
      <c r="C65" s="48" t="str">
        <f aca="false">助手收入!$C4</f>
        <v>康庄路店</v>
      </c>
      <c r="D65" s="48" t="str">
        <f aca="false">科目对照收入!$B21&amp;""</f>
        <v>手续费</v>
      </c>
      <c r="E65" s="48" t="str">
        <f aca="false">IF(AND(ROUND($G65,2)&lt;0,科目对照收入!$L21&lt;&gt;""),科目对照收入!$L21,科目对照收入!$C21)&amp;""</f>
        <v>财务费用</v>
      </c>
      <c r="F65" s="48" t="str">
        <f aca="false">IF(AND(ROUND($G65,2)&lt;0,科目对照收入!$L21&lt;&gt;""),科目对照收入!$M21,科目对照收入!$D21)&amp;""</f>
        <v>手续费</v>
      </c>
      <c r="G65" s="49" t="n">
        <f aca="false">ROUND(SUMIFS(输入聚合!$D:$D,输入聚合!$A:$A,助手收入!$X4),2)</f>
        <v>26.48</v>
      </c>
      <c r="H65" s="49" t="n">
        <f aca="false">IF(ROUND($G65,2)&gt;0,ROUND($G65,2),"")</f>
        <v>26.48</v>
      </c>
      <c r="I65" s="49" t="str">
        <f aca="false">IF(ROUND($G65,2)&lt;0,-ROUND($G65,2),"")</f>
        <v/>
      </c>
      <c r="J65" s="20" t="n">
        <f aca="false">IF(ROUND($G65,2)=0,0,1)</f>
        <v>1</v>
      </c>
      <c r="K65" s="20" t="n">
        <f aca="false">IF($J65=0,"",SUM($J$46:$J65))</f>
        <v>9</v>
      </c>
      <c r="L65" s="20" t="n">
        <f aca="false">IF($K65="","",$A65*100+$K65)</f>
        <v>309</v>
      </c>
      <c r="M65" s="48" t="str">
        <f aca="false">参数!$B$3</f>
        <v>7月收入</v>
      </c>
    </row>
    <row r="66" customFormat="false" ht="13.5" hidden="false" customHeight="false" outlineLevel="0" collapsed="false">
      <c r="A66" s="47" t="n">
        <v>3</v>
      </c>
      <c r="B66" s="38" t="n">
        <f aca="false">助手收入!$B4</f>
        <v>2003</v>
      </c>
      <c r="C66" s="48" t="str">
        <f aca="false">助手收入!$C4</f>
        <v>康庄路店</v>
      </c>
      <c r="D66" s="48" t="str">
        <f aca="false">科目对照收入!$B22&amp;""</f>
        <v>主营业务收入</v>
      </c>
      <c r="E66" s="48" t="str">
        <f aca="false">IF(AND(ROUND($G66,2)&lt;0,科目对照收入!$L22&lt;&gt;""),科目对照收入!$L22,科目对照收入!$C22)&amp;""</f>
        <v>主营业务收入</v>
      </c>
      <c r="F66" s="48" t="str">
        <f aca="false">IF(AND(ROUND($G66,2)&lt;0,科目对照收入!$L22&lt;&gt;""),科目对照收入!$M22,科目对照收入!$D22)&amp;""</f>
        <v/>
      </c>
      <c r="G66" s="49" t="n">
        <f aca="false">-ROUND(助手收入!$G4,2)</f>
        <v>-128377.96</v>
      </c>
      <c r="H66" s="49" t="str">
        <f aca="false">IF(ROUND($G66,2)&gt;0,ROUND($G66,2),"")</f>
        <v/>
      </c>
      <c r="I66" s="49" t="n">
        <f aca="false">IF(ROUND($G66,2)&lt;0,-ROUND($G66,2),"")</f>
        <v>128377.96</v>
      </c>
      <c r="J66" s="20" t="n">
        <f aca="false">IF(ROUND($G66,2)=0,0,1)</f>
        <v>1</v>
      </c>
      <c r="K66" s="20" t="n">
        <f aca="false">IF($J66=0,"",SUM($J$46:$J66))</f>
        <v>10</v>
      </c>
      <c r="L66" s="20" t="n">
        <f aca="false">IF($K66="","",$A66*100+$K66)</f>
        <v>310</v>
      </c>
      <c r="M66" s="48" t="str">
        <f aca="false">参数!$B$3</f>
        <v>7月收入</v>
      </c>
    </row>
    <row r="67" customFormat="false" ht="13.5" hidden="false" customHeight="false" outlineLevel="0" collapsed="false">
      <c r="A67" s="47" t="n">
        <v>3</v>
      </c>
      <c r="B67" s="38" t="n">
        <f aca="false">助手收入!$B4</f>
        <v>2003</v>
      </c>
      <c r="C67" s="48" t="str">
        <f aca="false">助手收入!$C4</f>
        <v>康庄路店</v>
      </c>
      <c r="D67" s="48" t="str">
        <f aca="false">科目对照收入!$B23&amp;""</f>
        <v>营业外收入</v>
      </c>
      <c r="E67" s="48" t="str">
        <f aca="false">IF(AND(ROUND($G67,2)&lt;0,科目对照收入!$L23&lt;&gt;""),科目对照收入!$L23,科目对照收入!$C23)&amp;""</f>
        <v>营业外收入</v>
      </c>
      <c r="F67" s="48" t="str">
        <f aca="false">IF(AND(ROUND($G67,2)&lt;0,科目对照收入!$L23&lt;&gt;""),科目对照收入!$M23,科目对照收入!$D23)&amp;""</f>
        <v/>
      </c>
      <c r="G67" s="49" t="n">
        <f aca="false">-ROUND(助手收入!$J4,2)</f>
        <v>-0</v>
      </c>
      <c r="H67" s="49" t="str">
        <f aca="false">IF(ROUND($G67,2)&gt;0,ROUND($G67,2),"")</f>
        <v/>
      </c>
      <c r="I67" s="49" t="str">
        <f aca="false">IF(ROUND($G67,2)&lt;0,-ROUND($G67,2),"")</f>
        <v/>
      </c>
      <c r="J67" s="20" t="n">
        <f aca="false">IF(ROUND($G67,2)=0,0,1)</f>
        <v>0</v>
      </c>
      <c r="K67" s="20" t="str">
        <f aca="false">IF($J67=0,"",SUM($J$46:$J67))</f>
        <v/>
      </c>
      <c r="L67" s="20" t="str">
        <f aca="false">IF($K67="","",$A67*100+$K67)</f>
        <v/>
      </c>
      <c r="M67" s="48" t="str">
        <f aca="false">参数!$B$3</f>
        <v>7月收入</v>
      </c>
    </row>
    <row r="68" customFormat="false" ht="13.5" hidden="false" customHeight="false" outlineLevel="0" collapsed="false">
      <c r="A68" s="47" t="n">
        <v>4</v>
      </c>
      <c r="B68" s="38" t="n">
        <f aca="false">助手收入!$B5</f>
        <v>2004</v>
      </c>
      <c r="C68" s="48" t="str">
        <f aca="false">助手收入!$C5</f>
        <v>东关店</v>
      </c>
      <c r="D68" s="48" t="str">
        <f aca="false">科目对照收入!$B2&amp;""</f>
        <v>库存现金</v>
      </c>
      <c r="E68" s="48" t="str">
        <f aca="false">IF(AND(ROUND($G68,2)&lt;0,科目对照收入!$L2&lt;&gt;""),科目对照收入!$L2,科目对照收入!$C2)&amp;""</f>
        <v>库存现金</v>
      </c>
      <c r="F68" s="48" t="str">
        <f aca="false">IF(AND(ROUND($G68,2)&lt;0,科目对照收入!$L2&lt;&gt;""),科目对照收入!$M2,科目对照收入!$D2)&amp;""</f>
        <v/>
      </c>
      <c r="G68" s="49" t="n">
        <f aca="false">助手收入!$I5</f>
        <v>67171.51</v>
      </c>
      <c r="H68" s="49" t="n">
        <f aca="false">IF(ROUND($G68,2)&gt;0,ROUND($G68,2),"")</f>
        <v>67171.51</v>
      </c>
      <c r="I68" s="49" t="str">
        <f aca="false">IF(ROUND($G68,2)&lt;0,-ROUND($G68,2),"")</f>
        <v/>
      </c>
      <c r="J68" s="20" t="n">
        <f aca="false">IF(ROUND($G68,2)=0,0,1)</f>
        <v>1</v>
      </c>
      <c r="K68" s="20" t="n">
        <f aca="false">IF($J68=0,"",SUM($J$68:$J68))</f>
        <v>1</v>
      </c>
      <c r="L68" s="20" t="n">
        <f aca="false">IF($K68="","",$A68*100+$K68)</f>
        <v>401</v>
      </c>
      <c r="M68" s="48" t="str">
        <f aca="false">参数!$B$3</f>
        <v>7月收入</v>
      </c>
    </row>
    <row r="69" customFormat="false" ht="13.5" hidden="false" customHeight="false" outlineLevel="0" collapsed="false">
      <c r="A69" s="47" t="n">
        <v>4</v>
      </c>
      <c r="B69" s="38" t="n">
        <f aca="false">助手收入!$B5</f>
        <v>2004</v>
      </c>
      <c r="C69" s="48" t="str">
        <f aca="false">助手收入!$C5</f>
        <v>东关店</v>
      </c>
      <c r="D69" s="48" t="str">
        <f aca="false">科目对照收入!$B3&amp;""</f>
        <v>聚合支付</v>
      </c>
      <c r="E69" s="48" t="str">
        <f aca="false">IF(AND(ROUND($G69,2)&lt;0,科目对照收入!$L3&lt;&gt;""),科目对照收入!$L3,科目对照收入!$C3)&amp;""</f>
        <v>应收账款</v>
      </c>
      <c r="F69" s="48" t="str">
        <f aca="false">IF(AND(ROUND($G69,2)&lt;0,科目对照收入!$L3&lt;&gt;""),科目对照收入!$M3,科目对照收入!$D3)&amp;""</f>
        <v>聚合支付</v>
      </c>
      <c r="G69" s="49" t="n">
        <f aca="false">ROUND(SUMIFS(输入聚合!$C:$C,输入聚合!$A:$A,助手收入!$X5)-SUMIFS(输入聚合!$D:$D,输入聚合!$A:$A,助手收入!$X5),2)</f>
        <v>4991.09</v>
      </c>
      <c r="H69" s="49" t="n">
        <f aca="false">IF(ROUND($G69,2)&gt;0,ROUND($G69,2),"")</f>
        <v>4991.09</v>
      </c>
      <c r="I69" s="49" t="str">
        <f aca="false">IF(ROUND($G69,2)&lt;0,-ROUND($G69,2),"")</f>
        <v/>
      </c>
      <c r="J69" s="20" t="n">
        <f aca="false">IF(ROUND($G69,2)=0,0,1)</f>
        <v>1</v>
      </c>
      <c r="K69" s="20" t="n">
        <f aca="false">IF($J69=0,"",SUM($J$68:$J69))</f>
        <v>2</v>
      </c>
      <c r="L69" s="20" t="n">
        <f aca="false">IF($K69="","",$A69*100+$K69)</f>
        <v>402</v>
      </c>
      <c r="M69" s="48" t="str">
        <f aca="false">参数!$B$3</f>
        <v>7月收入</v>
      </c>
    </row>
    <row r="70" customFormat="false" ht="13.5" hidden="false" customHeight="false" outlineLevel="0" collapsed="false">
      <c r="A70" s="47" t="n">
        <v>4</v>
      </c>
      <c r="B70" s="38" t="n">
        <f aca="false">助手收入!$B5</f>
        <v>2004</v>
      </c>
      <c r="C70" s="48" t="str">
        <f aca="false">助手收入!$C5</f>
        <v>东关店</v>
      </c>
      <c r="D70" s="48" t="str">
        <f aca="false">科目对照收入!$B4&amp;""</f>
        <v>医保</v>
      </c>
      <c r="E70" s="48" t="str">
        <f aca="false">IF(AND(ROUND($G70,2)&lt;0,科目对照收入!$L4&lt;&gt;""),科目对照收入!$L4,科目对照收入!$C4)&amp;""</f>
        <v>应收账款</v>
      </c>
      <c r="F70" s="48" t="str">
        <f aca="false">IF(AND(ROUND($G70,2)&lt;0,科目对照收入!$L4&lt;&gt;""),科目对照收入!$M4,科目对照收入!$D4)&amp;""</f>
        <v>医保</v>
      </c>
      <c r="G70" s="49" t="n">
        <f aca="false">IF(COUNTIFS(输入平台!$A:$A,助手收入!$X5,输入平台!$B:$B,科目对照收入!$B4)&gt;0,ROUND(SUMIFS(输入平台!$C:$C,输入平台!$A:$A,助手收入!$X5,输入平台!$B:$B,科目对照收入!$B4),2),ROUND(海典汇总!$F$6+海典汇总!$G$6,2))</f>
        <v>21335.84</v>
      </c>
      <c r="H70" s="49" t="n">
        <f aca="false">IF(ROUND($G70,2)&gt;0,ROUND($G70,2),"")</f>
        <v>21335.84</v>
      </c>
      <c r="I70" s="49" t="str">
        <f aca="false">IF(ROUND($G70,2)&lt;0,-ROUND($G70,2),"")</f>
        <v/>
      </c>
      <c r="J70" s="20" t="n">
        <f aca="false">IF(ROUND($G70,2)=0,0,1)</f>
        <v>1</v>
      </c>
      <c r="K70" s="20" t="n">
        <f aca="false">IF($J70=0,"",SUM($J$68:$J70))</f>
        <v>3</v>
      </c>
      <c r="L70" s="20" t="n">
        <f aca="false">IF($K70="","",$A70*100+$K70)</f>
        <v>403</v>
      </c>
      <c r="M70" s="48" t="str">
        <f aca="false">参数!$B$3</f>
        <v>7月收入</v>
      </c>
    </row>
    <row r="71" customFormat="false" ht="13.5" hidden="false" customHeight="false" outlineLevel="0" collapsed="false">
      <c r="A71" s="47" t="n">
        <v>4</v>
      </c>
      <c r="B71" s="38" t="n">
        <f aca="false">助手收入!$B5</f>
        <v>2004</v>
      </c>
      <c r="C71" s="48" t="str">
        <f aca="false">助手收入!$C5</f>
        <v>东关店</v>
      </c>
      <c r="D71" s="48" t="str">
        <f aca="false">科目对照收入!$B5&amp;""</f>
        <v>健e卡</v>
      </c>
      <c r="E71" s="48" t="str">
        <f aca="false">IF(AND(ROUND($G71,2)&lt;0,科目对照收入!$L5&lt;&gt;""),科目对照收入!$L5,科目对照收入!$C5)&amp;""</f>
        <v>应收账款</v>
      </c>
      <c r="F71" s="48" t="str">
        <f aca="false">IF(AND(ROUND($G71,2)&lt;0,科目对照收入!$L5&lt;&gt;""),科目对照收入!$M5,科目对照收入!$D5)&amp;""</f>
        <v>健e卡</v>
      </c>
      <c r="G71" s="49" t="n">
        <f aca="false">IF(COUNTIFS(输入平台!$A:$A,助手收入!$X5,输入平台!$B:$B,科目对照收入!$B5)&gt;0,ROUND(SUMIFS(输入平台!$C:$C,输入平台!$A:$A,助手收入!$X5,输入平台!$B:$B,科目对照收入!$B5),2),ROUND(海典汇总!$H$6,2))</f>
        <v>4415.97</v>
      </c>
      <c r="H71" s="49" t="n">
        <f aca="false">IF(ROUND($G71,2)&gt;0,ROUND($G71,2),"")</f>
        <v>4415.97</v>
      </c>
      <c r="I71" s="49" t="str">
        <f aca="false">IF(ROUND($G71,2)&lt;0,-ROUND($G71,2),"")</f>
        <v/>
      </c>
      <c r="J71" s="20" t="n">
        <f aca="false">IF(ROUND($G71,2)=0,0,1)</f>
        <v>1</v>
      </c>
      <c r="K71" s="20" t="n">
        <f aca="false">IF($J71=0,"",SUM($J$68:$J71))</f>
        <v>4</v>
      </c>
      <c r="L71" s="20" t="n">
        <f aca="false">IF($K71="","",$A71*100+$K71)</f>
        <v>404</v>
      </c>
      <c r="M71" s="48" t="str">
        <f aca="false">参数!$B$3</f>
        <v>7月收入</v>
      </c>
    </row>
    <row r="72" customFormat="false" ht="13.5" hidden="false" customHeight="false" outlineLevel="0" collapsed="false">
      <c r="A72" s="47" t="n">
        <v>4</v>
      </c>
      <c r="B72" s="38" t="n">
        <f aca="false">助手收入!$B5</f>
        <v>2004</v>
      </c>
      <c r="C72" s="48" t="str">
        <f aca="false">助手收入!$C5</f>
        <v>东关店</v>
      </c>
      <c r="D72" s="48" t="str">
        <f aca="false">科目对照收入!$B6&amp;""</f>
        <v>医卡通</v>
      </c>
      <c r="E72" s="48" t="str">
        <f aca="false">IF(AND(ROUND($G72,2)&lt;0,科目对照收入!$L6&lt;&gt;""),科目对照收入!$L6,科目对照收入!$C6)&amp;""</f>
        <v>应收账款</v>
      </c>
      <c r="F72" s="48" t="str">
        <f aca="false">IF(AND(ROUND($G72,2)&lt;0,科目对照收入!$L6&lt;&gt;""),科目对照收入!$M6,科目对照收入!$D6)&amp;""</f>
        <v>医卡通</v>
      </c>
      <c r="G72" s="49" t="n">
        <f aca="false">IF(COUNTIFS(输入平台!$A:$A,助手收入!$X5,输入平台!$B:$B,科目对照收入!$B6)&gt;0,ROUND(SUMIFS(输入平台!$C:$C,输入平台!$A:$A,助手收入!$X5,输入平台!$B:$B,科目对照收入!$B6),2),ROUND(海典汇总!$I$6,2))</f>
        <v>0</v>
      </c>
      <c r="H72" s="49" t="str">
        <f aca="false">IF(ROUND($G72,2)&gt;0,ROUND($G72,2),"")</f>
        <v/>
      </c>
      <c r="I72" s="49" t="str">
        <f aca="false">IF(ROUND($G72,2)&lt;0,-ROUND($G72,2),"")</f>
        <v/>
      </c>
      <c r="J72" s="20" t="n">
        <f aca="false">IF(ROUND($G72,2)=0,0,1)</f>
        <v>0</v>
      </c>
      <c r="K72" s="20" t="str">
        <f aca="false">IF($J72=0,"",SUM($J$68:$J72))</f>
        <v/>
      </c>
      <c r="L72" s="20" t="str">
        <f aca="false">IF($K72="","",$A72*100+$K72)</f>
        <v/>
      </c>
      <c r="M72" s="48" t="str">
        <f aca="false">参数!$B$3</f>
        <v>7月收入</v>
      </c>
    </row>
    <row r="73" customFormat="false" ht="13.5" hidden="false" customHeight="false" outlineLevel="0" collapsed="false">
      <c r="A73" s="47" t="n">
        <v>4</v>
      </c>
      <c r="B73" s="38" t="n">
        <f aca="false">助手收入!$B5</f>
        <v>2004</v>
      </c>
      <c r="C73" s="48" t="str">
        <f aca="false">助手收入!$C5</f>
        <v>东关店</v>
      </c>
      <c r="D73" s="48" t="str">
        <f aca="false">科目对照收入!$B7&amp;""</f>
        <v>企健网</v>
      </c>
      <c r="E73" s="48" t="str">
        <f aca="false">IF(AND(ROUND($G73,2)&lt;0,科目对照收入!$L7&lt;&gt;""),科目对照收入!$L7,科目对照收入!$C7)&amp;""</f>
        <v>应收账款</v>
      </c>
      <c r="F73" s="48" t="str">
        <f aca="false">IF(AND(ROUND($G73,2)&lt;0,科目对照收入!$L7&lt;&gt;""),科目对照收入!$M7,科目对照收入!$D7)&amp;""</f>
        <v>企健网</v>
      </c>
      <c r="G73" s="49" t="n">
        <f aca="false">IF(COUNTIFS(输入平台!$A:$A,助手收入!$X5,输入平台!$B:$B,科目对照收入!$B7)&gt;0,ROUND(SUMIFS(输入平台!$C:$C,输入平台!$A:$A,助手收入!$X5,输入平台!$B:$B,科目对照收入!$B7),2),ROUND(海典汇总!$J$6,2))</f>
        <v>0</v>
      </c>
      <c r="H73" s="49" t="str">
        <f aca="false">IF(ROUND($G73,2)&gt;0,ROUND($G73,2),"")</f>
        <v/>
      </c>
      <c r="I73" s="49" t="str">
        <f aca="false">IF(ROUND($G73,2)&lt;0,-ROUND($G73,2),"")</f>
        <v/>
      </c>
      <c r="J73" s="20" t="n">
        <f aca="false">IF(ROUND($G73,2)=0,0,1)</f>
        <v>0</v>
      </c>
      <c r="K73" s="20" t="str">
        <f aca="false">IF($J73=0,"",SUM($J$68:$J73))</f>
        <v/>
      </c>
      <c r="L73" s="20" t="str">
        <f aca="false">IF($K73="","",$A73*100+$K73)</f>
        <v/>
      </c>
      <c r="M73" s="48" t="str">
        <f aca="false">参数!$B$3</f>
        <v>7月收入</v>
      </c>
    </row>
    <row r="74" customFormat="false" ht="13.5" hidden="false" customHeight="false" outlineLevel="0" collapsed="false">
      <c r="A74" s="47" t="n">
        <v>4</v>
      </c>
      <c r="B74" s="38" t="n">
        <f aca="false">助手收入!$B5</f>
        <v>2004</v>
      </c>
      <c r="C74" s="48" t="str">
        <f aca="false">助手收入!$C5</f>
        <v>东关店</v>
      </c>
      <c r="D74" s="48" t="str">
        <f aca="false">科目对照收入!$B8&amp;""</f>
        <v>亲情卡</v>
      </c>
      <c r="E74" s="48" t="str">
        <f aca="false">IF(AND(ROUND($G74,2)&lt;0,科目对照收入!$L8&lt;&gt;""),科目对照收入!$L8,科目对照收入!$C8)&amp;""</f>
        <v>应收账款</v>
      </c>
      <c r="F74" s="48" t="str">
        <f aca="false">IF(AND(ROUND($G74,2)&lt;0,科目对照收入!$L8&lt;&gt;""),科目对照收入!$M8,科目对照收入!$D8)&amp;""</f>
        <v>亲情卡</v>
      </c>
      <c r="G74" s="49" t="n">
        <f aca="false">IF(COUNTIFS(输入平台!$A:$A,助手收入!$X5,输入平台!$B:$B,科目对照收入!$B8)&gt;0,ROUND(SUMIFS(输入平台!$C:$C,输入平台!$A:$A,助手收入!$X5,输入平台!$B:$B,科目对照收入!$B8),2),ROUND(海典汇总!$Z$6,2))</f>
        <v>0</v>
      </c>
      <c r="H74" s="49" t="str">
        <f aca="false">IF(ROUND($G74,2)&gt;0,ROUND($G74,2),"")</f>
        <v/>
      </c>
      <c r="I74" s="49" t="str">
        <f aca="false">IF(ROUND($G74,2)&lt;0,-ROUND($G74,2),"")</f>
        <v/>
      </c>
      <c r="J74" s="20" t="n">
        <f aca="false">IF(ROUND($G74,2)=0,0,1)</f>
        <v>0</v>
      </c>
      <c r="K74" s="20" t="str">
        <f aca="false">IF($J74=0,"",SUM($J$68:$J74))</f>
        <v/>
      </c>
      <c r="L74" s="20" t="str">
        <f aca="false">IF($K74="","",$A74*100+$K74)</f>
        <v/>
      </c>
      <c r="M74" s="48" t="str">
        <f aca="false">参数!$B$3</f>
        <v>7月收入</v>
      </c>
    </row>
    <row r="75" customFormat="false" ht="13.5" hidden="false" customHeight="false" outlineLevel="0" collapsed="false">
      <c r="A75" s="47" t="n">
        <v>4</v>
      </c>
      <c r="B75" s="38" t="n">
        <f aca="false">助手收入!$B5</f>
        <v>2004</v>
      </c>
      <c r="C75" s="48" t="str">
        <f aca="false">助手收入!$C5</f>
        <v>东关店</v>
      </c>
      <c r="D75" s="48" t="str">
        <f aca="false">科目对照收入!$B9&amp;""</f>
        <v>24小时</v>
      </c>
      <c r="E75" s="48" t="str">
        <f aca="false">IF(AND(ROUND($G75,2)&lt;0,科目对照收入!$L9&lt;&gt;""),科目对照收入!$L9,科目对照收入!$C9)&amp;""</f>
        <v>应收账款</v>
      </c>
      <c r="F75" s="48" t="str">
        <f aca="false">IF(AND(ROUND($G75,2)&lt;0,科目对照收入!$L9&lt;&gt;""),科目对照收入!$M9,科目对照收入!$D9)&amp;""</f>
        <v>24小时</v>
      </c>
      <c r="G75" s="49" t="n">
        <f aca="false">IF(COUNTIFS(输入平台!$A:$A,助手收入!$X5,输入平台!$B:$B,科目对照收入!$B9)&gt;0,ROUND(SUMIFS(输入平台!$C:$C,输入平台!$A:$A,助手收入!$X5,输入平台!$B:$B,科目对照收入!$B9),2),ROUND(海典汇总!$K$6,2))</f>
        <v>0</v>
      </c>
      <c r="H75" s="49" t="str">
        <f aca="false">IF(ROUND($G75,2)&gt;0,ROUND($G75,2),"")</f>
        <v/>
      </c>
      <c r="I75" s="49" t="str">
        <f aca="false">IF(ROUND($G75,2)&lt;0,-ROUND($G75,2),"")</f>
        <v/>
      </c>
      <c r="J75" s="20" t="n">
        <f aca="false">IF(ROUND($G75,2)=0,0,1)</f>
        <v>0</v>
      </c>
      <c r="K75" s="20" t="str">
        <f aca="false">IF($J75=0,"",SUM($J$68:$J75))</f>
        <v/>
      </c>
      <c r="L75" s="20" t="str">
        <f aca="false">IF($K75="","",$A75*100+$K75)</f>
        <v/>
      </c>
      <c r="M75" s="48" t="str">
        <f aca="false">参数!$B$3</f>
        <v>7月收入</v>
      </c>
    </row>
    <row r="76" customFormat="false" ht="13.5" hidden="false" customHeight="false" outlineLevel="0" collapsed="false">
      <c r="A76" s="47" t="n">
        <v>4</v>
      </c>
      <c r="B76" s="38" t="n">
        <f aca="false">助手收入!$B5</f>
        <v>2004</v>
      </c>
      <c r="C76" s="48" t="str">
        <f aca="false">助手收入!$C5</f>
        <v>东关店</v>
      </c>
      <c r="D76" s="48" t="str">
        <f aca="false">科目对照收入!$B10&amp;""</f>
        <v>美团</v>
      </c>
      <c r="E76" s="48" t="str">
        <f aca="false">IF(AND(ROUND($G76,2)&lt;0,科目对照收入!$L10&lt;&gt;""),科目对照收入!$L10,科目对照收入!$C10)&amp;""</f>
        <v>应收账款</v>
      </c>
      <c r="F76" s="48" t="str">
        <f aca="false">IF(AND(ROUND($G76,2)&lt;0,科目对照收入!$L10&lt;&gt;""),科目对照收入!$M10,科目对照收入!$D10)&amp;""</f>
        <v>美团</v>
      </c>
      <c r="G76" s="49" t="n">
        <f aca="false">IF(COUNTIFS(输入平台!$A:$A,助手收入!$X5,输入平台!$B:$B,科目对照收入!$B10)&gt;0,ROUND(SUMIFS(输入平台!$C:$C,输入平台!$A:$A,助手收入!$X5,输入平台!$B:$B,科目对照收入!$B10),2),ROUND(海典汇总!$M$6,2))</f>
        <v>716</v>
      </c>
      <c r="H76" s="49" t="n">
        <f aca="false">IF(ROUND($G76,2)&gt;0,ROUND($G76,2),"")</f>
        <v>716</v>
      </c>
      <c r="I76" s="49" t="str">
        <f aca="false">IF(ROUND($G76,2)&lt;0,-ROUND($G76,2),"")</f>
        <v/>
      </c>
      <c r="J76" s="20" t="n">
        <f aca="false">IF(ROUND($G76,2)=0,0,1)</f>
        <v>1</v>
      </c>
      <c r="K76" s="20" t="n">
        <f aca="false">IF($J76=0,"",SUM($J$68:$J76))</f>
        <v>5</v>
      </c>
      <c r="L76" s="20" t="n">
        <f aca="false">IF($K76="","",$A76*100+$K76)</f>
        <v>405</v>
      </c>
      <c r="M76" s="48" t="str">
        <f aca="false">参数!$B$3</f>
        <v>7月收入</v>
      </c>
    </row>
    <row r="77" customFormat="false" ht="13.5" hidden="false" customHeight="false" outlineLevel="0" collapsed="false">
      <c r="A77" s="47" t="n">
        <v>4</v>
      </c>
      <c r="B77" s="38" t="n">
        <f aca="false">助手收入!$B5</f>
        <v>2004</v>
      </c>
      <c r="C77" s="48" t="str">
        <f aca="false">助手收入!$C5</f>
        <v>东关店</v>
      </c>
      <c r="D77" s="48" t="str">
        <f aca="false">科目对照收入!$B11&amp;""</f>
        <v>饿了么</v>
      </c>
      <c r="E77" s="48" t="str">
        <f aca="false">IF(AND(ROUND($G77,2)&lt;0,科目对照收入!$L11&lt;&gt;""),科目对照收入!$L11,科目对照收入!$C11)&amp;""</f>
        <v>应收账款</v>
      </c>
      <c r="F77" s="48" t="str">
        <f aca="false">IF(AND(ROUND($G77,2)&lt;0,科目对照收入!$L11&lt;&gt;""),科目对照收入!$M11,科目对照收入!$D11)&amp;""</f>
        <v>饿了么</v>
      </c>
      <c r="G77" s="49" t="n">
        <f aca="false">IF(COUNTIFS(输入平台!$A:$A,助手收入!$X5,输入平台!$B:$B,科目对照收入!$B11)&gt;0,ROUND(SUMIFS(输入平台!$C:$C,输入平台!$A:$A,助手收入!$X5,输入平台!$B:$B,科目对照收入!$B11),2),ROUND(海典汇总!$N$6,2))</f>
        <v>34.7</v>
      </c>
      <c r="H77" s="49" t="n">
        <f aca="false">IF(ROUND($G77,2)&gt;0,ROUND($G77,2),"")</f>
        <v>34.7</v>
      </c>
      <c r="I77" s="49" t="str">
        <f aca="false">IF(ROUND($G77,2)&lt;0,-ROUND($G77,2),"")</f>
        <v/>
      </c>
      <c r="J77" s="20" t="n">
        <f aca="false">IF(ROUND($G77,2)=0,0,1)</f>
        <v>1</v>
      </c>
      <c r="K77" s="20" t="n">
        <f aca="false">IF($J77=0,"",SUM($J$68:$J77))</f>
        <v>6</v>
      </c>
      <c r="L77" s="20" t="n">
        <f aca="false">IF($K77="","",$A77*100+$K77)</f>
        <v>406</v>
      </c>
      <c r="M77" s="48" t="str">
        <f aca="false">参数!$B$3</f>
        <v>7月收入</v>
      </c>
    </row>
    <row r="78" customFormat="false" ht="13.5" hidden="false" customHeight="false" outlineLevel="0" collapsed="false">
      <c r="A78" s="47" t="n">
        <v>4</v>
      </c>
      <c r="B78" s="38" t="n">
        <f aca="false">助手收入!$B5</f>
        <v>2004</v>
      </c>
      <c r="C78" s="48" t="str">
        <f aca="false">助手收入!$C5</f>
        <v>东关店</v>
      </c>
      <c r="D78" s="48" t="str">
        <f aca="false">科目对照收入!$B12&amp;""</f>
        <v>京东秒送</v>
      </c>
      <c r="E78" s="48" t="str">
        <f aca="false">IF(AND(ROUND($G78,2)&lt;0,科目对照收入!$L12&lt;&gt;""),科目对照收入!$L12,科目对照收入!$C12)&amp;""</f>
        <v>应收账款</v>
      </c>
      <c r="F78" s="48" t="str">
        <f aca="false">IF(AND(ROUND($G78,2)&lt;0,科目对照收入!$L12&lt;&gt;""),科目对照收入!$M12,科目对照收入!$D12)&amp;""</f>
        <v>京东秒送</v>
      </c>
      <c r="G78" s="49" t="n">
        <f aca="false">IF(COUNTIFS(输入平台!$A:$A,助手收入!$X5,输入平台!$B:$B,科目对照收入!$B12)&gt;0,ROUND(SUMIFS(输入平台!$C:$C,输入平台!$A:$A,助手收入!$X5,输入平台!$B:$B,科目对照收入!$B12),2),ROUND(海典汇总!$O$6,2))</f>
        <v>0</v>
      </c>
      <c r="H78" s="49" t="str">
        <f aca="false">IF(ROUND($G78,2)&gt;0,ROUND($G78,2),"")</f>
        <v/>
      </c>
      <c r="I78" s="49" t="str">
        <f aca="false">IF(ROUND($G78,2)&lt;0,-ROUND($G78,2),"")</f>
        <v/>
      </c>
      <c r="J78" s="20" t="n">
        <f aca="false">IF(ROUND($G78,2)=0,0,1)</f>
        <v>0</v>
      </c>
      <c r="K78" s="20" t="str">
        <f aca="false">IF($J78=0,"",SUM($J$68:$J78))</f>
        <v/>
      </c>
      <c r="L78" s="20" t="str">
        <f aca="false">IF($K78="","",$A78*100+$K78)</f>
        <v/>
      </c>
      <c r="M78" s="48" t="str">
        <f aca="false">参数!$B$3</f>
        <v>7月收入</v>
      </c>
    </row>
    <row r="79" customFormat="false" ht="13.5" hidden="false" customHeight="false" outlineLevel="0" collapsed="false">
      <c r="A79" s="47" t="n">
        <v>4</v>
      </c>
      <c r="B79" s="38" t="n">
        <f aca="false">助手收入!$B5</f>
        <v>2004</v>
      </c>
      <c r="C79" s="48" t="str">
        <f aca="false">助手收入!$C5</f>
        <v>东关店</v>
      </c>
      <c r="D79" s="48" t="str">
        <f aca="false">科目对照收入!$B13&amp;""</f>
        <v>银联</v>
      </c>
      <c r="E79" s="48" t="str">
        <f aca="false">IF(AND(ROUND($G79,2)&lt;0,科目对照收入!$L13&lt;&gt;""),科目对照收入!$L13,科目对照收入!$C13)&amp;""</f>
        <v>应收账款</v>
      </c>
      <c r="F79" s="48" t="str">
        <f aca="false">IF(AND(ROUND($G79,2)&lt;0,科目对照收入!$L13&lt;&gt;""),科目对照收入!$M13,科目对照收入!$D13)&amp;""</f>
        <v>银联</v>
      </c>
      <c r="G79" s="49" t="n">
        <f aca="false">IF(COUNTIFS(输入平台!$A:$A,助手收入!$X5,输入平台!$B:$B,科目对照收入!$B13)&gt;0,ROUND(SUMIFS(输入平台!$C:$C,输入平台!$A:$A,助手收入!$X5,输入平台!$B:$B,科目对照收入!$B13),2),ROUND(海典汇总!$V$6,2))</f>
        <v>0</v>
      </c>
      <c r="H79" s="49" t="str">
        <f aca="false">IF(ROUND($G79,2)&gt;0,ROUND($G79,2),"")</f>
        <v/>
      </c>
      <c r="I79" s="49" t="str">
        <f aca="false">IF(ROUND($G79,2)&lt;0,-ROUND($G79,2),"")</f>
        <v/>
      </c>
      <c r="J79" s="20" t="n">
        <f aca="false">IF(ROUND($G79,2)=0,0,1)</f>
        <v>0</v>
      </c>
      <c r="K79" s="20" t="str">
        <f aca="false">IF($J79=0,"",SUM($J$68:$J79))</f>
        <v/>
      </c>
      <c r="L79" s="20" t="str">
        <f aca="false">IF($K79="","",$A79*100+$K79)</f>
        <v/>
      </c>
      <c r="M79" s="48" t="str">
        <f aca="false">参数!$B$3</f>
        <v>7月收入</v>
      </c>
    </row>
    <row r="80" customFormat="false" ht="13.5" hidden="false" customHeight="false" outlineLevel="0" collapsed="false">
      <c r="A80" s="47" t="n">
        <v>4</v>
      </c>
      <c r="B80" s="38" t="n">
        <f aca="false">助手收入!$B5</f>
        <v>2004</v>
      </c>
      <c r="C80" s="48" t="str">
        <f aca="false">助手收入!$C5</f>
        <v>东关店</v>
      </c>
      <c r="D80" s="48" t="str">
        <f aca="false">科目对照收入!$B14&amp;""</f>
        <v>小镇外卖</v>
      </c>
      <c r="E80" s="48" t="str">
        <f aca="false">IF(AND(ROUND($G80,2)&lt;0,科目对照收入!$L14&lt;&gt;""),科目对照收入!$L14,科目对照收入!$C14)&amp;""</f>
        <v>应收账款</v>
      </c>
      <c r="F80" s="48" t="str">
        <f aca="false">IF(AND(ROUND($G80,2)&lt;0,科目对照收入!$L14&lt;&gt;""),科目对照收入!$M14,科目对照收入!$D14)&amp;""</f>
        <v>小镇外卖</v>
      </c>
      <c r="G80" s="49" t="n">
        <f aca="false">IF(COUNTIFS(输入平台!$A:$A,助手收入!$X5,输入平台!$B:$B,科目对照收入!$B14)&gt;0,ROUND(SUMIFS(输入平台!$C:$C,输入平台!$A:$A,助手收入!$X5,输入平台!$B:$B,科目对照收入!$B14),2),ROUND(海典汇总!$AC$6,2))</f>
        <v>0</v>
      </c>
      <c r="H80" s="49" t="str">
        <f aca="false">IF(ROUND($G80,2)&gt;0,ROUND($G80,2),"")</f>
        <v/>
      </c>
      <c r="I80" s="49" t="str">
        <f aca="false">IF(ROUND($G80,2)&lt;0,-ROUND($G80,2),"")</f>
        <v/>
      </c>
      <c r="J80" s="20" t="n">
        <f aca="false">IF(ROUND($G80,2)=0,0,1)</f>
        <v>0</v>
      </c>
      <c r="K80" s="20" t="str">
        <f aca="false">IF($J80=0,"",SUM($J$68:$J80))</f>
        <v/>
      </c>
      <c r="L80" s="20" t="str">
        <f aca="false">IF($K80="","",$A80*100+$K80)</f>
        <v/>
      </c>
      <c r="M80" s="48" t="str">
        <f aca="false">参数!$B$3</f>
        <v>7月收入</v>
      </c>
    </row>
    <row r="81" customFormat="false" ht="13.5" hidden="false" customHeight="false" outlineLevel="0" collapsed="false">
      <c r="A81" s="47" t="n">
        <v>4</v>
      </c>
      <c r="B81" s="38" t="n">
        <f aca="false">助手收入!$B5</f>
        <v>2004</v>
      </c>
      <c r="C81" s="48" t="str">
        <f aca="false">助手收入!$C5</f>
        <v>东关店</v>
      </c>
      <c r="D81" s="48" t="str">
        <f aca="false">科目对照收入!$B15&amp;""</f>
        <v>OMS线上支付</v>
      </c>
      <c r="E81" s="48" t="str">
        <f aca="false">IF(AND(ROUND($G81,2)&lt;0,科目对照收入!$L15&lt;&gt;""),科目对照收入!$L15,科目对照收入!$C15)&amp;""</f>
        <v>应收账款</v>
      </c>
      <c r="F81" s="48" t="str">
        <f aca="false">IF(AND(ROUND($G81,2)&lt;0,科目对照收入!$L15&lt;&gt;""),科目对照收入!$M15,科目对照收入!$D15)&amp;""</f>
        <v>OMS线上</v>
      </c>
      <c r="G81" s="49" t="n">
        <f aca="false">IF(COUNTIFS(输入平台!$A:$A,助手收入!$X5,输入平台!$B:$B,科目对照收入!$B15)&gt;0,ROUND(SUMIFS(输入平台!$C:$C,输入平台!$A:$A,助手收入!$X5,输入平台!$B:$B,科目对照收入!$B15),2),ROUND(海典汇总!$L$6,2))</f>
        <v>0</v>
      </c>
      <c r="H81" s="49" t="str">
        <f aca="false">IF(ROUND($G81,2)&gt;0,ROUND($G81,2),"")</f>
        <v/>
      </c>
      <c r="I81" s="49" t="str">
        <f aca="false">IF(ROUND($G81,2)&lt;0,-ROUND($G81,2),"")</f>
        <v/>
      </c>
      <c r="J81" s="20" t="n">
        <f aca="false">IF(ROUND($G81,2)=0,0,1)</f>
        <v>0</v>
      </c>
      <c r="K81" s="20" t="str">
        <f aca="false">IF($J81=0,"",SUM($J$68:$J81))</f>
        <v/>
      </c>
      <c r="L81" s="20" t="str">
        <f aca="false">IF($K81="","",$A81*100+$K81)</f>
        <v/>
      </c>
      <c r="M81" s="48" t="str">
        <f aca="false">参数!$B$3</f>
        <v>7月收入</v>
      </c>
    </row>
    <row r="82" customFormat="false" ht="13.5" hidden="false" customHeight="false" outlineLevel="0" collapsed="false">
      <c r="A82" s="47" t="n">
        <v>4</v>
      </c>
      <c r="B82" s="38" t="n">
        <f aca="false">助手收入!$B5</f>
        <v>2004</v>
      </c>
      <c r="C82" s="48" t="str">
        <f aca="false">助手收入!$C5</f>
        <v>东关店</v>
      </c>
      <c r="D82" s="48" t="str">
        <f aca="false">科目对照收入!$B16&amp;""</f>
        <v>平安药卡</v>
      </c>
      <c r="E82" s="48" t="str">
        <f aca="false">IF(AND(ROUND($G82,2)&lt;0,科目对照收入!$L16&lt;&gt;""),科目对照收入!$L16,科目对照收入!$C16)&amp;""</f>
        <v>应收账款</v>
      </c>
      <c r="F82" s="48" t="str">
        <f aca="false">IF(AND(ROUND($G82,2)&lt;0,科目对照收入!$L16&lt;&gt;""),科目对照收入!$M16,科目对照收入!$D16)&amp;""</f>
        <v>平安</v>
      </c>
      <c r="G82" s="49" t="n">
        <f aca="false">IF(COUNTIFS(输入平台!$A:$A,助手收入!$X5,输入平台!$B:$B,科目对照收入!$B16)&gt;0,ROUND(SUMIFS(输入平台!$C:$C,输入平台!$A:$A,助手收入!$X5,输入平台!$B:$B,科目对照收入!$B16),2),ROUND(海典汇总!$AB$6,2))</f>
        <v>0</v>
      </c>
      <c r="H82" s="49" t="str">
        <f aca="false">IF(ROUND($G82,2)&gt;0,ROUND($G82,2),"")</f>
        <v/>
      </c>
      <c r="I82" s="49" t="str">
        <f aca="false">IF(ROUND($G82,2)&lt;0,-ROUND($G82,2),"")</f>
        <v/>
      </c>
      <c r="J82" s="20" t="n">
        <f aca="false">IF(ROUND($G82,2)=0,0,1)</f>
        <v>0</v>
      </c>
      <c r="K82" s="20" t="str">
        <f aca="false">IF($J82=0,"",SUM($J$68:$J82))</f>
        <v/>
      </c>
      <c r="L82" s="20" t="str">
        <f aca="false">IF($K82="","",$A82*100+$K82)</f>
        <v/>
      </c>
      <c r="M82" s="48" t="str">
        <f aca="false">参数!$B$3</f>
        <v>7月收入</v>
      </c>
    </row>
    <row r="83" customFormat="false" ht="13.5" hidden="false" customHeight="false" outlineLevel="0" collapsed="false">
      <c r="A83" s="47" t="n">
        <v>4</v>
      </c>
      <c r="B83" s="38" t="n">
        <f aca="false">助手收入!$B5</f>
        <v>2004</v>
      </c>
      <c r="C83" s="48" t="str">
        <f aca="false">助手收入!$C5</f>
        <v>东关店</v>
      </c>
      <c r="D83" s="48" t="str">
        <f aca="false">科目对照收入!$B17&amp;""</f>
        <v>储值卡</v>
      </c>
      <c r="E83" s="48" t="str">
        <f aca="false">IF(AND(ROUND($G83,2)&lt;0,科目对照收入!$L17&lt;&gt;""),科目对照收入!$L17,科目对照收入!$C17)&amp;""</f>
        <v>其他应收款</v>
      </c>
      <c r="F83" s="48" t="str">
        <f aca="false">IF(AND(ROUND($G83,2)&lt;0,科目对照收入!$L17&lt;&gt;""),科目对照收入!$M17,科目对照收入!$D17)&amp;""</f>
        <v>储值卡</v>
      </c>
      <c r="G83" s="49" t="n">
        <f aca="false">ROUND(海典汇总!$Q$6,2)</f>
        <v>8394.24</v>
      </c>
      <c r="H83" s="49" t="n">
        <f aca="false">IF(ROUND($G83,2)&gt;0,ROUND($G83,2),"")</f>
        <v>8394.24</v>
      </c>
      <c r="I83" s="49" t="str">
        <f aca="false">IF(ROUND($G83,2)&lt;0,-ROUND($G83,2),"")</f>
        <v/>
      </c>
      <c r="J83" s="20" t="n">
        <f aca="false">IF(ROUND($G83,2)=0,0,1)</f>
        <v>1</v>
      </c>
      <c r="K83" s="20" t="n">
        <f aca="false">IF($J83=0,"",SUM($J$68:$J83))</f>
        <v>7</v>
      </c>
      <c r="L83" s="20" t="n">
        <f aca="false">IF($K83="","",$A83*100+$K83)</f>
        <v>407</v>
      </c>
      <c r="M83" s="48" t="str">
        <f aca="false">参数!$B$3</f>
        <v>7月收入</v>
      </c>
    </row>
    <row r="84" customFormat="false" ht="13.5" hidden="false" customHeight="false" outlineLevel="0" collapsed="false">
      <c r="A84" s="47" t="n">
        <v>4</v>
      </c>
      <c r="B84" s="38" t="n">
        <f aca="false">助手收入!$B5</f>
        <v>2004</v>
      </c>
      <c r="C84" s="48" t="str">
        <f aca="false">助手收入!$C5</f>
        <v>东关店</v>
      </c>
      <c r="D84" s="48" t="str">
        <f aca="false">科目对照收入!$B18&amp;""</f>
        <v>会员零钱包</v>
      </c>
      <c r="E84" s="48" t="str">
        <f aca="false">IF(AND(ROUND($G84,2)&lt;0,科目对照收入!$L18&lt;&gt;""),科目对照收入!$L18,科目对照收入!$C18)&amp;""</f>
        <v>其他应收款</v>
      </c>
      <c r="F84" s="48" t="str">
        <f aca="false">IF(AND(ROUND($G84,2)&lt;0,科目对照收入!$L18&lt;&gt;""),科目对照收入!$M18,科目对照收入!$D18)&amp;""</f>
        <v>会员零钱包</v>
      </c>
      <c r="G84" s="49" t="n">
        <f aca="false">ROUND(海典汇总!$P$6,2)</f>
        <v>0</v>
      </c>
      <c r="H84" s="49" t="str">
        <f aca="false">IF(ROUND($G84,2)&gt;0,ROUND($G84,2),"")</f>
        <v/>
      </c>
      <c r="I84" s="49" t="str">
        <f aca="false">IF(ROUND($G84,2)&lt;0,-ROUND($G84,2),"")</f>
        <v/>
      </c>
      <c r="J84" s="20" t="n">
        <f aca="false">IF(ROUND($G84,2)=0,0,1)</f>
        <v>0</v>
      </c>
      <c r="K84" s="20" t="str">
        <f aca="false">IF($J84=0,"",SUM($J$68:$J84))</f>
        <v/>
      </c>
      <c r="L84" s="20" t="str">
        <f aca="false">IF($K84="","",$A84*100+$K84)</f>
        <v/>
      </c>
      <c r="M84" s="48" t="str">
        <f aca="false">参数!$B$3</f>
        <v>7月收入</v>
      </c>
    </row>
    <row r="85" customFormat="false" ht="13.5" hidden="false" customHeight="false" outlineLevel="0" collapsed="false">
      <c r="A85" s="47" t="n">
        <v>4</v>
      </c>
      <c r="B85" s="38" t="n">
        <f aca="false">助手收入!$B5</f>
        <v>2004</v>
      </c>
      <c r="C85" s="48" t="str">
        <f aca="false">助手收入!$C5</f>
        <v>东关店</v>
      </c>
      <c r="D85" s="48" t="str">
        <f aca="false">科目对照收入!$B19&amp;""</f>
        <v>促销费</v>
      </c>
      <c r="E85" s="48" t="str">
        <f aca="false">IF(AND(ROUND($G85,2)&lt;0,科目对照收入!$L19&lt;&gt;""),科目对照收入!$L19,科目对照收入!$C19)&amp;""</f>
        <v>销售费用</v>
      </c>
      <c r="F85" s="48" t="str">
        <f aca="false">IF(AND(ROUND($G85,2)&lt;0,科目对照收入!$L19&lt;&gt;""),科目对照收入!$M19,科目对照收入!$D19)&amp;""</f>
        <v>促销费</v>
      </c>
      <c r="G85" s="49" t="n">
        <f aca="false">ROUND(海典汇总!$U$6+海典汇总!$T$6+海典汇总!$S$6,2)</f>
        <v>968.18</v>
      </c>
      <c r="H85" s="49" t="n">
        <f aca="false">IF(ROUND($G85,2)&gt;0,ROUND($G85,2),"")</f>
        <v>968.18</v>
      </c>
      <c r="I85" s="49" t="str">
        <f aca="false">IF(ROUND($G85,2)&lt;0,-ROUND($G85,2),"")</f>
        <v/>
      </c>
      <c r="J85" s="20" t="n">
        <f aca="false">IF(ROUND($G85,2)=0,0,1)</f>
        <v>1</v>
      </c>
      <c r="K85" s="20" t="n">
        <f aca="false">IF($J85=0,"",SUM($J$68:$J85))</f>
        <v>8</v>
      </c>
      <c r="L85" s="20" t="n">
        <f aca="false">IF($K85="","",$A85*100+$K85)</f>
        <v>408</v>
      </c>
      <c r="M85" s="48" t="str">
        <f aca="false">参数!$B$3</f>
        <v>7月收入</v>
      </c>
    </row>
    <row r="86" customFormat="false" ht="13.5" hidden="false" customHeight="false" outlineLevel="0" collapsed="false">
      <c r="A86" s="47" t="n">
        <v>4</v>
      </c>
      <c r="B86" s="38" t="n">
        <f aca="false">助手收入!$B5</f>
        <v>2004</v>
      </c>
      <c r="C86" s="48" t="str">
        <f aca="false">助手收入!$C5</f>
        <v>东关店</v>
      </c>
      <c r="D86" s="48" t="str">
        <f aca="false">科目对照收入!$B20&amp;""</f>
        <v>积分</v>
      </c>
      <c r="E86" s="48" t="str">
        <f aca="false">IF(AND(ROUND($G86,2)&lt;0,科目对照收入!$L20&lt;&gt;""),科目对照收入!$L20,科目对照收入!$C20)&amp;""</f>
        <v>销售费用</v>
      </c>
      <c r="F86" s="48" t="str">
        <f aca="false">IF(AND(ROUND($G86,2)&lt;0,科目对照收入!$L20&lt;&gt;""),科目对照收入!$M20,科目对照收入!$D20)&amp;""</f>
        <v>积分</v>
      </c>
      <c r="G86" s="49" t="n">
        <f aca="false">ROUND(海典汇总!$R$6,2)</f>
        <v>0</v>
      </c>
      <c r="H86" s="49" t="str">
        <f aca="false">IF(ROUND($G86,2)&gt;0,ROUND($G86,2),"")</f>
        <v/>
      </c>
      <c r="I86" s="49" t="str">
        <f aca="false">IF(ROUND($G86,2)&lt;0,-ROUND($G86,2),"")</f>
        <v/>
      </c>
      <c r="J86" s="20" t="n">
        <f aca="false">IF(ROUND($G86,2)=0,0,1)</f>
        <v>0</v>
      </c>
      <c r="K86" s="20" t="str">
        <f aca="false">IF($J86=0,"",SUM($J$68:$J86))</f>
        <v/>
      </c>
      <c r="L86" s="20" t="str">
        <f aca="false">IF($K86="","",$A86*100+$K86)</f>
        <v/>
      </c>
      <c r="M86" s="48" t="str">
        <f aca="false">参数!$B$3</f>
        <v>7月收入</v>
      </c>
    </row>
    <row r="87" customFormat="false" ht="13.5" hidden="false" customHeight="false" outlineLevel="0" collapsed="false">
      <c r="A87" s="47" t="n">
        <v>4</v>
      </c>
      <c r="B87" s="38" t="n">
        <f aca="false">助手收入!$B5</f>
        <v>2004</v>
      </c>
      <c r="C87" s="48" t="str">
        <f aca="false">助手收入!$C5</f>
        <v>东关店</v>
      </c>
      <c r="D87" s="48" t="str">
        <f aca="false">科目对照收入!$B21&amp;""</f>
        <v>手续费</v>
      </c>
      <c r="E87" s="48" t="str">
        <f aca="false">IF(AND(ROUND($G87,2)&lt;0,科目对照收入!$L21&lt;&gt;""),科目对照收入!$L21,科目对照收入!$C21)&amp;""</f>
        <v>财务费用</v>
      </c>
      <c r="F87" s="48" t="str">
        <f aca="false">IF(AND(ROUND($G87,2)&lt;0,科目对照收入!$L21&lt;&gt;""),科目对照收入!$M21,科目对照收入!$D21)&amp;""</f>
        <v>手续费</v>
      </c>
      <c r="G87" s="49" t="n">
        <f aca="false">ROUND(SUMIFS(输入聚合!$D:$D,输入聚合!$A:$A,助手收入!$X5),2)</f>
        <v>13.51</v>
      </c>
      <c r="H87" s="49" t="n">
        <f aca="false">IF(ROUND($G87,2)&gt;0,ROUND($G87,2),"")</f>
        <v>13.51</v>
      </c>
      <c r="I87" s="49" t="str">
        <f aca="false">IF(ROUND($G87,2)&lt;0,-ROUND($G87,2),"")</f>
        <v/>
      </c>
      <c r="J87" s="20" t="n">
        <f aca="false">IF(ROUND($G87,2)=0,0,1)</f>
        <v>1</v>
      </c>
      <c r="K87" s="20" t="n">
        <f aca="false">IF($J87=0,"",SUM($J$68:$J87))</f>
        <v>9</v>
      </c>
      <c r="L87" s="20" t="n">
        <f aca="false">IF($K87="","",$A87*100+$K87)</f>
        <v>409</v>
      </c>
      <c r="M87" s="48" t="str">
        <f aca="false">参数!$B$3</f>
        <v>7月收入</v>
      </c>
    </row>
    <row r="88" customFormat="false" ht="13.5" hidden="false" customHeight="false" outlineLevel="0" collapsed="false">
      <c r="A88" s="47" t="n">
        <v>4</v>
      </c>
      <c r="B88" s="38" t="n">
        <f aca="false">助手收入!$B5</f>
        <v>2004</v>
      </c>
      <c r="C88" s="48" t="str">
        <f aca="false">助手收入!$C5</f>
        <v>东关店</v>
      </c>
      <c r="D88" s="48" t="str">
        <f aca="false">科目对照收入!$B22&amp;""</f>
        <v>主营业务收入</v>
      </c>
      <c r="E88" s="48" t="str">
        <f aca="false">IF(AND(ROUND($G88,2)&lt;0,科目对照收入!$L22&lt;&gt;""),科目对照收入!$L22,科目对照收入!$C22)&amp;""</f>
        <v>主营业务收入</v>
      </c>
      <c r="F88" s="48" t="str">
        <f aca="false">IF(AND(ROUND($G88,2)&lt;0,科目对照收入!$L22&lt;&gt;""),科目对照收入!$M22,科目对照收入!$D22)&amp;""</f>
        <v/>
      </c>
      <c r="G88" s="49" t="n">
        <f aca="false">-ROUND(助手收入!$G5,2)</f>
        <v>-108041.04</v>
      </c>
      <c r="H88" s="49" t="str">
        <f aca="false">IF(ROUND($G88,2)&gt;0,ROUND($G88,2),"")</f>
        <v/>
      </c>
      <c r="I88" s="49" t="n">
        <f aca="false">IF(ROUND($G88,2)&lt;0,-ROUND($G88,2),"")</f>
        <v>108041.04</v>
      </c>
      <c r="J88" s="20" t="n">
        <f aca="false">IF(ROUND($G88,2)=0,0,1)</f>
        <v>1</v>
      </c>
      <c r="K88" s="20" t="n">
        <f aca="false">IF($J88=0,"",SUM($J$68:$J88))</f>
        <v>10</v>
      </c>
      <c r="L88" s="20" t="n">
        <f aca="false">IF($K88="","",$A88*100+$K88)</f>
        <v>410</v>
      </c>
      <c r="M88" s="48" t="str">
        <f aca="false">参数!$B$3</f>
        <v>7月收入</v>
      </c>
    </row>
    <row r="89" customFormat="false" ht="13.5" hidden="false" customHeight="false" outlineLevel="0" collapsed="false">
      <c r="A89" s="47" t="n">
        <v>4</v>
      </c>
      <c r="B89" s="38" t="n">
        <f aca="false">助手收入!$B5</f>
        <v>2004</v>
      </c>
      <c r="C89" s="48" t="str">
        <f aca="false">助手收入!$C5</f>
        <v>东关店</v>
      </c>
      <c r="D89" s="48" t="str">
        <f aca="false">科目对照收入!$B23&amp;""</f>
        <v>营业外收入</v>
      </c>
      <c r="E89" s="48" t="str">
        <f aca="false">IF(AND(ROUND($G89,2)&lt;0,科目对照收入!$L23&lt;&gt;""),科目对照收入!$L23,科目对照收入!$C23)&amp;""</f>
        <v>营业外收入</v>
      </c>
      <c r="F89" s="48" t="str">
        <f aca="false">IF(AND(ROUND($G89,2)&lt;0,科目对照收入!$L23&lt;&gt;""),科目对照收入!$M23,科目对照收入!$D23)&amp;""</f>
        <v/>
      </c>
      <c r="G89" s="49" t="n">
        <f aca="false">-ROUND(助手收入!$J5,2)</f>
        <v>-0</v>
      </c>
      <c r="H89" s="49" t="str">
        <f aca="false">IF(ROUND($G89,2)&gt;0,ROUND($G89,2),"")</f>
        <v/>
      </c>
      <c r="I89" s="49" t="str">
        <f aca="false">IF(ROUND($G89,2)&lt;0,-ROUND($G89,2),"")</f>
        <v/>
      </c>
      <c r="J89" s="20" t="n">
        <f aca="false">IF(ROUND($G89,2)=0,0,1)</f>
        <v>0</v>
      </c>
      <c r="K89" s="20" t="str">
        <f aca="false">IF($J89=0,"",SUM($J$68:$J89))</f>
        <v/>
      </c>
      <c r="L89" s="20" t="str">
        <f aca="false">IF($K89="","",$A89*100+$K89)</f>
        <v/>
      </c>
      <c r="M89" s="48" t="str">
        <f aca="false">参数!$B$3</f>
        <v>7月收入</v>
      </c>
    </row>
    <row r="90" customFormat="false" ht="13.5" hidden="false" customHeight="false" outlineLevel="0" collapsed="false">
      <c r="A90" s="47" t="n">
        <v>5</v>
      </c>
      <c r="B90" s="38" t="n">
        <f aca="false">助手收入!$B6</f>
        <v>2005</v>
      </c>
      <c r="C90" s="48" t="str">
        <f aca="false">助手收入!$C6</f>
        <v>象城街店</v>
      </c>
      <c r="D90" s="48" t="str">
        <f aca="false">科目对照收入!$B2&amp;""</f>
        <v>库存现金</v>
      </c>
      <c r="E90" s="48" t="str">
        <f aca="false">IF(AND(ROUND($G90,2)&lt;0,科目对照收入!$L2&lt;&gt;""),科目对照收入!$L2,科目对照收入!$C2)&amp;""</f>
        <v>库存现金</v>
      </c>
      <c r="F90" s="48" t="str">
        <f aca="false">IF(AND(ROUND($G90,2)&lt;0,科目对照收入!$L2&lt;&gt;""),科目对照收入!$M2,科目对照收入!$D2)&amp;""</f>
        <v/>
      </c>
      <c r="G90" s="49" t="n">
        <f aca="false">助手收入!$I6</f>
        <v>63058.21</v>
      </c>
      <c r="H90" s="49" t="n">
        <f aca="false">IF(ROUND($G90,2)&gt;0,ROUND($G90,2),"")</f>
        <v>63058.21</v>
      </c>
      <c r="I90" s="49" t="str">
        <f aca="false">IF(ROUND($G90,2)&lt;0,-ROUND($G90,2),"")</f>
        <v/>
      </c>
      <c r="J90" s="20" t="n">
        <f aca="false">IF(ROUND($G90,2)=0,0,1)</f>
        <v>1</v>
      </c>
      <c r="K90" s="20" t="n">
        <f aca="false">IF($J90=0,"",SUM($J$90:$J90))</f>
        <v>1</v>
      </c>
      <c r="L90" s="20" t="n">
        <f aca="false">IF($K90="","",$A90*100+$K90)</f>
        <v>501</v>
      </c>
      <c r="M90" s="48" t="str">
        <f aca="false">参数!$B$3</f>
        <v>7月收入</v>
      </c>
    </row>
    <row r="91" customFormat="false" ht="13.5" hidden="false" customHeight="false" outlineLevel="0" collapsed="false">
      <c r="A91" s="47" t="n">
        <v>5</v>
      </c>
      <c r="B91" s="38" t="n">
        <f aca="false">助手收入!$B6</f>
        <v>2005</v>
      </c>
      <c r="C91" s="48" t="str">
        <f aca="false">助手收入!$C6</f>
        <v>象城街店</v>
      </c>
      <c r="D91" s="48" t="str">
        <f aca="false">科目对照收入!$B3&amp;""</f>
        <v>聚合支付</v>
      </c>
      <c r="E91" s="48" t="str">
        <f aca="false">IF(AND(ROUND($G91,2)&lt;0,科目对照收入!$L3&lt;&gt;""),科目对照收入!$L3,科目对照收入!$C3)&amp;""</f>
        <v>应收账款</v>
      </c>
      <c r="F91" s="48" t="str">
        <f aca="false">IF(AND(ROUND($G91,2)&lt;0,科目对照收入!$L3&lt;&gt;""),科目对照收入!$M3,科目对照收入!$D3)&amp;""</f>
        <v>聚合支付</v>
      </c>
      <c r="G91" s="49" t="n">
        <f aca="false">ROUND(SUMIFS(输入聚合!$C:$C,输入聚合!$A:$A,助手收入!$X6)-SUMIFS(输入聚合!$D:$D,输入聚合!$A:$A,助手收入!$X6),2)</f>
        <v>17988.2</v>
      </c>
      <c r="H91" s="49" t="n">
        <f aca="false">IF(ROUND($G91,2)&gt;0,ROUND($G91,2),"")</f>
        <v>17988.2</v>
      </c>
      <c r="I91" s="49" t="str">
        <f aca="false">IF(ROUND($G91,2)&lt;0,-ROUND($G91,2),"")</f>
        <v/>
      </c>
      <c r="J91" s="20" t="n">
        <f aca="false">IF(ROUND($G91,2)=0,0,1)</f>
        <v>1</v>
      </c>
      <c r="K91" s="20" t="n">
        <f aca="false">IF($J91=0,"",SUM($J$90:$J91))</f>
        <v>2</v>
      </c>
      <c r="L91" s="20" t="n">
        <f aca="false">IF($K91="","",$A91*100+$K91)</f>
        <v>502</v>
      </c>
      <c r="M91" s="48" t="str">
        <f aca="false">参数!$B$3</f>
        <v>7月收入</v>
      </c>
    </row>
    <row r="92" customFormat="false" ht="13.5" hidden="false" customHeight="false" outlineLevel="0" collapsed="false">
      <c r="A92" s="47" t="n">
        <v>5</v>
      </c>
      <c r="B92" s="38" t="n">
        <f aca="false">助手收入!$B6</f>
        <v>2005</v>
      </c>
      <c r="C92" s="48" t="str">
        <f aca="false">助手收入!$C6</f>
        <v>象城街店</v>
      </c>
      <c r="D92" s="48" t="str">
        <f aca="false">科目对照收入!$B4&amp;""</f>
        <v>医保</v>
      </c>
      <c r="E92" s="48" t="str">
        <f aca="false">IF(AND(ROUND($G92,2)&lt;0,科目对照收入!$L4&lt;&gt;""),科目对照收入!$L4,科目对照收入!$C4)&amp;""</f>
        <v>应收账款</v>
      </c>
      <c r="F92" s="48" t="str">
        <f aca="false">IF(AND(ROUND($G92,2)&lt;0,科目对照收入!$L4&lt;&gt;""),科目对照收入!$M4,科目对照收入!$D4)&amp;""</f>
        <v>医保</v>
      </c>
      <c r="G92" s="49" t="n">
        <f aca="false">IF(COUNTIFS(输入平台!$A:$A,助手收入!$X6,输入平台!$B:$B,科目对照收入!$B4)&gt;0,ROUND(SUMIFS(输入平台!$C:$C,输入平台!$A:$A,助手收入!$X6,输入平台!$B:$B,科目对照收入!$B4),2),ROUND(海典汇总!$F$7+海典汇总!$G$7,2))</f>
        <v>28845.65</v>
      </c>
      <c r="H92" s="49" t="n">
        <f aca="false">IF(ROUND($G92,2)&gt;0,ROUND($G92,2),"")</f>
        <v>28845.65</v>
      </c>
      <c r="I92" s="49" t="str">
        <f aca="false">IF(ROUND($G92,2)&lt;0,-ROUND($G92,2),"")</f>
        <v/>
      </c>
      <c r="J92" s="20" t="n">
        <f aca="false">IF(ROUND($G92,2)=0,0,1)</f>
        <v>1</v>
      </c>
      <c r="K92" s="20" t="n">
        <f aca="false">IF($J92=0,"",SUM($J$90:$J92))</f>
        <v>3</v>
      </c>
      <c r="L92" s="20" t="n">
        <f aca="false">IF($K92="","",$A92*100+$K92)</f>
        <v>503</v>
      </c>
      <c r="M92" s="48" t="str">
        <f aca="false">参数!$B$3</f>
        <v>7月收入</v>
      </c>
    </row>
    <row r="93" customFormat="false" ht="13.5" hidden="false" customHeight="false" outlineLevel="0" collapsed="false">
      <c r="A93" s="47" t="n">
        <v>5</v>
      </c>
      <c r="B93" s="38" t="n">
        <f aca="false">助手收入!$B6</f>
        <v>2005</v>
      </c>
      <c r="C93" s="48" t="str">
        <f aca="false">助手收入!$C6</f>
        <v>象城街店</v>
      </c>
      <c r="D93" s="48" t="str">
        <f aca="false">科目对照收入!$B5&amp;""</f>
        <v>健e卡</v>
      </c>
      <c r="E93" s="48" t="str">
        <f aca="false">IF(AND(ROUND($G93,2)&lt;0,科目对照收入!$L5&lt;&gt;""),科目对照收入!$L5,科目对照收入!$C5)&amp;""</f>
        <v>应收账款</v>
      </c>
      <c r="F93" s="48" t="str">
        <f aca="false">IF(AND(ROUND($G93,2)&lt;0,科目对照收入!$L5&lt;&gt;""),科目对照收入!$M5,科目对照收入!$D5)&amp;""</f>
        <v>健e卡</v>
      </c>
      <c r="G93" s="49" t="n">
        <f aca="false">IF(COUNTIFS(输入平台!$A:$A,助手收入!$X6,输入平台!$B:$B,科目对照收入!$B5)&gt;0,ROUND(SUMIFS(输入平台!$C:$C,输入平台!$A:$A,助手收入!$X6,输入平台!$B:$B,科目对照收入!$B5),2),ROUND(海典汇总!$H$7,2))</f>
        <v>0</v>
      </c>
      <c r="H93" s="49" t="str">
        <f aca="false">IF(ROUND($G93,2)&gt;0,ROUND($G93,2),"")</f>
        <v/>
      </c>
      <c r="I93" s="49" t="str">
        <f aca="false">IF(ROUND($G93,2)&lt;0,-ROUND($G93,2),"")</f>
        <v/>
      </c>
      <c r="J93" s="20" t="n">
        <f aca="false">IF(ROUND($G93,2)=0,0,1)</f>
        <v>0</v>
      </c>
      <c r="K93" s="20" t="str">
        <f aca="false">IF($J93=0,"",SUM($J$90:$J93))</f>
        <v/>
      </c>
      <c r="L93" s="20" t="str">
        <f aca="false">IF($K93="","",$A93*100+$K93)</f>
        <v/>
      </c>
      <c r="M93" s="48" t="str">
        <f aca="false">参数!$B$3</f>
        <v>7月收入</v>
      </c>
    </row>
    <row r="94" customFormat="false" ht="13.5" hidden="false" customHeight="false" outlineLevel="0" collapsed="false">
      <c r="A94" s="47" t="n">
        <v>5</v>
      </c>
      <c r="B94" s="38" t="n">
        <f aca="false">助手收入!$B6</f>
        <v>2005</v>
      </c>
      <c r="C94" s="48" t="str">
        <f aca="false">助手收入!$C6</f>
        <v>象城街店</v>
      </c>
      <c r="D94" s="48" t="str">
        <f aca="false">科目对照收入!$B6&amp;""</f>
        <v>医卡通</v>
      </c>
      <c r="E94" s="48" t="str">
        <f aca="false">IF(AND(ROUND($G94,2)&lt;0,科目对照收入!$L6&lt;&gt;""),科目对照收入!$L6,科目对照收入!$C6)&amp;""</f>
        <v>应收账款</v>
      </c>
      <c r="F94" s="48" t="str">
        <f aca="false">IF(AND(ROUND($G94,2)&lt;0,科目对照收入!$L6&lt;&gt;""),科目对照收入!$M6,科目对照收入!$D6)&amp;""</f>
        <v>医卡通</v>
      </c>
      <c r="G94" s="49" t="n">
        <f aca="false">IF(COUNTIFS(输入平台!$A:$A,助手收入!$X6,输入平台!$B:$B,科目对照收入!$B6)&gt;0,ROUND(SUMIFS(输入平台!$C:$C,输入平台!$A:$A,助手收入!$X6,输入平台!$B:$B,科目对照收入!$B6),2),ROUND(海典汇总!$I$7,2))</f>
        <v>2583.12</v>
      </c>
      <c r="H94" s="49" t="n">
        <f aca="false">IF(ROUND($G94,2)&gt;0,ROUND($G94,2),"")</f>
        <v>2583.12</v>
      </c>
      <c r="I94" s="49" t="str">
        <f aca="false">IF(ROUND($G94,2)&lt;0,-ROUND($G94,2),"")</f>
        <v/>
      </c>
      <c r="J94" s="20" t="n">
        <f aca="false">IF(ROUND($G94,2)=0,0,1)</f>
        <v>1</v>
      </c>
      <c r="K94" s="20" t="n">
        <f aca="false">IF($J94=0,"",SUM($J$90:$J94))</f>
        <v>4</v>
      </c>
      <c r="L94" s="20" t="n">
        <f aca="false">IF($K94="","",$A94*100+$K94)</f>
        <v>504</v>
      </c>
      <c r="M94" s="48" t="str">
        <f aca="false">参数!$B$3</f>
        <v>7月收入</v>
      </c>
    </row>
    <row r="95" customFormat="false" ht="13.5" hidden="false" customHeight="false" outlineLevel="0" collapsed="false">
      <c r="A95" s="47" t="n">
        <v>5</v>
      </c>
      <c r="B95" s="38" t="n">
        <f aca="false">助手收入!$B6</f>
        <v>2005</v>
      </c>
      <c r="C95" s="48" t="str">
        <f aca="false">助手收入!$C6</f>
        <v>象城街店</v>
      </c>
      <c r="D95" s="48" t="str">
        <f aca="false">科目对照收入!$B7&amp;""</f>
        <v>企健网</v>
      </c>
      <c r="E95" s="48" t="str">
        <f aca="false">IF(AND(ROUND($G95,2)&lt;0,科目对照收入!$L7&lt;&gt;""),科目对照收入!$L7,科目对照收入!$C7)&amp;""</f>
        <v>应收账款</v>
      </c>
      <c r="F95" s="48" t="str">
        <f aca="false">IF(AND(ROUND($G95,2)&lt;0,科目对照收入!$L7&lt;&gt;""),科目对照收入!$M7,科目对照收入!$D7)&amp;""</f>
        <v>企健网</v>
      </c>
      <c r="G95" s="49" t="n">
        <f aca="false">IF(COUNTIFS(输入平台!$A:$A,助手收入!$X6,输入平台!$B:$B,科目对照收入!$B7)&gt;0,ROUND(SUMIFS(输入平台!$C:$C,输入平台!$A:$A,助手收入!$X6,输入平台!$B:$B,科目对照收入!$B7),2),ROUND(海典汇总!$J$7,2))</f>
        <v>0</v>
      </c>
      <c r="H95" s="49" t="str">
        <f aca="false">IF(ROUND($G95,2)&gt;0,ROUND($G95,2),"")</f>
        <v/>
      </c>
      <c r="I95" s="49" t="str">
        <f aca="false">IF(ROUND($G95,2)&lt;0,-ROUND($G95,2),"")</f>
        <v/>
      </c>
      <c r="J95" s="20" t="n">
        <f aca="false">IF(ROUND($G95,2)=0,0,1)</f>
        <v>0</v>
      </c>
      <c r="K95" s="20" t="str">
        <f aca="false">IF($J95=0,"",SUM($J$90:$J95))</f>
        <v/>
      </c>
      <c r="L95" s="20" t="str">
        <f aca="false">IF($K95="","",$A95*100+$K95)</f>
        <v/>
      </c>
      <c r="M95" s="48" t="str">
        <f aca="false">参数!$B$3</f>
        <v>7月收入</v>
      </c>
    </row>
    <row r="96" customFormat="false" ht="13.5" hidden="false" customHeight="false" outlineLevel="0" collapsed="false">
      <c r="A96" s="47" t="n">
        <v>5</v>
      </c>
      <c r="B96" s="38" t="n">
        <f aca="false">助手收入!$B6</f>
        <v>2005</v>
      </c>
      <c r="C96" s="48" t="str">
        <f aca="false">助手收入!$C6</f>
        <v>象城街店</v>
      </c>
      <c r="D96" s="48" t="str">
        <f aca="false">科目对照收入!$B8&amp;""</f>
        <v>亲情卡</v>
      </c>
      <c r="E96" s="48" t="str">
        <f aca="false">IF(AND(ROUND($G96,2)&lt;0,科目对照收入!$L8&lt;&gt;""),科目对照收入!$L8,科目对照收入!$C8)&amp;""</f>
        <v>应收账款</v>
      </c>
      <c r="F96" s="48" t="str">
        <f aca="false">IF(AND(ROUND($G96,2)&lt;0,科目对照收入!$L8&lt;&gt;""),科目对照收入!$M8,科目对照收入!$D8)&amp;""</f>
        <v>亲情卡</v>
      </c>
      <c r="G96" s="49" t="n">
        <f aca="false">IF(COUNTIFS(输入平台!$A:$A,助手收入!$X6,输入平台!$B:$B,科目对照收入!$B8)&gt;0,ROUND(SUMIFS(输入平台!$C:$C,输入平台!$A:$A,助手收入!$X6,输入平台!$B:$B,科目对照收入!$B8),2),ROUND(海典汇总!$Z$7,2))</f>
        <v>0</v>
      </c>
      <c r="H96" s="49" t="str">
        <f aca="false">IF(ROUND($G96,2)&gt;0,ROUND($G96,2),"")</f>
        <v/>
      </c>
      <c r="I96" s="49" t="str">
        <f aca="false">IF(ROUND($G96,2)&lt;0,-ROUND($G96,2),"")</f>
        <v/>
      </c>
      <c r="J96" s="20" t="n">
        <f aca="false">IF(ROUND($G96,2)=0,0,1)</f>
        <v>0</v>
      </c>
      <c r="K96" s="20" t="str">
        <f aca="false">IF($J96=0,"",SUM($J$90:$J96))</f>
        <v/>
      </c>
      <c r="L96" s="20" t="str">
        <f aca="false">IF($K96="","",$A96*100+$K96)</f>
        <v/>
      </c>
      <c r="M96" s="48" t="str">
        <f aca="false">参数!$B$3</f>
        <v>7月收入</v>
      </c>
    </row>
    <row r="97" customFormat="false" ht="13.5" hidden="false" customHeight="false" outlineLevel="0" collapsed="false">
      <c r="A97" s="47" t="n">
        <v>5</v>
      </c>
      <c r="B97" s="38" t="n">
        <f aca="false">助手收入!$B6</f>
        <v>2005</v>
      </c>
      <c r="C97" s="48" t="str">
        <f aca="false">助手收入!$C6</f>
        <v>象城街店</v>
      </c>
      <c r="D97" s="48" t="str">
        <f aca="false">科目对照收入!$B9&amp;""</f>
        <v>24小时</v>
      </c>
      <c r="E97" s="48" t="str">
        <f aca="false">IF(AND(ROUND($G97,2)&lt;0,科目对照收入!$L9&lt;&gt;""),科目对照收入!$L9,科目对照收入!$C9)&amp;""</f>
        <v>应收账款</v>
      </c>
      <c r="F97" s="48" t="str">
        <f aca="false">IF(AND(ROUND($G97,2)&lt;0,科目对照收入!$L9&lt;&gt;""),科目对照收入!$M9,科目对照收入!$D9)&amp;""</f>
        <v>24小时</v>
      </c>
      <c r="G97" s="49" t="n">
        <f aca="false">IF(COUNTIFS(输入平台!$A:$A,助手收入!$X6,输入平台!$B:$B,科目对照收入!$B9)&gt;0,ROUND(SUMIFS(输入平台!$C:$C,输入平台!$A:$A,助手收入!$X6,输入平台!$B:$B,科目对照收入!$B9),2),ROUND(海典汇总!$K$7,2))</f>
        <v>0</v>
      </c>
      <c r="H97" s="49" t="str">
        <f aca="false">IF(ROUND($G97,2)&gt;0,ROUND($G97,2),"")</f>
        <v/>
      </c>
      <c r="I97" s="49" t="str">
        <f aca="false">IF(ROUND($G97,2)&lt;0,-ROUND($G97,2),"")</f>
        <v/>
      </c>
      <c r="J97" s="20" t="n">
        <f aca="false">IF(ROUND($G97,2)=0,0,1)</f>
        <v>0</v>
      </c>
      <c r="K97" s="20" t="str">
        <f aca="false">IF($J97=0,"",SUM($J$90:$J97))</f>
        <v/>
      </c>
      <c r="L97" s="20" t="str">
        <f aca="false">IF($K97="","",$A97*100+$K97)</f>
        <v/>
      </c>
      <c r="M97" s="48" t="str">
        <f aca="false">参数!$B$3</f>
        <v>7月收入</v>
      </c>
    </row>
    <row r="98" customFormat="false" ht="13.5" hidden="false" customHeight="false" outlineLevel="0" collapsed="false">
      <c r="A98" s="47" t="n">
        <v>5</v>
      </c>
      <c r="B98" s="38" t="n">
        <f aca="false">助手收入!$B6</f>
        <v>2005</v>
      </c>
      <c r="C98" s="48" t="str">
        <f aca="false">助手收入!$C6</f>
        <v>象城街店</v>
      </c>
      <c r="D98" s="48" t="str">
        <f aca="false">科目对照收入!$B10&amp;""</f>
        <v>美团</v>
      </c>
      <c r="E98" s="48" t="str">
        <f aca="false">IF(AND(ROUND($G98,2)&lt;0,科目对照收入!$L10&lt;&gt;""),科目对照收入!$L10,科目对照收入!$C10)&amp;""</f>
        <v>应收账款</v>
      </c>
      <c r="F98" s="48" t="str">
        <f aca="false">IF(AND(ROUND($G98,2)&lt;0,科目对照收入!$L10&lt;&gt;""),科目对照收入!$M10,科目对照收入!$D10)&amp;""</f>
        <v>美团</v>
      </c>
      <c r="G98" s="49" t="n">
        <f aca="false">IF(COUNTIFS(输入平台!$A:$A,助手收入!$X6,输入平台!$B:$B,科目对照收入!$B10)&gt;0,ROUND(SUMIFS(输入平台!$C:$C,输入平台!$A:$A,助手收入!$X6,输入平台!$B:$B,科目对照收入!$B10),2),ROUND(海典汇总!$M$7,2))</f>
        <v>192.6</v>
      </c>
      <c r="H98" s="49" t="n">
        <f aca="false">IF(ROUND($G98,2)&gt;0,ROUND($G98,2),"")</f>
        <v>192.6</v>
      </c>
      <c r="I98" s="49" t="str">
        <f aca="false">IF(ROUND($G98,2)&lt;0,-ROUND($G98,2),"")</f>
        <v/>
      </c>
      <c r="J98" s="20" t="n">
        <f aca="false">IF(ROUND($G98,2)=0,0,1)</f>
        <v>1</v>
      </c>
      <c r="K98" s="20" t="n">
        <f aca="false">IF($J98=0,"",SUM($J$90:$J98))</f>
        <v>5</v>
      </c>
      <c r="L98" s="20" t="n">
        <f aca="false">IF($K98="","",$A98*100+$K98)</f>
        <v>505</v>
      </c>
      <c r="M98" s="48" t="str">
        <f aca="false">参数!$B$3</f>
        <v>7月收入</v>
      </c>
    </row>
    <row r="99" customFormat="false" ht="13.5" hidden="false" customHeight="false" outlineLevel="0" collapsed="false">
      <c r="A99" s="47" t="n">
        <v>5</v>
      </c>
      <c r="B99" s="38" t="n">
        <f aca="false">助手收入!$B6</f>
        <v>2005</v>
      </c>
      <c r="C99" s="48" t="str">
        <f aca="false">助手收入!$C6</f>
        <v>象城街店</v>
      </c>
      <c r="D99" s="48" t="str">
        <f aca="false">科目对照收入!$B11&amp;""</f>
        <v>饿了么</v>
      </c>
      <c r="E99" s="48" t="str">
        <f aca="false">IF(AND(ROUND($G99,2)&lt;0,科目对照收入!$L11&lt;&gt;""),科目对照收入!$L11,科目对照收入!$C11)&amp;""</f>
        <v>应收账款</v>
      </c>
      <c r="F99" s="48" t="str">
        <f aca="false">IF(AND(ROUND($G99,2)&lt;0,科目对照收入!$L11&lt;&gt;""),科目对照收入!$M11,科目对照收入!$D11)&amp;""</f>
        <v>饿了么</v>
      </c>
      <c r="G99" s="49" t="n">
        <f aca="false">IF(COUNTIFS(输入平台!$A:$A,助手收入!$X6,输入平台!$B:$B,科目对照收入!$B11)&gt;0,ROUND(SUMIFS(输入平台!$C:$C,输入平台!$A:$A,助手收入!$X6,输入平台!$B:$B,科目对照收入!$B11),2),ROUND(海典汇总!$N$7,2))</f>
        <v>0</v>
      </c>
      <c r="H99" s="49" t="str">
        <f aca="false">IF(ROUND($G99,2)&gt;0,ROUND($G99,2),"")</f>
        <v/>
      </c>
      <c r="I99" s="49" t="str">
        <f aca="false">IF(ROUND($G99,2)&lt;0,-ROUND($G99,2),"")</f>
        <v/>
      </c>
      <c r="J99" s="20" t="n">
        <f aca="false">IF(ROUND($G99,2)=0,0,1)</f>
        <v>0</v>
      </c>
      <c r="K99" s="20" t="str">
        <f aca="false">IF($J99=0,"",SUM($J$90:$J99))</f>
        <v/>
      </c>
      <c r="L99" s="20" t="str">
        <f aca="false">IF($K99="","",$A99*100+$K99)</f>
        <v/>
      </c>
      <c r="M99" s="48" t="str">
        <f aca="false">参数!$B$3</f>
        <v>7月收入</v>
      </c>
    </row>
    <row r="100" customFormat="false" ht="13.5" hidden="false" customHeight="false" outlineLevel="0" collapsed="false">
      <c r="A100" s="47" t="n">
        <v>5</v>
      </c>
      <c r="B100" s="38" t="n">
        <f aca="false">助手收入!$B6</f>
        <v>2005</v>
      </c>
      <c r="C100" s="48" t="str">
        <f aca="false">助手收入!$C6</f>
        <v>象城街店</v>
      </c>
      <c r="D100" s="48" t="str">
        <f aca="false">科目对照收入!$B12&amp;""</f>
        <v>京东秒送</v>
      </c>
      <c r="E100" s="48" t="str">
        <f aca="false">IF(AND(ROUND($G100,2)&lt;0,科目对照收入!$L12&lt;&gt;""),科目对照收入!$L12,科目对照收入!$C12)&amp;""</f>
        <v>应收账款</v>
      </c>
      <c r="F100" s="48" t="str">
        <f aca="false">IF(AND(ROUND($G100,2)&lt;0,科目对照收入!$L12&lt;&gt;""),科目对照收入!$M12,科目对照收入!$D12)&amp;""</f>
        <v>京东秒送</v>
      </c>
      <c r="G100" s="49" t="n">
        <f aca="false">IF(COUNTIFS(输入平台!$A:$A,助手收入!$X6,输入平台!$B:$B,科目对照收入!$B12)&gt;0,ROUND(SUMIFS(输入平台!$C:$C,输入平台!$A:$A,助手收入!$X6,输入平台!$B:$B,科目对照收入!$B12),2),ROUND(海典汇总!$O$7,2))</f>
        <v>0</v>
      </c>
      <c r="H100" s="49" t="str">
        <f aca="false">IF(ROUND($G100,2)&gt;0,ROUND($G100,2),"")</f>
        <v/>
      </c>
      <c r="I100" s="49" t="str">
        <f aca="false">IF(ROUND($G100,2)&lt;0,-ROUND($G100,2),"")</f>
        <v/>
      </c>
      <c r="J100" s="20" t="n">
        <f aca="false">IF(ROUND($G100,2)=0,0,1)</f>
        <v>0</v>
      </c>
      <c r="K100" s="20" t="str">
        <f aca="false">IF($J100=0,"",SUM($J$90:$J100))</f>
        <v/>
      </c>
      <c r="L100" s="20" t="str">
        <f aca="false">IF($K100="","",$A100*100+$K100)</f>
        <v/>
      </c>
      <c r="M100" s="48" t="str">
        <f aca="false">参数!$B$3</f>
        <v>7月收入</v>
      </c>
    </row>
    <row r="101" customFormat="false" ht="13.5" hidden="false" customHeight="false" outlineLevel="0" collapsed="false">
      <c r="A101" s="47" t="n">
        <v>5</v>
      </c>
      <c r="B101" s="38" t="n">
        <f aca="false">助手收入!$B6</f>
        <v>2005</v>
      </c>
      <c r="C101" s="48" t="str">
        <f aca="false">助手收入!$C6</f>
        <v>象城街店</v>
      </c>
      <c r="D101" s="48" t="str">
        <f aca="false">科目对照收入!$B13&amp;""</f>
        <v>银联</v>
      </c>
      <c r="E101" s="48" t="str">
        <f aca="false">IF(AND(ROUND($G101,2)&lt;0,科目对照收入!$L13&lt;&gt;""),科目对照收入!$L13,科目对照收入!$C13)&amp;""</f>
        <v>应收账款</v>
      </c>
      <c r="F101" s="48" t="str">
        <f aca="false">IF(AND(ROUND($G101,2)&lt;0,科目对照收入!$L13&lt;&gt;""),科目对照收入!$M13,科目对照收入!$D13)&amp;""</f>
        <v>银联</v>
      </c>
      <c r="G101" s="49" t="n">
        <f aca="false">IF(COUNTIFS(输入平台!$A:$A,助手收入!$X6,输入平台!$B:$B,科目对照收入!$B13)&gt;0,ROUND(SUMIFS(输入平台!$C:$C,输入平台!$A:$A,助手收入!$X6,输入平台!$B:$B,科目对照收入!$B13),2),ROUND(海典汇总!$V$7,2))</f>
        <v>0</v>
      </c>
      <c r="H101" s="49" t="str">
        <f aca="false">IF(ROUND($G101,2)&gt;0,ROUND($G101,2),"")</f>
        <v/>
      </c>
      <c r="I101" s="49" t="str">
        <f aca="false">IF(ROUND($G101,2)&lt;0,-ROUND($G101,2),"")</f>
        <v/>
      </c>
      <c r="J101" s="20" t="n">
        <f aca="false">IF(ROUND($G101,2)=0,0,1)</f>
        <v>0</v>
      </c>
      <c r="K101" s="20" t="str">
        <f aca="false">IF($J101=0,"",SUM($J$90:$J101))</f>
        <v/>
      </c>
      <c r="L101" s="20" t="str">
        <f aca="false">IF($K101="","",$A101*100+$K101)</f>
        <v/>
      </c>
      <c r="M101" s="48" t="str">
        <f aca="false">参数!$B$3</f>
        <v>7月收入</v>
      </c>
    </row>
    <row r="102" customFormat="false" ht="13.5" hidden="false" customHeight="false" outlineLevel="0" collapsed="false">
      <c r="A102" s="47" t="n">
        <v>5</v>
      </c>
      <c r="B102" s="38" t="n">
        <f aca="false">助手收入!$B6</f>
        <v>2005</v>
      </c>
      <c r="C102" s="48" t="str">
        <f aca="false">助手收入!$C6</f>
        <v>象城街店</v>
      </c>
      <c r="D102" s="48" t="str">
        <f aca="false">科目对照收入!$B14&amp;""</f>
        <v>小镇外卖</v>
      </c>
      <c r="E102" s="48" t="str">
        <f aca="false">IF(AND(ROUND($G102,2)&lt;0,科目对照收入!$L14&lt;&gt;""),科目对照收入!$L14,科目对照收入!$C14)&amp;""</f>
        <v>应收账款</v>
      </c>
      <c r="F102" s="48" t="str">
        <f aca="false">IF(AND(ROUND($G102,2)&lt;0,科目对照收入!$L14&lt;&gt;""),科目对照收入!$M14,科目对照收入!$D14)&amp;""</f>
        <v>小镇外卖</v>
      </c>
      <c r="G102" s="49" t="n">
        <f aca="false">IF(COUNTIFS(输入平台!$A:$A,助手收入!$X6,输入平台!$B:$B,科目对照收入!$B14)&gt;0,ROUND(SUMIFS(输入平台!$C:$C,输入平台!$A:$A,助手收入!$X6,输入平台!$B:$B,科目对照收入!$B14),2),ROUND(海典汇总!$AC$7,2))</f>
        <v>0</v>
      </c>
      <c r="H102" s="49" t="str">
        <f aca="false">IF(ROUND($G102,2)&gt;0,ROUND($G102,2),"")</f>
        <v/>
      </c>
      <c r="I102" s="49" t="str">
        <f aca="false">IF(ROUND($G102,2)&lt;0,-ROUND($G102,2),"")</f>
        <v/>
      </c>
      <c r="J102" s="20" t="n">
        <f aca="false">IF(ROUND($G102,2)=0,0,1)</f>
        <v>0</v>
      </c>
      <c r="K102" s="20" t="str">
        <f aca="false">IF($J102=0,"",SUM($J$90:$J102))</f>
        <v/>
      </c>
      <c r="L102" s="20" t="str">
        <f aca="false">IF($K102="","",$A102*100+$K102)</f>
        <v/>
      </c>
      <c r="M102" s="48" t="str">
        <f aca="false">参数!$B$3</f>
        <v>7月收入</v>
      </c>
    </row>
    <row r="103" customFormat="false" ht="13.5" hidden="false" customHeight="false" outlineLevel="0" collapsed="false">
      <c r="A103" s="47" t="n">
        <v>5</v>
      </c>
      <c r="B103" s="38" t="n">
        <f aca="false">助手收入!$B6</f>
        <v>2005</v>
      </c>
      <c r="C103" s="48" t="str">
        <f aca="false">助手收入!$C6</f>
        <v>象城街店</v>
      </c>
      <c r="D103" s="48" t="str">
        <f aca="false">科目对照收入!$B15&amp;""</f>
        <v>OMS线上支付</v>
      </c>
      <c r="E103" s="48" t="str">
        <f aca="false">IF(AND(ROUND($G103,2)&lt;0,科目对照收入!$L15&lt;&gt;""),科目对照收入!$L15,科目对照收入!$C15)&amp;""</f>
        <v>应收账款</v>
      </c>
      <c r="F103" s="48" t="str">
        <f aca="false">IF(AND(ROUND($G103,2)&lt;0,科目对照收入!$L15&lt;&gt;""),科目对照收入!$M15,科目对照收入!$D15)&amp;""</f>
        <v>OMS线上</v>
      </c>
      <c r="G103" s="49" t="n">
        <f aca="false">IF(COUNTIFS(输入平台!$A:$A,助手收入!$X6,输入平台!$B:$B,科目对照收入!$B15)&gt;0,ROUND(SUMIFS(输入平台!$C:$C,输入平台!$A:$A,助手收入!$X6,输入平台!$B:$B,科目对照收入!$B15),2),ROUND(海典汇总!$L$7,2))</f>
        <v>0</v>
      </c>
      <c r="H103" s="49" t="str">
        <f aca="false">IF(ROUND($G103,2)&gt;0,ROUND($G103,2),"")</f>
        <v/>
      </c>
      <c r="I103" s="49" t="str">
        <f aca="false">IF(ROUND($G103,2)&lt;0,-ROUND($G103,2),"")</f>
        <v/>
      </c>
      <c r="J103" s="20" t="n">
        <f aca="false">IF(ROUND($G103,2)=0,0,1)</f>
        <v>0</v>
      </c>
      <c r="K103" s="20" t="str">
        <f aca="false">IF($J103=0,"",SUM($J$90:$J103))</f>
        <v/>
      </c>
      <c r="L103" s="20" t="str">
        <f aca="false">IF($K103="","",$A103*100+$K103)</f>
        <v/>
      </c>
      <c r="M103" s="48" t="str">
        <f aca="false">参数!$B$3</f>
        <v>7月收入</v>
      </c>
    </row>
    <row r="104" customFormat="false" ht="13.5" hidden="false" customHeight="false" outlineLevel="0" collapsed="false">
      <c r="A104" s="47" t="n">
        <v>5</v>
      </c>
      <c r="B104" s="38" t="n">
        <f aca="false">助手收入!$B6</f>
        <v>2005</v>
      </c>
      <c r="C104" s="48" t="str">
        <f aca="false">助手收入!$C6</f>
        <v>象城街店</v>
      </c>
      <c r="D104" s="48" t="str">
        <f aca="false">科目对照收入!$B16&amp;""</f>
        <v>平安药卡</v>
      </c>
      <c r="E104" s="48" t="str">
        <f aca="false">IF(AND(ROUND($G104,2)&lt;0,科目对照收入!$L16&lt;&gt;""),科目对照收入!$L16,科目对照收入!$C16)&amp;""</f>
        <v>应收账款</v>
      </c>
      <c r="F104" s="48" t="str">
        <f aca="false">IF(AND(ROUND($G104,2)&lt;0,科目对照收入!$L16&lt;&gt;""),科目对照收入!$M16,科目对照收入!$D16)&amp;""</f>
        <v>平安</v>
      </c>
      <c r="G104" s="49" t="n">
        <f aca="false">IF(COUNTIFS(输入平台!$A:$A,助手收入!$X6,输入平台!$B:$B,科目对照收入!$B16)&gt;0,ROUND(SUMIFS(输入平台!$C:$C,输入平台!$A:$A,助手收入!$X6,输入平台!$B:$B,科目对照收入!$B16),2),ROUND(海典汇总!$AB$7,2))</f>
        <v>0</v>
      </c>
      <c r="H104" s="49" t="str">
        <f aca="false">IF(ROUND($G104,2)&gt;0,ROUND($G104,2),"")</f>
        <v/>
      </c>
      <c r="I104" s="49" t="str">
        <f aca="false">IF(ROUND($G104,2)&lt;0,-ROUND($G104,2),"")</f>
        <v/>
      </c>
      <c r="J104" s="20" t="n">
        <f aca="false">IF(ROUND($G104,2)=0,0,1)</f>
        <v>0</v>
      </c>
      <c r="K104" s="20" t="str">
        <f aca="false">IF($J104=0,"",SUM($J$90:$J104))</f>
        <v/>
      </c>
      <c r="L104" s="20" t="str">
        <f aca="false">IF($K104="","",$A104*100+$K104)</f>
        <v/>
      </c>
      <c r="M104" s="48" t="str">
        <f aca="false">参数!$B$3</f>
        <v>7月收入</v>
      </c>
    </row>
    <row r="105" customFormat="false" ht="13.5" hidden="false" customHeight="false" outlineLevel="0" collapsed="false">
      <c r="A105" s="47" t="n">
        <v>5</v>
      </c>
      <c r="B105" s="38" t="n">
        <f aca="false">助手收入!$B6</f>
        <v>2005</v>
      </c>
      <c r="C105" s="48" t="str">
        <f aca="false">助手收入!$C6</f>
        <v>象城街店</v>
      </c>
      <c r="D105" s="48" t="str">
        <f aca="false">科目对照收入!$B17&amp;""</f>
        <v>储值卡</v>
      </c>
      <c r="E105" s="48" t="str">
        <f aca="false">IF(AND(ROUND($G105,2)&lt;0,科目对照收入!$L17&lt;&gt;""),科目对照收入!$L17,科目对照收入!$C17)&amp;""</f>
        <v>其他应收款</v>
      </c>
      <c r="F105" s="48" t="str">
        <f aca="false">IF(AND(ROUND($G105,2)&lt;0,科目对照收入!$L17&lt;&gt;""),科目对照收入!$M17,科目对照收入!$D17)&amp;""</f>
        <v>储值卡</v>
      </c>
      <c r="G105" s="49" t="n">
        <f aca="false">ROUND(海典汇总!$Q$7,2)</f>
        <v>626.84</v>
      </c>
      <c r="H105" s="49" t="n">
        <f aca="false">IF(ROUND($G105,2)&gt;0,ROUND($G105,2),"")</f>
        <v>626.84</v>
      </c>
      <c r="I105" s="49" t="str">
        <f aca="false">IF(ROUND($G105,2)&lt;0,-ROUND($G105,2),"")</f>
        <v/>
      </c>
      <c r="J105" s="20" t="n">
        <f aca="false">IF(ROUND($G105,2)=0,0,1)</f>
        <v>1</v>
      </c>
      <c r="K105" s="20" t="n">
        <f aca="false">IF($J105=0,"",SUM($J$90:$J105))</f>
        <v>6</v>
      </c>
      <c r="L105" s="20" t="n">
        <f aca="false">IF($K105="","",$A105*100+$K105)</f>
        <v>506</v>
      </c>
      <c r="M105" s="48" t="str">
        <f aca="false">参数!$B$3</f>
        <v>7月收入</v>
      </c>
    </row>
    <row r="106" customFormat="false" ht="13.5" hidden="false" customHeight="false" outlineLevel="0" collapsed="false">
      <c r="A106" s="47" t="n">
        <v>5</v>
      </c>
      <c r="B106" s="38" t="n">
        <f aca="false">助手收入!$B6</f>
        <v>2005</v>
      </c>
      <c r="C106" s="48" t="str">
        <f aca="false">助手收入!$C6</f>
        <v>象城街店</v>
      </c>
      <c r="D106" s="48" t="str">
        <f aca="false">科目对照收入!$B18&amp;""</f>
        <v>会员零钱包</v>
      </c>
      <c r="E106" s="48" t="str">
        <f aca="false">IF(AND(ROUND($G106,2)&lt;0,科目对照收入!$L18&lt;&gt;""),科目对照收入!$L18,科目对照收入!$C18)&amp;""</f>
        <v>其他应收款</v>
      </c>
      <c r="F106" s="48" t="str">
        <f aca="false">IF(AND(ROUND($G106,2)&lt;0,科目对照收入!$L18&lt;&gt;""),科目对照收入!$M18,科目对照收入!$D18)&amp;""</f>
        <v>会员零钱包</v>
      </c>
      <c r="G106" s="49" t="n">
        <f aca="false">ROUND(海典汇总!$P$7,2)</f>
        <v>0</v>
      </c>
      <c r="H106" s="49" t="str">
        <f aca="false">IF(ROUND($G106,2)&gt;0,ROUND($G106,2),"")</f>
        <v/>
      </c>
      <c r="I106" s="49" t="str">
        <f aca="false">IF(ROUND($G106,2)&lt;0,-ROUND($G106,2),"")</f>
        <v/>
      </c>
      <c r="J106" s="20" t="n">
        <f aca="false">IF(ROUND($G106,2)=0,0,1)</f>
        <v>0</v>
      </c>
      <c r="K106" s="20" t="str">
        <f aca="false">IF($J106=0,"",SUM($J$90:$J106))</f>
        <v/>
      </c>
      <c r="L106" s="20" t="str">
        <f aca="false">IF($K106="","",$A106*100+$K106)</f>
        <v/>
      </c>
      <c r="M106" s="48" t="str">
        <f aca="false">参数!$B$3</f>
        <v>7月收入</v>
      </c>
    </row>
    <row r="107" customFormat="false" ht="13.5" hidden="false" customHeight="false" outlineLevel="0" collapsed="false">
      <c r="A107" s="47" t="n">
        <v>5</v>
      </c>
      <c r="B107" s="38" t="n">
        <f aca="false">助手收入!$B6</f>
        <v>2005</v>
      </c>
      <c r="C107" s="48" t="str">
        <f aca="false">助手收入!$C6</f>
        <v>象城街店</v>
      </c>
      <c r="D107" s="48" t="str">
        <f aca="false">科目对照收入!$B19&amp;""</f>
        <v>促销费</v>
      </c>
      <c r="E107" s="48" t="str">
        <f aca="false">IF(AND(ROUND($G107,2)&lt;0,科目对照收入!$L19&lt;&gt;""),科目对照收入!$L19,科目对照收入!$C19)&amp;""</f>
        <v>销售费用</v>
      </c>
      <c r="F107" s="48" t="str">
        <f aca="false">IF(AND(ROUND($G107,2)&lt;0,科目对照收入!$L19&lt;&gt;""),科目对照收入!$M19,科目对照收入!$D19)&amp;""</f>
        <v>促销费</v>
      </c>
      <c r="G107" s="49" t="n">
        <f aca="false">ROUND(海典汇总!$U$7+海典汇总!$T$7+海典汇总!$S$7,2)</f>
        <v>3314.58</v>
      </c>
      <c r="H107" s="49" t="n">
        <f aca="false">IF(ROUND($G107,2)&gt;0,ROUND($G107,2),"")</f>
        <v>3314.58</v>
      </c>
      <c r="I107" s="49" t="str">
        <f aca="false">IF(ROUND($G107,2)&lt;0,-ROUND($G107,2),"")</f>
        <v/>
      </c>
      <c r="J107" s="20" t="n">
        <f aca="false">IF(ROUND($G107,2)=0,0,1)</f>
        <v>1</v>
      </c>
      <c r="K107" s="20" t="n">
        <f aca="false">IF($J107=0,"",SUM($J$90:$J107))</f>
        <v>7</v>
      </c>
      <c r="L107" s="20" t="n">
        <f aca="false">IF($K107="","",$A107*100+$K107)</f>
        <v>507</v>
      </c>
      <c r="M107" s="48" t="str">
        <f aca="false">参数!$B$3</f>
        <v>7月收入</v>
      </c>
    </row>
    <row r="108" customFormat="false" ht="13.5" hidden="false" customHeight="false" outlineLevel="0" collapsed="false">
      <c r="A108" s="47" t="n">
        <v>5</v>
      </c>
      <c r="B108" s="38" t="n">
        <f aca="false">助手收入!$B6</f>
        <v>2005</v>
      </c>
      <c r="C108" s="48" t="str">
        <f aca="false">助手收入!$C6</f>
        <v>象城街店</v>
      </c>
      <c r="D108" s="48" t="str">
        <f aca="false">科目对照收入!$B20&amp;""</f>
        <v>积分</v>
      </c>
      <c r="E108" s="48" t="str">
        <f aca="false">IF(AND(ROUND($G108,2)&lt;0,科目对照收入!$L20&lt;&gt;""),科目对照收入!$L20,科目对照收入!$C20)&amp;""</f>
        <v>销售费用</v>
      </c>
      <c r="F108" s="48" t="str">
        <f aca="false">IF(AND(ROUND($G108,2)&lt;0,科目对照收入!$L20&lt;&gt;""),科目对照收入!$M20,科目对照收入!$D20)&amp;""</f>
        <v>积分</v>
      </c>
      <c r="G108" s="49" t="n">
        <f aca="false">ROUND(海典汇总!$R$7,2)</f>
        <v>0</v>
      </c>
      <c r="H108" s="49" t="str">
        <f aca="false">IF(ROUND($G108,2)&gt;0,ROUND($G108,2),"")</f>
        <v/>
      </c>
      <c r="I108" s="49" t="str">
        <f aca="false">IF(ROUND($G108,2)&lt;0,-ROUND($G108,2),"")</f>
        <v/>
      </c>
      <c r="J108" s="20" t="n">
        <f aca="false">IF(ROUND($G108,2)=0,0,1)</f>
        <v>0</v>
      </c>
      <c r="K108" s="20" t="str">
        <f aca="false">IF($J108=0,"",SUM($J$90:$J108))</f>
        <v/>
      </c>
      <c r="L108" s="20" t="str">
        <f aca="false">IF($K108="","",$A108*100+$K108)</f>
        <v/>
      </c>
      <c r="M108" s="48" t="str">
        <f aca="false">参数!$B$3</f>
        <v>7月收入</v>
      </c>
    </row>
    <row r="109" customFormat="false" ht="13.5" hidden="false" customHeight="false" outlineLevel="0" collapsed="false">
      <c r="A109" s="47" t="n">
        <v>5</v>
      </c>
      <c r="B109" s="38" t="n">
        <f aca="false">助手收入!$B6</f>
        <v>2005</v>
      </c>
      <c r="C109" s="48" t="str">
        <f aca="false">助手收入!$C6</f>
        <v>象城街店</v>
      </c>
      <c r="D109" s="48" t="str">
        <f aca="false">科目对照收入!$B21&amp;""</f>
        <v>手续费</v>
      </c>
      <c r="E109" s="48" t="str">
        <f aca="false">IF(AND(ROUND($G109,2)&lt;0,科目对照收入!$L21&lt;&gt;""),科目对照收入!$L21,科目对照收入!$C21)&amp;""</f>
        <v>财务费用</v>
      </c>
      <c r="F109" s="48" t="str">
        <f aca="false">IF(AND(ROUND($G109,2)&lt;0,科目对照收入!$L21&lt;&gt;""),科目对照收入!$M21,科目对照收入!$D21)&amp;""</f>
        <v>手续费</v>
      </c>
      <c r="G109" s="49" t="n">
        <f aca="false">ROUND(SUMIFS(输入聚合!$D:$D,输入聚合!$A:$A,助手收入!$X6),2)</f>
        <v>48.7</v>
      </c>
      <c r="H109" s="49" t="n">
        <f aca="false">IF(ROUND($G109,2)&gt;0,ROUND($G109,2),"")</f>
        <v>48.7</v>
      </c>
      <c r="I109" s="49" t="str">
        <f aca="false">IF(ROUND($G109,2)&lt;0,-ROUND($G109,2),"")</f>
        <v/>
      </c>
      <c r="J109" s="20" t="n">
        <f aca="false">IF(ROUND($G109,2)=0,0,1)</f>
        <v>1</v>
      </c>
      <c r="K109" s="20" t="n">
        <f aca="false">IF($J109=0,"",SUM($J$90:$J109))</f>
        <v>8</v>
      </c>
      <c r="L109" s="20" t="n">
        <f aca="false">IF($K109="","",$A109*100+$K109)</f>
        <v>508</v>
      </c>
      <c r="M109" s="48" t="str">
        <f aca="false">参数!$B$3</f>
        <v>7月收入</v>
      </c>
    </row>
    <row r="110" customFormat="false" ht="13.5" hidden="false" customHeight="false" outlineLevel="0" collapsed="false">
      <c r="A110" s="47" t="n">
        <v>5</v>
      </c>
      <c r="B110" s="38" t="n">
        <f aca="false">助手收入!$B6</f>
        <v>2005</v>
      </c>
      <c r="C110" s="48" t="str">
        <f aca="false">助手收入!$C6</f>
        <v>象城街店</v>
      </c>
      <c r="D110" s="48" t="str">
        <f aca="false">科目对照收入!$B22&amp;""</f>
        <v>主营业务收入</v>
      </c>
      <c r="E110" s="48" t="str">
        <f aca="false">IF(AND(ROUND($G110,2)&lt;0,科目对照收入!$L22&lt;&gt;""),科目对照收入!$L22,科目对照收入!$C22)&amp;""</f>
        <v>主营业务收入</v>
      </c>
      <c r="F110" s="48" t="str">
        <f aca="false">IF(AND(ROUND($G110,2)&lt;0,科目对照收入!$L22&lt;&gt;""),科目对照收入!$M22,科目对照收入!$D22)&amp;""</f>
        <v/>
      </c>
      <c r="G110" s="49" t="n">
        <f aca="false">-ROUND(助手收入!$G6,2)</f>
        <v>-116657.9</v>
      </c>
      <c r="H110" s="49" t="str">
        <f aca="false">IF(ROUND($G110,2)&gt;0,ROUND($G110,2),"")</f>
        <v/>
      </c>
      <c r="I110" s="49" t="n">
        <f aca="false">IF(ROUND($G110,2)&lt;0,-ROUND($G110,2),"")</f>
        <v>116657.9</v>
      </c>
      <c r="J110" s="20" t="n">
        <f aca="false">IF(ROUND($G110,2)=0,0,1)</f>
        <v>1</v>
      </c>
      <c r="K110" s="20" t="n">
        <f aca="false">IF($J110=0,"",SUM($J$90:$J110))</f>
        <v>9</v>
      </c>
      <c r="L110" s="20" t="n">
        <f aca="false">IF($K110="","",$A110*100+$K110)</f>
        <v>509</v>
      </c>
      <c r="M110" s="48" t="str">
        <f aca="false">参数!$B$3</f>
        <v>7月收入</v>
      </c>
    </row>
    <row r="111" customFormat="false" ht="13.5" hidden="false" customHeight="false" outlineLevel="0" collapsed="false">
      <c r="A111" s="47" t="n">
        <v>5</v>
      </c>
      <c r="B111" s="38" t="n">
        <f aca="false">助手收入!$B6</f>
        <v>2005</v>
      </c>
      <c r="C111" s="48" t="str">
        <f aca="false">助手收入!$C6</f>
        <v>象城街店</v>
      </c>
      <c r="D111" s="48" t="str">
        <f aca="false">科目对照收入!$B23&amp;""</f>
        <v>营业外收入</v>
      </c>
      <c r="E111" s="48" t="str">
        <f aca="false">IF(AND(ROUND($G111,2)&lt;0,科目对照收入!$L23&lt;&gt;""),科目对照收入!$L23,科目对照收入!$C23)&amp;""</f>
        <v>营业外收入</v>
      </c>
      <c r="F111" s="48" t="str">
        <f aca="false">IF(AND(ROUND($G111,2)&lt;0,科目对照收入!$L23&lt;&gt;""),科目对照收入!$M23,科目对照收入!$D23)&amp;""</f>
        <v/>
      </c>
      <c r="G111" s="49" t="n">
        <f aca="false">-ROUND(助手收入!$J6,2)</f>
        <v>-0</v>
      </c>
      <c r="H111" s="49" t="str">
        <f aca="false">IF(ROUND($G111,2)&gt;0,ROUND($G111,2),"")</f>
        <v/>
      </c>
      <c r="I111" s="49" t="str">
        <f aca="false">IF(ROUND($G111,2)&lt;0,-ROUND($G111,2),"")</f>
        <v/>
      </c>
      <c r="J111" s="20" t="n">
        <f aca="false">IF(ROUND($G111,2)=0,0,1)</f>
        <v>0</v>
      </c>
      <c r="K111" s="20" t="str">
        <f aca="false">IF($J111=0,"",SUM($J$90:$J111))</f>
        <v/>
      </c>
      <c r="L111" s="20" t="str">
        <f aca="false">IF($K111="","",$A111*100+$K111)</f>
        <v/>
      </c>
      <c r="M111" s="48" t="str">
        <f aca="false">参数!$B$3</f>
        <v>7月收入</v>
      </c>
    </row>
    <row r="112" customFormat="false" ht="13.5" hidden="false" customHeight="false" outlineLevel="0" collapsed="false">
      <c r="A112" s="47" t="n">
        <v>6</v>
      </c>
      <c r="B112" s="38" t="n">
        <f aca="false">助手收入!$B7</f>
        <v>2006</v>
      </c>
      <c r="C112" s="48" t="str">
        <f aca="false">助手收入!$C7</f>
        <v>博荣店</v>
      </c>
      <c r="D112" s="48" t="str">
        <f aca="false">科目对照收入!$B2&amp;""</f>
        <v>库存现金</v>
      </c>
      <c r="E112" s="48" t="str">
        <f aca="false">IF(AND(ROUND($G112,2)&lt;0,科目对照收入!$L2&lt;&gt;""),科目对照收入!$L2,科目对照收入!$C2)&amp;""</f>
        <v>库存现金</v>
      </c>
      <c r="F112" s="48" t="str">
        <f aca="false">IF(AND(ROUND($G112,2)&lt;0,科目对照收入!$L2&lt;&gt;""),科目对照收入!$M2,科目对照收入!$D2)&amp;""</f>
        <v/>
      </c>
      <c r="G112" s="49" t="n">
        <f aca="false">助手收入!$I7</f>
        <v>4575.05</v>
      </c>
      <c r="H112" s="49" t="n">
        <f aca="false">IF(ROUND($G112,2)&gt;0,ROUND($G112,2),"")</f>
        <v>4575.05</v>
      </c>
      <c r="I112" s="49" t="str">
        <f aca="false">IF(ROUND($G112,2)&lt;0,-ROUND($G112,2),"")</f>
        <v/>
      </c>
      <c r="J112" s="20" t="n">
        <f aca="false">IF(ROUND($G112,2)=0,0,1)</f>
        <v>1</v>
      </c>
      <c r="K112" s="20" t="n">
        <f aca="false">IF($J112=0,"",SUM($J$112:$J112))</f>
        <v>1</v>
      </c>
      <c r="L112" s="20" t="n">
        <f aca="false">IF($K112="","",$A112*100+$K112)</f>
        <v>601</v>
      </c>
      <c r="M112" s="48" t="str">
        <f aca="false">参数!$B$3</f>
        <v>7月收入</v>
      </c>
    </row>
    <row r="113" customFormat="false" ht="13.5" hidden="false" customHeight="false" outlineLevel="0" collapsed="false">
      <c r="A113" s="47" t="n">
        <v>6</v>
      </c>
      <c r="B113" s="38" t="n">
        <f aca="false">助手收入!$B7</f>
        <v>2006</v>
      </c>
      <c r="C113" s="48" t="str">
        <f aca="false">助手收入!$C7</f>
        <v>博荣店</v>
      </c>
      <c r="D113" s="48" t="str">
        <f aca="false">科目对照收入!$B3&amp;""</f>
        <v>聚合支付</v>
      </c>
      <c r="E113" s="48" t="str">
        <f aca="false">IF(AND(ROUND($G113,2)&lt;0,科目对照收入!$L3&lt;&gt;""),科目对照收入!$L3,科目对照收入!$C3)&amp;""</f>
        <v>应收账款</v>
      </c>
      <c r="F113" s="48" t="str">
        <f aca="false">IF(AND(ROUND($G113,2)&lt;0,科目对照收入!$L3&lt;&gt;""),科目对照收入!$M3,科目对照收入!$D3)&amp;""</f>
        <v>聚合支付</v>
      </c>
      <c r="G113" s="49" t="n">
        <f aca="false">ROUND(SUMIFS(输入聚合!$C:$C,输入聚合!$A:$A,助手收入!$X7)-SUMIFS(输入聚合!$D:$D,输入聚合!$A:$A,助手收入!$X7),2)</f>
        <v>33338.04</v>
      </c>
      <c r="H113" s="49" t="n">
        <f aca="false">IF(ROUND($G113,2)&gt;0,ROUND($G113,2),"")</f>
        <v>33338.04</v>
      </c>
      <c r="I113" s="49" t="str">
        <f aca="false">IF(ROUND($G113,2)&lt;0,-ROUND($G113,2),"")</f>
        <v/>
      </c>
      <c r="J113" s="20" t="n">
        <f aca="false">IF(ROUND($G113,2)=0,0,1)</f>
        <v>1</v>
      </c>
      <c r="K113" s="20" t="n">
        <f aca="false">IF($J113=0,"",SUM($J$112:$J113))</f>
        <v>2</v>
      </c>
      <c r="L113" s="20" t="n">
        <f aca="false">IF($K113="","",$A113*100+$K113)</f>
        <v>602</v>
      </c>
      <c r="M113" s="48" t="str">
        <f aca="false">参数!$B$3</f>
        <v>7月收入</v>
      </c>
    </row>
    <row r="114" customFormat="false" ht="13.5" hidden="false" customHeight="false" outlineLevel="0" collapsed="false">
      <c r="A114" s="47" t="n">
        <v>6</v>
      </c>
      <c r="B114" s="38" t="n">
        <f aca="false">助手收入!$B7</f>
        <v>2006</v>
      </c>
      <c r="C114" s="48" t="str">
        <f aca="false">助手收入!$C7</f>
        <v>博荣店</v>
      </c>
      <c r="D114" s="48" t="str">
        <f aca="false">科目对照收入!$B4&amp;""</f>
        <v>医保</v>
      </c>
      <c r="E114" s="48" t="str">
        <f aca="false">IF(AND(ROUND($G114,2)&lt;0,科目对照收入!$L4&lt;&gt;""),科目对照收入!$L4,科目对照收入!$C4)&amp;""</f>
        <v>应收账款</v>
      </c>
      <c r="F114" s="48" t="str">
        <f aca="false">IF(AND(ROUND($G114,2)&lt;0,科目对照收入!$L4&lt;&gt;""),科目对照收入!$M4,科目对照收入!$D4)&amp;""</f>
        <v>医保</v>
      </c>
      <c r="G114" s="49" t="n">
        <f aca="false">IF(COUNTIFS(输入平台!$A:$A,助手收入!$X7,输入平台!$B:$B,科目对照收入!$B4)&gt;0,ROUND(SUMIFS(输入平台!$C:$C,输入平台!$A:$A,助手收入!$X7,输入平台!$B:$B,科目对照收入!$B4),2),ROUND(海典汇总!$F$8+海典汇总!$G$8,2))</f>
        <v>22062.09</v>
      </c>
      <c r="H114" s="49" t="n">
        <f aca="false">IF(ROUND($G114,2)&gt;0,ROUND($G114,2),"")</f>
        <v>22062.09</v>
      </c>
      <c r="I114" s="49" t="str">
        <f aca="false">IF(ROUND($G114,2)&lt;0,-ROUND($G114,2),"")</f>
        <v/>
      </c>
      <c r="J114" s="20" t="n">
        <f aca="false">IF(ROUND($G114,2)=0,0,1)</f>
        <v>1</v>
      </c>
      <c r="K114" s="20" t="n">
        <f aca="false">IF($J114=0,"",SUM($J$112:$J114))</f>
        <v>3</v>
      </c>
      <c r="L114" s="20" t="n">
        <f aca="false">IF($K114="","",$A114*100+$K114)</f>
        <v>603</v>
      </c>
      <c r="M114" s="48" t="str">
        <f aca="false">参数!$B$3</f>
        <v>7月收入</v>
      </c>
    </row>
    <row r="115" customFormat="false" ht="13.5" hidden="false" customHeight="false" outlineLevel="0" collapsed="false">
      <c r="A115" s="47" t="n">
        <v>6</v>
      </c>
      <c r="B115" s="38" t="n">
        <f aca="false">助手收入!$B7</f>
        <v>2006</v>
      </c>
      <c r="C115" s="48" t="str">
        <f aca="false">助手收入!$C7</f>
        <v>博荣店</v>
      </c>
      <c r="D115" s="48" t="str">
        <f aca="false">科目对照收入!$B5&amp;""</f>
        <v>健e卡</v>
      </c>
      <c r="E115" s="48" t="str">
        <f aca="false">IF(AND(ROUND($G115,2)&lt;0,科目对照收入!$L5&lt;&gt;""),科目对照收入!$L5,科目对照收入!$C5)&amp;""</f>
        <v>应收账款</v>
      </c>
      <c r="F115" s="48" t="str">
        <f aca="false">IF(AND(ROUND($G115,2)&lt;0,科目对照收入!$L5&lt;&gt;""),科目对照收入!$M5,科目对照收入!$D5)&amp;""</f>
        <v>健e卡</v>
      </c>
      <c r="G115" s="49" t="n">
        <f aca="false">IF(COUNTIFS(输入平台!$A:$A,助手收入!$X7,输入平台!$B:$B,科目对照收入!$B5)&gt;0,ROUND(SUMIFS(输入平台!$C:$C,输入平台!$A:$A,助手收入!$X7,输入平台!$B:$B,科目对照收入!$B5),2),ROUND(海典汇总!$H$8,2))</f>
        <v>3402.37</v>
      </c>
      <c r="H115" s="49" t="n">
        <f aca="false">IF(ROUND($G115,2)&gt;0,ROUND($G115,2),"")</f>
        <v>3402.37</v>
      </c>
      <c r="I115" s="49" t="str">
        <f aca="false">IF(ROUND($G115,2)&lt;0,-ROUND($G115,2),"")</f>
        <v/>
      </c>
      <c r="J115" s="20" t="n">
        <f aca="false">IF(ROUND($G115,2)=0,0,1)</f>
        <v>1</v>
      </c>
      <c r="K115" s="20" t="n">
        <f aca="false">IF($J115=0,"",SUM($J$112:$J115))</f>
        <v>4</v>
      </c>
      <c r="L115" s="20" t="n">
        <f aca="false">IF($K115="","",$A115*100+$K115)</f>
        <v>604</v>
      </c>
      <c r="M115" s="48" t="str">
        <f aca="false">参数!$B$3</f>
        <v>7月收入</v>
      </c>
    </row>
    <row r="116" customFormat="false" ht="13.5" hidden="false" customHeight="false" outlineLevel="0" collapsed="false">
      <c r="A116" s="47" t="n">
        <v>6</v>
      </c>
      <c r="B116" s="38" t="n">
        <f aca="false">助手收入!$B7</f>
        <v>2006</v>
      </c>
      <c r="C116" s="48" t="str">
        <f aca="false">助手收入!$C7</f>
        <v>博荣店</v>
      </c>
      <c r="D116" s="48" t="str">
        <f aca="false">科目对照收入!$B6&amp;""</f>
        <v>医卡通</v>
      </c>
      <c r="E116" s="48" t="str">
        <f aca="false">IF(AND(ROUND($G116,2)&lt;0,科目对照收入!$L6&lt;&gt;""),科目对照收入!$L6,科目对照收入!$C6)&amp;""</f>
        <v>应收账款</v>
      </c>
      <c r="F116" s="48" t="str">
        <f aca="false">IF(AND(ROUND($G116,2)&lt;0,科目对照收入!$L6&lt;&gt;""),科目对照收入!$M6,科目对照收入!$D6)&amp;""</f>
        <v>医卡通</v>
      </c>
      <c r="G116" s="49" t="n">
        <f aca="false">IF(COUNTIFS(输入平台!$A:$A,助手收入!$X7,输入平台!$B:$B,科目对照收入!$B6)&gt;0,ROUND(SUMIFS(输入平台!$C:$C,输入平台!$A:$A,助手收入!$X7,输入平台!$B:$B,科目对照收入!$B6),2),ROUND(海典汇总!$I$8,2))</f>
        <v>0</v>
      </c>
      <c r="H116" s="49" t="str">
        <f aca="false">IF(ROUND($G116,2)&gt;0,ROUND($G116,2),"")</f>
        <v/>
      </c>
      <c r="I116" s="49" t="str">
        <f aca="false">IF(ROUND($G116,2)&lt;0,-ROUND($G116,2),"")</f>
        <v/>
      </c>
      <c r="J116" s="20" t="n">
        <f aca="false">IF(ROUND($G116,2)=0,0,1)</f>
        <v>0</v>
      </c>
      <c r="K116" s="20" t="str">
        <f aca="false">IF($J116=0,"",SUM($J$112:$J116))</f>
        <v/>
      </c>
      <c r="L116" s="20" t="str">
        <f aca="false">IF($K116="","",$A116*100+$K116)</f>
        <v/>
      </c>
      <c r="M116" s="48" t="str">
        <f aca="false">参数!$B$3</f>
        <v>7月收入</v>
      </c>
    </row>
    <row r="117" customFormat="false" ht="13.5" hidden="false" customHeight="false" outlineLevel="0" collapsed="false">
      <c r="A117" s="47" t="n">
        <v>6</v>
      </c>
      <c r="B117" s="38" t="n">
        <f aca="false">助手收入!$B7</f>
        <v>2006</v>
      </c>
      <c r="C117" s="48" t="str">
        <f aca="false">助手收入!$C7</f>
        <v>博荣店</v>
      </c>
      <c r="D117" s="48" t="str">
        <f aca="false">科目对照收入!$B7&amp;""</f>
        <v>企健网</v>
      </c>
      <c r="E117" s="48" t="str">
        <f aca="false">IF(AND(ROUND($G117,2)&lt;0,科目对照收入!$L7&lt;&gt;""),科目对照收入!$L7,科目对照收入!$C7)&amp;""</f>
        <v>应收账款</v>
      </c>
      <c r="F117" s="48" t="str">
        <f aca="false">IF(AND(ROUND($G117,2)&lt;0,科目对照收入!$L7&lt;&gt;""),科目对照收入!$M7,科目对照收入!$D7)&amp;""</f>
        <v>企健网</v>
      </c>
      <c r="G117" s="49" t="n">
        <f aca="false">IF(COUNTIFS(输入平台!$A:$A,助手收入!$X7,输入平台!$B:$B,科目对照收入!$B7)&gt;0,ROUND(SUMIFS(输入平台!$C:$C,输入平台!$A:$A,助手收入!$X7,输入平台!$B:$B,科目对照收入!$B7),2),ROUND(海典汇总!$J$8,2))</f>
        <v>0</v>
      </c>
      <c r="H117" s="49" t="str">
        <f aca="false">IF(ROUND($G117,2)&gt;0,ROUND($G117,2),"")</f>
        <v/>
      </c>
      <c r="I117" s="49" t="str">
        <f aca="false">IF(ROUND($G117,2)&lt;0,-ROUND($G117,2),"")</f>
        <v/>
      </c>
      <c r="J117" s="20" t="n">
        <f aca="false">IF(ROUND($G117,2)=0,0,1)</f>
        <v>0</v>
      </c>
      <c r="K117" s="20" t="str">
        <f aca="false">IF($J117=0,"",SUM($J$112:$J117))</f>
        <v/>
      </c>
      <c r="L117" s="20" t="str">
        <f aca="false">IF($K117="","",$A117*100+$K117)</f>
        <v/>
      </c>
      <c r="M117" s="48" t="str">
        <f aca="false">参数!$B$3</f>
        <v>7月收入</v>
      </c>
    </row>
    <row r="118" customFormat="false" ht="13.5" hidden="false" customHeight="false" outlineLevel="0" collapsed="false">
      <c r="A118" s="47" t="n">
        <v>6</v>
      </c>
      <c r="B118" s="38" t="n">
        <f aca="false">助手收入!$B7</f>
        <v>2006</v>
      </c>
      <c r="C118" s="48" t="str">
        <f aca="false">助手收入!$C7</f>
        <v>博荣店</v>
      </c>
      <c r="D118" s="48" t="str">
        <f aca="false">科目对照收入!$B8&amp;""</f>
        <v>亲情卡</v>
      </c>
      <c r="E118" s="48" t="str">
        <f aca="false">IF(AND(ROUND($G118,2)&lt;0,科目对照收入!$L8&lt;&gt;""),科目对照收入!$L8,科目对照收入!$C8)&amp;""</f>
        <v>应收账款</v>
      </c>
      <c r="F118" s="48" t="str">
        <f aca="false">IF(AND(ROUND($G118,2)&lt;0,科目对照收入!$L8&lt;&gt;""),科目对照收入!$M8,科目对照收入!$D8)&amp;""</f>
        <v>亲情卡</v>
      </c>
      <c r="G118" s="49" t="n">
        <f aca="false">IF(COUNTIFS(输入平台!$A:$A,助手收入!$X7,输入平台!$B:$B,科目对照收入!$B8)&gt;0,ROUND(SUMIFS(输入平台!$C:$C,输入平台!$A:$A,助手收入!$X7,输入平台!$B:$B,科目对照收入!$B8),2),ROUND(海典汇总!$Z$8,2))</f>
        <v>0</v>
      </c>
      <c r="H118" s="49" t="str">
        <f aca="false">IF(ROUND($G118,2)&gt;0,ROUND($G118,2),"")</f>
        <v/>
      </c>
      <c r="I118" s="49" t="str">
        <f aca="false">IF(ROUND($G118,2)&lt;0,-ROUND($G118,2),"")</f>
        <v/>
      </c>
      <c r="J118" s="20" t="n">
        <f aca="false">IF(ROUND($G118,2)=0,0,1)</f>
        <v>0</v>
      </c>
      <c r="K118" s="20" t="str">
        <f aca="false">IF($J118=0,"",SUM($J$112:$J118))</f>
        <v/>
      </c>
      <c r="L118" s="20" t="str">
        <f aca="false">IF($K118="","",$A118*100+$K118)</f>
        <v/>
      </c>
      <c r="M118" s="48" t="str">
        <f aca="false">参数!$B$3</f>
        <v>7月收入</v>
      </c>
    </row>
    <row r="119" customFormat="false" ht="13.5" hidden="false" customHeight="false" outlineLevel="0" collapsed="false">
      <c r="A119" s="47" t="n">
        <v>6</v>
      </c>
      <c r="B119" s="38" t="n">
        <f aca="false">助手收入!$B7</f>
        <v>2006</v>
      </c>
      <c r="C119" s="48" t="str">
        <f aca="false">助手收入!$C7</f>
        <v>博荣店</v>
      </c>
      <c r="D119" s="48" t="str">
        <f aca="false">科目对照收入!$B9&amp;""</f>
        <v>24小时</v>
      </c>
      <c r="E119" s="48" t="str">
        <f aca="false">IF(AND(ROUND($G119,2)&lt;0,科目对照收入!$L9&lt;&gt;""),科目对照收入!$L9,科目对照收入!$C9)&amp;""</f>
        <v>应收账款</v>
      </c>
      <c r="F119" s="48" t="str">
        <f aca="false">IF(AND(ROUND($G119,2)&lt;0,科目对照收入!$L9&lt;&gt;""),科目对照收入!$M9,科目对照收入!$D9)&amp;""</f>
        <v>24小时</v>
      </c>
      <c r="G119" s="49" t="n">
        <f aca="false">IF(COUNTIFS(输入平台!$A:$A,助手收入!$X7,输入平台!$B:$B,科目对照收入!$B9)&gt;0,ROUND(SUMIFS(输入平台!$C:$C,输入平台!$A:$A,助手收入!$X7,输入平台!$B:$B,科目对照收入!$B9),2),ROUND(海典汇总!$K$8,2))</f>
        <v>0</v>
      </c>
      <c r="H119" s="49" t="str">
        <f aca="false">IF(ROUND($G119,2)&gt;0,ROUND($G119,2),"")</f>
        <v/>
      </c>
      <c r="I119" s="49" t="str">
        <f aca="false">IF(ROUND($G119,2)&lt;0,-ROUND($G119,2),"")</f>
        <v/>
      </c>
      <c r="J119" s="20" t="n">
        <f aca="false">IF(ROUND($G119,2)=0,0,1)</f>
        <v>0</v>
      </c>
      <c r="K119" s="20" t="str">
        <f aca="false">IF($J119=0,"",SUM($J$112:$J119))</f>
        <v/>
      </c>
      <c r="L119" s="20" t="str">
        <f aca="false">IF($K119="","",$A119*100+$K119)</f>
        <v/>
      </c>
      <c r="M119" s="48" t="str">
        <f aca="false">参数!$B$3</f>
        <v>7月收入</v>
      </c>
    </row>
    <row r="120" customFormat="false" ht="13.5" hidden="false" customHeight="false" outlineLevel="0" collapsed="false">
      <c r="A120" s="47" t="n">
        <v>6</v>
      </c>
      <c r="B120" s="38" t="n">
        <f aca="false">助手收入!$B7</f>
        <v>2006</v>
      </c>
      <c r="C120" s="48" t="str">
        <f aca="false">助手收入!$C7</f>
        <v>博荣店</v>
      </c>
      <c r="D120" s="48" t="str">
        <f aca="false">科目对照收入!$B10&amp;""</f>
        <v>美团</v>
      </c>
      <c r="E120" s="48" t="str">
        <f aca="false">IF(AND(ROUND($G120,2)&lt;0,科目对照收入!$L10&lt;&gt;""),科目对照收入!$L10,科目对照收入!$C10)&amp;""</f>
        <v>应收账款</v>
      </c>
      <c r="F120" s="48" t="str">
        <f aca="false">IF(AND(ROUND($G120,2)&lt;0,科目对照收入!$L10&lt;&gt;""),科目对照收入!$M10,科目对照收入!$D10)&amp;""</f>
        <v>美团</v>
      </c>
      <c r="G120" s="49" t="n">
        <f aca="false">IF(COUNTIFS(输入平台!$A:$A,助手收入!$X7,输入平台!$B:$B,科目对照收入!$B10)&gt;0,ROUND(SUMIFS(输入平台!$C:$C,输入平台!$A:$A,助手收入!$X7,输入平台!$B:$B,科目对照收入!$B10),2),ROUND(海典汇总!$M$8,2))</f>
        <v>209.2</v>
      </c>
      <c r="H120" s="49" t="n">
        <f aca="false">IF(ROUND($G120,2)&gt;0,ROUND($G120,2),"")</f>
        <v>209.2</v>
      </c>
      <c r="I120" s="49" t="str">
        <f aca="false">IF(ROUND($G120,2)&lt;0,-ROUND($G120,2),"")</f>
        <v/>
      </c>
      <c r="J120" s="20" t="n">
        <f aca="false">IF(ROUND($G120,2)=0,0,1)</f>
        <v>1</v>
      </c>
      <c r="K120" s="20" t="n">
        <f aca="false">IF($J120=0,"",SUM($J$112:$J120))</f>
        <v>5</v>
      </c>
      <c r="L120" s="20" t="n">
        <f aca="false">IF($K120="","",$A120*100+$K120)</f>
        <v>605</v>
      </c>
      <c r="M120" s="48" t="str">
        <f aca="false">参数!$B$3</f>
        <v>7月收入</v>
      </c>
    </row>
    <row r="121" customFormat="false" ht="13.5" hidden="false" customHeight="false" outlineLevel="0" collapsed="false">
      <c r="A121" s="47" t="n">
        <v>6</v>
      </c>
      <c r="B121" s="38" t="n">
        <f aca="false">助手收入!$B7</f>
        <v>2006</v>
      </c>
      <c r="C121" s="48" t="str">
        <f aca="false">助手收入!$C7</f>
        <v>博荣店</v>
      </c>
      <c r="D121" s="48" t="str">
        <f aca="false">科目对照收入!$B11&amp;""</f>
        <v>饿了么</v>
      </c>
      <c r="E121" s="48" t="str">
        <f aca="false">IF(AND(ROUND($G121,2)&lt;0,科目对照收入!$L11&lt;&gt;""),科目对照收入!$L11,科目对照收入!$C11)&amp;""</f>
        <v>应收账款</v>
      </c>
      <c r="F121" s="48" t="str">
        <f aca="false">IF(AND(ROUND($G121,2)&lt;0,科目对照收入!$L11&lt;&gt;""),科目对照收入!$M11,科目对照收入!$D11)&amp;""</f>
        <v>饿了么</v>
      </c>
      <c r="G121" s="49" t="n">
        <f aca="false">IF(COUNTIFS(输入平台!$A:$A,助手收入!$X7,输入平台!$B:$B,科目对照收入!$B11)&gt;0,ROUND(SUMIFS(输入平台!$C:$C,输入平台!$A:$A,助手收入!$X7,输入平台!$B:$B,科目对照收入!$B11),2),ROUND(海典汇总!$N$8,2))</f>
        <v>0</v>
      </c>
      <c r="H121" s="49" t="str">
        <f aca="false">IF(ROUND($G121,2)&gt;0,ROUND($G121,2),"")</f>
        <v/>
      </c>
      <c r="I121" s="49" t="str">
        <f aca="false">IF(ROUND($G121,2)&lt;0,-ROUND($G121,2),"")</f>
        <v/>
      </c>
      <c r="J121" s="20" t="n">
        <f aca="false">IF(ROUND($G121,2)=0,0,1)</f>
        <v>0</v>
      </c>
      <c r="K121" s="20" t="str">
        <f aca="false">IF($J121=0,"",SUM($J$112:$J121))</f>
        <v/>
      </c>
      <c r="L121" s="20" t="str">
        <f aca="false">IF($K121="","",$A121*100+$K121)</f>
        <v/>
      </c>
      <c r="M121" s="48" t="str">
        <f aca="false">参数!$B$3</f>
        <v>7月收入</v>
      </c>
    </row>
    <row r="122" customFormat="false" ht="13.5" hidden="false" customHeight="false" outlineLevel="0" collapsed="false">
      <c r="A122" s="47" t="n">
        <v>6</v>
      </c>
      <c r="B122" s="38" t="n">
        <f aca="false">助手收入!$B7</f>
        <v>2006</v>
      </c>
      <c r="C122" s="48" t="str">
        <f aca="false">助手收入!$C7</f>
        <v>博荣店</v>
      </c>
      <c r="D122" s="48" t="str">
        <f aca="false">科目对照收入!$B12&amp;""</f>
        <v>京东秒送</v>
      </c>
      <c r="E122" s="48" t="str">
        <f aca="false">IF(AND(ROUND($G122,2)&lt;0,科目对照收入!$L12&lt;&gt;""),科目对照收入!$L12,科目对照收入!$C12)&amp;""</f>
        <v>应收账款</v>
      </c>
      <c r="F122" s="48" t="str">
        <f aca="false">IF(AND(ROUND($G122,2)&lt;0,科目对照收入!$L12&lt;&gt;""),科目对照收入!$M12,科目对照收入!$D12)&amp;""</f>
        <v>京东秒送</v>
      </c>
      <c r="G122" s="49" t="n">
        <f aca="false">IF(COUNTIFS(输入平台!$A:$A,助手收入!$X7,输入平台!$B:$B,科目对照收入!$B12)&gt;0,ROUND(SUMIFS(输入平台!$C:$C,输入平台!$A:$A,助手收入!$X7,输入平台!$B:$B,科目对照收入!$B12),2),ROUND(海典汇总!$O$8,2))</f>
        <v>0</v>
      </c>
      <c r="H122" s="49" t="str">
        <f aca="false">IF(ROUND($G122,2)&gt;0,ROUND($G122,2),"")</f>
        <v/>
      </c>
      <c r="I122" s="49" t="str">
        <f aca="false">IF(ROUND($G122,2)&lt;0,-ROUND($G122,2),"")</f>
        <v/>
      </c>
      <c r="J122" s="20" t="n">
        <f aca="false">IF(ROUND($G122,2)=0,0,1)</f>
        <v>0</v>
      </c>
      <c r="K122" s="20" t="str">
        <f aca="false">IF($J122=0,"",SUM($J$112:$J122))</f>
        <v/>
      </c>
      <c r="L122" s="20" t="str">
        <f aca="false">IF($K122="","",$A122*100+$K122)</f>
        <v/>
      </c>
      <c r="M122" s="48" t="str">
        <f aca="false">参数!$B$3</f>
        <v>7月收入</v>
      </c>
    </row>
    <row r="123" customFormat="false" ht="13.5" hidden="false" customHeight="false" outlineLevel="0" collapsed="false">
      <c r="A123" s="47" t="n">
        <v>6</v>
      </c>
      <c r="B123" s="38" t="n">
        <f aca="false">助手收入!$B7</f>
        <v>2006</v>
      </c>
      <c r="C123" s="48" t="str">
        <f aca="false">助手收入!$C7</f>
        <v>博荣店</v>
      </c>
      <c r="D123" s="48" t="str">
        <f aca="false">科目对照收入!$B13&amp;""</f>
        <v>银联</v>
      </c>
      <c r="E123" s="48" t="str">
        <f aca="false">IF(AND(ROUND($G123,2)&lt;0,科目对照收入!$L13&lt;&gt;""),科目对照收入!$L13,科目对照收入!$C13)&amp;""</f>
        <v>应收账款</v>
      </c>
      <c r="F123" s="48" t="str">
        <f aca="false">IF(AND(ROUND($G123,2)&lt;0,科目对照收入!$L13&lt;&gt;""),科目对照收入!$M13,科目对照收入!$D13)&amp;""</f>
        <v>银联</v>
      </c>
      <c r="G123" s="49" t="n">
        <f aca="false">IF(COUNTIFS(输入平台!$A:$A,助手收入!$X7,输入平台!$B:$B,科目对照收入!$B13)&gt;0,ROUND(SUMIFS(输入平台!$C:$C,输入平台!$A:$A,助手收入!$X7,输入平台!$B:$B,科目对照收入!$B13),2),ROUND(海典汇总!$V$8,2))</f>
        <v>0</v>
      </c>
      <c r="H123" s="49" t="str">
        <f aca="false">IF(ROUND($G123,2)&gt;0,ROUND($G123,2),"")</f>
        <v/>
      </c>
      <c r="I123" s="49" t="str">
        <f aca="false">IF(ROUND($G123,2)&lt;0,-ROUND($G123,2),"")</f>
        <v/>
      </c>
      <c r="J123" s="20" t="n">
        <f aca="false">IF(ROUND($G123,2)=0,0,1)</f>
        <v>0</v>
      </c>
      <c r="K123" s="20" t="str">
        <f aca="false">IF($J123=0,"",SUM($J$112:$J123))</f>
        <v/>
      </c>
      <c r="L123" s="20" t="str">
        <f aca="false">IF($K123="","",$A123*100+$K123)</f>
        <v/>
      </c>
      <c r="M123" s="48" t="str">
        <f aca="false">参数!$B$3</f>
        <v>7月收入</v>
      </c>
    </row>
    <row r="124" customFormat="false" ht="13.5" hidden="false" customHeight="false" outlineLevel="0" collapsed="false">
      <c r="A124" s="47" t="n">
        <v>6</v>
      </c>
      <c r="B124" s="38" t="n">
        <f aca="false">助手收入!$B7</f>
        <v>2006</v>
      </c>
      <c r="C124" s="48" t="str">
        <f aca="false">助手收入!$C7</f>
        <v>博荣店</v>
      </c>
      <c r="D124" s="48" t="str">
        <f aca="false">科目对照收入!$B14&amp;""</f>
        <v>小镇外卖</v>
      </c>
      <c r="E124" s="48" t="str">
        <f aca="false">IF(AND(ROUND($G124,2)&lt;0,科目对照收入!$L14&lt;&gt;""),科目对照收入!$L14,科目对照收入!$C14)&amp;""</f>
        <v>应收账款</v>
      </c>
      <c r="F124" s="48" t="str">
        <f aca="false">IF(AND(ROUND($G124,2)&lt;0,科目对照收入!$L14&lt;&gt;""),科目对照收入!$M14,科目对照收入!$D14)&amp;""</f>
        <v>小镇外卖</v>
      </c>
      <c r="G124" s="49" t="n">
        <f aca="false">IF(COUNTIFS(输入平台!$A:$A,助手收入!$X7,输入平台!$B:$B,科目对照收入!$B14)&gt;0,ROUND(SUMIFS(输入平台!$C:$C,输入平台!$A:$A,助手收入!$X7,输入平台!$B:$B,科目对照收入!$B14),2),ROUND(海典汇总!$AC$8,2))</f>
        <v>0</v>
      </c>
      <c r="H124" s="49" t="str">
        <f aca="false">IF(ROUND($G124,2)&gt;0,ROUND($G124,2),"")</f>
        <v/>
      </c>
      <c r="I124" s="49" t="str">
        <f aca="false">IF(ROUND($G124,2)&lt;0,-ROUND($G124,2),"")</f>
        <v/>
      </c>
      <c r="J124" s="20" t="n">
        <f aca="false">IF(ROUND($G124,2)=0,0,1)</f>
        <v>0</v>
      </c>
      <c r="K124" s="20" t="str">
        <f aca="false">IF($J124=0,"",SUM($J$112:$J124))</f>
        <v/>
      </c>
      <c r="L124" s="20" t="str">
        <f aca="false">IF($K124="","",$A124*100+$K124)</f>
        <v/>
      </c>
      <c r="M124" s="48" t="str">
        <f aca="false">参数!$B$3</f>
        <v>7月收入</v>
      </c>
    </row>
    <row r="125" customFormat="false" ht="13.5" hidden="false" customHeight="false" outlineLevel="0" collapsed="false">
      <c r="A125" s="47" t="n">
        <v>6</v>
      </c>
      <c r="B125" s="38" t="n">
        <f aca="false">助手收入!$B7</f>
        <v>2006</v>
      </c>
      <c r="C125" s="48" t="str">
        <f aca="false">助手收入!$C7</f>
        <v>博荣店</v>
      </c>
      <c r="D125" s="48" t="str">
        <f aca="false">科目对照收入!$B15&amp;""</f>
        <v>OMS线上支付</v>
      </c>
      <c r="E125" s="48" t="str">
        <f aca="false">IF(AND(ROUND($G125,2)&lt;0,科目对照收入!$L15&lt;&gt;""),科目对照收入!$L15,科目对照收入!$C15)&amp;""</f>
        <v>应收账款</v>
      </c>
      <c r="F125" s="48" t="str">
        <f aca="false">IF(AND(ROUND($G125,2)&lt;0,科目对照收入!$L15&lt;&gt;""),科目对照收入!$M15,科目对照收入!$D15)&amp;""</f>
        <v>OMS线上</v>
      </c>
      <c r="G125" s="49" t="n">
        <f aca="false">IF(COUNTIFS(输入平台!$A:$A,助手收入!$X7,输入平台!$B:$B,科目对照收入!$B15)&gt;0,ROUND(SUMIFS(输入平台!$C:$C,输入平台!$A:$A,助手收入!$X7,输入平台!$B:$B,科目对照收入!$B15),2),ROUND(海典汇总!$L$8,2))</f>
        <v>0</v>
      </c>
      <c r="H125" s="49" t="str">
        <f aca="false">IF(ROUND($G125,2)&gt;0,ROUND($G125,2),"")</f>
        <v/>
      </c>
      <c r="I125" s="49" t="str">
        <f aca="false">IF(ROUND($G125,2)&lt;0,-ROUND($G125,2),"")</f>
        <v/>
      </c>
      <c r="J125" s="20" t="n">
        <f aca="false">IF(ROUND($G125,2)=0,0,1)</f>
        <v>0</v>
      </c>
      <c r="K125" s="20" t="str">
        <f aca="false">IF($J125=0,"",SUM($J$112:$J125))</f>
        <v/>
      </c>
      <c r="L125" s="20" t="str">
        <f aca="false">IF($K125="","",$A125*100+$K125)</f>
        <v/>
      </c>
      <c r="M125" s="48" t="str">
        <f aca="false">参数!$B$3</f>
        <v>7月收入</v>
      </c>
    </row>
    <row r="126" customFormat="false" ht="13.5" hidden="false" customHeight="false" outlineLevel="0" collapsed="false">
      <c r="A126" s="47" t="n">
        <v>6</v>
      </c>
      <c r="B126" s="38" t="n">
        <f aca="false">助手收入!$B7</f>
        <v>2006</v>
      </c>
      <c r="C126" s="48" t="str">
        <f aca="false">助手收入!$C7</f>
        <v>博荣店</v>
      </c>
      <c r="D126" s="48" t="str">
        <f aca="false">科目对照收入!$B16&amp;""</f>
        <v>平安药卡</v>
      </c>
      <c r="E126" s="48" t="str">
        <f aca="false">IF(AND(ROUND($G126,2)&lt;0,科目对照收入!$L16&lt;&gt;""),科目对照收入!$L16,科目对照收入!$C16)&amp;""</f>
        <v>应收账款</v>
      </c>
      <c r="F126" s="48" t="str">
        <f aca="false">IF(AND(ROUND($G126,2)&lt;0,科目对照收入!$L16&lt;&gt;""),科目对照收入!$M16,科目对照收入!$D16)&amp;""</f>
        <v>平安</v>
      </c>
      <c r="G126" s="49" t="n">
        <f aca="false">IF(COUNTIFS(输入平台!$A:$A,助手收入!$X7,输入平台!$B:$B,科目对照收入!$B16)&gt;0,ROUND(SUMIFS(输入平台!$C:$C,输入平台!$A:$A,助手收入!$X7,输入平台!$B:$B,科目对照收入!$B16),2),ROUND(海典汇总!$AB$8,2))</f>
        <v>0</v>
      </c>
      <c r="H126" s="49" t="str">
        <f aca="false">IF(ROUND($G126,2)&gt;0,ROUND($G126,2),"")</f>
        <v/>
      </c>
      <c r="I126" s="49" t="str">
        <f aca="false">IF(ROUND($G126,2)&lt;0,-ROUND($G126,2),"")</f>
        <v/>
      </c>
      <c r="J126" s="20" t="n">
        <f aca="false">IF(ROUND($G126,2)=0,0,1)</f>
        <v>0</v>
      </c>
      <c r="K126" s="20" t="str">
        <f aca="false">IF($J126=0,"",SUM($J$112:$J126))</f>
        <v/>
      </c>
      <c r="L126" s="20" t="str">
        <f aca="false">IF($K126="","",$A126*100+$K126)</f>
        <v/>
      </c>
      <c r="M126" s="48" t="str">
        <f aca="false">参数!$B$3</f>
        <v>7月收入</v>
      </c>
    </row>
    <row r="127" customFormat="false" ht="13.5" hidden="false" customHeight="false" outlineLevel="0" collapsed="false">
      <c r="A127" s="47" t="n">
        <v>6</v>
      </c>
      <c r="B127" s="38" t="n">
        <f aca="false">助手收入!$B7</f>
        <v>2006</v>
      </c>
      <c r="C127" s="48" t="str">
        <f aca="false">助手收入!$C7</f>
        <v>博荣店</v>
      </c>
      <c r="D127" s="48" t="str">
        <f aca="false">科目对照收入!$B17&amp;""</f>
        <v>储值卡</v>
      </c>
      <c r="E127" s="48" t="str">
        <f aca="false">IF(AND(ROUND($G127,2)&lt;0,科目对照收入!$L17&lt;&gt;""),科目对照收入!$L17,科目对照收入!$C17)&amp;""</f>
        <v>其他应收款</v>
      </c>
      <c r="F127" s="48" t="str">
        <f aca="false">IF(AND(ROUND($G127,2)&lt;0,科目对照收入!$L17&lt;&gt;""),科目对照收入!$M17,科目对照收入!$D17)&amp;""</f>
        <v>储值卡</v>
      </c>
      <c r="G127" s="49" t="n">
        <f aca="false">ROUND(海典汇总!$Q$8,2)</f>
        <v>534.7</v>
      </c>
      <c r="H127" s="49" t="n">
        <f aca="false">IF(ROUND($G127,2)&gt;0,ROUND($G127,2),"")</f>
        <v>534.7</v>
      </c>
      <c r="I127" s="49" t="str">
        <f aca="false">IF(ROUND($G127,2)&lt;0,-ROUND($G127,2),"")</f>
        <v/>
      </c>
      <c r="J127" s="20" t="n">
        <f aca="false">IF(ROUND($G127,2)=0,0,1)</f>
        <v>1</v>
      </c>
      <c r="K127" s="20" t="n">
        <f aca="false">IF($J127=0,"",SUM($J$112:$J127))</f>
        <v>6</v>
      </c>
      <c r="L127" s="20" t="n">
        <f aca="false">IF($K127="","",$A127*100+$K127)</f>
        <v>606</v>
      </c>
      <c r="M127" s="48" t="str">
        <f aca="false">参数!$B$3</f>
        <v>7月收入</v>
      </c>
    </row>
    <row r="128" customFormat="false" ht="13.5" hidden="false" customHeight="false" outlineLevel="0" collapsed="false">
      <c r="A128" s="47" t="n">
        <v>6</v>
      </c>
      <c r="B128" s="38" t="n">
        <f aca="false">助手收入!$B7</f>
        <v>2006</v>
      </c>
      <c r="C128" s="48" t="str">
        <f aca="false">助手收入!$C7</f>
        <v>博荣店</v>
      </c>
      <c r="D128" s="48" t="str">
        <f aca="false">科目对照收入!$B18&amp;""</f>
        <v>会员零钱包</v>
      </c>
      <c r="E128" s="48" t="str">
        <f aca="false">IF(AND(ROUND($G128,2)&lt;0,科目对照收入!$L18&lt;&gt;""),科目对照收入!$L18,科目对照收入!$C18)&amp;""</f>
        <v>其他应收款</v>
      </c>
      <c r="F128" s="48" t="str">
        <f aca="false">IF(AND(ROUND($G128,2)&lt;0,科目对照收入!$L18&lt;&gt;""),科目对照收入!$M18,科目对照收入!$D18)&amp;""</f>
        <v>会员零钱包</v>
      </c>
      <c r="G128" s="49" t="n">
        <f aca="false">ROUND(海典汇总!$P$8,2)</f>
        <v>0</v>
      </c>
      <c r="H128" s="49" t="str">
        <f aca="false">IF(ROUND($G128,2)&gt;0,ROUND($G128,2),"")</f>
        <v/>
      </c>
      <c r="I128" s="49" t="str">
        <f aca="false">IF(ROUND($G128,2)&lt;0,-ROUND($G128,2),"")</f>
        <v/>
      </c>
      <c r="J128" s="20" t="n">
        <f aca="false">IF(ROUND($G128,2)=0,0,1)</f>
        <v>0</v>
      </c>
      <c r="K128" s="20" t="str">
        <f aca="false">IF($J128=0,"",SUM($J$112:$J128))</f>
        <v/>
      </c>
      <c r="L128" s="20" t="str">
        <f aca="false">IF($K128="","",$A128*100+$K128)</f>
        <v/>
      </c>
      <c r="M128" s="48" t="str">
        <f aca="false">参数!$B$3</f>
        <v>7月收入</v>
      </c>
    </row>
    <row r="129" customFormat="false" ht="13.5" hidden="false" customHeight="false" outlineLevel="0" collapsed="false">
      <c r="A129" s="47" t="n">
        <v>6</v>
      </c>
      <c r="B129" s="38" t="n">
        <f aca="false">助手收入!$B7</f>
        <v>2006</v>
      </c>
      <c r="C129" s="48" t="str">
        <f aca="false">助手收入!$C7</f>
        <v>博荣店</v>
      </c>
      <c r="D129" s="48" t="str">
        <f aca="false">科目对照收入!$B19&amp;""</f>
        <v>促销费</v>
      </c>
      <c r="E129" s="48" t="str">
        <f aca="false">IF(AND(ROUND($G129,2)&lt;0,科目对照收入!$L19&lt;&gt;""),科目对照收入!$L19,科目对照收入!$C19)&amp;""</f>
        <v>销售费用</v>
      </c>
      <c r="F129" s="48" t="str">
        <f aca="false">IF(AND(ROUND($G129,2)&lt;0,科目对照收入!$L19&lt;&gt;""),科目对照收入!$M19,科目对照收入!$D19)&amp;""</f>
        <v>促销费</v>
      </c>
      <c r="G129" s="49" t="n">
        <f aca="false">ROUND(海典汇总!$U$8+海典汇总!$T$8+海典汇总!$S$8,2)</f>
        <v>1141.91</v>
      </c>
      <c r="H129" s="49" t="n">
        <f aca="false">IF(ROUND($G129,2)&gt;0,ROUND($G129,2),"")</f>
        <v>1141.91</v>
      </c>
      <c r="I129" s="49" t="str">
        <f aca="false">IF(ROUND($G129,2)&lt;0,-ROUND($G129,2),"")</f>
        <v/>
      </c>
      <c r="J129" s="20" t="n">
        <f aca="false">IF(ROUND($G129,2)=0,0,1)</f>
        <v>1</v>
      </c>
      <c r="K129" s="20" t="n">
        <f aca="false">IF($J129=0,"",SUM($J$112:$J129))</f>
        <v>7</v>
      </c>
      <c r="L129" s="20" t="n">
        <f aca="false">IF($K129="","",$A129*100+$K129)</f>
        <v>607</v>
      </c>
      <c r="M129" s="48" t="str">
        <f aca="false">参数!$B$3</f>
        <v>7月收入</v>
      </c>
    </row>
    <row r="130" customFormat="false" ht="13.5" hidden="false" customHeight="false" outlineLevel="0" collapsed="false">
      <c r="A130" s="47" t="n">
        <v>6</v>
      </c>
      <c r="B130" s="38" t="n">
        <f aca="false">助手收入!$B7</f>
        <v>2006</v>
      </c>
      <c r="C130" s="48" t="str">
        <f aca="false">助手收入!$C7</f>
        <v>博荣店</v>
      </c>
      <c r="D130" s="48" t="str">
        <f aca="false">科目对照收入!$B20&amp;""</f>
        <v>积分</v>
      </c>
      <c r="E130" s="48" t="str">
        <f aca="false">IF(AND(ROUND($G130,2)&lt;0,科目对照收入!$L20&lt;&gt;""),科目对照收入!$L20,科目对照收入!$C20)&amp;""</f>
        <v>销售费用</v>
      </c>
      <c r="F130" s="48" t="str">
        <f aca="false">IF(AND(ROUND($G130,2)&lt;0,科目对照收入!$L20&lt;&gt;""),科目对照收入!$M20,科目对照收入!$D20)&amp;""</f>
        <v>积分</v>
      </c>
      <c r="G130" s="49" t="n">
        <f aca="false">ROUND(海典汇总!$R$8,2)</f>
        <v>0</v>
      </c>
      <c r="H130" s="49" t="str">
        <f aca="false">IF(ROUND($G130,2)&gt;0,ROUND($G130,2),"")</f>
        <v/>
      </c>
      <c r="I130" s="49" t="str">
        <f aca="false">IF(ROUND($G130,2)&lt;0,-ROUND($G130,2),"")</f>
        <v/>
      </c>
      <c r="J130" s="20" t="n">
        <f aca="false">IF(ROUND($G130,2)=0,0,1)</f>
        <v>0</v>
      </c>
      <c r="K130" s="20" t="str">
        <f aca="false">IF($J130=0,"",SUM($J$112:$J130))</f>
        <v/>
      </c>
      <c r="L130" s="20" t="str">
        <f aca="false">IF($K130="","",$A130*100+$K130)</f>
        <v/>
      </c>
      <c r="M130" s="48" t="str">
        <f aca="false">参数!$B$3</f>
        <v>7月收入</v>
      </c>
    </row>
    <row r="131" customFormat="false" ht="13.5" hidden="false" customHeight="false" outlineLevel="0" collapsed="false">
      <c r="A131" s="47" t="n">
        <v>6</v>
      </c>
      <c r="B131" s="38" t="n">
        <f aca="false">助手收入!$B7</f>
        <v>2006</v>
      </c>
      <c r="C131" s="48" t="str">
        <f aca="false">助手收入!$C7</f>
        <v>博荣店</v>
      </c>
      <c r="D131" s="48" t="str">
        <f aca="false">科目对照收入!$B21&amp;""</f>
        <v>手续费</v>
      </c>
      <c r="E131" s="48" t="str">
        <f aca="false">IF(AND(ROUND($G131,2)&lt;0,科目对照收入!$L21&lt;&gt;""),科目对照收入!$L21,科目对照收入!$C21)&amp;""</f>
        <v>财务费用</v>
      </c>
      <c r="F131" s="48" t="str">
        <f aca="false">IF(AND(ROUND($G131,2)&lt;0,科目对照收入!$L21&lt;&gt;""),科目对照收入!$M21,科目对照收入!$D21)&amp;""</f>
        <v>手续费</v>
      </c>
      <c r="G131" s="49" t="n">
        <f aca="false">ROUND(SUMIFS(输入聚合!$D:$D,输入聚合!$A:$A,助手收入!$X7),2)</f>
        <v>90.26</v>
      </c>
      <c r="H131" s="49" t="n">
        <f aca="false">IF(ROUND($G131,2)&gt;0,ROUND($G131,2),"")</f>
        <v>90.26</v>
      </c>
      <c r="I131" s="49" t="str">
        <f aca="false">IF(ROUND($G131,2)&lt;0,-ROUND($G131,2),"")</f>
        <v/>
      </c>
      <c r="J131" s="20" t="n">
        <f aca="false">IF(ROUND($G131,2)=0,0,1)</f>
        <v>1</v>
      </c>
      <c r="K131" s="20" t="n">
        <f aca="false">IF($J131=0,"",SUM($J$112:$J131))</f>
        <v>8</v>
      </c>
      <c r="L131" s="20" t="n">
        <f aca="false">IF($K131="","",$A131*100+$K131)</f>
        <v>608</v>
      </c>
      <c r="M131" s="48" t="str">
        <f aca="false">参数!$B$3</f>
        <v>7月收入</v>
      </c>
    </row>
    <row r="132" customFormat="false" ht="13.5" hidden="false" customHeight="false" outlineLevel="0" collapsed="false">
      <c r="A132" s="47" t="n">
        <v>6</v>
      </c>
      <c r="B132" s="38" t="n">
        <f aca="false">助手收入!$B7</f>
        <v>2006</v>
      </c>
      <c r="C132" s="48" t="str">
        <f aca="false">助手收入!$C7</f>
        <v>博荣店</v>
      </c>
      <c r="D132" s="48" t="str">
        <f aca="false">科目对照收入!$B22&amp;""</f>
        <v>主营业务收入</v>
      </c>
      <c r="E132" s="48" t="str">
        <f aca="false">IF(AND(ROUND($G132,2)&lt;0,科目对照收入!$L22&lt;&gt;""),科目对照收入!$L22,科目对照收入!$C22)&amp;""</f>
        <v>主营业务收入</v>
      </c>
      <c r="F132" s="48" t="str">
        <f aca="false">IF(AND(ROUND($G132,2)&lt;0,科目对照收入!$L22&lt;&gt;""),科目对照收入!$M22,科目对照收入!$D22)&amp;""</f>
        <v/>
      </c>
      <c r="G132" s="49" t="n">
        <f aca="false">-ROUND(助手收入!$G7,2)</f>
        <v>-65353.62</v>
      </c>
      <c r="H132" s="49" t="str">
        <f aca="false">IF(ROUND($G132,2)&gt;0,ROUND($G132,2),"")</f>
        <v/>
      </c>
      <c r="I132" s="49" t="n">
        <f aca="false">IF(ROUND($G132,2)&lt;0,-ROUND($G132,2),"")</f>
        <v>65353.62</v>
      </c>
      <c r="J132" s="20" t="n">
        <f aca="false">IF(ROUND($G132,2)=0,0,1)</f>
        <v>1</v>
      </c>
      <c r="K132" s="20" t="n">
        <f aca="false">IF($J132=0,"",SUM($J$112:$J132))</f>
        <v>9</v>
      </c>
      <c r="L132" s="20" t="n">
        <f aca="false">IF($K132="","",$A132*100+$K132)</f>
        <v>609</v>
      </c>
      <c r="M132" s="48" t="str">
        <f aca="false">参数!$B$3</f>
        <v>7月收入</v>
      </c>
    </row>
    <row r="133" customFormat="false" ht="13.5" hidden="false" customHeight="false" outlineLevel="0" collapsed="false">
      <c r="A133" s="47" t="n">
        <v>6</v>
      </c>
      <c r="B133" s="38" t="n">
        <f aca="false">助手收入!$B7</f>
        <v>2006</v>
      </c>
      <c r="C133" s="48" t="str">
        <f aca="false">助手收入!$C7</f>
        <v>博荣店</v>
      </c>
      <c r="D133" s="48" t="str">
        <f aca="false">科目对照收入!$B23&amp;""</f>
        <v>营业外收入</v>
      </c>
      <c r="E133" s="48" t="str">
        <f aca="false">IF(AND(ROUND($G133,2)&lt;0,科目对照收入!$L23&lt;&gt;""),科目对照收入!$L23,科目对照收入!$C23)&amp;""</f>
        <v>营业外收入</v>
      </c>
      <c r="F133" s="48" t="str">
        <f aca="false">IF(AND(ROUND($G133,2)&lt;0,科目对照收入!$L23&lt;&gt;""),科目对照收入!$M23,科目对照收入!$D23)&amp;""</f>
        <v/>
      </c>
      <c r="G133" s="49" t="n">
        <f aca="false">-ROUND(助手收入!$J7,2)</f>
        <v>-0</v>
      </c>
      <c r="H133" s="49" t="str">
        <f aca="false">IF(ROUND($G133,2)&gt;0,ROUND($G133,2),"")</f>
        <v/>
      </c>
      <c r="I133" s="49" t="str">
        <f aca="false">IF(ROUND($G133,2)&lt;0,-ROUND($G133,2),"")</f>
        <v/>
      </c>
      <c r="J133" s="20" t="n">
        <f aca="false">IF(ROUND($G133,2)=0,0,1)</f>
        <v>0</v>
      </c>
      <c r="K133" s="20" t="str">
        <f aca="false">IF($J133=0,"",SUM($J$112:$J133))</f>
        <v/>
      </c>
      <c r="L133" s="20" t="str">
        <f aca="false">IF($K133="","",$A133*100+$K133)</f>
        <v/>
      </c>
      <c r="M133" s="48" t="str">
        <f aca="false">参数!$B$3</f>
        <v>7月收入</v>
      </c>
    </row>
    <row r="134" customFormat="false" ht="13.5" hidden="false" customHeight="false" outlineLevel="0" collapsed="false">
      <c r="A134" s="47" t="n">
        <v>7</v>
      </c>
      <c r="B134" s="38" t="n">
        <f aca="false">助手收入!$B8</f>
        <v>2007</v>
      </c>
      <c r="C134" s="48" t="str">
        <f aca="false">助手收入!$C8</f>
        <v>华鑫店</v>
      </c>
      <c r="D134" s="48" t="str">
        <f aca="false">科目对照收入!$B2&amp;""</f>
        <v>库存现金</v>
      </c>
      <c r="E134" s="48" t="str">
        <f aca="false">IF(AND(ROUND($G134,2)&lt;0,科目对照收入!$L2&lt;&gt;""),科目对照收入!$L2,科目对照收入!$C2)&amp;""</f>
        <v>库存现金</v>
      </c>
      <c r="F134" s="48" t="str">
        <f aca="false">IF(AND(ROUND($G134,2)&lt;0,科目对照收入!$L2&lt;&gt;""),科目对照收入!$M2,科目对照收入!$D2)&amp;""</f>
        <v/>
      </c>
      <c r="G134" s="49" t="n">
        <f aca="false">助手收入!$I8</f>
        <v>12722.01</v>
      </c>
      <c r="H134" s="49" t="n">
        <f aca="false">IF(ROUND($G134,2)&gt;0,ROUND($G134,2),"")</f>
        <v>12722.01</v>
      </c>
      <c r="I134" s="49" t="str">
        <f aca="false">IF(ROUND($G134,2)&lt;0,-ROUND($G134,2),"")</f>
        <v/>
      </c>
      <c r="J134" s="20" t="n">
        <f aca="false">IF(ROUND($G134,2)=0,0,1)</f>
        <v>1</v>
      </c>
      <c r="K134" s="20" t="n">
        <f aca="false">IF($J134=0,"",SUM($J$134:$J134))</f>
        <v>1</v>
      </c>
      <c r="L134" s="20" t="n">
        <f aca="false">IF($K134="","",$A134*100+$K134)</f>
        <v>701</v>
      </c>
      <c r="M134" s="48" t="str">
        <f aca="false">参数!$B$3</f>
        <v>7月收入</v>
      </c>
    </row>
    <row r="135" customFormat="false" ht="13.5" hidden="false" customHeight="false" outlineLevel="0" collapsed="false">
      <c r="A135" s="47" t="n">
        <v>7</v>
      </c>
      <c r="B135" s="38" t="n">
        <f aca="false">助手收入!$B8</f>
        <v>2007</v>
      </c>
      <c r="C135" s="48" t="str">
        <f aca="false">助手收入!$C8</f>
        <v>华鑫店</v>
      </c>
      <c r="D135" s="48" t="str">
        <f aca="false">科目对照收入!$B3&amp;""</f>
        <v>聚合支付</v>
      </c>
      <c r="E135" s="48" t="str">
        <f aca="false">IF(AND(ROUND($G135,2)&lt;0,科目对照收入!$L3&lt;&gt;""),科目对照收入!$L3,科目对照收入!$C3)&amp;""</f>
        <v>应收账款</v>
      </c>
      <c r="F135" s="48" t="str">
        <f aca="false">IF(AND(ROUND($G135,2)&lt;0,科目对照收入!$L3&lt;&gt;""),科目对照收入!$M3,科目对照收入!$D3)&amp;""</f>
        <v>聚合支付</v>
      </c>
      <c r="G135" s="49" t="n">
        <f aca="false">ROUND(SUMIFS(输入聚合!$C:$C,输入聚合!$A:$A,助手收入!$X8)-SUMIFS(输入聚合!$D:$D,输入聚合!$A:$A,助手收入!$X8),2)</f>
        <v>33720.14</v>
      </c>
      <c r="H135" s="49" t="n">
        <f aca="false">IF(ROUND($G135,2)&gt;0,ROUND($G135,2),"")</f>
        <v>33720.14</v>
      </c>
      <c r="I135" s="49" t="str">
        <f aca="false">IF(ROUND($G135,2)&lt;0,-ROUND($G135,2),"")</f>
        <v/>
      </c>
      <c r="J135" s="20" t="n">
        <f aca="false">IF(ROUND($G135,2)=0,0,1)</f>
        <v>1</v>
      </c>
      <c r="K135" s="20" t="n">
        <f aca="false">IF($J135=0,"",SUM($J$134:$J135))</f>
        <v>2</v>
      </c>
      <c r="L135" s="20" t="n">
        <f aca="false">IF($K135="","",$A135*100+$K135)</f>
        <v>702</v>
      </c>
      <c r="M135" s="48" t="str">
        <f aca="false">参数!$B$3</f>
        <v>7月收入</v>
      </c>
    </row>
    <row r="136" customFormat="false" ht="13.5" hidden="false" customHeight="false" outlineLevel="0" collapsed="false">
      <c r="A136" s="47" t="n">
        <v>7</v>
      </c>
      <c r="B136" s="38" t="n">
        <f aca="false">助手收入!$B8</f>
        <v>2007</v>
      </c>
      <c r="C136" s="48" t="str">
        <f aca="false">助手收入!$C8</f>
        <v>华鑫店</v>
      </c>
      <c r="D136" s="48" t="str">
        <f aca="false">科目对照收入!$B4&amp;""</f>
        <v>医保</v>
      </c>
      <c r="E136" s="48" t="str">
        <f aca="false">IF(AND(ROUND($G136,2)&lt;0,科目对照收入!$L4&lt;&gt;""),科目对照收入!$L4,科目对照收入!$C4)&amp;""</f>
        <v>应收账款</v>
      </c>
      <c r="F136" s="48" t="str">
        <f aca="false">IF(AND(ROUND($G136,2)&lt;0,科目对照收入!$L4&lt;&gt;""),科目对照收入!$M4,科目对照收入!$D4)&amp;""</f>
        <v>医保</v>
      </c>
      <c r="G136" s="49" t="n">
        <f aca="false">IF(COUNTIFS(输入平台!$A:$A,助手收入!$X8,输入平台!$B:$B,科目对照收入!$B4)&gt;0,ROUND(SUMIFS(输入平台!$C:$C,输入平台!$A:$A,助手收入!$X8,输入平台!$B:$B,科目对照收入!$B4),2),ROUND(海典汇总!$F$9+海典汇总!$G$9,2))</f>
        <v>11838.8</v>
      </c>
      <c r="H136" s="49" t="n">
        <f aca="false">IF(ROUND($G136,2)&gt;0,ROUND($G136,2),"")</f>
        <v>11838.8</v>
      </c>
      <c r="I136" s="49" t="str">
        <f aca="false">IF(ROUND($G136,2)&lt;0,-ROUND($G136,2),"")</f>
        <v/>
      </c>
      <c r="J136" s="20" t="n">
        <f aca="false">IF(ROUND($G136,2)=0,0,1)</f>
        <v>1</v>
      </c>
      <c r="K136" s="20" t="n">
        <f aca="false">IF($J136=0,"",SUM($J$134:$J136))</f>
        <v>3</v>
      </c>
      <c r="L136" s="20" t="n">
        <f aca="false">IF($K136="","",$A136*100+$K136)</f>
        <v>703</v>
      </c>
      <c r="M136" s="48" t="str">
        <f aca="false">参数!$B$3</f>
        <v>7月收入</v>
      </c>
    </row>
    <row r="137" customFormat="false" ht="13.5" hidden="false" customHeight="false" outlineLevel="0" collapsed="false">
      <c r="A137" s="47" t="n">
        <v>7</v>
      </c>
      <c r="B137" s="38" t="n">
        <f aca="false">助手收入!$B8</f>
        <v>2007</v>
      </c>
      <c r="C137" s="48" t="str">
        <f aca="false">助手收入!$C8</f>
        <v>华鑫店</v>
      </c>
      <c r="D137" s="48" t="str">
        <f aca="false">科目对照收入!$B5&amp;""</f>
        <v>健e卡</v>
      </c>
      <c r="E137" s="48" t="str">
        <f aca="false">IF(AND(ROUND($G137,2)&lt;0,科目对照收入!$L5&lt;&gt;""),科目对照收入!$L5,科目对照收入!$C5)&amp;""</f>
        <v>应收账款</v>
      </c>
      <c r="F137" s="48" t="str">
        <f aca="false">IF(AND(ROUND($G137,2)&lt;0,科目对照收入!$L5&lt;&gt;""),科目对照收入!$M5,科目对照收入!$D5)&amp;""</f>
        <v>健e卡</v>
      </c>
      <c r="G137" s="49" t="n">
        <f aca="false">IF(COUNTIFS(输入平台!$A:$A,助手收入!$X8,输入平台!$B:$B,科目对照收入!$B5)&gt;0,ROUND(SUMIFS(输入平台!$C:$C,输入平台!$A:$A,助手收入!$X8,输入平台!$B:$B,科目对照收入!$B5),2),ROUND(海典汇总!$H$9,2))</f>
        <v>0</v>
      </c>
      <c r="H137" s="49" t="str">
        <f aca="false">IF(ROUND($G137,2)&gt;0,ROUND($G137,2),"")</f>
        <v/>
      </c>
      <c r="I137" s="49" t="str">
        <f aca="false">IF(ROUND($G137,2)&lt;0,-ROUND($G137,2),"")</f>
        <v/>
      </c>
      <c r="J137" s="20" t="n">
        <f aca="false">IF(ROUND($G137,2)=0,0,1)</f>
        <v>0</v>
      </c>
      <c r="K137" s="20" t="str">
        <f aca="false">IF($J137=0,"",SUM($J$134:$J137))</f>
        <v/>
      </c>
      <c r="L137" s="20" t="str">
        <f aca="false">IF($K137="","",$A137*100+$K137)</f>
        <v/>
      </c>
      <c r="M137" s="48" t="str">
        <f aca="false">参数!$B$3</f>
        <v>7月收入</v>
      </c>
    </row>
    <row r="138" customFormat="false" ht="13.5" hidden="false" customHeight="false" outlineLevel="0" collapsed="false">
      <c r="A138" s="47" t="n">
        <v>7</v>
      </c>
      <c r="B138" s="38" t="n">
        <f aca="false">助手收入!$B8</f>
        <v>2007</v>
      </c>
      <c r="C138" s="48" t="str">
        <f aca="false">助手收入!$C8</f>
        <v>华鑫店</v>
      </c>
      <c r="D138" s="48" t="str">
        <f aca="false">科目对照收入!$B6&amp;""</f>
        <v>医卡通</v>
      </c>
      <c r="E138" s="48" t="str">
        <f aca="false">IF(AND(ROUND($G138,2)&lt;0,科目对照收入!$L6&lt;&gt;""),科目对照收入!$L6,科目对照收入!$C6)&amp;""</f>
        <v>应收账款</v>
      </c>
      <c r="F138" s="48" t="str">
        <f aca="false">IF(AND(ROUND($G138,2)&lt;0,科目对照收入!$L6&lt;&gt;""),科目对照收入!$M6,科目对照收入!$D6)&amp;""</f>
        <v>医卡通</v>
      </c>
      <c r="G138" s="49" t="n">
        <f aca="false">IF(COUNTIFS(输入平台!$A:$A,助手收入!$X8,输入平台!$B:$B,科目对照收入!$B6)&gt;0,ROUND(SUMIFS(输入平台!$C:$C,输入平台!$A:$A,助手收入!$X8,输入平台!$B:$B,科目对照收入!$B6),2),ROUND(海典汇总!$I$9,2))</f>
        <v>0</v>
      </c>
      <c r="H138" s="49" t="str">
        <f aca="false">IF(ROUND($G138,2)&gt;0,ROUND($G138,2),"")</f>
        <v/>
      </c>
      <c r="I138" s="49" t="str">
        <f aca="false">IF(ROUND($G138,2)&lt;0,-ROUND($G138,2),"")</f>
        <v/>
      </c>
      <c r="J138" s="20" t="n">
        <f aca="false">IF(ROUND($G138,2)=0,0,1)</f>
        <v>0</v>
      </c>
      <c r="K138" s="20" t="str">
        <f aca="false">IF($J138=0,"",SUM($J$134:$J138))</f>
        <v/>
      </c>
      <c r="L138" s="20" t="str">
        <f aca="false">IF($K138="","",$A138*100+$K138)</f>
        <v/>
      </c>
      <c r="M138" s="48" t="str">
        <f aca="false">参数!$B$3</f>
        <v>7月收入</v>
      </c>
    </row>
    <row r="139" customFormat="false" ht="13.5" hidden="false" customHeight="false" outlineLevel="0" collapsed="false">
      <c r="A139" s="47" t="n">
        <v>7</v>
      </c>
      <c r="B139" s="38" t="n">
        <f aca="false">助手收入!$B8</f>
        <v>2007</v>
      </c>
      <c r="C139" s="48" t="str">
        <f aca="false">助手收入!$C8</f>
        <v>华鑫店</v>
      </c>
      <c r="D139" s="48" t="str">
        <f aca="false">科目对照收入!$B7&amp;""</f>
        <v>企健网</v>
      </c>
      <c r="E139" s="48" t="str">
        <f aca="false">IF(AND(ROUND($G139,2)&lt;0,科目对照收入!$L7&lt;&gt;""),科目对照收入!$L7,科目对照收入!$C7)&amp;""</f>
        <v>应收账款</v>
      </c>
      <c r="F139" s="48" t="str">
        <f aca="false">IF(AND(ROUND($G139,2)&lt;0,科目对照收入!$L7&lt;&gt;""),科目对照收入!$M7,科目对照收入!$D7)&amp;""</f>
        <v>企健网</v>
      </c>
      <c r="G139" s="49" t="n">
        <f aca="false">IF(COUNTIFS(输入平台!$A:$A,助手收入!$X8,输入平台!$B:$B,科目对照收入!$B7)&gt;0,ROUND(SUMIFS(输入平台!$C:$C,输入平台!$A:$A,助手收入!$X8,输入平台!$B:$B,科目对照收入!$B7),2),ROUND(海典汇总!$J$9,2))</f>
        <v>2189.3</v>
      </c>
      <c r="H139" s="49" t="n">
        <f aca="false">IF(ROUND($G139,2)&gt;0,ROUND($G139,2),"")</f>
        <v>2189.3</v>
      </c>
      <c r="I139" s="49" t="str">
        <f aca="false">IF(ROUND($G139,2)&lt;0,-ROUND($G139,2),"")</f>
        <v/>
      </c>
      <c r="J139" s="20" t="n">
        <f aca="false">IF(ROUND($G139,2)=0,0,1)</f>
        <v>1</v>
      </c>
      <c r="K139" s="20" t="n">
        <f aca="false">IF($J139=0,"",SUM($J$134:$J139))</f>
        <v>4</v>
      </c>
      <c r="L139" s="20" t="n">
        <f aca="false">IF($K139="","",$A139*100+$K139)</f>
        <v>704</v>
      </c>
      <c r="M139" s="48" t="str">
        <f aca="false">参数!$B$3</f>
        <v>7月收入</v>
      </c>
    </row>
    <row r="140" customFormat="false" ht="13.5" hidden="false" customHeight="false" outlineLevel="0" collapsed="false">
      <c r="A140" s="47" t="n">
        <v>7</v>
      </c>
      <c r="B140" s="38" t="n">
        <f aca="false">助手收入!$B8</f>
        <v>2007</v>
      </c>
      <c r="C140" s="48" t="str">
        <f aca="false">助手收入!$C8</f>
        <v>华鑫店</v>
      </c>
      <c r="D140" s="48" t="str">
        <f aca="false">科目对照收入!$B8&amp;""</f>
        <v>亲情卡</v>
      </c>
      <c r="E140" s="48" t="str">
        <f aca="false">IF(AND(ROUND($G140,2)&lt;0,科目对照收入!$L8&lt;&gt;""),科目对照收入!$L8,科目对照收入!$C8)&amp;""</f>
        <v>应收账款</v>
      </c>
      <c r="F140" s="48" t="str">
        <f aca="false">IF(AND(ROUND($G140,2)&lt;0,科目对照收入!$L8&lt;&gt;""),科目对照收入!$M8,科目对照收入!$D8)&amp;""</f>
        <v>亲情卡</v>
      </c>
      <c r="G140" s="49" t="n">
        <f aca="false">IF(COUNTIFS(输入平台!$A:$A,助手收入!$X8,输入平台!$B:$B,科目对照收入!$B8)&gt;0,ROUND(SUMIFS(输入平台!$C:$C,输入平台!$A:$A,助手收入!$X8,输入平台!$B:$B,科目对照收入!$B8),2),ROUND(海典汇总!$Z$9,2))</f>
        <v>0</v>
      </c>
      <c r="H140" s="49" t="str">
        <f aca="false">IF(ROUND($G140,2)&gt;0,ROUND($G140,2),"")</f>
        <v/>
      </c>
      <c r="I140" s="49" t="str">
        <f aca="false">IF(ROUND($G140,2)&lt;0,-ROUND($G140,2),"")</f>
        <v/>
      </c>
      <c r="J140" s="20" t="n">
        <f aca="false">IF(ROUND($G140,2)=0,0,1)</f>
        <v>0</v>
      </c>
      <c r="K140" s="20" t="str">
        <f aca="false">IF($J140=0,"",SUM($J$134:$J140))</f>
        <v/>
      </c>
      <c r="L140" s="20" t="str">
        <f aca="false">IF($K140="","",$A140*100+$K140)</f>
        <v/>
      </c>
      <c r="M140" s="48" t="str">
        <f aca="false">参数!$B$3</f>
        <v>7月收入</v>
      </c>
    </row>
    <row r="141" customFormat="false" ht="13.5" hidden="false" customHeight="false" outlineLevel="0" collapsed="false">
      <c r="A141" s="47" t="n">
        <v>7</v>
      </c>
      <c r="B141" s="38" t="n">
        <f aca="false">助手收入!$B8</f>
        <v>2007</v>
      </c>
      <c r="C141" s="48" t="str">
        <f aca="false">助手收入!$C8</f>
        <v>华鑫店</v>
      </c>
      <c r="D141" s="48" t="str">
        <f aca="false">科目对照收入!$B9&amp;""</f>
        <v>24小时</v>
      </c>
      <c r="E141" s="48" t="str">
        <f aca="false">IF(AND(ROUND($G141,2)&lt;0,科目对照收入!$L9&lt;&gt;""),科目对照收入!$L9,科目对照收入!$C9)&amp;""</f>
        <v>应收账款</v>
      </c>
      <c r="F141" s="48" t="str">
        <f aca="false">IF(AND(ROUND($G141,2)&lt;0,科目对照收入!$L9&lt;&gt;""),科目对照收入!$M9,科目对照收入!$D9)&amp;""</f>
        <v>24小时</v>
      </c>
      <c r="G141" s="49" t="n">
        <f aca="false">IF(COUNTIFS(输入平台!$A:$A,助手收入!$X8,输入平台!$B:$B,科目对照收入!$B9)&gt;0,ROUND(SUMIFS(输入平台!$C:$C,输入平台!$A:$A,助手收入!$X8,输入平台!$B:$B,科目对照收入!$B9),2),ROUND(海典汇总!$K$9,2))</f>
        <v>0</v>
      </c>
      <c r="H141" s="49" t="str">
        <f aca="false">IF(ROUND($G141,2)&gt;0,ROUND($G141,2),"")</f>
        <v/>
      </c>
      <c r="I141" s="49" t="str">
        <f aca="false">IF(ROUND($G141,2)&lt;0,-ROUND($G141,2),"")</f>
        <v/>
      </c>
      <c r="J141" s="20" t="n">
        <f aca="false">IF(ROUND($G141,2)=0,0,1)</f>
        <v>0</v>
      </c>
      <c r="K141" s="20" t="str">
        <f aca="false">IF($J141=0,"",SUM($J$134:$J141))</f>
        <v/>
      </c>
      <c r="L141" s="20" t="str">
        <f aca="false">IF($K141="","",$A141*100+$K141)</f>
        <v/>
      </c>
      <c r="M141" s="48" t="str">
        <f aca="false">参数!$B$3</f>
        <v>7月收入</v>
      </c>
    </row>
    <row r="142" customFormat="false" ht="13.5" hidden="false" customHeight="false" outlineLevel="0" collapsed="false">
      <c r="A142" s="47" t="n">
        <v>7</v>
      </c>
      <c r="B142" s="38" t="n">
        <f aca="false">助手收入!$B8</f>
        <v>2007</v>
      </c>
      <c r="C142" s="48" t="str">
        <f aca="false">助手收入!$C8</f>
        <v>华鑫店</v>
      </c>
      <c r="D142" s="48" t="str">
        <f aca="false">科目对照收入!$B10&amp;""</f>
        <v>美团</v>
      </c>
      <c r="E142" s="48" t="str">
        <f aca="false">IF(AND(ROUND($G142,2)&lt;0,科目对照收入!$L10&lt;&gt;""),科目对照收入!$L10,科目对照收入!$C10)&amp;""</f>
        <v>应收账款</v>
      </c>
      <c r="F142" s="48" t="str">
        <f aca="false">IF(AND(ROUND($G142,2)&lt;0,科目对照收入!$L10&lt;&gt;""),科目对照收入!$M10,科目对照收入!$D10)&amp;""</f>
        <v>美团</v>
      </c>
      <c r="G142" s="49" t="n">
        <f aca="false">IF(COUNTIFS(输入平台!$A:$A,助手收入!$X8,输入平台!$B:$B,科目对照收入!$B10)&gt;0,ROUND(SUMIFS(输入平台!$C:$C,输入平台!$A:$A,助手收入!$X8,输入平台!$B:$B,科目对照收入!$B10),2),ROUND(海典汇总!$M$9,2))</f>
        <v>213.9</v>
      </c>
      <c r="H142" s="49" t="n">
        <f aca="false">IF(ROUND($G142,2)&gt;0,ROUND($G142,2),"")</f>
        <v>213.9</v>
      </c>
      <c r="I142" s="49" t="str">
        <f aca="false">IF(ROUND($G142,2)&lt;0,-ROUND($G142,2),"")</f>
        <v/>
      </c>
      <c r="J142" s="20" t="n">
        <f aca="false">IF(ROUND($G142,2)=0,0,1)</f>
        <v>1</v>
      </c>
      <c r="K142" s="20" t="n">
        <f aca="false">IF($J142=0,"",SUM($J$134:$J142))</f>
        <v>5</v>
      </c>
      <c r="L142" s="20" t="n">
        <f aca="false">IF($K142="","",$A142*100+$K142)</f>
        <v>705</v>
      </c>
      <c r="M142" s="48" t="str">
        <f aca="false">参数!$B$3</f>
        <v>7月收入</v>
      </c>
    </row>
    <row r="143" customFormat="false" ht="13.5" hidden="false" customHeight="false" outlineLevel="0" collapsed="false">
      <c r="A143" s="47" t="n">
        <v>7</v>
      </c>
      <c r="B143" s="38" t="n">
        <f aca="false">助手收入!$B8</f>
        <v>2007</v>
      </c>
      <c r="C143" s="48" t="str">
        <f aca="false">助手收入!$C8</f>
        <v>华鑫店</v>
      </c>
      <c r="D143" s="48" t="str">
        <f aca="false">科目对照收入!$B11&amp;""</f>
        <v>饿了么</v>
      </c>
      <c r="E143" s="48" t="str">
        <f aca="false">IF(AND(ROUND($G143,2)&lt;0,科目对照收入!$L11&lt;&gt;""),科目对照收入!$L11,科目对照收入!$C11)&amp;""</f>
        <v>应收账款</v>
      </c>
      <c r="F143" s="48" t="str">
        <f aca="false">IF(AND(ROUND($G143,2)&lt;0,科目对照收入!$L11&lt;&gt;""),科目对照收入!$M11,科目对照收入!$D11)&amp;""</f>
        <v>饿了么</v>
      </c>
      <c r="G143" s="49" t="n">
        <f aca="false">IF(COUNTIFS(输入平台!$A:$A,助手收入!$X8,输入平台!$B:$B,科目对照收入!$B11)&gt;0,ROUND(SUMIFS(输入平台!$C:$C,输入平台!$A:$A,助手收入!$X8,输入平台!$B:$B,科目对照收入!$B11),2),ROUND(海典汇总!$N$9,2))</f>
        <v>236.5</v>
      </c>
      <c r="H143" s="49" t="n">
        <f aca="false">IF(ROUND($G143,2)&gt;0,ROUND($G143,2),"")</f>
        <v>236.5</v>
      </c>
      <c r="I143" s="49" t="str">
        <f aca="false">IF(ROUND($G143,2)&lt;0,-ROUND($G143,2),"")</f>
        <v/>
      </c>
      <c r="J143" s="20" t="n">
        <f aca="false">IF(ROUND($G143,2)=0,0,1)</f>
        <v>1</v>
      </c>
      <c r="K143" s="20" t="n">
        <f aca="false">IF($J143=0,"",SUM($J$134:$J143))</f>
        <v>6</v>
      </c>
      <c r="L143" s="20" t="n">
        <f aca="false">IF($K143="","",$A143*100+$K143)</f>
        <v>706</v>
      </c>
      <c r="M143" s="48" t="str">
        <f aca="false">参数!$B$3</f>
        <v>7月收入</v>
      </c>
    </row>
    <row r="144" customFormat="false" ht="13.5" hidden="false" customHeight="false" outlineLevel="0" collapsed="false">
      <c r="A144" s="47" t="n">
        <v>7</v>
      </c>
      <c r="B144" s="38" t="n">
        <f aca="false">助手收入!$B8</f>
        <v>2007</v>
      </c>
      <c r="C144" s="48" t="str">
        <f aca="false">助手收入!$C8</f>
        <v>华鑫店</v>
      </c>
      <c r="D144" s="48" t="str">
        <f aca="false">科目对照收入!$B12&amp;""</f>
        <v>京东秒送</v>
      </c>
      <c r="E144" s="48" t="str">
        <f aca="false">IF(AND(ROUND($G144,2)&lt;0,科目对照收入!$L12&lt;&gt;""),科目对照收入!$L12,科目对照收入!$C12)&amp;""</f>
        <v>应收账款</v>
      </c>
      <c r="F144" s="48" t="str">
        <f aca="false">IF(AND(ROUND($G144,2)&lt;0,科目对照收入!$L12&lt;&gt;""),科目对照收入!$M12,科目对照收入!$D12)&amp;""</f>
        <v>京东秒送</v>
      </c>
      <c r="G144" s="49" t="n">
        <f aca="false">IF(COUNTIFS(输入平台!$A:$A,助手收入!$X8,输入平台!$B:$B,科目对照收入!$B12)&gt;0,ROUND(SUMIFS(输入平台!$C:$C,输入平台!$A:$A,助手收入!$X8,输入平台!$B:$B,科目对照收入!$B12),2),ROUND(海典汇总!$O$9,2))</f>
        <v>0</v>
      </c>
      <c r="H144" s="49" t="str">
        <f aca="false">IF(ROUND($G144,2)&gt;0,ROUND($G144,2),"")</f>
        <v/>
      </c>
      <c r="I144" s="49" t="str">
        <f aca="false">IF(ROUND($G144,2)&lt;0,-ROUND($G144,2),"")</f>
        <v/>
      </c>
      <c r="J144" s="20" t="n">
        <f aca="false">IF(ROUND($G144,2)=0,0,1)</f>
        <v>0</v>
      </c>
      <c r="K144" s="20" t="str">
        <f aca="false">IF($J144=0,"",SUM($J$134:$J144))</f>
        <v/>
      </c>
      <c r="L144" s="20" t="str">
        <f aca="false">IF($K144="","",$A144*100+$K144)</f>
        <v/>
      </c>
      <c r="M144" s="48" t="str">
        <f aca="false">参数!$B$3</f>
        <v>7月收入</v>
      </c>
    </row>
    <row r="145" customFormat="false" ht="13.5" hidden="false" customHeight="false" outlineLevel="0" collapsed="false">
      <c r="A145" s="47" t="n">
        <v>7</v>
      </c>
      <c r="B145" s="38" t="n">
        <f aca="false">助手收入!$B8</f>
        <v>2007</v>
      </c>
      <c r="C145" s="48" t="str">
        <f aca="false">助手收入!$C8</f>
        <v>华鑫店</v>
      </c>
      <c r="D145" s="48" t="str">
        <f aca="false">科目对照收入!$B13&amp;""</f>
        <v>银联</v>
      </c>
      <c r="E145" s="48" t="str">
        <f aca="false">IF(AND(ROUND($G145,2)&lt;0,科目对照收入!$L13&lt;&gt;""),科目对照收入!$L13,科目对照收入!$C13)&amp;""</f>
        <v>应收账款</v>
      </c>
      <c r="F145" s="48" t="str">
        <f aca="false">IF(AND(ROUND($G145,2)&lt;0,科目对照收入!$L13&lt;&gt;""),科目对照收入!$M13,科目对照收入!$D13)&amp;""</f>
        <v>银联</v>
      </c>
      <c r="G145" s="49" t="n">
        <f aca="false">IF(COUNTIFS(输入平台!$A:$A,助手收入!$X8,输入平台!$B:$B,科目对照收入!$B13)&gt;0,ROUND(SUMIFS(输入平台!$C:$C,输入平台!$A:$A,助手收入!$X8,输入平台!$B:$B,科目对照收入!$B13),2),ROUND(海典汇总!$V$9,2))</f>
        <v>0</v>
      </c>
      <c r="H145" s="49" t="str">
        <f aca="false">IF(ROUND($G145,2)&gt;0,ROUND($G145,2),"")</f>
        <v/>
      </c>
      <c r="I145" s="49" t="str">
        <f aca="false">IF(ROUND($G145,2)&lt;0,-ROUND($G145,2),"")</f>
        <v/>
      </c>
      <c r="J145" s="20" t="n">
        <f aca="false">IF(ROUND($G145,2)=0,0,1)</f>
        <v>0</v>
      </c>
      <c r="K145" s="20" t="str">
        <f aca="false">IF($J145=0,"",SUM($J$134:$J145))</f>
        <v/>
      </c>
      <c r="L145" s="20" t="str">
        <f aca="false">IF($K145="","",$A145*100+$K145)</f>
        <v/>
      </c>
      <c r="M145" s="48" t="str">
        <f aca="false">参数!$B$3</f>
        <v>7月收入</v>
      </c>
    </row>
    <row r="146" customFormat="false" ht="13.5" hidden="false" customHeight="false" outlineLevel="0" collapsed="false">
      <c r="A146" s="47" t="n">
        <v>7</v>
      </c>
      <c r="B146" s="38" t="n">
        <f aca="false">助手收入!$B8</f>
        <v>2007</v>
      </c>
      <c r="C146" s="48" t="str">
        <f aca="false">助手收入!$C8</f>
        <v>华鑫店</v>
      </c>
      <c r="D146" s="48" t="str">
        <f aca="false">科目对照收入!$B14&amp;""</f>
        <v>小镇外卖</v>
      </c>
      <c r="E146" s="48" t="str">
        <f aca="false">IF(AND(ROUND($G146,2)&lt;0,科目对照收入!$L14&lt;&gt;""),科目对照收入!$L14,科目对照收入!$C14)&amp;""</f>
        <v>应收账款</v>
      </c>
      <c r="F146" s="48" t="str">
        <f aca="false">IF(AND(ROUND($G146,2)&lt;0,科目对照收入!$L14&lt;&gt;""),科目对照收入!$M14,科目对照收入!$D14)&amp;""</f>
        <v>小镇外卖</v>
      </c>
      <c r="G146" s="49" t="n">
        <f aca="false">IF(COUNTIFS(输入平台!$A:$A,助手收入!$X8,输入平台!$B:$B,科目对照收入!$B14)&gt;0,ROUND(SUMIFS(输入平台!$C:$C,输入平台!$A:$A,助手收入!$X8,输入平台!$B:$B,科目对照收入!$B14),2),ROUND(海典汇总!$AC$9,2))</f>
        <v>0</v>
      </c>
      <c r="H146" s="49" t="str">
        <f aca="false">IF(ROUND($G146,2)&gt;0,ROUND($G146,2),"")</f>
        <v/>
      </c>
      <c r="I146" s="49" t="str">
        <f aca="false">IF(ROUND($G146,2)&lt;0,-ROUND($G146,2),"")</f>
        <v/>
      </c>
      <c r="J146" s="20" t="n">
        <f aca="false">IF(ROUND($G146,2)=0,0,1)</f>
        <v>0</v>
      </c>
      <c r="K146" s="20" t="str">
        <f aca="false">IF($J146=0,"",SUM($J$134:$J146))</f>
        <v/>
      </c>
      <c r="L146" s="20" t="str">
        <f aca="false">IF($K146="","",$A146*100+$K146)</f>
        <v/>
      </c>
      <c r="M146" s="48" t="str">
        <f aca="false">参数!$B$3</f>
        <v>7月收入</v>
      </c>
    </row>
    <row r="147" customFormat="false" ht="13.5" hidden="false" customHeight="false" outlineLevel="0" collapsed="false">
      <c r="A147" s="47" t="n">
        <v>7</v>
      </c>
      <c r="B147" s="38" t="n">
        <f aca="false">助手收入!$B8</f>
        <v>2007</v>
      </c>
      <c r="C147" s="48" t="str">
        <f aca="false">助手收入!$C8</f>
        <v>华鑫店</v>
      </c>
      <c r="D147" s="48" t="str">
        <f aca="false">科目对照收入!$B15&amp;""</f>
        <v>OMS线上支付</v>
      </c>
      <c r="E147" s="48" t="str">
        <f aca="false">IF(AND(ROUND($G147,2)&lt;0,科目对照收入!$L15&lt;&gt;""),科目对照收入!$L15,科目对照收入!$C15)&amp;""</f>
        <v>应收账款</v>
      </c>
      <c r="F147" s="48" t="str">
        <f aca="false">IF(AND(ROUND($G147,2)&lt;0,科目对照收入!$L15&lt;&gt;""),科目对照收入!$M15,科目对照收入!$D15)&amp;""</f>
        <v>OMS线上</v>
      </c>
      <c r="G147" s="49" t="n">
        <f aca="false">IF(COUNTIFS(输入平台!$A:$A,助手收入!$X8,输入平台!$B:$B,科目对照收入!$B15)&gt;0,ROUND(SUMIFS(输入平台!$C:$C,输入平台!$A:$A,助手收入!$X8,输入平台!$B:$B,科目对照收入!$B15),2),ROUND(海典汇总!$L$9,2))</f>
        <v>0</v>
      </c>
      <c r="H147" s="49" t="str">
        <f aca="false">IF(ROUND($G147,2)&gt;0,ROUND($G147,2),"")</f>
        <v/>
      </c>
      <c r="I147" s="49" t="str">
        <f aca="false">IF(ROUND($G147,2)&lt;0,-ROUND($G147,2),"")</f>
        <v/>
      </c>
      <c r="J147" s="20" t="n">
        <f aca="false">IF(ROUND($G147,2)=0,0,1)</f>
        <v>0</v>
      </c>
      <c r="K147" s="20" t="str">
        <f aca="false">IF($J147=0,"",SUM($J$134:$J147))</f>
        <v/>
      </c>
      <c r="L147" s="20" t="str">
        <f aca="false">IF($K147="","",$A147*100+$K147)</f>
        <v/>
      </c>
      <c r="M147" s="48" t="str">
        <f aca="false">参数!$B$3</f>
        <v>7月收入</v>
      </c>
    </row>
    <row r="148" customFormat="false" ht="13.5" hidden="false" customHeight="false" outlineLevel="0" collapsed="false">
      <c r="A148" s="47" t="n">
        <v>7</v>
      </c>
      <c r="B148" s="38" t="n">
        <f aca="false">助手收入!$B8</f>
        <v>2007</v>
      </c>
      <c r="C148" s="48" t="str">
        <f aca="false">助手收入!$C8</f>
        <v>华鑫店</v>
      </c>
      <c r="D148" s="48" t="str">
        <f aca="false">科目对照收入!$B16&amp;""</f>
        <v>平安药卡</v>
      </c>
      <c r="E148" s="48" t="str">
        <f aca="false">IF(AND(ROUND($G148,2)&lt;0,科目对照收入!$L16&lt;&gt;""),科目对照收入!$L16,科目对照收入!$C16)&amp;""</f>
        <v>应收账款</v>
      </c>
      <c r="F148" s="48" t="str">
        <f aca="false">IF(AND(ROUND($G148,2)&lt;0,科目对照收入!$L16&lt;&gt;""),科目对照收入!$M16,科目对照收入!$D16)&amp;""</f>
        <v>平安</v>
      </c>
      <c r="G148" s="49" t="n">
        <f aca="false">IF(COUNTIFS(输入平台!$A:$A,助手收入!$X8,输入平台!$B:$B,科目对照收入!$B16)&gt;0,ROUND(SUMIFS(输入平台!$C:$C,输入平台!$A:$A,助手收入!$X8,输入平台!$B:$B,科目对照收入!$B16),2),ROUND(海典汇总!$AB$9,2))</f>
        <v>0</v>
      </c>
      <c r="H148" s="49" t="str">
        <f aca="false">IF(ROUND($G148,2)&gt;0,ROUND($G148,2),"")</f>
        <v/>
      </c>
      <c r="I148" s="49" t="str">
        <f aca="false">IF(ROUND($G148,2)&lt;0,-ROUND($G148,2),"")</f>
        <v/>
      </c>
      <c r="J148" s="20" t="n">
        <f aca="false">IF(ROUND($G148,2)=0,0,1)</f>
        <v>0</v>
      </c>
      <c r="K148" s="20" t="str">
        <f aca="false">IF($J148=0,"",SUM($J$134:$J148))</f>
        <v/>
      </c>
      <c r="L148" s="20" t="str">
        <f aca="false">IF($K148="","",$A148*100+$K148)</f>
        <v/>
      </c>
      <c r="M148" s="48" t="str">
        <f aca="false">参数!$B$3</f>
        <v>7月收入</v>
      </c>
    </row>
    <row r="149" customFormat="false" ht="13.5" hidden="false" customHeight="false" outlineLevel="0" collapsed="false">
      <c r="A149" s="47" t="n">
        <v>7</v>
      </c>
      <c r="B149" s="38" t="n">
        <f aca="false">助手收入!$B8</f>
        <v>2007</v>
      </c>
      <c r="C149" s="48" t="str">
        <f aca="false">助手收入!$C8</f>
        <v>华鑫店</v>
      </c>
      <c r="D149" s="48" t="str">
        <f aca="false">科目对照收入!$B17&amp;""</f>
        <v>储值卡</v>
      </c>
      <c r="E149" s="48" t="str">
        <f aca="false">IF(AND(ROUND($G149,2)&lt;0,科目对照收入!$L17&lt;&gt;""),科目对照收入!$L17,科目对照收入!$C17)&amp;""</f>
        <v>其他应收款</v>
      </c>
      <c r="F149" s="48" t="str">
        <f aca="false">IF(AND(ROUND($G149,2)&lt;0,科目对照收入!$L17&lt;&gt;""),科目对照收入!$M17,科目对照收入!$D17)&amp;""</f>
        <v>储值卡</v>
      </c>
      <c r="G149" s="49" t="n">
        <f aca="false">ROUND(海典汇总!$Q$9,2)</f>
        <v>679.48</v>
      </c>
      <c r="H149" s="49" t="n">
        <f aca="false">IF(ROUND($G149,2)&gt;0,ROUND($G149,2),"")</f>
        <v>679.48</v>
      </c>
      <c r="I149" s="49" t="str">
        <f aca="false">IF(ROUND($G149,2)&lt;0,-ROUND($G149,2),"")</f>
        <v/>
      </c>
      <c r="J149" s="20" t="n">
        <f aca="false">IF(ROUND($G149,2)=0,0,1)</f>
        <v>1</v>
      </c>
      <c r="K149" s="20" t="n">
        <f aca="false">IF($J149=0,"",SUM($J$134:$J149))</f>
        <v>7</v>
      </c>
      <c r="L149" s="20" t="n">
        <f aca="false">IF($K149="","",$A149*100+$K149)</f>
        <v>707</v>
      </c>
      <c r="M149" s="48" t="str">
        <f aca="false">参数!$B$3</f>
        <v>7月收入</v>
      </c>
    </row>
    <row r="150" customFormat="false" ht="13.5" hidden="false" customHeight="false" outlineLevel="0" collapsed="false">
      <c r="A150" s="47" t="n">
        <v>7</v>
      </c>
      <c r="B150" s="38" t="n">
        <f aca="false">助手收入!$B8</f>
        <v>2007</v>
      </c>
      <c r="C150" s="48" t="str">
        <f aca="false">助手收入!$C8</f>
        <v>华鑫店</v>
      </c>
      <c r="D150" s="48" t="str">
        <f aca="false">科目对照收入!$B18&amp;""</f>
        <v>会员零钱包</v>
      </c>
      <c r="E150" s="48" t="str">
        <f aca="false">IF(AND(ROUND($G150,2)&lt;0,科目对照收入!$L18&lt;&gt;""),科目对照收入!$L18,科目对照收入!$C18)&amp;""</f>
        <v>其他应收款</v>
      </c>
      <c r="F150" s="48" t="str">
        <f aca="false">IF(AND(ROUND($G150,2)&lt;0,科目对照收入!$L18&lt;&gt;""),科目对照收入!$M18,科目对照收入!$D18)&amp;""</f>
        <v>会员零钱包</v>
      </c>
      <c r="G150" s="49" t="n">
        <f aca="false">ROUND(海典汇总!$P$9,2)</f>
        <v>0</v>
      </c>
      <c r="H150" s="49" t="str">
        <f aca="false">IF(ROUND($G150,2)&gt;0,ROUND($G150,2),"")</f>
        <v/>
      </c>
      <c r="I150" s="49" t="str">
        <f aca="false">IF(ROUND($G150,2)&lt;0,-ROUND($G150,2),"")</f>
        <v/>
      </c>
      <c r="J150" s="20" t="n">
        <f aca="false">IF(ROUND($G150,2)=0,0,1)</f>
        <v>0</v>
      </c>
      <c r="K150" s="20" t="str">
        <f aca="false">IF($J150=0,"",SUM($J$134:$J150))</f>
        <v/>
      </c>
      <c r="L150" s="20" t="str">
        <f aca="false">IF($K150="","",$A150*100+$K150)</f>
        <v/>
      </c>
      <c r="M150" s="48" t="str">
        <f aca="false">参数!$B$3</f>
        <v>7月收入</v>
      </c>
    </row>
    <row r="151" customFormat="false" ht="13.5" hidden="false" customHeight="false" outlineLevel="0" collapsed="false">
      <c r="A151" s="47" t="n">
        <v>7</v>
      </c>
      <c r="B151" s="38" t="n">
        <f aca="false">助手收入!$B8</f>
        <v>2007</v>
      </c>
      <c r="C151" s="48" t="str">
        <f aca="false">助手收入!$C8</f>
        <v>华鑫店</v>
      </c>
      <c r="D151" s="48" t="str">
        <f aca="false">科目对照收入!$B19&amp;""</f>
        <v>促销费</v>
      </c>
      <c r="E151" s="48" t="str">
        <f aca="false">IF(AND(ROUND($G151,2)&lt;0,科目对照收入!$L19&lt;&gt;""),科目对照收入!$L19,科目对照收入!$C19)&amp;""</f>
        <v>销售费用</v>
      </c>
      <c r="F151" s="48" t="str">
        <f aca="false">IF(AND(ROUND($G151,2)&lt;0,科目对照收入!$L19&lt;&gt;""),科目对照收入!$M19,科目对照收入!$D19)&amp;""</f>
        <v>促销费</v>
      </c>
      <c r="G151" s="49" t="n">
        <f aca="false">ROUND(海典汇总!$U$9+海典汇总!$T$9+海典汇总!$S$9,2)</f>
        <v>2651.6</v>
      </c>
      <c r="H151" s="49" t="n">
        <f aca="false">IF(ROUND($G151,2)&gt;0,ROUND($G151,2),"")</f>
        <v>2651.6</v>
      </c>
      <c r="I151" s="49" t="str">
        <f aca="false">IF(ROUND($G151,2)&lt;0,-ROUND($G151,2),"")</f>
        <v/>
      </c>
      <c r="J151" s="20" t="n">
        <f aca="false">IF(ROUND($G151,2)=0,0,1)</f>
        <v>1</v>
      </c>
      <c r="K151" s="20" t="n">
        <f aca="false">IF($J151=0,"",SUM($J$134:$J151))</f>
        <v>8</v>
      </c>
      <c r="L151" s="20" t="n">
        <f aca="false">IF($K151="","",$A151*100+$K151)</f>
        <v>708</v>
      </c>
      <c r="M151" s="48" t="str">
        <f aca="false">参数!$B$3</f>
        <v>7月收入</v>
      </c>
    </row>
    <row r="152" customFormat="false" ht="13.5" hidden="false" customHeight="false" outlineLevel="0" collapsed="false">
      <c r="A152" s="47" t="n">
        <v>7</v>
      </c>
      <c r="B152" s="38" t="n">
        <f aca="false">助手收入!$B8</f>
        <v>2007</v>
      </c>
      <c r="C152" s="48" t="str">
        <f aca="false">助手收入!$C8</f>
        <v>华鑫店</v>
      </c>
      <c r="D152" s="48" t="str">
        <f aca="false">科目对照收入!$B20&amp;""</f>
        <v>积分</v>
      </c>
      <c r="E152" s="48" t="str">
        <f aca="false">IF(AND(ROUND($G152,2)&lt;0,科目对照收入!$L20&lt;&gt;""),科目对照收入!$L20,科目对照收入!$C20)&amp;""</f>
        <v>销售费用</v>
      </c>
      <c r="F152" s="48" t="str">
        <f aca="false">IF(AND(ROUND($G152,2)&lt;0,科目对照收入!$L20&lt;&gt;""),科目对照收入!$M20,科目对照收入!$D20)&amp;""</f>
        <v>积分</v>
      </c>
      <c r="G152" s="49" t="n">
        <f aca="false">ROUND(海典汇总!$R$9,2)</f>
        <v>0</v>
      </c>
      <c r="H152" s="49" t="str">
        <f aca="false">IF(ROUND($G152,2)&gt;0,ROUND($G152,2),"")</f>
        <v/>
      </c>
      <c r="I152" s="49" t="str">
        <f aca="false">IF(ROUND($G152,2)&lt;0,-ROUND($G152,2),"")</f>
        <v/>
      </c>
      <c r="J152" s="20" t="n">
        <f aca="false">IF(ROUND($G152,2)=0,0,1)</f>
        <v>0</v>
      </c>
      <c r="K152" s="20" t="str">
        <f aca="false">IF($J152=0,"",SUM($J$134:$J152))</f>
        <v/>
      </c>
      <c r="L152" s="20" t="str">
        <f aca="false">IF($K152="","",$A152*100+$K152)</f>
        <v/>
      </c>
      <c r="M152" s="48" t="str">
        <f aca="false">参数!$B$3</f>
        <v>7月收入</v>
      </c>
    </row>
    <row r="153" customFormat="false" ht="13.5" hidden="false" customHeight="false" outlineLevel="0" collapsed="false">
      <c r="A153" s="47" t="n">
        <v>7</v>
      </c>
      <c r="B153" s="38" t="n">
        <f aca="false">助手收入!$B8</f>
        <v>2007</v>
      </c>
      <c r="C153" s="48" t="str">
        <f aca="false">助手收入!$C8</f>
        <v>华鑫店</v>
      </c>
      <c r="D153" s="48" t="str">
        <f aca="false">科目对照收入!$B21&amp;""</f>
        <v>手续费</v>
      </c>
      <c r="E153" s="48" t="str">
        <f aca="false">IF(AND(ROUND($G153,2)&lt;0,科目对照收入!$L21&lt;&gt;""),科目对照收入!$L21,科目对照收入!$C21)&amp;""</f>
        <v>财务费用</v>
      </c>
      <c r="F153" s="48" t="str">
        <f aca="false">IF(AND(ROUND($G153,2)&lt;0,科目对照收入!$L21&lt;&gt;""),科目对照收入!$M21,科目对照收入!$D21)&amp;""</f>
        <v>手续费</v>
      </c>
      <c r="G153" s="49" t="n">
        <f aca="false">ROUND(SUMIFS(输入聚合!$D:$D,输入聚合!$A:$A,助手收入!$X8),2)</f>
        <v>91.29</v>
      </c>
      <c r="H153" s="49" t="n">
        <f aca="false">IF(ROUND($G153,2)&gt;0,ROUND($G153,2),"")</f>
        <v>91.29</v>
      </c>
      <c r="I153" s="49" t="str">
        <f aca="false">IF(ROUND($G153,2)&lt;0,-ROUND($G153,2),"")</f>
        <v/>
      </c>
      <c r="J153" s="20" t="n">
        <f aca="false">IF(ROUND($G153,2)=0,0,1)</f>
        <v>1</v>
      </c>
      <c r="K153" s="20" t="n">
        <f aca="false">IF($J153=0,"",SUM($J$134:$J153))</f>
        <v>9</v>
      </c>
      <c r="L153" s="20" t="n">
        <f aca="false">IF($K153="","",$A153*100+$K153)</f>
        <v>709</v>
      </c>
      <c r="M153" s="48" t="str">
        <f aca="false">参数!$B$3</f>
        <v>7月收入</v>
      </c>
    </row>
    <row r="154" customFormat="false" ht="13.5" hidden="false" customHeight="false" outlineLevel="0" collapsed="false">
      <c r="A154" s="47" t="n">
        <v>7</v>
      </c>
      <c r="B154" s="38" t="n">
        <f aca="false">助手收入!$B8</f>
        <v>2007</v>
      </c>
      <c r="C154" s="48" t="str">
        <f aca="false">助手收入!$C8</f>
        <v>华鑫店</v>
      </c>
      <c r="D154" s="48" t="str">
        <f aca="false">科目对照收入!$B22&amp;""</f>
        <v>主营业务收入</v>
      </c>
      <c r="E154" s="48" t="str">
        <f aca="false">IF(AND(ROUND($G154,2)&lt;0,科目对照收入!$L22&lt;&gt;""),科目对照收入!$L22,科目对照收入!$C22)&amp;""</f>
        <v>主营业务收入</v>
      </c>
      <c r="F154" s="48" t="str">
        <f aca="false">IF(AND(ROUND($G154,2)&lt;0,科目对照收入!$L22&lt;&gt;""),科目对照收入!$M22,科目对照收入!$D22)&amp;""</f>
        <v/>
      </c>
      <c r="G154" s="49" t="n">
        <f aca="false">-ROUND(助手收入!$G8,2)</f>
        <v>-64343.02</v>
      </c>
      <c r="H154" s="49" t="str">
        <f aca="false">IF(ROUND($G154,2)&gt;0,ROUND($G154,2),"")</f>
        <v/>
      </c>
      <c r="I154" s="49" t="n">
        <f aca="false">IF(ROUND($G154,2)&lt;0,-ROUND($G154,2),"")</f>
        <v>64343.02</v>
      </c>
      <c r="J154" s="20" t="n">
        <f aca="false">IF(ROUND($G154,2)=0,0,1)</f>
        <v>1</v>
      </c>
      <c r="K154" s="20" t="n">
        <f aca="false">IF($J154=0,"",SUM($J$134:$J154))</f>
        <v>10</v>
      </c>
      <c r="L154" s="20" t="n">
        <f aca="false">IF($K154="","",$A154*100+$K154)</f>
        <v>710</v>
      </c>
      <c r="M154" s="48" t="str">
        <f aca="false">参数!$B$3</f>
        <v>7月收入</v>
      </c>
    </row>
    <row r="155" customFormat="false" ht="13.5" hidden="false" customHeight="false" outlineLevel="0" collapsed="false">
      <c r="A155" s="47" t="n">
        <v>7</v>
      </c>
      <c r="B155" s="38" t="n">
        <f aca="false">助手收入!$B8</f>
        <v>2007</v>
      </c>
      <c r="C155" s="48" t="str">
        <f aca="false">助手收入!$C8</f>
        <v>华鑫店</v>
      </c>
      <c r="D155" s="48" t="str">
        <f aca="false">科目对照收入!$B23&amp;""</f>
        <v>营业外收入</v>
      </c>
      <c r="E155" s="48" t="str">
        <f aca="false">IF(AND(ROUND($G155,2)&lt;0,科目对照收入!$L23&lt;&gt;""),科目对照收入!$L23,科目对照收入!$C23)&amp;""</f>
        <v>营业外收入</v>
      </c>
      <c r="F155" s="48" t="str">
        <f aca="false">IF(AND(ROUND($G155,2)&lt;0,科目对照收入!$L23&lt;&gt;""),科目对照收入!$M23,科目对照收入!$D23)&amp;""</f>
        <v/>
      </c>
      <c r="G155" s="49" t="n">
        <f aca="false">-ROUND(助手收入!$J8,2)</f>
        <v>-0</v>
      </c>
      <c r="H155" s="49" t="str">
        <f aca="false">IF(ROUND($G155,2)&gt;0,ROUND($G155,2),"")</f>
        <v/>
      </c>
      <c r="I155" s="49" t="str">
        <f aca="false">IF(ROUND($G155,2)&lt;0,-ROUND($G155,2),"")</f>
        <v/>
      </c>
      <c r="J155" s="20" t="n">
        <f aca="false">IF(ROUND($G155,2)=0,0,1)</f>
        <v>0</v>
      </c>
      <c r="K155" s="20" t="str">
        <f aca="false">IF($J155=0,"",SUM($J$134:$J155))</f>
        <v/>
      </c>
      <c r="L155" s="20" t="str">
        <f aca="false">IF($K155="","",$A155*100+$K155)</f>
        <v/>
      </c>
      <c r="M155" s="48" t="str">
        <f aca="false">参数!$B$3</f>
        <v>7月收入</v>
      </c>
    </row>
    <row r="156" customFormat="false" ht="13.5" hidden="false" customHeight="false" outlineLevel="0" collapsed="false">
      <c r="A156" s="47" t="n">
        <v>8</v>
      </c>
      <c r="B156" s="38" t="n">
        <f aca="false">助手收入!$B9</f>
        <v>2008</v>
      </c>
      <c r="C156" s="48" t="str">
        <f aca="false">助手收入!$C9</f>
        <v>博昭店</v>
      </c>
      <c r="D156" s="48" t="str">
        <f aca="false">科目对照收入!$B2&amp;""</f>
        <v>库存现金</v>
      </c>
      <c r="E156" s="48" t="str">
        <f aca="false">IF(AND(ROUND($G156,2)&lt;0,科目对照收入!$L2&lt;&gt;""),科目对照收入!$L2,科目对照收入!$C2)&amp;""</f>
        <v>库存现金</v>
      </c>
      <c r="F156" s="48" t="str">
        <f aca="false">IF(AND(ROUND($G156,2)&lt;0,科目对照收入!$L2&lt;&gt;""),科目对照收入!$M2,科目对照收入!$D2)&amp;""</f>
        <v/>
      </c>
      <c r="G156" s="49" t="n">
        <f aca="false">助手收入!$I9</f>
        <v>8028.82</v>
      </c>
      <c r="H156" s="49" t="n">
        <f aca="false">IF(ROUND($G156,2)&gt;0,ROUND($G156,2),"")</f>
        <v>8028.82</v>
      </c>
      <c r="I156" s="49" t="str">
        <f aca="false">IF(ROUND($G156,2)&lt;0,-ROUND($G156,2),"")</f>
        <v/>
      </c>
      <c r="J156" s="20" t="n">
        <f aca="false">IF(ROUND($G156,2)=0,0,1)</f>
        <v>1</v>
      </c>
      <c r="K156" s="20" t="n">
        <f aca="false">IF($J156=0,"",SUM($J$156:$J156))</f>
        <v>1</v>
      </c>
      <c r="L156" s="20" t="n">
        <f aca="false">IF($K156="","",$A156*100+$K156)</f>
        <v>801</v>
      </c>
      <c r="M156" s="48" t="str">
        <f aca="false">参数!$B$3</f>
        <v>7月收入</v>
      </c>
    </row>
    <row r="157" customFormat="false" ht="13.5" hidden="false" customHeight="false" outlineLevel="0" collapsed="false">
      <c r="A157" s="47" t="n">
        <v>8</v>
      </c>
      <c r="B157" s="38" t="n">
        <f aca="false">助手收入!$B9</f>
        <v>2008</v>
      </c>
      <c r="C157" s="48" t="str">
        <f aca="false">助手收入!$C9</f>
        <v>博昭店</v>
      </c>
      <c r="D157" s="48" t="str">
        <f aca="false">科目对照收入!$B3&amp;""</f>
        <v>聚合支付</v>
      </c>
      <c r="E157" s="48" t="str">
        <f aca="false">IF(AND(ROUND($G157,2)&lt;0,科目对照收入!$L3&lt;&gt;""),科目对照收入!$L3,科目对照收入!$C3)&amp;""</f>
        <v>应收账款</v>
      </c>
      <c r="F157" s="48" t="str">
        <f aca="false">IF(AND(ROUND($G157,2)&lt;0,科目对照收入!$L3&lt;&gt;""),科目对照收入!$M3,科目对照收入!$D3)&amp;""</f>
        <v>聚合支付</v>
      </c>
      <c r="G157" s="49" t="n">
        <f aca="false">ROUND(SUMIFS(输入聚合!$C:$C,输入聚合!$A:$A,助手收入!$X9)-SUMIFS(输入聚合!$D:$D,输入聚合!$A:$A,助手收入!$X9),2)</f>
        <v>52975.22</v>
      </c>
      <c r="H157" s="49" t="n">
        <f aca="false">IF(ROUND($G157,2)&gt;0,ROUND($G157,2),"")</f>
        <v>52975.22</v>
      </c>
      <c r="I157" s="49" t="str">
        <f aca="false">IF(ROUND($G157,2)&lt;0,-ROUND($G157,2),"")</f>
        <v/>
      </c>
      <c r="J157" s="20" t="n">
        <f aca="false">IF(ROUND($G157,2)=0,0,1)</f>
        <v>1</v>
      </c>
      <c r="K157" s="20" t="n">
        <f aca="false">IF($J157=0,"",SUM($J$156:$J157))</f>
        <v>2</v>
      </c>
      <c r="L157" s="20" t="n">
        <f aca="false">IF($K157="","",$A157*100+$K157)</f>
        <v>802</v>
      </c>
      <c r="M157" s="48" t="str">
        <f aca="false">参数!$B$3</f>
        <v>7月收入</v>
      </c>
    </row>
    <row r="158" customFormat="false" ht="13.5" hidden="false" customHeight="false" outlineLevel="0" collapsed="false">
      <c r="A158" s="47" t="n">
        <v>8</v>
      </c>
      <c r="B158" s="38" t="n">
        <f aca="false">助手收入!$B9</f>
        <v>2008</v>
      </c>
      <c r="C158" s="48" t="str">
        <f aca="false">助手收入!$C9</f>
        <v>博昭店</v>
      </c>
      <c r="D158" s="48" t="str">
        <f aca="false">科目对照收入!$B4&amp;""</f>
        <v>医保</v>
      </c>
      <c r="E158" s="48" t="str">
        <f aca="false">IF(AND(ROUND($G158,2)&lt;0,科目对照收入!$L4&lt;&gt;""),科目对照收入!$L4,科目对照收入!$C4)&amp;""</f>
        <v>应收账款</v>
      </c>
      <c r="F158" s="48" t="str">
        <f aca="false">IF(AND(ROUND($G158,2)&lt;0,科目对照收入!$L4&lt;&gt;""),科目对照收入!$M4,科目对照收入!$D4)&amp;""</f>
        <v>医保</v>
      </c>
      <c r="G158" s="49" t="n">
        <f aca="false">IF(COUNTIFS(输入平台!$A:$A,助手收入!$X9,输入平台!$B:$B,科目对照收入!$B4)&gt;0,ROUND(SUMIFS(输入平台!$C:$C,输入平台!$A:$A,助手收入!$X9,输入平台!$B:$B,科目对照收入!$B4),2),ROUND(海典汇总!$F$10+海典汇总!$G$10,2))</f>
        <v>10758.32</v>
      </c>
      <c r="H158" s="49" t="n">
        <f aca="false">IF(ROUND($G158,2)&gt;0,ROUND($G158,2),"")</f>
        <v>10758.32</v>
      </c>
      <c r="I158" s="49" t="str">
        <f aca="false">IF(ROUND($G158,2)&lt;0,-ROUND($G158,2),"")</f>
        <v/>
      </c>
      <c r="J158" s="20" t="n">
        <f aca="false">IF(ROUND($G158,2)=0,0,1)</f>
        <v>1</v>
      </c>
      <c r="K158" s="20" t="n">
        <f aca="false">IF($J158=0,"",SUM($J$156:$J158))</f>
        <v>3</v>
      </c>
      <c r="L158" s="20" t="n">
        <f aca="false">IF($K158="","",$A158*100+$K158)</f>
        <v>803</v>
      </c>
      <c r="M158" s="48" t="str">
        <f aca="false">参数!$B$3</f>
        <v>7月收入</v>
      </c>
    </row>
    <row r="159" customFormat="false" ht="13.5" hidden="false" customHeight="false" outlineLevel="0" collapsed="false">
      <c r="A159" s="47" t="n">
        <v>8</v>
      </c>
      <c r="B159" s="38" t="n">
        <f aca="false">助手收入!$B9</f>
        <v>2008</v>
      </c>
      <c r="C159" s="48" t="str">
        <f aca="false">助手收入!$C9</f>
        <v>博昭店</v>
      </c>
      <c r="D159" s="48" t="str">
        <f aca="false">科目对照收入!$B5&amp;""</f>
        <v>健e卡</v>
      </c>
      <c r="E159" s="48" t="str">
        <f aca="false">IF(AND(ROUND($G159,2)&lt;0,科目对照收入!$L5&lt;&gt;""),科目对照收入!$L5,科目对照收入!$C5)&amp;""</f>
        <v>应收账款</v>
      </c>
      <c r="F159" s="48" t="str">
        <f aca="false">IF(AND(ROUND($G159,2)&lt;0,科目对照收入!$L5&lt;&gt;""),科目对照收入!$M5,科目对照收入!$D5)&amp;""</f>
        <v>健e卡</v>
      </c>
      <c r="G159" s="49" t="n">
        <f aca="false">IF(COUNTIFS(输入平台!$A:$A,助手收入!$X9,输入平台!$B:$B,科目对照收入!$B5)&gt;0,ROUND(SUMIFS(输入平台!$C:$C,输入平台!$A:$A,助手收入!$X9,输入平台!$B:$B,科目对照收入!$B5),2),ROUND(海典汇总!$H$10,2))</f>
        <v>0</v>
      </c>
      <c r="H159" s="49" t="str">
        <f aca="false">IF(ROUND($G159,2)&gt;0,ROUND($G159,2),"")</f>
        <v/>
      </c>
      <c r="I159" s="49" t="str">
        <f aca="false">IF(ROUND($G159,2)&lt;0,-ROUND($G159,2),"")</f>
        <v/>
      </c>
      <c r="J159" s="20" t="n">
        <f aca="false">IF(ROUND($G159,2)=0,0,1)</f>
        <v>0</v>
      </c>
      <c r="K159" s="20" t="str">
        <f aca="false">IF($J159=0,"",SUM($J$156:$J159))</f>
        <v/>
      </c>
      <c r="L159" s="20" t="str">
        <f aca="false">IF($K159="","",$A159*100+$K159)</f>
        <v/>
      </c>
      <c r="M159" s="48" t="str">
        <f aca="false">参数!$B$3</f>
        <v>7月收入</v>
      </c>
    </row>
    <row r="160" customFormat="false" ht="13.5" hidden="false" customHeight="false" outlineLevel="0" collapsed="false">
      <c r="A160" s="47" t="n">
        <v>8</v>
      </c>
      <c r="B160" s="38" t="n">
        <f aca="false">助手收入!$B9</f>
        <v>2008</v>
      </c>
      <c r="C160" s="48" t="str">
        <f aca="false">助手收入!$C9</f>
        <v>博昭店</v>
      </c>
      <c r="D160" s="48" t="str">
        <f aca="false">科目对照收入!$B6&amp;""</f>
        <v>医卡通</v>
      </c>
      <c r="E160" s="48" t="str">
        <f aca="false">IF(AND(ROUND($G160,2)&lt;0,科目对照收入!$L6&lt;&gt;""),科目对照收入!$L6,科目对照收入!$C6)&amp;""</f>
        <v>应收账款</v>
      </c>
      <c r="F160" s="48" t="str">
        <f aca="false">IF(AND(ROUND($G160,2)&lt;0,科目对照收入!$L6&lt;&gt;""),科目对照收入!$M6,科目对照收入!$D6)&amp;""</f>
        <v>医卡通</v>
      </c>
      <c r="G160" s="49" t="n">
        <f aca="false">IF(COUNTIFS(输入平台!$A:$A,助手收入!$X9,输入平台!$B:$B,科目对照收入!$B6)&gt;0,ROUND(SUMIFS(输入平台!$C:$C,输入平台!$A:$A,助手收入!$X9,输入平台!$B:$B,科目对照收入!$B6),2),ROUND(海典汇总!$I$10,2))</f>
        <v>0</v>
      </c>
      <c r="H160" s="49" t="str">
        <f aca="false">IF(ROUND($G160,2)&gt;0,ROUND($G160,2),"")</f>
        <v/>
      </c>
      <c r="I160" s="49" t="str">
        <f aca="false">IF(ROUND($G160,2)&lt;0,-ROUND($G160,2),"")</f>
        <v/>
      </c>
      <c r="J160" s="20" t="n">
        <f aca="false">IF(ROUND($G160,2)=0,0,1)</f>
        <v>0</v>
      </c>
      <c r="K160" s="20" t="str">
        <f aca="false">IF($J160=0,"",SUM($J$156:$J160))</f>
        <v/>
      </c>
      <c r="L160" s="20" t="str">
        <f aca="false">IF($K160="","",$A160*100+$K160)</f>
        <v/>
      </c>
      <c r="M160" s="48" t="str">
        <f aca="false">参数!$B$3</f>
        <v>7月收入</v>
      </c>
    </row>
    <row r="161" customFormat="false" ht="13.5" hidden="false" customHeight="false" outlineLevel="0" collapsed="false">
      <c r="A161" s="47" t="n">
        <v>8</v>
      </c>
      <c r="B161" s="38" t="n">
        <f aca="false">助手收入!$B9</f>
        <v>2008</v>
      </c>
      <c r="C161" s="48" t="str">
        <f aca="false">助手收入!$C9</f>
        <v>博昭店</v>
      </c>
      <c r="D161" s="48" t="str">
        <f aca="false">科目对照收入!$B7&amp;""</f>
        <v>企健网</v>
      </c>
      <c r="E161" s="48" t="str">
        <f aca="false">IF(AND(ROUND($G161,2)&lt;0,科目对照收入!$L7&lt;&gt;""),科目对照收入!$L7,科目对照收入!$C7)&amp;""</f>
        <v>应收账款</v>
      </c>
      <c r="F161" s="48" t="str">
        <f aca="false">IF(AND(ROUND($G161,2)&lt;0,科目对照收入!$L7&lt;&gt;""),科目对照收入!$M7,科目对照收入!$D7)&amp;""</f>
        <v>企健网</v>
      </c>
      <c r="G161" s="49" t="n">
        <f aca="false">IF(COUNTIFS(输入平台!$A:$A,助手收入!$X9,输入平台!$B:$B,科目对照收入!$B7)&gt;0,ROUND(SUMIFS(输入平台!$C:$C,输入平台!$A:$A,助手收入!$X9,输入平台!$B:$B,科目对照收入!$B7),2),ROUND(海典汇总!$J$10,2))</f>
        <v>0</v>
      </c>
      <c r="H161" s="49" t="str">
        <f aca="false">IF(ROUND($G161,2)&gt;0,ROUND($G161,2),"")</f>
        <v/>
      </c>
      <c r="I161" s="49" t="str">
        <f aca="false">IF(ROUND($G161,2)&lt;0,-ROUND($G161,2),"")</f>
        <v/>
      </c>
      <c r="J161" s="20" t="n">
        <f aca="false">IF(ROUND($G161,2)=0,0,1)</f>
        <v>0</v>
      </c>
      <c r="K161" s="20" t="str">
        <f aca="false">IF($J161=0,"",SUM($J$156:$J161))</f>
        <v/>
      </c>
      <c r="L161" s="20" t="str">
        <f aca="false">IF($K161="","",$A161*100+$K161)</f>
        <v/>
      </c>
      <c r="M161" s="48" t="str">
        <f aca="false">参数!$B$3</f>
        <v>7月收入</v>
      </c>
    </row>
    <row r="162" customFormat="false" ht="13.5" hidden="false" customHeight="false" outlineLevel="0" collapsed="false">
      <c r="A162" s="47" t="n">
        <v>8</v>
      </c>
      <c r="B162" s="38" t="n">
        <f aca="false">助手收入!$B9</f>
        <v>2008</v>
      </c>
      <c r="C162" s="48" t="str">
        <f aca="false">助手收入!$C9</f>
        <v>博昭店</v>
      </c>
      <c r="D162" s="48" t="str">
        <f aca="false">科目对照收入!$B8&amp;""</f>
        <v>亲情卡</v>
      </c>
      <c r="E162" s="48" t="str">
        <f aca="false">IF(AND(ROUND($G162,2)&lt;0,科目对照收入!$L8&lt;&gt;""),科目对照收入!$L8,科目对照收入!$C8)&amp;""</f>
        <v>应收账款</v>
      </c>
      <c r="F162" s="48" t="str">
        <f aca="false">IF(AND(ROUND($G162,2)&lt;0,科目对照收入!$L8&lt;&gt;""),科目对照收入!$M8,科目对照收入!$D8)&amp;""</f>
        <v>亲情卡</v>
      </c>
      <c r="G162" s="49" t="n">
        <f aca="false">IF(COUNTIFS(输入平台!$A:$A,助手收入!$X9,输入平台!$B:$B,科目对照收入!$B8)&gt;0,ROUND(SUMIFS(输入平台!$C:$C,输入平台!$A:$A,助手收入!$X9,输入平台!$B:$B,科目对照收入!$B8),2),ROUND(海典汇总!$Z$10,2))</f>
        <v>0</v>
      </c>
      <c r="H162" s="49" t="str">
        <f aca="false">IF(ROUND($G162,2)&gt;0,ROUND($G162,2),"")</f>
        <v/>
      </c>
      <c r="I162" s="49" t="str">
        <f aca="false">IF(ROUND($G162,2)&lt;0,-ROUND($G162,2),"")</f>
        <v/>
      </c>
      <c r="J162" s="20" t="n">
        <f aca="false">IF(ROUND($G162,2)=0,0,1)</f>
        <v>0</v>
      </c>
      <c r="K162" s="20" t="str">
        <f aca="false">IF($J162=0,"",SUM($J$156:$J162))</f>
        <v/>
      </c>
      <c r="L162" s="20" t="str">
        <f aca="false">IF($K162="","",$A162*100+$K162)</f>
        <v/>
      </c>
      <c r="M162" s="48" t="str">
        <f aca="false">参数!$B$3</f>
        <v>7月收入</v>
      </c>
    </row>
    <row r="163" customFormat="false" ht="13.5" hidden="false" customHeight="false" outlineLevel="0" collapsed="false">
      <c r="A163" s="47" t="n">
        <v>8</v>
      </c>
      <c r="B163" s="38" t="n">
        <f aca="false">助手收入!$B9</f>
        <v>2008</v>
      </c>
      <c r="C163" s="48" t="str">
        <f aca="false">助手收入!$C9</f>
        <v>博昭店</v>
      </c>
      <c r="D163" s="48" t="str">
        <f aca="false">科目对照收入!$B9&amp;""</f>
        <v>24小时</v>
      </c>
      <c r="E163" s="48" t="str">
        <f aca="false">IF(AND(ROUND($G163,2)&lt;0,科目对照收入!$L9&lt;&gt;""),科目对照收入!$L9,科目对照收入!$C9)&amp;""</f>
        <v>应收账款</v>
      </c>
      <c r="F163" s="48" t="str">
        <f aca="false">IF(AND(ROUND($G163,2)&lt;0,科目对照收入!$L9&lt;&gt;""),科目对照收入!$M9,科目对照收入!$D9)&amp;""</f>
        <v>24小时</v>
      </c>
      <c r="G163" s="49" t="n">
        <f aca="false">IF(COUNTIFS(输入平台!$A:$A,助手收入!$X9,输入平台!$B:$B,科目对照收入!$B9)&gt;0,ROUND(SUMIFS(输入平台!$C:$C,输入平台!$A:$A,助手收入!$X9,输入平台!$B:$B,科目对照收入!$B9),2),ROUND(海典汇总!$K$10,2))</f>
        <v>0</v>
      </c>
      <c r="H163" s="49" t="str">
        <f aca="false">IF(ROUND($G163,2)&gt;0,ROUND($G163,2),"")</f>
        <v/>
      </c>
      <c r="I163" s="49" t="str">
        <f aca="false">IF(ROUND($G163,2)&lt;0,-ROUND($G163,2),"")</f>
        <v/>
      </c>
      <c r="J163" s="20" t="n">
        <f aca="false">IF(ROUND($G163,2)=0,0,1)</f>
        <v>0</v>
      </c>
      <c r="K163" s="20" t="str">
        <f aca="false">IF($J163=0,"",SUM($J$156:$J163))</f>
        <v/>
      </c>
      <c r="L163" s="20" t="str">
        <f aca="false">IF($K163="","",$A163*100+$K163)</f>
        <v/>
      </c>
      <c r="M163" s="48" t="str">
        <f aca="false">参数!$B$3</f>
        <v>7月收入</v>
      </c>
    </row>
    <row r="164" customFormat="false" ht="13.5" hidden="false" customHeight="false" outlineLevel="0" collapsed="false">
      <c r="A164" s="47" t="n">
        <v>8</v>
      </c>
      <c r="B164" s="38" t="n">
        <f aca="false">助手收入!$B9</f>
        <v>2008</v>
      </c>
      <c r="C164" s="48" t="str">
        <f aca="false">助手收入!$C9</f>
        <v>博昭店</v>
      </c>
      <c r="D164" s="48" t="str">
        <f aca="false">科目对照收入!$B10&amp;""</f>
        <v>美团</v>
      </c>
      <c r="E164" s="48" t="str">
        <f aca="false">IF(AND(ROUND($G164,2)&lt;0,科目对照收入!$L10&lt;&gt;""),科目对照收入!$L10,科目对照收入!$C10)&amp;""</f>
        <v>应收账款</v>
      </c>
      <c r="F164" s="48" t="str">
        <f aca="false">IF(AND(ROUND($G164,2)&lt;0,科目对照收入!$L10&lt;&gt;""),科目对照收入!$M10,科目对照收入!$D10)&amp;""</f>
        <v>美团</v>
      </c>
      <c r="G164" s="49" t="n">
        <f aca="false">IF(COUNTIFS(输入平台!$A:$A,助手收入!$X9,输入平台!$B:$B,科目对照收入!$B10)&gt;0,ROUND(SUMIFS(输入平台!$C:$C,输入平台!$A:$A,助手收入!$X9,输入平台!$B:$B,科目对照收入!$B10),2),ROUND(海典汇总!$M$10,2))</f>
        <v>0</v>
      </c>
      <c r="H164" s="49" t="str">
        <f aca="false">IF(ROUND($G164,2)&gt;0,ROUND($G164,2),"")</f>
        <v/>
      </c>
      <c r="I164" s="49" t="str">
        <f aca="false">IF(ROUND($G164,2)&lt;0,-ROUND($G164,2),"")</f>
        <v/>
      </c>
      <c r="J164" s="20" t="n">
        <f aca="false">IF(ROUND($G164,2)=0,0,1)</f>
        <v>0</v>
      </c>
      <c r="K164" s="20" t="str">
        <f aca="false">IF($J164=0,"",SUM($J$156:$J164))</f>
        <v/>
      </c>
      <c r="L164" s="20" t="str">
        <f aca="false">IF($K164="","",$A164*100+$K164)</f>
        <v/>
      </c>
      <c r="M164" s="48" t="str">
        <f aca="false">参数!$B$3</f>
        <v>7月收入</v>
      </c>
    </row>
    <row r="165" customFormat="false" ht="13.5" hidden="false" customHeight="false" outlineLevel="0" collapsed="false">
      <c r="A165" s="47" t="n">
        <v>8</v>
      </c>
      <c r="B165" s="38" t="n">
        <f aca="false">助手收入!$B9</f>
        <v>2008</v>
      </c>
      <c r="C165" s="48" t="str">
        <f aca="false">助手收入!$C9</f>
        <v>博昭店</v>
      </c>
      <c r="D165" s="48" t="str">
        <f aca="false">科目对照收入!$B11&amp;""</f>
        <v>饿了么</v>
      </c>
      <c r="E165" s="48" t="str">
        <f aca="false">IF(AND(ROUND($G165,2)&lt;0,科目对照收入!$L11&lt;&gt;""),科目对照收入!$L11,科目对照收入!$C11)&amp;""</f>
        <v>应收账款</v>
      </c>
      <c r="F165" s="48" t="str">
        <f aca="false">IF(AND(ROUND($G165,2)&lt;0,科目对照收入!$L11&lt;&gt;""),科目对照收入!$M11,科目对照收入!$D11)&amp;""</f>
        <v>饿了么</v>
      </c>
      <c r="G165" s="49" t="n">
        <f aca="false">IF(COUNTIFS(输入平台!$A:$A,助手收入!$X9,输入平台!$B:$B,科目对照收入!$B11)&gt;0,ROUND(SUMIFS(输入平台!$C:$C,输入平台!$A:$A,助手收入!$X9,输入平台!$B:$B,科目对照收入!$B11),2),ROUND(海典汇总!$N$10,2))</f>
        <v>0</v>
      </c>
      <c r="H165" s="49" t="str">
        <f aca="false">IF(ROUND($G165,2)&gt;0,ROUND($G165,2),"")</f>
        <v/>
      </c>
      <c r="I165" s="49" t="str">
        <f aca="false">IF(ROUND($G165,2)&lt;0,-ROUND($G165,2),"")</f>
        <v/>
      </c>
      <c r="J165" s="20" t="n">
        <f aca="false">IF(ROUND($G165,2)=0,0,1)</f>
        <v>0</v>
      </c>
      <c r="K165" s="20" t="str">
        <f aca="false">IF($J165=0,"",SUM($J$156:$J165))</f>
        <v/>
      </c>
      <c r="L165" s="20" t="str">
        <f aca="false">IF($K165="","",$A165*100+$K165)</f>
        <v/>
      </c>
      <c r="M165" s="48" t="str">
        <f aca="false">参数!$B$3</f>
        <v>7月收入</v>
      </c>
    </row>
    <row r="166" customFormat="false" ht="13.5" hidden="false" customHeight="false" outlineLevel="0" collapsed="false">
      <c r="A166" s="47" t="n">
        <v>8</v>
      </c>
      <c r="B166" s="38" t="n">
        <f aca="false">助手收入!$B9</f>
        <v>2008</v>
      </c>
      <c r="C166" s="48" t="str">
        <f aca="false">助手收入!$C9</f>
        <v>博昭店</v>
      </c>
      <c r="D166" s="48" t="str">
        <f aca="false">科目对照收入!$B12&amp;""</f>
        <v>京东秒送</v>
      </c>
      <c r="E166" s="48" t="str">
        <f aca="false">IF(AND(ROUND($G166,2)&lt;0,科目对照收入!$L12&lt;&gt;""),科目对照收入!$L12,科目对照收入!$C12)&amp;""</f>
        <v>应收账款</v>
      </c>
      <c r="F166" s="48" t="str">
        <f aca="false">IF(AND(ROUND($G166,2)&lt;0,科目对照收入!$L12&lt;&gt;""),科目对照收入!$M12,科目对照收入!$D12)&amp;""</f>
        <v>京东秒送</v>
      </c>
      <c r="G166" s="49" t="n">
        <f aca="false">IF(COUNTIFS(输入平台!$A:$A,助手收入!$X9,输入平台!$B:$B,科目对照收入!$B12)&gt;0,ROUND(SUMIFS(输入平台!$C:$C,输入平台!$A:$A,助手收入!$X9,输入平台!$B:$B,科目对照收入!$B12),2),ROUND(海典汇总!$O$10,2))</f>
        <v>0</v>
      </c>
      <c r="H166" s="49" t="str">
        <f aca="false">IF(ROUND($G166,2)&gt;0,ROUND($G166,2),"")</f>
        <v/>
      </c>
      <c r="I166" s="49" t="str">
        <f aca="false">IF(ROUND($G166,2)&lt;0,-ROUND($G166,2),"")</f>
        <v/>
      </c>
      <c r="J166" s="20" t="n">
        <f aca="false">IF(ROUND($G166,2)=0,0,1)</f>
        <v>0</v>
      </c>
      <c r="K166" s="20" t="str">
        <f aca="false">IF($J166=0,"",SUM($J$156:$J166))</f>
        <v/>
      </c>
      <c r="L166" s="20" t="str">
        <f aca="false">IF($K166="","",$A166*100+$K166)</f>
        <v/>
      </c>
      <c r="M166" s="48" t="str">
        <f aca="false">参数!$B$3</f>
        <v>7月收入</v>
      </c>
    </row>
    <row r="167" customFormat="false" ht="13.5" hidden="false" customHeight="false" outlineLevel="0" collapsed="false">
      <c r="A167" s="47" t="n">
        <v>8</v>
      </c>
      <c r="B167" s="38" t="n">
        <f aca="false">助手收入!$B9</f>
        <v>2008</v>
      </c>
      <c r="C167" s="48" t="str">
        <f aca="false">助手收入!$C9</f>
        <v>博昭店</v>
      </c>
      <c r="D167" s="48" t="str">
        <f aca="false">科目对照收入!$B13&amp;""</f>
        <v>银联</v>
      </c>
      <c r="E167" s="48" t="str">
        <f aca="false">IF(AND(ROUND($G167,2)&lt;0,科目对照收入!$L13&lt;&gt;""),科目对照收入!$L13,科目对照收入!$C13)&amp;""</f>
        <v>应收账款</v>
      </c>
      <c r="F167" s="48" t="str">
        <f aca="false">IF(AND(ROUND($G167,2)&lt;0,科目对照收入!$L13&lt;&gt;""),科目对照收入!$M13,科目对照收入!$D13)&amp;""</f>
        <v>银联</v>
      </c>
      <c r="G167" s="49" t="n">
        <f aca="false">IF(COUNTIFS(输入平台!$A:$A,助手收入!$X9,输入平台!$B:$B,科目对照收入!$B13)&gt;0,ROUND(SUMIFS(输入平台!$C:$C,输入平台!$A:$A,助手收入!$X9,输入平台!$B:$B,科目对照收入!$B13),2),ROUND(海典汇总!$V$10,2))</f>
        <v>0</v>
      </c>
      <c r="H167" s="49" t="str">
        <f aca="false">IF(ROUND($G167,2)&gt;0,ROUND($G167,2),"")</f>
        <v/>
      </c>
      <c r="I167" s="49" t="str">
        <f aca="false">IF(ROUND($G167,2)&lt;0,-ROUND($G167,2),"")</f>
        <v/>
      </c>
      <c r="J167" s="20" t="n">
        <f aca="false">IF(ROUND($G167,2)=0,0,1)</f>
        <v>0</v>
      </c>
      <c r="K167" s="20" t="str">
        <f aca="false">IF($J167=0,"",SUM($J$156:$J167))</f>
        <v/>
      </c>
      <c r="L167" s="20" t="str">
        <f aca="false">IF($K167="","",$A167*100+$K167)</f>
        <v/>
      </c>
      <c r="M167" s="48" t="str">
        <f aca="false">参数!$B$3</f>
        <v>7月收入</v>
      </c>
    </row>
    <row r="168" customFormat="false" ht="13.5" hidden="false" customHeight="false" outlineLevel="0" collapsed="false">
      <c r="A168" s="47" t="n">
        <v>8</v>
      </c>
      <c r="B168" s="38" t="n">
        <f aca="false">助手收入!$B9</f>
        <v>2008</v>
      </c>
      <c r="C168" s="48" t="str">
        <f aca="false">助手收入!$C9</f>
        <v>博昭店</v>
      </c>
      <c r="D168" s="48" t="str">
        <f aca="false">科目对照收入!$B14&amp;""</f>
        <v>小镇外卖</v>
      </c>
      <c r="E168" s="48" t="str">
        <f aca="false">IF(AND(ROUND($G168,2)&lt;0,科目对照收入!$L14&lt;&gt;""),科目对照收入!$L14,科目对照收入!$C14)&amp;""</f>
        <v>应收账款</v>
      </c>
      <c r="F168" s="48" t="str">
        <f aca="false">IF(AND(ROUND($G168,2)&lt;0,科目对照收入!$L14&lt;&gt;""),科目对照收入!$M14,科目对照收入!$D14)&amp;""</f>
        <v>小镇外卖</v>
      </c>
      <c r="G168" s="49" t="n">
        <f aca="false">IF(COUNTIFS(输入平台!$A:$A,助手收入!$X9,输入平台!$B:$B,科目对照收入!$B14)&gt;0,ROUND(SUMIFS(输入平台!$C:$C,输入平台!$A:$A,助手收入!$X9,输入平台!$B:$B,科目对照收入!$B14),2),ROUND(海典汇总!$AC$10,2))</f>
        <v>0</v>
      </c>
      <c r="H168" s="49" t="str">
        <f aca="false">IF(ROUND($G168,2)&gt;0,ROUND($G168,2),"")</f>
        <v/>
      </c>
      <c r="I168" s="49" t="str">
        <f aca="false">IF(ROUND($G168,2)&lt;0,-ROUND($G168,2),"")</f>
        <v/>
      </c>
      <c r="J168" s="20" t="n">
        <f aca="false">IF(ROUND($G168,2)=0,0,1)</f>
        <v>0</v>
      </c>
      <c r="K168" s="20" t="str">
        <f aca="false">IF($J168=0,"",SUM($J$156:$J168))</f>
        <v/>
      </c>
      <c r="L168" s="20" t="str">
        <f aca="false">IF($K168="","",$A168*100+$K168)</f>
        <v/>
      </c>
      <c r="M168" s="48" t="str">
        <f aca="false">参数!$B$3</f>
        <v>7月收入</v>
      </c>
    </row>
    <row r="169" customFormat="false" ht="13.5" hidden="false" customHeight="false" outlineLevel="0" collapsed="false">
      <c r="A169" s="47" t="n">
        <v>8</v>
      </c>
      <c r="B169" s="38" t="n">
        <f aca="false">助手收入!$B9</f>
        <v>2008</v>
      </c>
      <c r="C169" s="48" t="str">
        <f aca="false">助手收入!$C9</f>
        <v>博昭店</v>
      </c>
      <c r="D169" s="48" t="str">
        <f aca="false">科目对照收入!$B15&amp;""</f>
        <v>OMS线上支付</v>
      </c>
      <c r="E169" s="48" t="str">
        <f aca="false">IF(AND(ROUND($G169,2)&lt;0,科目对照收入!$L15&lt;&gt;""),科目对照收入!$L15,科目对照收入!$C15)&amp;""</f>
        <v>应收账款</v>
      </c>
      <c r="F169" s="48" t="str">
        <f aca="false">IF(AND(ROUND($G169,2)&lt;0,科目对照收入!$L15&lt;&gt;""),科目对照收入!$M15,科目对照收入!$D15)&amp;""</f>
        <v>OMS线上</v>
      </c>
      <c r="G169" s="49" t="n">
        <f aca="false">IF(COUNTIFS(输入平台!$A:$A,助手收入!$X9,输入平台!$B:$B,科目对照收入!$B15)&gt;0,ROUND(SUMIFS(输入平台!$C:$C,输入平台!$A:$A,助手收入!$X9,输入平台!$B:$B,科目对照收入!$B15),2),ROUND(海典汇总!$L$10,2))</f>
        <v>0</v>
      </c>
      <c r="H169" s="49" t="str">
        <f aca="false">IF(ROUND($G169,2)&gt;0,ROUND($G169,2),"")</f>
        <v/>
      </c>
      <c r="I169" s="49" t="str">
        <f aca="false">IF(ROUND($G169,2)&lt;0,-ROUND($G169,2),"")</f>
        <v/>
      </c>
      <c r="J169" s="20" t="n">
        <f aca="false">IF(ROUND($G169,2)=0,0,1)</f>
        <v>0</v>
      </c>
      <c r="K169" s="20" t="str">
        <f aca="false">IF($J169=0,"",SUM($J$156:$J169))</f>
        <v/>
      </c>
      <c r="L169" s="20" t="str">
        <f aca="false">IF($K169="","",$A169*100+$K169)</f>
        <v/>
      </c>
      <c r="M169" s="48" t="str">
        <f aca="false">参数!$B$3</f>
        <v>7月收入</v>
      </c>
    </row>
    <row r="170" customFormat="false" ht="13.5" hidden="false" customHeight="false" outlineLevel="0" collapsed="false">
      <c r="A170" s="47" t="n">
        <v>8</v>
      </c>
      <c r="B170" s="38" t="n">
        <f aca="false">助手收入!$B9</f>
        <v>2008</v>
      </c>
      <c r="C170" s="48" t="str">
        <f aca="false">助手收入!$C9</f>
        <v>博昭店</v>
      </c>
      <c r="D170" s="48" t="str">
        <f aca="false">科目对照收入!$B16&amp;""</f>
        <v>平安药卡</v>
      </c>
      <c r="E170" s="48" t="str">
        <f aca="false">IF(AND(ROUND($G170,2)&lt;0,科目对照收入!$L16&lt;&gt;""),科目对照收入!$L16,科目对照收入!$C16)&amp;""</f>
        <v>应收账款</v>
      </c>
      <c r="F170" s="48" t="str">
        <f aca="false">IF(AND(ROUND($G170,2)&lt;0,科目对照收入!$L16&lt;&gt;""),科目对照收入!$M16,科目对照收入!$D16)&amp;""</f>
        <v>平安</v>
      </c>
      <c r="G170" s="49" t="n">
        <f aca="false">IF(COUNTIFS(输入平台!$A:$A,助手收入!$X9,输入平台!$B:$B,科目对照收入!$B16)&gt;0,ROUND(SUMIFS(输入平台!$C:$C,输入平台!$A:$A,助手收入!$X9,输入平台!$B:$B,科目对照收入!$B16),2),ROUND(海典汇总!$AB$10,2))</f>
        <v>0</v>
      </c>
      <c r="H170" s="49" t="str">
        <f aca="false">IF(ROUND($G170,2)&gt;0,ROUND($G170,2),"")</f>
        <v/>
      </c>
      <c r="I170" s="49" t="str">
        <f aca="false">IF(ROUND($G170,2)&lt;0,-ROUND($G170,2),"")</f>
        <v/>
      </c>
      <c r="J170" s="20" t="n">
        <f aca="false">IF(ROUND($G170,2)=0,0,1)</f>
        <v>0</v>
      </c>
      <c r="K170" s="20" t="str">
        <f aca="false">IF($J170=0,"",SUM($J$156:$J170))</f>
        <v/>
      </c>
      <c r="L170" s="20" t="str">
        <f aca="false">IF($K170="","",$A170*100+$K170)</f>
        <v/>
      </c>
      <c r="M170" s="48" t="str">
        <f aca="false">参数!$B$3</f>
        <v>7月收入</v>
      </c>
    </row>
    <row r="171" customFormat="false" ht="13.5" hidden="false" customHeight="false" outlineLevel="0" collapsed="false">
      <c r="A171" s="47" t="n">
        <v>8</v>
      </c>
      <c r="B171" s="38" t="n">
        <f aca="false">助手收入!$B9</f>
        <v>2008</v>
      </c>
      <c r="C171" s="48" t="str">
        <f aca="false">助手收入!$C9</f>
        <v>博昭店</v>
      </c>
      <c r="D171" s="48" t="str">
        <f aca="false">科目对照收入!$B17&amp;""</f>
        <v>储值卡</v>
      </c>
      <c r="E171" s="48" t="str">
        <f aca="false">IF(AND(ROUND($G171,2)&lt;0,科目对照收入!$L17&lt;&gt;""),科目对照收入!$L17,科目对照收入!$C17)&amp;""</f>
        <v>其他应收款</v>
      </c>
      <c r="F171" s="48" t="str">
        <f aca="false">IF(AND(ROUND($G171,2)&lt;0,科目对照收入!$L17&lt;&gt;""),科目对照收入!$M17,科目对照收入!$D17)&amp;""</f>
        <v>储值卡</v>
      </c>
      <c r="G171" s="49" t="n">
        <f aca="false">ROUND(海典汇总!$Q$10,2)</f>
        <v>203.15</v>
      </c>
      <c r="H171" s="49" t="n">
        <f aca="false">IF(ROUND($G171,2)&gt;0,ROUND($G171,2),"")</f>
        <v>203.15</v>
      </c>
      <c r="I171" s="49" t="str">
        <f aca="false">IF(ROUND($G171,2)&lt;0,-ROUND($G171,2),"")</f>
        <v/>
      </c>
      <c r="J171" s="20" t="n">
        <f aca="false">IF(ROUND($G171,2)=0,0,1)</f>
        <v>1</v>
      </c>
      <c r="K171" s="20" t="n">
        <f aca="false">IF($J171=0,"",SUM($J$156:$J171))</f>
        <v>4</v>
      </c>
      <c r="L171" s="20" t="n">
        <f aca="false">IF($K171="","",$A171*100+$K171)</f>
        <v>804</v>
      </c>
      <c r="M171" s="48" t="str">
        <f aca="false">参数!$B$3</f>
        <v>7月收入</v>
      </c>
    </row>
    <row r="172" customFormat="false" ht="13.5" hidden="false" customHeight="false" outlineLevel="0" collapsed="false">
      <c r="A172" s="47" t="n">
        <v>8</v>
      </c>
      <c r="B172" s="38" t="n">
        <f aca="false">助手收入!$B9</f>
        <v>2008</v>
      </c>
      <c r="C172" s="48" t="str">
        <f aca="false">助手收入!$C9</f>
        <v>博昭店</v>
      </c>
      <c r="D172" s="48" t="str">
        <f aca="false">科目对照收入!$B18&amp;""</f>
        <v>会员零钱包</v>
      </c>
      <c r="E172" s="48" t="str">
        <f aca="false">IF(AND(ROUND($G172,2)&lt;0,科目对照收入!$L18&lt;&gt;""),科目对照收入!$L18,科目对照收入!$C18)&amp;""</f>
        <v>其他应收款</v>
      </c>
      <c r="F172" s="48" t="str">
        <f aca="false">IF(AND(ROUND($G172,2)&lt;0,科目对照收入!$L18&lt;&gt;""),科目对照收入!$M18,科目对照收入!$D18)&amp;""</f>
        <v>会员零钱包</v>
      </c>
      <c r="G172" s="49" t="n">
        <f aca="false">ROUND(海典汇总!$P$10,2)</f>
        <v>0.3</v>
      </c>
      <c r="H172" s="49" t="n">
        <f aca="false">IF(ROUND($G172,2)&gt;0,ROUND($G172,2),"")</f>
        <v>0.3</v>
      </c>
      <c r="I172" s="49" t="str">
        <f aca="false">IF(ROUND($G172,2)&lt;0,-ROUND($G172,2),"")</f>
        <v/>
      </c>
      <c r="J172" s="20" t="n">
        <f aca="false">IF(ROUND($G172,2)=0,0,1)</f>
        <v>1</v>
      </c>
      <c r="K172" s="20" t="n">
        <f aca="false">IF($J172=0,"",SUM($J$156:$J172))</f>
        <v>5</v>
      </c>
      <c r="L172" s="20" t="n">
        <f aca="false">IF($K172="","",$A172*100+$K172)</f>
        <v>805</v>
      </c>
      <c r="M172" s="48" t="str">
        <f aca="false">参数!$B$3</f>
        <v>7月收入</v>
      </c>
    </row>
    <row r="173" customFormat="false" ht="13.5" hidden="false" customHeight="false" outlineLevel="0" collapsed="false">
      <c r="A173" s="47" t="n">
        <v>8</v>
      </c>
      <c r="B173" s="38" t="n">
        <f aca="false">助手收入!$B9</f>
        <v>2008</v>
      </c>
      <c r="C173" s="48" t="str">
        <f aca="false">助手收入!$C9</f>
        <v>博昭店</v>
      </c>
      <c r="D173" s="48" t="str">
        <f aca="false">科目对照收入!$B19&amp;""</f>
        <v>促销费</v>
      </c>
      <c r="E173" s="48" t="str">
        <f aca="false">IF(AND(ROUND($G173,2)&lt;0,科目对照收入!$L19&lt;&gt;""),科目对照收入!$L19,科目对照收入!$C19)&amp;""</f>
        <v>销售费用</v>
      </c>
      <c r="F173" s="48" t="str">
        <f aca="false">IF(AND(ROUND($G173,2)&lt;0,科目对照收入!$L19&lt;&gt;""),科目对照收入!$M19,科目对照收入!$D19)&amp;""</f>
        <v>促销费</v>
      </c>
      <c r="G173" s="49" t="n">
        <f aca="false">ROUND(海典汇总!$U$10+海典汇总!$T$10+海典汇总!$S$10,2)</f>
        <v>3833.91</v>
      </c>
      <c r="H173" s="49" t="n">
        <f aca="false">IF(ROUND($G173,2)&gt;0,ROUND($G173,2),"")</f>
        <v>3833.91</v>
      </c>
      <c r="I173" s="49" t="str">
        <f aca="false">IF(ROUND($G173,2)&lt;0,-ROUND($G173,2),"")</f>
        <v/>
      </c>
      <c r="J173" s="20" t="n">
        <f aca="false">IF(ROUND($G173,2)=0,0,1)</f>
        <v>1</v>
      </c>
      <c r="K173" s="20" t="n">
        <f aca="false">IF($J173=0,"",SUM($J$156:$J173))</f>
        <v>6</v>
      </c>
      <c r="L173" s="20" t="n">
        <f aca="false">IF($K173="","",$A173*100+$K173)</f>
        <v>806</v>
      </c>
      <c r="M173" s="48" t="str">
        <f aca="false">参数!$B$3</f>
        <v>7月收入</v>
      </c>
    </row>
    <row r="174" customFormat="false" ht="13.5" hidden="false" customHeight="false" outlineLevel="0" collapsed="false">
      <c r="A174" s="47" t="n">
        <v>8</v>
      </c>
      <c r="B174" s="38" t="n">
        <f aca="false">助手收入!$B9</f>
        <v>2008</v>
      </c>
      <c r="C174" s="48" t="str">
        <f aca="false">助手收入!$C9</f>
        <v>博昭店</v>
      </c>
      <c r="D174" s="48" t="str">
        <f aca="false">科目对照收入!$B20&amp;""</f>
        <v>积分</v>
      </c>
      <c r="E174" s="48" t="str">
        <f aca="false">IF(AND(ROUND($G174,2)&lt;0,科目对照收入!$L20&lt;&gt;""),科目对照收入!$L20,科目对照收入!$C20)&amp;""</f>
        <v>销售费用</v>
      </c>
      <c r="F174" s="48" t="str">
        <f aca="false">IF(AND(ROUND($G174,2)&lt;0,科目对照收入!$L20&lt;&gt;""),科目对照收入!$M20,科目对照收入!$D20)&amp;""</f>
        <v>积分</v>
      </c>
      <c r="G174" s="49" t="n">
        <f aca="false">ROUND(海典汇总!$R$10,2)</f>
        <v>0</v>
      </c>
      <c r="H174" s="49" t="str">
        <f aca="false">IF(ROUND($G174,2)&gt;0,ROUND($G174,2),"")</f>
        <v/>
      </c>
      <c r="I174" s="49" t="str">
        <f aca="false">IF(ROUND($G174,2)&lt;0,-ROUND($G174,2),"")</f>
        <v/>
      </c>
      <c r="J174" s="20" t="n">
        <f aca="false">IF(ROUND($G174,2)=0,0,1)</f>
        <v>0</v>
      </c>
      <c r="K174" s="20" t="str">
        <f aca="false">IF($J174=0,"",SUM($J$156:$J174))</f>
        <v/>
      </c>
      <c r="L174" s="20" t="str">
        <f aca="false">IF($K174="","",$A174*100+$K174)</f>
        <v/>
      </c>
      <c r="M174" s="48" t="str">
        <f aca="false">参数!$B$3</f>
        <v>7月收入</v>
      </c>
    </row>
    <row r="175" customFormat="false" ht="13.5" hidden="false" customHeight="false" outlineLevel="0" collapsed="false">
      <c r="A175" s="47" t="n">
        <v>8</v>
      </c>
      <c r="B175" s="38" t="n">
        <f aca="false">助手收入!$B9</f>
        <v>2008</v>
      </c>
      <c r="C175" s="48" t="str">
        <f aca="false">助手收入!$C9</f>
        <v>博昭店</v>
      </c>
      <c r="D175" s="48" t="str">
        <f aca="false">科目对照收入!$B21&amp;""</f>
        <v>手续费</v>
      </c>
      <c r="E175" s="48" t="str">
        <f aca="false">IF(AND(ROUND($G175,2)&lt;0,科目对照收入!$L21&lt;&gt;""),科目对照收入!$L21,科目对照收入!$C21)&amp;""</f>
        <v>财务费用</v>
      </c>
      <c r="F175" s="48" t="str">
        <f aca="false">IF(AND(ROUND($G175,2)&lt;0,科目对照收入!$L21&lt;&gt;""),科目对照收入!$M21,科目对照收入!$D21)&amp;""</f>
        <v>手续费</v>
      </c>
      <c r="G175" s="49" t="n">
        <f aca="false">ROUND(SUMIFS(输入聚合!$D:$D,输入聚合!$A:$A,助手收入!$X9),2)</f>
        <v>143.42</v>
      </c>
      <c r="H175" s="49" t="n">
        <f aca="false">IF(ROUND($G175,2)&gt;0,ROUND($G175,2),"")</f>
        <v>143.42</v>
      </c>
      <c r="I175" s="49" t="str">
        <f aca="false">IF(ROUND($G175,2)&lt;0,-ROUND($G175,2),"")</f>
        <v/>
      </c>
      <c r="J175" s="20" t="n">
        <f aca="false">IF(ROUND($G175,2)=0,0,1)</f>
        <v>1</v>
      </c>
      <c r="K175" s="20" t="n">
        <f aca="false">IF($J175=0,"",SUM($J$156:$J175))</f>
        <v>7</v>
      </c>
      <c r="L175" s="20" t="n">
        <f aca="false">IF($K175="","",$A175*100+$K175)</f>
        <v>807</v>
      </c>
      <c r="M175" s="48" t="str">
        <f aca="false">参数!$B$3</f>
        <v>7月收入</v>
      </c>
    </row>
    <row r="176" customFormat="false" ht="13.5" hidden="false" customHeight="false" outlineLevel="0" collapsed="false">
      <c r="A176" s="47" t="n">
        <v>8</v>
      </c>
      <c r="B176" s="38" t="n">
        <f aca="false">助手收入!$B9</f>
        <v>2008</v>
      </c>
      <c r="C176" s="48" t="str">
        <f aca="false">助手收入!$C9</f>
        <v>博昭店</v>
      </c>
      <c r="D176" s="48" t="str">
        <f aca="false">科目对照收入!$B22&amp;""</f>
        <v>主营业务收入</v>
      </c>
      <c r="E176" s="48" t="str">
        <f aca="false">IF(AND(ROUND($G176,2)&lt;0,科目对照收入!$L22&lt;&gt;""),科目对照收入!$L22,科目对照收入!$C22)&amp;""</f>
        <v>主营业务收入</v>
      </c>
      <c r="F176" s="48" t="str">
        <f aca="false">IF(AND(ROUND($G176,2)&lt;0,科目对照收入!$L22&lt;&gt;""),科目对照收入!$M22,科目对照收入!$D22)&amp;""</f>
        <v/>
      </c>
      <c r="G176" s="49" t="n">
        <f aca="false">-ROUND(助手收入!$G9,2)</f>
        <v>-75943.14</v>
      </c>
      <c r="H176" s="49" t="str">
        <f aca="false">IF(ROUND($G176,2)&gt;0,ROUND($G176,2),"")</f>
        <v/>
      </c>
      <c r="I176" s="49" t="n">
        <f aca="false">IF(ROUND($G176,2)&lt;0,-ROUND($G176,2),"")</f>
        <v>75943.14</v>
      </c>
      <c r="J176" s="20" t="n">
        <f aca="false">IF(ROUND($G176,2)=0,0,1)</f>
        <v>1</v>
      </c>
      <c r="K176" s="20" t="n">
        <f aca="false">IF($J176=0,"",SUM($J$156:$J176))</f>
        <v>8</v>
      </c>
      <c r="L176" s="20" t="n">
        <f aca="false">IF($K176="","",$A176*100+$K176)</f>
        <v>808</v>
      </c>
      <c r="M176" s="48" t="str">
        <f aca="false">参数!$B$3</f>
        <v>7月收入</v>
      </c>
    </row>
    <row r="177" customFormat="false" ht="13.5" hidden="false" customHeight="false" outlineLevel="0" collapsed="false">
      <c r="A177" s="47" t="n">
        <v>8</v>
      </c>
      <c r="B177" s="38" t="n">
        <f aca="false">助手收入!$B9</f>
        <v>2008</v>
      </c>
      <c r="C177" s="48" t="str">
        <f aca="false">助手收入!$C9</f>
        <v>博昭店</v>
      </c>
      <c r="D177" s="48" t="str">
        <f aca="false">科目对照收入!$B23&amp;""</f>
        <v>营业外收入</v>
      </c>
      <c r="E177" s="48" t="str">
        <f aca="false">IF(AND(ROUND($G177,2)&lt;0,科目对照收入!$L23&lt;&gt;""),科目对照收入!$L23,科目对照收入!$C23)&amp;""</f>
        <v>营业外收入</v>
      </c>
      <c r="F177" s="48" t="str">
        <f aca="false">IF(AND(ROUND($G177,2)&lt;0,科目对照收入!$L23&lt;&gt;""),科目对照收入!$M23,科目对照收入!$D23)&amp;""</f>
        <v/>
      </c>
      <c r="G177" s="49" t="n">
        <f aca="false">-ROUND(助手收入!$J9,2)</f>
        <v>-0</v>
      </c>
      <c r="H177" s="49" t="str">
        <f aca="false">IF(ROUND($G177,2)&gt;0,ROUND($G177,2),"")</f>
        <v/>
      </c>
      <c r="I177" s="49" t="str">
        <f aca="false">IF(ROUND($G177,2)&lt;0,-ROUND($G177,2),"")</f>
        <v/>
      </c>
      <c r="J177" s="20" t="n">
        <f aca="false">IF(ROUND($G177,2)=0,0,1)</f>
        <v>0</v>
      </c>
      <c r="K177" s="20" t="str">
        <f aca="false">IF($J177=0,"",SUM($J$156:$J177))</f>
        <v/>
      </c>
      <c r="L177" s="20" t="str">
        <f aca="false">IF($K177="","",$A177*100+$K177)</f>
        <v/>
      </c>
      <c r="M177" s="48" t="str">
        <f aca="false">参数!$B$3</f>
        <v>7月收入</v>
      </c>
    </row>
    <row r="178" customFormat="false" ht="13.5" hidden="false" customHeight="false" outlineLevel="0" collapsed="false">
      <c r="A178" s="47" t="n">
        <v>9</v>
      </c>
      <c r="B178" s="38" t="n">
        <f aca="false">助手收入!$B10</f>
        <v>2009</v>
      </c>
      <c r="C178" s="48" t="str">
        <f aca="false">助手收入!$C10</f>
        <v>大霍店</v>
      </c>
      <c r="D178" s="48" t="str">
        <f aca="false">科目对照收入!$B2&amp;""</f>
        <v>库存现金</v>
      </c>
      <c r="E178" s="48" t="str">
        <f aca="false">IF(AND(ROUND($G178,2)&lt;0,科目对照收入!$L2&lt;&gt;""),科目对照收入!$L2,科目对照收入!$C2)&amp;""</f>
        <v>库存现金</v>
      </c>
      <c r="F178" s="48" t="str">
        <f aca="false">IF(AND(ROUND($G178,2)&lt;0,科目对照收入!$L2&lt;&gt;""),科目对照收入!$M2,科目对照收入!$D2)&amp;""</f>
        <v/>
      </c>
      <c r="G178" s="49" t="n">
        <f aca="false">助手收入!$I10</f>
        <v>9880.5</v>
      </c>
      <c r="H178" s="49" t="n">
        <f aca="false">IF(ROUND($G178,2)&gt;0,ROUND($G178,2),"")</f>
        <v>9880.5</v>
      </c>
      <c r="I178" s="49" t="str">
        <f aca="false">IF(ROUND($G178,2)&lt;0,-ROUND($G178,2),"")</f>
        <v/>
      </c>
      <c r="J178" s="20" t="n">
        <f aca="false">IF(ROUND($G178,2)=0,0,1)</f>
        <v>1</v>
      </c>
      <c r="K178" s="20" t="n">
        <f aca="false">IF($J178=0,"",SUM($J$178:$J178))</f>
        <v>1</v>
      </c>
      <c r="L178" s="20" t="n">
        <f aca="false">IF($K178="","",$A178*100+$K178)</f>
        <v>901</v>
      </c>
      <c r="M178" s="48" t="str">
        <f aca="false">参数!$B$3</f>
        <v>7月收入</v>
      </c>
    </row>
    <row r="179" customFormat="false" ht="13.5" hidden="false" customHeight="false" outlineLevel="0" collapsed="false">
      <c r="A179" s="47" t="n">
        <v>9</v>
      </c>
      <c r="B179" s="38" t="n">
        <f aca="false">助手收入!$B10</f>
        <v>2009</v>
      </c>
      <c r="C179" s="48" t="str">
        <f aca="false">助手收入!$C10</f>
        <v>大霍店</v>
      </c>
      <c r="D179" s="48" t="str">
        <f aca="false">科目对照收入!$B3&amp;""</f>
        <v>聚合支付</v>
      </c>
      <c r="E179" s="48" t="str">
        <f aca="false">IF(AND(ROUND($G179,2)&lt;0,科目对照收入!$L3&lt;&gt;""),科目对照收入!$L3,科目对照收入!$C3)&amp;""</f>
        <v>应收账款</v>
      </c>
      <c r="F179" s="48" t="str">
        <f aca="false">IF(AND(ROUND($G179,2)&lt;0,科目对照收入!$L3&lt;&gt;""),科目对照收入!$M3,科目对照收入!$D3)&amp;""</f>
        <v>聚合支付</v>
      </c>
      <c r="G179" s="49" t="n">
        <f aca="false">ROUND(SUMIFS(输入聚合!$C:$C,输入聚合!$A:$A,助手收入!$X10)-SUMIFS(输入聚合!$D:$D,输入聚合!$A:$A,助手收入!$X10),2)</f>
        <v>22349.67</v>
      </c>
      <c r="H179" s="49" t="n">
        <f aca="false">IF(ROUND($G179,2)&gt;0,ROUND($G179,2),"")</f>
        <v>22349.67</v>
      </c>
      <c r="I179" s="49" t="str">
        <f aca="false">IF(ROUND($G179,2)&lt;0,-ROUND($G179,2),"")</f>
        <v/>
      </c>
      <c r="J179" s="20" t="n">
        <f aca="false">IF(ROUND($G179,2)=0,0,1)</f>
        <v>1</v>
      </c>
      <c r="K179" s="20" t="n">
        <f aca="false">IF($J179=0,"",SUM($J$178:$J179))</f>
        <v>2</v>
      </c>
      <c r="L179" s="20" t="n">
        <f aca="false">IF($K179="","",$A179*100+$K179)</f>
        <v>902</v>
      </c>
      <c r="M179" s="48" t="str">
        <f aca="false">参数!$B$3</f>
        <v>7月收入</v>
      </c>
    </row>
    <row r="180" customFormat="false" ht="13.5" hidden="false" customHeight="false" outlineLevel="0" collapsed="false">
      <c r="A180" s="47" t="n">
        <v>9</v>
      </c>
      <c r="B180" s="38" t="n">
        <f aca="false">助手收入!$B10</f>
        <v>2009</v>
      </c>
      <c r="C180" s="48" t="str">
        <f aca="false">助手收入!$C10</f>
        <v>大霍店</v>
      </c>
      <c r="D180" s="48" t="str">
        <f aca="false">科目对照收入!$B4&amp;""</f>
        <v>医保</v>
      </c>
      <c r="E180" s="48" t="str">
        <f aca="false">IF(AND(ROUND($G180,2)&lt;0,科目对照收入!$L4&lt;&gt;""),科目对照收入!$L4,科目对照收入!$C4)&amp;""</f>
        <v>应收账款</v>
      </c>
      <c r="F180" s="48" t="str">
        <f aca="false">IF(AND(ROUND($G180,2)&lt;0,科目对照收入!$L4&lt;&gt;""),科目对照收入!$M4,科目对照收入!$D4)&amp;""</f>
        <v>医保</v>
      </c>
      <c r="G180" s="49" t="n">
        <f aca="false">IF(COUNTIFS(输入平台!$A:$A,助手收入!$X10,输入平台!$B:$B,科目对照收入!$B4)&gt;0,ROUND(SUMIFS(输入平台!$C:$C,输入平台!$A:$A,助手收入!$X10,输入平台!$B:$B,科目对照收入!$B4),2),ROUND(海典汇总!$F$11+海典汇总!$G$11,2))</f>
        <v>3361.43</v>
      </c>
      <c r="H180" s="49" t="n">
        <f aca="false">IF(ROUND($G180,2)&gt;0,ROUND($G180,2),"")</f>
        <v>3361.43</v>
      </c>
      <c r="I180" s="49" t="str">
        <f aca="false">IF(ROUND($G180,2)&lt;0,-ROUND($G180,2),"")</f>
        <v/>
      </c>
      <c r="J180" s="20" t="n">
        <f aca="false">IF(ROUND($G180,2)=0,0,1)</f>
        <v>1</v>
      </c>
      <c r="K180" s="20" t="n">
        <f aca="false">IF($J180=0,"",SUM($J$178:$J180))</f>
        <v>3</v>
      </c>
      <c r="L180" s="20" t="n">
        <f aca="false">IF($K180="","",$A180*100+$K180)</f>
        <v>903</v>
      </c>
      <c r="M180" s="48" t="str">
        <f aca="false">参数!$B$3</f>
        <v>7月收入</v>
      </c>
    </row>
    <row r="181" customFormat="false" ht="13.5" hidden="false" customHeight="false" outlineLevel="0" collapsed="false">
      <c r="A181" s="47" t="n">
        <v>9</v>
      </c>
      <c r="B181" s="38" t="n">
        <f aca="false">助手收入!$B10</f>
        <v>2009</v>
      </c>
      <c r="C181" s="48" t="str">
        <f aca="false">助手收入!$C10</f>
        <v>大霍店</v>
      </c>
      <c r="D181" s="48" t="str">
        <f aca="false">科目对照收入!$B5&amp;""</f>
        <v>健e卡</v>
      </c>
      <c r="E181" s="48" t="str">
        <f aca="false">IF(AND(ROUND($G181,2)&lt;0,科目对照收入!$L5&lt;&gt;""),科目对照收入!$L5,科目对照收入!$C5)&amp;""</f>
        <v>应收账款</v>
      </c>
      <c r="F181" s="48" t="str">
        <f aca="false">IF(AND(ROUND($G181,2)&lt;0,科目对照收入!$L5&lt;&gt;""),科目对照收入!$M5,科目对照收入!$D5)&amp;""</f>
        <v>健e卡</v>
      </c>
      <c r="G181" s="49" t="n">
        <f aca="false">IF(COUNTIFS(输入平台!$A:$A,助手收入!$X10,输入平台!$B:$B,科目对照收入!$B5)&gt;0,ROUND(SUMIFS(输入平台!$C:$C,输入平台!$A:$A,助手收入!$X10,输入平台!$B:$B,科目对照收入!$B5),2),ROUND(海典汇总!$H$11,2))</f>
        <v>0</v>
      </c>
      <c r="H181" s="49" t="str">
        <f aca="false">IF(ROUND($G181,2)&gt;0,ROUND($G181,2),"")</f>
        <v/>
      </c>
      <c r="I181" s="49" t="str">
        <f aca="false">IF(ROUND($G181,2)&lt;0,-ROUND($G181,2),"")</f>
        <v/>
      </c>
      <c r="J181" s="20" t="n">
        <f aca="false">IF(ROUND($G181,2)=0,0,1)</f>
        <v>0</v>
      </c>
      <c r="K181" s="20" t="str">
        <f aca="false">IF($J181=0,"",SUM($J$178:$J181))</f>
        <v/>
      </c>
      <c r="L181" s="20" t="str">
        <f aca="false">IF($K181="","",$A181*100+$K181)</f>
        <v/>
      </c>
      <c r="M181" s="48" t="str">
        <f aca="false">参数!$B$3</f>
        <v>7月收入</v>
      </c>
    </row>
    <row r="182" customFormat="false" ht="13.5" hidden="false" customHeight="false" outlineLevel="0" collapsed="false">
      <c r="A182" s="47" t="n">
        <v>9</v>
      </c>
      <c r="B182" s="38" t="n">
        <f aca="false">助手收入!$B10</f>
        <v>2009</v>
      </c>
      <c r="C182" s="48" t="str">
        <f aca="false">助手收入!$C10</f>
        <v>大霍店</v>
      </c>
      <c r="D182" s="48" t="str">
        <f aca="false">科目对照收入!$B6&amp;""</f>
        <v>医卡通</v>
      </c>
      <c r="E182" s="48" t="str">
        <f aca="false">IF(AND(ROUND($G182,2)&lt;0,科目对照收入!$L6&lt;&gt;""),科目对照收入!$L6,科目对照收入!$C6)&amp;""</f>
        <v>应收账款</v>
      </c>
      <c r="F182" s="48" t="str">
        <f aca="false">IF(AND(ROUND($G182,2)&lt;0,科目对照收入!$L6&lt;&gt;""),科目对照收入!$M6,科目对照收入!$D6)&amp;""</f>
        <v>医卡通</v>
      </c>
      <c r="G182" s="49" t="n">
        <f aca="false">IF(COUNTIFS(输入平台!$A:$A,助手收入!$X10,输入平台!$B:$B,科目对照收入!$B6)&gt;0,ROUND(SUMIFS(输入平台!$C:$C,输入平台!$A:$A,助手收入!$X10,输入平台!$B:$B,科目对照收入!$B6),2),ROUND(海典汇总!$I$11,2))</f>
        <v>0</v>
      </c>
      <c r="H182" s="49" t="str">
        <f aca="false">IF(ROUND($G182,2)&gt;0,ROUND($G182,2),"")</f>
        <v/>
      </c>
      <c r="I182" s="49" t="str">
        <f aca="false">IF(ROUND($G182,2)&lt;0,-ROUND($G182,2),"")</f>
        <v/>
      </c>
      <c r="J182" s="20" t="n">
        <f aca="false">IF(ROUND($G182,2)=0,0,1)</f>
        <v>0</v>
      </c>
      <c r="K182" s="20" t="str">
        <f aca="false">IF($J182=0,"",SUM($J$178:$J182))</f>
        <v/>
      </c>
      <c r="L182" s="20" t="str">
        <f aca="false">IF($K182="","",$A182*100+$K182)</f>
        <v/>
      </c>
      <c r="M182" s="48" t="str">
        <f aca="false">参数!$B$3</f>
        <v>7月收入</v>
      </c>
    </row>
    <row r="183" customFormat="false" ht="13.5" hidden="false" customHeight="false" outlineLevel="0" collapsed="false">
      <c r="A183" s="47" t="n">
        <v>9</v>
      </c>
      <c r="B183" s="38" t="n">
        <f aca="false">助手收入!$B10</f>
        <v>2009</v>
      </c>
      <c r="C183" s="48" t="str">
        <f aca="false">助手收入!$C10</f>
        <v>大霍店</v>
      </c>
      <c r="D183" s="48" t="str">
        <f aca="false">科目对照收入!$B7&amp;""</f>
        <v>企健网</v>
      </c>
      <c r="E183" s="48" t="str">
        <f aca="false">IF(AND(ROUND($G183,2)&lt;0,科目对照收入!$L7&lt;&gt;""),科目对照收入!$L7,科目对照收入!$C7)&amp;""</f>
        <v>应收账款</v>
      </c>
      <c r="F183" s="48" t="str">
        <f aca="false">IF(AND(ROUND($G183,2)&lt;0,科目对照收入!$L7&lt;&gt;""),科目对照收入!$M7,科目对照收入!$D7)&amp;""</f>
        <v>企健网</v>
      </c>
      <c r="G183" s="49" t="n">
        <f aca="false">IF(COUNTIFS(输入平台!$A:$A,助手收入!$X10,输入平台!$B:$B,科目对照收入!$B7)&gt;0,ROUND(SUMIFS(输入平台!$C:$C,输入平台!$A:$A,助手收入!$X10,输入平台!$B:$B,科目对照收入!$B7),2),ROUND(海典汇总!$J$11,2))</f>
        <v>0</v>
      </c>
      <c r="H183" s="49" t="str">
        <f aca="false">IF(ROUND($G183,2)&gt;0,ROUND($G183,2),"")</f>
        <v/>
      </c>
      <c r="I183" s="49" t="str">
        <f aca="false">IF(ROUND($G183,2)&lt;0,-ROUND($G183,2),"")</f>
        <v/>
      </c>
      <c r="J183" s="20" t="n">
        <f aca="false">IF(ROUND($G183,2)=0,0,1)</f>
        <v>0</v>
      </c>
      <c r="K183" s="20" t="str">
        <f aca="false">IF($J183=0,"",SUM($J$178:$J183))</f>
        <v/>
      </c>
      <c r="L183" s="20" t="str">
        <f aca="false">IF($K183="","",$A183*100+$K183)</f>
        <v/>
      </c>
      <c r="M183" s="48" t="str">
        <f aca="false">参数!$B$3</f>
        <v>7月收入</v>
      </c>
    </row>
    <row r="184" customFormat="false" ht="13.5" hidden="false" customHeight="false" outlineLevel="0" collapsed="false">
      <c r="A184" s="47" t="n">
        <v>9</v>
      </c>
      <c r="B184" s="38" t="n">
        <f aca="false">助手收入!$B10</f>
        <v>2009</v>
      </c>
      <c r="C184" s="48" t="str">
        <f aca="false">助手收入!$C10</f>
        <v>大霍店</v>
      </c>
      <c r="D184" s="48" t="str">
        <f aca="false">科目对照收入!$B8&amp;""</f>
        <v>亲情卡</v>
      </c>
      <c r="E184" s="48" t="str">
        <f aca="false">IF(AND(ROUND($G184,2)&lt;0,科目对照收入!$L8&lt;&gt;""),科目对照收入!$L8,科目对照收入!$C8)&amp;""</f>
        <v>应收账款</v>
      </c>
      <c r="F184" s="48" t="str">
        <f aca="false">IF(AND(ROUND($G184,2)&lt;0,科目对照收入!$L8&lt;&gt;""),科目对照收入!$M8,科目对照收入!$D8)&amp;""</f>
        <v>亲情卡</v>
      </c>
      <c r="G184" s="49" t="n">
        <f aca="false">IF(COUNTIFS(输入平台!$A:$A,助手收入!$X10,输入平台!$B:$B,科目对照收入!$B8)&gt;0,ROUND(SUMIFS(输入平台!$C:$C,输入平台!$A:$A,助手收入!$X10,输入平台!$B:$B,科目对照收入!$B8),2),ROUND(海典汇总!$Z$11,2))</f>
        <v>0</v>
      </c>
      <c r="H184" s="49" t="str">
        <f aca="false">IF(ROUND($G184,2)&gt;0,ROUND($G184,2),"")</f>
        <v/>
      </c>
      <c r="I184" s="49" t="str">
        <f aca="false">IF(ROUND($G184,2)&lt;0,-ROUND($G184,2),"")</f>
        <v/>
      </c>
      <c r="J184" s="20" t="n">
        <f aca="false">IF(ROUND($G184,2)=0,0,1)</f>
        <v>0</v>
      </c>
      <c r="K184" s="20" t="str">
        <f aca="false">IF($J184=0,"",SUM($J$178:$J184))</f>
        <v/>
      </c>
      <c r="L184" s="20" t="str">
        <f aca="false">IF($K184="","",$A184*100+$K184)</f>
        <v/>
      </c>
      <c r="M184" s="48" t="str">
        <f aca="false">参数!$B$3</f>
        <v>7月收入</v>
      </c>
    </row>
    <row r="185" customFormat="false" ht="13.5" hidden="false" customHeight="false" outlineLevel="0" collapsed="false">
      <c r="A185" s="47" t="n">
        <v>9</v>
      </c>
      <c r="B185" s="38" t="n">
        <f aca="false">助手收入!$B10</f>
        <v>2009</v>
      </c>
      <c r="C185" s="48" t="str">
        <f aca="false">助手收入!$C10</f>
        <v>大霍店</v>
      </c>
      <c r="D185" s="48" t="str">
        <f aca="false">科目对照收入!$B9&amp;""</f>
        <v>24小时</v>
      </c>
      <c r="E185" s="48" t="str">
        <f aca="false">IF(AND(ROUND($G185,2)&lt;0,科目对照收入!$L9&lt;&gt;""),科目对照收入!$L9,科目对照收入!$C9)&amp;""</f>
        <v>应收账款</v>
      </c>
      <c r="F185" s="48" t="str">
        <f aca="false">IF(AND(ROUND($G185,2)&lt;0,科目对照收入!$L9&lt;&gt;""),科目对照收入!$M9,科目对照收入!$D9)&amp;""</f>
        <v>24小时</v>
      </c>
      <c r="G185" s="49" t="n">
        <f aca="false">IF(COUNTIFS(输入平台!$A:$A,助手收入!$X10,输入平台!$B:$B,科目对照收入!$B9)&gt;0,ROUND(SUMIFS(输入平台!$C:$C,输入平台!$A:$A,助手收入!$X10,输入平台!$B:$B,科目对照收入!$B9),2),ROUND(海典汇总!$K$11,2))</f>
        <v>0</v>
      </c>
      <c r="H185" s="49" t="str">
        <f aca="false">IF(ROUND($G185,2)&gt;0,ROUND($G185,2),"")</f>
        <v/>
      </c>
      <c r="I185" s="49" t="str">
        <f aca="false">IF(ROUND($G185,2)&lt;0,-ROUND($G185,2),"")</f>
        <v/>
      </c>
      <c r="J185" s="20" t="n">
        <f aca="false">IF(ROUND($G185,2)=0,0,1)</f>
        <v>0</v>
      </c>
      <c r="K185" s="20" t="str">
        <f aca="false">IF($J185=0,"",SUM($J$178:$J185))</f>
        <v/>
      </c>
      <c r="L185" s="20" t="str">
        <f aca="false">IF($K185="","",$A185*100+$K185)</f>
        <v/>
      </c>
      <c r="M185" s="48" t="str">
        <f aca="false">参数!$B$3</f>
        <v>7月收入</v>
      </c>
    </row>
    <row r="186" customFormat="false" ht="13.5" hidden="false" customHeight="false" outlineLevel="0" collapsed="false">
      <c r="A186" s="47" t="n">
        <v>9</v>
      </c>
      <c r="B186" s="38" t="n">
        <f aca="false">助手收入!$B10</f>
        <v>2009</v>
      </c>
      <c r="C186" s="48" t="str">
        <f aca="false">助手收入!$C10</f>
        <v>大霍店</v>
      </c>
      <c r="D186" s="48" t="str">
        <f aca="false">科目对照收入!$B10&amp;""</f>
        <v>美团</v>
      </c>
      <c r="E186" s="48" t="str">
        <f aca="false">IF(AND(ROUND($G186,2)&lt;0,科目对照收入!$L10&lt;&gt;""),科目对照收入!$L10,科目对照收入!$C10)&amp;""</f>
        <v>应收账款</v>
      </c>
      <c r="F186" s="48" t="str">
        <f aca="false">IF(AND(ROUND($G186,2)&lt;0,科目对照收入!$L10&lt;&gt;""),科目对照收入!$M10,科目对照收入!$D10)&amp;""</f>
        <v>美团</v>
      </c>
      <c r="G186" s="49" t="n">
        <f aca="false">IF(COUNTIFS(输入平台!$A:$A,助手收入!$X10,输入平台!$B:$B,科目对照收入!$B10)&gt;0,ROUND(SUMIFS(输入平台!$C:$C,输入平台!$A:$A,助手收入!$X10,输入平台!$B:$B,科目对照收入!$B10),2),ROUND(海典汇总!$M$11,2))</f>
        <v>0</v>
      </c>
      <c r="H186" s="49" t="str">
        <f aca="false">IF(ROUND($G186,2)&gt;0,ROUND($G186,2),"")</f>
        <v/>
      </c>
      <c r="I186" s="49" t="str">
        <f aca="false">IF(ROUND($G186,2)&lt;0,-ROUND($G186,2),"")</f>
        <v/>
      </c>
      <c r="J186" s="20" t="n">
        <f aca="false">IF(ROUND($G186,2)=0,0,1)</f>
        <v>0</v>
      </c>
      <c r="K186" s="20" t="str">
        <f aca="false">IF($J186=0,"",SUM($J$178:$J186))</f>
        <v/>
      </c>
      <c r="L186" s="20" t="str">
        <f aca="false">IF($K186="","",$A186*100+$K186)</f>
        <v/>
      </c>
      <c r="M186" s="48" t="str">
        <f aca="false">参数!$B$3</f>
        <v>7月收入</v>
      </c>
    </row>
    <row r="187" customFormat="false" ht="13.5" hidden="false" customHeight="false" outlineLevel="0" collapsed="false">
      <c r="A187" s="47" t="n">
        <v>9</v>
      </c>
      <c r="B187" s="38" t="n">
        <f aca="false">助手收入!$B10</f>
        <v>2009</v>
      </c>
      <c r="C187" s="48" t="str">
        <f aca="false">助手收入!$C10</f>
        <v>大霍店</v>
      </c>
      <c r="D187" s="48" t="str">
        <f aca="false">科目对照收入!$B11&amp;""</f>
        <v>饿了么</v>
      </c>
      <c r="E187" s="48" t="str">
        <f aca="false">IF(AND(ROUND($G187,2)&lt;0,科目对照收入!$L11&lt;&gt;""),科目对照收入!$L11,科目对照收入!$C11)&amp;""</f>
        <v>应收账款</v>
      </c>
      <c r="F187" s="48" t="str">
        <f aca="false">IF(AND(ROUND($G187,2)&lt;0,科目对照收入!$L11&lt;&gt;""),科目对照收入!$M11,科目对照收入!$D11)&amp;""</f>
        <v>饿了么</v>
      </c>
      <c r="G187" s="49" t="n">
        <f aca="false">IF(COUNTIFS(输入平台!$A:$A,助手收入!$X10,输入平台!$B:$B,科目对照收入!$B11)&gt;0,ROUND(SUMIFS(输入平台!$C:$C,输入平台!$A:$A,助手收入!$X10,输入平台!$B:$B,科目对照收入!$B11),2),ROUND(海典汇总!$N$11,2))</f>
        <v>0</v>
      </c>
      <c r="H187" s="49" t="str">
        <f aca="false">IF(ROUND($G187,2)&gt;0,ROUND($G187,2),"")</f>
        <v/>
      </c>
      <c r="I187" s="49" t="str">
        <f aca="false">IF(ROUND($G187,2)&lt;0,-ROUND($G187,2),"")</f>
        <v/>
      </c>
      <c r="J187" s="20" t="n">
        <f aca="false">IF(ROUND($G187,2)=0,0,1)</f>
        <v>0</v>
      </c>
      <c r="K187" s="20" t="str">
        <f aca="false">IF($J187=0,"",SUM($J$178:$J187))</f>
        <v/>
      </c>
      <c r="L187" s="20" t="str">
        <f aca="false">IF($K187="","",$A187*100+$K187)</f>
        <v/>
      </c>
      <c r="M187" s="48" t="str">
        <f aca="false">参数!$B$3</f>
        <v>7月收入</v>
      </c>
    </row>
    <row r="188" customFormat="false" ht="13.5" hidden="false" customHeight="false" outlineLevel="0" collapsed="false">
      <c r="A188" s="47" t="n">
        <v>9</v>
      </c>
      <c r="B188" s="38" t="n">
        <f aca="false">助手收入!$B10</f>
        <v>2009</v>
      </c>
      <c r="C188" s="48" t="str">
        <f aca="false">助手收入!$C10</f>
        <v>大霍店</v>
      </c>
      <c r="D188" s="48" t="str">
        <f aca="false">科目对照收入!$B12&amp;""</f>
        <v>京东秒送</v>
      </c>
      <c r="E188" s="48" t="str">
        <f aca="false">IF(AND(ROUND($G188,2)&lt;0,科目对照收入!$L12&lt;&gt;""),科目对照收入!$L12,科目对照收入!$C12)&amp;""</f>
        <v>应收账款</v>
      </c>
      <c r="F188" s="48" t="str">
        <f aca="false">IF(AND(ROUND($G188,2)&lt;0,科目对照收入!$L12&lt;&gt;""),科目对照收入!$M12,科目对照收入!$D12)&amp;""</f>
        <v>京东秒送</v>
      </c>
      <c r="G188" s="49" t="n">
        <f aca="false">IF(COUNTIFS(输入平台!$A:$A,助手收入!$X10,输入平台!$B:$B,科目对照收入!$B12)&gt;0,ROUND(SUMIFS(输入平台!$C:$C,输入平台!$A:$A,助手收入!$X10,输入平台!$B:$B,科目对照收入!$B12),2),ROUND(海典汇总!$O$11,2))</f>
        <v>0</v>
      </c>
      <c r="H188" s="49" t="str">
        <f aca="false">IF(ROUND($G188,2)&gt;0,ROUND($G188,2),"")</f>
        <v/>
      </c>
      <c r="I188" s="49" t="str">
        <f aca="false">IF(ROUND($G188,2)&lt;0,-ROUND($G188,2),"")</f>
        <v/>
      </c>
      <c r="J188" s="20" t="n">
        <f aca="false">IF(ROUND($G188,2)=0,0,1)</f>
        <v>0</v>
      </c>
      <c r="K188" s="20" t="str">
        <f aca="false">IF($J188=0,"",SUM($J$178:$J188))</f>
        <v/>
      </c>
      <c r="L188" s="20" t="str">
        <f aca="false">IF($K188="","",$A188*100+$K188)</f>
        <v/>
      </c>
      <c r="M188" s="48" t="str">
        <f aca="false">参数!$B$3</f>
        <v>7月收入</v>
      </c>
    </row>
    <row r="189" customFormat="false" ht="13.5" hidden="false" customHeight="false" outlineLevel="0" collapsed="false">
      <c r="A189" s="47" t="n">
        <v>9</v>
      </c>
      <c r="B189" s="38" t="n">
        <f aca="false">助手收入!$B10</f>
        <v>2009</v>
      </c>
      <c r="C189" s="48" t="str">
        <f aca="false">助手收入!$C10</f>
        <v>大霍店</v>
      </c>
      <c r="D189" s="48" t="str">
        <f aca="false">科目对照收入!$B13&amp;""</f>
        <v>银联</v>
      </c>
      <c r="E189" s="48" t="str">
        <f aca="false">IF(AND(ROUND($G189,2)&lt;0,科目对照收入!$L13&lt;&gt;""),科目对照收入!$L13,科目对照收入!$C13)&amp;""</f>
        <v>应收账款</v>
      </c>
      <c r="F189" s="48" t="str">
        <f aca="false">IF(AND(ROUND($G189,2)&lt;0,科目对照收入!$L13&lt;&gt;""),科目对照收入!$M13,科目对照收入!$D13)&amp;""</f>
        <v>银联</v>
      </c>
      <c r="G189" s="49" t="n">
        <f aca="false">IF(COUNTIFS(输入平台!$A:$A,助手收入!$X10,输入平台!$B:$B,科目对照收入!$B13)&gt;0,ROUND(SUMIFS(输入平台!$C:$C,输入平台!$A:$A,助手收入!$X10,输入平台!$B:$B,科目对照收入!$B13),2),ROUND(海典汇总!$V$11,2))</f>
        <v>0</v>
      </c>
      <c r="H189" s="49" t="str">
        <f aca="false">IF(ROUND($G189,2)&gt;0,ROUND($G189,2),"")</f>
        <v/>
      </c>
      <c r="I189" s="49" t="str">
        <f aca="false">IF(ROUND($G189,2)&lt;0,-ROUND($G189,2),"")</f>
        <v/>
      </c>
      <c r="J189" s="20" t="n">
        <f aca="false">IF(ROUND($G189,2)=0,0,1)</f>
        <v>0</v>
      </c>
      <c r="K189" s="20" t="str">
        <f aca="false">IF($J189=0,"",SUM($J$178:$J189))</f>
        <v/>
      </c>
      <c r="L189" s="20" t="str">
        <f aca="false">IF($K189="","",$A189*100+$K189)</f>
        <v/>
      </c>
      <c r="M189" s="48" t="str">
        <f aca="false">参数!$B$3</f>
        <v>7月收入</v>
      </c>
    </row>
    <row r="190" customFormat="false" ht="13.5" hidden="false" customHeight="false" outlineLevel="0" collapsed="false">
      <c r="A190" s="47" t="n">
        <v>9</v>
      </c>
      <c r="B190" s="38" t="n">
        <f aca="false">助手收入!$B10</f>
        <v>2009</v>
      </c>
      <c r="C190" s="48" t="str">
        <f aca="false">助手收入!$C10</f>
        <v>大霍店</v>
      </c>
      <c r="D190" s="48" t="str">
        <f aca="false">科目对照收入!$B14&amp;""</f>
        <v>小镇外卖</v>
      </c>
      <c r="E190" s="48" t="str">
        <f aca="false">IF(AND(ROUND($G190,2)&lt;0,科目对照收入!$L14&lt;&gt;""),科目对照收入!$L14,科目对照收入!$C14)&amp;""</f>
        <v>应收账款</v>
      </c>
      <c r="F190" s="48" t="str">
        <f aca="false">IF(AND(ROUND($G190,2)&lt;0,科目对照收入!$L14&lt;&gt;""),科目对照收入!$M14,科目对照收入!$D14)&amp;""</f>
        <v>小镇外卖</v>
      </c>
      <c r="G190" s="49" t="n">
        <f aca="false">IF(COUNTIFS(输入平台!$A:$A,助手收入!$X10,输入平台!$B:$B,科目对照收入!$B14)&gt;0,ROUND(SUMIFS(输入平台!$C:$C,输入平台!$A:$A,助手收入!$X10,输入平台!$B:$B,科目对照收入!$B14),2),ROUND(海典汇总!$AC$11,2))</f>
        <v>0</v>
      </c>
      <c r="H190" s="49" t="str">
        <f aca="false">IF(ROUND($G190,2)&gt;0,ROUND($G190,2),"")</f>
        <v/>
      </c>
      <c r="I190" s="49" t="str">
        <f aca="false">IF(ROUND($G190,2)&lt;0,-ROUND($G190,2),"")</f>
        <v/>
      </c>
      <c r="J190" s="20" t="n">
        <f aca="false">IF(ROUND($G190,2)=0,0,1)</f>
        <v>0</v>
      </c>
      <c r="K190" s="20" t="str">
        <f aca="false">IF($J190=0,"",SUM($J$178:$J190))</f>
        <v/>
      </c>
      <c r="L190" s="20" t="str">
        <f aca="false">IF($K190="","",$A190*100+$K190)</f>
        <v/>
      </c>
      <c r="M190" s="48" t="str">
        <f aca="false">参数!$B$3</f>
        <v>7月收入</v>
      </c>
    </row>
    <row r="191" customFormat="false" ht="13.5" hidden="false" customHeight="false" outlineLevel="0" collapsed="false">
      <c r="A191" s="47" t="n">
        <v>9</v>
      </c>
      <c r="B191" s="38" t="n">
        <f aca="false">助手收入!$B10</f>
        <v>2009</v>
      </c>
      <c r="C191" s="48" t="str">
        <f aca="false">助手收入!$C10</f>
        <v>大霍店</v>
      </c>
      <c r="D191" s="48" t="str">
        <f aca="false">科目对照收入!$B15&amp;""</f>
        <v>OMS线上支付</v>
      </c>
      <c r="E191" s="48" t="str">
        <f aca="false">IF(AND(ROUND($G191,2)&lt;0,科目对照收入!$L15&lt;&gt;""),科目对照收入!$L15,科目对照收入!$C15)&amp;""</f>
        <v>应收账款</v>
      </c>
      <c r="F191" s="48" t="str">
        <f aca="false">IF(AND(ROUND($G191,2)&lt;0,科目对照收入!$L15&lt;&gt;""),科目对照收入!$M15,科目对照收入!$D15)&amp;""</f>
        <v>OMS线上</v>
      </c>
      <c r="G191" s="49" t="n">
        <f aca="false">IF(COUNTIFS(输入平台!$A:$A,助手收入!$X10,输入平台!$B:$B,科目对照收入!$B15)&gt;0,ROUND(SUMIFS(输入平台!$C:$C,输入平台!$A:$A,助手收入!$X10,输入平台!$B:$B,科目对照收入!$B15),2),ROUND(海典汇总!$L$11,2))</f>
        <v>0</v>
      </c>
      <c r="H191" s="49" t="str">
        <f aca="false">IF(ROUND($G191,2)&gt;0,ROUND($G191,2),"")</f>
        <v/>
      </c>
      <c r="I191" s="49" t="str">
        <f aca="false">IF(ROUND($G191,2)&lt;0,-ROUND($G191,2),"")</f>
        <v/>
      </c>
      <c r="J191" s="20" t="n">
        <f aca="false">IF(ROUND($G191,2)=0,0,1)</f>
        <v>0</v>
      </c>
      <c r="K191" s="20" t="str">
        <f aca="false">IF($J191=0,"",SUM($J$178:$J191))</f>
        <v/>
      </c>
      <c r="L191" s="20" t="str">
        <f aca="false">IF($K191="","",$A191*100+$K191)</f>
        <v/>
      </c>
      <c r="M191" s="48" t="str">
        <f aca="false">参数!$B$3</f>
        <v>7月收入</v>
      </c>
    </row>
    <row r="192" customFormat="false" ht="13.5" hidden="false" customHeight="false" outlineLevel="0" collapsed="false">
      <c r="A192" s="47" t="n">
        <v>9</v>
      </c>
      <c r="B192" s="38" t="n">
        <f aca="false">助手收入!$B10</f>
        <v>2009</v>
      </c>
      <c r="C192" s="48" t="str">
        <f aca="false">助手收入!$C10</f>
        <v>大霍店</v>
      </c>
      <c r="D192" s="48" t="str">
        <f aca="false">科目对照收入!$B16&amp;""</f>
        <v>平安药卡</v>
      </c>
      <c r="E192" s="48" t="str">
        <f aca="false">IF(AND(ROUND($G192,2)&lt;0,科目对照收入!$L16&lt;&gt;""),科目对照收入!$L16,科目对照收入!$C16)&amp;""</f>
        <v>应收账款</v>
      </c>
      <c r="F192" s="48" t="str">
        <f aca="false">IF(AND(ROUND($G192,2)&lt;0,科目对照收入!$L16&lt;&gt;""),科目对照收入!$M16,科目对照收入!$D16)&amp;""</f>
        <v>平安</v>
      </c>
      <c r="G192" s="49" t="n">
        <f aca="false">IF(COUNTIFS(输入平台!$A:$A,助手收入!$X10,输入平台!$B:$B,科目对照收入!$B16)&gt;0,ROUND(SUMIFS(输入平台!$C:$C,输入平台!$A:$A,助手收入!$X10,输入平台!$B:$B,科目对照收入!$B16),2),ROUND(海典汇总!$AB$11,2))</f>
        <v>0</v>
      </c>
      <c r="H192" s="49" t="str">
        <f aca="false">IF(ROUND($G192,2)&gt;0,ROUND($G192,2),"")</f>
        <v/>
      </c>
      <c r="I192" s="49" t="str">
        <f aca="false">IF(ROUND($G192,2)&lt;0,-ROUND($G192,2),"")</f>
        <v/>
      </c>
      <c r="J192" s="20" t="n">
        <f aca="false">IF(ROUND($G192,2)=0,0,1)</f>
        <v>0</v>
      </c>
      <c r="K192" s="20" t="str">
        <f aca="false">IF($J192=0,"",SUM($J$178:$J192))</f>
        <v/>
      </c>
      <c r="L192" s="20" t="str">
        <f aca="false">IF($K192="","",$A192*100+$K192)</f>
        <v/>
      </c>
      <c r="M192" s="48" t="str">
        <f aca="false">参数!$B$3</f>
        <v>7月收入</v>
      </c>
    </row>
    <row r="193" customFormat="false" ht="13.5" hidden="false" customHeight="false" outlineLevel="0" collapsed="false">
      <c r="A193" s="47" t="n">
        <v>9</v>
      </c>
      <c r="B193" s="38" t="n">
        <f aca="false">助手收入!$B10</f>
        <v>2009</v>
      </c>
      <c r="C193" s="48" t="str">
        <f aca="false">助手收入!$C10</f>
        <v>大霍店</v>
      </c>
      <c r="D193" s="48" t="str">
        <f aca="false">科目对照收入!$B17&amp;""</f>
        <v>储值卡</v>
      </c>
      <c r="E193" s="48" t="str">
        <f aca="false">IF(AND(ROUND($G193,2)&lt;0,科目对照收入!$L17&lt;&gt;""),科目对照收入!$L17,科目对照收入!$C17)&amp;""</f>
        <v>其他应收款</v>
      </c>
      <c r="F193" s="48" t="str">
        <f aca="false">IF(AND(ROUND($G193,2)&lt;0,科目对照收入!$L17&lt;&gt;""),科目对照收入!$M17,科目对照收入!$D17)&amp;""</f>
        <v>储值卡</v>
      </c>
      <c r="G193" s="49" t="n">
        <f aca="false">ROUND(海典汇总!$Q$11,2)</f>
        <v>417.65</v>
      </c>
      <c r="H193" s="49" t="n">
        <f aca="false">IF(ROUND($G193,2)&gt;0,ROUND($G193,2),"")</f>
        <v>417.65</v>
      </c>
      <c r="I193" s="49" t="str">
        <f aca="false">IF(ROUND($G193,2)&lt;0,-ROUND($G193,2),"")</f>
        <v/>
      </c>
      <c r="J193" s="20" t="n">
        <f aca="false">IF(ROUND($G193,2)=0,0,1)</f>
        <v>1</v>
      </c>
      <c r="K193" s="20" t="n">
        <f aca="false">IF($J193=0,"",SUM($J$178:$J193))</f>
        <v>4</v>
      </c>
      <c r="L193" s="20" t="n">
        <f aca="false">IF($K193="","",$A193*100+$K193)</f>
        <v>904</v>
      </c>
      <c r="M193" s="48" t="str">
        <f aca="false">参数!$B$3</f>
        <v>7月收入</v>
      </c>
    </row>
    <row r="194" customFormat="false" ht="13.5" hidden="false" customHeight="false" outlineLevel="0" collapsed="false">
      <c r="A194" s="47" t="n">
        <v>9</v>
      </c>
      <c r="B194" s="38" t="n">
        <f aca="false">助手收入!$B10</f>
        <v>2009</v>
      </c>
      <c r="C194" s="48" t="str">
        <f aca="false">助手收入!$C10</f>
        <v>大霍店</v>
      </c>
      <c r="D194" s="48" t="str">
        <f aca="false">科目对照收入!$B18&amp;""</f>
        <v>会员零钱包</v>
      </c>
      <c r="E194" s="48" t="str">
        <f aca="false">IF(AND(ROUND($G194,2)&lt;0,科目对照收入!$L18&lt;&gt;""),科目对照收入!$L18,科目对照收入!$C18)&amp;""</f>
        <v>其他应收款</v>
      </c>
      <c r="F194" s="48" t="str">
        <f aca="false">IF(AND(ROUND($G194,2)&lt;0,科目对照收入!$L18&lt;&gt;""),科目对照收入!$M18,科目对照收入!$D18)&amp;""</f>
        <v>会员零钱包</v>
      </c>
      <c r="G194" s="49" t="n">
        <f aca="false">ROUND(海典汇总!$P$11,2)</f>
        <v>0</v>
      </c>
      <c r="H194" s="49" t="str">
        <f aca="false">IF(ROUND($G194,2)&gt;0,ROUND($G194,2),"")</f>
        <v/>
      </c>
      <c r="I194" s="49" t="str">
        <f aca="false">IF(ROUND($G194,2)&lt;0,-ROUND($G194,2),"")</f>
        <v/>
      </c>
      <c r="J194" s="20" t="n">
        <f aca="false">IF(ROUND($G194,2)=0,0,1)</f>
        <v>0</v>
      </c>
      <c r="K194" s="20" t="str">
        <f aca="false">IF($J194=0,"",SUM($J$178:$J194))</f>
        <v/>
      </c>
      <c r="L194" s="20" t="str">
        <f aca="false">IF($K194="","",$A194*100+$K194)</f>
        <v/>
      </c>
      <c r="M194" s="48" t="str">
        <f aca="false">参数!$B$3</f>
        <v>7月收入</v>
      </c>
    </row>
    <row r="195" customFormat="false" ht="13.5" hidden="false" customHeight="false" outlineLevel="0" collapsed="false">
      <c r="A195" s="47" t="n">
        <v>9</v>
      </c>
      <c r="B195" s="38" t="n">
        <f aca="false">助手收入!$B10</f>
        <v>2009</v>
      </c>
      <c r="C195" s="48" t="str">
        <f aca="false">助手收入!$C10</f>
        <v>大霍店</v>
      </c>
      <c r="D195" s="48" t="str">
        <f aca="false">科目对照收入!$B19&amp;""</f>
        <v>促销费</v>
      </c>
      <c r="E195" s="48" t="str">
        <f aca="false">IF(AND(ROUND($G195,2)&lt;0,科目对照收入!$L19&lt;&gt;""),科目对照收入!$L19,科目对照收入!$C19)&amp;""</f>
        <v>销售费用</v>
      </c>
      <c r="F195" s="48" t="str">
        <f aca="false">IF(AND(ROUND($G195,2)&lt;0,科目对照收入!$L19&lt;&gt;""),科目对照收入!$M19,科目对照收入!$D19)&amp;""</f>
        <v>促销费</v>
      </c>
      <c r="G195" s="49" t="n">
        <f aca="false">ROUND(海典汇总!$U$11+海典汇总!$T$11+海典汇总!$S$11,2)</f>
        <v>549.94</v>
      </c>
      <c r="H195" s="49" t="n">
        <f aca="false">IF(ROUND($G195,2)&gt;0,ROUND($G195,2),"")</f>
        <v>549.94</v>
      </c>
      <c r="I195" s="49" t="str">
        <f aca="false">IF(ROUND($G195,2)&lt;0,-ROUND($G195,2),"")</f>
        <v/>
      </c>
      <c r="J195" s="20" t="n">
        <f aca="false">IF(ROUND($G195,2)=0,0,1)</f>
        <v>1</v>
      </c>
      <c r="K195" s="20" t="n">
        <f aca="false">IF($J195=0,"",SUM($J$178:$J195))</f>
        <v>5</v>
      </c>
      <c r="L195" s="20" t="n">
        <f aca="false">IF($K195="","",$A195*100+$K195)</f>
        <v>905</v>
      </c>
      <c r="M195" s="48" t="str">
        <f aca="false">参数!$B$3</f>
        <v>7月收入</v>
      </c>
    </row>
    <row r="196" customFormat="false" ht="13.5" hidden="false" customHeight="false" outlineLevel="0" collapsed="false">
      <c r="A196" s="47" t="n">
        <v>9</v>
      </c>
      <c r="B196" s="38" t="n">
        <f aca="false">助手收入!$B10</f>
        <v>2009</v>
      </c>
      <c r="C196" s="48" t="str">
        <f aca="false">助手收入!$C10</f>
        <v>大霍店</v>
      </c>
      <c r="D196" s="48" t="str">
        <f aca="false">科目对照收入!$B20&amp;""</f>
        <v>积分</v>
      </c>
      <c r="E196" s="48" t="str">
        <f aca="false">IF(AND(ROUND($G196,2)&lt;0,科目对照收入!$L20&lt;&gt;""),科目对照收入!$L20,科目对照收入!$C20)&amp;""</f>
        <v>销售费用</v>
      </c>
      <c r="F196" s="48" t="str">
        <f aca="false">IF(AND(ROUND($G196,2)&lt;0,科目对照收入!$L20&lt;&gt;""),科目对照收入!$M20,科目对照收入!$D20)&amp;""</f>
        <v>积分</v>
      </c>
      <c r="G196" s="49" t="n">
        <f aca="false">ROUND(海典汇总!$R$11,2)</f>
        <v>0</v>
      </c>
      <c r="H196" s="49" t="str">
        <f aca="false">IF(ROUND($G196,2)&gt;0,ROUND($G196,2),"")</f>
        <v/>
      </c>
      <c r="I196" s="49" t="str">
        <f aca="false">IF(ROUND($G196,2)&lt;0,-ROUND($G196,2),"")</f>
        <v/>
      </c>
      <c r="J196" s="20" t="n">
        <f aca="false">IF(ROUND($G196,2)=0,0,1)</f>
        <v>0</v>
      </c>
      <c r="K196" s="20" t="str">
        <f aca="false">IF($J196=0,"",SUM($J$178:$J196))</f>
        <v/>
      </c>
      <c r="L196" s="20" t="str">
        <f aca="false">IF($K196="","",$A196*100+$K196)</f>
        <v/>
      </c>
      <c r="M196" s="48" t="str">
        <f aca="false">参数!$B$3</f>
        <v>7月收入</v>
      </c>
    </row>
    <row r="197" customFormat="false" ht="13.5" hidden="false" customHeight="false" outlineLevel="0" collapsed="false">
      <c r="A197" s="47" t="n">
        <v>9</v>
      </c>
      <c r="B197" s="38" t="n">
        <f aca="false">助手收入!$B10</f>
        <v>2009</v>
      </c>
      <c r="C197" s="48" t="str">
        <f aca="false">助手收入!$C10</f>
        <v>大霍店</v>
      </c>
      <c r="D197" s="48" t="str">
        <f aca="false">科目对照收入!$B21&amp;""</f>
        <v>手续费</v>
      </c>
      <c r="E197" s="48" t="str">
        <f aca="false">IF(AND(ROUND($G197,2)&lt;0,科目对照收入!$L21&lt;&gt;""),科目对照收入!$L21,科目对照收入!$C21)&amp;""</f>
        <v>财务费用</v>
      </c>
      <c r="F197" s="48" t="str">
        <f aca="false">IF(AND(ROUND($G197,2)&lt;0,科目对照收入!$L21&lt;&gt;""),科目对照收入!$M21,科目对照收入!$D21)&amp;""</f>
        <v>手续费</v>
      </c>
      <c r="G197" s="49" t="n">
        <f aca="false">ROUND(SUMIFS(输入聚合!$D:$D,输入聚合!$A:$A,助手收入!$X10),2)</f>
        <v>60.51</v>
      </c>
      <c r="H197" s="49" t="n">
        <f aca="false">IF(ROUND($G197,2)&gt;0,ROUND($G197,2),"")</f>
        <v>60.51</v>
      </c>
      <c r="I197" s="49" t="str">
        <f aca="false">IF(ROUND($G197,2)&lt;0,-ROUND($G197,2),"")</f>
        <v/>
      </c>
      <c r="J197" s="20" t="n">
        <f aca="false">IF(ROUND($G197,2)=0,0,1)</f>
        <v>1</v>
      </c>
      <c r="K197" s="20" t="n">
        <f aca="false">IF($J197=0,"",SUM($J$178:$J197))</f>
        <v>6</v>
      </c>
      <c r="L197" s="20" t="n">
        <f aca="false">IF($K197="","",$A197*100+$K197)</f>
        <v>906</v>
      </c>
      <c r="M197" s="48" t="str">
        <f aca="false">参数!$B$3</f>
        <v>7月收入</v>
      </c>
    </row>
    <row r="198" customFormat="false" ht="13.5" hidden="false" customHeight="false" outlineLevel="0" collapsed="false">
      <c r="A198" s="47" t="n">
        <v>9</v>
      </c>
      <c r="B198" s="38" t="n">
        <f aca="false">助手收入!$B10</f>
        <v>2009</v>
      </c>
      <c r="C198" s="48" t="str">
        <f aca="false">助手收入!$C10</f>
        <v>大霍店</v>
      </c>
      <c r="D198" s="48" t="str">
        <f aca="false">科目对照收入!$B22&amp;""</f>
        <v>主营业务收入</v>
      </c>
      <c r="E198" s="48" t="str">
        <f aca="false">IF(AND(ROUND($G198,2)&lt;0,科目对照收入!$L22&lt;&gt;""),科目对照收入!$L22,科目对照收入!$C22)&amp;""</f>
        <v>主营业务收入</v>
      </c>
      <c r="F198" s="48" t="str">
        <f aca="false">IF(AND(ROUND($G198,2)&lt;0,科目对照收入!$L22&lt;&gt;""),科目对照收入!$M22,科目对照收入!$D22)&amp;""</f>
        <v/>
      </c>
      <c r="G198" s="49" t="n">
        <f aca="false">-ROUND(助手收入!$G10,2)</f>
        <v>-36619.7</v>
      </c>
      <c r="H198" s="49" t="str">
        <f aca="false">IF(ROUND($G198,2)&gt;0,ROUND($G198,2),"")</f>
        <v/>
      </c>
      <c r="I198" s="49" t="n">
        <f aca="false">IF(ROUND($G198,2)&lt;0,-ROUND($G198,2),"")</f>
        <v>36619.7</v>
      </c>
      <c r="J198" s="20" t="n">
        <f aca="false">IF(ROUND($G198,2)=0,0,1)</f>
        <v>1</v>
      </c>
      <c r="K198" s="20" t="n">
        <f aca="false">IF($J198=0,"",SUM($J$178:$J198))</f>
        <v>7</v>
      </c>
      <c r="L198" s="20" t="n">
        <f aca="false">IF($K198="","",$A198*100+$K198)</f>
        <v>907</v>
      </c>
      <c r="M198" s="48" t="str">
        <f aca="false">参数!$B$3</f>
        <v>7月收入</v>
      </c>
    </row>
    <row r="199" customFormat="false" ht="13.5" hidden="false" customHeight="false" outlineLevel="0" collapsed="false">
      <c r="A199" s="47" t="n">
        <v>9</v>
      </c>
      <c r="B199" s="38" t="n">
        <f aca="false">助手收入!$B10</f>
        <v>2009</v>
      </c>
      <c r="C199" s="48" t="str">
        <f aca="false">助手收入!$C10</f>
        <v>大霍店</v>
      </c>
      <c r="D199" s="48" t="str">
        <f aca="false">科目对照收入!$B23&amp;""</f>
        <v>营业外收入</v>
      </c>
      <c r="E199" s="48" t="str">
        <f aca="false">IF(AND(ROUND($G199,2)&lt;0,科目对照收入!$L23&lt;&gt;""),科目对照收入!$L23,科目对照收入!$C23)&amp;""</f>
        <v>营业外收入</v>
      </c>
      <c r="F199" s="48" t="str">
        <f aca="false">IF(AND(ROUND($G199,2)&lt;0,科目对照收入!$L23&lt;&gt;""),科目对照收入!$M23,科目对照收入!$D23)&amp;""</f>
        <v/>
      </c>
      <c r="G199" s="49" t="n">
        <f aca="false">-ROUND(助手收入!$J10,2)</f>
        <v>-0</v>
      </c>
      <c r="H199" s="49" t="str">
        <f aca="false">IF(ROUND($G199,2)&gt;0,ROUND($G199,2),"")</f>
        <v/>
      </c>
      <c r="I199" s="49" t="str">
        <f aca="false">IF(ROUND($G199,2)&lt;0,-ROUND($G199,2),"")</f>
        <v/>
      </c>
      <c r="J199" s="20" t="n">
        <f aca="false">IF(ROUND($G199,2)=0,0,1)</f>
        <v>0</v>
      </c>
      <c r="K199" s="20" t="str">
        <f aca="false">IF($J199=0,"",SUM($J$178:$J199))</f>
        <v/>
      </c>
      <c r="L199" s="20" t="str">
        <f aca="false">IF($K199="","",$A199*100+$K199)</f>
        <v/>
      </c>
      <c r="M199" s="48" t="str">
        <f aca="false">参数!$B$3</f>
        <v>7月收入</v>
      </c>
    </row>
    <row r="200" customFormat="false" ht="13.5" hidden="false" customHeight="false" outlineLevel="0" collapsed="false">
      <c r="A200" s="47" t="n">
        <v>10</v>
      </c>
      <c r="B200" s="38" t="n">
        <f aca="false">助手收入!$B11</f>
        <v>2010</v>
      </c>
      <c r="C200" s="48" t="str">
        <f aca="false">助手收入!$C11</f>
        <v>莲子镇店</v>
      </c>
      <c r="D200" s="48" t="str">
        <f aca="false">科目对照收入!$B2&amp;""</f>
        <v>库存现金</v>
      </c>
      <c r="E200" s="48" t="str">
        <f aca="false">IF(AND(ROUND($G200,2)&lt;0,科目对照收入!$L2&lt;&gt;""),科目对照收入!$L2,科目对照收入!$C2)&amp;""</f>
        <v>库存现金</v>
      </c>
      <c r="F200" s="48" t="str">
        <f aca="false">IF(AND(ROUND($G200,2)&lt;0,科目对照收入!$L2&lt;&gt;""),科目对照收入!$M2,科目对照收入!$D2)&amp;""</f>
        <v/>
      </c>
      <c r="G200" s="49" t="n">
        <f aca="false">助手收入!$I11</f>
        <v>23656.79</v>
      </c>
      <c r="H200" s="49" t="n">
        <f aca="false">IF(ROUND($G200,2)&gt;0,ROUND($G200,2),"")</f>
        <v>23656.79</v>
      </c>
      <c r="I200" s="49" t="str">
        <f aca="false">IF(ROUND($G200,2)&lt;0,-ROUND($G200,2),"")</f>
        <v/>
      </c>
      <c r="J200" s="20" t="n">
        <f aca="false">IF(ROUND($G200,2)=0,0,1)</f>
        <v>1</v>
      </c>
      <c r="K200" s="20" t="n">
        <f aca="false">IF($J200=0,"",SUM($J$200:$J200))</f>
        <v>1</v>
      </c>
      <c r="L200" s="20" t="n">
        <f aca="false">IF($K200="","",$A200*100+$K200)</f>
        <v>1001</v>
      </c>
      <c r="M200" s="48" t="str">
        <f aca="false">参数!$B$3</f>
        <v>7月收入</v>
      </c>
    </row>
    <row r="201" customFormat="false" ht="13.5" hidden="false" customHeight="false" outlineLevel="0" collapsed="false">
      <c r="A201" s="47" t="n">
        <v>10</v>
      </c>
      <c r="B201" s="38" t="n">
        <f aca="false">助手收入!$B11</f>
        <v>2010</v>
      </c>
      <c r="C201" s="48" t="str">
        <f aca="false">助手收入!$C11</f>
        <v>莲子镇店</v>
      </c>
      <c r="D201" s="48" t="str">
        <f aca="false">科目对照收入!$B3&amp;""</f>
        <v>聚合支付</v>
      </c>
      <c r="E201" s="48" t="str">
        <f aca="false">IF(AND(ROUND($G201,2)&lt;0,科目对照收入!$L3&lt;&gt;""),科目对照收入!$L3,科目对照收入!$C3)&amp;""</f>
        <v>应收账款</v>
      </c>
      <c r="F201" s="48" t="str">
        <f aca="false">IF(AND(ROUND($G201,2)&lt;0,科目对照收入!$L3&lt;&gt;""),科目对照收入!$M3,科目对照收入!$D3)&amp;""</f>
        <v>聚合支付</v>
      </c>
      <c r="G201" s="49" t="n">
        <f aca="false">ROUND(SUMIFS(输入聚合!$C:$C,输入聚合!$A:$A,助手收入!$X11)-SUMIFS(输入聚合!$D:$D,输入聚合!$A:$A,助手收入!$X11),2)</f>
        <v>67364.97</v>
      </c>
      <c r="H201" s="49" t="n">
        <f aca="false">IF(ROUND($G201,2)&gt;0,ROUND($G201,2),"")</f>
        <v>67364.97</v>
      </c>
      <c r="I201" s="49" t="str">
        <f aca="false">IF(ROUND($G201,2)&lt;0,-ROUND($G201,2),"")</f>
        <v/>
      </c>
      <c r="J201" s="20" t="n">
        <f aca="false">IF(ROUND($G201,2)=0,0,1)</f>
        <v>1</v>
      </c>
      <c r="K201" s="20" t="n">
        <f aca="false">IF($J201=0,"",SUM($J$200:$J201))</f>
        <v>2</v>
      </c>
      <c r="L201" s="20" t="n">
        <f aca="false">IF($K201="","",$A201*100+$K201)</f>
        <v>1002</v>
      </c>
      <c r="M201" s="48" t="str">
        <f aca="false">参数!$B$3</f>
        <v>7月收入</v>
      </c>
    </row>
    <row r="202" customFormat="false" ht="13.5" hidden="false" customHeight="false" outlineLevel="0" collapsed="false">
      <c r="A202" s="47" t="n">
        <v>10</v>
      </c>
      <c r="B202" s="38" t="n">
        <f aca="false">助手收入!$B11</f>
        <v>2010</v>
      </c>
      <c r="C202" s="48" t="str">
        <f aca="false">助手收入!$C11</f>
        <v>莲子镇店</v>
      </c>
      <c r="D202" s="48" t="str">
        <f aca="false">科目对照收入!$B4&amp;""</f>
        <v>医保</v>
      </c>
      <c r="E202" s="48" t="str">
        <f aca="false">IF(AND(ROUND($G202,2)&lt;0,科目对照收入!$L4&lt;&gt;""),科目对照收入!$L4,科目对照收入!$C4)&amp;""</f>
        <v>应收账款</v>
      </c>
      <c r="F202" s="48" t="str">
        <f aca="false">IF(AND(ROUND($G202,2)&lt;0,科目对照收入!$L4&lt;&gt;""),科目对照收入!$M4,科目对照收入!$D4)&amp;""</f>
        <v>医保</v>
      </c>
      <c r="G202" s="49" t="n">
        <f aca="false">IF(COUNTIFS(输入平台!$A:$A,助手收入!$X11,输入平台!$B:$B,科目对照收入!$B4)&gt;0,ROUND(SUMIFS(输入平台!$C:$C,输入平台!$A:$A,助手收入!$X11,输入平台!$B:$B,科目对照收入!$B4),2),ROUND(海典汇总!$F$12+海典汇总!$G$12,2))</f>
        <v>14875.36</v>
      </c>
      <c r="H202" s="49" t="n">
        <f aca="false">IF(ROUND($G202,2)&gt;0,ROUND($G202,2),"")</f>
        <v>14875.36</v>
      </c>
      <c r="I202" s="49" t="str">
        <f aca="false">IF(ROUND($G202,2)&lt;0,-ROUND($G202,2),"")</f>
        <v/>
      </c>
      <c r="J202" s="20" t="n">
        <f aca="false">IF(ROUND($G202,2)=0,0,1)</f>
        <v>1</v>
      </c>
      <c r="K202" s="20" t="n">
        <f aca="false">IF($J202=0,"",SUM($J$200:$J202))</f>
        <v>3</v>
      </c>
      <c r="L202" s="20" t="n">
        <f aca="false">IF($K202="","",$A202*100+$K202)</f>
        <v>1003</v>
      </c>
      <c r="M202" s="48" t="str">
        <f aca="false">参数!$B$3</f>
        <v>7月收入</v>
      </c>
    </row>
    <row r="203" customFormat="false" ht="13.5" hidden="false" customHeight="false" outlineLevel="0" collapsed="false">
      <c r="A203" s="47" t="n">
        <v>10</v>
      </c>
      <c r="B203" s="38" t="n">
        <f aca="false">助手收入!$B11</f>
        <v>2010</v>
      </c>
      <c r="C203" s="48" t="str">
        <f aca="false">助手收入!$C11</f>
        <v>莲子镇店</v>
      </c>
      <c r="D203" s="48" t="str">
        <f aca="false">科目对照收入!$B5&amp;""</f>
        <v>健e卡</v>
      </c>
      <c r="E203" s="48" t="str">
        <f aca="false">IF(AND(ROUND($G203,2)&lt;0,科目对照收入!$L5&lt;&gt;""),科目对照收入!$L5,科目对照收入!$C5)&amp;""</f>
        <v>应收账款</v>
      </c>
      <c r="F203" s="48" t="str">
        <f aca="false">IF(AND(ROUND($G203,2)&lt;0,科目对照收入!$L5&lt;&gt;""),科目对照收入!$M5,科目对照收入!$D5)&amp;""</f>
        <v>健e卡</v>
      </c>
      <c r="G203" s="49" t="n">
        <f aca="false">IF(COUNTIFS(输入平台!$A:$A,助手收入!$X11,输入平台!$B:$B,科目对照收入!$B5)&gt;0,ROUND(SUMIFS(输入平台!$C:$C,输入平台!$A:$A,助手收入!$X11,输入平台!$B:$B,科目对照收入!$B5),2),ROUND(海典汇总!$H$12,2))</f>
        <v>0</v>
      </c>
      <c r="H203" s="49" t="str">
        <f aca="false">IF(ROUND($G203,2)&gt;0,ROUND($G203,2),"")</f>
        <v/>
      </c>
      <c r="I203" s="49" t="str">
        <f aca="false">IF(ROUND($G203,2)&lt;0,-ROUND($G203,2),"")</f>
        <v/>
      </c>
      <c r="J203" s="20" t="n">
        <f aca="false">IF(ROUND($G203,2)=0,0,1)</f>
        <v>0</v>
      </c>
      <c r="K203" s="20" t="str">
        <f aca="false">IF($J203=0,"",SUM($J$200:$J203))</f>
        <v/>
      </c>
      <c r="L203" s="20" t="str">
        <f aca="false">IF($K203="","",$A203*100+$K203)</f>
        <v/>
      </c>
      <c r="M203" s="48" t="str">
        <f aca="false">参数!$B$3</f>
        <v>7月收入</v>
      </c>
    </row>
    <row r="204" customFormat="false" ht="13.5" hidden="false" customHeight="false" outlineLevel="0" collapsed="false">
      <c r="A204" s="47" t="n">
        <v>10</v>
      </c>
      <c r="B204" s="38" t="n">
        <f aca="false">助手收入!$B11</f>
        <v>2010</v>
      </c>
      <c r="C204" s="48" t="str">
        <f aca="false">助手收入!$C11</f>
        <v>莲子镇店</v>
      </c>
      <c r="D204" s="48" t="str">
        <f aca="false">科目对照收入!$B6&amp;""</f>
        <v>医卡通</v>
      </c>
      <c r="E204" s="48" t="str">
        <f aca="false">IF(AND(ROUND($G204,2)&lt;0,科目对照收入!$L6&lt;&gt;""),科目对照收入!$L6,科目对照收入!$C6)&amp;""</f>
        <v>应收账款</v>
      </c>
      <c r="F204" s="48" t="str">
        <f aca="false">IF(AND(ROUND($G204,2)&lt;0,科目对照收入!$L6&lt;&gt;""),科目对照收入!$M6,科目对照收入!$D6)&amp;""</f>
        <v>医卡通</v>
      </c>
      <c r="G204" s="49" t="n">
        <f aca="false">IF(COUNTIFS(输入平台!$A:$A,助手收入!$X11,输入平台!$B:$B,科目对照收入!$B6)&gt;0,ROUND(SUMIFS(输入平台!$C:$C,输入平台!$A:$A,助手收入!$X11,输入平台!$B:$B,科目对照收入!$B6),2),ROUND(海典汇总!$I$12,2))</f>
        <v>0</v>
      </c>
      <c r="H204" s="49" t="str">
        <f aca="false">IF(ROUND($G204,2)&gt;0,ROUND($G204,2),"")</f>
        <v/>
      </c>
      <c r="I204" s="49" t="str">
        <f aca="false">IF(ROUND($G204,2)&lt;0,-ROUND($G204,2),"")</f>
        <v/>
      </c>
      <c r="J204" s="20" t="n">
        <f aca="false">IF(ROUND($G204,2)=0,0,1)</f>
        <v>0</v>
      </c>
      <c r="K204" s="20" t="str">
        <f aca="false">IF($J204=0,"",SUM($J$200:$J204))</f>
        <v/>
      </c>
      <c r="L204" s="20" t="str">
        <f aca="false">IF($K204="","",$A204*100+$K204)</f>
        <v/>
      </c>
      <c r="M204" s="48" t="str">
        <f aca="false">参数!$B$3</f>
        <v>7月收入</v>
      </c>
    </row>
    <row r="205" customFormat="false" ht="13.5" hidden="false" customHeight="false" outlineLevel="0" collapsed="false">
      <c r="A205" s="47" t="n">
        <v>10</v>
      </c>
      <c r="B205" s="38" t="n">
        <f aca="false">助手收入!$B11</f>
        <v>2010</v>
      </c>
      <c r="C205" s="48" t="str">
        <f aca="false">助手收入!$C11</f>
        <v>莲子镇店</v>
      </c>
      <c r="D205" s="48" t="str">
        <f aca="false">科目对照收入!$B7&amp;""</f>
        <v>企健网</v>
      </c>
      <c r="E205" s="48" t="str">
        <f aca="false">IF(AND(ROUND($G205,2)&lt;0,科目对照收入!$L7&lt;&gt;""),科目对照收入!$L7,科目对照收入!$C7)&amp;""</f>
        <v>应收账款</v>
      </c>
      <c r="F205" s="48" t="str">
        <f aca="false">IF(AND(ROUND($G205,2)&lt;0,科目对照收入!$L7&lt;&gt;""),科目对照收入!$M7,科目对照收入!$D7)&amp;""</f>
        <v>企健网</v>
      </c>
      <c r="G205" s="49" t="n">
        <f aca="false">IF(COUNTIFS(输入平台!$A:$A,助手收入!$X11,输入平台!$B:$B,科目对照收入!$B7)&gt;0,ROUND(SUMIFS(输入平台!$C:$C,输入平台!$A:$A,助手收入!$X11,输入平台!$B:$B,科目对照收入!$B7),2),ROUND(海典汇总!$J$12,2))</f>
        <v>0</v>
      </c>
      <c r="H205" s="49" t="str">
        <f aca="false">IF(ROUND($G205,2)&gt;0,ROUND($G205,2),"")</f>
        <v/>
      </c>
      <c r="I205" s="49" t="str">
        <f aca="false">IF(ROUND($G205,2)&lt;0,-ROUND($G205,2),"")</f>
        <v/>
      </c>
      <c r="J205" s="20" t="n">
        <f aca="false">IF(ROUND($G205,2)=0,0,1)</f>
        <v>0</v>
      </c>
      <c r="K205" s="20" t="str">
        <f aca="false">IF($J205=0,"",SUM($J$200:$J205))</f>
        <v/>
      </c>
      <c r="L205" s="20" t="str">
        <f aca="false">IF($K205="","",$A205*100+$K205)</f>
        <v/>
      </c>
      <c r="M205" s="48" t="str">
        <f aca="false">参数!$B$3</f>
        <v>7月收入</v>
      </c>
    </row>
    <row r="206" customFormat="false" ht="13.5" hidden="false" customHeight="false" outlineLevel="0" collapsed="false">
      <c r="A206" s="47" t="n">
        <v>10</v>
      </c>
      <c r="B206" s="38" t="n">
        <f aca="false">助手收入!$B11</f>
        <v>2010</v>
      </c>
      <c r="C206" s="48" t="str">
        <f aca="false">助手收入!$C11</f>
        <v>莲子镇店</v>
      </c>
      <c r="D206" s="48" t="str">
        <f aca="false">科目对照收入!$B8&amp;""</f>
        <v>亲情卡</v>
      </c>
      <c r="E206" s="48" t="str">
        <f aca="false">IF(AND(ROUND($G206,2)&lt;0,科目对照收入!$L8&lt;&gt;""),科目对照收入!$L8,科目对照收入!$C8)&amp;""</f>
        <v>应收账款</v>
      </c>
      <c r="F206" s="48" t="str">
        <f aca="false">IF(AND(ROUND($G206,2)&lt;0,科目对照收入!$L8&lt;&gt;""),科目对照收入!$M8,科目对照收入!$D8)&amp;""</f>
        <v>亲情卡</v>
      </c>
      <c r="G206" s="49" t="n">
        <f aca="false">IF(COUNTIFS(输入平台!$A:$A,助手收入!$X11,输入平台!$B:$B,科目对照收入!$B8)&gt;0,ROUND(SUMIFS(输入平台!$C:$C,输入平台!$A:$A,助手收入!$X11,输入平台!$B:$B,科目对照收入!$B8),2),ROUND(海典汇总!$Z$12,2))</f>
        <v>0</v>
      </c>
      <c r="H206" s="49" t="str">
        <f aca="false">IF(ROUND($G206,2)&gt;0,ROUND($G206,2),"")</f>
        <v/>
      </c>
      <c r="I206" s="49" t="str">
        <f aca="false">IF(ROUND($G206,2)&lt;0,-ROUND($G206,2),"")</f>
        <v/>
      </c>
      <c r="J206" s="20" t="n">
        <f aca="false">IF(ROUND($G206,2)=0,0,1)</f>
        <v>0</v>
      </c>
      <c r="K206" s="20" t="str">
        <f aca="false">IF($J206=0,"",SUM($J$200:$J206))</f>
        <v/>
      </c>
      <c r="L206" s="20" t="str">
        <f aca="false">IF($K206="","",$A206*100+$K206)</f>
        <v/>
      </c>
      <c r="M206" s="48" t="str">
        <f aca="false">参数!$B$3</f>
        <v>7月收入</v>
      </c>
    </row>
    <row r="207" customFormat="false" ht="13.5" hidden="false" customHeight="false" outlineLevel="0" collapsed="false">
      <c r="A207" s="47" t="n">
        <v>10</v>
      </c>
      <c r="B207" s="38" t="n">
        <f aca="false">助手收入!$B11</f>
        <v>2010</v>
      </c>
      <c r="C207" s="48" t="str">
        <f aca="false">助手收入!$C11</f>
        <v>莲子镇店</v>
      </c>
      <c r="D207" s="48" t="str">
        <f aca="false">科目对照收入!$B9&amp;""</f>
        <v>24小时</v>
      </c>
      <c r="E207" s="48" t="str">
        <f aca="false">IF(AND(ROUND($G207,2)&lt;0,科目对照收入!$L9&lt;&gt;""),科目对照收入!$L9,科目对照收入!$C9)&amp;""</f>
        <v>应收账款</v>
      </c>
      <c r="F207" s="48" t="str">
        <f aca="false">IF(AND(ROUND($G207,2)&lt;0,科目对照收入!$L9&lt;&gt;""),科目对照收入!$M9,科目对照收入!$D9)&amp;""</f>
        <v>24小时</v>
      </c>
      <c r="G207" s="49" t="n">
        <f aca="false">IF(COUNTIFS(输入平台!$A:$A,助手收入!$X11,输入平台!$B:$B,科目对照收入!$B9)&gt;0,ROUND(SUMIFS(输入平台!$C:$C,输入平台!$A:$A,助手收入!$X11,输入平台!$B:$B,科目对照收入!$B9),2),ROUND(海典汇总!$K$12,2))</f>
        <v>0</v>
      </c>
      <c r="H207" s="49" t="str">
        <f aca="false">IF(ROUND($G207,2)&gt;0,ROUND($G207,2),"")</f>
        <v/>
      </c>
      <c r="I207" s="49" t="str">
        <f aca="false">IF(ROUND($G207,2)&lt;0,-ROUND($G207,2),"")</f>
        <v/>
      </c>
      <c r="J207" s="20" t="n">
        <f aca="false">IF(ROUND($G207,2)=0,0,1)</f>
        <v>0</v>
      </c>
      <c r="K207" s="20" t="str">
        <f aca="false">IF($J207=0,"",SUM($J$200:$J207))</f>
        <v/>
      </c>
      <c r="L207" s="20" t="str">
        <f aca="false">IF($K207="","",$A207*100+$K207)</f>
        <v/>
      </c>
      <c r="M207" s="48" t="str">
        <f aca="false">参数!$B$3</f>
        <v>7月收入</v>
      </c>
    </row>
    <row r="208" customFormat="false" ht="13.5" hidden="false" customHeight="false" outlineLevel="0" collapsed="false">
      <c r="A208" s="47" t="n">
        <v>10</v>
      </c>
      <c r="B208" s="38" t="n">
        <f aca="false">助手收入!$B11</f>
        <v>2010</v>
      </c>
      <c r="C208" s="48" t="str">
        <f aca="false">助手收入!$C11</f>
        <v>莲子镇店</v>
      </c>
      <c r="D208" s="48" t="str">
        <f aca="false">科目对照收入!$B10&amp;""</f>
        <v>美团</v>
      </c>
      <c r="E208" s="48" t="str">
        <f aca="false">IF(AND(ROUND($G208,2)&lt;0,科目对照收入!$L10&lt;&gt;""),科目对照收入!$L10,科目对照收入!$C10)&amp;""</f>
        <v>应收账款</v>
      </c>
      <c r="F208" s="48" t="str">
        <f aca="false">IF(AND(ROUND($G208,2)&lt;0,科目对照收入!$L10&lt;&gt;""),科目对照收入!$M10,科目对照收入!$D10)&amp;""</f>
        <v>美团</v>
      </c>
      <c r="G208" s="49" t="n">
        <f aca="false">IF(COUNTIFS(输入平台!$A:$A,助手收入!$X11,输入平台!$B:$B,科目对照收入!$B10)&gt;0,ROUND(SUMIFS(输入平台!$C:$C,输入平台!$A:$A,助手收入!$X11,输入平台!$B:$B,科目对照收入!$B10),2),ROUND(海典汇总!$M$12,2))</f>
        <v>0</v>
      </c>
      <c r="H208" s="49" t="str">
        <f aca="false">IF(ROUND($G208,2)&gt;0,ROUND($G208,2),"")</f>
        <v/>
      </c>
      <c r="I208" s="49" t="str">
        <f aca="false">IF(ROUND($G208,2)&lt;0,-ROUND($G208,2),"")</f>
        <v/>
      </c>
      <c r="J208" s="20" t="n">
        <f aca="false">IF(ROUND($G208,2)=0,0,1)</f>
        <v>0</v>
      </c>
      <c r="K208" s="20" t="str">
        <f aca="false">IF($J208=0,"",SUM($J$200:$J208))</f>
        <v/>
      </c>
      <c r="L208" s="20" t="str">
        <f aca="false">IF($K208="","",$A208*100+$K208)</f>
        <v/>
      </c>
      <c r="M208" s="48" t="str">
        <f aca="false">参数!$B$3</f>
        <v>7月收入</v>
      </c>
    </row>
    <row r="209" customFormat="false" ht="13.5" hidden="false" customHeight="false" outlineLevel="0" collapsed="false">
      <c r="A209" s="47" t="n">
        <v>10</v>
      </c>
      <c r="B209" s="38" t="n">
        <f aca="false">助手收入!$B11</f>
        <v>2010</v>
      </c>
      <c r="C209" s="48" t="str">
        <f aca="false">助手收入!$C11</f>
        <v>莲子镇店</v>
      </c>
      <c r="D209" s="48" t="str">
        <f aca="false">科目对照收入!$B11&amp;""</f>
        <v>饿了么</v>
      </c>
      <c r="E209" s="48" t="str">
        <f aca="false">IF(AND(ROUND($G209,2)&lt;0,科目对照收入!$L11&lt;&gt;""),科目对照收入!$L11,科目对照收入!$C11)&amp;""</f>
        <v>应收账款</v>
      </c>
      <c r="F209" s="48" t="str">
        <f aca="false">IF(AND(ROUND($G209,2)&lt;0,科目对照收入!$L11&lt;&gt;""),科目对照收入!$M11,科目对照收入!$D11)&amp;""</f>
        <v>饿了么</v>
      </c>
      <c r="G209" s="49" t="n">
        <f aca="false">IF(COUNTIFS(输入平台!$A:$A,助手收入!$X11,输入平台!$B:$B,科目对照收入!$B11)&gt;0,ROUND(SUMIFS(输入平台!$C:$C,输入平台!$A:$A,助手收入!$X11,输入平台!$B:$B,科目对照收入!$B11),2),ROUND(海典汇总!$N$12,2))</f>
        <v>0</v>
      </c>
      <c r="H209" s="49" t="str">
        <f aca="false">IF(ROUND($G209,2)&gt;0,ROUND($G209,2),"")</f>
        <v/>
      </c>
      <c r="I209" s="49" t="str">
        <f aca="false">IF(ROUND($G209,2)&lt;0,-ROUND($G209,2),"")</f>
        <v/>
      </c>
      <c r="J209" s="20" t="n">
        <f aca="false">IF(ROUND($G209,2)=0,0,1)</f>
        <v>0</v>
      </c>
      <c r="K209" s="20" t="str">
        <f aca="false">IF($J209=0,"",SUM($J$200:$J209))</f>
        <v/>
      </c>
      <c r="L209" s="20" t="str">
        <f aca="false">IF($K209="","",$A209*100+$K209)</f>
        <v/>
      </c>
      <c r="M209" s="48" t="str">
        <f aca="false">参数!$B$3</f>
        <v>7月收入</v>
      </c>
    </row>
    <row r="210" customFormat="false" ht="13.5" hidden="false" customHeight="false" outlineLevel="0" collapsed="false">
      <c r="A210" s="47" t="n">
        <v>10</v>
      </c>
      <c r="B210" s="38" t="n">
        <f aca="false">助手收入!$B11</f>
        <v>2010</v>
      </c>
      <c r="C210" s="48" t="str">
        <f aca="false">助手收入!$C11</f>
        <v>莲子镇店</v>
      </c>
      <c r="D210" s="48" t="str">
        <f aca="false">科目对照收入!$B12&amp;""</f>
        <v>京东秒送</v>
      </c>
      <c r="E210" s="48" t="str">
        <f aca="false">IF(AND(ROUND($G210,2)&lt;0,科目对照收入!$L12&lt;&gt;""),科目对照收入!$L12,科目对照收入!$C12)&amp;""</f>
        <v>应收账款</v>
      </c>
      <c r="F210" s="48" t="str">
        <f aca="false">IF(AND(ROUND($G210,2)&lt;0,科目对照收入!$L12&lt;&gt;""),科目对照收入!$M12,科目对照收入!$D12)&amp;""</f>
        <v>京东秒送</v>
      </c>
      <c r="G210" s="49" t="n">
        <f aca="false">IF(COUNTIFS(输入平台!$A:$A,助手收入!$X11,输入平台!$B:$B,科目对照收入!$B12)&gt;0,ROUND(SUMIFS(输入平台!$C:$C,输入平台!$A:$A,助手收入!$X11,输入平台!$B:$B,科目对照收入!$B12),2),ROUND(海典汇总!$O$12,2))</f>
        <v>0</v>
      </c>
      <c r="H210" s="49" t="str">
        <f aca="false">IF(ROUND($G210,2)&gt;0,ROUND($G210,2),"")</f>
        <v/>
      </c>
      <c r="I210" s="49" t="str">
        <f aca="false">IF(ROUND($G210,2)&lt;0,-ROUND($G210,2),"")</f>
        <v/>
      </c>
      <c r="J210" s="20" t="n">
        <f aca="false">IF(ROUND($G210,2)=0,0,1)</f>
        <v>0</v>
      </c>
      <c r="K210" s="20" t="str">
        <f aca="false">IF($J210=0,"",SUM($J$200:$J210))</f>
        <v/>
      </c>
      <c r="L210" s="20" t="str">
        <f aca="false">IF($K210="","",$A210*100+$K210)</f>
        <v/>
      </c>
      <c r="M210" s="48" t="str">
        <f aca="false">参数!$B$3</f>
        <v>7月收入</v>
      </c>
    </row>
    <row r="211" customFormat="false" ht="13.5" hidden="false" customHeight="false" outlineLevel="0" collapsed="false">
      <c r="A211" s="47" t="n">
        <v>10</v>
      </c>
      <c r="B211" s="38" t="n">
        <f aca="false">助手收入!$B11</f>
        <v>2010</v>
      </c>
      <c r="C211" s="48" t="str">
        <f aca="false">助手收入!$C11</f>
        <v>莲子镇店</v>
      </c>
      <c r="D211" s="48" t="str">
        <f aca="false">科目对照收入!$B13&amp;""</f>
        <v>银联</v>
      </c>
      <c r="E211" s="48" t="str">
        <f aca="false">IF(AND(ROUND($G211,2)&lt;0,科目对照收入!$L13&lt;&gt;""),科目对照收入!$L13,科目对照收入!$C13)&amp;""</f>
        <v>应收账款</v>
      </c>
      <c r="F211" s="48" t="str">
        <f aca="false">IF(AND(ROUND($G211,2)&lt;0,科目对照收入!$L13&lt;&gt;""),科目对照收入!$M13,科目对照收入!$D13)&amp;""</f>
        <v>银联</v>
      </c>
      <c r="G211" s="49" t="n">
        <f aca="false">IF(COUNTIFS(输入平台!$A:$A,助手收入!$X11,输入平台!$B:$B,科目对照收入!$B13)&gt;0,ROUND(SUMIFS(输入平台!$C:$C,输入平台!$A:$A,助手收入!$X11,输入平台!$B:$B,科目对照收入!$B13),2),ROUND(海典汇总!$V$12,2))</f>
        <v>0</v>
      </c>
      <c r="H211" s="49" t="str">
        <f aca="false">IF(ROUND($G211,2)&gt;0,ROUND($G211,2),"")</f>
        <v/>
      </c>
      <c r="I211" s="49" t="str">
        <f aca="false">IF(ROUND($G211,2)&lt;0,-ROUND($G211,2),"")</f>
        <v/>
      </c>
      <c r="J211" s="20" t="n">
        <f aca="false">IF(ROUND($G211,2)=0,0,1)</f>
        <v>0</v>
      </c>
      <c r="K211" s="20" t="str">
        <f aca="false">IF($J211=0,"",SUM($J$200:$J211))</f>
        <v/>
      </c>
      <c r="L211" s="20" t="str">
        <f aca="false">IF($K211="","",$A211*100+$K211)</f>
        <v/>
      </c>
      <c r="M211" s="48" t="str">
        <f aca="false">参数!$B$3</f>
        <v>7月收入</v>
      </c>
    </row>
    <row r="212" customFormat="false" ht="13.5" hidden="false" customHeight="false" outlineLevel="0" collapsed="false">
      <c r="A212" s="47" t="n">
        <v>10</v>
      </c>
      <c r="B212" s="38" t="n">
        <f aca="false">助手收入!$B11</f>
        <v>2010</v>
      </c>
      <c r="C212" s="48" t="str">
        <f aca="false">助手收入!$C11</f>
        <v>莲子镇店</v>
      </c>
      <c r="D212" s="48" t="str">
        <f aca="false">科目对照收入!$B14&amp;""</f>
        <v>小镇外卖</v>
      </c>
      <c r="E212" s="48" t="str">
        <f aca="false">IF(AND(ROUND($G212,2)&lt;0,科目对照收入!$L14&lt;&gt;""),科目对照收入!$L14,科目对照收入!$C14)&amp;""</f>
        <v>应收账款</v>
      </c>
      <c r="F212" s="48" t="str">
        <f aca="false">IF(AND(ROUND($G212,2)&lt;0,科目对照收入!$L14&lt;&gt;""),科目对照收入!$M14,科目对照收入!$D14)&amp;""</f>
        <v>小镇外卖</v>
      </c>
      <c r="G212" s="49" t="n">
        <f aca="false">IF(COUNTIFS(输入平台!$A:$A,助手收入!$X11,输入平台!$B:$B,科目对照收入!$B14)&gt;0,ROUND(SUMIFS(输入平台!$C:$C,输入平台!$A:$A,助手收入!$X11,输入平台!$B:$B,科目对照收入!$B14),2),ROUND(海典汇总!$AC$12,2))</f>
        <v>0</v>
      </c>
      <c r="H212" s="49" t="str">
        <f aca="false">IF(ROUND($G212,2)&gt;0,ROUND($G212,2),"")</f>
        <v/>
      </c>
      <c r="I212" s="49" t="str">
        <f aca="false">IF(ROUND($G212,2)&lt;0,-ROUND($G212,2),"")</f>
        <v/>
      </c>
      <c r="J212" s="20" t="n">
        <f aca="false">IF(ROUND($G212,2)=0,0,1)</f>
        <v>0</v>
      </c>
      <c r="K212" s="20" t="str">
        <f aca="false">IF($J212=0,"",SUM($J$200:$J212))</f>
        <v/>
      </c>
      <c r="L212" s="20" t="str">
        <f aca="false">IF($K212="","",$A212*100+$K212)</f>
        <v/>
      </c>
      <c r="M212" s="48" t="str">
        <f aca="false">参数!$B$3</f>
        <v>7月收入</v>
      </c>
    </row>
    <row r="213" customFormat="false" ht="13.5" hidden="false" customHeight="false" outlineLevel="0" collapsed="false">
      <c r="A213" s="47" t="n">
        <v>10</v>
      </c>
      <c r="B213" s="38" t="n">
        <f aca="false">助手收入!$B11</f>
        <v>2010</v>
      </c>
      <c r="C213" s="48" t="str">
        <f aca="false">助手收入!$C11</f>
        <v>莲子镇店</v>
      </c>
      <c r="D213" s="48" t="str">
        <f aca="false">科目对照收入!$B15&amp;""</f>
        <v>OMS线上支付</v>
      </c>
      <c r="E213" s="48" t="str">
        <f aca="false">IF(AND(ROUND($G213,2)&lt;0,科目对照收入!$L15&lt;&gt;""),科目对照收入!$L15,科目对照收入!$C15)&amp;""</f>
        <v>应收账款</v>
      </c>
      <c r="F213" s="48" t="str">
        <f aca="false">IF(AND(ROUND($G213,2)&lt;0,科目对照收入!$L15&lt;&gt;""),科目对照收入!$M15,科目对照收入!$D15)&amp;""</f>
        <v>OMS线上</v>
      </c>
      <c r="G213" s="49" t="n">
        <f aca="false">IF(COUNTIFS(输入平台!$A:$A,助手收入!$X11,输入平台!$B:$B,科目对照收入!$B15)&gt;0,ROUND(SUMIFS(输入平台!$C:$C,输入平台!$A:$A,助手收入!$X11,输入平台!$B:$B,科目对照收入!$B15),2),ROUND(海典汇总!$L$12,2))</f>
        <v>0</v>
      </c>
      <c r="H213" s="49" t="str">
        <f aca="false">IF(ROUND($G213,2)&gt;0,ROUND($G213,2),"")</f>
        <v/>
      </c>
      <c r="I213" s="49" t="str">
        <f aca="false">IF(ROUND($G213,2)&lt;0,-ROUND($G213,2),"")</f>
        <v/>
      </c>
      <c r="J213" s="20" t="n">
        <f aca="false">IF(ROUND($G213,2)=0,0,1)</f>
        <v>0</v>
      </c>
      <c r="K213" s="20" t="str">
        <f aca="false">IF($J213=0,"",SUM($J$200:$J213))</f>
        <v/>
      </c>
      <c r="L213" s="20" t="str">
        <f aca="false">IF($K213="","",$A213*100+$K213)</f>
        <v/>
      </c>
      <c r="M213" s="48" t="str">
        <f aca="false">参数!$B$3</f>
        <v>7月收入</v>
      </c>
    </row>
    <row r="214" customFormat="false" ht="13.5" hidden="false" customHeight="false" outlineLevel="0" collapsed="false">
      <c r="A214" s="47" t="n">
        <v>10</v>
      </c>
      <c r="B214" s="38" t="n">
        <f aca="false">助手收入!$B11</f>
        <v>2010</v>
      </c>
      <c r="C214" s="48" t="str">
        <f aca="false">助手收入!$C11</f>
        <v>莲子镇店</v>
      </c>
      <c r="D214" s="48" t="str">
        <f aca="false">科目对照收入!$B16&amp;""</f>
        <v>平安药卡</v>
      </c>
      <c r="E214" s="48" t="str">
        <f aca="false">IF(AND(ROUND($G214,2)&lt;0,科目对照收入!$L16&lt;&gt;""),科目对照收入!$L16,科目对照收入!$C16)&amp;""</f>
        <v>应收账款</v>
      </c>
      <c r="F214" s="48" t="str">
        <f aca="false">IF(AND(ROUND($G214,2)&lt;0,科目对照收入!$L16&lt;&gt;""),科目对照收入!$M16,科目对照收入!$D16)&amp;""</f>
        <v>平安</v>
      </c>
      <c r="G214" s="49" t="n">
        <f aca="false">IF(COUNTIFS(输入平台!$A:$A,助手收入!$X11,输入平台!$B:$B,科目对照收入!$B16)&gt;0,ROUND(SUMIFS(输入平台!$C:$C,输入平台!$A:$A,助手收入!$X11,输入平台!$B:$B,科目对照收入!$B16),2),ROUND(海典汇总!$AB$12,2))</f>
        <v>0</v>
      </c>
      <c r="H214" s="49" t="str">
        <f aca="false">IF(ROUND($G214,2)&gt;0,ROUND($G214,2),"")</f>
        <v/>
      </c>
      <c r="I214" s="49" t="str">
        <f aca="false">IF(ROUND($G214,2)&lt;0,-ROUND($G214,2),"")</f>
        <v/>
      </c>
      <c r="J214" s="20" t="n">
        <f aca="false">IF(ROUND($G214,2)=0,0,1)</f>
        <v>0</v>
      </c>
      <c r="K214" s="20" t="str">
        <f aca="false">IF($J214=0,"",SUM($J$200:$J214))</f>
        <v/>
      </c>
      <c r="L214" s="20" t="str">
        <f aca="false">IF($K214="","",$A214*100+$K214)</f>
        <v/>
      </c>
      <c r="M214" s="48" t="str">
        <f aca="false">参数!$B$3</f>
        <v>7月收入</v>
      </c>
    </row>
    <row r="215" customFormat="false" ht="13.5" hidden="false" customHeight="false" outlineLevel="0" collapsed="false">
      <c r="A215" s="47" t="n">
        <v>10</v>
      </c>
      <c r="B215" s="38" t="n">
        <f aca="false">助手收入!$B11</f>
        <v>2010</v>
      </c>
      <c r="C215" s="48" t="str">
        <f aca="false">助手收入!$C11</f>
        <v>莲子镇店</v>
      </c>
      <c r="D215" s="48" t="str">
        <f aca="false">科目对照收入!$B17&amp;""</f>
        <v>储值卡</v>
      </c>
      <c r="E215" s="48" t="str">
        <f aca="false">IF(AND(ROUND($G215,2)&lt;0,科目对照收入!$L17&lt;&gt;""),科目对照收入!$L17,科目对照收入!$C17)&amp;""</f>
        <v>其他应收款</v>
      </c>
      <c r="F215" s="48" t="str">
        <f aca="false">IF(AND(ROUND($G215,2)&lt;0,科目对照收入!$L17&lt;&gt;""),科目对照收入!$M17,科目对照收入!$D17)&amp;""</f>
        <v>储值卡</v>
      </c>
      <c r="G215" s="49" t="n">
        <f aca="false">ROUND(海典汇总!$Q$12,2)</f>
        <v>206.9</v>
      </c>
      <c r="H215" s="49" t="n">
        <f aca="false">IF(ROUND($G215,2)&gt;0,ROUND($G215,2),"")</f>
        <v>206.9</v>
      </c>
      <c r="I215" s="49" t="str">
        <f aca="false">IF(ROUND($G215,2)&lt;0,-ROUND($G215,2),"")</f>
        <v/>
      </c>
      <c r="J215" s="20" t="n">
        <f aca="false">IF(ROUND($G215,2)=0,0,1)</f>
        <v>1</v>
      </c>
      <c r="K215" s="20" t="n">
        <f aca="false">IF($J215=0,"",SUM($J$200:$J215))</f>
        <v>4</v>
      </c>
      <c r="L215" s="20" t="n">
        <f aca="false">IF($K215="","",$A215*100+$K215)</f>
        <v>1004</v>
      </c>
      <c r="M215" s="48" t="str">
        <f aca="false">参数!$B$3</f>
        <v>7月收入</v>
      </c>
    </row>
    <row r="216" customFormat="false" ht="13.5" hidden="false" customHeight="false" outlineLevel="0" collapsed="false">
      <c r="A216" s="47" t="n">
        <v>10</v>
      </c>
      <c r="B216" s="38" t="n">
        <f aca="false">助手收入!$B11</f>
        <v>2010</v>
      </c>
      <c r="C216" s="48" t="str">
        <f aca="false">助手收入!$C11</f>
        <v>莲子镇店</v>
      </c>
      <c r="D216" s="48" t="str">
        <f aca="false">科目对照收入!$B18&amp;""</f>
        <v>会员零钱包</v>
      </c>
      <c r="E216" s="48" t="str">
        <f aca="false">IF(AND(ROUND($G216,2)&lt;0,科目对照收入!$L18&lt;&gt;""),科目对照收入!$L18,科目对照收入!$C18)&amp;""</f>
        <v>其他应收款</v>
      </c>
      <c r="F216" s="48" t="str">
        <f aca="false">IF(AND(ROUND($G216,2)&lt;0,科目对照收入!$L18&lt;&gt;""),科目对照收入!$M18,科目对照收入!$D18)&amp;""</f>
        <v>会员零钱包</v>
      </c>
      <c r="G216" s="49" t="n">
        <f aca="false">ROUND(海典汇总!$P$12,2)</f>
        <v>0</v>
      </c>
      <c r="H216" s="49" t="str">
        <f aca="false">IF(ROUND($G216,2)&gt;0,ROUND($G216,2),"")</f>
        <v/>
      </c>
      <c r="I216" s="49" t="str">
        <f aca="false">IF(ROUND($G216,2)&lt;0,-ROUND($G216,2),"")</f>
        <v/>
      </c>
      <c r="J216" s="20" t="n">
        <f aca="false">IF(ROUND($G216,2)=0,0,1)</f>
        <v>0</v>
      </c>
      <c r="K216" s="20" t="str">
        <f aca="false">IF($J216=0,"",SUM($J$200:$J216))</f>
        <v/>
      </c>
      <c r="L216" s="20" t="str">
        <f aca="false">IF($K216="","",$A216*100+$K216)</f>
        <v/>
      </c>
      <c r="M216" s="48" t="str">
        <f aca="false">参数!$B$3</f>
        <v>7月收入</v>
      </c>
    </row>
    <row r="217" customFormat="false" ht="13.5" hidden="false" customHeight="false" outlineLevel="0" collapsed="false">
      <c r="A217" s="47" t="n">
        <v>10</v>
      </c>
      <c r="B217" s="38" t="n">
        <f aca="false">助手收入!$B11</f>
        <v>2010</v>
      </c>
      <c r="C217" s="48" t="str">
        <f aca="false">助手收入!$C11</f>
        <v>莲子镇店</v>
      </c>
      <c r="D217" s="48" t="str">
        <f aca="false">科目对照收入!$B19&amp;""</f>
        <v>促销费</v>
      </c>
      <c r="E217" s="48" t="str">
        <f aca="false">IF(AND(ROUND($G217,2)&lt;0,科目对照收入!$L19&lt;&gt;""),科目对照收入!$L19,科目对照收入!$C19)&amp;""</f>
        <v>销售费用</v>
      </c>
      <c r="F217" s="48" t="str">
        <f aca="false">IF(AND(ROUND($G217,2)&lt;0,科目对照收入!$L19&lt;&gt;""),科目对照收入!$M19,科目对照收入!$D19)&amp;""</f>
        <v>促销费</v>
      </c>
      <c r="G217" s="49" t="n">
        <f aca="false">ROUND(海典汇总!$U$12+海典汇总!$T$12+海典汇总!$S$12,2)</f>
        <v>993.8</v>
      </c>
      <c r="H217" s="49" t="n">
        <f aca="false">IF(ROUND($G217,2)&gt;0,ROUND($G217,2),"")</f>
        <v>993.8</v>
      </c>
      <c r="I217" s="49" t="str">
        <f aca="false">IF(ROUND($G217,2)&lt;0,-ROUND($G217,2),"")</f>
        <v/>
      </c>
      <c r="J217" s="20" t="n">
        <f aca="false">IF(ROUND($G217,2)=0,0,1)</f>
        <v>1</v>
      </c>
      <c r="K217" s="20" t="n">
        <f aca="false">IF($J217=0,"",SUM($J$200:$J217))</f>
        <v>5</v>
      </c>
      <c r="L217" s="20" t="n">
        <f aca="false">IF($K217="","",$A217*100+$K217)</f>
        <v>1005</v>
      </c>
      <c r="M217" s="48" t="str">
        <f aca="false">参数!$B$3</f>
        <v>7月收入</v>
      </c>
    </row>
    <row r="218" customFormat="false" ht="13.5" hidden="false" customHeight="false" outlineLevel="0" collapsed="false">
      <c r="A218" s="47" t="n">
        <v>10</v>
      </c>
      <c r="B218" s="38" t="n">
        <f aca="false">助手收入!$B11</f>
        <v>2010</v>
      </c>
      <c r="C218" s="48" t="str">
        <f aca="false">助手收入!$C11</f>
        <v>莲子镇店</v>
      </c>
      <c r="D218" s="48" t="str">
        <f aca="false">科目对照收入!$B20&amp;""</f>
        <v>积分</v>
      </c>
      <c r="E218" s="48" t="str">
        <f aca="false">IF(AND(ROUND($G218,2)&lt;0,科目对照收入!$L20&lt;&gt;""),科目对照收入!$L20,科目对照收入!$C20)&amp;""</f>
        <v>销售费用</v>
      </c>
      <c r="F218" s="48" t="str">
        <f aca="false">IF(AND(ROUND($G218,2)&lt;0,科目对照收入!$L20&lt;&gt;""),科目对照收入!$M20,科目对照收入!$D20)&amp;""</f>
        <v>积分</v>
      </c>
      <c r="G218" s="49" t="n">
        <f aca="false">ROUND(海典汇总!$R$12,2)</f>
        <v>0</v>
      </c>
      <c r="H218" s="49" t="str">
        <f aca="false">IF(ROUND($G218,2)&gt;0,ROUND($G218,2),"")</f>
        <v/>
      </c>
      <c r="I218" s="49" t="str">
        <f aca="false">IF(ROUND($G218,2)&lt;0,-ROUND($G218,2),"")</f>
        <v/>
      </c>
      <c r="J218" s="20" t="n">
        <f aca="false">IF(ROUND($G218,2)=0,0,1)</f>
        <v>0</v>
      </c>
      <c r="K218" s="20" t="str">
        <f aca="false">IF($J218=0,"",SUM($J$200:$J218))</f>
        <v/>
      </c>
      <c r="L218" s="20" t="str">
        <f aca="false">IF($K218="","",$A218*100+$K218)</f>
        <v/>
      </c>
      <c r="M218" s="48" t="str">
        <f aca="false">参数!$B$3</f>
        <v>7月收入</v>
      </c>
    </row>
    <row r="219" customFormat="false" ht="13.5" hidden="false" customHeight="false" outlineLevel="0" collapsed="false">
      <c r="A219" s="47" t="n">
        <v>10</v>
      </c>
      <c r="B219" s="38" t="n">
        <f aca="false">助手收入!$B11</f>
        <v>2010</v>
      </c>
      <c r="C219" s="48" t="str">
        <f aca="false">助手收入!$C11</f>
        <v>莲子镇店</v>
      </c>
      <c r="D219" s="48" t="str">
        <f aca="false">科目对照收入!$B21&amp;""</f>
        <v>手续费</v>
      </c>
      <c r="E219" s="48" t="str">
        <f aca="false">IF(AND(ROUND($G219,2)&lt;0,科目对照收入!$L21&lt;&gt;""),科目对照收入!$L21,科目对照收入!$C21)&amp;""</f>
        <v>财务费用</v>
      </c>
      <c r="F219" s="48" t="str">
        <f aca="false">IF(AND(ROUND($G219,2)&lt;0,科目对照收入!$L21&lt;&gt;""),科目对照收入!$M21,科目对照收入!$D21)&amp;""</f>
        <v>手续费</v>
      </c>
      <c r="G219" s="49" t="n">
        <f aca="false">ROUND(SUMIFS(输入聚合!$D:$D,输入聚合!$A:$A,助手收入!$X11),2)</f>
        <v>182.38</v>
      </c>
      <c r="H219" s="49" t="n">
        <f aca="false">IF(ROUND($G219,2)&gt;0,ROUND($G219,2),"")</f>
        <v>182.38</v>
      </c>
      <c r="I219" s="49" t="str">
        <f aca="false">IF(ROUND($G219,2)&lt;0,-ROUND($G219,2),"")</f>
        <v/>
      </c>
      <c r="J219" s="20" t="n">
        <f aca="false">IF(ROUND($G219,2)=0,0,1)</f>
        <v>1</v>
      </c>
      <c r="K219" s="20" t="n">
        <f aca="false">IF($J219=0,"",SUM($J$200:$J219))</f>
        <v>6</v>
      </c>
      <c r="L219" s="20" t="n">
        <f aca="false">IF($K219="","",$A219*100+$K219)</f>
        <v>1006</v>
      </c>
      <c r="M219" s="48" t="str">
        <f aca="false">参数!$B$3</f>
        <v>7月收入</v>
      </c>
    </row>
    <row r="220" customFormat="false" ht="13.5" hidden="false" customHeight="false" outlineLevel="0" collapsed="false">
      <c r="A220" s="47" t="n">
        <v>10</v>
      </c>
      <c r="B220" s="38" t="n">
        <f aca="false">助手收入!$B11</f>
        <v>2010</v>
      </c>
      <c r="C220" s="48" t="str">
        <f aca="false">助手收入!$C11</f>
        <v>莲子镇店</v>
      </c>
      <c r="D220" s="48" t="str">
        <f aca="false">科目对照收入!$B22&amp;""</f>
        <v>主营业务收入</v>
      </c>
      <c r="E220" s="48" t="str">
        <f aca="false">IF(AND(ROUND($G220,2)&lt;0,科目对照收入!$L22&lt;&gt;""),科目对照收入!$L22,科目对照收入!$C22)&amp;""</f>
        <v>主营业务收入</v>
      </c>
      <c r="F220" s="48" t="str">
        <f aca="false">IF(AND(ROUND($G220,2)&lt;0,科目对照收入!$L22&lt;&gt;""),科目对照收入!$M22,科目对照收入!$D22)&amp;""</f>
        <v/>
      </c>
      <c r="G220" s="49" t="n">
        <f aca="false">-ROUND(助手收入!$G11,2)</f>
        <v>-107280.2</v>
      </c>
      <c r="H220" s="49" t="str">
        <f aca="false">IF(ROUND($G220,2)&gt;0,ROUND($G220,2),"")</f>
        <v/>
      </c>
      <c r="I220" s="49" t="n">
        <f aca="false">IF(ROUND($G220,2)&lt;0,-ROUND($G220,2),"")</f>
        <v>107280.2</v>
      </c>
      <c r="J220" s="20" t="n">
        <f aca="false">IF(ROUND($G220,2)=0,0,1)</f>
        <v>1</v>
      </c>
      <c r="K220" s="20" t="n">
        <f aca="false">IF($J220=0,"",SUM($J$200:$J220))</f>
        <v>7</v>
      </c>
      <c r="L220" s="20" t="n">
        <f aca="false">IF($K220="","",$A220*100+$K220)</f>
        <v>1007</v>
      </c>
      <c r="M220" s="48" t="str">
        <f aca="false">参数!$B$3</f>
        <v>7月收入</v>
      </c>
    </row>
    <row r="221" customFormat="false" ht="13.5" hidden="false" customHeight="false" outlineLevel="0" collapsed="false">
      <c r="A221" s="47" t="n">
        <v>10</v>
      </c>
      <c r="B221" s="38" t="n">
        <f aca="false">助手收入!$B11</f>
        <v>2010</v>
      </c>
      <c r="C221" s="48" t="str">
        <f aca="false">助手收入!$C11</f>
        <v>莲子镇店</v>
      </c>
      <c r="D221" s="48" t="str">
        <f aca="false">科目对照收入!$B23&amp;""</f>
        <v>营业外收入</v>
      </c>
      <c r="E221" s="48" t="str">
        <f aca="false">IF(AND(ROUND($G221,2)&lt;0,科目对照收入!$L23&lt;&gt;""),科目对照收入!$L23,科目对照收入!$C23)&amp;""</f>
        <v>营业外收入</v>
      </c>
      <c r="F221" s="48" t="str">
        <f aca="false">IF(AND(ROUND($G221,2)&lt;0,科目对照收入!$L23&lt;&gt;""),科目对照收入!$M23,科目对照收入!$D23)&amp;""</f>
        <v/>
      </c>
      <c r="G221" s="49" t="n">
        <f aca="false">-ROUND(助手收入!$J11,2)</f>
        <v>-0</v>
      </c>
      <c r="H221" s="49" t="str">
        <f aca="false">IF(ROUND($G221,2)&gt;0,ROUND($G221,2),"")</f>
        <v/>
      </c>
      <c r="I221" s="49" t="str">
        <f aca="false">IF(ROUND($G221,2)&lt;0,-ROUND($G221,2),"")</f>
        <v/>
      </c>
      <c r="J221" s="20" t="n">
        <f aca="false">IF(ROUND($G221,2)=0,0,1)</f>
        <v>0</v>
      </c>
      <c r="K221" s="20" t="str">
        <f aca="false">IF($J221=0,"",SUM($J$200:$J221))</f>
        <v/>
      </c>
      <c r="L221" s="20" t="str">
        <f aca="false">IF($K221="","",$A221*100+$K221)</f>
        <v/>
      </c>
      <c r="M221" s="48" t="str">
        <f aca="false">参数!$B$3</f>
        <v>7月收入</v>
      </c>
    </row>
    <row r="222" customFormat="false" ht="13.5" hidden="false" customHeight="false" outlineLevel="0" collapsed="false">
      <c r="A222" s="47" t="n">
        <v>11</v>
      </c>
      <c r="B222" s="38" t="n">
        <f aca="false">助手收入!$B12</f>
        <v>2011</v>
      </c>
      <c r="C222" s="48" t="str">
        <f aca="false">助手收入!$C12</f>
        <v>毛尔寨店</v>
      </c>
      <c r="D222" s="48" t="str">
        <f aca="false">科目对照收入!$B2&amp;""</f>
        <v>库存现金</v>
      </c>
      <c r="E222" s="48" t="str">
        <f aca="false">IF(AND(ROUND($G222,2)&lt;0,科目对照收入!$L2&lt;&gt;""),科目对照收入!$L2,科目对照收入!$C2)&amp;""</f>
        <v>库存现金</v>
      </c>
      <c r="F222" s="48" t="str">
        <f aca="false">IF(AND(ROUND($G222,2)&lt;0,科目对照收入!$L2&lt;&gt;""),科目对照收入!$M2,科目对照收入!$D2)&amp;""</f>
        <v/>
      </c>
      <c r="G222" s="49" t="n">
        <f aca="false">助手收入!$I12</f>
        <v>24370.58</v>
      </c>
      <c r="H222" s="49" t="n">
        <f aca="false">IF(ROUND($G222,2)&gt;0,ROUND($G222,2),"")</f>
        <v>24370.58</v>
      </c>
      <c r="I222" s="49" t="str">
        <f aca="false">IF(ROUND($G222,2)&lt;0,-ROUND($G222,2),"")</f>
        <v/>
      </c>
      <c r="J222" s="20" t="n">
        <f aca="false">IF(ROUND($G222,2)=0,0,1)</f>
        <v>1</v>
      </c>
      <c r="K222" s="20" t="n">
        <f aca="false">IF($J222=0,"",SUM($J$222:$J222))</f>
        <v>1</v>
      </c>
      <c r="L222" s="20" t="n">
        <f aca="false">IF($K222="","",$A222*100+$K222)</f>
        <v>1101</v>
      </c>
      <c r="M222" s="48" t="str">
        <f aca="false">参数!$B$3</f>
        <v>7月收入</v>
      </c>
    </row>
    <row r="223" customFormat="false" ht="13.5" hidden="false" customHeight="false" outlineLevel="0" collapsed="false">
      <c r="A223" s="47" t="n">
        <v>11</v>
      </c>
      <c r="B223" s="38" t="n">
        <f aca="false">助手收入!$B12</f>
        <v>2011</v>
      </c>
      <c r="C223" s="48" t="str">
        <f aca="false">助手收入!$C12</f>
        <v>毛尔寨店</v>
      </c>
      <c r="D223" s="48" t="str">
        <f aca="false">科目对照收入!$B3&amp;""</f>
        <v>聚合支付</v>
      </c>
      <c r="E223" s="48" t="str">
        <f aca="false">IF(AND(ROUND($G223,2)&lt;0,科目对照收入!$L3&lt;&gt;""),科目对照收入!$L3,科目对照收入!$C3)&amp;""</f>
        <v>应收账款</v>
      </c>
      <c r="F223" s="48" t="str">
        <f aca="false">IF(AND(ROUND($G223,2)&lt;0,科目对照收入!$L3&lt;&gt;""),科目对照收入!$M3,科目对照收入!$D3)&amp;""</f>
        <v>聚合支付</v>
      </c>
      <c r="G223" s="49" t="n">
        <f aca="false">ROUND(SUMIFS(输入聚合!$C:$C,输入聚合!$A:$A,助手收入!$X12)-SUMIFS(输入聚合!$D:$D,输入聚合!$A:$A,助手收入!$X12),2)</f>
        <v>14154.7</v>
      </c>
      <c r="H223" s="49" t="n">
        <f aca="false">IF(ROUND($G223,2)&gt;0,ROUND($G223,2),"")</f>
        <v>14154.7</v>
      </c>
      <c r="I223" s="49" t="str">
        <f aca="false">IF(ROUND($G223,2)&lt;0,-ROUND($G223,2),"")</f>
        <v/>
      </c>
      <c r="J223" s="20" t="n">
        <f aca="false">IF(ROUND($G223,2)=0,0,1)</f>
        <v>1</v>
      </c>
      <c r="K223" s="20" t="n">
        <f aca="false">IF($J223=0,"",SUM($J$222:$J223))</f>
        <v>2</v>
      </c>
      <c r="L223" s="20" t="n">
        <f aca="false">IF($K223="","",$A223*100+$K223)</f>
        <v>1102</v>
      </c>
      <c r="M223" s="48" t="str">
        <f aca="false">参数!$B$3</f>
        <v>7月收入</v>
      </c>
    </row>
    <row r="224" customFormat="false" ht="13.5" hidden="false" customHeight="false" outlineLevel="0" collapsed="false">
      <c r="A224" s="47" t="n">
        <v>11</v>
      </c>
      <c r="B224" s="38" t="n">
        <f aca="false">助手收入!$B12</f>
        <v>2011</v>
      </c>
      <c r="C224" s="48" t="str">
        <f aca="false">助手收入!$C12</f>
        <v>毛尔寨店</v>
      </c>
      <c r="D224" s="48" t="str">
        <f aca="false">科目对照收入!$B4&amp;""</f>
        <v>医保</v>
      </c>
      <c r="E224" s="48" t="str">
        <f aca="false">IF(AND(ROUND($G224,2)&lt;0,科目对照收入!$L4&lt;&gt;""),科目对照收入!$L4,科目对照收入!$C4)&amp;""</f>
        <v>应收账款</v>
      </c>
      <c r="F224" s="48" t="str">
        <f aca="false">IF(AND(ROUND($G224,2)&lt;0,科目对照收入!$L4&lt;&gt;""),科目对照收入!$M4,科目对照收入!$D4)&amp;""</f>
        <v>医保</v>
      </c>
      <c r="G224" s="49" t="n">
        <f aca="false">IF(COUNTIFS(输入平台!$A:$A,助手收入!$X12,输入平台!$B:$B,科目对照收入!$B4)&gt;0,ROUND(SUMIFS(输入平台!$C:$C,输入平台!$A:$A,助手收入!$X12,输入平台!$B:$B,科目对照收入!$B4),2),ROUND(海典汇总!$F$13+海典汇总!$G$13,2))</f>
        <v>2921.49</v>
      </c>
      <c r="H224" s="49" t="n">
        <f aca="false">IF(ROUND($G224,2)&gt;0,ROUND($G224,2),"")</f>
        <v>2921.49</v>
      </c>
      <c r="I224" s="49" t="str">
        <f aca="false">IF(ROUND($G224,2)&lt;0,-ROUND($G224,2),"")</f>
        <v/>
      </c>
      <c r="J224" s="20" t="n">
        <f aca="false">IF(ROUND($G224,2)=0,0,1)</f>
        <v>1</v>
      </c>
      <c r="K224" s="20" t="n">
        <f aca="false">IF($J224=0,"",SUM($J$222:$J224))</f>
        <v>3</v>
      </c>
      <c r="L224" s="20" t="n">
        <f aca="false">IF($K224="","",$A224*100+$K224)</f>
        <v>1103</v>
      </c>
      <c r="M224" s="48" t="str">
        <f aca="false">参数!$B$3</f>
        <v>7月收入</v>
      </c>
    </row>
    <row r="225" customFormat="false" ht="13.5" hidden="false" customHeight="false" outlineLevel="0" collapsed="false">
      <c r="A225" s="47" t="n">
        <v>11</v>
      </c>
      <c r="B225" s="38" t="n">
        <f aca="false">助手收入!$B12</f>
        <v>2011</v>
      </c>
      <c r="C225" s="48" t="str">
        <f aca="false">助手收入!$C12</f>
        <v>毛尔寨店</v>
      </c>
      <c r="D225" s="48" t="str">
        <f aca="false">科目对照收入!$B5&amp;""</f>
        <v>健e卡</v>
      </c>
      <c r="E225" s="48" t="str">
        <f aca="false">IF(AND(ROUND($G225,2)&lt;0,科目对照收入!$L5&lt;&gt;""),科目对照收入!$L5,科目对照收入!$C5)&amp;""</f>
        <v>应收账款</v>
      </c>
      <c r="F225" s="48" t="str">
        <f aca="false">IF(AND(ROUND($G225,2)&lt;0,科目对照收入!$L5&lt;&gt;""),科目对照收入!$M5,科目对照收入!$D5)&amp;""</f>
        <v>健e卡</v>
      </c>
      <c r="G225" s="49" t="n">
        <f aca="false">IF(COUNTIFS(输入平台!$A:$A,助手收入!$X12,输入平台!$B:$B,科目对照收入!$B5)&gt;0,ROUND(SUMIFS(输入平台!$C:$C,输入平台!$A:$A,助手收入!$X12,输入平台!$B:$B,科目对照收入!$B5),2),ROUND(海典汇总!$H$13,2))</f>
        <v>0</v>
      </c>
      <c r="H225" s="49" t="str">
        <f aca="false">IF(ROUND($G225,2)&gt;0,ROUND($G225,2),"")</f>
        <v/>
      </c>
      <c r="I225" s="49" t="str">
        <f aca="false">IF(ROUND($G225,2)&lt;0,-ROUND($G225,2),"")</f>
        <v/>
      </c>
      <c r="J225" s="20" t="n">
        <f aca="false">IF(ROUND($G225,2)=0,0,1)</f>
        <v>0</v>
      </c>
      <c r="K225" s="20" t="str">
        <f aca="false">IF($J225=0,"",SUM($J$222:$J225))</f>
        <v/>
      </c>
      <c r="L225" s="20" t="str">
        <f aca="false">IF($K225="","",$A225*100+$K225)</f>
        <v/>
      </c>
      <c r="M225" s="48" t="str">
        <f aca="false">参数!$B$3</f>
        <v>7月收入</v>
      </c>
    </row>
    <row r="226" customFormat="false" ht="13.5" hidden="false" customHeight="false" outlineLevel="0" collapsed="false">
      <c r="A226" s="47" t="n">
        <v>11</v>
      </c>
      <c r="B226" s="38" t="n">
        <f aca="false">助手收入!$B12</f>
        <v>2011</v>
      </c>
      <c r="C226" s="48" t="str">
        <f aca="false">助手收入!$C12</f>
        <v>毛尔寨店</v>
      </c>
      <c r="D226" s="48" t="str">
        <f aca="false">科目对照收入!$B6&amp;""</f>
        <v>医卡通</v>
      </c>
      <c r="E226" s="48" t="str">
        <f aca="false">IF(AND(ROUND($G226,2)&lt;0,科目对照收入!$L6&lt;&gt;""),科目对照收入!$L6,科目对照收入!$C6)&amp;""</f>
        <v>应收账款</v>
      </c>
      <c r="F226" s="48" t="str">
        <f aca="false">IF(AND(ROUND($G226,2)&lt;0,科目对照收入!$L6&lt;&gt;""),科目对照收入!$M6,科目对照收入!$D6)&amp;""</f>
        <v>医卡通</v>
      </c>
      <c r="G226" s="49" t="n">
        <f aca="false">IF(COUNTIFS(输入平台!$A:$A,助手收入!$X12,输入平台!$B:$B,科目对照收入!$B6)&gt;0,ROUND(SUMIFS(输入平台!$C:$C,输入平台!$A:$A,助手收入!$X12,输入平台!$B:$B,科目对照收入!$B6),2),ROUND(海典汇总!$I$13,2))</f>
        <v>0</v>
      </c>
      <c r="H226" s="49" t="str">
        <f aca="false">IF(ROUND($G226,2)&gt;0,ROUND($G226,2),"")</f>
        <v/>
      </c>
      <c r="I226" s="49" t="str">
        <f aca="false">IF(ROUND($G226,2)&lt;0,-ROUND($G226,2),"")</f>
        <v/>
      </c>
      <c r="J226" s="20" t="n">
        <f aca="false">IF(ROUND($G226,2)=0,0,1)</f>
        <v>0</v>
      </c>
      <c r="K226" s="20" t="str">
        <f aca="false">IF($J226=0,"",SUM($J$222:$J226))</f>
        <v/>
      </c>
      <c r="L226" s="20" t="str">
        <f aca="false">IF($K226="","",$A226*100+$K226)</f>
        <v/>
      </c>
      <c r="M226" s="48" t="str">
        <f aca="false">参数!$B$3</f>
        <v>7月收入</v>
      </c>
    </row>
    <row r="227" customFormat="false" ht="13.5" hidden="false" customHeight="false" outlineLevel="0" collapsed="false">
      <c r="A227" s="47" t="n">
        <v>11</v>
      </c>
      <c r="B227" s="38" t="n">
        <f aca="false">助手收入!$B12</f>
        <v>2011</v>
      </c>
      <c r="C227" s="48" t="str">
        <f aca="false">助手收入!$C12</f>
        <v>毛尔寨店</v>
      </c>
      <c r="D227" s="48" t="str">
        <f aca="false">科目对照收入!$B7&amp;""</f>
        <v>企健网</v>
      </c>
      <c r="E227" s="48" t="str">
        <f aca="false">IF(AND(ROUND($G227,2)&lt;0,科目对照收入!$L7&lt;&gt;""),科目对照收入!$L7,科目对照收入!$C7)&amp;""</f>
        <v>应收账款</v>
      </c>
      <c r="F227" s="48" t="str">
        <f aca="false">IF(AND(ROUND($G227,2)&lt;0,科目对照收入!$L7&lt;&gt;""),科目对照收入!$M7,科目对照收入!$D7)&amp;""</f>
        <v>企健网</v>
      </c>
      <c r="G227" s="49" t="n">
        <f aca="false">IF(COUNTIFS(输入平台!$A:$A,助手收入!$X12,输入平台!$B:$B,科目对照收入!$B7)&gt;0,ROUND(SUMIFS(输入平台!$C:$C,输入平台!$A:$A,助手收入!$X12,输入平台!$B:$B,科目对照收入!$B7),2),ROUND(海典汇总!$J$13,2))</f>
        <v>0</v>
      </c>
      <c r="H227" s="49" t="str">
        <f aca="false">IF(ROUND($G227,2)&gt;0,ROUND($G227,2),"")</f>
        <v/>
      </c>
      <c r="I227" s="49" t="str">
        <f aca="false">IF(ROUND($G227,2)&lt;0,-ROUND($G227,2),"")</f>
        <v/>
      </c>
      <c r="J227" s="20" t="n">
        <f aca="false">IF(ROUND($G227,2)=0,0,1)</f>
        <v>0</v>
      </c>
      <c r="K227" s="20" t="str">
        <f aca="false">IF($J227=0,"",SUM($J$222:$J227))</f>
        <v/>
      </c>
      <c r="L227" s="20" t="str">
        <f aca="false">IF($K227="","",$A227*100+$K227)</f>
        <v/>
      </c>
      <c r="M227" s="48" t="str">
        <f aca="false">参数!$B$3</f>
        <v>7月收入</v>
      </c>
    </row>
    <row r="228" customFormat="false" ht="13.5" hidden="false" customHeight="false" outlineLevel="0" collapsed="false">
      <c r="A228" s="47" t="n">
        <v>11</v>
      </c>
      <c r="B228" s="38" t="n">
        <f aca="false">助手收入!$B12</f>
        <v>2011</v>
      </c>
      <c r="C228" s="48" t="str">
        <f aca="false">助手收入!$C12</f>
        <v>毛尔寨店</v>
      </c>
      <c r="D228" s="48" t="str">
        <f aca="false">科目对照收入!$B8&amp;""</f>
        <v>亲情卡</v>
      </c>
      <c r="E228" s="48" t="str">
        <f aca="false">IF(AND(ROUND($G228,2)&lt;0,科目对照收入!$L8&lt;&gt;""),科目对照收入!$L8,科目对照收入!$C8)&amp;""</f>
        <v>应收账款</v>
      </c>
      <c r="F228" s="48" t="str">
        <f aca="false">IF(AND(ROUND($G228,2)&lt;0,科目对照收入!$L8&lt;&gt;""),科目对照收入!$M8,科目对照收入!$D8)&amp;""</f>
        <v>亲情卡</v>
      </c>
      <c r="G228" s="49" t="n">
        <f aca="false">IF(COUNTIFS(输入平台!$A:$A,助手收入!$X12,输入平台!$B:$B,科目对照收入!$B8)&gt;0,ROUND(SUMIFS(输入平台!$C:$C,输入平台!$A:$A,助手收入!$X12,输入平台!$B:$B,科目对照收入!$B8),2),ROUND(海典汇总!$Z$13,2))</f>
        <v>0</v>
      </c>
      <c r="H228" s="49" t="str">
        <f aca="false">IF(ROUND($G228,2)&gt;0,ROUND($G228,2),"")</f>
        <v/>
      </c>
      <c r="I228" s="49" t="str">
        <f aca="false">IF(ROUND($G228,2)&lt;0,-ROUND($G228,2),"")</f>
        <v/>
      </c>
      <c r="J228" s="20" t="n">
        <f aca="false">IF(ROUND($G228,2)=0,0,1)</f>
        <v>0</v>
      </c>
      <c r="K228" s="20" t="str">
        <f aca="false">IF($J228=0,"",SUM($J$222:$J228))</f>
        <v/>
      </c>
      <c r="L228" s="20" t="str">
        <f aca="false">IF($K228="","",$A228*100+$K228)</f>
        <v/>
      </c>
      <c r="M228" s="48" t="str">
        <f aca="false">参数!$B$3</f>
        <v>7月收入</v>
      </c>
    </row>
    <row r="229" customFormat="false" ht="13.5" hidden="false" customHeight="false" outlineLevel="0" collapsed="false">
      <c r="A229" s="47" t="n">
        <v>11</v>
      </c>
      <c r="B229" s="38" t="n">
        <f aca="false">助手收入!$B12</f>
        <v>2011</v>
      </c>
      <c r="C229" s="48" t="str">
        <f aca="false">助手收入!$C12</f>
        <v>毛尔寨店</v>
      </c>
      <c r="D229" s="48" t="str">
        <f aca="false">科目对照收入!$B9&amp;""</f>
        <v>24小时</v>
      </c>
      <c r="E229" s="48" t="str">
        <f aca="false">IF(AND(ROUND($G229,2)&lt;0,科目对照收入!$L9&lt;&gt;""),科目对照收入!$L9,科目对照收入!$C9)&amp;""</f>
        <v>应收账款</v>
      </c>
      <c r="F229" s="48" t="str">
        <f aca="false">IF(AND(ROUND($G229,2)&lt;0,科目对照收入!$L9&lt;&gt;""),科目对照收入!$M9,科目对照收入!$D9)&amp;""</f>
        <v>24小时</v>
      </c>
      <c r="G229" s="49" t="n">
        <f aca="false">IF(COUNTIFS(输入平台!$A:$A,助手收入!$X12,输入平台!$B:$B,科目对照收入!$B9)&gt;0,ROUND(SUMIFS(输入平台!$C:$C,输入平台!$A:$A,助手收入!$X12,输入平台!$B:$B,科目对照收入!$B9),2),ROUND(海典汇总!$K$13,2))</f>
        <v>0</v>
      </c>
      <c r="H229" s="49" t="str">
        <f aca="false">IF(ROUND($G229,2)&gt;0,ROUND($G229,2),"")</f>
        <v/>
      </c>
      <c r="I229" s="49" t="str">
        <f aca="false">IF(ROUND($G229,2)&lt;0,-ROUND($G229,2),"")</f>
        <v/>
      </c>
      <c r="J229" s="20" t="n">
        <f aca="false">IF(ROUND($G229,2)=0,0,1)</f>
        <v>0</v>
      </c>
      <c r="K229" s="20" t="str">
        <f aca="false">IF($J229=0,"",SUM($J$222:$J229))</f>
        <v/>
      </c>
      <c r="L229" s="20" t="str">
        <f aca="false">IF($K229="","",$A229*100+$K229)</f>
        <v/>
      </c>
      <c r="M229" s="48" t="str">
        <f aca="false">参数!$B$3</f>
        <v>7月收入</v>
      </c>
    </row>
    <row r="230" customFormat="false" ht="13.5" hidden="false" customHeight="false" outlineLevel="0" collapsed="false">
      <c r="A230" s="47" t="n">
        <v>11</v>
      </c>
      <c r="B230" s="38" t="n">
        <f aca="false">助手收入!$B12</f>
        <v>2011</v>
      </c>
      <c r="C230" s="48" t="str">
        <f aca="false">助手收入!$C12</f>
        <v>毛尔寨店</v>
      </c>
      <c r="D230" s="48" t="str">
        <f aca="false">科目对照收入!$B10&amp;""</f>
        <v>美团</v>
      </c>
      <c r="E230" s="48" t="str">
        <f aca="false">IF(AND(ROUND($G230,2)&lt;0,科目对照收入!$L10&lt;&gt;""),科目对照收入!$L10,科目对照收入!$C10)&amp;""</f>
        <v>应收账款</v>
      </c>
      <c r="F230" s="48" t="str">
        <f aca="false">IF(AND(ROUND($G230,2)&lt;0,科目对照收入!$L10&lt;&gt;""),科目对照收入!$M10,科目对照收入!$D10)&amp;""</f>
        <v>美团</v>
      </c>
      <c r="G230" s="49" t="n">
        <f aca="false">IF(COUNTIFS(输入平台!$A:$A,助手收入!$X12,输入平台!$B:$B,科目对照收入!$B10)&gt;0,ROUND(SUMIFS(输入平台!$C:$C,输入平台!$A:$A,助手收入!$X12,输入平台!$B:$B,科目对照收入!$B10),2),ROUND(海典汇总!$M$13,2))</f>
        <v>0</v>
      </c>
      <c r="H230" s="49" t="str">
        <f aca="false">IF(ROUND($G230,2)&gt;0,ROUND($G230,2),"")</f>
        <v/>
      </c>
      <c r="I230" s="49" t="str">
        <f aca="false">IF(ROUND($G230,2)&lt;0,-ROUND($G230,2),"")</f>
        <v/>
      </c>
      <c r="J230" s="20" t="n">
        <f aca="false">IF(ROUND($G230,2)=0,0,1)</f>
        <v>0</v>
      </c>
      <c r="K230" s="20" t="str">
        <f aca="false">IF($J230=0,"",SUM($J$222:$J230))</f>
        <v/>
      </c>
      <c r="L230" s="20" t="str">
        <f aca="false">IF($K230="","",$A230*100+$K230)</f>
        <v/>
      </c>
      <c r="M230" s="48" t="str">
        <f aca="false">参数!$B$3</f>
        <v>7月收入</v>
      </c>
    </row>
    <row r="231" customFormat="false" ht="13.5" hidden="false" customHeight="false" outlineLevel="0" collapsed="false">
      <c r="A231" s="47" t="n">
        <v>11</v>
      </c>
      <c r="B231" s="38" t="n">
        <f aca="false">助手收入!$B12</f>
        <v>2011</v>
      </c>
      <c r="C231" s="48" t="str">
        <f aca="false">助手收入!$C12</f>
        <v>毛尔寨店</v>
      </c>
      <c r="D231" s="48" t="str">
        <f aca="false">科目对照收入!$B11&amp;""</f>
        <v>饿了么</v>
      </c>
      <c r="E231" s="48" t="str">
        <f aca="false">IF(AND(ROUND($G231,2)&lt;0,科目对照收入!$L11&lt;&gt;""),科目对照收入!$L11,科目对照收入!$C11)&amp;""</f>
        <v>应收账款</v>
      </c>
      <c r="F231" s="48" t="str">
        <f aca="false">IF(AND(ROUND($G231,2)&lt;0,科目对照收入!$L11&lt;&gt;""),科目对照收入!$M11,科目对照收入!$D11)&amp;""</f>
        <v>饿了么</v>
      </c>
      <c r="G231" s="49" t="n">
        <f aca="false">IF(COUNTIFS(输入平台!$A:$A,助手收入!$X12,输入平台!$B:$B,科目对照收入!$B11)&gt;0,ROUND(SUMIFS(输入平台!$C:$C,输入平台!$A:$A,助手收入!$X12,输入平台!$B:$B,科目对照收入!$B11),2),ROUND(海典汇总!$N$13,2))</f>
        <v>0</v>
      </c>
      <c r="H231" s="49" t="str">
        <f aca="false">IF(ROUND($G231,2)&gt;0,ROUND($G231,2),"")</f>
        <v/>
      </c>
      <c r="I231" s="49" t="str">
        <f aca="false">IF(ROUND($G231,2)&lt;0,-ROUND($G231,2),"")</f>
        <v/>
      </c>
      <c r="J231" s="20" t="n">
        <f aca="false">IF(ROUND($G231,2)=0,0,1)</f>
        <v>0</v>
      </c>
      <c r="K231" s="20" t="str">
        <f aca="false">IF($J231=0,"",SUM($J$222:$J231))</f>
        <v/>
      </c>
      <c r="L231" s="20" t="str">
        <f aca="false">IF($K231="","",$A231*100+$K231)</f>
        <v/>
      </c>
      <c r="M231" s="48" t="str">
        <f aca="false">参数!$B$3</f>
        <v>7月收入</v>
      </c>
    </row>
    <row r="232" customFormat="false" ht="13.5" hidden="false" customHeight="false" outlineLevel="0" collapsed="false">
      <c r="A232" s="47" t="n">
        <v>11</v>
      </c>
      <c r="B232" s="38" t="n">
        <f aca="false">助手收入!$B12</f>
        <v>2011</v>
      </c>
      <c r="C232" s="48" t="str">
        <f aca="false">助手收入!$C12</f>
        <v>毛尔寨店</v>
      </c>
      <c r="D232" s="48" t="str">
        <f aca="false">科目对照收入!$B12&amp;""</f>
        <v>京东秒送</v>
      </c>
      <c r="E232" s="48" t="str">
        <f aca="false">IF(AND(ROUND($G232,2)&lt;0,科目对照收入!$L12&lt;&gt;""),科目对照收入!$L12,科目对照收入!$C12)&amp;""</f>
        <v>应收账款</v>
      </c>
      <c r="F232" s="48" t="str">
        <f aca="false">IF(AND(ROUND($G232,2)&lt;0,科目对照收入!$L12&lt;&gt;""),科目对照收入!$M12,科目对照收入!$D12)&amp;""</f>
        <v>京东秒送</v>
      </c>
      <c r="G232" s="49" t="n">
        <f aca="false">IF(COUNTIFS(输入平台!$A:$A,助手收入!$X12,输入平台!$B:$B,科目对照收入!$B12)&gt;0,ROUND(SUMIFS(输入平台!$C:$C,输入平台!$A:$A,助手收入!$X12,输入平台!$B:$B,科目对照收入!$B12),2),ROUND(海典汇总!$O$13,2))</f>
        <v>0</v>
      </c>
      <c r="H232" s="49" t="str">
        <f aca="false">IF(ROUND($G232,2)&gt;0,ROUND($G232,2),"")</f>
        <v/>
      </c>
      <c r="I232" s="49" t="str">
        <f aca="false">IF(ROUND($G232,2)&lt;0,-ROUND($G232,2),"")</f>
        <v/>
      </c>
      <c r="J232" s="20" t="n">
        <f aca="false">IF(ROUND($G232,2)=0,0,1)</f>
        <v>0</v>
      </c>
      <c r="K232" s="20" t="str">
        <f aca="false">IF($J232=0,"",SUM($J$222:$J232))</f>
        <v/>
      </c>
      <c r="L232" s="20" t="str">
        <f aca="false">IF($K232="","",$A232*100+$K232)</f>
        <v/>
      </c>
      <c r="M232" s="48" t="str">
        <f aca="false">参数!$B$3</f>
        <v>7月收入</v>
      </c>
    </row>
    <row r="233" customFormat="false" ht="13.5" hidden="false" customHeight="false" outlineLevel="0" collapsed="false">
      <c r="A233" s="47" t="n">
        <v>11</v>
      </c>
      <c r="B233" s="38" t="n">
        <f aca="false">助手收入!$B12</f>
        <v>2011</v>
      </c>
      <c r="C233" s="48" t="str">
        <f aca="false">助手收入!$C12</f>
        <v>毛尔寨店</v>
      </c>
      <c r="D233" s="48" t="str">
        <f aca="false">科目对照收入!$B13&amp;""</f>
        <v>银联</v>
      </c>
      <c r="E233" s="48" t="str">
        <f aca="false">IF(AND(ROUND($G233,2)&lt;0,科目对照收入!$L13&lt;&gt;""),科目对照收入!$L13,科目对照收入!$C13)&amp;""</f>
        <v>应收账款</v>
      </c>
      <c r="F233" s="48" t="str">
        <f aca="false">IF(AND(ROUND($G233,2)&lt;0,科目对照收入!$L13&lt;&gt;""),科目对照收入!$M13,科目对照收入!$D13)&amp;""</f>
        <v>银联</v>
      </c>
      <c r="G233" s="49" t="n">
        <f aca="false">IF(COUNTIFS(输入平台!$A:$A,助手收入!$X12,输入平台!$B:$B,科目对照收入!$B13)&gt;0,ROUND(SUMIFS(输入平台!$C:$C,输入平台!$A:$A,助手收入!$X12,输入平台!$B:$B,科目对照收入!$B13),2),ROUND(海典汇总!$V$13,2))</f>
        <v>0</v>
      </c>
      <c r="H233" s="49" t="str">
        <f aca="false">IF(ROUND($G233,2)&gt;0,ROUND($G233,2),"")</f>
        <v/>
      </c>
      <c r="I233" s="49" t="str">
        <f aca="false">IF(ROUND($G233,2)&lt;0,-ROUND($G233,2),"")</f>
        <v/>
      </c>
      <c r="J233" s="20" t="n">
        <f aca="false">IF(ROUND($G233,2)=0,0,1)</f>
        <v>0</v>
      </c>
      <c r="K233" s="20" t="str">
        <f aca="false">IF($J233=0,"",SUM($J$222:$J233))</f>
        <v/>
      </c>
      <c r="L233" s="20" t="str">
        <f aca="false">IF($K233="","",$A233*100+$K233)</f>
        <v/>
      </c>
      <c r="M233" s="48" t="str">
        <f aca="false">参数!$B$3</f>
        <v>7月收入</v>
      </c>
    </row>
    <row r="234" customFormat="false" ht="13.5" hidden="false" customHeight="false" outlineLevel="0" collapsed="false">
      <c r="A234" s="47" t="n">
        <v>11</v>
      </c>
      <c r="B234" s="38" t="n">
        <f aca="false">助手收入!$B12</f>
        <v>2011</v>
      </c>
      <c r="C234" s="48" t="str">
        <f aca="false">助手收入!$C12</f>
        <v>毛尔寨店</v>
      </c>
      <c r="D234" s="48" t="str">
        <f aca="false">科目对照收入!$B14&amp;""</f>
        <v>小镇外卖</v>
      </c>
      <c r="E234" s="48" t="str">
        <f aca="false">IF(AND(ROUND($G234,2)&lt;0,科目对照收入!$L14&lt;&gt;""),科目对照收入!$L14,科目对照收入!$C14)&amp;""</f>
        <v>应收账款</v>
      </c>
      <c r="F234" s="48" t="str">
        <f aca="false">IF(AND(ROUND($G234,2)&lt;0,科目对照收入!$L14&lt;&gt;""),科目对照收入!$M14,科目对照收入!$D14)&amp;""</f>
        <v>小镇外卖</v>
      </c>
      <c r="G234" s="49" t="n">
        <f aca="false">IF(COUNTIFS(输入平台!$A:$A,助手收入!$X12,输入平台!$B:$B,科目对照收入!$B14)&gt;0,ROUND(SUMIFS(输入平台!$C:$C,输入平台!$A:$A,助手收入!$X12,输入平台!$B:$B,科目对照收入!$B14),2),ROUND(海典汇总!$AC$13,2))</f>
        <v>0</v>
      </c>
      <c r="H234" s="49" t="str">
        <f aca="false">IF(ROUND($G234,2)&gt;0,ROUND($G234,2),"")</f>
        <v/>
      </c>
      <c r="I234" s="49" t="str">
        <f aca="false">IF(ROUND($G234,2)&lt;0,-ROUND($G234,2),"")</f>
        <v/>
      </c>
      <c r="J234" s="20" t="n">
        <f aca="false">IF(ROUND($G234,2)=0,0,1)</f>
        <v>0</v>
      </c>
      <c r="K234" s="20" t="str">
        <f aca="false">IF($J234=0,"",SUM($J$222:$J234))</f>
        <v/>
      </c>
      <c r="L234" s="20" t="str">
        <f aca="false">IF($K234="","",$A234*100+$K234)</f>
        <v/>
      </c>
      <c r="M234" s="48" t="str">
        <f aca="false">参数!$B$3</f>
        <v>7月收入</v>
      </c>
    </row>
    <row r="235" customFormat="false" ht="13.5" hidden="false" customHeight="false" outlineLevel="0" collapsed="false">
      <c r="A235" s="47" t="n">
        <v>11</v>
      </c>
      <c r="B235" s="38" t="n">
        <f aca="false">助手收入!$B12</f>
        <v>2011</v>
      </c>
      <c r="C235" s="48" t="str">
        <f aca="false">助手收入!$C12</f>
        <v>毛尔寨店</v>
      </c>
      <c r="D235" s="48" t="str">
        <f aca="false">科目对照收入!$B15&amp;""</f>
        <v>OMS线上支付</v>
      </c>
      <c r="E235" s="48" t="str">
        <f aca="false">IF(AND(ROUND($G235,2)&lt;0,科目对照收入!$L15&lt;&gt;""),科目对照收入!$L15,科目对照收入!$C15)&amp;""</f>
        <v>应收账款</v>
      </c>
      <c r="F235" s="48" t="str">
        <f aca="false">IF(AND(ROUND($G235,2)&lt;0,科目对照收入!$L15&lt;&gt;""),科目对照收入!$M15,科目对照收入!$D15)&amp;""</f>
        <v>OMS线上</v>
      </c>
      <c r="G235" s="49" t="n">
        <f aca="false">IF(COUNTIFS(输入平台!$A:$A,助手收入!$X12,输入平台!$B:$B,科目对照收入!$B15)&gt;0,ROUND(SUMIFS(输入平台!$C:$C,输入平台!$A:$A,助手收入!$X12,输入平台!$B:$B,科目对照收入!$B15),2),ROUND(海典汇总!$L$13,2))</f>
        <v>0</v>
      </c>
      <c r="H235" s="49" t="str">
        <f aca="false">IF(ROUND($G235,2)&gt;0,ROUND($G235,2),"")</f>
        <v/>
      </c>
      <c r="I235" s="49" t="str">
        <f aca="false">IF(ROUND($G235,2)&lt;0,-ROUND($G235,2),"")</f>
        <v/>
      </c>
      <c r="J235" s="20" t="n">
        <f aca="false">IF(ROUND($G235,2)=0,0,1)</f>
        <v>0</v>
      </c>
      <c r="K235" s="20" t="str">
        <f aca="false">IF($J235=0,"",SUM($J$222:$J235))</f>
        <v/>
      </c>
      <c r="L235" s="20" t="str">
        <f aca="false">IF($K235="","",$A235*100+$K235)</f>
        <v/>
      </c>
      <c r="M235" s="48" t="str">
        <f aca="false">参数!$B$3</f>
        <v>7月收入</v>
      </c>
    </row>
    <row r="236" customFormat="false" ht="13.5" hidden="false" customHeight="false" outlineLevel="0" collapsed="false">
      <c r="A236" s="47" t="n">
        <v>11</v>
      </c>
      <c r="B236" s="38" t="n">
        <f aca="false">助手收入!$B12</f>
        <v>2011</v>
      </c>
      <c r="C236" s="48" t="str">
        <f aca="false">助手收入!$C12</f>
        <v>毛尔寨店</v>
      </c>
      <c r="D236" s="48" t="str">
        <f aca="false">科目对照收入!$B16&amp;""</f>
        <v>平安药卡</v>
      </c>
      <c r="E236" s="48" t="str">
        <f aca="false">IF(AND(ROUND($G236,2)&lt;0,科目对照收入!$L16&lt;&gt;""),科目对照收入!$L16,科目对照收入!$C16)&amp;""</f>
        <v>应收账款</v>
      </c>
      <c r="F236" s="48" t="str">
        <f aca="false">IF(AND(ROUND($G236,2)&lt;0,科目对照收入!$L16&lt;&gt;""),科目对照收入!$M16,科目对照收入!$D16)&amp;""</f>
        <v>平安</v>
      </c>
      <c r="G236" s="49" t="n">
        <f aca="false">IF(COUNTIFS(输入平台!$A:$A,助手收入!$X12,输入平台!$B:$B,科目对照收入!$B16)&gt;0,ROUND(SUMIFS(输入平台!$C:$C,输入平台!$A:$A,助手收入!$X12,输入平台!$B:$B,科目对照收入!$B16),2),ROUND(海典汇总!$AB$13,2))</f>
        <v>0</v>
      </c>
      <c r="H236" s="49" t="str">
        <f aca="false">IF(ROUND($G236,2)&gt;0,ROUND($G236,2),"")</f>
        <v/>
      </c>
      <c r="I236" s="49" t="str">
        <f aca="false">IF(ROUND($G236,2)&lt;0,-ROUND($G236,2),"")</f>
        <v/>
      </c>
      <c r="J236" s="20" t="n">
        <f aca="false">IF(ROUND($G236,2)=0,0,1)</f>
        <v>0</v>
      </c>
      <c r="K236" s="20" t="str">
        <f aca="false">IF($J236=0,"",SUM($J$222:$J236))</f>
        <v/>
      </c>
      <c r="L236" s="20" t="str">
        <f aca="false">IF($K236="","",$A236*100+$K236)</f>
        <v/>
      </c>
      <c r="M236" s="48" t="str">
        <f aca="false">参数!$B$3</f>
        <v>7月收入</v>
      </c>
    </row>
    <row r="237" customFormat="false" ht="13.5" hidden="false" customHeight="false" outlineLevel="0" collapsed="false">
      <c r="A237" s="47" t="n">
        <v>11</v>
      </c>
      <c r="B237" s="38" t="n">
        <f aca="false">助手收入!$B12</f>
        <v>2011</v>
      </c>
      <c r="C237" s="48" t="str">
        <f aca="false">助手收入!$C12</f>
        <v>毛尔寨店</v>
      </c>
      <c r="D237" s="48" t="str">
        <f aca="false">科目对照收入!$B17&amp;""</f>
        <v>储值卡</v>
      </c>
      <c r="E237" s="48" t="str">
        <f aca="false">IF(AND(ROUND($G237,2)&lt;0,科目对照收入!$L17&lt;&gt;""),科目对照收入!$L17,科目对照收入!$C17)&amp;""</f>
        <v>其他应收款</v>
      </c>
      <c r="F237" s="48" t="str">
        <f aca="false">IF(AND(ROUND($G237,2)&lt;0,科目对照收入!$L17&lt;&gt;""),科目对照收入!$M17,科目对照收入!$D17)&amp;""</f>
        <v>储值卡</v>
      </c>
      <c r="G237" s="49" t="n">
        <f aca="false">ROUND(海典汇总!$Q$13,2)</f>
        <v>0</v>
      </c>
      <c r="H237" s="49" t="str">
        <f aca="false">IF(ROUND($G237,2)&gt;0,ROUND($G237,2),"")</f>
        <v/>
      </c>
      <c r="I237" s="49" t="str">
        <f aca="false">IF(ROUND($G237,2)&lt;0,-ROUND($G237,2),"")</f>
        <v/>
      </c>
      <c r="J237" s="20" t="n">
        <f aca="false">IF(ROUND($G237,2)=0,0,1)</f>
        <v>0</v>
      </c>
      <c r="K237" s="20" t="str">
        <f aca="false">IF($J237=0,"",SUM($J$222:$J237))</f>
        <v/>
      </c>
      <c r="L237" s="20" t="str">
        <f aca="false">IF($K237="","",$A237*100+$K237)</f>
        <v/>
      </c>
      <c r="M237" s="48" t="str">
        <f aca="false">参数!$B$3</f>
        <v>7月收入</v>
      </c>
    </row>
    <row r="238" customFormat="false" ht="13.5" hidden="false" customHeight="false" outlineLevel="0" collapsed="false">
      <c r="A238" s="47" t="n">
        <v>11</v>
      </c>
      <c r="B238" s="38" t="n">
        <f aca="false">助手收入!$B12</f>
        <v>2011</v>
      </c>
      <c r="C238" s="48" t="str">
        <f aca="false">助手收入!$C12</f>
        <v>毛尔寨店</v>
      </c>
      <c r="D238" s="48" t="str">
        <f aca="false">科目对照收入!$B18&amp;""</f>
        <v>会员零钱包</v>
      </c>
      <c r="E238" s="48" t="str">
        <f aca="false">IF(AND(ROUND($G238,2)&lt;0,科目对照收入!$L18&lt;&gt;""),科目对照收入!$L18,科目对照收入!$C18)&amp;""</f>
        <v>其他应收款</v>
      </c>
      <c r="F238" s="48" t="str">
        <f aca="false">IF(AND(ROUND($G238,2)&lt;0,科目对照收入!$L18&lt;&gt;""),科目对照收入!$M18,科目对照收入!$D18)&amp;""</f>
        <v>会员零钱包</v>
      </c>
      <c r="G238" s="49" t="n">
        <f aca="false">ROUND(海典汇总!$P$13,2)</f>
        <v>2.63</v>
      </c>
      <c r="H238" s="49" t="n">
        <f aca="false">IF(ROUND($G238,2)&gt;0,ROUND($G238,2),"")</f>
        <v>2.63</v>
      </c>
      <c r="I238" s="49" t="str">
        <f aca="false">IF(ROUND($G238,2)&lt;0,-ROUND($G238,2),"")</f>
        <v/>
      </c>
      <c r="J238" s="20" t="n">
        <f aca="false">IF(ROUND($G238,2)=0,0,1)</f>
        <v>1</v>
      </c>
      <c r="K238" s="20" t="n">
        <f aca="false">IF($J238=0,"",SUM($J$222:$J238))</f>
        <v>4</v>
      </c>
      <c r="L238" s="20" t="n">
        <f aca="false">IF($K238="","",$A238*100+$K238)</f>
        <v>1104</v>
      </c>
      <c r="M238" s="48" t="str">
        <f aca="false">参数!$B$3</f>
        <v>7月收入</v>
      </c>
    </row>
    <row r="239" customFormat="false" ht="13.5" hidden="false" customHeight="false" outlineLevel="0" collapsed="false">
      <c r="A239" s="47" t="n">
        <v>11</v>
      </c>
      <c r="B239" s="38" t="n">
        <f aca="false">助手收入!$B12</f>
        <v>2011</v>
      </c>
      <c r="C239" s="48" t="str">
        <f aca="false">助手收入!$C12</f>
        <v>毛尔寨店</v>
      </c>
      <c r="D239" s="48" t="str">
        <f aca="false">科目对照收入!$B19&amp;""</f>
        <v>促销费</v>
      </c>
      <c r="E239" s="48" t="str">
        <f aca="false">IF(AND(ROUND($G239,2)&lt;0,科目对照收入!$L19&lt;&gt;""),科目对照收入!$L19,科目对照收入!$C19)&amp;""</f>
        <v>销售费用</v>
      </c>
      <c r="F239" s="48" t="str">
        <f aca="false">IF(AND(ROUND($G239,2)&lt;0,科目对照收入!$L19&lt;&gt;""),科目对照收入!$M19,科目对照收入!$D19)&amp;""</f>
        <v>促销费</v>
      </c>
      <c r="G239" s="49" t="n">
        <f aca="false">ROUND(海典汇总!$U$13+海典汇总!$T$13+海典汇总!$S$13,2)</f>
        <v>1335.64</v>
      </c>
      <c r="H239" s="49" t="n">
        <f aca="false">IF(ROUND($G239,2)&gt;0,ROUND($G239,2),"")</f>
        <v>1335.64</v>
      </c>
      <c r="I239" s="49" t="str">
        <f aca="false">IF(ROUND($G239,2)&lt;0,-ROUND($G239,2),"")</f>
        <v/>
      </c>
      <c r="J239" s="20" t="n">
        <f aca="false">IF(ROUND($G239,2)=0,0,1)</f>
        <v>1</v>
      </c>
      <c r="K239" s="20" t="n">
        <f aca="false">IF($J239=0,"",SUM($J$222:$J239))</f>
        <v>5</v>
      </c>
      <c r="L239" s="20" t="n">
        <f aca="false">IF($K239="","",$A239*100+$K239)</f>
        <v>1105</v>
      </c>
      <c r="M239" s="48" t="str">
        <f aca="false">参数!$B$3</f>
        <v>7月收入</v>
      </c>
    </row>
    <row r="240" customFormat="false" ht="13.5" hidden="false" customHeight="false" outlineLevel="0" collapsed="false">
      <c r="A240" s="47" t="n">
        <v>11</v>
      </c>
      <c r="B240" s="38" t="n">
        <f aca="false">助手收入!$B12</f>
        <v>2011</v>
      </c>
      <c r="C240" s="48" t="str">
        <f aca="false">助手收入!$C12</f>
        <v>毛尔寨店</v>
      </c>
      <c r="D240" s="48" t="str">
        <f aca="false">科目对照收入!$B20&amp;""</f>
        <v>积分</v>
      </c>
      <c r="E240" s="48" t="str">
        <f aca="false">IF(AND(ROUND($G240,2)&lt;0,科目对照收入!$L20&lt;&gt;""),科目对照收入!$L20,科目对照收入!$C20)&amp;""</f>
        <v>销售费用</v>
      </c>
      <c r="F240" s="48" t="str">
        <f aca="false">IF(AND(ROUND($G240,2)&lt;0,科目对照收入!$L20&lt;&gt;""),科目对照收入!$M20,科目对照收入!$D20)&amp;""</f>
        <v>积分</v>
      </c>
      <c r="G240" s="49" t="n">
        <f aca="false">ROUND(海典汇总!$R$13,2)</f>
        <v>0</v>
      </c>
      <c r="H240" s="49" t="str">
        <f aca="false">IF(ROUND($G240,2)&gt;0,ROUND($G240,2),"")</f>
        <v/>
      </c>
      <c r="I240" s="49" t="str">
        <f aca="false">IF(ROUND($G240,2)&lt;0,-ROUND($G240,2),"")</f>
        <v/>
      </c>
      <c r="J240" s="20" t="n">
        <f aca="false">IF(ROUND($G240,2)=0,0,1)</f>
        <v>0</v>
      </c>
      <c r="K240" s="20" t="str">
        <f aca="false">IF($J240=0,"",SUM($J$222:$J240))</f>
        <v/>
      </c>
      <c r="L240" s="20" t="str">
        <f aca="false">IF($K240="","",$A240*100+$K240)</f>
        <v/>
      </c>
      <c r="M240" s="48" t="str">
        <f aca="false">参数!$B$3</f>
        <v>7月收入</v>
      </c>
    </row>
    <row r="241" customFormat="false" ht="13.5" hidden="false" customHeight="false" outlineLevel="0" collapsed="false">
      <c r="A241" s="47" t="n">
        <v>11</v>
      </c>
      <c r="B241" s="38" t="n">
        <f aca="false">助手收入!$B12</f>
        <v>2011</v>
      </c>
      <c r="C241" s="48" t="str">
        <f aca="false">助手收入!$C12</f>
        <v>毛尔寨店</v>
      </c>
      <c r="D241" s="48" t="str">
        <f aca="false">科目对照收入!$B21&amp;""</f>
        <v>手续费</v>
      </c>
      <c r="E241" s="48" t="str">
        <f aca="false">IF(AND(ROUND($G241,2)&lt;0,科目对照收入!$L21&lt;&gt;""),科目对照收入!$L21,科目对照收入!$C21)&amp;""</f>
        <v>财务费用</v>
      </c>
      <c r="F241" s="48" t="str">
        <f aca="false">IF(AND(ROUND($G241,2)&lt;0,科目对照收入!$L21&lt;&gt;""),科目对照收入!$M21,科目对照收入!$D21)&amp;""</f>
        <v>手续费</v>
      </c>
      <c r="G241" s="49" t="n">
        <f aca="false">ROUND(SUMIFS(输入聚合!$D:$D,输入聚合!$A:$A,助手收入!$X12),2)</f>
        <v>38.32</v>
      </c>
      <c r="H241" s="49" t="n">
        <f aca="false">IF(ROUND($G241,2)&gt;0,ROUND($G241,2),"")</f>
        <v>38.32</v>
      </c>
      <c r="I241" s="49" t="str">
        <f aca="false">IF(ROUND($G241,2)&lt;0,-ROUND($G241,2),"")</f>
        <v/>
      </c>
      <c r="J241" s="20" t="n">
        <f aca="false">IF(ROUND($G241,2)=0,0,1)</f>
        <v>1</v>
      </c>
      <c r="K241" s="20" t="n">
        <f aca="false">IF($J241=0,"",SUM($J$222:$J241))</f>
        <v>6</v>
      </c>
      <c r="L241" s="20" t="n">
        <f aca="false">IF($K241="","",$A241*100+$K241)</f>
        <v>1106</v>
      </c>
      <c r="M241" s="48" t="str">
        <f aca="false">参数!$B$3</f>
        <v>7月收入</v>
      </c>
    </row>
    <row r="242" customFormat="false" ht="13.5" hidden="false" customHeight="false" outlineLevel="0" collapsed="false">
      <c r="A242" s="47" t="n">
        <v>11</v>
      </c>
      <c r="B242" s="38" t="n">
        <f aca="false">助手收入!$B12</f>
        <v>2011</v>
      </c>
      <c r="C242" s="48" t="str">
        <f aca="false">助手收入!$C12</f>
        <v>毛尔寨店</v>
      </c>
      <c r="D242" s="48" t="str">
        <f aca="false">科目对照收入!$B22&amp;""</f>
        <v>主营业务收入</v>
      </c>
      <c r="E242" s="48" t="str">
        <f aca="false">IF(AND(ROUND($G242,2)&lt;0,科目对照收入!$L22&lt;&gt;""),科目对照收入!$L22,科目对照收入!$C22)&amp;""</f>
        <v>主营业务收入</v>
      </c>
      <c r="F242" s="48" t="str">
        <f aca="false">IF(AND(ROUND($G242,2)&lt;0,科目对照收入!$L22&lt;&gt;""),科目对照收入!$M22,科目对照收入!$D22)&amp;""</f>
        <v/>
      </c>
      <c r="G242" s="49" t="n">
        <f aca="false">-ROUND(助手收入!$G12,2)</f>
        <v>-42823.36</v>
      </c>
      <c r="H242" s="49" t="str">
        <f aca="false">IF(ROUND($G242,2)&gt;0,ROUND($G242,2),"")</f>
        <v/>
      </c>
      <c r="I242" s="49" t="n">
        <f aca="false">IF(ROUND($G242,2)&lt;0,-ROUND($G242,2),"")</f>
        <v>42823.36</v>
      </c>
      <c r="J242" s="20" t="n">
        <f aca="false">IF(ROUND($G242,2)=0,0,1)</f>
        <v>1</v>
      </c>
      <c r="K242" s="20" t="n">
        <f aca="false">IF($J242=0,"",SUM($J$222:$J242))</f>
        <v>7</v>
      </c>
      <c r="L242" s="20" t="n">
        <f aca="false">IF($K242="","",$A242*100+$K242)</f>
        <v>1107</v>
      </c>
      <c r="M242" s="48" t="str">
        <f aca="false">参数!$B$3</f>
        <v>7月收入</v>
      </c>
    </row>
    <row r="243" customFormat="false" ht="13.5" hidden="false" customHeight="false" outlineLevel="0" collapsed="false">
      <c r="A243" s="47" t="n">
        <v>11</v>
      </c>
      <c r="B243" s="38" t="n">
        <f aca="false">助手收入!$B12</f>
        <v>2011</v>
      </c>
      <c r="C243" s="48" t="str">
        <f aca="false">助手收入!$C12</f>
        <v>毛尔寨店</v>
      </c>
      <c r="D243" s="48" t="str">
        <f aca="false">科目对照收入!$B23&amp;""</f>
        <v>营业外收入</v>
      </c>
      <c r="E243" s="48" t="str">
        <f aca="false">IF(AND(ROUND($G243,2)&lt;0,科目对照收入!$L23&lt;&gt;""),科目对照收入!$L23,科目对照收入!$C23)&amp;""</f>
        <v>营业外收入</v>
      </c>
      <c r="F243" s="48" t="str">
        <f aca="false">IF(AND(ROUND($G243,2)&lt;0,科目对照收入!$L23&lt;&gt;""),科目对照收入!$M23,科目对照收入!$D23)&amp;""</f>
        <v/>
      </c>
      <c r="G243" s="49" t="n">
        <f aca="false">-ROUND(助手收入!$J12,2)</f>
        <v>-0</v>
      </c>
      <c r="H243" s="49" t="str">
        <f aca="false">IF(ROUND($G243,2)&gt;0,ROUND($G243,2),"")</f>
        <v/>
      </c>
      <c r="I243" s="49" t="str">
        <f aca="false">IF(ROUND($G243,2)&lt;0,-ROUND($G243,2),"")</f>
        <v/>
      </c>
      <c r="J243" s="20" t="n">
        <f aca="false">IF(ROUND($G243,2)=0,0,1)</f>
        <v>0</v>
      </c>
      <c r="K243" s="20" t="str">
        <f aca="false">IF($J243=0,"",SUM($J$222:$J243))</f>
        <v/>
      </c>
      <c r="L243" s="20" t="str">
        <f aca="false">IF($K243="","",$A243*100+$K243)</f>
        <v/>
      </c>
      <c r="M243" s="48" t="str">
        <f aca="false">参数!$B$3</f>
        <v>7月收入</v>
      </c>
    </row>
    <row r="244" customFormat="false" ht="13.5" hidden="false" customHeight="false" outlineLevel="0" collapsed="false">
      <c r="A244" s="47" t="n">
        <v>12</v>
      </c>
      <c r="B244" s="38" t="n">
        <f aca="false">助手收入!$B13</f>
        <v>2012</v>
      </c>
      <c r="C244" s="48" t="str">
        <f aca="false">助手收入!$C13</f>
        <v>泽畔店</v>
      </c>
      <c r="D244" s="48" t="str">
        <f aca="false">科目对照收入!$B2&amp;""</f>
        <v>库存现金</v>
      </c>
      <c r="E244" s="48" t="str">
        <f aca="false">IF(AND(ROUND($G244,2)&lt;0,科目对照收入!$L2&lt;&gt;""),科目对照收入!$L2,科目对照收入!$C2)&amp;""</f>
        <v>库存现金</v>
      </c>
      <c r="F244" s="48" t="str">
        <f aca="false">IF(AND(ROUND($G244,2)&lt;0,科目对照收入!$L2&lt;&gt;""),科目对照收入!$M2,科目对照收入!$D2)&amp;""</f>
        <v/>
      </c>
      <c r="G244" s="49" t="n">
        <f aca="false">助手收入!$I13</f>
        <v>25706.98</v>
      </c>
      <c r="H244" s="49" t="n">
        <f aca="false">IF(ROUND($G244,2)&gt;0,ROUND($G244,2),"")</f>
        <v>25706.98</v>
      </c>
      <c r="I244" s="49" t="str">
        <f aca="false">IF(ROUND($G244,2)&lt;0,-ROUND($G244,2),"")</f>
        <v/>
      </c>
      <c r="J244" s="20" t="n">
        <f aca="false">IF(ROUND($G244,2)=0,0,1)</f>
        <v>1</v>
      </c>
      <c r="K244" s="20" t="n">
        <f aca="false">IF($J244=0,"",SUM($J$244:$J244))</f>
        <v>1</v>
      </c>
      <c r="L244" s="20" t="n">
        <f aca="false">IF($K244="","",$A244*100+$K244)</f>
        <v>1201</v>
      </c>
      <c r="M244" s="48" t="str">
        <f aca="false">参数!$B$3</f>
        <v>7月收入</v>
      </c>
    </row>
    <row r="245" customFormat="false" ht="13.5" hidden="false" customHeight="false" outlineLevel="0" collapsed="false">
      <c r="A245" s="47" t="n">
        <v>12</v>
      </c>
      <c r="B245" s="38" t="n">
        <f aca="false">助手收入!$B13</f>
        <v>2012</v>
      </c>
      <c r="C245" s="48" t="str">
        <f aca="false">助手收入!$C13</f>
        <v>泽畔店</v>
      </c>
      <c r="D245" s="48" t="str">
        <f aca="false">科目对照收入!$B3&amp;""</f>
        <v>聚合支付</v>
      </c>
      <c r="E245" s="48" t="str">
        <f aca="false">IF(AND(ROUND($G245,2)&lt;0,科目对照收入!$L3&lt;&gt;""),科目对照收入!$L3,科目对照收入!$C3)&amp;""</f>
        <v>应收账款</v>
      </c>
      <c r="F245" s="48" t="str">
        <f aca="false">IF(AND(ROUND($G245,2)&lt;0,科目对照收入!$L3&lt;&gt;""),科目对照收入!$M3,科目对照收入!$D3)&amp;""</f>
        <v>聚合支付</v>
      </c>
      <c r="G245" s="49" t="n">
        <f aca="false">ROUND(SUMIFS(输入聚合!$C:$C,输入聚合!$A:$A,助手收入!$X13)-SUMIFS(输入聚合!$D:$D,输入聚合!$A:$A,助手收入!$X13),2)</f>
        <v>20288.9</v>
      </c>
      <c r="H245" s="49" t="n">
        <f aca="false">IF(ROUND($G245,2)&gt;0,ROUND($G245,2),"")</f>
        <v>20288.9</v>
      </c>
      <c r="I245" s="49" t="str">
        <f aca="false">IF(ROUND($G245,2)&lt;0,-ROUND($G245,2),"")</f>
        <v/>
      </c>
      <c r="J245" s="20" t="n">
        <f aca="false">IF(ROUND($G245,2)=0,0,1)</f>
        <v>1</v>
      </c>
      <c r="K245" s="20" t="n">
        <f aca="false">IF($J245=0,"",SUM($J$244:$J245))</f>
        <v>2</v>
      </c>
      <c r="L245" s="20" t="n">
        <f aca="false">IF($K245="","",$A245*100+$K245)</f>
        <v>1202</v>
      </c>
      <c r="M245" s="48" t="str">
        <f aca="false">参数!$B$3</f>
        <v>7月收入</v>
      </c>
    </row>
    <row r="246" customFormat="false" ht="13.5" hidden="false" customHeight="false" outlineLevel="0" collapsed="false">
      <c r="A246" s="47" t="n">
        <v>12</v>
      </c>
      <c r="B246" s="38" t="n">
        <f aca="false">助手收入!$B13</f>
        <v>2012</v>
      </c>
      <c r="C246" s="48" t="str">
        <f aca="false">助手收入!$C13</f>
        <v>泽畔店</v>
      </c>
      <c r="D246" s="48" t="str">
        <f aca="false">科目对照收入!$B4&amp;""</f>
        <v>医保</v>
      </c>
      <c r="E246" s="48" t="str">
        <f aca="false">IF(AND(ROUND($G246,2)&lt;0,科目对照收入!$L4&lt;&gt;""),科目对照收入!$L4,科目对照收入!$C4)&amp;""</f>
        <v>应收账款</v>
      </c>
      <c r="F246" s="48" t="str">
        <f aca="false">IF(AND(ROUND($G246,2)&lt;0,科目对照收入!$L4&lt;&gt;""),科目对照收入!$M4,科目对照收入!$D4)&amp;""</f>
        <v>医保</v>
      </c>
      <c r="G246" s="49" t="n">
        <f aca="false">IF(COUNTIFS(输入平台!$A:$A,助手收入!$X13,输入平台!$B:$B,科目对照收入!$B4)&gt;0,ROUND(SUMIFS(输入平台!$C:$C,输入平台!$A:$A,助手收入!$X13,输入平台!$B:$B,科目对照收入!$B4),2),ROUND(海典汇总!$F$14+海典汇总!$G$14,2))</f>
        <v>3187.38</v>
      </c>
      <c r="H246" s="49" t="n">
        <f aca="false">IF(ROUND($G246,2)&gt;0,ROUND($G246,2),"")</f>
        <v>3187.38</v>
      </c>
      <c r="I246" s="49" t="str">
        <f aca="false">IF(ROUND($G246,2)&lt;0,-ROUND($G246,2),"")</f>
        <v/>
      </c>
      <c r="J246" s="20" t="n">
        <f aca="false">IF(ROUND($G246,2)=0,0,1)</f>
        <v>1</v>
      </c>
      <c r="K246" s="20" t="n">
        <f aca="false">IF($J246=0,"",SUM($J$244:$J246))</f>
        <v>3</v>
      </c>
      <c r="L246" s="20" t="n">
        <f aca="false">IF($K246="","",$A246*100+$K246)</f>
        <v>1203</v>
      </c>
      <c r="M246" s="48" t="str">
        <f aca="false">参数!$B$3</f>
        <v>7月收入</v>
      </c>
    </row>
    <row r="247" customFormat="false" ht="13.5" hidden="false" customHeight="false" outlineLevel="0" collapsed="false">
      <c r="A247" s="47" t="n">
        <v>12</v>
      </c>
      <c r="B247" s="38" t="n">
        <f aca="false">助手收入!$B13</f>
        <v>2012</v>
      </c>
      <c r="C247" s="48" t="str">
        <f aca="false">助手收入!$C13</f>
        <v>泽畔店</v>
      </c>
      <c r="D247" s="48" t="str">
        <f aca="false">科目对照收入!$B5&amp;""</f>
        <v>健e卡</v>
      </c>
      <c r="E247" s="48" t="str">
        <f aca="false">IF(AND(ROUND($G247,2)&lt;0,科目对照收入!$L5&lt;&gt;""),科目对照收入!$L5,科目对照收入!$C5)&amp;""</f>
        <v>应收账款</v>
      </c>
      <c r="F247" s="48" t="str">
        <f aca="false">IF(AND(ROUND($G247,2)&lt;0,科目对照收入!$L5&lt;&gt;""),科目对照收入!$M5,科目对照收入!$D5)&amp;""</f>
        <v>健e卡</v>
      </c>
      <c r="G247" s="49" t="n">
        <f aca="false">IF(COUNTIFS(输入平台!$A:$A,助手收入!$X13,输入平台!$B:$B,科目对照收入!$B5)&gt;0,ROUND(SUMIFS(输入平台!$C:$C,输入平台!$A:$A,助手收入!$X13,输入平台!$B:$B,科目对照收入!$B5),2),ROUND(海典汇总!$H$14,2))</f>
        <v>0</v>
      </c>
      <c r="H247" s="49" t="str">
        <f aca="false">IF(ROUND($G247,2)&gt;0,ROUND($G247,2),"")</f>
        <v/>
      </c>
      <c r="I247" s="49" t="str">
        <f aca="false">IF(ROUND($G247,2)&lt;0,-ROUND($G247,2),"")</f>
        <v/>
      </c>
      <c r="J247" s="20" t="n">
        <f aca="false">IF(ROUND($G247,2)=0,0,1)</f>
        <v>0</v>
      </c>
      <c r="K247" s="20" t="str">
        <f aca="false">IF($J247=0,"",SUM($J$244:$J247))</f>
        <v/>
      </c>
      <c r="L247" s="20" t="str">
        <f aca="false">IF($K247="","",$A247*100+$K247)</f>
        <v/>
      </c>
      <c r="M247" s="48" t="str">
        <f aca="false">参数!$B$3</f>
        <v>7月收入</v>
      </c>
    </row>
    <row r="248" customFormat="false" ht="13.5" hidden="false" customHeight="false" outlineLevel="0" collapsed="false">
      <c r="A248" s="47" t="n">
        <v>12</v>
      </c>
      <c r="B248" s="38" t="n">
        <f aca="false">助手收入!$B13</f>
        <v>2012</v>
      </c>
      <c r="C248" s="48" t="str">
        <f aca="false">助手收入!$C13</f>
        <v>泽畔店</v>
      </c>
      <c r="D248" s="48" t="str">
        <f aca="false">科目对照收入!$B6&amp;""</f>
        <v>医卡通</v>
      </c>
      <c r="E248" s="48" t="str">
        <f aca="false">IF(AND(ROUND($G248,2)&lt;0,科目对照收入!$L6&lt;&gt;""),科目对照收入!$L6,科目对照收入!$C6)&amp;""</f>
        <v>应收账款</v>
      </c>
      <c r="F248" s="48" t="str">
        <f aca="false">IF(AND(ROUND($G248,2)&lt;0,科目对照收入!$L6&lt;&gt;""),科目对照收入!$M6,科目对照收入!$D6)&amp;""</f>
        <v>医卡通</v>
      </c>
      <c r="G248" s="49" t="n">
        <f aca="false">IF(COUNTIFS(输入平台!$A:$A,助手收入!$X13,输入平台!$B:$B,科目对照收入!$B6)&gt;0,ROUND(SUMIFS(输入平台!$C:$C,输入平台!$A:$A,助手收入!$X13,输入平台!$B:$B,科目对照收入!$B6),2),ROUND(海典汇总!$I$14,2))</f>
        <v>0</v>
      </c>
      <c r="H248" s="49" t="str">
        <f aca="false">IF(ROUND($G248,2)&gt;0,ROUND($G248,2),"")</f>
        <v/>
      </c>
      <c r="I248" s="49" t="str">
        <f aca="false">IF(ROUND($G248,2)&lt;0,-ROUND($G248,2),"")</f>
        <v/>
      </c>
      <c r="J248" s="20" t="n">
        <f aca="false">IF(ROUND($G248,2)=0,0,1)</f>
        <v>0</v>
      </c>
      <c r="K248" s="20" t="str">
        <f aca="false">IF($J248=0,"",SUM($J$244:$J248))</f>
        <v/>
      </c>
      <c r="L248" s="20" t="str">
        <f aca="false">IF($K248="","",$A248*100+$K248)</f>
        <v/>
      </c>
      <c r="M248" s="48" t="str">
        <f aca="false">参数!$B$3</f>
        <v>7月收入</v>
      </c>
    </row>
    <row r="249" customFormat="false" ht="13.5" hidden="false" customHeight="false" outlineLevel="0" collapsed="false">
      <c r="A249" s="47" t="n">
        <v>12</v>
      </c>
      <c r="B249" s="38" t="n">
        <f aca="false">助手收入!$B13</f>
        <v>2012</v>
      </c>
      <c r="C249" s="48" t="str">
        <f aca="false">助手收入!$C13</f>
        <v>泽畔店</v>
      </c>
      <c r="D249" s="48" t="str">
        <f aca="false">科目对照收入!$B7&amp;""</f>
        <v>企健网</v>
      </c>
      <c r="E249" s="48" t="str">
        <f aca="false">IF(AND(ROUND($G249,2)&lt;0,科目对照收入!$L7&lt;&gt;""),科目对照收入!$L7,科目对照收入!$C7)&amp;""</f>
        <v>应收账款</v>
      </c>
      <c r="F249" s="48" t="str">
        <f aca="false">IF(AND(ROUND($G249,2)&lt;0,科目对照收入!$L7&lt;&gt;""),科目对照收入!$M7,科目对照收入!$D7)&amp;""</f>
        <v>企健网</v>
      </c>
      <c r="G249" s="49" t="n">
        <f aca="false">IF(COUNTIFS(输入平台!$A:$A,助手收入!$X13,输入平台!$B:$B,科目对照收入!$B7)&gt;0,ROUND(SUMIFS(输入平台!$C:$C,输入平台!$A:$A,助手收入!$X13,输入平台!$B:$B,科目对照收入!$B7),2),ROUND(海典汇总!$J$14,2))</f>
        <v>0</v>
      </c>
      <c r="H249" s="49" t="str">
        <f aca="false">IF(ROUND($G249,2)&gt;0,ROUND($G249,2),"")</f>
        <v/>
      </c>
      <c r="I249" s="49" t="str">
        <f aca="false">IF(ROUND($G249,2)&lt;0,-ROUND($G249,2),"")</f>
        <v/>
      </c>
      <c r="J249" s="20" t="n">
        <f aca="false">IF(ROUND($G249,2)=0,0,1)</f>
        <v>0</v>
      </c>
      <c r="K249" s="20" t="str">
        <f aca="false">IF($J249=0,"",SUM($J$244:$J249))</f>
        <v/>
      </c>
      <c r="L249" s="20" t="str">
        <f aca="false">IF($K249="","",$A249*100+$K249)</f>
        <v/>
      </c>
      <c r="M249" s="48" t="str">
        <f aca="false">参数!$B$3</f>
        <v>7月收入</v>
      </c>
    </row>
    <row r="250" customFormat="false" ht="13.5" hidden="false" customHeight="false" outlineLevel="0" collapsed="false">
      <c r="A250" s="47" t="n">
        <v>12</v>
      </c>
      <c r="B250" s="38" t="n">
        <f aca="false">助手收入!$B13</f>
        <v>2012</v>
      </c>
      <c r="C250" s="48" t="str">
        <f aca="false">助手收入!$C13</f>
        <v>泽畔店</v>
      </c>
      <c r="D250" s="48" t="str">
        <f aca="false">科目对照收入!$B8&amp;""</f>
        <v>亲情卡</v>
      </c>
      <c r="E250" s="48" t="str">
        <f aca="false">IF(AND(ROUND($G250,2)&lt;0,科目对照收入!$L8&lt;&gt;""),科目对照收入!$L8,科目对照收入!$C8)&amp;""</f>
        <v>应收账款</v>
      </c>
      <c r="F250" s="48" t="str">
        <f aca="false">IF(AND(ROUND($G250,2)&lt;0,科目对照收入!$L8&lt;&gt;""),科目对照收入!$M8,科目对照收入!$D8)&amp;""</f>
        <v>亲情卡</v>
      </c>
      <c r="G250" s="49" t="n">
        <f aca="false">IF(COUNTIFS(输入平台!$A:$A,助手收入!$X13,输入平台!$B:$B,科目对照收入!$B8)&gt;0,ROUND(SUMIFS(输入平台!$C:$C,输入平台!$A:$A,助手收入!$X13,输入平台!$B:$B,科目对照收入!$B8),2),ROUND(海典汇总!$Z$14,2))</f>
        <v>0</v>
      </c>
      <c r="H250" s="49" t="str">
        <f aca="false">IF(ROUND($G250,2)&gt;0,ROUND($G250,2),"")</f>
        <v/>
      </c>
      <c r="I250" s="49" t="str">
        <f aca="false">IF(ROUND($G250,2)&lt;0,-ROUND($G250,2),"")</f>
        <v/>
      </c>
      <c r="J250" s="20" t="n">
        <f aca="false">IF(ROUND($G250,2)=0,0,1)</f>
        <v>0</v>
      </c>
      <c r="K250" s="20" t="str">
        <f aca="false">IF($J250=0,"",SUM($J$244:$J250))</f>
        <v/>
      </c>
      <c r="L250" s="20" t="str">
        <f aca="false">IF($K250="","",$A250*100+$K250)</f>
        <v/>
      </c>
      <c r="M250" s="48" t="str">
        <f aca="false">参数!$B$3</f>
        <v>7月收入</v>
      </c>
    </row>
    <row r="251" customFormat="false" ht="13.5" hidden="false" customHeight="false" outlineLevel="0" collapsed="false">
      <c r="A251" s="47" t="n">
        <v>12</v>
      </c>
      <c r="B251" s="38" t="n">
        <f aca="false">助手收入!$B13</f>
        <v>2012</v>
      </c>
      <c r="C251" s="48" t="str">
        <f aca="false">助手收入!$C13</f>
        <v>泽畔店</v>
      </c>
      <c r="D251" s="48" t="str">
        <f aca="false">科目对照收入!$B9&amp;""</f>
        <v>24小时</v>
      </c>
      <c r="E251" s="48" t="str">
        <f aca="false">IF(AND(ROUND($G251,2)&lt;0,科目对照收入!$L9&lt;&gt;""),科目对照收入!$L9,科目对照收入!$C9)&amp;""</f>
        <v>应收账款</v>
      </c>
      <c r="F251" s="48" t="str">
        <f aca="false">IF(AND(ROUND($G251,2)&lt;0,科目对照收入!$L9&lt;&gt;""),科目对照收入!$M9,科目对照收入!$D9)&amp;""</f>
        <v>24小时</v>
      </c>
      <c r="G251" s="49" t="n">
        <f aca="false">IF(COUNTIFS(输入平台!$A:$A,助手收入!$X13,输入平台!$B:$B,科目对照收入!$B9)&gt;0,ROUND(SUMIFS(输入平台!$C:$C,输入平台!$A:$A,助手收入!$X13,输入平台!$B:$B,科目对照收入!$B9),2),ROUND(海典汇总!$K$14,2))</f>
        <v>0</v>
      </c>
      <c r="H251" s="49" t="str">
        <f aca="false">IF(ROUND($G251,2)&gt;0,ROUND($G251,2),"")</f>
        <v/>
      </c>
      <c r="I251" s="49" t="str">
        <f aca="false">IF(ROUND($G251,2)&lt;0,-ROUND($G251,2),"")</f>
        <v/>
      </c>
      <c r="J251" s="20" t="n">
        <f aca="false">IF(ROUND($G251,2)=0,0,1)</f>
        <v>0</v>
      </c>
      <c r="K251" s="20" t="str">
        <f aca="false">IF($J251=0,"",SUM($J$244:$J251))</f>
        <v/>
      </c>
      <c r="L251" s="20" t="str">
        <f aca="false">IF($K251="","",$A251*100+$K251)</f>
        <v/>
      </c>
      <c r="M251" s="48" t="str">
        <f aca="false">参数!$B$3</f>
        <v>7月收入</v>
      </c>
    </row>
    <row r="252" customFormat="false" ht="13.5" hidden="false" customHeight="false" outlineLevel="0" collapsed="false">
      <c r="A252" s="47" t="n">
        <v>12</v>
      </c>
      <c r="B252" s="38" t="n">
        <f aca="false">助手收入!$B13</f>
        <v>2012</v>
      </c>
      <c r="C252" s="48" t="str">
        <f aca="false">助手收入!$C13</f>
        <v>泽畔店</v>
      </c>
      <c r="D252" s="48" t="str">
        <f aca="false">科目对照收入!$B10&amp;""</f>
        <v>美团</v>
      </c>
      <c r="E252" s="48" t="str">
        <f aca="false">IF(AND(ROUND($G252,2)&lt;0,科目对照收入!$L10&lt;&gt;""),科目对照收入!$L10,科目对照收入!$C10)&amp;""</f>
        <v>应收账款</v>
      </c>
      <c r="F252" s="48" t="str">
        <f aca="false">IF(AND(ROUND($G252,2)&lt;0,科目对照收入!$L10&lt;&gt;""),科目对照收入!$M10,科目对照收入!$D10)&amp;""</f>
        <v>美团</v>
      </c>
      <c r="G252" s="49" t="n">
        <f aca="false">IF(COUNTIFS(输入平台!$A:$A,助手收入!$X13,输入平台!$B:$B,科目对照收入!$B10)&gt;0,ROUND(SUMIFS(输入平台!$C:$C,输入平台!$A:$A,助手收入!$X13,输入平台!$B:$B,科目对照收入!$B10),2),ROUND(海典汇总!$M$14,2))</f>
        <v>0</v>
      </c>
      <c r="H252" s="49" t="str">
        <f aca="false">IF(ROUND($G252,2)&gt;0,ROUND($G252,2),"")</f>
        <v/>
      </c>
      <c r="I252" s="49" t="str">
        <f aca="false">IF(ROUND($G252,2)&lt;0,-ROUND($G252,2),"")</f>
        <v/>
      </c>
      <c r="J252" s="20" t="n">
        <f aca="false">IF(ROUND($G252,2)=0,0,1)</f>
        <v>0</v>
      </c>
      <c r="K252" s="20" t="str">
        <f aca="false">IF($J252=0,"",SUM($J$244:$J252))</f>
        <v/>
      </c>
      <c r="L252" s="20" t="str">
        <f aca="false">IF($K252="","",$A252*100+$K252)</f>
        <v/>
      </c>
      <c r="M252" s="48" t="str">
        <f aca="false">参数!$B$3</f>
        <v>7月收入</v>
      </c>
    </row>
    <row r="253" customFormat="false" ht="13.5" hidden="false" customHeight="false" outlineLevel="0" collapsed="false">
      <c r="A253" s="47" t="n">
        <v>12</v>
      </c>
      <c r="B253" s="38" t="n">
        <f aca="false">助手收入!$B13</f>
        <v>2012</v>
      </c>
      <c r="C253" s="48" t="str">
        <f aca="false">助手收入!$C13</f>
        <v>泽畔店</v>
      </c>
      <c r="D253" s="48" t="str">
        <f aca="false">科目对照收入!$B11&amp;""</f>
        <v>饿了么</v>
      </c>
      <c r="E253" s="48" t="str">
        <f aca="false">IF(AND(ROUND($G253,2)&lt;0,科目对照收入!$L11&lt;&gt;""),科目对照收入!$L11,科目对照收入!$C11)&amp;""</f>
        <v>应收账款</v>
      </c>
      <c r="F253" s="48" t="str">
        <f aca="false">IF(AND(ROUND($G253,2)&lt;0,科目对照收入!$L11&lt;&gt;""),科目对照收入!$M11,科目对照收入!$D11)&amp;""</f>
        <v>饿了么</v>
      </c>
      <c r="G253" s="49" t="n">
        <f aca="false">IF(COUNTIFS(输入平台!$A:$A,助手收入!$X13,输入平台!$B:$B,科目对照收入!$B11)&gt;0,ROUND(SUMIFS(输入平台!$C:$C,输入平台!$A:$A,助手收入!$X13,输入平台!$B:$B,科目对照收入!$B11),2),ROUND(海典汇总!$N$14,2))</f>
        <v>0</v>
      </c>
      <c r="H253" s="49" t="str">
        <f aca="false">IF(ROUND($G253,2)&gt;0,ROUND($G253,2),"")</f>
        <v/>
      </c>
      <c r="I253" s="49" t="str">
        <f aca="false">IF(ROUND($G253,2)&lt;0,-ROUND($G253,2),"")</f>
        <v/>
      </c>
      <c r="J253" s="20" t="n">
        <f aca="false">IF(ROUND($G253,2)=0,0,1)</f>
        <v>0</v>
      </c>
      <c r="K253" s="20" t="str">
        <f aca="false">IF($J253=0,"",SUM($J$244:$J253))</f>
        <v/>
      </c>
      <c r="L253" s="20" t="str">
        <f aca="false">IF($K253="","",$A253*100+$K253)</f>
        <v/>
      </c>
      <c r="M253" s="48" t="str">
        <f aca="false">参数!$B$3</f>
        <v>7月收入</v>
      </c>
    </row>
    <row r="254" customFormat="false" ht="13.5" hidden="false" customHeight="false" outlineLevel="0" collapsed="false">
      <c r="A254" s="47" t="n">
        <v>12</v>
      </c>
      <c r="B254" s="38" t="n">
        <f aca="false">助手收入!$B13</f>
        <v>2012</v>
      </c>
      <c r="C254" s="48" t="str">
        <f aca="false">助手收入!$C13</f>
        <v>泽畔店</v>
      </c>
      <c r="D254" s="48" t="str">
        <f aca="false">科目对照收入!$B12&amp;""</f>
        <v>京东秒送</v>
      </c>
      <c r="E254" s="48" t="str">
        <f aca="false">IF(AND(ROUND($G254,2)&lt;0,科目对照收入!$L12&lt;&gt;""),科目对照收入!$L12,科目对照收入!$C12)&amp;""</f>
        <v>应收账款</v>
      </c>
      <c r="F254" s="48" t="str">
        <f aca="false">IF(AND(ROUND($G254,2)&lt;0,科目对照收入!$L12&lt;&gt;""),科目对照收入!$M12,科目对照收入!$D12)&amp;""</f>
        <v>京东秒送</v>
      </c>
      <c r="G254" s="49" t="n">
        <f aca="false">IF(COUNTIFS(输入平台!$A:$A,助手收入!$X13,输入平台!$B:$B,科目对照收入!$B12)&gt;0,ROUND(SUMIFS(输入平台!$C:$C,输入平台!$A:$A,助手收入!$X13,输入平台!$B:$B,科目对照收入!$B12),2),ROUND(海典汇总!$O$14,2))</f>
        <v>0</v>
      </c>
      <c r="H254" s="49" t="str">
        <f aca="false">IF(ROUND($G254,2)&gt;0,ROUND($G254,2),"")</f>
        <v/>
      </c>
      <c r="I254" s="49" t="str">
        <f aca="false">IF(ROUND($G254,2)&lt;0,-ROUND($G254,2),"")</f>
        <v/>
      </c>
      <c r="J254" s="20" t="n">
        <f aca="false">IF(ROUND($G254,2)=0,0,1)</f>
        <v>0</v>
      </c>
      <c r="K254" s="20" t="str">
        <f aca="false">IF($J254=0,"",SUM($J$244:$J254))</f>
        <v/>
      </c>
      <c r="L254" s="20" t="str">
        <f aca="false">IF($K254="","",$A254*100+$K254)</f>
        <v/>
      </c>
      <c r="M254" s="48" t="str">
        <f aca="false">参数!$B$3</f>
        <v>7月收入</v>
      </c>
    </row>
    <row r="255" customFormat="false" ht="13.5" hidden="false" customHeight="false" outlineLevel="0" collapsed="false">
      <c r="A255" s="47" t="n">
        <v>12</v>
      </c>
      <c r="B255" s="38" t="n">
        <f aca="false">助手收入!$B13</f>
        <v>2012</v>
      </c>
      <c r="C255" s="48" t="str">
        <f aca="false">助手收入!$C13</f>
        <v>泽畔店</v>
      </c>
      <c r="D255" s="48" t="str">
        <f aca="false">科目对照收入!$B13&amp;""</f>
        <v>银联</v>
      </c>
      <c r="E255" s="48" t="str">
        <f aca="false">IF(AND(ROUND($G255,2)&lt;0,科目对照收入!$L13&lt;&gt;""),科目对照收入!$L13,科目对照收入!$C13)&amp;""</f>
        <v>应收账款</v>
      </c>
      <c r="F255" s="48" t="str">
        <f aca="false">IF(AND(ROUND($G255,2)&lt;0,科目对照收入!$L13&lt;&gt;""),科目对照收入!$M13,科目对照收入!$D13)&amp;""</f>
        <v>银联</v>
      </c>
      <c r="G255" s="49" t="n">
        <f aca="false">IF(COUNTIFS(输入平台!$A:$A,助手收入!$X13,输入平台!$B:$B,科目对照收入!$B13)&gt;0,ROUND(SUMIFS(输入平台!$C:$C,输入平台!$A:$A,助手收入!$X13,输入平台!$B:$B,科目对照收入!$B13),2),ROUND(海典汇总!$V$14,2))</f>
        <v>0</v>
      </c>
      <c r="H255" s="49" t="str">
        <f aca="false">IF(ROUND($G255,2)&gt;0,ROUND($G255,2),"")</f>
        <v/>
      </c>
      <c r="I255" s="49" t="str">
        <f aca="false">IF(ROUND($G255,2)&lt;0,-ROUND($G255,2),"")</f>
        <v/>
      </c>
      <c r="J255" s="20" t="n">
        <f aca="false">IF(ROUND($G255,2)=0,0,1)</f>
        <v>0</v>
      </c>
      <c r="K255" s="20" t="str">
        <f aca="false">IF($J255=0,"",SUM($J$244:$J255))</f>
        <v/>
      </c>
      <c r="L255" s="20" t="str">
        <f aca="false">IF($K255="","",$A255*100+$K255)</f>
        <v/>
      </c>
      <c r="M255" s="48" t="str">
        <f aca="false">参数!$B$3</f>
        <v>7月收入</v>
      </c>
    </row>
    <row r="256" customFormat="false" ht="13.5" hidden="false" customHeight="false" outlineLevel="0" collapsed="false">
      <c r="A256" s="47" t="n">
        <v>12</v>
      </c>
      <c r="B256" s="38" t="n">
        <f aca="false">助手收入!$B13</f>
        <v>2012</v>
      </c>
      <c r="C256" s="48" t="str">
        <f aca="false">助手收入!$C13</f>
        <v>泽畔店</v>
      </c>
      <c r="D256" s="48" t="str">
        <f aca="false">科目对照收入!$B14&amp;""</f>
        <v>小镇外卖</v>
      </c>
      <c r="E256" s="48" t="str">
        <f aca="false">IF(AND(ROUND($G256,2)&lt;0,科目对照收入!$L14&lt;&gt;""),科目对照收入!$L14,科目对照收入!$C14)&amp;""</f>
        <v>应收账款</v>
      </c>
      <c r="F256" s="48" t="str">
        <f aca="false">IF(AND(ROUND($G256,2)&lt;0,科目对照收入!$L14&lt;&gt;""),科目对照收入!$M14,科目对照收入!$D14)&amp;""</f>
        <v>小镇外卖</v>
      </c>
      <c r="G256" s="49" t="n">
        <f aca="false">IF(COUNTIFS(输入平台!$A:$A,助手收入!$X13,输入平台!$B:$B,科目对照收入!$B14)&gt;0,ROUND(SUMIFS(输入平台!$C:$C,输入平台!$A:$A,助手收入!$X13,输入平台!$B:$B,科目对照收入!$B14),2),ROUND(海典汇总!$AC$14,2))</f>
        <v>0</v>
      </c>
      <c r="H256" s="49" t="str">
        <f aca="false">IF(ROUND($G256,2)&gt;0,ROUND($G256,2),"")</f>
        <v/>
      </c>
      <c r="I256" s="49" t="str">
        <f aca="false">IF(ROUND($G256,2)&lt;0,-ROUND($G256,2),"")</f>
        <v/>
      </c>
      <c r="J256" s="20" t="n">
        <f aca="false">IF(ROUND($G256,2)=0,0,1)</f>
        <v>0</v>
      </c>
      <c r="K256" s="20" t="str">
        <f aca="false">IF($J256=0,"",SUM($J$244:$J256))</f>
        <v/>
      </c>
      <c r="L256" s="20" t="str">
        <f aca="false">IF($K256="","",$A256*100+$K256)</f>
        <v/>
      </c>
      <c r="M256" s="48" t="str">
        <f aca="false">参数!$B$3</f>
        <v>7月收入</v>
      </c>
    </row>
    <row r="257" customFormat="false" ht="13.5" hidden="false" customHeight="false" outlineLevel="0" collapsed="false">
      <c r="A257" s="47" t="n">
        <v>12</v>
      </c>
      <c r="B257" s="38" t="n">
        <f aca="false">助手收入!$B13</f>
        <v>2012</v>
      </c>
      <c r="C257" s="48" t="str">
        <f aca="false">助手收入!$C13</f>
        <v>泽畔店</v>
      </c>
      <c r="D257" s="48" t="str">
        <f aca="false">科目对照收入!$B15&amp;""</f>
        <v>OMS线上支付</v>
      </c>
      <c r="E257" s="48" t="str">
        <f aca="false">IF(AND(ROUND($G257,2)&lt;0,科目对照收入!$L15&lt;&gt;""),科目对照收入!$L15,科目对照收入!$C15)&amp;""</f>
        <v>应收账款</v>
      </c>
      <c r="F257" s="48" t="str">
        <f aca="false">IF(AND(ROUND($G257,2)&lt;0,科目对照收入!$L15&lt;&gt;""),科目对照收入!$M15,科目对照收入!$D15)&amp;""</f>
        <v>OMS线上</v>
      </c>
      <c r="G257" s="49" t="n">
        <f aca="false">IF(COUNTIFS(输入平台!$A:$A,助手收入!$X13,输入平台!$B:$B,科目对照收入!$B15)&gt;0,ROUND(SUMIFS(输入平台!$C:$C,输入平台!$A:$A,助手收入!$X13,输入平台!$B:$B,科目对照收入!$B15),2),ROUND(海典汇总!$L$14,2))</f>
        <v>0</v>
      </c>
      <c r="H257" s="49" t="str">
        <f aca="false">IF(ROUND($G257,2)&gt;0,ROUND($G257,2),"")</f>
        <v/>
      </c>
      <c r="I257" s="49" t="str">
        <f aca="false">IF(ROUND($G257,2)&lt;0,-ROUND($G257,2),"")</f>
        <v/>
      </c>
      <c r="J257" s="20" t="n">
        <f aca="false">IF(ROUND($G257,2)=0,0,1)</f>
        <v>0</v>
      </c>
      <c r="K257" s="20" t="str">
        <f aca="false">IF($J257=0,"",SUM($J$244:$J257))</f>
        <v/>
      </c>
      <c r="L257" s="20" t="str">
        <f aca="false">IF($K257="","",$A257*100+$K257)</f>
        <v/>
      </c>
      <c r="M257" s="48" t="str">
        <f aca="false">参数!$B$3</f>
        <v>7月收入</v>
      </c>
    </row>
    <row r="258" customFormat="false" ht="13.5" hidden="false" customHeight="false" outlineLevel="0" collapsed="false">
      <c r="A258" s="47" t="n">
        <v>12</v>
      </c>
      <c r="B258" s="38" t="n">
        <f aca="false">助手收入!$B13</f>
        <v>2012</v>
      </c>
      <c r="C258" s="48" t="str">
        <f aca="false">助手收入!$C13</f>
        <v>泽畔店</v>
      </c>
      <c r="D258" s="48" t="str">
        <f aca="false">科目对照收入!$B16&amp;""</f>
        <v>平安药卡</v>
      </c>
      <c r="E258" s="48" t="str">
        <f aca="false">IF(AND(ROUND($G258,2)&lt;0,科目对照收入!$L16&lt;&gt;""),科目对照收入!$L16,科目对照收入!$C16)&amp;""</f>
        <v>应收账款</v>
      </c>
      <c r="F258" s="48" t="str">
        <f aca="false">IF(AND(ROUND($G258,2)&lt;0,科目对照收入!$L16&lt;&gt;""),科目对照收入!$M16,科目对照收入!$D16)&amp;""</f>
        <v>平安</v>
      </c>
      <c r="G258" s="49" t="n">
        <f aca="false">IF(COUNTIFS(输入平台!$A:$A,助手收入!$X13,输入平台!$B:$B,科目对照收入!$B16)&gt;0,ROUND(SUMIFS(输入平台!$C:$C,输入平台!$A:$A,助手收入!$X13,输入平台!$B:$B,科目对照收入!$B16),2),ROUND(海典汇总!$AB$14,2))</f>
        <v>0</v>
      </c>
      <c r="H258" s="49" t="str">
        <f aca="false">IF(ROUND($G258,2)&gt;0,ROUND($G258,2),"")</f>
        <v/>
      </c>
      <c r="I258" s="49" t="str">
        <f aca="false">IF(ROUND($G258,2)&lt;0,-ROUND($G258,2),"")</f>
        <v/>
      </c>
      <c r="J258" s="20" t="n">
        <f aca="false">IF(ROUND($G258,2)=0,0,1)</f>
        <v>0</v>
      </c>
      <c r="K258" s="20" t="str">
        <f aca="false">IF($J258=0,"",SUM($J$244:$J258))</f>
        <v/>
      </c>
      <c r="L258" s="20" t="str">
        <f aca="false">IF($K258="","",$A258*100+$K258)</f>
        <v/>
      </c>
      <c r="M258" s="48" t="str">
        <f aca="false">参数!$B$3</f>
        <v>7月收入</v>
      </c>
    </row>
    <row r="259" customFormat="false" ht="13.5" hidden="false" customHeight="false" outlineLevel="0" collapsed="false">
      <c r="A259" s="47" t="n">
        <v>12</v>
      </c>
      <c r="B259" s="38" t="n">
        <f aca="false">助手收入!$B13</f>
        <v>2012</v>
      </c>
      <c r="C259" s="48" t="str">
        <f aca="false">助手收入!$C13</f>
        <v>泽畔店</v>
      </c>
      <c r="D259" s="48" t="str">
        <f aca="false">科目对照收入!$B17&amp;""</f>
        <v>储值卡</v>
      </c>
      <c r="E259" s="48" t="str">
        <f aca="false">IF(AND(ROUND($G259,2)&lt;0,科目对照收入!$L17&lt;&gt;""),科目对照收入!$L17,科目对照收入!$C17)&amp;""</f>
        <v>其他应收款</v>
      </c>
      <c r="F259" s="48" t="str">
        <f aca="false">IF(AND(ROUND($G259,2)&lt;0,科目对照收入!$L17&lt;&gt;""),科目对照收入!$M17,科目对照收入!$D17)&amp;""</f>
        <v>储值卡</v>
      </c>
      <c r="G259" s="49" t="n">
        <f aca="false">ROUND(海典汇总!$Q$14,2)</f>
        <v>19.8</v>
      </c>
      <c r="H259" s="49" t="n">
        <f aca="false">IF(ROUND($G259,2)&gt;0,ROUND($G259,2),"")</f>
        <v>19.8</v>
      </c>
      <c r="I259" s="49" t="str">
        <f aca="false">IF(ROUND($G259,2)&lt;0,-ROUND($G259,2),"")</f>
        <v/>
      </c>
      <c r="J259" s="20" t="n">
        <f aca="false">IF(ROUND($G259,2)=0,0,1)</f>
        <v>1</v>
      </c>
      <c r="K259" s="20" t="n">
        <f aca="false">IF($J259=0,"",SUM($J$244:$J259))</f>
        <v>4</v>
      </c>
      <c r="L259" s="20" t="n">
        <f aca="false">IF($K259="","",$A259*100+$K259)</f>
        <v>1204</v>
      </c>
      <c r="M259" s="48" t="str">
        <f aca="false">参数!$B$3</f>
        <v>7月收入</v>
      </c>
    </row>
    <row r="260" customFormat="false" ht="13.5" hidden="false" customHeight="false" outlineLevel="0" collapsed="false">
      <c r="A260" s="47" t="n">
        <v>12</v>
      </c>
      <c r="B260" s="38" t="n">
        <f aca="false">助手收入!$B13</f>
        <v>2012</v>
      </c>
      <c r="C260" s="48" t="str">
        <f aca="false">助手收入!$C13</f>
        <v>泽畔店</v>
      </c>
      <c r="D260" s="48" t="str">
        <f aca="false">科目对照收入!$B18&amp;""</f>
        <v>会员零钱包</v>
      </c>
      <c r="E260" s="48" t="str">
        <f aca="false">IF(AND(ROUND($G260,2)&lt;0,科目对照收入!$L18&lt;&gt;""),科目对照收入!$L18,科目对照收入!$C18)&amp;""</f>
        <v>其他应收款</v>
      </c>
      <c r="F260" s="48" t="str">
        <f aca="false">IF(AND(ROUND($G260,2)&lt;0,科目对照收入!$L18&lt;&gt;""),科目对照收入!$M18,科目对照收入!$D18)&amp;""</f>
        <v>会员零钱包</v>
      </c>
      <c r="G260" s="49" t="n">
        <f aca="false">ROUND(海典汇总!$P$14,2)</f>
        <v>0</v>
      </c>
      <c r="H260" s="49" t="str">
        <f aca="false">IF(ROUND($G260,2)&gt;0,ROUND($G260,2),"")</f>
        <v/>
      </c>
      <c r="I260" s="49" t="str">
        <f aca="false">IF(ROUND($G260,2)&lt;0,-ROUND($G260,2),"")</f>
        <v/>
      </c>
      <c r="J260" s="20" t="n">
        <f aca="false">IF(ROUND($G260,2)=0,0,1)</f>
        <v>0</v>
      </c>
      <c r="K260" s="20" t="str">
        <f aca="false">IF($J260=0,"",SUM($J$244:$J260))</f>
        <v/>
      </c>
      <c r="L260" s="20" t="str">
        <f aca="false">IF($K260="","",$A260*100+$K260)</f>
        <v/>
      </c>
      <c r="M260" s="48" t="str">
        <f aca="false">参数!$B$3</f>
        <v>7月收入</v>
      </c>
    </row>
    <row r="261" customFormat="false" ht="13.5" hidden="false" customHeight="false" outlineLevel="0" collapsed="false">
      <c r="A261" s="47" t="n">
        <v>12</v>
      </c>
      <c r="B261" s="38" t="n">
        <f aca="false">助手收入!$B13</f>
        <v>2012</v>
      </c>
      <c r="C261" s="48" t="str">
        <f aca="false">助手收入!$C13</f>
        <v>泽畔店</v>
      </c>
      <c r="D261" s="48" t="str">
        <f aca="false">科目对照收入!$B19&amp;""</f>
        <v>促销费</v>
      </c>
      <c r="E261" s="48" t="str">
        <f aca="false">IF(AND(ROUND($G261,2)&lt;0,科目对照收入!$L19&lt;&gt;""),科目对照收入!$L19,科目对照收入!$C19)&amp;""</f>
        <v>销售费用</v>
      </c>
      <c r="F261" s="48" t="str">
        <f aca="false">IF(AND(ROUND($G261,2)&lt;0,科目对照收入!$L19&lt;&gt;""),科目对照收入!$M19,科目对照收入!$D19)&amp;""</f>
        <v>促销费</v>
      </c>
      <c r="G261" s="49" t="n">
        <f aca="false">ROUND(海典汇总!$U$14+海典汇总!$T$14+海典汇总!$S$14,2)</f>
        <v>1398.26</v>
      </c>
      <c r="H261" s="49" t="n">
        <f aca="false">IF(ROUND($G261,2)&gt;0,ROUND($G261,2),"")</f>
        <v>1398.26</v>
      </c>
      <c r="I261" s="49" t="str">
        <f aca="false">IF(ROUND($G261,2)&lt;0,-ROUND($G261,2),"")</f>
        <v/>
      </c>
      <c r="J261" s="20" t="n">
        <f aca="false">IF(ROUND($G261,2)=0,0,1)</f>
        <v>1</v>
      </c>
      <c r="K261" s="20" t="n">
        <f aca="false">IF($J261=0,"",SUM($J$244:$J261))</f>
        <v>5</v>
      </c>
      <c r="L261" s="20" t="n">
        <f aca="false">IF($K261="","",$A261*100+$K261)</f>
        <v>1205</v>
      </c>
      <c r="M261" s="48" t="str">
        <f aca="false">参数!$B$3</f>
        <v>7月收入</v>
      </c>
    </row>
    <row r="262" customFormat="false" ht="13.5" hidden="false" customHeight="false" outlineLevel="0" collapsed="false">
      <c r="A262" s="47" t="n">
        <v>12</v>
      </c>
      <c r="B262" s="38" t="n">
        <f aca="false">助手收入!$B13</f>
        <v>2012</v>
      </c>
      <c r="C262" s="48" t="str">
        <f aca="false">助手收入!$C13</f>
        <v>泽畔店</v>
      </c>
      <c r="D262" s="48" t="str">
        <f aca="false">科目对照收入!$B20&amp;""</f>
        <v>积分</v>
      </c>
      <c r="E262" s="48" t="str">
        <f aca="false">IF(AND(ROUND($G262,2)&lt;0,科目对照收入!$L20&lt;&gt;""),科目对照收入!$L20,科目对照收入!$C20)&amp;""</f>
        <v>销售费用</v>
      </c>
      <c r="F262" s="48" t="str">
        <f aca="false">IF(AND(ROUND($G262,2)&lt;0,科目对照收入!$L20&lt;&gt;""),科目对照收入!$M20,科目对照收入!$D20)&amp;""</f>
        <v>积分</v>
      </c>
      <c r="G262" s="49" t="n">
        <f aca="false">ROUND(海典汇总!$R$14,2)</f>
        <v>0</v>
      </c>
      <c r="H262" s="49" t="str">
        <f aca="false">IF(ROUND($G262,2)&gt;0,ROUND($G262,2),"")</f>
        <v/>
      </c>
      <c r="I262" s="49" t="str">
        <f aca="false">IF(ROUND($G262,2)&lt;0,-ROUND($G262,2),"")</f>
        <v/>
      </c>
      <c r="J262" s="20" t="n">
        <f aca="false">IF(ROUND($G262,2)=0,0,1)</f>
        <v>0</v>
      </c>
      <c r="K262" s="20" t="str">
        <f aca="false">IF($J262=0,"",SUM($J$244:$J262))</f>
        <v/>
      </c>
      <c r="L262" s="20" t="str">
        <f aca="false">IF($K262="","",$A262*100+$K262)</f>
        <v/>
      </c>
      <c r="M262" s="48" t="str">
        <f aca="false">参数!$B$3</f>
        <v>7月收入</v>
      </c>
    </row>
    <row r="263" customFormat="false" ht="13.5" hidden="false" customHeight="false" outlineLevel="0" collapsed="false">
      <c r="A263" s="47" t="n">
        <v>12</v>
      </c>
      <c r="B263" s="38" t="n">
        <f aca="false">助手收入!$B13</f>
        <v>2012</v>
      </c>
      <c r="C263" s="48" t="str">
        <f aca="false">助手收入!$C13</f>
        <v>泽畔店</v>
      </c>
      <c r="D263" s="48" t="str">
        <f aca="false">科目对照收入!$B21&amp;""</f>
        <v>手续费</v>
      </c>
      <c r="E263" s="48" t="str">
        <f aca="false">IF(AND(ROUND($G263,2)&lt;0,科目对照收入!$L21&lt;&gt;""),科目对照收入!$L21,科目对照收入!$C21)&amp;""</f>
        <v>财务费用</v>
      </c>
      <c r="F263" s="48" t="str">
        <f aca="false">IF(AND(ROUND($G263,2)&lt;0,科目对照收入!$L21&lt;&gt;""),科目对照收入!$M21,科目对照收入!$D21)&amp;""</f>
        <v>手续费</v>
      </c>
      <c r="G263" s="49" t="n">
        <f aca="false">ROUND(SUMIFS(输入聚合!$D:$D,输入聚合!$A:$A,助手收入!$X13),2)</f>
        <v>54.93</v>
      </c>
      <c r="H263" s="49" t="n">
        <f aca="false">IF(ROUND($G263,2)&gt;0,ROUND($G263,2),"")</f>
        <v>54.93</v>
      </c>
      <c r="I263" s="49" t="str">
        <f aca="false">IF(ROUND($G263,2)&lt;0,-ROUND($G263,2),"")</f>
        <v/>
      </c>
      <c r="J263" s="20" t="n">
        <f aca="false">IF(ROUND($G263,2)=0,0,1)</f>
        <v>1</v>
      </c>
      <c r="K263" s="20" t="n">
        <f aca="false">IF($J263=0,"",SUM($J$244:$J263))</f>
        <v>6</v>
      </c>
      <c r="L263" s="20" t="n">
        <f aca="false">IF($K263="","",$A263*100+$K263)</f>
        <v>1206</v>
      </c>
      <c r="M263" s="48" t="str">
        <f aca="false">参数!$B$3</f>
        <v>7月收入</v>
      </c>
    </row>
    <row r="264" customFormat="false" ht="13.5" hidden="false" customHeight="false" outlineLevel="0" collapsed="false">
      <c r="A264" s="47" t="n">
        <v>12</v>
      </c>
      <c r="B264" s="38" t="n">
        <f aca="false">助手收入!$B13</f>
        <v>2012</v>
      </c>
      <c r="C264" s="48" t="str">
        <f aca="false">助手收入!$C13</f>
        <v>泽畔店</v>
      </c>
      <c r="D264" s="48" t="str">
        <f aca="false">科目对照收入!$B22&amp;""</f>
        <v>主营业务收入</v>
      </c>
      <c r="E264" s="48" t="str">
        <f aca="false">IF(AND(ROUND($G264,2)&lt;0,科目对照收入!$L22&lt;&gt;""),科目对照收入!$L22,科目对照收入!$C22)&amp;""</f>
        <v>主营业务收入</v>
      </c>
      <c r="F264" s="48" t="str">
        <f aca="false">IF(AND(ROUND($G264,2)&lt;0,科目对照收入!$L22&lt;&gt;""),科目对照收入!$M22,科目对照收入!$D22)&amp;""</f>
        <v/>
      </c>
      <c r="G264" s="49" t="n">
        <f aca="false">-ROUND(助手收入!$G13,2)</f>
        <v>-50656.25</v>
      </c>
      <c r="H264" s="49" t="str">
        <f aca="false">IF(ROUND($G264,2)&gt;0,ROUND($G264,2),"")</f>
        <v/>
      </c>
      <c r="I264" s="49" t="n">
        <f aca="false">IF(ROUND($G264,2)&lt;0,-ROUND($G264,2),"")</f>
        <v>50656.25</v>
      </c>
      <c r="J264" s="20" t="n">
        <f aca="false">IF(ROUND($G264,2)=0,0,1)</f>
        <v>1</v>
      </c>
      <c r="K264" s="20" t="n">
        <f aca="false">IF($J264=0,"",SUM($J$244:$J264))</f>
        <v>7</v>
      </c>
      <c r="L264" s="20" t="n">
        <f aca="false">IF($K264="","",$A264*100+$K264)</f>
        <v>1207</v>
      </c>
      <c r="M264" s="48" t="str">
        <f aca="false">参数!$B$3</f>
        <v>7月收入</v>
      </c>
    </row>
    <row r="265" customFormat="false" ht="13.5" hidden="false" customHeight="false" outlineLevel="0" collapsed="false">
      <c r="A265" s="47" t="n">
        <v>12</v>
      </c>
      <c r="B265" s="38" t="n">
        <f aca="false">助手收入!$B13</f>
        <v>2012</v>
      </c>
      <c r="C265" s="48" t="str">
        <f aca="false">助手收入!$C13</f>
        <v>泽畔店</v>
      </c>
      <c r="D265" s="48" t="str">
        <f aca="false">科目对照收入!$B23&amp;""</f>
        <v>营业外收入</v>
      </c>
      <c r="E265" s="48" t="str">
        <f aca="false">IF(AND(ROUND($G265,2)&lt;0,科目对照收入!$L23&lt;&gt;""),科目对照收入!$L23,科目对照收入!$C23)&amp;""</f>
        <v>营业外收入</v>
      </c>
      <c r="F265" s="48" t="str">
        <f aca="false">IF(AND(ROUND($G265,2)&lt;0,科目对照收入!$L23&lt;&gt;""),科目对照收入!$M23,科目对照收入!$D23)&amp;""</f>
        <v/>
      </c>
      <c r="G265" s="49" t="n">
        <f aca="false">-ROUND(助手收入!$J13,2)</f>
        <v>-0</v>
      </c>
      <c r="H265" s="49" t="str">
        <f aca="false">IF(ROUND($G265,2)&gt;0,ROUND($G265,2),"")</f>
        <v/>
      </c>
      <c r="I265" s="49" t="str">
        <f aca="false">IF(ROUND($G265,2)&lt;0,-ROUND($G265,2),"")</f>
        <v/>
      </c>
      <c r="J265" s="20" t="n">
        <f aca="false">IF(ROUND($G265,2)=0,0,1)</f>
        <v>0</v>
      </c>
      <c r="K265" s="20" t="str">
        <f aca="false">IF($J265=0,"",SUM($J$244:$J265))</f>
        <v/>
      </c>
      <c r="L265" s="20" t="str">
        <f aca="false">IF($K265="","",$A265*100+$K265)</f>
        <v/>
      </c>
      <c r="M265" s="48" t="str">
        <f aca="false">参数!$B$3</f>
        <v>7月收入</v>
      </c>
    </row>
    <row r="266" customFormat="false" ht="13.5" hidden="false" customHeight="false" outlineLevel="0" collapsed="false">
      <c r="A266" s="47" t="n">
        <v>13</v>
      </c>
      <c r="B266" s="38" t="n">
        <f aca="false">助手收入!$B14</f>
        <v>2014</v>
      </c>
      <c r="C266" s="48" t="str">
        <f aca="false">助手收入!$C14</f>
        <v>博桥店</v>
      </c>
      <c r="D266" s="48" t="str">
        <f aca="false">科目对照收入!$B2&amp;""</f>
        <v>库存现金</v>
      </c>
      <c r="E266" s="48" t="str">
        <f aca="false">IF(AND(ROUND($G266,2)&lt;0,科目对照收入!$L2&lt;&gt;""),科目对照收入!$L2,科目对照收入!$C2)&amp;""</f>
        <v>库存现金</v>
      </c>
      <c r="F266" s="48" t="str">
        <f aca="false">IF(AND(ROUND($G266,2)&lt;0,科目对照收入!$L2&lt;&gt;""),科目对照收入!$M2,科目对照收入!$D2)&amp;""</f>
        <v/>
      </c>
      <c r="G266" s="49" t="n">
        <f aca="false">助手收入!$I14</f>
        <v>21123.98</v>
      </c>
      <c r="H266" s="49" t="n">
        <f aca="false">IF(ROUND($G266,2)&gt;0,ROUND($G266,2),"")</f>
        <v>21123.98</v>
      </c>
      <c r="I266" s="49" t="str">
        <f aca="false">IF(ROUND($G266,2)&lt;0,-ROUND($G266,2),"")</f>
        <v/>
      </c>
      <c r="J266" s="20" t="n">
        <f aca="false">IF(ROUND($G266,2)=0,0,1)</f>
        <v>1</v>
      </c>
      <c r="K266" s="20" t="n">
        <f aca="false">IF($J266=0,"",SUM($J$266:$J266))</f>
        <v>1</v>
      </c>
      <c r="L266" s="20" t="n">
        <f aca="false">IF($K266="","",$A266*100+$K266)</f>
        <v>1301</v>
      </c>
      <c r="M266" s="48" t="str">
        <f aca="false">参数!$B$3</f>
        <v>7月收入</v>
      </c>
    </row>
    <row r="267" customFormat="false" ht="13.5" hidden="false" customHeight="false" outlineLevel="0" collapsed="false">
      <c r="A267" s="47" t="n">
        <v>13</v>
      </c>
      <c r="B267" s="38" t="n">
        <f aca="false">助手收入!$B14</f>
        <v>2014</v>
      </c>
      <c r="C267" s="48" t="str">
        <f aca="false">助手收入!$C14</f>
        <v>博桥店</v>
      </c>
      <c r="D267" s="48" t="str">
        <f aca="false">科目对照收入!$B3&amp;""</f>
        <v>聚合支付</v>
      </c>
      <c r="E267" s="48" t="str">
        <f aca="false">IF(AND(ROUND($G267,2)&lt;0,科目对照收入!$L3&lt;&gt;""),科目对照收入!$L3,科目对照收入!$C3)&amp;""</f>
        <v>应收账款</v>
      </c>
      <c r="F267" s="48" t="str">
        <f aca="false">IF(AND(ROUND($G267,2)&lt;0,科目对照收入!$L3&lt;&gt;""),科目对照收入!$M3,科目对照收入!$D3)&amp;""</f>
        <v>聚合支付</v>
      </c>
      <c r="G267" s="49" t="n">
        <f aca="false">ROUND(SUMIFS(输入聚合!$C:$C,输入聚合!$A:$A,助手收入!$X14)-SUMIFS(输入聚合!$D:$D,输入聚合!$A:$A,助手收入!$X14),2)</f>
        <v>37086.38</v>
      </c>
      <c r="H267" s="49" t="n">
        <f aca="false">IF(ROUND($G267,2)&gt;0,ROUND($G267,2),"")</f>
        <v>37086.38</v>
      </c>
      <c r="I267" s="49" t="str">
        <f aca="false">IF(ROUND($G267,2)&lt;0,-ROUND($G267,2),"")</f>
        <v/>
      </c>
      <c r="J267" s="20" t="n">
        <f aca="false">IF(ROUND($G267,2)=0,0,1)</f>
        <v>1</v>
      </c>
      <c r="K267" s="20" t="n">
        <f aca="false">IF($J267=0,"",SUM($J$266:$J267))</f>
        <v>2</v>
      </c>
      <c r="L267" s="20" t="n">
        <f aca="false">IF($K267="","",$A267*100+$K267)</f>
        <v>1302</v>
      </c>
      <c r="M267" s="48" t="str">
        <f aca="false">参数!$B$3</f>
        <v>7月收入</v>
      </c>
    </row>
    <row r="268" customFormat="false" ht="13.5" hidden="false" customHeight="false" outlineLevel="0" collapsed="false">
      <c r="A268" s="47" t="n">
        <v>13</v>
      </c>
      <c r="B268" s="38" t="n">
        <f aca="false">助手收入!$B14</f>
        <v>2014</v>
      </c>
      <c r="C268" s="48" t="str">
        <f aca="false">助手收入!$C14</f>
        <v>博桥店</v>
      </c>
      <c r="D268" s="48" t="str">
        <f aca="false">科目对照收入!$B4&amp;""</f>
        <v>医保</v>
      </c>
      <c r="E268" s="48" t="str">
        <f aca="false">IF(AND(ROUND($G268,2)&lt;0,科目对照收入!$L4&lt;&gt;""),科目对照收入!$L4,科目对照收入!$C4)&amp;""</f>
        <v>应收账款</v>
      </c>
      <c r="F268" s="48" t="str">
        <f aca="false">IF(AND(ROUND($G268,2)&lt;0,科目对照收入!$L4&lt;&gt;""),科目对照收入!$M4,科目对照收入!$D4)&amp;""</f>
        <v>医保</v>
      </c>
      <c r="G268" s="49" t="n">
        <f aca="false">IF(COUNTIFS(输入平台!$A:$A,助手收入!$X14,输入平台!$B:$B,科目对照收入!$B4)&gt;0,ROUND(SUMIFS(输入平台!$C:$C,输入平台!$A:$A,助手收入!$X14,输入平台!$B:$B,科目对照收入!$B4),2),ROUND(海典汇总!$F$15+海典汇总!$G$15,2))</f>
        <v>8906.05</v>
      </c>
      <c r="H268" s="49" t="n">
        <f aca="false">IF(ROUND($G268,2)&gt;0,ROUND($G268,2),"")</f>
        <v>8906.05</v>
      </c>
      <c r="I268" s="49" t="str">
        <f aca="false">IF(ROUND($G268,2)&lt;0,-ROUND($G268,2),"")</f>
        <v/>
      </c>
      <c r="J268" s="20" t="n">
        <f aca="false">IF(ROUND($G268,2)=0,0,1)</f>
        <v>1</v>
      </c>
      <c r="K268" s="20" t="n">
        <f aca="false">IF($J268=0,"",SUM($J$266:$J268))</f>
        <v>3</v>
      </c>
      <c r="L268" s="20" t="n">
        <f aca="false">IF($K268="","",$A268*100+$K268)</f>
        <v>1303</v>
      </c>
      <c r="M268" s="48" t="str">
        <f aca="false">参数!$B$3</f>
        <v>7月收入</v>
      </c>
    </row>
    <row r="269" customFormat="false" ht="13.5" hidden="false" customHeight="false" outlineLevel="0" collapsed="false">
      <c r="A269" s="47" t="n">
        <v>13</v>
      </c>
      <c r="B269" s="38" t="n">
        <f aca="false">助手收入!$B14</f>
        <v>2014</v>
      </c>
      <c r="C269" s="48" t="str">
        <f aca="false">助手收入!$C14</f>
        <v>博桥店</v>
      </c>
      <c r="D269" s="48" t="str">
        <f aca="false">科目对照收入!$B5&amp;""</f>
        <v>健e卡</v>
      </c>
      <c r="E269" s="48" t="str">
        <f aca="false">IF(AND(ROUND($G269,2)&lt;0,科目对照收入!$L5&lt;&gt;""),科目对照收入!$L5,科目对照收入!$C5)&amp;""</f>
        <v>应收账款</v>
      </c>
      <c r="F269" s="48" t="str">
        <f aca="false">IF(AND(ROUND($G269,2)&lt;0,科目对照收入!$L5&lt;&gt;""),科目对照收入!$M5,科目对照收入!$D5)&amp;""</f>
        <v>健e卡</v>
      </c>
      <c r="G269" s="49" t="n">
        <f aca="false">IF(COUNTIFS(输入平台!$A:$A,助手收入!$X14,输入平台!$B:$B,科目对照收入!$B5)&gt;0,ROUND(SUMIFS(输入平台!$C:$C,输入平台!$A:$A,助手收入!$X14,输入平台!$B:$B,科目对照收入!$B5),2),ROUND(海典汇总!$H$15,2))</f>
        <v>0</v>
      </c>
      <c r="H269" s="49" t="str">
        <f aca="false">IF(ROUND($G269,2)&gt;0,ROUND($G269,2),"")</f>
        <v/>
      </c>
      <c r="I269" s="49" t="str">
        <f aca="false">IF(ROUND($G269,2)&lt;0,-ROUND($G269,2),"")</f>
        <v/>
      </c>
      <c r="J269" s="20" t="n">
        <f aca="false">IF(ROUND($G269,2)=0,0,1)</f>
        <v>0</v>
      </c>
      <c r="K269" s="20" t="str">
        <f aca="false">IF($J269=0,"",SUM($J$266:$J269))</f>
        <v/>
      </c>
      <c r="L269" s="20" t="str">
        <f aca="false">IF($K269="","",$A269*100+$K269)</f>
        <v/>
      </c>
      <c r="M269" s="48" t="str">
        <f aca="false">参数!$B$3</f>
        <v>7月收入</v>
      </c>
    </row>
    <row r="270" customFormat="false" ht="13.5" hidden="false" customHeight="false" outlineLevel="0" collapsed="false">
      <c r="A270" s="47" t="n">
        <v>13</v>
      </c>
      <c r="B270" s="38" t="n">
        <f aca="false">助手收入!$B14</f>
        <v>2014</v>
      </c>
      <c r="C270" s="48" t="str">
        <f aca="false">助手收入!$C14</f>
        <v>博桥店</v>
      </c>
      <c r="D270" s="48" t="str">
        <f aca="false">科目对照收入!$B6&amp;""</f>
        <v>医卡通</v>
      </c>
      <c r="E270" s="48" t="str">
        <f aca="false">IF(AND(ROUND($G270,2)&lt;0,科目对照收入!$L6&lt;&gt;""),科目对照收入!$L6,科目对照收入!$C6)&amp;""</f>
        <v>应收账款</v>
      </c>
      <c r="F270" s="48" t="str">
        <f aca="false">IF(AND(ROUND($G270,2)&lt;0,科目对照收入!$L6&lt;&gt;""),科目对照收入!$M6,科目对照收入!$D6)&amp;""</f>
        <v>医卡通</v>
      </c>
      <c r="G270" s="49" t="n">
        <f aca="false">IF(COUNTIFS(输入平台!$A:$A,助手收入!$X14,输入平台!$B:$B,科目对照收入!$B6)&gt;0,ROUND(SUMIFS(输入平台!$C:$C,输入平台!$A:$A,助手收入!$X14,输入平台!$B:$B,科目对照收入!$B6),2),ROUND(海典汇总!$I$15,2))</f>
        <v>0</v>
      </c>
      <c r="H270" s="49" t="str">
        <f aca="false">IF(ROUND($G270,2)&gt;0,ROUND($G270,2),"")</f>
        <v/>
      </c>
      <c r="I270" s="49" t="str">
        <f aca="false">IF(ROUND($G270,2)&lt;0,-ROUND($G270,2),"")</f>
        <v/>
      </c>
      <c r="J270" s="20" t="n">
        <f aca="false">IF(ROUND($G270,2)=0,0,1)</f>
        <v>0</v>
      </c>
      <c r="K270" s="20" t="str">
        <f aca="false">IF($J270=0,"",SUM($J$266:$J270))</f>
        <v/>
      </c>
      <c r="L270" s="20" t="str">
        <f aca="false">IF($K270="","",$A270*100+$K270)</f>
        <v/>
      </c>
      <c r="M270" s="48" t="str">
        <f aca="false">参数!$B$3</f>
        <v>7月收入</v>
      </c>
    </row>
    <row r="271" customFormat="false" ht="13.5" hidden="false" customHeight="false" outlineLevel="0" collapsed="false">
      <c r="A271" s="47" t="n">
        <v>13</v>
      </c>
      <c r="B271" s="38" t="n">
        <f aca="false">助手收入!$B14</f>
        <v>2014</v>
      </c>
      <c r="C271" s="48" t="str">
        <f aca="false">助手收入!$C14</f>
        <v>博桥店</v>
      </c>
      <c r="D271" s="48" t="str">
        <f aca="false">科目对照收入!$B7&amp;""</f>
        <v>企健网</v>
      </c>
      <c r="E271" s="48" t="str">
        <f aca="false">IF(AND(ROUND($G271,2)&lt;0,科目对照收入!$L7&lt;&gt;""),科目对照收入!$L7,科目对照收入!$C7)&amp;""</f>
        <v>应收账款</v>
      </c>
      <c r="F271" s="48" t="str">
        <f aca="false">IF(AND(ROUND($G271,2)&lt;0,科目对照收入!$L7&lt;&gt;""),科目对照收入!$M7,科目对照收入!$D7)&amp;""</f>
        <v>企健网</v>
      </c>
      <c r="G271" s="49" t="n">
        <f aca="false">IF(COUNTIFS(输入平台!$A:$A,助手收入!$X14,输入平台!$B:$B,科目对照收入!$B7)&gt;0,ROUND(SUMIFS(输入平台!$C:$C,输入平台!$A:$A,助手收入!$X14,输入平台!$B:$B,科目对照收入!$B7),2),ROUND(海典汇总!$J$15,2))</f>
        <v>0</v>
      </c>
      <c r="H271" s="49" t="str">
        <f aca="false">IF(ROUND($G271,2)&gt;0,ROUND($G271,2),"")</f>
        <v/>
      </c>
      <c r="I271" s="49" t="str">
        <f aca="false">IF(ROUND($G271,2)&lt;0,-ROUND($G271,2),"")</f>
        <v/>
      </c>
      <c r="J271" s="20" t="n">
        <f aca="false">IF(ROUND($G271,2)=0,0,1)</f>
        <v>0</v>
      </c>
      <c r="K271" s="20" t="str">
        <f aca="false">IF($J271=0,"",SUM($J$266:$J271))</f>
        <v/>
      </c>
      <c r="L271" s="20" t="str">
        <f aca="false">IF($K271="","",$A271*100+$K271)</f>
        <v/>
      </c>
      <c r="M271" s="48" t="str">
        <f aca="false">参数!$B$3</f>
        <v>7月收入</v>
      </c>
    </row>
    <row r="272" customFormat="false" ht="13.5" hidden="false" customHeight="false" outlineLevel="0" collapsed="false">
      <c r="A272" s="47" t="n">
        <v>13</v>
      </c>
      <c r="B272" s="38" t="n">
        <f aca="false">助手收入!$B14</f>
        <v>2014</v>
      </c>
      <c r="C272" s="48" t="str">
        <f aca="false">助手收入!$C14</f>
        <v>博桥店</v>
      </c>
      <c r="D272" s="48" t="str">
        <f aca="false">科目对照收入!$B8&amp;""</f>
        <v>亲情卡</v>
      </c>
      <c r="E272" s="48" t="str">
        <f aca="false">IF(AND(ROUND($G272,2)&lt;0,科目对照收入!$L8&lt;&gt;""),科目对照收入!$L8,科目对照收入!$C8)&amp;""</f>
        <v>应收账款</v>
      </c>
      <c r="F272" s="48" t="str">
        <f aca="false">IF(AND(ROUND($G272,2)&lt;0,科目对照收入!$L8&lt;&gt;""),科目对照收入!$M8,科目对照收入!$D8)&amp;""</f>
        <v>亲情卡</v>
      </c>
      <c r="G272" s="49" t="n">
        <f aca="false">IF(COUNTIFS(输入平台!$A:$A,助手收入!$X14,输入平台!$B:$B,科目对照收入!$B8)&gt;0,ROUND(SUMIFS(输入平台!$C:$C,输入平台!$A:$A,助手收入!$X14,输入平台!$B:$B,科目对照收入!$B8),2),ROUND(海典汇总!$Z$15,2))</f>
        <v>0</v>
      </c>
      <c r="H272" s="49" t="str">
        <f aca="false">IF(ROUND($G272,2)&gt;0,ROUND($G272,2),"")</f>
        <v/>
      </c>
      <c r="I272" s="49" t="str">
        <f aca="false">IF(ROUND($G272,2)&lt;0,-ROUND($G272,2),"")</f>
        <v/>
      </c>
      <c r="J272" s="20" t="n">
        <f aca="false">IF(ROUND($G272,2)=0,0,1)</f>
        <v>0</v>
      </c>
      <c r="K272" s="20" t="str">
        <f aca="false">IF($J272=0,"",SUM($J$266:$J272))</f>
        <v/>
      </c>
      <c r="L272" s="20" t="str">
        <f aca="false">IF($K272="","",$A272*100+$K272)</f>
        <v/>
      </c>
      <c r="M272" s="48" t="str">
        <f aca="false">参数!$B$3</f>
        <v>7月收入</v>
      </c>
    </row>
    <row r="273" customFormat="false" ht="13.5" hidden="false" customHeight="false" outlineLevel="0" collapsed="false">
      <c r="A273" s="47" t="n">
        <v>13</v>
      </c>
      <c r="B273" s="38" t="n">
        <f aca="false">助手收入!$B14</f>
        <v>2014</v>
      </c>
      <c r="C273" s="48" t="str">
        <f aca="false">助手收入!$C14</f>
        <v>博桥店</v>
      </c>
      <c r="D273" s="48" t="str">
        <f aca="false">科目对照收入!$B9&amp;""</f>
        <v>24小时</v>
      </c>
      <c r="E273" s="48" t="str">
        <f aca="false">IF(AND(ROUND($G273,2)&lt;0,科目对照收入!$L9&lt;&gt;""),科目对照收入!$L9,科目对照收入!$C9)&amp;""</f>
        <v>应收账款</v>
      </c>
      <c r="F273" s="48" t="str">
        <f aca="false">IF(AND(ROUND($G273,2)&lt;0,科目对照收入!$L9&lt;&gt;""),科目对照收入!$M9,科目对照收入!$D9)&amp;""</f>
        <v>24小时</v>
      </c>
      <c r="G273" s="49" t="n">
        <f aca="false">IF(COUNTIFS(输入平台!$A:$A,助手收入!$X14,输入平台!$B:$B,科目对照收入!$B9)&gt;0,ROUND(SUMIFS(输入平台!$C:$C,输入平台!$A:$A,助手收入!$X14,输入平台!$B:$B,科目对照收入!$B9),2),ROUND(海典汇总!$K$15,2))</f>
        <v>0</v>
      </c>
      <c r="H273" s="49" t="str">
        <f aca="false">IF(ROUND($G273,2)&gt;0,ROUND($G273,2),"")</f>
        <v/>
      </c>
      <c r="I273" s="49" t="str">
        <f aca="false">IF(ROUND($G273,2)&lt;0,-ROUND($G273,2),"")</f>
        <v/>
      </c>
      <c r="J273" s="20" t="n">
        <f aca="false">IF(ROUND($G273,2)=0,0,1)</f>
        <v>0</v>
      </c>
      <c r="K273" s="20" t="str">
        <f aca="false">IF($J273=0,"",SUM($J$266:$J273))</f>
        <v/>
      </c>
      <c r="L273" s="20" t="str">
        <f aca="false">IF($K273="","",$A273*100+$K273)</f>
        <v/>
      </c>
      <c r="M273" s="48" t="str">
        <f aca="false">参数!$B$3</f>
        <v>7月收入</v>
      </c>
    </row>
    <row r="274" customFormat="false" ht="13.5" hidden="false" customHeight="false" outlineLevel="0" collapsed="false">
      <c r="A274" s="47" t="n">
        <v>13</v>
      </c>
      <c r="B274" s="38" t="n">
        <f aca="false">助手收入!$B14</f>
        <v>2014</v>
      </c>
      <c r="C274" s="48" t="str">
        <f aca="false">助手收入!$C14</f>
        <v>博桥店</v>
      </c>
      <c r="D274" s="48" t="str">
        <f aca="false">科目对照收入!$B10&amp;""</f>
        <v>美团</v>
      </c>
      <c r="E274" s="48" t="str">
        <f aca="false">IF(AND(ROUND($G274,2)&lt;0,科目对照收入!$L10&lt;&gt;""),科目对照收入!$L10,科目对照收入!$C10)&amp;""</f>
        <v>应收账款</v>
      </c>
      <c r="F274" s="48" t="str">
        <f aca="false">IF(AND(ROUND($G274,2)&lt;0,科目对照收入!$L10&lt;&gt;""),科目对照收入!$M10,科目对照收入!$D10)&amp;""</f>
        <v>美团</v>
      </c>
      <c r="G274" s="49" t="n">
        <f aca="false">IF(COUNTIFS(输入平台!$A:$A,助手收入!$X14,输入平台!$B:$B,科目对照收入!$B10)&gt;0,ROUND(SUMIFS(输入平台!$C:$C,输入平台!$A:$A,助手收入!$X14,输入平台!$B:$B,科目对照收入!$B10),2),ROUND(海典汇总!$M$15,2))</f>
        <v>0</v>
      </c>
      <c r="H274" s="49" t="str">
        <f aca="false">IF(ROUND($G274,2)&gt;0,ROUND($G274,2),"")</f>
        <v/>
      </c>
      <c r="I274" s="49" t="str">
        <f aca="false">IF(ROUND($G274,2)&lt;0,-ROUND($G274,2),"")</f>
        <v/>
      </c>
      <c r="J274" s="20" t="n">
        <f aca="false">IF(ROUND($G274,2)=0,0,1)</f>
        <v>0</v>
      </c>
      <c r="K274" s="20" t="str">
        <f aca="false">IF($J274=0,"",SUM($J$266:$J274))</f>
        <v/>
      </c>
      <c r="L274" s="20" t="str">
        <f aca="false">IF($K274="","",$A274*100+$K274)</f>
        <v/>
      </c>
      <c r="M274" s="48" t="str">
        <f aca="false">参数!$B$3</f>
        <v>7月收入</v>
      </c>
    </row>
    <row r="275" customFormat="false" ht="13.5" hidden="false" customHeight="false" outlineLevel="0" collapsed="false">
      <c r="A275" s="47" t="n">
        <v>13</v>
      </c>
      <c r="B275" s="38" t="n">
        <f aca="false">助手收入!$B14</f>
        <v>2014</v>
      </c>
      <c r="C275" s="48" t="str">
        <f aca="false">助手收入!$C14</f>
        <v>博桥店</v>
      </c>
      <c r="D275" s="48" t="str">
        <f aca="false">科目对照收入!$B11&amp;""</f>
        <v>饿了么</v>
      </c>
      <c r="E275" s="48" t="str">
        <f aca="false">IF(AND(ROUND($G275,2)&lt;0,科目对照收入!$L11&lt;&gt;""),科目对照收入!$L11,科目对照收入!$C11)&amp;""</f>
        <v>应收账款</v>
      </c>
      <c r="F275" s="48" t="str">
        <f aca="false">IF(AND(ROUND($G275,2)&lt;0,科目对照收入!$L11&lt;&gt;""),科目对照收入!$M11,科目对照收入!$D11)&amp;""</f>
        <v>饿了么</v>
      </c>
      <c r="G275" s="49" t="n">
        <f aca="false">IF(COUNTIFS(输入平台!$A:$A,助手收入!$X14,输入平台!$B:$B,科目对照收入!$B11)&gt;0,ROUND(SUMIFS(输入平台!$C:$C,输入平台!$A:$A,助手收入!$X14,输入平台!$B:$B,科目对照收入!$B11),2),ROUND(海典汇总!$N$15,2))</f>
        <v>0</v>
      </c>
      <c r="H275" s="49" t="str">
        <f aca="false">IF(ROUND($G275,2)&gt;0,ROUND($G275,2),"")</f>
        <v/>
      </c>
      <c r="I275" s="49" t="str">
        <f aca="false">IF(ROUND($G275,2)&lt;0,-ROUND($G275,2),"")</f>
        <v/>
      </c>
      <c r="J275" s="20" t="n">
        <f aca="false">IF(ROUND($G275,2)=0,0,1)</f>
        <v>0</v>
      </c>
      <c r="K275" s="20" t="str">
        <f aca="false">IF($J275=0,"",SUM($J$266:$J275))</f>
        <v/>
      </c>
      <c r="L275" s="20" t="str">
        <f aca="false">IF($K275="","",$A275*100+$K275)</f>
        <v/>
      </c>
      <c r="M275" s="48" t="str">
        <f aca="false">参数!$B$3</f>
        <v>7月收入</v>
      </c>
    </row>
    <row r="276" customFormat="false" ht="13.5" hidden="false" customHeight="false" outlineLevel="0" collapsed="false">
      <c r="A276" s="47" t="n">
        <v>13</v>
      </c>
      <c r="B276" s="38" t="n">
        <f aca="false">助手收入!$B14</f>
        <v>2014</v>
      </c>
      <c r="C276" s="48" t="str">
        <f aca="false">助手收入!$C14</f>
        <v>博桥店</v>
      </c>
      <c r="D276" s="48" t="str">
        <f aca="false">科目对照收入!$B12&amp;""</f>
        <v>京东秒送</v>
      </c>
      <c r="E276" s="48" t="str">
        <f aca="false">IF(AND(ROUND($G276,2)&lt;0,科目对照收入!$L12&lt;&gt;""),科目对照收入!$L12,科目对照收入!$C12)&amp;""</f>
        <v>应收账款</v>
      </c>
      <c r="F276" s="48" t="str">
        <f aca="false">IF(AND(ROUND($G276,2)&lt;0,科目对照收入!$L12&lt;&gt;""),科目对照收入!$M12,科目对照收入!$D12)&amp;""</f>
        <v>京东秒送</v>
      </c>
      <c r="G276" s="49" t="n">
        <f aca="false">IF(COUNTIFS(输入平台!$A:$A,助手收入!$X14,输入平台!$B:$B,科目对照收入!$B12)&gt;0,ROUND(SUMIFS(输入平台!$C:$C,输入平台!$A:$A,助手收入!$X14,输入平台!$B:$B,科目对照收入!$B12),2),ROUND(海典汇总!$O$15,2))</f>
        <v>0</v>
      </c>
      <c r="H276" s="49" t="str">
        <f aca="false">IF(ROUND($G276,2)&gt;0,ROUND($G276,2),"")</f>
        <v/>
      </c>
      <c r="I276" s="49" t="str">
        <f aca="false">IF(ROUND($G276,2)&lt;0,-ROUND($G276,2),"")</f>
        <v/>
      </c>
      <c r="J276" s="20" t="n">
        <f aca="false">IF(ROUND($G276,2)=0,0,1)</f>
        <v>0</v>
      </c>
      <c r="K276" s="20" t="str">
        <f aca="false">IF($J276=0,"",SUM($J$266:$J276))</f>
        <v/>
      </c>
      <c r="L276" s="20" t="str">
        <f aca="false">IF($K276="","",$A276*100+$K276)</f>
        <v/>
      </c>
      <c r="M276" s="48" t="str">
        <f aca="false">参数!$B$3</f>
        <v>7月收入</v>
      </c>
    </row>
    <row r="277" customFormat="false" ht="13.5" hidden="false" customHeight="false" outlineLevel="0" collapsed="false">
      <c r="A277" s="47" t="n">
        <v>13</v>
      </c>
      <c r="B277" s="38" t="n">
        <f aca="false">助手收入!$B14</f>
        <v>2014</v>
      </c>
      <c r="C277" s="48" t="str">
        <f aca="false">助手收入!$C14</f>
        <v>博桥店</v>
      </c>
      <c r="D277" s="48" t="str">
        <f aca="false">科目对照收入!$B13&amp;""</f>
        <v>银联</v>
      </c>
      <c r="E277" s="48" t="str">
        <f aca="false">IF(AND(ROUND($G277,2)&lt;0,科目对照收入!$L13&lt;&gt;""),科目对照收入!$L13,科目对照收入!$C13)&amp;""</f>
        <v>应收账款</v>
      </c>
      <c r="F277" s="48" t="str">
        <f aca="false">IF(AND(ROUND($G277,2)&lt;0,科目对照收入!$L13&lt;&gt;""),科目对照收入!$M13,科目对照收入!$D13)&amp;""</f>
        <v>银联</v>
      </c>
      <c r="G277" s="49" t="n">
        <f aca="false">IF(COUNTIFS(输入平台!$A:$A,助手收入!$X14,输入平台!$B:$B,科目对照收入!$B13)&gt;0,ROUND(SUMIFS(输入平台!$C:$C,输入平台!$A:$A,助手收入!$X14,输入平台!$B:$B,科目对照收入!$B13),2),ROUND(海典汇总!$V$15,2))</f>
        <v>0</v>
      </c>
      <c r="H277" s="49" t="str">
        <f aca="false">IF(ROUND($G277,2)&gt;0,ROUND($G277,2),"")</f>
        <v/>
      </c>
      <c r="I277" s="49" t="str">
        <f aca="false">IF(ROUND($G277,2)&lt;0,-ROUND($G277,2),"")</f>
        <v/>
      </c>
      <c r="J277" s="20" t="n">
        <f aca="false">IF(ROUND($G277,2)=0,0,1)</f>
        <v>0</v>
      </c>
      <c r="K277" s="20" t="str">
        <f aca="false">IF($J277=0,"",SUM($J$266:$J277))</f>
        <v/>
      </c>
      <c r="L277" s="20" t="str">
        <f aca="false">IF($K277="","",$A277*100+$K277)</f>
        <v/>
      </c>
      <c r="M277" s="48" t="str">
        <f aca="false">参数!$B$3</f>
        <v>7月收入</v>
      </c>
    </row>
    <row r="278" customFormat="false" ht="13.5" hidden="false" customHeight="false" outlineLevel="0" collapsed="false">
      <c r="A278" s="47" t="n">
        <v>13</v>
      </c>
      <c r="B278" s="38" t="n">
        <f aca="false">助手收入!$B14</f>
        <v>2014</v>
      </c>
      <c r="C278" s="48" t="str">
        <f aca="false">助手收入!$C14</f>
        <v>博桥店</v>
      </c>
      <c r="D278" s="48" t="str">
        <f aca="false">科目对照收入!$B14&amp;""</f>
        <v>小镇外卖</v>
      </c>
      <c r="E278" s="48" t="str">
        <f aca="false">IF(AND(ROUND($G278,2)&lt;0,科目对照收入!$L14&lt;&gt;""),科目对照收入!$L14,科目对照收入!$C14)&amp;""</f>
        <v>应收账款</v>
      </c>
      <c r="F278" s="48" t="str">
        <f aca="false">IF(AND(ROUND($G278,2)&lt;0,科目对照收入!$L14&lt;&gt;""),科目对照收入!$M14,科目对照收入!$D14)&amp;""</f>
        <v>小镇外卖</v>
      </c>
      <c r="G278" s="49" t="n">
        <f aca="false">IF(COUNTIFS(输入平台!$A:$A,助手收入!$X14,输入平台!$B:$B,科目对照收入!$B14)&gt;0,ROUND(SUMIFS(输入平台!$C:$C,输入平台!$A:$A,助手收入!$X14,输入平台!$B:$B,科目对照收入!$B14),2),ROUND(海典汇总!$AC$15,2))</f>
        <v>0</v>
      </c>
      <c r="H278" s="49" t="str">
        <f aca="false">IF(ROUND($G278,2)&gt;0,ROUND($G278,2),"")</f>
        <v/>
      </c>
      <c r="I278" s="49" t="str">
        <f aca="false">IF(ROUND($G278,2)&lt;0,-ROUND($G278,2),"")</f>
        <v/>
      </c>
      <c r="J278" s="20" t="n">
        <f aca="false">IF(ROUND($G278,2)=0,0,1)</f>
        <v>0</v>
      </c>
      <c r="K278" s="20" t="str">
        <f aca="false">IF($J278=0,"",SUM($J$266:$J278))</f>
        <v/>
      </c>
      <c r="L278" s="20" t="str">
        <f aca="false">IF($K278="","",$A278*100+$K278)</f>
        <v/>
      </c>
      <c r="M278" s="48" t="str">
        <f aca="false">参数!$B$3</f>
        <v>7月收入</v>
      </c>
    </row>
    <row r="279" customFormat="false" ht="13.5" hidden="false" customHeight="false" outlineLevel="0" collapsed="false">
      <c r="A279" s="47" t="n">
        <v>13</v>
      </c>
      <c r="B279" s="38" t="n">
        <f aca="false">助手收入!$B14</f>
        <v>2014</v>
      </c>
      <c r="C279" s="48" t="str">
        <f aca="false">助手收入!$C14</f>
        <v>博桥店</v>
      </c>
      <c r="D279" s="48" t="str">
        <f aca="false">科目对照收入!$B15&amp;""</f>
        <v>OMS线上支付</v>
      </c>
      <c r="E279" s="48" t="str">
        <f aca="false">IF(AND(ROUND($G279,2)&lt;0,科目对照收入!$L15&lt;&gt;""),科目对照收入!$L15,科目对照收入!$C15)&amp;""</f>
        <v>应收账款</v>
      </c>
      <c r="F279" s="48" t="str">
        <f aca="false">IF(AND(ROUND($G279,2)&lt;0,科目对照收入!$L15&lt;&gt;""),科目对照收入!$M15,科目对照收入!$D15)&amp;""</f>
        <v>OMS线上</v>
      </c>
      <c r="G279" s="49" t="n">
        <f aca="false">IF(COUNTIFS(输入平台!$A:$A,助手收入!$X14,输入平台!$B:$B,科目对照收入!$B15)&gt;0,ROUND(SUMIFS(输入平台!$C:$C,输入平台!$A:$A,助手收入!$X14,输入平台!$B:$B,科目对照收入!$B15),2),ROUND(海典汇总!$L$15,2))</f>
        <v>0</v>
      </c>
      <c r="H279" s="49" t="str">
        <f aca="false">IF(ROUND($G279,2)&gt;0,ROUND($G279,2),"")</f>
        <v/>
      </c>
      <c r="I279" s="49" t="str">
        <f aca="false">IF(ROUND($G279,2)&lt;0,-ROUND($G279,2),"")</f>
        <v/>
      </c>
      <c r="J279" s="20" t="n">
        <f aca="false">IF(ROUND($G279,2)=0,0,1)</f>
        <v>0</v>
      </c>
      <c r="K279" s="20" t="str">
        <f aca="false">IF($J279=0,"",SUM($J$266:$J279))</f>
        <v/>
      </c>
      <c r="L279" s="20" t="str">
        <f aca="false">IF($K279="","",$A279*100+$K279)</f>
        <v/>
      </c>
      <c r="M279" s="48" t="str">
        <f aca="false">参数!$B$3</f>
        <v>7月收入</v>
      </c>
    </row>
    <row r="280" customFormat="false" ht="13.5" hidden="false" customHeight="false" outlineLevel="0" collapsed="false">
      <c r="A280" s="47" t="n">
        <v>13</v>
      </c>
      <c r="B280" s="38" t="n">
        <f aca="false">助手收入!$B14</f>
        <v>2014</v>
      </c>
      <c r="C280" s="48" t="str">
        <f aca="false">助手收入!$C14</f>
        <v>博桥店</v>
      </c>
      <c r="D280" s="48" t="str">
        <f aca="false">科目对照收入!$B16&amp;""</f>
        <v>平安药卡</v>
      </c>
      <c r="E280" s="48" t="str">
        <f aca="false">IF(AND(ROUND($G280,2)&lt;0,科目对照收入!$L16&lt;&gt;""),科目对照收入!$L16,科目对照收入!$C16)&amp;""</f>
        <v>应收账款</v>
      </c>
      <c r="F280" s="48" t="str">
        <f aca="false">IF(AND(ROUND($G280,2)&lt;0,科目对照收入!$L16&lt;&gt;""),科目对照收入!$M16,科目对照收入!$D16)&amp;""</f>
        <v>平安</v>
      </c>
      <c r="G280" s="49" t="n">
        <f aca="false">IF(COUNTIFS(输入平台!$A:$A,助手收入!$X14,输入平台!$B:$B,科目对照收入!$B16)&gt;0,ROUND(SUMIFS(输入平台!$C:$C,输入平台!$A:$A,助手收入!$X14,输入平台!$B:$B,科目对照收入!$B16),2),ROUND(海典汇总!$AB$15,2))</f>
        <v>0</v>
      </c>
      <c r="H280" s="49" t="str">
        <f aca="false">IF(ROUND($G280,2)&gt;0,ROUND($G280,2),"")</f>
        <v/>
      </c>
      <c r="I280" s="49" t="str">
        <f aca="false">IF(ROUND($G280,2)&lt;0,-ROUND($G280,2),"")</f>
        <v/>
      </c>
      <c r="J280" s="20" t="n">
        <f aca="false">IF(ROUND($G280,2)=0,0,1)</f>
        <v>0</v>
      </c>
      <c r="K280" s="20" t="str">
        <f aca="false">IF($J280=0,"",SUM($J$266:$J280))</f>
        <v/>
      </c>
      <c r="L280" s="20" t="str">
        <f aca="false">IF($K280="","",$A280*100+$K280)</f>
        <v/>
      </c>
      <c r="M280" s="48" t="str">
        <f aca="false">参数!$B$3</f>
        <v>7月收入</v>
      </c>
    </row>
    <row r="281" customFormat="false" ht="13.5" hidden="false" customHeight="false" outlineLevel="0" collapsed="false">
      <c r="A281" s="47" t="n">
        <v>13</v>
      </c>
      <c r="B281" s="38" t="n">
        <f aca="false">助手收入!$B14</f>
        <v>2014</v>
      </c>
      <c r="C281" s="48" t="str">
        <f aca="false">助手收入!$C14</f>
        <v>博桥店</v>
      </c>
      <c r="D281" s="48" t="str">
        <f aca="false">科目对照收入!$B17&amp;""</f>
        <v>储值卡</v>
      </c>
      <c r="E281" s="48" t="str">
        <f aca="false">IF(AND(ROUND($G281,2)&lt;0,科目对照收入!$L17&lt;&gt;""),科目对照收入!$L17,科目对照收入!$C17)&amp;""</f>
        <v>其他应收款</v>
      </c>
      <c r="F281" s="48" t="str">
        <f aca="false">IF(AND(ROUND($G281,2)&lt;0,科目对照收入!$L17&lt;&gt;""),科目对照收入!$M17,科目对照收入!$D17)&amp;""</f>
        <v>储值卡</v>
      </c>
      <c r="G281" s="49" t="n">
        <f aca="false">ROUND(海典汇总!$Q$15,2)</f>
        <v>0</v>
      </c>
      <c r="H281" s="49" t="str">
        <f aca="false">IF(ROUND($G281,2)&gt;0,ROUND($G281,2),"")</f>
        <v/>
      </c>
      <c r="I281" s="49" t="str">
        <f aca="false">IF(ROUND($G281,2)&lt;0,-ROUND($G281,2),"")</f>
        <v/>
      </c>
      <c r="J281" s="20" t="n">
        <f aca="false">IF(ROUND($G281,2)=0,0,1)</f>
        <v>0</v>
      </c>
      <c r="K281" s="20" t="str">
        <f aca="false">IF($J281=0,"",SUM($J$266:$J281))</f>
        <v/>
      </c>
      <c r="L281" s="20" t="str">
        <f aca="false">IF($K281="","",$A281*100+$K281)</f>
        <v/>
      </c>
      <c r="M281" s="48" t="str">
        <f aca="false">参数!$B$3</f>
        <v>7月收入</v>
      </c>
    </row>
    <row r="282" customFormat="false" ht="13.5" hidden="false" customHeight="false" outlineLevel="0" collapsed="false">
      <c r="A282" s="47" t="n">
        <v>13</v>
      </c>
      <c r="B282" s="38" t="n">
        <f aca="false">助手收入!$B14</f>
        <v>2014</v>
      </c>
      <c r="C282" s="48" t="str">
        <f aca="false">助手收入!$C14</f>
        <v>博桥店</v>
      </c>
      <c r="D282" s="48" t="str">
        <f aca="false">科目对照收入!$B18&amp;""</f>
        <v>会员零钱包</v>
      </c>
      <c r="E282" s="48" t="str">
        <f aca="false">IF(AND(ROUND($G282,2)&lt;0,科目对照收入!$L18&lt;&gt;""),科目对照收入!$L18,科目对照收入!$C18)&amp;""</f>
        <v>其他应付款</v>
      </c>
      <c r="F282" s="48" t="str">
        <f aca="false">IF(AND(ROUND($G282,2)&lt;0,科目对照收入!$L18&lt;&gt;""),科目对照收入!$M18,科目对照收入!$D18)&amp;""</f>
        <v>会员零钱包</v>
      </c>
      <c r="G282" s="49" t="n">
        <f aca="false">ROUND(海典汇总!$P$15,2)</f>
        <v>-2.18</v>
      </c>
      <c r="H282" s="49" t="str">
        <f aca="false">IF(ROUND($G282,2)&gt;0,ROUND($G282,2),"")</f>
        <v/>
      </c>
      <c r="I282" s="49" t="n">
        <f aca="false">IF(ROUND($G282,2)&lt;0,-ROUND($G282,2),"")</f>
        <v>2.18</v>
      </c>
      <c r="J282" s="20" t="n">
        <f aca="false">IF(ROUND($G282,2)=0,0,1)</f>
        <v>1</v>
      </c>
      <c r="K282" s="20" t="n">
        <f aca="false">IF($J282=0,"",SUM($J$266:$J282))</f>
        <v>4</v>
      </c>
      <c r="L282" s="20" t="n">
        <f aca="false">IF($K282="","",$A282*100+$K282)</f>
        <v>1304</v>
      </c>
      <c r="M282" s="48" t="str">
        <f aca="false">参数!$B$3</f>
        <v>7月收入</v>
      </c>
    </row>
    <row r="283" customFormat="false" ht="13.5" hidden="false" customHeight="false" outlineLevel="0" collapsed="false">
      <c r="A283" s="47" t="n">
        <v>13</v>
      </c>
      <c r="B283" s="38" t="n">
        <f aca="false">助手收入!$B14</f>
        <v>2014</v>
      </c>
      <c r="C283" s="48" t="str">
        <f aca="false">助手收入!$C14</f>
        <v>博桥店</v>
      </c>
      <c r="D283" s="48" t="str">
        <f aca="false">科目对照收入!$B19&amp;""</f>
        <v>促销费</v>
      </c>
      <c r="E283" s="48" t="str">
        <f aca="false">IF(AND(ROUND($G283,2)&lt;0,科目对照收入!$L19&lt;&gt;""),科目对照收入!$L19,科目对照收入!$C19)&amp;""</f>
        <v>销售费用</v>
      </c>
      <c r="F283" s="48" t="str">
        <f aca="false">IF(AND(ROUND($G283,2)&lt;0,科目对照收入!$L19&lt;&gt;""),科目对照收入!$M19,科目对照收入!$D19)&amp;""</f>
        <v>促销费</v>
      </c>
      <c r="G283" s="49" t="n">
        <f aca="false">ROUND(海典汇总!$U$15+海典汇总!$T$15+海典汇总!$S$15,2)</f>
        <v>2214.18</v>
      </c>
      <c r="H283" s="49" t="n">
        <f aca="false">IF(ROUND($G283,2)&gt;0,ROUND($G283,2),"")</f>
        <v>2214.18</v>
      </c>
      <c r="I283" s="49" t="str">
        <f aca="false">IF(ROUND($G283,2)&lt;0,-ROUND($G283,2),"")</f>
        <v/>
      </c>
      <c r="J283" s="20" t="n">
        <f aca="false">IF(ROUND($G283,2)=0,0,1)</f>
        <v>1</v>
      </c>
      <c r="K283" s="20" t="n">
        <f aca="false">IF($J283=0,"",SUM($J$266:$J283))</f>
        <v>5</v>
      </c>
      <c r="L283" s="20" t="n">
        <f aca="false">IF($K283="","",$A283*100+$K283)</f>
        <v>1305</v>
      </c>
      <c r="M283" s="48" t="str">
        <f aca="false">参数!$B$3</f>
        <v>7月收入</v>
      </c>
    </row>
    <row r="284" customFormat="false" ht="13.5" hidden="false" customHeight="false" outlineLevel="0" collapsed="false">
      <c r="A284" s="47" t="n">
        <v>13</v>
      </c>
      <c r="B284" s="38" t="n">
        <f aca="false">助手收入!$B14</f>
        <v>2014</v>
      </c>
      <c r="C284" s="48" t="str">
        <f aca="false">助手收入!$C14</f>
        <v>博桥店</v>
      </c>
      <c r="D284" s="48" t="str">
        <f aca="false">科目对照收入!$B20&amp;""</f>
        <v>积分</v>
      </c>
      <c r="E284" s="48" t="str">
        <f aca="false">IF(AND(ROUND($G284,2)&lt;0,科目对照收入!$L20&lt;&gt;""),科目对照收入!$L20,科目对照收入!$C20)&amp;""</f>
        <v>销售费用</v>
      </c>
      <c r="F284" s="48" t="str">
        <f aca="false">IF(AND(ROUND($G284,2)&lt;0,科目对照收入!$L20&lt;&gt;""),科目对照收入!$M20,科目对照收入!$D20)&amp;""</f>
        <v>积分</v>
      </c>
      <c r="G284" s="49" t="n">
        <f aca="false">ROUND(海典汇总!$R$15,2)</f>
        <v>0</v>
      </c>
      <c r="H284" s="49" t="str">
        <f aca="false">IF(ROUND($G284,2)&gt;0,ROUND($G284,2),"")</f>
        <v/>
      </c>
      <c r="I284" s="49" t="str">
        <f aca="false">IF(ROUND($G284,2)&lt;0,-ROUND($G284,2),"")</f>
        <v/>
      </c>
      <c r="J284" s="20" t="n">
        <f aca="false">IF(ROUND($G284,2)=0,0,1)</f>
        <v>0</v>
      </c>
      <c r="K284" s="20" t="str">
        <f aca="false">IF($J284=0,"",SUM($J$266:$J284))</f>
        <v/>
      </c>
      <c r="L284" s="20" t="str">
        <f aca="false">IF($K284="","",$A284*100+$K284)</f>
        <v/>
      </c>
      <c r="M284" s="48" t="str">
        <f aca="false">参数!$B$3</f>
        <v>7月收入</v>
      </c>
    </row>
    <row r="285" customFormat="false" ht="13.5" hidden="false" customHeight="false" outlineLevel="0" collapsed="false">
      <c r="A285" s="47" t="n">
        <v>13</v>
      </c>
      <c r="B285" s="38" t="n">
        <f aca="false">助手收入!$B14</f>
        <v>2014</v>
      </c>
      <c r="C285" s="48" t="str">
        <f aca="false">助手收入!$C14</f>
        <v>博桥店</v>
      </c>
      <c r="D285" s="48" t="str">
        <f aca="false">科目对照收入!$B21&amp;""</f>
        <v>手续费</v>
      </c>
      <c r="E285" s="48" t="str">
        <f aca="false">IF(AND(ROUND($G285,2)&lt;0,科目对照收入!$L21&lt;&gt;""),科目对照收入!$L21,科目对照收入!$C21)&amp;""</f>
        <v>财务费用</v>
      </c>
      <c r="F285" s="48" t="str">
        <f aca="false">IF(AND(ROUND($G285,2)&lt;0,科目对照收入!$L21&lt;&gt;""),科目对照收入!$M21,科目对照收入!$D21)&amp;""</f>
        <v>手续费</v>
      </c>
      <c r="G285" s="49" t="n">
        <f aca="false">ROUND(SUMIFS(输入聚合!$D:$D,输入聚合!$A:$A,助手收入!$X14),2)</f>
        <v>100.4</v>
      </c>
      <c r="H285" s="49" t="n">
        <f aca="false">IF(ROUND($G285,2)&gt;0,ROUND($G285,2),"")</f>
        <v>100.4</v>
      </c>
      <c r="I285" s="49" t="str">
        <f aca="false">IF(ROUND($G285,2)&lt;0,-ROUND($G285,2),"")</f>
        <v/>
      </c>
      <c r="J285" s="20" t="n">
        <f aca="false">IF(ROUND($G285,2)=0,0,1)</f>
        <v>1</v>
      </c>
      <c r="K285" s="20" t="n">
        <f aca="false">IF($J285=0,"",SUM($J$266:$J285))</f>
        <v>6</v>
      </c>
      <c r="L285" s="20" t="n">
        <f aca="false">IF($K285="","",$A285*100+$K285)</f>
        <v>1306</v>
      </c>
      <c r="M285" s="48" t="str">
        <f aca="false">参数!$B$3</f>
        <v>7月收入</v>
      </c>
    </row>
    <row r="286" customFormat="false" ht="13.5" hidden="false" customHeight="false" outlineLevel="0" collapsed="false">
      <c r="A286" s="47" t="n">
        <v>13</v>
      </c>
      <c r="B286" s="38" t="n">
        <f aca="false">助手收入!$B14</f>
        <v>2014</v>
      </c>
      <c r="C286" s="48" t="str">
        <f aca="false">助手收入!$C14</f>
        <v>博桥店</v>
      </c>
      <c r="D286" s="48" t="str">
        <f aca="false">科目对照收入!$B22&amp;""</f>
        <v>主营业务收入</v>
      </c>
      <c r="E286" s="48" t="str">
        <f aca="false">IF(AND(ROUND($G286,2)&lt;0,科目对照收入!$L22&lt;&gt;""),科目对照收入!$L22,科目对照收入!$C22)&amp;""</f>
        <v>主营业务收入</v>
      </c>
      <c r="F286" s="48" t="str">
        <f aca="false">IF(AND(ROUND($G286,2)&lt;0,科目对照收入!$L22&lt;&gt;""),科目对照收入!$M22,科目对照收入!$D22)&amp;""</f>
        <v/>
      </c>
      <c r="G286" s="49" t="n">
        <f aca="false">-ROUND(助手收入!$G14,2)</f>
        <v>-69428.81</v>
      </c>
      <c r="H286" s="49" t="str">
        <f aca="false">IF(ROUND($G286,2)&gt;0,ROUND($G286,2),"")</f>
        <v/>
      </c>
      <c r="I286" s="49" t="n">
        <f aca="false">IF(ROUND($G286,2)&lt;0,-ROUND($G286,2),"")</f>
        <v>69428.81</v>
      </c>
      <c r="J286" s="20" t="n">
        <f aca="false">IF(ROUND($G286,2)=0,0,1)</f>
        <v>1</v>
      </c>
      <c r="K286" s="20" t="n">
        <f aca="false">IF($J286=0,"",SUM($J$266:$J286))</f>
        <v>7</v>
      </c>
      <c r="L286" s="20" t="n">
        <f aca="false">IF($K286="","",$A286*100+$K286)</f>
        <v>1307</v>
      </c>
      <c r="M286" s="48" t="str">
        <f aca="false">参数!$B$3</f>
        <v>7月收入</v>
      </c>
    </row>
    <row r="287" customFormat="false" ht="13.5" hidden="false" customHeight="false" outlineLevel="0" collapsed="false">
      <c r="A287" s="47" t="n">
        <v>13</v>
      </c>
      <c r="B287" s="38" t="n">
        <f aca="false">助手收入!$B14</f>
        <v>2014</v>
      </c>
      <c r="C287" s="48" t="str">
        <f aca="false">助手收入!$C14</f>
        <v>博桥店</v>
      </c>
      <c r="D287" s="48" t="str">
        <f aca="false">科目对照收入!$B23&amp;""</f>
        <v>营业外收入</v>
      </c>
      <c r="E287" s="48" t="str">
        <f aca="false">IF(AND(ROUND($G287,2)&lt;0,科目对照收入!$L23&lt;&gt;""),科目对照收入!$L23,科目对照收入!$C23)&amp;""</f>
        <v>营业外收入</v>
      </c>
      <c r="F287" s="48" t="str">
        <f aca="false">IF(AND(ROUND($G287,2)&lt;0,科目对照收入!$L23&lt;&gt;""),科目对照收入!$M23,科目对照收入!$D23)&amp;""</f>
        <v/>
      </c>
      <c r="G287" s="49" t="n">
        <f aca="false">-ROUND(助手收入!$J14,2)</f>
        <v>-0</v>
      </c>
      <c r="H287" s="49" t="str">
        <f aca="false">IF(ROUND($G287,2)&gt;0,ROUND($G287,2),"")</f>
        <v/>
      </c>
      <c r="I287" s="49" t="str">
        <f aca="false">IF(ROUND($G287,2)&lt;0,-ROUND($G287,2),"")</f>
        <v/>
      </c>
      <c r="J287" s="20" t="n">
        <f aca="false">IF(ROUND($G287,2)=0,0,1)</f>
        <v>0</v>
      </c>
      <c r="K287" s="20" t="str">
        <f aca="false">IF($J287=0,"",SUM($J$266:$J287))</f>
        <v/>
      </c>
      <c r="L287" s="20" t="str">
        <f aca="false">IF($K287="","",$A287*100+$K287)</f>
        <v/>
      </c>
      <c r="M287" s="48" t="str">
        <f aca="false">参数!$B$3</f>
        <v>7月收入</v>
      </c>
    </row>
    <row r="288" customFormat="false" ht="13.5" hidden="false" customHeight="false" outlineLevel="0" collapsed="false">
      <c r="A288" s="47" t="n">
        <v>14</v>
      </c>
      <c r="B288" s="38" t="n">
        <f aca="false">助手收入!$B15</f>
        <v>2015</v>
      </c>
      <c r="C288" s="48" t="str">
        <f aca="false">助手收入!$C15</f>
        <v>齐村店</v>
      </c>
      <c r="D288" s="48" t="str">
        <f aca="false">科目对照收入!$B2&amp;""</f>
        <v>库存现金</v>
      </c>
      <c r="E288" s="48" t="str">
        <f aca="false">IF(AND(ROUND($G288,2)&lt;0,科目对照收入!$L2&lt;&gt;""),科目对照收入!$L2,科目对照收入!$C2)&amp;""</f>
        <v>库存现金</v>
      </c>
      <c r="F288" s="48" t="str">
        <f aca="false">IF(AND(ROUND($G288,2)&lt;0,科目对照收入!$L2&lt;&gt;""),科目对照收入!$M2,科目对照收入!$D2)&amp;""</f>
        <v/>
      </c>
      <c r="G288" s="49" t="n">
        <f aca="false">助手收入!$I15</f>
        <v>28193.19</v>
      </c>
      <c r="H288" s="49" t="n">
        <f aca="false">IF(ROUND($G288,2)&gt;0,ROUND($G288,2),"")</f>
        <v>28193.19</v>
      </c>
      <c r="I288" s="49" t="str">
        <f aca="false">IF(ROUND($G288,2)&lt;0,-ROUND($G288,2),"")</f>
        <v/>
      </c>
      <c r="J288" s="20" t="n">
        <f aca="false">IF(ROUND($G288,2)=0,0,1)</f>
        <v>1</v>
      </c>
      <c r="K288" s="20" t="n">
        <f aca="false">IF($J288=0,"",SUM($J$288:$J288))</f>
        <v>1</v>
      </c>
      <c r="L288" s="20" t="n">
        <f aca="false">IF($K288="","",$A288*100+$K288)</f>
        <v>1401</v>
      </c>
      <c r="M288" s="48" t="str">
        <f aca="false">参数!$B$3</f>
        <v>7月收入</v>
      </c>
    </row>
    <row r="289" customFormat="false" ht="13.5" hidden="false" customHeight="false" outlineLevel="0" collapsed="false">
      <c r="A289" s="47" t="n">
        <v>14</v>
      </c>
      <c r="B289" s="38" t="n">
        <f aca="false">助手收入!$B15</f>
        <v>2015</v>
      </c>
      <c r="C289" s="48" t="str">
        <f aca="false">助手收入!$C15</f>
        <v>齐村店</v>
      </c>
      <c r="D289" s="48" t="str">
        <f aca="false">科目对照收入!$B3&amp;""</f>
        <v>聚合支付</v>
      </c>
      <c r="E289" s="48" t="str">
        <f aca="false">IF(AND(ROUND($G289,2)&lt;0,科目对照收入!$L3&lt;&gt;""),科目对照收入!$L3,科目对照收入!$C3)&amp;""</f>
        <v>应收账款</v>
      </c>
      <c r="F289" s="48" t="str">
        <f aca="false">IF(AND(ROUND($G289,2)&lt;0,科目对照收入!$L3&lt;&gt;""),科目对照收入!$M3,科目对照收入!$D3)&amp;""</f>
        <v>聚合支付</v>
      </c>
      <c r="G289" s="49" t="n">
        <f aca="false">ROUND(SUMIFS(输入聚合!$C:$C,输入聚合!$A:$A,助手收入!$X15)-SUMIFS(输入聚合!$D:$D,输入聚合!$A:$A,助手收入!$X15),2)</f>
        <v>0</v>
      </c>
      <c r="H289" s="49" t="str">
        <f aca="false">IF(ROUND($G289,2)&gt;0,ROUND($G289,2),"")</f>
        <v/>
      </c>
      <c r="I289" s="49" t="str">
        <f aca="false">IF(ROUND($G289,2)&lt;0,-ROUND($G289,2),"")</f>
        <v/>
      </c>
      <c r="J289" s="20" t="n">
        <f aca="false">IF(ROUND($G289,2)=0,0,1)</f>
        <v>0</v>
      </c>
      <c r="K289" s="20" t="str">
        <f aca="false">IF($J289=0,"",SUM($J$288:$J289))</f>
        <v/>
      </c>
      <c r="L289" s="20" t="str">
        <f aca="false">IF($K289="","",$A289*100+$K289)</f>
        <v/>
      </c>
      <c r="M289" s="48" t="str">
        <f aca="false">参数!$B$3</f>
        <v>7月收入</v>
      </c>
    </row>
    <row r="290" customFormat="false" ht="13.5" hidden="false" customHeight="false" outlineLevel="0" collapsed="false">
      <c r="A290" s="47" t="n">
        <v>14</v>
      </c>
      <c r="B290" s="38" t="n">
        <f aca="false">助手收入!$B15</f>
        <v>2015</v>
      </c>
      <c r="C290" s="48" t="str">
        <f aca="false">助手收入!$C15</f>
        <v>齐村店</v>
      </c>
      <c r="D290" s="48" t="str">
        <f aca="false">科目对照收入!$B4&amp;""</f>
        <v>医保</v>
      </c>
      <c r="E290" s="48" t="str">
        <f aca="false">IF(AND(ROUND($G290,2)&lt;0,科目对照收入!$L4&lt;&gt;""),科目对照收入!$L4,科目对照收入!$C4)&amp;""</f>
        <v>应收账款</v>
      </c>
      <c r="F290" s="48" t="str">
        <f aca="false">IF(AND(ROUND($G290,2)&lt;0,科目对照收入!$L4&lt;&gt;""),科目对照收入!$M4,科目对照收入!$D4)&amp;""</f>
        <v>医保</v>
      </c>
      <c r="G290" s="49" t="n">
        <f aca="false">IF(COUNTIFS(输入平台!$A:$A,助手收入!$X15,输入平台!$B:$B,科目对照收入!$B4)&gt;0,ROUND(SUMIFS(输入平台!$C:$C,输入平台!$A:$A,助手收入!$X15,输入平台!$B:$B,科目对照收入!$B4),2),ROUND(海典汇总!$F$16+海典汇总!$G$16,2))</f>
        <v>0</v>
      </c>
      <c r="H290" s="49" t="str">
        <f aca="false">IF(ROUND($G290,2)&gt;0,ROUND($G290,2),"")</f>
        <v/>
      </c>
      <c r="I290" s="49" t="str">
        <f aca="false">IF(ROUND($G290,2)&lt;0,-ROUND($G290,2),"")</f>
        <v/>
      </c>
      <c r="J290" s="20" t="n">
        <f aca="false">IF(ROUND($G290,2)=0,0,1)</f>
        <v>0</v>
      </c>
      <c r="K290" s="20" t="str">
        <f aca="false">IF($J290=0,"",SUM($J$288:$J290))</f>
        <v/>
      </c>
      <c r="L290" s="20" t="str">
        <f aca="false">IF($K290="","",$A290*100+$K290)</f>
        <v/>
      </c>
      <c r="M290" s="48" t="str">
        <f aca="false">参数!$B$3</f>
        <v>7月收入</v>
      </c>
    </row>
    <row r="291" customFormat="false" ht="13.5" hidden="false" customHeight="false" outlineLevel="0" collapsed="false">
      <c r="A291" s="47" t="n">
        <v>14</v>
      </c>
      <c r="B291" s="38" t="n">
        <f aca="false">助手收入!$B15</f>
        <v>2015</v>
      </c>
      <c r="C291" s="48" t="str">
        <f aca="false">助手收入!$C15</f>
        <v>齐村店</v>
      </c>
      <c r="D291" s="48" t="str">
        <f aca="false">科目对照收入!$B5&amp;""</f>
        <v>健e卡</v>
      </c>
      <c r="E291" s="48" t="str">
        <f aca="false">IF(AND(ROUND($G291,2)&lt;0,科目对照收入!$L5&lt;&gt;""),科目对照收入!$L5,科目对照收入!$C5)&amp;""</f>
        <v>应收账款</v>
      </c>
      <c r="F291" s="48" t="str">
        <f aca="false">IF(AND(ROUND($G291,2)&lt;0,科目对照收入!$L5&lt;&gt;""),科目对照收入!$M5,科目对照收入!$D5)&amp;""</f>
        <v>健e卡</v>
      </c>
      <c r="G291" s="49" t="n">
        <f aca="false">IF(COUNTIFS(输入平台!$A:$A,助手收入!$X15,输入平台!$B:$B,科目对照收入!$B5)&gt;0,ROUND(SUMIFS(输入平台!$C:$C,输入平台!$A:$A,助手收入!$X15,输入平台!$B:$B,科目对照收入!$B5),2),ROUND(海典汇总!$H$16,2))</f>
        <v>0</v>
      </c>
      <c r="H291" s="49" t="str">
        <f aca="false">IF(ROUND($G291,2)&gt;0,ROUND($G291,2),"")</f>
        <v/>
      </c>
      <c r="I291" s="49" t="str">
        <f aca="false">IF(ROUND($G291,2)&lt;0,-ROUND($G291,2),"")</f>
        <v/>
      </c>
      <c r="J291" s="20" t="n">
        <f aca="false">IF(ROUND($G291,2)=0,0,1)</f>
        <v>0</v>
      </c>
      <c r="K291" s="20" t="str">
        <f aca="false">IF($J291=0,"",SUM($J$288:$J291))</f>
        <v/>
      </c>
      <c r="L291" s="20" t="str">
        <f aca="false">IF($K291="","",$A291*100+$K291)</f>
        <v/>
      </c>
      <c r="M291" s="48" t="str">
        <f aca="false">参数!$B$3</f>
        <v>7月收入</v>
      </c>
    </row>
    <row r="292" customFormat="false" ht="13.5" hidden="false" customHeight="false" outlineLevel="0" collapsed="false">
      <c r="A292" s="47" t="n">
        <v>14</v>
      </c>
      <c r="B292" s="38" t="n">
        <f aca="false">助手收入!$B15</f>
        <v>2015</v>
      </c>
      <c r="C292" s="48" t="str">
        <f aca="false">助手收入!$C15</f>
        <v>齐村店</v>
      </c>
      <c r="D292" s="48" t="str">
        <f aca="false">科目对照收入!$B6&amp;""</f>
        <v>医卡通</v>
      </c>
      <c r="E292" s="48" t="str">
        <f aca="false">IF(AND(ROUND($G292,2)&lt;0,科目对照收入!$L6&lt;&gt;""),科目对照收入!$L6,科目对照收入!$C6)&amp;""</f>
        <v>应收账款</v>
      </c>
      <c r="F292" s="48" t="str">
        <f aca="false">IF(AND(ROUND($G292,2)&lt;0,科目对照收入!$L6&lt;&gt;""),科目对照收入!$M6,科目对照收入!$D6)&amp;""</f>
        <v>医卡通</v>
      </c>
      <c r="G292" s="49" t="n">
        <f aca="false">IF(COUNTIFS(输入平台!$A:$A,助手收入!$X15,输入平台!$B:$B,科目对照收入!$B6)&gt;0,ROUND(SUMIFS(输入平台!$C:$C,输入平台!$A:$A,助手收入!$X15,输入平台!$B:$B,科目对照收入!$B6),2),ROUND(海典汇总!$I$16,2))</f>
        <v>0</v>
      </c>
      <c r="H292" s="49" t="str">
        <f aca="false">IF(ROUND($G292,2)&gt;0,ROUND($G292,2),"")</f>
        <v/>
      </c>
      <c r="I292" s="49" t="str">
        <f aca="false">IF(ROUND($G292,2)&lt;0,-ROUND($G292,2),"")</f>
        <v/>
      </c>
      <c r="J292" s="20" t="n">
        <f aca="false">IF(ROUND($G292,2)=0,0,1)</f>
        <v>0</v>
      </c>
      <c r="K292" s="20" t="str">
        <f aca="false">IF($J292=0,"",SUM($J$288:$J292))</f>
        <v/>
      </c>
      <c r="L292" s="20" t="str">
        <f aca="false">IF($K292="","",$A292*100+$K292)</f>
        <v/>
      </c>
      <c r="M292" s="48" t="str">
        <f aca="false">参数!$B$3</f>
        <v>7月收入</v>
      </c>
    </row>
    <row r="293" customFormat="false" ht="13.5" hidden="false" customHeight="false" outlineLevel="0" collapsed="false">
      <c r="A293" s="47" t="n">
        <v>14</v>
      </c>
      <c r="B293" s="38" t="n">
        <f aca="false">助手收入!$B15</f>
        <v>2015</v>
      </c>
      <c r="C293" s="48" t="str">
        <f aca="false">助手收入!$C15</f>
        <v>齐村店</v>
      </c>
      <c r="D293" s="48" t="str">
        <f aca="false">科目对照收入!$B7&amp;""</f>
        <v>企健网</v>
      </c>
      <c r="E293" s="48" t="str">
        <f aca="false">IF(AND(ROUND($G293,2)&lt;0,科目对照收入!$L7&lt;&gt;""),科目对照收入!$L7,科目对照收入!$C7)&amp;""</f>
        <v>应收账款</v>
      </c>
      <c r="F293" s="48" t="str">
        <f aca="false">IF(AND(ROUND($G293,2)&lt;0,科目对照收入!$L7&lt;&gt;""),科目对照收入!$M7,科目对照收入!$D7)&amp;""</f>
        <v>企健网</v>
      </c>
      <c r="G293" s="49" t="n">
        <f aca="false">IF(COUNTIFS(输入平台!$A:$A,助手收入!$X15,输入平台!$B:$B,科目对照收入!$B7)&gt;0,ROUND(SUMIFS(输入平台!$C:$C,输入平台!$A:$A,助手收入!$X15,输入平台!$B:$B,科目对照收入!$B7),2),ROUND(海典汇总!$J$16,2))</f>
        <v>0</v>
      </c>
      <c r="H293" s="49" t="str">
        <f aca="false">IF(ROUND($G293,2)&gt;0,ROUND($G293,2),"")</f>
        <v/>
      </c>
      <c r="I293" s="49" t="str">
        <f aca="false">IF(ROUND($G293,2)&lt;0,-ROUND($G293,2),"")</f>
        <v/>
      </c>
      <c r="J293" s="20" t="n">
        <f aca="false">IF(ROUND($G293,2)=0,0,1)</f>
        <v>0</v>
      </c>
      <c r="K293" s="20" t="str">
        <f aca="false">IF($J293=0,"",SUM($J$288:$J293))</f>
        <v/>
      </c>
      <c r="L293" s="20" t="str">
        <f aca="false">IF($K293="","",$A293*100+$K293)</f>
        <v/>
      </c>
      <c r="M293" s="48" t="str">
        <f aca="false">参数!$B$3</f>
        <v>7月收入</v>
      </c>
    </row>
    <row r="294" customFormat="false" ht="13.5" hidden="false" customHeight="false" outlineLevel="0" collapsed="false">
      <c r="A294" s="47" t="n">
        <v>14</v>
      </c>
      <c r="B294" s="38" t="n">
        <f aca="false">助手收入!$B15</f>
        <v>2015</v>
      </c>
      <c r="C294" s="48" t="str">
        <f aca="false">助手收入!$C15</f>
        <v>齐村店</v>
      </c>
      <c r="D294" s="48" t="str">
        <f aca="false">科目对照收入!$B8&amp;""</f>
        <v>亲情卡</v>
      </c>
      <c r="E294" s="48" t="str">
        <f aca="false">IF(AND(ROUND($G294,2)&lt;0,科目对照收入!$L8&lt;&gt;""),科目对照收入!$L8,科目对照收入!$C8)&amp;""</f>
        <v>应收账款</v>
      </c>
      <c r="F294" s="48" t="str">
        <f aca="false">IF(AND(ROUND($G294,2)&lt;0,科目对照收入!$L8&lt;&gt;""),科目对照收入!$M8,科目对照收入!$D8)&amp;""</f>
        <v>亲情卡</v>
      </c>
      <c r="G294" s="49" t="n">
        <f aca="false">IF(COUNTIFS(输入平台!$A:$A,助手收入!$X15,输入平台!$B:$B,科目对照收入!$B8)&gt;0,ROUND(SUMIFS(输入平台!$C:$C,输入平台!$A:$A,助手收入!$X15,输入平台!$B:$B,科目对照收入!$B8),2),ROUND(海典汇总!$Z$16,2))</f>
        <v>0</v>
      </c>
      <c r="H294" s="49" t="str">
        <f aca="false">IF(ROUND($G294,2)&gt;0,ROUND($G294,2),"")</f>
        <v/>
      </c>
      <c r="I294" s="49" t="str">
        <f aca="false">IF(ROUND($G294,2)&lt;0,-ROUND($G294,2),"")</f>
        <v/>
      </c>
      <c r="J294" s="20" t="n">
        <f aca="false">IF(ROUND($G294,2)=0,0,1)</f>
        <v>0</v>
      </c>
      <c r="K294" s="20" t="str">
        <f aca="false">IF($J294=0,"",SUM($J$288:$J294))</f>
        <v/>
      </c>
      <c r="L294" s="20" t="str">
        <f aca="false">IF($K294="","",$A294*100+$K294)</f>
        <v/>
      </c>
      <c r="M294" s="48" t="str">
        <f aca="false">参数!$B$3</f>
        <v>7月收入</v>
      </c>
    </row>
    <row r="295" customFormat="false" ht="13.5" hidden="false" customHeight="false" outlineLevel="0" collapsed="false">
      <c r="A295" s="47" t="n">
        <v>14</v>
      </c>
      <c r="B295" s="38" t="n">
        <f aca="false">助手收入!$B15</f>
        <v>2015</v>
      </c>
      <c r="C295" s="48" t="str">
        <f aca="false">助手收入!$C15</f>
        <v>齐村店</v>
      </c>
      <c r="D295" s="48" t="str">
        <f aca="false">科目对照收入!$B9&amp;""</f>
        <v>24小时</v>
      </c>
      <c r="E295" s="48" t="str">
        <f aca="false">IF(AND(ROUND($G295,2)&lt;0,科目对照收入!$L9&lt;&gt;""),科目对照收入!$L9,科目对照收入!$C9)&amp;""</f>
        <v>应收账款</v>
      </c>
      <c r="F295" s="48" t="str">
        <f aca="false">IF(AND(ROUND($G295,2)&lt;0,科目对照收入!$L9&lt;&gt;""),科目对照收入!$M9,科目对照收入!$D9)&amp;""</f>
        <v>24小时</v>
      </c>
      <c r="G295" s="49" t="n">
        <f aca="false">IF(COUNTIFS(输入平台!$A:$A,助手收入!$X15,输入平台!$B:$B,科目对照收入!$B9)&gt;0,ROUND(SUMIFS(输入平台!$C:$C,输入平台!$A:$A,助手收入!$X15,输入平台!$B:$B,科目对照收入!$B9),2),ROUND(海典汇总!$K$16,2))</f>
        <v>0</v>
      </c>
      <c r="H295" s="49" t="str">
        <f aca="false">IF(ROUND($G295,2)&gt;0,ROUND($G295,2),"")</f>
        <v/>
      </c>
      <c r="I295" s="49" t="str">
        <f aca="false">IF(ROUND($G295,2)&lt;0,-ROUND($G295,2),"")</f>
        <v/>
      </c>
      <c r="J295" s="20" t="n">
        <f aca="false">IF(ROUND($G295,2)=0,0,1)</f>
        <v>0</v>
      </c>
      <c r="K295" s="20" t="str">
        <f aca="false">IF($J295=0,"",SUM($J$288:$J295))</f>
        <v/>
      </c>
      <c r="L295" s="20" t="str">
        <f aca="false">IF($K295="","",$A295*100+$K295)</f>
        <v/>
      </c>
      <c r="M295" s="48" t="str">
        <f aca="false">参数!$B$3</f>
        <v>7月收入</v>
      </c>
    </row>
    <row r="296" customFormat="false" ht="13.5" hidden="false" customHeight="false" outlineLevel="0" collapsed="false">
      <c r="A296" s="47" t="n">
        <v>14</v>
      </c>
      <c r="B296" s="38" t="n">
        <f aca="false">助手收入!$B15</f>
        <v>2015</v>
      </c>
      <c r="C296" s="48" t="str">
        <f aca="false">助手收入!$C15</f>
        <v>齐村店</v>
      </c>
      <c r="D296" s="48" t="str">
        <f aca="false">科目对照收入!$B10&amp;""</f>
        <v>美团</v>
      </c>
      <c r="E296" s="48" t="str">
        <f aca="false">IF(AND(ROUND($G296,2)&lt;0,科目对照收入!$L10&lt;&gt;""),科目对照收入!$L10,科目对照收入!$C10)&amp;""</f>
        <v>应收账款</v>
      </c>
      <c r="F296" s="48" t="str">
        <f aca="false">IF(AND(ROUND($G296,2)&lt;0,科目对照收入!$L10&lt;&gt;""),科目对照收入!$M10,科目对照收入!$D10)&amp;""</f>
        <v>美团</v>
      </c>
      <c r="G296" s="49" t="n">
        <f aca="false">IF(COUNTIFS(输入平台!$A:$A,助手收入!$X15,输入平台!$B:$B,科目对照收入!$B10)&gt;0,ROUND(SUMIFS(输入平台!$C:$C,输入平台!$A:$A,助手收入!$X15,输入平台!$B:$B,科目对照收入!$B10),2),ROUND(海典汇总!$M$16,2))</f>
        <v>0</v>
      </c>
      <c r="H296" s="49" t="str">
        <f aca="false">IF(ROUND($G296,2)&gt;0,ROUND($G296,2),"")</f>
        <v/>
      </c>
      <c r="I296" s="49" t="str">
        <f aca="false">IF(ROUND($G296,2)&lt;0,-ROUND($G296,2),"")</f>
        <v/>
      </c>
      <c r="J296" s="20" t="n">
        <f aca="false">IF(ROUND($G296,2)=0,0,1)</f>
        <v>0</v>
      </c>
      <c r="K296" s="20" t="str">
        <f aca="false">IF($J296=0,"",SUM($J$288:$J296))</f>
        <v/>
      </c>
      <c r="L296" s="20" t="str">
        <f aca="false">IF($K296="","",$A296*100+$K296)</f>
        <v/>
      </c>
      <c r="M296" s="48" t="str">
        <f aca="false">参数!$B$3</f>
        <v>7月收入</v>
      </c>
    </row>
    <row r="297" customFormat="false" ht="13.5" hidden="false" customHeight="false" outlineLevel="0" collapsed="false">
      <c r="A297" s="47" t="n">
        <v>14</v>
      </c>
      <c r="B297" s="38" t="n">
        <f aca="false">助手收入!$B15</f>
        <v>2015</v>
      </c>
      <c r="C297" s="48" t="str">
        <f aca="false">助手收入!$C15</f>
        <v>齐村店</v>
      </c>
      <c r="D297" s="48" t="str">
        <f aca="false">科目对照收入!$B11&amp;""</f>
        <v>饿了么</v>
      </c>
      <c r="E297" s="48" t="str">
        <f aca="false">IF(AND(ROUND($G297,2)&lt;0,科目对照收入!$L11&lt;&gt;""),科目对照收入!$L11,科目对照收入!$C11)&amp;""</f>
        <v>应收账款</v>
      </c>
      <c r="F297" s="48" t="str">
        <f aca="false">IF(AND(ROUND($G297,2)&lt;0,科目对照收入!$L11&lt;&gt;""),科目对照收入!$M11,科目对照收入!$D11)&amp;""</f>
        <v>饿了么</v>
      </c>
      <c r="G297" s="49" t="n">
        <f aca="false">IF(COUNTIFS(输入平台!$A:$A,助手收入!$X15,输入平台!$B:$B,科目对照收入!$B11)&gt;0,ROUND(SUMIFS(输入平台!$C:$C,输入平台!$A:$A,助手收入!$X15,输入平台!$B:$B,科目对照收入!$B11),2),ROUND(海典汇总!$N$16,2))</f>
        <v>0</v>
      </c>
      <c r="H297" s="49" t="str">
        <f aca="false">IF(ROUND($G297,2)&gt;0,ROUND($G297,2),"")</f>
        <v/>
      </c>
      <c r="I297" s="49" t="str">
        <f aca="false">IF(ROUND($G297,2)&lt;0,-ROUND($G297,2),"")</f>
        <v/>
      </c>
      <c r="J297" s="20" t="n">
        <f aca="false">IF(ROUND($G297,2)=0,0,1)</f>
        <v>0</v>
      </c>
      <c r="K297" s="20" t="str">
        <f aca="false">IF($J297=0,"",SUM($J$288:$J297))</f>
        <v/>
      </c>
      <c r="L297" s="20" t="str">
        <f aca="false">IF($K297="","",$A297*100+$K297)</f>
        <v/>
      </c>
      <c r="M297" s="48" t="str">
        <f aca="false">参数!$B$3</f>
        <v>7月收入</v>
      </c>
    </row>
    <row r="298" customFormat="false" ht="13.5" hidden="false" customHeight="false" outlineLevel="0" collapsed="false">
      <c r="A298" s="47" t="n">
        <v>14</v>
      </c>
      <c r="B298" s="38" t="n">
        <f aca="false">助手收入!$B15</f>
        <v>2015</v>
      </c>
      <c r="C298" s="48" t="str">
        <f aca="false">助手收入!$C15</f>
        <v>齐村店</v>
      </c>
      <c r="D298" s="48" t="str">
        <f aca="false">科目对照收入!$B12&amp;""</f>
        <v>京东秒送</v>
      </c>
      <c r="E298" s="48" t="str">
        <f aca="false">IF(AND(ROUND($G298,2)&lt;0,科目对照收入!$L12&lt;&gt;""),科目对照收入!$L12,科目对照收入!$C12)&amp;""</f>
        <v>应收账款</v>
      </c>
      <c r="F298" s="48" t="str">
        <f aca="false">IF(AND(ROUND($G298,2)&lt;0,科目对照收入!$L12&lt;&gt;""),科目对照收入!$M12,科目对照收入!$D12)&amp;""</f>
        <v>京东秒送</v>
      </c>
      <c r="G298" s="49" t="n">
        <f aca="false">IF(COUNTIFS(输入平台!$A:$A,助手收入!$X15,输入平台!$B:$B,科目对照收入!$B12)&gt;0,ROUND(SUMIFS(输入平台!$C:$C,输入平台!$A:$A,助手收入!$X15,输入平台!$B:$B,科目对照收入!$B12),2),ROUND(海典汇总!$O$16,2))</f>
        <v>0</v>
      </c>
      <c r="H298" s="49" t="str">
        <f aca="false">IF(ROUND($G298,2)&gt;0,ROUND($G298,2),"")</f>
        <v/>
      </c>
      <c r="I298" s="49" t="str">
        <f aca="false">IF(ROUND($G298,2)&lt;0,-ROUND($G298,2),"")</f>
        <v/>
      </c>
      <c r="J298" s="20" t="n">
        <f aca="false">IF(ROUND($G298,2)=0,0,1)</f>
        <v>0</v>
      </c>
      <c r="K298" s="20" t="str">
        <f aca="false">IF($J298=0,"",SUM($J$288:$J298))</f>
        <v/>
      </c>
      <c r="L298" s="20" t="str">
        <f aca="false">IF($K298="","",$A298*100+$K298)</f>
        <v/>
      </c>
      <c r="M298" s="48" t="str">
        <f aca="false">参数!$B$3</f>
        <v>7月收入</v>
      </c>
    </row>
    <row r="299" customFormat="false" ht="13.5" hidden="false" customHeight="false" outlineLevel="0" collapsed="false">
      <c r="A299" s="47" t="n">
        <v>14</v>
      </c>
      <c r="B299" s="38" t="n">
        <f aca="false">助手收入!$B15</f>
        <v>2015</v>
      </c>
      <c r="C299" s="48" t="str">
        <f aca="false">助手收入!$C15</f>
        <v>齐村店</v>
      </c>
      <c r="D299" s="48" t="str">
        <f aca="false">科目对照收入!$B13&amp;""</f>
        <v>银联</v>
      </c>
      <c r="E299" s="48" t="str">
        <f aca="false">IF(AND(ROUND($G299,2)&lt;0,科目对照收入!$L13&lt;&gt;""),科目对照收入!$L13,科目对照收入!$C13)&amp;""</f>
        <v>应收账款</v>
      </c>
      <c r="F299" s="48" t="str">
        <f aca="false">IF(AND(ROUND($G299,2)&lt;0,科目对照收入!$L13&lt;&gt;""),科目对照收入!$M13,科目对照收入!$D13)&amp;""</f>
        <v>银联</v>
      </c>
      <c r="G299" s="49" t="n">
        <f aca="false">IF(COUNTIFS(输入平台!$A:$A,助手收入!$X15,输入平台!$B:$B,科目对照收入!$B13)&gt;0,ROUND(SUMIFS(输入平台!$C:$C,输入平台!$A:$A,助手收入!$X15,输入平台!$B:$B,科目对照收入!$B13),2),ROUND(海典汇总!$V$16,2))</f>
        <v>0</v>
      </c>
      <c r="H299" s="49" t="str">
        <f aca="false">IF(ROUND($G299,2)&gt;0,ROUND($G299,2),"")</f>
        <v/>
      </c>
      <c r="I299" s="49" t="str">
        <f aca="false">IF(ROUND($G299,2)&lt;0,-ROUND($G299,2),"")</f>
        <v/>
      </c>
      <c r="J299" s="20" t="n">
        <f aca="false">IF(ROUND($G299,2)=0,0,1)</f>
        <v>0</v>
      </c>
      <c r="K299" s="20" t="str">
        <f aca="false">IF($J299=0,"",SUM($J$288:$J299))</f>
        <v/>
      </c>
      <c r="L299" s="20" t="str">
        <f aca="false">IF($K299="","",$A299*100+$K299)</f>
        <v/>
      </c>
      <c r="M299" s="48" t="str">
        <f aca="false">参数!$B$3</f>
        <v>7月收入</v>
      </c>
    </row>
    <row r="300" customFormat="false" ht="13.5" hidden="false" customHeight="false" outlineLevel="0" collapsed="false">
      <c r="A300" s="47" t="n">
        <v>14</v>
      </c>
      <c r="B300" s="38" t="n">
        <f aca="false">助手收入!$B15</f>
        <v>2015</v>
      </c>
      <c r="C300" s="48" t="str">
        <f aca="false">助手收入!$C15</f>
        <v>齐村店</v>
      </c>
      <c r="D300" s="48" t="str">
        <f aca="false">科目对照收入!$B14&amp;""</f>
        <v>小镇外卖</v>
      </c>
      <c r="E300" s="48" t="str">
        <f aca="false">IF(AND(ROUND($G300,2)&lt;0,科目对照收入!$L14&lt;&gt;""),科目对照收入!$L14,科目对照收入!$C14)&amp;""</f>
        <v>应收账款</v>
      </c>
      <c r="F300" s="48" t="str">
        <f aca="false">IF(AND(ROUND($G300,2)&lt;0,科目对照收入!$L14&lt;&gt;""),科目对照收入!$M14,科目对照收入!$D14)&amp;""</f>
        <v>小镇外卖</v>
      </c>
      <c r="G300" s="49" t="n">
        <f aca="false">IF(COUNTIFS(输入平台!$A:$A,助手收入!$X15,输入平台!$B:$B,科目对照收入!$B14)&gt;0,ROUND(SUMIFS(输入平台!$C:$C,输入平台!$A:$A,助手收入!$X15,输入平台!$B:$B,科目对照收入!$B14),2),ROUND(海典汇总!$AC$16,2))</f>
        <v>0</v>
      </c>
      <c r="H300" s="49" t="str">
        <f aca="false">IF(ROUND($G300,2)&gt;0,ROUND($G300,2),"")</f>
        <v/>
      </c>
      <c r="I300" s="49" t="str">
        <f aca="false">IF(ROUND($G300,2)&lt;0,-ROUND($G300,2),"")</f>
        <v/>
      </c>
      <c r="J300" s="20" t="n">
        <f aca="false">IF(ROUND($G300,2)=0,0,1)</f>
        <v>0</v>
      </c>
      <c r="K300" s="20" t="str">
        <f aca="false">IF($J300=0,"",SUM($J$288:$J300))</f>
        <v/>
      </c>
      <c r="L300" s="20" t="str">
        <f aca="false">IF($K300="","",$A300*100+$K300)</f>
        <v/>
      </c>
      <c r="M300" s="48" t="str">
        <f aca="false">参数!$B$3</f>
        <v>7月收入</v>
      </c>
    </row>
    <row r="301" customFormat="false" ht="13.5" hidden="false" customHeight="false" outlineLevel="0" collapsed="false">
      <c r="A301" s="47" t="n">
        <v>14</v>
      </c>
      <c r="B301" s="38" t="n">
        <f aca="false">助手收入!$B15</f>
        <v>2015</v>
      </c>
      <c r="C301" s="48" t="str">
        <f aca="false">助手收入!$C15</f>
        <v>齐村店</v>
      </c>
      <c r="D301" s="48" t="str">
        <f aca="false">科目对照收入!$B15&amp;""</f>
        <v>OMS线上支付</v>
      </c>
      <c r="E301" s="48" t="str">
        <f aca="false">IF(AND(ROUND($G301,2)&lt;0,科目对照收入!$L15&lt;&gt;""),科目对照收入!$L15,科目对照收入!$C15)&amp;""</f>
        <v>应收账款</v>
      </c>
      <c r="F301" s="48" t="str">
        <f aca="false">IF(AND(ROUND($G301,2)&lt;0,科目对照收入!$L15&lt;&gt;""),科目对照收入!$M15,科目对照收入!$D15)&amp;""</f>
        <v>OMS线上</v>
      </c>
      <c r="G301" s="49" t="n">
        <f aca="false">IF(COUNTIFS(输入平台!$A:$A,助手收入!$X15,输入平台!$B:$B,科目对照收入!$B15)&gt;0,ROUND(SUMIFS(输入平台!$C:$C,输入平台!$A:$A,助手收入!$X15,输入平台!$B:$B,科目对照收入!$B15),2),ROUND(海典汇总!$L$16,2))</f>
        <v>0</v>
      </c>
      <c r="H301" s="49" t="str">
        <f aca="false">IF(ROUND($G301,2)&gt;0,ROUND($G301,2),"")</f>
        <v/>
      </c>
      <c r="I301" s="49" t="str">
        <f aca="false">IF(ROUND($G301,2)&lt;0,-ROUND($G301,2),"")</f>
        <v/>
      </c>
      <c r="J301" s="20" t="n">
        <f aca="false">IF(ROUND($G301,2)=0,0,1)</f>
        <v>0</v>
      </c>
      <c r="K301" s="20" t="str">
        <f aca="false">IF($J301=0,"",SUM($J$288:$J301))</f>
        <v/>
      </c>
      <c r="L301" s="20" t="str">
        <f aca="false">IF($K301="","",$A301*100+$K301)</f>
        <v/>
      </c>
      <c r="M301" s="48" t="str">
        <f aca="false">参数!$B$3</f>
        <v>7月收入</v>
      </c>
    </row>
    <row r="302" customFormat="false" ht="13.5" hidden="false" customHeight="false" outlineLevel="0" collapsed="false">
      <c r="A302" s="47" t="n">
        <v>14</v>
      </c>
      <c r="B302" s="38" t="n">
        <f aca="false">助手收入!$B15</f>
        <v>2015</v>
      </c>
      <c r="C302" s="48" t="str">
        <f aca="false">助手收入!$C15</f>
        <v>齐村店</v>
      </c>
      <c r="D302" s="48" t="str">
        <f aca="false">科目对照收入!$B16&amp;""</f>
        <v>平安药卡</v>
      </c>
      <c r="E302" s="48" t="str">
        <f aca="false">IF(AND(ROUND($G302,2)&lt;0,科目对照收入!$L16&lt;&gt;""),科目对照收入!$L16,科目对照收入!$C16)&amp;""</f>
        <v>应收账款</v>
      </c>
      <c r="F302" s="48" t="str">
        <f aca="false">IF(AND(ROUND($G302,2)&lt;0,科目对照收入!$L16&lt;&gt;""),科目对照收入!$M16,科目对照收入!$D16)&amp;""</f>
        <v>平安</v>
      </c>
      <c r="G302" s="49" t="n">
        <f aca="false">IF(COUNTIFS(输入平台!$A:$A,助手收入!$X15,输入平台!$B:$B,科目对照收入!$B16)&gt;0,ROUND(SUMIFS(输入平台!$C:$C,输入平台!$A:$A,助手收入!$X15,输入平台!$B:$B,科目对照收入!$B16),2),ROUND(海典汇总!$AB$16,2))</f>
        <v>0</v>
      </c>
      <c r="H302" s="49" t="str">
        <f aca="false">IF(ROUND($G302,2)&gt;0,ROUND($G302,2),"")</f>
        <v/>
      </c>
      <c r="I302" s="49" t="str">
        <f aca="false">IF(ROUND($G302,2)&lt;0,-ROUND($G302,2),"")</f>
        <v/>
      </c>
      <c r="J302" s="20" t="n">
        <f aca="false">IF(ROUND($G302,2)=0,0,1)</f>
        <v>0</v>
      </c>
      <c r="K302" s="20" t="str">
        <f aca="false">IF($J302=0,"",SUM($J$288:$J302))</f>
        <v/>
      </c>
      <c r="L302" s="20" t="str">
        <f aca="false">IF($K302="","",$A302*100+$K302)</f>
        <v/>
      </c>
      <c r="M302" s="48" t="str">
        <f aca="false">参数!$B$3</f>
        <v>7月收入</v>
      </c>
    </row>
    <row r="303" customFormat="false" ht="13.5" hidden="false" customHeight="false" outlineLevel="0" collapsed="false">
      <c r="A303" s="47" t="n">
        <v>14</v>
      </c>
      <c r="B303" s="38" t="n">
        <f aca="false">助手收入!$B15</f>
        <v>2015</v>
      </c>
      <c r="C303" s="48" t="str">
        <f aca="false">助手收入!$C15</f>
        <v>齐村店</v>
      </c>
      <c r="D303" s="48" t="str">
        <f aca="false">科目对照收入!$B17&amp;""</f>
        <v>储值卡</v>
      </c>
      <c r="E303" s="48" t="str">
        <f aca="false">IF(AND(ROUND($G303,2)&lt;0,科目对照收入!$L17&lt;&gt;""),科目对照收入!$L17,科目对照收入!$C17)&amp;""</f>
        <v>其他应收款</v>
      </c>
      <c r="F303" s="48" t="str">
        <f aca="false">IF(AND(ROUND($G303,2)&lt;0,科目对照收入!$L17&lt;&gt;""),科目对照收入!$M17,科目对照收入!$D17)&amp;""</f>
        <v>储值卡</v>
      </c>
      <c r="G303" s="49" t="n">
        <f aca="false">ROUND(海典汇总!$Q$16,2)</f>
        <v>0</v>
      </c>
      <c r="H303" s="49" t="str">
        <f aca="false">IF(ROUND($G303,2)&gt;0,ROUND($G303,2),"")</f>
        <v/>
      </c>
      <c r="I303" s="49" t="str">
        <f aca="false">IF(ROUND($G303,2)&lt;0,-ROUND($G303,2),"")</f>
        <v/>
      </c>
      <c r="J303" s="20" t="n">
        <f aca="false">IF(ROUND($G303,2)=0,0,1)</f>
        <v>0</v>
      </c>
      <c r="K303" s="20" t="str">
        <f aca="false">IF($J303=0,"",SUM($J$288:$J303))</f>
        <v/>
      </c>
      <c r="L303" s="20" t="str">
        <f aca="false">IF($K303="","",$A303*100+$K303)</f>
        <v/>
      </c>
      <c r="M303" s="48" t="str">
        <f aca="false">参数!$B$3</f>
        <v>7月收入</v>
      </c>
    </row>
    <row r="304" customFormat="false" ht="13.5" hidden="false" customHeight="false" outlineLevel="0" collapsed="false">
      <c r="A304" s="47" t="n">
        <v>14</v>
      </c>
      <c r="B304" s="38" t="n">
        <f aca="false">助手收入!$B15</f>
        <v>2015</v>
      </c>
      <c r="C304" s="48" t="str">
        <f aca="false">助手收入!$C15</f>
        <v>齐村店</v>
      </c>
      <c r="D304" s="48" t="str">
        <f aca="false">科目对照收入!$B18&amp;""</f>
        <v>会员零钱包</v>
      </c>
      <c r="E304" s="48" t="str">
        <f aca="false">IF(AND(ROUND($G304,2)&lt;0,科目对照收入!$L18&lt;&gt;""),科目对照收入!$L18,科目对照收入!$C18)&amp;""</f>
        <v>其他应收款</v>
      </c>
      <c r="F304" s="48" t="str">
        <f aca="false">IF(AND(ROUND($G304,2)&lt;0,科目对照收入!$L18&lt;&gt;""),科目对照收入!$M18,科目对照收入!$D18)&amp;""</f>
        <v>会员零钱包</v>
      </c>
      <c r="G304" s="49" t="n">
        <f aca="false">ROUND(海典汇总!$P$16,2)</f>
        <v>0</v>
      </c>
      <c r="H304" s="49" t="str">
        <f aca="false">IF(ROUND($G304,2)&gt;0,ROUND($G304,2),"")</f>
        <v/>
      </c>
      <c r="I304" s="49" t="str">
        <f aca="false">IF(ROUND($G304,2)&lt;0,-ROUND($G304,2),"")</f>
        <v/>
      </c>
      <c r="J304" s="20" t="n">
        <f aca="false">IF(ROUND($G304,2)=0,0,1)</f>
        <v>0</v>
      </c>
      <c r="K304" s="20" t="str">
        <f aca="false">IF($J304=0,"",SUM($J$288:$J304))</f>
        <v/>
      </c>
      <c r="L304" s="20" t="str">
        <f aca="false">IF($K304="","",$A304*100+$K304)</f>
        <v/>
      </c>
      <c r="M304" s="48" t="str">
        <f aca="false">参数!$B$3</f>
        <v>7月收入</v>
      </c>
    </row>
    <row r="305" customFormat="false" ht="13.5" hidden="false" customHeight="false" outlineLevel="0" collapsed="false">
      <c r="A305" s="47" t="n">
        <v>14</v>
      </c>
      <c r="B305" s="38" t="n">
        <f aca="false">助手收入!$B15</f>
        <v>2015</v>
      </c>
      <c r="C305" s="48" t="str">
        <f aca="false">助手收入!$C15</f>
        <v>齐村店</v>
      </c>
      <c r="D305" s="48" t="str">
        <f aca="false">科目对照收入!$B19&amp;""</f>
        <v>促销费</v>
      </c>
      <c r="E305" s="48" t="str">
        <f aca="false">IF(AND(ROUND($G305,2)&lt;0,科目对照收入!$L19&lt;&gt;""),科目对照收入!$L19,科目对照收入!$C19)&amp;""</f>
        <v>销售费用</v>
      </c>
      <c r="F305" s="48" t="str">
        <f aca="false">IF(AND(ROUND($G305,2)&lt;0,科目对照收入!$L19&lt;&gt;""),科目对照收入!$M19,科目对照收入!$D19)&amp;""</f>
        <v>促销费</v>
      </c>
      <c r="G305" s="49" t="n">
        <f aca="false">ROUND(海典汇总!$U$16+海典汇总!$T$16+海典汇总!$S$16,2)</f>
        <v>0</v>
      </c>
      <c r="H305" s="49" t="str">
        <f aca="false">IF(ROUND($G305,2)&gt;0,ROUND($G305,2),"")</f>
        <v/>
      </c>
      <c r="I305" s="49" t="str">
        <f aca="false">IF(ROUND($G305,2)&lt;0,-ROUND($G305,2),"")</f>
        <v/>
      </c>
      <c r="J305" s="20" t="n">
        <f aca="false">IF(ROUND($G305,2)=0,0,1)</f>
        <v>0</v>
      </c>
      <c r="K305" s="20" t="str">
        <f aca="false">IF($J305=0,"",SUM($J$288:$J305))</f>
        <v/>
      </c>
      <c r="L305" s="20" t="str">
        <f aca="false">IF($K305="","",$A305*100+$K305)</f>
        <v/>
      </c>
      <c r="M305" s="48" t="str">
        <f aca="false">参数!$B$3</f>
        <v>7月收入</v>
      </c>
    </row>
    <row r="306" customFormat="false" ht="13.5" hidden="false" customHeight="false" outlineLevel="0" collapsed="false">
      <c r="A306" s="47" t="n">
        <v>14</v>
      </c>
      <c r="B306" s="38" t="n">
        <f aca="false">助手收入!$B15</f>
        <v>2015</v>
      </c>
      <c r="C306" s="48" t="str">
        <f aca="false">助手收入!$C15</f>
        <v>齐村店</v>
      </c>
      <c r="D306" s="48" t="str">
        <f aca="false">科目对照收入!$B20&amp;""</f>
        <v>积分</v>
      </c>
      <c r="E306" s="48" t="str">
        <f aca="false">IF(AND(ROUND($G306,2)&lt;0,科目对照收入!$L20&lt;&gt;""),科目对照收入!$L20,科目对照收入!$C20)&amp;""</f>
        <v>销售费用</v>
      </c>
      <c r="F306" s="48" t="str">
        <f aca="false">IF(AND(ROUND($G306,2)&lt;0,科目对照收入!$L20&lt;&gt;""),科目对照收入!$M20,科目对照收入!$D20)&amp;""</f>
        <v>积分</v>
      </c>
      <c r="G306" s="49" t="n">
        <f aca="false">ROUND(海典汇总!$R$16,2)</f>
        <v>0</v>
      </c>
      <c r="H306" s="49" t="str">
        <f aca="false">IF(ROUND($G306,2)&gt;0,ROUND($G306,2),"")</f>
        <v/>
      </c>
      <c r="I306" s="49" t="str">
        <f aca="false">IF(ROUND($G306,2)&lt;0,-ROUND($G306,2),"")</f>
        <v/>
      </c>
      <c r="J306" s="20" t="n">
        <f aca="false">IF(ROUND($G306,2)=0,0,1)</f>
        <v>0</v>
      </c>
      <c r="K306" s="20" t="str">
        <f aca="false">IF($J306=0,"",SUM($J$288:$J306))</f>
        <v/>
      </c>
      <c r="L306" s="20" t="str">
        <f aca="false">IF($K306="","",$A306*100+$K306)</f>
        <v/>
      </c>
      <c r="M306" s="48" t="str">
        <f aca="false">参数!$B$3</f>
        <v>7月收入</v>
      </c>
    </row>
    <row r="307" customFormat="false" ht="13.5" hidden="false" customHeight="false" outlineLevel="0" collapsed="false">
      <c r="A307" s="47" t="n">
        <v>14</v>
      </c>
      <c r="B307" s="38" t="n">
        <f aca="false">助手收入!$B15</f>
        <v>2015</v>
      </c>
      <c r="C307" s="48" t="str">
        <f aca="false">助手收入!$C15</f>
        <v>齐村店</v>
      </c>
      <c r="D307" s="48" t="str">
        <f aca="false">科目对照收入!$B21&amp;""</f>
        <v>手续费</v>
      </c>
      <c r="E307" s="48" t="str">
        <f aca="false">IF(AND(ROUND($G307,2)&lt;0,科目对照收入!$L21&lt;&gt;""),科目对照收入!$L21,科目对照收入!$C21)&amp;""</f>
        <v>财务费用</v>
      </c>
      <c r="F307" s="48" t="str">
        <f aca="false">IF(AND(ROUND($G307,2)&lt;0,科目对照收入!$L21&lt;&gt;""),科目对照收入!$M21,科目对照收入!$D21)&amp;""</f>
        <v>手续费</v>
      </c>
      <c r="G307" s="49" t="n">
        <f aca="false">ROUND(SUMIFS(输入聚合!$D:$D,输入聚合!$A:$A,助手收入!$X15),2)</f>
        <v>0</v>
      </c>
      <c r="H307" s="49" t="str">
        <f aca="false">IF(ROUND($G307,2)&gt;0,ROUND($G307,2),"")</f>
        <v/>
      </c>
      <c r="I307" s="49" t="str">
        <f aca="false">IF(ROUND($G307,2)&lt;0,-ROUND($G307,2),"")</f>
        <v/>
      </c>
      <c r="J307" s="20" t="n">
        <f aca="false">IF(ROUND($G307,2)=0,0,1)</f>
        <v>0</v>
      </c>
      <c r="K307" s="20" t="str">
        <f aca="false">IF($J307=0,"",SUM($J$288:$J307))</f>
        <v/>
      </c>
      <c r="L307" s="20" t="str">
        <f aca="false">IF($K307="","",$A307*100+$K307)</f>
        <v/>
      </c>
      <c r="M307" s="48" t="str">
        <f aca="false">参数!$B$3</f>
        <v>7月收入</v>
      </c>
    </row>
    <row r="308" customFormat="false" ht="13.5" hidden="false" customHeight="false" outlineLevel="0" collapsed="false">
      <c r="A308" s="47" t="n">
        <v>14</v>
      </c>
      <c r="B308" s="38" t="n">
        <f aca="false">助手收入!$B15</f>
        <v>2015</v>
      </c>
      <c r="C308" s="48" t="str">
        <f aca="false">助手收入!$C15</f>
        <v>齐村店</v>
      </c>
      <c r="D308" s="48" t="str">
        <f aca="false">科目对照收入!$B22&amp;""</f>
        <v>主营业务收入</v>
      </c>
      <c r="E308" s="48" t="str">
        <f aca="false">IF(AND(ROUND($G308,2)&lt;0,科目对照收入!$L22&lt;&gt;""),科目对照收入!$L22,科目对照收入!$C22)&amp;""</f>
        <v>主营业务收入</v>
      </c>
      <c r="F308" s="48" t="str">
        <f aca="false">IF(AND(ROUND($G308,2)&lt;0,科目对照收入!$L22&lt;&gt;""),科目对照收入!$M22,科目对照收入!$D22)&amp;""</f>
        <v/>
      </c>
      <c r="G308" s="49" t="n">
        <f aca="false">-ROUND(助手收入!$G15,2)</f>
        <v>-28193.19</v>
      </c>
      <c r="H308" s="49" t="str">
        <f aca="false">IF(ROUND($G308,2)&gt;0,ROUND($G308,2),"")</f>
        <v/>
      </c>
      <c r="I308" s="49" t="n">
        <f aca="false">IF(ROUND($G308,2)&lt;0,-ROUND($G308,2),"")</f>
        <v>28193.19</v>
      </c>
      <c r="J308" s="20" t="n">
        <f aca="false">IF(ROUND($G308,2)=0,0,1)</f>
        <v>1</v>
      </c>
      <c r="K308" s="20" t="n">
        <f aca="false">IF($J308=0,"",SUM($J$288:$J308))</f>
        <v>2</v>
      </c>
      <c r="L308" s="20" t="n">
        <f aca="false">IF($K308="","",$A308*100+$K308)</f>
        <v>1402</v>
      </c>
      <c r="M308" s="48" t="str">
        <f aca="false">参数!$B$3</f>
        <v>7月收入</v>
      </c>
    </row>
    <row r="309" customFormat="false" ht="13.5" hidden="false" customHeight="false" outlineLevel="0" collapsed="false">
      <c r="A309" s="47" t="n">
        <v>14</v>
      </c>
      <c r="B309" s="38" t="n">
        <f aca="false">助手收入!$B15</f>
        <v>2015</v>
      </c>
      <c r="C309" s="48" t="str">
        <f aca="false">助手收入!$C15</f>
        <v>齐村店</v>
      </c>
      <c r="D309" s="48" t="str">
        <f aca="false">科目对照收入!$B23&amp;""</f>
        <v>营业外收入</v>
      </c>
      <c r="E309" s="48" t="str">
        <f aca="false">IF(AND(ROUND($G309,2)&lt;0,科目对照收入!$L23&lt;&gt;""),科目对照收入!$L23,科目对照收入!$C23)&amp;""</f>
        <v>营业外收入</v>
      </c>
      <c r="F309" s="48" t="str">
        <f aca="false">IF(AND(ROUND($G309,2)&lt;0,科目对照收入!$L23&lt;&gt;""),科目对照收入!$M23,科目对照收入!$D23)&amp;""</f>
        <v/>
      </c>
      <c r="G309" s="49" t="n">
        <f aca="false">-ROUND(助手收入!$J15,2)</f>
        <v>-0</v>
      </c>
      <c r="H309" s="49" t="str">
        <f aca="false">IF(ROUND($G309,2)&gt;0,ROUND($G309,2),"")</f>
        <v/>
      </c>
      <c r="I309" s="49" t="str">
        <f aca="false">IF(ROUND($G309,2)&lt;0,-ROUND($G309,2),"")</f>
        <v/>
      </c>
      <c r="J309" s="20" t="n">
        <f aca="false">IF(ROUND($G309,2)=0,0,1)</f>
        <v>0</v>
      </c>
      <c r="K309" s="20" t="str">
        <f aca="false">IF($J309=0,"",SUM($J$288:$J309))</f>
        <v/>
      </c>
      <c r="L309" s="20" t="str">
        <f aca="false">IF($K309="","",$A309*100+$K309)</f>
        <v/>
      </c>
      <c r="M309" s="48" t="str">
        <f aca="false">参数!$B$3</f>
        <v>7月收入</v>
      </c>
    </row>
    <row r="310" customFormat="false" ht="13.5" hidden="false" customHeight="false" outlineLevel="0" collapsed="false">
      <c r="A310" s="47" t="n">
        <v>15</v>
      </c>
      <c r="B310" s="38" t="n">
        <f aca="false">助手收入!$B16</f>
        <v>2017</v>
      </c>
      <c r="C310" s="48" t="str">
        <f aca="false">助手收入!$C16</f>
        <v>博天店</v>
      </c>
      <c r="D310" s="48" t="str">
        <f aca="false">科目对照收入!$B2&amp;""</f>
        <v>库存现金</v>
      </c>
      <c r="E310" s="48" t="str">
        <f aca="false">IF(AND(ROUND($G310,2)&lt;0,科目对照收入!$L2&lt;&gt;""),科目对照收入!$L2,科目对照收入!$C2)&amp;""</f>
        <v>库存现金</v>
      </c>
      <c r="F310" s="48" t="str">
        <f aca="false">IF(AND(ROUND($G310,2)&lt;0,科目对照收入!$L2&lt;&gt;""),科目对照收入!$M2,科目对照收入!$D2)&amp;""</f>
        <v/>
      </c>
      <c r="G310" s="49" t="n">
        <f aca="false">助手收入!$I16</f>
        <v>2922.7</v>
      </c>
      <c r="H310" s="49" t="n">
        <f aca="false">IF(ROUND($G310,2)&gt;0,ROUND($G310,2),"")</f>
        <v>2922.7</v>
      </c>
      <c r="I310" s="49" t="str">
        <f aca="false">IF(ROUND($G310,2)&lt;0,-ROUND($G310,2),"")</f>
        <v/>
      </c>
      <c r="J310" s="20" t="n">
        <f aca="false">IF(ROUND($G310,2)=0,0,1)</f>
        <v>1</v>
      </c>
      <c r="K310" s="20" t="n">
        <f aca="false">IF($J310=0,"",SUM($J$310:$J310))</f>
        <v>1</v>
      </c>
      <c r="L310" s="20" t="n">
        <f aca="false">IF($K310="","",$A310*100+$K310)</f>
        <v>1501</v>
      </c>
      <c r="M310" s="48" t="str">
        <f aca="false">参数!$B$3</f>
        <v>7月收入</v>
      </c>
    </row>
    <row r="311" customFormat="false" ht="13.5" hidden="false" customHeight="false" outlineLevel="0" collapsed="false">
      <c r="A311" s="47" t="n">
        <v>15</v>
      </c>
      <c r="B311" s="38" t="n">
        <f aca="false">助手收入!$B16</f>
        <v>2017</v>
      </c>
      <c r="C311" s="48" t="str">
        <f aca="false">助手收入!$C16</f>
        <v>博天店</v>
      </c>
      <c r="D311" s="48" t="str">
        <f aca="false">科目对照收入!$B3&amp;""</f>
        <v>聚合支付</v>
      </c>
      <c r="E311" s="48" t="str">
        <f aca="false">IF(AND(ROUND($G311,2)&lt;0,科目对照收入!$L3&lt;&gt;""),科目对照收入!$L3,科目对照收入!$C3)&amp;""</f>
        <v>应收账款</v>
      </c>
      <c r="F311" s="48" t="str">
        <f aca="false">IF(AND(ROUND($G311,2)&lt;0,科目对照收入!$L3&lt;&gt;""),科目对照收入!$M3,科目对照收入!$D3)&amp;""</f>
        <v>聚合支付</v>
      </c>
      <c r="G311" s="49" t="n">
        <f aca="false">ROUND(SUMIFS(输入聚合!$C:$C,输入聚合!$A:$A,助手收入!$X16)-SUMIFS(输入聚合!$D:$D,输入聚合!$A:$A,助手收入!$X16),2)</f>
        <v>5251.37</v>
      </c>
      <c r="H311" s="49" t="n">
        <f aca="false">IF(ROUND($G311,2)&gt;0,ROUND($G311,2),"")</f>
        <v>5251.37</v>
      </c>
      <c r="I311" s="49" t="str">
        <f aca="false">IF(ROUND($G311,2)&lt;0,-ROUND($G311,2),"")</f>
        <v/>
      </c>
      <c r="J311" s="20" t="n">
        <f aca="false">IF(ROUND($G311,2)=0,0,1)</f>
        <v>1</v>
      </c>
      <c r="K311" s="20" t="n">
        <f aca="false">IF($J311=0,"",SUM($J$310:$J311))</f>
        <v>2</v>
      </c>
      <c r="L311" s="20" t="n">
        <f aca="false">IF($K311="","",$A311*100+$K311)</f>
        <v>1502</v>
      </c>
      <c r="M311" s="48" t="str">
        <f aca="false">参数!$B$3</f>
        <v>7月收入</v>
      </c>
    </row>
    <row r="312" customFormat="false" ht="13.5" hidden="false" customHeight="false" outlineLevel="0" collapsed="false">
      <c r="A312" s="47" t="n">
        <v>15</v>
      </c>
      <c r="B312" s="38" t="n">
        <f aca="false">助手收入!$B16</f>
        <v>2017</v>
      </c>
      <c r="C312" s="48" t="str">
        <f aca="false">助手收入!$C16</f>
        <v>博天店</v>
      </c>
      <c r="D312" s="48" t="str">
        <f aca="false">科目对照收入!$B4&amp;""</f>
        <v>医保</v>
      </c>
      <c r="E312" s="48" t="str">
        <f aca="false">IF(AND(ROUND($G312,2)&lt;0,科目对照收入!$L4&lt;&gt;""),科目对照收入!$L4,科目对照收入!$C4)&amp;""</f>
        <v>应收账款</v>
      </c>
      <c r="F312" s="48" t="str">
        <f aca="false">IF(AND(ROUND($G312,2)&lt;0,科目对照收入!$L4&lt;&gt;""),科目对照收入!$M4,科目对照收入!$D4)&amp;""</f>
        <v>医保</v>
      </c>
      <c r="G312" s="49" t="n">
        <f aca="false">IF(COUNTIFS(输入平台!$A:$A,助手收入!$X16,输入平台!$B:$B,科目对照收入!$B4)&gt;0,ROUND(SUMIFS(输入平台!$C:$C,输入平台!$A:$A,助手收入!$X16,输入平台!$B:$B,科目对照收入!$B4),2),ROUND(海典汇总!$F$17+海典汇总!$G$17,2))</f>
        <v>968.02</v>
      </c>
      <c r="H312" s="49" t="n">
        <f aca="false">IF(ROUND($G312,2)&gt;0,ROUND($G312,2),"")</f>
        <v>968.02</v>
      </c>
      <c r="I312" s="49" t="str">
        <f aca="false">IF(ROUND($G312,2)&lt;0,-ROUND($G312,2),"")</f>
        <v/>
      </c>
      <c r="J312" s="20" t="n">
        <f aca="false">IF(ROUND($G312,2)=0,0,1)</f>
        <v>1</v>
      </c>
      <c r="K312" s="20" t="n">
        <f aca="false">IF($J312=0,"",SUM($J$310:$J312))</f>
        <v>3</v>
      </c>
      <c r="L312" s="20" t="n">
        <f aca="false">IF($K312="","",$A312*100+$K312)</f>
        <v>1503</v>
      </c>
      <c r="M312" s="48" t="str">
        <f aca="false">参数!$B$3</f>
        <v>7月收入</v>
      </c>
    </row>
    <row r="313" customFormat="false" ht="13.5" hidden="false" customHeight="false" outlineLevel="0" collapsed="false">
      <c r="A313" s="47" t="n">
        <v>15</v>
      </c>
      <c r="B313" s="38" t="n">
        <f aca="false">助手收入!$B16</f>
        <v>2017</v>
      </c>
      <c r="C313" s="48" t="str">
        <f aca="false">助手收入!$C16</f>
        <v>博天店</v>
      </c>
      <c r="D313" s="48" t="str">
        <f aca="false">科目对照收入!$B5&amp;""</f>
        <v>健e卡</v>
      </c>
      <c r="E313" s="48" t="str">
        <f aca="false">IF(AND(ROUND($G313,2)&lt;0,科目对照收入!$L5&lt;&gt;""),科目对照收入!$L5,科目对照收入!$C5)&amp;""</f>
        <v>应收账款</v>
      </c>
      <c r="F313" s="48" t="str">
        <f aca="false">IF(AND(ROUND($G313,2)&lt;0,科目对照收入!$L5&lt;&gt;""),科目对照收入!$M5,科目对照收入!$D5)&amp;""</f>
        <v>健e卡</v>
      </c>
      <c r="G313" s="49" t="n">
        <f aca="false">IF(COUNTIFS(输入平台!$A:$A,助手收入!$X16,输入平台!$B:$B,科目对照收入!$B5)&gt;0,ROUND(SUMIFS(输入平台!$C:$C,输入平台!$A:$A,助手收入!$X16,输入平台!$B:$B,科目对照收入!$B5),2),ROUND(海典汇总!$H$17,2))</f>
        <v>0</v>
      </c>
      <c r="H313" s="49" t="str">
        <f aca="false">IF(ROUND($G313,2)&gt;0,ROUND($G313,2),"")</f>
        <v/>
      </c>
      <c r="I313" s="49" t="str">
        <f aca="false">IF(ROUND($G313,2)&lt;0,-ROUND($G313,2),"")</f>
        <v/>
      </c>
      <c r="J313" s="20" t="n">
        <f aca="false">IF(ROUND($G313,2)=0,0,1)</f>
        <v>0</v>
      </c>
      <c r="K313" s="20" t="str">
        <f aca="false">IF($J313=0,"",SUM($J$310:$J313))</f>
        <v/>
      </c>
      <c r="L313" s="20" t="str">
        <f aca="false">IF($K313="","",$A313*100+$K313)</f>
        <v/>
      </c>
      <c r="M313" s="48" t="str">
        <f aca="false">参数!$B$3</f>
        <v>7月收入</v>
      </c>
    </row>
    <row r="314" customFormat="false" ht="13.5" hidden="false" customHeight="false" outlineLevel="0" collapsed="false">
      <c r="A314" s="47" t="n">
        <v>15</v>
      </c>
      <c r="B314" s="38" t="n">
        <f aca="false">助手收入!$B16</f>
        <v>2017</v>
      </c>
      <c r="C314" s="48" t="str">
        <f aca="false">助手收入!$C16</f>
        <v>博天店</v>
      </c>
      <c r="D314" s="48" t="str">
        <f aca="false">科目对照收入!$B6&amp;""</f>
        <v>医卡通</v>
      </c>
      <c r="E314" s="48" t="str">
        <f aca="false">IF(AND(ROUND($G314,2)&lt;0,科目对照收入!$L6&lt;&gt;""),科目对照收入!$L6,科目对照收入!$C6)&amp;""</f>
        <v>应收账款</v>
      </c>
      <c r="F314" s="48" t="str">
        <f aca="false">IF(AND(ROUND($G314,2)&lt;0,科目对照收入!$L6&lt;&gt;""),科目对照收入!$M6,科目对照收入!$D6)&amp;""</f>
        <v>医卡通</v>
      </c>
      <c r="G314" s="49" t="n">
        <f aca="false">IF(COUNTIFS(输入平台!$A:$A,助手收入!$X16,输入平台!$B:$B,科目对照收入!$B6)&gt;0,ROUND(SUMIFS(输入平台!$C:$C,输入平台!$A:$A,助手收入!$X16,输入平台!$B:$B,科目对照收入!$B6),2),ROUND(海典汇总!$I$17,2))</f>
        <v>0</v>
      </c>
      <c r="H314" s="49" t="str">
        <f aca="false">IF(ROUND($G314,2)&gt;0,ROUND($G314,2),"")</f>
        <v/>
      </c>
      <c r="I314" s="49" t="str">
        <f aca="false">IF(ROUND($G314,2)&lt;0,-ROUND($G314,2),"")</f>
        <v/>
      </c>
      <c r="J314" s="20" t="n">
        <f aca="false">IF(ROUND($G314,2)=0,0,1)</f>
        <v>0</v>
      </c>
      <c r="K314" s="20" t="str">
        <f aca="false">IF($J314=0,"",SUM($J$310:$J314))</f>
        <v/>
      </c>
      <c r="L314" s="20" t="str">
        <f aca="false">IF($K314="","",$A314*100+$K314)</f>
        <v/>
      </c>
      <c r="M314" s="48" t="str">
        <f aca="false">参数!$B$3</f>
        <v>7月收入</v>
      </c>
    </row>
    <row r="315" customFormat="false" ht="13.5" hidden="false" customHeight="false" outlineLevel="0" collapsed="false">
      <c r="A315" s="47" t="n">
        <v>15</v>
      </c>
      <c r="B315" s="38" t="n">
        <f aca="false">助手收入!$B16</f>
        <v>2017</v>
      </c>
      <c r="C315" s="48" t="str">
        <f aca="false">助手收入!$C16</f>
        <v>博天店</v>
      </c>
      <c r="D315" s="48" t="str">
        <f aca="false">科目对照收入!$B7&amp;""</f>
        <v>企健网</v>
      </c>
      <c r="E315" s="48" t="str">
        <f aca="false">IF(AND(ROUND($G315,2)&lt;0,科目对照收入!$L7&lt;&gt;""),科目对照收入!$L7,科目对照收入!$C7)&amp;""</f>
        <v>应收账款</v>
      </c>
      <c r="F315" s="48" t="str">
        <f aca="false">IF(AND(ROUND($G315,2)&lt;0,科目对照收入!$L7&lt;&gt;""),科目对照收入!$M7,科目对照收入!$D7)&amp;""</f>
        <v>企健网</v>
      </c>
      <c r="G315" s="49" t="n">
        <f aca="false">IF(COUNTIFS(输入平台!$A:$A,助手收入!$X16,输入平台!$B:$B,科目对照收入!$B7)&gt;0,ROUND(SUMIFS(输入平台!$C:$C,输入平台!$A:$A,助手收入!$X16,输入平台!$B:$B,科目对照收入!$B7),2),ROUND(海典汇总!$J$17,2))</f>
        <v>0</v>
      </c>
      <c r="H315" s="49" t="str">
        <f aca="false">IF(ROUND($G315,2)&gt;0,ROUND($G315,2),"")</f>
        <v/>
      </c>
      <c r="I315" s="49" t="str">
        <f aca="false">IF(ROUND($G315,2)&lt;0,-ROUND($G315,2),"")</f>
        <v/>
      </c>
      <c r="J315" s="20" t="n">
        <f aca="false">IF(ROUND($G315,2)=0,0,1)</f>
        <v>0</v>
      </c>
      <c r="K315" s="20" t="str">
        <f aca="false">IF($J315=0,"",SUM($J$310:$J315))</f>
        <v/>
      </c>
      <c r="L315" s="20" t="str">
        <f aca="false">IF($K315="","",$A315*100+$K315)</f>
        <v/>
      </c>
      <c r="M315" s="48" t="str">
        <f aca="false">参数!$B$3</f>
        <v>7月收入</v>
      </c>
    </row>
    <row r="316" customFormat="false" ht="13.5" hidden="false" customHeight="false" outlineLevel="0" collapsed="false">
      <c r="A316" s="47" t="n">
        <v>15</v>
      </c>
      <c r="B316" s="38" t="n">
        <f aca="false">助手收入!$B16</f>
        <v>2017</v>
      </c>
      <c r="C316" s="48" t="str">
        <f aca="false">助手收入!$C16</f>
        <v>博天店</v>
      </c>
      <c r="D316" s="48" t="str">
        <f aca="false">科目对照收入!$B8&amp;""</f>
        <v>亲情卡</v>
      </c>
      <c r="E316" s="48" t="str">
        <f aca="false">IF(AND(ROUND($G316,2)&lt;0,科目对照收入!$L8&lt;&gt;""),科目对照收入!$L8,科目对照收入!$C8)&amp;""</f>
        <v>应收账款</v>
      </c>
      <c r="F316" s="48" t="str">
        <f aca="false">IF(AND(ROUND($G316,2)&lt;0,科目对照收入!$L8&lt;&gt;""),科目对照收入!$M8,科目对照收入!$D8)&amp;""</f>
        <v>亲情卡</v>
      </c>
      <c r="G316" s="49" t="n">
        <f aca="false">IF(COUNTIFS(输入平台!$A:$A,助手收入!$X16,输入平台!$B:$B,科目对照收入!$B8)&gt;0,ROUND(SUMIFS(输入平台!$C:$C,输入平台!$A:$A,助手收入!$X16,输入平台!$B:$B,科目对照收入!$B8),2),ROUND(海典汇总!$Z$17,2))</f>
        <v>0</v>
      </c>
      <c r="H316" s="49" t="str">
        <f aca="false">IF(ROUND($G316,2)&gt;0,ROUND($G316,2),"")</f>
        <v/>
      </c>
      <c r="I316" s="49" t="str">
        <f aca="false">IF(ROUND($G316,2)&lt;0,-ROUND($G316,2),"")</f>
        <v/>
      </c>
      <c r="J316" s="20" t="n">
        <f aca="false">IF(ROUND($G316,2)=0,0,1)</f>
        <v>0</v>
      </c>
      <c r="K316" s="20" t="str">
        <f aca="false">IF($J316=0,"",SUM($J$310:$J316))</f>
        <v/>
      </c>
      <c r="L316" s="20" t="str">
        <f aca="false">IF($K316="","",$A316*100+$K316)</f>
        <v/>
      </c>
      <c r="M316" s="48" t="str">
        <f aca="false">参数!$B$3</f>
        <v>7月收入</v>
      </c>
    </row>
    <row r="317" customFormat="false" ht="13.5" hidden="false" customHeight="false" outlineLevel="0" collapsed="false">
      <c r="A317" s="47" t="n">
        <v>15</v>
      </c>
      <c r="B317" s="38" t="n">
        <f aca="false">助手收入!$B16</f>
        <v>2017</v>
      </c>
      <c r="C317" s="48" t="str">
        <f aca="false">助手收入!$C16</f>
        <v>博天店</v>
      </c>
      <c r="D317" s="48" t="str">
        <f aca="false">科目对照收入!$B9&amp;""</f>
        <v>24小时</v>
      </c>
      <c r="E317" s="48" t="str">
        <f aca="false">IF(AND(ROUND($G317,2)&lt;0,科目对照收入!$L9&lt;&gt;""),科目对照收入!$L9,科目对照收入!$C9)&amp;""</f>
        <v>应收账款</v>
      </c>
      <c r="F317" s="48" t="str">
        <f aca="false">IF(AND(ROUND($G317,2)&lt;0,科目对照收入!$L9&lt;&gt;""),科目对照收入!$M9,科目对照收入!$D9)&amp;""</f>
        <v>24小时</v>
      </c>
      <c r="G317" s="49" t="n">
        <f aca="false">IF(COUNTIFS(输入平台!$A:$A,助手收入!$X16,输入平台!$B:$B,科目对照收入!$B9)&gt;0,ROUND(SUMIFS(输入平台!$C:$C,输入平台!$A:$A,助手收入!$X16,输入平台!$B:$B,科目对照收入!$B9),2),ROUND(海典汇总!$K$17,2))</f>
        <v>0</v>
      </c>
      <c r="H317" s="49" t="str">
        <f aca="false">IF(ROUND($G317,2)&gt;0,ROUND($G317,2),"")</f>
        <v/>
      </c>
      <c r="I317" s="49" t="str">
        <f aca="false">IF(ROUND($G317,2)&lt;0,-ROUND($G317,2),"")</f>
        <v/>
      </c>
      <c r="J317" s="20" t="n">
        <f aca="false">IF(ROUND($G317,2)=0,0,1)</f>
        <v>0</v>
      </c>
      <c r="K317" s="20" t="str">
        <f aca="false">IF($J317=0,"",SUM($J$310:$J317))</f>
        <v/>
      </c>
      <c r="L317" s="20" t="str">
        <f aca="false">IF($K317="","",$A317*100+$K317)</f>
        <v/>
      </c>
      <c r="M317" s="48" t="str">
        <f aca="false">参数!$B$3</f>
        <v>7月收入</v>
      </c>
    </row>
    <row r="318" customFormat="false" ht="13.5" hidden="false" customHeight="false" outlineLevel="0" collapsed="false">
      <c r="A318" s="47" t="n">
        <v>15</v>
      </c>
      <c r="B318" s="38" t="n">
        <f aca="false">助手收入!$B16</f>
        <v>2017</v>
      </c>
      <c r="C318" s="48" t="str">
        <f aca="false">助手收入!$C16</f>
        <v>博天店</v>
      </c>
      <c r="D318" s="48" t="str">
        <f aca="false">科目对照收入!$B10&amp;""</f>
        <v>美团</v>
      </c>
      <c r="E318" s="48" t="str">
        <f aca="false">IF(AND(ROUND($G318,2)&lt;0,科目对照收入!$L10&lt;&gt;""),科目对照收入!$L10,科目对照收入!$C10)&amp;""</f>
        <v>应收账款</v>
      </c>
      <c r="F318" s="48" t="str">
        <f aca="false">IF(AND(ROUND($G318,2)&lt;0,科目对照收入!$L10&lt;&gt;""),科目对照收入!$M10,科目对照收入!$D10)&amp;""</f>
        <v>美团</v>
      </c>
      <c r="G318" s="49" t="n">
        <f aca="false">IF(COUNTIFS(输入平台!$A:$A,助手收入!$X16,输入平台!$B:$B,科目对照收入!$B10)&gt;0,ROUND(SUMIFS(输入平台!$C:$C,输入平台!$A:$A,助手收入!$X16,输入平台!$B:$B,科目对照收入!$B10),2),ROUND(海典汇总!$M$17,2))</f>
        <v>0</v>
      </c>
      <c r="H318" s="49" t="str">
        <f aca="false">IF(ROUND($G318,2)&gt;0,ROUND($G318,2),"")</f>
        <v/>
      </c>
      <c r="I318" s="49" t="str">
        <f aca="false">IF(ROUND($G318,2)&lt;0,-ROUND($G318,2),"")</f>
        <v/>
      </c>
      <c r="J318" s="20" t="n">
        <f aca="false">IF(ROUND($G318,2)=0,0,1)</f>
        <v>0</v>
      </c>
      <c r="K318" s="20" t="str">
        <f aca="false">IF($J318=0,"",SUM($J$310:$J318))</f>
        <v/>
      </c>
      <c r="L318" s="20" t="str">
        <f aca="false">IF($K318="","",$A318*100+$K318)</f>
        <v/>
      </c>
      <c r="M318" s="48" t="str">
        <f aca="false">参数!$B$3</f>
        <v>7月收入</v>
      </c>
    </row>
    <row r="319" customFormat="false" ht="13.5" hidden="false" customHeight="false" outlineLevel="0" collapsed="false">
      <c r="A319" s="47" t="n">
        <v>15</v>
      </c>
      <c r="B319" s="38" t="n">
        <f aca="false">助手收入!$B16</f>
        <v>2017</v>
      </c>
      <c r="C319" s="48" t="str">
        <f aca="false">助手收入!$C16</f>
        <v>博天店</v>
      </c>
      <c r="D319" s="48" t="str">
        <f aca="false">科目对照收入!$B11&amp;""</f>
        <v>饿了么</v>
      </c>
      <c r="E319" s="48" t="str">
        <f aca="false">IF(AND(ROUND($G319,2)&lt;0,科目对照收入!$L11&lt;&gt;""),科目对照收入!$L11,科目对照收入!$C11)&amp;""</f>
        <v>应收账款</v>
      </c>
      <c r="F319" s="48" t="str">
        <f aca="false">IF(AND(ROUND($G319,2)&lt;0,科目对照收入!$L11&lt;&gt;""),科目对照收入!$M11,科目对照收入!$D11)&amp;""</f>
        <v>饿了么</v>
      </c>
      <c r="G319" s="49" t="n">
        <f aca="false">IF(COUNTIFS(输入平台!$A:$A,助手收入!$X16,输入平台!$B:$B,科目对照收入!$B11)&gt;0,ROUND(SUMIFS(输入平台!$C:$C,输入平台!$A:$A,助手收入!$X16,输入平台!$B:$B,科目对照收入!$B11),2),ROUND(海典汇总!$N$17,2))</f>
        <v>0</v>
      </c>
      <c r="H319" s="49" t="str">
        <f aca="false">IF(ROUND($G319,2)&gt;0,ROUND($G319,2),"")</f>
        <v/>
      </c>
      <c r="I319" s="49" t="str">
        <f aca="false">IF(ROUND($G319,2)&lt;0,-ROUND($G319,2),"")</f>
        <v/>
      </c>
      <c r="J319" s="20" t="n">
        <f aca="false">IF(ROUND($G319,2)=0,0,1)</f>
        <v>0</v>
      </c>
      <c r="K319" s="20" t="str">
        <f aca="false">IF($J319=0,"",SUM($J$310:$J319))</f>
        <v/>
      </c>
      <c r="L319" s="20" t="str">
        <f aca="false">IF($K319="","",$A319*100+$K319)</f>
        <v/>
      </c>
      <c r="M319" s="48" t="str">
        <f aca="false">参数!$B$3</f>
        <v>7月收入</v>
      </c>
    </row>
    <row r="320" customFormat="false" ht="13.5" hidden="false" customHeight="false" outlineLevel="0" collapsed="false">
      <c r="A320" s="47" t="n">
        <v>15</v>
      </c>
      <c r="B320" s="38" t="n">
        <f aca="false">助手收入!$B16</f>
        <v>2017</v>
      </c>
      <c r="C320" s="48" t="str">
        <f aca="false">助手收入!$C16</f>
        <v>博天店</v>
      </c>
      <c r="D320" s="48" t="str">
        <f aca="false">科目对照收入!$B12&amp;""</f>
        <v>京东秒送</v>
      </c>
      <c r="E320" s="48" t="str">
        <f aca="false">IF(AND(ROUND($G320,2)&lt;0,科目对照收入!$L12&lt;&gt;""),科目对照收入!$L12,科目对照收入!$C12)&amp;""</f>
        <v>应收账款</v>
      </c>
      <c r="F320" s="48" t="str">
        <f aca="false">IF(AND(ROUND($G320,2)&lt;0,科目对照收入!$L12&lt;&gt;""),科目对照收入!$M12,科目对照收入!$D12)&amp;""</f>
        <v>京东秒送</v>
      </c>
      <c r="G320" s="49" t="n">
        <f aca="false">IF(COUNTIFS(输入平台!$A:$A,助手收入!$X16,输入平台!$B:$B,科目对照收入!$B12)&gt;0,ROUND(SUMIFS(输入平台!$C:$C,输入平台!$A:$A,助手收入!$X16,输入平台!$B:$B,科目对照收入!$B12),2),ROUND(海典汇总!$O$17,2))</f>
        <v>0</v>
      </c>
      <c r="H320" s="49" t="str">
        <f aca="false">IF(ROUND($G320,2)&gt;0,ROUND($G320,2),"")</f>
        <v/>
      </c>
      <c r="I320" s="49" t="str">
        <f aca="false">IF(ROUND($G320,2)&lt;0,-ROUND($G320,2),"")</f>
        <v/>
      </c>
      <c r="J320" s="20" t="n">
        <f aca="false">IF(ROUND($G320,2)=0,0,1)</f>
        <v>0</v>
      </c>
      <c r="K320" s="20" t="str">
        <f aca="false">IF($J320=0,"",SUM($J$310:$J320))</f>
        <v/>
      </c>
      <c r="L320" s="20" t="str">
        <f aca="false">IF($K320="","",$A320*100+$K320)</f>
        <v/>
      </c>
      <c r="M320" s="48" t="str">
        <f aca="false">参数!$B$3</f>
        <v>7月收入</v>
      </c>
    </row>
    <row r="321" customFormat="false" ht="13.5" hidden="false" customHeight="false" outlineLevel="0" collapsed="false">
      <c r="A321" s="47" t="n">
        <v>15</v>
      </c>
      <c r="B321" s="38" t="n">
        <f aca="false">助手收入!$B16</f>
        <v>2017</v>
      </c>
      <c r="C321" s="48" t="str">
        <f aca="false">助手收入!$C16</f>
        <v>博天店</v>
      </c>
      <c r="D321" s="48" t="str">
        <f aca="false">科目对照收入!$B13&amp;""</f>
        <v>银联</v>
      </c>
      <c r="E321" s="48" t="str">
        <f aca="false">IF(AND(ROUND($G321,2)&lt;0,科目对照收入!$L13&lt;&gt;""),科目对照收入!$L13,科目对照收入!$C13)&amp;""</f>
        <v>应收账款</v>
      </c>
      <c r="F321" s="48" t="str">
        <f aca="false">IF(AND(ROUND($G321,2)&lt;0,科目对照收入!$L13&lt;&gt;""),科目对照收入!$M13,科目对照收入!$D13)&amp;""</f>
        <v>银联</v>
      </c>
      <c r="G321" s="49" t="n">
        <f aca="false">IF(COUNTIFS(输入平台!$A:$A,助手收入!$X16,输入平台!$B:$B,科目对照收入!$B13)&gt;0,ROUND(SUMIFS(输入平台!$C:$C,输入平台!$A:$A,助手收入!$X16,输入平台!$B:$B,科目对照收入!$B13),2),ROUND(海典汇总!$V$17,2))</f>
        <v>0</v>
      </c>
      <c r="H321" s="49" t="str">
        <f aca="false">IF(ROUND($G321,2)&gt;0,ROUND($G321,2),"")</f>
        <v/>
      </c>
      <c r="I321" s="49" t="str">
        <f aca="false">IF(ROUND($G321,2)&lt;0,-ROUND($G321,2),"")</f>
        <v/>
      </c>
      <c r="J321" s="20" t="n">
        <f aca="false">IF(ROUND($G321,2)=0,0,1)</f>
        <v>0</v>
      </c>
      <c r="K321" s="20" t="str">
        <f aca="false">IF($J321=0,"",SUM($J$310:$J321))</f>
        <v/>
      </c>
      <c r="L321" s="20" t="str">
        <f aca="false">IF($K321="","",$A321*100+$K321)</f>
        <v/>
      </c>
      <c r="M321" s="48" t="str">
        <f aca="false">参数!$B$3</f>
        <v>7月收入</v>
      </c>
    </row>
    <row r="322" customFormat="false" ht="13.5" hidden="false" customHeight="false" outlineLevel="0" collapsed="false">
      <c r="A322" s="47" t="n">
        <v>15</v>
      </c>
      <c r="B322" s="38" t="n">
        <f aca="false">助手收入!$B16</f>
        <v>2017</v>
      </c>
      <c r="C322" s="48" t="str">
        <f aca="false">助手收入!$C16</f>
        <v>博天店</v>
      </c>
      <c r="D322" s="48" t="str">
        <f aca="false">科目对照收入!$B14&amp;""</f>
        <v>小镇外卖</v>
      </c>
      <c r="E322" s="48" t="str">
        <f aca="false">IF(AND(ROUND($G322,2)&lt;0,科目对照收入!$L14&lt;&gt;""),科目对照收入!$L14,科目对照收入!$C14)&amp;""</f>
        <v>应收账款</v>
      </c>
      <c r="F322" s="48" t="str">
        <f aca="false">IF(AND(ROUND($G322,2)&lt;0,科目对照收入!$L14&lt;&gt;""),科目对照收入!$M14,科目对照收入!$D14)&amp;""</f>
        <v>小镇外卖</v>
      </c>
      <c r="G322" s="49" t="n">
        <f aca="false">IF(COUNTIFS(输入平台!$A:$A,助手收入!$X16,输入平台!$B:$B,科目对照收入!$B14)&gt;0,ROUND(SUMIFS(输入平台!$C:$C,输入平台!$A:$A,助手收入!$X16,输入平台!$B:$B,科目对照收入!$B14),2),ROUND(海典汇总!$AC$17,2))</f>
        <v>0</v>
      </c>
      <c r="H322" s="49" t="str">
        <f aca="false">IF(ROUND($G322,2)&gt;0,ROUND($G322,2),"")</f>
        <v/>
      </c>
      <c r="I322" s="49" t="str">
        <f aca="false">IF(ROUND($G322,2)&lt;0,-ROUND($G322,2),"")</f>
        <v/>
      </c>
      <c r="J322" s="20" t="n">
        <f aca="false">IF(ROUND($G322,2)=0,0,1)</f>
        <v>0</v>
      </c>
      <c r="K322" s="20" t="str">
        <f aca="false">IF($J322=0,"",SUM($J$310:$J322))</f>
        <v/>
      </c>
      <c r="L322" s="20" t="str">
        <f aca="false">IF($K322="","",$A322*100+$K322)</f>
        <v/>
      </c>
      <c r="M322" s="48" t="str">
        <f aca="false">参数!$B$3</f>
        <v>7月收入</v>
      </c>
    </row>
    <row r="323" customFormat="false" ht="13.5" hidden="false" customHeight="false" outlineLevel="0" collapsed="false">
      <c r="A323" s="47" t="n">
        <v>15</v>
      </c>
      <c r="B323" s="38" t="n">
        <f aca="false">助手收入!$B16</f>
        <v>2017</v>
      </c>
      <c r="C323" s="48" t="str">
        <f aca="false">助手收入!$C16</f>
        <v>博天店</v>
      </c>
      <c r="D323" s="48" t="str">
        <f aca="false">科目对照收入!$B15&amp;""</f>
        <v>OMS线上支付</v>
      </c>
      <c r="E323" s="48" t="str">
        <f aca="false">IF(AND(ROUND($G323,2)&lt;0,科目对照收入!$L15&lt;&gt;""),科目对照收入!$L15,科目对照收入!$C15)&amp;""</f>
        <v>应收账款</v>
      </c>
      <c r="F323" s="48" t="str">
        <f aca="false">IF(AND(ROUND($G323,2)&lt;0,科目对照收入!$L15&lt;&gt;""),科目对照收入!$M15,科目对照收入!$D15)&amp;""</f>
        <v>OMS线上</v>
      </c>
      <c r="G323" s="49" t="n">
        <f aca="false">IF(COUNTIFS(输入平台!$A:$A,助手收入!$X16,输入平台!$B:$B,科目对照收入!$B15)&gt;0,ROUND(SUMIFS(输入平台!$C:$C,输入平台!$A:$A,助手收入!$X16,输入平台!$B:$B,科目对照收入!$B15),2),ROUND(海典汇总!$L$17,2))</f>
        <v>0</v>
      </c>
      <c r="H323" s="49" t="str">
        <f aca="false">IF(ROUND($G323,2)&gt;0,ROUND($G323,2),"")</f>
        <v/>
      </c>
      <c r="I323" s="49" t="str">
        <f aca="false">IF(ROUND($G323,2)&lt;0,-ROUND($G323,2),"")</f>
        <v/>
      </c>
      <c r="J323" s="20" t="n">
        <f aca="false">IF(ROUND($G323,2)=0,0,1)</f>
        <v>0</v>
      </c>
      <c r="K323" s="20" t="str">
        <f aca="false">IF($J323=0,"",SUM($J$310:$J323))</f>
        <v/>
      </c>
      <c r="L323" s="20" t="str">
        <f aca="false">IF($K323="","",$A323*100+$K323)</f>
        <v/>
      </c>
      <c r="M323" s="48" t="str">
        <f aca="false">参数!$B$3</f>
        <v>7月收入</v>
      </c>
    </row>
    <row r="324" customFormat="false" ht="13.5" hidden="false" customHeight="false" outlineLevel="0" collapsed="false">
      <c r="A324" s="47" t="n">
        <v>15</v>
      </c>
      <c r="B324" s="38" t="n">
        <f aca="false">助手收入!$B16</f>
        <v>2017</v>
      </c>
      <c r="C324" s="48" t="str">
        <f aca="false">助手收入!$C16</f>
        <v>博天店</v>
      </c>
      <c r="D324" s="48" t="str">
        <f aca="false">科目对照收入!$B16&amp;""</f>
        <v>平安药卡</v>
      </c>
      <c r="E324" s="48" t="str">
        <f aca="false">IF(AND(ROUND($G324,2)&lt;0,科目对照收入!$L16&lt;&gt;""),科目对照收入!$L16,科目对照收入!$C16)&amp;""</f>
        <v>应收账款</v>
      </c>
      <c r="F324" s="48" t="str">
        <f aca="false">IF(AND(ROUND($G324,2)&lt;0,科目对照收入!$L16&lt;&gt;""),科目对照收入!$M16,科目对照收入!$D16)&amp;""</f>
        <v>平安</v>
      </c>
      <c r="G324" s="49" t="n">
        <f aca="false">IF(COUNTIFS(输入平台!$A:$A,助手收入!$X16,输入平台!$B:$B,科目对照收入!$B16)&gt;0,ROUND(SUMIFS(输入平台!$C:$C,输入平台!$A:$A,助手收入!$X16,输入平台!$B:$B,科目对照收入!$B16),2),ROUND(海典汇总!$AB$17,2))</f>
        <v>0</v>
      </c>
      <c r="H324" s="49" t="str">
        <f aca="false">IF(ROUND($G324,2)&gt;0,ROUND($G324,2),"")</f>
        <v/>
      </c>
      <c r="I324" s="49" t="str">
        <f aca="false">IF(ROUND($G324,2)&lt;0,-ROUND($G324,2),"")</f>
        <v/>
      </c>
      <c r="J324" s="20" t="n">
        <f aca="false">IF(ROUND($G324,2)=0,0,1)</f>
        <v>0</v>
      </c>
      <c r="K324" s="20" t="str">
        <f aca="false">IF($J324=0,"",SUM($J$310:$J324))</f>
        <v/>
      </c>
      <c r="L324" s="20" t="str">
        <f aca="false">IF($K324="","",$A324*100+$K324)</f>
        <v/>
      </c>
      <c r="M324" s="48" t="str">
        <f aca="false">参数!$B$3</f>
        <v>7月收入</v>
      </c>
    </row>
    <row r="325" customFormat="false" ht="13.5" hidden="false" customHeight="false" outlineLevel="0" collapsed="false">
      <c r="A325" s="47" t="n">
        <v>15</v>
      </c>
      <c r="B325" s="38" t="n">
        <f aca="false">助手收入!$B16</f>
        <v>2017</v>
      </c>
      <c r="C325" s="48" t="str">
        <f aca="false">助手收入!$C16</f>
        <v>博天店</v>
      </c>
      <c r="D325" s="48" t="str">
        <f aca="false">科目对照收入!$B17&amp;""</f>
        <v>储值卡</v>
      </c>
      <c r="E325" s="48" t="str">
        <f aca="false">IF(AND(ROUND($G325,2)&lt;0,科目对照收入!$L17&lt;&gt;""),科目对照收入!$L17,科目对照收入!$C17)&amp;""</f>
        <v>其他应收款</v>
      </c>
      <c r="F325" s="48" t="str">
        <f aca="false">IF(AND(ROUND($G325,2)&lt;0,科目对照收入!$L17&lt;&gt;""),科目对照收入!$M17,科目对照收入!$D17)&amp;""</f>
        <v>储值卡</v>
      </c>
      <c r="G325" s="49" t="n">
        <f aca="false">ROUND(海典汇总!$Q$17,2)</f>
        <v>0</v>
      </c>
      <c r="H325" s="49" t="str">
        <f aca="false">IF(ROUND($G325,2)&gt;0,ROUND($G325,2),"")</f>
        <v/>
      </c>
      <c r="I325" s="49" t="str">
        <f aca="false">IF(ROUND($G325,2)&lt;0,-ROUND($G325,2),"")</f>
        <v/>
      </c>
      <c r="J325" s="20" t="n">
        <f aca="false">IF(ROUND($G325,2)=0,0,1)</f>
        <v>0</v>
      </c>
      <c r="K325" s="20" t="str">
        <f aca="false">IF($J325=0,"",SUM($J$310:$J325))</f>
        <v/>
      </c>
      <c r="L325" s="20" t="str">
        <f aca="false">IF($K325="","",$A325*100+$K325)</f>
        <v/>
      </c>
      <c r="M325" s="48" t="str">
        <f aca="false">参数!$B$3</f>
        <v>7月收入</v>
      </c>
    </row>
    <row r="326" customFormat="false" ht="13.5" hidden="false" customHeight="false" outlineLevel="0" collapsed="false">
      <c r="A326" s="47" t="n">
        <v>15</v>
      </c>
      <c r="B326" s="38" t="n">
        <f aca="false">助手收入!$B16</f>
        <v>2017</v>
      </c>
      <c r="C326" s="48" t="str">
        <f aca="false">助手收入!$C16</f>
        <v>博天店</v>
      </c>
      <c r="D326" s="48" t="str">
        <f aca="false">科目对照收入!$B18&amp;""</f>
        <v>会员零钱包</v>
      </c>
      <c r="E326" s="48" t="str">
        <f aca="false">IF(AND(ROUND($G326,2)&lt;0,科目对照收入!$L18&lt;&gt;""),科目对照收入!$L18,科目对照收入!$C18)&amp;""</f>
        <v>其他应收款</v>
      </c>
      <c r="F326" s="48" t="str">
        <f aca="false">IF(AND(ROUND($G326,2)&lt;0,科目对照收入!$L18&lt;&gt;""),科目对照收入!$M18,科目对照收入!$D18)&amp;""</f>
        <v>会员零钱包</v>
      </c>
      <c r="G326" s="49" t="n">
        <f aca="false">ROUND(海典汇总!$P$17,2)</f>
        <v>0</v>
      </c>
      <c r="H326" s="49" t="str">
        <f aca="false">IF(ROUND($G326,2)&gt;0,ROUND($G326,2),"")</f>
        <v/>
      </c>
      <c r="I326" s="49" t="str">
        <f aca="false">IF(ROUND($G326,2)&lt;0,-ROUND($G326,2),"")</f>
        <v/>
      </c>
      <c r="J326" s="20" t="n">
        <f aca="false">IF(ROUND($G326,2)=0,0,1)</f>
        <v>0</v>
      </c>
      <c r="K326" s="20" t="str">
        <f aca="false">IF($J326=0,"",SUM($J$310:$J326))</f>
        <v/>
      </c>
      <c r="L326" s="20" t="str">
        <f aca="false">IF($K326="","",$A326*100+$K326)</f>
        <v/>
      </c>
      <c r="M326" s="48" t="str">
        <f aca="false">参数!$B$3</f>
        <v>7月收入</v>
      </c>
    </row>
    <row r="327" customFormat="false" ht="13.5" hidden="false" customHeight="false" outlineLevel="0" collapsed="false">
      <c r="A327" s="47" t="n">
        <v>15</v>
      </c>
      <c r="B327" s="38" t="n">
        <f aca="false">助手收入!$B16</f>
        <v>2017</v>
      </c>
      <c r="C327" s="48" t="str">
        <f aca="false">助手收入!$C16</f>
        <v>博天店</v>
      </c>
      <c r="D327" s="48" t="str">
        <f aca="false">科目对照收入!$B19&amp;""</f>
        <v>促销费</v>
      </c>
      <c r="E327" s="48" t="str">
        <f aca="false">IF(AND(ROUND($G327,2)&lt;0,科目对照收入!$L19&lt;&gt;""),科目对照收入!$L19,科目对照收入!$C19)&amp;""</f>
        <v>销售费用</v>
      </c>
      <c r="F327" s="48" t="str">
        <f aca="false">IF(AND(ROUND($G327,2)&lt;0,科目对照收入!$L19&lt;&gt;""),科目对照收入!$M19,科目对照收入!$D19)&amp;""</f>
        <v>促销费</v>
      </c>
      <c r="G327" s="49" t="n">
        <f aca="false">ROUND(海典汇总!$U$17+海典汇总!$T$17+海典汇总!$S$17,2)</f>
        <v>839.52</v>
      </c>
      <c r="H327" s="49" t="n">
        <f aca="false">IF(ROUND($G327,2)&gt;0,ROUND($G327,2),"")</f>
        <v>839.52</v>
      </c>
      <c r="I327" s="49" t="str">
        <f aca="false">IF(ROUND($G327,2)&lt;0,-ROUND($G327,2),"")</f>
        <v/>
      </c>
      <c r="J327" s="20" t="n">
        <f aca="false">IF(ROUND($G327,2)=0,0,1)</f>
        <v>1</v>
      </c>
      <c r="K327" s="20" t="n">
        <f aca="false">IF($J327=0,"",SUM($J$310:$J327))</f>
        <v>4</v>
      </c>
      <c r="L327" s="20" t="n">
        <f aca="false">IF($K327="","",$A327*100+$K327)</f>
        <v>1504</v>
      </c>
      <c r="M327" s="48" t="str">
        <f aca="false">参数!$B$3</f>
        <v>7月收入</v>
      </c>
    </row>
    <row r="328" customFormat="false" ht="13.5" hidden="false" customHeight="false" outlineLevel="0" collapsed="false">
      <c r="A328" s="47" t="n">
        <v>15</v>
      </c>
      <c r="B328" s="38" t="n">
        <f aca="false">助手收入!$B16</f>
        <v>2017</v>
      </c>
      <c r="C328" s="48" t="str">
        <f aca="false">助手收入!$C16</f>
        <v>博天店</v>
      </c>
      <c r="D328" s="48" t="str">
        <f aca="false">科目对照收入!$B20&amp;""</f>
        <v>积分</v>
      </c>
      <c r="E328" s="48" t="str">
        <f aca="false">IF(AND(ROUND($G328,2)&lt;0,科目对照收入!$L20&lt;&gt;""),科目对照收入!$L20,科目对照收入!$C20)&amp;""</f>
        <v>销售费用</v>
      </c>
      <c r="F328" s="48" t="str">
        <f aca="false">IF(AND(ROUND($G328,2)&lt;0,科目对照收入!$L20&lt;&gt;""),科目对照收入!$M20,科目对照收入!$D20)&amp;""</f>
        <v>积分</v>
      </c>
      <c r="G328" s="49" t="n">
        <f aca="false">ROUND(海典汇总!$R$17,2)</f>
        <v>0</v>
      </c>
      <c r="H328" s="49" t="str">
        <f aca="false">IF(ROUND($G328,2)&gt;0,ROUND($G328,2),"")</f>
        <v/>
      </c>
      <c r="I328" s="49" t="str">
        <f aca="false">IF(ROUND($G328,2)&lt;0,-ROUND($G328,2),"")</f>
        <v/>
      </c>
      <c r="J328" s="20" t="n">
        <f aca="false">IF(ROUND($G328,2)=0,0,1)</f>
        <v>0</v>
      </c>
      <c r="K328" s="20" t="str">
        <f aca="false">IF($J328=0,"",SUM($J$310:$J328))</f>
        <v/>
      </c>
      <c r="L328" s="20" t="str">
        <f aca="false">IF($K328="","",$A328*100+$K328)</f>
        <v/>
      </c>
      <c r="M328" s="48" t="str">
        <f aca="false">参数!$B$3</f>
        <v>7月收入</v>
      </c>
    </row>
    <row r="329" customFormat="false" ht="13.5" hidden="false" customHeight="false" outlineLevel="0" collapsed="false">
      <c r="A329" s="47" t="n">
        <v>15</v>
      </c>
      <c r="B329" s="38" t="n">
        <f aca="false">助手收入!$B16</f>
        <v>2017</v>
      </c>
      <c r="C329" s="48" t="str">
        <f aca="false">助手收入!$C16</f>
        <v>博天店</v>
      </c>
      <c r="D329" s="48" t="str">
        <f aca="false">科目对照收入!$B21&amp;""</f>
        <v>手续费</v>
      </c>
      <c r="E329" s="48" t="str">
        <f aca="false">IF(AND(ROUND($G329,2)&lt;0,科目对照收入!$L21&lt;&gt;""),科目对照收入!$L21,科目对照收入!$C21)&amp;""</f>
        <v>财务费用</v>
      </c>
      <c r="F329" s="48" t="str">
        <f aca="false">IF(AND(ROUND($G329,2)&lt;0,科目对照收入!$L21&lt;&gt;""),科目对照收入!$M21,科目对照收入!$D21)&amp;""</f>
        <v>手续费</v>
      </c>
      <c r="G329" s="49" t="n">
        <f aca="false">ROUND(SUMIFS(输入聚合!$D:$D,输入聚合!$A:$A,助手收入!$X16),2)</f>
        <v>14.22</v>
      </c>
      <c r="H329" s="49" t="n">
        <f aca="false">IF(ROUND($G329,2)&gt;0,ROUND($G329,2),"")</f>
        <v>14.22</v>
      </c>
      <c r="I329" s="49" t="str">
        <f aca="false">IF(ROUND($G329,2)&lt;0,-ROUND($G329,2),"")</f>
        <v/>
      </c>
      <c r="J329" s="20" t="n">
        <f aca="false">IF(ROUND($G329,2)=0,0,1)</f>
        <v>1</v>
      </c>
      <c r="K329" s="20" t="n">
        <f aca="false">IF($J329=0,"",SUM($J$310:$J329))</f>
        <v>5</v>
      </c>
      <c r="L329" s="20" t="n">
        <f aca="false">IF($K329="","",$A329*100+$K329)</f>
        <v>1505</v>
      </c>
      <c r="M329" s="48" t="str">
        <f aca="false">参数!$B$3</f>
        <v>7月收入</v>
      </c>
    </row>
    <row r="330" customFormat="false" ht="13.5" hidden="false" customHeight="false" outlineLevel="0" collapsed="false">
      <c r="A330" s="47" t="n">
        <v>15</v>
      </c>
      <c r="B330" s="38" t="n">
        <f aca="false">助手收入!$B16</f>
        <v>2017</v>
      </c>
      <c r="C330" s="48" t="str">
        <f aca="false">助手收入!$C16</f>
        <v>博天店</v>
      </c>
      <c r="D330" s="48" t="str">
        <f aca="false">科目对照收入!$B22&amp;""</f>
        <v>主营业务收入</v>
      </c>
      <c r="E330" s="48" t="str">
        <f aca="false">IF(AND(ROUND($G330,2)&lt;0,科目对照收入!$L22&lt;&gt;""),科目对照收入!$L22,科目对照收入!$C22)&amp;""</f>
        <v>主营业务收入</v>
      </c>
      <c r="F330" s="48" t="str">
        <f aca="false">IF(AND(ROUND($G330,2)&lt;0,科目对照收入!$L22&lt;&gt;""),科目对照收入!$M22,科目对照收入!$D22)&amp;""</f>
        <v/>
      </c>
      <c r="G330" s="49" t="n">
        <f aca="false">-ROUND(助手收入!$G16,2)</f>
        <v>-9995.83</v>
      </c>
      <c r="H330" s="49" t="str">
        <f aca="false">IF(ROUND($G330,2)&gt;0,ROUND($G330,2),"")</f>
        <v/>
      </c>
      <c r="I330" s="49" t="n">
        <f aca="false">IF(ROUND($G330,2)&lt;0,-ROUND($G330,2),"")</f>
        <v>9995.83</v>
      </c>
      <c r="J330" s="20" t="n">
        <f aca="false">IF(ROUND($G330,2)=0,0,1)</f>
        <v>1</v>
      </c>
      <c r="K330" s="20" t="n">
        <f aca="false">IF($J330=0,"",SUM($J$310:$J330))</f>
        <v>6</v>
      </c>
      <c r="L330" s="20" t="n">
        <f aca="false">IF($K330="","",$A330*100+$K330)</f>
        <v>1506</v>
      </c>
      <c r="M330" s="48" t="str">
        <f aca="false">参数!$B$3</f>
        <v>7月收入</v>
      </c>
    </row>
    <row r="331" customFormat="false" ht="13.5" hidden="false" customHeight="false" outlineLevel="0" collapsed="false">
      <c r="A331" s="47" t="n">
        <v>15</v>
      </c>
      <c r="B331" s="38" t="n">
        <f aca="false">助手收入!$B16</f>
        <v>2017</v>
      </c>
      <c r="C331" s="48" t="str">
        <f aca="false">助手收入!$C16</f>
        <v>博天店</v>
      </c>
      <c r="D331" s="48" t="str">
        <f aca="false">科目对照收入!$B23&amp;""</f>
        <v>营业外收入</v>
      </c>
      <c r="E331" s="48" t="str">
        <f aca="false">IF(AND(ROUND($G331,2)&lt;0,科目对照收入!$L23&lt;&gt;""),科目对照收入!$L23,科目对照收入!$C23)&amp;""</f>
        <v>营业外收入</v>
      </c>
      <c r="F331" s="48" t="str">
        <f aca="false">IF(AND(ROUND($G331,2)&lt;0,科目对照收入!$L23&lt;&gt;""),科目对照收入!$M23,科目对照收入!$D23)&amp;""</f>
        <v/>
      </c>
      <c r="G331" s="49" t="n">
        <f aca="false">-ROUND(助手收入!$J16,2)</f>
        <v>-0</v>
      </c>
      <c r="H331" s="49" t="str">
        <f aca="false">IF(ROUND($G331,2)&gt;0,ROUND($G331,2),"")</f>
        <v/>
      </c>
      <c r="I331" s="49" t="str">
        <f aca="false">IF(ROUND($G331,2)&lt;0,-ROUND($G331,2),"")</f>
        <v/>
      </c>
      <c r="J331" s="20" t="n">
        <f aca="false">IF(ROUND($G331,2)=0,0,1)</f>
        <v>0</v>
      </c>
      <c r="K331" s="20" t="str">
        <f aca="false">IF($J331=0,"",SUM($J$310:$J331))</f>
        <v/>
      </c>
      <c r="L331" s="20" t="str">
        <f aca="false">IF($K331="","",$A331*100+$K331)</f>
        <v/>
      </c>
      <c r="M331" s="48" t="str">
        <f aca="false">参数!$B$3</f>
        <v>7月收入</v>
      </c>
    </row>
    <row r="332" customFormat="false" ht="13.5" hidden="false" customHeight="false" outlineLevel="0" collapsed="false">
      <c r="A332" s="47" t="n">
        <v>16</v>
      </c>
      <c r="B332" s="38" t="n">
        <f aca="false">助手收入!$B17</f>
        <v>2018</v>
      </c>
      <c r="C332" s="48" t="str">
        <f aca="false">助手收入!$C17</f>
        <v>魏家庄店</v>
      </c>
      <c r="D332" s="48" t="str">
        <f aca="false">科目对照收入!$B2&amp;""</f>
        <v>库存现金</v>
      </c>
      <c r="E332" s="48" t="str">
        <f aca="false">IF(AND(ROUND($G332,2)&lt;0,科目对照收入!$L2&lt;&gt;""),科目对照收入!$L2,科目对照收入!$C2)&amp;""</f>
        <v>库存现金</v>
      </c>
      <c r="F332" s="48" t="str">
        <f aca="false">IF(AND(ROUND($G332,2)&lt;0,科目对照收入!$L2&lt;&gt;""),科目对照收入!$M2,科目对照收入!$D2)&amp;""</f>
        <v/>
      </c>
      <c r="G332" s="49" t="n">
        <f aca="false">助手收入!$I17</f>
        <v>10466.07</v>
      </c>
      <c r="H332" s="49" t="n">
        <f aca="false">IF(ROUND($G332,2)&gt;0,ROUND($G332,2),"")</f>
        <v>10466.07</v>
      </c>
      <c r="I332" s="49" t="str">
        <f aca="false">IF(ROUND($G332,2)&lt;0,-ROUND($G332,2),"")</f>
        <v/>
      </c>
      <c r="J332" s="20" t="n">
        <f aca="false">IF(ROUND($G332,2)=0,0,1)</f>
        <v>1</v>
      </c>
      <c r="K332" s="20" t="n">
        <f aca="false">IF($J332=0,"",SUM($J$332:$J332))</f>
        <v>1</v>
      </c>
      <c r="L332" s="20" t="n">
        <f aca="false">IF($K332="","",$A332*100+$K332)</f>
        <v>1601</v>
      </c>
      <c r="M332" s="48" t="str">
        <f aca="false">参数!$B$3</f>
        <v>7月收入</v>
      </c>
    </row>
    <row r="333" customFormat="false" ht="13.5" hidden="false" customHeight="false" outlineLevel="0" collapsed="false">
      <c r="A333" s="47" t="n">
        <v>16</v>
      </c>
      <c r="B333" s="38" t="n">
        <f aca="false">助手收入!$B17</f>
        <v>2018</v>
      </c>
      <c r="C333" s="48" t="str">
        <f aca="false">助手收入!$C17</f>
        <v>魏家庄店</v>
      </c>
      <c r="D333" s="48" t="str">
        <f aca="false">科目对照收入!$B3&amp;""</f>
        <v>聚合支付</v>
      </c>
      <c r="E333" s="48" t="str">
        <f aca="false">IF(AND(ROUND($G333,2)&lt;0,科目对照收入!$L3&lt;&gt;""),科目对照收入!$L3,科目对照收入!$C3)&amp;""</f>
        <v>应收账款</v>
      </c>
      <c r="F333" s="48" t="str">
        <f aca="false">IF(AND(ROUND($G333,2)&lt;0,科目对照收入!$L3&lt;&gt;""),科目对照收入!$M3,科目对照收入!$D3)&amp;""</f>
        <v>聚合支付</v>
      </c>
      <c r="G333" s="49" t="n">
        <f aca="false">ROUND(SUMIFS(输入聚合!$C:$C,输入聚合!$A:$A,助手收入!$X17)-SUMIFS(输入聚合!$D:$D,输入聚合!$A:$A,助手收入!$X17),2)</f>
        <v>23770.04</v>
      </c>
      <c r="H333" s="49" t="n">
        <f aca="false">IF(ROUND($G333,2)&gt;0,ROUND($G333,2),"")</f>
        <v>23770.04</v>
      </c>
      <c r="I333" s="49" t="str">
        <f aca="false">IF(ROUND($G333,2)&lt;0,-ROUND($G333,2),"")</f>
        <v/>
      </c>
      <c r="J333" s="20" t="n">
        <f aca="false">IF(ROUND($G333,2)=0,0,1)</f>
        <v>1</v>
      </c>
      <c r="K333" s="20" t="n">
        <f aca="false">IF($J333=0,"",SUM($J$332:$J333))</f>
        <v>2</v>
      </c>
      <c r="L333" s="20" t="n">
        <f aca="false">IF($K333="","",$A333*100+$K333)</f>
        <v>1602</v>
      </c>
      <c r="M333" s="48" t="str">
        <f aca="false">参数!$B$3</f>
        <v>7月收入</v>
      </c>
    </row>
    <row r="334" customFormat="false" ht="13.5" hidden="false" customHeight="false" outlineLevel="0" collapsed="false">
      <c r="A334" s="47" t="n">
        <v>16</v>
      </c>
      <c r="B334" s="38" t="n">
        <f aca="false">助手收入!$B17</f>
        <v>2018</v>
      </c>
      <c r="C334" s="48" t="str">
        <f aca="false">助手收入!$C17</f>
        <v>魏家庄店</v>
      </c>
      <c r="D334" s="48" t="str">
        <f aca="false">科目对照收入!$B4&amp;""</f>
        <v>医保</v>
      </c>
      <c r="E334" s="48" t="str">
        <f aca="false">IF(AND(ROUND($G334,2)&lt;0,科目对照收入!$L4&lt;&gt;""),科目对照收入!$L4,科目对照收入!$C4)&amp;""</f>
        <v>应收账款</v>
      </c>
      <c r="F334" s="48" t="str">
        <f aca="false">IF(AND(ROUND($G334,2)&lt;0,科目对照收入!$L4&lt;&gt;""),科目对照收入!$M4,科目对照收入!$D4)&amp;""</f>
        <v>医保</v>
      </c>
      <c r="G334" s="49" t="n">
        <f aca="false">IF(COUNTIFS(输入平台!$A:$A,助手收入!$X17,输入平台!$B:$B,科目对照收入!$B4)&gt;0,ROUND(SUMIFS(输入平台!$C:$C,输入平台!$A:$A,助手收入!$X17,输入平台!$B:$B,科目对照收入!$B4),2),ROUND(海典汇总!$F$18+海典汇总!$G$18,2))</f>
        <v>3799.09</v>
      </c>
      <c r="H334" s="49" t="n">
        <f aca="false">IF(ROUND($G334,2)&gt;0,ROUND($G334,2),"")</f>
        <v>3799.09</v>
      </c>
      <c r="I334" s="49" t="str">
        <f aca="false">IF(ROUND($G334,2)&lt;0,-ROUND($G334,2),"")</f>
        <v/>
      </c>
      <c r="J334" s="20" t="n">
        <f aca="false">IF(ROUND($G334,2)=0,0,1)</f>
        <v>1</v>
      </c>
      <c r="K334" s="20" t="n">
        <f aca="false">IF($J334=0,"",SUM($J$332:$J334))</f>
        <v>3</v>
      </c>
      <c r="L334" s="20" t="n">
        <f aca="false">IF($K334="","",$A334*100+$K334)</f>
        <v>1603</v>
      </c>
      <c r="M334" s="48" t="str">
        <f aca="false">参数!$B$3</f>
        <v>7月收入</v>
      </c>
    </row>
    <row r="335" customFormat="false" ht="13.5" hidden="false" customHeight="false" outlineLevel="0" collapsed="false">
      <c r="A335" s="47" t="n">
        <v>16</v>
      </c>
      <c r="B335" s="38" t="n">
        <f aca="false">助手收入!$B17</f>
        <v>2018</v>
      </c>
      <c r="C335" s="48" t="str">
        <f aca="false">助手收入!$C17</f>
        <v>魏家庄店</v>
      </c>
      <c r="D335" s="48" t="str">
        <f aca="false">科目对照收入!$B5&amp;""</f>
        <v>健e卡</v>
      </c>
      <c r="E335" s="48" t="str">
        <f aca="false">IF(AND(ROUND($G335,2)&lt;0,科目对照收入!$L5&lt;&gt;""),科目对照收入!$L5,科目对照收入!$C5)&amp;""</f>
        <v>应收账款</v>
      </c>
      <c r="F335" s="48" t="str">
        <f aca="false">IF(AND(ROUND($G335,2)&lt;0,科目对照收入!$L5&lt;&gt;""),科目对照收入!$M5,科目对照收入!$D5)&amp;""</f>
        <v>健e卡</v>
      </c>
      <c r="G335" s="49" t="n">
        <f aca="false">IF(COUNTIFS(输入平台!$A:$A,助手收入!$X17,输入平台!$B:$B,科目对照收入!$B5)&gt;0,ROUND(SUMIFS(输入平台!$C:$C,输入平台!$A:$A,助手收入!$X17,输入平台!$B:$B,科目对照收入!$B5),2),ROUND(海典汇总!$H$18,2))</f>
        <v>0</v>
      </c>
      <c r="H335" s="49" t="str">
        <f aca="false">IF(ROUND($G335,2)&gt;0,ROUND($G335,2),"")</f>
        <v/>
      </c>
      <c r="I335" s="49" t="str">
        <f aca="false">IF(ROUND($G335,2)&lt;0,-ROUND($G335,2),"")</f>
        <v/>
      </c>
      <c r="J335" s="20" t="n">
        <f aca="false">IF(ROUND($G335,2)=0,0,1)</f>
        <v>0</v>
      </c>
      <c r="K335" s="20" t="str">
        <f aca="false">IF($J335=0,"",SUM($J$332:$J335))</f>
        <v/>
      </c>
      <c r="L335" s="20" t="str">
        <f aca="false">IF($K335="","",$A335*100+$K335)</f>
        <v/>
      </c>
      <c r="M335" s="48" t="str">
        <f aca="false">参数!$B$3</f>
        <v>7月收入</v>
      </c>
    </row>
    <row r="336" customFormat="false" ht="13.5" hidden="false" customHeight="false" outlineLevel="0" collapsed="false">
      <c r="A336" s="47" t="n">
        <v>16</v>
      </c>
      <c r="B336" s="38" t="n">
        <f aca="false">助手收入!$B17</f>
        <v>2018</v>
      </c>
      <c r="C336" s="48" t="str">
        <f aca="false">助手收入!$C17</f>
        <v>魏家庄店</v>
      </c>
      <c r="D336" s="48" t="str">
        <f aca="false">科目对照收入!$B6&amp;""</f>
        <v>医卡通</v>
      </c>
      <c r="E336" s="48" t="str">
        <f aca="false">IF(AND(ROUND($G336,2)&lt;0,科目对照收入!$L6&lt;&gt;""),科目对照收入!$L6,科目对照收入!$C6)&amp;""</f>
        <v>应收账款</v>
      </c>
      <c r="F336" s="48" t="str">
        <f aca="false">IF(AND(ROUND($G336,2)&lt;0,科目对照收入!$L6&lt;&gt;""),科目对照收入!$M6,科目对照收入!$D6)&amp;""</f>
        <v>医卡通</v>
      </c>
      <c r="G336" s="49" t="n">
        <f aca="false">IF(COUNTIFS(输入平台!$A:$A,助手收入!$X17,输入平台!$B:$B,科目对照收入!$B6)&gt;0,ROUND(SUMIFS(输入平台!$C:$C,输入平台!$A:$A,助手收入!$X17,输入平台!$B:$B,科目对照收入!$B6),2),ROUND(海典汇总!$I$18,2))</f>
        <v>0</v>
      </c>
      <c r="H336" s="49" t="str">
        <f aca="false">IF(ROUND($G336,2)&gt;0,ROUND($G336,2),"")</f>
        <v/>
      </c>
      <c r="I336" s="49" t="str">
        <f aca="false">IF(ROUND($G336,2)&lt;0,-ROUND($G336,2),"")</f>
        <v/>
      </c>
      <c r="J336" s="20" t="n">
        <f aca="false">IF(ROUND($G336,2)=0,0,1)</f>
        <v>0</v>
      </c>
      <c r="K336" s="20" t="str">
        <f aca="false">IF($J336=0,"",SUM($J$332:$J336))</f>
        <v/>
      </c>
      <c r="L336" s="20" t="str">
        <f aca="false">IF($K336="","",$A336*100+$K336)</f>
        <v/>
      </c>
      <c r="M336" s="48" t="str">
        <f aca="false">参数!$B$3</f>
        <v>7月收入</v>
      </c>
    </row>
    <row r="337" customFormat="false" ht="13.5" hidden="false" customHeight="false" outlineLevel="0" collapsed="false">
      <c r="A337" s="47" t="n">
        <v>16</v>
      </c>
      <c r="B337" s="38" t="n">
        <f aca="false">助手收入!$B17</f>
        <v>2018</v>
      </c>
      <c r="C337" s="48" t="str">
        <f aca="false">助手收入!$C17</f>
        <v>魏家庄店</v>
      </c>
      <c r="D337" s="48" t="str">
        <f aca="false">科目对照收入!$B7&amp;""</f>
        <v>企健网</v>
      </c>
      <c r="E337" s="48" t="str">
        <f aca="false">IF(AND(ROUND($G337,2)&lt;0,科目对照收入!$L7&lt;&gt;""),科目对照收入!$L7,科目对照收入!$C7)&amp;""</f>
        <v>应收账款</v>
      </c>
      <c r="F337" s="48" t="str">
        <f aca="false">IF(AND(ROUND($G337,2)&lt;0,科目对照收入!$L7&lt;&gt;""),科目对照收入!$M7,科目对照收入!$D7)&amp;""</f>
        <v>企健网</v>
      </c>
      <c r="G337" s="49" t="n">
        <f aca="false">IF(COUNTIFS(输入平台!$A:$A,助手收入!$X17,输入平台!$B:$B,科目对照收入!$B7)&gt;0,ROUND(SUMIFS(输入平台!$C:$C,输入平台!$A:$A,助手收入!$X17,输入平台!$B:$B,科目对照收入!$B7),2),ROUND(海典汇总!$J$18,2))</f>
        <v>0</v>
      </c>
      <c r="H337" s="49" t="str">
        <f aca="false">IF(ROUND($G337,2)&gt;0,ROUND($G337,2),"")</f>
        <v/>
      </c>
      <c r="I337" s="49" t="str">
        <f aca="false">IF(ROUND($G337,2)&lt;0,-ROUND($G337,2),"")</f>
        <v/>
      </c>
      <c r="J337" s="20" t="n">
        <f aca="false">IF(ROUND($G337,2)=0,0,1)</f>
        <v>0</v>
      </c>
      <c r="K337" s="20" t="str">
        <f aca="false">IF($J337=0,"",SUM($J$332:$J337))</f>
        <v/>
      </c>
      <c r="L337" s="20" t="str">
        <f aca="false">IF($K337="","",$A337*100+$K337)</f>
        <v/>
      </c>
      <c r="M337" s="48" t="str">
        <f aca="false">参数!$B$3</f>
        <v>7月收入</v>
      </c>
    </row>
    <row r="338" customFormat="false" ht="13.5" hidden="false" customHeight="false" outlineLevel="0" collapsed="false">
      <c r="A338" s="47" t="n">
        <v>16</v>
      </c>
      <c r="B338" s="38" t="n">
        <f aca="false">助手收入!$B17</f>
        <v>2018</v>
      </c>
      <c r="C338" s="48" t="str">
        <f aca="false">助手收入!$C17</f>
        <v>魏家庄店</v>
      </c>
      <c r="D338" s="48" t="str">
        <f aca="false">科目对照收入!$B8&amp;""</f>
        <v>亲情卡</v>
      </c>
      <c r="E338" s="48" t="str">
        <f aca="false">IF(AND(ROUND($G338,2)&lt;0,科目对照收入!$L8&lt;&gt;""),科目对照收入!$L8,科目对照收入!$C8)&amp;""</f>
        <v>应收账款</v>
      </c>
      <c r="F338" s="48" t="str">
        <f aca="false">IF(AND(ROUND($G338,2)&lt;0,科目对照收入!$L8&lt;&gt;""),科目对照收入!$M8,科目对照收入!$D8)&amp;""</f>
        <v>亲情卡</v>
      </c>
      <c r="G338" s="49" t="n">
        <f aca="false">IF(COUNTIFS(输入平台!$A:$A,助手收入!$X17,输入平台!$B:$B,科目对照收入!$B8)&gt;0,ROUND(SUMIFS(输入平台!$C:$C,输入平台!$A:$A,助手收入!$X17,输入平台!$B:$B,科目对照收入!$B8),2),ROUND(海典汇总!$Z$18,2))</f>
        <v>0</v>
      </c>
      <c r="H338" s="49" t="str">
        <f aca="false">IF(ROUND($G338,2)&gt;0,ROUND($G338,2),"")</f>
        <v/>
      </c>
      <c r="I338" s="49" t="str">
        <f aca="false">IF(ROUND($G338,2)&lt;0,-ROUND($G338,2),"")</f>
        <v/>
      </c>
      <c r="J338" s="20" t="n">
        <f aca="false">IF(ROUND($G338,2)=0,0,1)</f>
        <v>0</v>
      </c>
      <c r="K338" s="20" t="str">
        <f aca="false">IF($J338=0,"",SUM($J$332:$J338))</f>
        <v/>
      </c>
      <c r="L338" s="20" t="str">
        <f aca="false">IF($K338="","",$A338*100+$K338)</f>
        <v/>
      </c>
      <c r="M338" s="48" t="str">
        <f aca="false">参数!$B$3</f>
        <v>7月收入</v>
      </c>
    </row>
    <row r="339" customFormat="false" ht="13.5" hidden="false" customHeight="false" outlineLevel="0" collapsed="false">
      <c r="A339" s="47" t="n">
        <v>16</v>
      </c>
      <c r="B339" s="38" t="n">
        <f aca="false">助手收入!$B17</f>
        <v>2018</v>
      </c>
      <c r="C339" s="48" t="str">
        <f aca="false">助手收入!$C17</f>
        <v>魏家庄店</v>
      </c>
      <c r="D339" s="48" t="str">
        <f aca="false">科目对照收入!$B9&amp;""</f>
        <v>24小时</v>
      </c>
      <c r="E339" s="48" t="str">
        <f aca="false">IF(AND(ROUND($G339,2)&lt;0,科目对照收入!$L9&lt;&gt;""),科目对照收入!$L9,科目对照收入!$C9)&amp;""</f>
        <v>应收账款</v>
      </c>
      <c r="F339" s="48" t="str">
        <f aca="false">IF(AND(ROUND($G339,2)&lt;0,科目对照收入!$L9&lt;&gt;""),科目对照收入!$M9,科目对照收入!$D9)&amp;""</f>
        <v>24小时</v>
      </c>
      <c r="G339" s="49" t="n">
        <f aca="false">IF(COUNTIFS(输入平台!$A:$A,助手收入!$X17,输入平台!$B:$B,科目对照收入!$B9)&gt;0,ROUND(SUMIFS(输入平台!$C:$C,输入平台!$A:$A,助手收入!$X17,输入平台!$B:$B,科目对照收入!$B9),2),ROUND(海典汇总!$K$18,2))</f>
        <v>0</v>
      </c>
      <c r="H339" s="49" t="str">
        <f aca="false">IF(ROUND($G339,2)&gt;0,ROUND($G339,2),"")</f>
        <v/>
      </c>
      <c r="I339" s="49" t="str">
        <f aca="false">IF(ROUND($G339,2)&lt;0,-ROUND($G339,2),"")</f>
        <v/>
      </c>
      <c r="J339" s="20" t="n">
        <f aca="false">IF(ROUND($G339,2)=0,0,1)</f>
        <v>0</v>
      </c>
      <c r="K339" s="20" t="str">
        <f aca="false">IF($J339=0,"",SUM($J$332:$J339))</f>
        <v/>
      </c>
      <c r="L339" s="20" t="str">
        <f aca="false">IF($K339="","",$A339*100+$K339)</f>
        <v/>
      </c>
      <c r="M339" s="48" t="str">
        <f aca="false">参数!$B$3</f>
        <v>7月收入</v>
      </c>
    </row>
    <row r="340" customFormat="false" ht="13.5" hidden="false" customHeight="false" outlineLevel="0" collapsed="false">
      <c r="A340" s="47" t="n">
        <v>16</v>
      </c>
      <c r="B340" s="38" t="n">
        <f aca="false">助手收入!$B17</f>
        <v>2018</v>
      </c>
      <c r="C340" s="48" t="str">
        <f aca="false">助手收入!$C17</f>
        <v>魏家庄店</v>
      </c>
      <c r="D340" s="48" t="str">
        <f aca="false">科目对照收入!$B10&amp;""</f>
        <v>美团</v>
      </c>
      <c r="E340" s="48" t="str">
        <f aca="false">IF(AND(ROUND($G340,2)&lt;0,科目对照收入!$L10&lt;&gt;""),科目对照收入!$L10,科目对照收入!$C10)&amp;""</f>
        <v>应收账款</v>
      </c>
      <c r="F340" s="48" t="str">
        <f aca="false">IF(AND(ROUND($G340,2)&lt;0,科目对照收入!$L10&lt;&gt;""),科目对照收入!$M10,科目对照收入!$D10)&amp;""</f>
        <v>美团</v>
      </c>
      <c r="G340" s="49" t="n">
        <f aca="false">IF(COUNTIFS(输入平台!$A:$A,助手收入!$X17,输入平台!$B:$B,科目对照收入!$B10)&gt;0,ROUND(SUMIFS(输入平台!$C:$C,输入平台!$A:$A,助手收入!$X17,输入平台!$B:$B,科目对照收入!$B10),2),ROUND(海典汇总!$M$18,2))</f>
        <v>0</v>
      </c>
      <c r="H340" s="49" t="str">
        <f aca="false">IF(ROUND($G340,2)&gt;0,ROUND($G340,2),"")</f>
        <v/>
      </c>
      <c r="I340" s="49" t="str">
        <f aca="false">IF(ROUND($G340,2)&lt;0,-ROUND($G340,2),"")</f>
        <v/>
      </c>
      <c r="J340" s="20" t="n">
        <f aca="false">IF(ROUND($G340,2)=0,0,1)</f>
        <v>0</v>
      </c>
      <c r="K340" s="20" t="str">
        <f aca="false">IF($J340=0,"",SUM($J$332:$J340))</f>
        <v/>
      </c>
      <c r="L340" s="20" t="str">
        <f aca="false">IF($K340="","",$A340*100+$K340)</f>
        <v/>
      </c>
      <c r="M340" s="48" t="str">
        <f aca="false">参数!$B$3</f>
        <v>7月收入</v>
      </c>
    </row>
    <row r="341" customFormat="false" ht="13.5" hidden="false" customHeight="false" outlineLevel="0" collapsed="false">
      <c r="A341" s="47" t="n">
        <v>16</v>
      </c>
      <c r="B341" s="38" t="n">
        <f aca="false">助手收入!$B17</f>
        <v>2018</v>
      </c>
      <c r="C341" s="48" t="str">
        <f aca="false">助手收入!$C17</f>
        <v>魏家庄店</v>
      </c>
      <c r="D341" s="48" t="str">
        <f aca="false">科目对照收入!$B11&amp;""</f>
        <v>饿了么</v>
      </c>
      <c r="E341" s="48" t="str">
        <f aca="false">IF(AND(ROUND($G341,2)&lt;0,科目对照收入!$L11&lt;&gt;""),科目对照收入!$L11,科目对照收入!$C11)&amp;""</f>
        <v>应收账款</v>
      </c>
      <c r="F341" s="48" t="str">
        <f aca="false">IF(AND(ROUND($G341,2)&lt;0,科目对照收入!$L11&lt;&gt;""),科目对照收入!$M11,科目对照收入!$D11)&amp;""</f>
        <v>饿了么</v>
      </c>
      <c r="G341" s="49" t="n">
        <f aca="false">IF(COUNTIFS(输入平台!$A:$A,助手收入!$X17,输入平台!$B:$B,科目对照收入!$B11)&gt;0,ROUND(SUMIFS(输入平台!$C:$C,输入平台!$A:$A,助手收入!$X17,输入平台!$B:$B,科目对照收入!$B11),2),ROUND(海典汇总!$N$18,2))</f>
        <v>0</v>
      </c>
      <c r="H341" s="49" t="str">
        <f aca="false">IF(ROUND($G341,2)&gt;0,ROUND($G341,2),"")</f>
        <v/>
      </c>
      <c r="I341" s="49" t="str">
        <f aca="false">IF(ROUND($G341,2)&lt;0,-ROUND($G341,2),"")</f>
        <v/>
      </c>
      <c r="J341" s="20" t="n">
        <f aca="false">IF(ROUND($G341,2)=0,0,1)</f>
        <v>0</v>
      </c>
      <c r="K341" s="20" t="str">
        <f aca="false">IF($J341=0,"",SUM($J$332:$J341))</f>
        <v/>
      </c>
      <c r="L341" s="20" t="str">
        <f aca="false">IF($K341="","",$A341*100+$K341)</f>
        <v/>
      </c>
      <c r="M341" s="48" t="str">
        <f aca="false">参数!$B$3</f>
        <v>7月收入</v>
      </c>
    </row>
    <row r="342" customFormat="false" ht="13.5" hidden="false" customHeight="false" outlineLevel="0" collapsed="false">
      <c r="A342" s="47" t="n">
        <v>16</v>
      </c>
      <c r="B342" s="38" t="n">
        <f aca="false">助手收入!$B17</f>
        <v>2018</v>
      </c>
      <c r="C342" s="48" t="str">
        <f aca="false">助手收入!$C17</f>
        <v>魏家庄店</v>
      </c>
      <c r="D342" s="48" t="str">
        <f aca="false">科目对照收入!$B12&amp;""</f>
        <v>京东秒送</v>
      </c>
      <c r="E342" s="48" t="str">
        <f aca="false">IF(AND(ROUND($G342,2)&lt;0,科目对照收入!$L12&lt;&gt;""),科目对照收入!$L12,科目对照收入!$C12)&amp;""</f>
        <v>应收账款</v>
      </c>
      <c r="F342" s="48" t="str">
        <f aca="false">IF(AND(ROUND($G342,2)&lt;0,科目对照收入!$L12&lt;&gt;""),科目对照收入!$M12,科目对照收入!$D12)&amp;""</f>
        <v>京东秒送</v>
      </c>
      <c r="G342" s="49" t="n">
        <f aca="false">IF(COUNTIFS(输入平台!$A:$A,助手收入!$X17,输入平台!$B:$B,科目对照收入!$B12)&gt;0,ROUND(SUMIFS(输入平台!$C:$C,输入平台!$A:$A,助手收入!$X17,输入平台!$B:$B,科目对照收入!$B12),2),ROUND(海典汇总!$O$18,2))</f>
        <v>0</v>
      </c>
      <c r="H342" s="49" t="str">
        <f aca="false">IF(ROUND($G342,2)&gt;0,ROUND($G342,2),"")</f>
        <v/>
      </c>
      <c r="I342" s="49" t="str">
        <f aca="false">IF(ROUND($G342,2)&lt;0,-ROUND($G342,2),"")</f>
        <v/>
      </c>
      <c r="J342" s="20" t="n">
        <f aca="false">IF(ROUND($G342,2)=0,0,1)</f>
        <v>0</v>
      </c>
      <c r="K342" s="20" t="str">
        <f aca="false">IF($J342=0,"",SUM($J$332:$J342))</f>
        <v/>
      </c>
      <c r="L342" s="20" t="str">
        <f aca="false">IF($K342="","",$A342*100+$K342)</f>
        <v/>
      </c>
      <c r="M342" s="48" t="str">
        <f aca="false">参数!$B$3</f>
        <v>7月收入</v>
      </c>
    </row>
    <row r="343" customFormat="false" ht="13.5" hidden="false" customHeight="false" outlineLevel="0" collapsed="false">
      <c r="A343" s="47" t="n">
        <v>16</v>
      </c>
      <c r="B343" s="38" t="n">
        <f aca="false">助手收入!$B17</f>
        <v>2018</v>
      </c>
      <c r="C343" s="48" t="str">
        <f aca="false">助手收入!$C17</f>
        <v>魏家庄店</v>
      </c>
      <c r="D343" s="48" t="str">
        <f aca="false">科目对照收入!$B13&amp;""</f>
        <v>银联</v>
      </c>
      <c r="E343" s="48" t="str">
        <f aca="false">IF(AND(ROUND($G343,2)&lt;0,科目对照收入!$L13&lt;&gt;""),科目对照收入!$L13,科目对照收入!$C13)&amp;""</f>
        <v>应收账款</v>
      </c>
      <c r="F343" s="48" t="str">
        <f aca="false">IF(AND(ROUND($G343,2)&lt;0,科目对照收入!$L13&lt;&gt;""),科目对照收入!$M13,科目对照收入!$D13)&amp;""</f>
        <v>银联</v>
      </c>
      <c r="G343" s="49" t="n">
        <f aca="false">IF(COUNTIFS(输入平台!$A:$A,助手收入!$X17,输入平台!$B:$B,科目对照收入!$B13)&gt;0,ROUND(SUMIFS(输入平台!$C:$C,输入平台!$A:$A,助手收入!$X17,输入平台!$B:$B,科目对照收入!$B13),2),ROUND(海典汇总!$V$18,2))</f>
        <v>0</v>
      </c>
      <c r="H343" s="49" t="str">
        <f aca="false">IF(ROUND($G343,2)&gt;0,ROUND($G343,2),"")</f>
        <v/>
      </c>
      <c r="I343" s="49" t="str">
        <f aca="false">IF(ROUND($G343,2)&lt;0,-ROUND($G343,2),"")</f>
        <v/>
      </c>
      <c r="J343" s="20" t="n">
        <f aca="false">IF(ROUND($G343,2)=0,0,1)</f>
        <v>0</v>
      </c>
      <c r="K343" s="20" t="str">
        <f aca="false">IF($J343=0,"",SUM($J$332:$J343))</f>
        <v/>
      </c>
      <c r="L343" s="20" t="str">
        <f aca="false">IF($K343="","",$A343*100+$K343)</f>
        <v/>
      </c>
      <c r="M343" s="48" t="str">
        <f aca="false">参数!$B$3</f>
        <v>7月收入</v>
      </c>
    </row>
    <row r="344" customFormat="false" ht="13.5" hidden="false" customHeight="false" outlineLevel="0" collapsed="false">
      <c r="A344" s="47" t="n">
        <v>16</v>
      </c>
      <c r="B344" s="38" t="n">
        <f aca="false">助手收入!$B17</f>
        <v>2018</v>
      </c>
      <c r="C344" s="48" t="str">
        <f aca="false">助手收入!$C17</f>
        <v>魏家庄店</v>
      </c>
      <c r="D344" s="48" t="str">
        <f aca="false">科目对照收入!$B14&amp;""</f>
        <v>小镇外卖</v>
      </c>
      <c r="E344" s="48" t="str">
        <f aca="false">IF(AND(ROUND($G344,2)&lt;0,科目对照收入!$L14&lt;&gt;""),科目对照收入!$L14,科目对照收入!$C14)&amp;""</f>
        <v>应收账款</v>
      </c>
      <c r="F344" s="48" t="str">
        <f aca="false">IF(AND(ROUND($G344,2)&lt;0,科目对照收入!$L14&lt;&gt;""),科目对照收入!$M14,科目对照收入!$D14)&amp;""</f>
        <v>小镇外卖</v>
      </c>
      <c r="G344" s="49" t="n">
        <f aca="false">IF(COUNTIFS(输入平台!$A:$A,助手收入!$X17,输入平台!$B:$B,科目对照收入!$B14)&gt;0,ROUND(SUMIFS(输入平台!$C:$C,输入平台!$A:$A,助手收入!$X17,输入平台!$B:$B,科目对照收入!$B14),2),ROUND(海典汇总!$AC$18,2))</f>
        <v>0</v>
      </c>
      <c r="H344" s="49" t="str">
        <f aca="false">IF(ROUND($G344,2)&gt;0,ROUND($G344,2),"")</f>
        <v/>
      </c>
      <c r="I344" s="49" t="str">
        <f aca="false">IF(ROUND($G344,2)&lt;0,-ROUND($G344,2),"")</f>
        <v/>
      </c>
      <c r="J344" s="20" t="n">
        <f aca="false">IF(ROUND($G344,2)=0,0,1)</f>
        <v>0</v>
      </c>
      <c r="K344" s="20" t="str">
        <f aca="false">IF($J344=0,"",SUM($J$332:$J344))</f>
        <v/>
      </c>
      <c r="L344" s="20" t="str">
        <f aca="false">IF($K344="","",$A344*100+$K344)</f>
        <v/>
      </c>
      <c r="M344" s="48" t="str">
        <f aca="false">参数!$B$3</f>
        <v>7月收入</v>
      </c>
    </row>
    <row r="345" customFormat="false" ht="13.5" hidden="false" customHeight="false" outlineLevel="0" collapsed="false">
      <c r="A345" s="47" t="n">
        <v>16</v>
      </c>
      <c r="B345" s="38" t="n">
        <f aca="false">助手收入!$B17</f>
        <v>2018</v>
      </c>
      <c r="C345" s="48" t="str">
        <f aca="false">助手收入!$C17</f>
        <v>魏家庄店</v>
      </c>
      <c r="D345" s="48" t="str">
        <f aca="false">科目对照收入!$B15&amp;""</f>
        <v>OMS线上支付</v>
      </c>
      <c r="E345" s="48" t="str">
        <f aca="false">IF(AND(ROUND($G345,2)&lt;0,科目对照收入!$L15&lt;&gt;""),科目对照收入!$L15,科目对照收入!$C15)&amp;""</f>
        <v>应收账款</v>
      </c>
      <c r="F345" s="48" t="str">
        <f aca="false">IF(AND(ROUND($G345,2)&lt;0,科目对照收入!$L15&lt;&gt;""),科目对照收入!$M15,科目对照收入!$D15)&amp;""</f>
        <v>OMS线上</v>
      </c>
      <c r="G345" s="49" t="n">
        <f aca="false">IF(COUNTIFS(输入平台!$A:$A,助手收入!$X17,输入平台!$B:$B,科目对照收入!$B15)&gt;0,ROUND(SUMIFS(输入平台!$C:$C,输入平台!$A:$A,助手收入!$X17,输入平台!$B:$B,科目对照收入!$B15),2),ROUND(海典汇总!$L$18,2))</f>
        <v>0</v>
      </c>
      <c r="H345" s="49" t="str">
        <f aca="false">IF(ROUND($G345,2)&gt;0,ROUND($G345,2),"")</f>
        <v/>
      </c>
      <c r="I345" s="49" t="str">
        <f aca="false">IF(ROUND($G345,2)&lt;0,-ROUND($G345,2),"")</f>
        <v/>
      </c>
      <c r="J345" s="20" t="n">
        <f aca="false">IF(ROUND($G345,2)=0,0,1)</f>
        <v>0</v>
      </c>
      <c r="K345" s="20" t="str">
        <f aca="false">IF($J345=0,"",SUM($J$332:$J345))</f>
        <v/>
      </c>
      <c r="L345" s="20" t="str">
        <f aca="false">IF($K345="","",$A345*100+$K345)</f>
        <v/>
      </c>
      <c r="M345" s="48" t="str">
        <f aca="false">参数!$B$3</f>
        <v>7月收入</v>
      </c>
    </row>
    <row r="346" customFormat="false" ht="13.5" hidden="false" customHeight="false" outlineLevel="0" collapsed="false">
      <c r="A346" s="47" t="n">
        <v>16</v>
      </c>
      <c r="B346" s="38" t="n">
        <f aca="false">助手收入!$B17</f>
        <v>2018</v>
      </c>
      <c r="C346" s="48" t="str">
        <f aca="false">助手收入!$C17</f>
        <v>魏家庄店</v>
      </c>
      <c r="D346" s="48" t="str">
        <f aca="false">科目对照收入!$B16&amp;""</f>
        <v>平安药卡</v>
      </c>
      <c r="E346" s="48" t="str">
        <f aca="false">IF(AND(ROUND($G346,2)&lt;0,科目对照收入!$L16&lt;&gt;""),科目对照收入!$L16,科目对照收入!$C16)&amp;""</f>
        <v>应收账款</v>
      </c>
      <c r="F346" s="48" t="str">
        <f aca="false">IF(AND(ROUND($G346,2)&lt;0,科目对照收入!$L16&lt;&gt;""),科目对照收入!$M16,科目对照收入!$D16)&amp;""</f>
        <v>平安</v>
      </c>
      <c r="G346" s="49" t="n">
        <f aca="false">IF(COUNTIFS(输入平台!$A:$A,助手收入!$X17,输入平台!$B:$B,科目对照收入!$B16)&gt;0,ROUND(SUMIFS(输入平台!$C:$C,输入平台!$A:$A,助手收入!$X17,输入平台!$B:$B,科目对照收入!$B16),2),ROUND(海典汇总!$AB$18,2))</f>
        <v>0</v>
      </c>
      <c r="H346" s="49" t="str">
        <f aca="false">IF(ROUND($G346,2)&gt;0,ROUND($G346,2),"")</f>
        <v/>
      </c>
      <c r="I346" s="49" t="str">
        <f aca="false">IF(ROUND($G346,2)&lt;0,-ROUND($G346,2),"")</f>
        <v/>
      </c>
      <c r="J346" s="20" t="n">
        <f aca="false">IF(ROUND($G346,2)=0,0,1)</f>
        <v>0</v>
      </c>
      <c r="K346" s="20" t="str">
        <f aca="false">IF($J346=0,"",SUM($J$332:$J346))</f>
        <v/>
      </c>
      <c r="L346" s="20" t="str">
        <f aca="false">IF($K346="","",$A346*100+$K346)</f>
        <v/>
      </c>
      <c r="M346" s="48" t="str">
        <f aca="false">参数!$B$3</f>
        <v>7月收入</v>
      </c>
    </row>
    <row r="347" customFormat="false" ht="13.5" hidden="false" customHeight="false" outlineLevel="0" collapsed="false">
      <c r="A347" s="47" t="n">
        <v>16</v>
      </c>
      <c r="B347" s="38" t="n">
        <f aca="false">助手收入!$B17</f>
        <v>2018</v>
      </c>
      <c r="C347" s="48" t="str">
        <f aca="false">助手收入!$C17</f>
        <v>魏家庄店</v>
      </c>
      <c r="D347" s="48" t="str">
        <f aca="false">科目对照收入!$B17&amp;""</f>
        <v>储值卡</v>
      </c>
      <c r="E347" s="48" t="str">
        <f aca="false">IF(AND(ROUND($G347,2)&lt;0,科目对照收入!$L17&lt;&gt;""),科目对照收入!$L17,科目对照收入!$C17)&amp;""</f>
        <v>其他应收款</v>
      </c>
      <c r="F347" s="48" t="str">
        <f aca="false">IF(AND(ROUND($G347,2)&lt;0,科目对照收入!$L17&lt;&gt;""),科目对照收入!$M17,科目对照收入!$D17)&amp;""</f>
        <v>储值卡</v>
      </c>
      <c r="G347" s="49" t="n">
        <f aca="false">ROUND(海典汇总!$Q$18,2)</f>
        <v>0</v>
      </c>
      <c r="H347" s="49" t="str">
        <f aca="false">IF(ROUND($G347,2)&gt;0,ROUND($G347,2),"")</f>
        <v/>
      </c>
      <c r="I347" s="49" t="str">
        <f aca="false">IF(ROUND($G347,2)&lt;0,-ROUND($G347,2),"")</f>
        <v/>
      </c>
      <c r="J347" s="20" t="n">
        <f aca="false">IF(ROUND($G347,2)=0,0,1)</f>
        <v>0</v>
      </c>
      <c r="K347" s="20" t="str">
        <f aca="false">IF($J347=0,"",SUM($J$332:$J347))</f>
        <v/>
      </c>
      <c r="L347" s="20" t="str">
        <f aca="false">IF($K347="","",$A347*100+$K347)</f>
        <v/>
      </c>
      <c r="M347" s="48" t="str">
        <f aca="false">参数!$B$3</f>
        <v>7月收入</v>
      </c>
    </row>
    <row r="348" customFormat="false" ht="13.5" hidden="false" customHeight="false" outlineLevel="0" collapsed="false">
      <c r="A348" s="47" t="n">
        <v>16</v>
      </c>
      <c r="B348" s="38" t="n">
        <f aca="false">助手收入!$B17</f>
        <v>2018</v>
      </c>
      <c r="C348" s="48" t="str">
        <f aca="false">助手收入!$C17</f>
        <v>魏家庄店</v>
      </c>
      <c r="D348" s="48" t="str">
        <f aca="false">科目对照收入!$B18&amp;""</f>
        <v>会员零钱包</v>
      </c>
      <c r="E348" s="48" t="str">
        <f aca="false">IF(AND(ROUND($G348,2)&lt;0,科目对照收入!$L18&lt;&gt;""),科目对照收入!$L18,科目对照收入!$C18)&amp;""</f>
        <v>其他应收款</v>
      </c>
      <c r="F348" s="48" t="str">
        <f aca="false">IF(AND(ROUND($G348,2)&lt;0,科目对照收入!$L18&lt;&gt;""),科目对照收入!$M18,科目对照收入!$D18)&amp;""</f>
        <v>会员零钱包</v>
      </c>
      <c r="G348" s="49" t="n">
        <f aca="false">ROUND(海典汇总!$P$18,2)</f>
        <v>0</v>
      </c>
      <c r="H348" s="49" t="str">
        <f aca="false">IF(ROUND($G348,2)&gt;0,ROUND($G348,2),"")</f>
        <v/>
      </c>
      <c r="I348" s="49" t="str">
        <f aca="false">IF(ROUND($G348,2)&lt;0,-ROUND($G348,2),"")</f>
        <v/>
      </c>
      <c r="J348" s="20" t="n">
        <f aca="false">IF(ROUND($G348,2)=0,0,1)</f>
        <v>0</v>
      </c>
      <c r="K348" s="20" t="str">
        <f aca="false">IF($J348=0,"",SUM($J$332:$J348))</f>
        <v/>
      </c>
      <c r="L348" s="20" t="str">
        <f aca="false">IF($K348="","",$A348*100+$K348)</f>
        <v/>
      </c>
      <c r="M348" s="48" t="str">
        <f aca="false">参数!$B$3</f>
        <v>7月收入</v>
      </c>
    </row>
    <row r="349" customFormat="false" ht="13.5" hidden="false" customHeight="false" outlineLevel="0" collapsed="false">
      <c r="A349" s="47" t="n">
        <v>16</v>
      </c>
      <c r="B349" s="38" t="n">
        <f aca="false">助手收入!$B17</f>
        <v>2018</v>
      </c>
      <c r="C349" s="48" t="str">
        <f aca="false">助手收入!$C17</f>
        <v>魏家庄店</v>
      </c>
      <c r="D349" s="48" t="str">
        <f aca="false">科目对照收入!$B19&amp;""</f>
        <v>促销费</v>
      </c>
      <c r="E349" s="48" t="str">
        <f aca="false">IF(AND(ROUND($G349,2)&lt;0,科目对照收入!$L19&lt;&gt;""),科目对照收入!$L19,科目对照收入!$C19)&amp;""</f>
        <v>销售费用</v>
      </c>
      <c r="F349" s="48" t="str">
        <f aca="false">IF(AND(ROUND($G349,2)&lt;0,科目对照收入!$L19&lt;&gt;""),科目对照收入!$M19,科目对照收入!$D19)&amp;""</f>
        <v>促销费</v>
      </c>
      <c r="G349" s="49" t="n">
        <f aca="false">ROUND(海典汇总!$U$18+海典汇总!$T$18+海典汇总!$S$18,2)</f>
        <v>290.36</v>
      </c>
      <c r="H349" s="49" t="n">
        <f aca="false">IF(ROUND($G349,2)&gt;0,ROUND($G349,2),"")</f>
        <v>290.36</v>
      </c>
      <c r="I349" s="49" t="str">
        <f aca="false">IF(ROUND($G349,2)&lt;0,-ROUND($G349,2),"")</f>
        <v/>
      </c>
      <c r="J349" s="20" t="n">
        <f aca="false">IF(ROUND($G349,2)=0,0,1)</f>
        <v>1</v>
      </c>
      <c r="K349" s="20" t="n">
        <f aca="false">IF($J349=0,"",SUM($J$332:$J349))</f>
        <v>4</v>
      </c>
      <c r="L349" s="20" t="n">
        <f aca="false">IF($K349="","",$A349*100+$K349)</f>
        <v>1604</v>
      </c>
      <c r="M349" s="48" t="str">
        <f aca="false">参数!$B$3</f>
        <v>7月收入</v>
      </c>
    </row>
    <row r="350" customFormat="false" ht="13.5" hidden="false" customHeight="false" outlineLevel="0" collapsed="false">
      <c r="A350" s="47" t="n">
        <v>16</v>
      </c>
      <c r="B350" s="38" t="n">
        <f aca="false">助手收入!$B17</f>
        <v>2018</v>
      </c>
      <c r="C350" s="48" t="str">
        <f aca="false">助手收入!$C17</f>
        <v>魏家庄店</v>
      </c>
      <c r="D350" s="48" t="str">
        <f aca="false">科目对照收入!$B20&amp;""</f>
        <v>积分</v>
      </c>
      <c r="E350" s="48" t="str">
        <f aca="false">IF(AND(ROUND($G350,2)&lt;0,科目对照收入!$L20&lt;&gt;""),科目对照收入!$L20,科目对照收入!$C20)&amp;""</f>
        <v>销售费用</v>
      </c>
      <c r="F350" s="48" t="str">
        <f aca="false">IF(AND(ROUND($G350,2)&lt;0,科目对照收入!$L20&lt;&gt;""),科目对照收入!$M20,科目对照收入!$D20)&amp;""</f>
        <v>积分</v>
      </c>
      <c r="G350" s="49" t="n">
        <f aca="false">ROUND(海典汇总!$R$18,2)</f>
        <v>0</v>
      </c>
      <c r="H350" s="49" t="str">
        <f aca="false">IF(ROUND($G350,2)&gt;0,ROUND($G350,2),"")</f>
        <v/>
      </c>
      <c r="I350" s="49" t="str">
        <f aca="false">IF(ROUND($G350,2)&lt;0,-ROUND($G350,2),"")</f>
        <v/>
      </c>
      <c r="J350" s="20" t="n">
        <f aca="false">IF(ROUND($G350,2)=0,0,1)</f>
        <v>0</v>
      </c>
      <c r="K350" s="20" t="str">
        <f aca="false">IF($J350=0,"",SUM($J$332:$J350))</f>
        <v/>
      </c>
      <c r="L350" s="20" t="str">
        <f aca="false">IF($K350="","",$A350*100+$K350)</f>
        <v/>
      </c>
      <c r="M350" s="48" t="str">
        <f aca="false">参数!$B$3</f>
        <v>7月收入</v>
      </c>
    </row>
    <row r="351" customFormat="false" ht="13.5" hidden="false" customHeight="false" outlineLevel="0" collapsed="false">
      <c r="A351" s="47" t="n">
        <v>16</v>
      </c>
      <c r="B351" s="38" t="n">
        <f aca="false">助手收入!$B17</f>
        <v>2018</v>
      </c>
      <c r="C351" s="48" t="str">
        <f aca="false">助手收入!$C17</f>
        <v>魏家庄店</v>
      </c>
      <c r="D351" s="48" t="str">
        <f aca="false">科目对照收入!$B21&amp;""</f>
        <v>手续费</v>
      </c>
      <c r="E351" s="48" t="str">
        <f aca="false">IF(AND(ROUND($G351,2)&lt;0,科目对照收入!$L21&lt;&gt;""),科目对照收入!$L21,科目对照收入!$C21)&amp;""</f>
        <v>财务费用</v>
      </c>
      <c r="F351" s="48" t="str">
        <f aca="false">IF(AND(ROUND($G351,2)&lt;0,科目对照收入!$L21&lt;&gt;""),科目对照收入!$M21,科目对照收入!$D21)&amp;""</f>
        <v>手续费</v>
      </c>
      <c r="G351" s="49" t="n">
        <f aca="false">ROUND(SUMIFS(输入聚合!$D:$D,输入聚合!$A:$A,助手收入!$X17),2)</f>
        <v>64.35</v>
      </c>
      <c r="H351" s="49" t="n">
        <f aca="false">IF(ROUND($G351,2)&gt;0,ROUND($G351,2),"")</f>
        <v>64.35</v>
      </c>
      <c r="I351" s="49" t="str">
        <f aca="false">IF(ROUND($G351,2)&lt;0,-ROUND($G351,2),"")</f>
        <v/>
      </c>
      <c r="J351" s="20" t="n">
        <f aca="false">IF(ROUND($G351,2)=0,0,1)</f>
        <v>1</v>
      </c>
      <c r="K351" s="20" t="n">
        <f aca="false">IF($J351=0,"",SUM($J$332:$J351))</f>
        <v>5</v>
      </c>
      <c r="L351" s="20" t="n">
        <f aca="false">IF($K351="","",$A351*100+$K351)</f>
        <v>1605</v>
      </c>
      <c r="M351" s="48" t="str">
        <f aca="false">参数!$B$3</f>
        <v>7月收入</v>
      </c>
    </row>
    <row r="352" customFormat="false" ht="13.5" hidden="false" customHeight="false" outlineLevel="0" collapsed="false">
      <c r="A352" s="47" t="n">
        <v>16</v>
      </c>
      <c r="B352" s="38" t="n">
        <f aca="false">助手收入!$B17</f>
        <v>2018</v>
      </c>
      <c r="C352" s="48" t="str">
        <f aca="false">助手收入!$C17</f>
        <v>魏家庄店</v>
      </c>
      <c r="D352" s="48" t="str">
        <f aca="false">科目对照收入!$B22&amp;""</f>
        <v>主营业务收入</v>
      </c>
      <c r="E352" s="48" t="str">
        <f aca="false">IF(AND(ROUND($G352,2)&lt;0,科目对照收入!$L22&lt;&gt;""),科目对照收入!$L22,科目对照收入!$C22)&amp;""</f>
        <v>主营业务收入</v>
      </c>
      <c r="F352" s="48" t="str">
        <f aca="false">IF(AND(ROUND($G352,2)&lt;0,科目对照收入!$L22&lt;&gt;""),科目对照收入!$M22,科目对照收入!$D22)&amp;""</f>
        <v/>
      </c>
      <c r="G352" s="49" t="n">
        <f aca="false">-ROUND(助手收入!$G17,2)</f>
        <v>-38389.91</v>
      </c>
      <c r="H352" s="49" t="str">
        <f aca="false">IF(ROUND($G352,2)&gt;0,ROUND($G352,2),"")</f>
        <v/>
      </c>
      <c r="I352" s="49" t="n">
        <f aca="false">IF(ROUND($G352,2)&lt;0,-ROUND($G352,2),"")</f>
        <v>38389.91</v>
      </c>
      <c r="J352" s="20" t="n">
        <f aca="false">IF(ROUND($G352,2)=0,0,1)</f>
        <v>1</v>
      </c>
      <c r="K352" s="20" t="n">
        <f aca="false">IF($J352=0,"",SUM($J$332:$J352))</f>
        <v>6</v>
      </c>
      <c r="L352" s="20" t="n">
        <f aca="false">IF($K352="","",$A352*100+$K352)</f>
        <v>1606</v>
      </c>
      <c r="M352" s="48" t="str">
        <f aca="false">参数!$B$3</f>
        <v>7月收入</v>
      </c>
    </row>
    <row r="353" customFormat="false" ht="13.5" hidden="false" customHeight="false" outlineLevel="0" collapsed="false">
      <c r="A353" s="47" t="n">
        <v>16</v>
      </c>
      <c r="B353" s="38" t="n">
        <f aca="false">助手收入!$B17</f>
        <v>2018</v>
      </c>
      <c r="C353" s="48" t="str">
        <f aca="false">助手收入!$C17</f>
        <v>魏家庄店</v>
      </c>
      <c r="D353" s="48" t="str">
        <f aca="false">科目对照收入!$B23&amp;""</f>
        <v>营业外收入</v>
      </c>
      <c r="E353" s="48" t="str">
        <f aca="false">IF(AND(ROUND($G353,2)&lt;0,科目对照收入!$L23&lt;&gt;""),科目对照收入!$L23,科目对照收入!$C23)&amp;""</f>
        <v>营业外收入</v>
      </c>
      <c r="F353" s="48" t="str">
        <f aca="false">IF(AND(ROUND($G353,2)&lt;0,科目对照收入!$L23&lt;&gt;""),科目对照收入!$M23,科目对照收入!$D23)&amp;""</f>
        <v/>
      </c>
      <c r="G353" s="49" t="n">
        <f aca="false">-ROUND(助手收入!$J17,2)</f>
        <v>-0</v>
      </c>
      <c r="H353" s="49" t="str">
        <f aca="false">IF(ROUND($G353,2)&gt;0,ROUND($G353,2),"")</f>
        <v/>
      </c>
      <c r="I353" s="49" t="str">
        <f aca="false">IF(ROUND($G353,2)&lt;0,-ROUND($G353,2),"")</f>
        <v/>
      </c>
      <c r="J353" s="20" t="n">
        <f aca="false">IF(ROUND($G353,2)=0,0,1)</f>
        <v>0</v>
      </c>
      <c r="K353" s="20" t="str">
        <f aca="false">IF($J353=0,"",SUM($J$332:$J353))</f>
        <v/>
      </c>
      <c r="L353" s="20" t="str">
        <f aca="false">IF($K353="","",$A353*100+$K353)</f>
        <v/>
      </c>
      <c r="M353" s="48" t="str">
        <f aca="false">参数!$B$3</f>
        <v>7月收入</v>
      </c>
    </row>
    <row r="354" customFormat="false" ht="13.5" hidden="false" customHeight="false" outlineLevel="0" collapsed="false">
      <c r="A354" s="47" t="n">
        <v>17</v>
      </c>
      <c r="B354" s="38" t="n">
        <f aca="false">助手收入!$B18</f>
        <v>2022</v>
      </c>
      <c r="C354" s="48" t="str">
        <f aca="false">助手收入!$C18</f>
        <v>北楼店</v>
      </c>
      <c r="D354" s="48" t="str">
        <f aca="false">科目对照收入!$B2&amp;""</f>
        <v>库存现金</v>
      </c>
      <c r="E354" s="48" t="str">
        <f aca="false">IF(AND(ROUND($G354,2)&lt;0,科目对照收入!$L2&lt;&gt;""),科目对照收入!$L2,科目对照收入!$C2)&amp;""</f>
        <v>库存现金</v>
      </c>
      <c r="F354" s="48" t="str">
        <f aca="false">IF(AND(ROUND($G354,2)&lt;0,科目对照收入!$L2&lt;&gt;""),科目对照收入!$M2,科目对照收入!$D2)&amp;""</f>
        <v/>
      </c>
      <c r="G354" s="49" t="n">
        <f aca="false">助手收入!$I18</f>
        <v>14368.55</v>
      </c>
      <c r="H354" s="49" t="n">
        <f aca="false">IF(ROUND($G354,2)&gt;0,ROUND($G354,2),"")</f>
        <v>14368.55</v>
      </c>
      <c r="I354" s="49" t="str">
        <f aca="false">IF(ROUND($G354,2)&lt;0,-ROUND($G354,2),"")</f>
        <v/>
      </c>
      <c r="J354" s="20" t="n">
        <f aca="false">IF(ROUND($G354,2)=0,0,1)</f>
        <v>1</v>
      </c>
      <c r="K354" s="20" t="n">
        <f aca="false">IF($J354=0,"",SUM($J$354:$J354))</f>
        <v>1</v>
      </c>
      <c r="L354" s="20" t="n">
        <f aca="false">IF($K354="","",$A354*100+$K354)</f>
        <v>1701</v>
      </c>
      <c r="M354" s="48" t="str">
        <f aca="false">参数!$B$3</f>
        <v>7月收入</v>
      </c>
    </row>
    <row r="355" customFormat="false" ht="13.5" hidden="false" customHeight="false" outlineLevel="0" collapsed="false">
      <c r="A355" s="47" t="n">
        <v>17</v>
      </c>
      <c r="B355" s="38" t="n">
        <f aca="false">助手收入!$B18</f>
        <v>2022</v>
      </c>
      <c r="C355" s="48" t="str">
        <f aca="false">助手收入!$C18</f>
        <v>北楼店</v>
      </c>
      <c r="D355" s="48" t="str">
        <f aca="false">科目对照收入!$B3&amp;""</f>
        <v>聚合支付</v>
      </c>
      <c r="E355" s="48" t="str">
        <f aca="false">IF(AND(ROUND($G355,2)&lt;0,科目对照收入!$L3&lt;&gt;""),科目对照收入!$L3,科目对照收入!$C3)&amp;""</f>
        <v>应收账款</v>
      </c>
      <c r="F355" s="48" t="str">
        <f aca="false">IF(AND(ROUND($G355,2)&lt;0,科目对照收入!$L3&lt;&gt;""),科目对照收入!$M3,科目对照收入!$D3)&amp;""</f>
        <v>聚合支付</v>
      </c>
      <c r="G355" s="49" t="n">
        <f aca="false">ROUND(SUMIFS(输入聚合!$C:$C,输入聚合!$A:$A,助手收入!$X18)-SUMIFS(输入聚合!$D:$D,输入聚合!$A:$A,助手收入!$X18),2)</f>
        <v>47846.35</v>
      </c>
      <c r="H355" s="49" t="n">
        <f aca="false">IF(ROUND($G355,2)&gt;0,ROUND($G355,2),"")</f>
        <v>47846.35</v>
      </c>
      <c r="I355" s="49" t="str">
        <f aca="false">IF(ROUND($G355,2)&lt;0,-ROUND($G355,2),"")</f>
        <v/>
      </c>
      <c r="J355" s="20" t="n">
        <f aca="false">IF(ROUND($G355,2)=0,0,1)</f>
        <v>1</v>
      </c>
      <c r="K355" s="20" t="n">
        <f aca="false">IF($J355=0,"",SUM($J$354:$J355))</f>
        <v>2</v>
      </c>
      <c r="L355" s="20" t="n">
        <f aca="false">IF($K355="","",$A355*100+$K355)</f>
        <v>1702</v>
      </c>
      <c r="M355" s="48" t="str">
        <f aca="false">参数!$B$3</f>
        <v>7月收入</v>
      </c>
    </row>
    <row r="356" customFormat="false" ht="13.5" hidden="false" customHeight="false" outlineLevel="0" collapsed="false">
      <c r="A356" s="47" t="n">
        <v>17</v>
      </c>
      <c r="B356" s="38" t="n">
        <f aca="false">助手收入!$B18</f>
        <v>2022</v>
      </c>
      <c r="C356" s="48" t="str">
        <f aca="false">助手收入!$C18</f>
        <v>北楼店</v>
      </c>
      <c r="D356" s="48" t="str">
        <f aca="false">科目对照收入!$B4&amp;""</f>
        <v>医保</v>
      </c>
      <c r="E356" s="48" t="str">
        <f aca="false">IF(AND(ROUND($G356,2)&lt;0,科目对照收入!$L4&lt;&gt;""),科目对照收入!$L4,科目对照收入!$C4)&amp;""</f>
        <v>应收账款</v>
      </c>
      <c r="F356" s="48" t="str">
        <f aca="false">IF(AND(ROUND($G356,2)&lt;0,科目对照收入!$L4&lt;&gt;""),科目对照收入!$M4,科目对照收入!$D4)&amp;""</f>
        <v>医保</v>
      </c>
      <c r="G356" s="49" t="n">
        <f aca="false">IF(COUNTIFS(输入平台!$A:$A,助手收入!$X18,输入平台!$B:$B,科目对照收入!$B4)&gt;0,ROUND(SUMIFS(输入平台!$C:$C,输入平台!$A:$A,助手收入!$X18,输入平台!$B:$B,科目对照收入!$B4),2),ROUND(海典汇总!$F$19+海典汇总!$G$19,2))</f>
        <v>7948.42</v>
      </c>
      <c r="H356" s="49" t="n">
        <f aca="false">IF(ROUND($G356,2)&gt;0,ROUND($G356,2),"")</f>
        <v>7948.42</v>
      </c>
      <c r="I356" s="49" t="str">
        <f aca="false">IF(ROUND($G356,2)&lt;0,-ROUND($G356,2),"")</f>
        <v/>
      </c>
      <c r="J356" s="20" t="n">
        <f aca="false">IF(ROUND($G356,2)=0,0,1)</f>
        <v>1</v>
      </c>
      <c r="K356" s="20" t="n">
        <f aca="false">IF($J356=0,"",SUM($J$354:$J356))</f>
        <v>3</v>
      </c>
      <c r="L356" s="20" t="n">
        <f aca="false">IF($K356="","",$A356*100+$K356)</f>
        <v>1703</v>
      </c>
      <c r="M356" s="48" t="str">
        <f aca="false">参数!$B$3</f>
        <v>7月收入</v>
      </c>
    </row>
    <row r="357" customFormat="false" ht="13.5" hidden="false" customHeight="false" outlineLevel="0" collapsed="false">
      <c r="A357" s="47" t="n">
        <v>17</v>
      </c>
      <c r="B357" s="38" t="n">
        <f aca="false">助手收入!$B18</f>
        <v>2022</v>
      </c>
      <c r="C357" s="48" t="str">
        <f aca="false">助手收入!$C18</f>
        <v>北楼店</v>
      </c>
      <c r="D357" s="48" t="str">
        <f aca="false">科目对照收入!$B5&amp;""</f>
        <v>健e卡</v>
      </c>
      <c r="E357" s="48" t="str">
        <f aca="false">IF(AND(ROUND($G357,2)&lt;0,科目对照收入!$L5&lt;&gt;""),科目对照收入!$L5,科目对照收入!$C5)&amp;""</f>
        <v>应收账款</v>
      </c>
      <c r="F357" s="48" t="str">
        <f aca="false">IF(AND(ROUND($G357,2)&lt;0,科目对照收入!$L5&lt;&gt;""),科目对照收入!$M5,科目对照收入!$D5)&amp;""</f>
        <v>健e卡</v>
      </c>
      <c r="G357" s="49" t="n">
        <f aca="false">IF(COUNTIFS(输入平台!$A:$A,助手收入!$X18,输入平台!$B:$B,科目对照收入!$B5)&gt;0,ROUND(SUMIFS(输入平台!$C:$C,输入平台!$A:$A,助手收入!$X18,输入平台!$B:$B,科目对照收入!$B5),2),ROUND(海典汇总!$H$19,2))</f>
        <v>0</v>
      </c>
      <c r="H357" s="49" t="str">
        <f aca="false">IF(ROUND($G357,2)&gt;0,ROUND($G357,2),"")</f>
        <v/>
      </c>
      <c r="I357" s="49" t="str">
        <f aca="false">IF(ROUND($G357,2)&lt;0,-ROUND($G357,2),"")</f>
        <v/>
      </c>
      <c r="J357" s="20" t="n">
        <f aca="false">IF(ROUND($G357,2)=0,0,1)</f>
        <v>0</v>
      </c>
      <c r="K357" s="20" t="str">
        <f aca="false">IF($J357=0,"",SUM($J$354:$J357))</f>
        <v/>
      </c>
      <c r="L357" s="20" t="str">
        <f aca="false">IF($K357="","",$A357*100+$K357)</f>
        <v/>
      </c>
      <c r="M357" s="48" t="str">
        <f aca="false">参数!$B$3</f>
        <v>7月收入</v>
      </c>
    </row>
    <row r="358" customFormat="false" ht="13.5" hidden="false" customHeight="false" outlineLevel="0" collapsed="false">
      <c r="A358" s="47" t="n">
        <v>17</v>
      </c>
      <c r="B358" s="38" t="n">
        <f aca="false">助手收入!$B18</f>
        <v>2022</v>
      </c>
      <c r="C358" s="48" t="str">
        <f aca="false">助手收入!$C18</f>
        <v>北楼店</v>
      </c>
      <c r="D358" s="48" t="str">
        <f aca="false">科目对照收入!$B6&amp;""</f>
        <v>医卡通</v>
      </c>
      <c r="E358" s="48" t="str">
        <f aca="false">IF(AND(ROUND($G358,2)&lt;0,科目对照收入!$L6&lt;&gt;""),科目对照收入!$L6,科目对照收入!$C6)&amp;""</f>
        <v>应收账款</v>
      </c>
      <c r="F358" s="48" t="str">
        <f aca="false">IF(AND(ROUND($G358,2)&lt;0,科目对照收入!$L6&lt;&gt;""),科目对照收入!$M6,科目对照收入!$D6)&amp;""</f>
        <v>医卡通</v>
      </c>
      <c r="G358" s="49" t="n">
        <f aca="false">IF(COUNTIFS(输入平台!$A:$A,助手收入!$X18,输入平台!$B:$B,科目对照收入!$B6)&gt;0,ROUND(SUMIFS(输入平台!$C:$C,输入平台!$A:$A,助手收入!$X18,输入平台!$B:$B,科目对照收入!$B6),2),ROUND(海典汇总!$I$19,2))</f>
        <v>0</v>
      </c>
      <c r="H358" s="49" t="str">
        <f aca="false">IF(ROUND($G358,2)&gt;0,ROUND($G358,2),"")</f>
        <v/>
      </c>
      <c r="I358" s="49" t="str">
        <f aca="false">IF(ROUND($G358,2)&lt;0,-ROUND($G358,2),"")</f>
        <v/>
      </c>
      <c r="J358" s="20" t="n">
        <f aca="false">IF(ROUND($G358,2)=0,0,1)</f>
        <v>0</v>
      </c>
      <c r="K358" s="20" t="str">
        <f aca="false">IF($J358=0,"",SUM($J$354:$J358))</f>
        <v/>
      </c>
      <c r="L358" s="20" t="str">
        <f aca="false">IF($K358="","",$A358*100+$K358)</f>
        <v/>
      </c>
      <c r="M358" s="48" t="str">
        <f aca="false">参数!$B$3</f>
        <v>7月收入</v>
      </c>
    </row>
    <row r="359" customFormat="false" ht="13.5" hidden="false" customHeight="false" outlineLevel="0" collapsed="false">
      <c r="A359" s="47" t="n">
        <v>17</v>
      </c>
      <c r="B359" s="38" t="n">
        <f aca="false">助手收入!$B18</f>
        <v>2022</v>
      </c>
      <c r="C359" s="48" t="str">
        <f aca="false">助手收入!$C18</f>
        <v>北楼店</v>
      </c>
      <c r="D359" s="48" t="str">
        <f aca="false">科目对照收入!$B7&amp;""</f>
        <v>企健网</v>
      </c>
      <c r="E359" s="48" t="str">
        <f aca="false">IF(AND(ROUND($G359,2)&lt;0,科目对照收入!$L7&lt;&gt;""),科目对照收入!$L7,科目对照收入!$C7)&amp;""</f>
        <v>应收账款</v>
      </c>
      <c r="F359" s="48" t="str">
        <f aca="false">IF(AND(ROUND($G359,2)&lt;0,科目对照收入!$L7&lt;&gt;""),科目对照收入!$M7,科目对照收入!$D7)&amp;""</f>
        <v>企健网</v>
      </c>
      <c r="G359" s="49" t="n">
        <f aca="false">IF(COUNTIFS(输入平台!$A:$A,助手收入!$X18,输入平台!$B:$B,科目对照收入!$B7)&gt;0,ROUND(SUMIFS(输入平台!$C:$C,输入平台!$A:$A,助手收入!$X18,输入平台!$B:$B,科目对照收入!$B7),2),ROUND(海典汇总!$J$19,2))</f>
        <v>0</v>
      </c>
      <c r="H359" s="49" t="str">
        <f aca="false">IF(ROUND($G359,2)&gt;0,ROUND($G359,2),"")</f>
        <v/>
      </c>
      <c r="I359" s="49" t="str">
        <f aca="false">IF(ROUND($G359,2)&lt;0,-ROUND($G359,2),"")</f>
        <v/>
      </c>
      <c r="J359" s="20" t="n">
        <f aca="false">IF(ROUND($G359,2)=0,0,1)</f>
        <v>0</v>
      </c>
      <c r="K359" s="20" t="str">
        <f aca="false">IF($J359=0,"",SUM($J$354:$J359))</f>
        <v/>
      </c>
      <c r="L359" s="20" t="str">
        <f aca="false">IF($K359="","",$A359*100+$K359)</f>
        <v/>
      </c>
      <c r="M359" s="48" t="str">
        <f aca="false">参数!$B$3</f>
        <v>7月收入</v>
      </c>
    </row>
    <row r="360" customFormat="false" ht="13.5" hidden="false" customHeight="false" outlineLevel="0" collapsed="false">
      <c r="A360" s="47" t="n">
        <v>17</v>
      </c>
      <c r="B360" s="38" t="n">
        <f aca="false">助手收入!$B18</f>
        <v>2022</v>
      </c>
      <c r="C360" s="48" t="str">
        <f aca="false">助手收入!$C18</f>
        <v>北楼店</v>
      </c>
      <c r="D360" s="48" t="str">
        <f aca="false">科目对照收入!$B8&amp;""</f>
        <v>亲情卡</v>
      </c>
      <c r="E360" s="48" t="str">
        <f aca="false">IF(AND(ROUND($G360,2)&lt;0,科目对照收入!$L8&lt;&gt;""),科目对照收入!$L8,科目对照收入!$C8)&amp;""</f>
        <v>应收账款</v>
      </c>
      <c r="F360" s="48" t="str">
        <f aca="false">IF(AND(ROUND($G360,2)&lt;0,科目对照收入!$L8&lt;&gt;""),科目对照收入!$M8,科目对照收入!$D8)&amp;""</f>
        <v>亲情卡</v>
      </c>
      <c r="G360" s="49" t="n">
        <f aca="false">IF(COUNTIFS(输入平台!$A:$A,助手收入!$X18,输入平台!$B:$B,科目对照收入!$B8)&gt;0,ROUND(SUMIFS(输入平台!$C:$C,输入平台!$A:$A,助手收入!$X18,输入平台!$B:$B,科目对照收入!$B8),2),ROUND(海典汇总!$Z$19,2))</f>
        <v>0</v>
      </c>
      <c r="H360" s="49" t="str">
        <f aca="false">IF(ROUND($G360,2)&gt;0,ROUND($G360,2),"")</f>
        <v/>
      </c>
      <c r="I360" s="49" t="str">
        <f aca="false">IF(ROUND($G360,2)&lt;0,-ROUND($G360,2),"")</f>
        <v/>
      </c>
      <c r="J360" s="20" t="n">
        <f aca="false">IF(ROUND($G360,2)=0,0,1)</f>
        <v>0</v>
      </c>
      <c r="K360" s="20" t="str">
        <f aca="false">IF($J360=0,"",SUM($J$354:$J360))</f>
        <v/>
      </c>
      <c r="L360" s="20" t="str">
        <f aca="false">IF($K360="","",$A360*100+$K360)</f>
        <v/>
      </c>
      <c r="M360" s="48" t="str">
        <f aca="false">参数!$B$3</f>
        <v>7月收入</v>
      </c>
    </row>
    <row r="361" customFormat="false" ht="13.5" hidden="false" customHeight="false" outlineLevel="0" collapsed="false">
      <c r="A361" s="47" t="n">
        <v>17</v>
      </c>
      <c r="B361" s="38" t="n">
        <f aca="false">助手收入!$B18</f>
        <v>2022</v>
      </c>
      <c r="C361" s="48" t="str">
        <f aca="false">助手收入!$C18</f>
        <v>北楼店</v>
      </c>
      <c r="D361" s="48" t="str">
        <f aca="false">科目对照收入!$B9&amp;""</f>
        <v>24小时</v>
      </c>
      <c r="E361" s="48" t="str">
        <f aca="false">IF(AND(ROUND($G361,2)&lt;0,科目对照收入!$L9&lt;&gt;""),科目对照收入!$L9,科目对照收入!$C9)&amp;""</f>
        <v>应收账款</v>
      </c>
      <c r="F361" s="48" t="str">
        <f aca="false">IF(AND(ROUND($G361,2)&lt;0,科目对照收入!$L9&lt;&gt;""),科目对照收入!$M9,科目对照收入!$D9)&amp;""</f>
        <v>24小时</v>
      </c>
      <c r="G361" s="49" t="n">
        <f aca="false">IF(COUNTIFS(输入平台!$A:$A,助手收入!$X18,输入平台!$B:$B,科目对照收入!$B9)&gt;0,ROUND(SUMIFS(输入平台!$C:$C,输入平台!$A:$A,助手收入!$X18,输入平台!$B:$B,科目对照收入!$B9),2),ROUND(海典汇总!$K$19,2))</f>
        <v>0</v>
      </c>
      <c r="H361" s="49" t="str">
        <f aca="false">IF(ROUND($G361,2)&gt;0,ROUND($G361,2),"")</f>
        <v/>
      </c>
      <c r="I361" s="49" t="str">
        <f aca="false">IF(ROUND($G361,2)&lt;0,-ROUND($G361,2),"")</f>
        <v/>
      </c>
      <c r="J361" s="20" t="n">
        <f aca="false">IF(ROUND($G361,2)=0,0,1)</f>
        <v>0</v>
      </c>
      <c r="K361" s="20" t="str">
        <f aca="false">IF($J361=0,"",SUM($J$354:$J361))</f>
        <v/>
      </c>
      <c r="L361" s="20" t="str">
        <f aca="false">IF($K361="","",$A361*100+$K361)</f>
        <v/>
      </c>
      <c r="M361" s="48" t="str">
        <f aca="false">参数!$B$3</f>
        <v>7月收入</v>
      </c>
    </row>
    <row r="362" customFormat="false" ht="13.5" hidden="false" customHeight="false" outlineLevel="0" collapsed="false">
      <c r="A362" s="47" t="n">
        <v>17</v>
      </c>
      <c r="B362" s="38" t="n">
        <f aca="false">助手收入!$B18</f>
        <v>2022</v>
      </c>
      <c r="C362" s="48" t="str">
        <f aca="false">助手收入!$C18</f>
        <v>北楼店</v>
      </c>
      <c r="D362" s="48" t="str">
        <f aca="false">科目对照收入!$B10&amp;""</f>
        <v>美团</v>
      </c>
      <c r="E362" s="48" t="str">
        <f aca="false">IF(AND(ROUND($G362,2)&lt;0,科目对照收入!$L10&lt;&gt;""),科目对照收入!$L10,科目对照收入!$C10)&amp;""</f>
        <v>应收账款</v>
      </c>
      <c r="F362" s="48" t="str">
        <f aca="false">IF(AND(ROUND($G362,2)&lt;0,科目对照收入!$L10&lt;&gt;""),科目对照收入!$M10,科目对照收入!$D10)&amp;""</f>
        <v>美团</v>
      </c>
      <c r="G362" s="49" t="n">
        <f aca="false">IF(COUNTIFS(输入平台!$A:$A,助手收入!$X18,输入平台!$B:$B,科目对照收入!$B10)&gt;0,ROUND(SUMIFS(输入平台!$C:$C,输入平台!$A:$A,助手收入!$X18,输入平台!$B:$B,科目对照收入!$B10),2),ROUND(海典汇总!$M$19,2))</f>
        <v>0</v>
      </c>
      <c r="H362" s="49" t="str">
        <f aca="false">IF(ROUND($G362,2)&gt;0,ROUND($G362,2),"")</f>
        <v/>
      </c>
      <c r="I362" s="49" t="str">
        <f aca="false">IF(ROUND($G362,2)&lt;0,-ROUND($G362,2),"")</f>
        <v/>
      </c>
      <c r="J362" s="20" t="n">
        <f aca="false">IF(ROUND($G362,2)=0,0,1)</f>
        <v>0</v>
      </c>
      <c r="K362" s="20" t="str">
        <f aca="false">IF($J362=0,"",SUM($J$354:$J362))</f>
        <v/>
      </c>
      <c r="L362" s="20" t="str">
        <f aca="false">IF($K362="","",$A362*100+$K362)</f>
        <v/>
      </c>
      <c r="M362" s="48" t="str">
        <f aca="false">参数!$B$3</f>
        <v>7月收入</v>
      </c>
    </row>
    <row r="363" customFormat="false" ht="13.5" hidden="false" customHeight="false" outlineLevel="0" collapsed="false">
      <c r="A363" s="47" t="n">
        <v>17</v>
      </c>
      <c r="B363" s="38" t="n">
        <f aca="false">助手收入!$B18</f>
        <v>2022</v>
      </c>
      <c r="C363" s="48" t="str">
        <f aca="false">助手收入!$C18</f>
        <v>北楼店</v>
      </c>
      <c r="D363" s="48" t="str">
        <f aca="false">科目对照收入!$B11&amp;""</f>
        <v>饿了么</v>
      </c>
      <c r="E363" s="48" t="str">
        <f aca="false">IF(AND(ROUND($G363,2)&lt;0,科目对照收入!$L11&lt;&gt;""),科目对照收入!$L11,科目对照收入!$C11)&amp;""</f>
        <v>应收账款</v>
      </c>
      <c r="F363" s="48" t="str">
        <f aca="false">IF(AND(ROUND($G363,2)&lt;0,科目对照收入!$L11&lt;&gt;""),科目对照收入!$M11,科目对照收入!$D11)&amp;""</f>
        <v>饿了么</v>
      </c>
      <c r="G363" s="49" t="n">
        <f aca="false">IF(COUNTIFS(输入平台!$A:$A,助手收入!$X18,输入平台!$B:$B,科目对照收入!$B11)&gt;0,ROUND(SUMIFS(输入平台!$C:$C,输入平台!$A:$A,助手收入!$X18,输入平台!$B:$B,科目对照收入!$B11),2),ROUND(海典汇总!$N$19,2))</f>
        <v>0</v>
      </c>
      <c r="H363" s="49" t="str">
        <f aca="false">IF(ROUND($G363,2)&gt;0,ROUND($G363,2),"")</f>
        <v/>
      </c>
      <c r="I363" s="49" t="str">
        <f aca="false">IF(ROUND($G363,2)&lt;0,-ROUND($G363,2),"")</f>
        <v/>
      </c>
      <c r="J363" s="20" t="n">
        <f aca="false">IF(ROUND($G363,2)=0,0,1)</f>
        <v>0</v>
      </c>
      <c r="K363" s="20" t="str">
        <f aca="false">IF($J363=0,"",SUM($J$354:$J363))</f>
        <v/>
      </c>
      <c r="L363" s="20" t="str">
        <f aca="false">IF($K363="","",$A363*100+$K363)</f>
        <v/>
      </c>
      <c r="M363" s="48" t="str">
        <f aca="false">参数!$B$3</f>
        <v>7月收入</v>
      </c>
    </row>
    <row r="364" customFormat="false" ht="13.5" hidden="false" customHeight="false" outlineLevel="0" collapsed="false">
      <c r="A364" s="47" t="n">
        <v>17</v>
      </c>
      <c r="B364" s="38" t="n">
        <f aca="false">助手收入!$B18</f>
        <v>2022</v>
      </c>
      <c r="C364" s="48" t="str">
        <f aca="false">助手收入!$C18</f>
        <v>北楼店</v>
      </c>
      <c r="D364" s="48" t="str">
        <f aca="false">科目对照收入!$B12&amp;""</f>
        <v>京东秒送</v>
      </c>
      <c r="E364" s="48" t="str">
        <f aca="false">IF(AND(ROUND($G364,2)&lt;0,科目对照收入!$L12&lt;&gt;""),科目对照收入!$L12,科目对照收入!$C12)&amp;""</f>
        <v>应收账款</v>
      </c>
      <c r="F364" s="48" t="str">
        <f aca="false">IF(AND(ROUND($G364,2)&lt;0,科目对照收入!$L12&lt;&gt;""),科目对照收入!$M12,科目对照收入!$D12)&amp;""</f>
        <v>京东秒送</v>
      </c>
      <c r="G364" s="49" t="n">
        <f aca="false">IF(COUNTIFS(输入平台!$A:$A,助手收入!$X18,输入平台!$B:$B,科目对照收入!$B12)&gt;0,ROUND(SUMIFS(输入平台!$C:$C,输入平台!$A:$A,助手收入!$X18,输入平台!$B:$B,科目对照收入!$B12),2),ROUND(海典汇总!$O$19,2))</f>
        <v>0</v>
      </c>
      <c r="H364" s="49" t="str">
        <f aca="false">IF(ROUND($G364,2)&gt;0,ROUND($G364,2),"")</f>
        <v/>
      </c>
      <c r="I364" s="49" t="str">
        <f aca="false">IF(ROUND($G364,2)&lt;0,-ROUND($G364,2),"")</f>
        <v/>
      </c>
      <c r="J364" s="20" t="n">
        <f aca="false">IF(ROUND($G364,2)=0,0,1)</f>
        <v>0</v>
      </c>
      <c r="K364" s="20" t="str">
        <f aca="false">IF($J364=0,"",SUM($J$354:$J364))</f>
        <v/>
      </c>
      <c r="L364" s="20" t="str">
        <f aca="false">IF($K364="","",$A364*100+$K364)</f>
        <v/>
      </c>
      <c r="M364" s="48" t="str">
        <f aca="false">参数!$B$3</f>
        <v>7月收入</v>
      </c>
    </row>
    <row r="365" customFormat="false" ht="13.5" hidden="false" customHeight="false" outlineLevel="0" collapsed="false">
      <c r="A365" s="47" t="n">
        <v>17</v>
      </c>
      <c r="B365" s="38" t="n">
        <f aca="false">助手收入!$B18</f>
        <v>2022</v>
      </c>
      <c r="C365" s="48" t="str">
        <f aca="false">助手收入!$C18</f>
        <v>北楼店</v>
      </c>
      <c r="D365" s="48" t="str">
        <f aca="false">科目对照收入!$B13&amp;""</f>
        <v>银联</v>
      </c>
      <c r="E365" s="48" t="str">
        <f aca="false">IF(AND(ROUND($G365,2)&lt;0,科目对照收入!$L13&lt;&gt;""),科目对照收入!$L13,科目对照收入!$C13)&amp;""</f>
        <v>应收账款</v>
      </c>
      <c r="F365" s="48" t="str">
        <f aca="false">IF(AND(ROUND($G365,2)&lt;0,科目对照收入!$L13&lt;&gt;""),科目对照收入!$M13,科目对照收入!$D13)&amp;""</f>
        <v>银联</v>
      </c>
      <c r="G365" s="49" t="n">
        <f aca="false">IF(COUNTIFS(输入平台!$A:$A,助手收入!$X18,输入平台!$B:$B,科目对照收入!$B13)&gt;0,ROUND(SUMIFS(输入平台!$C:$C,输入平台!$A:$A,助手收入!$X18,输入平台!$B:$B,科目对照收入!$B13),2),ROUND(海典汇总!$V$19,2))</f>
        <v>0</v>
      </c>
      <c r="H365" s="49" t="str">
        <f aca="false">IF(ROUND($G365,2)&gt;0,ROUND($G365,2),"")</f>
        <v/>
      </c>
      <c r="I365" s="49" t="str">
        <f aca="false">IF(ROUND($G365,2)&lt;0,-ROUND($G365,2),"")</f>
        <v/>
      </c>
      <c r="J365" s="20" t="n">
        <f aca="false">IF(ROUND($G365,2)=0,0,1)</f>
        <v>0</v>
      </c>
      <c r="K365" s="20" t="str">
        <f aca="false">IF($J365=0,"",SUM($J$354:$J365))</f>
        <v/>
      </c>
      <c r="L365" s="20" t="str">
        <f aca="false">IF($K365="","",$A365*100+$K365)</f>
        <v/>
      </c>
      <c r="M365" s="48" t="str">
        <f aca="false">参数!$B$3</f>
        <v>7月收入</v>
      </c>
    </row>
    <row r="366" customFormat="false" ht="13.5" hidden="false" customHeight="false" outlineLevel="0" collapsed="false">
      <c r="A366" s="47" t="n">
        <v>17</v>
      </c>
      <c r="B366" s="38" t="n">
        <f aca="false">助手收入!$B18</f>
        <v>2022</v>
      </c>
      <c r="C366" s="48" t="str">
        <f aca="false">助手收入!$C18</f>
        <v>北楼店</v>
      </c>
      <c r="D366" s="48" t="str">
        <f aca="false">科目对照收入!$B14&amp;""</f>
        <v>小镇外卖</v>
      </c>
      <c r="E366" s="48" t="str">
        <f aca="false">IF(AND(ROUND($G366,2)&lt;0,科目对照收入!$L14&lt;&gt;""),科目对照收入!$L14,科目对照收入!$C14)&amp;""</f>
        <v>应收账款</v>
      </c>
      <c r="F366" s="48" t="str">
        <f aca="false">IF(AND(ROUND($G366,2)&lt;0,科目对照收入!$L14&lt;&gt;""),科目对照收入!$M14,科目对照收入!$D14)&amp;""</f>
        <v>小镇外卖</v>
      </c>
      <c r="G366" s="49" t="n">
        <f aca="false">IF(COUNTIFS(输入平台!$A:$A,助手收入!$X18,输入平台!$B:$B,科目对照收入!$B14)&gt;0,ROUND(SUMIFS(输入平台!$C:$C,输入平台!$A:$A,助手收入!$X18,输入平台!$B:$B,科目对照收入!$B14),2),ROUND(海典汇总!$AC$19,2))</f>
        <v>0</v>
      </c>
      <c r="H366" s="49" t="str">
        <f aca="false">IF(ROUND($G366,2)&gt;0,ROUND($G366,2),"")</f>
        <v/>
      </c>
      <c r="I366" s="49" t="str">
        <f aca="false">IF(ROUND($G366,2)&lt;0,-ROUND($G366,2),"")</f>
        <v/>
      </c>
      <c r="J366" s="20" t="n">
        <f aca="false">IF(ROUND($G366,2)=0,0,1)</f>
        <v>0</v>
      </c>
      <c r="K366" s="20" t="str">
        <f aca="false">IF($J366=0,"",SUM($J$354:$J366))</f>
        <v/>
      </c>
      <c r="L366" s="20" t="str">
        <f aca="false">IF($K366="","",$A366*100+$K366)</f>
        <v/>
      </c>
      <c r="M366" s="48" t="str">
        <f aca="false">参数!$B$3</f>
        <v>7月收入</v>
      </c>
    </row>
    <row r="367" customFormat="false" ht="13.5" hidden="false" customHeight="false" outlineLevel="0" collapsed="false">
      <c r="A367" s="47" t="n">
        <v>17</v>
      </c>
      <c r="B367" s="38" t="n">
        <f aca="false">助手收入!$B18</f>
        <v>2022</v>
      </c>
      <c r="C367" s="48" t="str">
        <f aca="false">助手收入!$C18</f>
        <v>北楼店</v>
      </c>
      <c r="D367" s="48" t="str">
        <f aca="false">科目对照收入!$B15&amp;""</f>
        <v>OMS线上支付</v>
      </c>
      <c r="E367" s="48" t="str">
        <f aca="false">IF(AND(ROUND($G367,2)&lt;0,科目对照收入!$L15&lt;&gt;""),科目对照收入!$L15,科目对照收入!$C15)&amp;""</f>
        <v>应收账款</v>
      </c>
      <c r="F367" s="48" t="str">
        <f aca="false">IF(AND(ROUND($G367,2)&lt;0,科目对照收入!$L15&lt;&gt;""),科目对照收入!$M15,科目对照收入!$D15)&amp;""</f>
        <v>OMS线上</v>
      </c>
      <c r="G367" s="49" t="n">
        <f aca="false">IF(COUNTIFS(输入平台!$A:$A,助手收入!$X18,输入平台!$B:$B,科目对照收入!$B15)&gt;0,ROUND(SUMIFS(输入平台!$C:$C,输入平台!$A:$A,助手收入!$X18,输入平台!$B:$B,科目对照收入!$B15),2),ROUND(海典汇总!$L$19,2))</f>
        <v>0</v>
      </c>
      <c r="H367" s="49" t="str">
        <f aca="false">IF(ROUND($G367,2)&gt;0,ROUND($G367,2),"")</f>
        <v/>
      </c>
      <c r="I367" s="49" t="str">
        <f aca="false">IF(ROUND($G367,2)&lt;0,-ROUND($G367,2),"")</f>
        <v/>
      </c>
      <c r="J367" s="20" t="n">
        <f aca="false">IF(ROUND($G367,2)=0,0,1)</f>
        <v>0</v>
      </c>
      <c r="K367" s="20" t="str">
        <f aca="false">IF($J367=0,"",SUM($J$354:$J367))</f>
        <v/>
      </c>
      <c r="L367" s="20" t="str">
        <f aca="false">IF($K367="","",$A367*100+$K367)</f>
        <v/>
      </c>
      <c r="M367" s="48" t="str">
        <f aca="false">参数!$B$3</f>
        <v>7月收入</v>
      </c>
    </row>
    <row r="368" customFormat="false" ht="13.5" hidden="false" customHeight="false" outlineLevel="0" collapsed="false">
      <c r="A368" s="47" t="n">
        <v>17</v>
      </c>
      <c r="B368" s="38" t="n">
        <f aca="false">助手收入!$B18</f>
        <v>2022</v>
      </c>
      <c r="C368" s="48" t="str">
        <f aca="false">助手收入!$C18</f>
        <v>北楼店</v>
      </c>
      <c r="D368" s="48" t="str">
        <f aca="false">科目对照收入!$B16&amp;""</f>
        <v>平安药卡</v>
      </c>
      <c r="E368" s="48" t="str">
        <f aca="false">IF(AND(ROUND($G368,2)&lt;0,科目对照收入!$L16&lt;&gt;""),科目对照收入!$L16,科目对照收入!$C16)&amp;""</f>
        <v>应收账款</v>
      </c>
      <c r="F368" s="48" t="str">
        <f aca="false">IF(AND(ROUND($G368,2)&lt;0,科目对照收入!$L16&lt;&gt;""),科目对照收入!$M16,科目对照收入!$D16)&amp;""</f>
        <v>平安</v>
      </c>
      <c r="G368" s="49" t="n">
        <f aca="false">IF(COUNTIFS(输入平台!$A:$A,助手收入!$X18,输入平台!$B:$B,科目对照收入!$B16)&gt;0,ROUND(SUMIFS(输入平台!$C:$C,输入平台!$A:$A,助手收入!$X18,输入平台!$B:$B,科目对照收入!$B16),2),ROUND(海典汇总!$AB$19,2))</f>
        <v>0</v>
      </c>
      <c r="H368" s="49" t="str">
        <f aca="false">IF(ROUND($G368,2)&gt;0,ROUND($G368,2),"")</f>
        <v/>
      </c>
      <c r="I368" s="49" t="str">
        <f aca="false">IF(ROUND($G368,2)&lt;0,-ROUND($G368,2),"")</f>
        <v/>
      </c>
      <c r="J368" s="20" t="n">
        <f aca="false">IF(ROUND($G368,2)=0,0,1)</f>
        <v>0</v>
      </c>
      <c r="K368" s="20" t="str">
        <f aca="false">IF($J368=0,"",SUM($J$354:$J368))</f>
        <v/>
      </c>
      <c r="L368" s="20" t="str">
        <f aca="false">IF($K368="","",$A368*100+$K368)</f>
        <v/>
      </c>
      <c r="M368" s="48" t="str">
        <f aca="false">参数!$B$3</f>
        <v>7月收入</v>
      </c>
    </row>
    <row r="369" customFormat="false" ht="13.5" hidden="false" customHeight="false" outlineLevel="0" collapsed="false">
      <c r="A369" s="47" t="n">
        <v>17</v>
      </c>
      <c r="B369" s="38" t="n">
        <f aca="false">助手收入!$B18</f>
        <v>2022</v>
      </c>
      <c r="C369" s="48" t="str">
        <f aca="false">助手收入!$C18</f>
        <v>北楼店</v>
      </c>
      <c r="D369" s="48" t="str">
        <f aca="false">科目对照收入!$B17&amp;""</f>
        <v>储值卡</v>
      </c>
      <c r="E369" s="48" t="str">
        <f aca="false">IF(AND(ROUND($G369,2)&lt;0,科目对照收入!$L17&lt;&gt;""),科目对照收入!$L17,科目对照收入!$C17)&amp;""</f>
        <v>其他应收款</v>
      </c>
      <c r="F369" s="48" t="str">
        <f aca="false">IF(AND(ROUND($G369,2)&lt;0,科目对照收入!$L17&lt;&gt;""),科目对照收入!$M17,科目对照收入!$D17)&amp;""</f>
        <v>储值卡</v>
      </c>
      <c r="G369" s="49" t="n">
        <f aca="false">ROUND(海典汇总!$Q$19,2)</f>
        <v>51</v>
      </c>
      <c r="H369" s="49" t="n">
        <f aca="false">IF(ROUND($G369,2)&gt;0,ROUND($G369,2),"")</f>
        <v>51</v>
      </c>
      <c r="I369" s="49" t="str">
        <f aca="false">IF(ROUND($G369,2)&lt;0,-ROUND($G369,2),"")</f>
        <v/>
      </c>
      <c r="J369" s="20" t="n">
        <f aca="false">IF(ROUND($G369,2)=0,0,1)</f>
        <v>1</v>
      </c>
      <c r="K369" s="20" t="n">
        <f aca="false">IF($J369=0,"",SUM($J$354:$J369))</f>
        <v>4</v>
      </c>
      <c r="L369" s="20" t="n">
        <f aca="false">IF($K369="","",$A369*100+$K369)</f>
        <v>1704</v>
      </c>
      <c r="M369" s="48" t="str">
        <f aca="false">参数!$B$3</f>
        <v>7月收入</v>
      </c>
    </row>
    <row r="370" customFormat="false" ht="13.5" hidden="false" customHeight="false" outlineLevel="0" collapsed="false">
      <c r="A370" s="47" t="n">
        <v>17</v>
      </c>
      <c r="B370" s="38" t="n">
        <f aca="false">助手收入!$B18</f>
        <v>2022</v>
      </c>
      <c r="C370" s="48" t="str">
        <f aca="false">助手收入!$C18</f>
        <v>北楼店</v>
      </c>
      <c r="D370" s="48" t="str">
        <f aca="false">科目对照收入!$B18&amp;""</f>
        <v>会员零钱包</v>
      </c>
      <c r="E370" s="48" t="str">
        <f aca="false">IF(AND(ROUND($G370,2)&lt;0,科目对照收入!$L18&lt;&gt;""),科目对照收入!$L18,科目对照收入!$C18)&amp;""</f>
        <v>其他应收款</v>
      </c>
      <c r="F370" s="48" t="str">
        <f aca="false">IF(AND(ROUND($G370,2)&lt;0,科目对照收入!$L18&lt;&gt;""),科目对照收入!$M18,科目对照收入!$D18)&amp;""</f>
        <v>会员零钱包</v>
      </c>
      <c r="G370" s="49" t="n">
        <f aca="false">ROUND(海典汇总!$P$19,2)</f>
        <v>0</v>
      </c>
      <c r="H370" s="49" t="str">
        <f aca="false">IF(ROUND($G370,2)&gt;0,ROUND($G370,2),"")</f>
        <v/>
      </c>
      <c r="I370" s="49" t="str">
        <f aca="false">IF(ROUND($G370,2)&lt;0,-ROUND($G370,2),"")</f>
        <v/>
      </c>
      <c r="J370" s="20" t="n">
        <f aca="false">IF(ROUND($G370,2)=0,0,1)</f>
        <v>0</v>
      </c>
      <c r="K370" s="20" t="str">
        <f aca="false">IF($J370=0,"",SUM($J$354:$J370))</f>
        <v/>
      </c>
      <c r="L370" s="20" t="str">
        <f aca="false">IF($K370="","",$A370*100+$K370)</f>
        <v/>
      </c>
      <c r="M370" s="48" t="str">
        <f aca="false">参数!$B$3</f>
        <v>7月收入</v>
      </c>
    </row>
    <row r="371" customFormat="false" ht="13.5" hidden="false" customHeight="false" outlineLevel="0" collapsed="false">
      <c r="A371" s="47" t="n">
        <v>17</v>
      </c>
      <c r="B371" s="38" t="n">
        <f aca="false">助手收入!$B18</f>
        <v>2022</v>
      </c>
      <c r="C371" s="48" t="str">
        <f aca="false">助手收入!$C18</f>
        <v>北楼店</v>
      </c>
      <c r="D371" s="48" t="str">
        <f aca="false">科目对照收入!$B19&amp;""</f>
        <v>促销费</v>
      </c>
      <c r="E371" s="48" t="str">
        <f aca="false">IF(AND(ROUND($G371,2)&lt;0,科目对照收入!$L19&lt;&gt;""),科目对照收入!$L19,科目对照收入!$C19)&amp;""</f>
        <v>销售费用</v>
      </c>
      <c r="F371" s="48" t="str">
        <f aca="false">IF(AND(ROUND($G371,2)&lt;0,科目对照收入!$L19&lt;&gt;""),科目对照收入!$M19,科目对照收入!$D19)&amp;""</f>
        <v>促销费</v>
      </c>
      <c r="G371" s="49" t="n">
        <f aca="false">ROUND(海典汇总!$U$19+海典汇总!$T$19+海典汇总!$S$19,2)</f>
        <v>375.1</v>
      </c>
      <c r="H371" s="49" t="n">
        <f aca="false">IF(ROUND($G371,2)&gt;0,ROUND($G371,2),"")</f>
        <v>375.1</v>
      </c>
      <c r="I371" s="49" t="str">
        <f aca="false">IF(ROUND($G371,2)&lt;0,-ROUND($G371,2),"")</f>
        <v/>
      </c>
      <c r="J371" s="20" t="n">
        <f aca="false">IF(ROUND($G371,2)=0,0,1)</f>
        <v>1</v>
      </c>
      <c r="K371" s="20" t="n">
        <f aca="false">IF($J371=0,"",SUM($J$354:$J371))</f>
        <v>5</v>
      </c>
      <c r="L371" s="20" t="n">
        <f aca="false">IF($K371="","",$A371*100+$K371)</f>
        <v>1705</v>
      </c>
      <c r="M371" s="48" t="str">
        <f aca="false">参数!$B$3</f>
        <v>7月收入</v>
      </c>
    </row>
    <row r="372" customFormat="false" ht="13.5" hidden="false" customHeight="false" outlineLevel="0" collapsed="false">
      <c r="A372" s="47" t="n">
        <v>17</v>
      </c>
      <c r="B372" s="38" t="n">
        <f aca="false">助手收入!$B18</f>
        <v>2022</v>
      </c>
      <c r="C372" s="48" t="str">
        <f aca="false">助手收入!$C18</f>
        <v>北楼店</v>
      </c>
      <c r="D372" s="48" t="str">
        <f aca="false">科目对照收入!$B20&amp;""</f>
        <v>积分</v>
      </c>
      <c r="E372" s="48" t="str">
        <f aca="false">IF(AND(ROUND($G372,2)&lt;0,科目对照收入!$L20&lt;&gt;""),科目对照收入!$L20,科目对照收入!$C20)&amp;""</f>
        <v>销售费用</v>
      </c>
      <c r="F372" s="48" t="str">
        <f aca="false">IF(AND(ROUND($G372,2)&lt;0,科目对照收入!$L20&lt;&gt;""),科目对照收入!$M20,科目对照收入!$D20)&amp;""</f>
        <v>积分</v>
      </c>
      <c r="G372" s="49" t="n">
        <f aca="false">ROUND(海典汇总!$R$19,2)</f>
        <v>0</v>
      </c>
      <c r="H372" s="49" t="str">
        <f aca="false">IF(ROUND($G372,2)&gt;0,ROUND($G372,2),"")</f>
        <v/>
      </c>
      <c r="I372" s="49" t="str">
        <f aca="false">IF(ROUND($G372,2)&lt;0,-ROUND($G372,2),"")</f>
        <v/>
      </c>
      <c r="J372" s="20" t="n">
        <f aca="false">IF(ROUND($G372,2)=0,0,1)</f>
        <v>0</v>
      </c>
      <c r="K372" s="20" t="str">
        <f aca="false">IF($J372=0,"",SUM($J$354:$J372))</f>
        <v/>
      </c>
      <c r="L372" s="20" t="str">
        <f aca="false">IF($K372="","",$A372*100+$K372)</f>
        <v/>
      </c>
      <c r="M372" s="48" t="str">
        <f aca="false">参数!$B$3</f>
        <v>7月收入</v>
      </c>
    </row>
    <row r="373" customFormat="false" ht="13.5" hidden="false" customHeight="false" outlineLevel="0" collapsed="false">
      <c r="A373" s="47" t="n">
        <v>17</v>
      </c>
      <c r="B373" s="38" t="n">
        <f aca="false">助手收入!$B18</f>
        <v>2022</v>
      </c>
      <c r="C373" s="48" t="str">
        <f aca="false">助手收入!$C18</f>
        <v>北楼店</v>
      </c>
      <c r="D373" s="48" t="str">
        <f aca="false">科目对照收入!$B21&amp;""</f>
        <v>手续费</v>
      </c>
      <c r="E373" s="48" t="str">
        <f aca="false">IF(AND(ROUND($G373,2)&lt;0,科目对照收入!$L21&lt;&gt;""),科目对照收入!$L21,科目对照收入!$C21)&amp;""</f>
        <v>财务费用</v>
      </c>
      <c r="F373" s="48" t="str">
        <f aca="false">IF(AND(ROUND($G373,2)&lt;0,科目对照收入!$L21&lt;&gt;""),科目对照收入!$M21,科目对照收入!$D21)&amp;""</f>
        <v>手续费</v>
      </c>
      <c r="G373" s="49" t="n">
        <f aca="false">ROUND(SUMIFS(输入聚合!$D:$D,输入聚合!$A:$A,助手收入!$X18),2)</f>
        <v>129.53</v>
      </c>
      <c r="H373" s="49" t="n">
        <f aca="false">IF(ROUND($G373,2)&gt;0,ROUND($G373,2),"")</f>
        <v>129.53</v>
      </c>
      <c r="I373" s="49" t="str">
        <f aca="false">IF(ROUND($G373,2)&lt;0,-ROUND($G373,2),"")</f>
        <v/>
      </c>
      <c r="J373" s="20" t="n">
        <f aca="false">IF(ROUND($G373,2)=0,0,1)</f>
        <v>1</v>
      </c>
      <c r="K373" s="20" t="n">
        <f aca="false">IF($J373=0,"",SUM($J$354:$J373))</f>
        <v>6</v>
      </c>
      <c r="L373" s="20" t="n">
        <f aca="false">IF($K373="","",$A373*100+$K373)</f>
        <v>1706</v>
      </c>
      <c r="M373" s="48" t="str">
        <f aca="false">参数!$B$3</f>
        <v>7月收入</v>
      </c>
    </row>
    <row r="374" customFormat="false" ht="13.5" hidden="false" customHeight="false" outlineLevel="0" collapsed="false">
      <c r="A374" s="47" t="n">
        <v>17</v>
      </c>
      <c r="B374" s="38" t="n">
        <f aca="false">助手收入!$B18</f>
        <v>2022</v>
      </c>
      <c r="C374" s="48" t="str">
        <f aca="false">助手收入!$C18</f>
        <v>北楼店</v>
      </c>
      <c r="D374" s="48" t="str">
        <f aca="false">科目对照收入!$B22&amp;""</f>
        <v>主营业务收入</v>
      </c>
      <c r="E374" s="48" t="str">
        <f aca="false">IF(AND(ROUND($G374,2)&lt;0,科目对照收入!$L22&lt;&gt;""),科目对照收入!$L22,科目对照收入!$C22)&amp;""</f>
        <v>主营业务收入</v>
      </c>
      <c r="F374" s="48" t="str">
        <f aca="false">IF(AND(ROUND($G374,2)&lt;0,科目对照收入!$L22&lt;&gt;""),科目对照收入!$M22,科目对照收入!$D22)&amp;""</f>
        <v/>
      </c>
      <c r="G374" s="49" t="n">
        <f aca="false">-ROUND(助手收入!$G18,2)</f>
        <v>-70718.95</v>
      </c>
      <c r="H374" s="49" t="str">
        <f aca="false">IF(ROUND($G374,2)&gt;0,ROUND($G374,2),"")</f>
        <v/>
      </c>
      <c r="I374" s="49" t="n">
        <f aca="false">IF(ROUND($G374,2)&lt;0,-ROUND($G374,2),"")</f>
        <v>70718.95</v>
      </c>
      <c r="J374" s="20" t="n">
        <f aca="false">IF(ROUND($G374,2)=0,0,1)</f>
        <v>1</v>
      </c>
      <c r="K374" s="20" t="n">
        <f aca="false">IF($J374=0,"",SUM($J$354:$J374))</f>
        <v>7</v>
      </c>
      <c r="L374" s="20" t="n">
        <f aca="false">IF($K374="","",$A374*100+$K374)</f>
        <v>1707</v>
      </c>
      <c r="M374" s="48" t="str">
        <f aca="false">参数!$B$3</f>
        <v>7月收入</v>
      </c>
    </row>
    <row r="375" customFormat="false" ht="13.5" hidden="false" customHeight="false" outlineLevel="0" collapsed="false">
      <c r="A375" s="47" t="n">
        <v>17</v>
      </c>
      <c r="B375" s="38" t="n">
        <f aca="false">助手收入!$B18</f>
        <v>2022</v>
      </c>
      <c r="C375" s="48" t="str">
        <f aca="false">助手收入!$C18</f>
        <v>北楼店</v>
      </c>
      <c r="D375" s="48" t="str">
        <f aca="false">科目对照收入!$B23&amp;""</f>
        <v>营业外收入</v>
      </c>
      <c r="E375" s="48" t="str">
        <f aca="false">IF(AND(ROUND($G375,2)&lt;0,科目对照收入!$L23&lt;&gt;""),科目对照收入!$L23,科目对照收入!$C23)&amp;""</f>
        <v>营业外收入</v>
      </c>
      <c r="F375" s="48" t="str">
        <f aca="false">IF(AND(ROUND($G375,2)&lt;0,科目对照收入!$L23&lt;&gt;""),科目对照收入!$M23,科目对照收入!$D23)&amp;""</f>
        <v/>
      </c>
      <c r="G375" s="49" t="n">
        <f aca="false">-ROUND(助手收入!$J18,2)</f>
        <v>-0</v>
      </c>
      <c r="H375" s="49" t="str">
        <f aca="false">IF(ROUND($G375,2)&gt;0,ROUND($G375,2),"")</f>
        <v/>
      </c>
      <c r="I375" s="49" t="str">
        <f aca="false">IF(ROUND($G375,2)&lt;0,-ROUND($G375,2),"")</f>
        <v/>
      </c>
      <c r="J375" s="20" t="n">
        <f aca="false">IF(ROUND($G375,2)=0,0,1)</f>
        <v>0</v>
      </c>
      <c r="K375" s="20" t="str">
        <f aca="false">IF($J375=0,"",SUM($J$354:$J375))</f>
        <v/>
      </c>
      <c r="L375" s="20" t="str">
        <f aca="false">IF($K375="","",$A375*100+$K375)</f>
        <v/>
      </c>
      <c r="M375" s="48" t="str">
        <f aca="false">参数!$B$3</f>
        <v>7月收入</v>
      </c>
    </row>
    <row r="376" customFormat="false" ht="13.5" hidden="false" customHeight="false" outlineLevel="0" collapsed="false">
      <c r="A376" s="47" t="n">
        <v>18</v>
      </c>
      <c r="B376" s="38" t="n">
        <f aca="false">助手收入!$B19</f>
        <v>2023</v>
      </c>
      <c r="C376" s="48" t="str">
        <f aca="false">助手收入!$C19</f>
        <v>尹村店</v>
      </c>
      <c r="D376" s="48" t="str">
        <f aca="false">科目对照收入!$B2&amp;""</f>
        <v>库存现金</v>
      </c>
      <c r="E376" s="48" t="str">
        <f aca="false">IF(AND(ROUND($G376,2)&lt;0,科目对照收入!$L2&lt;&gt;""),科目对照收入!$L2,科目对照收入!$C2)&amp;""</f>
        <v>库存现金</v>
      </c>
      <c r="F376" s="48" t="str">
        <f aca="false">IF(AND(ROUND($G376,2)&lt;0,科目对照收入!$L2&lt;&gt;""),科目对照收入!$M2,科目对照收入!$D2)&amp;""</f>
        <v/>
      </c>
      <c r="G376" s="49" t="n">
        <f aca="false">助手收入!$I19</f>
        <v>10365.03</v>
      </c>
      <c r="H376" s="49" t="n">
        <f aca="false">IF(ROUND($G376,2)&gt;0,ROUND($G376,2),"")</f>
        <v>10365.03</v>
      </c>
      <c r="I376" s="49" t="str">
        <f aca="false">IF(ROUND($G376,2)&lt;0,-ROUND($G376,2),"")</f>
        <v/>
      </c>
      <c r="J376" s="20" t="n">
        <f aca="false">IF(ROUND($G376,2)=0,0,1)</f>
        <v>1</v>
      </c>
      <c r="K376" s="20" t="n">
        <f aca="false">IF($J376=0,"",SUM($J$376:$J376))</f>
        <v>1</v>
      </c>
      <c r="L376" s="20" t="n">
        <f aca="false">IF($K376="","",$A376*100+$K376)</f>
        <v>1801</v>
      </c>
      <c r="M376" s="48" t="str">
        <f aca="false">参数!$B$3</f>
        <v>7月收入</v>
      </c>
    </row>
    <row r="377" customFormat="false" ht="13.5" hidden="false" customHeight="false" outlineLevel="0" collapsed="false">
      <c r="A377" s="47" t="n">
        <v>18</v>
      </c>
      <c r="B377" s="38" t="n">
        <f aca="false">助手收入!$B19</f>
        <v>2023</v>
      </c>
      <c r="C377" s="48" t="str">
        <f aca="false">助手收入!$C19</f>
        <v>尹村店</v>
      </c>
      <c r="D377" s="48" t="str">
        <f aca="false">科目对照收入!$B3&amp;""</f>
        <v>聚合支付</v>
      </c>
      <c r="E377" s="48" t="str">
        <f aca="false">IF(AND(ROUND($G377,2)&lt;0,科目对照收入!$L3&lt;&gt;""),科目对照收入!$L3,科目对照收入!$C3)&amp;""</f>
        <v>应收账款</v>
      </c>
      <c r="F377" s="48" t="str">
        <f aca="false">IF(AND(ROUND($G377,2)&lt;0,科目对照收入!$L3&lt;&gt;""),科目对照收入!$M3,科目对照收入!$D3)&amp;""</f>
        <v>聚合支付</v>
      </c>
      <c r="G377" s="49" t="n">
        <f aca="false">ROUND(SUMIFS(输入聚合!$C:$C,输入聚合!$A:$A,助手收入!$X19)-SUMIFS(输入聚合!$D:$D,输入聚合!$A:$A,助手收入!$X19),2)</f>
        <v>31705.7</v>
      </c>
      <c r="H377" s="49" t="n">
        <f aca="false">IF(ROUND($G377,2)&gt;0,ROUND($G377,2),"")</f>
        <v>31705.7</v>
      </c>
      <c r="I377" s="49" t="str">
        <f aca="false">IF(ROUND($G377,2)&lt;0,-ROUND($G377,2),"")</f>
        <v/>
      </c>
      <c r="J377" s="20" t="n">
        <f aca="false">IF(ROUND($G377,2)=0,0,1)</f>
        <v>1</v>
      </c>
      <c r="K377" s="20" t="n">
        <f aca="false">IF($J377=0,"",SUM($J$376:$J377))</f>
        <v>2</v>
      </c>
      <c r="L377" s="20" t="n">
        <f aca="false">IF($K377="","",$A377*100+$K377)</f>
        <v>1802</v>
      </c>
      <c r="M377" s="48" t="str">
        <f aca="false">参数!$B$3</f>
        <v>7月收入</v>
      </c>
    </row>
    <row r="378" customFormat="false" ht="13.5" hidden="false" customHeight="false" outlineLevel="0" collapsed="false">
      <c r="A378" s="47" t="n">
        <v>18</v>
      </c>
      <c r="B378" s="38" t="n">
        <f aca="false">助手收入!$B19</f>
        <v>2023</v>
      </c>
      <c r="C378" s="48" t="str">
        <f aca="false">助手收入!$C19</f>
        <v>尹村店</v>
      </c>
      <c r="D378" s="48" t="str">
        <f aca="false">科目对照收入!$B4&amp;""</f>
        <v>医保</v>
      </c>
      <c r="E378" s="48" t="str">
        <f aca="false">IF(AND(ROUND($G378,2)&lt;0,科目对照收入!$L4&lt;&gt;""),科目对照收入!$L4,科目对照收入!$C4)&amp;""</f>
        <v>应收账款</v>
      </c>
      <c r="F378" s="48" t="str">
        <f aca="false">IF(AND(ROUND($G378,2)&lt;0,科目对照收入!$L4&lt;&gt;""),科目对照收入!$M4,科目对照收入!$D4)&amp;""</f>
        <v>医保</v>
      </c>
      <c r="G378" s="49" t="n">
        <f aca="false">IF(COUNTIFS(输入平台!$A:$A,助手收入!$X19,输入平台!$B:$B,科目对照收入!$B4)&gt;0,ROUND(SUMIFS(输入平台!$C:$C,输入平台!$A:$A,助手收入!$X19,输入平台!$B:$B,科目对照收入!$B4),2),ROUND(海典汇总!$F$20+海典汇总!$G$20,2))</f>
        <v>8446.29</v>
      </c>
      <c r="H378" s="49" t="n">
        <f aca="false">IF(ROUND($G378,2)&gt;0,ROUND($G378,2),"")</f>
        <v>8446.29</v>
      </c>
      <c r="I378" s="49" t="str">
        <f aca="false">IF(ROUND($G378,2)&lt;0,-ROUND($G378,2),"")</f>
        <v/>
      </c>
      <c r="J378" s="20" t="n">
        <f aca="false">IF(ROUND($G378,2)=0,0,1)</f>
        <v>1</v>
      </c>
      <c r="K378" s="20" t="n">
        <f aca="false">IF($J378=0,"",SUM($J$376:$J378))</f>
        <v>3</v>
      </c>
      <c r="L378" s="20" t="n">
        <f aca="false">IF($K378="","",$A378*100+$K378)</f>
        <v>1803</v>
      </c>
      <c r="M378" s="48" t="str">
        <f aca="false">参数!$B$3</f>
        <v>7月收入</v>
      </c>
    </row>
    <row r="379" customFormat="false" ht="13.5" hidden="false" customHeight="false" outlineLevel="0" collapsed="false">
      <c r="A379" s="47" t="n">
        <v>18</v>
      </c>
      <c r="B379" s="38" t="n">
        <f aca="false">助手收入!$B19</f>
        <v>2023</v>
      </c>
      <c r="C379" s="48" t="str">
        <f aca="false">助手收入!$C19</f>
        <v>尹村店</v>
      </c>
      <c r="D379" s="48" t="str">
        <f aca="false">科目对照收入!$B5&amp;""</f>
        <v>健e卡</v>
      </c>
      <c r="E379" s="48" t="str">
        <f aca="false">IF(AND(ROUND($G379,2)&lt;0,科目对照收入!$L5&lt;&gt;""),科目对照收入!$L5,科目对照收入!$C5)&amp;""</f>
        <v>应收账款</v>
      </c>
      <c r="F379" s="48" t="str">
        <f aca="false">IF(AND(ROUND($G379,2)&lt;0,科目对照收入!$L5&lt;&gt;""),科目对照收入!$M5,科目对照收入!$D5)&amp;""</f>
        <v>健e卡</v>
      </c>
      <c r="G379" s="49" t="n">
        <f aca="false">IF(COUNTIFS(输入平台!$A:$A,助手收入!$X19,输入平台!$B:$B,科目对照收入!$B5)&gt;0,ROUND(SUMIFS(输入平台!$C:$C,输入平台!$A:$A,助手收入!$X19,输入平台!$B:$B,科目对照收入!$B5),2),ROUND(海典汇总!$H$20,2))</f>
        <v>0</v>
      </c>
      <c r="H379" s="49" t="str">
        <f aca="false">IF(ROUND($G379,2)&gt;0,ROUND($G379,2),"")</f>
        <v/>
      </c>
      <c r="I379" s="49" t="str">
        <f aca="false">IF(ROUND($G379,2)&lt;0,-ROUND($G379,2),"")</f>
        <v/>
      </c>
      <c r="J379" s="20" t="n">
        <f aca="false">IF(ROUND($G379,2)=0,0,1)</f>
        <v>0</v>
      </c>
      <c r="K379" s="20" t="str">
        <f aca="false">IF($J379=0,"",SUM($J$376:$J379))</f>
        <v/>
      </c>
      <c r="L379" s="20" t="str">
        <f aca="false">IF($K379="","",$A379*100+$K379)</f>
        <v/>
      </c>
      <c r="M379" s="48" t="str">
        <f aca="false">参数!$B$3</f>
        <v>7月收入</v>
      </c>
    </row>
    <row r="380" customFormat="false" ht="13.5" hidden="false" customHeight="false" outlineLevel="0" collapsed="false">
      <c r="A380" s="47" t="n">
        <v>18</v>
      </c>
      <c r="B380" s="38" t="n">
        <f aca="false">助手收入!$B19</f>
        <v>2023</v>
      </c>
      <c r="C380" s="48" t="str">
        <f aca="false">助手收入!$C19</f>
        <v>尹村店</v>
      </c>
      <c r="D380" s="48" t="str">
        <f aca="false">科目对照收入!$B6&amp;""</f>
        <v>医卡通</v>
      </c>
      <c r="E380" s="48" t="str">
        <f aca="false">IF(AND(ROUND($G380,2)&lt;0,科目对照收入!$L6&lt;&gt;""),科目对照收入!$L6,科目对照收入!$C6)&amp;""</f>
        <v>应收账款</v>
      </c>
      <c r="F380" s="48" t="str">
        <f aca="false">IF(AND(ROUND($G380,2)&lt;0,科目对照收入!$L6&lt;&gt;""),科目对照收入!$M6,科目对照收入!$D6)&amp;""</f>
        <v>医卡通</v>
      </c>
      <c r="G380" s="49" t="n">
        <f aca="false">IF(COUNTIFS(输入平台!$A:$A,助手收入!$X19,输入平台!$B:$B,科目对照收入!$B6)&gt;0,ROUND(SUMIFS(输入平台!$C:$C,输入平台!$A:$A,助手收入!$X19,输入平台!$B:$B,科目对照收入!$B6),2),ROUND(海典汇总!$I$20,2))</f>
        <v>0</v>
      </c>
      <c r="H380" s="49" t="str">
        <f aca="false">IF(ROUND($G380,2)&gt;0,ROUND($G380,2),"")</f>
        <v/>
      </c>
      <c r="I380" s="49" t="str">
        <f aca="false">IF(ROUND($G380,2)&lt;0,-ROUND($G380,2),"")</f>
        <v/>
      </c>
      <c r="J380" s="20" t="n">
        <f aca="false">IF(ROUND($G380,2)=0,0,1)</f>
        <v>0</v>
      </c>
      <c r="K380" s="20" t="str">
        <f aca="false">IF($J380=0,"",SUM($J$376:$J380))</f>
        <v/>
      </c>
      <c r="L380" s="20" t="str">
        <f aca="false">IF($K380="","",$A380*100+$K380)</f>
        <v/>
      </c>
      <c r="M380" s="48" t="str">
        <f aca="false">参数!$B$3</f>
        <v>7月收入</v>
      </c>
    </row>
    <row r="381" customFormat="false" ht="13.5" hidden="false" customHeight="false" outlineLevel="0" collapsed="false">
      <c r="A381" s="47" t="n">
        <v>18</v>
      </c>
      <c r="B381" s="38" t="n">
        <f aca="false">助手收入!$B19</f>
        <v>2023</v>
      </c>
      <c r="C381" s="48" t="str">
        <f aca="false">助手收入!$C19</f>
        <v>尹村店</v>
      </c>
      <c r="D381" s="48" t="str">
        <f aca="false">科目对照收入!$B7&amp;""</f>
        <v>企健网</v>
      </c>
      <c r="E381" s="48" t="str">
        <f aca="false">IF(AND(ROUND($G381,2)&lt;0,科目对照收入!$L7&lt;&gt;""),科目对照收入!$L7,科目对照收入!$C7)&amp;""</f>
        <v>应收账款</v>
      </c>
      <c r="F381" s="48" t="str">
        <f aca="false">IF(AND(ROUND($G381,2)&lt;0,科目对照收入!$L7&lt;&gt;""),科目对照收入!$M7,科目对照收入!$D7)&amp;""</f>
        <v>企健网</v>
      </c>
      <c r="G381" s="49" t="n">
        <f aca="false">IF(COUNTIFS(输入平台!$A:$A,助手收入!$X19,输入平台!$B:$B,科目对照收入!$B7)&gt;0,ROUND(SUMIFS(输入平台!$C:$C,输入平台!$A:$A,助手收入!$X19,输入平台!$B:$B,科目对照收入!$B7),2),ROUND(海典汇总!$J$20,2))</f>
        <v>0</v>
      </c>
      <c r="H381" s="49" t="str">
        <f aca="false">IF(ROUND($G381,2)&gt;0,ROUND($G381,2),"")</f>
        <v/>
      </c>
      <c r="I381" s="49" t="str">
        <f aca="false">IF(ROUND($G381,2)&lt;0,-ROUND($G381,2),"")</f>
        <v/>
      </c>
      <c r="J381" s="20" t="n">
        <f aca="false">IF(ROUND($G381,2)=0,0,1)</f>
        <v>0</v>
      </c>
      <c r="K381" s="20" t="str">
        <f aca="false">IF($J381=0,"",SUM($J$376:$J381))</f>
        <v/>
      </c>
      <c r="L381" s="20" t="str">
        <f aca="false">IF($K381="","",$A381*100+$K381)</f>
        <v/>
      </c>
      <c r="M381" s="48" t="str">
        <f aca="false">参数!$B$3</f>
        <v>7月收入</v>
      </c>
    </row>
    <row r="382" customFormat="false" ht="13.5" hidden="false" customHeight="false" outlineLevel="0" collapsed="false">
      <c r="A382" s="47" t="n">
        <v>18</v>
      </c>
      <c r="B382" s="38" t="n">
        <f aca="false">助手收入!$B19</f>
        <v>2023</v>
      </c>
      <c r="C382" s="48" t="str">
        <f aca="false">助手收入!$C19</f>
        <v>尹村店</v>
      </c>
      <c r="D382" s="48" t="str">
        <f aca="false">科目对照收入!$B8&amp;""</f>
        <v>亲情卡</v>
      </c>
      <c r="E382" s="48" t="str">
        <f aca="false">IF(AND(ROUND($G382,2)&lt;0,科目对照收入!$L8&lt;&gt;""),科目对照收入!$L8,科目对照收入!$C8)&amp;""</f>
        <v>应收账款</v>
      </c>
      <c r="F382" s="48" t="str">
        <f aca="false">IF(AND(ROUND($G382,2)&lt;0,科目对照收入!$L8&lt;&gt;""),科目对照收入!$M8,科目对照收入!$D8)&amp;""</f>
        <v>亲情卡</v>
      </c>
      <c r="G382" s="49" t="n">
        <f aca="false">IF(COUNTIFS(输入平台!$A:$A,助手收入!$X19,输入平台!$B:$B,科目对照收入!$B8)&gt;0,ROUND(SUMIFS(输入平台!$C:$C,输入平台!$A:$A,助手收入!$X19,输入平台!$B:$B,科目对照收入!$B8),2),ROUND(海典汇总!$Z$20,2))</f>
        <v>0</v>
      </c>
      <c r="H382" s="49" t="str">
        <f aca="false">IF(ROUND($G382,2)&gt;0,ROUND($G382,2),"")</f>
        <v/>
      </c>
      <c r="I382" s="49" t="str">
        <f aca="false">IF(ROUND($G382,2)&lt;0,-ROUND($G382,2),"")</f>
        <v/>
      </c>
      <c r="J382" s="20" t="n">
        <f aca="false">IF(ROUND($G382,2)=0,0,1)</f>
        <v>0</v>
      </c>
      <c r="K382" s="20" t="str">
        <f aca="false">IF($J382=0,"",SUM($J$376:$J382))</f>
        <v/>
      </c>
      <c r="L382" s="20" t="str">
        <f aca="false">IF($K382="","",$A382*100+$K382)</f>
        <v/>
      </c>
      <c r="M382" s="48" t="str">
        <f aca="false">参数!$B$3</f>
        <v>7月收入</v>
      </c>
    </row>
    <row r="383" customFormat="false" ht="13.5" hidden="false" customHeight="false" outlineLevel="0" collapsed="false">
      <c r="A383" s="47" t="n">
        <v>18</v>
      </c>
      <c r="B383" s="38" t="n">
        <f aca="false">助手收入!$B19</f>
        <v>2023</v>
      </c>
      <c r="C383" s="48" t="str">
        <f aca="false">助手收入!$C19</f>
        <v>尹村店</v>
      </c>
      <c r="D383" s="48" t="str">
        <f aca="false">科目对照收入!$B9&amp;""</f>
        <v>24小时</v>
      </c>
      <c r="E383" s="48" t="str">
        <f aca="false">IF(AND(ROUND($G383,2)&lt;0,科目对照收入!$L9&lt;&gt;""),科目对照收入!$L9,科目对照收入!$C9)&amp;""</f>
        <v>应收账款</v>
      </c>
      <c r="F383" s="48" t="str">
        <f aca="false">IF(AND(ROUND($G383,2)&lt;0,科目对照收入!$L9&lt;&gt;""),科目对照收入!$M9,科目对照收入!$D9)&amp;""</f>
        <v>24小时</v>
      </c>
      <c r="G383" s="49" t="n">
        <f aca="false">IF(COUNTIFS(输入平台!$A:$A,助手收入!$X19,输入平台!$B:$B,科目对照收入!$B9)&gt;0,ROUND(SUMIFS(输入平台!$C:$C,输入平台!$A:$A,助手收入!$X19,输入平台!$B:$B,科目对照收入!$B9),2),ROUND(海典汇总!$K$20,2))</f>
        <v>0</v>
      </c>
      <c r="H383" s="49" t="str">
        <f aca="false">IF(ROUND($G383,2)&gt;0,ROUND($G383,2),"")</f>
        <v/>
      </c>
      <c r="I383" s="49" t="str">
        <f aca="false">IF(ROUND($G383,2)&lt;0,-ROUND($G383,2),"")</f>
        <v/>
      </c>
      <c r="J383" s="20" t="n">
        <f aca="false">IF(ROUND($G383,2)=0,0,1)</f>
        <v>0</v>
      </c>
      <c r="K383" s="20" t="str">
        <f aca="false">IF($J383=0,"",SUM($J$376:$J383))</f>
        <v/>
      </c>
      <c r="L383" s="20" t="str">
        <f aca="false">IF($K383="","",$A383*100+$K383)</f>
        <v/>
      </c>
      <c r="M383" s="48" t="str">
        <f aca="false">参数!$B$3</f>
        <v>7月收入</v>
      </c>
    </row>
    <row r="384" customFormat="false" ht="13.5" hidden="false" customHeight="false" outlineLevel="0" collapsed="false">
      <c r="A384" s="47" t="n">
        <v>18</v>
      </c>
      <c r="B384" s="38" t="n">
        <f aca="false">助手收入!$B19</f>
        <v>2023</v>
      </c>
      <c r="C384" s="48" t="str">
        <f aca="false">助手收入!$C19</f>
        <v>尹村店</v>
      </c>
      <c r="D384" s="48" t="str">
        <f aca="false">科目对照收入!$B10&amp;""</f>
        <v>美团</v>
      </c>
      <c r="E384" s="48" t="str">
        <f aca="false">IF(AND(ROUND($G384,2)&lt;0,科目对照收入!$L10&lt;&gt;""),科目对照收入!$L10,科目对照收入!$C10)&amp;""</f>
        <v>应收账款</v>
      </c>
      <c r="F384" s="48" t="str">
        <f aca="false">IF(AND(ROUND($G384,2)&lt;0,科目对照收入!$L10&lt;&gt;""),科目对照收入!$M10,科目对照收入!$D10)&amp;""</f>
        <v>美团</v>
      </c>
      <c r="G384" s="49" t="n">
        <f aca="false">IF(COUNTIFS(输入平台!$A:$A,助手收入!$X19,输入平台!$B:$B,科目对照收入!$B10)&gt;0,ROUND(SUMIFS(输入平台!$C:$C,输入平台!$A:$A,助手收入!$X19,输入平台!$B:$B,科目对照收入!$B10),2),ROUND(海典汇总!$M$20,2))</f>
        <v>0</v>
      </c>
      <c r="H384" s="49" t="str">
        <f aca="false">IF(ROUND($G384,2)&gt;0,ROUND($G384,2),"")</f>
        <v/>
      </c>
      <c r="I384" s="49" t="str">
        <f aca="false">IF(ROUND($G384,2)&lt;0,-ROUND($G384,2),"")</f>
        <v/>
      </c>
      <c r="J384" s="20" t="n">
        <f aca="false">IF(ROUND($G384,2)=0,0,1)</f>
        <v>0</v>
      </c>
      <c r="K384" s="20" t="str">
        <f aca="false">IF($J384=0,"",SUM($J$376:$J384))</f>
        <v/>
      </c>
      <c r="L384" s="20" t="str">
        <f aca="false">IF($K384="","",$A384*100+$K384)</f>
        <v/>
      </c>
      <c r="M384" s="48" t="str">
        <f aca="false">参数!$B$3</f>
        <v>7月收入</v>
      </c>
    </row>
    <row r="385" customFormat="false" ht="13.5" hidden="false" customHeight="false" outlineLevel="0" collapsed="false">
      <c r="A385" s="47" t="n">
        <v>18</v>
      </c>
      <c r="B385" s="38" t="n">
        <f aca="false">助手收入!$B19</f>
        <v>2023</v>
      </c>
      <c r="C385" s="48" t="str">
        <f aca="false">助手收入!$C19</f>
        <v>尹村店</v>
      </c>
      <c r="D385" s="48" t="str">
        <f aca="false">科目对照收入!$B11&amp;""</f>
        <v>饿了么</v>
      </c>
      <c r="E385" s="48" t="str">
        <f aca="false">IF(AND(ROUND($G385,2)&lt;0,科目对照收入!$L11&lt;&gt;""),科目对照收入!$L11,科目对照收入!$C11)&amp;""</f>
        <v>应收账款</v>
      </c>
      <c r="F385" s="48" t="str">
        <f aca="false">IF(AND(ROUND($G385,2)&lt;0,科目对照收入!$L11&lt;&gt;""),科目对照收入!$M11,科目对照收入!$D11)&amp;""</f>
        <v>饿了么</v>
      </c>
      <c r="G385" s="49" t="n">
        <f aca="false">IF(COUNTIFS(输入平台!$A:$A,助手收入!$X19,输入平台!$B:$B,科目对照收入!$B11)&gt;0,ROUND(SUMIFS(输入平台!$C:$C,输入平台!$A:$A,助手收入!$X19,输入平台!$B:$B,科目对照收入!$B11),2),ROUND(海典汇总!$N$20,2))</f>
        <v>0</v>
      </c>
      <c r="H385" s="49" t="str">
        <f aca="false">IF(ROUND($G385,2)&gt;0,ROUND($G385,2),"")</f>
        <v/>
      </c>
      <c r="I385" s="49" t="str">
        <f aca="false">IF(ROUND($G385,2)&lt;0,-ROUND($G385,2),"")</f>
        <v/>
      </c>
      <c r="J385" s="20" t="n">
        <f aca="false">IF(ROUND($G385,2)=0,0,1)</f>
        <v>0</v>
      </c>
      <c r="K385" s="20" t="str">
        <f aca="false">IF($J385=0,"",SUM($J$376:$J385))</f>
        <v/>
      </c>
      <c r="L385" s="20" t="str">
        <f aca="false">IF($K385="","",$A385*100+$K385)</f>
        <v/>
      </c>
      <c r="M385" s="48" t="str">
        <f aca="false">参数!$B$3</f>
        <v>7月收入</v>
      </c>
    </row>
    <row r="386" customFormat="false" ht="13.5" hidden="false" customHeight="false" outlineLevel="0" collapsed="false">
      <c r="A386" s="47" t="n">
        <v>18</v>
      </c>
      <c r="B386" s="38" t="n">
        <f aca="false">助手收入!$B19</f>
        <v>2023</v>
      </c>
      <c r="C386" s="48" t="str">
        <f aca="false">助手收入!$C19</f>
        <v>尹村店</v>
      </c>
      <c r="D386" s="48" t="str">
        <f aca="false">科目对照收入!$B12&amp;""</f>
        <v>京东秒送</v>
      </c>
      <c r="E386" s="48" t="str">
        <f aca="false">IF(AND(ROUND($G386,2)&lt;0,科目对照收入!$L12&lt;&gt;""),科目对照收入!$L12,科目对照收入!$C12)&amp;""</f>
        <v>应收账款</v>
      </c>
      <c r="F386" s="48" t="str">
        <f aca="false">IF(AND(ROUND($G386,2)&lt;0,科目对照收入!$L12&lt;&gt;""),科目对照收入!$M12,科目对照收入!$D12)&amp;""</f>
        <v>京东秒送</v>
      </c>
      <c r="G386" s="49" t="n">
        <f aca="false">IF(COUNTIFS(输入平台!$A:$A,助手收入!$X19,输入平台!$B:$B,科目对照收入!$B12)&gt;0,ROUND(SUMIFS(输入平台!$C:$C,输入平台!$A:$A,助手收入!$X19,输入平台!$B:$B,科目对照收入!$B12),2),ROUND(海典汇总!$O$20,2))</f>
        <v>0</v>
      </c>
      <c r="H386" s="49" t="str">
        <f aca="false">IF(ROUND($G386,2)&gt;0,ROUND($G386,2),"")</f>
        <v/>
      </c>
      <c r="I386" s="49" t="str">
        <f aca="false">IF(ROUND($G386,2)&lt;0,-ROUND($G386,2),"")</f>
        <v/>
      </c>
      <c r="J386" s="20" t="n">
        <f aca="false">IF(ROUND($G386,2)=0,0,1)</f>
        <v>0</v>
      </c>
      <c r="K386" s="20" t="str">
        <f aca="false">IF($J386=0,"",SUM($J$376:$J386))</f>
        <v/>
      </c>
      <c r="L386" s="20" t="str">
        <f aca="false">IF($K386="","",$A386*100+$K386)</f>
        <v/>
      </c>
      <c r="M386" s="48" t="str">
        <f aca="false">参数!$B$3</f>
        <v>7月收入</v>
      </c>
    </row>
    <row r="387" customFormat="false" ht="13.5" hidden="false" customHeight="false" outlineLevel="0" collapsed="false">
      <c r="A387" s="47" t="n">
        <v>18</v>
      </c>
      <c r="B387" s="38" t="n">
        <f aca="false">助手收入!$B19</f>
        <v>2023</v>
      </c>
      <c r="C387" s="48" t="str">
        <f aca="false">助手收入!$C19</f>
        <v>尹村店</v>
      </c>
      <c r="D387" s="48" t="str">
        <f aca="false">科目对照收入!$B13&amp;""</f>
        <v>银联</v>
      </c>
      <c r="E387" s="48" t="str">
        <f aca="false">IF(AND(ROUND($G387,2)&lt;0,科目对照收入!$L13&lt;&gt;""),科目对照收入!$L13,科目对照收入!$C13)&amp;""</f>
        <v>应收账款</v>
      </c>
      <c r="F387" s="48" t="str">
        <f aca="false">IF(AND(ROUND($G387,2)&lt;0,科目对照收入!$L13&lt;&gt;""),科目对照收入!$M13,科目对照收入!$D13)&amp;""</f>
        <v>银联</v>
      </c>
      <c r="G387" s="49" t="n">
        <f aca="false">IF(COUNTIFS(输入平台!$A:$A,助手收入!$X19,输入平台!$B:$B,科目对照收入!$B13)&gt;0,ROUND(SUMIFS(输入平台!$C:$C,输入平台!$A:$A,助手收入!$X19,输入平台!$B:$B,科目对照收入!$B13),2),ROUND(海典汇总!$V$20,2))</f>
        <v>0</v>
      </c>
      <c r="H387" s="49" t="str">
        <f aca="false">IF(ROUND($G387,2)&gt;0,ROUND($G387,2),"")</f>
        <v/>
      </c>
      <c r="I387" s="49" t="str">
        <f aca="false">IF(ROUND($G387,2)&lt;0,-ROUND($G387,2),"")</f>
        <v/>
      </c>
      <c r="J387" s="20" t="n">
        <f aca="false">IF(ROUND($G387,2)=0,0,1)</f>
        <v>0</v>
      </c>
      <c r="K387" s="20" t="str">
        <f aca="false">IF($J387=0,"",SUM($J$376:$J387))</f>
        <v/>
      </c>
      <c r="L387" s="20" t="str">
        <f aca="false">IF($K387="","",$A387*100+$K387)</f>
        <v/>
      </c>
      <c r="M387" s="48" t="str">
        <f aca="false">参数!$B$3</f>
        <v>7月收入</v>
      </c>
    </row>
    <row r="388" customFormat="false" ht="13.5" hidden="false" customHeight="false" outlineLevel="0" collapsed="false">
      <c r="A388" s="47" t="n">
        <v>18</v>
      </c>
      <c r="B388" s="38" t="n">
        <f aca="false">助手收入!$B19</f>
        <v>2023</v>
      </c>
      <c r="C388" s="48" t="str">
        <f aca="false">助手收入!$C19</f>
        <v>尹村店</v>
      </c>
      <c r="D388" s="48" t="str">
        <f aca="false">科目对照收入!$B14&amp;""</f>
        <v>小镇外卖</v>
      </c>
      <c r="E388" s="48" t="str">
        <f aca="false">IF(AND(ROUND($G388,2)&lt;0,科目对照收入!$L14&lt;&gt;""),科目对照收入!$L14,科目对照收入!$C14)&amp;""</f>
        <v>应收账款</v>
      </c>
      <c r="F388" s="48" t="str">
        <f aca="false">IF(AND(ROUND($G388,2)&lt;0,科目对照收入!$L14&lt;&gt;""),科目对照收入!$M14,科目对照收入!$D14)&amp;""</f>
        <v>小镇外卖</v>
      </c>
      <c r="G388" s="49" t="n">
        <f aca="false">IF(COUNTIFS(输入平台!$A:$A,助手收入!$X19,输入平台!$B:$B,科目对照收入!$B14)&gt;0,ROUND(SUMIFS(输入平台!$C:$C,输入平台!$A:$A,助手收入!$X19,输入平台!$B:$B,科目对照收入!$B14),2),ROUND(海典汇总!$AC$20,2))</f>
        <v>0</v>
      </c>
      <c r="H388" s="49" t="str">
        <f aca="false">IF(ROUND($G388,2)&gt;0,ROUND($G388,2),"")</f>
        <v/>
      </c>
      <c r="I388" s="49" t="str">
        <f aca="false">IF(ROUND($G388,2)&lt;0,-ROUND($G388,2),"")</f>
        <v/>
      </c>
      <c r="J388" s="20" t="n">
        <f aca="false">IF(ROUND($G388,2)=0,0,1)</f>
        <v>0</v>
      </c>
      <c r="K388" s="20" t="str">
        <f aca="false">IF($J388=0,"",SUM($J$376:$J388))</f>
        <v/>
      </c>
      <c r="L388" s="20" t="str">
        <f aca="false">IF($K388="","",$A388*100+$K388)</f>
        <v/>
      </c>
      <c r="M388" s="48" t="str">
        <f aca="false">参数!$B$3</f>
        <v>7月收入</v>
      </c>
    </row>
    <row r="389" customFormat="false" ht="13.5" hidden="false" customHeight="false" outlineLevel="0" collapsed="false">
      <c r="A389" s="47" t="n">
        <v>18</v>
      </c>
      <c r="B389" s="38" t="n">
        <f aca="false">助手收入!$B19</f>
        <v>2023</v>
      </c>
      <c r="C389" s="48" t="str">
        <f aca="false">助手收入!$C19</f>
        <v>尹村店</v>
      </c>
      <c r="D389" s="48" t="str">
        <f aca="false">科目对照收入!$B15&amp;""</f>
        <v>OMS线上支付</v>
      </c>
      <c r="E389" s="48" t="str">
        <f aca="false">IF(AND(ROUND($G389,2)&lt;0,科目对照收入!$L15&lt;&gt;""),科目对照收入!$L15,科目对照收入!$C15)&amp;""</f>
        <v>应收账款</v>
      </c>
      <c r="F389" s="48" t="str">
        <f aca="false">IF(AND(ROUND($G389,2)&lt;0,科目对照收入!$L15&lt;&gt;""),科目对照收入!$M15,科目对照收入!$D15)&amp;""</f>
        <v>OMS线上</v>
      </c>
      <c r="G389" s="49" t="n">
        <f aca="false">IF(COUNTIFS(输入平台!$A:$A,助手收入!$X19,输入平台!$B:$B,科目对照收入!$B15)&gt;0,ROUND(SUMIFS(输入平台!$C:$C,输入平台!$A:$A,助手收入!$X19,输入平台!$B:$B,科目对照收入!$B15),2),ROUND(海典汇总!$L$20,2))</f>
        <v>0</v>
      </c>
      <c r="H389" s="49" t="str">
        <f aca="false">IF(ROUND($G389,2)&gt;0,ROUND($G389,2),"")</f>
        <v/>
      </c>
      <c r="I389" s="49" t="str">
        <f aca="false">IF(ROUND($G389,2)&lt;0,-ROUND($G389,2),"")</f>
        <v/>
      </c>
      <c r="J389" s="20" t="n">
        <f aca="false">IF(ROUND($G389,2)=0,0,1)</f>
        <v>0</v>
      </c>
      <c r="K389" s="20" t="str">
        <f aca="false">IF($J389=0,"",SUM($J$376:$J389))</f>
        <v/>
      </c>
      <c r="L389" s="20" t="str">
        <f aca="false">IF($K389="","",$A389*100+$K389)</f>
        <v/>
      </c>
      <c r="M389" s="48" t="str">
        <f aca="false">参数!$B$3</f>
        <v>7月收入</v>
      </c>
    </row>
    <row r="390" customFormat="false" ht="13.5" hidden="false" customHeight="false" outlineLevel="0" collapsed="false">
      <c r="A390" s="47" t="n">
        <v>18</v>
      </c>
      <c r="B390" s="38" t="n">
        <f aca="false">助手收入!$B19</f>
        <v>2023</v>
      </c>
      <c r="C390" s="48" t="str">
        <f aca="false">助手收入!$C19</f>
        <v>尹村店</v>
      </c>
      <c r="D390" s="48" t="str">
        <f aca="false">科目对照收入!$B16&amp;""</f>
        <v>平安药卡</v>
      </c>
      <c r="E390" s="48" t="str">
        <f aca="false">IF(AND(ROUND($G390,2)&lt;0,科目对照收入!$L16&lt;&gt;""),科目对照收入!$L16,科目对照收入!$C16)&amp;""</f>
        <v>应收账款</v>
      </c>
      <c r="F390" s="48" t="str">
        <f aca="false">IF(AND(ROUND($G390,2)&lt;0,科目对照收入!$L16&lt;&gt;""),科目对照收入!$M16,科目对照收入!$D16)&amp;""</f>
        <v>平安</v>
      </c>
      <c r="G390" s="49" t="n">
        <f aca="false">IF(COUNTIFS(输入平台!$A:$A,助手收入!$X19,输入平台!$B:$B,科目对照收入!$B16)&gt;0,ROUND(SUMIFS(输入平台!$C:$C,输入平台!$A:$A,助手收入!$X19,输入平台!$B:$B,科目对照收入!$B16),2),ROUND(海典汇总!$AB$20,2))</f>
        <v>0</v>
      </c>
      <c r="H390" s="49" t="str">
        <f aca="false">IF(ROUND($G390,2)&gt;0,ROUND($G390,2),"")</f>
        <v/>
      </c>
      <c r="I390" s="49" t="str">
        <f aca="false">IF(ROUND($G390,2)&lt;0,-ROUND($G390,2),"")</f>
        <v/>
      </c>
      <c r="J390" s="20" t="n">
        <f aca="false">IF(ROUND($G390,2)=0,0,1)</f>
        <v>0</v>
      </c>
      <c r="K390" s="20" t="str">
        <f aca="false">IF($J390=0,"",SUM($J$376:$J390))</f>
        <v/>
      </c>
      <c r="L390" s="20" t="str">
        <f aca="false">IF($K390="","",$A390*100+$K390)</f>
        <v/>
      </c>
      <c r="M390" s="48" t="str">
        <f aca="false">参数!$B$3</f>
        <v>7月收入</v>
      </c>
    </row>
    <row r="391" customFormat="false" ht="13.5" hidden="false" customHeight="false" outlineLevel="0" collapsed="false">
      <c r="A391" s="47" t="n">
        <v>18</v>
      </c>
      <c r="B391" s="38" t="n">
        <f aca="false">助手收入!$B19</f>
        <v>2023</v>
      </c>
      <c r="C391" s="48" t="str">
        <f aca="false">助手收入!$C19</f>
        <v>尹村店</v>
      </c>
      <c r="D391" s="48" t="str">
        <f aca="false">科目对照收入!$B17&amp;""</f>
        <v>储值卡</v>
      </c>
      <c r="E391" s="48" t="str">
        <f aca="false">IF(AND(ROUND($G391,2)&lt;0,科目对照收入!$L17&lt;&gt;""),科目对照收入!$L17,科目对照收入!$C17)&amp;""</f>
        <v>其他应收款</v>
      </c>
      <c r="F391" s="48" t="str">
        <f aca="false">IF(AND(ROUND($G391,2)&lt;0,科目对照收入!$L17&lt;&gt;""),科目对照收入!$M17,科目对照收入!$D17)&amp;""</f>
        <v>储值卡</v>
      </c>
      <c r="G391" s="49" t="n">
        <f aca="false">ROUND(海典汇总!$Q$20,2)</f>
        <v>64.4</v>
      </c>
      <c r="H391" s="49" t="n">
        <f aca="false">IF(ROUND($G391,2)&gt;0,ROUND($G391,2),"")</f>
        <v>64.4</v>
      </c>
      <c r="I391" s="49" t="str">
        <f aca="false">IF(ROUND($G391,2)&lt;0,-ROUND($G391,2),"")</f>
        <v/>
      </c>
      <c r="J391" s="20" t="n">
        <f aca="false">IF(ROUND($G391,2)=0,0,1)</f>
        <v>1</v>
      </c>
      <c r="K391" s="20" t="n">
        <f aca="false">IF($J391=0,"",SUM($J$376:$J391))</f>
        <v>4</v>
      </c>
      <c r="L391" s="20" t="n">
        <f aca="false">IF($K391="","",$A391*100+$K391)</f>
        <v>1804</v>
      </c>
      <c r="M391" s="48" t="str">
        <f aca="false">参数!$B$3</f>
        <v>7月收入</v>
      </c>
    </row>
    <row r="392" customFormat="false" ht="13.5" hidden="false" customHeight="false" outlineLevel="0" collapsed="false">
      <c r="A392" s="47" t="n">
        <v>18</v>
      </c>
      <c r="B392" s="38" t="n">
        <f aca="false">助手收入!$B19</f>
        <v>2023</v>
      </c>
      <c r="C392" s="48" t="str">
        <f aca="false">助手收入!$C19</f>
        <v>尹村店</v>
      </c>
      <c r="D392" s="48" t="str">
        <f aca="false">科目对照收入!$B18&amp;""</f>
        <v>会员零钱包</v>
      </c>
      <c r="E392" s="48" t="str">
        <f aca="false">IF(AND(ROUND($G392,2)&lt;0,科目对照收入!$L18&lt;&gt;""),科目对照收入!$L18,科目对照收入!$C18)&amp;""</f>
        <v>其他应收款</v>
      </c>
      <c r="F392" s="48" t="str">
        <f aca="false">IF(AND(ROUND($G392,2)&lt;0,科目对照收入!$L18&lt;&gt;""),科目对照收入!$M18,科目对照收入!$D18)&amp;""</f>
        <v>会员零钱包</v>
      </c>
      <c r="G392" s="49" t="n">
        <f aca="false">ROUND(海典汇总!$P$20,2)</f>
        <v>0</v>
      </c>
      <c r="H392" s="49" t="str">
        <f aca="false">IF(ROUND($G392,2)&gt;0,ROUND($G392,2),"")</f>
        <v/>
      </c>
      <c r="I392" s="49" t="str">
        <f aca="false">IF(ROUND($G392,2)&lt;0,-ROUND($G392,2),"")</f>
        <v/>
      </c>
      <c r="J392" s="20" t="n">
        <f aca="false">IF(ROUND($G392,2)=0,0,1)</f>
        <v>0</v>
      </c>
      <c r="K392" s="20" t="str">
        <f aca="false">IF($J392=0,"",SUM($J$376:$J392))</f>
        <v/>
      </c>
      <c r="L392" s="20" t="str">
        <f aca="false">IF($K392="","",$A392*100+$K392)</f>
        <v/>
      </c>
      <c r="M392" s="48" t="str">
        <f aca="false">参数!$B$3</f>
        <v>7月收入</v>
      </c>
    </row>
    <row r="393" customFormat="false" ht="13.5" hidden="false" customHeight="false" outlineLevel="0" collapsed="false">
      <c r="A393" s="47" t="n">
        <v>18</v>
      </c>
      <c r="B393" s="38" t="n">
        <f aca="false">助手收入!$B19</f>
        <v>2023</v>
      </c>
      <c r="C393" s="48" t="str">
        <f aca="false">助手收入!$C19</f>
        <v>尹村店</v>
      </c>
      <c r="D393" s="48" t="str">
        <f aca="false">科目对照收入!$B19&amp;""</f>
        <v>促销费</v>
      </c>
      <c r="E393" s="48" t="str">
        <f aca="false">IF(AND(ROUND($G393,2)&lt;0,科目对照收入!$L19&lt;&gt;""),科目对照收入!$L19,科目对照收入!$C19)&amp;""</f>
        <v>销售费用</v>
      </c>
      <c r="F393" s="48" t="str">
        <f aca="false">IF(AND(ROUND($G393,2)&lt;0,科目对照收入!$L19&lt;&gt;""),科目对照收入!$M19,科目对照收入!$D19)&amp;""</f>
        <v>促销费</v>
      </c>
      <c r="G393" s="49" t="n">
        <f aca="false">ROUND(海典汇总!$U$20+海典汇总!$T$20+海典汇总!$S$20,2)</f>
        <v>1801.86</v>
      </c>
      <c r="H393" s="49" t="n">
        <f aca="false">IF(ROUND($G393,2)&gt;0,ROUND($G393,2),"")</f>
        <v>1801.86</v>
      </c>
      <c r="I393" s="49" t="str">
        <f aca="false">IF(ROUND($G393,2)&lt;0,-ROUND($G393,2),"")</f>
        <v/>
      </c>
      <c r="J393" s="20" t="n">
        <f aca="false">IF(ROUND($G393,2)=0,0,1)</f>
        <v>1</v>
      </c>
      <c r="K393" s="20" t="n">
        <f aca="false">IF($J393=0,"",SUM($J$376:$J393))</f>
        <v>5</v>
      </c>
      <c r="L393" s="20" t="n">
        <f aca="false">IF($K393="","",$A393*100+$K393)</f>
        <v>1805</v>
      </c>
      <c r="M393" s="48" t="str">
        <f aca="false">参数!$B$3</f>
        <v>7月收入</v>
      </c>
    </row>
    <row r="394" customFormat="false" ht="13.5" hidden="false" customHeight="false" outlineLevel="0" collapsed="false">
      <c r="A394" s="47" t="n">
        <v>18</v>
      </c>
      <c r="B394" s="38" t="n">
        <f aca="false">助手收入!$B19</f>
        <v>2023</v>
      </c>
      <c r="C394" s="48" t="str">
        <f aca="false">助手收入!$C19</f>
        <v>尹村店</v>
      </c>
      <c r="D394" s="48" t="str">
        <f aca="false">科目对照收入!$B20&amp;""</f>
        <v>积分</v>
      </c>
      <c r="E394" s="48" t="str">
        <f aca="false">IF(AND(ROUND($G394,2)&lt;0,科目对照收入!$L20&lt;&gt;""),科目对照收入!$L20,科目对照收入!$C20)&amp;""</f>
        <v>销售费用</v>
      </c>
      <c r="F394" s="48" t="str">
        <f aca="false">IF(AND(ROUND($G394,2)&lt;0,科目对照收入!$L20&lt;&gt;""),科目对照收入!$M20,科目对照收入!$D20)&amp;""</f>
        <v>积分</v>
      </c>
      <c r="G394" s="49" t="n">
        <f aca="false">ROUND(海典汇总!$R$20,2)</f>
        <v>0</v>
      </c>
      <c r="H394" s="49" t="str">
        <f aca="false">IF(ROUND($G394,2)&gt;0,ROUND($G394,2),"")</f>
        <v/>
      </c>
      <c r="I394" s="49" t="str">
        <f aca="false">IF(ROUND($G394,2)&lt;0,-ROUND($G394,2),"")</f>
        <v/>
      </c>
      <c r="J394" s="20" t="n">
        <f aca="false">IF(ROUND($G394,2)=0,0,1)</f>
        <v>0</v>
      </c>
      <c r="K394" s="20" t="str">
        <f aca="false">IF($J394=0,"",SUM($J$376:$J394))</f>
        <v/>
      </c>
      <c r="L394" s="20" t="str">
        <f aca="false">IF($K394="","",$A394*100+$K394)</f>
        <v/>
      </c>
      <c r="M394" s="48" t="str">
        <f aca="false">参数!$B$3</f>
        <v>7月收入</v>
      </c>
    </row>
    <row r="395" customFormat="false" ht="13.5" hidden="false" customHeight="false" outlineLevel="0" collapsed="false">
      <c r="A395" s="47" t="n">
        <v>18</v>
      </c>
      <c r="B395" s="38" t="n">
        <f aca="false">助手收入!$B19</f>
        <v>2023</v>
      </c>
      <c r="C395" s="48" t="str">
        <f aca="false">助手收入!$C19</f>
        <v>尹村店</v>
      </c>
      <c r="D395" s="48" t="str">
        <f aca="false">科目对照收入!$B21&amp;""</f>
        <v>手续费</v>
      </c>
      <c r="E395" s="48" t="str">
        <f aca="false">IF(AND(ROUND($G395,2)&lt;0,科目对照收入!$L21&lt;&gt;""),科目对照收入!$L21,科目对照收入!$C21)&amp;""</f>
        <v>财务费用</v>
      </c>
      <c r="F395" s="48" t="str">
        <f aca="false">IF(AND(ROUND($G395,2)&lt;0,科目对照收入!$L21&lt;&gt;""),科目对照收入!$M21,科目对照收入!$D21)&amp;""</f>
        <v>手续费</v>
      </c>
      <c r="G395" s="49" t="n">
        <f aca="false">ROUND(SUMIFS(输入聚合!$D:$D,输入聚合!$A:$A,助手收入!$X19),2)</f>
        <v>85.84</v>
      </c>
      <c r="H395" s="49" t="n">
        <f aca="false">IF(ROUND($G395,2)&gt;0,ROUND($G395,2),"")</f>
        <v>85.84</v>
      </c>
      <c r="I395" s="49" t="str">
        <f aca="false">IF(ROUND($G395,2)&lt;0,-ROUND($G395,2),"")</f>
        <v/>
      </c>
      <c r="J395" s="20" t="n">
        <f aca="false">IF(ROUND($G395,2)=0,0,1)</f>
        <v>1</v>
      </c>
      <c r="K395" s="20" t="n">
        <f aca="false">IF($J395=0,"",SUM($J$376:$J395))</f>
        <v>6</v>
      </c>
      <c r="L395" s="20" t="n">
        <f aca="false">IF($K395="","",$A395*100+$K395)</f>
        <v>1806</v>
      </c>
      <c r="M395" s="48" t="str">
        <f aca="false">参数!$B$3</f>
        <v>7月收入</v>
      </c>
    </row>
    <row r="396" customFormat="false" ht="13.5" hidden="false" customHeight="false" outlineLevel="0" collapsed="false">
      <c r="A396" s="47" t="n">
        <v>18</v>
      </c>
      <c r="B396" s="38" t="n">
        <f aca="false">助手收入!$B19</f>
        <v>2023</v>
      </c>
      <c r="C396" s="48" t="str">
        <f aca="false">助手收入!$C19</f>
        <v>尹村店</v>
      </c>
      <c r="D396" s="48" t="str">
        <f aca="false">科目对照收入!$B22&amp;""</f>
        <v>主营业务收入</v>
      </c>
      <c r="E396" s="48" t="str">
        <f aca="false">IF(AND(ROUND($G396,2)&lt;0,科目对照收入!$L22&lt;&gt;""),科目对照收入!$L22,科目对照收入!$C22)&amp;""</f>
        <v>主营业务收入</v>
      </c>
      <c r="F396" s="48" t="str">
        <f aca="false">IF(AND(ROUND($G396,2)&lt;0,科目对照收入!$L22&lt;&gt;""),科目对照收入!$M22,科目对照收入!$D22)&amp;""</f>
        <v/>
      </c>
      <c r="G396" s="49" t="n">
        <f aca="false">-ROUND(助手收入!$G19,2)</f>
        <v>-52469.12</v>
      </c>
      <c r="H396" s="49" t="str">
        <f aca="false">IF(ROUND($G396,2)&gt;0,ROUND($G396,2),"")</f>
        <v/>
      </c>
      <c r="I396" s="49" t="n">
        <f aca="false">IF(ROUND($G396,2)&lt;0,-ROUND($G396,2),"")</f>
        <v>52469.12</v>
      </c>
      <c r="J396" s="20" t="n">
        <f aca="false">IF(ROUND($G396,2)=0,0,1)</f>
        <v>1</v>
      </c>
      <c r="K396" s="20" t="n">
        <f aca="false">IF($J396=0,"",SUM($J$376:$J396))</f>
        <v>7</v>
      </c>
      <c r="L396" s="20" t="n">
        <f aca="false">IF($K396="","",$A396*100+$K396)</f>
        <v>1807</v>
      </c>
      <c r="M396" s="48" t="str">
        <f aca="false">参数!$B$3</f>
        <v>7月收入</v>
      </c>
    </row>
    <row r="397" customFormat="false" ht="13.5" hidden="false" customHeight="false" outlineLevel="0" collapsed="false">
      <c r="A397" s="47" t="n">
        <v>18</v>
      </c>
      <c r="B397" s="38" t="n">
        <f aca="false">助手收入!$B19</f>
        <v>2023</v>
      </c>
      <c r="C397" s="48" t="str">
        <f aca="false">助手收入!$C19</f>
        <v>尹村店</v>
      </c>
      <c r="D397" s="48" t="str">
        <f aca="false">科目对照收入!$B23&amp;""</f>
        <v>营业外收入</v>
      </c>
      <c r="E397" s="48" t="str">
        <f aca="false">IF(AND(ROUND($G397,2)&lt;0,科目对照收入!$L23&lt;&gt;""),科目对照收入!$L23,科目对照收入!$C23)&amp;""</f>
        <v>营业外收入</v>
      </c>
      <c r="F397" s="48" t="str">
        <f aca="false">IF(AND(ROUND($G397,2)&lt;0,科目对照收入!$L23&lt;&gt;""),科目对照收入!$M23,科目对照收入!$D23)&amp;""</f>
        <v/>
      </c>
      <c r="G397" s="49" t="n">
        <f aca="false">-ROUND(助手收入!$J19,2)</f>
        <v>-0</v>
      </c>
      <c r="H397" s="49" t="str">
        <f aca="false">IF(ROUND($G397,2)&gt;0,ROUND($G397,2),"")</f>
        <v/>
      </c>
      <c r="I397" s="49" t="str">
        <f aca="false">IF(ROUND($G397,2)&lt;0,-ROUND($G397,2),"")</f>
        <v/>
      </c>
      <c r="J397" s="20" t="n">
        <f aca="false">IF(ROUND($G397,2)=0,0,1)</f>
        <v>0</v>
      </c>
      <c r="K397" s="20" t="str">
        <f aca="false">IF($J397=0,"",SUM($J$376:$J397))</f>
        <v/>
      </c>
      <c r="L397" s="20" t="str">
        <f aca="false">IF($K397="","",$A397*100+$K397)</f>
        <v/>
      </c>
      <c r="M397" s="48" t="str">
        <f aca="false">参数!$B$3</f>
        <v>7月收入</v>
      </c>
    </row>
    <row r="398" customFormat="false" ht="13.5" hidden="false" customHeight="false" outlineLevel="0" collapsed="false">
      <c r="A398" s="47" t="n">
        <v>19</v>
      </c>
      <c r="B398" s="38" t="n">
        <f aca="false">助手收入!$B20</f>
        <v>2024</v>
      </c>
      <c r="C398" s="48" t="str">
        <f aca="false">助手收入!$C20</f>
        <v>高村店</v>
      </c>
      <c r="D398" s="48" t="str">
        <f aca="false">科目对照收入!$B2&amp;""</f>
        <v>库存现金</v>
      </c>
      <c r="E398" s="48" t="str">
        <f aca="false">IF(AND(ROUND($G398,2)&lt;0,科目对照收入!$L2&lt;&gt;""),科目对照收入!$L2,科目对照收入!$C2)&amp;""</f>
        <v>库存现金</v>
      </c>
      <c r="F398" s="48" t="str">
        <f aca="false">IF(AND(ROUND($G398,2)&lt;0,科目对照收入!$L2&lt;&gt;""),科目对照收入!$M2,科目对照收入!$D2)&amp;""</f>
        <v/>
      </c>
      <c r="G398" s="49" t="n">
        <f aca="false">助手收入!$I20</f>
        <v>38459.74</v>
      </c>
      <c r="H398" s="49" t="n">
        <f aca="false">IF(ROUND($G398,2)&gt;0,ROUND($G398,2),"")</f>
        <v>38459.74</v>
      </c>
      <c r="I398" s="49" t="str">
        <f aca="false">IF(ROUND($G398,2)&lt;0,-ROUND($G398,2),"")</f>
        <v/>
      </c>
      <c r="J398" s="20" t="n">
        <f aca="false">IF(ROUND($G398,2)=0,0,1)</f>
        <v>1</v>
      </c>
      <c r="K398" s="20" t="n">
        <f aca="false">IF($J398=0,"",SUM($J$398:$J398))</f>
        <v>1</v>
      </c>
      <c r="L398" s="20" t="n">
        <f aca="false">IF($K398="","",$A398*100+$K398)</f>
        <v>1901</v>
      </c>
      <c r="M398" s="48" t="str">
        <f aca="false">参数!$B$3</f>
        <v>7月收入</v>
      </c>
    </row>
    <row r="399" customFormat="false" ht="13.5" hidden="false" customHeight="false" outlineLevel="0" collapsed="false">
      <c r="A399" s="47" t="n">
        <v>19</v>
      </c>
      <c r="B399" s="38" t="n">
        <f aca="false">助手收入!$B20</f>
        <v>2024</v>
      </c>
      <c r="C399" s="48" t="str">
        <f aca="false">助手收入!$C20</f>
        <v>高村店</v>
      </c>
      <c r="D399" s="48" t="str">
        <f aca="false">科目对照收入!$B3&amp;""</f>
        <v>聚合支付</v>
      </c>
      <c r="E399" s="48" t="str">
        <f aca="false">IF(AND(ROUND($G399,2)&lt;0,科目对照收入!$L3&lt;&gt;""),科目对照收入!$L3,科目对照收入!$C3)&amp;""</f>
        <v>应收账款</v>
      </c>
      <c r="F399" s="48" t="str">
        <f aca="false">IF(AND(ROUND($G399,2)&lt;0,科目对照收入!$L3&lt;&gt;""),科目对照收入!$M3,科目对照收入!$D3)&amp;""</f>
        <v>聚合支付</v>
      </c>
      <c r="G399" s="49" t="n">
        <f aca="false">ROUND(SUMIFS(输入聚合!$C:$C,输入聚合!$A:$A,助手收入!$X20)-SUMIFS(输入聚合!$D:$D,输入聚合!$A:$A,助手收入!$X20),2)</f>
        <v>47758.2</v>
      </c>
      <c r="H399" s="49" t="n">
        <f aca="false">IF(ROUND($G399,2)&gt;0,ROUND($G399,2),"")</f>
        <v>47758.2</v>
      </c>
      <c r="I399" s="49" t="str">
        <f aca="false">IF(ROUND($G399,2)&lt;0,-ROUND($G399,2),"")</f>
        <v/>
      </c>
      <c r="J399" s="20" t="n">
        <f aca="false">IF(ROUND($G399,2)=0,0,1)</f>
        <v>1</v>
      </c>
      <c r="K399" s="20" t="n">
        <f aca="false">IF($J399=0,"",SUM($J$398:$J399))</f>
        <v>2</v>
      </c>
      <c r="L399" s="20" t="n">
        <f aca="false">IF($K399="","",$A399*100+$K399)</f>
        <v>1902</v>
      </c>
      <c r="M399" s="48" t="str">
        <f aca="false">参数!$B$3</f>
        <v>7月收入</v>
      </c>
    </row>
    <row r="400" customFormat="false" ht="13.5" hidden="false" customHeight="false" outlineLevel="0" collapsed="false">
      <c r="A400" s="47" t="n">
        <v>19</v>
      </c>
      <c r="B400" s="38" t="n">
        <f aca="false">助手收入!$B20</f>
        <v>2024</v>
      </c>
      <c r="C400" s="48" t="str">
        <f aca="false">助手收入!$C20</f>
        <v>高村店</v>
      </c>
      <c r="D400" s="48" t="str">
        <f aca="false">科目对照收入!$B4&amp;""</f>
        <v>医保</v>
      </c>
      <c r="E400" s="48" t="str">
        <f aca="false">IF(AND(ROUND($G400,2)&lt;0,科目对照收入!$L4&lt;&gt;""),科目对照收入!$L4,科目对照收入!$C4)&amp;""</f>
        <v>应收账款</v>
      </c>
      <c r="F400" s="48" t="str">
        <f aca="false">IF(AND(ROUND($G400,2)&lt;0,科目对照收入!$L4&lt;&gt;""),科目对照收入!$M4,科目对照收入!$D4)&amp;""</f>
        <v>医保</v>
      </c>
      <c r="G400" s="49" t="n">
        <f aca="false">IF(COUNTIFS(输入平台!$A:$A,助手收入!$X20,输入平台!$B:$B,科目对照收入!$B4)&gt;0,ROUND(SUMIFS(输入平台!$C:$C,输入平台!$A:$A,助手收入!$X20,输入平台!$B:$B,科目对照收入!$B4),2),ROUND(海典汇总!$F$21+海典汇总!$G$21,2))</f>
        <v>14787.59</v>
      </c>
      <c r="H400" s="49" t="n">
        <f aca="false">IF(ROUND($G400,2)&gt;0,ROUND($G400,2),"")</f>
        <v>14787.59</v>
      </c>
      <c r="I400" s="49" t="str">
        <f aca="false">IF(ROUND($G400,2)&lt;0,-ROUND($G400,2),"")</f>
        <v/>
      </c>
      <c r="J400" s="20" t="n">
        <f aca="false">IF(ROUND($G400,2)=0,0,1)</f>
        <v>1</v>
      </c>
      <c r="K400" s="20" t="n">
        <f aca="false">IF($J400=0,"",SUM($J$398:$J400))</f>
        <v>3</v>
      </c>
      <c r="L400" s="20" t="n">
        <f aca="false">IF($K400="","",$A400*100+$K400)</f>
        <v>1903</v>
      </c>
      <c r="M400" s="48" t="str">
        <f aca="false">参数!$B$3</f>
        <v>7月收入</v>
      </c>
    </row>
    <row r="401" customFormat="false" ht="13.5" hidden="false" customHeight="false" outlineLevel="0" collapsed="false">
      <c r="A401" s="47" t="n">
        <v>19</v>
      </c>
      <c r="B401" s="38" t="n">
        <f aca="false">助手收入!$B20</f>
        <v>2024</v>
      </c>
      <c r="C401" s="48" t="str">
        <f aca="false">助手收入!$C20</f>
        <v>高村店</v>
      </c>
      <c r="D401" s="48" t="str">
        <f aca="false">科目对照收入!$B5&amp;""</f>
        <v>健e卡</v>
      </c>
      <c r="E401" s="48" t="str">
        <f aca="false">IF(AND(ROUND($G401,2)&lt;0,科目对照收入!$L5&lt;&gt;""),科目对照收入!$L5,科目对照收入!$C5)&amp;""</f>
        <v>应收账款</v>
      </c>
      <c r="F401" s="48" t="str">
        <f aca="false">IF(AND(ROUND($G401,2)&lt;0,科目对照收入!$L5&lt;&gt;""),科目对照收入!$M5,科目对照收入!$D5)&amp;""</f>
        <v>健e卡</v>
      </c>
      <c r="G401" s="49" t="n">
        <f aca="false">IF(COUNTIFS(输入平台!$A:$A,助手收入!$X20,输入平台!$B:$B,科目对照收入!$B5)&gt;0,ROUND(SUMIFS(输入平台!$C:$C,输入平台!$A:$A,助手收入!$X20,输入平台!$B:$B,科目对照收入!$B5),2),ROUND(海典汇总!$H$21,2))</f>
        <v>0</v>
      </c>
      <c r="H401" s="49" t="str">
        <f aca="false">IF(ROUND($G401,2)&gt;0,ROUND($G401,2),"")</f>
        <v/>
      </c>
      <c r="I401" s="49" t="str">
        <f aca="false">IF(ROUND($G401,2)&lt;0,-ROUND($G401,2),"")</f>
        <v/>
      </c>
      <c r="J401" s="20" t="n">
        <f aca="false">IF(ROUND($G401,2)=0,0,1)</f>
        <v>0</v>
      </c>
      <c r="K401" s="20" t="str">
        <f aca="false">IF($J401=0,"",SUM($J$398:$J401))</f>
        <v/>
      </c>
      <c r="L401" s="20" t="str">
        <f aca="false">IF($K401="","",$A401*100+$K401)</f>
        <v/>
      </c>
      <c r="M401" s="48" t="str">
        <f aca="false">参数!$B$3</f>
        <v>7月收入</v>
      </c>
    </row>
    <row r="402" customFormat="false" ht="13.5" hidden="false" customHeight="false" outlineLevel="0" collapsed="false">
      <c r="A402" s="47" t="n">
        <v>19</v>
      </c>
      <c r="B402" s="38" t="n">
        <f aca="false">助手收入!$B20</f>
        <v>2024</v>
      </c>
      <c r="C402" s="48" t="str">
        <f aca="false">助手收入!$C20</f>
        <v>高村店</v>
      </c>
      <c r="D402" s="48" t="str">
        <f aca="false">科目对照收入!$B6&amp;""</f>
        <v>医卡通</v>
      </c>
      <c r="E402" s="48" t="str">
        <f aca="false">IF(AND(ROUND($G402,2)&lt;0,科目对照收入!$L6&lt;&gt;""),科目对照收入!$L6,科目对照收入!$C6)&amp;""</f>
        <v>应收账款</v>
      </c>
      <c r="F402" s="48" t="str">
        <f aca="false">IF(AND(ROUND($G402,2)&lt;0,科目对照收入!$L6&lt;&gt;""),科目对照收入!$M6,科目对照收入!$D6)&amp;""</f>
        <v>医卡通</v>
      </c>
      <c r="G402" s="49" t="n">
        <f aca="false">IF(COUNTIFS(输入平台!$A:$A,助手收入!$X20,输入平台!$B:$B,科目对照收入!$B6)&gt;0,ROUND(SUMIFS(输入平台!$C:$C,输入平台!$A:$A,助手收入!$X20,输入平台!$B:$B,科目对照收入!$B6),2),ROUND(海典汇总!$I$21,2))</f>
        <v>0</v>
      </c>
      <c r="H402" s="49" t="str">
        <f aca="false">IF(ROUND($G402,2)&gt;0,ROUND($G402,2),"")</f>
        <v/>
      </c>
      <c r="I402" s="49" t="str">
        <f aca="false">IF(ROUND($G402,2)&lt;0,-ROUND($G402,2),"")</f>
        <v/>
      </c>
      <c r="J402" s="20" t="n">
        <f aca="false">IF(ROUND($G402,2)=0,0,1)</f>
        <v>0</v>
      </c>
      <c r="K402" s="20" t="str">
        <f aca="false">IF($J402=0,"",SUM($J$398:$J402))</f>
        <v/>
      </c>
      <c r="L402" s="20" t="str">
        <f aca="false">IF($K402="","",$A402*100+$K402)</f>
        <v/>
      </c>
      <c r="M402" s="48" t="str">
        <f aca="false">参数!$B$3</f>
        <v>7月收入</v>
      </c>
    </row>
    <row r="403" customFormat="false" ht="13.5" hidden="false" customHeight="false" outlineLevel="0" collapsed="false">
      <c r="A403" s="47" t="n">
        <v>19</v>
      </c>
      <c r="B403" s="38" t="n">
        <f aca="false">助手收入!$B20</f>
        <v>2024</v>
      </c>
      <c r="C403" s="48" t="str">
        <f aca="false">助手收入!$C20</f>
        <v>高村店</v>
      </c>
      <c r="D403" s="48" t="str">
        <f aca="false">科目对照收入!$B7&amp;""</f>
        <v>企健网</v>
      </c>
      <c r="E403" s="48" t="str">
        <f aca="false">IF(AND(ROUND($G403,2)&lt;0,科目对照收入!$L7&lt;&gt;""),科目对照收入!$L7,科目对照收入!$C7)&amp;""</f>
        <v>应收账款</v>
      </c>
      <c r="F403" s="48" t="str">
        <f aca="false">IF(AND(ROUND($G403,2)&lt;0,科目对照收入!$L7&lt;&gt;""),科目对照收入!$M7,科目对照收入!$D7)&amp;""</f>
        <v>企健网</v>
      </c>
      <c r="G403" s="49" t="n">
        <f aca="false">IF(COUNTIFS(输入平台!$A:$A,助手收入!$X20,输入平台!$B:$B,科目对照收入!$B7)&gt;0,ROUND(SUMIFS(输入平台!$C:$C,输入平台!$A:$A,助手收入!$X20,输入平台!$B:$B,科目对照收入!$B7),2),ROUND(海典汇总!$J$21,2))</f>
        <v>0</v>
      </c>
      <c r="H403" s="49" t="str">
        <f aca="false">IF(ROUND($G403,2)&gt;0,ROUND($G403,2),"")</f>
        <v/>
      </c>
      <c r="I403" s="49" t="str">
        <f aca="false">IF(ROUND($G403,2)&lt;0,-ROUND($G403,2),"")</f>
        <v/>
      </c>
      <c r="J403" s="20" t="n">
        <f aca="false">IF(ROUND($G403,2)=0,0,1)</f>
        <v>0</v>
      </c>
      <c r="K403" s="20" t="str">
        <f aca="false">IF($J403=0,"",SUM($J$398:$J403))</f>
        <v/>
      </c>
      <c r="L403" s="20" t="str">
        <f aca="false">IF($K403="","",$A403*100+$K403)</f>
        <v/>
      </c>
      <c r="M403" s="48" t="str">
        <f aca="false">参数!$B$3</f>
        <v>7月收入</v>
      </c>
    </row>
    <row r="404" customFormat="false" ht="13.5" hidden="false" customHeight="false" outlineLevel="0" collapsed="false">
      <c r="A404" s="47" t="n">
        <v>19</v>
      </c>
      <c r="B404" s="38" t="n">
        <f aca="false">助手收入!$B20</f>
        <v>2024</v>
      </c>
      <c r="C404" s="48" t="str">
        <f aca="false">助手收入!$C20</f>
        <v>高村店</v>
      </c>
      <c r="D404" s="48" t="str">
        <f aca="false">科目对照收入!$B8&amp;""</f>
        <v>亲情卡</v>
      </c>
      <c r="E404" s="48" t="str">
        <f aca="false">IF(AND(ROUND($G404,2)&lt;0,科目对照收入!$L8&lt;&gt;""),科目对照收入!$L8,科目对照收入!$C8)&amp;""</f>
        <v>应收账款</v>
      </c>
      <c r="F404" s="48" t="str">
        <f aca="false">IF(AND(ROUND($G404,2)&lt;0,科目对照收入!$L8&lt;&gt;""),科目对照收入!$M8,科目对照收入!$D8)&amp;""</f>
        <v>亲情卡</v>
      </c>
      <c r="G404" s="49" t="n">
        <f aca="false">IF(COUNTIFS(输入平台!$A:$A,助手收入!$X20,输入平台!$B:$B,科目对照收入!$B8)&gt;0,ROUND(SUMIFS(输入平台!$C:$C,输入平台!$A:$A,助手收入!$X20,输入平台!$B:$B,科目对照收入!$B8),2),ROUND(海典汇总!$Z$21,2))</f>
        <v>0</v>
      </c>
      <c r="H404" s="49" t="str">
        <f aca="false">IF(ROUND($G404,2)&gt;0,ROUND($G404,2),"")</f>
        <v/>
      </c>
      <c r="I404" s="49" t="str">
        <f aca="false">IF(ROUND($G404,2)&lt;0,-ROUND($G404,2),"")</f>
        <v/>
      </c>
      <c r="J404" s="20" t="n">
        <f aca="false">IF(ROUND($G404,2)=0,0,1)</f>
        <v>0</v>
      </c>
      <c r="K404" s="20" t="str">
        <f aca="false">IF($J404=0,"",SUM($J$398:$J404))</f>
        <v/>
      </c>
      <c r="L404" s="20" t="str">
        <f aca="false">IF($K404="","",$A404*100+$K404)</f>
        <v/>
      </c>
      <c r="M404" s="48" t="str">
        <f aca="false">参数!$B$3</f>
        <v>7月收入</v>
      </c>
    </row>
    <row r="405" customFormat="false" ht="13.5" hidden="false" customHeight="false" outlineLevel="0" collapsed="false">
      <c r="A405" s="47" t="n">
        <v>19</v>
      </c>
      <c r="B405" s="38" t="n">
        <f aca="false">助手收入!$B20</f>
        <v>2024</v>
      </c>
      <c r="C405" s="48" t="str">
        <f aca="false">助手收入!$C20</f>
        <v>高村店</v>
      </c>
      <c r="D405" s="48" t="str">
        <f aca="false">科目对照收入!$B9&amp;""</f>
        <v>24小时</v>
      </c>
      <c r="E405" s="48" t="str">
        <f aca="false">IF(AND(ROUND($G405,2)&lt;0,科目对照收入!$L9&lt;&gt;""),科目对照收入!$L9,科目对照收入!$C9)&amp;""</f>
        <v>应收账款</v>
      </c>
      <c r="F405" s="48" t="str">
        <f aca="false">IF(AND(ROUND($G405,2)&lt;0,科目对照收入!$L9&lt;&gt;""),科目对照收入!$M9,科目对照收入!$D9)&amp;""</f>
        <v>24小时</v>
      </c>
      <c r="G405" s="49" t="n">
        <f aca="false">IF(COUNTIFS(输入平台!$A:$A,助手收入!$X20,输入平台!$B:$B,科目对照收入!$B9)&gt;0,ROUND(SUMIFS(输入平台!$C:$C,输入平台!$A:$A,助手收入!$X20,输入平台!$B:$B,科目对照收入!$B9),2),ROUND(海典汇总!$K$21,2))</f>
        <v>0</v>
      </c>
      <c r="H405" s="49" t="str">
        <f aca="false">IF(ROUND($G405,2)&gt;0,ROUND($G405,2),"")</f>
        <v/>
      </c>
      <c r="I405" s="49" t="str">
        <f aca="false">IF(ROUND($G405,2)&lt;0,-ROUND($G405,2),"")</f>
        <v/>
      </c>
      <c r="J405" s="20" t="n">
        <f aca="false">IF(ROUND($G405,2)=0,0,1)</f>
        <v>0</v>
      </c>
      <c r="K405" s="20" t="str">
        <f aca="false">IF($J405=0,"",SUM($J$398:$J405))</f>
        <v/>
      </c>
      <c r="L405" s="20" t="str">
        <f aca="false">IF($K405="","",$A405*100+$K405)</f>
        <v/>
      </c>
      <c r="M405" s="48" t="str">
        <f aca="false">参数!$B$3</f>
        <v>7月收入</v>
      </c>
    </row>
    <row r="406" customFormat="false" ht="13.5" hidden="false" customHeight="false" outlineLevel="0" collapsed="false">
      <c r="A406" s="47" t="n">
        <v>19</v>
      </c>
      <c r="B406" s="38" t="n">
        <f aca="false">助手收入!$B20</f>
        <v>2024</v>
      </c>
      <c r="C406" s="48" t="str">
        <f aca="false">助手收入!$C20</f>
        <v>高村店</v>
      </c>
      <c r="D406" s="48" t="str">
        <f aca="false">科目对照收入!$B10&amp;""</f>
        <v>美团</v>
      </c>
      <c r="E406" s="48" t="str">
        <f aca="false">IF(AND(ROUND($G406,2)&lt;0,科目对照收入!$L10&lt;&gt;""),科目对照收入!$L10,科目对照收入!$C10)&amp;""</f>
        <v>应收账款</v>
      </c>
      <c r="F406" s="48" t="str">
        <f aca="false">IF(AND(ROUND($G406,2)&lt;0,科目对照收入!$L10&lt;&gt;""),科目对照收入!$M10,科目对照收入!$D10)&amp;""</f>
        <v>美团</v>
      </c>
      <c r="G406" s="49" t="n">
        <f aca="false">IF(COUNTIFS(输入平台!$A:$A,助手收入!$X20,输入平台!$B:$B,科目对照收入!$B10)&gt;0,ROUND(SUMIFS(输入平台!$C:$C,输入平台!$A:$A,助手收入!$X20,输入平台!$B:$B,科目对照收入!$B10),2),ROUND(海典汇总!$M$21,2))</f>
        <v>0</v>
      </c>
      <c r="H406" s="49" t="str">
        <f aca="false">IF(ROUND($G406,2)&gt;0,ROUND($G406,2),"")</f>
        <v/>
      </c>
      <c r="I406" s="49" t="str">
        <f aca="false">IF(ROUND($G406,2)&lt;0,-ROUND($G406,2),"")</f>
        <v/>
      </c>
      <c r="J406" s="20" t="n">
        <f aca="false">IF(ROUND($G406,2)=0,0,1)</f>
        <v>0</v>
      </c>
      <c r="K406" s="20" t="str">
        <f aca="false">IF($J406=0,"",SUM($J$398:$J406))</f>
        <v/>
      </c>
      <c r="L406" s="20" t="str">
        <f aca="false">IF($K406="","",$A406*100+$K406)</f>
        <v/>
      </c>
      <c r="M406" s="48" t="str">
        <f aca="false">参数!$B$3</f>
        <v>7月收入</v>
      </c>
    </row>
    <row r="407" customFormat="false" ht="13.5" hidden="false" customHeight="false" outlineLevel="0" collapsed="false">
      <c r="A407" s="47" t="n">
        <v>19</v>
      </c>
      <c r="B407" s="38" t="n">
        <f aca="false">助手收入!$B20</f>
        <v>2024</v>
      </c>
      <c r="C407" s="48" t="str">
        <f aca="false">助手收入!$C20</f>
        <v>高村店</v>
      </c>
      <c r="D407" s="48" t="str">
        <f aca="false">科目对照收入!$B11&amp;""</f>
        <v>饿了么</v>
      </c>
      <c r="E407" s="48" t="str">
        <f aca="false">IF(AND(ROUND($G407,2)&lt;0,科目对照收入!$L11&lt;&gt;""),科目对照收入!$L11,科目对照收入!$C11)&amp;""</f>
        <v>应收账款</v>
      </c>
      <c r="F407" s="48" t="str">
        <f aca="false">IF(AND(ROUND($G407,2)&lt;0,科目对照收入!$L11&lt;&gt;""),科目对照收入!$M11,科目对照收入!$D11)&amp;""</f>
        <v>饿了么</v>
      </c>
      <c r="G407" s="49" t="n">
        <f aca="false">IF(COUNTIFS(输入平台!$A:$A,助手收入!$X20,输入平台!$B:$B,科目对照收入!$B11)&gt;0,ROUND(SUMIFS(输入平台!$C:$C,输入平台!$A:$A,助手收入!$X20,输入平台!$B:$B,科目对照收入!$B11),2),ROUND(海典汇总!$N$21,2))</f>
        <v>0</v>
      </c>
      <c r="H407" s="49" t="str">
        <f aca="false">IF(ROUND($G407,2)&gt;0,ROUND($G407,2),"")</f>
        <v/>
      </c>
      <c r="I407" s="49" t="str">
        <f aca="false">IF(ROUND($G407,2)&lt;0,-ROUND($G407,2),"")</f>
        <v/>
      </c>
      <c r="J407" s="20" t="n">
        <f aca="false">IF(ROUND($G407,2)=0,0,1)</f>
        <v>0</v>
      </c>
      <c r="K407" s="20" t="str">
        <f aca="false">IF($J407=0,"",SUM($J$398:$J407))</f>
        <v/>
      </c>
      <c r="L407" s="20" t="str">
        <f aca="false">IF($K407="","",$A407*100+$K407)</f>
        <v/>
      </c>
      <c r="M407" s="48" t="str">
        <f aca="false">参数!$B$3</f>
        <v>7月收入</v>
      </c>
    </row>
    <row r="408" customFormat="false" ht="13.5" hidden="false" customHeight="false" outlineLevel="0" collapsed="false">
      <c r="A408" s="47" t="n">
        <v>19</v>
      </c>
      <c r="B408" s="38" t="n">
        <f aca="false">助手收入!$B20</f>
        <v>2024</v>
      </c>
      <c r="C408" s="48" t="str">
        <f aca="false">助手收入!$C20</f>
        <v>高村店</v>
      </c>
      <c r="D408" s="48" t="str">
        <f aca="false">科目对照收入!$B12&amp;""</f>
        <v>京东秒送</v>
      </c>
      <c r="E408" s="48" t="str">
        <f aca="false">IF(AND(ROUND($G408,2)&lt;0,科目对照收入!$L12&lt;&gt;""),科目对照收入!$L12,科目对照收入!$C12)&amp;""</f>
        <v>应收账款</v>
      </c>
      <c r="F408" s="48" t="str">
        <f aca="false">IF(AND(ROUND($G408,2)&lt;0,科目对照收入!$L12&lt;&gt;""),科目对照收入!$M12,科目对照收入!$D12)&amp;""</f>
        <v>京东秒送</v>
      </c>
      <c r="G408" s="49" t="n">
        <f aca="false">IF(COUNTIFS(输入平台!$A:$A,助手收入!$X20,输入平台!$B:$B,科目对照收入!$B12)&gt;0,ROUND(SUMIFS(输入平台!$C:$C,输入平台!$A:$A,助手收入!$X20,输入平台!$B:$B,科目对照收入!$B12),2),ROUND(海典汇总!$O$21,2))</f>
        <v>0</v>
      </c>
      <c r="H408" s="49" t="str">
        <f aca="false">IF(ROUND($G408,2)&gt;0,ROUND($G408,2),"")</f>
        <v/>
      </c>
      <c r="I408" s="49" t="str">
        <f aca="false">IF(ROUND($G408,2)&lt;0,-ROUND($G408,2),"")</f>
        <v/>
      </c>
      <c r="J408" s="20" t="n">
        <f aca="false">IF(ROUND($G408,2)=0,0,1)</f>
        <v>0</v>
      </c>
      <c r="K408" s="20" t="str">
        <f aca="false">IF($J408=0,"",SUM($J$398:$J408))</f>
        <v/>
      </c>
      <c r="L408" s="20" t="str">
        <f aca="false">IF($K408="","",$A408*100+$K408)</f>
        <v/>
      </c>
      <c r="M408" s="48" t="str">
        <f aca="false">参数!$B$3</f>
        <v>7月收入</v>
      </c>
    </row>
    <row r="409" customFormat="false" ht="13.5" hidden="false" customHeight="false" outlineLevel="0" collapsed="false">
      <c r="A409" s="47" t="n">
        <v>19</v>
      </c>
      <c r="B409" s="38" t="n">
        <f aca="false">助手收入!$B20</f>
        <v>2024</v>
      </c>
      <c r="C409" s="48" t="str">
        <f aca="false">助手收入!$C20</f>
        <v>高村店</v>
      </c>
      <c r="D409" s="48" t="str">
        <f aca="false">科目对照收入!$B13&amp;""</f>
        <v>银联</v>
      </c>
      <c r="E409" s="48" t="str">
        <f aca="false">IF(AND(ROUND($G409,2)&lt;0,科目对照收入!$L13&lt;&gt;""),科目对照收入!$L13,科目对照收入!$C13)&amp;""</f>
        <v>应收账款</v>
      </c>
      <c r="F409" s="48" t="str">
        <f aca="false">IF(AND(ROUND($G409,2)&lt;0,科目对照收入!$L13&lt;&gt;""),科目对照收入!$M13,科目对照收入!$D13)&amp;""</f>
        <v>银联</v>
      </c>
      <c r="G409" s="49" t="n">
        <f aca="false">IF(COUNTIFS(输入平台!$A:$A,助手收入!$X20,输入平台!$B:$B,科目对照收入!$B13)&gt;0,ROUND(SUMIFS(输入平台!$C:$C,输入平台!$A:$A,助手收入!$X20,输入平台!$B:$B,科目对照收入!$B13),2),ROUND(海典汇总!$V$21,2))</f>
        <v>0</v>
      </c>
      <c r="H409" s="49" t="str">
        <f aca="false">IF(ROUND($G409,2)&gt;0,ROUND($G409,2),"")</f>
        <v/>
      </c>
      <c r="I409" s="49" t="str">
        <f aca="false">IF(ROUND($G409,2)&lt;0,-ROUND($G409,2),"")</f>
        <v/>
      </c>
      <c r="J409" s="20" t="n">
        <f aca="false">IF(ROUND($G409,2)=0,0,1)</f>
        <v>0</v>
      </c>
      <c r="K409" s="20" t="str">
        <f aca="false">IF($J409=0,"",SUM($J$398:$J409))</f>
        <v/>
      </c>
      <c r="L409" s="20" t="str">
        <f aca="false">IF($K409="","",$A409*100+$K409)</f>
        <v/>
      </c>
      <c r="M409" s="48" t="str">
        <f aca="false">参数!$B$3</f>
        <v>7月收入</v>
      </c>
    </row>
    <row r="410" customFormat="false" ht="13.5" hidden="false" customHeight="false" outlineLevel="0" collapsed="false">
      <c r="A410" s="47" t="n">
        <v>19</v>
      </c>
      <c r="B410" s="38" t="n">
        <f aca="false">助手收入!$B20</f>
        <v>2024</v>
      </c>
      <c r="C410" s="48" t="str">
        <f aca="false">助手收入!$C20</f>
        <v>高村店</v>
      </c>
      <c r="D410" s="48" t="str">
        <f aca="false">科目对照收入!$B14&amp;""</f>
        <v>小镇外卖</v>
      </c>
      <c r="E410" s="48" t="str">
        <f aca="false">IF(AND(ROUND($G410,2)&lt;0,科目对照收入!$L14&lt;&gt;""),科目对照收入!$L14,科目对照收入!$C14)&amp;""</f>
        <v>应收账款</v>
      </c>
      <c r="F410" s="48" t="str">
        <f aca="false">IF(AND(ROUND($G410,2)&lt;0,科目对照收入!$L14&lt;&gt;""),科目对照收入!$M14,科目对照收入!$D14)&amp;""</f>
        <v>小镇外卖</v>
      </c>
      <c r="G410" s="49" t="n">
        <f aca="false">IF(COUNTIFS(输入平台!$A:$A,助手收入!$X20,输入平台!$B:$B,科目对照收入!$B14)&gt;0,ROUND(SUMIFS(输入平台!$C:$C,输入平台!$A:$A,助手收入!$X20,输入平台!$B:$B,科目对照收入!$B14),2),ROUND(海典汇总!$AC$21,2))</f>
        <v>0</v>
      </c>
      <c r="H410" s="49" t="str">
        <f aca="false">IF(ROUND($G410,2)&gt;0,ROUND($G410,2),"")</f>
        <v/>
      </c>
      <c r="I410" s="49" t="str">
        <f aca="false">IF(ROUND($G410,2)&lt;0,-ROUND($G410,2),"")</f>
        <v/>
      </c>
      <c r="J410" s="20" t="n">
        <f aca="false">IF(ROUND($G410,2)=0,0,1)</f>
        <v>0</v>
      </c>
      <c r="K410" s="20" t="str">
        <f aca="false">IF($J410=0,"",SUM($J$398:$J410))</f>
        <v/>
      </c>
      <c r="L410" s="20" t="str">
        <f aca="false">IF($K410="","",$A410*100+$K410)</f>
        <v/>
      </c>
      <c r="M410" s="48" t="str">
        <f aca="false">参数!$B$3</f>
        <v>7月收入</v>
      </c>
    </row>
    <row r="411" customFormat="false" ht="13.5" hidden="false" customHeight="false" outlineLevel="0" collapsed="false">
      <c r="A411" s="47" t="n">
        <v>19</v>
      </c>
      <c r="B411" s="38" t="n">
        <f aca="false">助手收入!$B20</f>
        <v>2024</v>
      </c>
      <c r="C411" s="48" t="str">
        <f aca="false">助手收入!$C20</f>
        <v>高村店</v>
      </c>
      <c r="D411" s="48" t="str">
        <f aca="false">科目对照收入!$B15&amp;""</f>
        <v>OMS线上支付</v>
      </c>
      <c r="E411" s="48" t="str">
        <f aca="false">IF(AND(ROUND($G411,2)&lt;0,科目对照收入!$L15&lt;&gt;""),科目对照收入!$L15,科目对照收入!$C15)&amp;""</f>
        <v>应收账款</v>
      </c>
      <c r="F411" s="48" t="str">
        <f aca="false">IF(AND(ROUND($G411,2)&lt;0,科目对照收入!$L15&lt;&gt;""),科目对照收入!$M15,科目对照收入!$D15)&amp;""</f>
        <v>OMS线上</v>
      </c>
      <c r="G411" s="49" t="n">
        <f aca="false">IF(COUNTIFS(输入平台!$A:$A,助手收入!$X20,输入平台!$B:$B,科目对照收入!$B15)&gt;0,ROUND(SUMIFS(输入平台!$C:$C,输入平台!$A:$A,助手收入!$X20,输入平台!$B:$B,科目对照收入!$B15),2),ROUND(海典汇总!$L$21,2))</f>
        <v>0</v>
      </c>
      <c r="H411" s="49" t="str">
        <f aca="false">IF(ROUND($G411,2)&gt;0,ROUND($G411,2),"")</f>
        <v/>
      </c>
      <c r="I411" s="49" t="str">
        <f aca="false">IF(ROUND($G411,2)&lt;0,-ROUND($G411,2),"")</f>
        <v/>
      </c>
      <c r="J411" s="20" t="n">
        <f aca="false">IF(ROUND($G411,2)=0,0,1)</f>
        <v>0</v>
      </c>
      <c r="K411" s="20" t="str">
        <f aca="false">IF($J411=0,"",SUM($J$398:$J411))</f>
        <v/>
      </c>
      <c r="L411" s="20" t="str">
        <f aca="false">IF($K411="","",$A411*100+$K411)</f>
        <v/>
      </c>
      <c r="M411" s="48" t="str">
        <f aca="false">参数!$B$3</f>
        <v>7月收入</v>
      </c>
    </row>
    <row r="412" customFormat="false" ht="13.5" hidden="false" customHeight="false" outlineLevel="0" collapsed="false">
      <c r="A412" s="47" t="n">
        <v>19</v>
      </c>
      <c r="B412" s="38" t="n">
        <f aca="false">助手收入!$B20</f>
        <v>2024</v>
      </c>
      <c r="C412" s="48" t="str">
        <f aca="false">助手收入!$C20</f>
        <v>高村店</v>
      </c>
      <c r="D412" s="48" t="str">
        <f aca="false">科目对照收入!$B16&amp;""</f>
        <v>平安药卡</v>
      </c>
      <c r="E412" s="48" t="str">
        <f aca="false">IF(AND(ROUND($G412,2)&lt;0,科目对照收入!$L16&lt;&gt;""),科目对照收入!$L16,科目对照收入!$C16)&amp;""</f>
        <v>应收账款</v>
      </c>
      <c r="F412" s="48" t="str">
        <f aca="false">IF(AND(ROUND($G412,2)&lt;0,科目对照收入!$L16&lt;&gt;""),科目对照收入!$M16,科目对照收入!$D16)&amp;""</f>
        <v>平安</v>
      </c>
      <c r="G412" s="49" t="n">
        <f aca="false">IF(COUNTIFS(输入平台!$A:$A,助手收入!$X20,输入平台!$B:$B,科目对照收入!$B16)&gt;0,ROUND(SUMIFS(输入平台!$C:$C,输入平台!$A:$A,助手收入!$X20,输入平台!$B:$B,科目对照收入!$B16),2),ROUND(海典汇总!$AB$21,2))</f>
        <v>0</v>
      </c>
      <c r="H412" s="49" t="str">
        <f aca="false">IF(ROUND($G412,2)&gt;0,ROUND($G412,2),"")</f>
        <v/>
      </c>
      <c r="I412" s="49" t="str">
        <f aca="false">IF(ROUND($G412,2)&lt;0,-ROUND($G412,2),"")</f>
        <v/>
      </c>
      <c r="J412" s="20" t="n">
        <f aca="false">IF(ROUND($G412,2)=0,0,1)</f>
        <v>0</v>
      </c>
      <c r="K412" s="20" t="str">
        <f aca="false">IF($J412=0,"",SUM($J$398:$J412))</f>
        <v/>
      </c>
      <c r="L412" s="20" t="str">
        <f aca="false">IF($K412="","",$A412*100+$K412)</f>
        <v/>
      </c>
      <c r="M412" s="48" t="str">
        <f aca="false">参数!$B$3</f>
        <v>7月收入</v>
      </c>
    </row>
    <row r="413" customFormat="false" ht="13.5" hidden="false" customHeight="false" outlineLevel="0" collapsed="false">
      <c r="A413" s="47" t="n">
        <v>19</v>
      </c>
      <c r="B413" s="38" t="n">
        <f aca="false">助手收入!$B20</f>
        <v>2024</v>
      </c>
      <c r="C413" s="48" t="str">
        <f aca="false">助手收入!$C20</f>
        <v>高村店</v>
      </c>
      <c r="D413" s="48" t="str">
        <f aca="false">科目对照收入!$B17&amp;""</f>
        <v>储值卡</v>
      </c>
      <c r="E413" s="48" t="str">
        <f aca="false">IF(AND(ROUND($G413,2)&lt;0,科目对照收入!$L17&lt;&gt;""),科目对照收入!$L17,科目对照收入!$C17)&amp;""</f>
        <v>其他应收款</v>
      </c>
      <c r="F413" s="48" t="str">
        <f aca="false">IF(AND(ROUND($G413,2)&lt;0,科目对照收入!$L17&lt;&gt;""),科目对照收入!$M17,科目对照收入!$D17)&amp;""</f>
        <v>储值卡</v>
      </c>
      <c r="G413" s="49" t="n">
        <f aca="false">ROUND(海典汇总!$Q$21,2)</f>
        <v>177</v>
      </c>
      <c r="H413" s="49" t="n">
        <f aca="false">IF(ROUND($G413,2)&gt;0,ROUND($G413,2),"")</f>
        <v>177</v>
      </c>
      <c r="I413" s="49" t="str">
        <f aca="false">IF(ROUND($G413,2)&lt;0,-ROUND($G413,2),"")</f>
        <v/>
      </c>
      <c r="J413" s="20" t="n">
        <f aca="false">IF(ROUND($G413,2)=0,0,1)</f>
        <v>1</v>
      </c>
      <c r="K413" s="20" t="n">
        <f aca="false">IF($J413=0,"",SUM($J$398:$J413))</f>
        <v>4</v>
      </c>
      <c r="L413" s="20" t="n">
        <f aca="false">IF($K413="","",$A413*100+$K413)</f>
        <v>1904</v>
      </c>
      <c r="M413" s="48" t="str">
        <f aca="false">参数!$B$3</f>
        <v>7月收入</v>
      </c>
    </row>
    <row r="414" customFormat="false" ht="13.5" hidden="false" customHeight="false" outlineLevel="0" collapsed="false">
      <c r="A414" s="47" t="n">
        <v>19</v>
      </c>
      <c r="B414" s="38" t="n">
        <f aca="false">助手收入!$B20</f>
        <v>2024</v>
      </c>
      <c r="C414" s="48" t="str">
        <f aca="false">助手收入!$C20</f>
        <v>高村店</v>
      </c>
      <c r="D414" s="48" t="str">
        <f aca="false">科目对照收入!$B18&amp;""</f>
        <v>会员零钱包</v>
      </c>
      <c r="E414" s="48" t="str">
        <f aca="false">IF(AND(ROUND($G414,2)&lt;0,科目对照收入!$L18&lt;&gt;""),科目对照收入!$L18,科目对照收入!$C18)&amp;""</f>
        <v>其他应收款</v>
      </c>
      <c r="F414" s="48" t="str">
        <f aca="false">IF(AND(ROUND($G414,2)&lt;0,科目对照收入!$L18&lt;&gt;""),科目对照收入!$M18,科目对照收入!$D18)&amp;""</f>
        <v>会员零钱包</v>
      </c>
      <c r="G414" s="49" t="n">
        <f aca="false">ROUND(海典汇总!$P$21,2)</f>
        <v>0</v>
      </c>
      <c r="H414" s="49" t="str">
        <f aca="false">IF(ROUND($G414,2)&gt;0,ROUND($G414,2),"")</f>
        <v/>
      </c>
      <c r="I414" s="49" t="str">
        <f aca="false">IF(ROUND($G414,2)&lt;0,-ROUND($G414,2),"")</f>
        <v/>
      </c>
      <c r="J414" s="20" t="n">
        <f aca="false">IF(ROUND($G414,2)=0,0,1)</f>
        <v>0</v>
      </c>
      <c r="K414" s="20" t="str">
        <f aca="false">IF($J414=0,"",SUM($J$398:$J414))</f>
        <v/>
      </c>
      <c r="L414" s="20" t="str">
        <f aca="false">IF($K414="","",$A414*100+$K414)</f>
        <v/>
      </c>
      <c r="M414" s="48" t="str">
        <f aca="false">参数!$B$3</f>
        <v>7月收入</v>
      </c>
    </row>
    <row r="415" customFormat="false" ht="13.5" hidden="false" customHeight="false" outlineLevel="0" collapsed="false">
      <c r="A415" s="47" t="n">
        <v>19</v>
      </c>
      <c r="B415" s="38" t="n">
        <f aca="false">助手收入!$B20</f>
        <v>2024</v>
      </c>
      <c r="C415" s="48" t="str">
        <f aca="false">助手收入!$C20</f>
        <v>高村店</v>
      </c>
      <c r="D415" s="48" t="str">
        <f aca="false">科目对照收入!$B19&amp;""</f>
        <v>促销费</v>
      </c>
      <c r="E415" s="48" t="str">
        <f aca="false">IF(AND(ROUND($G415,2)&lt;0,科目对照收入!$L19&lt;&gt;""),科目对照收入!$L19,科目对照收入!$C19)&amp;""</f>
        <v>销售费用</v>
      </c>
      <c r="F415" s="48" t="str">
        <f aca="false">IF(AND(ROUND($G415,2)&lt;0,科目对照收入!$L19&lt;&gt;""),科目对照收入!$M19,科目对照收入!$D19)&amp;""</f>
        <v>促销费</v>
      </c>
      <c r="G415" s="49" t="n">
        <f aca="false">ROUND(海典汇总!$U$21+海典汇总!$T$21+海典汇总!$S$21,2)</f>
        <v>566.09</v>
      </c>
      <c r="H415" s="49" t="n">
        <f aca="false">IF(ROUND($G415,2)&gt;0,ROUND($G415,2),"")</f>
        <v>566.09</v>
      </c>
      <c r="I415" s="49" t="str">
        <f aca="false">IF(ROUND($G415,2)&lt;0,-ROUND($G415,2),"")</f>
        <v/>
      </c>
      <c r="J415" s="20" t="n">
        <f aca="false">IF(ROUND($G415,2)=0,0,1)</f>
        <v>1</v>
      </c>
      <c r="K415" s="20" t="n">
        <f aca="false">IF($J415=0,"",SUM($J$398:$J415))</f>
        <v>5</v>
      </c>
      <c r="L415" s="20" t="n">
        <f aca="false">IF($K415="","",$A415*100+$K415)</f>
        <v>1905</v>
      </c>
      <c r="M415" s="48" t="str">
        <f aca="false">参数!$B$3</f>
        <v>7月收入</v>
      </c>
    </row>
    <row r="416" customFormat="false" ht="13.5" hidden="false" customHeight="false" outlineLevel="0" collapsed="false">
      <c r="A416" s="47" t="n">
        <v>19</v>
      </c>
      <c r="B416" s="38" t="n">
        <f aca="false">助手收入!$B20</f>
        <v>2024</v>
      </c>
      <c r="C416" s="48" t="str">
        <f aca="false">助手收入!$C20</f>
        <v>高村店</v>
      </c>
      <c r="D416" s="48" t="str">
        <f aca="false">科目对照收入!$B20&amp;""</f>
        <v>积分</v>
      </c>
      <c r="E416" s="48" t="str">
        <f aca="false">IF(AND(ROUND($G416,2)&lt;0,科目对照收入!$L20&lt;&gt;""),科目对照收入!$L20,科目对照收入!$C20)&amp;""</f>
        <v>销售费用</v>
      </c>
      <c r="F416" s="48" t="str">
        <f aca="false">IF(AND(ROUND($G416,2)&lt;0,科目对照收入!$L20&lt;&gt;""),科目对照收入!$M20,科目对照收入!$D20)&amp;""</f>
        <v>积分</v>
      </c>
      <c r="G416" s="49" t="n">
        <f aca="false">ROUND(海典汇总!$R$21,2)</f>
        <v>0</v>
      </c>
      <c r="H416" s="49" t="str">
        <f aca="false">IF(ROUND($G416,2)&gt;0,ROUND($G416,2),"")</f>
        <v/>
      </c>
      <c r="I416" s="49" t="str">
        <f aca="false">IF(ROUND($G416,2)&lt;0,-ROUND($G416,2),"")</f>
        <v/>
      </c>
      <c r="J416" s="20" t="n">
        <f aca="false">IF(ROUND($G416,2)=0,0,1)</f>
        <v>0</v>
      </c>
      <c r="K416" s="20" t="str">
        <f aca="false">IF($J416=0,"",SUM($J$398:$J416))</f>
        <v/>
      </c>
      <c r="L416" s="20" t="str">
        <f aca="false">IF($K416="","",$A416*100+$K416)</f>
        <v/>
      </c>
      <c r="M416" s="48" t="str">
        <f aca="false">参数!$B$3</f>
        <v>7月收入</v>
      </c>
    </row>
    <row r="417" customFormat="false" ht="13.5" hidden="false" customHeight="false" outlineLevel="0" collapsed="false">
      <c r="A417" s="47" t="n">
        <v>19</v>
      </c>
      <c r="B417" s="38" t="n">
        <f aca="false">助手收入!$B20</f>
        <v>2024</v>
      </c>
      <c r="C417" s="48" t="str">
        <f aca="false">助手收入!$C20</f>
        <v>高村店</v>
      </c>
      <c r="D417" s="48" t="str">
        <f aca="false">科目对照收入!$B21&amp;""</f>
        <v>手续费</v>
      </c>
      <c r="E417" s="48" t="str">
        <f aca="false">IF(AND(ROUND($G417,2)&lt;0,科目对照收入!$L21&lt;&gt;""),科目对照收入!$L21,科目对照收入!$C21)&amp;""</f>
        <v>财务费用</v>
      </c>
      <c r="F417" s="48" t="str">
        <f aca="false">IF(AND(ROUND($G417,2)&lt;0,科目对照收入!$L21&lt;&gt;""),科目对照收入!$M21,科目对照收入!$D21)&amp;""</f>
        <v>手续费</v>
      </c>
      <c r="G417" s="49" t="n">
        <f aca="false">ROUND(SUMIFS(输入聚合!$D:$D,输入聚合!$A:$A,助手收入!$X20),2)</f>
        <v>129.3</v>
      </c>
      <c r="H417" s="49" t="n">
        <f aca="false">IF(ROUND($G417,2)&gt;0,ROUND($G417,2),"")</f>
        <v>129.3</v>
      </c>
      <c r="I417" s="49" t="str">
        <f aca="false">IF(ROUND($G417,2)&lt;0,-ROUND($G417,2),"")</f>
        <v/>
      </c>
      <c r="J417" s="20" t="n">
        <f aca="false">IF(ROUND($G417,2)=0,0,1)</f>
        <v>1</v>
      </c>
      <c r="K417" s="20" t="n">
        <f aca="false">IF($J417=0,"",SUM($J$398:$J417))</f>
        <v>6</v>
      </c>
      <c r="L417" s="20" t="n">
        <f aca="false">IF($K417="","",$A417*100+$K417)</f>
        <v>1906</v>
      </c>
      <c r="M417" s="48" t="str">
        <f aca="false">参数!$B$3</f>
        <v>7月收入</v>
      </c>
    </row>
    <row r="418" customFormat="false" ht="13.5" hidden="false" customHeight="false" outlineLevel="0" collapsed="false">
      <c r="A418" s="47" t="n">
        <v>19</v>
      </c>
      <c r="B418" s="38" t="n">
        <f aca="false">助手收入!$B20</f>
        <v>2024</v>
      </c>
      <c r="C418" s="48" t="str">
        <f aca="false">助手收入!$C20</f>
        <v>高村店</v>
      </c>
      <c r="D418" s="48" t="str">
        <f aca="false">科目对照收入!$B22&amp;""</f>
        <v>主营业务收入</v>
      </c>
      <c r="E418" s="48" t="str">
        <f aca="false">IF(AND(ROUND($G418,2)&lt;0,科目对照收入!$L22&lt;&gt;""),科目对照收入!$L22,科目对照收入!$C22)&amp;""</f>
        <v>主营业务收入</v>
      </c>
      <c r="F418" s="48" t="str">
        <f aca="false">IF(AND(ROUND($G418,2)&lt;0,科目对照收入!$L22&lt;&gt;""),科目对照收入!$M22,科目对照收入!$D22)&amp;""</f>
        <v/>
      </c>
      <c r="G418" s="49" t="n">
        <f aca="false">-ROUND(助手收入!$G20,2)</f>
        <v>-101877.92</v>
      </c>
      <c r="H418" s="49" t="str">
        <f aca="false">IF(ROUND($G418,2)&gt;0,ROUND($G418,2),"")</f>
        <v/>
      </c>
      <c r="I418" s="49" t="n">
        <f aca="false">IF(ROUND($G418,2)&lt;0,-ROUND($G418,2),"")</f>
        <v>101877.92</v>
      </c>
      <c r="J418" s="20" t="n">
        <f aca="false">IF(ROUND($G418,2)=0,0,1)</f>
        <v>1</v>
      </c>
      <c r="K418" s="20" t="n">
        <f aca="false">IF($J418=0,"",SUM($J$398:$J418))</f>
        <v>7</v>
      </c>
      <c r="L418" s="20" t="n">
        <f aca="false">IF($K418="","",$A418*100+$K418)</f>
        <v>1907</v>
      </c>
      <c r="M418" s="48" t="str">
        <f aca="false">参数!$B$3</f>
        <v>7月收入</v>
      </c>
    </row>
    <row r="419" customFormat="false" ht="13.5" hidden="false" customHeight="false" outlineLevel="0" collapsed="false">
      <c r="A419" s="47" t="n">
        <v>19</v>
      </c>
      <c r="B419" s="38" t="n">
        <f aca="false">助手收入!$B20</f>
        <v>2024</v>
      </c>
      <c r="C419" s="48" t="str">
        <f aca="false">助手收入!$C20</f>
        <v>高村店</v>
      </c>
      <c r="D419" s="48" t="str">
        <f aca="false">科目对照收入!$B23&amp;""</f>
        <v>营业外收入</v>
      </c>
      <c r="E419" s="48" t="str">
        <f aca="false">IF(AND(ROUND($G419,2)&lt;0,科目对照收入!$L23&lt;&gt;""),科目对照收入!$L23,科目对照收入!$C23)&amp;""</f>
        <v>营业外收入</v>
      </c>
      <c r="F419" s="48" t="str">
        <f aca="false">IF(AND(ROUND($G419,2)&lt;0,科目对照收入!$L23&lt;&gt;""),科目对照收入!$M23,科目对照收入!$D23)&amp;""</f>
        <v/>
      </c>
      <c r="G419" s="49" t="n">
        <f aca="false">-ROUND(助手收入!$J20,2)</f>
        <v>-0</v>
      </c>
      <c r="H419" s="49" t="str">
        <f aca="false">IF(ROUND($G419,2)&gt;0,ROUND($G419,2),"")</f>
        <v/>
      </c>
      <c r="I419" s="49" t="str">
        <f aca="false">IF(ROUND($G419,2)&lt;0,-ROUND($G419,2),"")</f>
        <v/>
      </c>
      <c r="J419" s="20" t="n">
        <f aca="false">IF(ROUND($G419,2)=0,0,1)</f>
        <v>0</v>
      </c>
      <c r="K419" s="20" t="str">
        <f aca="false">IF($J419=0,"",SUM($J$398:$J419))</f>
        <v/>
      </c>
      <c r="L419" s="20" t="str">
        <f aca="false">IF($K419="","",$A419*100+$K419)</f>
        <v/>
      </c>
      <c r="M419" s="48" t="str">
        <f aca="false">参数!$B$3</f>
        <v>7月收入</v>
      </c>
    </row>
    <row r="420" customFormat="false" ht="13.5" hidden="false" customHeight="false" outlineLevel="0" collapsed="false">
      <c r="A420" s="47" t="n">
        <v>20</v>
      </c>
      <c r="B420" s="38" t="n">
        <f aca="false">助手收入!$B21</f>
        <v>2026</v>
      </c>
      <c r="C420" s="48" t="str">
        <f aca="false">助手收入!$C21</f>
        <v>彭村店</v>
      </c>
      <c r="D420" s="48" t="str">
        <f aca="false">科目对照收入!$B2&amp;""</f>
        <v>库存现金</v>
      </c>
      <c r="E420" s="48" t="str">
        <f aca="false">IF(AND(ROUND($G420,2)&lt;0,科目对照收入!$L2&lt;&gt;""),科目对照收入!$L2,科目对照收入!$C2)&amp;""</f>
        <v>库存现金</v>
      </c>
      <c r="F420" s="48" t="str">
        <f aca="false">IF(AND(ROUND($G420,2)&lt;0,科目对照收入!$L2&lt;&gt;""),科目对照收入!$M2,科目对照收入!$D2)&amp;""</f>
        <v/>
      </c>
      <c r="G420" s="49" t="n">
        <f aca="false">助手收入!$I21</f>
        <v>7900.28</v>
      </c>
      <c r="H420" s="49" t="n">
        <f aca="false">IF(ROUND($G420,2)&gt;0,ROUND($G420,2),"")</f>
        <v>7900.28</v>
      </c>
      <c r="I420" s="49" t="str">
        <f aca="false">IF(ROUND($G420,2)&lt;0,-ROUND($G420,2),"")</f>
        <v/>
      </c>
      <c r="J420" s="20" t="n">
        <f aca="false">IF(ROUND($G420,2)=0,0,1)</f>
        <v>1</v>
      </c>
      <c r="K420" s="20" t="n">
        <f aca="false">IF($J420=0,"",SUM($J$420:$J420))</f>
        <v>1</v>
      </c>
      <c r="L420" s="20" t="n">
        <f aca="false">IF($K420="","",$A420*100+$K420)</f>
        <v>2001</v>
      </c>
      <c r="M420" s="48" t="str">
        <f aca="false">参数!$B$3</f>
        <v>7月收入</v>
      </c>
    </row>
    <row r="421" customFormat="false" ht="13.5" hidden="false" customHeight="false" outlineLevel="0" collapsed="false">
      <c r="A421" s="47" t="n">
        <v>20</v>
      </c>
      <c r="B421" s="38" t="n">
        <f aca="false">助手收入!$B21</f>
        <v>2026</v>
      </c>
      <c r="C421" s="48" t="str">
        <f aca="false">助手收入!$C21</f>
        <v>彭村店</v>
      </c>
      <c r="D421" s="48" t="str">
        <f aca="false">科目对照收入!$B3&amp;""</f>
        <v>聚合支付</v>
      </c>
      <c r="E421" s="48" t="str">
        <f aca="false">IF(AND(ROUND($G421,2)&lt;0,科目对照收入!$L3&lt;&gt;""),科目对照收入!$L3,科目对照收入!$C3)&amp;""</f>
        <v>应收账款</v>
      </c>
      <c r="F421" s="48" t="str">
        <f aca="false">IF(AND(ROUND($G421,2)&lt;0,科目对照收入!$L3&lt;&gt;""),科目对照收入!$M3,科目对照收入!$D3)&amp;""</f>
        <v>聚合支付</v>
      </c>
      <c r="G421" s="49" t="n">
        <f aca="false">ROUND(SUMIFS(输入聚合!$C:$C,输入聚合!$A:$A,助手收入!$X21)-SUMIFS(输入聚合!$D:$D,输入聚合!$A:$A,助手收入!$X21),2)</f>
        <v>25175.8</v>
      </c>
      <c r="H421" s="49" t="n">
        <f aca="false">IF(ROUND($G421,2)&gt;0,ROUND($G421,2),"")</f>
        <v>25175.8</v>
      </c>
      <c r="I421" s="49" t="str">
        <f aca="false">IF(ROUND($G421,2)&lt;0,-ROUND($G421,2),"")</f>
        <v/>
      </c>
      <c r="J421" s="20" t="n">
        <f aca="false">IF(ROUND($G421,2)=0,0,1)</f>
        <v>1</v>
      </c>
      <c r="K421" s="20" t="n">
        <f aca="false">IF($J421=0,"",SUM($J$420:$J421))</f>
        <v>2</v>
      </c>
      <c r="L421" s="20" t="n">
        <f aca="false">IF($K421="","",$A421*100+$K421)</f>
        <v>2002</v>
      </c>
      <c r="M421" s="48" t="str">
        <f aca="false">参数!$B$3</f>
        <v>7月收入</v>
      </c>
    </row>
    <row r="422" customFormat="false" ht="13.5" hidden="false" customHeight="false" outlineLevel="0" collapsed="false">
      <c r="A422" s="47" t="n">
        <v>20</v>
      </c>
      <c r="B422" s="38" t="n">
        <f aca="false">助手收入!$B21</f>
        <v>2026</v>
      </c>
      <c r="C422" s="48" t="str">
        <f aca="false">助手收入!$C21</f>
        <v>彭村店</v>
      </c>
      <c r="D422" s="48" t="str">
        <f aca="false">科目对照收入!$B4&amp;""</f>
        <v>医保</v>
      </c>
      <c r="E422" s="48" t="str">
        <f aca="false">IF(AND(ROUND($G422,2)&lt;0,科目对照收入!$L4&lt;&gt;""),科目对照收入!$L4,科目对照收入!$C4)&amp;""</f>
        <v>应收账款</v>
      </c>
      <c r="F422" s="48" t="str">
        <f aca="false">IF(AND(ROUND($G422,2)&lt;0,科目对照收入!$L4&lt;&gt;""),科目对照收入!$M4,科目对照收入!$D4)&amp;""</f>
        <v>医保</v>
      </c>
      <c r="G422" s="49" t="n">
        <f aca="false">IF(COUNTIFS(输入平台!$A:$A,助手收入!$X21,输入平台!$B:$B,科目对照收入!$B4)&gt;0,ROUND(SUMIFS(输入平台!$C:$C,输入平台!$A:$A,助手收入!$X21,输入平台!$B:$B,科目对照收入!$B4),2),ROUND(海典汇总!$F$22+海典汇总!$G$22,2))</f>
        <v>1260.36</v>
      </c>
      <c r="H422" s="49" t="n">
        <f aca="false">IF(ROUND($G422,2)&gt;0,ROUND($G422,2),"")</f>
        <v>1260.36</v>
      </c>
      <c r="I422" s="49" t="str">
        <f aca="false">IF(ROUND($G422,2)&lt;0,-ROUND($G422,2),"")</f>
        <v/>
      </c>
      <c r="J422" s="20" t="n">
        <f aca="false">IF(ROUND($G422,2)=0,0,1)</f>
        <v>1</v>
      </c>
      <c r="K422" s="20" t="n">
        <f aca="false">IF($J422=0,"",SUM($J$420:$J422))</f>
        <v>3</v>
      </c>
      <c r="L422" s="20" t="n">
        <f aca="false">IF($K422="","",$A422*100+$K422)</f>
        <v>2003</v>
      </c>
      <c r="M422" s="48" t="str">
        <f aca="false">参数!$B$3</f>
        <v>7月收入</v>
      </c>
    </row>
    <row r="423" customFormat="false" ht="13.5" hidden="false" customHeight="false" outlineLevel="0" collapsed="false">
      <c r="A423" s="47" t="n">
        <v>20</v>
      </c>
      <c r="B423" s="38" t="n">
        <f aca="false">助手收入!$B21</f>
        <v>2026</v>
      </c>
      <c r="C423" s="48" t="str">
        <f aca="false">助手收入!$C21</f>
        <v>彭村店</v>
      </c>
      <c r="D423" s="48" t="str">
        <f aca="false">科目对照收入!$B5&amp;""</f>
        <v>健e卡</v>
      </c>
      <c r="E423" s="48" t="str">
        <f aca="false">IF(AND(ROUND($G423,2)&lt;0,科目对照收入!$L5&lt;&gt;""),科目对照收入!$L5,科目对照收入!$C5)&amp;""</f>
        <v>应收账款</v>
      </c>
      <c r="F423" s="48" t="str">
        <f aca="false">IF(AND(ROUND($G423,2)&lt;0,科目对照收入!$L5&lt;&gt;""),科目对照收入!$M5,科目对照收入!$D5)&amp;""</f>
        <v>健e卡</v>
      </c>
      <c r="G423" s="49" t="n">
        <f aca="false">IF(COUNTIFS(输入平台!$A:$A,助手收入!$X21,输入平台!$B:$B,科目对照收入!$B5)&gt;0,ROUND(SUMIFS(输入平台!$C:$C,输入平台!$A:$A,助手收入!$X21,输入平台!$B:$B,科目对照收入!$B5),2),ROUND(海典汇总!$H$22,2))</f>
        <v>0</v>
      </c>
      <c r="H423" s="49" t="str">
        <f aca="false">IF(ROUND($G423,2)&gt;0,ROUND($G423,2),"")</f>
        <v/>
      </c>
      <c r="I423" s="49" t="str">
        <f aca="false">IF(ROUND($G423,2)&lt;0,-ROUND($G423,2),"")</f>
        <v/>
      </c>
      <c r="J423" s="20" t="n">
        <f aca="false">IF(ROUND($G423,2)=0,0,1)</f>
        <v>0</v>
      </c>
      <c r="K423" s="20" t="str">
        <f aca="false">IF($J423=0,"",SUM($J$420:$J423))</f>
        <v/>
      </c>
      <c r="L423" s="20" t="str">
        <f aca="false">IF($K423="","",$A423*100+$K423)</f>
        <v/>
      </c>
      <c r="M423" s="48" t="str">
        <f aca="false">参数!$B$3</f>
        <v>7月收入</v>
      </c>
    </row>
    <row r="424" customFormat="false" ht="13.5" hidden="false" customHeight="false" outlineLevel="0" collapsed="false">
      <c r="A424" s="47" t="n">
        <v>20</v>
      </c>
      <c r="B424" s="38" t="n">
        <f aca="false">助手收入!$B21</f>
        <v>2026</v>
      </c>
      <c r="C424" s="48" t="str">
        <f aca="false">助手收入!$C21</f>
        <v>彭村店</v>
      </c>
      <c r="D424" s="48" t="str">
        <f aca="false">科目对照收入!$B6&amp;""</f>
        <v>医卡通</v>
      </c>
      <c r="E424" s="48" t="str">
        <f aca="false">IF(AND(ROUND($G424,2)&lt;0,科目对照收入!$L6&lt;&gt;""),科目对照收入!$L6,科目对照收入!$C6)&amp;""</f>
        <v>应收账款</v>
      </c>
      <c r="F424" s="48" t="str">
        <f aca="false">IF(AND(ROUND($G424,2)&lt;0,科目对照收入!$L6&lt;&gt;""),科目对照收入!$M6,科目对照收入!$D6)&amp;""</f>
        <v>医卡通</v>
      </c>
      <c r="G424" s="49" t="n">
        <f aca="false">IF(COUNTIFS(输入平台!$A:$A,助手收入!$X21,输入平台!$B:$B,科目对照收入!$B6)&gt;0,ROUND(SUMIFS(输入平台!$C:$C,输入平台!$A:$A,助手收入!$X21,输入平台!$B:$B,科目对照收入!$B6),2),ROUND(海典汇总!$I$22,2))</f>
        <v>0</v>
      </c>
      <c r="H424" s="49" t="str">
        <f aca="false">IF(ROUND($G424,2)&gt;0,ROUND($G424,2),"")</f>
        <v/>
      </c>
      <c r="I424" s="49" t="str">
        <f aca="false">IF(ROUND($G424,2)&lt;0,-ROUND($G424,2),"")</f>
        <v/>
      </c>
      <c r="J424" s="20" t="n">
        <f aca="false">IF(ROUND($G424,2)=0,0,1)</f>
        <v>0</v>
      </c>
      <c r="K424" s="20" t="str">
        <f aca="false">IF($J424=0,"",SUM($J$420:$J424))</f>
        <v/>
      </c>
      <c r="L424" s="20" t="str">
        <f aca="false">IF($K424="","",$A424*100+$K424)</f>
        <v/>
      </c>
      <c r="M424" s="48" t="str">
        <f aca="false">参数!$B$3</f>
        <v>7月收入</v>
      </c>
    </row>
    <row r="425" customFormat="false" ht="13.5" hidden="false" customHeight="false" outlineLevel="0" collapsed="false">
      <c r="A425" s="47" t="n">
        <v>20</v>
      </c>
      <c r="B425" s="38" t="n">
        <f aca="false">助手收入!$B21</f>
        <v>2026</v>
      </c>
      <c r="C425" s="48" t="str">
        <f aca="false">助手收入!$C21</f>
        <v>彭村店</v>
      </c>
      <c r="D425" s="48" t="str">
        <f aca="false">科目对照收入!$B7&amp;""</f>
        <v>企健网</v>
      </c>
      <c r="E425" s="48" t="str">
        <f aca="false">IF(AND(ROUND($G425,2)&lt;0,科目对照收入!$L7&lt;&gt;""),科目对照收入!$L7,科目对照收入!$C7)&amp;""</f>
        <v>应收账款</v>
      </c>
      <c r="F425" s="48" t="str">
        <f aca="false">IF(AND(ROUND($G425,2)&lt;0,科目对照收入!$L7&lt;&gt;""),科目对照收入!$M7,科目对照收入!$D7)&amp;""</f>
        <v>企健网</v>
      </c>
      <c r="G425" s="49" t="n">
        <f aca="false">IF(COUNTIFS(输入平台!$A:$A,助手收入!$X21,输入平台!$B:$B,科目对照收入!$B7)&gt;0,ROUND(SUMIFS(输入平台!$C:$C,输入平台!$A:$A,助手收入!$X21,输入平台!$B:$B,科目对照收入!$B7),2),ROUND(海典汇总!$J$22,2))</f>
        <v>0</v>
      </c>
      <c r="H425" s="49" t="str">
        <f aca="false">IF(ROUND($G425,2)&gt;0,ROUND($G425,2),"")</f>
        <v/>
      </c>
      <c r="I425" s="49" t="str">
        <f aca="false">IF(ROUND($G425,2)&lt;0,-ROUND($G425,2),"")</f>
        <v/>
      </c>
      <c r="J425" s="20" t="n">
        <f aca="false">IF(ROUND($G425,2)=0,0,1)</f>
        <v>0</v>
      </c>
      <c r="K425" s="20" t="str">
        <f aca="false">IF($J425=0,"",SUM($J$420:$J425))</f>
        <v/>
      </c>
      <c r="L425" s="20" t="str">
        <f aca="false">IF($K425="","",$A425*100+$K425)</f>
        <v/>
      </c>
      <c r="M425" s="48" t="str">
        <f aca="false">参数!$B$3</f>
        <v>7月收入</v>
      </c>
    </row>
    <row r="426" customFormat="false" ht="13.5" hidden="false" customHeight="false" outlineLevel="0" collapsed="false">
      <c r="A426" s="47" t="n">
        <v>20</v>
      </c>
      <c r="B426" s="38" t="n">
        <f aca="false">助手收入!$B21</f>
        <v>2026</v>
      </c>
      <c r="C426" s="48" t="str">
        <f aca="false">助手收入!$C21</f>
        <v>彭村店</v>
      </c>
      <c r="D426" s="48" t="str">
        <f aca="false">科目对照收入!$B8&amp;""</f>
        <v>亲情卡</v>
      </c>
      <c r="E426" s="48" t="str">
        <f aca="false">IF(AND(ROUND($G426,2)&lt;0,科目对照收入!$L8&lt;&gt;""),科目对照收入!$L8,科目对照收入!$C8)&amp;""</f>
        <v>应收账款</v>
      </c>
      <c r="F426" s="48" t="str">
        <f aca="false">IF(AND(ROUND($G426,2)&lt;0,科目对照收入!$L8&lt;&gt;""),科目对照收入!$M8,科目对照收入!$D8)&amp;""</f>
        <v>亲情卡</v>
      </c>
      <c r="G426" s="49" t="n">
        <f aca="false">IF(COUNTIFS(输入平台!$A:$A,助手收入!$X21,输入平台!$B:$B,科目对照收入!$B8)&gt;0,ROUND(SUMIFS(输入平台!$C:$C,输入平台!$A:$A,助手收入!$X21,输入平台!$B:$B,科目对照收入!$B8),2),ROUND(海典汇总!$Z$22,2))</f>
        <v>0</v>
      </c>
      <c r="H426" s="49" t="str">
        <f aca="false">IF(ROUND($G426,2)&gt;0,ROUND($G426,2),"")</f>
        <v/>
      </c>
      <c r="I426" s="49" t="str">
        <f aca="false">IF(ROUND($G426,2)&lt;0,-ROUND($G426,2),"")</f>
        <v/>
      </c>
      <c r="J426" s="20" t="n">
        <f aca="false">IF(ROUND($G426,2)=0,0,1)</f>
        <v>0</v>
      </c>
      <c r="K426" s="20" t="str">
        <f aca="false">IF($J426=0,"",SUM($J$420:$J426))</f>
        <v/>
      </c>
      <c r="L426" s="20" t="str">
        <f aca="false">IF($K426="","",$A426*100+$K426)</f>
        <v/>
      </c>
      <c r="M426" s="48" t="str">
        <f aca="false">参数!$B$3</f>
        <v>7月收入</v>
      </c>
    </row>
    <row r="427" customFormat="false" ht="13.5" hidden="false" customHeight="false" outlineLevel="0" collapsed="false">
      <c r="A427" s="47" t="n">
        <v>20</v>
      </c>
      <c r="B427" s="38" t="n">
        <f aca="false">助手收入!$B21</f>
        <v>2026</v>
      </c>
      <c r="C427" s="48" t="str">
        <f aca="false">助手收入!$C21</f>
        <v>彭村店</v>
      </c>
      <c r="D427" s="48" t="str">
        <f aca="false">科目对照收入!$B9&amp;""</f>
        <v>24小时</v>
      </c>
      <c r="E427" s="48" t="str">
        <f aca="false">IF(AND(ROUND($G427,2)&lt;0,科目对照收入!$L9&lt;&gt;""),科目对照收入!$L9,科目对照收入!$C9)&amp;""</f>
        <v>应收账款</v>
      </c>
      <c r="F427" s="48" t="str">
        <f aca="false">IF(AND(ROUND($G427,2)&lt;0,科目对照收入!$L9&lt;&gt;""),科目对照收入!$M9,科目对照收入!$D9)&amp;""</f>
        <v>24小时</v>
      </c>
      <c r="G427" s="49" t="n">
        <f aca="false">IF(COUNTIFS(输入平台!$A:$A,助手收入!$X21,输入平台!$B:$B,科目对照收入!$B9)&gt;0,ROUND(SUMIFS(输入平台!$C:$C,输入平台!$A:$A,助手收入!$X21,输入平台!$B:$B,科目对照收入!$B9),2),ROUND(海典汇总!$K$22,2))</f>
        <v>0</v>
      </c>
      <c r="H427" s="49" t="str">
        <f aca="false">IF(ROUND($G427,2)&gt;0,ROUND($G427,2),"")</f>
        <v/>
      </c>
      <c r="I427" s="49" t="str">
        <f aca="false">IF(ROUND($G427,2)&lt;0,-ROUND($G427,2),"")</f>
        <v/>
      </c>
      <c r="J427" s="20" t="n">
        <f aca="false">IF(ROUND($G427,2)=0,0,1)</f>
        <v>0</v>
      </c>
      <c r="K427" s="20" t="str">
        <f aca="false">IF($J427=0,"",SUM($J$420:$J427))</f>
        <v/>
      </c>
      <c r="L427" s="20" t="str">
        <f aca="false">IF($K427="","",$A427*100+$K427)</f>
        <v/>
      </c>
      <c r="M427" s="48" t="str">
        <f aca="false">参数!$B$3</f>
        <v>7月收入</v>
      </c>
    </row>
    <row r="428" customFormat="false" ht="13.5" hidden="false" customHeight="false" outlineLevel="0" collapsed="false">
      <c r="A428" s="47" t="n">
        <v>20</v>
      </c>
      <c r="B428" s="38" t="n">
        <f aca="false">助手收入!$B21</f>
        <v>2026</v>
      </c>
      <c r="C428" s="48" t="str">
        <f aca="false">助手收入!$C21</f>
        <v>彭村店</v>
      </c>
      <c r="D428" s="48" t="str">
        <f aca="false">科目对照收入!$B10&amp;""</f>
        <v>美团</v>
      </c>
      <c r="E428" s="48" t="str">
        <f aca="false">IF(AND(ROUND($G428,2)&lt;0,科目对照收入!$L10&lt;&gt;""),科目对照收入!$L10,科目对照收入!$C10)&amp;""</f>
        <v>应收账款</v>
      </c>
      <c r="F428" s="48" t="str">
        <f aca="false">IF(AND(ROUND($G428,2)&lt;0,科目对照收入!$L10&lt;&gt;""),科目对照收入!$M10,科目对照收入!$D10)&amp;""</f>
        <v>美团</v>
      </c>
      <c r="G428" s="49" t="n">
        <f aca="false">IF(COUNTIFS(输入平台!$A:$A,助手收入!$X21,输入平台!$B:$B,科目对照收入!$B10)&gt;0,ROUND(SUMIFS(输入平台!$C:$C,输入平台!$A:$A,助手收入!$X21,输入平台!$B:$B,科目对照收入!$B10),2),ROUND(海典汇总!$M$22,2))</f>
        <v>0</v>
      </c>
      <c r="H428" s="49" t="str">
        <f aca="false">IF(ROUND($G428,2)&gt;0,ROUND($G428,2),"")</f>
        <v/>
      </c>
      <c r="I428" s="49" t="str">
        <f aca="false">IF(ROUND($G428,2)&lt;0,-ROUND($G428,2),"")</f>
        <v/>
      </c>
      <c r="J428" s="20" t="n">
        <f aca="false">IF(ROUND($G428,2)=0,0,1)</f>
        <v>0</v>
      </c>
      <c r="K428" s="20" t="str">
        <f aca="false">IF($J428=0,"",SUM($J$420:$J428))</f>
        <v/>
      </c>
      <c r="L428" s="20" t="str">
        <f aca="false">IF($K428="","",$A428*100+$K428)</f>
        <v/>
      </c>
      <c r="M428" s="48" t="str">
        <f aca="false">参数!$B$3</f>
        <v>7月收入</v>
      </c>
    </row>
    <row r="429" customFormat="false" ht="13.5" hidden="false" customHeight="false" outlineLevel="0" collapsed="false">
      <c r="A429" s="47" t="n">
        <v>20</v>
      </c>
      <c r="B429" s="38" t="n">
        <f aca="false">助手收入!$B21</f>
        <v>2026</v>
      </c>
      <c r="C429" s="48" t="str">
        <f aca="false">助手收入!$C21</f>
        <v>彭村店</v>
      </c>
      <c r="D429" s="48" t="str">
        <f aca="false">科目对照收入!$B11&amp;""</f>
        <v>饿了么</v>
      </c>
      <c r="E429" s="48" t="str">
        <f aca="false">IF(AND(ROUND($G429,2)&lt;0,科目对照收入!$L11&lt;&gt;""),科目对照收入!$L11,科目对照收入!$C11)&amp;""</f>
        <v>应收账款</v>
      </c>
      <c r="F429" s="48" t="str">
        <f aca="false">IF(AND(ROUND($G429,2)&lt;0,科目对照收入!$L11&lt;&gt;""),科目对照收入!$M11,科目对照收入!$D11)&amp;""</f>
        <v>饿了么</v>
      </c>
      <c r="G429" s="49" t="n">
        <f aca="false">IF(COUNTIFS(输入平台!$A:$A,助手收入!$X21,输入平台!$B:$B,科目对照收入!$B11)&gt;0,ROUND(SUMIFS(输入平台!$C:$C,输入平台!$A:$A,助手收入!$X21,输入平台!$B:$B,科目对照收入!$B11),2),ROUND(海典汇总!$N$22,2))</f>
        <v>0</v>
      </c>
      <c r="H429" s="49" t="str">
        <f aca="false">IF(ROUND($G429,2)&gt;0,ROUND($G429,2),"")</f>
        <v/>
      </c>
      <c r="I429" s="49" t="str">
        <f aca="false">IF(ROUND($G429,2)&lt;0,-ROUND($G429,2),"")</f>
        <v/>
      </c>
      <c r="J429" s="20" t="n">
        <f aca="false">IF(ROUND($G429,2)=0,0,1)</f>
        <v>0</v>
      </c>
      <c r="K429" s="20" t="str">
        <f aca="false">IF($J429=0,"",SUM($J$420:$J429))</f>
        <v/>
      </c>
      <c r="L429" s="20" t="str">
        <f aca="false">IF($K429="","",$A429*100+$K429)</f>
        <v/>
      </c>
      <c r="M429" s="48" t="str">
        <f aca="false">参数!$B$3</f>
        <v>7月收入</v>
      </c>
    </row>
    <row r="430" customFormat="false" ht="13.5" hidden="false" customHeight="false" outlineLevel="0" collapsed="false">
      <c r="A430" s="47" t="n">
        <v>20</v>
      </c>
      <c r="B430" s="38" t="n">
        <f aca="false">助手收入!$B21</f>
        <v>2026</v>
      </c>
      <c r="C430" s="48" t="str">
        <f aca="false">助手收入!$C21</f>
        <v>彭村店</v>
      </c>
      <c r="D430" s="48" t="str">
        <f aca="false">科目对照收入!$B12&amp;""</f>
        <v>京东秒送</v>
      </c>
      <c r="E430" s="48" t="str">
        <f aca="false">IF(AND(ROUND($G430,2)&lt;0,科目对照收入!$L12&lt;&gt;""),科目对照收入!$L12,科目对照收入!$C12)&amp;""</f>
        <v>应收账款</v>
      </c>
      <c r="F430" s="48" t="str">
        <f aca="false">IF(AND(ROUND($G430,2)&lt;0,科目对照收入!$L12&lt;&gt;""),科目对照收入!$M12,科目对照收入!$D12)&amp;""</f>
        <v>京东秒送</v>
      </c>
      <c r="G430" s="49" t="n">
        <f aca="false">IF(COUNTIFS(输入平台!$A:$A,助手收入!$X21,输入平台!$B:$B,科目对照收入!$B12)&gt;0,ROUND(SUMIFS(输入平台!$C:$C,输入平台!$A:$A,助手收入!$X21,输入平台!$B:$B,科目对照收入!$B12),2),ROUND(海典汇总!$O$22,2))</f>
        <v>0</v>
      </c>
      <c r="H430" s="49" t="str">
        <f aca="false">IF(ROUND($G430,2)&gt;0,ROUND($G430,2),"")</f>
        <v/>
      </c>
      <c r="I430" s="49" t="str">
        <f aca="false">IF(ROUND($G430,2)&lt;0,-ROUND($G430,2),"")</f>
        <v/>
      </c>
      <c r="J430" s="20" t="n">
        <f aca="false">IF(ROUND($G430,2)=0,0,1)</f>
        <v>0</v>
      </c>
      <c r="K430" s="20" t="str">
        <f aca="false">IF($J430=0,"",SUM($J$420:$J430))</f>
        <v/>
      </c>
      <c r="L430" s="20" t="str">
        <f aca="false">IF($K430="","",$A430*100+$K430)</f>
        <v/>
      </c>
      <c r="M430" s="48" t="str">
        <f aca="false">参数!$B$3</f>
        <v>7月收入</v>
      </c>
    </row>
    <row r="431" customFormat="false" ht="13.5" hidden="false" customHeight="false" outlineLevel="0" collapsed="false">
      <c r="A431" s="47" t="n">
        <v>20</v>
      </c>
      <c r="B431" s="38" t="n">
        <f aca="false">助手收入!$B21</f>
        <v>2026</v>
      </c>
      <c r="C431" s="48" t="str">
        <f aca="false">助手收入!$C21</f>
        <v>彭村店</v>
      </c>
      <c r="D431" s="48" t="str">
        <f aca="false">科目对照收入!$B13&amp;""</f>
        <v>银联</v>
      </c>
      <c r="E431" s="48" t="str">
        <f aca="false">IF(AND(ROUND($G431,2)&lt;0,科目对照收入!$L13&lt;&gt;""),科目对照收入!$L13,科目对照收入!$C13)&amp;""</f>
        <v>应收账款</v>
      </c>
      <c r="F431" s="48" t="str">
        <f aca="false">IF(AND(ROUND($G431,2)&lt;0,科目对照收入!$L13&lt;&gt;""),科目对照收入!$M13,科目对照收入!$D13)&amp;""</f>
        <v>银联</v>
      </c>
      <c r="G431" s="49" t="n">
        <f aca="false">IF(COUNTIFS(输入平台!$A:$A,助手收入!$X21,输入平台!$B:$B,科目对照收入!$B13)&gt;0,ROUND(SUMIFS(输入平台!$C:$C,输入平台!$A:$A,助手收入!$X21,输入平台!$B:$B,科目对照收入!$B13),2),ROUND(海典汇总!$V$22,2))</f>
        <v>0</v>
      </c>
      <c r="H431" s="49" t="str">
        <f aca="false">IF(ROUND($G431,2)&gt;0,ROUND($G431,2),"")</f>
        <v/>
      </c>
      <c r="I431" s="49" t="str">
        <f aca="false">IF(ROUND($G431,2)&lt;0,-ROUND($G431,2),"")</f>
        <v/>
      </c>
      <c r="J431" s="20" t="n">
        <f aca="false">IF(ROUND($G431,2)=0,0,1)</f>
        <v>0</v>
      </c>
      <c r="K431" s="20" t="str">
        <f aca="false">IF($J431=0,"",SUM($J$420:$J431))</f>
        <v/>
      </c>
      <c r="L431" s="20" t="str">
        <f aca="false">IF($K431="","",$A431*100+$K431)</f>
        <v/>
      </c>
      <c r="M431" s="48" t="str">
        <f aca="false">参数!$B$3</f>
        <v>7月收入</v>
      </c>
    </row>
    <row r="432" customFormat="false" ht="13.5" hidden="false" customHeight="false" outlineLevel="0" collapsed="false">
      <c r="A432" s="47" t="n">
        <v>20</v>
      </c>
      <c r="B432" s="38" t="n">
        <f aca="false">助手收入!$B21</f>
        <v>2026</v>
      </c>
      <c r="C432" s="48" t="str">
        <f aca="false">助手收入!$C21</f>
        <v>彭村店</v>
      </c>
      <c r="D432" s="48" t="str">
        <f aca="false">科目对照收入!$B14&amp;""</f>
        <v>小镇外卖</v>
      </c>
      <c r="E432" s="48" t="str">
        <f aca="false">IF(AND(ROUND($G432,2)&lt;0,科目对照收入!$L14&lt;&gt;""),科目对照收入!$L14,科目对照收入!$C14)&amp;""</f>
        <v>应收账款</v>
      </c>
      <c r="F432" s="48" t="str">
        <f aca="false">IF(AND(ROUND($G432,2)&lt;0,科目对照收入!$L14&lt;&gt;""),科目对照收入!$M14,科目对照收入!$D14)&amp;""</f>
        <v>小镇外卖</v>
      </c>
      <c r="G432" s="49" t="n">
        <f aca="false">IF(COUNTIFS(输入平台!$A:$A,助手收入!$X21,输入平台!$B:$B,科目对照收入!$B14)&gt;0,ROUND(SUMIFS(输入平台!$C:$C,输入平台!$A:$A,助手收入!$X21,输入平台!$B:$B,科目对照收入!$B14),2),ROUND(海典汇总!$AC$22,2))</f>
        <v>0</v>
      </c>
      <c r="H432" s="49" t="str">
        <f aca="false">IF(ROUND($G432,2)&gt;0,ROUND($G432,2),"")</f>
        <v/>
      </c>
      <c r="I432" s="49" t="str">
        <f aca="false">IF(ROUND($G432,2)&lt;0,-ROUND($G432,2),"")</f>
        <v/>
      </c>
      <c r="J432" s="20" t="n">
        <f aca="false">IF(ROUND($G432,2)=0,0,1)</f>
        <v>0</v>
      </c>
      <c r="K432" s="20" t="str">
        <f aca="false">IF($J432=0,"",SUM($J$420:$J432))</f>
        <v/>
      </c>
      <c r="L432" s="20" t="str">
        <f aca="false">IF($K432="","",$A432*100+$K432)</f>
        <v/>
      </c>
      <c r="M432" s="48" t="str">
        <f aca="false">参数!$B$3</f>
        <v>7月收入</v>
      </c>
    </row>
    <row r="433" customFormat="false" ht="13.5" hidden="false" customHeight="false" outlineLevel="0" collapsed="false">
      <c r="A433" s="47" t="n">
        <v>20</v>
      </c>
      <c r="B433" s="38" t="n">
        <f aca="false">助手收入!$B21</f>
        <v>2026</v>
      </c>
      <c r="C433" s="48" t="str">
        <f aca="false">助手收入!$C21</f>
        <v>彭村店</v>
      </c>
      <c r="D433" s="48" t="str">
        <f aca="false">科目对照收入!$B15&amp;""</f>
        <v>OMS线上支付</v>
      </c>
      <c r="E433" s="48" t="str">
        <f aca="false">IF(AND(ROUND($G433,2)&lt;0,科目对照收入!$L15&lt;&gt;""),科目对照收入!$L15,科目对照收入!$C15)&amp;""</f>
        <v>应收账款</v>
      </c>
      <c r="F433" s="48" t="str">
        <f aca="false">IF(AND(ROUND($G433,2)&lt;0,科目对照收入!$L15&lt;&gt;""),科目对照收入!$M15,科目对照收入!$D15)&amp;""</f>
        <v>OMS线上</v>
      </c>
      <c r="G433" s="49" t="n">
        <f aca="false">IF(COUNTIFS(输入平台!$A:$A,助手收入!$X21,输入平台!$B:$B,科目对照收入!$B15)&gt;0,ROUND(SUMIFS(输入平台!$C:$C,输入平台!$A:$A,助手收入!$X21,输入平台!$B:$B,科目对照收入!$B15),2),ROUND(海典汇总!$L$22,2))</f>
        <v>0</v>
      </c>
      <c r="H433" s="49" t="str">
        <f aca="false">IF(ROUND($G433,2)&gt;0,ROUND($G433,2),"")</f>
        <v/>
      </c>
      <c r="I433" s="49" t="str">
        <f aca="false">IF(ROUND($G433,2)&lt;0,-ROUND($G433,2),"")</f>
        <v/>
      </c>
      <c r="J433" s="20" t="n">
        <f aca="false">IF(ROUND($G433,2)=0,0,1)</f>
        <v>0</v>
      </c>
      <c r="K433" s="20" t="str">
        <f aca="false">IF($J433=0,"",SUM($J$420:$J433))</f>
        <v/>
      </c>
      <c r="L433" s="20" t="str">
        <f aca="false">IF($K433="","",$A433*100+$K433)</f>
        <v/>
      </c>
      <c r="M433" s="48" t="str">
        <f aca="false">参数!$B$3</f>
        <v>7月收入</v>
      </c>
    </row>
    <row r="434" customFormat="false" ht="13.5" hidden="false" customHeight="false" outlineLevel="0" collapsed="false">
      <c r="A434" s="47" t="n">
        <v>20</v>
      </c>
      <c r="B434" s="38" t="n">
        <f aca="false">助手收入!$B21</f>
        <v>2026</v>
      </c>
      <c r="C434" s="48" t="str">
        <f aca="false">助手收入!$C21</f>
        <v>彭村店</v>
      </c>
      <c r="D434" s="48" t="str">
        <f aca="false">科目对照收入!$B16&amp;""</f>
        <v>平安药卡</v>
      </c>
      <c r="E434" s="48" t="str">
        <f aca="false">IF(AND(ROUND($G434,2)&lt;0,科目对照收入!$L16&lt;&gt;""),科目对照收入!$L16,科目对照收入!$C16)&amp;""</f>
        <v>应收账款</v>
      </c>
      <c r="F434" s="48" t="str">
        <f aca="false">IF(AND(ROUND($G434,2)&lt;0,科目对照收入!$L16&lt;&gt;""),科目对照收入!$M16,科目对照收入!$D16)&amp;""</f>
        <v>平安</v>
      </c>
      <c r="G434" s="49" t="n">
        <f aca="false">IF(COUNTIFS(输入平台!$A:$A,助手收入!$X21,输入平台!$B:$B,科目对照收入!$B16)&gt;0,ROUND(SUMIFS(输入平台!$C:$C,输入平台!$A:$A,助手收入!$X21,输入平台!$B:$B,科目对照收入!$B16),2),ROUND(海典汇总!$AB$22,2))</f>
        <v>0</v>
      </c>
      <c r="H434" s="49" t="str">
        <f aca="false">IF(ROUND($G434,2)&gt;0,ROUND($G434,2),"")</f>
        <v/>
      </c>
      <c r="I434" s="49" t="str">
        <f aca="false">IF(ROUND($G434,2)&lt;0,-ROUND($G434,2),"")</f>
        <v/>
      </c>
      <c r="J434" s="20" t="n">
        <f aca="false">IF(ROUND($G434,2)=0,0,1)</f>
        <v>0</v>
      </c>
      <c r="K434" s="20" t="str">
        <f aca="false">IF($J434=0,"",SUM($J$420:$J434))</f>
        <v/>
      </c>
      <c r="L434" s="20" t="str">
        <f aca="false">IF($K434="","",$A434*100+$K434)</f>
        <v/>
      </c>
      <c r="M434" s="48" t="str">
        <f aca="false">参数!$B$3</f>
        <v>7月收入</v>
      </c>
    </row>
    <row r="435" customFormat="false" ht="13.5" hidden="false" customHeight="false" outlineLevel="0" collapsed="false">
      <c r="A435" s="47" t="n">
        <v>20</v>
      </c>
      <c r="B435" s="38" t="n">
        <f aca="false">助手收入!$B21</f>
        <v>2026</v>
      </c>
      <c r="C435" s="48" t="str">
        <f aca="false">助手收入!$C21</f>
        <v>彭村店</v>
      </c>
      <c r="D435" s="48" t="str">
        <f aca="false">科目对照收入!$B17&amp;""</f>
        <v>储值卡</v>
      </c>
      <c r="E435" s="48" t="str">
        <f aca="false">IF(AND(ROUND($G435,2)&lt;0,科目对照收入!$L17&lt;&gt;""),科目对照收入!$L17,科目对照收入!$C17)&amp;""</f>
        <v>其他应收款</v>
      </c>
      <c r="F435" s="48" t="str">
        <f aca="false">IF(AND(ROUND($G435,2)&lt;0,科目对照收入!$L17&lt;&gt;""),科目对照收入!$M17,科目对照收入!$D17)&amp;""</f>
        <v>储值卡</v>
      </c>
      <c r="G435" s="49" t="n">
        <f aca="false">ROUND(海典汇总!$Q$22,2)</f>
        <v>0</v>
      </c>
      <c r="H435" s="49" t="str">
        <f aca="false">IF(ROUND($G435,2)&gt;0,ROUND($G435,2),"")</f>
        <v/>
      </c>
      <c r="I435" s="49" t="str">
        <f aca="false">IF(ROUND($G435,2)&lt;0,-ROUND($G435,2),"")</f>
        <v/>
      </c>
      <c r="J435" s="20" t="n">
        <f aca="false">IF(ROUND($G435,2)=0,0,1)</f>
        <v>0</v>
      </c>
      <c r="K435" s="20" t="str">
        <f aca="false">IF($J435=0,"",SUM($J$420:$J435))</f>
        <v/>
      </c>
      <c r="L435" s="20" t="str">
        <f aca="false">IF($K435="","",$A435*100+$K435)</f>
        <v/>
      </c>
      <c r="M435" s="48" t="str">
        <f aca="false">参数!$B$3</f>
        <v>7月收入</v>
      </c>
    </row>
    <row r="436" customFormat="false" ht="13.5" hidden="false" customHeight="false" outlineLevel="0" collapsed="false">
      <c r="A436" s="47" t="n">
        <v>20</v>
      </c>
      <c r="B436" s="38" t="n">
        <f aca="false">助手收入!$B21</f>
        <v>2026</v>
      </c>
      <c r="C436" s="48" t="str">
        <f aca="false">助手收入!$C21</f>
        <v>彭村店</v>
      </c>
      <c r="D436" s="48" t="str">
        <f aca="false">科目对照收入!$B18&amp;""</f>
        <v>会员零钱包</v>
      </c>
      <c r="E436" s="48" t="str">
        <f aca="false">IF(AND(ROUND($G436,2)&lt;0,科目对照收入!$L18&lt;&gt;""),科目对照收入!$L18,科目对照收入!$C18)&amp;""</f>
        <v>其他应付款</v>
      </c>
      <c r="F436" s="48" t="str">
        <f aca="false">IF(AND(ROUND($G436,2)&lt;0,科目对照收入!$L18&lt;&gt;""),科目对照收入!$M18,科目对照收入!$D18)&amp;""</f>
        <v>会员零钱包</v>
      </c>
      <c r="G436" s="49" t="n">
        <f aca="false">ROUND(海典汇总!$P$22,2)</f>
        <v>-0.2</v>
      </c>
      <c r="H436" s="49" t="str">
        <f aca="false">IF(ROUND($G436,2)&gt;0,ROUND($G436,2),"")</f>
        <v/>
      </c>
      <c r="I436" s="49" t="n">
        <f aca="false">IF(ROUND($G436,2)&lt;0,-ROUND($G436,2),"")</f>
        <v>0.2</v>
      </c>
      <c r="J436" s="20" t="n">
        <f aca="false">IF(ROUND($G436,2)=0,0,1)</f>
        <v>1</v>
      </c>
      <c r="K436" s="20" t="n">
        <f aca="false">IF($J436=0,"",SUM($J$420:$J436))</f>
        <v>4</v>
      </c>
      <c r="L436" s="20" t="n">
        <f aca="false">IF($K436="","",$A436*100+$K436)</f>
        <v>2004</v>
      </c>
      <c r="M436" s="48" t="str">
        <f aca="false">参数!$B$3</f>
        <v>7月收入</v>
      </c>
    </row>
    <row r="437" customFormat="false" ht="13.5" hidden="false" customHeight="false" outlineLevel="0" collapsed="false">
      <c r="A437" s="47" t="n">
        <v>20</v>
      </c>
      <c r="B437" s="38" t="n">
        <f aca="false">助手收入!$B21</f>
        <v>2026</v>
      </c>
      <c r="C437" s="48" t="str">
        <f aca="false">助手收入!$C21</f>
        <v>彭村店</v>
      </c>
      <c r="D437" s="48" t="str">
        <f aca="false">科目对照收入!$B19&amp;""</f>
        <v>促销费</v>
      </c>
      <c r="E437" s="48" t="str">
        <f aca="false">IF(AND(ROUND($G437,2)&lt;0,科目对照收入!$L19&lt;&gt;""),科目对照收入!$L19,科目对照收入!$C19)&amp;""</f>
        <v>销售费用</v>
      </c>
      <c r="F437" s="48" t="str">
        <f aca="false">IF(AND(ROUND($G437,2)&lt;0,科目对照收入!$L19&lt;&gt;""),科目对照收入!$M19,科目对照收入!$D19)&amp;""</f>
        <v>促销费</v>
      </c>
      <c r="G437" s="49" t="n">
        <f aca="false">ROUND(海典汇总!$U$22+海典汇总!$T$22+海典汇总!$S$22,2)</f>
        <v>841.3</v>
      </c>
      <c r="H437" s="49" t="n">
        <f aca="false">IF(ROUND($G437,2)&gt;0,ROUND($G437,2),"")</f>
        <v>841.3</v>
      </c>
      <c r="I437" s="49" t="str">
        <f aca="false">IF(ROUND($G437,2)&lt;0,-ROUND($G437,2),"")</f>
        <v/>
      </c>
      <c r="J437" s="20" t="n">
        <f aca="false">IF(ROUND($G437,2)=0,0,1)</f>
        <v>1</v>
      </c>
      <c r="K437" s="20" t="n">
        <f aca="false">IF($J437=0,"",SUM($J$420:$J437))</f>
        <v>5</v>
      </c>
      <c r="L437" s="20" t="n">
        <f aca="false">IF($K437="","",$A437*100+$K437)</f>
        <v>2005</v>
      </c>
      <c r="M437" s="48" t="str">
        <f aca="false">参数!$B$3</f>
        <v>7月收入</v>
      </c>
    </row>
    <row r="438" customFormat="false" ht="13.5" hidden="false" customHeight="false" outlineLevel="0" collapsed="false">
      <c r="A438" s="47" t="n">
        <v>20</v>
      </c>
      <c r="B438" s="38" t="n">
        <f aca="false">助手收入!$B21</f>
        <v>2026</v>
      </c>
      <c r="C438" s="48" t="str">
        <f aca="false">助手收入!$C21</f>
        <v>彭村店</v>
      </c>
      <c r="D438" s="48" t="str">
        <f aca="false">科目对照收入!$B20&amp;""</f>
        <v>积分</v>
      </c>
      <c r="E438" s="48" t="str">
        <f aca="false">IF(AND(ROUND($G438,2)&lt;0,科目对照收入!$L20&lt;&gt;""),科目对照收入!$L20,科目对照收入!$C20)&amp;""</f>
        <v>销售费用</v>
      </c>
      <c r="F438" s="48" t="str">
        <f aca="false">IF(AND(ROUND($G438,2)&lt;0,科目对照收入!$L20&lt;&gt;""),科目对照收入!$M20,科目对照收入!$D20)&amp;""</f>
        <v>积分</v>
      </c>
      <c r="G438" s="49" t="n">
        <f aca="false">ROUND(海典汇总!$R$22,2)</f>
        <v>0</v>
      </c>
      <c r="H438" s="49" t="str">
        <f aca="false">IF(ROUND($G438,2)&gt;0,ROUND($G438,2),"")</f>
        <v/>
      </c>
      <c r="I438" s="49" t="str">
        <f aca="false">IF(ROUND($G438,2)&lt;0,-ROUND($G438,2),"")</f>
        <v/>
      </c>
      <c r="J438" s="20" t="n">
        <f aca="false">IF(ROUND($G438,2)=0,0,1)</f>
        <v>0</v>
      </c>
      <c r="K438" s="20" t="str">
        <f aca="false">IF($J438=0,"",SUM($J$420:$J438))</f>
        <v/>
      </c>
      <c r="L438" s="20" t="str">
        <f aca="false">IF($K438="","",$A438*100+$K438)</f>
        <v/>
      </c>
      <c r="M438" s="48" t="str">
        <f aca="false">参数!$B$3</f>
        <v>7月收入</v>
      </c>
    </row>
    <row r="439" customFormat="false" ht="13.5" hidden="false" customHeight="false" outlineLevel="0" collapsed="false">
      <c r="A439" s="47" t="n">
        <v>20</v>
      </c>
      <c r="B439" s="38" t="n">
        <f aca="false">助手收入!$B21</f>
        <v>2026</v>
      </c>
      <c r="C439" s="48" t="str">
        <f aca="false">助手收入!$C21</f>
        <v>彭村店</v>
      </c>
      <c r="D439" s="48" t="str">
        <f aca="false">科目对照收入!$B21&amp;""</f>
        <v>手续费</v>
      </c>
      <c r="E439" s="48" t="str">
        <f aca="false">IF(AND(ROUND($G439,2)&lt;0,科目对照收入!$L21&lt;&gt;""),科目对照收入!$L21,科目对照收入!$C21)&amp;""</f>
        <v>财务费用</v>
      </c>
      <c r="F439" s="48" t="str">
        <f aca="false">IF(AND(ROUND($G439,2)&lt;0,科目对照收入!$L21&lt;&gt;""),科目对照收入!$M21,科目对照收入!$D21)&amp;""</f>
        <v>手续费</v>
      </c>
      <c r="G439" s="49" t="n">
        <f aca="false">ROUND(SUMIFS(输入聚合!$D:$D,输入聚合!$A:$A,助手收入!$X21),2)</f>
        <v>68.16</v>
      </c>
      <c r="H439" s="49" t="n">
        <f aca="false">IF(ROUND($G439,2)&gt;0,ROUND($G439,2),"")</f>
        <v>68.16</v>
      </c>
      <c r="I439" s="49" t="str">
        <f aca="false">IF(ROUND($G439,2)&lt;0,-ROUND($G439,2),"")</f>
        <v/>
      </c>
      <c r="J439" s="20" t="n">
        <f aca="false">IF(ROUND($G439,2)=0,0,1)</f>
        <v>1</v>
      </c>
      <c r="K439" s="20" t="n">
        <f aca="false">IF($J439=0,"",SUM($J$420:$J439))</f>
        <v>6</v>
      </c>
      <c r="L439" s="20" t="n">
        <f aca="false">IF($K439="","",$A439*100+$K439)</f>
        <v>2006</v>
      </c>
      <c r="M439" s="48" t="str">
        <f aca="false">参数!$B$3</f>
        <v>7月收入</v>
      </c>
    </row>
    <row r="440" customFormat="false" ht="13.5" hidden="false" customHeight="false" outlineLevel="0" collapsed="false">
      <c r="A440" s="47" t="n">
        <v>20</v>
      </c>
      <c r="B440" s="38" t="n">
        <f aca="false">助手收入!$B21</f>
        <v>2026</v>
      </c>
      <c r="C440" s="48" t="str">
        <f aca="false">助手收入!$C21</f>
        <v>彭村店</v>
      </c>
      <c r="D440" s="48" t="str">
        <f aca="false">科目对照收入!$B22&amp;""</f>
        <v>主营业务收入</v>
      </c>
      <c r="E440" s="48" t="str">
        <f aca="false">IF(AND(ROUND($G440,2)&lt;0,科目对照收入!$L22&lt;&gt;""),科目对照收入!$L22,科目对照收入!$C22)&amp;""</f>
        <v>主营业务收入</v>
      </c>
      <c r="F440" s="48" t="str">
        <f aca="false">IF(AND(ROUND($G440,2)&lt;0,科目对照收入!$L22&lt;&gt;""),科目对照收入!$M22,科目对照收入!$D22)&amp;""</f>
        <v/>
      </c>
      <c r="G440" s="49" t="n">
        <f aca="false">-ROUND(助手收入!$G21,2)</f>
        <v>-35245.7</v>
      </c>
      <c r="H440" s="49" t="str">
        <f aca="false">IF(ROUND($G440,2)&gt;0,ROUND($G440,2),"")</f>
        <v/>
      </c>
      <c r="I440" s="49" t="n">
        <f aca="false">IF(ROUND($G440,2)&lt;0,-ROUND($G440,2),"")</f>
        <v>35245.7</v>
      </c>
      <c r="J440" s="20" t="n">
        <f aca="false">IF(ROUND($G440,2)=0,0,1)</f>
        <v>1</v>
      </c>
      <c r="K440" s="20" t="n">
        <f aca="false">IF($J440=0,"",SUM($J$420:$J440))</f>
        <v>7</v>
      </c>
      <c r="L440" s="20" t="n">
        <f aca="false">IF($K440="","",$A440*100+$K440)</f>
        <v>2007</v>
      </c>
      <c r="M440" s="48" t="str">
        <f aca="false">参数!$B$3</f>
        <v>7月收入</v>
      </c>
    </row>
    <row r="441" customFormat="false" ht="13.5" hidden="false" customHeight="false" outlineLevel="0" collapsed="false">
      <c r="A441" s="47" t="n">
        <v>20</v>
      </c>
      <c r="B441" s="38" t="n">
        <f aca="false">助手收入!$B21</f>
        <v>2026</v>
      </c>
      <c r="C441" s="48" t="str">
        <f aca="false">助手收入!$C21</f>
        <v>彭村店</v>
      </c>
      <c r="D441" s="48" t="str">
        <f aca="false">科目对照收入!$B23&amp;""</f>
        <v>营业外收入</v>
      </c>
      <c r="E441" s="48" t="str">
        <f aca="false">IF(AND(ROUND($G441,2)&lt;0,科目对照收入!$L23&lt;&gt;""),科目对照收入!$L23,科目对照收入!$C23)&amp;""</f>
        <v>营业外收入</v>
      </c>
      <c r="F441" s="48" t="str">
        <f aca="false">IF(AND(ROUND($G441,2)&lt;0,科目对照收入!$L23&lt;&gt;""),科目对照收入!$M23,科目对照收入!$D23)&amp;""</f>
        <v/>
      </c>
      <c r="G441" s="49" t="n">
        <f aca="false">-ROUND(助手收入!$J21,2)</f>
        <v>-0</v>
      </c>
      <c r="H441" s="49" t="str">
        <f aca="false">IF(ROUND($G441,2)&gt;0,ROUND($G441,2),"")</f>
        <v/>
      </c>
      <c r="I441" s="49" t="str">
        <f aca="false">IF(ROUND($G441,2)&lt;0,-ROUND($G441,2),"")</f>
        <v/>
      </c>
      <c r="J441" s="20" t="n">
        <f aca="false">IF(ROUND($G441,2)=0,0,1)</f>
        <v>0</v>
      </c>
      <c r="K441" s="20" t="str">
        <f aca="false">IF($J441=0,"",SUM($J$420:$J441))</f>
        <v/>
      </c>
      <c r="L441" s="20" t="str">
        <f aca="false">IF($K441="","",$A441*100+$K441)</f>
        <v/>
      </c>
      <c r="M441" s="48" t="str">
        <f aca="false">参数!$B$3</f>
        <v>7月收入</v>
      </c>
    </row>
    <row r="442" customFormat="false" ht="13.5" hidden="false" customHeight="false" outlineLevel="0" collapsed="false">
      <c r="A442" s="47" t="n">
        <v>21</v>
      </c>
      <c r="B442" s="38" t="n">
        <f aca="false">助手收入!$B22</f>
        <v>2030</v>
      </c>
      <c r="C442" s="48" t="str">
        <f aca="false">助手收入!$C22</f>
        <v>南位店</v>
      </c>
      <c r="D442" s="48" t="str">
        <f aca="false">科目对照收入!$B2&amp;""</f>
        <v>库存现金</v>
      </c>
      <c r="E442" s="48" t="str">
        <f aca="false">IF(AND(ROUND($G442,2)&lt;0,科目对照收入!$L2&lt;&gt;""),科目对照收入!$L2,科目对照收入!$C2)&amp;""</f>
        <v>库存现金</v>
      </c>
      <c r="F442" s="48" t="str">
        <f aca="false">IF(AND(ROUND($G442,2)&lt;0,科目对照收入!$L2&lt;&gt;""),科目对照收入!$M2,科目对照收入!$D2)&amp;""</f>
        <v/>
      </c>
      <c r="G442" s="49" t="n">
        <f aca="false">助手收入!$I22</f>
        <v>10577.51</v>
      </c>
      <c r="H442" s="49" t="n">
        <f aca="false">IF(ROUND($G442,2)&gt;0,ROUND($G442,2),"")</f>
        <v>10577.51</v>
      </c>
      <c r="I442" s="49" t="str">
        <f aca="false">IF(ROUND($G442,2)&lt;0,-ROUND($G442,2),"")</f>
        <v/>
      </c>
      <c r="J442" s="20" t="n">
        <f aca="false">IF(ROUND($G442,2)=0,0,1)</f>
        <v>1</v>
      </c>
      <c r="K442" s="20" t="n">
        <f aca="false">IF($J442=0,"",SUM($J$442:$J442))</f>
        <v>1</v>
      </c>
      <c r="L442" s="20" t="n">
        <f aca="false">IF($K442="","",$A442*100+$K442)</f>
        <v>2101</v>
      </c>
      <c r="M442" s="48" t="str">
        <f aca="false">参数!$B$3</f>
        <v>7月收入</v>
      </c>
    </row>
    <row r="443" customFormat="false" ht="13.5" hidden="false" customHeight="false" outlineLevel="0" collapsed="false">
      <c r="A443" s="47" t="n">
        <v>21</v>
      </c>
      <c r="B443" s="38" t="n">
        <f aca="false">助手收入!$B22</f>
        <v>2030</v>
      </c>
      <c r="C443" s="48" t="str">
        <f aca="false">助手收入!$C22</f>
        <v>南位店</v>
      </c>
      <c r="D443" s="48" t="str">
        <f aca="false">科目对照收入!$B3&amp;""</f>
        <v>聚合支付</v>
      </c>
      <c r="E443" s="48" t="str">
        <f aca="false">IF(AND(ROUND($G443,2)&lt;0,科目对照收入!$L3&lt;&gt;""),科目对照收入!$L3,科目对照收入!$C3)&amp;""</f>
        <v>应收账款</v>
      </c>
      <c r="F443" s="48" t="str">
        <f aca="false">IF(AND(ROUND($G443,2)&lt;0,科目对照收入!$L3&lt;&gt;""),科目对照收入!$M3,科目对照收入!$D3)&amp;""</f>
        <v>聚合支付</v>
      </c>
      <c r="G443" s="49" t="n">
        <f aca="false">ROUND(SUMIFS(输入聚合!$C:$C,输入聚合!$A:$A,助手收入!$X22)-SUMIFS(输入聚合!$D:$D,输入聚合!$A:$A,助手收入!$X22),2)</f>
        <v>17014.43</v>
      </c>
      <c r="H443" s="49" t="n">
        <f aca="false">IF(ROUND($G443,2)&gt;0,ROUND($G443,2),"")</f>
        <v>17014.43</v>
      </c>
      <c r="I443" s="49" t="str">
        <f aca="false">IF(ROUND($G443,2)&lt;0,-ROUND($G443,2),"")</f>
        <v/>
      </c>
      <c r="J443" s="20" t="n">
        <f aca="false">IF(ROUND($G443,2)=0,0,1)</f>
        <v>1</v>
      </c>
      <c r="K443" s="20" t="n">
        <f aca="false">IF($J443=0,"",SUM($J$442:$J443))</f>
        <v>2</v>
      </c>
      <c r="L443" s="20" t="n">
        <f aca="false">IF($K443="","",$A443*100+$K443)</f>
        <v>2102</v>
      </c>
      <c r="M443" s="48" t="str">
        <f aca="false">参数!$B$3</f>
        <v>7月收入</v>
      </c>
    </row>
    <row r="444" customFormat="false" ht="13.5" hidden="false" customHeight="false" outlineLevel="0" collapsed="false">
      <c r="A444" s="47" t="n">
        <v>21</v>
      </c>
      <c r="B444" s="38" t="n">
        <f aca="false">助手收入!$B22</f>
        <v>2030</v>
      </c>
      <c r="C444" s="48" t="str">
        <f aca="false">助手收入!$C22</f>
        <v>南位店</v>
      </c>
      <c r="D444" s="48" t="str">
        <f aca="false">科目对照收入!$B4&amp;""</f>
        <v>医保</v>
      </c>
      <c r="E444" s="48" t="str">
        <f aca="false">IF(AND(ROUND($G444,2)&lt;0,科目对照收入!$L4&lt;&gt;""),科目对照收入!$L4,科目对照收入!$C4)&amp;""</f>
        <v>应收账款</v>
      </c>
      <c r="F444" s="48" t="str">
        <f aca="false">IF(AND(ROUND($G444,2)&lt;0,科目对照收入!$L4&lt;&gt;""),科目对照收入!$M4,科目对照收入!$D4)&amp;""</f>
        <v>医保</v>
      </c>
      <c r="G444" s="49" t="n">
        <f aca="false">IF(COUNTIFS(输入平台!$A:$A,助手收入!$X22,输入平台!$B:$B,科目对照收入!$B4)&gt;0,ROUND(SUMIFS(输入平台!$C:$C,输入平台!$A:$A,助手收入!$X22,输入平台!$B:$B,科目对照收入!$B4),2),ROUND(海典汇总!$F$23+海典汇总!$G$23,2))</f>
        <v>3761.34</v>
      </c>
      <c r="H444" s="49" t="n">
        <f aca="false">IF(ROUND($G444,2)&gt;0,ROUND($G444,2),"")</f>
        <v>3761.34</v>
      </c>
      <c r="I444" s="49" t="str">
        <f aca="false">IF(ROUND($G444,2)&lt;0,-ROUND($G444,2),"")</f>
        <v/>
      </c>
      <c r="J444" s="20" t="n">
        <f aca="false">IF(ROUND($G444,2)=0,0,1)</f>
        <v>1</v>
      </c>
      <c r="K444" s="20" t="n">
        <f aca="false">IF($J444=0,"",SUM($J$442:$J444))</f>
        <v>3</v>
      </c>
      <c r="L444" s="20" t="n">
        <f aca="false">IF($K444="","",$A444*100+$K444)</f>
        <v>2103</v>
      </c>
      <c r="M444" s="48" t="str">
        <f aca="false">参数!$B$3</f>
        <v>7月收入</v>
      </c>
    </row>
    <row r="445" customFormat="false" ht="13.5" hidden="false" customHeight="false" outlineLevel="0" collapsed="false">
      <c r="A445" s="47" t="n">
        <v>21</v>
      </c>
      <c r="B445" s="38" t="n">
        <f aca="false">助手收入!$B22</f>
        <v>2030</v>
      </c>
      <c r="C445" s="48" t="str">
        <f aca="false">助手收入!$C22</f>
        <v>南位店</v>
      </c>
      <c r="D445" s="48" t="str">
        <f aca="false">科目对照收入!$B5&amp;""</f>
        <v>健e卡</v>
      </c>
      <c r="E445" s="48" t="str">
        <f aca="false">IF(AND(ROUND($G445,2)&lt;0,科目对照收入!$L5&lt;&gt;""),科目对照收入!$L5,科目对照收入!$C5)&amp;""</f>
        <v>应收账款</v>
      </c>
      <c r="F445" s="48" t="str">
        <f aca="false">IF(AND(ROUND($G445,2)&lt;0,科目对照收入!$L5&lt;&gt;""),科目对照收入!$M5,科目对照收入!$D5)&amp;""</f>
        <v>健e卡</v>
      </c>
      <c r="G445" s="49" t="n">
        <f aca="false">IF(COUNTIFS(输入平台!$A:$A,助手收入!$X22,输入平台!$B:$B,科目对照收入!$B5)&gt;0,ROUND(SUMIFS(输入平台!$C:$C,输入平台!$A:$A,助手收入!$X22,输入平台!$B:$B,科目对照收入!$B5),2),ROUND(海典汇总!$H$23,2))</f>
        <v>0</v>
      </c>
      <c r="H445" s="49" t="str">
        <f aca="false">IF(ROUND($G445,2)&gt;0,ROUND($G445,2),"")</f>
        <v/>
      </c>
      <c r="I445" s="49" t="str">
        <f aca="false">IF(ROUND($G445,2)&lt;0,-ROUND($G445,2),"")</f>
        <v/>
      </c>
      <c r="J445" s="20" t="n">
        <f aca="false">IF(ROUND($G445,2)=0,0,1)</f>
        <v>0</v>
      </c>
      <c r="K445" s="20" t="str">
        <f aca="false">IF($J445=0,"",SUM($J$442:$J445))</f>
        <v/>
      </c>
      <c r="L445" s="20" t="str">
        <f aca="false">IF($K445="","",$A445*100+$K445)</f>
        <v/>
      </c>
      <c r="M445" s="48" t="str">
        <f aca="false">参数!$B$3</f>
        <v>7月收入</v>
      </c>
    </row>
    <row r="446" customFormat="false" ht="13.5" hidden="false" customHeight="false" outlineLevel="0" collapsed="false">
      <c r="A446" s="47" t="n">
        <v>21</v>
      </c>
      <c r="B446" s="38" t="n">
        <f aca="false">助手收入!$B22</f>
        <v>2030</v>
      </c>
      <c r="C446" s="48" t="str">
        <f aca="false">助手收入!$C22</f>
        <v>南位店</v>
      </c>
      <c r="D446" s="48" t="str">
        <f aca="false">科目对照收入!$B6&amp;""</f>
        <v>医卡通</v>
      </c>
      <c r="E446" s="48" t="str">
        <f aca="false">IF(AND(ROUND($G446,2)&lt;0,科目对照收入!$L6&lt;&gt;""),科目对照收入!$L6,科目对照收入!$C6)&amp;""</f>
        <v>应收账款</v>
      </c>
      <c r="F446" s="48" t="str">
        <f aca="false">IF(AND(ROUND($G446,2)&lt;0,科目对照收入!$L6&lt;&gt;""),科目对照收入!$M6,科目对照收入!$D6)&amp;""</f>
        <v>医卡通</v>
      </c>
      <c r="G446" s="49" t="n">
        <f aca="false">IF(COUNTIFS(输入平台!$A:$A,助手收入!$X22,输入平台!$B:$B,科目对照收入!$B6)&gt;0,ROUND(SUMIFS(输入平台!$C:$C,输入平台!$A:$A,助手收入!$X22,输入平台!$B:$B,科目对照收入!$B6),2),ROUND(海典汇总!$I$23,2))</f>
        <v>0</v>
      </c>
      <c r="H446" s="49" t="str">
        <f aca="false">IF(ROUND($G446,2)&gt;0,ROUND($G446,2),"")</f>
        <v/>
      </c>
      <c r="I446" s="49" t="str">
        <f aca="false">IF(ROUND($G446,2)&lt;0,-ROUND($G446,2),"")</f>
        <v/>
      </c>
      <c r="J446" s="20" t="n">
        <f aca="false">IF(ROUND($G446,2)=0,0,1)</f>
        <v>0</v>
      </c>
      <c r="K446" s="20" t="str">
        <f aca="false">IF($J446=0,"",SUM($J$442:$J446))</f>
        <v/>
      </c>
      <c r="L446" s="20" t="str">
        <f aca="false">IF($K446="","",$A446*100+$K446)</f>
        <v/>
      </c>
      <c r="M446" s="48" t="str">
        <f aca="false">参数!$B$3</f>
        <v>7月收入</v>
      </c>
    </row>
    <row r="447" customFormat="false" ht="13.5" hidden="false" customHeight="false" outlineLevel="0" collapsed="false">
      <c r="A447" s="47" t="n">
        <v>21</v>
      </c>
      <c r="B447" s="38" t="n">
        <f aca="false">助手收入!$B22</f>
        <v>2030</v>
      </c>
      <c r="C447" s="48" t="str">
        <f aca="false">助手收入!$C22</f>
        <v>南位店</v>
      </c>
      <c r="D447" s="48" t="str">
        <f aca="false">科目对照收入!$B7&amp;""</f>
        <v>企健网</v>
      </c>
      <c r="E447" s="48" t="str">
        <f aca="false">IF(AND(ROUND($G447,2)&lt;0,科目对照收入!$L7&lt;&gt;""),科目对照收入!$L7,科目对照收入!$C7)&amp;""</f>
        <v>应收账款</v>
      </c>
      <c r="F447" s="48" t="str">
        <f aca="false">IF(AND(ROUND($G447,2)&lt;0,科目对照收入!$L7&lt;&gt;""),科目对照收入!$M7,科目对照收入!$D7)&amp;""</f>
        <v>企健网</v>
      </c>
      <c r="G447" s="49" t="n">
        <f aca="false">IF(COUNTIFS(输入平台!$A:$A,助手收入!$X22,输入平台!$B:$B,科目对照收入!$B7)&gt;0,ROUND(SUMIFS(输入平台!$C:$C,输入平台!$A:$A,助手收入!$X22,输入平台!$B:$B,科目对照收入!$B7),2),ROUND(海典汇总!$J$23,2))</f>
        <v>0</v>
      </c>
      <c r="H447" s="49" t="str">
        <f aca="false">IF(ROUND($G447,2)&gt;0,ROUND($G447,2),"")</f>
        <v/>
      </c>
      <c r="I447" s="49" t="str">
        <f aca="false">IF(ROUND($G447,2)&lt;0,-ROUND($G447,2),"")</f>
        <v/>
      </c>
      <c r="J447" s="20" t="n">
        <f aca="false">IF(ROUND($G447,2)=0,0,1)</f>
        <v>0</v>
      </c>
      <c r="K447" s="20" t="str">
        <f aca="false">IF($J447=0,"",SUM($J$442:$J447))</f>
        <v/>
      </c>
      <c r="L447" s="20" t="str">
        <f aca="false">IF($K447="","",$A447*100+$K447)</f>
        <v/>
      </c>
      <c r="M447" s="48" t="str">
        <f aca="false">参数!$B$3</f>
        <v>7月收入</v>
      </c>
    </row>
    <row r="448" customFormat="false" ht="13.5" hidden="false" customHeight="false" outlineLevel="0" collapsed="false">
      <c r="A448" s="47" t="n">
        <v>21</v>
      </c>
      <c r="B448" s="38" t="n">
        <f aca="false">助手收入!$B22</f>
        <v>2030</v>
      </c>
      <c r="C448" s="48" t="str">
        <f aca="false">助手收入!$C22</f>
        <v>南位店</v>
      </c>
      <c r="D448" s="48" t="str">
        <f aca="false">科目对照收入!$B8&amp;""</f>
        <v>亲情卡</v>
      </c>
      <c r="E448" s="48" t="str">
        <f aca="false">IF(AND(ROUND($G448,2)&lt;0,科目对照收入!$L8&lt;&gt;""),科目对照收入!$L8,科目对照收入!$C8)&amp;""</f>
        <v>应收账款</v>
      </c>
      <c r="F448" s="48" t="str">
        <f aca="false">IF(AND(ROUND($G448,2)&lt;0,科目对照收入!$L8&lt;&gt;""),科目对照收入!$M8,科目对照收入!$D8)&amp;""</f>
        <v>亲情卡</v>
      </c>
      <c r="G448" s="49" t="n">
        <f aca="false">IF(COUNTIFS(输入平台!$A:$A,助手收入!$X22,输入平台!$B:$B,科目对照收入!$B8)&gt;0,ROUND(SUMIFS(输入平台!$C:$C,输入平台!$A:$A,助手收入!$X22,输入平台!$B:$B,科目对照收入!$B8),2),ROUND(海典汇总!$Z$23,2))</f>
        <v>0</v>
      </c>
      <c r="H448" s="49" t="str">
        <f aca="false">IF(ROUND($G448,2)&gt;0,ROUND($G448,2),"")</f>
        <v/>
      </c>
      <c r="I448" s="49" t="str">
        <f aca="false">IF(ROUND($G448,2)&lt;0,-ROUND($G448,2),"")</f>
        <v/>
      </c>
      <c r="J448" s="20" t="n">
        <f aca="false">IF(ROUND($G448,2)=0,0,1)</f>
        <v>0</v>
      </c>
      <c r="K448" s="20" t="str">
        <f aca="false">IF($J448=0,"",SUM($J$442:$J448))</f>
        <v/>
      </c>
      <c r="L448" s="20" t="str">
        <f aca="false">IF($K448="","",$A448*100+$K448)</f>
        <v/>
      </c>
      <c r="M448" s="48" t="str">
        <f aca="false">参数!$B$3</f>
        <v>7月收入</v>
      </c>
    </row>
    <row r="449" customFormat="false" ht="13.5" hidden="false" customHeight="false" outlineLevel="0" collapsed="false">
      <c r="A449" s="47" t="n">
        <v>21</v>
      </c>
      <c r="B449" s="38" t="n">
        <f aca="false">助手收入!$B22</f>
        <v>2030</v>
      </c>
      <c r="C449" s="48" t="str">
        <f aca="false">助手收入!$C22</f>
        <v>南位店</v>
      </c>
      <c r="D449" s="48" t="str">
        <f aca="false">科目对照收入!$B9&amp;""</f>
        <v>24小时</v>
      </c>
      <c r="E449" s="48" t="str">
        <f aca="false">IF(AND(ROUND($G449,2)&lt;0,科目对照收入!$L9&lt;&gt;""),科目对照收入!$L9,科目对照收入!$C9)&amp;""</f>
        <v>应收账款</v>
      </c>
      <c r="F449" s="48" t="str">
        <f aca="false">IF(AND(ROUND($G449,2)&lt;0,科目对照收入!$L9&lt;&gt;""),科目对照收入!$M9,科目对照收入!$D9)&amp;""</f>
        <v>24小时</v>
      </c>
      <c r="G449" s="49" t="n">
        <f aca="false">IF(COUNTIFS(输入平台!$A:$A,助手收入!$X22,输入平台!$B:$B,科目对照收入!$B9)&gt;0,ROUND(SUMIFS(输入平台!$C:$C,输入平台!$A:$A,助手收入!$X22,输入平台!$B:$B,科目对照收入!$B9),2),ROUND(海典汇总!$K$23,2))</f>
        <v>0</v>
      </c>
      <c r="H449" s="49" t="str">
        <f aca="false">IF(ROUND($G449,2)&gt;0,ROUND($G449,2),"")</f>
        <v/>
      </c>
      <c r="I449" s="49" t="str">
        <f aca="false">IF(ROUND($G449,2)&lt;0,-ROUND($G449,2),"")</f>
        <v/>
      </c>
      <c r="J449" s="20" t="n">
        <f aca="false">IF(ROUND($G449,2)=0,0,1)</f>
        <v>0</v>
      </c>
      <c r="K449" s="20" t="str">
        <f aca="false">IF($J449=0,"",SUM($J$442:$J449))</f>
        <v/>
      </c>
      <c r="L449" s="20" t="str">
        <f aca="false">IF($K449="","",$A449*100+$K449)</f>
        <v/>
      </c>
      <c r="M449" s="48" t="str">
        <f aca="false">参数!$B$3</f>
        <v>7月收入</v>
      </c>
    </row>
    <row r="450" customFormat="false" ht="13.5" hidden="false" customHeight="false" outlineLevel="0" collapsed="false">
      <c r="A450" s="47" t="n">
        <v>21</v>
      </c>
      <c r="B450" s="38" t="n">
        <f aca="false">助手收入!$B22</f>
        <v>2030</v>
      </c>
      <c r="C450" s="48" t="str">
        <f aca="false">助手收入!$C22</f>
        <v>南位店</v>
      </c>
      <c r="D450" s="48" t="str">
        <f aca="false">科目对照收入!$B10&amp;""</f>
        <v>美团</v>
      </c>
      <c r="E450" s="48" t="str">
        <f aca="false">IF(AND(ROUND($G450,2)&lt;0,科目对照收入!$L10&lt;&gt;""),科目对照收入!$L10,科目对照收入!$C10)&amp;""</f>
        <v>应收账款</v>
      </c>
      <c r="F450" s="48" t="str">
        <f aca="false">IF(AND(ROUND($G450,2)&lt;0,科目对照收入!$L10&lt;&gt;""),科目对照收入!$M10,科目对照收入!$D10)&amp;""</f>
        <v>美团</v>
      </c>
      <c r="G450" s="49" t="n">
        <f aca="false">IF(COUNTIFS(输入平台!$A:$A,助手收入!$X22,输入平台!$B:$B,科目对照收入!$B10)&gt;0,ROUND(SUMIFS(输入平台!$C:$C,输入平台!$A:$A,助手收入!$X22,输入平台!$B:$B,科目对照收入!$B10),2),ROUND(海典汇总!$M$23,2))</f>
        <v>0</v>
      </c>
      <c r="H450" s="49" t="str">
        <f aca="false">IF(ROUND($G450,2)&gt;0,ROUND($G450,2),"")</f>
        <v/>
      </c>
      <c r="I450" s="49" t="str">
        <f aca="false">IF(ROUND($G450,2)&lt;0,-ROUND($G450,2),"")</f>
        <v/>
      </c>
      <c r="J450" s="20" t="n">
        <f aca="false">IF(ROUND($G450,2)=0,0,1)</f>
        <v>0</v>
      </c>
      <c r="K450" s="20" t="str">
        <f aca="false">IF($J450=0,"",SUM($J$442:$J450))</f>
        <v/>
      </c>
      <c r="L450" s="20" t="str">
        <f aca="false">IF($K450="","",$A450*100+$K450)</f>
        <v/>
      </c>
      <c r="M450" s="48" t="str">
        <f aca="false">参数!$B$3</f>
        <v>7月收入</v>
      </c>
    </row>
    <row r="451" customFormat="false" ht="13.5" hidden="false" customHeight="false" outlineLevel="0" collapsed="false">
      <c r="A451" s="47" t="n">
        <v>21</v>
      </c>
      <c r="B451" s="38" t="n">
        <f aca="false">助手收入!$B22</f>
        <v>2030</v>
      </c>
      <c r="C451" s="48" t="str">
        <f aca="false">助手收入!$C22</f>
        <v>南位店</v>
      </c>
      <c r="D451" s="48" t="str">
        <f aca="false">科目对照收入!$B11&amp;""</f>
        <v>饿了么</v>
      </c>
      <c r="E451" s="48" t="str">
        <f aca="false">IF(AND(ROUND($G451,2)&lt;0,科目对照收入!$L11&lt;&gt;""),科目对照收入!$L11,科目对照收入!$C11)&amp;""</f>
        <v>应收账款</v>
      </c>
      <c r="F451" s="48" t="str">
        <f aca="false">IF(AND(ROUND($G451,2)&lt;0,科目对照收入!$L11&lt;&gt;""),科目对照收入!$M11,科目对照收入!$D11)&amp;""</f>
        <v>饿了么</v>
      </c>
      <c r="G451" s="49" t="n">
        <f aca="false">IF(COUNTIFS(输入平台!$A:$A,助手收入!$X22,输入平台!$B:$B,科目对照收入!$B11)&gt;0,ROUND(SUMIFS(输入平台!$C:$C,输入平台!$A:$A,助手收入!$X22,输入平台!$B:$B,科目对照收入!$B11),2),ROUND(海典汇总!$N$23,2))</f>
        <v>0</v>
      </c>
      <c r="H451" s="49" t="str">
        <f aca="false">IF(ROUND($G451,2)&gt;0,ROUND($G451,2),"")</f>
        <v/>
      </c>
      <c r="I451" s="49" t="str">
        <f aca="false">IF(ROUND($G451,2)&lt;0,-ROUND($G451,2),"")</f>
        <v/>
      </c>
      <c r="J451" s="20" t="n">
        <f aca="false">IF(ROUND($G451,2)=0,0,1)</f>
        <v>0</v>
      </c>
      <c r="K451" s="20" t="str">
        <f aca="false">IF($J451=0,"",SUM($J$442:$J451))</f>
        <v/>
      </c>
      <c r="L451" s="20" t="str">
        <f aca="false">IF($K451="","",$A451*100+$K451)</f>
        <v/>
      </c>
      <c r="M451" s="48" t="str">
        <f aca="false">参数!$B$3</f>
        <v>7月收入</v>
      </c>
    </row>
    <row r="452" customFormat="false" ht="13.5" hidden="false" customHeight="false" outlineLevel="0" collapsed="false">
      <c r="A452" s="47" t="n">
        <v>21</v>
      </c>
      <c r="B452" s="38" t="n">
        <f aca="false">助手收入!$B22</f>
        <v>2030</v>
      </c>
      <c r="C452" s="48" t="str">
        <f aca="false">助手收入!$C22</f>
        <v>南位店</v>
      </c>
      <c r="D452" s="48" t="str">
        <f aca="false">科目对照收入!$B12&amp;""</f>
        <v>京东秒送</v>
      </c>
      <c r="E452" s="48" t="str">
        <f aca="false">IF(AND(ROUND($G452,2)&lt;0,科目对照收入!$L12&lt;&gt;""),科目对照收入!$L12,科目对照收入!$C12)&amp;""</f>
        <v>应收账款</v>
      </c>
      <c r="F452" s="48" t="str">
        <f aca="false">IF(AND(ROUND($G452,2)&lt;0,科目对照收入!$L12&lt;&gt;""),科目对照收入!$M12,科目对照收入!$D12)&amp;""</f>
        <v>京东秒送</v>
      </c>
      <c r="G452" s="49" t="n">
        <f aca="false">IF(COUNTIFS(输入平台!$A:$A,助手收入!$X22,输入平台!$B:$B,科目对照收入!$B12)&gt;0,ROUND(SUMIFS(输入平台!$C:$C,输入平台!$A:$A,助手收入!$X22,输入平台!$B:$B,科目对照收入!$B12),2),ROUND(海典汇总!$O$23,2))</f>
        <v>0</v>
      </c>
      <c r="H452" s="49" t="str">
        <f aca="false">IF(ROUND($G452,2)&gt;0,ROUND($G452,2),"")</f>
        <v/>
      </c>
      <c r="I452" s="49" t="str">
        <f aca="false">IF(ROUND($G452,2)&lt;0,-ROUND($G452,2),"")</f>
        <v/>
      </c>
      <c r="J452" s="20" t="n">
        <f aca="false">IF(ROUND($G452,2)=0,0,1)</f>
        <v>0</v>
      </c>
      <c r="K452" s="20" t="str">
        <f aca="false">IF($J452=0,"",SUM($J$442:$J452))</f>
        <v/>
      </c>
      <c r="L452" s="20" t="str">
        <f aca="false">IF($K452="","",$A452*100+$K452)</f>
        <v/>
      </c>
      <c r="M452" s="48" t="str">
        <f aca="false">参数!$B$3</f>
        <v>7月收入</v>
      </c>
    </row>
    <row r="453" customFormat="false" ht="13.5" hidden="false" customHeight="false" outlineLevel="0" collapsed="false">
      <c r="A453" s="47" t="n">
        <v>21</v>
      </c>
      <c r="B453" s="38" t="n">
        <f aca="false">助手收入!$B22</f>
        <v>2030</v>
      </c>
      <c r="C453" s="48" t="str">
        <f aca="false">助手收入!$C22</f>
        <v>南位店</v>
      </c>
      <c r="D453" s="48" t="str">
        <f aca="false">科目对照收入!$B13&amp;""</f>
        <v>银联</v>
      </c>
      <c r="E453" s="48" t="str">
        <f aca="false">IF(AND(ROUND($G453,2)&lt;0,科目对照收入!$L13&lt;&gt;""),科目对照收入!$L13,科目对照收入!$C13)&amp;""</f>
        <v>应收账款</v>
      </c>
      <c r="F453" s="48" t="str">
        <f aca="false">IF(AND(ROUND($G453,2)&lt;0,科目对照收入!$L13&lt;&gt;""),科目对照收入!$M13,科目对照收入!$D13)&amp;""</f>
        <v>银联</v>
      </c>
      <c r="G453" s="49" t="n">
        <f aca="false">IF(COUNTIFS(输入平台!$A:$A,助手收入!$X22,输入平台!$B:$B,科目对照收入!$B13)&gt;0,ROUND(SUMIFS(输入平台!$C:$C,输入平台!$A:$A,助手收入!$X22,输入平台!$B:$B,科目对照收入!$B13),2),ROUND(海典汇总!$V$23,2))</f>
        <v>0</v>
      </c>
      <c r="H453" s="49" t="str">
        <f aca="false">IF(ROUND($G453,2)&gt;0,ROUND($G453,2),"")</f>
        <v/>
      </c>
      <c r="I453" s="49" t="str">
        <f aca="false">IF(ROUND($G453,2)&lt;0,-ROUND($G453,2),"")</f>
        <v/>
      </c>
      <c r="J453" s="20" t="n">
        <f aca="false">IF(ROUND($G453,2)=0,0,1)</f>
        <v>0</v>
      </c>
      <c r="K453" s="20" t="str">
        <f aca="false">IF($J453=0,"",SUM($J$442:$J453))</f>
        <v/>
      </c>
      <c r="L453" s="20" t="str">
        <f aca="false">IF($K453="","",$A453*100+$K453)</f>
        <v/>
      </c>
      <c r="M453" s="48" t="str">
        <f aca="false">参数!$B$3</f>
        <v>7月收入</v>
      </c>
    </row>
    <row r="454" customFormat="false" ht="13.5" hidden="false" customHeight="false" outlineLevel="0" collapsed="false">
      <c r="A454" s="47" t="n">
        <v>21</v>
      </c>
      <c r="B454" s="38" t="n">
        <f aca="false">助手收入!$B22</f>
        <v>2030</v>
      </c>
      <c r="C454" s="48" t="str">
        <f aca="false">助手收入!$C22</f>
        <v>南位店</v>
      </c>
      <c r="D454" s="48" t="str">
        <f aca="false">科目对照收入!$B14&amp;""</f>
        <v>小镇外卖</v>
      </c>
      <c r="E454" s="48" t="str">
        <f aca="false">IF(AND(ROUND($G454,2)&lt;0,科目对照收入!$L14&lt;&gt;""),科目对照收入!$L14,科目对照收入!$C14)&amp;""</f>
        <v>应收账款</v>
      </c>
      <c r="F454" s="48" t="str">
        <f aca="false">IF(AND(ROUND($G454,2)&lt;0,科目对照收入!$L14&lt;&gt;""),科目对照收入!$M14,科目对照收入!$D14)&amp;""</f>
        <v>小镇外卖</v>
      </c>
      <c r="G454" s="49" t="n">
        <f aca="false">IF(COUNTIFS(输入平台!$A:$A,助手收入!$X22,输入平台!$B:$B,科目对照收入!$B14)&gt;0,ROUND(SUMIFS(输入平台!$C:$C,输入平台!$A:$A,助手收入!$X22,输入平台!$B:$B,科目对照收入!$B14),2),ROUND(海典汇总!$AC$23,2))</f>
        <v>0</v>
      </c>
      <c r="H454" s="49" t="str">
        <f aca="false">IF(ROUND($G454,2)&gt;0,ROUND($G454,2),"")</f>
        <v/>
      </c>
      <c r="I454" s="49" t="str">
        <f aca="false">IF(ROUND($G454,2)&lt;0,-ROUND($G454,2),"")</f>
        <v/>
      </c>
      <c r="J454" s="20" t="n">
        <f aca="false">IF(ROUND($G454,2)=0,0,1)</f>
        <v>0</v>
      </c>
      <c r="K454" s="20" t="str">
        <f aca="false">IF($J454=0,"",SUM($J$442:$J454))</f>
        <v/>
      </c>
      <c r="L454" s="20" t="str">
        <f aca="false">IF($K454="","",$A454*100+$K454)</f>
        <v/>
      </c>
      <c r="M454" s="48" t="str">
        <f aca="false">参数!$B$3</f>
        <v>7月收入</v>
      </c>
    </row>
    <row r="455" customFormat="false" ht="13.5" hidden="false" customHeight="false" outlineLevel="0" collapsed="false">
      <c r="A455" s="47" t="n">
        <v>21</v>
      </c>
      <c r="B455" s="38" t="n">
        <f aca="false">助手收入!$B22</f>
        <v>2030</v>
      </c>
      <c r="C455" s="48" t="str">
        <f aca="false">助手收入!$C22</f>
        <v>南位店</v>
      </c>
      <c r="D455" s="48" t="str">
        <f aca="false">科目对照收入!$B15&amp;""</f>
        <v>OMS线上支付</v>
      </c>
      <c r="E455" s="48" t="str">
        <f aca="false">IF(AND(ROUND($G455,2)&lt;0,科目对照收入!$L15&lt;&gt;""),科目对照收入!$L15,科目对照收入!$C15)&amp;""</f>
        <v>应收账款</v>
      </c>
      <c r="F455" s="48" t="str">
        <f aca="false">IF(AND(ROUND($G455,2)&lt;0,科目对照收入!$L15&lt;&gt;""),科目对照收入!$M15,科目对照收入!$D15)&amp;""</f>
        <v>OMS线上</v>
      </c>
      <c r="G455" s="49" t="n">
        <f aca="false">IF(COUNTIFS(输入平台!$A:$A,助手收入!$X22,输入平台!$B:$B,科目对照收入!$B15)&gt;0,ROUND(SUMIFS(输入平台!$C:$C,输入平台!$A:$A,助手收入!$X22,输入平台!$B:$B,科目对照收入!$B15),2),ROUND(海典汇总!$L$23,2))</f>
        <v>0</v>
      </c>
      <c r="H455" s="49" t="str">
        <f aca="false">IF(ROUND($G455,2)&gt;0,ROUND($G455,2),"")</f>
        <v/>
      </c>
      <c r="I455" s="49" t="str">
        <f aca="false">IF(ROUND($G455,2)&lt;0,-ROUND($G455,2),"")</f>
        <v/>
      </c>
      <c r="J455" s="20" t="n">
        <f aca="false">IF(ROUND($G455,2)=0,0,1)</f>
        <v>0</v>
      </c>
      <c r="K455" s="20" t="str">
        <f aca="false">IF($J455=0,"",SUM($J$442:$J455))</f>
        <v/>
      </c>
      <c r="L455" s="20" t="str">
        <f aca="false">IF($K455="","",$A455*100+$K455)</f>
        <v/>
      </c>
      <c r="M455" s="48" t="str">
        <f aca="false">参数!$B$3</f>
        <v>7月收入</v>
      </c>
    </row>
    <row r="456" customFormat="false" ht="13.5" hidden="false" customHeight="false" outlineLevel="0" collapsed="false">
      <c r="A456" s="47" t="n">
        <v>21</v>
      </c>
      <c r="B456" s="38" t="n">
        <f aca="false">助手收入!$B22</f>
        <v>2030</v>
      </c>
      <c r="C456" s="48" t="str">
        <f aca="false">助手收入!$C22</f>
        <v>南位店</v>
      </c>
      <c r="D456" s="48" t="str">
        <f aca="false">科目对照收入!$B16&amp;""</f>
        <v>平安药卡</v>
      </c>
      <c r="E456" s="48" t="str">
        <f aca="false">IF(AND(ROUND($G456,2)&lt;0,科目对照收入!$L16&lt;&gt;""),科目对照收入!$L16,科目对照收入!$C16)&amp;""</f>
        <v>应收账款</v>
      </c>
      <c r="F456" s="48" t="str">
        <f aca="false">IF(AND(ROUND($G456,2)&lt;0,科目对照收入!$L16&lt;&gt;""),科目对照收入!$M16,科目对照收入!$D16)&amp;""</f>
        <v>平安</v>
      </c>
      <c r="G456" s="49" t="n">
        <f aca="false">IF(COUNTIFS(输入平台!$A:$A,助手收入!$X22,输入平台!$B:$B,科目对照收入!$B16)&gt;0,ROUND(SUMIFS(输入平台!$C:$C,输入平台!$A:$A,助手收入!$X22,输入平台!$B:$B,科目对照收入!$B16),2),ROUND(海典汇总!$AB$23,2))</f>
        <v>0</v>
      </c>
      <c r="H456" s="49" t="str">
        <f aca="false">IF(ROUND($G456,2)&gt;0,ROUND($G456,2),"")</f>
        <v/>
      </c>
      <c r="I456" s="49" t="str">
        <f aca="false">IF(ROUND($G456,2)&lt;0,-ROUND($G456,2),"")</f>
        <v/>
      </c>
      <c r="J456" s="20" t="n">
        <f aca="false">IF(ROUND($G456,2)=0,0,1)</f>
        <v>0</v>
      </c>
      <c r="K456" s="20" t="str">
        <f aca="false">IF($J456=0,"",SUM($J$442:$J456))</f>
        <v/>
      </c>
      <c r="L456" s="20" t="str">
        <f aca="false">IF($K456="","",$A456*100+$K456)</f>
        <v/>
      </c>
      <c r="M456" s="48" t="str">
        <f aca="false">参数!$B$3</f>
        <v>7月收入</v>
      </c>
    </row>
    <row r="457" customFormat="false" ht="13.5" hidden="false" customHeight="false" outlineLevel="0" collapsed="false">
      <c r="A457" s="47" t="n">
        <v>21</v>
      </c>
      <c r="B457" s="38" t="n">
        <f aca="false">助手收入!$B22</f>
        <v>2030</v>
      </c>
      <c r="C457" s="48" t="str">
        <f aca="false">助手收入!$C22</f>
        <v>南位店</v>
      </c>
      <c r="D457" s="48" t="str">
        <f aca="false">科目对照收入!$B17&amp;""</f>
        <v>储值卡</v>
      </c>
      <c r="E457" s="48" t="str">
        <f aca="false">IF(AND(ROUND($G457,2)&lt;0,科目对照收入!$L17&lt;&gt;""),科目对照收入!$L17,科目对照收入!$C17)&amp;""</f>
        <v>其他应收款</v>
      </c>
      <c r="F457" s="48" t="str">
        <f aca="false">IF(AND(ROUND($G457,2)&lt;0,科目对照收入!$L17&lt;&gt;""),科目对照收入!$M17,科目对照收入!$D17)&amp;""</f>
        <v>储值卡</v>
      </c>
      <c r="G457" s="49" t="n">
        <f aca="false">ROUND(海典汇总!$Q$23,2)</f>
        <v>16.5</v>
      </c>
      <c r="H457" s="49" t="n">
        <f aca="false">IF(ROUND($G457,2)&gt;0,ROUND($G457,2),"")</f>
        <v>16.5</v>
      </c>
      <c r="I457" s="49" t="str">
        <f aca="false">IF(ROUND($G457,2)&lt;0,-ROUND($G457,2),"")</f>
        <v/>
      </c>
      <c r="J457" s="20" t="n">
        <f aca="false">IF(ROUND($G457,2)=0,0,1)</f>
        <v>1</v>
      </c>
      <c r="K457" s="20" t="n">
        <f aca="false">IF($J457=0,"",SUM($J$442:$J457))</f>
        <v>4</v>
      </c>
      <c r="L457" s="20" t="n">
        <f aca="false">IF($K457="","",$A457*100+$K457)</f>
        <v>2104</v>
      </c>
      <c r="M457" s="48" t="str">
        <f aca="false">参数!$B$3</f>
        <v>7月收入</v>
      </c>
    </row>
    <row r="458" customFormat="false" ht="13.5" hidden="false" customHeight="false" outlineLevel="0" collapsed="false">
      <c r="A458" s="47" t="n">
        <v>21</v>
      </c>
      <c r="B458" s="38" t="n">
        <f aca="false">助手收入!$B22</f>
        <v>2030</v>
      </c>
      <c r="C458" s="48" t="str">
        <f aca="false">助手收入!$C22</f>
        <v>南位店</v>
      </c>
      <c r="D458" s="48" t="str">
        <f aca="false">科目对照收入!$B18&amp;""</f>
        <v>会员零钱包</v>
      </c>
      <c r="E458" s="48" t="str">
        <f aca="false">IF(AND(ROUND($G458,2)&lt;0,科目对照收入!$L18&lt;&gt;""),科目对照收入!$L18,科目对照收入!$C18)&amp;""</f>
        <v>其他应付款</v>
      </c>
      <c r="F458" s="48" t="str">
        <f aca="false">IF(AND(ROUND($G458,2)&lt;0,科目对照收入!$L18&lt;&gt;""),科目对照收入!$M18,科目对照收入!$D18)&amp;""</f>
        <v>会员零钱包</v>
      </c>
      <c r="G458" s="49" t="n">
        <f aca="false">ROUND(海典汇总!$P$23,2)</f>
        <v>-0.7</v>
      </c>
      <c r="H458" s="49" t="str">
        <f aca="false">IF(ROUND($G458,2)&gt;0,ROUND($G458,2),"")</f>
        <v/>
      </c>
      <c r="I458" s="49" t="n">
        <f aca="false">IF(ROUND($G458,2)&lt;0,-ROUND($G458,2),"")</f>
        <v>0.7</v>
      </c>
      <c r="J458" s="20" t="n">
        <f aca="false">IF(ROUND($G458,2)=0,0,1)</f>
        <v>1</v>
      </c>
      <c r="K458" s="20" t="n">
        <f aca="false">IF($J458=0,"",SUM($J$442:$J458))</f>
        <v>5</v>
      </c>
      <c r="L458" s="20" t="n">
        <f aca="false">IF($K458="","",$A458*100+$K458)</f>
        <v>2105</v>
      </c>
      <c r="M458" s="48" t="str">
        <f aca="false">参数!$B$3</f>
        <v>7月收入</v>
      </c>
    </row>
    <row r="459" customFormat="false" ht="13.5" hidden="false" customHeight="false" outlineLevel="0" collapsed="false">
      <c r="A459" s="47" t="n">
        <v>21</v>
      </c>
      <c r="B459" s="38" t="n">
        <f aca="false">助手收入!$B22</f>
        <v>2030</v>
      </c>
      <c r="C459" s="48" t="str">
        <f aca="false">助手收入!$C22</f>
        <v>南位店</v>
      </c>
      <c r="D459" s="48" t="str">
        <f aca="false">科目对照收入!$B19&amp;""</f>
        <v>促销费</v>
      </c>
      <c r="E459" s="48" t="str">
        <f aca="false">IF(AND(ROUND($G459,2)&lt;0,科目对照收入!$L19&lt;&gt;""),科目对照收入!$L19,科目对照收入!$C19)&amp;""</f>
        <v>销售费用</v>
      </c>
      <c r="F459" s="48" t="str">
        <f aca="false">IF(AND(ROUND($G459,2)&lt;0,科目对照收入!$L19&lt;&gt;""),科目对照收入!$M19,科目对照收入!$D19)&amp;""</f>
        <v>促销费</v>
      </c>
      <c r="G459" s="49" t="n">
        <f aca="false">ROUND(海典汇总!$U$23+海典汇总!$T$23+海典汇总!$S$23,2)</f>
        <v>462.91</v>
      </c>
      <c r="H459" s="49" t="n">
        <f aca="false">IF(ROUND($G459,2)&gt;0,ROUND($G459,2),"")</f>
        <v>462.91</v>
      </c>
      <c r="I459" s="49" t="str">
        <f aca="false">IF(ROUND($G459,2)&lt;0,-ROUND($G459,2),"")</f>
        <v/>
      </c>
      <c r="J459" s="20" t="n">
        <f aca="false">IF(ROUND($G459,2)=0,0,1)</f>
        <v>1</v>
      </c>
      <c r="K459" s="20" t="n">
        <f aca="false">IF($J459=0,"",SUM($J$442:$J459))</f>
        <v>6</v>
      </c>
      <c r="L459" s="20" t="n">
        <f aca="false">IF($K459="","",$A459*100+$K459)</f>
        <v>2106</v>
      </c>
      <c r="M459" s="48" t="str">
        <f aca="false">参数!$B$3</f>
        <v>7月收入</v>
      </c>
    </row>
    <row r="460" customFormat="false" ht="13.5" hidden="false" customHeight="false" outlineLevel="0" collapsed="false">
      <c r="A460" s="47" t="n">
        <v>21</v>
      </c>
      <c r="B460" s="38" t="n">
        <f aca="false">助手收入!$B22</f>
        <v>2030</v>
      </c>
      <c r="C460" s="48" t="str">
        <f aca="false">助手收入!$C22</f>
        <v>南位店</v>
      </c>
      <c r="D460" s="48" t="str">
        <f aca="false">科目对照收入!$B20&amp;""</f>
        <v>积分</v>
      </c>
      <c r="E460" s="48" t="str">
        <f aca="false">IF(AND(ROUND($G460,2)&lt;0,科目对照收入!$L20&lt;&gt;""),科目对照收入!$L20,科目对照收入!$C20)&amp;""</f>
        <v>销售费用</v>
      </c>
      <c r="F460" s="48" t="str">
        <f aca="false">IF(AND(ROUND($G460,2)&lt;0,科目对照收入!$L20&lt;&gt;""),科目对照收入!$M20,科目对照收入!$D20)&amp;""</f>
        <v>积分</v>
      </c>
      <c r="G460" s="49" t="n">
        <f aca="false">ROUND(海典汇总!$R$23,2)</f>
        <v>0</v>
      </c>
      <c r="H460" s="49" t="str">
        <f aca="false">IF(ROUND($G460,2)&gt;0,ROUND($G460,2),"")</f>
        <v/>
      </c>
      <c r="I460" s="49" t="str">
        <f aca="false">IF(ROUND($G460,2)&lt;0,-ROUND($G460,2),"")</f>
        <v/>
      </c>
      <c r="J460" s="20" t="n">
        <f aca="false">IF(ROUND($G460,2)=0,0,1)</f>
        <v>0</v>
      </c>
      <c r="K460" s="20" t="str">
        <f aca="false">IF($J460=0,"",SUM($J$442:$J460))</f>
        <v/>
      </c>
      <c r="L460" s="20" t="str">
        <f aca="false">IF($K460="","",$A460*100+$K460)</f>
        <v/>
      </c>
      <c r="M460" s="48" t="str">
        <f aca="false">参数!$B$3</f>
        <v>7月收入</v>
      </c>
    </row>
    <row r="461" customFormat="false" ht="13.5" hidden="false" customHeight="false" outlineLevel="0" collapsed="false">
      <c r="A461" s="47" t="n">
        <v>21</v>
      </c>
      <c r="B461" s="38" t="n">
        <f aca="false">助手收入!$B22</f>
        <v>2030</v>
      </c>
      <c r="C461" s="48" t="str">
        <f aca="false">助手收入!$C22</f>
        <v>南位店</v>
      </c>
      <c r="D461" s="48" t="str">
        <f aca="false">科目对照收入!$B21&amp;""</f>
        <v>手续费</v>
      </c>
      <c r="E461" s="48" t="str">
        <f aca="false">IF(AND(ROUND($G461,2)&lt;0,科目对照收入!$L21&lt;&gt;""),科目对照收入!$L21,科目对照收入!$C21)&amp;""</f>
        <v>财务费用</v>
      </c>
      <c r="F461" s="48" t="str">
        <f aca="false">IF(AND(ROUND($G461,2)&lt;0,科目对照收入!$L21&lt;&gt;""),科目对照收入!$M21,科目对照收入!$D21)&amp;""</f>
        <v>手续费</v>
      </c>
      <c r="G461" s="49" t="n">
        <f aca="false">ROUND(SUMIFS(输入聚合!$D:$D,输入聚合!$A:$A,助手收入!$X22),2)</f>
        <v>46.06</v>
      </c>
      <c r="H461" s="49" t="n">
        <f aca="false">IF(ROUND($G461,2)&gt;0,ROUND($G461,2),"")</f>
        <v>46.06</v>
      </c>
      <c r="I461" s="49" t="str">
        <f aca="false">IF(ROUND($G461,2)&lt;0,-ROUND($G461,2),"")</f>
        <v/>
      </c>
      <c r="J461" s="20" t="n">
        <f aca="false">IF(ROUND($G461,2)=0,0,1)</f>
        <v>1</v>
      </c>
      <c r="K461" s="20" t="n">
        <f aca="false">IF($J461=0,"",SUM($J$442:$J461))</f>
        <v>7</v>
      </c>
      <c r="L461" s="20" t="n">
        <f aca="false">IF($K461="","",$A461*100+$K461)</f>
        <v>2107</v>
      </c>
      <c r="M461" s="48" t="str">
        <f aca="false">参数!$B$3</f>
        <v>7月收入</v>
      </c>
    </row>
    <row r="462" customFormat="false" ht="13.5" hidden="false" customHeight="false" outlineLevel="0" collapsed="false">
      <c r="A462" s="47" t="n">
        <v>21</v>
      </c>
      <c r="B462" s="38" t="n">
        <f aca="false">助手收入!$B22</f>
        <v>2030</v>
      </c>
      <c r="C462" s="48" t="str">
        <f aca="false">助手收入!$C22</f>
        <v>南位店</v>
      </c>
      <c r="D462" s="48" t="str">
        <f aca="false">科目对照收入!$B22&amp;""</f>
        <v>主营业务收入</v>
      </c>
      <c r="E462" s="48" t="str">
        <f aca="false">IF(AND(ROUND($G462,2)&lt;0,科目对照收入!$L22&lt;&gt;""),科目对照收入!$L22,科目对照收入!$C22)&amp;""</f>
        <v>主营业务收入</v>
      </c>
      <c r="F462" s="48" t="str">
        <f aca="false">IF(AND(ROUND($G462,2)&lt;0,科目对照收入!$L22&lt;&gt;""),科目对照收入!$M22,科目对照收入!$D22)&amp;""</f>
        <v/>
      </c>
      <c r="G462" s="49" t="n">
        <f aca="false">-ROUND(助手收入!$G22,2)</f>
        <v>-31878.05</v>
      </c>
      <c r="H462" s="49" t="str">
        <f aca="false">IF(ROUND($G462,2)&gt;0,ROUND($G462,2),"")</f>
        <v/>
      </c>
      <c r="I462" s="49" t="n">
        <f aca="false">IF(ROUND($G462,2)&lt;0,-ROUND($G462,2),"")</f>
        <v>31878.05</v>
      </c>
      <c r="J462" s="20" t="n">
        <f aca="false">IF(ROUND($G462,2)=0,0,1)</f>
        <v>1</v>
      </c>
      <c r="K462" s="20" t="n">
        <f aca="false">IF($J462=0,"",SUM($J$442:$J462))</f>
        <v>8</v>
      </c>
      <c r="L462" s="20" t="n">
        <f aca="false">IF($K462="","",$A462*100+$K462)</f>
        <v>2108</v>
      </c>
      <c r="M462" s="48" t="str">
        <f aca="false">参数!$B$3</f>
        <v>7月收入</v>
      </c>
    </row>
    <row r="463" customFormat="false" ht="13.5" hidden="false" customHeight="false" outlineLevel="0" collapsed="false">
      <c r="A463" s="47" t="n">
        <v>21</v>
      </c>
      <c r="B463" s="38" t="n">
        <f aca="false">助手收入!$B22</f>
        <v>2030</v>
      </c>
      <c r="C463" s="48" t="str">
        <f aca="false">助手收入!$C22</f>
        <v>南位店</v>
      </c>
      <c r="D463" s="48" t="str">
        <f aca="false">科目对照收入!$B23&amp;""</f>
        <v>营业外收入</v>
      </c>
      <c r="E463" s="48" t="str">
        <f aca="false">IF(AND(ROUND($G463,2)&lt;0,科目对照收入!$L23&lt;&gt;""),科目对照收入!$L23,科目对照收入!$C23)&amp;""</f>
        <v>营业外收入</v>
      </c>
      <c r="F463" s="48" t="str">
        <f aca="false">IF(AND(ROUND($G463,2)&lt;0,科目对照收入!$L23&lt;&gt;""),科目对照收入!$M23,科目对照收入!$D23)&amp;""</f>
        <v/>
      </c>
      <c r="G463" s="49" t="n">
        <f aca="false">-ROUND(助手收入!$J22,2)</f>
        <v>-0</v>
      </c>
      <c r="H463" s="49" t="str">
        <f aca="false">IF(ROUND($G463,2)&gt;0,ROUND($G463,2),"")</f>
        <v/>
      </c>
      <c r="I463" s="49" t="str">
        <f aca="false">IF(ROUND($G463,2)&lt;0,-ROUND($G463,2),"")</f>
        <v/>
      </c>
      <c r="J463" s="20" t="n">
        <f aca="false">IF(ROUND($G463,2)=0,0,1)</f>
        <v>0</v>
      </c>
      <c r="K463" s="20" t="str">
        <f aca="false">IF($J463=0,"",SUM($J$442:$J463))</f>
        <v/>
      </c>
      <c r="L463" s="20" t="str">
        <f aca="false">IF($K463="","",$A463*100+$K463)</f>
        <v/>
      </c>
      <c r="M463" s="48" t="str">
        <f aca="false">参数!$B$3</f>
        <v>7月收入</v>
      </c>
    </row>
    <row r="464" customFormat="false" ht="13.5" hidden="false" customHeight="false" outlineLevel="0" collapsed="false">
      <c r="A464" s="47" t="n">
        <v>22</v>
      </c>
      <c r="B464" s="38" t="n">
        <f aca="false">助手收入!$B23</f>
        <v>2032</v>
      </c>
      <c r="C464" s="48" t="str">
        <f aca="false">助手收入!$C23</f>
        <v>博园店</v>
      </c>
      <c r="D464" s="48" t="str">
        <f aca="false">科目对照收入!$B2&amp;""</f>
        <v>库存现金</v>
      </c>
      <c r="E464" s="48" t="str">
        <f aca="false">IF(AND(ROUND($G464,2)&lt;0,科目对照收入!$L2&lt;&gt;""),科目对照收入!$L2,科目对照收入!$C2)&amp;""</f>
        <v>库存现金</v>
      </c>
      <c r="F464" s="48" t="str">
        <f aca="false">IF(AND(ROUND($G464,2)&lt;0,科目对照收入!$L2&lt;&gt;""),科目对照收入!$M2,科目对照收入!$D2)&amp;""</f>
        <v/>
      </c>
      <c r="G464" s="49" t="n">
        <f aca="false">助手收入!$I23</f>
        <v>8260.86</v>
      </c>
      <c r="H464" s="49" t="n">
        <f aca="false">IF(ROUND($G464,2)&gt;0,ROUND($G464,2),"")</f>
        <v>8260.86</v>
      </c>
      <c r="I464" s="49" t="str">
        <f aca="false">IF(ROUND($G464,2)&lt;0,-ROUND($G464,2),"")</f>
        <v/>
      </c>
      <c r="J464" s="20" t="n">
        <f aca="false">IF(ROUND($G464,2)=0,0,1)</f>
        <v>1</v>
      </c>
      <c r="K464" s="20" t="n">
        <f aca="false">IF($J464=0,"",SUM($J$464:$J464))</f>
        <v>1</v>
      </c>
      <c r="L464" s="20" t="n">
        <f aca="false">IF($K464="","",$A464*100+$K464)</f>
        <v>2201</v>
      </c>
      <c r="M464" s="48" t="str">
        <f aca="false">参数!$B$3</f>
        <v>7月收入</v>
      </c>
    </row>
    <row r="465" customFormat="false" ht="13.5" hidden="false" customHeight="false" outlineLevel="0" collapsed="false">
      <c r="A465" s="47" t="n">
        <v>22</v>
      </c>
      <c r="B465" s="38" t="n">
        <f aca="false">助手收入!$B23</f>
        <v>2032</v>
      </c>
      <c r="C465" s="48" t="str">
        <f aca="false">助手收入!$C23</f>
        <v>博园店</v>
      </c>
      <c r="D465" s="48" t="str">
        <f aca="false">科目对照收入!$B3&amp;""</f>
        <v>聚合支付</v>
      </c>
      <c r="E465" s="48" t="str">
        <f aca="false">IF(AND(ROUND($G465,2)&lt;0,科目对照收入!$L3&lt;&gt;""),科目对照收入!$L3,科目对照收入!$C3)&amp;""</f>
        <v>应收账款</v>
      </c>
      <c r="F465" s="48" t="str">
        <f aca="false">IF(AND(ROUND($G465,2)&lt;0,科目对照收入!$L3&lt;&gt;""),科目对照收入!$M3,科目对照收入!$D3)&amp;""</f>
        <v>聚合支付</v>
      </c>
      <c r="G465" s="49" t="n">
        <f aca="false">ROUND(SUMIFS(输入聚合!$C:$C,输入聚合!$A:$A,助手收入!$X23)-SUMIFS(输入聚合!$D:$D,输入聚合!$A:$A,助手收入!$X23),2)</f>
        <v>21510.04</v>
      </c>
      <c r="H465" s="49" t="n">
        <f aca="false">IF(ROUND($G465,2)&gt;0,ROUND($G465,2),"")</f>
        <v>21510.04</v>
      </c>
      <c r="I465" s="49" t="str">
        <f aca="false">IF(ROUND($G465,2)&lt;0,-ROUND($G465,2),"")</f>
        <v/>
      </c>
      <c r="J465" s="20" t="n">
        <f aca="false">IF(ROUND($G465,2)=0,0,1)</f>
        <v>1</v>
      </c>
      <c r="K465" s="20" t="n">
        <f aca="false">IF($J465=0,"",SUM($J$464:$J465))</f>
        <v>2</v>
      </c>
      <c r="L465" s="20" t="n">
        <f aca="false">IF($K465="","",$A465*100+$K465)</f>
        <v>2202</v>
      </c>
      <c r="M465" s="48" t="str">
        <f aca="false">参数!$B$3</f>
        <v>7月收入</v>
      </c>
    </row>
    <row r="466" customFormat="false" ht="13.5" hidden="false" customHeight="false" outlineLevel="0" collapsed="false">
      <c r="A466" s="47" t="n">
        <v>22</v>
      </c>
      <c r="B466" s="38" t="n">
        <f aca="false">助手收入!$B23</f>
        <v>2032</v>
      </c>
      <c r="C466" s="48" t="str">
        <f aca="false">助手收入!$C23</f>
        <v>博园店</v>
      </c>
      <c r="D466" s="48" t="str">
        <f aca="false">科目对照收入!$B4&amp;""</f>
        <v>医保</v>
      </c>
      <c r="E466" s="48" t="str">
        <f aca="false">IF(AND(ROUND($G466,2)&lt;0,科目对照收入!$L4&lt;&gt;""),科目对照收入!$L4,科目对照收入!$C4)&amp;""</f>
        <v>应收账款</v>
      </c>
      <c r="F466" s="48" t="str">
        <f aca="false">IF(AND(ROUND($G466,2)&lt;0,科目对照收入!$L4&lt;&gt;""),科目对照收入!$M4,科目对照收入!$D4)&amp;""</f>
        <v>医保</v>
      </c>
      <c r="G466" s="49" t="n">
        <f aca="false">IF(COUNTIFS(输入平台!$A:$A,助手收入!$X23,输入平台!$B:$B,科目对照收入!$B4)&gt;0,ROUND(SUMIFS(输入平台!$C:$C,输入平台!$A:$A,助手收入!$X23,输入平台!$B:$B,科目对照收入!$B4),2),ROUND(海典汇总!$F$24+海典汇总!$G$24,2))</f>
        <v>10314.73</v>
      </c>
      <c r="H466" s="49" t="n">
        <f aca="false">IF(ROUND($G466,2)&gt;0,ROUND($G466,2),"")</f>
        <v>10314.73</v>
      </c>
      <c r="I466" s="49" t="str">
        <f aca="false">IF(ROUND($G466,2)&lt;0,-ROUND($G466,2),"")</f>
        <v/>
      </c>
      <c r="J466" s="20" t="n">
        <f aca="false">IF(ROUND($G466,2)=0,0,1)</f>
        <v>1</v>
      </c>
      <c r="K466" s="20" t="n">
        <f aca="false">IF($J466=0,"",SUM($J$464:$J466))</f>
        <v>3</v>
      </c>
      <c r="L466" s="20" t="n">
        <f aca="false">IF($K466="","",$A466*100+$K466)</f>
        <v>2203</v>
      </c>
      <c r="M466" s="48" t="str">
        <f aca="false">参数!$B$3</f>
        <v>7月收入</v>
      </c>
    </row>
    <row r="467" customFormat="false" ht="13.5" hidden="false" customHeight="false" outlineLevel="0" collapsed="false">
      <c r="A467" s="47" t="n">
        <v>22</v>
      </c>
      <c r="B467" s="38" t="n">
        <f aca="false">助手收入!$B23</f>
        <v>2032</v>
      </c>
      <c r="C467" s="48" t="str">
        <f aca="false">助手收入!$C23</f>
        <v>博园店</v>
      </c>
      <c r="D467" s="48" t="str">
        <f aca="false">科目对照收入!$B5&amp;""</f>
        <v>健e卡</v>
      </c>
      <c r="E467" s="48" t="str">
        <f aca="false">IF(AND(ROUND($G467,2)&lt;0,科目对照收入!$L5&lt;&gt;""),科目对照收入!$L5,科目对照收入!$C5)&amp;""</f>
        <v>应收账款</v>
      </c>
      <c r="F467" s="48" t="str">
        <f aca="false">IF(AND(ROUND($G467,2)&lt;0,科目对照收入!$L5&lt;&gt;""),科目对照收入!$M5,科目对照收入!$D5)&amp;""</f>
        <v>健e卡</v>
      </c>
      <c r="G467" s="49" t="n">
        <f aca="false">IF(COUNTIFS(输入平台!$A:$A,助手收入!$X23,输入平台!$B:$B,科目对照收入!$B5)&gt;0,ROUND(SUMIFS(输入平台!$C:$C,输入平台!$A:$A,助手收入!$X23,输入平台!$B:$B,科目对照收入!$B5),2),ROUND(海典汇总!$H$24,2))</f>
        <v>0</v>
      </c>
      <c r="H467" s="49" t="str">
        <f aca="false">IF(ROUND($G467,2)&gt;0,ROUND($G467,2),"")</f>
        <v/>
      </c>
      <c r="I467" s="49" t="str">
        <f aca="false">IF(ROUND($G467,2)&lt;0,-ROUND($G467,2),"")</f>
        <v/>
      </c>
      <c r="J467" s="20" t="n">
        <f aca="false">IF(ROUND($G467,2)=0,0,1)</f>
        <v>0</v>
      </c>
      <c r="K467" s="20" t="str">
        <f aca="false">IF($J467=0,"",SUM($J$464:$J467))</f>
        <v/>
      </c>
      <c r="L467" s="20" t="str">
        <f aca="false">IF($K467="","",$A467*100+$K467)</f>
        <v/>
      </c>
      <c r="M467" s="48" t="str">
        <f aca="false">参数!$B$3</f>
        <v>7月收入</v>
      </c>
    </row>
    <row r="468" customFormat="false" ht="13.5" hidden="false" customHeight="false" outlineLevel="0" collapsed="false">
      <c r="A468" s="47" t="n">
        <v>22</v>
      </c>
      <c r="B468" s="38" t="n">
        <f aca="false">助手收入!$B23</f>
        <v>2032</v>
      </c>
      <c r="C468" s="48" t="str">
        <f aca="false">助手收入!$C23</f>
        <v>博园店</v>
      </c>
      <c r="D468" s="48" t="str">
        <f aca="false">科目对照收入!$B6&amp;""</f>
        <v>医卡通</v>
      </c>
      <c r="E468" s="48" t="str">
        <f aca="false">IF(AND(ROUND($G468,2)&lt;0,科目对照收入!$L6&lt;&gt;""),科目对照收入!$L6,科目对照收入!$C6)&amp;""</f>
        <v>应收账款</v>
      </c>
      <c r="F468" s="48" t="str">
        <f aca="false">IF(AND(ROUND($G468,2)&lt;0,科目对照收入!$L6&lt;&gt;""),科目对照收入!$M6,科目对照收入!$D6)&amp;""</f>
        <v>医卡通</v>
      </c>
      <c r="G468" s="49" t="n">
        <f aca="false">IF(COUNTIFS(输入平台!$A:$A,助手收入!$X23,输入平台!$B:$B,科目对照收入!$B6)&gt;0,ROUND(SUMIFS(输入平台!$C:$C,输入平台!$A:$A,助手收入!$X23,输入平台!$B:$B,科目对照收入!$B6),2),ROUND(海典汇总!$I$24,2))</f>
        <v>0</v>
      </c>
      <c r="H468" s="49" t="str">
        <f aca="false">IF(ROUND($G468,2)&gt;0,ROUND($G468,2),"")</f>
        <v/>
      </c>
      <c r="I468" s="49" t="str">
        <f aca="false">IF(ROUND($G468,2)&lt;0,-ROUND($G468,2),"")</f>
        <v/>
      </c>
      <c r="J468" s="20" t="n">
        <f aca="false">IF(ROUND($G468,2)=0,0,1)</f>
        <v>0</v>
      </c>
      <c r="K468" s="20" t="str">
        <f aca="false">IF($J468=0,"",SUM($J$464:$J468))</f>
        <v/>
      </c>
      <c r="L468" s="20" t="str">
        <f aca="false">IF($K468="","",$A468*100+$K468)</f>
        <v/>
      </c>
      <c r="M468" s="48" t="str">
        <f aca="false">参数!$B$3</f>
        <v>7月收入</v>
      </c>
    </row>
    <row r="469" customFormat="false" ht="13.5" hidden="false" customHeight="false" outlineLevel="0" collapsed="false">
      <c r="A469" s="47" t="n">
        <v>22</v>
      </c>
      <c r="B469" s="38" t="n">
        <f aca="false">助手收入!$B23</f>
        <v>2032</v>
      </c>
      <c r="C469" s="48" t="str">
        <f aca="false">助手收入!$C23</f>
        <v>博园店</v>
      </c>
      <c r="D469" s="48" t="str">
        <f aca="false">科目对照收入!$B7&amp;""</f>
        <v>企健网</v>
      </c>
      <c r="E469" s="48" t="str">
        <f aca="false">IF(AND(ROUND($G469,2)&lt;0,科目对照收入!$L7&lt;&gt;""),科目对照收入!$L7,科目对照收入!$C7)&amp;""</f>
        <v>应收账款</v>
      </c>
      <c r="F469" s="48" t="str">
        <f aca="false">IF(AND(ROUND($G469,2)&lt;0,科目对照收入!$L7&lt;&gt;""),科目对照收入!$M7,科目对照收入!$D7)&amp;""</f>
        <v>企健网</v>
      </c>
      <c r="G469" s="49" t="n">
        <f aca="false">IF(COUNTIFS(输入平台!$A:$A,助手收入!$X23,输入平台!$B:$B,科目对照收入!$B7)&gt;0,ROUND(SUMIFS(输入平台!$C:$C,输入平台!$A:$A,助手收入!$X23,输入平台!$B:$B,科目对照收入!$B7),2),ROUND(海典汇总!$J$24,2))</f>
        <v>0</v>
      </c>
      <c r="H469" s="49" t="str">
        <f aca="false">IF(ROUND($G469,2)&gt;0,ROUND($G469,2),"")</f>
        <v/>
      </c>
      <c r="I469" s="49" t="str">
        <f aca="false">IF(ROUND($G469,2)&lt;0,-ROUND($G469,2),"")</f>
        <v/>
      </c>
      <c r="J469" s="20" t="n">
        <f aca="false">IF(ROUND($G469,2)=0,0,1)</f>
        <v>0</v>
      </c>
      <c r="K469" s="20" t="str">
        <f aca="false">IF($J469=0,"",SUM($J$464:$J469))</f>
        <v/>
      </c>
      <c r="L469" s="20" t="str">
        <f aca="false">IF($K469="","",$A469*100+$K469)</f>
        <v/>
      </c>
      <c r="M469" s="48" t="str">
        <f aca="false">参数!$B$3</f>
        <v>7月收入</v>
      </c>
    </row>
    <row r="470" customFormat="false" ht="13.5" hidden="false" customHeight="false" outlineLevel="0" collapsed="false">
      <c r="A470" s="47" t="n">
        <v>22</v>
      </c>
      <c r="B470" s="38" t="n">
        <f aca="false">助手收入!$B23</f>
        <v>2032</v>
      </c>
      <c r="C470" s="48" t="str">
        <f aca="false">助手收入!$C23</f>
        <v>博园店</v>
      </c>
      <c r="D470" s="48" t="str">
        <f aca="false">科目对照收入!$B8&amp;""</f>
        <v>亲情卡</v>
      </c>
      <c r="E470" s="48" t="str">
        <f aca="false">IF(AND(ROUND($G470,2)&lt;0,科目对照收入!$L8&lt;&gt;""),科目对照收入!$L8,科目对照收入!$C8)&amp;""</f>
        <v>应收账款</v>
      </c>
      <c r="F470" s="48" t="str">
        <f aca="false">IF(AND(ROUND($G470,2)&lt;0,科目对照收入!$L8&lt;&gt;""),科目对照收入!$M8,科目对照收入!$D8)&amp;""</f>
        <v>亲情卡</v>
      </c>
      <c r="G470" s="49" t="n">
        <f aca="false">IF(COUNTIFS(输入平台!$A:$A,助手收入!$X23,输入平台!$B:$B,科目对照收入!$B8)&gt;0,ROUND(SUMIFS(输入平台!$C:$C,输入平台!$A:$A,助手收入!$X23,输入平台!$B:$B,科目对照收入!$B8),2),ROUND(海典汇总!$Z$24,2))</f>
        <v>0</v>
      </c>
      <c r="H470" s="49" t="str">
        <f aca="false">IF(ROUND($G470,2)&gt;0,ROUND($G470,2),"")</f>
        <v/>
      </c>
      <c r="I470" s="49" t="str">
        <f aca="false">IF(ROUND($G470,2)&lt;0,-ROUND($G470,2),"")</f>
        <v/>
      </c>
      <c r="J470" s="20" t="n">
        <f aca="false">IF(ROUND($G470,2)=0,0,1)</f>
        <v>0</v>
      </c>
      <c r="K470" s="20" t="str">
        <f aca="false">IF($J470=0,"",SUM($J$464:$J470))</f>
        <v/>
      </c>
      <c r="L470" s="20" t="str">
        <f aca="false">IF($K470="","",$A470*100+$K470)</f>
        <v/>
      </c>
      <c r="M470" s="48" t="str">
        <f aca="false">参数!$B$3</f>
        <v>7月收入</v>
      </c>
    </row>
    <row r="471" customFormat="false" ht="13.5" hidden="false" customHeight="false" outlineLevel="0" collapsed="false">
      <c r="A471" s="47" t="n">
        <v>22</v>
      </c>
      <c r="B471" s="38" t="n">
        <f aca="false">助手收入!$B23</f>
        <v>2032</v>
      </c>
      <c r="C471" s="48" t="str">
        <f aca="false">助手收入!$C23</f>
        <v>博园店</v>
      </c>
      <c r="D471" s="48" t="str">
        <f aca="false">科目对照收入!$B9&amp;""</f>
        <v>24小时</v>
      </c>
      <c r="E471" s="48" t="str">
        <f aca="false">IF(AND(ROUND($G471,2)&lt;0,科目对照收入!$L9&lt;&gt;""),科目对照收入!$L9,科目对照收入!$C9)&amp;""</f>
        <v>应收账款</v>
      </c>
      <c r="F471" s="48" t="str">
        <f aca="false">IF(AND(ROUND($G471,2)&lt;0,科目对照收入!$L9&lt;&gt;""),科目对照收入!$M9,科目对照收入!$D9)&amp;""</f>
        <v>24小时</v>
      </c>
      <c r="G471" s="49" t="n">
        <f aca="false">IF(COUNTIFS(输入平台!$A:$A,助手收入!$X23,输入平台!$B:$B,科目对照收入!$B9)&gt;0,ROUND(SUMIFS(输入平台!$C:$C,输入平台!$A:$A,助手收入!$X23,输入平台!$B:$B,科目对照收入!$B9),2),ROUND(海典汇总!$K$24,2))</f>
        <v>0</v>
      </c>
      <c r="H471" s="49" t="str">
        <f aca="false">IF(ROUND($G471,2)&gt;0,ROUND($G471,2),"")</f>
        <v/>
      </c>
      <c r="I471" s="49" t="str">
        <f aca="false">IF(ROUND($G471,2)&lt;0,-ROUND($G471,2),"")</f>
        <v/>
      </c>
      <c r="J471" s="20" t="n">
        <f aca="false">IF(ROUND($G471,2)=0,0,1)</f>
        <v>0</v>
      </c>
      <c r="K471" s="20" t="str">
        <f aca="false">IF($J471=0,"",SUM($J$464:$J471))</f>
        <v/>
      </c>
      <c r="L471" s="20" t="str">
        <f aca="false">IF($K471="","",$A471*100+$K471)</f>
        <v/>
      </c>
      <c r="M471" s="48" t="str">
        <f aca="false">参数!$B$3</f>
        <v>7月收入</v>
      </c>
    </row>
    <row r="472" customFormat="false" ht="13.5" hidden="false" customHeight="false" outlineLevel="0" collapsed="false">
      <c r="A472" s="47" t="n">
        <v>22</v>
      </c>
      <c r="B472" s="38" t="n">
        <f aca="false">助手收入!$B23</f>
        <v>2032</v>
      </c>
      <c r="C472" s="48" t="str">
        <f aca="false">助手收入!$C23</f>
        <v>博园店</v>
      </c>
      <c r="D472" s="48" t="str">
        <f aca="false">科目对照收入!$B10&amp;""</f>
        <v>美团</v>
      </c>
      <c r="E472" s="48" t="str">
        <f aca="false">IF(AND(ROUND($G472,2)&lt;0,科目对照收入!$L10&lt;&gt;""),科目对照收入!$L10,科目对照收入!$C10)&amp;""</f>
        <v>应收账款</v>
      </c>
      <c r="F472" s="48" t="str">
        <f aca="false">IF(AND(ROUND($G472,2)&lt;0,科目对照收入!$L10&lt;&gt;""),科目对照收入!$M10,科目对照收入!$D10)&amp;""</f>
        <v>美团</v>
      </c>
      <c r="G472" s="49" t="n">
        <f aca="false">IF(COUNTIFS(输入平台!$A:$A,助手收入!$X23,输入平台!$B:$B,科目对照收入!$B10)&gt;0,ROUND(SUMIFS(输入平台!$C:$C,输入平台!$A:$A,助手收入!$X23,输入平台!$B:$B,科目对照收入!$B10),2),ROUND(海典汇总!$M$24,2))</f>
        <v>0</v>
      </c>
      <c r="H472" s="49" t="str">
        <f aca="false">IF(ROUND($G472,2)&gt;0,ROUND($G472,2),"")</f>
        <v/>
      </c>
      <c r="I472" s="49" t="str">
        <f aca="false">IF(ROUND($G472,2)&lt;0,-ROUND($G472,2),"")</f>
        <v/>
      </c>
      <c r="J472" s="20" t="n">
        <f aca="false">IF(ROUND($G472,2)=0,0,1)</f>
        <v>0</v>
      </c>
      <c r="K472" s="20" t="str">
        <f aca="false">IF($J472=0,"",SUM($J$464:$J472))</f>
        <v/>
      </c>
      <c r="L472" s="20" t="str">
        <f aca="false">IF($K472="","",$A472*100+$K472)</f>
        <v/>
      </c>
      <c r="M472" s="48" t="str">
        <f aca="false">参数!$B$3</f>
        <v>7月收入</v>
      </c>
    </row>
    <row r="473" customFormat="false" ht="13.5" hidden="false" customHeight="false" outlineLevel="0" collapsed="false">
      <c r="A473" s="47" t="n">
        <v>22</v>
      </c>
      <c r="B473" s="38" t="n">
        <f aca="false">助手收入!$B23</f>
        <v>2032</v>
      </c>
      <c r="C473" s="48" t="str">
        <f aca="false">助手收入!$C23</f>
        <v>博园店</v>
      </c>
      <c r="D473" s="48" t="str">
        <f aca="false">科目对照收入!$B11&amp;""</f>
        <v>饿了么</v>
      </c>
      <c r="E473" s="48" t="str">
        <f aca="false">IF(AND(ROUND($G473,2)&lt;0,科目对照收入!$L11&lt;&gt;""),科目对照收入!$L11,科目对照收入!$C11)&amp;""</f>
        <v>应收账款</v>
      </c>
      <c r="F473" s="48" t="str">
        <f aca="false">IF(AND(ROUND($G473,2)&lt;0,科目对照收入!$L11&lt;&gt;""),科目对照收入!$M11,科目对照收入!$D11)&amp;""</f>
        <v>饿了么</v>
      </c>
      <c r="G473" s="49" t="n">
        <f aca="false">IF(COUNTIFS(输入平台!$A:$A,助手收入!$X23,输入平台!$B:$B,科目对照收入!$B11)&gt;0,ROUND(SUMIFS(输入平台!$C:$C,输入平台!$A:$A,助手收入!$X23,输入平台!$B:$B,科目对照收入!$B11),2),ROUND(海典汇总!$N$24,2))</f>
        <v>0</v>
      </c>
      <c r="H473" s="49" t="str">
        <f aca="false">IF(ROUND($G473,2)&gt;0,ROUND($G473,2),"")</f>
        <v/>
      </c>
      <c r="I473" s="49" t="str">
        <f aca="false">IF(ROUND($G473,2)&lt;0,-ROUND($G473,2),"")</f>
        <v/>
      </c>
      <c r="J473" s="20" t="n">
        <f aca="false">IF(ROUND($G473,2)=0,0,1)</f>
        <v>0</v>
      </c>
      <c r="K473" s="20" t="str">
        <f aca="false">IF($J473=0,"",SUM($J$464:$J473))</f>
        <v/>
      </c>
      <c r="L473" s="20" t="str">
        <f aca="false">IF($K473="","",$A473*100+$K473)</f>
        <v/>
      </c>
      <c r="M473" s="48" t="str">
        <f aca="false">参数!$B$3</f>
        <v>7月收入</v>
      </c>
    </row>
    <row r="474" customFormat="false" ht="13.5" hidden="false" customHeight="false" outlineLevel="0" collapsed="false">
      <c r="A474" s="47" t="n">
        <v>22</v>
      </c>
      <c r="B474" s="38" t="n">
        <f aca="false">助手收入!$B23</f>
        <v>2032</v>
      </c>
      <c r="C474" s="48" t="str">
        <f aca="false">助手收入!$C23</f>
        <v>博园店</v>
      </c>
      <c r="D474" s="48" t="str">
        <f aca="false">科目对照收入!$B12&amp;""</f>
        <v>京东秒送</v>
      </c>
      <c r="E474" s="48" t="str">
        <f aca="false">IF(AND(ROUND($G474,2)&lt;0,科目对照收入!$L12&lt;&gt;""),科目对照收入!$L12,科目对照收入!$C12)&amp;""</f>
        <v>应收账款</v>
      </c>
      <c r="F474" s="48" t="str">
        <f aca="false">IF(AND(ROUND($G474,2)&lt;0,科目对照收入!$L12&lt;&gt;""),科目对照收入!$M12,科目对照收入!$D12)&amp;""</f>
        <v>京东秒送</v>
      </c>
      <c r="G474" s="49" t="n">
        <f aca="false">IF(COUNTIFS(输入平台!$A:$A,助手收入!$X23,输入平台!$B:$B,科目对照收入!$B12)&gt;0,ROUND(SUMIFS(输入平台!$C:$C,输入平台!$A:$A,助手收入!$X23,输入平台!$B:$B,科目对照收入!$B12),2),ROUND(海典汇总!$O$24,2))</f>
        <v>0</v>
      </c>
      <c r="H474" s="49" t="str">
        <f aca="false">IF(ROUND($G474,2)&gt;0,ROUND($G474,2),"")</f>
        <v/>
      </c>
      <c r="I474" s="49" t="str">
        <f aca="false">IF(ROUND($G474,2)&lt;0,-ROUND($G474,2),"")</f>
        <v/>
      </c>
      <c r="J474" s="20" t="n">
        <f aca="false">IF(ROUND($G474,2)=0,0,1)</f>
        <v>0</v>
      </c>
      <c r="K474" s="20" t="str">
        <f aca="false">IF($J474=0,"",SUM($J$464:$J474))</f>
        <v/>
      </c>
      <c r="L474" s="20" t="str">
        <f aca="false">IF($K474="","",$A474*100+$K474)</f>
        <v/>
      </c>
      <c r="M474" s="48" t="str">
        <f aca="false">参数!$B$3</f>
        <v>7月收入</v>
      </c>
    </row>
    <row r="475" customFormat="false" ht="13.5" hidden="false" customHeight="false" outlineLevel="0" collapsed="false">
      <c r="A475" s="47" t="n">
        <v>22</v>
      </c>
      <c r="B475" s="38" t="n">
        <f aca="false">助手收入!$B23</f>
        <v>2032</v>
      </c>
      <c r="C475" s="48" t="str">
        <f aca="false">助手收入!$C23</f>
        <v>博园店</v>
      </c>
      <c r="D475" s="48" t="str">
        <f aca="false">科目对照收入!$B13&amp;""</f>
        <v>银联</v>
      </c>
      <c r="E475" s="48" t="str">
        <f aca="false">IF(AND(ROUND($G475,2)&lt;0,科目对照收入!$L13&lt;&gt;""),科目对照收入!$L13,科目对照收入!$C13)&amp;""</f>
        <v>应收账款</v>
      </c>
      <c r="F475" s="48" t="str">
        <f aca="false">IF(AND(ROUND($G475,2)&lt;0,科目对照收入!$L13&lt;&gt;""),科目对照收入!$M13,科目对照收入!$D13)&amp;""</f>
        <v>银联</v>
      </c>
      <c r="G475" s="49" t="n">
        <f aca="false">IF(COUNTIFS(输入平台!$A:$A,助手收入!$X23,输入平台!$B:$B,科目对照收入!$B13)&gt;0,ROUND(SUMIFS(输入平台!$C:$C,输入平台!$A:$A,助手收入!$X23,输入平台!$B:$B,科目对照收入!$B13),2),ROUND(海典汇总!$V$24,2))</f>
        <v>0</v>
      </c>
      <c r="H475" s="49" t="str">
        <f aca="false">IF(ROUND($G475,2)&gt;0,ROUND($G475,2),"")</f>
        <v/>
      </c>
      <c r="I475" s="49" t="str">
        <f aca="false">IF(ROUND($G475,2)&lt;0,-ROUND($G475,2),"")</f>
        <v/>
      </c>
      <c r="J475" s="20" t="n">
        <f aca="false">IF(ROUND($G475,2)=0,0,1)</f>
        <v>0</v>
      </c>
      <c r="K475" s="20" t="str">
        <f aca="false">IF($J475=0,"",SUM($J$464:$J475))</f>
        <v/>
      </c>
      <c r="L475" s="20" t="str">
        <f aca="false">IF($K475="","",$A475*100+$K475)</f>
        <v/>
      </c>
      <c r="M475" s="48" t="str">
        <f aca="false">参数!$B$3</f>
        <v>7月收入</v>
      </c>
    </row>
    <row r="476" customFormat="false" ht="13.5" hidden="false" customHeight="false" outlineLevel="0" collapsed="false">
      <c r="A476" s="47" t="n">
        <v>22</v>
      </c>
      <c r="B476" s="38" t="n">
        <f aca="false">助手收入!$B23</f>
        <v>2032</v>
      </c>
      <c r="C476" s="48" t="str">
        <f aca="false">助手收入!$C23</f>
        <v>博园店</v>
      </c>
      <c r="D476" s="48" t="str">
        <f aca="false">科目对照收入!$B14&amp;""</f>
        <v>小镇外卖</v>
      </c>
      <c r="E476" s="48" t="str">
        <f aca="false">IF(AND(ROUND($G476,2)&lt;0,科目对照收入!$L14&lt;&gt;""),科目对照收入!$L14,科目对照收入!$C14)&amp;""</f>
        <v>应收账款</v>
      </c>
      <c r="F476" s="48" t="str">
        <f aca="false">IF(AND(ROUND($G476,2)&lt;0,科目对照收入!$L14&lt;&gt;""),科目对照收入!$M14,科目对照收入!$D14)&amp;""</f>
        <v>小镇外卖</v>
      </c>
      <c r="G476" s="49" t="n">
        <f aca="false">IF(COUNTIFS(输入平台!$A:$A,助手收入!$X23,输入平台!$B:$B,科目对照收入!$B14)&gt;0,ROUND(SUMIFS(输入平台!$C:$C,输入平台!$A:$A,助手收入!$X23,输入平台!$B:$B,科目对照收入!$B14),2),ROUND(海典汇总!$AC$24,2))</f>
        <v>0</v>
      </c>
      <c r="H476" s="49" t="str">
        <f aca="false">IF(ROUND($G476,2)&gt;0,ROUND($G476,2),"")</f>
        <v/>
      </c>
      <c r="I476" s="49" t="str">
        <f aca="false">IF(ROUND($G476,2)&lt;0,-ROUND($G476,2),"")</f>
        <v/>
      </c>
      <c r="J476" s="20" t="n">
        <f aca="false">IF(ROUND($G476,2)=0,0,1)</f>
        <v>0</v>
      </c>
      <c r="K476" s="20" t="str">
        <f aca="false">IF($J476=0,"",SUM($J$464:$J476))</f>
        <v/>
      </c>
      <c r="L476" s="20" t="str">
        <f aca="false">IF($K476="","",$A476*100+$K476)</f>
        <v/>
      </c>
      <c r="M476" s="48" t="str">
        <f aca="false">参数!$B$3</f>
        <v>7月收入</v>
      </c>
    </row>
    <row r="477" customFormat="false" ht="13.5" hidden="false" customHeight="false" outlineLevel="0" collapsed="false">
      <c r="A477" s="47" t="n">
        <v>22</v>
      </c>
      <c r="B477" s="38" t="n">
        <f aca="false">助手收入!$B23</f>
        <v>2032</v>
      </c>
      <c r="C477" s="48" t="str">
        <f aca="false">助手收入!$C23</f>
        <v>博园店</v>
      </c>
      <c r="D477" s="48" t="str">
        <f aca="false">科目对照收入!$B15&amp;""</f>
        <v>OMS线上支付</v>
      </c>
      <c r="E477" s="48" t="str">
        <f aca="false">IF(AND(ROUND($G477,2)&lt;0,科目对照收入!$L15&lt;&gt;""),科目对照收入!$L15,科目对照收入!$C15)&amp;""</f>
        <v>应收账款</v>
      </c>
      <c r="F477" s="48" t="str">
        <f aca="false">IF(AND(ROUND($G477,2)&lt;0,科目对照收入!$L15&lt;&gt;""),科目对照收入!$M15,科目对照收入!$D15)&amp;""</f>
        <v>OMS线上</v>
      </c>
      <c r="G477" s="49" t="n">
        <f aca="false">IF(COUNTIFS(输入平台!$A:$A,助手收入!$X23,输入平台!$B:$B,科目对照收入!$B15)&gt;0,ROUND(SUMIFS(输入平台!$C:$C,输入平台!$A:$A,助手收入!$X23,输入平台!$B:$B,科目对照收入!$B15),2),ROUND(海典汇总!$L$24,2))</f>
        <v>0</v>
      </c>
      <c r="H477" s="49" t="str">
        <f aca="false">IF(ROUND($G477,2)&gt;0,ROUND($G477,2),"")</f>
        <v/>
      </c>
      <c r="I477" s="49" t="str">
        <f aca="false">IF(ROUND($G477,2)&lt;0,-ROUND($G477,2),"")</f>
        <v/>
      </c>
      <c r="J477" s="20" t="n">
        <f aca="false">IF(ROUND($G477,2)=0,0,1)</f>
        <v>0</v>
      </c>
      <c r="K477" s="20" t="str">
        <f aca="false">IF($J477=0,"",SUM($J$464:$J477))</f>
        <v/>
      </c>
      <c r="L477" s="20" t="str">
        <f aca="false">IF($K477="","",$A477*100+$K477)</f>
        <v/>
      </c>
      <c r="M477" s="48" t="str">
        <f aca="false">参数!$B$3</f>
        <v>7月收入</v>
      </c>
    </row>
    <row r="478" customFormat="false" ht="13.5" hidden="false" customHeight="false" outlineLevel="0" collapsed="false">
      <c r="A478" s="47" t="n">
        <v>22</v>
      </c>
      <c r="B478" s="38" t="n">
        <f aca="false">助手收入!$B23</f>
        <v>2032</v>
      </c>
      <c r="C478" s="48" t="str">
        <f aca="false">助手收入!$C23</f>
        <v>博园店</v>
      </c>
      <c r="D478" s="48" t="str">
        <f aca="false">科目对照收入!$B16&amp;""</f>
        <v>平安药卡</v>
      </c>
      <c r="E478" s="48" t="str">
        <f aca="false">IF(AND(ROUND($G478,2)&lt;0,科目对照收入!$L16&lt;&gt;""),科目对照收入!$L16,科目对照收入!$C16)&amp;""</f>
        <v>应收账款</v>
      </c>
      <c r="F478" s="48" t="str">
        <f aca="false">IF(AND(ROUND($G478,2)&lt;0,科目对照收入!$L16&lt;&gt;""),科目对照收入!$M16,科目对照收入!$D16)&amp;""</f>
        <v>平安</v>
      </c>
      <c r="G478" s="49" t="n">
        <f aca="false">IF(COUNTIFS(输入平台!$A:$A,助手收入!$X23,输入平台!$B:$B,科目对照收入!$B16)&gt;0,ROUND(SUMIFS(输入平台!$C:$C,输入平台!$A:$A,助手收入!$X23,输入平台!$B:$B,科目对照收入!$B16),2),ROUND(海典汇总!$AB$24,2))</f>
        <v>0</v>
      </c>
      <c r="H478" s="49" t="str">
        <f aca="false">IF(ROUND($G478,2)&gt;0,ROUND($G478,2),"")</f>
        <v/>
      </c>
      <c r="I478" s="49" t="str">
        <f aca="false">IF(ROUND($G478,2)&lt;0,-ROUND($G478,2),"")</f>
        <v/>
      </c>
      <c r="J478" s="20" t="n">
        <f aca="false">IF(ROUND($G478,2)=0,0,1)</f>
        <v>0</v>
      </c>
      <c r="K478" s="20" t="str">
        <f aca="false">IF($J478=0,"",SUM($J$464:$J478))</f>
        <v/>
      </c>
      <c r="L478" s="20" t="str">
        <f aca="false">IF($K478="","",$A478*100+$K478)</f>
        <v/>
      </c>
      <c r="M478" s="48" t="str">
        <f aca="false">参数!$B$3</f>
        <v>7月收入</v>
      </c>
    </row>
    <row r="479" customFormat="false" ht="13.5" hidden="false" customHeight="false" outlineLevel="0" collapsed="false">
      <c r="A479" s="47" t="n">
        <v>22</v>
      </c>
      <c r="B479" s="38" t="n">
        <f aca="false">助手收入!$B23</f>
        <v>2032</v>
      </c>
      <c r="C479" s="48" t="str">
        <f aca="false">助手收入!$C23</f>
        <v>博园店</v>
      </c>
      <c r="D479" s="48" t="str">
        <f aca="false">科目对照收入!$B17&amp;""</f>
        <v>储值卡</v>
      </c>
      <c r="E479" s="48" t="str">
        <f aca="false">IF(AND(ROUND($G479,2)&lt;0,科目对照收入!$L17&lt;&gt;""),科目对照收入!$L17,科目对照收入!$C17)&amp;""</f>
        <v>其他应收款</v>
      </c>
      <c r="F479" s="48" t="str">
        <f aca="false">IF(AND(ROUND($G479,2)&lt;0,科目对照收入!$L17&lt;&gt;""),科目对照收入!$M17,科目对照收入!$D17)&amp;""</f>
        <v>储值卡</v>
      </c>
      <c r="G479" s="49" t="n">
        <f aca="false">ROUND(海典汇总!$Q$24,2)</f>
        <v>1996.8</v>
      </c>
      <c r="H479" s="49" t="n">
        <f aca="false">IF(ROUND($G479,2)&gt;0,ROUND($G479,2),"")</f>
        <v>1996.8</v>
      </c>
      <c r="I479" s="49" t="str">
        <f aca="false">IF(ROUND($G479,2)&lt;0,-ROUND($G479,2),"")</f>
        <v/>
      </c>
      <c r="J479" s="20" t="n">
        <f aca="false">IF(ROUND($G479,2)=0,0,1)</f>
        <v>1</v>
      </c>
      <c r="K479" s="20" t="n">
        <f aca="false">IF($J479=0,"",SUM($J$464:$J479))</f>
        <v>4</v>
      </c>
      <c r="L479" s="20" t="n">
        <f aca="false">IF($K479="","",$A479*100+$K479)</f>
        <v>2204</v>
      </c>
      <c r="M479" s="48" t="str">
        <f aca="false">参数!$B$3</f>
        <v>7月收入</v>
      </c>
    </row>
    <row r="480" customFormat="false" ht="13.5" hidden="false" customHeight="false" outlineLevel="0" collapsed="false">
      <c r="A480" s="47" t="n">
        <v>22</v>
      </c>
      <c r="B480" s="38" t="n">
        <f aca="false">助手收入!$B23</f>
        <v>2032</v>
      </c>
      <c r="C480" s="48" t="str">
        <f aca="false">助手收入!$C23</f>
        <v>博园店</v>
      </c>
      <c r="D480" s="48" t="str">
        <f aca="false">科目对照收入!$B18&amp;""</f>
        <v>会员零钱包</v>
      </c>
      <c r="E480" s="48" t="str">
        <f aca="false">IF(AND(ROUND($G480,2)&lt;0,科目对照收入!$L18&lt;&gt;""),科目对照收入!$L18,科目对照收入!$C18)&amp;""</f>
        <v>其他应收款</v>
      </c>
      <c r="F480" s="48" t="str">
        <f aca="false">IF(AND(ROUND($G480,2)&lt;0,科目对照收入!$L18&lt;&gt;""),科目对照收入!$M18,科目对照收入!$D18)&amp;""</f>
        <v>会员零钱包</v>
      </c>
      <c r="G480" s="49" t="n">
        <f aca="false">ROUND(海典汇总!$P$24,2)</f>
        <v>0</v>
      </c>
      <c r="H480" s="49" t="str">
        <f aca="false">IF(ROUND($G480,2)&gt;0,ROUND($G480,2),"")</f>
        <v/>
      </c>
      <c r="I480" s="49" t="str">
        <f aca="false">IF(ROUND($G480,2)&lt;0,-ROUND($G480,2),"")</f>
        <v/>
      </c>
      <c r="J480" s="20" t="n">
        <f aca="false">IF(ROUND($G480,2)=0,0,1)</f>
        <v>0</v>
      </c>
      <c r="K480" s="20" t="str">
        <f aca="false">IF($J480=0,"",SUM($J$464:$J480))</f>
        <v/>
      </c>
      <c r="L480" s="20" t="str">
        <f aca="false">IF($K480="","",$A480*100+$K480)</f>
        <v/>
      </c>
      <c r="M480" s="48" t="str">
        <f aca="false">参数!$B$3</f>
        <v>7月收入</v>
      </c>
    </row>
    <row r="481" customFormat="false" ht="13.5" hidden="false" customHeight="false" outlineLevel="0" collapsed="false">
      <c r="A481" s="47" t="n">
        <v>22</v>
      </c>
      <c r="B481" s="38" t="n">
        <f aca="false">助手收入!$B23</f>
        <v>2032</v>
      </c>
      <c r="C481" s="48" t="str">
        <f aca="false">助手收入!$C23</f>
        <v>博园店</v>
      </c>
      <c r="D481" s="48" t="str">
        <f aca="false">科目对照收入!$B19&amp;""</f>
        <v>促销费</v>
      </c>
      <c r="E481" s="48" t="str">
        <f aca="false">IF(AND(ROUND($G481,2)&lt;0,科目对照收入!$L19&lt;&gt;""),科目对照收入!$L19,科目对照收入!$C19)&amp;""</f>
        <v>销售费用</v>
      </c>
      <c r="F481" s="48" t="str">
        <f aca="false">IF(AND(ROUND($G481,2)&lt;0,科目对照收入!$L19&lt;&gt;""),科目对照收入!$M19,科目对照收入!$D19)&amp;""</f>
        <v>促销费</v>
      </c>
      <c r="G481" s="49" t="n">
        <f aca="false">ROUND(海典汇总!$U$24+海典汇总!$T$24+海典汇总!$S$24,2)</f>
        <v>1561.85</v>
      </c>
      <c r="H481" s="49" t="n">
        <f aca="false">IF(ROUND($G481,2)&gt;0,ROUND($G481,2),"")</f>
        <v>1561.85</v>
      </c>
      <c r="I481" s="49" t="str">
        <f aca="false">IF(ROUND($G481,2)&lt;0,-ROUND($G481,2),"")</f>
        <v/>
      </c>
      <c r="J481" s="20" t="n">
        <f aca="false">IF(ROUND($G481,2)=0,0,1)</f>
        <v>1</v>
      </c>
      <c r="K481" s="20" t="n">
        <f aca="false">IF($J481=0,"",SUM($J$464:$J481))</f>
        <v>5</v>
      </c>
      <c r="L481" s="20" t="n">
        <f aca="false">IF($K481="","",$A481*100+$K481)</f>
        <v>2205</v>
      </c>
      <c r="M481" s="48" t="str">
        <f aca="false">参数!$B$3</f>
        <v>7月收入</v>
      </c>
    </row>
    <row r="482" customFormat="false" ht="13.5" hidden="false" customHeight="false" outlineLevel="0" collapsed="false">
      <c r="A482" s="47" t="n">
        <v>22</v>
      </c>
      <c r="B482" s="38" t="n">
        <f aca="false">助手收入!$B23</f>
        <v>2032</v>
      </c>
      <c r="C482" s="48" t="str">
        <f aca="false">助手收入!$C23</f>
        <v>博园店</v>
      </c>
      <c r="D482" s="48" t="str">
        <f aca="false">科目对照收入!$B20&amp;""</f>
        <v>积分</v>
      </c>
      <c r="E482" s="48" t="str">
        <f aca="false">IF(AND(ROUND($G482,2)&lt;0,科目对照收入!$L20&lt;&gt;""),科目对照收入!$L20,科目对照收入!$C20)&amp;""</f>
        <v>销售费用</v>
      </c>
      <c r="F482" s="48" t="str">
        <f aca="false">IF(AND(ROUND($G482,2)&lt;0,科目对照收入!$L20&lt;&gt;""),科目对照收入!$M20,科目对照收入!$D20)&amp;""</f>
        <v>积分</v>
      </c>
      <c r="G482" s="49" t="n">
        <f aca="false">ROUND(海典汇总!$R$24,2)</f>
        <v>0</v>
      </c>
      <c r="H482" s="49" t="str">
        <f aca="false">IF(ROUND($G482,2)&gt;0,ROUND($G482,2),"")</f>
        <v/>
      </c>
      <c r="I482" s="49" t="str">
        <f aca="false">IF(ROUND($G482,2)&lt;0,-ROUND($G482,2),"")</f>
        <v/>
      </c>
      <c r="J482" s="20" t="n">
        <f aca="false">IF(ROUND($G482,2)=0,0,1)</f>
        <v>0</v>
      </c>
      <c r="K482" s="20" t="str">
        <f aca="false">IF($J482=0,"",SUM($J$464:$J482))</f>
        <v/>
      </c>
      <c r="L482" s="20" t="str">
        <f aca="false">IF($K482="","",$A482*100+$K482)</f>
        <v/>
      </c>
      <c r="M482" s="48" t="str">
        <f aca="false">参数!$B$3</f>
        <v>7月收入</v>
      </c>
    </row>
    <row r="483" customFormat="false" ht="13.5" hidden="false" customHeight="false" outlineLevel="0" collapsed="false">
      <c r="A483" s="47" t="n">
        <v>22</v>
      </c>
      <c r="B483" s="38" t="n">
        <f aca="false">助手收入!$B23</f>
        <v>2032</v>
      </c>
      <c r="C483" s="48" t="str">
        <f aca="false">助手收入!$C23</f>
        <v>博园店</v>
      </c>
      <c r="D483" s="48" t="str">
        <f aca="false">科目对照收入!$B21&amp;""</f>
        <v>手续费</v>
      </c>
      <c r="E483" s="48" t="str">
        <f aca="false">IF(AND(ROUND($G483,2)&lt;0,科目对照收入!$L21&lt;&gt;""),科目对照收入!$L21,科目对照收入!$C21)&amp;""</f>
        <v>财务费用</v>
      </c>
      <c r="F483" s="48" t="str">
        <f aca="false">IF(AND(ROUND($G483,2)&lt;0,科目对照收入!$L21&lt;&gt;""),科目对照收入!$M21,科目对照收入!$D21)&amp;""</f>
        <v>手续费</v>
      </c>
      <c r="G483" s="49" t="n">
        <f aca="false">ROUND(SUMIFS(输入聚合!$D:$D,输入聚合!$A:$A,助手收入!$X23),2)</f>
        <v>58.23</v>
      </c>
      <c r="H483" s="49" t="n">
        <f aca="false">IF(ROUND($G483,2)&gt;0,ROUND($G483,2),"")</f>
        <v>58.23</v>
      </c>
      <c r="I483" s="49" t="str">
        <f aca="false">IF(ROUND($G483,2)&lt;0,-ROUND($G483,2),"")</f>
        <v/>
      </c>
      <c r="J483" s="20" t="n">
        <f aca="false">IF(ROUND($G483,2)=0,0,1)</f>
        <v>1</v>
      </c>
      <c r="K483" s="20" t="n">
        <f aca="false">IF($J483=0,"",SUM($J$464:$J483))</f>
        <v>6</v>
      </c>
      <c r="L483" s="20" t="n">
        <f aca="false">IF($K483="","",$A483*100+$K483)</f>
        <v>2206</v>
      </c>
      <c r="M483" s="48" t="str">
        <f aca="false">参数!$B$3</f>
        <v>7月收入</v>
      </c>
    </row>
    <row r="484" customFormat="false" ht="13.5" hidden="false" customHeight="false" outlineLevel="0" collapsed="false">
      <c r="A484" s="47" t="n">
        <v>22</v>
      </c>
      <c r="B484" s="38" t="n">
        <f aca="false">助手收入!$B23</f>
        <v>2032</v>
      </c>
      <c r="C484" s="48" t="str">
        <f aca="false">助手收入!$C23</f>
        <v>博园店</v>
      </c>
      <c r="D484" s="48" t="str">
        <f aca="false">科目对照收入!$B22&amp;""</f>
        <v>主营业务收入</v>
      </c>
      <c r="E484" s="48" t="str">
        <f aca="false">IF(AND(ROUND($G484,2)&lt;0,科目对照收入!$L22&lt;&gt;""),科目对照收入!$L22,科目对照收入!$C22)&amp;""</f>
        <v>主营业务收入</v>
      </c>
      <c r="F484" s="48" t="str">
        <f aca="false">IF(AND(ROUND($G484,2)&lt;0,科目对照收入!$L22&lt;&gt;""),科目对照收入!$M22,科目对照收入!$D22)&amp;""</f>
        <v/>
      </c>
      <c r="G484" s="49" t="n">
        <f aca="false">-ROUND(助手收入!$G23,2)</f>
        <v>-43702.51</v>
      </c>
      <c r="H484" s="49" t="str">
        <f aca="false">IF(ROUND($G484,2)&gt;0,ROUND($G484,2),"")</f>
        <v/>
      </c>
      <c r="I484" s="49" t="n">
        <f aca="false">IF(ROUND($G484,2)&lt;0,-ROUND($G484,2),"")</f>
        <v>43702.51</v>
      </c>
      <c r="J484" s="20" t="n">
        <f aca="false">IF(ROUND($G484,2)=0,0,1)</f>
        <v>1</v>
      </c>
      <c r="K484" s="20" t="n">
        <f aca="false">IF($J484=0,"",SUM($J$464:$J484))</f>
        <v>7</v>
      </c>
      <c r="L484" s="20" t="n">
        <f aca="false">IF($K484="","",$A484*100+$K484)</f>
        <v>2207</v>
      </c>
      <c r="M484" s="48" t="str">
        <f aca="false">参数!$B$3</f>
        <v>7月收入</v>
      </c>
    </row>
    <row r="485" customFormat="false" ht="13.5" hidden="false" customHeight="false" outlineLevel="0" collapsed="false">
      <c r="A485" s="47" t="n">
        <v>22</v>
      </c>
      <c r="B485" s="38" t="n">
        <f aca="false">助手收入!$B23</f>
        <v>2032</v>
      </c>
      <c r="C485" s="48" t="str">
        <f aca="false">助手收入!$C23</f>
        <v>博园店</v>
      </c>
      <c r="D485" s="48" t="str">
        <f aca="false">科目对照收入!$B23&amp;""</f>
        <v>营业外收入</v>
      </c>
      <c r="E485" s="48" t="str">
        <f aca="false">IF(AND(ROUND($G485,2)&lt;0,科目对照收入!$L23&lt;&gt;""),科目对照收入!$L23,科目对照收入!$C23)&amp;""</f>
        <v>营业外收入</v>
      </c>
      <c r="F485" s="48" t="str">
        <f aca="false">IF(AND(ROUND($G485,2)&lt;0,科目对照收入!$L23&lt;&gt;""),科目对照收入!$M23,科目对照收入!$D23)&amp;""</f>
        <v/>
      </c>
      <c r="G485" s="49" t="n">
        <f aca="false">-ROUND(助手收入!$J23,2)</f>
        <v>-0</v>
      </c>
      <c r="H485" s="49" t="str">
        <f aca="false">IF(ROUND($G485,2)&gt;0,ROUND($G485,2),"")</f>
        <v/>
      </c>
      <c r="I485" s="49" t="str">
        <f aca="false">IF(ROUND($G485,2)&lt;0,-ROUND($G485,2),"")</f>
        <v/>
      </c>
      <c r="J485" s="20" t="n">
        <f aca="false">IF(ROUND($G485,2)=0,0,1)</f>
        <v>0</v>
      </c>
      <c r="K485" s="20" t="str">
        <f aca="false">IF($J485=0,"",SUM($J$464:$J485))</f>
        <v/>
      </c>
      <c r="L485" s="20" t="str">
        <f aca="false">IF($K485="","",$A485*100+$K485)</f>
        <v/>
      </c>
      <c r="M485" s="48" t="str">
        <f aca="false">参数!$B$3</f>
        <v>7月收入</v>
      </c>
    </row>
    <row r="486" customFormat="false" ht="13.5" hidden="false" customHeight="false" outlineLevel="0" collapsed="false">
      <c r="A486" s="47" t="n">
        <v>23</v>
      </c>
      <c r="B486" s="38" t="n">
        <f aca="false">助手收入!$B24</f>
        <v>2036</v>
      </c>
      <c r="C486" s="48" t="str">
        <f aca="false">助手收入!$C24</f>
        <v>黑城店</v>
      </c>
      <c r="D486" s="48" t="str">
        <f aca="false">科目对照收入!$B2&amp;""</f>
        <v>库存现金</v>
      </c>
      <c r="E486" s="48" t="str">
        <f aca="false">IF(AND(ROUND($G486,2)&lt;0,科目对照收入!$L2&lt;&gt;""),科目对照收入!$L2,科目对照收入!$C2)&amp;""</f>
        <v>库存现金</v>
      </c>
      <c r="F486" s="48" t="str">
        <f aca="false">IF(AND(ROUND($G486,2)&lt;0,科目对照收入!$L2&lt;&gt;""),科目对照收入!$M2,科目对照收入!$D2)&amp;""</f>
        <v/>
      </c>
      <c r="G486" s="49" t="n">
        <f aca="false">助手收入!$I24</f>
        <v>0</v>
      </c>
      <c r="H486" s="49" t="str">
        <f aca="false">IF(ROUND($G486,2)&gt;0,ROUND($G486,2),"")</f>
        <v/>
      </c>
      <c r="I486" s="49" t="str">
        <f aca="false">IF(ROUND($G486,2)&lt;0,-ROUND($G486,2),"")</f>
        <v/>
      </c>
      <c r="J486" s="20" t="n">
        <f aca="false">IF(ROUND($G486,2)=0,0,1)</f>
        <v>0</v>
      </c>
      <c r="K486" s="20" t="str">
        <f aca="false">IF($J486=0,"",SUM($J$486:$J486))</f>
        <v/>
      </c>
      <c r="L486" s="20" t="str">
        <f aca="false">IF($K486="","",$A486*100+$K486)</f>
        <v/>
      </c>
      <c r="M486" s="48" t="str">
        <f aca="false">参数!$B$3</f>
        <v>7月收入</v>
      </c>
    </row>
    <row r="487" customFormat="false" ht="13.5" hidden="false" customHeight="false" outlineLevel="0" collapsed="false">
      <c r="A487" s="47" t="n">
        <v>23</v>
      </c>
      <c r="B487" s="38" t="n">
        <f aca="false">助手收入!$B24</f>
        <v>2036</v>
      </c>
      <c r="C487" s="48" t="str">
        <f aca="false">助手收入!$C24</f>
        <v>黑城店</v>
      </c>
      <c r="D487" s="48" t="str">
        <f aca="false">科目对照收入!$B3&amp;""</f>
        <v>聚合支付</v>
      </c>
      <c r="E487" s="48" t="str">
        <f aca="false">IF(AND(ROUND($G487,2)&lt;0,科目对照收入!$L3&lt;&gt;""),科目对照收入!$L3,科目对照收入!$C3)&amp;""</f>
        <v>应收账款</v>
      </c>
      <c r="F487" s="48" t="str">
        <f aca="false">IF(AND(ROUND($G487,2)&lt;0,科目对照收入!$L3&lt;&gt;""),科目对照收入!$M3,科目对照收入!$D3)&amp;""</f>
        <v>聚合支付</v>
      </c>
      <c r="G487" s="49" t="n">
        <f aca="false">ROUND(SUMIFS(输入聚合!$C:$C,输入聚合!$A:$A,助手收入!$X24)-SUMIFS(输入聚合!$D:$D,输入聚合!$A:$A,助手收入!$X24),2)</f>
        <v>0</v>
      </c>
      <c r="H487" s="49" t="str">
        <f aca="false">IF(ROUND($G487,2)&gt;0,ROUND($G487,2),"")</f>
        <v/>
      </c>
      <c r="I487" s="49" t="str">
        <f aca="false">IF(ROUND($G487,2)&lt;0,-ROUND($G487,2),"")</f>
        <v/>
      </c>
      <c r="J487" s="20" t="n">
        <f aca="false">IF(ROUND($G487,2)=0,0,1)</f>
        <v>0</v>
      </c>
      <c r="K487" s="20" t="str">
        <f aca="false">IF($J487=0,"",SUM($J$486:$J487))</f>
        <v/>
      </c>
      <c r="L487" s="20" t="str">
        <f aca="false">IF($K487="","",$A487*100+$K487)</f>
        <v/>
      </c>
      <c r="M487" s="48" t="str">
        <f aca="false">参数!$B$3</f>
        <v>7月收入</v>
      </c>
    </row>
    <row r="488" customFormat="false" ht="13.5" hidden="false" customHeight="false" outlineLevel="0" collapsed="false">
      <c r="A488" s="47" t="n">
        <v>23</v>
      </c>
      <c r="B488" s="38" t="n">
        <f aca="false">助手收入!$B24</f>
        <v>2036</v>
      </c>
      <c r="C488" s="48" t="str">
        <f aca="false">助手收入!$C24</f>
        <v>黑城店</v>
      </c>
      <c r="D488" s="48" t="str">
        <f aca="false">科目对照收入!$B4&amp;""</f>
        <v>医保</v>
      </c>
      <c r="E488" s="48" t="str">
        <f aca="false">IF(AND(ROUND($G488,2)&lt;0,科目对照收入!$L4&lt;&gt;""),科目对照收入!$L4,科目对照收入!$C4)&amp;""</f>
        <v>应收账款</v>
      </c>
      <c r="F488" s="48" t="str">
        <f aca="false">IF(AND(ROUND($G488,2)&lt;0,科目对照收入!$L4&lt;&gt;""),科目对照收入!$M4,科目对照收入!$D4)&amp;""</f>
        <v>医保</v>
      </c>
      <c r="G488" s="49" t="n">
        <f aca="false">IF(COUNTIFS(输入平台!$A:$A,助手收入!$X24,输入平台!$B:$B,科目对照收入!$B4)&gt;0,ROUND(SUMIFS(输入平台!$C:$C,输入平台!$A:$A,助手收入!$X24,输入平台!$B:$B,科目对照收入!$B4),2),ROUND(海典汇总!$F$25+海典汇总!$G$25,2))</f>
        <v>0</v>
      </c>
      <c r="H488" s="49" t="str">
        <f aca="false">IF(ROUND($G488,2)&gt;0,ROUND($G488,2),"")</f>
        <v/>
      </c>
      <c r="I488" s="49" t="str">
        <f aca="false">IF(ROUND($G488,2)&lt;0,-ROUND($G488,2),"")</f>
        <v/>
      </c>
      <c r="J488" s="20" t="n">
        <f aca="false">IF(ROUND($G488,2)=0,0,1)</f>
        <v>0</v>
      </c>
      <c r="K488" s="20" t="str">
        <f aca="false">IF($J488=0,"",SUM($J$486:$J488))</f>
        <v/>
      </c>
      <c r="L488" s="20" t="str">
        <f aca="false">IF($K488="","",$A488*100+$K488)</f>
        <v/>
      </c>
      <c r="M488" s="48" t="str">
        <f aca="false">参数!$B$3</f>
        <v>7月收入</v>
      </c>
    </row>
    <row r="489" customFormat="false" ht="13.5" hidden="false" customHeight="false" outlineLevel="0" collapsed="false">
      <c r="A489" s="47" t="n">
        <v>23</v>
      </c>
      <c r="B489" s="38" t="n">
        <f aca="false">助手收入!$B24</f>
        <v>2036</v>
      </c>
      <c r="C489" s="48" t="str">
        <f aca="false">助手收入!$C24</f>
        <v>黑城店</v>
      </c>
      <c r="D489" s="48" t="str">
        <f aca="false">科目对照收入!$B5&amp;""</f>
        <v>健e卡</v>
      </c>
      <c r="E489" s="48" t="str">
        <f aca="false">IF(AND(ROUND($G489,2)&lt;0,科目对照收入!$L5&lt;&gt;""),科目对照收入!$L5,科目对照收入!$C5)&amp;""</f>
        <v>应收账款</v>
      </c>
      <c r="F489" s="48" t="str">
        <f aca="false">IF(AND(ROUND($G489,2)&lt;0,科目对照收入!$L5&lt;&gt;""),科目对照收入!$M5,科目对照收入!$D5)&amp;""</f>
        <v>健e卡</v>
      </c>
      <c r="G489" s="49" t="n">
        <f aca="false">IF(COUNTIFS(输入平台!$A:$A,助手收入!$X24,输入平台!$B:$B,科目对照收入!$B5)&gt;0,ROUND(SUMIFS(输入平台!$C:$C,输入平台!$A:$A,助手收入!$X24,输入平台!$B:$B,科目对照收入!$B5),2),ROUND(海典汇总!$H$25,2))</f>
        <v>0</v>
      </c>
      <c r="H489" s="49" t="str">
        <f aca="false">IF(ROUND($G489,2)&gt;0,ROUND($G489,2),"")</f>
        <v/>
      </c>
      <c r="I489" s="49" t="str">
        <f aca="false">IF(ROUND($G489,2)&lt;0,-ROUND($G489,2),"")</f>
        <v/>
      </c>
      <c r="J489" s="20" t="n">
        <f aca="false">IF(ROUND($G489,2)=0,0,1)</f>
        <v>0</v>
      </c>
      <c r="K489" s="20" t="str">
        <f aca="false">IF($J489=0,"",SUM($J$486:$J489))</f>
        <v/>
      </c>
      <c r="L489" s="20" t="str">
        <f aca="false">IF($K489="","",$A489*100+$K489)</f>
        <v/>
      </c>
      <c r="M489" s="48" t="str">
        <f aca="false">参数!$B$3</f>
        <v>7月收入</v>
      </c>
    </row>
    <row r="490" customFormat="false" ht="13.5" hidden="false" customHeight="false" outlineLevel="0" collapsed="false">
      <c r="A490" s="47" t="n">
        <v>23</v>
      </c>
      <c r="B490" s="38" t="n">
        <f aca="false">助手收入!$B24</f>
        <v>2036</v>
      </c>
      <c r="C490" s="48" t="str">
        <f aca="false">助手收入!$C24</f>
        <v>黑城店</v>
      </c>
      <c r="D490" s="48" t="str">
        <f aca="false">科目对照收入!$B6&amp;""</f>
        <v>医卡通</v>
      </c>
      <c r="E490" s="48" t="str">
        <f aca="false">IF(AND(ROUND($G490,2)&lt;0,科目对照收入!$L6&lt;&gt;""),科目对照收入!$L6,科目对照收入!$C6)&amp;""</f>
        <v>应收账款</v>
      </c>
      <c r="F490" s="48" t="str">
        <f aca="false">IF(AND(ROUND($G490,2)&lt;0,科目对照收入!$L6&lt;&gt;""),科目对照收入!$M6,科目对照收入!$D6)&amp;""</f>
        <v>医卡通</v>
      </c>
      <c r="G490" s="49" t="n">
        <f aca="false">IF(COUNTIFS(输入平台!$A:$A,助手收入!$X24,输入平台!$B:$B,科目对照收入!$B6)&gt;0,ROUND(SUMIFS(输入平台!$C:$C,输入平台!$A:$A,助手收入!$X24,输入平台!$B:$B,科目对照收入!$B6),2),ROUND(海典汇总!$I$25,2))</f>
        <v>0</v>
      </c>
      <c r="H490" s="49" t="str">
        <f aca="false">IF(ROUND($G490,2)&gt;0,ROUND($G490,2),"")</f>
        <v/>
      </c>
      <c r="I490" s="49" t="str">
        <f aca="false">IF(ROUND($G490,2)&lt;0,-ROUND($G490,2),"")</f>
        <v/>
      </c>
      <c r="J490" s="20" t="n">
        <f aca="false">IF(ROUND($G490,2)=0,0,1)</f>
        <v>0</v>
      </c>
      <c r="K490" s="20" t="str">
        <f aca="false">IF($J490=0,"",SUM($J$486:$J490))</f>
        <v/>
      </c>
      <c r="L490" s="20" t="str">
        <f aca="false">IF($K490="","",$A490*100+$K490)</f>
        <v/>
      </c>
      <c r="M490" s="48" t="str">
        <f aca="false">参数!$B$3</f>
        <v>7月收入</v>
      </c>
    </row>
    <row r="491" customFormat="false" ht="13.5" hidden="false" customHeight="false" outlineLevel="0" collapsed="false">
      <c r="A491" s="47" t="n">
        <v>23</v>
      </c>
      <c r="B491" s="38" t="n">
        <f aca="false">助手收入!$B24</f>
        <v>2036</v>
      </c>
      <c r="C491" s="48" t="str">
        <f aca="false">助手收入!$C24</f>
        <v>黑城店</v>
      </c>
      <c r="D491" s="48" t="str">
        <f aca="false">科目对照收入!$B7&amp;""</f>
        <v>企健网</v>
      </c>
      <c r="E491" s="48" t="str">
        <f aca="false">IF(AND(ROUND($G491,2)&lt;0,科目对照收入!$L7&lt;&gt;""),科目对照收入!$L7,科目对照收入!$C7)&amp;""</f>
        <v>应收账款</v>
      </c>
      <c r="F491" s="48" t="str">
        <f aca="false">IF(AND(ROUND($G491,2)&lt;0,科目对照收入!$L7&lt;&gt;""),科目对照收入!$M7,科目对照收入!$D7)&amp;""</f>
        <v>企健网</v>
      </c>
      <c r="G491" s="49" t="n">
        <f aca="false">IF(COUNTIFS(输入平台!$A:$A,助手收入!$X24,输入平台!$B:$B,科目对照收入!$B7)&gt;0,ROUND(SUMIFS(输入平台!$C:$C,输入平台!$A:$A,助手收入!$X24,输入平台!$B:$B,科目对照收入!$B7),2),ROUND(海典汇总!$J$25,2))</f>
        <v>0</v>
      </c>
      <c r="H491" s="49" t="str">
        <f aca="false">IF(ROUND($G491,2)&gt;0,ROUND($G491,2),"")</f>
        <v/>
      </c>
      <c r="I491" s="49" t="str">
        <f aca="false">IF(ROUND($G491,2)&lt;0,-ROUND($G491,2),"")</f>
        <v/>
      </c>
      <c r="J491" s="20" t="n">
        <f aca="false">IF(ROUND($G491,2)=0,0,1)</f>
        <v>0</v>
      </c>
      <c r="K491" s="20" t="str">
        <f aca="false">IF($J491=0,"",SUM($J$486:$J491))</f>
        <v/>
      </c>
      <c r="L491" s="20" t="str">
        <f aca="false">IF($K491="","",$A491*100+$K491)</f>
        <v/>
      </c>
      <c r="M491" s="48" t="str">
        <f aca="false">参数!$B$3</f>
        <v>7月收入</v>
      </c>
    </row>
    <row r="492" customFormat="false" ht="13.5" hidden="false" customHeight="false" outlineLevel="0" collapsed="false">
      <c r="A492" s="47" t="n">
        <v>23</v>
      </c>
      <c r="B492" s="38" t="n">
        <f aca="false">助手收入!$B24</f>
        <v>2036</v>
      </c>
      <c r="C492" s="48" t="str">
        <f aca="false">助手收入!$C24</f>
        <v>黑城店</v>
      </c>
      <c r="D492" s="48" t="str">
        <f aca="false">科目对照收入!$B8&amp;""</f>
        <v>亲情卡</v>
      </c>
      <c r="E492" s="48" t="str">
        <f aca="false">IF(AND(ROUND($G492,2)&lt;0,科目对照收入!$L8&lt;&gt;""),科目对照收入!$L8,科目对照收入!$C8)&amp;""</f>
        <v>应收账款</v>
      </c>
      <c r="F492" s="48" t="str">
        <f aca="false">IF(AND(ROUND($G492,2)&lt;0,科目对照收入!$L8&lt;&gt;""),科目对照收入!$M8,科目对照收入!$D8)&amp;""</f>
        <v>亲情卡</v>
      </c>
      <c r="G492" s="49" t="n">
        <f aca="false">IF(COUNTIFS(输入平台!$A:$A,助手收入!$X24,输入平台!$B:$B,科目对照收入!$B8)&gt;0,ROUND(SUMIFS(输入平台!$C:$C,输入平台!$A:$A,助手收入!$X24,输入平台!$B:$B,科目对照收入!$B8),2),ROUND(海典汇总!$Z$25,2))</f>
        <v>0</v>
      </c>
      <c r="H492" s="49" t="str">
        <f aca="false">IF(ROUND($G492,2)&gt;0,ROUND($G492,2),"")</f>
        <v/>
      </c>
      <c r="I492" s="49" t="str">
        <f aca="false">IF(ROUND($G492,2)&lt;0,-ROUND($G492,2),"")</f>
        <v/>
      </c>
      <c r="J492" s="20" t="n">
        <f aca="false">IF(ROUND($G492,2)=0,0,1)</f>
        <v>0</v>
      </c>
      <c r="K492" s="20" t="str">
        <f aca="false">IF($J492=0,"",SUM($J$486:$J492))</f>
        <v/>
      </c>
      <c r="L492" s="20" t="str">
        <f aca="false">IF($K492="","",$A492*100+$K492)</f>
        <v/>
      </c>
      <c r="M492" s="48" t="str">
        <f aca="false">参数!$B$3</f>
        <v>7月收入</v>
      </c>
    </row>
    <row r="493" customFormat="false" ht="13.5" hidden="false" customHeight="false" outlineLevel="0" collapsed="false">
      <c r="A493" s="47" t="n">
        <v>23</v>
      </c>
      <c r="B493" s="38" t="n">
        <f aca="false">助手收入!$B24</f>
        <v>2036</v>
      </c>
      <c r="C493" s="48" t="str">
        <f aca="false">助手收入!$C24</f>
        <v>黑城店</v>
      </c>
      <c r="D493" s="48" t="str">
        <f aca="false">科目对照收入!$B9&amp;""</f>
        <v>24小时</v>
      </c>
      <c r="E493" s="48" t="str">
        <f aca="false">IF(AND(ROUND($G493,2)&lt;0,科目对照收入!$L9&lt;&gt;""),科目对照收入!$L9,科目对照收入!$C9)&amp;""</f>
        <v>应收账款</v>
      </c>
      <c r="F493" s="48" t="str">
        <f aca="false">IF(AND(ROUND($G493,2)&lt;0,科目对照收入!$L9&lt;&gt;""),科目对照收入!$M9,科目对照收入!$D9)&amp;""</f>
        <v>24小时</v>
      </c>
      <c r="G493" s="49" t="n">
        <f aca="false">IF(COUNTIFS(输入平台!$A:$A,助手收入!$X24,输入平台!$B:$B,科目对照收入!$B9)&gt;0,ROUND(SUMIFS(输入平台!$C:$C,输入平台!$A:$A,助手收入!$X24,输入平台!$B:$B,科目对照收入!$B9),2),ROUND(海典汇总!$K$25,2))</f>
        <v>0</v>
      </c>
      <c r="H493" s="49" t="str">
        <f aca="false">IF(ROUND($G493,2)&gt;0,ROUND($G493,2),"")</f>
        <v/>
      </c>
      <c r="I493" s="49" t="str">
        <f aca="false">IF(ROUND($G493,2)&lt;0,-ROUND($G493,2),"")</f>
        <v/>
      </c>
      <c r="J493" s="20" t="n">
        <f aca="false">IF(ROUND($G493,2)=0,0,1)</f>
        <v>0</v>
      </c>
      <c r="K493" s="20" t="str">
        <f aca="false">IF($J493=0,"",SUM($J$486:$J493))</f>
        <v/>
      </c>
      <c r="L493" s="20" t="str">
        <f aca="false">IF($K493="","",$A493*100+$K493)</f>
        <v/>
      </c>
      <c r="M493" s="48" t="str">
        <f aca="false">参数!$B$3</f>
        <v>7月收入</v>
      </c>
    </row>
    <row r="494" customFormat="false" ht="13.5" hidden="false" customHeight="false" outlineLevel="0" collapsed="false">
      <c r="A494" s="47" t="n">
        <v>23</v>
      </c>
      <c r="B494" s="38" t="n">
        <f aca="false">助手收入!$B24</f>
        <v>2036</v>
      </c>
      <c r="C494" s="48" t="str">
        <f aca="false">助手收入!$C24</f>
        <v>黑城店</v>
      </c>
      <c r="D494" s="48" t="str">
        <f aca="false">科目对照收入!$B10&amp;""</f>
        <v>美团</v>
      </c>
      <c r="E494" s="48" t="str">
        <f aca="false">IF(AND(ROUND($G494,2)&lt;0,科目对照收入!$L10&lt;&gt;""),科目对照收入!$L10,科目对照收入!$C10)&amp;""</f>
        <v>应收账款</v>
      </c>
      <c r="F494" s="48" t="str">
        <f aca="false">IF(AND(ROUND($G494,2)&lt;0,科目对照收入!$L10&lt;&gt;""),科目对照收入!$M10,科目对照收入!$D10)&amp;""</f>
        <v>美团</v>
      </c>
      <c r="G494" s="49" t="n">
        <f aca="false">IF(COUNTIFS(输入平台!$A:$A,助手收入!$X24,输入平台!$B:$B,科目对照收入!$B10)&gt;0,ROUND(SUMIFS(输入平台!$C:$C,输入平台!$A:$A,助手收入!$X24,输入平台!$B:$B,科目对照收入!$B10),2),ROUND(海典汇总!$M$25,2))</f>
        <v>0</v>
      </c>
      <c r="H494" s="49" t="str">
        <f aca="false">IF(ROUND($G494,2)&gt;0,ROUND($G494,2),"")</f>
        <v/>
      </c>
      <c r="I494" s="49" t="str">
        <f aca="false">IF(ROUND($G494,2)&lt;0,-ROUND($G494,2),"")</f>
        <v/>
      </c>
      <c r="J494" s="20" t="n">
        <f aca="false">IF(ROUND($G494,2)=0,0,1)</f>
        <v>0</v>
      </c>
      <c r="K494" s="20" t="str">
        <f aca="false">IF($J494=0,"",SUM($J$486:$J494))</f>
        <v/>
      </c>
      <c r="L494" s="20" t="str">
        <f aca="false">IF($K494="","",$A494*100+$K494)</f>
        <v/>
      </c>
      <c r="M494" s="48" t="str">
        <f aca="false">参数!$B$3</f>
        <v>7月收入</v>
      </c>
    </row>
    <row r="495" customFormat="false" ht="13.5" hidden="false" customHeight="false" outlineLevel="0" collapsed="false">
      <c r="A495" s="47" t="n">
        <v>23</v>
      </c>
      <c r="B495" s="38" t="n">
        <f aca="false">助手收入!$B24</f>
        <v>2036</v>
      </c>
      <c r="C495" s="48" t="str">
        <f aca="false">助手收入!$C24</f>
        <v>黑城店</v>
      </c>
      <c r="D495" s="48" t="str">
        <f aca="false">科目对照收入!$B11&amp;""</f>
        <v>饿了么</v>
      </c>
      <c r="E495" s="48" t="str">
        <f aca="false">IF(AND(ROUND($G495,2)&lt;0,科目对照收入!$L11&lt;&gt;""),科目对照收入!$L11,科目对照收入!$C11)&amp;""</f>
        <v>应收账款</v>
      </c>
      <c r="F495" s="48" t="str">
        <f aca="false">IF(AND(ROUND($G495,2)&lt;0,科目对照收入!$L11&lt;&gt;""),科目对照收入!$M11,科目对照收入!$D11)&amp;""</f>
        <v>饿了么</v>
      </c>
      <c r="G495" s="49" t="n">
        <f aca="false">IF(COUNTIFS(输入平台!$A:$A,助手收入!$X24,输入平台!$B:$B,科目对照收入!$B11)&gt;0,ROUND(SUMIFS(输入平台!$C:$C,输入平台!$A:$A,助手收入!$X24,输入平台!$B:$B,科目对照收入!$B11),2),ROUND(海典汇总!$N$25,2))</f>
        <v>0</v>
      </c>
      <c r="H495" s="49" t="str">
        <f aca="false">IF(ROUND($G495,2)&gt;0,ROUND($G495,2),"")</f>
        <v/>
      </c>
      <c r="I495" s="49" t="str">
        <f aca="false">IF(ROUND($G495,2)&lt;0,-ROUND($G495,2),"")</f>
        <v/>
      </c>
      <c r="J495" s="20" t="n">
        <f aca="false">IF(ROUND($G495,2)=0,0,1)</f>
        <v>0</v>
      </c>
      <c r="K495" s="20" t="str">
        <f aca="false">IF($J495=0,"",SUM($J$486:$J495))</f>
        <v/>
      </c>
      <c r="L495" s="20" t="str">
        <f aca="false">IF($K495="","",$A495*100+$K495)</f>
        <v/>
      </c>
      <c r="M495" s="48" t="str">
        <f aca="false">参数!$B$3</f>
        <v>7月收入</v>
      </c>
    </row>
    <row r="496" customFormat="false" ht="13.5" hidden="false" customHeight="false" outlineLevel="0" collapsed="false">
      <c r="A496" s="47" t="n">
        <v>23</v>
      </c>
      <c r="B496" s="38" t="n">
        <f aca="false">助手收入!$B24</f>
        <v>2036</v>
      </c>
      <c r="C496" s="48" t="str">
        <f aca="false">助手收入!$C24</f>
        <v>黑城店</v>
      </c>
      <c r="D496" s="48" t="str">
        <f aca="false">科目对照收入!$B12&amp;""</f>
        <v>京东秒送</v>
      </c>
      <c r="E496" s="48" t="str">
        <f aca="false">IF(AND(ROUND($G496,2)&lt;0,科目对照收入!$L12&lt;&gt;""),科目对照收入!$L12,科目对照收入!$C12)&amp;""</f>
        <v>应收账款</v>
      </c>
      <c r="F496" s="48" t="str">
        <f aca="false">IF(AND(ROUND($G496,2)&lt;0,科目对照收入!$L12&lt;&gt;""),科目对照收入!$M12,科目对照收入!$D12)&amp;""</f>
        <v>京东秒送</v>
      </c>
      <c r="G496" s="49" t="n">
        <f aca="false">IF(COUNTIFS(输入平台!$A:$A,助手收入!$X24,输入平台!$B:$B,科目对照收入!$B12)&gt;0,ROUND(SUMIFS(输入平台!$C:$C,输入平台!$A:$A,助手收入!$X24,输入平台!$B:$B,科目对照收入!$B12),2),ROUND(海典汇总!$O$25,2))</f>
        <v>0</v>
      </c>
      <c r="H496" s="49" t="str">
        <f aca="false">IF(ROUND($G496,2)&gt;0,ROUND($G496,2),"")</f>
        <v/>
      </c>
      <c r="I496" s="49" t="str">
        <f aca="false">IF(ROUND($G496,2)&lt;0,-ROUND($G496,2),"")</f>
        <v/>
      </c>
      <c r="J496" s="20" t="n">
        <f aca="false">IF(ROUND($G496,2)=0,0,1)</f>
        <v>0</v>
      </c>
      <c r="K496" s="20" t="str">
        <f aca="false">IF($J496=0,"",SUM($J$486:$J496))</f>
        <v/>
      </c>
      <c r="L496" s="20" t="str">
        <f aca="false">IF($K496="","",$A496*100+$K496)</f>
        <v/>
      </c>
      <c r="M496" s="48" t="str">
        <f aca="false">参数!$B$3</f>
        <v>7月收入</v>
      </c>
    </row>
    <row r="497" customFormat="false" ht="13.5" hidden="false" customHeight="false" outlineLevel="0" collapsed="false">
      <c r="A497" s="47" t="n">
        <v>23</v>
      </c>
      <c r="B497" s="38" t="n">
        <f aca="false">助手收入!$B24</f>
        <v>2036</v>
      </c>
      <c r="C497" s="48" t="str">
        <f aca="false">助手收入!$C24</f>
        <v>黑城店</v>
      </c>
      <c r="D497" s="48" t="str">
        <f aca="false">科目对照收入!$B13&amp;""</f>
        <v>银联</v>
      </c>
      <c r="E497" s="48" t="str">
        <f aca="false">IF(AND(ROUND($G497,2)&lt;0,科目对照收入!$L13&lt;&gt;""),科目对照收入!$L13,科目对照收入!$C13)&amp;""</f>
        <v>应收账款</v>
      </c>
      <c r="F497" s="48" t="str">
        <f aca="false">IF(AND(ROUND($G497,2)&lt;0,科目对照收入!$L13&lt;&gt;""),科目对照收入!$M13,科目对照收入!$D13)&amp;""</f>
        <v>银联</v>
      </c>
      <c r="G497" s="49" t="n">
        <f aca="false">IF(COUNTIFS(输入平台!$A:$A,助手收入!$X24,输入平台!$B:$B,科目对照收入!$B13)&gt;0,ROUND(SUMIFS(输入平台!$C:$C,输入平台!$A:$A,助手收入!$X24,输入平台!$B:$B,科目对照收入!$B13),2),ROUND(海典汇总!$V$25,2))</f>
        <v>0</v>
      </c>
      <c r="H497" s="49" t="str">
        <f aca="false">IF(ROUND($G497,2)&gt;0,ROUND($G497,2),"")</f>
        <v/>
      </c>
      <c r="I497" s="49" t="str">
        <f aca="false">IF(ROUND($G497,2)&lt;0,-ROUND($G497,2),"")</f>
        <v/>
      </c>
      <c r="J497" s="20" t="n">
        <f aca="false">IF(ROUND($G497,2)=0,0,1)</f>
        <v>0</v>
      </c>
      <c r="K497" s="20" t="str">
        <f aca="false">IF($J497=0,"",SUM($J$486:$J497))</f>
        <v/>
      </c>
      <c r="L497" s="20" t="str">
        <f aca="false">IF($K497="","",$A497*100+$K497)</f>
        <v/>
      </c>
      <c r="M497" s="48" t="str">
        <f aca="false">参数!$B$3</f>
        <v>7月收入</v>
      </c>
    </row>
    <row r="498" customFormat="false" ht="13.5" hidden="false" customHeight="false" outlineLevel="0" collapsed="false">
      <c r="A498" s="47" t="n">
        <v>23</v>
      </c>
      <c r="B498" s="38" t="n">
        <f aca="false">助手收入!$B24</f>
        <v>2036</v>
      </c>
      <c r="C498" s="48" t="str">
        <f aca="false">助手收入!$C24</f>
        <v>黑城店</v>
      </c>
      <c r="D498" s="48" t="str">
        <f aca="false">科目对照收入!$B14&amp;""</f>
        <v>小镇外卖</v>
      </c>
      <c r="E498" s="48" t="str">
        <f aca="false">IF(AND(ROUND($G498,2)&lt;0,科目对照收入!$L14&lt;&gt;""),科目对照收入!$L14,科目对照收入!$C14)&amp;""</f>
        <v>应收账款</v>
      </c>
      <c r="F498" s="48" t="str">
        <f aca="false">IF(AND(ROUND($G498,2)&lt;0,科目对照收入!$L14&lt;&gt;""),科目对照收入!$M14,科目对照收入!$D14)&amp;""</f>
        <v>小镇外卖</v>
      </c>
      <c r="G498" s="49" t="n">
        <f aca="false">IF(COUNTIFS(输入平台!$A:$A,助手收入!$X24,输入平台!$B:$B,科目对照收入!$B14)&gt;0,ROUND(SUMIFS(输入平台!$C:$C,输入平台!$A:$A,助手收入!$X24,输入平台!$B:$B,科目对照收入!$B14),2),ROUND(海典汇总!$AC$25,2))</f>
        <v>0</v>
      </c>
      <c r="H498" s="49" t="str">
        <f aca="false">IF(ROUND($G498,2)&gt;0,ROUND($G498,2),"")</f>
        <v/>
      </c>
      <c r="I498" s="49" t="str">
        <f aca="false">IF(ROUND($G498,2)&lt;0,-ROUND($G498,2),"")</f>
        <v/>
      </c>
      <c r="J498" s="20" t="n">
        <f aca="false">IF(ROUND($G498,2)=0,0,1)</f>
        <v>0</v>
      </c>
      <c r="K498" s="20" t="str">
        <f aca="false">IF($J498=0,"",SUM($J$486:$J498))</f>
        <v/>
      </c>
      <c r="L498" s="20" t="str">
        <f aca="false">IF($K498="","",$A498*100+$K498)</f>
        <v/>
      </c>
      <c r="M498" s="48" t="str">
        <f aca="false">参数!$B$3</f>
        <v>7月收入</v>
      </c>
    </row>
    <row r="499" customFormat="false" ht="13.5" hidden="false" customHeight="false" outlineLevel="0" collapsed="false">
      <c r="A499" s="47" t="n">
        <v>23</v>
      </c>
      <c r="B499" s="38" t="n">
        <f aca="false">助手收入!$B24</f>
        <v>2036</v>
      </c>
      <c r="C499" s="48" t="str">
        <f aca="false">助手收入!$C24</f>
        <v>黑城店</v>
      </c>
      <c r="D499" s="48" t="str">
        <f aca="false">科目对照收入!$B15&amp;""</f>
        <v>OMS线上支付</v>
      </c>
      <c r="E499" s="48" t="str">
        <f aca="false">IF(AND(ROUND($G499,2)&lt;0,科目对照收入!$L15&lt;&gt;""),科目对照收入!$L15,科目对照收入!$C15)&amp;""</f>
        <v>应收账款</v>
      </c>
      <c r="F499" s="48" t="str">
        <f aca="false">IF(AND(ROUND($G499,2)&lt;0,科目对照收入!$L15&lt;&gt;""),科目对照收入!$M15,科目对照收入!$D15)&amp;""</f>
        <v>OMS线上</v>
      </c>
      <c r="G499" s="49" t="n">
        <f aca="false">IF(COUNTIFS(输入平台!$A:$A,助手收入!$X24,输入平台!$B:$B,科目对照收入!$B15)&gt;0,ROUND(SUMIFS(输入平台!$C:$C,输入平台!$A:$A,助手收入!$X24,输入平台!$B:$B,科目对照收入!$B15),2),ROUND(海典汇总!$L$25,2))</f>
        <v>0</v>
      </c>
      <c r="H499" s="49" t="str">
        <f aca="false">IF(ROUND($G499,2)&gt;0,ROUND($G499,2),"")</f>
        <v/>
      </c>
      <c r="I499" s="49" t="str">
        <f aca="false">IF(ROUND($G499,2)&lt;0,-ROUND($G499,2),"")</f>
        <v/>
      </c>
      <c r="J499" s="20" t="n">
        <f aca="false">IF(ROUND($G499,2)=0,0,1)</f>
        <v>0</v>
      </c>
      <c r="K499" s="20" t="str">
        <f aca="false">IF($J499=0,"",SUM($J$486:$J499))</f>
        <v/>
      </c>
      <c r="L499" s="20" t="str">
        <f aca="false">IF($K499="","",$A499*100+$K499)</f>
        <v/>
      </c>
      <c r="M499" s="48" t="str">
        <f aca="false">参数!$B$3</f>
        <v>7月收入</v>
      </c>
    </row>
    <row r="500" customFormat="false" ht="13.5" hidden="false" customHeight="false" outlineLevel="0" collapsed="false">
      <c r="A500" s="47" t="n">
        <v>23</v>
      </c>
      <c r="B500" s="38" t="n">
        <f aca="false">助手收入!$B24</f>
        <v>2036</v>
      </c>
      <c r="C500" s="48" t="str">
        <f aca="false">助手收入!$C24</f>
        <v>黑城店</v>
      </c>
      <c r="D500" s="48" t="str">
        <f aca="false">科目对照收入!$B16&amp;""</f>
        <v>平安药卡</v>
      </c>
      <c r="E500" s="48" t="str">
        <f aca="false">IF(AND(ROUND($G500,2)&lt;0,科目对照收入!$L16&lt;&gt;""),科目对照收入!$L16,科目对照收入!$C16)&amp;""</f>
        <v>应收账款</v>
      </c>
      <c r="F500" s="48" t="str">
        <f aca="false">IF(AND(ROUND($G500,2)&lt;0,科目对照收入!$L16&lt;&gt;""),科目对照收入!$M16,科目对照收入!$D16)&amp;""</f>
        <v>平安</v>
      </c>
      <c r="G500" s="49" t="n">
        <f aca="false">IF(COUNTIFS(输入平台!$A:$A,助手收入!$X24,输入平台!$B:$B,科目对照收入!$B16)&gt;0,ROUND(SUMIFS(输入平台!$C:$C,输入平台!$A:$A,助手收入!$X24,输入平台!$B:$B,科目对照收入!$B16),2),ROUND(海典汇总!$AB$25,2))</f>
        <v>0</v>
      </c>
      <c r="H500" s="49" t="str">
        <f aca="false">IF(ROUND($G500,2)&gt;0,ROUND($G500,2),"")</f>
        <v/>
      </c>
      <c r="I500" s="49" t="str">
        <f aca="false">IF(ROUND($G500,2)&lt;0,-ROUND($G500,2),"")</f>
        <v/>
      </c>
      <c r="J500" s="20" t="n">
        <f aca="false">IF(ROUND($G500,2)=0,0,1)</f>
        <v>0</v>
      </c>
      <c r="K500" s="20" t="str">
        <f aca="false">IF($J500=0,"",SUM($J$486:$J500))</f>
        <v/>
      </c>
      <c r="L500" s="20" t="str">
        <f aca="false">IF($K500="","",$A500*100+$K500)</f>
        <v/>
      </c>
      <c r="M500" s="48" t="str">
        <f aca="false">参数!$B$3</f>
        <v>7月收入</v>
      </c>
    </row>
    <row r="501" customFormat="false" ht="13.5" hidden="false" customHeight="false" outlineLevel="0" collapsed="false">
      <c r="A501" s="47" t="n">
        <v>23</v>
      </c>
      <c r="B501" s="38" t="n">
        <f aca="false">助手收入!$B24</f>
        <v>2036</v>
      </c>
      <c r="C501" s="48" t="str">
        <f aca="false">助手收入!$C24</f>
        <v>黑城店</v>
      </c>
      <c r="D501" s="48" t="str">
        <f aca="false">科目对照收入!$B17&amp;""</f>
        <v>储值卡</v>
      </c>
      <c r="E501" s="48" t="str">
        <f aca="false">IF(AND(ROUND($G501,2)&lt;0,科目对照收入!$L17&lt;&gt;""),科目对照收入!$L17,科目对照收入!$C17)&amp;""</f>
        <v>其他应收款</v>
      </c>
      <c r="F501" s="48" t="str">
        <f aca="false">IF(AND(ROUND($G501,2)&lt;0,科目对照收入!$L17&lt;&gt;""),科目对照收入!$M17,科目对照收入!$D17)&amp;""</f>
        <v>储值卡</v>
      </c>
      <c r="G501" s="49" t="n">
        <f aca="false">ROUND(海典汇总!$Q$25,2)</f>
        <v>0</v>
      </c>
      <c r="H501" s="49" t="str">
        <f aca="false">IF(ROUND($G501,2)&gt;0,ROUND($G501,2),"")</f>
        <v/>
      </c>
      <c r="I501" s="49" t="str">
        <f aca="false">IF(ROUND($G501,2)&lt;0,-ROUND($G501,2),"")</f>
        <v/>
      </c>
      <c r="J501" s="20" t="n">
        <f aca="false">IF(ROUND($G501,2)=0,0,1)</f>
        <v>0</v>
      </c>
      <c r="K501" s="20" t="str">
        <f aca="false">IF($J501=0,"",SUM($J$486:$J501))</f>
        <v/>
      </c>
      <c r="L501" s="20" t="str">
        <f aca="false">IF($K501="","",$A501*100+$K501)</f>
        <v/>
      </c>
      <c r="M501" s="48" t="str">
        <f aca="false">参数!$B$3</f>
        <v>7月收入</v>
      </c>
    </row>
    <row r="502" customFormat="false" ht="13.5" hidden="false" customHeight="false" outlineLevel="0" collapsed="false">
      <c r="A502" s="47" t="n">
        <v>23</v>
      </c>
      <c r="B502" s="38" t="n">
        <f aca="false">助手收入!$B24</f>
        <v>2036</v>
      </c>
      <c r="C502" s="48" t="str">
        <f aca="false">助手收入!$C24</f>
        <v>黑城店</v>
      </c>
      <c r="D502" s="48" t="str">
        <f aca="false">科目对照收入!$B18&amp;""</f>
        <v>会员零钱包</v>
      </c>
      <c r="E502" s="48" t="str">
        <f aca="false">IF(AND(ROUND($G502,2)&lt;0,科目对照收入!$L18&lt;&gt;""),科目对照收入!$L18,科目对照收入!$C18)&amp;""</f>
        <v>其他应收款</v>
      </c>
      <c r="F502" s="48" t="str">
        <f aca="false">IF(AND(ROUND($G502,2)&lt;0,科目对照收入!$L18&lt;&gt;""),科目对照收入!$M18,科目对照收入!$D18)&amp;""</f>
        <v>会员零钱包</v>
      </c>
      <c r="G502" s="49" t="n">
        <f aca="false">ROUND(海典汇总!$P$25,2)</f>
        <v>0</v>
      </c>
      <c r="H502" s="49" t="str">
        <f aca="false">IF(ROUND($G502,2)&gt;0,ROUND($G502,2),"")</f>
        <v/>
      </c>
      <c r="I502" s="49" t="str">
        <f aca="false">IF(ROUND($G502,2)&lt;0,-ROUND($G502,2),"")</f>
        <v/>
      </c>
      <c r="J502" s="20" t="n">
        <f aca="false">IF(ROUND($G502,2)=0,0,1)</f>
        <v>0</v>
      </c>
      <c r="K502" s="20" t="str">
        <f aca="false">IF($J502=0,"",SUM($J$486:$J502))</f>
        <v/>
      </c>
      <c r="L502" s="20" t="str">
        <f aca="false">IF($K502="","",$A502*100+$K502)</f>
        <v/>
      </c>
      <c r="M502" s="48" t="str">
        <f aca="false">参数!$B$3</f>
        <v>7月收入</v>
      </c>
    </row>
    <row r="503" customFormat="false" ht="13.5" hidden="false" customHeight="false" outlineLevel="0" collapsed="false">
      <c r="A503" s="47" t="n">
        <v>23</v>
      </c>
      <c r="B503" s="38" t="n">
        <f aca="false">助手收入!$B24</f>
        <v>2036</v>
      </c>
      <c r="C503" s="48" t="str">
        <f aca="false">助手收入!$C24</f>
        <v>黑城店</v>
      </c>
      <c r="D503" s="48" t="str">
        <f aca="false">科目对照收入!$B19&amp;""</f>
        <v>促销费</v>
      </c>
      <c r="E503" s="48" t="str">
        <f aca="false">IF(AND(ROUND($G503,2)&lt;0,科目对照收入!$L19&lt;&gt;""),科目对照收入!$L19,科目对照收入!$C19)&amp;""</f>
        <v>销售费用</v>
      </c>
      <c r="F503" s="48" t="str">
        <f aca="false">IF(AND(ROUND($G503,2)&lt;0,科目对照收入!$L19&lt;&gt;""),科目对照收入!$M19,科目对照收入!$D19)&amp;""</f>
        <v>促销费</v>
      </c>
      <c r="G503" s="49" t="n">
        <f aca="false">ROUND(海典汇总!$U$25+海典汇总!$T$25+海典汇总!$S$25,2)</f>
        <v>0</v>
      </c>
      <c r="H503" s="49" t="str">
        <f aca="false">IF(ROUND($G503,2)&gt;0,ROUND($G503,2),"")</f>
        <v/>
      </c>
      <c r="I503" s="49" t="str">
        <f aca="false">IF(ROUND($G503,2)&lt;0,-ROUND($G503,2),"")</f>
        <v/>
      </c>
      <c r="J503" s="20" t="n">
        <f aca="false">IF(ROUND($G503,2)=0,0,1)</f>
        <v>0</v>
      </c>
      <c r="K503" s="20" t="str">
        <f aca="false">IF($J503=0,"",SUM($J$486:$J503))</f>
        <v/>
      </c>
      <c r="L503" s="20" t="str">
        <f aca="false">IF($K503="","",$A503*100+$K503)</f>
        <v/>
      </c>
      <c r="M503" s="48" t="str">
        <f aca="false">参数!$B$3</f>
        <v>7月收入</v>
      </c>
    </row>
    <row r="504" customFormat="false" ht="13.5" hidden="false" customHeight="false" outlineLevel="0" collapsed="false">
      <c r="A504" s="47" t="n">
        <v>23</v>
      </c>
      <c r="B504" s="38" t="n">
        <f aca="false">助手收入!$B24</f>
        <v>2036</v>
      </c>
      <c r="C504" s="48" t="str">
        <f aca="false">助手收入!$C24</f>
        <v>黑城店</v>
      </c>
      <c r="D504" s="48" t="str">
        <f aca="false">科目对照收入!$B20&amp;""</f>
        <v>积分</v>
      </c>
      <c r="E504" s="48" t="str">
        <f aca="false">IF(AND(ROUND($G504,2)&lt;0,科目对照收入!$L20&lt;&gt;""),科目对照收入!$L20,科目对照收入!$C20)&amp;""</f>
        <v>销售费用</v>
      </c>
      <c r="F504" s="48" t="str">
        <f aca="false">IF(AND(ROUND($G504,2)&lt;0,科目对照收入!$L20&lt;&gt;""),科目对照收入!$M20,科目对照收入!$D20)&amp;""</f>
        <v>积分</v>
      </c>
      <c r="G504" s="49" t="n">
        <f aca="false">ROUND(海典汇总!$R$25,2)</f>
        <v>0</v>
      </c>
      <c r="H504" s="49" t="str">
        <f aca="false">IF(ROUND($G504,2)&gt;0,ROUND($G504,2),"")</f>
        <v/>
      </c>
      <c r="I504" s="49" t="str">
        <f aca="false">IF(ROUND($G504,2)&lt;0,-ROUND($G504,2),"")</f>
        <v/>
      </c>
      <c r="J504" s="20" t="n">
        <f aca="false">IF(ROUND($G504,2)=0,0,1)</f>
        <v>0</v>
      </c>
      <c r="K504" s="20" t="str">
        <f aca="false">IF($J504=0,"",SUM($J$486:$J504))</f>
        <v/>
      </c>
      <c r="L504" s="20" t="str">
        <f aca="false">IF($K504="","",$A504*100+$K504)</f>
        <v/>
      </c>
      <c r="M504" s="48" t="str">
        <f aca="false">参数!$B$3</f>
        <v>7月收入</v>
      </c>
    </row>
    <row r="505" customFormat="false" ht="13.5" hidden="false" customHeight="false" outlineLevel="0" collapsed="false">
      <c r="A505" s="47" t="n">
        <v>23</v>
      </c>
      <c r="B505" s="38" t="n">
        <f aca="false">助手收入!$B24</f>
        <v>2036</v>
      </c>
      <c r="C505" s="48" t="str">
        <f aca="false">助手收入!$C24</f>
        <v>黑城店</v>
      </c>
      <c r="D505" s="48" t="str">
        <f aca="false">科目对照收入!$B21&amp;""</f>
        <v>手续费</v>
      </c>
      <c r="E505" s="48" t="str">
        <f aca="false">IF(AND(ROUND($G505,2)&lt;0,科目对照收入!$L21&lt;&gt;""),科目对照收入!$L21,科目对照收入!$C21)&amp;""</f>
        <v>财务费用</v>
      </c>
      <c r="F505" s="48" t="str">
        <f aca="false">IF(AND(ROUND($G505,2)&lt;0,科目对照收入!$L21&lt;&gt;""),科目对照收入!$M21,科目对照收入!$D21)&amp;""</f>
        <v>手续费</v>
      </c>
      <c r="G505" s="49" t="n">
        <f aca="false">ROUND(SUMIFS(输入聚合!$D:$D,输入聚合!$A:$A,助手收入!$X24),2)</f>
        <v>0</v>
      </c>
      <c r="H505" s="49" t="str">
        <f aca="false">IF(ROUND($G505,2)&gt;0,ROUND($G505,2),"")</f>
        <v/>
      </c>
      <c r="I505" s="49" t="str">
        <f aca="false">IF(ROUND($G505,2)&lt;0,-ROUND($G505,2),"")</f>
        <v/>
      </c>
      <c r="J505" s="20" t="n">
        <f aca="false">IF(ROUND($G505,2)=0,0,1)</f>
        <v>0</v>
      </c>
      <c r="K505" s="20" t="str">
        <f aca="false">IF($J505=0,"",SUM($J$486:$J505))</f>
        <v/>
      </c>
      <c r="L505" s="20" t="str">
        <f aca="false">IF($K505="","",$A505*100+$K505)</f>
        <v/>
      </c>
      <c r="M505" s="48" t="str">
        <f aca="false">参数!$B$3</f>
        <v>7月收入</v>
      </c>
    </row>
    <row r="506" customFormat="false" ht="13.5" hidden="false" customHeight="false" outlineLevel="0" collapsed="false">
      <c r="A506" s="47" t="n">
        <v>23</v>
      </c>
      <c r="B506" s="38" t="n">
        <f aca="false">助手收入!$B24</f>
        <v>2036</v>
      </c>
      <c r="C506" s="48" t="str">
        <f aca="false">助手收入!$C24</f>
        <v>黑城店</v>
      </c>
      <c r="D506" s="48" t="str">
        <f aca="false">科目对照收入!$B22&amp;""</f>
        <v>主营业务收入</v>
      </c>
      <c r="E506" s="48" t="str">
        <f aca="false">IF(AND(ROUND($G506,2)&lt;0,科目对照收入!$L22&lt;&gt;""),科目对照收入!$L22,科目对照收入!$C22)&amp;""</f>
        <v>主营业务收入</v>
      </c>
      <c r="F506" s="48" t="str">
        <f aca="false">IF(AND(ROUND($G506,2)&lt;0,科目对照收入!$L22&lt;&gt;""),科目对照收入!$M22,科目对照收入!$D22)&amp;""</f>
        <v/>
      </c>
      <c r="G506" s="49" t="n">
        <f aca="false">-ROUND(助手收入!$G24,2)</f>
        <v>-0</v>
      </c>
      <c r="H506" s="49" t="str">
        <f aca="false">IF(ROUND($G506,2)&gt;0,ROUND($G506,2),"")</f>
        <v/>
      </c>
      <c r="I506" s="49" t="str">
        <f aca="false">IF(ROUND($G506,2)&lt;0,-ROUND($G506,2),"")</f>
        <v/>
      </c>
      <c r="J506" s="20" t="n">
        <f aca="false">IF(ROUND($G506,2)=0,0,1)</f>
        <v>0</v>
      </c>
      <c r="K506" s="20" t="str">
        <f aca="false">IF($J506=0,"",SUM($J$486:$J506))</f>
        <v/>
      </c>
      <c r="L506" s="20" t="str">
        <f aca="false">IF($K506="","",$A506*100+$K506)</f>
        <v/>
      </c>
      <c r="M506" s="48" t="str">
        <f aca="false">参数!$B$3</f>
        <v>7月收入</v>
      </c>
    </row>
    <row r="507" customFormat="false" ht="13.5" hidden="false" customHeight="false" outlineLevel="0" collapsed="false">
      <c r="A507" s="47" t="n">
        <v>23</v>
      </c>
      <c r="B507" s="38" t="n">
        <f aca="false">助手收入!$B24</f>
        <v>2036</v>
      </c>
      <c r="C507" s="48" t="str">
        <f aca="false">助手收入!$C24</f>
        <v>黑城店</v>
      </c>
      <c r="D507" s="48" t="str">
        <f aca="false">科目对照收入!$B23&amp;""</f>
        <v>营业外收入</v>
      </c>
      <c r="E507" s="48" t="str">
        <f aca="false">IF(AND(ROUND($G507,2)&lt;0,科目对照收入!$L23&lt;&gt;""),科目对照收入!$L23,科目对照收入!$C23)&amp;""</f>
        <v>营业外收入</v>
      </c>
      <c r="F507" s="48" t="str">
        <f aca="false">IF(AND(ROUND($G507,2)&lt;0,科目对照收入!$L23&lt;&gt;""),科目对照收入!$M23,科目对照收入!$D23)&amp;""</f>
        <v/>
      </c>
      <c r="G507" s="49" t="n">
        <f aca="false">-ROUND(助手收入!$J24,2)</f>
        <v>-0</v>
      </c>
      <c r="H507" s="49" t="str">
        <f aca="false">IF(ROUND($G507,2)&gt;0,ROUND($G507,2),"")</f>
        <v/>
      </c>
      <c r="I507" s="49" t="str">
        <f aca="false">IF(ROUND($G507,2)&lt;0,-ROUND($G507,2),"")</f>
        <v/>
      </c>
      <c r="J507" s="20" t="n">
        <f aca="false">IF(ROUND($G507,2)=0,0,1)</f>
        <v>0</v>
      </c>
      <c r="K507" s="20" t="str">
        <f aca="false">IF($J507=0,"",SUM($J$486:$J507))</f>
        <v/>
      </c>
      <c r="L507" s="20" t="str">
        <f aca="false">IF($K507="","",$A507*100+$K507)</f>
        <v/>
      </c>
      <c r="M507" s="48" t="str">
        <f aca="false">参数!$B$3</f>
        <v>7月收入</v>
      </c>
    </row>
    <row r="508" customFormat="false" ht="13.5" hidden="false" customHeight="false" outlineLevel="0" collapsed="false">
      <c r="A508" s="47" t="n">
        <v>24</v>
      </c>
      <c r="B508" s="38" t="n">
        <f aca="false">助手收入!$B25</f>
        <v>2037</v>
      </c>
      <c r="C508" s="48" t="str">
        <f aca="false">助手收入!$C25</f>
        <v>新华路店</v>
      </c>
      <c r="D508" s="48" t="str">
        <f aca="false">科目对照收入!$B2&amp;""</f>
        <v>库存现金</v>
      </c>
      <c r="E508" s="48" t="str">
        <f aca="false">IF(AND(ROUND($G508,2)&lt;0,科目对照收入!$L2&lt;&gt;""),科目对照收入!$L2,科目对照收入!$C2)&amp;""</f>
        <v>库存现金</v>
      </c>
      <c r="F508" s="48" t="str">
        <f aca="false">IF(AND(ROUND($G508,2)&lt;0,科目对照收入!$L2&lt;&gt;""),科目对照收入!$M2,科目对照收入!$D2)&amp;""</f>
        <v/>
      </c>
      <c r="G508" s="49" t="n">
        <f aca="false">助手收入!$I25</f>
        <v>9545.13</v>
      </c>
      <c r="H508" s="49" t="n">
        <f aca="false">IF(ROUND($G508,2)&gt;0,ROUND($G508,2),"")</f>
        <v>9545.13</v>
      </c>
      <c r="I508" s="49" t="str">
        <f aca="false">IF(ROUND($G508,2)&lt;0,-ROUND($G508,2),"")</f>
        <v/>
      </c>
      <c r="J508" s="20" t="n">
        <f aca="false">IF(ROUND($G508,2)=0,0,1)</f>
        <v>1</v>
      </c>
      <c r="K508" s="20" t="n">
        <f aca="false">IF($J508=0,"",SUM($J$508:$J508))</f>
        <v>1</v>
      </c>
      <c r="L508" s="20" t="n">
        <f aca="false">IF($K508="","",$A508*100+$K508)</f>
        <v>2401</v>
      </c>
      <c r="M508" s="48" t="str">
        <f aca="false">参数!$B$3</f>
        <v>7月收入</v>
      </c>
    </row>
    <row r="509" customFormat="false" ht="13.5" hidden="false" customHeight="false" outlineLevel="0" collapsed="false">
      <c r="A509" s="47" t="n">
        <v>24</v>
      </c>
      <c r="B509" s="38" t="n">
        <f aca="false">助手收入!$B25</f>
        <v>2037</v>
      </c>
      <c r="C509" s="48" t="str">
        <f aca="false">助手收入!$C25</f>
        <v>新华路店</v>
      </c>
      <c r="D509" s="48" t="str">
        <f aca="false">科目对照收入!$B3&amp;""</f>
        <v>聚合支付</v>
      </c>
      <c r="E509" s="48" t="str">
        <f aca="false">IF(AND(ROUND($G509,2)&lt;0,科目对照收入!$L3&lt;&gt;""),科目对照收入!$L3,科目对照收入!$C3)&amp;""</f>
        <v>应收账款</v>
      </c>
      <c r="F509" s="48" t="str">
        <f aca="false">IF(AND(ROUND($G509,2)&lt;0,科目对照收入!$L3&lt;&gt;""),科目对照收入!$M3,科目对照收入!$D3)&amp;""</f>
        <v>聚合支付</v>
      </c>
      <c r="G509" s="49" t="n">
        <f aca="false">ROUND(SUMIFS(输入聚合!$C:$C,输入聚合!$A:$A,助手收入!$X25)-SUMIFS(输入聚合!$D:$D,输入聚合!$A:$A,助手收入!$X25),2)</f>
        <v>17456.18</v>
      </c>
      <c r="H509" s="49" t="n">
        <f aca="false">IF(ROUND($G509,2)&gt;0,ROUND($G509,2),"")</f>
        <v>17456.18</v>
      </c>
      <c r="I509" s="49" t="str">
        <f aca="false">IF(ROUND($G509,2)&lt;0,-ROUND($G509,2),"")</f>
        <v/>
      </c>
      <c r="J509" s="20" t="n">
        <f aca="false">IF(ROUND($G509,2)=0,0,1)</f>
        <v>1</v>
      </c>
      <c r="K509" s="20" t="n">
        <f aca="false">IF($J509=0,"",SUM($J$508:$J509))</f>
        <v>2</v>
      </c>
      <c r="L509" s="20" t="n">
        <f aca="false">IF($K509="","",$A509*100+$K509)</f>
        <v>2402</v>
      </c>
      <c r="M509" s="48" t="str">
        <f aca="false">参数!$B$3</f>
        <v>7月收入</v>
      </c>
    </row>
    <row r="510" customFormat="false" ht="13.5" hidden="false" customHeight="false" outlineLevel="0" collapsed="false">
      <c r="A510" s="47" t="n">
        <v>24</v>
      </c>
      <c r="B510" s="38" t="n">
        <f aca="false">助手收入!$B25</f>
        <v>2037</v>
      </c>
      <c r="C510" s="48" t="str">
        <f aca="false">助手收入!$C25</f>
        <v>新华路店</v>
      </c>
      <c r="D510" s="48" t="str">
        <f aca="false">科目对照收入!$B4&amp;""</f>
        <v>医保</v>
      </c>
      <c r="E510" s="48" t="str">
        <f aca="false">IF(AND(ROUND($G510,2)&lt;0,科目对照收入!$L4&lt;&gt;""),科目对照收入!$L4,科目对照收入!$C4)&amp;""</f>
        <v>应收账款</v>
      </c>
      <c r="F510" s="48" t="str">
        <f aca="false">IF(AND(ROUND($G510,2)&lt;0,科目对照收入!$L4&lt;&gt;""),科目对照收入!$M4,科目对照收入!$D4)&amp;""</f>
        <v>医保</v>
      </c>
      <c r="G510" s="49" t="n">
        <f aca="false">IF(COUNTIFS(输入平台!$A:$A,助手收入!$X25,输入平台!$B:$B,科目对照收入!$B4)&gt;0,ROUND(SUMIFS(输入平台!$C:$C,输入平台!$A:$A,助手收入!$X25,输入平台!$B:$B,科目对照收入!$B4),2),ROUND(海典汇总!$F$26+海典汇总!$G$26,2))</f>
        <v>10175.12</v>
      </c>
      <c r="H510" s="49" t="n">
        <f aca="false">IF(ROUND($G510,2)&gt;0,ROUND($G510,2),"")</f>
        <v>10175.12</v>
      </c>
      <c r="I510" s="49" t="str">
        <f aca="false">IF(ROUND($G510,2)&lt;0,-ROUND($G510,2),"")</f>
        <v/>
      </c>
      <c r="J510" s="20" t="n">
        <f aca="false">IF(ROUND($G510,2)=0,0,1)</f>
        <v>1</v>
      </c>
      <c r="K510" s="20" t="n">
        <f aca="false">IF($J510=0,"",SUM($J$508:$J510))</f>
        <v>3</v>
      </c>
      <c r="L510" s="20" t="n">
        <f aca="false">IF($K510="","",$A510*100+$K510)</f>
        <v>2403</v>
      </c>
      <c r="M510" s="48" t="str">
        <f aca="false">参数!$B$3</f>
        <v>7月收入</v>
      </c>
    </row>
    <row r="511" customFormat="false" ht="13.5" hidden="false" customHeight="false" outlineLevel="0" collapsed="false">
      <c r="A511" s="47" t="n">
        <v>24</v>
      </c>
      <c r="B511" s="38" t="n">
        <f aca="false">助手收入!$B25</f>
        <v>2037</v>
      </c>
      <c r="C511" s="48" t="str">
        <f aca="false">助手收入!$C25</f>
        <v>新华路店</v>
      </c>
      <c r="D511" s="48" t="str">
        <f aca="false">科目对照收入!$B5&amp;""</f>
        <v>健e卡</v>
      </c>
      <c r="E511" s="48" t="str">
        <f aca="false">IF(AND(ROUND($G511,2)&lt;0,科目对照收入!$L5&lt;&gt;""),科目对照收入!$L5,科目对照收入!$C5)&amp;""</f>
        <v>应收账款</v>
      </c>
      <c r="F511" s="48" t="str">
        <f aca="false">IF(AND(ROUND($G511,2)&lt;0,科目对照收入!$L5&lt;&gt;""),科目对照收入!$M5,科目对照收入!$D5)&amp;""</f>
        <v>健e卡</v>
      </c>
      <c r="G511" s="49" t="n">
        <f aca="false">IF(COUNTIFS(输入平台!$A:$A,助手收入!$X25,输入平台!$B:$B,科目对照收入!$B5)&gt;0,ROUND(SUMIFS(输入平台!$C:$C,输入平台!$A:$A,助手收入!$X25,输入平台!$B:$B,科目对照收入!$B5),2),ROUND(海典汇总!$H$26,2))</f>
        <v>302.86</v>
      </c>
      <c r="H511" s="49" t="n">
        <f aca="false">IF(ROUND($G511,2)&gt;0,ROUND($G511,2),"")</f>
        <v>302.86</v>
      </c>
      <c r="I511" s="49" t="str">
        <f aca="false">IF(ROUND($G511,2)&lt;0,-ROUND($G511,2),"")</f>
        <v/>
      </c>
      <c r="J511" s="20" t="n">
        <f aca="false">IF(ROUND($G511,2)=0,0,1)</f>
        <v>1</v>
      </c>
      <c r="K511" s="20" t="n">
        <f aca="false">IF($J511=0,"",SUM($J$508:$J511))</f>
        <v>4</v>
      </c>
      <c r="L511" s="20" t="n">
        <f aca="false">IF($K511="","",$A511*100+$K511)</f>
        <v>2404</v>
      </c>
      <c r="M511" s="48" t="str">
        <f aca="false">参数!$B$3</f>
        <v>7月收入</v>
      </c>
    </row>
    <row r="512" customFormat="false" ht="13.5" hidden="false" customHeight="false" outlineLevel="0" collapsed="false">
      <c r="A512" s="47" t="n">
        <v>24</v>
      </c>
      <c r="B512" s="38" t="n">
        <f aca="false">助手收入!$B25</f>
        <v>2037</v>
      </c>
      <c r="C512" s="48" t="str">
        <f aca="false">助手收入!$C25</f>
        <v>新华路店</v>
      </c>
      <c r="D512" s="48" t="str">
        <f aca="false">科目对照收入!$B6&amp;""</f>
        <v>医卡通</v>
      </c>
      <c r="E512" s="48" t="str">
        <f aca="false">IF(AND(ROUND($G512,2)&lt;0,科目对照收入!$L6&lt;&gt;""),科目对照收入!$L6,科目对照收入!$C6)&amp;""</f>
        <v>应收账款</v>
      </c>
      <c r="F512" s="48" t="str">
        <f aca="false">IF(AND(ROUND($G512,2)&lt;0,科目对照收入!$L6&lt;&gt;""),科目对照收入!$M6,科目对照收入!$D6)&amp;""</f>
        <v>医卡通</v>
      </c>
      <c r="G512" s="49" t="n">
        <f aca="false">IF(COUNTIFS(输入平台!$A:$A,助手收入!$X25,输入平台!$B:$B,科目对照收入!$B6)&gt;0,ROUND(SUMIFS(输入平台!$C:$C,输入平台!$A:$A,助手收入!$X25,输入平台!$B:$B,科目对照收入!$B6),2),ROUND(海典汇总!$I$26,2))</f>
        <v>220.9</v>
      </c>
      <c r="H512" s="49" t="n">
        <f aca="false">IF(ROUND($G512,2)&gt;0,ROUND($G512,2),"")</f>
        <v>220.9</v>
      </c>
      <c r="I512" s="49" t="str">
        <f aca="false">IF(ROUND($G512,2)&lt;0,-ROUND($G512,2),"")</f>
        <v/>
      </c>
      <c r="J512" s="20" t="n">
        <f aca="false">IF(ROUND($G512,2)=0,0,1)</f>
        <v>1</v>
      </c>
      <c r="K512" s="20" t="n">
        <f aca="false">IF($J512=0,"",SUM($J$508:$J512))</f>
        <v>5</v>
      </c>
      <c r="L512" s="20" t="n">
        <f aca="false">IF($K512="","",$A512*100+$K512)</f>
        <v>2405</v>
      </c>
      <c r="M512" s="48" t="str">
        <f aca="false">参数!$B$3</f>
        <v>7月收入</v>
      </c>
    </row>
    <row r="513" customFormat="false" ht="13.5" hidden="false" customHeight="false" outlineLevel="0" collapsed="false">
      <c r="A513" s="47" t="n">
        <v>24</v>
      </c>
      <c r="B513" s="38" t="n">
        <f aca="false">助手收入!$B25</f>
        <v>2037</v>
      </c>
      <c r="C513" s="48" t="str">
        <f aca="false">助手收入!$C25</f>
        <v>新华路店</v>
      </c>
      <c r="D513" s="48" t="str">
        <f aca="false">科目对照收入!$B7&amp;""</f>
        <v>企健网</v>
      </c>
      <c r="E513" s="48" t="str">
        <f aca="false">IF(AND(ROUND($G513,2)&lt;0,科目对照收入!$L7&lt;&gt;""),科目对照收入!$L7,科目对照收入!$C7)&amp;""</f>
        <v>应收账款</v>
      </c>
      <c r="F513" s="48" t="str">
        <f aca="false">IF(AND(ROUND($G513,2)&lt;0,科目对照收入!$L7&lt;&gt;""),科目对照收入!$M7,科目对照收入!$D7)&amp;""</f>
        <v>企健网</v>
      </c>
      <c r="G513" s="49" t="n">
        <f aca="false">IF(COUNTIFS(输入平台!$A:$A,助手收入!$X25,输入平台!$B:$B,科目对照收入!$B7)&gt;0,ROUND(SUMIFS(输入平台!$C:$C,输入平台!$A:$A,助手收入!$X25,输入平台!$B:$B,科目对照收入!$B7),2),ROUND(海典汇总!$J$26,2))</f>
        <v>0</v>
      </c>
      <c r="H513" s="49" t="str">
        <f aca="false">IF(ROUND($G513,2)&gt;0,ROUND($G513,2),"")</f>
        <v/>
      </c>
      <c r="I513" s="49" t="str">
        <f aca="false">IF(ROUND($G513,2)&lt;0,-ROUND($G513,2),"")</f>
        <v/>
      </c>
      <c r="J513" s="20" t="n">
        <f aca="false">IF(ROUND($G513,2)=0,0,1)</f>
        <v>0</v>
      </c>
      <c r="K513" s="20" t="str">
        <f aca="false">IF($J513=0,"",SUM($J$508:$J513))</f>
        <v/>
      </c>
      <c r="L513" s="20" t="str">
        <f aca="false">IF($K513="","",$A513*100+$K513)</f>
        <v/>
      </c>
      <c r="M513" s="48" t="str">
        <f aca="false">参数!$B$3</f>
        <v>7月收入</v>
      </c>
    </row>
    <row r="514" customFormat="false" ht="13.5" hidden="false" customHeight="false" outlineLevel="0" collapsed="false">
      <c r="A514" s="47" t="n">
        <v>24</v>
      </c>
      <c r="B514" s="38" t="n">
        <f aca="false">助手收入!$B25</f>
        <v>2037</v>
      </c>
      <c r="C514" s="48" t="str">
        <f aca="false">助手收入!$C25</f>
        <v>新华路店</v>
      </c>
      <c r="D514" s="48" t="str">
        <f aca="false">科目对照收入!$B8&amp;""</f>
        <v>亲情卡</v>
      </c>
      <c r="E514" s="48" t="str">
        <f aca="false">IF(AND(ROUND($G514,2)&lt;0,科目对照收入!$L8&lt;&gt;""),科目对照收入!$L8,科目对照收入!$C8)&amp;""</f>
        <v>应收账款</v>
      </c>
      <c r="F514" s="48" t="str">
        <f aca="false">IF(AND(ROUND($G514,2)&lt;0,科目对照收入!$L8&lt;&gt;""),科目对照收入!$M8,科目对照收入!$D8)&amp;""</f>
        <v>亲情卡</v>
      </c>
      <c r="G514" s="49" t="n">
        <f aca="false">IF(COUNTIFS(输入平台!$A:$A,助手收入!$X25,输入平台!$B:$B,科目对照收入!$B8)&gt;0,ROUND(SUMIFS(输入平台!$C:$C,输入平台!$A:$A,助手收入!$X25,输入平台!$B:$B,科目对照收入!$B8),2),ROUND(海典汇总!$Z$26,2))</f>
        <v>0</v>
      </c>
      <c r="H514" s="49" t="str">
        <f aca="false">IF(ROUND($G514,2)&gt;0,ROUND($G514,2),"")</f>
        <v/>
      </c>
      <c r="I514" s="49" t="str">
        <f aca="false">IF(ROUND($G514,2)&lt;0,-ROUND($G514,2),"")</f>
        <v/>
      </c>
      <c r="J514" s="20" t="n">
        <f aca="false">IF(ROUND($G514,2)=0,0,1)</f>
        <v>0</v>
      </c>
      <c r="K514" s="20" t="str">
        <f aca="false">IF($J514=0,"",SUM($J$508:$J514))</f>
        <v/>
      </c>
      <c r="L514" s="20" t="str">
        <f aca="false">IF($K514="","",$A514*100+$K514)</f>
        <v/>
      </c>
      <c r="M514" s="48" t="str">
        <f aca="false">参数!$B$3</f>
        <v>7月收入</v>
      </c>
    </row>
    <row r="515" customFormat="false" ht="13.5" hidden="false" customHeight="false" outlineLevel="0" collapsed="false">
      <c r="A515" s="47" t="n">
        <v>24</v>
      </c>
      <c r="B515" s="38" t="n">
        <f aca="false">助手收入!$B25</f>
        <v>2037</v>
      </c>
      <c r="C515" s="48" t="str">
        <f aca="false">助手收入!$C25</f>
        <v>新华路店</v>
      </c>
      <c r="D515" s="48" t="str">
        <f aca="false">科目对照收入!$B9&amp;""</f>
        <v>24小时</v>
      </c>
      <c r="E515" s="48" t="str">
        <f aca="false">IF(AND(ROUND($G515,2)&lt;0,科目对照收入!$L9&lt;&gt;""),科目对照收入!$L9,科目对照收入!$C9)&amp;""</f>
        <v>应收账款</v>
      </c>
      <c r="F515" s="48" t="str">
        <f aca="false">IF(AND(ROUND($G515,2)&lt;0,科目对照收入!$L9&lt;&gt;""),科目对照收入!$M9,科目对照收入!$D9)&amp;""</f>
        <v>24小时</v>
      </c>
      <c r="G515" s="49" t="n">
        <f aca="false">IF(COUNTIFS(输入平台!$A:$A,助手收入!$X25,输入平台!$B:$B,科目对照收入!$B9)&gt;0,ROUND(SUMIFS(输入平台!$C:$C,输入平台!$A:$A,助手收入!$X25,输入平台!$B:$B,科目对照收入!$B9),2),ROUND(海典汇总!$K$26,2))</f>
        <v>0</v>
      </c>
      <c r="H515" s="49" t="str">
        <f aca="false">IF(ROUND($G515,2)&gt;0,ROUND($G515,2),"")</f>
        <v/>
      </c>
      <c r="I515" s="49" t="str">
        <f aca="false">IF(ROUND($G515,2)&lt;0,-ROUND($G515,2),"")</f>
        <v/>
      </c>
      <c r="J515" s="20" t="n">
        <f aca="false">IF(ROUND($G515,2)=0,0,1)</f>
        <v>0</v>
      </c>
      <c r="K515" s="20" t="str">
        <f aca="false">IF($J515=0,"",SUM($J$508:$J515))</f>
        <v/>
      </c>
      <c r="L515" s="20" t="str">
        <f aca="false">IF($K515="","",$A515*100+$K515)</f>
        <v/>
      </c>
      <c r="M515" s="48" t="str">
        <f aca="false">参数!$B$3</f>
        <v>7月收入</v>
      </c>
    </row>
    <row r="516" customFormat="false" ht="13.5" hidden="false" customHeight="false" outlineLevel="0" collapsed="false">
      <c r="A516" s="47" t="n">
        <v>24</v>
      </c>
      <c r="B516" s="38" t="n">
        <f aca="false">助手收入!$B25</f>
        <v>2037</v>
      </c>
      <c r="C516" s="48" t="str">
        <f aca="false">助手收入!$C25</f>
        <v>新华路店</v>
      </c>
      <c r="D516" s="48" t="str">
        <f aca="false">科目对照收入!$B10&amp;""</f>
        <v>美团</v>
      </c>
      <c r="E516" s="48" t="str">
        <f aca="false">IF(AND(ROUND($G516,2)&lt;0,科目对照收入!$L10&lt;&gt;""),科目对照收入!$L10,科目对照收入!$C10)&amp;""</f>
        <v>应收账款</v>
      </c>
      <c r="F516" s="48" t="str">
        <f aca="false">IF(AND(ROUND($G516,2)&lt;0,科目对照收入!$L10&lt;&gt;""),科目对照收入!$M10,科目对照收入!$D10)&amp;""</f>
        <v>美团</v>
      </c>
      <c r="G516" s="49" t="n">
        <f aca="false">IF(COUNTIFS(输入平台!$A:$A,助手收入!$X25,输入平台!$B:$B,科目对照收入!$B10)&gt;0,ROUND(SUMIFS(输入平台!$C:$C,输入平台!$A:$A,助手收入!$X25,输入平台!$B:$B,科目对照收入!$B10),2),ROUND(海典汇总!$M$26,2))</f>
        <v>9448.2</v>
      </c>
      <c r="H516" s="49" t="n">
        <f aca="false">IF(ROUND($G516,2)&gt;0,ROUND($G516,2),"")</f>
        <v>9448.2</v>
      </c>
      <c r="I516" s="49" t="str">
        <f aca="false">IF(ROUND($G516,2)&lt;0,-ROUND($G516,2),"")</f>
        <v/>
      </c>
      <c r="J516" s="20" t="n">
        <f aca="false">IF(ROUND($G516,2)=0,0,1)</f>
        <v>1</v>
      </c>
      <c r="K516" s="20" t="n">
        <f aca="false">IF($J516=0,"",SUM($J$508:$J516))</f>
        <v>6</v>
      </c>
      <c r="L516" s="20" t="n">
        <f aca="false">IF($K516="","",$A516*100+$K516)</f>
        <v>2406</v>
      </c>
      <c r="M516" s="48" t="str">
        <f aca="false">参数!$B$3</f>
        <v>7月收入</v>
      </c>
    </row>
    <row r="517" customFormat="false" ht="13.5" hidden="false" customHeight="false" outlineLevel="0" collapsed="false">
      <c r="A517" s="47" t="n">
        <v>24</v>
      </c>
      <c r="B517" s="38" t="n">
        <f aca="false">助手收入!$B25</f>
        <v>2037</v>
      </c>
      <c r="C517" s="48" t="str">
        <f aca="false">助手收入!$C25</f>
        <v>新华路店</v>
      </c>
      <c r="D517" s="48" t="str">
        <f aca="false">科目对照收入!$B11&amp;""</f>
        <v>饿了么</v>
      </c>
      <c r="E517" s="48" t="str">
        <f aca="false">IF(AND(ROUND($G517,2)&lt;0,科目对照收入!$L11&lt;&gt;""),科目对照收入!$L11,科目对照收入!$C11)&amp;""</f>
        <v>应收账款</v>
      </c>
      <c r="F517" s="48" t="str">
        <f aca="false">IF(AND(ROUND($G517,2)&lt;0,科目对照收入!$L11&lt;&gt;""),科目对照收入!$M11,科目对照收入!$D11)&amp;""</f>
        <v>饿了么</v>
      </c>
      <c r="G517" s="49" t="n">
        <f aca="false">IF(COUNTIFS(输入平台!$A:$A,助手收入!$X25,输入平台!$B:$B,科目对照收入!$B11)&gt;0,ROUND(SUMIFS(输入平台!$C:$C,输入平台!$A:$A,助手收入!$X25,输入平台!$B:$B,科目对照收入!$B11),2),ROUND(海典汇总!$N$26,2))</f>
        <v>6618.4</v>
      </c>
      <c r="H517" s="49" t="n">
        <f aca="false">IF(ROUND($G517,2)&gt;0,ROUND($G517,2),"")</f>
        <v>6618.4</v>
      </c>
      <c r="I517" s="49" t="str">
        <f aca="false">IF(ROUND($G517,2)&lt;0,-ROUND($G517,2),"")</f>
        <v/>
      </c>
      <c r="J517" s="20" t="n">
        <f aca="false">IF(ROUND($G517,2)=0,0,1)</f>
        <v>1</v>
      </c>
      <c r="K517" s="20" t="n">
        <f aca="false">IF($J517=0,"",SUM($J$508:$J517))</f>
        <v>7</v>
      </c>
      <c r="L517" s="20" t="n">
        <f aca="false">IF($K517="","",$A517*100+$K517)</f>
        <v>2407</v>
      </c>
      <c r="M517" s="48" t="str">
        <f aca="false">参数!$B$3</f>
        <v>7月收入</v>
      </c>
    </row>
    <row r="518" customFormat="false" ht="13.5" hidden="false" customHeight="false" outlineLevel="0" collapsed="false">
      <c r="A518" s="47" t="n">
        <v>24</v>
      </c>
      <c r="B518" s="38" t="n">
        <f aca="false">助手收入!$B25</f>
        <v>2037</v>
      </c>
      <c r="C518" s="48" t="str">
        <f aca="false">助手收入!$C25</f>
        <v>新华路店</v>
      </c>
      <c r="D518" s="48" t="str">
        <f aca="false">科目对照收入!$B12&amp;""</f>
        <v>京东秒送</v>
      </c>
      <c r="E518" s="48" t="str">
        <f aca="false">IF(AND(ROUND($G518,2)&lt;0,科目对照收入!$L12&lt;&gt;""),科目对照收入!$L12,科目对照收入!$C12)&amp;""</f>
        <v>应收账款</v>
      </c>
      <c r="F518" s="48" t="str">
        <f aca="false">IF(AND(ROUND($G518,2)&lt;0,科目对照收入!$L12&lt;&gt;""),科目对照收入!$M12,科目对照收入!$D12)&amp;""</f>
        <v>京东秒送</v>
      </c>
      <c r="G518" s="49" t="n">
        <f aca="false">IF(COUNTIFS(输入平台!$A:$A,助手收入!$X25,输入平台!$B:$B,科目对照收入!$B12)&gt;0,ROUND(SUMIFS(输入平台!$C:$C,输入平台!$A:$A,助手收入!$X25,输入平台!$B:$B,科目对照收入!$B12),2),ROUND(海典汇总!$O$26,2))</f>
        <v>75</v>
      </c>
      <c r="H518" s="49" t="n">
        <f aca="false">IF(ROUND($G518,2)&gt;0,ROUND($G518,2),"")</f>
        <v>75</v>
      </c>
      <c r="I518" s="49" t="str">
        <f aca="false">IF(ROUND($G518,2)&lt;0,-ROUND($G518,2),"")</f>
        <v/>
      </c>
      <c r="J518" s="20" t="n">
        <f aca="false">IF(ROUND($G518,2)=0,0,1)</f>
        <v>1</v>
      </c>
      <c r="K518" s="20" t="n">
        <f aca="false">IF($J518=0,"",SUM($J$508:$J518))</f>
        <v>8</v>
      </c>
      <c r="L518" s="20" t="n">
        <f aca="false">IF($K518="","",$A518*100+$K518)</f>
        <v>2408</v>
      </c>
      <c r="M518" s="48" t="str">
        <f aca="false">参数!$B$3</f>
        <v>7月收入</v>
      </c>
    </row>
    <row r="519" customFormat="false" ht="13.5" hidden="false" customHeight="false" outlineLevel="0" collapsed="false">
      <c r="A519" s="47" t="n">
        <v>24</v>
      </c>
      <c r="B519" s="38" t="n">
        <f aca="false">助手收入!$B25</f>
        <v>2037</v>
      </c>
      <c r="C519" s="48" t="str">
        <f aca="false">助手收入!$C25</f>
        <v>新华路店</v>
      </c>
      <c r="D519" s="48" t="str">
        <f aca="false">科目对照收入!$B13&amp;""</f>
        <v>银联</v>
      </c>
      <c r="E519" s="48" t="str">
        <f aca="false">IF(AND(ROUND($G519,2)&lt;0,科目对照收入!$L13&lt;&gt;""),科目对照收入!$L13,科目对照收入!$C13)&amp;""</f>
        <v>应收账款</v>
      </c>
      <c r="F519" s="48" t="str">
        <f aca="false">IF(AND(ROUND($G519,2)&lt;0,科目对照收入!$L13&lt;&gt;""),科目对照收入!$M13,科目对照收入!$D13)&amp;""</f>
        <v>银联</v>
      </c>
      <c r="G519" s="49" t="n">
        <f aca="false">IF(COUNTIFS(输入平台!$A:$A,助手收入!$X25,输入平台!$B:$B,科目对照收入!$B13)&gt;0,ROUND(SUMIFS(输入平台!$C:$C,输入平台!$A:$A,助手收入!$X25,输入平台!$B:$B,科目对照收入!$B13),2),ROUND(海典汇总!$V$26,2))</f>
        <v>0</v>
      </c>
      <c r="H519" s="49" t="str">
        <f aca="false">IF(ROUND($G519,2)&gt;0,ROUND($G519,2),"")</f>
        <v/>
      </c>
      <c r="I519" s="49" t="str">
        <f aca="false">IF(ROUND($G519,2)&lt;0,-ROUND($G519,2),"")</f>
        <v/>
      </c>
      <c r="J519" s="20" t="n">
        <f aca="false">IF(ROUND($G519,2)=0,0,1)</f>
        <v>0</v>
      </c>
      <c r="K519" s="20" t="str">
        <f aca="false">IF($J519=0,"",SUM($J$508:$J519))</f>
        <v/>
      </c>
      <c r="L519" s="20" t="str">
        <f aca="false">IF($K519="","",$A519*100+$K519)</f>
        <v/>
      </c>
      <c r="M519" s="48" t="str">
        <f aca="false">参数!$B$3</f>
        <v>7月收入</v>
      </c>
    </row>
    <row r="520" customFormat="false" ht="13.5" hidden="false" customHeight="false" outlineLevel="0" collapsed="false">
      <c r="A520" s="47" t="n">
        <v>24</v>
      </c>
      <c r="B520" s="38" t="n">
        <f aca="false">助手收入!$B25</f>
        <v>2037</v>
      </c>
      <c r="C520" s="48" t="str">
        <f aca="false">助手收入!$C25</f>
        <v>新华路店</v>
      </c>
      <c r="D520" s="48" t="str">
        <f aca="false">科目对照收入!$B14&amp;""</f>
        <v>小镇外卖</v>
      </c>
      <c r="E520" s="48" t="str">
        <f aca="false">IF(AND(ROUND($G520,2)&lt;0,科目对照收入!$L14&lt;&gt;""),科目对照收入!$L14,科目对照收入!$C14)&amp;""</f>
        <v>应收账款</v>
      </c>
      <c r="F520" s="48" t="str">
        <f aca="false">IF(AND(ROUND($G520,2)&lt;0,科目对照收入!$L14&lt;&gt;""),科目对照收入!$M14,科目对照收入!$D14)&amp;""</f>
        <v>小镇外卖</v>
      </c>
      <c r="G520" s="49" t="n">
        <f aca="false">IF(COUNTIFS(输入平台!$A:$A,助手收入!$X25,输入平台!$B:$B,科目对照收入!$B14)&gt;0,ROUND(SUMIFS(输入平台!$C:$C,输入平台!$A:$A,助手收入!$X25,输入平台!$B:$B,科目对照收入!$B14),2),ROUND(海典汇总!$AC$26,2))</f>
        <v>0</v>
      </c>
      <c r="H520" s="49" t="str">
        <f aca="false">IF(ROUND($G520,2)&gt;0,ROUND($G520,2),"")</f>
        <v/>
      </c>
      <c r="I520" s="49" t="str">
        <f aca="false">IF(ROUND($G520,2)&lt;0,-ROUND($G520,2),"")</f>
        <v/>
      </c>
      <c r="J520" s="20" t="n">
        <f aca="false">IF(ROUND($G520,2)=0,0,1)</f>
        <v>0</v>
      </c>
      <c r="K520" s="20" t="str">
        <f aca="false">IF($J520=0,"",SUM($J$508:$J520))</f>
        <v/>
      </c>
      <c r="L520" s="20" t="str">
        <f aca="false">IF($K520="","",$A520*100+$K520)</f>
        <v/>
      </c>
      <c r="M520" s="48" t="str">
        <f aca="false">参数!$B$3</f>
        <v>7月收入</v>
      </c>
    </row>
    <row r="521" customFormat="false" ht="13.5" hidden="false" customHeight="false" outlineLevel="0" collapsed="false">
      <c r="A521" s="47" t="n">
        <v>24</v>
      </c>
      <c r="B521" s="38" t="n">
        <f aca="false">助手收入!$B25</f>
        <v>2037</v>
      </c>
      <c r="C521" s="48" t="str">
        <f aca="false">助手收入!$C25</f>
        <v>新华路店</v>
      </c>
      <c r="D521" s="48" t="str">
        <f aca="false">科目对照收入!$B15&amp;""</f>
        <v>OMS线上支付</v>
      </c>
      <c r="E521" s="48" t="str">
        <f aca="false">IF(AND(ROUND($G521,2)&lt;0,科目对照收入!$L15&lt;&gt;""),科目对照收入!$L15,科目对照收入!$C15)&amp;""</f>
        <v>应收账款</v>
      </c>
      <c r="F521" s="48" t="str">
        <f aca="false">IF(AND(ROUND($G521,2)&lt;0,科目对照收入!$L15&lt;&gt;""),科目对照收入!$M15,科目对照收入!$D15)&amp;""</f>
        <v>OMS线上</v>
      </c>
      <c r="G521" s="49" t="n">
        <f aca="false">IF(COUNTIFS(输入平台!$A:$A,助手收入!$X25,输入平台!$B:$B,科目对照收入!$B15)&gt;0,ROUND(SUMIFS(输入平台!$C:$C,输入平台!$A:$A,助手收入!$X25,输入平台!$B:$B,科目对照收入!$B15),2),ROUND(海典汇总!$L$26,2))</f>
        <v>0</v>
      </c>
      <c r="H521" s="49" t="str">
        <f aca="false">IF(ROUND($G521,2)&gt;0,ROUND($G521,2),"")</f>
        <v/>
      </c>
      <c r="I521" s="49" t="str">
        <f aca="false">IF(ROUND($G521,2)&lt;0,-ROUND($G521,2),"")</f>
        <v/>
      </c>
      <c r="J521" s="20" t="n">
        <f aca="false">IF(ROUND($G521,2)=0,0,1)</f>
        <v>0</v>
      </c>
      <c r="K521" s="20" t="str">
        <f aca="false">IF($J521=0,"",SUM($J$508:$J521))</f>
        <v/>
      </c>
      <c r="L521" s="20" t="str">
        <f aca="false">IF($K521="","",$A521*100+$K521)</f>
        <v/>
      </c>
      <c r="M521" s="48" t="str">
        <f aca="false">参数!$B$3</f>
        <v>7月收入</v>
      </c>
    </row>
    <row r="522" customFormat="false" ht="13.5" hidden="false" customHeight="false" outlineLevel="0" collapsed="false">
      <c r="A522" s="47" t="n">
        <v>24</v>
      </c>
      <c r="B522" s="38" t="n">
        <f aca="false">助手收入!$B25</f>
        <v>2037</v>
      </c>
      <c r="C522" s="48" t="str">
        <f aca="false">助手收入!$C25</f>
        <v>新华路店</v>
      </c>
      <c r="D522" s="48" t="str">
        <f aca="false">科目对照收入!$B16&amp;""</f>
        <v>平安药卡</v>
      </c>
      <c r="E522" s="48" t="str">
        <f aca="false">IF(AND(ROUND($G522,2)&lt;0,科目对照收入!$L16&lt;&gt;""),科目对照收入!$L16,科目对照收入!$C16)&amp;""</f>
        <v>应收账款</v>
      </c>
      <c r="F522" s="48" t="str">
        <f aca="false">IF(AND(ROUND($G522,2)&lt;0,科目对照收入!$L16&lt;&gt;""),科目对照收入!$M16,科目对照收入!$D16)&amp;""</f>
        <v>平安</v>
      </c>
      <c r="G522" s="49" t="n">
        <f aca="false">IF(COUNTIFS(输入平台!$A:$A,助手收入!$X25,输入平台!$B:$B,科目对照收入!$B16)&gt;0,ROUND(SUMIFS(输入平台!$C:$C,输入平台!$A:$A,助手收入!$X25,输入平台!$B:$B,科目对照收入!$B16),2),ROUND(海典汇总!$AB$26,2))</f>
        <v>0</v>
      </c>
      <c r="H522" s="49" t="str">
        <f aca="false">IF(ROUND($G522,2)&gt;0,ROUND($G522,2),"")</f>
        <v/>
      </c>
      <c r="I522" s="49" t="str">
        <f aca="false">IF(ROUND($G522,2)&lt;0,-ROUND($G522,2),"")</f>
        <v/>
      </c>
      <c r="J522" s="20" t="n">
        <f aca="false">IF(ROUND($G522,2)=0,0,1)</f>
        <v>0</v>
      </c>
      <c r="K522" s="20" t="str">
        <f aca="false">IF($J522=0,"",SUM($J$508:$J522))</f>
        <v/>
      </c>
      <c r="L522" s="20" t="str">
        <f aca="false">IF($K522="","",$A522*100+$K522)</f>
        <v/>
      </c>
      <c r="M522" s="48" t="str">
        <f aca="false">参数!$B$3</f>
        <v>7月收入</v>
      </c>
    </row>
    <row r="523" customFormat="false" ht="13.5" hidden="false" customHeight="false" outlineLevel="0" collapsed="false">
      <c r="A523" s="47" t="n">
        <v>24</v>
      </c>
      <c r="B523" s="38" t="n">
        <f aca="false">助手收入!$B25</f>
        <v>2037</v>
      </c>
      <c r="C523" s="48" t="str">
        <f aca="false">助手收入!$C25</f>
        <v>新华路店</v>
      </c>
      <c r="D523" s="48" t="str">
        <f aca="false">科目对照收入!$B17&amp;""</f>
        <v>储值卡</v>
      </c>
      <c r="E523" s="48" t="str">
        <f aca="false">IF(AND(ROUND($G523,2)&lt;0,科目对照收入!$L17&lt;&gt;""),科目对照收入!$L17,科目对照收入!$C17)&amp;""</f>
        <v>其他应收款</v>
      </c>
      <c r="F523" s="48" t="str">
        <f aca="false">IF(AND(ROUND($G523,2)&lt;0,科目对照收入!$L17&lt;&gt;""),科目对照收入!$M17,科目对照收入!$D17)&amp;""</f>
        <v>储值卡</v>
      </c>
      <c r="G523" s="49" t="n">
        <f aca="false">ROUND(海典汇总!$Q$26,2)</f>
        <v>1783.99</v>
      </c>
      <c r="H523" s="49" t="n">
        <f aca="false">IF(ROUND($G523,2)&gt;0,ROUND($G523,2),"")</f>
        <v>1783.99</v>
      </c>
      <c r="I523" s="49" t="str">
        <f aca="false">IF(ROUND($G523,2)&lt;0,-ROUND($G523,2),"")</f>
        <v/>
      </c>
      <c r="J523" s="20" t="n">
        <f aca="false">IF(ROUND($G523,2)=0,0,1)</f>
        <v>1</v>
      </c>
      <c r="K523" s="20" t="n">
        <f aca="false">IF($J523=0,"",SUM($J$508:$J523))</f>
        <v>9</v>
      </c>
      <c r="L523" s="20" t="n">
        <f aca="false">IF($K523="","",$A523*100+$K523)</f>
        <v>2409</v>
      </c>
      <c r="M523" s="48" t="str">
        <f aca="false">参数!$B$3</f>
        <v>7月收入</v>
      </c>
    </row>
    <row r="524" customFormat="false" ht="13.5" hidden="false" customHeight="false" outlineLevel="0" collapsed="false">
      <c r="A524" s="47" t="n">
        <v>24</v>
      </c>
      <c r="B524" s="38" t="n">
        <f aca="false">助手收入!$B25</f>
        <v>2037</v>
      </c>
      <c r="C524" s="48" t="str">
        <f aca="false">助手收入!$C25</f>
        <v>新华路店</v>
      </c>
      <c r="D524" s="48" t="str">
        <f aca="false">科目对照收入!$B18&amp;""</f>
        <v>会员零钱包</v>
      </c>
      <c r="E524" s="48" t="str">
        <f aca="false">IF(AND(ROUND($G524,2)&lt;0,科目对照收入!$L18&lt;&gt;""),科目对照收入!$L18,科目对照收入!$C18)&amp;""</f>
        <v>其他应收款</v>
      </c>
      <c r="F524" s="48" t="str">
        <f aca="false">IF(AND(ROUND($G524,2)&lt;0,科目对照收入!$L18&lt;&gt;""),科目对照收入!$M18,科目对照收入!$D18)&amp;""</f>
        <v>会员零钱包</v>
      </c>
      <c r="G524" s="49" t="n">
        <f aca="false">ROUND(海典汇总!$P$26,2)</f>
        <v>0</v>
      </c>
      <c r="H524" s="49" t="str">
        <f aca="false">IF(ROUND($G524,2)&gt;0,ROUND($G524,2),"")</f>
        <v/>
      </c>
      <c r="I524" s="49" t="str">
        <f aca="false">IF(ROUND($G524,2)&lt;0,-ROUND($G524,2),"")</f>
        <v/>
      </c>
      <c r="J524" s="20" t="n">
        <f aca="false">IF(ROUND($G524,2)=0,0,1)</f>
        <v>0</v>
      </c>
      <c r="K524" s="20" t="str">
        <f aca="false">IF($J524=0,"",SUM($J$508:$J524))</f>
        <v/>
      </c>
      <c r="L524" s="20" t="str">
        <f aca="false">IF($K524="","",$A524*100+$K524)</f>
        <v/>
      </c>
      <c r="M524" s="48" t="str">
        <f aca="false">参数!$B$3</f>
        <v>7月收入</v>
      </c>
    </row>
    <row r="525" customFormat="false" ht="13.5" hidden="false" customHeight="false" outlineLevel="0" collapsed="false">
      <c r="A525" s="47" t="n">
        <v>24</v>
      </c>
      <c r="B525" s="38" t="n">
        <f aca="false">助手收入!$B25</f>
        <v>2037</v>
      </c>
      <c r="C525" s="48" t="str">
        <f aca="false">助手收入!$C25</f>
        <v>新华路店</v>
      </c>
      <c r="D525" s="48" t="str">
        <f aca="false">科目对照收入!$B19&amp;""</f>
        <v>促销费</v>
      </c>
      <c r="E525" s="48" t="str">
        <f aca="false">IF(AND(ROUND($G525,2)&lt;0,科目对照收入!$L19&lt;&gt;""),科目对照收入!$L19,科目对照收入!$C19)&amp;""</f>
        <v>销售费用</v>
      </c>
      <c r="F525" s="48" t="str">
        <f aca="false">IF(AND(ROUND($G525,2)&lt;0,科目对照收入!$L19&lt;&gt;""),科目对照收入!$M19,科目对照收入!$D19)&amp;""</f>
        <v>促销费</v>
      </c>
      <c r="G525" s="49" t="n">
        <f aca="false">ROUND(海典汇总!$U$26+海典汇总!$T$26+海典汇总!$S$26,2)</f>
        <v>1446.72</v>
      </c>
      <c r="H525" s="49" t="n">
        <f aca="false">IF(ROUND($G525,2)&gt;0,ROUND($G525,2),"")</f>
        <v>1446.72</v>
      </c>
      <c r="I525" s="49" t="str">
        <f aca="false">IF(ROUND($G525,2)&lt;0,-ROUND($G525,2),"")</f>
        <v/>
      </c>
      <c r="J525" s="20" t="n">
        <f aca="false">IF(ROUND($G525,2)=0,0,1)</f>
        <v>1</v>
      </c>
      <c r="K525" s="20" t="n">
        <f aca="false">IF($J525=0,"",SUM($J$508:$J525))</f>
        <v>10</v>
      </c>
      <c r="L525" s="20" t="n">
        <f aca="false">IF($K525="","",$A525*100+$K525)</f>
        <v>2410</v>
      </c>
      <c r="M525" s="48" t="str">
        <f aca="false">参数!$B$3</f>
        <v>7月收入</v>
      </c>
    </row>
    <row r="526" customFormat="false" ht="13.5" hidden="false" customHeight="false" outlineLevel="0" collapsed="false">
      <c r="A526" s="47" t="n">
        <v>24</v>
      </c>
      <c r="B526" s="38" t="n">
        <f aca="false">助手收入!$B25</f>
        <v>2037</v>
      </c>
      <c r="C526" s="48" t="str">
        <f aca="false">助手收入!$C25</f>
        <v>新华路店</v>
      </c>
      <c r="D526" s="48" t="str">
        <f aca="false">科目对照收入!$B20&amp;""</f>
        <v>积分</v>
      </c>
      <c r="E526" s="48" t="str">
        <f aca="false">IF(AND(ROUND($G526,2)&lt;0,科目对照收入!$L20&lt;&gt;""),科目对照收入!$L20,科目对照收入!$C20)&amp;""</f>
        <v>销售费用</v>
      </c>
      <c r="F526" s="48" t="str">
        <f aca="false">IF(AND(ROUND($G526,2)&lt;0,科目对照收入!$L20&lt;&gt;""),科目对照收入!$M20,科目对照收入!$D20)&amp;""</f>
        <v>积分</v>
      </c>
      <c r="G526" s="49" t="n">
        <f aca="false">ROUND(海典汇总!$R$26,2)</f>
        <v>0</v>
      </c>
      <c r="H526" s="49" t="str">
        <f aca="false">IF(ROUND($G526,2)&gt;0,ROUND($G526,2),"")</f>
        <v/>
      </c>
      <c r="I526" s="49" t="str">
        <f aca="false">IF(ROUND($G526,2)&lt;0,-ROUND($G526,2),"")</f>
        <v/>
      </c>
      <c r="J526" s="20" t="n">
        <f aca="false">IF(ROUND($G526,2)=0,0,1)</f>
        <v>0</v>
      </c>
      <c r="K526" s="20" t="str">
        <f aca="false">IF($J526=0,"",SUM($J$508:$J526))</f>
        <v/>
      </c>
      <c r="L526" s="20" t="str">
        <f aca="false">IF($K526="","",$A526*100+$K526)</f>
        <v/>
      </c>
      <c r="M526" s="48" t="str">
        <f aca="false">参数!$B$3</f>
        <v>7月收入</v>
      </c>
    </row>
    <row r="527" customFormat="false" ht="13.5" hidden="false" customHeight="false" outlineLevel="0" collapsed="false">
      <c r="A527" s="47" t="n">
        <v>24</v>
      </c>
      <c r="B527" s="38" t="n">
        <f aca="false">助手收入!$B25</f>
        <v>2037</v>
      </c>
      <c r="C527" s="48" t="str">
        <f aca="false">助手收入!$C25</f>
        <v>新华路店</v>
      </c>
      <c r="D527" s="48" t="str">
        <f aca="false">科目对照收入!$B21&amp;""</f>
        <v>手续费</v>
      </c>
      <c r="E527" s="48" t="str">
        <f aca="false">IF(AND(ROUND($G527,2)&lt;0,科目对照收入!$L21&lt;&gt;""),科目对照收入!$L21,科目对照收入!$C21)&amp;""</f>
        <v>财务费用</v>
      </c>
      <c r="F527" s="48" t="str">
        <f aca="false">IF(AND(ROUND($G527,2)&lt;0,科目对照收入!$L21&lt;&gt;""),科目对照收入!$M21,科目对照收入!$D21)&amp;""</f>
        <v>手续费</v>
      </c>
      <c r="G527" s="49" t="n">
        <f aca="false">ROUND(SUMIFS(输入聚合!$D:$D,输入聚合!$A:$A,助手收入!$X25),2)</f>
        <v>47.26</v>
      </c>
      <c r="H527" s="49" t="n">
        <f aca="false">IF(ROUND($G527,2)&gt;0,ROUND($G527,2),"")</f>
        <v>47.26</v>
      </c>
      <c r="I527" s="49" t="str">
        <f aca="false">IF(ROUND($G527,2)&lt;0,-ROUND($G527,2),"")</f>
        <v/>
      </c>
      <c r="J527" s="20" t="n">
        <f aca="false">IF(ROUND($G527,2)=0,0,1)</f>
        <v>1</v>
      </c>
      <c r="K527" s="20" t="n">
        <f aca="false">IF($J527=0,"",SUM($J$508:$J527))</f>
        <v>11</v>
      </c>
      <c r="L527" s="20" t="n">
        <f aca="false">IF($K527="","",$A527*100+$K527)</f>
        <v>2411</v>
      </c>
      <c r="M527" s="48" t="str">
        <f aca="false">参数!$B$3</f>
        <v>7月收入</v>
      </c>
    </row>
    <row r="528" customFormat="false" ht="13.5" hidden="false" customHeight="false" outlineLevel="0" collapsed="false">
      <c r="A528" s="47" t="n">
        <v>24</v>
      </c>
      <c r="B528" s="38" t="n">
        <f aca="false">助手收入!$B25</f>
        <v>2037</v>
      </c>
      <c r="C528" s="48" t="str">
        <f aca="false">助手收入!$C25</f>
        <v>新华路店</v>
      </c>
      <c r="D528" s="48" t="str">
        <f aca="false">科目对照收入!$B22&amp;""</f>
        <v>主营业务收入</v>
      </c>
      <c r="E528" s="48" t="str">
        <f aca="false">IF(AND(ROUND($G528,2)&lt;0,科目对照收入!$L22&lt;&gt;""),科目对照收入!$L22,科目对照收入!$C22)&amp;""</f>
        <v>主营业务收入</v>
      </c>
      <c r="F528" s="48" t="str">
        <f aca="false">IF(AND(ROUND($G528,2)&lt;0,科目对照收入!$L22&lt;&gt;""),科目对照收入!$M22,科目对照收入!$D22)&amp;""</f>
        <v/>
      </c>
      <c r="G528" s="49" t="n">
        <f aca="false">-ROUND(助手收入!$G25,2)</f>
        <v>-57119.76</v>
      </c>
      <c r="H528" s="49" t="str">
        <f aca="false">IF(ROUND($G528,2)&gt;0,ROUND($G528,2),"")</f>
        <v/>
      </c>
      <c r="I528" s="49" t="n">
        <f aca="false">IF(ROUND($G528,2)&lt;0,-ROUND($G528,2),"")</f>
        <v>57119.76</v>
      </c>
      <c r="J528" s="20" t="n">
        <f aca="false">IF(ROUND($G528,2)=0,0,1)</f>
        <v>1</v>
      </c>
      <c r="K528" s="20" t="n">
        <f aca="false">IF($J528=0,"",SUM($J$508:$J528))</f>
        <v>12</v>
      </c>
      <c r="L528" s="20" t="n">
        <f aca="false">IF($K528="","",$A528*100+$K528)</f>
        <v>2412</v>
      </c>
      <c r="M528" s="48" t="str">
        <f aca="false">参数!$B$3</f>
        <v>7月收入</v>
      </c>
    </row>
    <row r="529" customFormat="false" ht="13.5" hidden="false" customHeight="false" outlineLevel="0" collapsed="false">
      <c r="A529" s="47" t="n">
        <v>24</v>
      </c>
      <c r="B529" s="38" t="n">
        <f aca="false">助手收入!$B25</f>
        <v>2037</v>
      </c>
      <c r="C529" s="48" t="str">
        <f aca="false">助手收入!$C25</f>
        <v>新华路店</v>
      </c>
      <c r="D529" s="48" t="str">
        <f aca="false">科目对照收入!$B23&amp;""</f>
        <v>营业外收入</v>
      </c>
      <c r="E529" s="48" t="str">
        <f aca="false">IF(AND(ROUND($G529,2)&lt;0,科目对照收入!$L23&lt;&gt;""),科目对照收入!$L23,科目对照收入!$C23)&amp;""</f>
        <v>营业外收入</v>
      </c>
      <c r="F529" s="48" t="str">
        <f aca="false">IF(AND(ROUND($G529,2)&lt;0,科目对照收入!$L23&lt;&gt;""),科目对照收入!$M23,科目对照收入!$D23)&amp;""</f>
        <v/>
      </c>
      <c r="G529" s="49" t="n">
        <f aca="false">-ROUND(助手收入!$J25,2)</f>
        <v>-0</v>
      </c>
      <c r="H529" s="49" t="str">
        <f aca="false">IF(ROUND($G529,2)&gt;0,ROUND($G529,2),"")</f>
        <v/>
      </c>
      <c r="I529" s="49" t="str">
        <f aca="false">IF(ROUND($G529,2)&lt;0,-ROUND($G529,2),"")</f>
        <v/>
      </c>
      <c r="J529" s="20" t="n">
        <f aca="false">IF(ROUND($G529,2)=0,0,1)</f>
        <v>0</v>
      </c>
      <c r="K529" s="20" t="str">
        <f aca="false">IF($J529=0,"",SUM($J$508:$J529))</f>
        <v/>
      </c>
      <c r="L529" s="20" t="str">
        <f aca="false">IF($K529="","",$A529*100+$K529)</f>
        <v/>
      </c>
      <c r="M529" s="48" t="str">
        <f aca="false">参数!$B$3</f>
        <v>7月收入</v>
      </c>
    </row>
    <row r="530" customFormat="false" ht="13.5" hidden="false" customHeight="false" outlineLevel="0" collapsed="false">
      <c r="A530" s="47" t="n">
        <v>25</v>
      </c>
      <c r="B530" s="38" t="n">
        <f aca="false">助手收入!$B26</f>
        <v>2038</v>
      </c>
      <c r="C530" s="48" t="str">
        <f aca="false">助手收入!$C26</f>
        <v>杨村王街店</v>
      </c>
      <c r="D530" s="48" t="str">
        <f aca="false">科目对照收入!$B2&amp;""</f>
        <v>库存现金</v>
      </c>
      <c r="E530" s="48" t="str">
        <f aca="false">IF(AND(ROUND($G530,2)&lt;0,科目对照收入!$L2&lt;&gt;""),科目对照收入!$L2,科目对照收入!$C2)&amp;""</f>
        <v>库存现金</v>
      </c>
      <c r="F530" s="48" t="str">
        <f aca="false">IF(AND(ROUND($G530,2)&lt;0,科目对照收入!$L2&lt;&gt;""),科目对照收入!$M2,科目对照收入!$D2)&amp;""</f>
        <v/>
      </c>
      <c r="G530" s="49" t="n">
        <f aca="false">助手收入!$I26</f>
        <v>9460.39</v>
      </c>
      <c r="H530" s="49" t="n">
        <f aca="false">IF(ROUND($G530,2)&gt;0,ROUND($G530,2),"")</f>
        <v>9460.39</v>
      </c>
      <c r="I530" s="49" t="str">
        <f aca="false">IF(ROUND($G530,2)&lt;0,-ROUND($G530,2),"")</f>
        <v/>
      </c>
      <c r="J530" s="20" t="n">
        <f aca="false">IF(ROUND($G530,2)=0,0,1)</f>
        <v>1</v>
      </c>
      <c r="K530" s="20" t="n">
        <f aca="false">IF($J530=0,"",SUM($J$530:$J530))</f>
        <v>1</v>
      </c>
      <c r="L530" s="20" t="n">
        <f aca="false">IF($K530="","",$A530*100+$K530)</f>
        <v>2501</v>
      </c>
      <c r="M530" s="48" t="str">
        <f aca="false">参数!$B$3</f>
        <v>7月收入</v>
      </c>
    </row>
    <row r="531" customFormat="false" ht="13.5" hidden="false" customHeight="false" outlineLevel="0" collapsed="false">
      <c r="A531" s="47" t="n">
        <v>25</v>
      </c>
      <c r="B531" s="38" t="n">
        <f aca="false">助手收入!$B26</f>
        <v>2038</v>
      </c>
      <c r="C531" s="48" t="str">
        <f aca="false">助手收入!$C26</f>
        <v>杨村王街店</v>
      </c>
      <c r="D531" s="48" t="str">
        <f aca="false">科目对照收入!$B3&amp;""</f>
        <v>聚合支付</v>
      </c>
      <c r="E531" s="48" t="str">
        <f aca="false">IF(AND(ROUND($G531,2)&lt;0,科目对照收入!$L3&lt;&gt;""),科目对照收入!$L3,科目对照收入!$C3)&amp;""</f>
        <v>应收账款</v>
      </c>
      <c r="F531" s="48" t="str">
        <f aca="false">IF(AND(ROUND($G531,2)&lt;0,科目对照收入!$L3&lt;&gt;""),科目对照收入!$M3,科目对照收入!$D3)&amp;""</f>
        <v>聚合支付</v>
      </c>
      <c r="G531" s="49" t="n">
        <f aca="false">ROUND(SUMIFS(输入聚合!$C:$C,输入聚合!$A:$A,助手收入!$X26)-SUMIFS(输入聚合!$D:$D,输入聚合!$A:$A,助手收入!$X26),2)</f>
        <v>22584.55</v>
      </c>
      <c r="H531" s="49" t="n">
        <f aca="false">IF(ROUND($G531,2)&gt;0,ROUND($G531,2),"")</f>
        <v>22584.55</v>
      </c>
      <c r="I531" s="49" t="str">
        <f aca="false">IF(ROUND($G531,2)&lt;0,-ROUND($G531,2),"")</f>
        <v/>
      </c>
      <c r="J531" s="20" t="n">
        <f aca="false">IF(ROUND($G531,2)=0,0,1)</f>
        <v>1</v>
      </c>
      <c r="K531" s="20" t="n">
        <f aca="false">IF($J531=0,"",SUM($J$530:$J531))</f>
        <v>2</v>
      </c>
      <c r="L531" s="20" t="n">
        <f aca="false">IF($K531="","",$A531*100+$K531)</f>
        <v>2502</v>
      </c>
      <c r="M531" s="48" t="str">
        <f aca="false">参数!$B$3</f>
        <v>7月收入</v>
      </c>
    </row>
    <row r="532" customFormat="false" ht="13.5" hidden="false" customHeight="false" outlineLevel="0" collapsed="false">
      <c r="A532" s="47" t="n">
        <v>25</v>
      </c>
      <c r="B532" s="38" t="n">
        <f aca="false">助手收入!$B26</f>
        <v>2038</v>
      </c>
      <c r="C532" s="48" t="str">
        <f aca="false">助手收入!$C26</f>
        <v>杨村王街店</v>
      </c>
      <c r="D532" s="48" t="str">
        <f aca="false">科目对照收入!$B4&amp;""</f>
        <v>医保</v>
      </c>
      <c r="E532" s="48" t="str">
        <f aca="false">IF(AND(ROUND($G532,2)&lt;0,科目对照收入!$L4&lt;&gt;""),科目对照收入!$L4,科目对照收入!$C4)&amp;""</f>
        <v>应收账款</v>
      </c>
      <c r="F532" s="48" t="str">
        <f aca="false">IF(AND(ROUND($G532,2)&lt;0,科目对照收入!$L4&lt;&gt;""),科目对照收入!$M4,科目对照收入!$D4)&amp;""</f>
        <v>医保</v>
      </c>
      <c r="G532" s="49" t="n">
        <f aca="false">IF(COUNTIFS(输入平台!$A:$A,助手收入!$X26,输入平台!$B:$B,科目对照收入!$B4)&gt;0,ROUND(SUMIFS(输入平台!$C:$C,输入平台!$A:$A,助手收入!$X26,输入平台!$B:$B,科目对照收入!$B4),2),ROUND(海典汇总!$F$27+海典汇总!$G$27,2))</f>
        <v>3890.4</v>
      </c>
      <c r="H532" s="49" t="n">
        <f aca="false">IF(ROUND($G532,2)&gt;0,ROUND($G532,2),"")</f>
        <v>3890.4</v>
      </c>
      <c r="I532" s="49" t="str">
        <f aca="false">IF(ROUND($G532,2)&lt;0,-ROUND($G532,2),"")</f>
        <v/>
      </c>
      <c r="J532" s="20" t="n">
        <f aca="false">IF(ROUND($G532,2)=0,0,1)</f>
        <v>1</v>
      </c>
      <c r="K532" s="20" t="n">
        <f aca="false">IF($J532=0,"",SUM($J$530:$J532))</f>
        <v>3</v>
      </c>
      <c r="L532" s="20" t="n">
        <f aca="false">IF($K532="","",$A532*100+$K532)</f>
        <v>2503</v>
      </c>
      <c r="M532" s="48" t="str">
        <f aca="false">参数!$B$3</f>
        <v>7月收入</v>
      </c>
    </row>
    <row r="533" customFormat="false" ht="13.5" hidden="false" customHeight="false" outlineLevel="0" collapsed="false">
      <c r="A533" s="47" t="n">
        <v>25</v>
      </c>
      <c r="B533" s="38" t="n">
        <f aca="false">助手收入!$B26</f>
        <v>2038</v>
      </c>
      <c r="C533" s="48" t="str">
        <f aca="false">助手收入!$C26</f>
        <v>杨村王街店</v>
      </c>
      <c r="D533" s="48" t="str">
        <f aca="false">科目对照收入!$B5&amp;""</f>
        <v>健e卡</v>
      </c>
      <c r="E533" s="48" t="str">
        <f aca="false">IF(AND(ROUND($G533,2)&lt;0,科目对照收入!$L5&lt;&gt;""),科目对照收入!$L5,科目对照收入!$C5)&amp;""</f>
        <v>应收账款</v>
      </c>
      <c r="F533" s="48" t="str">
        <f aca="false">IF(AND(ROUND($G533,2)&lt;0,科目对照收入!$L5&lt;&gt;""),科目对照收入!$M5,科目对照收入!$D5)&amp;""</f>
        <v>健e卡</v>
      </c>
      <c r="G533" s="49" t="n">
        <f aca="false">IF(COUNTIFS(输入平台!$A:$A,助手收入!$X26,输入平台!$B:$B,科目对照收入!$B5)&gt;0,ROUND(SUMIFS(输入平台!$C:$C,输入平台!$A:$A,助手收入!$X26,输入平台!$B:$B,科目对照收入!$B5),2),ROUND(海典汇总!$H$27,2))</f>
        <v>0</v>
      </c>
      <c r="H533" s="49" t="str">
        <f aca="false">IF(ROUND($G533,2)&gt;0,ROUND($G533,2),"")</f>
        <v/>
      </c>
      <c r="I533" s="49" t="str">
        <f aca="false">IF(ROUND($G533,2)&lt;0,-ROUND($G533,2),"")</f>
        <v/>
      </c>
      <c r="J533" s="20" t="n">
        <f aca="false">IF(ROUND($G533,2)=0,0,1)</f>
        <v>0</v>
      </c>
      <c r="K533" s="20" t="str">
        <f aca="false">IF($J533=0,"",SUM($J$530:$J533))</f>
        <v/>
      </c>
      <c r="L533" s="20" t="str">
        <f aca="false">IF($K533="","",$A533*100+$K533)</f>
        <v/>
      </c>
      <c r="M533" s="48" t="str">
        <f aca="false">参数!$B$3</f>
        <v>7月收入</v>
      </c>
    </row>
    <row r="534" customFormat="false" ht="13.5" hidden="false" customHeight="false" outlineLevel="0" collapsed="false">
      <c r="A534" s="47" t="n">
        <v>25</v>
      </c>
      <c r="B534" s="38" t="n">
        <f aca="false">助手收入!$B26</f>
        <v>2038</v>
      </c>
      <c r="C534" s="48" t="str">
        <f aca="false">助手收入!$C26</f>
        <v>杨村王街店</v>
      </c>
      <c r="D534" s="48" t="str">
        <f aca="false">科目对照收入!$B6&amp;""</f>
        <v>医卡通</v>
      </c>
      <c r="E534" s="48" t="str">
        <f aca="false">IF(AND(ROUND($G534,2)&lt;0,科目对照收入!$L6&lt;&gt;""),科目对照收入!$L6,科目对照收入!$C6)&amp;""</f>
        <v>应收账款</v>
      </c>
      <c r="F534" s="48" t="str">
        <f aca="false">IF(AND(ROUND($G534,2)&lt;0,科目对照收入!$L6&lt;&gt;""),科目对照收入!$M6,科目对照收入!$D6)&amp;""</f>
        <v>医卡通</v>
      </c>
      <c r="G534" s="49" t="n">
        <f aca="false">IF(COUNTIFS(输入平台!$A:$A,助手收入!$X26,输入平台!$B:$B,科目对照收入!$B6)&gt;0,ROUND(SUMIFS(输入平台!$C:$C,输入平台!$A:$A,助手收入!$X26,输入平台!$B:$B,科目对照收入!$B6),2),ROUND(海典汇总!$I$27,2))</f>
        <v>0</v>
      </c>
      <c r="H534" s="49" t="str">
        <f aca="false">IF(ROUND($G534,2)&gt;0,ROUND($G534,2),"")</f>
        <v/>
      </c>
      <c r="I534" s="49" t="str">
        <f aca="false">IF(ROUND($G534,2)&lt;0,-ROUND($G534,2),"")</f>
        <v/>
      </c>
      <c r="J534" s="20" t="n">
        <f aca="false">IF(ROUND($G534,2)=0,0,1)</f>
        <v>0</v>
      </c>
      <c r="K534" s="20" t="str">
        <f aca="false">IF($J534=0,"",SUM($J$530:$J534))</f>
        <v/>
      </c>
      <c r="L534" s="20" t="str">
        <f aca="false">IF($K534="","",$A534*100+$K534)</f>
        <v/>
      </c>
      <c r="M534" s="48" t="str">
        <f aca="false">参数!$B$3</f>
        <v>7月收入</v>
      </c>
    </row>
    <row r="535" customFormat="false" ht="13.5" hidden="false" customHeight="false" outlineLevel="0" collapsed="false">
      <c r="A535" s="47" t="n">
        <v>25</v>
      </c>
      <c r="B535" s="38" t="n">
        <f aca="false">助手收入!$B26</f>
        <v>2038</v>
      </c>
      <c r="C535" s="48" t="str">
        <f aca="false">助手收入!$C26</f>
        <v>杨村王街店</v>
      </c>
      <c r="D535" s="48" t="str">
        <f aca="false">科目对照收入!$B7&amp;""</f>
        <v>企健网</v>
      </c>
      <c r="E535" s="48" t="str">
        <f aca="false">IF(AND(ROUND($G535,2)&lt;0,科目对照收入!$L7&lt;&gt;""),科目对照收入!$L7,科目对照收入!$C7)&amp;""</f>
        <v>应收账款</v>
      </c>
      <c r="F535" s="48" t="str">
        <f aca="false">IF(AND(ROUND($G535,2)&lt;0,科目对照收入!$L7&lt;&gt;""),科目对照收入!$M7,科目对照收入!$D7)&amp;""</f>
        <v>企健网</v>
      </c>
      <c r="G535" s="49" t="n">
        <f aca="false">IF(COUNTIFS(输入平台!$A:$A,助手收入!$X26,输入平台!$B:$B,科目对照收入!$B7)&gt;0,ROUND(SUMIFS(输入平台!$C:$C,输入平台!$A:$A,助手收入!$X26,输入平台!$B:$B,科目对照收入!$B7),2),ROUND(海典汇总!$J$27,2))</f>
        <v>0</v>
      </c>
      <c r="H535" s="49" t="str">
        <f aca="false">IF(ROUND($G535,2)&gt;0,ROUND($G535,2),"")</f>
        <v/>
      </c>
      <c r="I535" s="49" t="str">
        <f aca="false">IF(ROUND($G535,2)&lt;0,-ROUND($G535,2),"")</f>
        <v/>
      </c>
      <c r="J535" s="20" t="n">
        <f aca="false">IF(ROUND($G535,2)=0,0,1)</f>
        <v>0</v>
      </c>
      <c r="K535" s="20" t="str">
        <f aca="false">IF($J535=0,"",SUM($J$530:$J535))</f>
        <v/>
      </c>
      <c r="L535" s="20" t="str">
        <f aca="false">IF($K535="","",$A535*100+$K535)</f>
        <v/>
      </c>
      <c r="M535" s="48" t="str">
        <f aca="false">参数!$B$3</f>
        <v>7月收入</v>
      </c>
    </row>
    <row r="536" customFormat="false" ht="13.5" hidden="false" customHeight="false" outlineLevel="0" collapsed="false">
      <c r="A536" s="47" t="n">
        <v>25</v>
      </c>
      <c r="B536" s="38" t="n">
        <f aca="false">助手收入!$B26</f>
        <v>2038</v>
      </c>
      <c r="C536" s="48" t="str">
        <f aca="false">助手收入!$C26</f>
        <v>杨村王街店</v>
      </c>
      <c r="D536" s="48" t="str">
        <f aca="false">科目对照收入!$B8&amp;""</f>
        <v>亲情卡</v>
      </c>
      <c r="E536" s="48" t="str">
        <f aca="false">IF(AND(ROUND($G536,2)&lt;0,科目对照收入!$L8&lt;&gt;""),科目对照收入!$L8,科目对照收入!$C8)&amp;""</f>
        <v>应收账款</v>
      </c>
      <c r="F536" s="48" t="str">
        <f aca="false">IF(AND(ROUND($G536,2)&lt;0,科目对照收入!$L8&lt;&gt;""),科目对照收入!$M8,科目对照收入!$D8)&amp;""</f>
        <v>亲情卡</v>
      </c>
      <c r="G536" s="49" t="n">
        <f aca="false">IF(COUNTIFS(输入平台!$A:$A,助手收入!$X26,输入平台!$B:$B,科目对照收入!$B8)&gt;0,ROUND(SUMIFS(输入平台!$C:$C,输入平台!$A:$A,助手收入!$X26,输入平台!$B:$B,科目对照收入!$B8),2),ROUND(海典汇总!$Z$27,2))</f>
        <v>0</v>
      </c>
      <c r="H536" s="49" t="str">
        <f aca="false">IF(ROUND($G536,2)&gt;0,ROUND($G536,2),"")</f>
        <v/>
      </c>
      <c r="I536" s="49" t="str">
        <f aca="false">IF(ROUND($G536,2)&lt;0,-ROUND($G536,2),"")</f>
        <v/>
      </c>
      <c r="J536" s="20" t="n">
        <f aca="false">IF(ROUND($G536,2)=0,0,1)</f>
        <v>0</v>
      </c>
      <c r="K536" s="20" t="str">
        <f aca="false">IF($J536=0,"",SUM($J$530:$J536))</f>
        <v/>
      </c>
      <c r="L536" s="20" t="str">
        <f aca="false">IF($K536="","",$A536*100+$K536)</f>
        <v/>
      </c>
      <c r="M536" s="48" t="str">
        <f aca="false">参数!$B$3</f>
        <v>7月收入</v>
      </c>
    </row>
    <row r="537" customFormat="false" ht="13.5" hidden="false" customHeight="false" outlineLevel="0" collapsed="false">
      <c r="A537" s="47" t="n">
        <v>25</v>
      </c>
      <c r="B537" s="38" t="n">
        <f aca="false">助手收入!$B26</f>
        <v>2038</v>
      </c>
      <c r="C537" s="48" t="str">
        <f aca="false">助手收入!$C26</f>
        <v>杨村王街店</v>
      </c>
      <c r="D537" s="48" t="str">
        <f aca="false">科目对照收入!$B9&amp;""</f>
        <v>24小时</v>
      </c>
      <c r="E537" s="48" t="str">
        <f aca="false">IF(AND(ROUND($G537,2)&lt;0,科目对照收入!$L9&lt;&gt;""),科目对照收入!$L9,科目对照收入!$C9)&amp;""</f>
        <v>应收账款</v>
      </c>
      <c r="F537" s="48" t="str">
        <f aca="false">IF(AND(ROUND($G537,2)&lt;0,科目对照收入!$L9&lt;&gt;""),科目对照收入!$M9,科目对照收入!$D9)&amp;""</f>
        <v>24小时</v>
      </c>
      <c r="G537" s="49" t="n">
        <f aca="false">IF(COUNTIFS(输入平台!$A:$A,助手收入!$X26,输入平台!$B:$B,科目对照收入!$B9)&gt;0,ROUND(SUMIFS(输入平台!$C:$C,输入平台!$A:$A,助手收入!$X26,输入平台!$B:$B,科目对照收入!$B9),2),ROUND(海典汇总!$K$27,2))</f>
        <v>0</v>
      </c>
      <c r="H537" s="49" t="str">
        <f aca="false">IF(ROUND($G537,2)&gt;0,ROUND($G537,2),"")</f>
        <v/>
      </c>
      <c r="I537" s="49" t="str">
        <f aca="false">IF(ROUND($G537,2)&lt;0,-ROUND($G537,2),"")</f>
        <v/>
      </c>
      <c r="J537" s="20" t="n">
        <f aca="false">IF(ROUND($G537,2)=0,0,1)</f>
        <v>0</v>
      </c>
      <c r="K537" s="20" t="str">
        <f aca="false">IF($J537=0,"",SUM($J$530:$J537))</f>
        <v/>
      </c>
      <c r="L537" s="20" t="str">
        <f aca="false">IF($K537="","",$A537*100+$K537)</f>
        <v/>
      </c>
      <c r="M537" s="48" t="str">
        <f aca="false">参数!$B$3</f>
        <v>7月收入</v>
      </c>
    </row>
    <row r="538" customFormat="false" ht="13.5" hidden="false" customHeight="false" outlineLevel="0" collapsed="false">
      <c r="A538" s="47" t="n">
        <v>25</v>
      </c>
      <c r="B538" s="38" t="n">
        <f aca="false">助手收入!$B26</f>
        <v>2038</v>
      </c>
      <c r="C538" s="48" t="str">
        <f aca="false">助手收入!$C26</f>
        <v>杨村王街店</v>
      </c>
      <c r="D538" s="48" t="str">
        <f aca="false">科目对照收入!$B10&amp;""</f>
        <v>美团</v>
      </c>
      <c r="E538" s="48" t="str">
        <f aca="false">IF(AND(ROUND($G538,2)&lt;0,科目对照收入!$L10&lt;&gt;""),科目对照收入!$L10,科目对照收入!$C10)&amp;""</f>
        <v>应收账款</v>
      </c>
      <c r="F538" s="48" t="str">
        <f aca="false">IF(AND(ROUND($G538,2)&lt;0,科目对照收入!$L10&lt;&gt;""),科目对照收入!$M10,科目对照收入!$D10)&amp;""</f>
        <v>美团</v>
      </c>
      <c r="G538" s="49" t="n">
        <f aca="false">IF(COUNTIFS(输入平台!$A:$A,助手收入!$X26,输入平台!$B:$B,科目对照收入!$B10)&gt;0,ROUND(SUMIFS(输入平台!$C:$C,输入平台!$A:$A,助手收入!$X26,输入平台!$B:$B,科目对照收入!$B10),2),ROUND(海典汇总!$M$27,2))</f>
        <v>0</v>
      </c>
      <c r="H538" s="49" t="str">
        <f aca="false">IF(ROUND($G538,2)&gt;0,ROUND($G538,2),"")</f>
        <v/>
      </c>
      <c r="I538" s="49" t="str">
        <f aca="false">IF(ROUND($G538,2)&lt;0,-ROUND($G538,2),"")</f>
        <v/>
      </c>
      <c r="J538" s="20" t="n">
        <f aca="false">IF(ROUND($G538,2)=0,0,1)</f>
        <v>0</v>
      </c>
      <c r="K538" s="20" t="str">
        <f aca="false">IF($J538=0,"",SUM($J$530:$J538))</f>
        <v/>
      </c>
      <c r="L538" s="20" t="str">
        <f aca="false">IF($K538="","",$A538*100+$K538)</f>
        <v/>
      </c>
      <c r="M538" s="48" t="str">
        <f aca="false">参数!$B$3</f>
        <v>7月收入</v>
      </c>
    </row>
    <row r="539" customFormat="false" ht="13.5" hidden="false" customHeight="false" outlineLevel="0" collapsed="false">
      <c r="A539" s="47" t="n">
        <v>25</v>
      </c>
      <c r="B539" s="38" t="n">
        <f aca="false">助手收入!$B26</f>
        <v>2038</v>
      </c>
      <c r="C539" s="48" t="str">
        <f aca="false">助手收入!$C26</f>
        <v>杨村王街店</v>
      </c>
      <c r="D539" s="48" t="str">
        <f aca="false">科目对照收入!$B11&amp;""</f>
        <v>饿了么</v>
      </c>
      <c r="E539" s="48" t="str">
        <f aca="false">IF(AND(ROUND($G539,2)&lt;0,科目对照收入!$L11&lt;&gt;""),科目对照收入!$L11,科目对照收入!$C11)&amp;""</f>
        <v>应收账款</v>
      </c>
      <c r="F539" s="48" t="str">
        <f aca="false">IF(AND(ROUND($G539,2)&lt;0,科目对照收入!$L11&lt;&gt;""),科目对照收入!$M11,科目对照收入!$D11)&amp;""</f>
        <v>饿了么</v>
      </c>
      <c r="G539" s="49" t="n">
        <f aca="false">IF(COUNTIFS(输入平台!$A:$A,助手收入!$X26,输入平台!$B:$B,科目对照收入!$B11)&gt;0,ROUND(SUMIFS(输入平台!$C:$C,输入平台!$A:$A,助手收入!$X26,输入平台!$B:$B,科目对照收入!$B11),2),ROUND(海典汇总!$N$27,2))</f>
        <v>0</v>
      </c>
      <c r="H539" s="49" t="str">
        <f aca="false">IF(ROUND($G539,2)&gt;0,ROUND($G539,2),"")</f>
        <v/>
      </c>
      <c r="I539" s="49" t="str">
        <f aca="false">IF(ROUND($G539,2)&lt;0,-ROUND($G539,2),"")</f>
        <v/>
      </c>
      <c r="J539" s="20" t="n">
        <f aca="false">IF(ROUND($G539,2)=0,0,1)</f>
        <v>0</v>
      </c>
      <c r="K539" s="20" t="str">
        <f aca="false">IF($J539=0,"",SUM($J$530:$J539))</f>
        <v/>
      </c>
      <c r="L539" s="20" t="str">
        <f aca="false">IF($K539="","",$A539*100+$K539)</f>
        <v/>
      </c>
      <c r="M539" s="48" t="str">
        <f aca="false">参数!$B$3</f>
        <v>7月收入</v>
      </c>
    </row>
    <row r="540" customFormat="false" ht="13.5" hidden="false" customHeight="false" outlineLevel="0" collapsed="false">
      <c r="A540" s="47" t="n">
        <v>25</v>
      </c>
      <c r="B540" s="38" t="n">
        <f aca="false">助手收入!$B26</f>
        <v>2038</v>
      </c>
      <c r="C540" s="48" t="str">
        <f aca="false">助手收入!$C26</f>
        <v>杨村王街店</v>
      </c>
      <c r="D540" s="48" t="str">
        <f aca="false">科目对照收入!$B12&amp;""</f>
        <v>京东秒送</v>
      </c>
      <c r="E540" s="48" t="str">
        <f aca="false">IF(AND(ROUND($G540,2)&lt;0,科目对照收入!$L12&lt;&gt;""),科目对照收入!$L12,科目对照收入!$C12)&amp;""</f>
        <v>应收账款</v>
      </c>
      <c r="F540" s="48" t="str">
        <f aca="false">IF(AND(ROUND($G540,2)&lt;0,科目对照收入!$L12&lt;&gt;""),科目对照收入!$M12,科目对照收入!$D12)&amp;""</f>
        <v>京东秒送</v>
      </c>
      <c r="G540" s="49" t="n">
        <f aca="false">IF(COUNTIFS(输入平台!$A:$A,助手收入!$X26,输入平台!$B:$B,科目对照收入!$B12)&gt;0,ROUND(SUMIFS(输入平台!$C:$C,输入平台!$A:$A,助手收入!$X26,输入平台!$B:$B,科目对照收入!$B12),2),ROUND(海典汇总!$O$27,2))</f>
        <v>0</v>
      </c>
      <c r="H540" s="49" t="str">
        <f aca="false">IF(ROUND($G540,2)&gt;0,ROUND($G540,2),"")</f>
        <v/>
      </c>
      <c r="I540" s="49" t="str">
        <f aca="false">IF(ROUND($G540,2)&lt;0,-ROUND($G540,2),"")</f>
        <v/>
      </c>
      <c r="J540" s="20" t="n">
        <f aca="false">IF(ROUND($G540,2)=0,0,1)</f>
        <v>0</v>
      </c>
      <c r="K540" s="20" t="str">
        <f aca="false">IF($J540=0,"",SUM($J$530:$J540))</f>
        <v/>
      </c>
      <c r="L540" s="20" t="str">
        <f aca="false">IF($K540="","",$A540*100+$K540)</f>
        <v/>
      </c>
      <c r="M540" s="48" t="str">
        <f aca="false">参数!$B$3</f>
        <v>7月收入</v>
      </c>
    </row>
    <row r="541" customFormat="false" ht="13.5" hidden="false" customHeight="false" outlineLevel="0" collapsed="false">
      <c r="A541" s="47" t="n">
        <v>25</v>
      </c>
      <c r="B541" s="38" t="n">
        <f aca="false">助手收入!$B26</f>
        <v>2038</v>
      </c>
      <c r="C541" s="48" t="str">
        <f aca="false">助手收入!$C26</f>
        <v>杨村王街店</v>
      </c>
      <c r="D541" s="48" t="str">
        <f aca="false">科目对照收入!$B13&amp;""</f>
        <v>银联</v>
      </c>
      <c r="E541" s="48" t="str">
        <f aca="false">IF(AND(ROUND($G541,2)&lt;0,科目对照收入!$L13&lt;&gt;""),科目对照收入!$L13,科目对照收入!$C13)&amp;""</f>
        <v>应收账款</v>
      </c>
      <c r="F541" s="48" t="str">
        <f aca="false">IF(AND(ROUND($G541,2)&lt;0,科目对照收入!$L13&lt;&gt;""),科目对照收入!$M13,科目对照收入!$D13)&amp;""</f>
        <v>银联</v>
      </c>
      <c r="G541" s="49" t="n">
        <f aca="false">IF(COUNTIFS(输入平台!$A:$A,助手收入!$X26,输入平台!$B:$B,科目对照收入!$B13)&gt;0,ROUND(SUMIFS(输入平台!$C:$C,输入平台!$A:$A,助手收入!$X26,输入平台!$B:$B,科目对照收入!$B13),2),ROUND(海典汇总!$V$27,2))</f>
        <v>0</v>
      </c>
      <c r="H541" s="49" t="str">
        <f aca="false">IF(ROUND($G541,2)&gt;0,ROUND($G541,2),"")</f>
        <v/>
      </c>
      <c r="I541" s="49" t="str">
        <f aca="false">IF(ROUND($G541,2)&lt;0,-ROUND($G541,2),"")</f>
        <v/>
      </c>
      <c r="J541" s="20" t="n">
        <f aca="false">IF(ROUND($G541,2)=0,0,1)</f>
        <v>0</v>
      </c>
      <c r="K541" s="20" t="str">
        <f aca="false">IF($J541=0,"",SUM($J$530:$J541))</f>
        <v/>
      </c>
      <c r="L541" s="20" t="str">
        <f aca="false">IF($K541="","",$A541*100+$K541)</f>
        <v/>
      </c>
      <c r="M541" s="48" t="str">
        <f aca="false">参数!$B$3</f>
        <v>7月收入</v>
      </c>
    </row>
    <row r="542" customFormat="false" ht="13.5" hidden="false" customHeight="false" outlineLevel="0" collapsed="false">
      <c r="A542" s="47" t="n">
        <v>25</v>
      </c>
      <c r="B542" s="38" t="n">
        <f aca="false">助手收入!$B26</f>
        <v>2038</v>
      </c>
      <c r="C542" s="48" t="str">
        <f aca="false">助手收入!$C26</f>
        <v>杨村王街店</v>
      </c>
      <c r="D542" s="48" t="str">
        <f aca="false">科目对照收入!$B14&amp;""</f>
        <v>小镇外卖</v>
      </c>
      <c r="E542" s="48" t="str">
        <f aca="false">IF(AND(ROUND($G542,2)&lt;0,科目对照收入!$L14&lt;&gt;""),科目对照收入!$L14,科目对照收入!$C14)&amp;""</f>
        <v>应收账款</v>
      </c>
      <c r="F542" s="48" t="str">
        <f aca="false">IF(AND(ROUND($G542,2)&lt;0,科目对照收入!$L14&lt;&gt;""),科目对照收入!$M14,科目对照收入!$D14)&amp;""</f>
        <v>小镇外卖</v>
      </c>
      <c r="G542" s="49" t="n">
        <f aca="false">IF(COUNTIFS(输入平台!$A:$A,助手收入!$X26,输入平台!$B:$B,科目对照收入!$B14)&gt;0,ROUND(SUMIFS(输入平台!$C:$C,输入平台!$A:$A,助手收入!$X26,输入平台!$B:$B,科目对照收入!$B14),2),ROUND(海典汇总!$AC$27,2))</f>
        <v>0</v>
      </c>
      <c r="H542" s="49" t="str">
        <f aca="false">IF(ROUND($G542,2)&gt;0,ROUND($G542,2),"")</f>
        <v/>
      </c>
      <c r="I542" s="49" t="str">
        <f aca="false">IF(ROUND($G542,2)&lt;0,-ROUND($G542,2),"")</f>
        <v/>
      </c>
      <c r="J542" s="20" t="n">
        <f aca="false">IF(ROUND($G542,2)=0,0,1)</f>
        <v>0</v>
      </c>
      <c r="K542" s="20" t="str">
        <f aca="false">IF($J542=0,"",SUM($J$530:$J542))</f>
        <v/>
      </c>
      <c r="L542" s="20" t="str">
        <f aca="false">IF($K542="","",$A542*100+$K542)</f>
        <v/>
      </c>
      <c r="M542" s="48" t="str">
        <f aca="false">参数!$B$3</f>
        <v>7月收入</v>
      </c>
    </row>
    <row r="543" customFormat="false" ht="13.5" hidden="false" customHeight="false" outlineLevel="0" collapsed="false">
      <c r="A543" s="47" t="n">
        <v>25</v>
      </c>
      <c r="B543" s="38" t="n">
        <f aca="false">助手收入!$B26</f>
        <v>2038</v>
      </c>
      <c r="C543" s="48" t="str">
        <f aca="false">助手收入!$C26</f>
        <v>杨村王街店</v>
      </c>
      <c r="D543" s="48" t="str">
        <f aca="false">科目对照收入!$B15&amp;""</f>
        <v>OMS线上支付</v>
      </c>
      <c r="E543" s="48" t="str">
        <f aca="false">IF(AND(ROUND($G543,2)&lt;0,科目对照收入!$L15&lt;&gt;""),科目对照收入!$L15,科目对照收入!$C15)&amp;""</f>
        <v>应收账款</v>
      </c>
      <c r="F543" s="48" t="str">
        <f aca="false">IF(AND(ROUND($G543,2)&lt;0,科目对照收入!$L15&lt;&gt;""),科目对照收入!$M15,科目对照收入!$D15)&amp;""</f>
        <v>OMS线上</v>
      </c>
      <c r="G543" s="49" t="n">
        <f aca="false">IF(COUNTIFS(输入平台!$A:$A,助手收入!$X26,输入平台!$B:$B,科目对照收入!$B15)&gt;0,ROUND(SUMIFS(输入平台!$C:$C,输入平台!$A:$A,助手收入!$X26,输入平台!$B:$B,科目对照收入!$B15),2),ROUND(海典汇总!$L$27,2))</f>
        <v>0</v>
      </c>
      <c r="H543" s="49" t="str">
        <f aca="false">IF(ROUND($G543,2)&gt;0,ROUND($G543,2),"")</f>
        <v/>
      </c>
      <c r="I543" s="49" t="str">
        <f aca="false">IF(ROUND($G543,2)&lt;0,-ROUND($G543,2),"")</f>
        <v/>
      </c>
      <c r="J543" s="20" t="n">
        <f aca="false">IF(ROUND($G543,2)=0,0,1)</f>
        <v>0</v>
      </c>
      <c r="K543" s="20" t="str">
        <f aca="false">IF($J543=0,"",SUM($J$530:$J543))</f>
        <v/>
      </c>
      <c r="L543" s="20" t="str">
        <f aca="false">IF($K543="","",$A543*100+$K543)</f>
        <v/>
      </c>
      <c r="M543" s="48" t="str">
        <f aca="false">参数!$B$3</f>
        <v>7月收入</v>
      </c>
    </row>
    <row r="544" customFormat="false" ht="13.5" hidden="false" customHeight="false" outlineLevel="0" collapsed="false">
      <c r="A544" s="47" t="n">
        <v>25</v>
      </c>
      <c r="B544" s="38" t="n">
        <f aca="false">助手收入!$B26</f>
        <v>2038</v>
      </c>
      <c r="C544" s="48" t="str">
        <f aca="false">助手收入!$C26</f>
        <v>杨村王街店</v>
      </c>
      <c r="D544" s="48" t="str">
        <f aca="false">科目对照收入!$B16&amp;""</f>
        <v>平安药卡</v>
      </c>
      <c r="E544" s="48" t="str">
        <f aca="false">IF(AND(ROUND($G544,2)&lt;0,科目对照收入!$L16&lt;&gt;""),科目对照收入!$L16,科目对照收入!$C16)&amp;""</f>
        <v>应收账款</v>
      </c>
      <c r="F544" s="48" t="str">
        <f aca="false">IF(AND(ROUND($G544,2)&lt;0,科目对照收入!$L16&lt;&gt;""),科目对照收入!$M16,科目对照收入!$D16)&amp;""</f>
        <v>平安</v>
      </c>
      <c r="G544" s="49" t="n">
        <f aca="false">IF(COUNTIFS(输入平台!$A:$A,助手收入!$X26,输入平台!$B:$B,科目对照收入!$B16)&gt;0,ROUND(SUMIFS(输入平台!$C:$C,输入平台!$A:$A,助手收入!$X26,输入平台!$B:$B,科目对照收入!$B16),2),ROUND(海典汇总!$AB$27,2))</f>
        <v>0</v>
      </c>
      <c r="H544" s="49" t="str">
        <f aca="false">IF(ROUND($G544,2)&gt;0,ROUND($G544,2),"")</f>
        <v/>
      </c>
      <c r="I544" s="49" t="str">
        <f aca="false">IF(ROUND($G544,2)&lt;0,-ROUND($G544,2),"")</f>
        <v/>
      </c>
      <c r="J544" s="20" t="n">
        <f aca="false">IF(ROUND($G544,2)=0,0,1)</f>
        <v>0</v>
      </c>
      <c r="K544" s="20" t="str">
        <f aca="false">IF($J544=0,"",SUM($J$530:$J544))</f>
        <v/>
      </c>
      <c r="L544" s="20" t="str">
        <f aca="false">IF($K544="","",$A544*100+$K544)</f>
        <v/>
      </c>
      <c r="M544" s="48" t="str">
        <f aca="false">参数!$B$3</f>
        <v>7月收入</v>
      </c>
    </row>
    <row r="545" customFormat="false" ht="13.5" hidden="false" customHeight="false" outlineLevel="0" collapsed="false">
      <c r="A545" s="47" t="n">
        <v>25</v>
      </c>
      <c r="B545" s="38" t="n">
        <f aca="false">助手收入!$B26</f>
        <v>2038</v>
      </c>
      <c r="C545" s="48" t="str">
        <f aca="false">助手收入!$C26</f>
        <v>杨村王街店</v>
      </c>
      <c r="D545" s="48" t="str">
        <f aca="false">科目对照收入!$B17&amp;""</f>
        <v>储值卡</v>
      </c>
      <c r="E545" s="48" t="str">
        <f aca="false">IF(AND(ROUND($G545,2)&lt;0,科目对照收入!$L17&lt;&gt;""),科目对照收入!$L17,科目对照收入!$C17)&amp;""</f>
        <v>其他应收款</v>
      </c>
      <c r="F545" s="48" t="str">
        <f aca="false">IF(AND(ROUND($G545,2)&lt;0,科目对照收入!$L17&lt;&gt;""),科目对照收入!$M17,科目对照收入!$D17)&amp;""</f>
        <v>储值卡</v>
      </c>
      <c r="G545" s="49" t="n">
        <f aca="false">ROUND(海典汇总!$Q$27,2)</f>
        <v>390</v>
      </c>
      <c r="H545" s="49" t="n">
        <f aca="false">IF(ROUND($G545,2)&gt;0,ROUND($G545,2),"")</f>
        <v>390</v>
      </c>
      <c r="I545" s="49" t="str">
        <f aca="false">IF(ROUND($G545,2)&lt;0,-ROUND($G545,2),"")</f>
        <v/>
      </c>
      <c r="J545" s="20" t="n">
        <f aca="false">IF(ROUND($G545,2)=0,0,1)</f>
        <v>1</v>
      </c>
      <c r="K545" s="20" t="n">
        <f aca="false">IF($J545=0,"",SUM($J$530:$J545))</f>
        <v>4</v>
      </c>
      <c r="L545" s="20" t="n">
        <f aca="false">IF($K545="","",$A545*100+$K545)</f>
        <v>2504</v>
      </c>
      <c r="M545" s="48" t="str">
        <f aca="false">参数!$B$3</f>
        <v>7月收入</v>
      </c>
    </row>
    <row r="546" customFormat="false" ht="13.5" hidden="false" customHeight="false" outlineLevel="0" collapsed="false">
      <c r="A546" s="47" t="n">
        <v>25</v>
      </c>
      <c r="B546" s="38" t="n">
        <f aca="false">助手收入!$B26</f>
        <v>2038</v>
      </c>
      <c r="C546" s="48" t="str">
        <f aca="false">助手收入!$C26</f>
        <v>杨村王街店</v>
      </c>
      <c r="D546" s="48" t="str">
        <f aca="false">科目对照收入!$B18&amp;""</f>
        <v>会员零钱包</v>
      </c>
      <c r="E546" s="48" t="str">
        <f aca="false">IF(AND(ROUND($G546,2)&lt;0,科目对照收入!$L18&lt;&gt;""),科目对照收入!$L18,科目对照收入!$C18)&amp;""</f>
        <v>其他应收款</v>
      </c>
      <c r="F546" s="48" t="str">
        <f aca="false">IF(AND(ROUND($G546,2)&lt;0,科目对照收入!$L18&lt;&gt;""),科目对照收入!$M18,科目对照收入!$D18)&amp;""</f>
        <v>会员零钱包</v>
      </c>
      <c r="G546" s="49" t="n">
        <f aca="false">ROUND(海典汇总!$P$27,2)</f>
        <v>0</v>
      </c>
      <c r="H546" s="49" t="str">
        <f aca="false">IF(ROUND($G546,2)&gt;0,ROUND($G546,2),"")</f>
        <v/>
      </c>
      <c r="I546" s="49" t="str">
        <f aca="false">IF(ROUND($G546,2)&lt;0,-ROUND($G546,2),"")</f>
        <v/>
      </c>
      <c r="J546" s="20" t="n">
        <f aca="false">IF(ROUND($G546,2)=0,0,1)</f>
        <v>0</v>
      </c>
      <c r="K546" s="20" t="str">
        <f aca="false">IF($J546=0,"",SUM($J$530:$J546))</f>
        <v/>
      </c>
      <c r="L546" s="20" t="str">
        <f aca="false">IF($K546="","",$A546*100+$K546)</f>
        <v/>
      </c>
      <c r="M546" s="48" t="str">
        <f aca="false">参数!$B$3</f>
        <v>7月收入</v>
      </c>
    </row>
    <row r="547" customFormat="false" ht="13.5" hidden="false" customHeight="false" outlineLevel="0" collapsed="false">
      <c r="A547" s="47" t="n">
        <v>25</v>
      </c>
      <c r="B547" s="38" t="n">
        <f aca="false">助手收入!$B26</f>
        <v>2038</v>
      </c>
      <c r="C547" s="48" t="str">
        <f aca="false">助手收入!$C26</f>
        <v>杨村王街店</v>
      </c>
      <c r="D547" s="48" t="str">
        <f aca="false">科目对照收入!$B19&amp;""</f>
        <v>促销费</v>
      </c>
      <c r="E547" s="48" t="str">
        <f aca="false">IF(AND(ROUND($G547,2)&lt;0,科目对照收入!$L19&lt;&gt;""),科目对照收入!$L19,科目对照收入!$C19)&amp;""</f>
        <v>销售费用</v>
      </c>
      <c r="F547" s="48" t="str">
        <f aca="false">IF(AND(ROUND($G547,2)&lt;0,科目对照收入!$L19&lt;&gt;""),科目对照收入!$M19,科目对照收入!$D19)&amp;""</f>
        <v>促销费</v>
      </c>
      <c r="G547" s="49" t="n">
        <f aca="false">ROUND(海典汇总!$U$27+海典汇总!$T$27+海典汇总!$S$27,2)</f>
        <v>595.92</v>
      </c>
      <c r="H547" s="49" t="n">
        <f aca="false">IF(ROUND($G547,2)&gt;0,ROUND($G547,2),"")</f>
        <v>595.92</v>
      </c>
      <c r="I547" s="49" t="str">
        <f aca="false">IF(ROUND($G547,2)&lt;0,-ROUND($G547,2),"")</f>
        <v/>
      </c>
      <c r="J547" s="20" t="n">
        <f aca="false">IF(ROUND($G547,2)=0,0,1)</f>
        <v>1</v>
      </c>
      <c r="K547" s="20" t="n">
        <f aca="false">IF($J547=0,"",SUM($J$530:$J547))</f>
        <v>5</v>
      </c>
      <c r="L547" s="20" t="n">
        <f aca="false">IF($K547="","",$A547*100+$K547)</f>
        <v>2505</v>
      </c>
      <c r="M547" s="48" t="str">
        <f aca="false">参数!$B$3</f>
        <v>7月收入</v>
      </c>
    </row>
    <row r="548" customFormat="false" ht="13.5" hidden="false" customHeight="false" outlineLevel="0" collapsed="false">
      <c r="A548" s="47" t="n">
        <v>25</v>
      </c>
      <c r="B548" s="38" t="n">
        <f aca="false">助手收入!$B26</f>
        <v>2038</v>
      </c>
      <c r="C548" s="48" t="str">
        <f aca="false">助手收入!$C26</f>
        <v>杨村王街店</v>
      </c>
      <c r="D548" s="48" t="str">
        <f aca="false">科目对照收入!$B20&amp;""</f>
        <v>积分</v>
      </c>
      <c r="E548" s="48" t="str">
        <f aca="false">IF(AND(ROUND($G548,2)&lt;0,科目对照收入!$L20&lt;&gt;""),科目对照收入!$L20,科目对照收入!$C20)&amp;""</f>
        <v>销售费用</v>
      </c>
      <c r="F548" s="48" t="str">
        <f aca="false">IF(AND(ROUND($G548,2)&lt;0,科目对照收入!$L20&lt;&gt;""),科目对照收入!$M20,科目对照收入!$D20)&amp;""</f>
        <v>积分</v>
      </c>
      <c r="G548" s="49" t="n">
        <f aca="false">ROUND(海典汇总!$R$27,2)</f>
        <v>0</v>
      </c>
      <c r="H548" s="49" t="str">
        <f aca="false">IF(ROUND($G548,2)&gt;0,ROUND($G548,2),"")</f>
        <v/>
      </c>
      <c r="I548" s="49" t="str">
        <f aca="false">IF(ROUND($G548,2)&lt;0,-ROUND($G548,2),"")</f>
        <v/>
      </c>
      <c r="J548" s="20" t="n">
        <f aca="false">IF(ROUND($G548,2)=0,0,1)</f>
        <v>0</v>
      </c>
      <c r="K548" s="20" t="str">
        <f aca="false">IF($J548=0,"",SUM($J$530:$J548))</f>
        <v/>
      </c>
      <c r="L548" s="20" t="str">
        <f aca="false">IF($K548="","",$A548*100+$K548)</f>
        <v/>
      </c>
      <c r="M548" s="48" t="str">
        <f aca="false">参数!$B$3</f>
        <v>7月收入</v>
      </c>
    </row>
    <row r="549" customFormat="false" ht="13.5" hidden="false" customHeight="false" outlineLevel="0" collapsed="false">
      <c r="A549" s="47" t="n">
        <v>25</v>
      </c>
      <c r="B549" s="38" t="n">
        <f aca="false">助手收入!$B26</f>
        <v>2038</v>
      </c>
      <c r="C549" s="48" t="str">
        <f aca="false">助手收入!$C26</f>
        <v>杨村王街店</v>
      </c>
      <c r="D549" s="48" t="str">
        <f aca="false">科目对照收入!$B21&amp;""</f>
        <v>手续费</v>
      </c>
      <c r="E549" s="48" t="str">
        <f aca="false">IF(AND(ROUND($G549,2)&lt;0,科目对照收入!$L21&lt;&gt;""),科目对照收入!$L21,科目对照收入!$C21)&amp;""</f>
        <v>财务费用</v>
      </c>
      <c r="F549" s="48" t="str">
        <f aca="false">IF(AND(ROUND($G549,2)&lt;0,科目对照收入!$L21&lt;&gt;""),科目对照收入!$M21,科目对照收入!$D21)&amp;""</f>
        <v>手续费</v>
      </c>
      <c r="G549" s="49" t="n">
        <f aca="false">ROUND(SUMIFS(输入聚合!$D:$D,输入聚合!$A:$A,助手收入!$X26),2)</f>
        <v>61.14</v>
      </c>
      <c r="H549" s="49" t="n">
        <f aca="false">IF(ROUND($G549,2)&gt;0,ROUND($G549,2),"")</f>
        <v>61.14</v>
      </c>
      <c r="I549" s="49" t="str">
        <f aca="false">IF(ROUND($G549,2)&lt;0,-ROUND($G549,2),"")</f>
        <v/>
      </c>
      <c r="J549" s="20" t="n">
        <f aca="false">IF(ROUND($G549,2)=0,0,1)</f>
        <v>1</v>
      </c>
      <c r="K549" s="20" t="n">
        <f aca="false">IF($J549=0,"",SUM($J$530:$J549))</f>
        <v>6</v>
      </c>
      <c r="L549" s="20" t="n">
        <f aca="false">IF($K549="","",$A549*100+$K549)</f>
        <v>2506</v>
      </c>
      <c r="M549" s="48" t="str">
        <f aca="false">参数!$B$3</f>
        <v>7月收入</v>
      </c>
    </row>
    <row r="550" customFormat="false" ht="13.5" hidden="false" customHeight="false" outlineLevel="0" collapsed="false">
      <c r="A550" s="47" t="n">
        <v>25</v>
      </c>
      <c r="B550" s="38" t="n">
        <f aca="false">助手收入!$B26</f>
        <v>2038</v>
      </c>
      <c r="C550" s="48" t="str">
        <f aca="false">助手收入!$C26</f>
        <v>杨村王街店</v>
      </c>
      <c r="D550" s="48" t="str">
        <f aca="false">科目对照收入!$B22&amp;""</f>
        <v>主营业务收入</v>
      </c>
      <c r="E550" s="48" t="str">
        <f aca="false">IF(AND(ROUND($G550,2)&lt;0,科目对照收入!$L22&lt;&gt;""),科目对照收入!$L22,科目对照收入!$C22)&amp;""</f>
        <v>主营业务收入</v>
      </c>
      <c r="F550" s="48" t="str">
        <f aca="false">IF(AND(ROUND($G550,2)&lt;0,科目对照收入!$L22&lt;&gt;""),科目对照收入!$M22,科目对照收入!$D22)&amp;""</f>
        <v/>
      </c>
      <c r="G550" s="49" t="n">
        <f aca="false">-ROUND(助手收入!$G26,2)</f>
        <v>-36982.4</v>
      </c>
      <c r="H550" s="49" t="str">
        <f aca="false">IF(ROUND($G550,2)&gt;0,ROUND($G550,2),"")</f>
        <v/>
      </c>
      <c r="I550" s="49" t="n">
        <f aca="false">IF(ROUND($G550,2)&lt;0,-ROUND($G550,2),"")</f>
        <v>36982.4</v>
      </c>
      <c r="J550" s="20" t="n">
        <f aca="false">IF(ROUND($G550,2)=0,0,1)</f>
        <v>1</v>
      </c>
      <c r="K550" s="20" t="n">
        <f aca="false">IF($J550=0,"",SUM($J$530:$J550))</f>
        <v>7</v>
      </c>
      <c r="L550" s="20" t="n">
        <f aca="false">IF($K550="","",$A550*100+$K550)</f>
        <v>2507</v>
      </c>
      <c r="M550" s="48" t="str">
        <f aca="false">参数!$B$3</f>
        <v>7月收入</v>
      </c>
    </row>
    <row r="551" customFormat="false" ht="13.5" hidden="false" customHeight="false" outlineLevel="0" collapsed="false">
      <c r="A551" s="47" t="n">
        <v>25</v>
      </c>
      <c r="B551" s="38" t="n">
        <f aca="false">助手收入!$B26</f>
        <v>2038</v>
      </c>
      <c r="C551" s="48" t="str">
        <f aca="false">助手收入!$C26</f>
        <v>杨村王街店</v>
      </c>
      <c r="D551" s="48" t="str">
        <f aca="false">科目对照收入!$B23&amp;""</f>
        <v>营业外收入</v>
      </c>
      <c r="E551" s="48" t="str">
        <f aca="false">IF(AND(ROUND($G551,2)&lt;0,科目对照收入!$L23&lt;&gt;""),科目对照收入!$L23,科目对照收入!$C23)&amp;""</f>
        <v>营业外收入</v>
      </c>
      <c r="F551" s="48" t="str">
        <f aca="false">IF(AND(ROUND($G551,2)&lt;0,科目对照收入!$L23&lt;&gt;""),科目对照收入!$M23,科目对照收入!$D23)&amp;""</f>
        <v/>
      </c>
      <c r="G551" s="49" t="n">
        <f aca="false">-ROUND(助手收入!$J26,2)</f>
        <v>-0</v>
      </c>
      <c r="H551" s="49" t="str">
        <f aca="false">IF(ROUND($G551,2)&gt;0,ROUND($G551,2),"")</f>
        <v/>
      </c>
      <c r="I551" s="49" t="str">
        <f aca="false">IF(ROUND($G551,2)&lt;0,-ROUND($G551,2),"")</f>
        <v/>
      </c>
      <c r="J551" s="20" t="n">
        <f aca="false">IF(ROUND($G551,2)=0,0,1)</f>
        <v>0</v>
      </c>
      <c r="K551" s="20" t="str">
        <f aca="false">IF($J551=0,"",SUM($J$530:$J551))</f>
        <v/>
      </c>
      <c r="L551" s="20" t="str">
        <f aca="false">IF($K551="","",$A551*100+$K551)</f>
        <v/>
      </c>
      <c r="M551" s="48" t="str">
        <f aca="false">参数!$B$3</f>
        <v>7月收入</v>
      </c>
    </row>
    <row r="552" customFormat="false" ht="13.5" hidden="false" customHeight="false" outlineLevel="0" collapsed="false">
      <c r="A552" s="47" t="n">
        <v>26</v>
      </c>
      <c r="B552" s="38" t="n">
        <f aca="false">助手收入!$B27</f>
        <v>2039</v>
      </c>
      <c r="C552" s="48" t="str">
        <f aca="false">助手收入!$C27</f>
        <v>千户营店</v>
      </c>
      <c r="D552" s="48" t="str">
        <f aca="false">科目对照收入!$B2&amp;""</f>
        <v>库存现金</v>
      </c>
      <c r="E552" s="48" t="str">
        <f aca="false">IF(AND(ROUND($G552,2)&lt;0,科目对照收入!$L2&lt;&gt;""),科目对照收入!$L2,科目对照收入!$C2)&amp;""</f>
        <v>库存现金</v>
      </c>
      <c r="F552" s="48" t="str">
        <f aca="false">IF(AND(ROUND($G552,2)&lt;0,科目对照收入!$L2&lt;&gt;""),科目对照收入!$M2,科目对照收入!$D2)&amp;""</f>
        <v/>
      </c>
      <c r="G552" s="49" t="n">
        <f aca="false">助手收入!$I27</f>
        <v>27210.58</v>
      </c>
      <c r="H552" s="49" t="n">
        <f aca="false">IF(ROUND($G552,2)&gt;0,ROUND($G552,2),"")</f>
        <v>27210.58</v>
      </c>
      <c r="I552" s="49" t="str">
        <f aca="false">IF(ROUND($G552,2)&lt;0,-ROUND($G552,2),"")</f>
        <v/>
      </c>
      <c r="J552" s="20" t="n">
        <f aca="false">IF(ROUND($G552,2)=0,0,1)</f>
        <v>1</v>
      </c>
      <c r="K552" s="20" t="n">
        <f aca="false">IF($J552=0,"",SUM($J$552:$J552))</f>
        <v>1</v>
      </c>
      <c r="L552" s="20" t="n">
        <f aca="false">IF($K552="","",$A552*100+$K552)</f>
        <v>2601</v>
      </c>
      <c r="M552" s="48" t="str">
        <f aca="false">参数!$B$3</f>
        <v>7月收入</v>
      </c>
    </row>
    <row r="553" customFormat="false" ht="13.5" hidden="false" customHeight="false" outlineLevel="0" collapsed="false">
      <c r="A553" s="47" t="n">
        <v>26</v>
      </c>
      <c r="B553" s="38" t="n">
        <f aca="false">助手收入!$B27</f>
        <v>2039</v>
      </c>
      <c r="C553" s="48" t="str">
        <f aca="false">助手收入!$C27</f>
        <v>千户营店</v>
      </c>
      <c r="D553" s="48" t="str">
        <f aca="false">科目对照收入!$B3&amp;""</f>
        <v>聚合支付</v>
      </c>
      <c r="E553" s="48" t="str">
        <f aca="false">IF(AND(ROUND($G553,2)&lt;0,科目对照收入!$L3&lt;&gt;""),科目对照收入!$L3,科目对照收入!$C3)&amp;""</f>
        <v>应收账款</v>
      </c>
      <c r="F553" s="48" t="str">
        <f aca="false">IF(AND(ROUND($G553,2)&lt;0,科目对照收入!$L3&lt;&gt;""),科目对照收入!$M3,科目对照收入!$D3)&amp;""</f>
        <v>聚合支付</v>
      </c>
      <c r="G553" s="49" t="n">
        <f aca="false">ROUND(SUMIFS(输入聚合!$C:$C,输入聚合!$A:$A,助手收入!$X27)-SUMIFS(输入聚合!$D:$D,输入聚合!$A:$A,助手收入!$X27),2)</f>
        <v>37935.33</v>
      </c>
      <c r="H553" s="49" t="n">
        <f aca="false">IF(ROUND($G553,2)&gt;0,ROUND($G553,2),"")</f>
        <v>37935.33</v>
      </c>
      <c r="I553" s="49" t="str">
        <f aca="false">IF(ROUND($G553,2)&lt;0,-ROUND($G553,2),"")</f>
        <v/>
      </c>
      <c r="J553" s="20" t="n">
        <f aca="false">IF(ROUND($G553,2)=0,0,1)</f>
        <v>1</v>
      </c>
      <c r="K553" s="20" t="n">
        <f aca="false">IF($J553=0,"",SUM($J$552:$J553))</f>
        <v>2</v>
      </c>
      <c r="L553" s="20" t="n">
        <f aca="false">IF($K553="","",$A553*100+$K553)</f>
        <v>2602</v>
      </c>
      <c r="M553" s="48" t="str">
        <f aca="false">参数!$B$3</f>
        <v>7月收入</v>
      </c>
    </row>
    <row r="554" customFormat="false" ht="13.5" hidden="false" customHeight="false" outlineLevel="0" collapsed="false">
      <c r="A554" s="47" t="n">
        <v>26</v>
      </c>
      <c r="B554" s="38" t="n">
        <f aca="false">助手收入!$B27</f>
        <v>2039</v>
      </c>
      <c r="C554" s="48" t="str">
        <f aca="false">助手收入!$C27</f>
        <v>千户营店</v>
      </c>
      <c r="D554" s="48" t="str">
        <f aca="false">科目对照收入!$B4&amp;""</f>
        <v>医保</v>
      </c>
      <c r="E554" s="48" t="str">
        <f aca="false">IF(AND(ROUND($G554,2)&lt;0,科目对照收入!$L4&lt;&gt;""),科目对照收入!$L4,科目对照收入!$C4)&amp;""</f>
        <v>应收账款</v>
      </c>
      <c r="F554" s="48" t="str">
        <f aca="false">IF(AND(ROUND($G554,2)&lt;0,科目对照收入!$L4&lt;&gt;""),科目对照收入!$M4,科目对照收入!$D4)&amp;""</f>
        <v>医保</v>
      </c>
      <c r="G554" s="49" t="n">
        <f aca="false">IF(COUNTIFS(输入平台!$A:$A,助手收入!$X27,输入平台!$B:$B,科目对照收入!$B4)&gt;0,ROUND(SUMIFS(输入平台!$C:$C,输入平台!$A:$A,助手收入!$X27,输入平台!$B:$B,科目对照收入!$B4),2),ROUND(海典汇总!$F$28+海典汇总!$G$28,2))</f>
        <v>7025.29</v>
      </c>
      <c r="H554" s="49" t="n">
        <f aca="false">IF(ROUND($G554,2)&gt;0,ROUND($G554,2),"")</f>
        <v>7025.29</v>
      </c>
      <c r="I554" s="49" t="str">
        <f aca="false">IF(ROUND($G554,2)&lt;0,-ROUND($G554,2),"")</f>
        <v/>
      </c>
      <c r="J554" s="20" t="n">
        <f aca="false">IF(ROUND($G554,2)=0,0,1)</f>
        <v>1</v>
      </c>
      <c r="K554" s="20" t="n">
        <f aca="false">IF($J554=0,"",SUM($J$552:$J554))</f>
        <v>3</v>
      </c>
      <c r="L554" s="20" t="n">
        <f aca="false">IF($K554="","",$A554*100+$K554)</f>
        <v>2603</v>
      </c>
      <c r="M554" s="48" t="str">
        <f aca="false">参数!$B$3</f>
        <v>7月收入</v>
      </c>
    </row>
    <row r="555" customFormat="false" ht="13.5" hidden="false" customHeight="false" outlineLevel="0" collapsed="false">
      <c r="A555" s="47" t="n">
        <v>26</v>
      </c>
      <c r="B555" s="38" t="n">
        <f aca="false">助手收入!$B27</f>
        <v>2039</v>
      </c>
      <c r="C555" s="48" t="str">
        <f aca="false">助手收入!$C27</f>
        <v>千户营店</v>
      </c>
      <c r="D555" s="48" t="str">
        <f aca="false">科目对照收入!$B5&amp;""</f>
        <v>健e卡</v>
      </c>
      <c r="E555" s="48" t="str">
        <f aca="false">IF(AND(ROUND($G555,2)&lt;0,科目对照收入!$L5&lt;&gt;""),科目对照收入!$L5,科目对照收入!$C5)&amp;""</f>
        <v>应收账款</v>
      </c>
      <c r="F555" s="48" t="str">
        <f aca="false">IF(AND(ROUND($G555,2)&lt;0,科目对照收入!$L5&lt;&gt;""),科目对照收入!$M5,科目对照收入!$D5)&amp;""</f>
        <v>健e卡</v>
      </c>
      <c r="G555" s="49" t="n">
        <f aca="false">IF(COUNTIFS(输入平台!$A:$A,助手收入!$X27,输入平台!$B:$B,科目对照收入!$B5)&gt;0,ROUND(SUMIFS(输入平台!$C:$C,输入平台!$A:$A,助手收入!$X27,输入平台!$B:$B,科目对照收入!$B5),2),ROUND(海典汇总!$H$28,2))</f>
        <v>0</v>
      </c>
      <c r="H555" s="49" t="str">
        <f aca="false">IF(ROUND($G555,2)&gt;0,ROUND($G555,2),"")</f>
        <v/>
      </c>
      <c r="I555" s="49" t="str">
        <f aca="false">IF(ROUND($G555,2)&lt;0,-ROUND($G555,2),"")</f>
        <v/>
      </c>
      <c r="J555" s="20" t="n">
        <f aca="false">IF(ROUND($G555,2)=0,0,1)</f>
        <v>0</v>
      </c>
      <c r="K555" s="20" t="str">
        <f aca="false">IF($J555=0,"",SUM($J$552:$J555))</f>
        <v/>
      </c>
      <c r="L555" s="20" t="str">
        <f aca="false">IF($K555="","",$A555*100+$K555)</f>
        <v/>
      </c>
      <c r="M555" s="48" t="str">
        <f aca="false">参数!$B$3</f>
        <v>7月收入</v>
      </c>
    </row>
    <row r="556" customFormat="false" ht="13.5" hidden="false" customHeight="false" outlineLevel="0" collapsed="false">
      <c r="A556" s="47" t="n">
        <v>26</v>
      </c>
      <c r="B556" s="38" t="n">
        <f aca="false">助手收入!$B27</f>
        <v>2039</v>
      </c>
      <c r="C556" s="48" t="str">
        <f aca="false">助手收入!$C27</f>
        <v>千户营店</v>
      </c>
      <c r="D556" s="48" t="str">
        <f aca="false">科目对照收入!$B6&amp;""</f>
        <v>医卡通</v>
      </c>
      <c r="E556" s="48" t="str">
        <f aca="false">IF(AND(ROUND($G556,2)&lt;0,科目对照收入!$L6&lt;&gt;""),科目对照收入!$L6,科目对照收入!$C6)&amp;""</f>
        <v>应收账款</v>
      </c>
      <c r="F556" s="48" t="str">
        <f aca="false">IF(AND(ROUND($G556,2)&lt;0,科目对照收入!$L6&lt;&gt;""),科目对照收入!$M6,科目对照收入!$D6)&amp;""</f>
        <v>医卡通</v>
      </c>
      <c r="G556" s="49" t="n">
        <f aca="false">IF(COUNTIFS(输入平台!$A:$A,助手收入!$X27,输入平台!$B:$B,科目对照收入!$B6)&gt;0,ROUND(SUMIFS(输入平台!$C:$C,输入平台!$A:$A,助手收入!$X27,输入平台!$B:$B,科目对照收入!$B6),2),ROUND(海典汇总!$I$28,2))</f>
        <v>0</v>
      </c>
      <c r="H556" s="49" t="str">
        <f aca="false">IF(ROUND($G556,2)&gt;0,ROUND($G556,2),"")</f>
        <v/>
      </c>
      <c r="I556" s="49" t="str">
        <f aca="false">IF(ROUND($G556,2)&lt;0,-ROUND($G556,2),"")</f>
        <v/>
      </c>
      <c r="J556" s="20" t="n">
        <f aca="false">IF(ROUND($G556,2)=0,0,1)</f>
        <v>0</v>
      </c>
      <c r="K556" s="20" t="str">
        <f aca="false">IF($J556=0,"",SUM($J$552:$J556))</f>
        <v/>
      </c>
      <c r="L556" s="20" t="str">
        <f aca="false">IF($K556="","",$A556*100+$K556)</f>
        <v/>
      </c>
      <c r="M556" s="48" t="str">
        <f aca="false">参数!$B$3</f>
        <v>7月收入</v>
      </c>
    </row>
    <row r="557" customFormat="false" ht="13.5" hidden="false" customHeight="false" outlineLevel="0" collapsed="false">
      <c r="A557" s="47" t="n">
        <v>26</v>
      </c>
      <c r="B557" s="38" t="n">
        <f aca="false">助手收入!$B27</f>
        <v>2039</v>
      </c>
      <c r="C557" s="48" t="str">
        <f aca="false">助手收入!$C27</f>
        <v>千户营店</v>
      </c>
      <c r="D557" s="48" t="str">
        <f aca="false">科目对照收入!$B7&amp;""</f>
        <v>企健网</v>
      </c>
      <c r="E557" s="48" t="str">
        <f aca="false">IF(AND(ROUND($G557,2)&lt;0,科目对照收入!$L7&lt;&gt;""),科目对照收入!$L7,科目对照收入!$C7)&amp;""</f>
        <v>应收账款</v>
      </c>
      <c r="F557" s="48" t="str">
        <f aca="false">IF(AND(ROUND($G557,2)&lt;0,科目对照收入!$L7&lt;&gt;""),科目对照收入!$M7,科目对照收入!$D7)&amp;""</f>
        <v>企健网</v>
      </c>
      <c r="G557" s="49" t="n">
        <f aca="false">IF(COUNTIFS(输入平台!$A:$A,助手收入!$X27,输入平台!$B:$B,科目对照收入!$B7)&gt;0,ROUND(SUMIFS(输入平台!$C:$C,输入平台!$A:$A,助手收入!$X27,输入平台!$B:$B,科目对照收入!$B7),2),ROUND(海典汇总!$J$28,2))</f>
        <v>0</v>
      </c>
      <c r="H557" s="49" t="str">
        <f aca="false">IF(ROUND($G557,2)&gt;0,ROUND($G557,2),"")</f>
        <v/>
      </c>
      <c r="I557" s="49" t="str">
        <f aca="false">IF(ROUND($G557,2)&lt;0,-ROUND($G557,2),"")</f>
        <v/>
      </c>
      <c r="J557" s="20" t="n">
        <f aca="false">IF(ROUND($G557,2)=0,0,1)</f>
        <v>0</v>
      </c>
      <c r="K557" s="20" t="str">
        <f aca="false">IF($J557=0,"",SUM($J$552:$J557))</f>
        <v/>
      </c>
      <c r="L557" s="20" t="str">
        <f aca="false">IF($K557="","",$A557*100+$K557)</f>
        <v/>
      </c>
      <c r="M557" s="48" t="str">
        <f aca="false">参数!$B$3</f>
        <v>7月收入</v>
      </c>
    </row>
    <row r="558" customFormat="false" ht="13.5" hidden="false" customHeight="false" outlineLevel="0" collapsed="false">
      <c r="A558" s="47" t="n">
        <v>26</v>
      </c>
      <c r="B558" s="38" t="n">
        <f aca="false">助手收入!$B27</f>
        <v>2039</v>
      </c>
      <c r="C558" s="48" t="str">
        <f aca="false">助手收入!$C27</f>
        <v>千户营店</v>
      </c>
      <c r="D558" s="48" t="str">
        <f aca="false">科目对照收入!$B8&amp;""</f>
        <v>亲情卡</v>
      </c>
      <c r="E558" s="48" t="str">
        <f aca="false">IF(AND(ROUND($G558,2)&lt;0,科目对照收入!$L8&lt;&gt;""),科目对照收入!$L8,科目对照收入!$C8)&amp;""</f>
        <v>应收账款</v>
      </c>
      <c r="F558" s="48" t="str">
        <f aca="false">IF(AND(ROUND($G558,2)&lt;0,科目对照收入!$L8&lt;&gt;""),科目对照收入!$M8,科目对照收入!$D8)&amp;""</f>
        <v>亲情卡</v>
      </c>
      <c r="G558" s="49" t="n">
        <f aca="false">IF(COUNTIFS(输入平台!$A:$A,助手收入!$X27,输入平台!$B:$B,科目对照收入!$B8)&gt;0,ROUND(SUMIFS(输入平台!$C:$C,输入平台!$A:$A,助手收入!$X27,输入平台!$B:$B,科目对照收入!$B8),2),ROUND(海典汇总!$Z$28,2))</f>
        <v>0</v>
      </c>
      <c r="H558" s="49" t="str">
        <f aca="false">IF(ROUND($G558,2)&gt;0,ROUND($G558,2),"")</f>
        <v/>
      </c>
      <c r="I558" s="49" t="str">
        <f aca="false">IF(ROUND($G558,2)&lt;0,-ROUND($G558,2),"")</f>
        <v/>
      </c>
      <c r="J558" s="20" t="n">
        <f aca="false">IF(ROUND($G558,2)=0,0,1)</f>
        <v>0</v>
      </c>
      <c r="K558" s="20" t="str">
        <f aca="false">IF($J558=0,"",SUM($J$552:$J558))</f>
        <v/>
      </c>
      <c r="L558" s="20" t="str">
        <f aca="false">IF($K558="","",$A558*100+$K558)</f>
        <v/>
      </c>
      <c r="M558" s="48" t="str">
        <f aca="false">参数!$B$3</f>
        <v>7月收入</v>
      </c>
    </row>
    <row r="559" customFormat="false" ht="13.5" hidden="false" customHeight="false" outlineLevel="0" collapsed="false">
      <c r="A559" s="47" t="n">
        <v>26</v>
      </c>
      <c r="B559" s="38" t="n">
        <f aca="false">助手收入!$B27</f>
        <v>2039</v>
      </c>
      <c r="C559" s="48" t="str">
        <f aca="false">助手收入!$C27</f>
        <v>千户营店</v>
      </c>
      <c r="D559" s="48" t="str">
        <f aca="false">科目对照收入!$B9&amp;""</f>
        <v>24小时</v>
      </c>
      <c r="E559" s="48" t="str">
        <f aca="false">IF(AND(ROUND($G559,2)&lt;0,科目对照收入!$L9&lt;&gt;""),科目对照收入!$L9,科目对照收入!$C9)&amp;""</f>
        <v>应收账款</v>
      </c>
      <c r="F559" s="48" t="str">
        <f aca="false">IF(AND(ROUND($G559,2)&lt;0,科目对照收入!$L9&lt;&gt;""),科目对照收入!$M9,科目对照收入!$D9)&amp;""</f>
        <v>24小时</v>
      </c>
      <c r="G559" s="49" t="n">
        <f aca="false">IF(COUNTIFS(输入平台!$A:$A,助手收入!$X27,输入平台!$B:$B,科目对照收入!$B9)&gt;0,ROUND(SUMIFS(输入平台!$C:$C,输入平台!$A:$A,助手收入!$X27,输入平台!$B:$B,科目对照收入!$B9),2),ROUND(海典汇总!$K$28,2))</f>
        <v>0</v>
      </c>
      <c r="H559" s="49" t="str">
        <f aca="false">IF(ROUND($G559,2)&gt;0,ROUND($G559,2),"")</f>
        <v/>
      </c>
      <c r="I559" s="49" t="str">
        <f aca="false">IF(ROUND($G559,2)&lt;0,-ROUND($G559,2),"")</f>
        <v/>
      </c>
      <c r="J559" s="20" t="n">
        <f aca="false">IF(ROUND($G559,2)=0,0,1)</f>
        <v>0</v>
      </c>
      <c r="K559" s="20" t="str">
        <f aca="false">IF($J559=0,"",SUM($J$552:$J559))</f>
        <v/>
      </c>
      <c r="L559" s="20" t="str">
        <f aca="false">IF($K559="","",$A559*100+$K559)</f>
        <v/>
      </c>
      <c r="M559" s="48" t="str">
        <f aca="false">参数!$B$3</f>
        <v>7月收入</v>
      </c>
    </row>
    <row r="560" customFormat="false" ht="13.5" hidden="false" customHeight="false" outlineLevel="0" collapsed="false">
      <c r="A560" s="47" t="n">
        <v>26</v>
      </c>
      <c r="B560" s="38" t="n">
        <f aca="false">助手收入!$B27</f>
        <v>2039</v>
      </c>
      <c r="C560" s="48" t="str">
        <f aca="false">助手收入!$C27</f>
        <v>千户营店</v>
      </c>
      <c r="D560" s="48" t="str">
        <f aca="false">科目对照收入!$B10&amp;""</f>
        <v>美团</v>
      </c>
      <c r="E560" s="48" t="str">
        <f aca="false">IF(AND(ROUND($G560,2)&lt;0,科目对照收入!$L10&lt;&gt;""),科目对照收入!$L10,科目对照收入!$C10)&amp;""</f>
        <v>应收账款</v>
      </c>
      <c r="F560" s="48" t="str">
        <f aca="false">IF(AND(ROUND($G560,2)&lt;0,科目对照收入!$L10&lt;&gt;""),科目对照收入!$M10,科目对照收入!$D10)&amp;""</f>
        <v>美团</v>
      </c>
      <c r="G560" s="49" t="n">
        <f aca="false">IF(COUNTIFS(输入平台!$A:$A,助手收入!$X27,输入平台!$B:$B,科目对照收入!$B10)&gt;0,ROUND(SUMIFS(输入平台!$C:$C,输入平台!$A:$A,助手收入!$X27,输入平台!$B:$B,科目对照收入!$B10),2),ROUND(海典汇总!$M$28,2))</f>
        <v>0</v>
      </c>
      <c r="H560" s="49" t="str">
        <f aca="false">IF(ROUND($G560,2)&gt;0,ROUND($G560,2),"")</f>
        <v/>
      </c>
      <c r="I560" s="49" t="str">
        <f aca="false">IF(ROUND($G560,2)&lt;0,-ROUND($G560,2),"")</f>
        <v/>
      </c>
      <c r="J560" s="20" t="n">
        <f aca="false">IF(ROUND($G560,2)=0,0,1)</f>
        <v>0</v>
      </c>
      <c r="K560" s="20" t="str">
        <f aca="false">IF($J560=0,"",SUM($J$552:$J560))</f>
        <v/>
      </c>
      <c r="L560" s="20" t="str">
        <f aca="false">IF($K560="","",$A560*100+$K560)</f>
        <v/>
      </c>
      <c r="M560" s="48" t="str">
        <f aca="false">参数!$B$3</f>
        <v>7月收入</v>
      </c>
    </row>
    <row r="561" customFormat="false" ht="13.5" hidden="false" customHeight="false" outlineLevel="0" collapsed="false">
      <c r="A561" s="47" t="n">
        <v>26</v>
      </c>
      <c r="B561" s="38" t="n">
        <f aca="false">助手收入!$B27</f>
        <v>2039</v>
      </c>
      <c r="C561" s="48" t="str">
        <f aca="false">助手收入!$C27</f>
        <v>千户营店</v>
      </c>
      <c r="D561" s="48" t="str">
        <f aca="false">科目对照收入!$B11&amp;""</f>
        <v>饿了么</v>
      </c>
      <c r="E561" s="48" t="str">
        <f aca="false">IF(AND(ROUND($G561,2)&lt;0,科目对照收入!$L11&lt;&gt;""),科目对照收入!$L11,科目对照收入!$C11)&amp;""</f>
        <v>应收账款</v>
      </c>
      <c r="F561" s="48" t="str">
        <f aca="false">IF(AND(ROUND($G561,2)&lt;0,科目对照收入!$L11&lt;&gt;""),科目对照收入!$M11,科目对照收入!$D11)&amp;""</f>
        <v>饿了么</v>
      </c>
      <c r="G561" s="49" t="n">
        <f aca="false">IF(COUNTIFS(输入平台!$A:$A,助手收入!$X27,输入平台!$B:$B,科目对照收入!$B11)&gt;0,ROUND(SUMIFS(输入平台!$C:$C,输入平台!$A:$A,助手收入!$X27,输入平台!$B:$B,科目对照收入!$B11),2),ROUND(海典汇总!$N$28,2))</f>
        <v>0</v>
      </c>
      <c r="H561" s="49" t="str">
        <f aca="false">IF(ROUND($G561,2)&gt;0,ROUND($G561,2),"")</f>
        <v/>
      </c>
      <c r="I561" s="49" t="str">
        <f aca="false">IF(ROUND($G561,2)&lt;0,-ROUND($G561,2),"")</f>
        <v/>
      </c>
      <c r="J561" s="20" t="n">
        <f aca="false">IF(ROUND($G561,2)=0,0,1)</f>
        <v>0</v>
      </c>
      <c r="K561" s="20" t="str">
        <f aca="false">IF($J561=0,"",SUM($J$552:$J561))</f>
        <v/>
      </c>
      <c r="L561" s="20" t="str">
        <f aca="false">IF($K561="","",$A561*100+$K561)</f>
        <v/>
      </c>
      <c r="M561" s="48" t="str">
        <f aca="false">参数!$B$3</f>
        <v>7月收入</v>
      </c>
    </row>
    <row r="562" customFormat="false" ht="13.5" hidden="false" customHeight="false" outlineLevel="0" collapsed="false">
      <c r="A562" s="47" t="n">
        <v>26</v>
      </c>
      <c r="B562" s="38" t="n">
        <f aca="false">助手收入!$B27</f>
        <v>2039</v>
      </c>
      <c r="C562" s="48" t="str">
        <f aca="false">助手收入!$C27</f>
        <v>千户营店</v>
      </c>
      <c r="D562" s="48" t="str">
        <f aca="false">科目对照收入!$B12&amp;""</f>
        <v>京东秒送</v>
      </c>
      <c r="E562" s="48" t="str">
        <f aca="false">IF(AND(ROUND($G562,2)&lt;0,科目对照收入!$L12&lt;&gt;""),科目对照收入!$L12,科目对照收入!$C12)&amp;""</f>
        <v>应收账款</v>
      </c>
      <c r="F562" s="48" t="str">
        <f aca="false">IF(AND(ROUND($G562,2)&lt;0,科目对照收入!$L12&lt;&gt;""),科目对照收入!$M12,科目对照收入!$D12)&amp;""</f>
        <v>京东秒送</v>
      </c>
      <c r="G562" s="49" t="n">
        <f aca="false">IF(COUNTIFS(输入平台!$A:$A,助手收入!$X27,输入平台!$B:$B,科目对照收入!$B12)&gt;0,ROUND(SUMIFS(输入平台!$C:$C,输入平台!$A:$A,助手收入!$X27,输入平台!$B:$B,科目对照收入!$B12),2),ROUND(海典汇总!$O$28,2))</f>
        <v>0</v>
      </c>
      <c r="H562" s="49" t="str">
        <f aca="false">IF(ROUND($G562,2)&gt;0,ROUND($G562,2),"")</f>
        <v/>
      </c>
      <c r="I562" s="49" t="str">
        <f aca="false">IF(ROUND($G562,2)&lt;0,-ROUND($G562,2),"")</f>
        <v/>
      </c>
      <c r="J562" s="20" t="n">
        <f aca="false">IF(ROUND($G562,2)=0,0,1)</f>
        <v>0</v>
      </c>
      <c r="K562" s="20" t="str">
        <f aca="false">IF($J562=0,"",SUM($J$552:$J562))</f>
        <v/>
      </c>
      <c r="L562" s="20" t="str">
        <f aca="false">IF($K562="","",$A562*100+$K562)</f>
        <v/>
      </c>
      <c r="M562" s="48" t="str">
        <f aca="false">参数!$B$3</f>
        <v>7月收入</v>
      </c>
    </row>
    <row r="563" customFormat="false" ht="13.5" hidden="false" customHeight="false" outlineLevel="0" collapsed="false">
      <c r="A563" s="47" t="n">
        <v>26</v>
      </c>
      <c r="B563" s="38" t="n">
        <f aca="false">助手收入!$B27</f>
        <v>2039</v>
      </c>
      <c r="C563" s="48" t="str">
        <f aca="false">助手收入!$C27</f>
        <v>千户营店</v>
      </c>
      <c r="D563" s="48" t="str">
        <f aca="false">科目对照收入!$B13&amp;""</f>
        <v>银联</v>
      </c>
      <c r="E563" s="48" t="str">
        <f aca="false">IF(AND(ROUND($G563,2)&lt;0,科目对照收入!$L13&lt;&gt;""),科目对照收入!$L13,科目对照收入!$C13)&amp;""</f>
        <v>应收账款</v>
      </c>
      <c r="F563" s="48" t="str">
        <f aca="false">IF(AND(ROUND($G563,2)&lt;0,科目对照收入!$L13&lt;&gt;""),科目对照收入!$M13,科目对照收入!$D13)&amp;""</f>
        <v>银联</v>
      </c>
      <c r="G563" s="49" t="n">
        <f aca="false">IF(COUNTIFS(输入平台!$A:$A,助手收入!$X27,输入平台!$B:$B,科目对照收入!$B13)&gt;0,ROUND(SUMIFS(输入平台!$C:$C,输入平台!$A:$A,助手收入!$X27,输入平台!$B:$B,科目对照收入!$B13),2),ROUND(海典汇总!$V$28,2))</f>
        <v>0</v>
      </c>
      <c r="H563" s="49" t="str">
        <f aca="false">IF(ROUND($G563,2)&gt;0,ROUND($G563,2),"")</f>
        <v/>
      </c>
      <c r="I563" s="49" t="str">
        <f aca="false">IF(ROUND($G563,2)&lt;0,-ROUND($G563,2),"")</f>
        <v/>
      </c>
      <c r="J563" s="20" t="n">
        <f aca="false">IF(ROUND($G563,2)=0,0,1)</f>
        <v>0</v>
      </c>
      <c r="K563" s="20" t="str">
        <f aca="false">IF($J563=0,"",SUM($J$552:$J563))</f>
        <v/>
      </c>
      <c r="L563" s="20" t="str">
        <f aca="false">IF($K563="","",$A563*100+$K563)</f>
        <v/>
      </c>
      <c r="M563" s="48" t="str">
        <f aca="false">参数!$B$3</f>
        <v>7月收入</v>
      </c>
    </row>
    <row r="564" customFormat="false" ht="13.5" hidden="false" customHeight="false" outlineLevel="0" collapsed="false">
      <c r="A564" s="47" t="n">
        <v>26</v>
      </c>
      <c r="B564" s="38" t="n">
        <f aca="false">助手收入!$B27</f>
        <v>2039</v>
      </c>
      <c r="C564" s="48" t="str">
        <f aca="false">助手收入!$C27</f>
        <v>千户营店</v>
      </c>
      <c r="D564" s="48" t="str">
        <f aca="false">科目对照收入!$B14&amp;""</f>
        <v>小镇外卖</v>
      </c>
      <c r="E564" s="48" t="str">
        <f aca="false">IF(AND(ROUND($G564,2)&lt;0,科目对照收入!$L14&lt;&gt;""),科目对照收入!$L14,科目对照收入!$C14)&amp;""</f>
        <v>应收账款</v>
      </c>
      <c r="F564" s="48" t="str">
        <f aca="false">IF(AND(ROUND($G564,2)&lt;0,科目对照收入!$L14&lt;&gt;""),科目对照收入!$M14,科目对照收入!$D14)&amp;""</f>
        <v>小镇外卖</v>
      </c>
      <c r="G564" s="49" t="n">
        <f aca="false">IF(COUNTIFS(输入平台!$A:$A,助手收入!$X27,输入平台!$B:$B,科目对照收入!$B14)&gt;0,ROUND(SUMIFS(输入平台!$C:$C,输入平台!$A:$A,助手收入!$X27,输入平台!$B:$B,科目对照收入!$B14),2),ROUND(海典汇总!$AC$28,2))</f>
        <v>0</v>
      </c>
      <c r="H564" s="49" t="str">
        <f aca="false">IF(ROUND($G564,2)&gt;0,ROUND($G564,2),"")</f>
        <v/>
      </c>
      <c r="I564" s="49" t="str">
        <f aca="false">IF(ROUND($G564,2)&lt;0,-ROUND($G564,2),"")</f>
        <v/>
      </c>
      <c r="J564" s="20" t="n">
        <f aca="false">IF(ROUND($G564,2)=0,0,1)</f>
        <v>0</v>
      </c>
      <c r="K564" s="20" t="str">
        <f aca="false">IF($J564=0,"",SUM($J$552:$J564))</f>
        <v/>
      </c>
      <c r="L564" s="20" t="str">
        <f aca="false">IF($K564="","",$A564*100+$K564)</f>
        <v/>
      </c>
      <c r="M564" s="48" t="str">
        <f aca="false">参数!$B$3</f>
        <v>7月收入</v>
      </c>
    </row>
    <row r="565" customFormat="false" ht="13.5" hidden="false" customHeight="false" outlineLevel="0" collapsed="false">
      <c r="A565" s="47" t="n">
        <v>26</v>
      </c>
      <c r="B565" s="38" t="n">
        <f aca="false">助手收入!$B27</f>
        <v>2039</v>
      </c>
      <c r="C565" s="48" t="str">
        <f aca="false">助手收入!$C27</f>
        <v>千户营店</v>
      </c>
      <c r="D565" s="48" t="str">
        <f aca="false">科目对照收入!$B15&amp;""</f>
        <v>OMS线上支付</v>
      </c>
      <c r="E565" s="48" t="str">
        <f aca="false">IF(AND(ROUND($G565,2)&lt;0,科目对照收入!$L15&lt;&gt;""),科目对照收入!$L15,科目对照收入!$C15)&amp;""</f>
        <v>应收账款</v>
      </c>
      <c r="F565" s="48" t="str">
        <f aca="false">IF(AND(ROUND($G565,2)&lt;0,科目对照收入!$L15&lt;&gt;""),科目对照收入!$M15,科目对照收入!$D15)&amp;""</f>
        <v>OMS线上</v>
      </c>
      <c r="G565" s="49" t="n">
        <f aca="false">IF(COUNTIFS(输入平台!$A:$A,助手收入!$X27,输入平台!$B:$B,科目对照收入!$B15)&gt;0,ROUND(SUMIFS(输入平台!$C:$C,输入平台!$A:$A,助手收入!$X27,输入平台!$B:$B,科目对照收入!$B15),2),ROUND(海典汇总!$L$28,2))</f>
        <v>0</v>
      </c>
      <c r="H565" s="49" t="str">
        <f aca="false">IF(ROUND($G565,2)&gt;0,ROUND($G565,2),"")</f>
        <v/>
      </c>
      <c r="I565" s="49" t="str">
        <f aca="false">IF(ROUND($G565,2)&lt;0,-ROUND($G565,2),"")</f>
        <v/>
      </c>
      <c r="J565" s="20" t="n">
        <f aca="false">IF(ROUND($G565,2)=0,0,1)</f>
        <v>0</v>
      </c>
      <c r="K565" s="20" t="str">
        <f aca="false">IF($J565=0,"",SUM($J$552:$J565))</f>
        <v/>
      </c>
      <c r="L565" s="20" t="str">
        <f aca="false">IF($K565="","",$A565*100+$K565)</f>
        <v/>
      </c>
      <c r="M565" s="48" t="str">
        <f aca="false">参数!$B$3</f>
        <v>7月收入</v>
      </c>
    </row>
    <row r="566" customFormat="false" ht="13.5" hidden="false" customHeight="false" outlineLevel="0" collapsed="false">
      <c r="A566" s="47" t="n">
        <v>26</v>
      </c>
      <c r="B566" s="38" t="n">
        <f aca="false">助手收入!$B27</f>
        <v>2039</v>
      </c>
      <c r="C566" s="48" t="str">
        <f aca="false">助手收入!$C27</f>
        <v>千户营店</v>
      </c>
      <c r="D566" s="48" t="str">
        <f aca="false">科目对照收入!$B16&amp;""</f>
        <v>平安药卡</v>
      </c>
      <c r="E566" s="48" t="str">
        <f aca="false">IF(AND(ROUND($G566,2)&lt;0,科目对照收入!$L16&lt;&gt;""),科目对照收入!$L16,科目对照收入!$C16)&amp;""</f>
        <v>应收账款</v>
      </c>
      <c r="F566" s="48" t="str">
        <f aca="false">IF(AND(ROUND($G566,2)&lt;0,科目对照收入!$L16&lt;&gt;""),科目对照收入!$M16,科目对照收入!$D16)&amp;""</f>
        <v>平安</v>
      </c>
      <c r="G566" s="49" t="n">
        <f aca="false">IF(COUNTIFS(输入平台!$A:$A,助手收入!$X27,输入平台!$B:$B,科目对照收入!$B16)&gt;0,ROUND(SUMIFS(输入平台!$C:$C,输入平台!$A:$A,助手收入!$X27,输入平台!$B:$B,科目对照收入!$B16),2),ROUND(海典汇总!$AB$28,2))</f>
        <v>0</v>
      </c>
      <c r="H566" s="49" t="str">
        <f aca="false">IF(ROUND($G566,2)&gt;0,ROUND($G566,2),"")</f>
        <v/>
      </c>
      <c r="I566" s="49" t="str">
        <f aca="false">IF(ROUND($G566,2)&lt;0,-ROUND($G566,2),"")</f>
        <v/>
      </c>
      <c r="J566" s="20" t="n">
        <f aca="false">IF(ROUND($G566,2)=0,0,1)</f>
        <v>0</v>
      </c>
      <c r="K566" s="20" t="str">
        <f aca="false">IF($J566=0,"",SUM($J$552:$J566))</f>
        <v/>
      </c>
      <c r="L566" s="20" t="str">
        <f aca="false">IF($K566="","",$A566*100+$K566)</f>
        <v/>
      </c>
      <c r="M566" s="48" t="str">
        <f aca="false">参数!$B$3</f>
        <v>7月收入</v>
      </c>
    </row>
    <row r="567" customFormat="false" ht="13.5" hidden="false" customHeight="false" outlineLevel="0" collapsed="false">
      <c r="A567" s="47" t="n">
        <v>26</v>
      </c>
      <c r="B567" s="38" t="n">
        <f aca="false">助手收入!$B27</f>
        <v>2039</v>
      </c>
      <c r="C567" s="48" t="str">
        <f aca="false">助手收入!$C27</f>
        <v>千户营店</v>
      </c>
      <c r="D567" s="48" t="str">
        <f aca="false">科目对照收入!$B17&amp;""</f>
        <v>储值卡</v>
      </c>
      <c r="E567" s="48" t="str">
        <f aca="false">IF(AND(ROUND($G567,2)&lt;0,科目对照收入!$L17&lt;&gt;""),科目对照收入!$L17,科目对照收入!$C17)&amp;""</f>
        <v>其他应收款</v>
      </c>
      <c r="F567" s="48" t="str">
        <f aca="false">IF(AND(ROUND($G567,2)&lt;0,科目对照收入!$L17&lt;&gt;""),科目对照收入!$M17,科目对照收入!$D17)&amp;""</f>
        <v>储值卡</v>
      </c>
      <c r="G567" s="49" t="n">
        <f aca="false">ROUND(海典汇总!$Q$28,2)</f>
        <v>0</v>
      </c>
      <c r="H567" s="49" t="str">
        <f aca="false">IF(ROUND($G567,2)&gt;0,ROUND($G567,2),"")</f>
        <v/>
      </c>
      <c r="I567" s="49" t="str">
        <f aca="false">IF(ROUND($G567,2)&lt;0,-ROUND($G567,2),"")</f>
        <v/>
      </c>
      <c r="J567" s="20" t="n">
        <f aca="false">IF(ROUND($G567,2)=0,0,1)</f>
        <v>0</v>
      </c>
      <c r="K567" s="20" t="str">
        <f aca="false">IF($J567=0,"",SUM($J$552:$J567))</f>
        <v/>
      </c>
      <c r="L567" s="20" t="str">
        <f aca="false">IF($K567="","",$A567*100+$K567)</f>
        <v/>
      </c>
      <c r="M567" s="48" t="str">
        <f aca="false">参数!$B$3</f>
        <v>7月收入</v>
      </c>
    </row>
    <row r="568" customFormat="false" ht="13.5" hidden="false" customHeight="false" outlineLevel="0" collapsed="false">
      <c r="A568" s="47" t="n">
        <v>26</v>
      </c>
      <c r="B568" s="38" t="n">
        <f aca="false">助手收入!$B27</f>
        <v>2039</v>
      </c>
      <c r="C568" s="48" t="str">
        <f aca="false">助手收入!$C27</f>
        <v>千户营店</v>
      </c>
      <c r="D568" s="48" t="str">
        <f aca="false">科目对照收入!$B18&amp;""</f>
        <v>会员零钱包</v>
      </c>
      <c r="E568" s="48" t="str">
        <f aca="false">IF(AND(ROUND($G568,2)&lt;0,科目对照收入!$L18&lt;&gt;""),科目对照收入!$L18,科目对照收入!$C18)&amp;""</f>
        <v>其他应付款</v>
      </c>
      <c r="F568" s="48" t="str">
        <f aca="false">IF(AND(ROUND($G568,2)&lt;0,科目对照收入!$L18&lt;&gt;""),科目对照收入!$M18,科目对照收入!$D18)&amp;""</f>
        <v>会员零钱包</v>
      </c>
      <c r="G568" s="49" t="n">
        <f aca="false">ROUND(海典汇总!$P$28,2)</f>
        <v>-0.26</v>
      </c>
      <c r="H568" s="49" t="str">
        <f aca="false">IF(ROUND($G568,2)&gt;0,ROUND($G568,2),"")</f>
        <v/>
      </c>
      <c r="I568" s="49" t="n">
        <f aca="false">IF(ROUND($G568,2)&lt;0,-ROUND($G568,2),"")</f>
        <v>0.26</v>
      </c>
      <c r="J568" s="20" t="n">
        <f aca="false">IF(ROUND($G568,2)=0,0,1)</f>
        <v>1</v>
      </c>
      <c r="K568" s="20" t="n">
        <f aca="false">IF($J568=0,"",SUM($J$552:$J568))</f>
        <v>4</v>
      </c>
      <c r="L568" s="20" t="n">
        <f aca="false">IF($K568="","",$A568*100+$K568)</f>
        <v>2604</v>
      </c>
      <c r="M568" s="48" t="str">
        <f aca="false">参数!$B$3</f>
        <v>7月收入</v>
      </c>
    </row>
    <row r="569" customFormat="false" ht="13.5" hidden="false" customHeight="false" outlineLevel="0" collapsed="false">
      <c r="A569" s="47" t="n">
        <v>26</v>
      </c>
      <c r="B569" s="38" t="n">
        <f aca="false">助手收入!$B27</f>
        <v>2039</v>
      </c>
      <c r="C569" s="48" t="str">
        <f aca="false">助手收入!$C27</f>
        <v>千户营店</v>
      </c>
      <c r="D569" s="48" t="str">
        <f aca="false">科目对照收入!$B19&amp;""</f>
        <v>促销费</v>
      </c>
      <c r="E569" s="48" t="str">
        <f aca="false">IF(AND(ROUND($G569,2)&lt;0,科目对照收入!$L19&lt;&gt;""),科目对照收入!$L19,科目对照收入!$C19)&amp;""</f>
        <v>销售费用</v>
      </c>
      <c r="F569" s="48" t="str">
        <f aca="false">IF(AND(ROUND($G569,2)&lt;0,科目对照收入!$L19&lt;&gt;""),科目对照收入!$M19,科目对照收入!$D19)&amp;""</f>
        <v>促销费</v>
      </c>
      <c r="G569" s="49" t="n">
        <f aca="false">ROUND(海典汇总!$U$28+海典汇总!$T$28+海典汇总!$S$28,2)</f>
        <v>1643.78</v>
      </c>
      <c r="H569" s="49" t="n">
        <f aca="false">IF(ROUND($G569,2)&gt;0,ROUND($G569,2),"")</f>
        <v>1643.78</v>
      </c>
      <c r="I569" s="49" t="str">
        <f aca="false">IF(ROUND($G569,2)&lt;0,-ROUND($G569,2),"")</f>
        <v/>
      </c>
      <c r="J569" s="20" t="n">
        <f aca="false">IF(ROUND($G569,2)=0,0,1)</f>
        <v>1</v>
      </c>
      <c r="K569" s="20" t="n">
        <f aca="false">IF($J569=0,"",SUM($J$552:$J569))</f>
        <v>5</v>
      </c>
      <c r="L569" s="20" t="n">
        <f aca="false">IF($K569="","",$A569*100+$K569)</f>
        <v>2605</v>
      </c>
      <c r="M569" s="48" t="str">
        <f aca="false">参数!$B$3</f>
        <v>7月收入</v>
      </c>
    </row>
    <row r="570" customFormat="false" ht="13.5" hidden="false" customHeight="false" outlineLevel="0" collapsed="false">
      <c r="A570" s="47" t="n">
        <v>26</v>
      </c>
      <c r="B570" s="38" t="n">
        <f aca="false">助手收入!$B27</f>
        <v>2039</v>
      </c>
      <c r="C570" s="48" t="str">
        <f aca="false">助手收入!$C27</f>
        <v>千户营店</v>
      </c>
      <c r="D570" s="48" t="str">
        <f aca="false">科目对照收入!$B20&amp;""</f>
        <v>积分</v>
      </c>
      <c r="E570" s="48" t="str">
        <f aca="false">IF(AND(ROUND($G570,2)&lt;0,科目对照收入!$L20&lt;&gt;""),科目对照收入!$L20,科目对照收入!$C20)&amp;""</f>
        <v>销售费用</v>
      </c>
      <c r="F570" s="48" t="str">
        <f aca="false">IF(AND(ROUND($G570,2)&lt;0,科目对照收入!$L20&lt;&gt;""),科目对照收入!$M20,科目对照收入!$D20)&amp;""</f>
        <v>积分</v>
      </c>
      <c r="G570" s="49" t="n">
        <f aca="false">ROUND(海典汇总!$R$28,2)</f>
        <v>0</v>
      </c>
      <c r="H570" s="49" t="str">
        <f aca="false">IF(ROUND($G570,2)&gt;0,ROUND($G570,2),"")</f>
        <v/>
      </c>
      <c r="I570" s="49" t="str">
        <f aca="false">IF(ROUND($G570,2)&lt;0,-ROUND($G570,2),"")</f>
        <v/>
      </c>
      <c r="J570" s="20" t="n">
        <f aca="false">IF(ROUND($G570,2)=0,0,1)</f>
        <v>0</v>
      </c>
      <c r="K570" s="20" t="str">
        <f aca="false">IF($J570=0,"",SUM($J$552:$J570))</f>
        <v/>
      </c>
      <c r="L570" s="20" t="str">
        <f aca="false">IF($K570="","",$A570*100+$K570)</f>
        <v/>
      </c>
      <c r="M570" s="48" t="str">
        <f aca="false">参数!$B$3</f>
        <v>7月收入</v>
      </c>
    </row>
    <row r="571" customFormat="false" ht="13.5" hidden="false" customHeight="false" outlineLevel="0" collapsed="false">
      <c r="A571" s="47" t="n">
        <v>26</v>
      </c>
      <c r="B571" s="38" t="n">
        <f aca="false">助手收入!$B27</f>
        <v>2039</v>
      </c>
      <c r="C571" s="48" t="str">
        <f aca="false">助手收入!$C27</f>
        <v>千户营店</v>
      </c>
      <c r="D571" s="48" t="str">
        <f aca="false">科目对照收入!$B21&amp;""</f>
        <v>手续费</v>
      </c>
      <c r="E571" s="48" t="str">
        <f aca="false">IF(AND(ROUND($G571,2)&lt;0,科目对照收入!$L21&lt;&gt;""),科目对照收入!$L21,科目对照收入!$C21)&amp;""</f>
        <v>财务费用</v>
      </c>
      <c r="F571" s="48" t="str">
        <f aca="false">IF(AND(ROUND($G571,2)&lt;0,科目对照收入!$L21&lt;&gt;""),科目对照收入!$M21,科目对照收入!$D21)&amp;""</f>
        <v>手续费</v>
      </c>
      <c r="G571" s="49" t="n">
        <f aca="false">ROUND(SUMIFS(输入聚合!$D:$D,输入聚合!$A:$A,助手收入!$X27),2)</f>
        <v>102.7</v>
      </c>
      <c r="H571" s="49" t="n">
        <f aca="false">IF(ROUND($G571,2)&gt;0,ROUND($G571,2),"")</f>
        <v>102.7</v>
      </c>
      <c r="I571" s="49" t="str">
        <f aca="false">IF(ROUND($G571,2)&lt;0,-ROUND($G571,2),"")</f>
        <v/>
      </c>
      <c r="J571" s="20" t="n">
        <f aca="false">IF(ROUND($G571,2)=0,0,1)</f>
        <v>1</v>
      </c>
      <c r="K571" s="20" t="n">
        <f aca="false">IF($J571=0,"",SUM($J$552:$J571))</f>
        <v>6</v>
      </c>
      <c r="L571" s="20" t="n">
        <f aca="false">IF($K571="","",$A571*100+$K571)</f>
        <v>2606</v>
      </c>
      <c r="M571" s="48" t="str">
        <f aca="false">参数!$B$3</f>
        <v>7月收入</v>
      </c>
    </row>
    <row r="572" customFormat="false" ht="13.5" hidden="false" customHeight="false" outlineLevel="0" collapsed="false">
      <c r="A572" s="47" t="n">
        <v>26</v>
      </c>
      <c r="B572" s="38" t="n">
        <f aca="false">助手收入!$B27</f>
        <v>2039</v>
      </c>
      <c r="C572" s="48" t="str">
        <f aca="false">助手收入!$C27</f>
        <v>千户营店</v>
      </c>
      <c r="D572" s="48" t="str">
        <f aca="false">科目对照收入!$B22&amp;""</f>
        <v>主营业务收入</v>
      </c>
      <c r="E572" s="48" t="str">
        <f aca="false">IF(AND(ROUND($G572,2)&lt;0,科目对照收入!$L22&lt;&gt;""),科目对照收入!$L22,科目对照收入!$C22)&amp;""</f>
        <v>主营业务收入</v>
      </c>
      <c r="F572" s="48" t="str">
        <f aca="false">IF(AND(ROUND($G572,2)&lt;0,科目对照收入!$L22&lt;&gt;""),科目对照收入!$M22,科目对照收入!$D22)&amp;""</f>
        <v/>
      </c>
      <c r="G572" s="49" t="n">
        <f aca="false">-ROUND(助手收入!$G27,2)</f>
        <v>-73917.42</v>
      </c>
      <c r="H572" s="49" t="str">
        <f aca="false">IF(ROUND($G572,2)&gt;0,ROUND($G572,2),"")</f>
        <v/>
      </c>
      <c r="I572" s="49" t="n">
        <f aca="false">IF(ROUND($G572,2)&lt;0,-ROUND($G572,2),"")</f>
        <v>73917.42</v>
      </c>
      <c r="J572" s="20" t="n">
        <f aca="false">IF(ROUND($G572,2)=0,0,1)</f>
        <v>1</v>
      </c>
      <c r="K572" s="20" t="n">
        <f aca="false">IF($J572=0,"",SUM($J$552:$J572))</f>
        <v>7</v>
      </c>
      <c r="L572" s="20" t="n">
        <f aca="false">IF($K572="","",$A572*100+$K572)</f>
        <v>2607</v>
      </c>
      <c r="M572" s="48" t="str">
        <f aca="false">参数!$B$3</f>
        <v>7月收入</v>
      </c>
    </row>
    <row r="573" customFormat="false" ht="13.5" hidden="false" customHeight="false" outlineLevel="0" collapsed="false">
      <c r="A573" s="47" t="n">
        <v>26</v>
      </c>
      <c r="B573" s="38" t="n">
        <f aca="false">助手收入!$B27</f>
        <v>2039</v>
      </c>
      <c r="C573" s="48" t="str">
        <f aca="false">助手收入!$C27</f>
        <v>千户营店</v>
      </c>
      <c r="D573" s="48" t="str">
        <f aca="false">科目对照收入!$B23&amp;""</f>
        <v>营业外收入</v>
      </c>
      <c r="E573" s="48" t="str">
        <f aca="false">IF(AND(ROUND($G573,2)&lt;0,科目对照收入!$L23&lt;&gt;""),科目对照收入!$L23,科目对照收入!$C23)&amp;""</f>
        <v>营业外收入</v>
      </c>
      <c r="F573" s="48" t="str">
        <f aca="false">IF(AND(ROUND($G573,2)&lt;0,科目对照收入!$L23&lt;&gt;""),科目对照收入!$M23,科目对照收入!$D23)&amp;""</f>
        <v/>
      </c>
      <c r="G573" s="49" t="n">
        <f aca="false">-ROUND(助手收入!$J27,2)</f>
        <v>-0</v>
      </c>
      <c r="H573" s="49" t="str">
        <f aca="false">IF(ROUND($G573,2)&gt;0,ROUND($G573,2),"")</f>
        <v/>
      </c>
      <c r="I573" s="49" t="str">
        <f aca="false">IF(ROUND($G573,2)&lt;0,-ROUND($G573,2),"")</f>
        <v/>
      </c>
      <c r="J573" s="20" t="n">
        <f aca="false">IF(ROUND($G573,2)=0,0,1)</f>
        <v>0</v>
      </c>
      <c r="K573" s="20" t="str">
        <f aca="false">IF($J573=0,"",SUM($J$552:$J573))</f>
        <v/>
      </c>
      <c r="L573" s="20" t="str">
        <f aca="false">IF($K573="","",$A573*100+$K573)</f>
        <v/>
      </c>
      <c r="M573" s="48" t="str">
        <f aca="false">参数!$B$3</f>
        <v>7月收入</v>
      </c>
    </row>
    <row r="574" customFormat="false" ht="13.5" hidden="false" customHeight="false" outlineLevel="0" collapsed="false">
      <c r="A574" s="47" t="n">
        <v>27</v>
      </c>
      <c r="B574" s="38" t="n">
        <f aca="false">助手收入!$B28</f>
        <v>2040</v>
      </c>
      <c r="C574" s="48" t="str">
        <f aca="false">助手收入!$C28</f>
        <v>大张庄店</v>
      </c>
      <c r="D574" s="48" t="str">
        <f aca="false">科目对照收入!$B2&amp;""</f>
        <v>库存现金</v>
      </c>
      <c r="E574" s="48" t="str">
        <f aca="false">IF(AND(ROUND($G574,2)&lt;0,科目对照收入!$L2&lt;&gt;""),科目对照收入!$L2,科目对照收入!$C2)&amp;""</f>
        <v>库存现金</v>
      </c>
      <c r="F574" s="48" t="str">
        <f aca="false">IF(AND(ROUND($G574,2)&lt;0,科目对照收入!$L2&lt;&gt;""),科目对照收入!$M2,科目对照收入!$D2)&amp;""</f>
        <v/>
      </c>
      <c r="G574" s="49" t="n">
        <f aca="false">助手收入!$I28</f>
        <v>24616.18</v>
      </c>
      <c r="H574" s="49" t="n">
        <f aca="false">IF(ROUND($G574,2)&gt;0,ROUND($G574,2),"")</f>
        <v>24616.18</v>
      </c>
      <c r="I574" s="49" t="str">
        <f aca="false">IF(ROUND($G574,2)&lt;0,-ROUND($G574,2),"")</f>
        <v/>
      </c>
      <c r="J574" s="20" t="n">
        <f aca="false">IF(ROUND($G574,2)=0,0,1)</f>
        <v>1</v>
      </c>
      <c r="K574" s="20" t="n">
        <f aca="false">IF($J574=0,"",SUM($J$574:$J574))</f>
        <v>1</v>
      </c>
      <c r="L574" s="20" t="n">
        <f aca="false">IF($K574="","",$A574*100+$K574)</f>
        <v>2701</v>
      </c>
      <c r="M574" s="48" t="str">
        <f aca="false">参数!$B$3</f>
        <v>7月收入</v>
      </c>
    </row>
    <row r="575" customFormat="false" ht="13.5" hidden="false" customHeight="false" outlineLevel="0" collapsed="false">
      <c r="A575" s="47" t="n">
        <v>27</v>
      </c>
      <c r="B575" s="38" t="n">
        <f aca="false">助手收入!$B28</f>
        <v>2040</v>
      </c>
      <c r="C575" s="48" t="str">
        <f aca="false">助手收入!$C28</f>
        <v>大张庄店</v>
      </c>
      <c r="D575" s="48" t="str">
        <f aca="false">科目对照收入!$B3&amp;""</f>
        <v>聚合支付</v>
      </c>
      <c r="E575" s="48" t="str">
        <f aca="false">IF(AND(ROUND($G575,2)&lt;0,科目对照收入!$L3&lt;&gt;""),科目对照收入!$L3,科目对照收入!$C3)&amp;""</f>
        <v>应收账款</v>
      </c>
      <c r="F575" s="48" t="str">
        <f aca="false">IF(AND(ROUND($G575,2)&lt;0,科目对照收入!$L3&lt;&gt;""),科目对照收入!$M3,科目对照收入!$D3)&amp;""</f>
        <v>聚合支付</v>
      </c>
      <c r="G575" s="49" t="n">
        <f aca="false">ROUND(SUMIFS(输入聚合!$C:$C,输入聚合!$A:$A,助手收入!$X28)-SUMIFS(输入聚合!$D:$D,输入聚合!$A:$A,助手收入!$X28),2)</f>
        <v>56001.34</v>
      </c>
      <c r="H575" s="49" t="n">
        <f aca="false">IF(ROUND($G575,2)&gt;0,ROUND($G575,2),"")</f>
        <v>56001.34</v>
      </c>
      <c r="I575" s="49" t="str">
        <f aca="false">IF(ROUND($G575,2)&lt;0,-ROUND($G575,2),"")</f>
        <v/>
      </c>
      <c r="J575" s="20" t="n">
        <f aca="false">IF(ROUND($G575,2)=0,0,1)</f>
        <v>1</v>
      </c>
      <c r="K575" s="20" t="n">
        <f aca="false">IF($J575=0,"",SUM($J$574:$J575))</f>
        <v>2</v>
      </c>
      <c r="L575" s="20" t="n">
        <f aca="false">IF($K575="","",$A575*100+$K575)</f>
        <v>2702</v>
      </c>
      <c r="M575" s="48" t="str">
        <f aca="false">参数!$B$3</f>
        <v>7月收入</v>
      </c>
    </row>
    <row r="576" customFormat="false" ht="13.5" hidden="false" customHeight="false" outlineLevel="0" collapsed="false">
      <c r="A576" s="47" t="n">
        <v>27</v>
      </c>
      <c r="B576" s="38" t="n">
        <f aca="false">助手收入!$B28</f>
        <v>2040</v>
      </c>
      <c r="C576" s="48" t="str">
        <f aca="false">助手收入!$C28</f>
        <v>大张庄店</v>
      </c>
      <c r="D576" s="48" t="str">
        <f aca="false">科目对照收入!$B4&amp;""</f>
        <v>医保</v>
      </c>
      <c r="E576" s="48" t="str">
        <f aca="false">IF(AND(ROUND($G576,2)&lt;0,科目对照收入!$L4&lt;&gt;""),科目对照收入!$L4,科目对照收入!$C4)&amp;""</f>
        <v>应收账款</v>
      </c>
      <c r="F576" s="48" t="str">
        <f aca="false">IF(AND(ROUND($G576,2)&lt;0,科目对照收入!$L4&lt;&gt;""),科目对照收入!$M4,科目对照收入!$D4)&amp;""</f>
        <v>医保</v>
      </c>
      <c r="G576" s="49" t="n">
        <f aca="false">IF(COUNTIFS(输入平台!$A:$A,助手收入!$X28,输入平台!$B:$B,科目对照收入!$B4)&gt;0,ROUND(SUMIFS(输入平台!$C:$C,输入平台!$A:$A,助手收入!$X28,输入平台!$B:$B,科目对照收入!$B4),2),ROUND(海典汇总!$F$29+海典汇总!$G$29,2))</f>
        <v>10613.67</v>
      </c>
      <c r="H576" s="49" t="n">
        <f aca="false">IF(ROUND($G576,2)&gt;0,ROUND($G576,2),"")</f>
        <v>10613.67</v>
      </c>
      <c r="I576" s="49" t="str">
        <f aca="false">IF(ROUND($G576,2)&lt;0,-ROUND($G576,2),"")</f>
        <v/>
      </c>
      <c r="J576" s="20" t="n">
        <f aca="false">IF(ROUND($G576,2)=0,0,1)</f>
        <v>1</v>
      </c>
      <c r="K576" s="20" t="n">
        <f aca="false">IF($J576=0,"",SUM($J$574:$J576))</f>
        <v>3</v>
      </c>
      <c r="L576" s="20" t="n">
        <f aca="false">IF($K576="","",$A576*100+$K576)</f>
        <v>2703</v>
      </c>
      <c r="M576" s="48" t="str">
        <f aca="false">参数!$B$3</f>
        <v>7月收入</v>
      </c>
    </row>
    <row r="577" customFormat="false" ht="13.5" hidden="false" customHeight="false" outlineLevel="0" collapsed="false">
      <c r="A577" s="47" t="n">
        <v>27</v>
      </c>
      <c r="B577" s="38" t="n">
        <f aca="false">助手收入!$B28</f>
        <v>2040</v>
      </c>
      <c r="C577" s="48" t="str">
        <f aca="false">助手收入!$C28</f>
        <v>大张庄店</v>
      </c>
      <c r="D577" s="48" t="str">
        <f aca="false">科目对照收入!$B5&amp;""</f>
        <v>健e卡</v>
      </c>
      <c r="E577" s="48" t="str">
        <f aca="false">IF(AND(ROUND($G577,2)&lt;0,科目对照收入!$L5&lt;&gt;""),科目对照收入!$L5,科目对照收入!$C5)&amp;""</f>
        <v>应收账款</v>
      </c>
      <c r="F577" s="48" t="str">
        <f aca="false">IF(AND(ROUND($G577,2)&lt;0,科目对照收入!$L5&lt;&gt;""),科目对照收入!$M5,科目对照收入!$D5)&amp;""</f>
        <v>健e卡</v>
      </c>
      <c r="G577" s="49" t="n">
        <f aca="false">IF(COUNTIFS(输入平台!$A:$A,助手收入!$X28,输入平台!$B:$B,科目对照收入!$B5)&gt;0,ROUND(SUMIFS(输入平台!$C:$C,输入平台!$A:$A,助手收入!$X28,输入平台!$B:$B,科目对照收入!$B5),2),ROUND(海典汇总!$H$29,2))</f>
        <v>0</v>
      </c>
      <c r="H577" s="49" t="str">
        <f aca="false">IF(ROUND($G577,2)&gt;0,ROUND($G577,2),"")</f>
        <v/>
      </c>
      <c r="I577" s="49" t="str">
        <f aca="false">IF(ROUND($G577,2)&lt;0,-ROUND($G577,2),"")</f>
        <v/>
      </c>
      <c r="J577" s="20" t="n">
        <f aca="false">IF(ROUND($G577,2)=0,0,1)</f>
        <v>0</v>
      </c>
      <c r="K577" s="20" t="str">
        <f aca="false">IF($J577=0,"",SUM($J$574:$J577))</f>
        <v/>
      </c>
      <c r="L577" s="20" t="str">
        <f aca="false">IF($K577="","",$A577*100+$K577)</f>
        <v/>
      </c>
      <c r="M577" s="48" t="str">
        <f aca="false">参数!$B$3</f>
        <v>7月收入</v>
      </c>
    </row>
    <row r="578" customFormat="false" ht="13.5" hidden="false" customHeight="false" outlineLevel="0" collapsed="false">
      <c r="A578" s="47" t="n">
        <v>27</v>
      </c>
      <c r="B578" s="38" t="n">
        <f aca="false">助手收入!$B28</f>
        <v>2040</v>
      </c>
      <c r="C578" s="48" t="str">
        <f aca="false">助手收入!$C28</f>
        <v>大张庄店</v>
      </c>
      <c r="D578" s="48" t="str">
        <f aca="false">科目对照收入!$B6&amp;""</f>
        <v>医卡通</v>
      </c>
      <c r="E578" s="48" t="str">
        <f aca="false">IF(AND(ROUND($G578,2)&lt;0,科目对照收入!$L6&lt;&gt;""),科目对照收入!$L6,科目对照收入!$C6)&amp;""</f>
        <v>应收账款</v>
      </c>
      <c r="F578" s="48" t="str">
        <f aca="false">IF(AND(ROUND($G578,2)&lt;0,科目对照收入!$L6&lt;&gt;""),科目对照收入!$M6,科目对照收入!$D6)&amp;""</f>
        <v>医卡通</v>
      </c>
      <c r="G578" s="49" t="n">
        <f aca="false">IF(COUNTIFS(输入平台!$A:$A,助手收入!$X28,输入平台!$B:$B,科目对照收入!$B6)&gt;0,ROUND(SUMIFS(输入平台!$C:$C,输入平台!$A:$A,助手收入!$X28,输入平台!$B:$B,科目对照收入!$B6),2),ROUND(海典汇总!$I$29,2))</f>
        <v>0</v>
      </c>
      <c r="H578" s="49" t="str">
        <f aca="false">IF(ROUND($G578,2)&gt;0,ROUND($G578,2),"")</f>
        <v/>
      </c>
      <c r="I578" s="49" t="str">
        <f aca="false">IF(ROUND($G578,2)&lt;0,-ROUND($G578,2),"")</f>
        <v/>
      </c>
      <c r="J578" s="20" t="n">
        <f aca="false">IF(ROUND($G578,2)=0,0,1)</f>
        <v>0</v>
      </c>
      <c r="K578" s="20" t="str">
        <f aca="false">IF($J578=0,"",SUM($J$574:$J578))</f>
        <v/>
      </c>
      <c r="L578" s="20" t="str">
        <f aca="false">IF($K578="","",$A578*100+$K578)</f>
        <v/>
      </c>
      <c r="M578" s="48" t="str">
        <f aca="false">参数!$B$3</f>
        <v>7月收入</v>
      </c>
    </row>
    <row r="579" customFormat="false" ht="13.5" hidden="false" customHeight="false" outlineLevel="0" collapsed="false">
      <c r="A579" s="47" t="n">
        <v>27</v>
      </c>
      <c r="B579" s="38" t="n">
        <f aca="false">助手收入!$B28</f>
        <v>2040</v>
      </c>
      <c r="C579" s="48" t="str">
        <f aca="false">助手收入!$C28</f>
        <v>大张庄店</v>
      </c>
      <c r="D579" s="48" t="str">
        <f aca="false">科目对照收入!$B7&amp;""</f>
        <v>企健网</v>
      </c>
      <c r="E579" s="48" t="str">
        <f aca="false">IF(AND(ROUND($G579,2)&lt;0,科目对照收入!$L7&lt;&gt;""),科目对照收入!$L7,科目对照收入!$C7)&amp;""</f>
        <v>应收账款</v>
      </c>
      <c r="F579" s="48" t="str">
        <f aca="false">IF(AND(ROUND($G579,2)&lt;0,科目对照收入!$L7&lt;&gt;""),科目对照收入!$M7,科目对照收入!$D7)&amp;""</f>
        <v>企健网</v>
      </c>
      <c r="G579" s="49" t="n">
        <f aca="false">IF(COUNTIFS(输入平台!$A:$A,助手收入!$X28,输入平台!$B:$B,科目对照收入!$B7)&gt;0,ROUND(SUMIFS(输入平台!$C:$C,输入平台!$A:$A,助手收入!$X28,输入平台!$B:$B,科目对照收入!$B7),2),ROUND(海典汇总!$J$29,2))</f>
        <v>0</v>
      </c>
      <c r="H579" s="49" t="str">
        <f aca="false">IF(ROUND($G579,2)&gt;0,ROUND($G579,2),"")</f>
        <v/>
      </c>
      <c r="I579" s="49" t="str">
        <f aca="false">IF(ROUND($G579,2)&lt;0,-ROUND($G579,2),"")</f>
        <v/>
      </c>
      <c r="J579" s="20" t="n">
        <f aca="false">IF(ROUND($G579,2)=0,0,1)</f>
        <v>0</v>
      </c>
      <c r="K579" s="20" t="str">
        <f aca="false">IF($J579=0,"",SUM($J$574:$J579))</f>
        <v/>
      </c>
      <c r="L579" s="20" t="str">
        <f aca="false">IF($K579="","",$A579*100+$K579)</f>
        <v/>
      </c>
      <c r="M579" s="48" t="str">
        <f aca="false">参数!$B$3</f>
        <v>7月收入</v>
      </c>
    </row>
    <row r="580" customFormat="false" ht="13.5" hidden="false" customHeight="false" outlineLevel="0" collapsed="false">
      <c r="A580" s="47" t="n">
        <v>27</v>
      </c>
      <c r="B580" s="38" t="n">
        <f aca="false">助手收入!$B28</f>
        <v>2040</v>
      </c>
      <c r="C580" s="48" t="str">
        <f aca="false">助手收入!$C28</f>
        <v>大张庄店</v>
      </c>
      <c r="D580" s="48" t="str">
        <f aca="false">科目对照收入!$B8&amp;""</f>
        <v>亲情卡</v>
      </c>
      <c r="E580" s="48" t="str">
        <f aca="false">IF(AND(ROUND($G580,2)&lt;0,科目对照收入!$L8&lt;&gt;""),科目对照收入!$L8,科目对照收入!$C8)&amp;""</f>
        <v>应收账款</v>
      </c>
      <c r="F580" s="48" t="str">
        <f aca="false">IF(AND(ROUND($G580,2)&lt;0,科目对照收入!$L8&lt;&gt;""),科目对照收入!$M8,科目对照收入!$D8)&amp;""</f>
        <v>亲情卡</v>
      </c>
      <c r="G580" s="49" t="n">
        <f aca="false">IF(COUNTIFS(输入平台!$A:$A,助手收入!$X28,输入平台!$B:$B,科目对照收入!$B8)&gt;0,ROUND(SUMIFS(输入平台!$C:$C,输入平台!$A:$A,助手收入!$X28,输入平台!$B:$B,科目对照收入!$B8),2),ROUND(海典汇总!$Z$29,2))</f>
        <v>0</v>
      </c>
      <c r="H580" s="49" t="str">
        <f aca="false">IF(ROUND($G580,2)&gt;0,ROUND($G580,2),"")</f>
        <v/>
      </c>
      <c r="I580" s="49" t="str">
        <f aca="false">IF(ROUND($G580,2)&lt;0,-ROUND($G580,2),"")</f>
        <v/>
      </c>
      <c r="J580" s="20" t="n">
        <f aca="false">IF(ROUND($G580,2)=0,0,1)</f>
        <v>0</v>
      </c>
      <c r="K580" s="20" t="str">
        <f aca="false">IF($J580=0,"",SUM($J$574:$J580))</f>
        <v/>
      </c>
      <c r="L580" s="20" t="str">
        <f aca="false">IF($K580="","",$A580*100+$K580)</f>
        <v/>
      </c>
      <c r="M580" s="48" t="str">
        <f aca="false">参数!$B$3</f>
        <v>7月收入</v>
      </c>
    </row>
    <row r="581" customFormat="false" ht="13.5" hidden="false" customHeight="false" outlineLevel="0" collapsed="false">
      <c r="A581" s="47" t="n">
        <v>27</v>
      </c>
      <c r="B581" s="38" t="n">
        <f aca="false">助手收入!$B28</f>
        <v>2040</v>
      </c>
      <c r="C581" s="48" t="str">
        <f aca="false">助手收入!$C28</f>
        <v>大张庄店</v>
      </c>
      <c r="D581" s="48" t="str">
        <f aca="false">科目对照收入!$B9&amp;""</f>
        <v>24小时</v>
      </c>
      <c r="E581" s="48" t="str">
        <f aca="false">IF(AND(ROUND($G581,2)&lt;0,科目对照收入!$L9&lt;&gt;""),科目对照收入!$L9,科目对照收入!$C9)&amp;""</f>
        <v>应收账款</v>
      </c>
      <c r="F581" s="48" t="str">
        <f aca="false">IF(AND(ROUND($G581,2)&lt;0,科目对照收入!$L9&lt;&gt;""),科目对照收入!$M9,科目对照收入!$D9)&amp;""</f>
        <v>24小时</v>
      </c>
      <c r="G581" s="49" t="n">
        <f aca="false">IF(COUNTIFS(输入平台!$A:$A,助手收入!$X28,输入平台!$B:$B,科目对照收入!$B9)&gt;0,ROUND(SUMIFS(输入平台!$C:$C,输入平台!$A:$A,助手收入!$X28,输入平台!$B:$B,科目对照收入!$B9),2),ROUND(海典汇总!$K$29,2))</f>
        <v>0</v>
      </c>
      <c r="H581" s="49" t="str">
        <f aca="false">IF(ROUND($G581,2)&gt;0,ROUND($G581,2),"")</f>
        <v/>
      </c>
      <c r="I581" s="49" t="str">
        <f aca="false">IF(ROUND($G581,2)&lt;0,-ROUND($G581,2),"")</f>
        <v/>
      </c>
      <c r="J581" s="20" t="n">
        <f aca="false">IF(ROUND($G581,2)=0,0,1)</f>
        <v>0</v>
      </c>
      <c r="K581" s="20" t="str">
        <f aca="false">IF($J581=0,"",SUM($J$574:$J581))</f>
        <v/>
      </c>
      <c r="L581" s="20" t="str">
        <f aca="false">IF($K581="","",$A581*100+$K581)</f>
        <v/>
      </c>
      <c r="M581" s="48" t="str">
        <f aca="false">参数!$B$3</f>
        <v>7月收入</v>
      </c>
    </row>
    <row r="582" customFormat="false" ht="13.5" hidden="false" customHeight="false" outlineLevel="0" collapsed="false">
      <c r="A582" s="47" t="n">
        <v>27</v>
      </c>
      <c r="B582" s="38" t="n">
        <f aca="false">助手收入!$B28</f>
        <v>2040</v>
      </c>
      <c r="C582" s="48" t="str">
        <f aca="false">助手收入!$C28</f>
        <v>大张庄店</v>
      </c>
      <c r="D582" s="48" t="str">
        <f aca="false">科目对照收入!$B10&amp;""</f>
        <v>美团</v>
      </c>
      <c r="E582" s="48" t="str">
        <f aca="false">IF(AND(ROUND($G582,2)&lt;0,科目对照收入!$L10&lt;&gt;""),科目对照收入!$L10,科目对照收入!$C10)&amp;""</f>
        <v>应收账款</v>
      </c>
      <c r="F582" s="48" t="str">
        <f aca="false">IF(AND(ROUND($G582,2)&lt;0,科目对照收入!$L10&lt;&gt;""),科目对照收入!$M10,科目对照收入!$D10)&amp;""</f>
        <v>美团</v>
      </c>
      <c r="G582" s="49" t="n">
        <f aca="false">IF(COUNTIFS(输入平台!$A:$A,助手收入!$X28,输入平台!$B:$B,科目对照收入!$B10)&gt;0,ROUND(SUMIFS(输入平台!$C:$C,输入平台!$A:$A,助手收入!$X28,输入平台!$B:$B,科目对照收入!$B10),2),ROUND(海典汇总!$M$29,2))</f>
        <v>0</v>
      </c>
      <c r="H582" s="49" t="str">
        <f aca="false">IF(ROUND($G582,2)&gt;0,ROUND($G582,2),"")</f>
        <v/>
      </c>
      <c r="I582" s="49" t="str">
        <f aca="false">IF(ROUND($G582,2)&lt;0,-ROUND($G582,2),"")</f>
        <v/>
      </c>
      <c r="J582" s="20" t="n">
        <f aca="false">IF(ROUND($G582,2)=0,0,1)</f>
        <v>0</v>
      </c>
      <c r="K582" s="20" t="str">
        <f aca="false">IF($J582=0,"",SUM($J$574:$J582))</f>
        <v/>
      </c>
      <c r="L582" s="20" t="str">
        <f aca="false">IF($K582="","",$A582*100+$K582)</f>
        <v/>
      </c>
      <c r="M582" s="48" t="str">
        <f aca="false">参数!$B$3</f>
        <v>7月收入</v>
      </c>
    </row>
    <row r="583" customFormat="false" ht="13.5" hidden="false" customHeight="false" outlineLevel="0" collapsed="false">
      <c r="A583" s="47" t="n">
        <v>27</v>
      </c>
      <c r="B583" s="38" t="n">
        <f aca="false">助手收入!$B28</f>
        <v>2040</v>
      </c>
      <c r="C583" s="48" t="str">
        <f aca="false">助手收入!$C28</f>
        <v>大张庄店</v>
      </c>
      <c r="D583" s="48" t="str">
        <f aca="false">科目对照收入!$B11&amp;""</f>
        <v>饿了么</v>
      </c>
      <c r="E583" s="48" t="str">
        <f aca="false">IF(AND(ROUND($G583,2)&lt;0,科目对照收入!$L11&lt;&gt;""),科目对照收入!$L11,科目对照收入!$C11)&amp;""</f>
        <v>应收账款</v>
      </c>
      <c r="F583" s="48" t="str">
        <f aca="false">IF(AND(ROUND($G583,2)&lt;0,科目对照收入!$L11&lt;&gt;""),科目对照收入!$M11,科目对照收入!$D11)&amp;""</f>
        <v>饿了么</v>
      </c>
      <c r="G583" s="49" t="n">
        <f aca="false">IF(COUNTIFS(输入平台!$A:$A,助手收入!$X28,输入平台!$B:$B,科目对照收入!$B11)&gt;0,ROUND(SUMIFS(输入平台!$C:$C,输入平台!$A:$A,助手收入!$X28,输入平台!$B:$B,科目对照收入!$B11),2),ROUND(海典汇总!$N$29,2))</f>
        <v>0</v>
      </c>
      <c r="H583" s="49" t="str">
        <f aca="false">IF(ROUND($G583,2)&gt;0,ROUND($G583,2),"")</f>
        <v/>
      </c>
      <c r="I583" s="49" t="str">
        <f aca="false">IF(ROUND($G583,2)&lt;0,-ROUND($G583,2),"")</f>
        <v/>
      </c>
      <c r="J583" s="20" t="n">
        <f aca="false">IF(ROUND($G583,2)=0,0,1)</f>
        <v>0</v>
      </c>
      <c r="K583" s="20" t="str">
        <f aca="false">IF($J583=0,"",SUM($J$574:$J583))</f>
        <v/>
      </c>
      <c r="L583" s="20" t="str">
        <f aca="false">IF($K583="","",$A583*100+$K583)</f>
        <v/>
      </c>
      <c r="M583" s="48" t="str">
        <f aca="false">参数!$B$3</f>
        <v>7月收入</v>
      </c>
    </row>
    <row r="584" customFormat="false" ht="13.5" hidden="false" customHeight="false" outlineLevel="0" collapsed="false">
      <c r="A584" s="47" t="n">
        <v>27</v>
      </c>
      <c r="B584" s="38" t="n">
        <f aca="false">助手收入!$B28</f>
        <v>2040</v>
      </c>
      <c r="C584" s="48" t="str">
        <f aca="false">助手收入!$C28</f>
        <v>大张庄店</v>
      </c>
      <c r="D584" s="48" t="str">
        <f aca="false">科目对照收入!$B12&amp;""</f>
        <v>京东秒送</v>
      </c>
      <c r="E584" s="48" t="str">
        <f aca="false">IF(AND(ROUND($G584,2)&lt;0,科目对照收入!$L12&lt;&gt;""),科目对照收入!$L12,科目对照收入!$C12)&amp;""</f>
        <v>应收账款</v>
      </c>
      <c r="F584" s="48" t="str">
        <f aca="false">IF(AND(ROUND($G584,2)&lt;0,科目对照收入!$L12&lt;&gt;""),科目对照收入!$M12,科目对照收入!$D12)&amp;""</f>
        <v>京东秒送</v>
      </c>
      <c r="G584" s="49" t="n">
        <f aca="false">IF(COUNTIFS(输入平台!$A:$A,助手收入!$X28,输入平台!$B:$B,科目对照收入!$B12)&gt;0,ROUND(SUMIFS(输入平台!$C:$C,输入平台!$A:$A,助手收入!$X28,输入平台!$B:$B,科目对照收入!$B12),2),ROUND(海典汇总!$O$29,2))</f>
        <v>0</v>
      </c>
      <c r="H584" s="49" t="str">
        <f aca="false">IF(ROUND($G584,2)&gt;0,ROUND($G584,2),"")</f>
        <v/>
      </c>
      <c r="I584" s="49" t="str">
        <f aca="false">IF(ROUND($G584,2)&lt;0,-ROUND($G584,2),"")</f>
        <v/>
      </c>
      <c r="J584" s="20" t="n">
        <f aca="false">IF(ROUND($G584,2)=0,0,1)</f>
        <v>0</v>
      </c>
      <c r="K584" s="20" t="str">
        <f aca="false">IF($J584=0,"",SUM($J$574:$J584))</f>
        <v/>
      </c>
      <c r="L584" s="20" t="str">
        <f aca="false">IF($K584="","",$A584*100+$K584)</f>
        <v/>
      </c>
      <c r="M584" s="48" t="str">
        <f aca="false">参数!$B$3</f>
        <v>7月收入</v>
      </c>
    </row>
    <row r="585" customFormat="false" ht="13.5" hidden="false" customHeight="false" outlineLevel="0" collapsed="false">
      <c r="A585" s="47" t="n">
        <v>27</v>
      </c>
      <c r="B585" s="38" t="n">
        <f aca="false">助手收入!$B28</f>
        <v>2040</v>
      </c>
      <c r="C585" s="48" t="str">
        <f aca="false">助手收入!$C28</f>
        <v>大张庄店</v>
      </c>
      <c r="D585" s="48" t="str">
        <f aca="false">科目对照收入!$B13&amp;""</f>
        <v>银联</v>
      </c>
      <c r="E585" s="48" t="str">
        <f aca="false">IF(AND(ROUND($G585,2)&lt;0,科目对照收入!$L13&lt;&gt;""),科目对照收入!$L13,科目对照收入!$C13)&amp;""</f>
        <v>应收账款</v>
      </c>
      <c r="F585" s="48" t="str">
        <f aca="false">IF(AND(ROUND($G585,2)&lt;0,科目对照收入!$L13&lt;&gt;""),科目对照收入!$M13,科目对照收入!$D13)&amp;""</f>
        <v>银联</v>
      </c>
      <c r="G585" s="49" t="n">
        <f aca="false">IF(COUNTIFS(输入平台!$A:$A,助手收入!$X28,输入平台!$B:$B,科目对照收入!$B13)&gt;0,ROUND(SUMIFS(输入平台!$C:$C,输入平台!$A:$A,助手收入!$X28,输入平台!$B:$B,科目对照收入!$B13),2),ROUND(海典汇总!$V$29,2))</f>
        <v>0</v>
      </c>
      <c r="H585" s="49" t="str">
        <f aca="false">IF(ROUND($G585,2)&gt;0,ROUND($G585,2),"")</f>
        <v/>
      </c>
      <c r="I585" s="49" t="str">
        <f aca="false">IF(ROUND($G585,2)&lt;0,-ROUND($G585,2),"")</f>
        <v/>
      </c>
      <c r="J585" s="20" t="n">
        <f aca="false">IF(ROUND($G585,2)=0,0,1)</f>
        <v>0</v>
      </c>
      <c r="K585" s="20" t="str">
        <f aca="false">IF($J585=0,"",SUM($J$574:$J585))</f>
        <v/>
      </c>
      <c r="L585" s="20" t="str">
        <f aca="false">IF($K585="","",$A585*100+$K585)</f>
        <v/>
      </c>
      <c r="M585" s="48" t="str">
        <f aca="false">参数!$B$3</f>
        <v>7月收入</v>
      </c>
    </row>
    <row r="586" customFormat="false" ht="13.5" hidden="false" customHeight="false" outlineLevel="0" collapsed="false">
      <c r="A586" s="47" t="n">
        <v>27</v>
      </c>
      <c r="B586" s="38" t="n">
        <f aca="false">助手收入!$B28</f>
        <v>2040</v>
      </c>
      <c r="C586" s="48" t="str">
        <f aca="false">助手收入!$C28</f>
        <v>大张庄店</v>
      </c>
      <c r="D586" s="48" t="str">
        <f aca="false">科目对照收入!$B14&amp;""</f>
        <v>小镇外卖</v>
      </c>
      <c r="E586" s="48" t="str">
        <f aca="false">IF(AND(ROUND($G586,2)&lt;0,科目对照收入!$L14&lt;&gt;""),科目对照收入!$L14,科目对照收入!$C14)&amp;""</f>
        <v>应收账款</v>
      </c>
      <c r="F586" s="48" t="str">
        <f aca="false">IF(AND(ROUND($G586,2)&lt;0,科目对照收入!$L14&lt;&gt;""),科目对照收入!$M14,科目对照收入!$D14)&amp;""</f>
        <v>小镇外卖</v>
      </c>
      <c r="G586" s="49" t="n">
        <f aca="false">IF(COUNTIFS(输入平台!$A:$A,助手收入!$X28,输入平台!$B:$B,科目对照收入!$B14)&gt;0,ROUND(SUMIFS(输入平台!$C:$C,输入平台!$A:$A,助手收入!$X28,输入平台!$B:$B,科目对照收入!$B14),2),ROUND(海典汇总!$AC$29,2))</f>
        <v>0</v>
      </c>
      <c r="H586" s="49" t="str">
        <f aca="false">IF(ROUND($G586,2)&gt;0,ROUND($G586,2),"")</f>
        <v/>
      </c>
      <c r="I586" s="49" t="str">
        <f aca="false">IF(ROUND($G586,2)&lt;0,-ROUND($G586,2),"")</f>
        <v/>
      </c>
      <c r="J586" s="20" t="n">
        <f aca="false">IF(ROUND($G586,2)=0,0,1)</f>
        <v>0</v>
      </c>
      <c r="K586" s="20" t="str">
        <f aca="false">IF($J586=0,"",SUM($J$574:$J586))</f>
        <v/>
      </c>
      <c r="L586" s="20" t="str">
        <f aca="false">IF($K586="","",$A586*100+$K586)</f>
        <v/>
      </c>
      <c r="M586" s="48" t="str">
        <f aca="false">参数!$B$3</f>
        <v>7月收入</v>
      </c>
    </row>
    <row r="587" customFormat="false" ht="13.5" hidden="false" customHeight="false" outlineLevel="0" collapsed="false">
      <c r="A587" s="47" t="n">
        <v>27</v>
      </c>
      <c r="B587" s="38" t="n">
        <f aca="false">助手收入!$B28</f>
        <v>2040</v>
      </c>
      <c r="C587" s="48" t="str">
        <f aca="false">助手收入!$C28</f>
        <v>大张庄店</v>
      </c>
      <c r="D587" s="48" t="str">
        <f aca="false">科目对照收入!$B15&amp;""</f>
        <v>OMS线上支付</v>
      </c>
      <c r="E587" s="48" t="str">
        <f aca="false">IF(AND(ROUND($G587,2)&lt;0,科目对照收入!$L15&lt;&gt;""),科目对照收入!$L15,科目对照收入!$C15)&amp;""</f>
        <v>应收账款</v>
      </c>
      <c r="F587" s="48" t="str">
        <f aca="false">IF(AND(ROUND($G587,2)&lt;0,科目对照收入!$L15&lt;&gt;""),科目对照收入!$M15,科目对照收入!$D15)&amp;""</f>
        <v>OMS线上</v>
      </c>
      <c r="G587" s="49" t="n">
        <f aca="false">IF(COUNTIFS(输入平台!$A:$A,助手收入!$X28,输入平台!$B:$B,科目对照收入!$B15)&gt;0,ROUND(SUMIFS(输入平台!$C:$C,输入平台!$A:$A,助手收入!$X28,输入平台!$B:$B,科目对照收入!$B15),2),ROUND(海典汇总!$L$29,2))</f>
        <v>0</v>
      </c>
      <c r="H587" s="49" t="str">
        <f aca="false">IF(ROUND($G587,2)&gt;0,ROUND($G587,2),"")</f>
        <v/>
      </c>
      <c r="I587" s="49" t="str">
        <f aca="false">IF(ROUND($G587,2)&lt;0,-ROUND($G587,2),"")</f>
        <v/>
      </c>
      <c r="J587" s="20" t="n">
        <f aca="false">IF(ROUND($G587,2)=0,0,1)</f>
        <v>0</v>
      </c>
      <c r="K587" s="20" t="str">
        <f aca="false">IF($J587=0,"",SUM($J$574:$J587))</f>
        <v/>
      </c>
      <c r="L587" s="20" t="str">
        <f aca="false">IF($K587="","",$A587*100+$K587)</f>
        <v/>
      </c>
      <c r="M587" s="48" t="str">
        <f aca="false">参数!$B$3</f>
        <v>7月收入</v>
      </c>
    </row>
    <row r="588" customFormat="false" ht="13.5" hidden="false" customHeight="false" outlineLevel="0" collapsed="false">
      <c r="A588" s="47" t="n">
        <v>27</v>
      </c>
      <c r="B588" s="38" t="n">
        <f aca="false">助手收入!$B28</f>
        <v>2040</v>
      </c>
      <c r="C588" s="48" t="str">
        <f aca="false">助手收入!$C28</f>
        <v>大张庄店</v>
      </c>
      <c r="D588" s="48" t="str">
        <f aca="false">科目对照收入!$B16&amp;""</f>
        <v>平安药卡</v>
      </c>
      <c r="E588" s="48" t="str">
        <f aca="false">IF(AND(ROUND($G588,2)&lt;0,科目对照收入!$L16&lt;&gt;""),科目对照收入!$L16,科目对照收入!$C16)&amp;""</f>
        <v>应收账款</v>
      </c>
      <c r="F588" s="48" t="str">
        <f aca="false">IF(AND(ROUND($G588,2)&lt;0,科目对照收入!$L16&lt;&gt;""),科目对照收入!$M16,科目对照收入!$D16)&amp;""</f>
        <v>平安</v>
      </c>
      <c r="G588" s="49" t="n">
        <f aca="false">IF(COUNTIFS(输入平台!$A:$A,助手收入!$X28,输入平台!$B:$B,科目对照收入!$B16)&gt;0,ROUND(SUMIFS(输入平台!$C:$C,输入平台!$A:$A,助手收入!$X28,输入平台!$B:$B,科目对照收入!$B16),2),ROUND(海典汇总!$AB$29,2))</f>
        <v>0</v>
      </c>
      <c r="H588" s="49" t="str">
        <f aca="false">IF(ROUND($G588,2)&gt;0,ROUND($G588,2),"")</f>
        <v/>
      </c>
      <c r="I588" s="49" t="str">
        <f aca="false">IF(ROUND($G588,2)&lt;0,-ROUND($G588,2),"")</f>
        <v/>
      </c>
      <c r="J588" s="20" t="n">
        <f aca="false">IF(ROUND($G588,2)=0,0,1)</f>
        <v>0</v>
      </c>
      <c r="K588" s="20" t="str">
        <f aca="false">IF($J588=0,"",SUM($J$574:$J588))</f>
        <v/>
      </c>
      <c r="L588" s="20" t="str">
        <f aca="false">IF($K588="","",$A588*100+$K588)</f>
        <v/>
      </c>
      <c r="M588" s="48" t="str">
        <f aca="false">参数!$B$3</f>
        <v>7月收入</v>
      </c>
    </row>
    <row r="589" customFormat="false" ht="13.5" hidden="false" customHeight="false" outlineLevel="0" collapsed="false">
      <c r="A589" s="47" t="n">
        <v>27</v>
      </c>
      <c r="B589" s="38" t="n">
        <f aca="false">助手收入!$B28</f>
        <v>2040</v>
      </c>
      <c r="C589" s="48" t="str">
        <f aca="false">助手收入!$C28</f>
        <v>大张庄店</v>
      </c>
      <c r="D589" s="48" t="str">
        <f aca="false">科目对照收入!$B17&amp;""</f>
        <v>储值卡</v>
      </c>
      <c r="E589" s="48" t="str">
        <f aca="false">IF(AND(ROUND($G589,2)&lt;0,科目对照收入!$L17&lt;&gt;""),科目对照收入!$L17,科目对照收入!$C17)&amp;""</f>
        <v>其他应收款</v>
      </c>
      <c r="F589" s="48" t="str">
        <f aca="false">IF(AND(ROUND($G589,2)&lt;0,科目对照收入!$L17&lt;&gt;""),科目对照收入!$M17,科目对照收入!$D17)&amp;""</f>
        <v>储值卡</v>
      </c>
      <c r="G589" s="49" t="n">
        <f aca="false">ROUND(海典汇总!$Q$29,2)</f>
        <v>177</v>
      </c>
      <c r="H589" s="49" t="n">
        <f aca="false">IF(ROUND($G589,2)&gt;0,ROUND($G589,2),"")</f>
        <v>177</v>
      </c>
      <c r="I589" s="49" t="str">
        <f aca="false">IF(ROUND($G589,2)&lt;0,-ROUND($G589,2),"")</f>
        <v/>
      </c>
      <c r="J589" s="20" t="n">
        <f aca="false">IF(ROUND($G589,2)=0,0,1)</f>
        <v>1</v>
      </c>
      <c r="K589" s="20" t="n">
        <f aca="false">IF($J589=0,"",SUM($J$574:$J589))</f>
        <v>4</v>
      </c>
      <c r="L589" s="20" t="n">
        <f aca="false">IF($K589="","",$A589*100+$K589)</f>
        <v>2704</v>
      </c>
      <c r="M589" s="48" t="str">
        <f aca="false">参数!$B$3</f>
        <v>7月收入</v>
      </c>
    </row>
    <row r="590" customFormat="false" ht="13.5" hidden="false" customHeight="false" outlineLevel="0" collapsed="false">
      <c r="A590" s="47" t="n">
        <v>27</v>
      </c>
      <c r="B590" s="38" t="n">
        <f aca="false">助手收入!$B28</f>
        <v>2040</v>
      </c>
      <c r="C590" s="48" t="str">
        <f aca="false">助手收入!$C28</f>
        <v>大张庄店</v>
      </c>
      <c r="D590" s="48" t="str">
        <f aca="false">科目对照收入!$B18&amp;""</f>
        <v>会员零钱包</v>
      </c>
      <c r="E590" s="48" t="str">
        <f aca="false">IF(AND(ROUND($G590,2)&lt;0,科目对照收入!$L18&lt;&gt;""),科目对照收入!$L18,科目对照收入!$C18)&amp;""</f>
        <v>其他应付款</v>
      </c>
      <c r="F590" s="48" t="str">
        <f aca="false">IF(AND(ROUND($G590,2)&lt;0,科目对照收入!$L18&lt;&gt;""),科目对照收入!$M18,科目对照收入!$D18)&amp;""</f>
        <v>会员零钱包</v>
      </c>
      <c r="G590" s="49" t="n">
        <f aca="false">ROUND(海典汇总!$P$29,2)</f>
        <v>-1.15</v>
      </c>
      <c r="H590" s="49" t="str">
        <f aca="false">IF(ROUND($G590,2)&gt;0,ROUND($G590,2),"")</f>
        <v/>
      </c>
      <c r="I590" s="49" t="n">
        <f aca="false">IF(ROUND($G590,2)&lt;0,-ROUND($G590,2),"")</f>
        <v>1.15</v>
      </c>
      <c r="J590" s="20" t="n">
        <f aca="false">IF(ROUND($G590,2)=0,0,1)</f>
        <v>1</v>
      </c>
      <c r="K590" s="20" t="n">
        <f aca="false">IF($J590=0,"",SUM($J$574:$J590))</f>
        <v>5</v>
      </c>
      <c r="L590" s="20" t="n">
        <f aca="false">IF($K590="","",$A590*100+$K590)</f>
        <v>2705</v>
      </c>
      <c r="M590" s="48" t="str">
        <f aca="false">参数!$B$3</f>
        <v>7月收入</v>
      </c>
    </row>
    <row r="591" customFormat="false" ht="13.5" hidden="false" customHeight="false" outlineLevel="0" collapsed="false">
      <c r="A591" s="47" t="n">
        <v>27</v>
      </c>
      <c r="B591" s="38" t="n">
        <f aca="false">助手收入!$B28</f>
        <v>2040</v>
      </c>
      <c r="C591" s="48" t="str">
        <f aca="false">助手收入!$C28</f>
        <v>大张庄店</v>
      </c>
      <c r="D591" s="48" t="str">
        <f aca="false">科目对照收入!$B19&amp;""</f>
        <v>促销费</v>
      </c>
      <c r="E591" s="48" t="str">
        <f aca="false">IF(AND(ROUND($G591,2)&lt;0,科目对照收入!$L19&lt;&gt;""),科目对照收入!$L19,科目对照收入!$C19)&amp;""</f>
        <v>销售费用</v>
      </c>
      <c r="F591" s="48" t="str">
        <f aca="false">IF(AND(ROUND($G591,2)&lt;0,科目对照收入!$L19&lt;&gt;""),科目对照收入!$M19,科目对照收入!$D19)&amp;""</f>
        <v>促销费</v>
      </c>
      <c r="G591" s="49" t="n">
        <f aca="false">ROUND(海典汇总!$U$29+海典汇总!$T$29+海典汇总!$S$29,2)</f>
        <v>791.86</v>
      </c>
      <c r="H591" s="49" t="n">
        <f aca="false">IF(ROUND($G591,2)&gt;0,ROUND($G591,2),"")</f>
        <v>791.86</v>
      </c>
      <c r="I591" s="49" t="str">
        <f aca="false">IF(ROUND($G591,2)&lt;0,-ROUND($G591,2),"")</f>
        <v/>
      </c>
      <c r="J591" s="20" t="n">
        <f aca="false">IF(ROUND($G591,2)=0,0,1)</f>
        <v>1</v>
      </c>
      <c r="K591" s="20" t="n">
        <f aca="false">IF($J591=0,"",SUM($J$574:$J591))</f>
        <v>6</v>
      </c>
      <c r="L591" s="20" t="n">
        <f aca="false">IF($K591="","",$A591*100+$K591)</f>
        <v>2706</v>
      </c>
      <c r="M591" s="48" t="str">
        <f aca="false">参数!$B$3</f>
        <v>7月收入</v>
      </c>
    </row>
    <row r="592" customFormat="false" ht="13.5" hidden="false" customHeight="false" outlineLevel="0" collapsed="false">
      <c r="A592" s="47" t="n">
        <v>27</v>
      </c>
      <c r="B592" s="38" t="n">
        <f aca="false">助手收入!$B28</f>
        <v>2040</v>
      </c>
      <c r="C592" s="48" t="str">
        <f aca="false">助手收入!$C28</f>
        <v>大张庄店</v>
      </c>
      <c r="D592" s="48" t="str">
        <f aca="false">科目对照收入!$B20&amp;""</f>
        <v>积分</v>
      </c>
      <c r="E592" s="48" t="str">
        <f aca="false">IF(AND(ROUND($G592,2)&lt;0,科目对照收入!$L20&lt;&gt;""),科目对照收入!$L20,科目对照收入!$C20)&amp;""</f>
        <v>销售费用</v>
      </c>
      <c r="F592" s="48" t="str">
        <f aca="false">IF(AND(ROUND($G592,2)&lt;0,科目对照收入!$L20&lt;&gt;""),科目对照收入!$M20,科目对照收入!$D20)&amp;""</f>
        <v>积分</v>
      </c>
      <c r="G592" s="49" t="n">
        <f aca="false">ROUND(海典汇总!$R$29,2)</f>
        <v>0</v>
      </c>
      <c r="H592" s="49" t="str">
        <f aca="false">IF(ROUND($G592,2)&gt;0,ROUND($G592,2),"")</f>
        <v/>
      </c>
      <c r="I592" s="49" t="str">
        <f aca="false">IF(ROUND($G592,2)&lt;0,-ROUND($G592,2),"")</f>
        <v/>
      </c>
      <c r="J592" s="20" t="n">
        <f aca="false">IF(ROUND($G592,2)=0,0,1)</f>
        <v>0</v>
      </c>
      <c r="K592" s="20" t="str">
        <f aca="false">IF($J592=0,"",SUM($J$574:$J592))</f>
        <v/>
      </c>
      <c r="L592" s="20" t="str">
        <f aca="false">IF($K592="","",$A592*100+$K592)</f>
        <v/>
      </c>
      <c r="M592" s="48" t="str">
        <f aca="false">参数!$B$3</f>
        <v>7月收入</v>
      </c>
    </row>
    <row r="593" customFormat="false" ht="13.5" hidden="false" customHeight="false" outlineLevel="0" collapsed="false">
      <c r="A593" s="47" t="n">
        <v>27</v>
      </c>
      <c r="B593" s="38" t="n">
        <f aca="false">助手收入!$B28</f>
        <v>2040</v>
      </c>
      <c r="C593" s="48" t="str">
        <f aca="false">助手收入!$C28</f>
        <v>大张庄店</v>
      </c>
      <c r="D593" s="48" t="str">
        <f aca="false">科目对照收入!$B21&amp;""</f>
        <v>手续费</v>
      </c>
      <c r="E593" s="48" t="str">
        <f aca="false">IF(AND(ROUND($G593,2)&lt;0,科目对照收入!$L21&lt;&gt;""),科目对照收入!$L21,科目对照收入!$C21)&amp;""</f>
        <v>财务费用</v>
      </c>
      <c r="F593" s="48" t="str">
        <f aca="false">IF(AND(ROUND($G593,2)&lt;0,科目对照收入!$L21&lt;&gt;""),科目对照收入!$M21,科目对照收入!$D21)&amp;""</f>
        <v>手续费</v>
      </c>
      <c r="G593" s="49" t="n">
        <f aca="false">ROUND(SUMIFS(输入聚合!$D:$D,输入聚合!$A:$A,助手收入!$X28),2)</f>
        <v>151.61</v>
      </c>
      <c r="H593" s="49" t="n">
        <f aca="false">IF(ROUND($G593,2)&gt;0,ROUND($G593,2),"")</f>
        <v>151.61</v>
      </c>
      <c r="I593" s="49" t="str">
        <f aca="false">IF(ROUND($G593,2)&lt;0,-ROUND($G593,2),"")</f>
        <v/>
      </c>
      <c r="J593" s="20" t="n">
        <f aca="false">IF(ROUND($G593,2)=0,0,1)</f>
        <v>1</v>
      </c>
      <c r="K593" s="20" t="n">
        <f aca="false">IF($J593=0,"",SUM($J$574:$J593))</f>
        <v>7</v>
      </c>
      <c r="L593" s="20" t="n">
        <f aca="false">IF($K593="","",$A593*100+$K593)</f>
        <v>2707</v>
      </c>
      <c r="M593" s="48" t="str">
        <f aca="false">参数!$B$3</f>
        <v>7月收入</v>
      </c>
    </row>
    <row r="594" customFormat="false" ht="13.5" hidden="false" customHeight="false" outlineLevel="0" collapsed="false">
      <c r="A594" s="47" t="n">
        <v>27</v>
      </c>
      <c r="B594" s="38" t="n">
        <f aca="false">助手收入!$B28</f>
        <v>2040</v>
      </c>
      <c r="C594" s="48" t="str">
        <f aca="false">助手收入!$C28</f>
        <v>大张庄店</v>
      </c>
      <c r="D594" s="48" t="str">
        <f aca="false">科目对照收入!$B22&amp;""</f>
        <v>主营业务收入</v>
      </c>
      <c r="E594" s="48" t="str">
        <f aca="false">IF(AND(ROUND($G594,2)&lt;0,科目对照收入!$L22&lt;&gt;""),科目对照收入!$L22,科目对照收入!$C22)&amp;""</f>
        <v>主营业务收入</v>
      </c>
      <c r="F594" s="48" t="str">
        <f aca="false">IF(AND(ROUND($G594,2)&lt;0,科目对照收入!$L22&lt;&gt;""),科目对照收入!$M22,科目对照收入!$D22)&amp;""</f>
        <v/>
      </c>
      <c r="G594" s="49" t="n">
        <f aca="false">-ROUND(助手收入!$G28,2)</f>
        <v>-92350.51</v>
      </c>
      <c r="H594" s="49" t="str">
        <f aca="false">IF(ROUND($G594,2)&gt;0,ROUND($G594,2),"")</f>
        <v/>
      </c>
      <c r="I594" s="49" t="n">
        <f aca="false">IF(ROUND($G594,2)&lt;0,-ROUND($G594,2),"")</f>
        <v>92350.51</v>
      </c>
      <c r="J594" s="20" t="n">
        <f aca="false">IF(ROUND($G594,2)=0,0,1)</f>
        <v>1</v>
      </c>
      <c r="K594" s="20" t="n">
        <f aca="false">IF($J594=0,"",SUM($J$574:$J594))</f>
        <v>8</v>
      </c>
      <c r="L594" s="20" t="n">
        <f aca="false">IF($K594="","",$A594*100+$K594)</f>
        <v>2708</v>
      </c>
      <c r="M594" s="48" t="str">
        <f aca="false">参数!$B$3</f>
        <v>7月收入</v>
      </c>
    </row>
    <row r="595" customFormat="false" ht="13.5" hidden="false" customHeight="false" outlineLevel="0" collapsed="false">
      <c r="A595" s="47" t="n">
        <v>27</v>
      </c>
      <c r="B595" s="38" t="n">
        <f aca="false">助手收入!$B28</f>
        <v>2040</v>
      </c>
      <c r="C595" s="48" t="str">
        <f aca="false">助手收入!$C28</f>
        <v>大张庄店</v>
      </c>
      <c r="D595" s="48" t="str">
        <f aca="false">科目对照收入!$B23&amp;""</f>
        <v>营业外收入</v>
      </c>
      <c r="E595" s="48" t="str">
        <f aca="false">IF(AND(ROUND($G595,2)&lt;0,科目对照收入!$L23&lt;&gt;""),科目对照收入!$L23,科目对照收入!$C23)&amp;""</f>
        <v>营业外收入</v>
      </c>
      <c r="F595" s="48" t="str">
        <f aca="false">IF(AND(ROUND($G595,2)&lt;0,科目对照收入!$L23&lt;&gt;""),科目对照收入!$M23,科目对照收入!$D23)&amp;""</f>
        <v/>
      </c>
      <c r="G595" s="49" t="n">
        <f aca="false">-ROUND(助手收入!$J28,2)</f>
        <v>-0</v>
      </c>
      <c r="H595" s="49" t="str">
        <f aca="false">IF(ROUND($G595,2)&gt;0,ROUND($G595,2),"")</f>
        <v/>
      </c>
      <c r="I595" s="49" t="str">
        <f aca="false">IF(ROUND($G595,2)&lt;0,-ROUND($G595,2),"")</f>
        <v/>
      </c>
      <c r="J595" s="20" t="n">
        <f aca="false">IF(ROUND($G595,2)=0,0,1)</f>
        <v>0</v>
      </c>
      <c r="K595" s="20" t="str">
        <f aca="false">IF($J595=0,"",SUM($J$574:$J595))</f>
        <v/>
      </c>
      <c r="L595" s="20" t="str">
        <f aca="false">IF($K595="","",$A595*100+$K595)</f>
        <v/>
      </c>
      <c r="M595" s="48" t="str">
        <f aca="false">参数!$B$3</f>
        <v>7月收入</v>
      </c>
    </row>
    <row r="596" customFormat="false" ht="13.5" hidden="false" customHeight="false" outlineLevel="0" collapsed="false">
      <c r="A596" s="47" t="n">
        <v>28</v>
      </c>
      <c r="B596" s="38" t="n">
        <f aca="false">助手收入!$B29</f>
        <v>2041</v>
      </c>
      <c r="C596" s="48" t="str">
        <f aca="false">助手收入!$C29</f>
        <v>郝庄店</v>
      </c>
      <c r="D596" s="48" t="str">
        <f aca="false">科目对照收入!$B2&amp;""</f>
        <v>库存现金</v>
      </c>
      <c r="E596" s="48" t="str">
        <f aca="false">IF(AND(ROUND($G596,2)&lt;0,科目对照收入!$L2&lt;&gt;""),科目对照收入!$L2,科目对照收入!$C2)&amp;""</f>
        <v>库存现金</v>
      </c>
      <c r="F596" s="48" t="str">
        <f aca="false">IF(AND(ROUND($G596,2)&lt;0,科目对照收入!$L2&lt;&gt;""),科目对照收入!$M2,科目对照收入!$D2)&amp;""</f>
        <v/>
      </c>
      <c r="G596" s="49" t="n">
        <f aca="false">助手收入!$I29</f>
        <v>14774.25</v>
      </c>
      <c r="H596" s="49" t="n">
        <f aca="false">IF(ROUND($G596,2)&gt;0,ROUND($G596,2),"")</f>
        <v>14774.25</v>
      </c>
      <c r="I596" s="49" t="str">
        <f aca="false">IF(ROUND($G596,2)&lt;0,-ROUND($G596,2),"")</f>
        <v/>
      </c>
      <c r="J596" s="20" t="n">
        <f aca="false">IF(ROUND($G596,2)=0,0,1)</f>
        <v>1</v>
      </c>
      <c r="K596" s="20" t="n">
        <f aca="false">IF($J596=0,"",SUM($J$596:$J596))</f>
        <v>1</v>
      </c>
      <c r="L596" s="20" t="n">
        <f aca="false">IF($K596="","",$A596*100+$K596)</f>
        <v>2801</v>
      </c>
      <c r="M596" s="48" t="str">
        <f aca="false">参数!$B$3</f>
        <v>7月收入</v>
      </c>
    </row>
    <row r="597" customFormat="false" ht="13.5" hidden="false" customHeight="false" outlineLevel="0" collapsed="false">
      <c r="A597" s="47" t="n">
        <v>28</v>
      </c>
      <c r="B597" s="38" t="n">
        <f aca="false">助手收入!$B29</f>
        <v>2041</v>
      </c>
      <c r="C597" s="48" t="str">
        <f aca="false">助手收入!$C29</f>
        <v>郝庄店</v>
      </c>
      <c r="D597" s="48" t="str">
        <f aca="false">科目对照收入!$B3&amp;""</f>
        <v>聚合支付</v>
      </c>
      <c r="E597" s="48" t="str">
        <f aca="false">IF(AND(ROUND($G597,2)&lt;0,科目对照收入!$L3&lt;&gt;""),科目对照收入!$L3,科目对照收入!$C3)&amp;""</f>
        <v>应收账款</v>
      </c>
      <c r="F597" s="48" t="str">
        <f aca="false">IF(AND(ROUND($G597,2)&lt;0,科目对照收入!$L3&lt;&gt;""),科目对照收入!$M3,科目对照收入!$D3)&amp;""</f>
        <v>聚合支付</v>
      </c>
      <c r="G597" s="49" t="n">
        <f aca="false">ROUND(SUMIFS(输入聚合!$C:$C,输入聚合!$A:$A,助手收入!$X29)-SUMIFS(输入聚合!$D:$D,输入聚合!$A:$A,助手收入!$X29),2)</f>
        <v>37620.82</v>
      </c>
      <c r="H597" s="49" t="n">
        <f aca="false">IF(ROUND($G597,2)&gt;0,ROUND($G597,2),"")</f>
        <v>37620.82</v>
      </c>
      <c r="I597" s="49" t="str">
        <f aca="false">IF(ROUND($G597,2)&lt;0,-ROUND($G597,2),"")</f>
        <v/>
      </c>
      <c r="J597" s="20" t="n">
        <f aca="false">IF(ROUND($G597,2)=0,0,1)</f>
        <v>1</v>
      </c>
      <c r="K597" s="20" t="n">
        <f aca="false">IF($J597=0,"",SUM($J$596:$J597))</f>
        <v>2</v>
      </c>
      <c r="L597" s="20" t="n">
        <f aca="false">IF($K597="","",$A597*100+$K597)</f>
        <v>2802</v>
      </c>
      <c r="M597" s="48" t="str">
        <f aca="false">参数!$B$3</f>
        <v>7月收入</v>
      </c>
    </row>
    <row r="598" customFormat="false" ht="13.5" hidden="false" customHeight="false" outlineLevel="0" collapsed="false">
      <c r="A598" s="47" t="n">
        <v>28</v>
      </c>
      <c r="B598" s="38" t="n">
        <f aca="false">助手收入!$B29</f>
        <v>2041</v>
      </c>
      <c r="C598" s="48" t="str">
        <f aca="false">助手收入!$C29</f>
        <v>郝庄店</v>
      </c>
      <c r="D598" s="48" t="str">
        <f aca="false">科目对照收入!$B4&amp;""</f>
        <v>医保</v>
      </c>
      <c r="E598" s="48" t="str">
        <f aca="false">IF(AND(ROUND($G598,2)&lt;0,科目对照收入!$L4&lt;&gt;""),科目对照收入!$L4,科目对照收入!$C4)&amp;""</f>
        <v>应收账款</v>
      </c>
      <c r="F598" s="48" t="str">
        <f aca="false">IF(AND(ROUND($G598,2)&lt;0,科目对照收入!$L4&lt;&gt;""),科目对照收入!$M4,科目对照收入!$D4)&amp;""</f>
        <v>医保</v>
      </c>
      <c r="G598" s="49" t="n">
        <f aca="false">IF(COUNTIFS(输入平台!$A:$A,助手收入!$X29,输入平台!$B:$B,科目对照收入!$B4)&gt;0,ROUND(SUMIFS(输入平台!$C:$C,输入平台!$A:$A,助手收入!$X29,输入平台!$B:$B,科目对照收入!$B4),2),ROUND(海典汇总!$F$30+海典汇总!$G$30,2))</f>
        <v>0</v>
      </c>
      <c r="H598" s="49" t="str">
        <f aca="false">IF(ROUND($G598,2)&gt;0,ROUND($G598,2),"")</f>
        <v/>
      </c>
      <c r="I598" s="49" t="str">
        <f aca="false">IF(ROUND($G598,2)&lt;0,-ROUND($G598,2),"")</f>
        <v/>
      </c>
      <c r="J598" s="20" t="n">
        <f aca="false">IF(ROUND($G598,2)=0,0,1)</f>
        <v>0</v>
      </c>
      <c r="K598" s="20" t="str">
        <f aca="false">IF($J598=0,"",SUM($J$596:$J598))</f>
        <v/>
      </c>
      <c r="L598" s="20" t="str">
        <f aca="false">IF($K598="","",$A598*100+$K598)</f>
        <v/>
      </c>
      <c r="M598" s="48" t="str">
        <f aca="false">参数!$B$3</f>
        <v>7月收入</v>
      </c>
    </row>
    <row r="599" customFormat="false" ht="13.5" hidden="false" customHeight="false" outlineLevel="0" collapsed="false">
      <c r="A599" s="47" t="n">
        <v>28</v>
      </c>
      <c r="B599" s="38" t="n">
        <f aca="false">助手收入!$B29</f>
        <v>2041</v>
      </c>
      <c r="C599" s="48" t="str">
        <f aca="false">助手收入!$C29</f>
        <v>郝庄店</v>
      </c>
      <c r="D599" s="48" t="str">
        <f aca="false">科目对照收入!$B5&amp;""</f>
        <v>健e卡</v>
      </c>
      <c r="E599" s="48" t="str">
        <f aca="false">IF(AND(ROUND($G599,2)&lt;0,科目对照收入!$L5&lt;&gt;""),科目对照收入!$L5,科目对照收入!$C5)&amp;""</f>
        <v>应收账款</v>
      </c>
      <c r="F599" s="48" t="str">
        <f aca="false">IF(AND(ROUND($G599,2)&lt;0,科目对照收入!$L5&lt;&gt;""),科目对照收入!$M5,科目对照收入!$D5)&amp;""</f>
        <v>健e卡</v>
      </c>
      <c r="G599" s="49" t="n">
        <f aca="false">IF(COUNTIFS(输入平台!$A:$A,助手收入!$X29,输入平台!$B:$B,科目对照收入!$B5)&gt;0,ROUND(SUMIFS(输入平台!$C:$C,输入平台!$A:$A,助手收入!$X29,输入平台!$B:$B,科目对照收入!$B5),2),ROUND(海典汇总!$H$30,2))</f>
        <v>0</v>
      </c>
      <c r="H599" s="49" t="str">
        <f aca="false">IF(ROUND($G599,2)&gt;0,ROUND($G599,2),"")</f>
        <v/>
      </c>
      <c r="I599" s="49" t="str">
        <f aca="false">IF(ROUND($G599,2)&lt;0,-ROUND($G599,2),"")</f>
        <v/>
      </c>
      <c r="J599" s="20" t="n">
        <f aca="false">IF(ROUND($G599,2)=0,0,1)</f>
        <v>0</v>
      </c>
      <c r="K599" s="20" t="str">
        <f aca="false">IF($J599=0,"",SUM($J$596:$J599))</f>
        <v/>
      </c>
      <c r="L599" s="20" t="str">
        <f aca="false">IF($K599="","",$A599*100+$K599)</f>
        <v/>
      </c>
      <c r="M599" s="48" t="str">
        <f aca="false">参数!$B$3</f>
        <v>7月收入</v>
      </c>
    </row>
    <row r="600" customFormat="false" ht="13.5" hidden="false" customHeight="false" outlineLevel="0" collapsed="false">
      <c r="A600" s="47" t="n">
        <v>28</v>
      </c>
      <c r="B600" s="38" t="n">
        <f aca="false">助手收入!$B29</f>
        <v>2041</v>
      </c>
      <c r="C600" s="48" t="str">
        <f aca="false">助手收入!$C29</f>
        <v>郝庄店</v>
      </c>
      <c r="D600" s="48" t="str">
        <f aca="false">科目对照收入!$B6&amp;""</f>
        <v>医卡通</v>
      </c>
      <c r="E600" s="48" t="str">
        <f aca="false">IF(AND(ROUND($G600,2)&lt;0,科目对照收入!$L6&lt;&gt;""),科目对照收入!$L6,科目对照收入!$C6)&amp;""</f>
        <v>应收账款</v>
      </c>
      <c r="F600" s="48" t="str">
        <f aca="false">IF(AND(ROUND($G600,2)&lt;0,科目对照收入!$L6&lt;&gt;""),科目对照收入!$M6,科目对照收入!$D6)&amp;""</f>
        <v>医卡通</v>
      </c>
      <c r="G600" s="49" t="n">
        <f aca="false">IF(COUNTIFS(输入平台!$A:$A,助手收入!$X29,输入平台!$B:$B,科目对照收入!$B6)&gt;0,ROUND(SUMIFS(输入平台!$C:$C,输入平台!$A:$A,助手收入!$X29,输入平台!$B:$B,科目对照收入!$B6),2),ROUND(海典汇总!$I$30,2))</f>
        <v>0</v>
      </c>
      <c r="H600" s="49" t="str">
        <f aca="false">IF(ROUND($G600,2)&gt;0,ROUND($G600,2),"")</f>
        <v/>
      </c>
      <c r="I600" s="49" t="str">
        <f aca="false">IF(ROUND($G600,2)&lt;0,-ROUND($G600,2),"")</f>
        <v/>
      </c>
      <c r="J600" s="20" t="n">
        <f aca="false">IF(ROUND($G600,2)=0,0,1)</f>
        <v>0</v>
      </c>
      <c r="K600" s="20" t="str">
        <f aca="false">IF($J600=0,"",SUM($J$596:$J600))</f>
        <v/>
      </c>
      <c r="L600" s="20" t="str">
        <f aca="false">IF($K600="","",$A600*100+$K600)</f>
        <v/>
      </c>
      <c r="M600" s="48" t="str">
        <f aca="false">参数!$B$3</f>
        <v>7月收入</v>
      </c>
    </row>
    <row r="601" customFormat="false" ht="13.5" hidden="false" customHeight="false" outlineLevel="0" collapsed="false">
      <c r="A601" s="47" t="n">
        <v>28</v>
      </c>
      <c r="B601" s="38" t="n">
        <f aca="false">助手收入!$B29</f>
        <v>2041</v>
      </c>
      <c r="C601" s="48" t="str">
        <f aca="false">助手收入!$C29</f>
        <v>郝庄店</v>
      </c>
      <c r="D601" s="48" t="str">
        <f aca="false">科目对照收入!$B7&amp;""</f>
        <v>企健网</v>
      </c>
      <c r="E601" s="48" t="str">
        <f aca="false">IF(AND(ROUND($G601,2)&lt;0,科目对照收入!$L7&lt;&gt;""),科目对照收入!$L7,科目对照收入!$C7)&amp;""</f>
        <v>应收账款</v>
      </c>
      <c r="F601" s="48" t="str">
        <f aca="false">IF(AND(ROUND($G601,2)&lt;0,科目对照收入!$L7&lt;&gt;""),科目对照收入!$M7,科目对照收入!$D7)&amp;""</f>
        <v>企健网</v>
      </c>
      <c r="G601" s="49" t="n">
        <f aca="false">IF(COUNTIFS(输入平台!$A:$A,助手收入!$X29,输入平台!$B:$B,科目对照收入!$B7)&gt;0,ROUND(SUMIFS(输入平台!$C:$C,输入平台!$A:$A,助手收入!$X29,输入平台!$B:$B,科目对照收入!$B7),2),ROUND(海典汇总!$J$30,2))</f>
        <v>0</v>
      </c>
      <c r="H601" s="49" t="str">
        <f aca="false">IF(ROUND($G601,2)&gt;0,ROUND($G601,2),"")</f>
        <v/>
      </c>
      <c r="I601" s="49" t="str">
        <f aca="false">IF(ROUND($G601,2)&lt;0,-ROUND($G601,2),"")</f>
        <v/>
      </c>
      <c r="J601" s="20" t="n">
        <f aca="false">IF(ROUND($G601,2)=0,0,1)</f>
        <v>0</v>
      </c>
      <c r="K601" s="20" t="str">
        <f aca="false">IF($J601=0,"",SUM($J$596:$J601))</f>
        <v/>
      </c>
      <c r="L601" s="20" t="str">
        <f aca="false">IF($K601="","",$A601*100+$K601)</f>
        <v/>
      </c>
      <c r="M601" s="48" t="str">
        <f aca="false">参数!$B$3</f>
        <v>7月收入</v>
      </c>
    </row>
    <row r="602" customFormat="false" ht="13.5" hidden="false" customHeight="false" outlineLevel="0" collapsed="false">
      <c r="A602" s="47" t="n">
        <v>28</v>
      </c>
      <c r="B602" s="38" t="n">
        <f aca="false">助手收入!$B29</f>
        <v>2041</v>
      </c>
      <c r="C602" s="48" t="str">
        <f aca="false">助手收入!$C29</f>
        <v>郝庄店</v>
      </c>
      <c r="D602" s="48" t="str">
        <f aca="false">科目对照收入!$B8&amp;""</f>
        <v>亲情卡</v>
      </c>
      <c r="E602" s="48" t="str">
        <f aca="false">IF(AND(ROUND($G602,2)&lt;0,科目对照收入!$L8&lt;&gt;""),科目对照收入!$L8,科目对照收入!$C8)&amp;""</f>
        <v>应收账款</v>
      </c>
      <c r="F602" s="48" t="str">
        <f aca="false">IF(AND(ROUND($G602,2)&lt;0,科目对照收入!$L8&lt;&gt;""),科目对照收入!$M8,科目对照收入!$D8)&amp;""</f>
        <v>亲情卡</v>
      </c>
      <c r="G602" s="49" t="n">
        <f aca="false">IF(COUNTIFS(输入平台!$A:$A,助手收入!$X29,输入平台!$B:$B,科目对照收入!$B8)&gt;0,ROUND(SUMIFS(输入平台!$C:$C,输入平台!$A:$A,助手收入!$X29,输入平台!$B:$B,科目对照收入!$B8),2),ROUND(海典汇总!$Z$30,2))</f>
        <v>0</v>
      </c>
      <c r="H602" s="49" t="str">
        <f aca="false">IF(ROUND($G602,2)&gt;0,ROUND($G602,2),"")</f>
        <v/>
      </c>
      <c r="I602" s="49" t="str">
        <f aca="false">IF(ROUND($G602,2)&lt;0,-ROUND($G602,2),"")</f>
        <v/>
      </c>
      <c r="J602" s="20" t="n">
        <f aca="false">IF(ROUND($G602,2)=0,0,1)</f>
        <v>0</v>
      </c>
      <c r="K602" s="20" t="str">
        <f aca="false">IF($J602=0,"",SUM($J$596:$J602))</f>
        <v/>
      </c>
      <c r="L602" s="20" t="str">
        <f aca="false">IF($K602="","",$A602*100+$K602)</f>
        <v/>
      </c>
      <c r="M602" s="48" t="str">
        <f aca="false">参数!$B$3</f>
        <v>7月收入</v>
      </c>
    </row>
    <row r="603" customFormat="false" ht="13.5" hidden="false" customHeight="false" outlineLevel="0" collapsed="false">
      <c r="A603" s="47" t="n">
        <v>28</v>
      </c>
      <c r="B603" s="38" t="n">
        <f aca="false">助手收入!$B29</f>
        <v>2041</v>
      </c>
      <c r="C603" s="48" t="str">
        <f aca="false">助手收入!$C29</f>
        <v>郝庄店</v>
      </c>
      <c r="D603" s="48" t="str">
        <f aca="false">科目对照收入!$B9&amp;""</f>
        <v>24小时</v>
      </c>
      <c r="E603" s="48" t="str">
        <f aca="false">IF(AND(ROUND($G603,2)&lt;0,科目对照收入!$L9&lt;&gt;""),科目对照收入!$L9,科目对照收入!$C9)&amp;""</f>
        <v>应收账款</v>
      </c>
      <c r="F603" s="48" t="str">
        <f aca="false">IF(AND(ROUND($G603,2)&lt;0,科目对照收入!$L9&lt;&gt;""),科目对照收入!$M9,科目对照收入!$D9)&amp;""</f>
        <v>24小时</v>
      </c>
      <c r="G603" s="49" t="n">
        <f aca="false">IF(COUNTIFS(输入平台!$A:$A,助手收入!$X29,输入平台!$B:$B,科目对照收入!$B9)&gt;0,ROUND(SUMIFS(输入平台!$C:$C,输入平台!$A:$A,助手收入!$X29,输入平台!$B:$B,科目对照收入!$B9),2),ROUND(海典汇总!$K$30,2))</f>
        <v>0</v>
      </c>
      <c r="H603" s="49" t="str">
        <f aca="false">IF(ROUND($G603,2)&gt;0,ROUND($G603,2),"")</f>
        <v/>
      </c>
      <c r="I603" s="49" t="str">
        <f aca="false">IF(ROUND($G603,2)&lt;0,-ROUND($G603,2),"")</f>
        <v/>
      </c>
      <c r="J603" s="20" t="n">
        <f aca="false">IF(ROUND($G603,2)=0,0,1)</f>
        <v>0</v>
      </c>
      <c r="K603" s="20" t="str">
        <f aca="false">IF($J603=0,"",SUM($J$596:$J603))</f>
        <v/>
      </c>
      <c r="L603" s="20" t="str">
        <f aca="false">IF($K603="","",$A603*100+$K603)</f>
        <v/>
      </c>
      <c r="M603" s="48" t="str">
        <f aca="false">参数!$B$3</f>
        <v>7月收入</v>
      </c>
    </row>
    <row r="604" customFormat="false" ht="13.5" hidden="false" customHeight="false" outlineLevel="0" collapsed="false">
      <c r="A604" s="47" t="n">
        <v>28</v>
      </c>
      <c r="B604" s="38" t="n">
        <f aca="false">助手收入!$B29</f>
        <v>2041</v>
      </c>
      <c r="C604" s="48" t="str">
        <f aca="false">助手收入!$C29</f>
        <v>郝庄店</v>
      </c>
      <c r="D604" s="48" t="str">
        <f aca="false">科目对照收入!$B10&amp;""</f>
        <v>美团</v>
      </c>
      <c r="E604" s="48" t="str">
        <f aca="false">IF(AND(ROUND($G604,2)&lt;0,科目对照收入!$L10&lt;&gt;""),科目对照收入!$L10,科目对照收入!$C10)&amp;""</f>
        <v>应收账款</v>
      </c>
      <c r="F604" s="48" t="str">
        <f aca="false">IF(AND(ROUND($G604,2)&lt;0,科目对照收入!$L10&lt;&gt;""),科目对照收入!$M10,科目对照收入!$D10)&amp;""</f>
        <v>美团</v>
      </c>
      <c r="G604" s="49" t="n">
        <f aca="false">IF(COUNTIFS(输入平台!$A:$A,助手收入!$X29,输入平台!$B:$B,科目对照收入!$B10)&gt;0,ROUND(SUMIFS(输入平台!$C:$C,输入平台!$A:$A,助手收入!$X29,输入平台!$B:$B,科目对照收入!$B10),2),ROUND(海典汇总!$M$30,2))</f>
        <v>0</v>
      </c>
      <c r="H604" s="49" t="str">
        <f aca="false">IF(ROUND($G604,2)&gt;0,ROUND($G604,2),"")</f>
        <v/>
      </c>
      <c r="I604" s="49" t="str">
        <f aca="false">IF(ROUND($G604,2)&lt;0,-ROUND($G604,2),"")</f>
        <v/>
      </c>
      <c r="J604" s="20" t="n">
        <f aca="false">IF(ROUND($G604,2)=0,0,1)</f>
        <v>0</v>
      </c>
      <c r="K604" s="20" t="str">
        <f aca="false">IF($J604=0,"",SUM($J$596:$J604))</f>
        <v/>
      </c>
      <c r="L604" s="20" t="str">
        <f aca="false">IF($K604="","",$A604*100+$K604)</f>
        <v/>
      </c>
      <c r="M604" s="48" t="str">
        <f aca="false">参数!$B$3</f>
        <v>7月收入</v>
      </c>
    </row>
    <row r="605" customFormat="false" ht="13.5" hidden="false" customHeight="false" outlineLevel="0" collapsed="false">
      <c r="A605" s="47" t="n">
        <v>28</v>
      </c>
      <c r="B605" s="38" t="n">
        <f aca="false">助手收入!$B29</f>
        <v>2041</v>
      </c>
      <c r="C605" s="48" t="str">
        <f aca="false">助手收入!$C29</f>
        <v>郝庄店</v>
      </c>
      <c r="D605" s="48" t="str">
        <f aca="false">科目对照收入!$B11&amp;""</f>
        <v>饿了么</v>
      </c>
      <c r="E605" s="48" t="str">
        <f aca="false">IF(AND(ROUND($G605,2)&lt;0,科目对照收入!$L11&lt;&gt;""),科目对照收入!$L11,科目对照收入!$C11)&amp;""</f>
        <v>应收账款</v>
      </c>
      <c r="F605" s="48" t="str">
        <f aca="false">IF(AND(ROUND($G605,2)&lt;0,科目对照收入!$L11&lt;&gt;""),科目对照收入!$M11,科目对照收入!$D11)&amp;""</f>
        <v>饿了么</v>
      </c>
      <c r="G605" s="49" t="n">
        <f aca="false">IF(COUNTIFS(输入平台!$A:$A,助手收入!$X29,输入平台!$B:$B,科目对照收入!$B11)&gt;0,ROUND(SUMIFS(输入平台!$C:$C,输入平台!$A:$A,助手收入!$X29,输入平台!$B:$B,科目对照收入!$B11),2),ROUND(海典汇总!$N$30,2))</f>
        <v>0</v>
      </c>
      <c r="H605" s="49" t="str">
        <f aca="false">IF(ROUND($G605,2)&gt;0,ROUND($G605,2),"")</f>
        <v/>
      </c>
      <c r="I605" s="49" t="str">
        <f aca="false">IF(ROUND($G605,2)&lt;0,-ROUND($G605,2),"")</f>
        <v/>
      </c>
      <c r="J605" s="20" t="n">
        <f aca="false">IF(ROUND($G605,2)=0,0,1)</f>
        <v>0</v>
      </c>
      <c r="K605" s="20" t="str">
        <f aca="false">IF($J605=0,"",SUM($J$596:$J605))</f>
        <v/>
      </c>
      <c r="L605" s="20" t="str">
        <f aca="false">IF($K605="","",$A605*100+$K605)</f>
        <v/>
      </c>
      <c r="M605" s="48" t="str">
        <f aca="false">参数!$B$3</f>
        <v>7月收入</v>
      </c>
    </row>
    <row r="606" customFormat="false" ht="13.5" hidden="false" customHeight="false" outlineLevel="0" collapsed="false">
      <c r="A606" s="47" t="n">
        <v>28</v>
      </c>
      <c r="B606" s="38" t="n">
        <f aca="false">助手收入!$B29</f>
        <v>2041</v>
      </c>
      <c r="C606" s="48" t="str">
        <f aca="false">助手收入!$C29</f>
        <v>郝庄店</v>
      </c>
      <c r="D606" s="48" t="str">
        <f aca="false">科目对照收入!$B12&amp;""</f>
        <v>京东秒送</v>
      </c>
      <c r="E606" s="48" t="str">
        <f aca="false">IF(AND(ROUND($G606,2)&lt;0,科目对照收入!$L12&lt;&gt;""),科目对照收入!$L12,科目对照收入!$C12)&amp;""</f>
        <v>应收账款</v>
      </c>
      <c r="F606" s="48" t="str">
        <f aca="false">IF(AND(ROUND($G606,2)&lt;0,科目对照收入!$L12&lt;&gt;""),科目对照收入!$M12,科目对照收入!$D12)&amp;""</f>
        <v>京东秒送</v>
      </c>
      <c r="G606" s="49" t="n">
        <f aca="false">IF(COUNTIFS(输入平台!$A:$A,助手收入!$X29,输入平台!$B:$B,科目对照收入!$B12)&gt;0,ROUND(SUMIFS(输入平台!$C:$C,输入平台!$A:$A,助手收入!$X29,输入平台!$B:$B,科目对照收入!$B12),2),ROUND(海典汇总!$O$30,2))</f>
        <v>0</v>
      </c>
      <c r="H606" s="49" t="str">
        <f aca="false">IF(ROUND($G606,2)&gt;0,ROUND($G606,2),"")</f>
        <v/>
      </c>
      <c r="I606" s="49" t="str">
        <f aca="false">IF(ROUND($G606,2)&lt;0,-ROUND($G606,2),"")</f>
        <v/>
      </c>
      <c r="J606" s="20" t="n">
        <f aca="false">IF(ROUND($G606,2)=0,0,1)</f>
        <v>0</v>
      </c>
      <c r="K606" s="20" t="str">
        <f aca="false">IF($J606=0,"",SUM($J$596:$J606))</f>
        <v/>
      </c>
      <c r="L606" s="20" t="str">
        <f aca="false">IF($K606="","",$A606*100+$K606)</f>
        <v/>
      </c>
      <c r="M606" s="48" t="str">
        <f aca="false">参数!$B$3</f>
        <v>7月收入</v>
      </c>
    </row>
    <row r="607" customFormat="false" ht="13.5" hidden="false" customHeight="false" outlineLevel="0" collapsed="false">
      <c r="A607" s="47" t="n">
        <v>28</v>
      </c>
      <c r="B607" s="38" t="n">
        <f aca="false">助手收入!$B29</f>
        <v>2041</v>
      </c>
      <c r="C607" s="48" t="str">
        <f aca="false">助手收入!$C29</f>
        <v>郝庄店</v>
      </c>
      <c r="D607" s="48" t="str">
        <f aca="false">科目对照收入!$B13&amp;""</f>
        <v>银联</v>
      </c>
      <c r="E607" s="48" t="str">
        <f aca="false">IF(AND(ROUND($G607,2)&lt;0,科目对照收入!$L13&lt;&gt;""),科目对照收入!$L13,科目对照收入!$C13)&amp;""</f>
        <v>应收账款</v>
      </c>
      <c r="F607" s="48" t="str">
        <f aca="false">IF(AND(ROUND($G607,2)&lt;0,科目对照收入!$L13&lt;&gt;""),科目对照收入!$M13,科目对照收入!$D13)&amp;""</f>
        <v>银联</v>
      </c>
      <c r="G607" s="49" t="n">
        <f aca="false">IF(COUNTIFS(输入平台!$A:$A,助手收入!$X29,输入平台!$B:$B,科目对照收入!$B13)&gt;0,ROUND(SUMIFS(输入平台!$C:$C,输入平台!$A:$A,助手收入!$X29,输入平台!$B:$B,科目对照收入!$B13),2),ROUND(海典汇总!$V$30,2))</f>
        <v>0</v>
      </c>
      <c r="H607" s="49" t="str">
        <f aca="false">IF(ROUND($G607,2)&gt;0,ROUND($G607,2),"")</f>
        <v/>
      </c>
      <c r="I607" s="49" t="str">
        <f aca="false">IF(ROUND($G607,2)&lt;0,-ROUND($G607,2),"")</f>
        <v/>
      </c>
      <c r="J607" s="20" t="n">
        <f aca="false">IF(ROUND($G607,2)=0,0,1)</f>
        <v>0</v>
      </c>
      <c r="K607" s="20" t="str">
        <f aca="false">IF($J607=0,"",SUM($J$596:$J607))</f>
        <v/>
      </c>
      <c r="L607" s="20" t="str">
        <f aca="false">IF($K607="","",$A607*100+$K607)</f>
        <v/>
      </c>
      <c r="M607" s="48" t="str">
        <f aca="false">参数!$B$3</f>
        <v>7月收入</v>
      </c>
    </row>
    <row r="608" customFormat="false" ht="13.5" hidden="false" customHeight="false" outlineLevel="0" collapsed="false">
      <c r="A608" s="47" t="n">
        <v>28</v>
      </c>
      <c r="B608" s="38" t="n">
        <f aca="false">助手收入!$B29</f>
        <v>2041</v>
      </c>
      <c r="C608" s="48" t="str">
        <f aca="false">助手收入!$C29</f>
        <v>郝庄店</v>
      </c>
      <c r="D608" s="48" t="str">
        <f aca="false">科目对照收入!$B14&amp;""</f>
        <v>小镇外卖</v>
      </c>
      <c r="E608" s="48" t="str">
        <f aca="false">IF(AND(ROUND($G608,2)&lt;0,科目对照收入!$L14&lt;&gt;""),科目对照收入!$L14,科目对照收入!$C14)&amp;""</f>
        <v>应收账款</v>
      </c>
      <c r="F608" s="48" t="str">
        <f aca="false">IF(AND(ROUND($G608,2)&lt;0,科目对照收入!$L14&lt;&gt;""),科目对照收入!$M14,科目对照收入!$D14)&amp;""</f>
        <v>小镇外卖</v>
      </c>
      <c r="G608" s="49" t="n">
        <f aca="false">IF(COUNTIFS(输入平台!$A:$A,助手收入!$X29,输入平台!$B:$B,科目对照收入!$B14)&gt;0,ROUND(SUMIFS(输入平台!$C:$C,输入平台!$A:$A,助手收入!$X29,输入平台!$B:$B,科目对照收入!$B14),2),ROUND(海典汇总!$AC$30,2))</f>
        <v>0</v>
      </c>
      <c r="H608" s="49" t="str">
        <f aca="false">IF(ROUND($G608,2)&gt;0,ROUND($G608,2),"")</f>
        <v/>
      </c>
      <c r="I608" s="49" t="str">
        <f aca="false">IF(ROUND($G608,2)&lt;0,-ROUND($G608,2),"")</f>
        <v/>
      </c>
      <c r="J608" s="20" t="n">
        <f aca="false">IF(ROUND($G608,2)=0,0,1)</f>
        <v>0</v>
      </c>
      <c r="K608" s="20" t="str">
        <f aca="false">IF($J608=0,"",SUM($J$596:$J608))</f>
        <v/>
      </c>
      <c r="L608" s="20" t="str">
        <f aca="false">IF($K608="","",$A608*100+$K608)</f>
        <v/>
      </c>
      <c r="M608" s="48" t="str">
        <f aca="false">参数!$B$3</f>
        <v>7月收入</v>
      </c>
    </row>
    <row r="609" customFormat="false" ht="13.5" hidden="false" customHeight="false" outlineLevel="0" collapsed="false">
      <c r="A609" s="47" t="n">
        <v>28</v>
      </c>
      <c r="B609" s="38" t="n">
        <f aca="false">助手收入!$B29</f>
        <v>2041</v>
      </c>
      <c r="C609" s="48" t="str">
        <f aca="false">助手收入!$C29</f>
        <v>郝庄店</v>
      </c>
      <c r="D609" s="48" t="str">
        <f aca="false">科目对照收入!$B15&amp;""</f>
        <v>OMS线上支付</v>
      </c>
      <c r="E609" s="48" t="str">
        <f aca="false">IF(AND(ROUND($G609,2)&lt;0,科目对照收入!$L15&lt;&gt;""),科目对照收入!$L15,科目对照收入!$C15)&amp;""</f>
        <v>应收账款</v>
      </c>
      <c r="F609" s="48" t="str">
        <f aca="false">IF(AND(ROUND($G609,2)&lt;0,科目对照收入!$L15&lt;&gt;""),科目对照收入!$M15,科目对照收入!$D15)&amp;""</f>
        <v>OMS线上</v>
      </c>
      <c r="G609" s="49" t="n">
        <f aca="false">IF(COUNTIFS(输入平台!$A:$A,助手收入!$X29,输入平台!$B:$B,科目对照收入!$B15)&gt;0,ROUND(SUMIFS(输入平台!$C:$C,输入平台!$A:$A,助手收入!$X29,输入平台!$B:$B,科目对照收入!$B15),2),ROUND(海典汇总!$L$30,2))</f>
        <v>0</v>
      </c>
      <c r="H609" s="49" t="str">
        <f aca="false">IF(ROUND($G609,2)&gt;0,ROUND($G609,2),"")</f>
        <v/>
      </c>
      <c r="I609" s="49" t="str">
        <f aca="false">IF(ROUND($G609,2)&lt;0,-ROUND($G609,2),"")</f>
        <v/>
      </c>
      <c r="J609" s="20" t="n">
        <f aca="false">IF(ROUND($G609,2)=0,0,1)</f>
        <v>0</v>
      </c>
      <c r="K609" s="20" t="str">
        <f aca="false">IF($J609=0,"",SUM($J$596:$J609))</f>
        <v/>
      </c>
      <c r="L609" s="20" t="str">
        <f aca="false">IF($K609="","",$A609*100+$K609)</f>
        <v/>
      </c>
      <c r="M609" s="48" t="str">
        <f aca="false">参数!$B$3</f>
        <v>7月收入</v>
      </c>
    </row>
    <row r="610" customFormat="false" ht="13.5" hidden="false" customHeight="false" outlineLevel="0" collapsed="false">
      <c r="A610" s="47" t="n">
        <v>28</v>
      </c>
      <c r="B610" s="38" t="n">
        <f aca="false">助手收入!$B29</f>
        <v>2041</v>
      </c>
      <c r="C610" s="48" t="str">
        <f aca="false">助手收入!$C29</f>
        <v>郝庄店</v>
      </c>
      <c r="D610" s="48" t="str">
        <f aca="false">科目对照收入!$B16&amp;""</f>
        <v>平安药卡</v>
      </c>
      <c r="E610" s="48" t="str">
        <f aca="false">IF(AND(ROUND($G610,2)&lt;0,科目对照收入!$L16&lt;&gt;""),科目对照收入!$L16,科目对照收入!$C16)&amp;""</f>
        <v>应收账款</v>
      </c>
      <c r="F610" s="48" t="str">
        <f aca="false">IF(AND(ROUND($G610,2)&lt;0,科目对照收入!$L16&lt;&gt;""),科目对照收入!$M16,科目对照收入!$D16)&amp;""</f>
        <v>平安</v>
      </c>
      <c r="G610" s="49" t="n">
        <f aca="false">IF(COUNTIFS(输入平台!$A:$A,助手收入!$X29,输入平台!$B:$B,科目对照收入!$B16)&gt;0,ROUND(SUMIFS(输入平台!$C:$C,输入平台!$A:$A,助手收入!$X29,输入平台!$B:$B,科目对照收入!$B16),2),ROUND(海典汇总!$AB$30,2))</f>
        <v>0</v>
      </c>
      <c r="H610" s="49" t="str">
        <f aca="false">IF(ROUND($G610,2)&gt;0,ROUND($G610,2),"")</f>
        <v/>
      </c>
      <c r="I610" s="49" t="str">
        <f aca="false">IF(ROUND($G610,2)&lt;0,-ROUND($G610,2),"")</f>
        <v/>
      </c>
      <c r="J610" s="20" t="n">
        <f aca="false">IF(ROUND($G610,2)=0,0,1)</f>
        <v>0</v>
      </c>
      <c r="K610" s="20" t="str">
        <f aca="false">IF($J610=0,"",SUM($J$596:$J610))</f>
        <v/>
      </c>
      <c r="L610" s="20" t="str">
        <f aca="false">IF($K610="","",$A610*100+$K610)</f>
        <v/>
      </c>
      <c r="M610" s="48" t="str">
        <f aca="false">参数!$B$3</f>
        <v>7月收入</v>
      </c>
    </row>
    <row r="611" customFormat="false" ht="13.5" hidden="false" customHeight="false" outlineLevel="0" collapsed="false">
      <c r="A611" s="47" t="n">
        <v>28</v>
      </c>
      <c r="B611" s="38" t="n">
        <f aca="false">助手收入!$B29</f>
        <v>2041</v>
      </c>
      <c r="C611" s="48" t="str">
        <f aca="false">助手收入!$C29</f>
        <v>郝庄店</v>
      </c>
      <c r="D611" s="48" t="str">
        <f aca="false">科目对照收入!$B17&amp;""</f>
        <v>储值卡</v>
      </c>
      <c r="E611" s="48" t="str">
        <f aca="false">IF(AND(ROUND($G611,2)&lt;0,科目对照收入!$L17&lt;&gt;""),科目对照收入!$L17,科目对照收入!$C17)&amp;""</f>
        <v>其他应收款</v>
      </c>
      <c r="F611" s="48" t="str">
        <f aca="false">IF(AND(ROUND($G611,2)&lt;0,科目对照收入!$L17&lt;&gt;""),科目对照收入!$M17,科目对照收入!$D17)&amp;""</f>
        <v>储值卡</v>
      </c>
      <c r="G611" s="49" t="n">
        <f aca="false">ROUND(海典汇总!$Q$30,2)</f>
        <v>138</v>
      </c>
      <c r="H611" s="49" t="n">
        <f aca="false">IF(ROUND($G611,2)&gt;0,ROUND($G611,2),"")</f>
        <v>138</v>
      </c>
      <c r="I611" s="49" t="str">
        <f aca="false">IF(ROUND($G611,2)&lt;0,-ROUND($G611,2),"")</f>
        <v/>
      </c>
      <c r="J611" s="20" t="n">
        <f aca="false">IF(ROUND($G611,2)=0,0,1)</f>
        <v>1</v>
      </c>
      <c r="K611" s="20" t="n">
        <f aca="false">IF($J611=0,"",SUM($J$596:$J611))</f>
        <v>3</v>
      </c>
      <c r="L611" s="20" t="n">
        <f aca="false">IF($K611="","",$A611*100+$K611)</f>
        <v>2803</v>
      </c>
      <c r="M611" s="48" t="str">
        <f aca="false">参数!$B$3</f>
        <v>7月收入</v>
      </c>
    </row>
    <row r="612" customFormat="false" ht="13.5" hidden="false" customHeight="false" outlineLevel="0" collapsed="false">
      <c r="A612" s="47" t="n">
        <v>28</v>
      </c>
      <c r="B612" s="38" t="n">
        <f aca="false">助手收入!$B29</f>
        <v>2041</v>
      </c>
      <c r="C612" s="48" t="str">
        <f aca="false">助手收入!$C29</f>
        <v>郝庄店</v>
      </c>
      <c r="D612" s="48" t="str">
        <f aca="false">科目对照收入!$B18&amp;""</f>
        <v>会员零钱包</v>
      </c>
      <c r="E612" s="48" t="str">
        <f aca="false">IF(AND(ROUND($G612,2)&lt;0,科目对照收入!$L18&lt;&gt;""),科目对照收入!$L18,科目对照收入!$C18)&amp;""</f>
        <v>其他应付款</v>
      </c>
      <c r="F612" s="48" t="str">
        <f aca="false">IF(AND(ROUND($G612,2)&lt;0,科目对照收入!$L18&lt;&gt;""),科目对照收入!$M18,科目对照收入!$D18)&amp;""</f>
        <v>会员零钱包</v>
      </c>
      <c r="G612" s="49" t="n">
        <f aca="false">ROUND(海典汇总!$P$30,2)</f>
        <v>-9.36</v>
      </c>
      <c r="H612" s="49" t="str">
        <f aca="false">IF(ROUND($G612,2)&gt;0,ROUND($G612,2),"")</f>
        <v/>
      </c>
      <c r="I612" s="49" t="n">
        <f aca="false">IF(ROUND($G612,2)&lt;0,-ROUND($G612,2),"")</f>
        <v>9.36</v>
      </c>
      <c r="J612" s="20" t="n">
        <f aca="false">IF(ROUND($G612,2)=0,0,1)</f>
        <v>1</v>
      </c>
      <c r="K612" s="20" t="n">
        <f aca="false">IF($J612=0,"",SUM($J$596:$J612))</f>
        <v>4</v>
      </c>
      <c r="L612" s="20" t="n">
        <f aca="false">IF($K612="","",$A612*100+$K612)</f>
        <v>2804</v>
      </c>
      <c r="M612" s="48" t="str">
        <f aca="false">参数!$B$3</f>
        <v>7月收入</v>
      </c>
    </row>
    <row r="613" customFormat="false" ht="13.5" hidden="false" customHeight="false" outlineLevel="0" collapsed="false">
      <c r="A613" s="47" t="n">
        <v>28</v>
      </c>
      <c r="B613" s="38" t="n">
        <f aca="false">助手收入!$B29</f>
        <v>2041</v>
      </c>
      <c r="C613" s="48" t="str">
        <f aca="false">助手收入!$C29</f>
        <v>郝庄店</v>
      </c>
      <c r="D613" s="48" t="str">
        <f aca="false">科目对照收入!$B19&amp;""</f>
        <v>促销费</v>
      </c>
      <c r="E613" s="48" t="str">
        <f aca="false">IF(AND(ROUND($G613,2)&lt;0,科目对照收入!$L19&lt;&gt;""),科目对照收入!$L19,科目对照收入!$C19)&amp;""</f>
        <v>销售费用</v>
      </c>
      <c r="F613" s="48" t="str">
        <f aca="false">IF(AND(ROUND($G613,2)&lt;0,科目对照收入!$L19&lt;&gt;""),科目对照收入!$M19,科目对照收入!$D19)&amp;""</f>
        <v>促销费</v>
      </c>
      <c r="G613" s="49" t="n">
        <f aca="false">ROUND(海典汇总!$U$30+海典汇总!$T$30+海典汇总!$S$30,2)</f>
        <v>1007.96</v>
      </c>
      <c r="H613" s="49" t="n">
        <f aca="false">IF(ROUND($G613,2)&gt;0,ROUND($G613,2),"")</f>
        <v>1007.96</v>
      </c>
      <c r="I613" s="49" t="str">
        <f aca="false">IF(ROUND($G613,2)&lt;0,-ROUND($G613,2),"")</f>
        <v/>
      </c>
      <c r="J613" s="20" t="n">
        <f aca="false">IF(ROUND($G613,2)=0,0,1)</f>
        <v>1</v>
      </c>
      <c r="K613" s="20" t="n">
        <f aca="false">IF($J613=0,"",SUM($J$596:$J613))</f>
        <v>5</v>
      </c>
      <c r="L613" s="20" t="n">
        <f aca="false">IF($K613="","",$A613*100+$K613)</f>
        <v>2805</v>
      </c>
      <c r="M613" s="48" t="str">
        <f aca="false">参数!$B$3</f>
        <v>7月收入</v>
      </c>
    </row>
    <row r="614" customFormat="false" ht="13.5" hidden="false" customHeight="false" outlineLevel="0" collapsed="false">
      <c r="A614" s="47" t="n">
        <v>28</v>
      </c>
      <c r="B614" s="38" t="n">
        <f aca="false">助手收入!$B29</f>
        <v>2041</v>
      </c>
      <c r="C614" s="48" t="str">
        <f aca="false">助手收入!$C29</f>
        <v>郝庄店</v>
      </c>
      <c r="D614" s="48" t="str">
        <f aca="false">科目对照收入!$B20&amp;""</f>
        <v>积分</v>
      </c>
      <c r="E614" s="48" t="str">
        <f aca="false">IF(AND(ROUND($G614,2)&lt;0,科目对照收入!$L20&lt;&gt;""),科目对照收入!$L20,科目对照收入!$C20)&amp;""</f>
        <v>销售费用</v>
      </c>
      <c r="F614" s="48" t="str">
        <f aca="false">IF(AND(ROUND($G614,2)&lt;0,科目对照收入!$L20&lt;&gt;""),科目对照收入!$M20,科目对照收入!$D20)&amp;""</f>
        <v>积分</v>
      </c>
      <c r="G614" s="49" t="n">
        <f aca="false">ROUND(海典汇总!$R$30,2)</f>
        <v>0</v>
      </c>
      <c r="H614" s="49" t="str">
        <f aca="false">IF(ROUND($G614,2)&gt;0,ROUND($G614,2),"")</f>
        <v/>
      </c>
      <c r="I614" s="49" t="str">
        <f aca="false">IF(ROUND($G614,2)&lt;0,-ROUND($G614,2),"")</f>
        <v/>
      </c>
      <c r="J614" s="20" t="n">
        <f aca="false">IF(ROUND($G614,2)=0,0,1)</f>
        <v>0</v>
      </c>
      <c r="K614" s="20" t="str">
        <f aca="false">IF($J614=0,"",SUM($J$596:$J614))</f>
        <v/>
      </c>
      <c r="L614" s="20" t="str">
        <f aca="false">IF($K614="","",$A614*100+$K614)</f>
        <v/>
      </c>
      <c r="M614" s="48" t="str">
        <f aca="false">参数!$B$3</f>
        <v>7月收入</v>
      </c>
    </row>
    <row r="615" customFormat="false" ht="13.5" hidden="false" customHeight="false" outlineLevel="0" collapsed="false">
      <c r="A615" s="47" t="n">
        <v>28</v>
      </c>
      <c r="B615" s="38" t="n">
        <f aca="false">助手收入!$B29</f>
        <v>2041</v>
      </c>
      <c r="C615" s="48" t="str">
        <f aca="false">助手收入!$C29</f>
        <v>郝庄店</v>
      </c>
      <c r="D615" s="48" t="str">
        <f aca="false">科目对照收入!$B21&amp;""</f>
        <v>手续费</v>
      </c>
      <c r="E615" s="48" t="str">
        <f aca="false">IF(AND(ROUND($G615,2)&lt;0,科目对照收入!$L21&lt;&gt;""),科目对照收入!$L21,科目对照收入!$C21)&amp;""</f>
        <v>财务费用</v>
      </c>
      <c r="F615" s="48" t="str">
        <f aca="false">IF(AND(ROUND($G615,2)&lt;0,科目对照收入!$L21&lt;&gt;""),科目对照收入!$M21,科目对照收入!$D21)&amp;""</f>
        <v>手续费</v>
      </c>
      <c r="G615" s="49" t="n">
        <f aca="false">ROUND(SUMIFS(输入聚合!$D:$D,输入聚合!$A:$A,助手收入!$X29),2)</f>
        <v>101.85</v>
      </c>
      <c r="H615" s="49" t="n">
        <f aca="false">IF(ROUND($G615,2)&gt;0,ROUND($G615,2),"")</f>
        <v>101.85</v>
      </c>
      <c r="I615" s="49" t="str">
        <f aca="false">IF(ROUND($G615,2)&lt;0,-ROUND($G615,2),"")</f>
        <v/>
      </c>
      <c r="J615" s="20" t="n">
        <f aca="false">IF(ROUND($G615,2)=0,0,1)</f>
        <v>1</v>
      </c>
      <c r="K615" s="20" t="n">
        <f aca="false">IF($J615=0,"",SUM($J$596:$J615))</f>
        <v>6</v>
      </c>
      <c r="L615" s="20" t="n">
        <f aca="false">IF($K615="","",$A615*100+$K615)</f>
        <v>2806</v>
      </c>
      <c r="M615" s="48" t="str">
        <f aca="false">参数!$B$3</f>
        <v>7月收入</v>
      </c>
    </row>
    <row r="616" customFormat="false" ht="13.5" hidden="false" customHeight="false" outlineLevel="0" collapsed="false">
      <c r="A616" s="47" t="n">
        <v>28</v>
      </c>
      <c r="B616" s="38" t="n">
        <f aca="false">助手收入!$B29</f>
        <v>2041</v>
      </c>
      <c r="C616" s="48" t="str">
        <f aca="false">助手收入!$C29</f>
        <v>郝庄店</v>
      </c>
      <c r="D616" s="48" t="str">
        <f aca="false">科目对照收入!$B22&amp;""</f>
        <v>主营业务收入</v>
      </c>
      <c r="E616" s="48" t="str">
        <f aca="false">IF(AND(ROUND($G616,2)&lt;0,科目对照收入!$L22&lt;&gt;""),科目对照收入!$L22,科目对照收入!$C22)&amp;""</f>
        <v>主营业务收入</v>
      </c>
      <c r="F616" s="48" t="str">
        <f aca="false">IF(AND(ROUND($G616,2)&lt;0,科目对照收入!$L22&lt;&gt;""),科目对照收入!$M22,科目对照收入!$D22)&amp;""</f>
        <v/>
      </c>
      <c r="G616" s="49" t="n">
        <f aca="false">-ROUND(助手收入!$G29,2)</f>
        <v>-53633.52</v>
      </c>
      <c r="H616" s="49" t="str">
        <f aca="false">IF(ROUND($G616,2)&gt;0,ROUND($G616,2),"")</f>
        <v/>
      </c>
      <c r="I616" s="49" t="n">
        <f aca="false">IF(ROUND($G616,2)&lt;0,-ROUND($G616,2),"")</f>
        <v>53633.52</v>
      </c>
      <c r="J616" s="20" t="n">
        <f aca="false">IF(ROUND($G616,2)=0,0,1)</f>
        <v>1</v>
      </c>
      <c r="K616" s="20" t="n">
        <f aca="false">IF($J616=0,"",SUM($J$596:$J616))</f>
        <v>7</v>
      </c>
      <c r="L616" s="20" t="n">
        <f aca="false">IF($K616="","",$A616*100+$K616)</f>
        <v>2807</v>
      </c>
      <c r="M616" s="48" t="str">
        <f aca="false">参数!$B$3</f>
        <v>7月收入</v>
      </c>
    </row>
    <row r="617" customFormat="false" ht="13.5" hidden="false" customHeight="false" outlineLevel="0" collapsed="false">
      <c r="A617" s="47" t="n">
        <v>28</v>
      </c>
      <c r="B617" s="38" t="n">
        <f aca="false">助手收入!$B29</f>
        <v>2041</v>
      </c>
      <c r="C617" s="48" t="str">
        <f aca="false">助手收入!$C29</f>
        <v>郝庄店</v>
      </c>
      <c r="D617" s="48" t="str">
        <f aca="false">科目对照收入!$B23&amp;""</f>
        <v>营业外收入</v>
      </c>
      <c r="E617" s="48" t="str">
        <f aca="false">IF(AND(ROUND($G617,2)&lt;0,科目对照收入!$L23&lt;&gt;""),科目对照收入!$L23,科目对照收入!$C23)&amp;""</f>
        <v>营业外收入</v>
      </c>
      <c r="F617" s="48" t="str">
        <f aca="false">IF(AND(ROUND($G617,2)&lt;0,科目对照收入!$L23&lt;&gt;""),科目对照收入!$M23,科目对照收入!$D23)&amp;""</f>
        <v/>
      </c>
      <c r="G617" s="49" t="n">
        <f aca="false">-ROUND(助手收入!$J29,2)</f>
        <v>-0</v>
      </c>
      <c r="H617" s="49" t="str">
        <f aca="false">IF(ROUND($G617,2)&gt;0,ROUND($G617,2),"")</f>
        <v/>
      </c>
      <c r="I617" s="49" t="str">
        <f aca="false">IF(ROUND($G617,2)&lt;0,-ROUND($G617,2),"")</f>
        <v/>
      </c>
      <c r="J617" s="20" t="n">
        <f aca="false">IF(ROUND($G617,2)=0,0,1)</f>
        <v>0</v>
      </c>
      <c r="K617" s="20" t="str">
        <f aca="false">IF($J617=0,"",SUM($J$596:$J617))</f>
        <v/>
      </c>
      <c r="L617" s="20" t="str">
        <f aca="false">IF($K617="","",$A617*100+$K617)</f>
        <v/>
      </c>
      <c r="M617" s="48" t="str">
        <f aca="false">参数!$B$3</f>
        <v>7月收入</v>
      </c>
    </row>
    <row r="618" customFormat="false" ht="13.5" hidden="false" customHeight="false" outlineLevel="0" collapsed="false">
      <c r="A618" s="47" t="n">
        <v>29</v>
      </c>
      <c r="B618" s="38" t="n">
        <f aca="false">助手收入!$B30</f>
        <v>2042</v>
      </c>
      <c r="C618" s="48" t="str">
        <f aca="false">助手收入!$C30</f>
        <v>白家寨店</v>
      </c>
      <c r="D618" s="48" t="str">
        <f aca="false">科目对照收入!$B2&amp;""</f>
        <v>库存现金</v>
      </c>
      <c r="E618" s="48" t="str">
        <f aca="false">IF(AND(ROUND($G618,2)&lt;0,科目对照收入!$L2&lt;&gt;""),科目对照收入!$L2,科目对照收入!$C2)&amp;""</f>
        <v>库存现金</v>
      </c>
      <c r="F618" s="48" t="str">
        <f aca="false">IF(AND(ROUND($G618,2)&lt;0,科目对照收入!$L2&lt;&gt;""),科目对照收入!$M2,科目对照收入!$D2)&amp;""</f>
        <v/>
      </c>
      <c r="G618" s="49" t="n">
        <f aca="false">助手收入!$I30</f>
        <v>14901.93</v>
      </c>
      <c r="H618" s="49" t="n">
        <f aca="false">IF(ROUND($G618,2)&gt;0,ROUND($G618,2),"")</f>
        <v>14901.93</v>
      </c>
      <c r="I618" s="49" t="str">
        <f aca="false">IF(ROUND($G618,2)&lt;0,-ROUND($G618,2),"")</f>
        <v/>
      </c>
      <c r="J618" s="20" t="n">
        <f aca="false">IF(ROUND($G618,2)=0,0,1)</f>
        <v>1</v>
      </c>
      <c r="K618" s="20" t="n">
        <f aca="false">IF($J618=0,"",SUM($J$618:$J618))</f>
        <v>1</v>
      </c>
      <c r="L618" s="20" t="n">
        <f aca="false">IF($K618="","",$A618*100+$K618)</f>
        <v>2901</v>
      </c>
      <c r="M618" s="48" t="str">
        <f aca="false">参数!$B$3</f>
        <v>7月收入</v>
      </c>
    </row>
    <row r="619" customFormat="false" ht="13.5" hidden="false" customHeight="false" outlineLevel="0" collapsed="false">
      <c r="A619" s="47" t="n">
        <v>29</v>
      </c>
      <c r="B619" s="38" t="n">
        <f aca="false">助手收入!$B30</f>
        <v>2042</v>
      </c>
      <c r="C619" s="48" t="str">
        <f aca="false">助手收入!$C30</f>
        <v>白家寨店</v>
      </c>
      <c r="D619" s="48" t="str">
        <f aca="false">科目对照收入!$B3&amp;""</f>
        <v>聚合支付</v>
      </c>
      <c r="E619" s="48" t="str">
        <f aca="false">IF(AND(ROUND($G619,2)&lt;0,科目对照收入!$L3&lt;&gt;""),科目对照收入!$L3,科目对照收入!$C3)&amp;""</f>
        <v>应收账款</v>
      </c>
      <c r="F619" s="48" t="str">
        <f aca="false">IF(AND(ROUND($G619,2)&lt;0,科目对照收入!$L3&lt;&gt;""),科目对照收入!$M3,科目对照收入!$D3)&amp;""</f>
        <v>聚合支付</v>
      </c>
      <c r="G619" s="49" t="n">
        <f aca="false">ROUND(SUMIFS(输入聚合!$C:$C,输入聚合!$A:$A,助手收入!$X30)-SUMIFS(输入聚合!$D:$D,输入聚合!$A:$A,助手收入!$X30),2)</f>
        <v>27484.56</v>
      </c>
      <c r="H619" s="49" t="n">
        <f aca="false">IF(ROUND($G619,2)&gt;0,ROUND($G619,2),"")</f>
        <v>27484.56</v>
      </c>
      <c r="I619" s="49" t="str">
        <f aca="false">IF(ROUND($G619,2)&lt;0,-ROUND($G619,2),"")</f>
        <v/>
      </c>
      <c r="J619" s="20" t="n">
        <f aca="false">IF(ROUND($G619,2)=0,0,1)</f>
        <v>1</v>
      </c>
      <c r="K619" s="20" t="n">
        <f aca="false">IF($J619=0,"",SUM($J$618:$J619))</f>
        <v>2</v>
      </c>
      <c r="L619" s="20" t="n">
        <f aca="false">IF($K619="","",$A619*100+$K619)</f>
        <v>2902</v>
      </c>
      <c r="M619" s="48" t="str">
        <f aca="false">参数!$B$3</f>
        <v>7月收入</v>
      </c>
    </row>
    <row r="620" customFormat="false" ht="13.5" hidden="false" customHeight="false" outlineLevel="0" collapsed="false">
      <c r="A620" s="47" t="n">
        <v>29</v>
      </c>
      <c r="B620" s="38" t="n">
        <f aca="false">助手收入!$B30</f>
        <v>2042</v>
      </c>
      <c r="C620" s="48" t="str">
        <f aca="false">助手收入!$C30</f>
        <v>白家寨店</v>
      </c>
      <c r="D620" s="48" t="str">
        <f aca="false">科目对照收入!$B4&amp;""</f>
        <v>医保</v>
      </c>
      <c r="E620" s="48" t="str">
        <f aca="false">IF(AND(ROUND($G620,2)&lt;0,科目对照收入!$L4&lt;&gt;""),科目对照收入!$L4,科目对照收入!$C4)&amp;""</f>
        <v>应收账款</v>
      </c>
      <c r="F620" s="48" t="str">
        <f aca="false">IF(AND(ROUND($G620,2)&lt;0,科目对照收入!$L4&lt;&gt;""),科目对照收入!$M4,科目对照收入!$D4)&amp;""</f>
        <v>医保</v>
      </c>
      <c r="G620" s="49" t="n">
        <f aca="false">IF(COUNTIFS(输入平台!$A:$A,助手收入!$X30,输入平台!$B:$B,科目对照收入!$B4)&gt;0,ROUND(SUMIFS(输入平台!$C:$C,输入平台!$A:$A,助手收入!$X30,输入平台!$B:$B,科目对照收入!$B4),2),ROUND(海典汇总!$F$31+海典汇总!$G$31,2))</f>
        <v>5297.9</v>
      </c>
      <c r="H620" s="49" t="n">
        <f aca="false">IF(ROUND($G620,2)&gt;0,ROUND($G620,2),"")</f>
        <v>5297.9</v>
      </c>
      <c r="I620" s="49" t="str">
        <f aca="false">IF(ROUND($G620,2)&lt;0,-ROUND($G620,2),"")</f>
        <v/>
      </c>
      <c r="J620" s="20" t="n">
        <f aca="false">IF(ROUND($G620,2)=0,0,1)</f>
        <v>1</v>
      </c>
      <c r="K620" s="20" t="n">
        <f aca="false">IF($J620=0,"",SUM($J$618:$J620))</f>
        <v>3</v>
      </c>
      <c r="L620" s="20" t="n">
        <f aca="false">IF($K620="","",$A620*100+$K620)</f>
        <v>2903</v>
      </c>
      <c r="M620" s="48" t="str">
        <f aca="false">参数!$B$3</f>
        <v>7月收入</v>
      </c>
    </row>
    <row r="621" customFormat="false" ht="13.5" hidden="false" customHeight="false" outlineLevel="0" collapsed="false">
      <c r="A621" s="47" t="n">
        <v>29</v>
      </c>
      <c r="B621" s="38" t="n">
        <f aca="false">助手收入!$B30</f>
        <v>2042</v>
      </c>
      <c r="C621" s="48" t="str">
        <f aca="false">助手收入!$C30</f>
        <v>白家寨店</v>
      </c>
      <c r="D621" s="48" t="str">
        <f aca="false">科目对照收入!$B5&amp;""</f>
        <v>健e卡</v>
      </c>
      <c r="E621" s="48" t="str">
        <f aca="false">IF(AND(ROUND($G621,2)&lt;0,科目对照收入!$L5&lt;&gt;""),科目对照收入!$L5,科目对照收入!$C5)&amp;""</f>
        <v>应收账款</v>
      </c>
      <c r="F621" s="48" t="str">
        <f aca="false">IF(AND(ROUND($G621,2)&lt;0,科目对照收入!$L5&lt;&gt;""),科目对照收入!$M5,科目对照收入!$D5)&amp;""</f>
        <v>健e卡</v>
      </c>
      <c r="G621" s="49" t="n">
        <f aca="false">IF(COUNTIFS(输入平台!$A:$A,助手收入!$X30,输入平台!$B:$B,科目对照收入!$B5)&gt;0,ROUND(SUMIFS(输入平台!$C:$C,输入平台!$A:$A,助手收入!$X30,输入平台!$B:$B,科目对照收入!$B5),2),ROUND(海典汇总!$H$31,2))</f>
        <v>0</v>
      </c>
      <c r="H621" s="49" t="str">
        <f aca="false">IF(ROUND($G621,2)&gt;0,ROUND($G621,2),"")</f>
        <v/>
      </c>
      <c r="I621" s="49" t="str">
        <f aca="false">IF(ROUND($G621,2)&lt;0,-ROUND($G621,2),"")</f>
        <v/>
      </c>
      <c r="J621" s="20" t="n">
        <f aca="false">IF(ROUND($G621,2)=0,0,1)</f>
        <v>0</v>
      </c>
      <c r="K621" s="20" t="str">
        <f aca="false">IF($J621=0,"",SUM($J$618:$J621))</f>
        <v/>
      </c>
      <c r="L621" s="20" t="str">
        <f aca="false">IF($K621="","",$A621*100+$K621)</f>
        <v/>
      </c>
      <c r="M621" s="48" t="str">
        <f aca="false">参数!$B$3</f>
        <v>7月收入</v>
      </c>
    </row>
    <row r="622" customFormat="false" ht="13.5" hidden="false" customHeight="false" outlineLevel="0" collapsed="false">
      <c r="A622" s="47" t="n">
        <v>29</v>
      </c>
      <c r="B622" s="38" t="n">
        <f aca="false">助手收入!$B30</f>
        <v>2042</v>
      </c>
      <c r="C622" s="48" t="str">
        <f aca="false">助手收入!$C30</f>
        <v>白家寨店</v>
      </c>
      <c r="D622" s="48" t="str">
        <f aca="false">科目对照收入!$B6&amp;""</f>
        <v>医卡通</v>
      </c>
      <c r="E622" s="48" t="str">
        <f aca="false">IF(AND(ROUND($G622,2)&lt;0,科目对照收入!$L6&lt;&gt;""),科目对照收入!$L6,科目对照收入!$C6)&amp;""</f>
        <v>应收账款</v>
      </c>
      <c r="F622" s="48" t="str">
        <f aca="false">IF(AND(ROUND($G622,2)&lt;0,科目对照收入!$L6&lt;&gt;""),科目对照收入!$M6,科目对照收入!$D6)&amp;""</f>
        <v>医卡通</v>
      </c>
      <c r="G622" s="49" t="n">
        <f aca="false">IF(COUNTIFS(输入平台!$A:$A,助手收入!$X30,输入平台!$B:$B,科目对照收入!$B6)&gt;0,ROUND(SUMIFS(输入平台!$C:$C,输入平台!$A:$A,助手收入!$X30,输入平台!$B:$B,科目对照收入!$B6),2),ROUND(海典汇总!$I$31,2))</f>
        <v>0</v>
      </c>
      <c r="H622" s="49" t="str">
        <f aca="false">IF(ROUND($G622,2)&gt;0,ROUND($G622,2),"")</f>
        <v/>
      </c>
      <c r="I622" s="49" t="str">
        <f aca="false">IF(ROUND($G622,2)&lt;0,-ROUND($G622,2),"")</f>
        <v/>
      </c>
      <c r="J622" s="20" t="n">
        <f aca="false">IF(ROUND($G622,2)=0,0,1)</f>
        <v>0</v>
      </c>
      <c r="K622" s="20" t="str">
        <f aca="false">IF($J622=0,"",SUM($J$618:$J622))</f>
        <v/>
      </c>
      <c r="L622" s="20" t="str">
        <f aca="false">IF($K622="","",$A622*100+$K622)</f>
        <v/>
      </c>
      <c r="M622" s="48" t="str">
        <f aca="false">参数!$B$3</f>
        <v>7月收入</v>
      </c>
    </row>
    <row r="623" customFormat="false" ht="13.5" hidden="false" customHeight="false" outlineLevel="0" collapsed="false">
      <c r="A623" s="47" t="n">
        <v>29</v>
      </c>
      <c r="B623" s="38" t="n">
        <f aca="false">助手收入!$B30</f>
        <v>2042</v>
      </c>
      <c r="C623" s="48" t="str">
        <f aca="false">助手收入!$C30</f>
        <v>白家寨店</v>
      </c>
      <c r="D623" s="48" t="str">
        <f aca="false">科目对照收入!$B7&amp;""</f>
        <v>企健网</v>
      </c>
      <c r="E623" s="48" t="str">
        <f aca="false">IF(AND(ROUND($G623,2)&lt;0,科目对照收入!$L7&lt;&gt;""),科目对照收入!$L7,科目对照收入!$C7)&amp;""</f>
        <v>应收账款</v>
      </c>
      <c r="F623" s="48" t="str">
        <f aca="false">IF(AND(ROUND($G623,2)&lt;0,科目对照收入!$L7&lt;&gt;""),科目对照收入!$M7,科目对照收入!$D7)&amp;""</f>
        <v>企健网</v>
      </c>
      <c r="G623" s="49" t="n">
        <f aca="false">IF(COUNTIFS(输入平台!$A:$A,助手收入!$X30,输入平台!$B:$B,科目对照收入!$B7)&gt;0,ROUND(SUMIFS(输入平台!$C:$C,输入平台!$A:$A,助手收入!$X30,输入平台!$B:$B,科目对照收入!$B7),2),ROUND(海典汇总!$J$31,2))</f>
        <v>0</v>
      </c>
      <c r="H623" s="49" t="str">
        <f aca="false">IF(ROUND($G623,2)&gt;0,ROUND($G623,2),"")</f>
        <v/>
      </c>
      <c r="I623" s="49" t="str">
        <f aca="false">IF(ROUND($G623,2)&lt;0,-ROUND($G623,2),"")</f>
        <v/>
      </c>
      <c r="J623" s="20" t="n">
        <f aca="false">IF(ROUND($G623,2)=0,0,1)</f>
        <v>0</v>
      </c>
      <c r="K623" s="20" t="str">
        <f aca="false">IF($J623=0,"",SUM($J$618:$J623))</f>
        <v/>
      </c>
      <c r="L623" s="20" t="str">
        <f aca="false">IF($K623="","",$A623*100+$K623)</f>
        <v/>
      </c>
      <c r="M623" s="48" t="str">
        <f aca="false">参数!$B$3</f>
        <v>7月收入</v>
      </c>
    </row>
    <row r="624" customFormat="false" ht="13.5" hidden="false" customHeight="false" outlineLevel="0" collapsed="false">
      <c r="A624" s="47" t="n">
        <v>29</v>
      </c>
      <c r="B624" s="38" t="n">
        <f aca="false">助手收入!$B30</f>
        <v>2042</v>
      </c>
      <c r="C624" s="48" t="str">
        <f aca="false">助手收入!$C30</f>
        <v>白家寨店</v>
      </c>
      <c r="D624" s="48" t="str">
        <f aca="false">科目对照收入!$B8&amp;""</f>
        <v>亲情卡</v>
      </c>
      <c r="E624" s="48" t="str">
        <f aca="false">IF(AND(ROUND($G624,2)&lt;0,科目对照收入!$L8&lt;&gt;""),科目对照收入!$L8,科目对照收入!$C8)&amp;""</f>
        <v>应收账款</v>
      </c>
      <c r="F624" s="48" t="str">
        <f aca="false">IF(AND(ROUND($G624,2)&lt;0,科目对照收入!$L8&lt;&gt;""),科目对照收入!$M8,科目对照收入!$D8)&amp;""</f>
        <v>亲情卡</v>
      </c>
      <c r="G624" s="49" t="n">
        <f aca="false">IF(COUNTIFS(输入平台!$A:$A,助手收入!$X30,输入平台!$B:$B,科目对照收入!$B8)&gt;0,ROUND(SUMIFS(输入平台!$C:$C,输入平台!$A:$A,助手收入!$X30,输入平台!$B:$B,科目对照收入!$B8),2),ROUND(海典汇总!$Z$31,2))</f>
        <v>0</v>
      </c>
      <c r="H624" s="49" t="str">
        <f aca="false">IF(ROUND($G624,2)&gt;0,ROUND($G624,2),"")</f>
        <v/>
      </c>
      <c r="I624" s="49" t="str">
        <f aca="false">IF(ROUND($G624,2)&lt;0,-ROUND($G624,2),"")</f>
        <v/>
      </c>
      <c r="J624" s="20" t="n">
        <f aca="false">IF(ROUND($G624,2)=0,0,1)</f>
        <v>0</v>
      </c>
      <c r="K624" s="20" t="str">
        <f aca="false">IF($J624=0,"",SUM($J$618:$J624))</f>
        <v/>
      </c>
      <c r="L624" s="20" t="str">
        <f aca="false">IF($K624="","",$A624*100+$K624)</f>
        <v/>
      </c>
      <c r="M624" s="48" t="str">
        <f aca="false">参数!$B$3</f>
        <v>7月收入</v>
      </c>
    </row>
    <row r="625" customFormat="false" ht="13.5" hidden="false" customHeight="false" outlineLevel="0" collapsed="false">
      <c r="A625" s="47" t="n">
        <v>29</v>
      </c>
      <c r="B625" s="38" t="n">
        <f aca="false">助手收入!$B30</f>
        <v>2042</v>
      </c>
      <c r="C625" s="48" t="str">
        <f aca="false">助手收入!$C30</f>
        <v>白家寨店</v>
      </c>
      <c r="D625" s="48" t="str">
        <f aca="false">科目对照收入!$B9&amp;""</f>
        <v>24小时</v>
      </c>
      <c r="E625" s="48" t="str">
        <f aca="false">IF(AND(ROUND($G625,2)&lt;0,科目对照收入!$L9&lt;&gt;""),科目对照收入!$L9,科目对照收入!$C9)&amp;""</f>
        <v>应收账款</v>
      </c>
      <c r="F625" s="48" t="str">
        <f aca="false">IF(AND(ROUND($G625,2)&lt;0,科目对照收入!$L9&lt;&gt;""),科目对照收入!$M9,科目对照收入!$D9)&amp;""</f>
        <v>24小时</v>
      </c>
      <c r="G625" s="49" t="n">
        <f aca="false">IF(COUNTIFS(输入平台!$A:$A,助手收入!$X30,输入平台!$B:$B,科目对照收入!$B9)&gt;0,ROUND(SUMIFS(输入平台!$C:$C,输入平台!$A:$A,助手收入!$X30,输入平台!$B:$B,科目对照收入!$B9),2),ROUND(海典汇总!$K$31,2))</f>
        <v>0</v>
      </c>
      <c r="H625" s="49" t="str">
        <f aca="false">IF(ROUND($G625,2)&gt;0,ROUND($G625,2),"")</f>
        <v/>
      </c>
      <c r="I625" s="49" t="str">
        <f aca="false">IF(ROUND($G625,2)&lt;0,-ROUND($G625,2),"")</f>
        <v/>
      </c>
      <c r="J625" s="20" t="n">
        <f aca="false">IF(ROUND($G625,2)=0,0,1)</f>
        <v>0</v>
      </c>
      <c r="K625" s="20" t="str">
        <f aca="false">IF($J625=0,"",SUM($J$618:$J625))</f>
        <v/>
      </c>
      <c r="L625" s="20" t="str">
        <f aca="false">IF($K625="","",$A625*100+$K625)</f>
        <v/>
      </c>
      <c r="M625" s="48" t="str">
        <f aca="false">参数!$B$3</f>
        <v>7月收入</v>
      </c>
    </row>
    <row r="626" customFormat="false" ht="13.5" hidden="false" customHeight="false" outlineLevel="0" collapsed="false">
      <c r="A626" s="47" t="n">
        <v>29</v>
      </c>
      <c r="B626" s="38" t="n">
        <f aca="false">助手收入!$B30</f>
        <v>2042</v>
      </c>
      <c r="C626" s="48" t="str">
        <f aca="false">助手收入!$C30</f>
        <v>白家寨店</v>
      </c>
      <c r="D626" s="48" t="str">
        <f aca="false">科目对照收入!$B10&amp;""</f>
        <v>美团</v>
      </c>
      <c r="E626" s="48" t="str">
        <f aca="false">IF(AND(ROUND($G626,2)&lt;0,科目对照收入!$L10&lt;&gt;""),科目对照收入!$L10,科目对照收入!$C10)&amp;""</f>
        <v>应收账款</v>
      </c>
      <c r="F626" s="48" t="str">
        <f aca="false">IF(AND(ROUND($G626,2)&lt;0,科目对照收入!$L10&lt;&gt;""),科目对照收入!$M10,科目对照收入!$D10)&amp;""</f>
        <v>美团</v>
      </c>
      <c r="G626" s="49" t="n">
        <f aca="false">IF(COUNTIFS(输入平台!$A:$A,助手收入!$X30,输入平台!$B:$B,科目对照收入!$B10)&gt;0,ROUND(SUMIFS(输入平台!$C:$C,输入平台!$A:$A,助手收入!$X30,输入平台!$B:$B,科目对照收入!$B10),2),ROUND(海典汇总!$M$31,2))</f>
        <v>0</v>
      </c>
      <c r="H626" s="49" t="str">
        <f aca="false">IF(ROUND($G626,2)&gt;0,ROUND($G626,2),"")</f>
        <v/>
      </c>
      <c r="I626" s="49" t="str">
        <f aca="false">IF(ROUND($G626,2)&lt;0,-ROUND($G626,2),"")</f>
        <v/>
      </c>
      <c r="J626" s="20" t="n">
        <f aca="false">IF(ROUND($G626,2)=0,0,1)</f>
        <v>0</v>
      </c>
      <c r="K626" s="20" t="str">
        <f aca="false">IF($J626=0,"",SUM($J$618:$J626))</f>
        <v/>
      </c>
      <c r="L626" s="20" t="str">
        <f aca="false">IF($K626="","",$A626*100+$K626)</f>
        <v/>
      </c>
      <c r="M626" s="48" t="str">
        <f aca="false">参数!$B$3</f>
        <v>7月收入</v>
      </c>
    </row>
    <row r="627" customFormat="false" ht="13.5" hidden="false" customHeight="false" outlineLevel="0" collapsed="false">
      <c r="A627" s="47" t="n">
        <v>29</v>
      </c>
      <c r="B627" s="38" t="n">
        <f aca="false">助手收入!$B30</f>
        <v>2042</v>
      </c>
      <c r="C627" s="48" t="str">
        <f aca="false">助手收入!$C30</f>
        <v>白家寨店</v>
      </c>
      <c r="D627" s="48" t="str">
        <f aca="false">科目对照收入!$B11&amp;""</f>
        <v>饿了么</v>
      </c>
      <c r="E627" s="48" t="str">
        <f aca="false">IF(AND(ROUND($G627,2)&lt;0,科目对照收入!$L11&lt;&gt;""),科目对照收入!$L11,科目对照收入!$C11)&amp;""</f>
        <v>应收账款</v>
      </c>
      <c r="F627" s="48" t="str">
        <f aca="false">IF(AND(ROUND($G627,2)&lt;0,科目对照收入!$L11&lt;&gt;""),科目对照收入!$M11,科目对照收入!$D11)&amp;""</f>
        <v>饿了么</v>
      </c>
      <c r="G627" s="49" t="n">
        <f aca="false">IF(COUNTIFS(输入平台!$A:$A,助手收入!$X30,输入平台!$B:$B,科目对照收入!$B11)&gt;0,ROUND(SUMIFS(输入平台!$C:$C,输入平台!$A:$A,助手收入!$X30,输入平台!$B:$B,科目对照收入!$B11),2),ROUND(海典汇总!$N$31,2))</f>
        <v>0</v>
      </c>
      <c r="H627" s="49" t="str">
        <f aca="false">IF(ROUND($G627,2)&gt;0,ROUND($G627,2),"")</f>
        <v/>
      </c>
      <c r="I627" s="49" t="str">
        <f aca="false">IF(ROUND($G627,2)&lt;0,-ROUND($G627,2),"")</f>
        <v/>
      </c>
      <c r="J627" s="20" t="n">
        <f aca="false">IF(ROUND($G627,2)=0,0,1)</f>
        <v>0</v>
      </c>
      <c r="K627" s="20" t="str">
        <f aca="false">IF($J627=0,"",SUM($J$618:$J627))</f>
        <v/>
      </c>
      <c r="L627" s="20" t="str">
        <f aca="false">IF($K627="","",$A627*100+$K627)</f>
        <v/>
      </c>
      <c r="M627" s="48" t="str">
        <f aca="false">参数!$B$3</f>
        <v>7月收入</v>
      </c>
    </row>
    <row r="628" customFormat="false" ht="13.5" hidden="false" customHeight="false" outlineLevel="0" collapsed="false">
      <c r="A628" s="47" t="n">
        <v>29</v>
      </c>
      <c r="B628" s="38" t="n">
        <f aca="false">助手收入!$B30</f>
        <v>2042</v>
      </c>
      <c r="C628" s="48" t="str">
        <f aca="false">助手收入!$C30</f>
        <v>白家寨店</v>
      </c>
      <c r="D628" s="48" t="str">
        <f aca="false">科目对照收入!$B12&amp;""</f>
        <v>京东秒送</v>
      </c>
      <c r="E628" s="48" t="str">
        <f aca="false">IF(AND(ROUND($G628,2)&lt;0,科目对照收入!$L12&lt;&gt;""),科目对照收入!$L12,科目对照收入!$C12)&amp;""</f>
        <v>应收账款</v>
      </c>
      <c r="F628" s="48" t="str">
        <f aca="false">IF(AND(ROUND($G628,2)&lt;0,科目对照收入!$L12&lt;&gt;""),科目对照收入!$M12,科目对照收入!$D12)&amp;""</f>
        <v>京东秒送</v>
      </c>
      <c r="G628" s="49" t="n">
        <f aca="false">IF(COUNTIFS(输入平台!$A:$A,助手收入!$X30,输入平台!$B:$B,科目对照收入!$B12)&gt;0,ROUND(SUMIFS(输入平台!$C:$C,输入平台!$A:$A,助手收入!$X30,输入平台!$B:$B,科目对照收入!$B12),2),ROUND(海典汇总!$O$31,2))</f>
        <v>0</v>
      </c>
      <c r="H628" s="49" t="str">
        <f aca="false">IF(ROUND($G628,2)&gt;0,ROUND($G628,2),"")</f>
        <v/>
      </c>
      <c r="I628" s="49" t="str">
        <f aca="false">IF(ROUND($G628,2)&lt;0,-ROUND($G628,2),"")</f>
        <v/>
      </c>
      <c r="J628" s="20" t="n">
        <f aca="false">IF(ROUND($G628,2)=0,0,1)</f>
        <v>0</v>
      </c>
      <c r="K628" s="20" t="str">
        <f aca="false">IF($J628=0,"",SUM($J$618:$J628))</f>
        <v/>
      </c>
      <c r="L628" s="20" t="str">
        <f aca="false">IF($K628="","",$A628*100+$K628)</f>
        <v/>
      </c>
      <c r="M628" s="48" t="str">
        <f aca="false">参数!$B$3</f>
        <v>7月收入</v>
      </c>
    </row>
    <row r="629" customFormat="false" ht="13.5" hidden="false" customHeight="false" outlineLevel="0" collapsed="false">
      <c r="A629" s="47" t="n">
        <v>29</v>
      </c>
      <c r="B629" s="38" t="n">
        <f aca="false">助手收入!$B30</f>
        <v>2042</v>
      </c>
      <c r="C629" s="48" t="str">
        <f aca="false">助手收入!$C30</f>
        <v>白家寨店</v>
      </c>
      <c r="D629" s="48" t="str">
        <f aca="false">科目对照收入!$B13&amp;""</f>
        <v>银联</v>
      </c>
      <c r="E629" s="48" t="str">
        <f aca="false">IF(AND(ROUND($G629,2)&lt;0,科目对照收入!$L13&lt;&gt;""),科目对照收入!$L13,科目对照收入!$C13)&amp;""</f>
        <v>应收账款</v>
      </c>
      <c r="F629" s="48" t="str">
        <f aca="false">IF(AND(ROUND($G629,2)&lt;0,科目对照收入!$L13&lt;&gt;""),科目对照收入!$M13,科目对照收入!$D13)&amp;""</f>
        <v>银联</v>
      </c>
      <c r="G629" s="49" t="n">
        <f aca="false">IF(COUNTIFS(输入平台!$A:$A,助手收入!$X30,输入平台!$B:$B,科目对照收入!$B13)&gt;0,ROUND(SUMIFS(输入平台!$C:$C,输入平台!$A:$A,助手收入!$X30,输入平台!$B:$B,科目对照收入!$B13),2),ROUND(海典汇总!$V$31,2))</f>
        <v>0</v>
      </c>
      <c r="H629" s="49" t="str">
        <f aca="false">IF(ROUND($G629,2)&gt;0,ROUND($G629,2),"")</f>
        <v/>
      </c>
      <c r="I629" s="49" t="str">
        <f aca="false">IF(ROUND($G629,2)&lt;0,-ROUND($G629,2),"")</f>
        <v/>
      </c>
      <c r="J629" s="20" t="n">
        <f aca="false">IF(ROUND($G629,2)=0,0,1)</f>
        <v>0</v>
      </c>
      <c r="K629" s="20" t="str">
        <f aca="false">IF($J629=0,"",SUM($J$618:$J629))</f>
        <v/>
      </c>
      <c r="L629" s="20" t="str">
        <f aca="false">IF($K629="","",$A629*100+$K629)</f>
        <v/>
      </c>
      <c r="M629" s="48" t="str">
        <f aca="false">参数!$B$3</f>
        <v>7月收入</v>
      </c>
    </row>
    <row r="630" customFormat="false" ht="13.5" hidden="false" customHeight="false" outlineLevel="0" collapsed="false">
      <c r="A630" s="47" t="n">
        <v>29</v>
      </c>
      <c r="B630" s="38" t="n">
        <f aca="false">助手收入!$B30</f>
        <v>2042</v>
      </c>
      <c r="C630" s="48" t="str">
        <f aca="false">助手收入!$C30</f>
        <v>白家寨店</v>
      </c>
      <c r="D630" s="48" t="str">
        <f aca="false">科目对照收入!$B14&amp;""</f>
        <v>小镇外卖</v>
      </c>
      <c r="E630" s="48" t="str">
        <f aca="false">IF(AND(ROUND($G630,2)&lt;0,科目对照收入!$L14&lt;&gt;""),科目对照收入!$L14,科目对照收入!$C14)&amp;""</f>
        <v>应收账款</v>
      </c>
      <c r="F630" s="48" t="str">
        <f aca="false">IF(AND(ROUND($G630,2)&lt;0,科目对照收入!$L14&lt;&gt;""),科目对照收入!$M14,科目对照收入!$D14)&amp;""</f>
        <v>小镇外卖</v>
      </c>
      <c r="G630" s="49" t="n">
        <f aca="false">IF(COUNTIFS(输入平台!$A:$A,助手收入!$X30,输入平台!$B:$B,科目对照收入!$B14)&gt;0,ROUND(SUMIFS(输入平台!$C:$C,输入平台!$A:$A,助手收入!$X30,输入平台!$B:$B,科目对照收入!$B14),2),ROUND(海典汇总!$AC$31,2))</f>
        <v>0</v>
      </c>
      <c r="H630" s="49" t="str">
        <f aca="false">IF(ROUND($G630,2)&gt;0,ROUND($G630,2),"")</f>
        <v/>
      </c>
      <c r="I630" s="49" t="str">
        <f aca="false">IF(ROUND($G630,2)&lt;0,-ROUND($G630,2),"")</f>
        <v/>
      </c>
      <c r="J630" s="20" t="n">
        <f aca="false">IF(ROUND($G630,2)=0,0,1)</f>
        <v>0</v>
      </c>
      <c r="K630" s="20" t="str">
        <f aca="false">IF($J630=0,"",SUM($J$618:$J630))</f>
        <v/>
      </c>
      <c r="L630" s="20" t="str">
        <f aca="false">IF($K630="","",$A630*100+$K630)</f>
        <v/>
      </c>
      <c r="M630" s="48" t="str">
        <f aca="false">参数!$B$3</f>
        <v>7月收入</v>
      </c>
    </row>
    <row r="631" customFormat="false" ht="13.5" hidden="false" customHeight="false" outlineLevel="0" collapsed="false">
      <c r="A631" s="47" t="n">
        <v>29</v>
      </c>
      <c r="B631" s="38" t="n">
        <f aca="false">助手收入!$B30</f>
        <v>2042</v>
      </c>
      <c r="C631" s="48" t="str">
        <f aca="false">助手收入!$C30</f>
        <v>白家寨店</v>
      </c>
      <c r="D631" s="48" t="str">
        <f aca="false">科目对照收入!$B15&amp;""</f>
        <v>OMS线上支付</v>
      </c>
      <c r="E631" s="48" t="str">
        <f aca="false">IF(AND(ROUND($G631,2)&lt;0,科目对照收入!$L15&lt;&gt;""),科目对照收入!$L15,科目对照收入!$C15)&amp;""</f>
        <v>应收账款</v>
      </c>
      <c r="F631" s="48" t="str">
        <f aca="false">IF(AND(ROUND($G631,2)&lt;0,科目对照收入!$L15&lt;&gt;""),科目对照收入!$M15,科目对照收入!$D15)&amp;""</f>
        <v>OMS线上</v>
      </c>
      <c r="G631" s="49" t="n">
        <f aca="false">IF(COUNTIFS(输入平台!$A:$A,助手收入!$X30,输入平台!$B:$B,科目对照收入!$B15)&gt;0,ROUND(SUMIFS(输入平台!$C:$C,输入平台!$A:$A,助手收入!$X30,输入平台!$B:$B,科目对照收入!$B15),2),ROUND(海典汇总!$L$31,2))</f>
        <v>0</v>
      </c>
      <c r="H631" s="49" t="str">
        <f aca="false">IF(ROUND($G631,2)&gt;0,ROUND($G631,2),"")</f>
        <v/>
      </c>
      <c r="I631" s="49" t="str">
        <f aca="false">IF(ROUND($G631,2)&lt;0,-ROUND($G631,2),"")</f>
        <v/>
      </c>
      <c r="J631" s="20" t="n">
        <f aca="false">IF(ROUND($G631,2)=0,0,1)</f>
        <v>0</v>
      </c>
      <c r="K631" s="20" t="str">
        <f aca="false">IF($J631=0,"",SUM($J$618:$J631))</f>
        <v/>
      </c>
      <c r="L631" s="20" t="str">
        <f aca="false">IF($K631="","",$A631*100+$K631)</f>
        <v/>
      </c>
      <c r="M631" s="48" t="str">
        <f aca="false">参数!$B$3</f>
        <v>7月收入</v>
      </c>
    </row>
    <row r="632" customFormat="false" ht="13.5" hidden="false" customHeight="false" outlineLevel="0" collapsed="false">
      <c r="A632" s="47" t="n">
        <v>29</v>
      </c>
      <c r="B632" s="38" t="n">
        <f aca="false">助手收入!$B30</f>
        <v>2042</v>
      </c>
      <c r="C632" s="48" t="str">
        <f aca="false">助手收入!$C30</f>
        <v>白家寨店</v>
      </c>
      <c r="D632" s="48" t="str">
        <f aca="false">科目对照收入!$B16&amp;""</f>
        <v>平安药卡</v>
      </c>
      <c r="E632" s="48" t="str">
        <f aca="false">IF(AND(ROUND($G632,2)&lt;0,科目对照收入!$L16&lt;&gt;""),科目对照收入!$L16,科目对照收入!$C16)&amp;""</f>
        <v>应收账款</v>
      </c>
      <c r="F632" s="48" t="str">
        <f aca="false">IF(AND(ROUND($G632,2)&lt;0,科目对照收入!$L16&lt;&gt;""),科目对照收入!$M16,科目对照收入!$D16)&amp;""</f>
        <v>平安</v>
      </c>
      <c r="G632" s="49" t="n">
        <f aca="false">IF(COUNTIFS(输入平台!$A:$A,助手收入!$X30,输入平台!$B:$B,科目对照收入!$B16)&gt;0,ROUND(SUMIFS(输入平台!$C:$C,输入平台!$A:$A,助手收入!$X30,输入平台!$B:$B,科目对照收入!$B16),2),ROUND(海典汇总!$AB$31,2))</f>
        <v>0</v>
      </c>
      <c r="H632" s="49" t="str">
        <f aca="false">IF(ROUND($G632,2)&gt;0,ROUND($G632,2),"")</f>
        <v/>
      </c>
      <c r="I632" s="49" t="str">
        <f aca="false">IF(ROUND($G632,2)&lt;0,-ROUND($G632,2),"")</f>
        <v/>
      </c>
      <c r="J632" s="20" t="n">
        <f aca="false">IF(ROUND($G632,2)=0,0,1)</f>
        <v>0</v>
      </c>
      <c r="K632" s="20" t="str">
        <f aca="false">IF($J632=0,"",SUM($J$618:$J632))</f>
        <v/>
      </c>
      <c r="L632" s="20" t="str">
        <f aca="false">IF($K632="","",$A632*100+$K632)</f>
        <v/>
      </c>
      <c r="M632" s="48" t="str">
        <f aca="false">参数!$B$3</f>
        <v>7月收入</v>
      </c>
    </row>
    <row r="633" customFormat="false" ht="13.5" hidden="false" customHeight="false" outlineLevel="0" collapsed="false">
      <c r="A633" s="47" t="n">
        <v>29</v>
      </c>
      <c r="B633" s="38" t="n">
        <f aca="false">助手收入!$B30</f>
        <v>2042</v>
      </c>
      <c r="C633" s="48" t="str">
        <f aca="false">助手收入!$C30</f>
        <v>白家寨店</v>
      </c>
      <c r="D633" s="48" t="str">
        <f aca="false">科目对照收入!$B17&amp;""</f>
        <v>储值卡</v>
      </c>
      <c r="E633" s="48" t="str">
        <f aca="false">IF(AND(ROUND($G633,2)&lt;0,科目对照收入!$L17&lt;&gt;""),科目对照收入!$L17,科目对照收入!$C17)&amp;""</f>
        <v>其他应收款</v>
      </c>
      <c r="F633" s="48" t="str">
        <f aca="false">IF(AND(ROUND($G633,2)&lt;0,科目对照收入!$L17&lt;&gt;""),科目对照收入!$M17,科目对照收入!$D17)&amp;""</f>
        <v>储值卡</v>
      </c>
      <c r="G633" s="49" t="n">
        <f aca="false">ROUND(海典汇总!$Q$31,2)</f>
        <v>16.2</v>
      </c>
      <c r="H633" s="49" t="n">
        <f aca="false">IF(ROUND($G633,2)&gt;0,ROUND($G633,2),"")</f>
        <v>16.2</v>
      </c>
      <c r="I633" s="49" t="str">
        <f aca="false">IF(ROUND($G633,2)&lt;0,-ROUND($G633,2),"")</f>
        <v/>
      </c>
      <c r="J633" s="20" t="n">
        <f aca="false">IF(ROUND($G633,2)=0,0,1)</f>
        <v>1</v>
      </c>
      <c r="K633" s="20" t="n">
        <f aca="false">IF($J633=0,"",SUM($J$618:$J633))</f>
        <v>4</v>
      </c>
      <c r="L633" s="20" t="n">
        <f aca="false">IF($K633="","",$A633*100+$K633)</f>
        <v>2904</v>
      </c>
      <c r="M633" s="48" t="str">
        <f aca="false">参数!$B$3</f>
        <v>7月收入</v>
      </c>
    </row>
    <row r="634" customFormat="false" ht="13.5" hidden="false" customHeight="false" outlineLevel="0" collapsed="false">
      <c r="A634" s="47" t="n">
        <v>29</v>
      </c>
      <c r="B634" s="38" t="n">
        <f aca="false">助手收入!$B30</f>
        <v>2042</v>
      </c>
      <c r="C634" s="48" t="str">
        <f aca="false">助手收入!$C30</f>
        <v>白家寨店</v>
      </c>
      <c r="D634" s="48" t="str">
        <f aca="false">科目对照收入!$B18&amp;""</f>
        <v>会员零钱包</v>
      </c>
      <c r="E634" s="48" t="str">
        <f aca="false">IF(AND(ROUND($G634,2)&lt;0,科目对照收入!$L18&lt;&gt;""),科目对照收入!$L18,科目对照收入!$C18)&amp;""</f>
        <v>其他应收款</v>
      </c>
      <c r="F634" s="48" t="str">
        <f aca="false">IF(AND(ROUND($G634,2)&lt;0,科目对照收入!$L18&lt;&gt;""),科目对照收入!$M18,科目对照收入!$D18)&amp;""</f>
        <v>会员零钱包</v>
      </c>
      <c r="G634" s="49" t="n">
        <f aca="false">ROUND(海典汇总!$P$31,2)</f>
        <v>0</v>
      </c>
      <c r="H634" s="49" t="str">
        <f aca="false">IF(ROUND($G634,2)&gt;0,ROUND($G634,2),"")</f>
        <v/>
      </c>
      <c r="I634" s="49" t="str">
        <f aca="false">IF(ROUND($G634,2)&lt;0,-ROUND($G634,2),"")</f>
        <v/>
      </c>
      <c r="J634" s="20" t="n">
        <f aca="false">IF(ROUND($G634,2)=0,0,1)</f>
        <v>0</v>
      </c>
      <c r="K634" s="20" t="str">
        <f aca="false">IF($J634=0,"",SUM($J$618:$J634))</f>
        <v/>
      </c>
      <c r="L634" s="20" t="str">
        <f aca="false">IF($K634="","",$A634*100+$K634)</f>
        <v/>
      </c>
      <c r="M634" s="48" t="str">
        <f aca="false">参数!$B$3</f>
        <v>7月收入</v>
      </c>
    </row>
    <row r="635" customFormat="false" ht="13.5" hidden="false" customHeight="false" outlineLevel="0" collapsed="false">
      <c r="A635" s="47" t="n">
        <v>29</v>
      </c>
      <c r="B635" s="38" t="n">
        <f aca="false">助手收入!$B30</f>
        <v>2042</v>
      </c>
      <c r="C635" s="48" t="str">
        <f aca="false">助手收入!$C30</f>
        <v>白家寨店</v>
      </c>
      <c r="D635" s="48" t="str">
        <f aca="false">科目对照收入!$B19&amp;""</f>
        <v>促销费</v>
      </c>
      <c r="E635" s="48" t="str">
        <f aca="false">IF(AND(ROUND($G635,2)&lt;0,科目对照收入!$L19&lt;&gt;""),科目对照收入!$L19,科目对照收入!$C19)&amp;""</f>
        <v>销售费用</v>
      </c>
      <c r="F635" s="48" t="str">
        <f aca="false">IF(AND(ROUND($G635,2)&lt;0,科目对照收入!$L19&lt;&gt;""),科目对照收入!$M19,科目对照收入!$D19)&amp;""</f>
        <v>促销费</v>
      </c>
      <c r="G635" s="49" t="n">
        <f aca="false">ROUND(海典汇总!$U$31+海典汇总!$T$31+海典汇总!$S$31,2)</f>
        <v>1883</v>
      </c>
      <c r="H635" s="49" t="n">
        <f aca="false">IF(ROUND($G635,2)&gt;0,ROUND($G635,2),"")</f>
        <v>1883</v>
      </c>
      <c r="I635" s="49" t="str">
        <f aca="false">IF(ROUND($G635,2)&lt;0,-ROUND($G635,2),"")</f>
        <v/>
      </c>
      <c r="J635" s="20" t="n">
        <f aca="false">IF(ROUND($G635,2)=0,0,1)</f>
        <v>1</v>
      </c>
      <c r="K635" s="20" t="n">
        <f aca="false">IF($J635=0,"",SUM($J$618:$J635))</f>
        <v>5</v>
      </c>
      <c r="L635" s="20" t="n">
        <f aca="false">IF($K635="","",$A635*100+$K635)</f>
        <v>2905</v>
      </c>
      <c r="M635" s="48" t="str">
        <f aca="false">参数!$B$3</f>
        <v>7月收入</v>
      </c>
    </row>
    <row r="636" customFormat="false" ht="13.5" hidden="false" customHeight="false" outlineLevel="0" collapsed="false">
      <c r="A636" s="47" t="n">
        <v>29</v>
      </c>
      <c r="B636" s="38" t="n">
        <f aca="false">助手收入!$B30</f>
        <v>2042</v>
      </c>
      <c r="C636" s="48" t="str">
        <f aca="false">助手收入!$C30</f>
        <v>白家寨店</v>
      </c>
      <c r="D636" s="48" t="str">
        <f aca="false">科目对照收入!$B20&amp;""</f>
        <v>积分</v>
      </c>
      <c r="E636" s="48" t="str">
        <f aca="false">IF(AND(ROUND($G636,2)&lt;0,科目对照收入!$L20&lt;&gt;""),科目对照收入!$L20,科目对照收入!$C20)&amp;""</f>
        <v>销售费用</v>
      </c>
      <c r="F636" s="48" t="str">
        <f aca="false">IF(AND(ROUND($G636,2)&lt;0,科目对照收入!$L20&lt;&gt;""),科目对照收入!$M20,科目对照收入!$D20)&amp;""</f>
        <v>积分</v>
      </c>
      <c r="G636" s="49" t="n">
        <f aca="false">ROUND(海典汇总!$R$31,2)</f>
        <v>0</v>
      </c>
      <c r="H636" s="49" t="str">
        <f aca="false">IF(ROUND($G636,2)&gt;0,ROUND($G636,2),"")</f>
        <v/>
      </c>
      <c r="I636" s="49" t="str">
        <f aca="false">IF(ROUND($G636,2)&lt;0,-ROUND($G636,2),"")</f>
        <v/>
      </c>
      <c r="J636" s="20" t="n">
        <f aca="false">IF(ROUND($G636,2)=0,0,1)</f>
        <v>0</v>
      </c>
      <c r="K636" s="20" t="str">
        <f aca="false">IF($J636=0,"",SUM($J$618:$J636))</f>
        <v/>
      </c>
      <c r="L636" s="20" t="str">
        <f aca="false">IF($K636="","",$A636*100+$K636)</f>
        <v/>
      </c>
      <c r="M636" s="48" t="str">
        <f aca="false">参数!$B$3</f>
        <v>7月收入</v>
      </c>
    </row>
    <row r="637" customFormat="false" ht="13.5" hidden="false" customHeight="false" outlineLevel="0" collapsed="false">
      <c r="A637" s="47" t="n">
        <v>29</v>
      </c>
      <c r="B637" s="38" t="n">
        <f aca="false">助手收入!$B30</f>
        <v>2042</v>
      </c>
      <c r="C637" s="48" t="str">
        <f aca="false">助手收入!$C30</f>
        <v>白家寨店</v>
      </c>
      <c r="D637" s="48" t="str">
        <f aca="false">科目对照收入!$B21&amp;""</f>
        <v>手续费</v>
      </c>
      <c r="E637" s="48" t="str">
        <f aca="false">IF(AND(ROUND($G637,2)&lt;0,科目对照收入!$L21&lt;&gt;""),科目对照收入!$L21,科目对照收入!$C21)&amp;""</f>
        <v>财务费用</v>
      </c>
      <c r="F637" s="48" t="str">
        <f aca="false">IF(AND(ROUND($G637,2)&lt;0,科目对照收入!$L21&lt;&gt;""),科目对照收入!$M21,科目对照收入!$D21)&amp;""</f>
        <v>手续费</v>
      </c>
      <c r="G637" s="49" t="n">
        <f aca="false">ROUND(SUMIFS(输入聚合!$D:$D,输入聚合!$A:$A,助手收入!$X30),2)</f>
        <v>74.41</v>
      </c>
      <c r="H637" s="49" t="n">
        <f aca="false">IF(ROUND($G637,2)&gt;0,ROUND($G637,2),"")</f>
        <v>74.41</v>
      </c>
      <c r="I637" s="49" t="str">
        <f aca="false">IF(ROUND($G637,2)&lt;0,-ROUND($G637,2),"")</f>
        <v/>
      </c>
      <c r="J637" s="20" t="n">
        <f aca="false">IF(ROUND($G637,2)=0,0,1)</f>
        <v>1</v>
      </c>
      <c r="K637" s="20" t="n">
        <f aca="false">IF($J637=0,"",SUM($J$618:$J637))</f>
        <v>6</v>
      </c>
      <c r="L637" s="20" t="n">
        <f aca="false">IF($K637="","",$A637*100+$K637)</f>
        <v>2906</v>
      </c>
      <c r="M637" s="48" t="str">
        <f aca="false">参数!$B$3</f>
        <v>7月收入</v>
      </c>
    </row>
    <row r="638" customFormat="false" ht="13.5" hidden="false" customHeight="false" outlineLevel="0" collapsed="false">
      <c r="A638" s="47" t="n">
        <v>29</v>
      </c>
      <c r="B638" s="38" t="n">
        <f aca="false">助手收入!$B30</f>
        <v>2042</v>
      </c>
      <c r="C638" s="48" t="str">
        <f aca="false">助手收入!$C30</f>
        <v>白家寨店</v>
      </c>
      <c r="D638" s="48" t="str">
        <f aca="false">科目对照收入!$B22&amp;""</f>
        <v>主营业务收入</v>
      </c>
      <c r="E638" s="48" t="str">
        <f aca="false">IF(AND(ROUND($G638,2)&lt;0,科目对照收入!$L22&lt;&gt;""),科目对照收入!$L22,科目对照收入!$C22)&amp;""</f>
        <v>主营业务收入</v>
      </c>
      <c r="F638" s="48" t="str">
        <f aca="false">IF(AND(ROUND($G638,2)&lt;0,科目对照收入!$L22&lt;&gt;""),科目对照收入!$M22,科目对照收入!$D22)&amp;""</f>
        <v/>
      </c>
      <c r="G638" s="49" t="n">
        <f aca="false">-ROUND(助手收入!$G30,2)</f>
        <v>-49658</v>
      </c>
      <c r="H638" s="49" t="str">
        <f aca="false">IF(ROUND($G638,2)&gt;0,ROUND($G638,2),"")</f>
        <v/>
      </c>
      <c r="I638" s="49" t="n">
        <f aca="false">IF(ROUND($G638,2)&lt;0,-ROUND($G638,2),"")</f>
        <v>49658</v>
      </c>
      <c r="J638" s="20" t="n">
        <f aca="false">IF(ROUND($G638,2)=0,0,1)</f>
        <v>1</v>
      </c>
      <c r="K638" s="20" t="n">
        <f aca="false">IF($J638=0,"",SUM($J$618:$J638))</f>
        <v>7</v>
      </c>
      <c r="L638" s="20" t="n">
        <f aca="false">IF($K638="","",$A638*100+$K638)</f>
        <v>2907</v>
      </c>
      <c r="M638" s="48" t="str">
        <f aca="false">参数!$B$3</f>
        <v>7月收入</v>
      </c>
    </row>
    <row r="639" customFormat="false" ht="13.5" hidden="false" customHeight="false" outlineLevel="0" collapsed="false">
      <c r="A639" s="47" t="n">
        <v>29</v>
      </c>
      <c r="B639" s="38" t="n">
        <f aca="false">助手收入!$B30</f>
        <v>2042</v>
      </c>
      <c r="C639" s="48" t="str">
        <f aca="false">助手收入!$C30</f>
        <v>白家寨店</v>
      </c>
      <c r="D639" s="48" t="str">
        <f aca="false">科目对照收入!$B23&amp;""</f>
        <v>营业外收入</v>
      </c>
      <c r="E639" s="48" t="str">
        <f aca="false">IF(AND(ROUND($G639,2)&lt;0,科目对照收入!$L23&lt;&gt;""),科目对照收入!$L23,科目对照收入!$C23)&amp;""</f>
        <v>营业外收入</v>
      </c>
      <c r="F639" s="48" t="str">
        <f aca="false">IF(AND(ROUND($G639,2)&lt;0,科目对照收入!$L23&lt;&gt;""),科目对照收入!$M23,科目对照收入!$D23)&amp;""</f>
        <v/>
      </c>
      <c r="G639" s="49" t="n">
        <f aca="false">-ROUND(助手收入!$J30,2)</f>
        <v>-0</v>
      </c>
      <c r="H639" s="49" t="str">
        <f aca="false">IF(ROUND($G639,2)&gt;0,ROUND($G639,2),"")</f>
        <v/>
      </c>
      <c r="I639" s="49" t="str">
        <f aca="false">IF(ROUND($G639,2)&lt;0,-ROUND($G639,2),"")</f>
        <v/>
      </c>
      <c r="J639" s="20" t="n">
        <f aca="false">IF(ROUND($G639,2)=0,0,1)</f>
        <v>0</v>
      </c>
      <c r="K639" s="20" t="str">
        <f aca="false">IF($J639=0,"",SUM($J$618:$J639))</f>
        <v/>
      </c>
      <c r="L639" s="20" t="str">
        <f aca="false">IF($K639="","",$A639*100+$K639)</f>
        <v/>
      </c>
      <c r="M639" s="48" t="str">
        <f aca="false">参数!$B$3</f>
        <v>7月收入</v>
      </c>
    </row>
    <row r="640" customFormat="false" ht="13.5" hidden="false" customHeight="false" outlineLevel="0" collapsed="false">
      <c r="A640" s="47" t="n">
        <v>30</v>
      </c>
      <c r="B640" s="38" t="n">
        <f aca="false">助手收入!$B31</f>
        <v>2043</v>
      </c>
      <c r="C640" s="48" t="str">
        <f aca="false">助手收入!$C31</f>
        <v>博福店</v>
      </c>
      <c r="D640" s="48" t="str">
        <f aca="false">科目对照收入!$B2&amp;""</f>
        <v>库存现金</v>
      </c>
      <c r="E640" s="48" t="str">
        <f aca="false">IF(AND(ROUND($G640,2)&lt;0,科目对照收入!$L2&lt;&gt;""),科目对照收入!$L2,科目对照收入!$C2)&amp;""</f>
        <v>库存现金</v>
      </c>
      <c r="F640" s="48" t="str">
        <f aca="false">IF(AND(ROUND($G640,2)&lt;0,科目对照收入!$L2&lt;&gt;""),科目对照收入!$M2,科目对照收入!$D2)&amp;""</f>
        <v/>
      </c>
      <c r="G640" s="49" t="n">
        <f aca="false">助手收入!$I31</f>
        <v>5461.07</v>
      </c>
      <c r="H640" s="49" t="n">
        <f aca="false">IF(ROUND($G640,2)&gt;0,ROUND($G640,2),"")</f>
        <v>5461.07</v>
      </c>
      <c r="I640" s="49" t="str">
        <f aca="false">IF(ROUND($G640,2)&lt;0,-ROUND($G640,2),"")</f>
        <v/>
      </c>
      <c r="J640" s="20" t="n">
        <f aca="false">IF(ROUND($G640,2)=0,0,1)</f>
        <v>1</v>
      </c>
      <c r="K640" s="20" t="n">
        <f aca="false">IF($J640=0,"",SUM($J$640:$J640))</f>
        <v>1</v>
      </c>
      <c r="L640" s="20" t="n">
        <f aca="false">IF($K640="","",$A640*100+$K640)</f>
        <v>3001</v>
      </c>
      <c r="M640" s="48" t="str">
        <f aca="false">参数!$B$3</f>
        <v>7月收入</v>
      </c>
    </row>
    <row r="641" customFormat="false" ht="13.5" hidden="false" customHeight="false" outlineLevel="0" collapsed="false">
      <c r="A641" s="47" t="n">
        <v>30</v>
      </c>
      <c r="B641" s="38" t="n">
        <f aca="false">助手收入!$B31</f>
        <v>2043</v>
      </c>
      <c r="C641" s="48" t="str">
        <f aca="false">助手收入!$C31</f>
        <v>博福店</v>
      </c>
      <c r="D641" s="48" t="str">
        <f aca="false">科目对照收入!$B3&amp;""</f>
        <v>聚合支付</v>
      </c>
      <c r="E641" s="48" t="str">
        <f aca="false">IF(AND(ROUND($G641,2)&lt;0,科目对照收入!$L3&lt;&gt;""),科目对照收入!$L3,科目对照收入!$C3)&amp;""</f>
        <v>应收账款</v>
      </c>
      <c r="F641" s="48" t="str">
        <f aca="false">IF(AND(ROUND($G641,2)&lt;0,科目对照收入!$L3&lt;&gt;""),科目对照收入!$M3,科目对照收入!$D3)&amp;""</f>
        <v>聚合支付</v>
      </c>
      <c r="G641" s="49" t="n">
        <f aca="false">ROUND(SUMIFS(输入聚合!$C:$C,输入聚合!$A:$A,助手收入!$X31)-SUMIFS(输入聚合!$D:$D,输入聚合!$A:$A,助手收入!$X31),2)</f>
        <v>26349.1</v>
      </c>
      <c r="H641" s="49" t="n">
        <f aca="false">IF(ROUND($G641,2)&gt;0,ROUND($G641,2),"")</f>
        <v>26349.1</v>
      </c>
      <c r="I641" s="49" t="str">
        <f aca="false">IF(ROUND($G641,2)&lt;0,-ROUND($G641,2),"")</f>
        <v/>
      </c>
      <c r="J641" s="20" t="n">
        <f aca="false">IF(ROUND($G641,2)=0,0,1)</f>
        <v>1</v>
      </c>
      <c r="K641" s="20" t="n">
        <f aca="false">IF($J641=0,"",SUM($J$640:$J641))</f>
        <v>2</v>
      </c>
      <c r="L641" s="20" t="n">
        <f aca="false">IF($K641="","",$A641*100+$K641)</f>
        <v>3002</v>
      </c>
      <c r="M641" s="48" t="str">
        <f aca="false">参数!$B$3</f>
        <v>7月收入</v>
      </c>
    </row>
    <row r="642" customFormat="false" ht="13.5" hidden="false" customHeight="false" outlineLevel="0" collapsed="false">
      <c r="A642" s="47" t="n">
        <v>30</v>
      </c>
      <c r="B642" s="38" t="n">
        <f aca="false">助手收入!$B31</f>
        <v>2043</v>
      </c>
      <c r="C642" s="48" t="str">
        <f aca="false">助手收入!$C31</f>
        <v>博福店</v>
      </c>
      <c r="D642" s="48" t="str">
        <f aca="false">科目对照收入!$B4&amp;""</f>
        <v>医保</v>
      </c>
      <c r="E642" s="48" t="str">
        <f aca="false">IF(AND(ROUND($G642,2)&lt;0,科目对照收入!$L4&lt;&gt;""),科目对照收入!$L4,科目对照收入!$C4)&amp;""</f>
        <v>应收账款</v>
      </c>
      <c r="F642" s="48" t="str">
        <f aca="false">IF(AND(ROUND($G642,2)&lt;0,科目对照收入!$L4&lt;&gt;""),科目对照收入!$M4,科目对照收入!$D4)&amp;""</f>
        <v>医保</v>
      </c>
      <c r="G642" s="49" t="n">
        <f aca="false">IF(COUNTIFS(输入平台!$A:$A,助手收入!$X31,输入平台!$B:$B,科目对照收入!$B4)&gt;0,ROUND(SUMIFS(输入平台!$C:$C,输入平台!$A:$A,助手收入!$X31,输入平台!$B:$B,科目对照收入!$B4),2),ROUND(海典汇总!$F$32+海典汇总!$G$32,2))</f>
        <v>10373.25</v>
      </c>
      <c r="H642" s="49" t="n">
        <f aca="false">IF(ROUND($G642,2)&gt;0,ROUND($G642,2),"")</f>
        <v>10373.25</v>
      </c>
      <c r="I642" s="49" t="str">
        <f aca="false">IF(ROUND($G642,2)&lt;0,-ROUND($G642,2),"")</f>
        <v/>
      </c>
      <c r="J642" s="20" t="n">
        <f aca="false">IF(ROUND($G642,2)=0,0,1)</f>
        <v>1</v>
      </c>
      <c r="K642" s="20" t="n">
        <f aca="false">IF($J642=0,"",SUM($J$640:$J642))</f>
        <v>3</v>
      </c>
      <c r="L642" s="20" t="n">
        <f aca="false">IF($K642="","",$A642*100+$K642)</f>
        <v>3003</v>
      </c>
      <c r="M642" s="48" t="str">
        <f aca="false">参数!$B$3</f>
        <v>7月收入</v>
      </c>
    </row>
    <row r="643" customFormat="false" ht="13.5" hidden="false" customHeight="false" outlineLevel="0" collapsed="false">
      <c r="A643" s="47" t="n">
        <v>30</v>
      </c>
      <c r="B643" s="38" t="n">
        <f aca="false">助手收入!$B31</f>
        <v>2043</v>
      </c>
      <c r="C643" s="48" t="str">
        <f aca="false">助手收入!$C31</f>
        <v>博福店</v>
      </c>
      <c r="D643" s="48" t="str">
        <f aca="false">科目对照收入!$B5&amp;""</f>
        <v>健e卡</v>
      </c>
      <c r="E643" s="48" t="str">
        <f aca="false">IF(AND(ROUND($G643,2)&lt;0,科目对照收入!$L5&lt;&gt;""),科目对照收入!$L5,科目对照收入!$C5)&amp;""</f>
        <v>应收账款</v>
      </c>
      <c r="F643" s="48" t="str">
        <f aca="false">IF(AND(ROUND($G643,2)&lt;0,科目对照收入!$L5&lt;&gt;""),科目对照收入!$M5,科目对照收入!$D5)&amp;""</f>
        <v>健e卡</v>
      </c>
      <c r="G643" s="49" t="n">
        <f aca="false">IF(COUNTIFS(输入平台!$A:$A,助手收入!$X31,输入平台!$B:$B,科目对照收入!$B5)&gt;0,ROUND(SUMIFS(输入平台!$C:$C,输入平台!$A:$A,助手收入!$X31,输入平台!$B:$B,科目对照收入!$B5),2),ROUND(海典汇总!$H$32,2))</f>
        <v>15991.6</v>
      </c>
      <c r="H643" s="49" t="n">
        <f aca="false">IF(ROUND($G643,2)&gt;0,ROUND($G643,2),"")</f>
        <v>15991.6</v>
      </c>
      <c r="I643" s="49" t="str">
        <f aca="false">IF(ROUND($G643,2)&lt;0,-ROUND($G643,2),"")</f>
        <v/>
      </c>
      <c r="J643" s="20" t="n">
        <f aca="false">IF(ROUND($G643,2)=0,0,1)</f>
        <v>1</v>
      </c>
      <c r="K643" s="20" t="n">
        <f aca="false">IF($J643=0,"",SUM($J$640:$J643))</f>
        <v>4</v>
      </c>
      <c r="L643" s="20" t="n">
        <f aca="false">IF($K643="","",$A643*100+$K643)</f>
        <v>3004</v>
      </c>
      <c r="M643" s="48" t="str">
        <f aca="false">参数!$B$3</f>
        <v>7月收入</v>
      </c>
    </row>
    <row r="644" customFormat="false" ht="13.5" hidden="false" customHeight="false" outlineLevel="0" collapsed="false">
      <c r="A644" s="47" t="n">
        <v>30</v>
      </c>
      <c r="B644" s="38" t="n">
        <f aca="false">助手收入!$B31</f>
        <v>2043</v>
      </c>
      <c r="C644" s="48" t="str">
        <f aca="false">助手收入!$C31</f>
        <v>博福店</v>
      </c>
      <c r="D644" s="48" t="str">
        <f aca="false">科目对照收入!$B6&amp;""</f>
        <v>医卡通</v>
      </c>
      <c r="E644" s="48" t="str">
        <f aca="false">IF(AND(ROUND($G644,2)&lt;0,科目对照收入!$L6&lt;&gt;""),科目对照收入!$L6,科目对照收入!$C6)&amp;""</f>
        <v>应收账款</v>
      </c>
      <c r="F644" s="48" t="str">
        <f aca="false">IF(AND(ROUND($G644,2)&lt;0,科目对照收入!$L6&lt;&gt;""),科目对照收入!$M6,科目对照收入!$D6)&amp;""</f>
        <v>医卡通</v>
      </c>
      <c r="G644" s="49" t="n">
        <f aca="false">IF(COUNTIFS(输入平台!$A:$A,助手收入!$X31,输入平台!$B:$B,科目对照收入!$B6)&gt;0,ROUND(SUMIFS(输入平台!$C:$C,输入平台!$A:$A,助手收入!$X31,输入平台!$B:$B,科目对照收入!$B6),2),ROUND(海典汇总!$I$32,2))</f>
        <v>0</v>
      </c>
      <c r="H644" s="49" t="str">
        <f aca="false">IF(ROUND($G644,2)&gt;0,ROUND($G644,2),"")</f>
        <v/>
      </c>
      <c r="I644" s="49" t="str">
        <f aca="false">IF(ROUND($G644,2)&lt;0,-ROUND($G644,2),"")</f>
        <v/>
      </c>
      <c r="J644" s="20" t="n">
        <f aca="false">IF(ROUND($G644,2)=0,0,1)</f>
        <v>0</v>
      </c>
      <c r="K644" s="20" t="str">
        <f aca="false">IF($J644=0,"",SUM($J$640:$J644))</f>
        <v/>
      </c>
      <c r="L644" s="20" t="str">
        <f aca="false">IF($K644="","",$A644*100+$K644)</f>
        <v/>
      </c>
      <c r="M644" s="48" t="str">
        <f aca="false">参数!$B$3</f>
        <v>7月收入</v>
      </c>
    </row>
    <row r="645" customFormat="false" ht="13.5" hidden="false" customHeight="false" outlineLevel="0" collapsed="false">
      <c r="A645" s="47" t="n">
        <v>30</v>
      </c>
      <c r="B645" s="38" t="n">
        <f aca="false">助手收入!$B31</f>
        <v>2043</v>
      </c>
      <c r="C645" s="48" t="str">
        <f aca="false">助手收入!$C31</f>
        <v>博福店</v>
      </c>
      <c r="D645" s="48" t="str">
        <f aca="false">科目对照收入!$B7&amp;""</f>
        <v>企健网</v>
      </c>
      <c r="E645" s="48" t="str">
        <f aca="false">IF(AND(ROUND($G645,2)&lt;0,科目对照收入!$L7&lt;&gt;""),科目对照收入!$L7,科目对照收入!$C7)&amp;""</f>
        <v>应收账款</v>
      </c>
      <c r="F645" s="48" t="str">
        <f aca="false">IF(AND(ROUND($G645,2)&lt;0,科目对照收入!$L7&lt;&gt;""),科目对照收入!$M7,科目对照收入!$D7)&amp;""</f>
        <v>企健网</v>
      </c>
      <c r="G645" s="49" t="n">
        <f aca="false">IF(COUNTIFS(输入平台!$A:$A,助手收入!$X31,输入平台!$B:$B,科目对照收入!$B7)&gt;0,ROUND(SUMIFS(输入平台!$C:$C,输入平台!$A:$A,助手收入!$X31,输入平台!$B:$B,科目对照收入!$B7),2),ROUND(海典汇总!$J$32,2))</f>
        <v>0</v>
      </c>
      <c r="H645" s="49" t="str">
        <f aca="false">IF(ROUND($G645,2)&gt;0,ROUND($G645,2),"")</f>
        <v/>
      </c>
      <c r="I645" s="49" t="str">
        <f aca="false">IF(ROUND($G645,2)&lt;0,-ROUND($G645,2),"")</f>
        <v/>
      </c>
      <c r="J645" s="20" t="n">
        <f aca="false">IF(ROUND($G645,2)=0,0,1)</f>
        <v>0</v>
      </c>
      <c r="K645" s="20" t="str">
        <f aca="false">IF($J645=0,"",SUM($J$640:$J645))</f>
        <v/>
      </c>
      <c r="L645" s="20" t="str">
        <f aca="false">IF($K645="","",$A645*100+$K645)</f>
        <v/>
      </c>
      <c r="M645" s="48" t="str">
        <f aca="false">参数!$B$3</f>
        <v>7月收入</v>
      </c>
    </row>
    <row r="646" customFormat="false" ht="13.5" hidden="false" customHeight="false" outlineLevel="0" collapsed="false">
      <c r="A646" s="47" t="n">
        <v>30</v>
      </c>
      <c r="B646" s="38" t="n">
        <f aca="false">助手收入!$B31</f>
        <v>2043</v>
      </c>
      <c r="C646" s="48" t="str">
        <f aca="false">助手收入!$C31</f>
        <v>博福店</v>
      </c>
      <c r="D646" s="48" t="str">
        <f aca="false">科目对照收入!$B8&amp;""</f>
        <v>亲情卡</v>
      </c>
      <c r="E646" s="48" t="str">
        <f aca="false">IF(AND(ROUND($G646,2)&lt;0,科目对照收入!$L8&lt;&gt;""),科目对照收入!$L8,科目对照收入!$C8)&amp;""</f>
        <v>应收账款</v>
      </c>
      <c r="F646" s="48" t="str">
        <f aca="false">IF(AND(ROUND($G646,2)&lt;0,科目对照收入!$L8&lt;&gt;""),科目对照收入!$M8,科目对照收入!$D8)&amp;""</f>
        <v>亲情卡</v>
      </c>
      <c r="G646" s="49" t="n">
        <f aca="false">IF(COUNTIFS(输入平台!$A:$A,助手收入!$X31,输入平台!$B:$B,科目对照收入!$B8)&gt;0,ROUND(SUMIFS(输入平台!$C:$C,输入平台!$A:$A,助手收入!$X31,输入平台!$B:$B,科目对照收入!$B8),2),ROUND(海典汇总!$Z$32,2))</f>
        <v>0</v>
      </c>
      <c r="H646" s="49" t="str">
        <f aca="false">IF(ROUND($G646,2)&gt;0,ROUND($G646,2),"")</f>
        <v/>
      </c>
      <c r="I646" s="49" t="str">
        <f aca="false">IF(ROUND($G646,2)&lt;0,-ROUND($G646,2),"")</f>
        <v/>
      </c>
      <c r="J646" s="20" t="n">
        <f aca="false">IF(ROUND($G646,2)=0,0,1)</f>
        <v>0</v>
      </c>
      <c r="K646" s="20" t="str">
        <f aca="false">IF($J646=0,"",SUM($J$640:$J646))</f>
        <v/>
      </c>
      <c r="L646" s="20" t="str">
        <f aca="false">IF($K646="","",$A646*100+$K646)</f>
        <v/>
      </c>
      <c r="M646" s="48" t="str">
        <f aca="false">参数!$B$3</f>
        <v>7月收入</v>
      </c>
    </row>
    <row r="647" customFormat="false" ht="13.5" hidden="false" customHeight="false" outlineLevel="0" collapsed="false">
      <c r="A647" s="47" t="n">
        <v>30</v>
      </c>
      <c r="B647" s="38" t="n">
        <f aca="false">助手收入!$B31</f>
        <v>2043</v>
      </c>
      <c r="C647" s="48" t="str">
        <f aca="false">助手收入!$C31</f>
        <v>博福店</v>
      </c>
      <c r="D647" s="48" t="str">
        <f aca="false">科目对照收入!$B9&amp;""</f>
        <v>24小时</v>
      </c>
      <c r="E647" s="48" t="str">
        <f aca="false">IF(AND(ROUND($G647,2)&lt;0,科目对照收入!$L9&lt;&gt;""),科目对照收入!$L9,科目对照收入!$C9)&amp;""</f>
        <v>应收账款</v>
      </c>
      <c r="F647" s="48" t="str">
        <f aca="false">IF(AND(ROUND($G647,2)&lt;0,科目对照收入!$L9&lt;&gt;""),科目对照收入!$M9,科目对照收入!$D9)&amp;""</f>
        <v>24小时</v>
      </c>
      <c r="G647" s="49" t="n">
        <f aca="false">IF(COUNTIFS(输入平台!$A:$A,助手收入!$X31,输入平台!$B:$B,科目对照收入!$B9)&gt;0,ROUND(SUMIFS(输入平台!$C:$C,输入平台!$A:$A,助手收入!$X31,输入平台!$B:$B,科目对照收入!$B9),2),ROUND(海典汇总!$K$32,2))</f>
        <v>2168.8</v>
      </c>
      <c r="H647" s="49" t="n">
        <f aca="false">IF(ROUND($G647,2)&gt;0,ROUND($G647,2),"")</f>
        <v>2168.8</v>
      </c>
      <c r="I647" s="49" t="str">
        <f aca="false">IF(ROUND($G647,2)&lt;0,-ROUND($G647,2),"")</f>
        <v/>
      </c>
      <c r="J647" s="20" t="n">
        <f aca="false">IF(ROUND($G647,2)=0,0,1)</f>
        <v>1</v>
      </c>
      <c r="K647" s="20" t="n">
        <f aca="false">IF($J647=0,"",SUM($J$640:$J647))</f>
        <v>5</v>
      </c>
      <c r="L647" s="20" t="n">
        <f aca="false">IF($K647="","",$A647*100+$K647)</f>
        <v>3005</v>
      </c>
      <c r="M647" s="48" t="str">
        <f aca="false">参数!$B$3</f>
        <v>7月收入</v>
      </c>
    </row>
    <row r="648" customFormat="false" ht="13.5" hidden="false" customHeight="false" outlineLevel="0" collapsed="false">
      <c r="A648" s="47" t="n">
        <v>30</v>
      </c>
      <c r="B648" s="38" t="n">
        <f aca="false">助手收入!$B31</f>
        <v>2043</v>
      </c>
      <c r="C648" s="48" t="str">
        <f aca="false">助手收入!$C31</f>
        <v>博福店</v>
      </c>
      <c r="D648" s="48" t="str">
        <f aca="false">科目对照收入!$B10&amp;""</f>
        <v>美团</v>
      </c>
      <c r="E648" s="48" t="str">
        <f aca="false">IF(AND(ROUND($G648,2)&lt;0,科目对照收入!$L10&lt;&gt;""),科目对照收入!$L10,科目对照收入!$C10)&amp;""</f>
        <v>应收账款</v>
      </c>
      <c r="F648" s="48" t="str">
        <f aca="false">IF(AND(ROUND($G648,2)&lt;0,科目对照收入!$L10&lt;&gt;""),科目对照收入!$M10,科目对照收入!$D10)&amp;""</f>
        <v>美团</v>
      </c>
      <c r="G648" s="49" t="n">
        <f aca="false">IF(COUNTIFS(输入平台!$A:$A,助手收入!$X31,输入平台!$B:$B,科目对照收入!$B10)&gt;0,ROUND(SUMIFS(输入平台!$C:$C,输入平台!$A:$A,助手收入!$X31,输入平台!$B:$B,科目对照收入!$B10),2),ROUND(海典汇总!$M$32,2))</f>
        <v>206.3</v>
      </c>
      <c r="H648" s="49" t="n">
        <f aca="false">IF(ROUND($G648,2)&gt;0,ROUND($G648,2),"")</f>
        <v>206.3</v>
      </c>
      <c r="I648" s="49" t="str">
        <f aca="false">IF(ROUND($G648,2)&lt;0,-ROUND($G648,2),"")</f>
        <v/>
      </c>
      <c r="J648" s="20" t="n">
        <f aca="false">IF(ROUND($G648,2)=0,0,1)</f>
        <v>1</v>
      </c>
      <c r="K648" s="20" t="n">
        <f aca="false">IF($J648=0,"",SUM($J$640:$J648))</f>
        <v>6</v>
      </c>
      <c r="L648" s="20" t="n">
        <f aca="false">IF($K648="","",$A648*100+$K648)</f>
        <v>3006</v>
      </c>
      <c r="M648" s="48" t="str">
        <f aca="false">参数!$B$3</f>
        <v>7月收入</v>
      </c>
    </row>
    <row r="649" customFormat="false" ht="13.5" hidden="false" customHeight="false" outlineLevel="0" collapsed="false">
      <c r="A649" s="47" t="n">
        <v>30</v>
      </c>
      <c r="B649" s="38" t="n">
        <f aca="false">助手收入!$B31</f>
        <v>2043</v>
      </c>
      <c r="C649" s="48" t="str">
        <f aca="false">助手收入!$C31</f>
        <v>博福店</v>
      </c>
      <c r="D649" s="48" t="str">
        <f aca="false">科目对照收入!$B11&amp;""</f>
        <v>饿了么</v>
      </c>
      <c r="E649" s="48" t="str">
        <f aca="false">IF(AND(ROUND($G649,2)&lt;0,科目对照收入!$L11&lt;&gt;""),科目对照收入!$L11,科目对照收入!$C11)&amp;""</f>
        <v>应收账款</v>
      </c>
      <c r="F649" s="48" t="str">
        <f aca="false">IF(AND(ROUND($G649,2)&lt;0,科目对照收入!$L11&lt;&gt;""),科目对照收入!$M11,科目对照收入!$D11)&amp;""</f>
        <v>饿了么</v>
      </c>
      <c r="G649" s="49" t="n">
        <f aca="false">IF(COUNTIFS(输入平台!$A:$A,助手收入!$X31,输入平台!$B:$B,科目对照收入!$B11)&gt;0,ROUND(SUMIFS(输入平台!$C:$C,输入平台!$A:$A,助手收入!$X31,输入平台!$B:$B,科目对照收入!$B11),2),ROUND(海典汇总!$N$32,2))</f>
        <v>0</v>
      </c>
      <c r="H649" s="49" t="str">
        <f aca="false">IF(ROUND($G649,2)&gt;0,ROUND($G649,2),"")</f>
        <v/>
      </c>
      <c r="I649" s="49" t="str">
        <f aca="false">IF(ROUND($G649,2)&lt;0,-ROUND($G649,2),"")</f>
        <v/>
      </c>
      <c r="J649" s="20" t="n">
        <f aca="false">IF(ROUND($G649,2)=0,0,1)</f>
        <v>0</v>
      </c>
      <c r="K649" s="20" t="str">
        <f aca="false">IF($J649=0,"",SUM($J$640:$J649))</f>
        <v/>
      </c>
      <c r="L649" s="20" t="str">
        <f aca="false">IF($K649="","",$A649*100+$K649)</f>
        <v/>
      </c>
      <c r="M649" s="48" t="str">
        <f aca="false">参数!$B$3</f>
        <v>7月收入</v>
      </c>
    </row>
    <row r="650" customFormat="false" ht="13.5" hidden="false" customHeight="false" outlineLevel="0" collapsed="false">
      <c r="A650" s="47" t="n">
        <v>30</v>
      </c>
      <c r="B650" s="38" t="n">
        <f aca="false">助手收入!$B31</f>
        <v>2043</v>
      </c>
      <c r="C650" s="48" t="str">
        <f aca="false">助手收入!$C31</f>
        <v>博福店</v>
      </c>
      <c r="D650" s="48" t="str">
        <f aca="false">科目对照收入!$B12&amp;""</f>
        <v>京东秒送</v>
      </c>
      <c r="E650" s="48" t="str">
        <f aca="false">IF(AND(ROUND($G650,2)&lt;0,科目对照收入!$L12&lt;&gt;""),科目对照收入!$L12,科目对照收入!$C12)&amp;""</f>
        <v>应收账款</v>
      </c>
      <c r="F650" s="48" t="str">
        <f aca="false">IF(AND(ROUND($G650,2)&lt;0,科目对照收入!$L12&lt;&gt;""),科目对照收入!$M12,科目对照收入!$D12)&amp;""</f>
        <v>京东秒送</v>
      </c>
      <c r="G650" s="49" t="n">
        <f aca="false">IF(COUNTIFS(输入平台!$A:$A,助手收入!$X31,输入平台!$B:$B,科目对照收入!$B12)&gt;0,ROUND(SUMIFS(输入平台!$C:$C,输入平台!$A:$A,助手收入!$X31,输入平台!$B:$B,科目对照收入!$B12),2),ROUND(海典汇总!$O$32,2))</f>
        <v>0</v>
      </c>
      <c r="H650" s="49" t="str">
        <f aca="false">IF(ROUND($G650,2)&gt;0,ROUND($G650,2),"")</f>
        <v/>
      </c>
      <c r="I650" s="49" t="str">
        <f aca="false">IF(ROUND($G650,2)&lt;0,-ROUND($G650,2),"")</f>
        <v/>
      </c>
      <c r="J650" s="20" t="n">
        <f aca="false">IF(ROUND($G650,2)=0,0,1)</f>
        <v>0</v>
      </c>
      <c r="K650" s="20" t="str">
        <f aca="false">IF($J650=0,"",SUM($J$640:$J650))</f>
        <v/>
      </c>
      <c r="L650" s="20" t="str">
        <f aca="false">IF($K650="","",$A650*100+$K650)</f>
        <v/>
      </c>
      <c r="M650" s="48" t="str">
        <f aca="false">参数!$B$3</f>
        <v>7月收入</v>
      </c>
    </row>
    <row r="651" customFormat="false" ht="13.5" hidden="false" customHeight="false" outlineLevel="0" collapsed="false">
      <c r="A651" s="47" t="n">
        <v>30</v>
      </c>
      <c r="B651" s="38" t="n">
        <f aca="false">助手收入!$B31</f>
        <v>2043</v>
      </c>
      <c r="C651" s="48" t="str">
        <f aca="false">助手收入!$C31</f>
        <v>博福店</v>
      </c>
      <c r="D651" s="48" t="str">
        <f aca="false">科目对照收入!$B13&amp;""</f>
        <v>银联</v>
      </c>
      <c r="E651" s="48" t="str">
        <f aca="false">IF(AND(ROUND($G651,2)&lt;0,科目对照收入!$L13&lt;&gt;""),科目对照收入!$L13,科目对照收入!$C13)&amp;""</f>
        <v>应收账款</v>
      </c>
      <c r="F651" s="48" t="str">
        <f aca="false">IF(AND(ROUND($G651,2)&lt;0,科目对照收入!$L13&lt;&gt;""),科目对照收入!$M13,科目对照收入!$D13)&amp;""</f>
        <v>银联</v>
      </c>
      <c r="G651" s="49" t="n">
        <f aca="false">IF(COUNTIFS(输入平台!$A:$A,助手收入!$X31,输入平台!$B:$B,科目对照收入!$B13)&gt;0,ROUND(SUMIFS(输入平台!$C:$C,输入平台!$A:$A,助手收入!$X31,输入平台!$B:$B,科目对照收入!$B13),2),ROUND(海典汇总!$V$32,2))</f>
        <v>0</v>
      </c>
      <c r="H651" s="49" t="str">
        <f aca="false">IF(ROUND($G651,2)&gt;0,ROUND($G651,2),"")</f>
        <v/>
      </c>
      <c r="I651" s="49" t="str">
        <f aca="false">IF(ROUND($G651,2)&lt;0,-ROUND($G651,2),"")</f>
        <v/>
      </c>
      <c r="J651" s="20" t="n">
        <f aca="false">IF(ROUND($G651,2)=0,0,1)</f>
        <v>0</v>
      </c>
      <c r="K651" s="20" t="str">
        <f aca="false">IF($J651=0,"",SUM($J$640:$J651))</f>
        <v/>
      </c>
      <c r="L651" s="20" t="str">
        <f aca="false">IF($K651="","",$A651*100+$K651)</f>
        <v/>
      </c>
      <c r="M651" s="48" t="str">
        <f aca="false">参数!$B$3</f>
        <v>7月收入</v>
      </c>
    </row>
    <row r="652" customFormat="false" ht="13.5" hidden="false" customHeight="false" outlineLevel="0" collapsed="false">
      <c r="A652" s="47" t="n">
        <v>30</v>
      </c>
      <c r="B652" s="38" t="n">
        <f aca="false">助手收入!$B31</f>
        <v>2043</v>
      </c>
      <c r="C652" s="48" t="str">
        <f aca="false">助手收入!$C31</f>
        <v>博福店</v>
      </c>
      <c r="D652" s="48" t="str">
        <f aca="false">科目对照收入!$B14&amp;""</f>
        <v>小镇外卖</v>
      </c>
      <c r="E652" s="48" t="str">
        <f aca="false">IF(AND(ROUND($G652,2)&lt;0,科目对照收入!$L14&lt;&gt;""),科目对照收入!$L14,科目对照收入!$C14)&amp;""</f>
        <v>应收账款</v>
      </c>
      <c r="F652" s="48" t="str">
        <f aca="false">IF(AND(ROUND($G652,2)&lt;0,科目对照收入!$L14&lt;&gt;""),科目对照收入!$M14,科目对照收入!$D14)&amp;""</f>
        <v>小镇外卖</v>
      </c>
      <c r="G652" s="49" t="n">
        <f aca="false">IF(COUNTIFS(输入平台!$A:$A,助手收入!$X31,输入平台!$B:$B,科目对照收入!$B14)&gt;0,ROUND(SUMIFS(输入平台!$C:$C,输入平台!$A:$A,助手收入!$X31,输入平台!$B:$B,科目对照收入!$B14),2),ROUND(海典汇总!$AC$32,2))</f>
        <v>0</v>
      </c>
      <c r="H652" s="49" t="str">
        <f aca="false">IF(ROUND($G652,2)&gt;0,ROUND($G652,2),"")</f>
        <v/>
      </c>
      <c r="I652" s="49" t="str">
        <f aca="false">IF(ROUND($G652,2)&lt;0,-ROUND($G652,2),"")</f>
        <v/>
      </c>
      <c r="J652" s="20" t="n">
        <f aca="false">IF(ROUND($G652,2)=0,0,1)</f>
        <v>0</v>
      </c>
      <c r="K652" s="20" t="str">
        <f aca="false">IF($J652=0,"",SUM($J$640:$J652))</f>
        <v/>
      </c>
      <c r="L652" s="20" t="str">
        <f aca="false">IF($K652="","",$A652*100+$K652)</f>
        <v/>
      </c>
      <c r="M652" s="48" t="str">
        <f aca="false">参数!$B$3</f>
        <v>7月收入</v>
      </c>
    </row>
    <row r="653" customFormat="false" ht="13.5" hidden="false" customHeight="false" outlineLevel="0" collapsed="false">
      <c r="A653" s="47" t="n">
        <v>30</v>
      </c>
      <c r="B653" s="38" t="n">
        <f aca="false">助手收入!$B31</f>
        <v>2043</v>
      </c>
      <c r="C653" s="48" t="str">
        <f aca="false">助手收入!$C31</f>
        <v>博福店</v>
      </c>
      <c r="D653" s="48" t="str">
        <f aca="false">科目对照收入!$B15&amp;""</f>
        <v>OMS线上支付</v>
      </c>
      <c r="E653" s="48" t="str">
        <f aca="false">IF(AND(ROUND($G653,2)&lt;0,科目对照收入!$L15&lt;&gt;""),科目对照收入!$L15,科目对照收入!$C15)&amp;""</f>
        <v>应收账款</v>
      </c>
      <c r="F653" s="48" t="str">
        <f aca="false">IF(AND(ROUND($G653,2)&lt;0,科目对照收入!$L15&lt;&gt;""),科目对照收入!$M15,科目对照收入!$D15)&amp;""</f>
        <v>OMS线上</v>
      </c>
      <c r="G653" s="49" t="n">
        <f aca="false">IF(COUNTIFS(输入平台!$A:$A,助手收入!$X31,输入平台!$B:$B,科目对照收入!$B15)&gt;0,ROUND(SUMIFS(输入平台!$C:$C,输入平台!$A:$A,助手收入!$X31,输入平台!$B:$B,科目对照收入!$B15),2),ROUND(海典汇总!$L$32,2))</f>
        <v>0</v>
      </c>
      <c r="H653" s="49" t="str">
        <f aca="false">IF(ROUND($G653,2)&gt;0,ROUND($G653,2),"")</f>
        <v/>
      </c>
      <c r="I653" s="49" t="str">
        <f aca="false">IF(ROUND($G653,2)&lt;0,-ROUND($G653,2),"")</f>
        <v/>
      </c>
      <c r="J653" s="20" t="n">
        <f aca="false">IF(ROUND($G653,2)=0,0,1)</f>
        <v>0</v>
      </c>
      <c r="K653" s="20" t="str">
        <f aca="false">IF($J653=0,"",SUM($J$640:$J653))</f>
        <v/>
      </c>
      <c r="L653" s="20" t="str">
        <f aca="false">IF($K653="","",$A653*100+$K653)</f>
        <v/>
      </c>
      <c r="M653" s="48" t="str">
        <f aca="false">参数!$B$3</f>
        <v>7月收入</v>
      </c>
    </row>
    <row r="654" customFormat="false" ht="13.5" hidden="false" customHeight="false" outlineLevel="0" collapsed="false">
      <c r="A654" s="47" t="n">
        <v>30</v>
      </c>
      <c r="B654" s="38" t="n">
        <f aca="false">助手收入!$B31</f>
        <v>2043</v>
      </c>
      <c r="C654" s="48" t="str">
        <f aca="false">助手收入!$C31</f>
        <v>博福店</v>
      </c>
      <c r="D654" s="48" t="str">
        <f aca="false">科目对照收入!$B16&amp;""</f>
        <v>平安药卡</v>
      </c>
      <c r="E654" s="48" t="str">
        <f aca="false">IF(AND(ROUND($G654,2)&lt;0,科目对照收入!$L16&lt;&gt;""),科目对照收入!$L16,科目对照收入!$C16)&amp;""</f>
        <v>应收账款</v>
      </c>
      <c r="F654" s="48" t="str">
        <f aca="false">IF(AND(ROUND($G654,2)&lt;0,科目对照收入!$L16&lt;&gt;""),科目对照收入!$M16,科目对照收入!$D16)&amp;""</f>
        <v>平安</v>
      </c>
      <c r="G654" s="49" t="n">
        <f aca="false">IF(COUNTIFS(输入平台!$A:$A,助手收入!$X31,输入平台!$B:$B,科目对照收入!$B16)&gt;0,ROUND(SUMIFS(输入平台!$C:$C,输入平台!$A:$A,助手收入!$X31,输入平台!$B:$B,科目对照收入!$B16),2),ROUND(海典汇总!$AB$32,2))</f>
        <v>0</v>
      </c>
      <c r="H654" s="49" t="str">
        <f aca="false">IF(ROUND($G654,2)&gt;0,ROUND($G654,2),"")</f>
        <v/>
      </c>
      <c r="I654" s="49" t="str">
        <f aca="false">IF(ROUND($G654,2)&lt;0,-ROUND($G654,2),"")</f>
        <v/>
      </c>
      <c r="J654" s="20" t="n">
        <f aca="false">IF(ROUND($G654,2)=0,0,1)</f>
        <v>0</v>
      </c>
      <c r="K654" s="20" t="str">
        <f aca="false">IF($J654=0,"",SUM($J$640:$J654))</f>
        <v/>
      </c>
      <c r="L654" s="20" t="str">
        <f aca="false">IF($K654="","",$A654*100+$K654)</f>
        <v/>
      </c>
      <c r="M654" s="48" t="str">
        <f aca="false">参数!$B$3</f>
        <v>7月收入</v>
      </c>
    </row>
    <row r="655" customFormat="false" ht="13.5" hidden="false" customHeight="false" outlineLevel="0" collapsed="false">
      <c r="A655" s="47" t="n">
        <v>30</v>
      </c>
      <c r="B655" s="38" t="n">
        <f aca="false">助手收入!$B31</f>
        <v>2043</v>
      </c>
      <c r="C655" s="48" t="str">
        <f aca="false">助手收入!$C31</f>
        <v>博福店</v>
      </c>
      <c r="D655" s="48" t="str">
        <f aca="false">科目对照收入!$B17&amp;""</f>
        <v>储值卡</v>
      </c>
      <c r="E655" s="48" t="str">
        <f aca="false">IF(AND(ROUND($G655,2)&lt;0,科目对照收入!$L17&lt;&gt;""),科目对照收入!$L17,科目对照收入!$C17)&amp;""</f>
        <v>其他应收款</v>
      </c>
      <c r="F655" s="48" t="str">
        <f aca="false">IF(AND(ROUND($G655,2)&lt;0,科目对照收入!$L17&lt;&gt;""),科目对照收入!$M17,科目对照收入!$D17)&amp;""</f>
        <v>储值卡</v>
      </c>
      <c r="G655" s="49" t="n">
        <f aca="false">ROUND(海典汇总!$Q$32,2)</f>
        <v>8652.19</v>
      </c>
      <c r="H655" s="49" t="n">
        <f aca="false">IF(ROUND($G655,2)&gt;0,ROUND($G655,2),"")</f>
        <v>8652.19</v>
      </c>
      <c r="I655" s="49" t="str">
        <f aca="false">IF(ROUND($G655,2)&lt;0,-ROUND($G655,2),"")</f>
        <v/>
      </c>
      <c r="J655" s="20" t="n">
        <f aca="false">IF(ROUND($G655,2)=0,0,1)</f>
        <v>1</v>
      </c>
      <c r="K655" s="20" t="n">
        <f aca="false">IF($J655=0,"",SUM($J$640:$J655))</f>
        <v>7</v>
      </c>
      <c r="L655" s="20" t="n">
        <f aca="false">IF($K655="","",$A655*100+$K655)</f>
        <v>3007</v>
      </c>
      <c r="M655" s="48" t="str">
        <f aca="false">参数!$B$3</f>
        <v>7月收入</v>
      </c>
    </row>
    <row r="656" customFormat="false" ht="13.5" hidden="false" customHeight="false" outlineLevel="0" collapsed="false">
      <c r="A656" s="47" t="n">
        <v>30</v>
      </c>
      <c r="B656" s="38" t="n">
        <f aca="false">助手收入!$B31</f>
        <v>2043</v>
      </c>
      <c r="C656" s="48" t="str">
        <f aca="false">助手收入!$C31</f>
        <v>博福店</v>
      </c>
      <c r="D656" s="48" t="str">
        <f aca="false">科目对照收入!$B18&amp;""</f>
        <v>会员零钱包</v>
      </c>
      <c r="E656" s="48" t="str">
        <f aca="false">IF(AND(ROUND($G656,2)&lt;0,科目对照收入!$L18&lt;&gt;""),科目对照收入!$L18,科目对照收入!$C18)&amp;""</f>
        <v>其他应收款</v>
      </c>
      <c r="F656" s="48" t="str">
        <f aca="false">IF(AND(ROUND($G656,2)&lt;0,科目对照收入!$L18&lt;&gt;""),科目对照收入!$M18,科目对照收入!$D18)&amp;""</f>
        <v>会员零钱包</v>
      </c>
      <c r="G656" s="49" t="n">
        <f aca="false">ROUND(海典汇总!$P$32,2)</f>
        <v>0</v>
      </c>
      <c r="H656" s="49" t="str">
        <f aca="false">IF(ROUND($G656,2)&gt;0,ROUND($G656,2),"")</f>
        <v/>
      </c>
      <c r="I656" s="49" t="str">
        <f aca="false">IF(ROUND($G656,2)&lt;0,-ROUND($G656,2),"")</f>
        <v/>
      </c>
      <c r="J656" s="20" t="n">
        <f aca="false">IF(ROUND($G656,2)=0,0,1)</f>
        <v>0</v>
      </c>
      <c r="K656" s="20" t="str">
        <f aca="false">IF($J656=0,"",SUM($J$640:$J656))</f>
        <v/>
      </c>
      <c r="L656" s="20" t="str">
        <f aca="false">IF($K656="","",$A656*100+$K656)</f>
        <v/>
      </c>
      <c r="M656" s="48" t="str">
        <f aca="false">参数!$B$3</f>
        <v>7月收入</v>
      </c>
    </row>
    <row r="657" customFormat="false" ht="13.5" hidden="false" customHeight="false" outlineLevel="0" collapsed="false">
      <c r="A657" s="47" t="n">
        <v>30</v>
      </c>
      <c r="B657" s="38" t="n">
        <f aca="false">助手收入!$B31</f>
        <v>2043</v>
      </c>
      <c r="C657" s="48" t="str">
        <f aca="false">助手收入!$C31</f>
        <v>博福店</v>
      </c>
      <c r="D657" s="48" t="str">
        <f aca="false">科目对照收入!$B19&amp;""</f>
        <v>促销费</v>
      </c>
      <c r="E657" s="48" t="str">
        <f aca="false">IF(AND(ROUND($G657,2)&lt;0,科目对照收入!$L19&lt;&gt;""),科目对照收入!$L19,科目对照收入!$C19)&amp;""</f>
        <v>销售费用</v>
      </c>
      <c r="F657" s="48" t="str">
        <f aca="false">IF(AND(ROUND($G657,2)&lt;0,科目对照收入!$L19&lt;&gt;""),科目对照收入!$M19,科目对照收入!$D19)&amp;""</f>
        <v>促销费</v>
      </c>
      <c r="G657" s="49" t="n">
        <f aca="false">ROUND(海典汇总!$U$32+海典汇总!$T$32+海典汇总!$S$32,2)</f>
        <v>932.1</v>
      </c>
      <c r="H657" s="49" t="n">
        <f aca="false">IF(ROUND($G657,2)&gt;0,ROUND($G657,2),"")</f>
        <v>932.1</v>
      </c>
      <c r="I657" s="49" t="str">
        <f aca="false">IF(ROUND($G657,2)&lt;0,-ROUND($G657,2),"")</f>
        <v/>
      </c>
      <c r="J657" s="20" t="n">
        <f aca="false">IF(ROUND($G657,2)=0,0,1)</f>
        <v>1</v>
      </c>
      <c r="K657" s="20" t="n">
        <f aca="false">IF($J657=0,"",SUM($J$640:$J657))</f>
        <v>8</v>
      </c>
      <c r="L657" s="20" t="n">
        <f aca="false">IF($K657="","",$A657*100+$K657)</f>
        <v>3008</v>
      </c>
      <c r="M657" s="48" t="str">
        <f aca="false">参数!$B$3</f>
        <v>7月收入</v>
      </c>
    </row>
    <row r="658" customFormat="false" ht="13.5" hidden="false" customHeight="false" outlineLevel="0" collapsed="false">
      <c r="A658" s="47" t="n">
        <v>30</v>
      </c>
      <c r="B658" s="38" t="n">
        <f aca="false">助手收入!$B31</f>
        <v>2043</v>
      </c>
      <c r="C658" s="48" t="str">
        <f aca="false">助手收入!$C31</f>
        <v>博福店</v>
      </c>
      <c r="D658" s="48" t="str">
        <f aca="false">科目对照收入!$B20&amp;""</f>
        <v>积分</v>
      </c>
      <c r="E658" s="48" t="str">
        <f aca="false">IF(AND(ROUND($G658,2)&lt;0,科目对照收入!$L20&lt;&gt;""),科目对照收入!$L20,科目对照收入!$C20)&amp;""</f>
        <v>销售费用</v>
      </c>
      <c r="F658" s="48" t="str">
        <f aca="false">IF(AND(ROUND($G658,2)&lt;0,科目对照收入!$L20&lt;&gt;""),科目对照收入!$M20,科目对照收入!$D20)&amp;""</f>
        <v>积分</v>
      </c>
      <c r="G658" s="49" t="n">
        <f aca="false">ROUND(海典汇总!$R$32,2)</f>
        <v>0</v>
      </c>
      <c r="H658" s="49" t="str">
        <f aca="false">IF(ROUND($G658,2)&gt;0,ROUND($G658,2),"")</f>
        <v/>
      </c>
      <c r="I658" s="49" t="str">
        <f aca="false">IF(ROUND($G658,2)&lt;0,-ROUND($G658,2),"")</f>
        <v/>
      </c>
      <c r="J658" s="20" t="n">
        <f aca="false">IF(ROUND($G658,2)=0,0,1)</f>
        <v>0</v>
      </c>
      <c r="K658" s="20" t="str">
        <f aca="false">IF($J658=0,"",SUM($J$640:$J658))</f>
        <v/>
      </c>
      <c r="L658" s="20" t="str">
        <f aca="false">IF($K658="","",$A658*100+$K658)</f>
        <v/>
      </c>
      <c r="M658" s="48" t="str">
        <f aca="false">参数!$B$3</f>
        <v>7月收入</v>
      </c>
    </row>
    <row r="659" customFormat="false" ht="13.5" hidden="false" customHeight="false" outlineLevel="0" collapsed="false">
      <c r="A659" s="47" t="n">
        <v>30</v>
      </c>
      <c r="B659" s="38" t="n">
        <f aca="false">助手收入!$B31</f>
        <v>2043</v>
      </c>
      <c r="C659" s="48" t="str">
        <f aca="false">助手收入!$C31</f>
        <v>博福店</v>
      </c>
      <c r="D659" s="48" t="str">
        <f aca="false">科目对照收入!$B21&amp;""</f>
        <v>手续费</v>
      </c>
      <c r="E659" s="48" t="str">
        <f aca="false">IF(AND(ROUND($G659,2)&lt;0,科目对照收入!$L21&lt;&gt;""),科目对照收入!$L21,科目对照收入!$C21)&amp;""</f>
        <v>财务费用</v>
      </c>
      <c r="F659" s="48" t="str">
        <f aca="false">IF(AND(ROUND($G659,2)&lt;0,科目对照收入!$L21&lt;&gt;""),科目对照收入!$M21,科目对照收入!$D21)&amp;""</f>
        <v>手续费</v>
      </c>
      <c r="G659" s="49" t="n">
        <f aca="false">ROUND(SUMIFS(输入聚合!$D:$D,输入聚合!$A:$A,助手收入!$X31),2)</f>
        <v>71.34</v>
      </c>
      <c r="H659" s="49" t="n">
        <f aca="false">IF(ROUND($G659,2)&gt;0,ROUND($G659,2),"")</f>
        <v>71.34</v>
      </c>
      <c r="I659" s="49" t="str">
        <f aca="false">IF(ROUND($G659,2)&lt;0,-ROUND($G659,2),"")</f>
        <v/>
      </c>
      <c r="J659" s="20" t="n">
        <f aca="false">IF(ROUND($G659,2)=0,0,1)</f>
        <v>1</v>
      </c>
      <c r="K659" s="20" t="n">
        <f aca="false">IF($J659=0,"",SUM($J$640:$J659))</f>
        <v>9</v>
      </c>
      <c r="L659" s="20" t="n">
        <f aca="false">IF($K659="","",$A659*100+$K659)</f>
        <v>3009</v>
      </c>
      <c r="M659" s="48" t="str">
        <f aca="false">参数!$B$3</f>
        <v>7月收入</v>
      </c>
    </row>
    <row r="660" customFormat="false" ht="13.5" hidden="false" customHeight="false" outlineLevel="0" collapsed="false">
      <c r="A660" s="47" t="n">
        <v>30</v>
      </c>
      <c r="B660" s="38" t="n">
        <f aca="false">助手收入!$B31</f>
        <v>2043</v>
      </c>
      <c r="C660" s="48" t="str">
        <f aca="false">助手收入!$C31</f>
        <v>博福店</v>
      </c>
      <c r="D660" s="48" t="str">
        <f aca="false">科目对照收入!$B22&amp;""</f>
        <v>主营业务收入</v>
      </c>
      <c r="E660" s="48" t="str">
        <f aca="false">IF(AND(ROUND($G660,2)&lt;0,科目对照收入!$L22&lt;&gt;""),科目对照收入!$L22,科目对照收入!$C22)&amp;""</f>
        <v>主营业务收入</v>
      </c>
      <c r="F660" s="48" t="str">
        <f aca="false">IF(AND(ROUND($G660,2)&lt;0,科目对照收入!$L22&lt;&gt;""),科目对照收入!$M22,科目对照收入!$D22)&amp;""</f>
        <v/>
      </c>
      <c r="G660" s="49" t="n">
        <f aca="false">-ROUND(助手收入!$G31,2)</f>
        <v>-70205.75</v>
      </c>
      <c r="H660" s="49" t="str">
        <f aca="false">IF(ROUND($G660,2)&gt;0,ROUND($G660,2),"")</f>
        <v/>
      </c>
      <c r="I660" s="49" t="n">
        <f aca="false">IF(ROUND($G660,2)&lt;0,-ROUND($G660,2),"")</f>
        <v>70205.75</v>
      </c>
      <c r="J660" s="20" t="n">
        <f aca="false">IF(ROUND($G660,2)=0,0,1)</f>
        <v>1</v>
      </c>
      <c r="K660" s="20" t="n">
        <f aca="false">IF($J660=0,"",SUM($J$640:$J660))</f>
        <v>10</v>
      </c>
      <c r="L660" s="20" t="n">
        <f aca="false">IF($K660="","",$A660*100+$K660)</f>
        <v>3010</v>
      </c>
      <c r="M660" s="48" t="str">
        <f aca="false">参数!$B$3</f>
        <v>7月收入</v>
      </c>
    </row>
    <row r="661" customFormat="false" ht="13.5" hidden="false" customHeight="false" outlineLevel="0" collapsed="false">
      <c r="A661" s="47" t="n">
        <v>30</v>
      </c>
      <c r="B661" s="38" t="n">
        <f aca="false">助手收入!$B31</f>
        <v>2043</v>
      </c>
      <c r="C661" s="48" t="str">
        <f aca="false">助手收入!$C31</f>
        <v>博福店</v>
      </c>
      <c r="D661" s="48" t="str">
        <f aca="false">科目对照收入!$B23&amp;""</f>
        <v>营业外收入</v>
      </c>
      <c r="E661" s="48" t="str">
        <f aca="false">IF(AND(ROUND($G661,2)&lt;0,科目对照收入!$L23&lt;&gt;""),科目对照收入!$L23,科目对照收入!$C23)&amp;""</f>
        <v>营业外收入</v>
      </c>
      <c r="F661" s="48" t="str">
        <f aca="false">IF(AND(ROUND($G661,2)&lt;0,科目对照收入!$L23&lt;&gt;""),科目对照收入!$M23,科目对照收入!$D23)&amp;""</f>
        <v/>
      </c>
      <c r="G661" s="49" t="n">
        <f aca="false">-ROUND(助手收入!$J31,2)</f>
        <v>-0</v>
      </c>
      <c r="H661" s="49" t="str">
        <f aca="false">IF(ROUND($G661,2)&gt;0,ROUND($G661,2),"")</f>
        <v/>
      </c>
      <c r="I661" s="49" t="str">
        <f aca="false">IF(ROUND($G661,2)&lt;0,-ROUND($G661,2),"")</f>
        <v/>
      </c>
      <c r="J661" s="20" t="n">
        <f aca="false">IF(ROUND($G661,2)=0,0,1)</f>
        <v>0</v>
      </c>
      <c r="K661" s="20" t="str">
        <f aca="false">IF($J661=0,"",SUM($J$640:$J661))</f>
        <v/>
      </c>
      <c r="L661" s="20" t="str">
        <f aca="false">IF($K661="","",$A661*100+$K661)</f>
        <v/>
      </c>
      <c r="M661" s="48" t="str">
        <f aca="false">参数!$B$3</f>
        <v>7月收入</v>
      </c>
    </row>
    <row r="662" customFormat="false" ht="13.5" hidden="false" customHeight="false" outlineLevel="0" collapsed="false">
      <c r="A662" s="47" t="n">
        <v>31</v>
      </c>
      <c r="B662" s="38" t="n">
        <f aca="false">助手收入!$B32</f>
        <v>2044</v>
      </c>
      <c r="C662" s="48" t="str">
        <f aca="false">助手收入!$C32</f>
        <v>博营店</v>
      </c>
      <c r="D662" s="48" t="str">
        <f aca="false">科目对照收入!$B2&amp;""</f>
        <v>库存现金</v>
      </c>
      <c r="E662" s="48" t="str">
        <f aca="false">IF(AND(ROUND($G662,2)&lt;0,科目对照收入!$L2&lt;&gt;""),科目对照收入!$L2,科目对照收入!$C2)&amp;""</f>
        <v>库存现金</v>
      </c>
      <c r="F662" s="48" t="str">
        <f aca="false">IF(AND(ROUND($G662,2)&lt;0,科目对照收入!$L2&lt;&gt;""),科目对照收入!$M2,科目对照收入!$D2)&amp;""</f>
        <v/>
      </c>
      <c r="G662" s="49" t="n">
        <f aca="false">助手收入!$I32</f>
        <v>14656.89</v>
      </c>
      <c r="H662" s="49" t="n">
        <f aca="false">IF(ROUND($G662,2)&gt;0,ROUND($G662,2),"")</f>
        <v>14656.89</v>
      </c>
      <c r="I662" s="49" t="str">
        <f aca="false">IF(ROUND($G662,2)&lt;0,-ROUND($G662,2),"")</f>
        <v/>
      </c>
      <c r="J662" s="20" t="n">
        <f aca="false">IF(ROUND($G662,2)=0,0,1)</f>
        <v>1</v>
      </c>
      <c r="K662" s="20" t="n">
        <f aca="false">IF($J662=0,"",SUM($J$662:$J662))</f>
        <v>1</v>
      </c>
      <c r="L662" s="20" t="n">
        <f aca="false">IF($K662="","",$A662*100+$K662)</f>
        <v>3101</v>
      </c>
      <c r="M662" s="48" t="str">
        <f aca="false">参数!$B$3</f>
        <v>7月收入</v>
      </c>
    </row>
    <row r="663" customFormat="false" ht="13.5" hidden="false" customHeight="false" outlineLevel="0" collapsed="false">
      <c r="A663" s="47" t="n">
        <v>31</v>
      </c>
      <c r="B663" s="38" t="n">
        <f aca="false">助手收入!$B32</f>
        <v>2044</v>
      </c>
      <c r="C663" s="48" t="str">
        <f aca="false">助手收入!$C32</f>
        <v>博营店</v>
      </c>
      <c r="D663" s="48" t="str">
        <f aca="false">科目对照收入!$B3&amp;""</f>
        <v>聚合支付</v>
      </c>
      <c r="E663" s="48" t="str">
        <f aca="false">IF(AND(ROUND($G663,2)&lt;0,科目对照收入!$L3&lt;&gt;""),科目对照收入!$L3,科目对照收入!$C3)&amp;""</f>
        <v>应收账款</v>
      </c>
      <c r="F663" s="48" t="str">
        <f aca="false">IF(AND(ROUND($G663,2)&lt;0,科目对照收入!$L3&lt;&gt;""),科目对照收入!$M3,科目对照收入!$D3)&amp;""</f>
        <v>聚合支付</v>
      </c>
      <c r="G663" s="49" t="n">
        <f aca="false">ROUND(SUMIFS(输入聚合!$C:$C,输入聚合!$A:$A,助手收入!$X32)-SUMIFS(输入聚合!$D:$D,输入聚合!$A:$A,助手收入!$X32),2)</f>
        <v>20989.94</v>
      </c>
      <c r="H663" s="49" t="n">
        <f aca="false">IF(ROUND($G663,2)&gt;0,ROUND($G663,2),"")</f>
        <v>20989.94</v>
      </c>
      <c r="I663" s="49" t="str">
        <f aca="false">IF(ROUND($G663,2)&lt;0,-ROUND($G663,2),"")</f>
        <v/>
      </c>
      <c r="J663" s="20" t="n">
        <f aca="false">IF(ROUND($G663,2)=0,0,1)</f>
        <v>1</v>
      </c>
      <c r="K663" s="20" t="n">
        <f aca="false">IF($J663=0,"",SUM($J$662:$J663))</f>
        <v>2</v>
      </c>
      <c r="L663" s="20" t="n">
        <f aca="false">IF($K663="","",$A663*100+$K663)</f>
        <v>3102</v>
      </c>
      <c r="M663" s="48" t="str">
        <f aca="false">参数!$B$3</f>
        <v>7月收入</v>
      </c>
    </row>
    <row r="664" customFormat="false" ht="13.5" hidden="false" customHeight="false" outlineLevel="0" collapsed="false">
      <c r="A664" s="47" t="n">
        <v>31</v>
      </c>
      <c r="B664" s="38" t="n">
        <f aca="false">助手收入!$B32</f>
        <v>2044</v>
      </c>
      <c r="C664" s="48" t="str">
        <f aca="false">助手收入!$C32</f>
        <v>博营店</v>
      </c>
      <c r="D664" s="48" t="str">
        <f aca="false">科目对照收入!$B4&amp;""</f>
        <v>医保</v>
      </c>
      <c r="E664" s="48" t="str">
        <f aca="false">IF(AND(ROUND($G664,2)&lt;0,科目对照收入!$L4&lt;&gt;""),科目对照收入!$L4,科目对照收入!$C4)&amp;""</f>
        <v>应收账款</v>
      </c>
      <c r="F664" s="48" t="str">
        <f aca="false">IF(AND(ROUND($G664,2)&lt;0,科目对照收入!$L4&lt;&gt;""),科目对照收入!$M4,科目对照收入!$D4)&amp;""</f>
        <v>医保</v>
      </c>
      <c r="G664" s="49" t="n">
        <f aca="false">IF(COUNTIFS(输入平台!$A:$A,助手收入!$X32,输入平台!$B:$B,科目对照收入!$B4)&gt;0,ROUND(SUMIFS(输入平台!$C:$C,输入平台!$A:$A,助手收入!$X32,输入平台!$B:$B,科目对照收入!$B4),2),ROUND(海典汇总!$F$33+海典汇总!$G$33,2))</f>
        <v>0</v>
      </c>
      <c r="H664" s="49" t="str">
        <f aca="false">IF(ROUND($G664,2)&gt;0,ROUND($G664,2),"")</f>
        <v/>
      </c>
      <c r="I664" s="49" t="str">
        <f aca="false">IF(ROUND($G664,2)&lt;0,-ROUND($G664,2),"")</f>
        <v/>
      </c>
      <c r="J664" s="20" t="n">
        <f aca="false">IF(ROUND($G664,2)=0,0,1)</f>
        <v>0</v>
      </c>
      <c r="K664" s="20" t="str">
        <f aca="false">IF($J664=0,"",SUM($J$662:$J664))</f>
        <v/>
      </c>
      <c r="L664" s="20" t="str">
        <f aca="false">IF($K664="","",$A664*100+$K664)</f>
        <v/>
      </c>
      <c r="M664" s="48" t="str">
        <f aca="false">参数!$B$3</f>
        <v>7月收入</v>
      </c>
    </row>
    <row r="665" customFormat="false" ht="13.5" hidden="false" customHeight="false" outlineLevel="0" collapsed="false">
      <c r="A665" s="47" t="n">
        <v>31</v>
      </c>
      <c r="B665" s="38" t="n">
        <f aca="false">助手收入!$B32</f>
        <v>2044</v>
      </c>
      <c r="C665" s="48" t="str">
        <f aca="false">助手收入!$C32</f>
        <v>博营店</v>
      </c>
      <c r="D665" s="48" t="str">
        <f aca="false">科目对照收入!$B5&amp;""</f>
        <v>健e卡</v>
      </c>
      <c r="E665" s="48" t="str">
        <f aca="false">IF(AND(ROUND($G665,2)&lt;0,科目对照收入!$L5&lt;&gt;""),科目对照收入!$L5,科目对照收入!$C5)&amp;""</f>
        <v>应收账款</v>
      </c>
      <c r="F665" s="48" t="str">
        <f aca="false">IF(AND(ROUND($G665,2)&lt;0,科目对照收入!$L5&lt;&gt;""),科目对照收入!$M5,科目对照收入!$D5)&amp;""</f>
        <v>健e卡</v>
      </c>
      <c r="G665" s="49" t="n">
        <f aca="false">IF(COUNTIFS(输入平台!$A:$A,助手收入!$X32,输入平台!$B:$B,科目对照收入!$B5)&gt;0,ROUND(SUMIFS(输入平台!$C:$C,输入平台!$A:$A,助手收入!$X32,输入平台!$B:$B,科目对照收入!$B5),2),ROUND(海典汇总!$H$33,2))</f>
        <v>0</v>
      </c>
      <c r="H665" s="49" t="str">
        <f aca="false">IF(ROUND($G665,2)&gt;0,ROUND($G665,2),"")</f>
        <v/>
      </c>
      <c r="I665" s="49" t="str">
        <f aca="false">IF(ROUND($G665,2)&lt;0,-ROUND($G665,2),"")</f>
        <v/>
      </c>
      <c r="J665" s="20" t="n">
        <f aca="false">IF(ROUND($G665,2)=0,0,1)</f>
        <v>0</v>
      </c>
      <c r="K665" s="20" t="str">
        <f aca="false">IF($J665=0,"",SUM($J$662:$J665))</f>
        <v/>
      </c>
      <c r="L665" s="20" t="str">
        <f aca="false">IF($K665="","",$A665*100+$K665)</f>
        <v/>
      </c>
      <c r="M665" s="48" t="str">
        <f aca="false">参数!$B$3</f>
        <v>7月收入</v>
      </c>
    </row>
    <row r="666" customFormat="false" ht="13.5" hidden="false" customHeight="false" outlineLevel="0" collapsed="false">
      <c r="A666" s="47" t="n">
        <v>31</v>
      </c>
      <c r="B666" s="38" t="n">
        <f aca="false">助手收入!$B32</f>
        <v>2044</v>
      </c>
      <c r="C666" s="48" t="str">
        <f aca="false">助手收入!$C32</f>
        <v>博营店</v>
      </c>
      <c r="D666" s="48" t="str">
        <f aca="false">科目对照收入!$B6&amp;""</f>
        <v>医卡通</v>
      </c>
      <c r="E666" s="48" t="str">
        <f aca="false">IF(AND(ROUND($G666,2)&lt;0,科目对照收入!$L6&lt;&gt;""),科目对照收入!$L6,科目对照收入!$C6)&amp;""</f>
        <v>应收账款</v>
      </c>
      <c r="F666" s="48" t="str">
        <f aca="false">IF(AND(ROUND($G666,2)&lt;0,科目对照收入!$L6&lt;&gt;""),科目对照收入!$M6,科目对照收入!$D6)&amp;""</f>
        <v>医卡通</v>
      </c>
      <c r="G666" s="49" t="n">
        <f aca="false">IF(COUNTIFS(输入平台!$A:$A,助手收入!$X32,输入平台!$B:$B,科目对照收入!$B6)&gt;0,ROUND(SUMIFS(输入平台!$C:$C,输入平台!$A:$A,助手收入!$X32,输入平台!$B:$B,科目对照收入!$B6),2),ROUND(海典汇总!$I$33,2))</f>
        <v>0</v>
      </c>
      <c r="H666" s="49" t="str">
        <f aca="false">IF(ROUND($G666,2)&gt;0,ROUND($G666,2),"")</f>
        <v/>
      </c>
      <c r="I666" s="49" t="str">
        <f aca="false">IF(ROUND($G666,2)&lt;0,-ROUND($G666,2),"")</f>
        <v/>
      </c>
      <c r="J666" s="20" t="n">
        <f aca="false">IF(ROUND($G666,2)=0,0,1)</f>
        <v>0</v>
      </c>
      <c r="K666" s="20" t="str">
        <f aca="false">IF($J666=0,"",SUM($J$662:$J666))</f>
        <v/>
      </c>
      <c r="L666" s="20" t="str">
        <f aca="false">IF($K666="","",$A666*100+$K666)</f>
        <v/>
      </c>
      <c r="M666" s="48" t="str">
        <f aca="false">参数!$B$3</f>
        <v>7月收入</v>
      </c>
    </row>
    <row r="667" customFormat="false" ht="13.5" hidden="false" customHeight="false" outlineLevel="0" collapsed="false">
      <c r="A667" s="47" t="n">
        <v>31</v>
      </c>
      <c r="B667" s="38" t="n">
        <f aca="false">助手收入!$B32</f>
        <v>2044</v>
      </c>
      <c r="C667" s="48" t="str">
        <f aca="false">助手收入!$C32</f>
        <v>博营店</v>
      </c>
      <c r="D667" s="48" t="str">
        <f aca="false">科目对照收入!$B7&amp;""</f>
        <v>企健网</v>
      </c>
      <c r="E667" s="48" t="str">
        <f aca="false">IF(AND(ROUND($G667,2)&lt;0,科目对照收入!$L7&lt;&gt;""),科目对照收入!$L7,科目对照收入!$C7)&amp;""</f>
        <v>应收账款</v>
      </c>
      <c r="F667" s="48" t="str">
        <f aca="false">IF(AND(ROUND($G667,2)&lt;0,科目对照收入!$L7&lt;&gt;""),科目对照收入!$M7,科目对照收入!$D7)&amp;""</f>
        <v>企健网</v>
      </c>
      <c r="G667" s="49" t="n">
        <f aca="false">IF(COUNTIFS(输入平台!$A:$A,助手收入!$X32,输入平台!$B:$B,科目对照收入!$B7)&gt;0,ROUND(SUMIFS(输入平台!$C:$C,输入平台!$A:$A,助手收入!$X32,输入平台!$B:$B,科目对照收入!$B7),2),ROUND(海典汇总!$J$33,2))</f>
        <v>0</v>
      </c>
      <c r="H667" s="49" t="str">
        <f aca="false">IF(ROUND($G667,2)&gt;0,ROUND($G667,2),"")</f>
        <v/>
      </c>
      <c r="I667" s="49" t="str">
        <f aca="false">IF(ROUND($G667,2)&lt;0,-ROUND($G667,2),"")</f>
        <v/>
      </c>
      <c r="J667" s="20" t="n">
        <f aca="false">IF(ROUND($G667,2)=0,0,1)</f>
        <v>0</v>
      </c>
      <c r="K667" s="20" t="str">
        <f aca="false">IF($J667=0,"",SUM($J$662:$J667))</f>
        <v/>
      </c>
      <c r="L667" s="20" t="str">
        <f aca="false">IF($K667="","",$A667*100+$K667)</f>
        <v/>
      </c>
      <c r="M667" s="48" t="str">
        <f aca="false">参数!$B$3</f>
        <v>7月收入</v>
      </c>
    </row>
    <row r="668" customFormat="false" ht="13.5" hidden="false" customHeight="false" outlineLevel="0" collapsed="false">
      <c r="A668" s="47" t="n">
        <v>31</v>
      </c>
      <c r="B668" s="38" t="n">
        <f aca="false">助手收入!$B32</f>
        <v>2044</v>
      </c>
      <c r="C668" s="48" t="str">
        <f aca="false">助手收入!$C32</f>
        <v>博营店</v>
      </c>
      <c r="D668" s="48" t="str">
        <f aca="false">科目对照收入!$B8&amp;""</f>
        <v>亲情卡</v>
      </c>
      <c r="E668" s="48" t="str">
        <f aca="false">IF(AND(ROUND($G668,2)&lt;0,科目对照收入!$L8&lt;&gt;""),科目对照收入!$L8,科目对照收入!$C8)&amp;""</f>
        <v>应收账款</v>
      </c>
      <c r="F668" s="48" t="str">
        <f aca="false">IF(AND(ROUND($G668,2)&lt;0,科目对照收入!$L8&lt;&gt;""),科目对照收入!$M8,科目对照收入!$D8)&amp;""</f>
        <v>亲情卡</v>
      </c>
      <c r="G668" s="49" t="n">
        <f aca="false">IF(COUNTIFS(输入平台!$A:$A,助手收入!$X32,输入平台!$B:$B,科目对照收入!$B8)&gt;0,ROUND(SUMIFS(输入平台!$C:$C,输入平台!$A:$A,助手收入!$X32,输入平台!$B:$B,科目对照收入!$B8),2),ROUND(海典汇总!$Z$33,2))</f>
        <v>0</v>
      </c>
      <c r="H668" s="49" t="str">
        <f aca="false">IF(ROUND($G668,2)&gt;0,ROUND($G668,2),"")</f>
        <v/>
      </c>
      <c r="I668" s="49" t="str">
        <f aca="false">IF(ROUND($G668,2)&lt;0,-ROUND($G668,2),"")</f>
        <v/>
      </c>
      <c r="J668" s="20" t="n">
        <f aca="false">IF(ROUND($G668,2)=0,0,1)</f>
        <v>0</v>
      </c>
      <c r="K668" s="20" t="str">
        <f aca="false">IF($J668=0,"",SUM($J$662:$J668))</f>
        <v/>
      </c>
      <c r="L668" s="20" t="str">
        <f aca="false">IF($K668="","",$A668*100+$K668)</f>
        <v/>
      </c>
      <c r="M668" s="48" t="str">
        <f aca="false">参数!$B$3</f>
        <v>7月收入</v>
      </c>
    </row>
    <row r="669" customFormat="false" ht="13.5" hidden="false" customHeight="false" outlineLevel="0" collapsed="false">
      <c r="A669" s="47" t="n">
        <v>31</v>
      </c>
      <c r="B669" s="38" t="n">
        <f aca="false">助手收入!$B32</f>
        <v>2044</v>
      </c>
      <c r="C669" s="48" t="str">
        <f aca="false">助手收入!$C32</f>
        <v>博营店</v>
      </c>
      <c r="D669" s="48" t="str">
        <f aca="false">科目对照收入!$B9&amp;""</f>
        <v>24小时</v>
      </c>
      <c r="E669" s="48" t="str">
        <f aca="false">IF(AND(ROUND($G669,2)&lt;0,科目对照收入!$L9&lt;&gt;""),科目对照收入!$L9,科目对照收入!$C9)&amp;""</f>
        <v>应收账款</v>
      </c>
      <c r="F669" s="48" t="str">
        <f aca="false">IF(AND(ROUND($G669,2)&lt;0,科目对照收入!$L9&lt;&gt;""),科目对照收入!$M9,科目对照收入!$D9)&amp;""</f>
        <v>24小时</v>
      </c>
      <c r="G669" s="49" t="n">
        <f aca="false">IF(COUNTIFS(输入平台!$A:$A,助手收入!$X32,输入平台!$B:$B,科目对照收入!$B9)&gt;0,ROUND(SUMIFS(输入平台!$C:$C,输入平台!$A:$A,助手收入!$X32,输入平台!$B:$B,科目对照收入!$B9),2),ROUND(海典汇总!$K$33,2))</f>
        <v>0</v>
      </c>
      <c r="H669" s="49" t="str">
        <f aca="false">IF(ROUND($G669,2)&gt;0,ROUND($G669,2),"")</f>
        <v/>
      </c>
      <c r="I669" s="49" t="str">
        <f aca="false">IF(ROUND($G669,2)&lt;0,-ROUND($G669,2),"")</f>
        <v/>
      </c>
      <c r="J669" s="20" t="n">
        <f aca="false">IF(ROUND($G669,2)=0,0,1)</f>
        <v>0</v>
      </c>
      <c r="K669" s="20" t="str">
        <f aca="false">IF($J669=0,"",SUM($J$662:$J669))</f>
        <v/>
      </c>
      <c r="L669" s="20" t="str">
        <f aca="false">IF($K669="","",$A669*100+$K669)</f>
        <v/>
      </c>
      <c r="M669" s="48" t="str">
        <f aca="false">参数!$B$3</f>
        <v>7月收入</v>
      </c>
    </row>
    <row r="670" customFormat="false" ht="13.5" hidden="false" customHeight="false" outlineLevel="0" collapsed="false">
      <c r="A670" s="47" t="n">
        <v>31</v>
      </c>
      <c r="B670" s="38" t="n">
        <f aca="false">助手收入!$B32</f>
        <v>2044</v>
      </c>
      <c r="C670" s="48" t="str">
        <f aca="false">助手收入!$C32</f>
        <v>博营店</v>
      </c>
      <c r="D670" s="48" t="str">
        <f aca="false">科目对照收入!$B10&amp;""</f>
        <v>美团</v>
      </c>
      <c r="E670" s="48" t="str">
        <f aca="false">IF(AND(ROUND($G670,2)&lt;0,科目对照收入!$L10&lt;&gt;""),科目对照收入!$L10,科目对照收入!$C10)&amp;""</f>
        <v>应收账款</v>
      </c>
      <c r="F670" s="48" t="str">
        <f aca="false">IF(AND(ROUND($G670,2)&lt;0,科目对照收入!$L10&lt;&gt;""),科目对照收入!$M10,科目对照收入!$D10)&amp;""</f>
        <v>美团</v>
      </c>
      <c r="G670" s="49" t="n">
        <f aca="false">IF(COUNTIFS(输入平台!$A:$A,助手收入!$X32,输入平台!$B:$B,科目对照收入!$B10)&gt;0,ROUND(SUMIFS(输入平台!$C:$C,输入平台!$A:$A,助手收入!$X32,输入平台!$B:$B,科目对照收入!$B10),2),ROUND(海典汇总!$M$33,2))</f>
        <v>0</v>
      </c>
      <c r="H670" s="49" t="str">
        <f aca="false">IF(ROUND($G670,2)&gt;0,ROUND($G670,2),"")</f>
        <v/>
      </c>
      <c r="I670" s="49" t="str">
        <f aca="false">IF(ROUND($G670,2)&lt;0,-ROUND($G670,2),"")</f>
        <v/>
      </c>
      <c r="J670" s="20" t="n">
        <f aca="false">IF(ROUND($G670,2)=0,0,1)</f>
        <v>0</v>
      </c>
      <c r="K670" s="20" t="str">
        <f aca="false">IF($J670=0,"",SUM($J$662:$J670))</f>
        <v/>
      </c>
      <c r="L670" s="20" t="str">
        <f aca="false">IF($K670="","",$A670*100+$K670)</f>
        <v/>
      </c>
      <c r="M670" s="48" t="str">
        <f aca="false">参数!$B$3</f>
        <v>7月收入</v>
      </c>
    </row>
    <row r="671" customFormat="false" ht="13.5" hidden="false" customHeight="false" outlineLevel="0" collapsed="false">
      <c r="A671" s="47" t="n">
        <v>31</v>
      </c>
      <c r="B671" s="38" t="n">
        <f aca="false">助手收入!$B32</f>
        <v>2044</v>
      </c>
      <c r="C671" s="48" t="str">
        <f aca="false">助手收入!$C32</f>
        <v>博营店</v>
      </c>
      <c r="D671" s="48" t="str">
        <f aca="false">科目对照收入!$B11&amp;""</f>
        <v>饿了么</v>
      </c>
      <c r="E671" s="48" t="str">
        <f aca="false">IF(AND(ROUND($G671,2)&lt;0,科目对照收入!$L11&lt;&gt;""),科目对照收入!$L11,科目对照收入!$C11)&amp;""</f>
        <v>应收账款</v>
      </c>
      <c r="F671" s="48" t="str">
        <f aca="false">IF(AND(ROUND($G671,2)&lt;0,科目对照收入!$L11&lt;&gt;""),科目对照收入!$M11,科目对照收入!$D11)&amp;""</f>
        <v>饿了么</v>
      </c>
      <c r="G671" s="49" t="n">
        <f aca="false">IF(COUNTIFS(输入平台!$A:$A,助手收入!$X32,输入平台!$B:$B,科目对照收入!$B11)&gt;0,ROUND(SUMIFS(输入平台!$C:$C,输入平台!$A:$A,助手收入!$X32,输入平台!$B:$B,科目对照收入!$B11),2),ROUND(海典汇总!$N$33,2))</f>
        <v>0</v>
      </c>
      <c r="H671" s="49" t="str">
        <f aca="false">IF(ROUND($G671,2)&gt;0,ROUND($G671,2),"")</f>
        <v/>
      </c>
      <c r="I671" s="49" t="str">
        <f aca="false">IF(ROUND($G671,2)&lt;0,-ROUND($G671,2),"")</f>
        <v/>
      </c>
      <c r="J671" s="20" t="n">
        <f aca="false">IF(ROUND($G671,2)=0,0,1)</f>
        <v>0</v>
      </c>
      <c r="K671" s="20" t="str">
        <f aca="false">IF($J671=0,"",SUM($J$662:$J671))</f>
        <v/>
      </c>
      <c r="L671" s="20" t="str">
        <f aca="false">IF($K671="","",$A671*100+$K671)</f>
        <v/>
      </c>
      <c r="M671" s="48" t="str">
        <f aca="false">参数!$B$3</f>
        <v>7月收入</v>
      </c>
    </row>
    <row r="672" customFormat="false" ht="13.5" hidden="false" customHeight="false" outlineLevel="0" collapsed="false">
      <c r="A672" s="47" t="n">
        <v>31</v>
      </c>
      <c r="B672" s="38" t="n">
        <f aca="false">助手收入!$B32</f>
        <v>2044</v>
      </c>
      <c r="C672" s="48" t="str">
        <f aca="false">助手收入!$C32</f>
        <v>博营店</v>
      </c>
      <c r="D672" s="48" t="str">
        <f aca="false">科目对照收入!$B12&amp;""</f>
        <v>京东秒送</v>
      </c>
      <c r="E672" s="48" t="str">
        <f aca="false">IF(AND(ROUND($G672,2)&lt;0,科目对照收入!$L12&lt;&gt;""),科目对照收入!$L12,科目对照收入!$C12)&amp;""</f>
        <v>应收账款</v>
      </c>
      <c r="F672" s="48" t="str">
        <f aca="false">IF(AND(ROUND($G672,2)&lt;0,科目对照收入!$L12&lt;&gt;""),科目对照收入!$M12,科目对照收入!$D12)&amp;""</f>
        <v>京东秒送</v>
      </c>
      <c r="G672" s="49" t="n">
        <f aca="false">IF(COUNTIFS(输入平台!$A:$A,助手收入!$X32,输入平台!$B:$B,科目对照收入!$B12)&gt;0,ROUND(SUMIFS(输入平台!$C:$C,输入平台!$A:$A,助手收入!$X32,输入平台!$B:$B,科目对照收入!$B12),2),ROUND(海典汇总!$O$33,2))</f>
        <v>0</v>
      </c>
      <c r="H672" s="49" t="str">
        <f aca="false">IF(ROUND($G672,2)&gt;0,ROUND($G672,2),"")</f>
        <v/>
      </c>
      <c r="I672" s="49" t="str">
        <f aca="false">IF(ROUND($G672,2)&lt;0,-ROUND($G672,2),"")</f>
        <v/>
      </c>
      <c r="J672" s="20" t="n">
        <f aca="false">IF(ROUND($G672,2)=0,0,1)</f>
        <v>0</v>
      </c>
      <c r="K672" s="20" t="str">
        <f aca="false">IF($J672=0,"",SUM($J$662:$J672))</f>
        <v/>
      </c>
      <c r="L672" s="20" t="str">
        <f aca="false">IF($K672="","",$A672*100+$K672)</f>
        <v/>
      </c>
      <c r="M672" s="48" t="str">
        <f aca="false">参数!$B$3</f>
        <v>7月收入</v>
      </c>
    </row>
    <row r="673" customFormat="false" ht="13.5" hidden="false" customHeight="false" outlineLevel="0" collapsed="false">
      <c r="A673" s="47" t="n">
        <v>31</v>
      </c>
      <c r="B673" s="38" t="n">
        <f aca="false">助手收入!$B32</f>
        <v>2044</v>
      </c>
      <c r="C673" s="48" t="str">
        <f aca="false">助手收入!$C32</f>
        <v>博营店</v>
      </c>
      <c r="D673" s="48" t="str">
        <f aca="false">科目对照收入!$B13&amp;""</f>
        <v>银联</v>
      </c>
      <c r="E673" s="48" t="str">
        <f aca="false">IF(AND(ROUND($G673,2)&lt;0,科目对照收入!$L13&lt;&gt;""),科目对照收入!$L13,科目对照收入!$C13)&amp;""</f>
        <v>应收账款</v>
      </c>
      <c r="F673" s="48" t="str">
        <f aca="false">IF(AND(ROUND($G673,2)&lt;0,科目对照收入!$L13&lt;&gt;""),科目对照收入!$M13,科目对照收入!$D13)&amp;""</f>
        <v>银联</v>
      </c>
      <c r="G673" s="49" t="n">
        <f aca="false">IF(COUNTIFS(输入平台!$A:$A,助手收入!$X32,输入平台!$B:$B,科目对照收入!$B13)&gt;0,ROUND(SUMIFS(输入平台!$C:$C,输入平台!$A:$A,助手收入!$X32,输入平台!$B:$B,科目对照收入!$B13),2),ROUND(海典汇总!$V$33,2))</f>
        <v>0</v>
      </c>
      <c r="H673" s="49" t="str">
        <f aca="false">IF(ROUND($G673,2)&gt;0,ROUND($G673,2),"")</f>
        <v/>
      </c>
      <c r="I673" s="49" t="str">
        <f aca="false">IF(ROUND($G673,2)&lt;0,-ROUND($G673,2),"")</f>
        <v/>
      </c>
      <c r="J673" s="20" t="n">
        <f aca="false">IF(ROUND($G673,2)=0,0,1)</f>
        <v>0</v>
      </c>
      <c r="K673" s="20" t="str">
        <f aca="false">IF($J673=0,"",SUM($J$662:$J673))</f>
        <v/>
      </c>
      <c r="L673" s="20" t="str">
        <f aca="false">IF($K673="","",$A673*100+$K673)</f>
        <v/>
      </c>
      <c r="M673" s="48" t="str">
        <f aca="false">参数!$B$3</f>
        <v>7月收入</v>
      </c>
    </row>
    <row r="674" customFormat="false" ht="13.5" hidden="false" customHeight="false" outlineLevel="0" collapsed="false">
      <c r="A674" s="47" t="n">
        <v>31</v>
      </c>
      <c r="B674" s="38" t="n">
        <f aca="false">助手收入!$B32</f>
        <v>2044</v>
      </c>
      <c r="C674" s="48" t="str">
        <f aca="false">助手收入!$C32</f>
        <v>博营店</v>
      </c>
      <c r="D674" s="48" t="str">
        <f aca="false">科目对照收入!$B14&amp;""</f>
        <v>小镇外卖</v>
      </c>
      <c r="E674" s="48" t="str">
        <f aca="false">IF(AND(ROUND($G674,2)&lt;0,科目对照收入!$L14&lt;&gt;""),科目对照收入!$L14,科目对照收入!$C14)&amp;""</f>
        <v>应收账款</v>
      </c>
      <c r="F674" s="48" t="str">
        <f aca="false">IF(AND(ROUND($G674,2)&lt;0,科目对照收入!$L14&lt;&gt;""),科目对照收入!$M14,科目对照收入!$D14)&amp;""</f>
        <v>小镇外卖</v>
      </c>
      <c r="G674" s="49" t="n">
        <f aca="false">IF(COUNTIFS(输入平台!$A:$A,助手收入!$X32,输入平台!$B:$B,科目对照收入!$B14)&gt;0,ROUND(SUMIFS(输入平台!$C:$C,输入平台!$A:$A,助手收入!$X32,输入平台!$B:$B,科目对照收入!$B14),2),ROUND(海典汇总!$AC$33,2))</f>
        <v>0</v>
      </c>
      <c r="H674" s="49" t="str">
        <f aca="false">IF(ROUND($G674,2)&gt;0,ROUND($G674,2),"")</f>
        <v/>
      </c>
      <c r="I674" s="49" t="str">
        <f aca="false">IF(ROUND($G674,2)&lt;0,-ROUND($G674,2),"")</f>
        <v/>
      </c>
      <c r="J674" s="20" t="n">
        <f aca="false">IF(ROUND($G674,2)=0,0,1)</f>
        <v>0</v>
      </c>
      <c r="K674" s="20" t="str">
        <f aca="false">IF($J674=0,"",SUM($J$662:$J674))</f>
        <v/>
      </c>
      <c r="L674" s="20" t="str">
        <f aca="false">IF($K674="","",$A674*100+$K674)</f>
        <v/>
      </c>
      <c r="M674" s="48" t="str">
        <f aca="false">参数!$B$3</f>
        <v>7月收入</v>
      </c>
    </row>
    <row r="675" customFormat="false" ht="13.5" hidden="false" customHeight="false" outlineLevel="0" collapsed="false">
      <c r="A675" s="47" t="n">
        <v>31</v>
      </c>
      <c r="B675" s="38" t="n">
        <f aca="false">助手收入!$B32</f>
        <v>2044</v>
      </c>
      <c r="C675" s="48" t="str">
        <f aca="false">助手收入!$C32</f>
        <v>博营店</v>
      </c>
      <c r="D675" s="48" t="str">
        <f aca="false">科目对照收入!$B15&amp;""</f>
        <v>OMS线上支付</v>
      </c>
      <c r="E675" s="48" t="str">
        <f aca="false">IF(AND(ROUND($G675,2)&lt;0,科目对照收入!$L15&lt;&gt;""),科目对照收入!$L15,科目对照收入!$C15)&amp;""</f>
        <v>应收账款</v>
      </c>
      <c r="F675" s="48" t="str">
        <f aca="false">IF(AND(ROUND($G675,2)&lt;0,科目对照收入!$L15&lt;&gt;""),科目对照收入!$M15,科目对照收入!$D15)&amp;""</f>
        <v>OMS线上</v>
      </c>
      <c r="G675" s="49" t="n">
        <f aca="false">IF(COUNTIFS(输入平台!$A:$A,助手收入!$X32,输入平台!$B:$B,科目对照收入!$B15)&gt;0,ROUND(SUMIFS(输入平台!$C:$C,输入平台!$A:$A,助手收入!$X32,输入平台!$B:$B,科目对照收入!$B15),2),ROUND(海典汇总!$L$33,2))</f>
        <v>0</v>
      </c>
      <c r="H675" s="49" t="str">
        <f aca="false">IF(ROUND($G675,2)&gt;0,ROUND($G675,2),"")</f>
        <v/>
      </c>
      <c r="I675" s="49" t="str">
        <f aca="false">IF(ROUND($G675,2)&lt;0,-ROUND($G675,2),"")</f>
        <v/>
      </c>
      <c r="J675" s="20" t="n">
        <f aca="false">IF(ROUND($G675,2)=0,0,1)</f>
        <v>0</v>
      </c>
      <c r="K675" s="20" t="str">
        <f aca="false">IF($J675=0,"",SUM($J$662:$J675))</f>
        <v/>
      </c>
      <c r="L675" s="20" t="str">
        <f aca="false">IF($K675="","",$A675*100+$K675)</f>
        <v/>
      </c>
      <c r="M675" s="48" t="str">
        <f aca="false">参数!$B$3</f>
        <v>7月收入</v>
      </c>
    </row>
    <row r="676" customFormat="false" ht="13.5" hidden="false" customHeight="false" outlineLevel="0" collapsed="false">
      <c r="A676" s="47" t="n">
        <v>31</v>
      </c>
      <c r="B676" s="38" t="n">
        <f aca="false">助手收入!$B32</f>
        <v>2044</v>
      </c>
      <c r="C676" s="48" t="str">
        <f aca="false">助手收入!$C32</f>
        <v>博营店</v>
      </c>
      <c r="D676" s="48" t="str">
        <f aca="false">科目对照收入!$B16&amp;""</f>
        <v>平安药卡</v>
      </c>
      <c r="E676" s="48" t="str">
        <f aca="false">IF(AND(ROUND($G676,2)&lt;0,科目对照收入!$L16&lt;&gt;""),科目对照收入!$L16,科目对照收入!$C16)&amp;""</f>
        <v>应收账款</v>
      </c>
      <c r="F676" s="48" t="str">
        <f aca="false">IF(AND(ROUND($G676,2)&lt;0,科目对照收入!$L16&lt;&gt;""),科目对照收入!$M16,科目对照收入!$D16)&amp;""</f>
        <v>平安</v>
      </c>
      <c r="G676" s="49" t="n">
        <f aca="false">IF(COUNTIFS(输入平台!$A:$A,助手收入!$X32,输入平台!$B:$B,科目对照收入!$B16)&gt;0,ROUND(SUMIFS(输入平台!$C:$C,输入平台!$A:$A,助手收入!$X32,输入平台!$B:$B,科目对照收入!$B16),2),ROUND(海典汇总!$AB$33,2))</f>
        <v>0</v>
      </c>
      <c r="H676" s="49" t="str">
        <f aca="false">IF(ROUND($G676,2)&gt;0,ROUND($G676,2),"")</f>
        <v/>
      </c>
      <c r="I676" s="49" t="str">
        <f aca="false">IF(ROUND($G676,2)&lt;0,-ROUND($G676,2),"")</f>
        <v/>
      </c>
      <c r="J676" s="20" t="n">
        <f aca="false">IF(ROUND($G676,2)=0,0,1)</f>
        <v>0</v>
      </c>
      <c r="K676" s="20" t="str">
        <f aca="false">IF($J676=0,"",SUM($J$662:$J676))</f>
        <v/>
      </c>
      <c r="L676" s="20" t="str">
        <f aca="false">IF($K676="","",$A676*100+$K676)</f>
        <v/>
      </c>
      <c r="M676" s="48" t="str">
        <f aca="false">参数!$B$3</f>
        <v>7月收入</v>
      </c>
    </row>
    <row r="677" customFormat="false" ht="13.5" hidden="false" customHeight="false" outlineLevel="0" collapsed="false">
      <c r="A677" s="47" t="n">
        <v>31</v>
      </c>
      <c r="B677" s="38" t="n">
        <f aca="false">助手收入!$B32</f>
        <v>2044</v>
      </c>
      <c r="C677" s="48" t="str">
        <f aca="false">助手收入!$C32</f>
        <v>博营店</v>
      </c>
      <c r="D677" s="48" t="str">
        <f aca="false">科目对照收入!$B17&amp;""</f>
        <v>储值卡</v>
      </c>
      <c r="E677" s="48" t="str">
        <f aca="false">IF(AND(ROUND($G677,2)&lt;0,科目对照收入!$L17&lt;&gt;""),科目对照收入!$L17,科目对照收入!$C17)&amp;""</f>
        <v>其他应收款</v>
      </c>
      <c r="F677" s="48" t="str">
        <f aca="false">IF(AND(ROUND($G677,2)&lt;0,科目对照收入!$L17&lt;&gt;""),科目对照收入!$M17,科目对照收入!$D17)&amp;""</f>
        <v>储值卡</v>
      </c>
      <c r="G677" s="49" t="n">
        <f aca="false">ROUND(海典汇总!$Q$33,2)</f>
        <v>157</v>
      </c>
      <c r="H677" s="49" t="n">
        <f aca="false">IF(ROUND($G677,2)&gt;0,ROUND($G677,2),"")</f>
        <v>157</v>
      </c>
      <c r="I677" s="49" t="str">
        <f aca="false">IF(ROUND($G677,2)&lt;0,-ROUND($G677,2),"")</f>
        <v/>
      </c>
      <c r="J677" s="20" t="n">
        <f aca="false">IF(ROUND($G677,2)=0,0,1)</f>
        <v>1</v>
      </c>
      <c r="K677" s="20" t="n">
        <f aca="false">IF($J677=0,"",SUM($J$662:$J677))</f>
        <v>3</v>
      </c>
      <c r="L677" s="20" t="n">
        <f aca="false">IF($K677="","",$A677*100+$K677)</f>
        <v>3103</v>
      </c>
      <c r="M677" s="48" t="str">
        <f aca="false">参数!$B$3</f>
        <v>7月收入</v>
      </c>
    </row>
    <row r="678" customFormat="false" ht="13.5" hidden="false" customHeight="false" outlineLevel="0" collapsed="false">
      <c r="A678" s="47" t="n">
        <v>31</v>
      </c>
      <c r="B678" s="38" t="n">
        <f aca="false">助手收入!$B32</f>
        <v>2044</v>
      </c>
      <c r="C678" s="48" t="str">
        <f aca="false">助手收入!$C32</f>
        <v>博营店</v>
      </c>
      <c r="D678" s="48" t="str">
        <f aca="false">科目对照收入!$B18&amp;""</f>
        <v>会员零钱包</v>
      </c>
      <c r="E678" s="48" t="str">
        <f aca="false">IF(AND(ROUND($G678,2)&lt;0,科目对照收入!$L18&lt;&gt;""),科目对照收入!$L18,科目对照收入!$C18)&amp;""</f>
        <v>其他应收款</v>
      </c>
      <c r="F678" s="48" t="str">
        <f aca="false">IF(AND(ROUND($G678,2)&lt;0,科目对照收入!$L18&lt;&gt;""),科目对照收入!$M18,科目对照收入!$D18)&amp;""</f>
        <v>会员零钱包</v>
      </c>
      <c r="G678" s="49" t="n">
        <f aca="false">ROUND(海典汇总!$P$33,2)</f>
        <v>0</v>
      </c>
      <c r="H678" s="49" t="str">
        <f aca="false">IF(ROUND($G678,2)&gt;0,ROUND($G678,2),"")</f>
        <v/>
      </c>
      <c r="I678" s="49" t="str">
        <f aca="false">IF(ROUND($G678,2)&lt;0,-ROUND($G678,2),"")</f>
        <v/>
      </c>
      <c r="J678" s="20" t="n">
        <f aca="false">IF(ROUND($G678,2)=0,0,1)</f>
        <v>0</v>
      </c>
      <c r="K678" s="20" t="str">
        <f aca="false">IF($J678=0,"",SUM($J$662:$J678))</f>
        <v/>
      </c>
      <c r="L678" s="20" t="str">
        <f aca="false">IF($K678="","",$A678*100+$K678)</f>
        <v/>
      </c>
      <c r="M678" s="48" t="str">
        <f aca="false">参数!$B$3</f>
        <v>7月收入</v>
      </c>
    </row>
    <row r="679" customFormat="false" ht="13.5" hidden="false" customHeight="false" outlineLevel="0" collapsed="false">
      <c r="A679" s="47" t="n">
        <v>31</v>
      </c>
      <c r="B679" s="38" t="n">
        <f aca="false">助手收入!$B32</f>
        <v>2044</v>
      </c>
      <c r="C679" s="48" t="str">
        <f aca="false">助手收入!$C32</f>
        <v>博营店</v>
      </c>
      <c r="D679" s="48" t="str">
        <f aca="false">科目对照收入!$B19&amp;""</f>
        <v>促销费</v>
      </c>
      <c r="E679" s="48" t="str">
        <f aca="false">IF(AND(ROUND($G679,2)&lt;0,科目对照收入!$L19&lt;&gt;""),科目对照收入!$L19,科目对照收入!$C19)&amp;""</f>
        <v>销售费用</v>
      </c>
      <c r="F679" s="48" t="str">
        <f aca="false">IF(AND(ROUND($G679,2)&lt;0,科目对照收入!$L19&lt;&gt;""),科目对照收入!$M19,科目对照收入!$D19)&amp;""</f>
        <v>促销费</v>
      </c>
      <c r="G679" s="49" t="n">
        <f aca="false">ROUND(海典汇总!$U$33+海典汇总!$T$33+海典汇总!$S$33,2)</f>
        <v>1482.25</v>
      </c>
      <c r="H679" s="49" t="n">
        <f aca="false">IF(ROUND($G679,2)&gt;0,ROUND($G679,2),"")</f>
        <v>1482.25</v>
      </c>
      <c r="I679" s="49" t="str">
        <f aca="false">IF(ROUND($G679,2)&lt;0,-ROUND($G679,2),"")</f>
        <v/>
      </c>
      <c r="J679" s="20" t="n">
        <f aca="false">IF(ROUND($G679,2)=0,0,1)</f>
        <v>1</v>
      </c>
      <c r="K679" s="20" t="n">
        <f aca="false">IF($J679=0,"",SUM($J$662:$J679))</f>
        <v>4</v>
      </c>
      <c r="L679" s="20" t="n">
        <f aca="false">IF($K679="","",$A679*100+$K679)</f>
        <v>3104</v>
      </c>
      <c r="M679" s="48" t="str">
        <f aca="false">参数!$B$3</f>
        <v>7月收入</v>
      </c>
    </row>
    <row r="680" customFormat="false" ht="13.5" hidden="false" customHeight="false" outlineLevel="0" collapsed="false">
      <c r="A680" s="47" t="n">
        <v>31</v>
      </c>
      <c r="B680" s="38" t="n">
        <f aca="false">助手收入!$B32</f>
        <v>2044</v>
      </c>
      <c r="C680" s="48" t="str">
        <f aca="false">助手收入!$C32</f>
        <v>博营店</v>
      </c>
      <c r="D680" s="48" t="str">
        <f aca="false">科目对照收入!$B20&amp;""</f>
        <v>积分</v>
      </c>
      <c r="E680" s="48" t="str">
        <f aca="false">IF(AND(ROUND($G680,2)&lt;0,科目对照收入!$L20&lt;&gt;""),科目对照收入!$L20,科目对照收入!$C20)&amp;""</f>
        <v>销售费用</v>
      </c>
      <c r="F680" s="48" t="str">
        <f aca="false">IF(AND(ROUND($G680,2)&lt;0,科目对照收入!$L20&lt;&gt;""),科目对照收入!$M20,科目对照收入!$D20)&amp;""</f>
        <v>积分</v>
      </c>
      <c r="G680" s="49" t="n">
        <f aca="false">ROUND(海典汇总!$R$33,2)</f>
        <v>0</v>
      </c>
      <c r="H680" s="49" t="str">
        <f aca="false">IF(ROUND($G680,2)&gt;0,ROUND($G680,2),"")</f>
        <v/>
      </c>
      <c r="I680" s="49" t="str">
        <f aca="false">IF(ROUND($G680,2)&lt;0,-ROUND($G680,2),"")</f>
        <v/>
      </c>
      <c r="J680" s="20" t="n">
        <f aca="false">IF(ROUND($G680,2)=0,0,1)</f>
        <v>0</v>
      </c>
      <c r="K680" s="20" t="str">
        <f aca="false">IF($J680=0,"",SUM($J$662:$J680))</f>
        <v/>
      </c>
      <c r="L680" s="20" t="str">
        <f aca="false">IF($K680="","",$A680*100+$K680)</f>
        <v/>
      </c>
      <c r="M680" s="48" t="str">
        <f aca="false">参数!$B$3</f>
        <v>7月收入</v>
      </c>
    </row>
    <row r="681" customFormat="false" ht="13.5" hidden="false" customHeight="false" outlineLevel="0" collapsed="false">
      <c r="A681" s="47" t="n">
        <v>31</v>
      </c>
      <c r="B681" s="38" t="n">
        <f aca="false">助手收入!$B32</f>
        <v>2044</v>
      </c>
      <c r="C681" s="48" t="str">
        <f aca="false">助手收入!$C32</f>
        <v>博营店</v>
      </c>
      <c r="D681" s="48" t="str">
        <f aca="false">科目对照收入!$B21&amp;""</f>
        <v>手续费</v>
      </c>
      <c r="E681" s="48" t="str">
        <f aca="false">IF(AND(ROUND($G681,2)&lt;0,科目对照收入!$L21&lt;&gt;""),科目对照收入!$L21,科目对照收入!$C21)&amp;""</f>
        <v>财务费用</v>
      </c>
      <c r="F681" s="48" t="str">
        <f aca="false">IF(AND(ROUND($G681,2)&lt;0,科目对照收入!$L21&lt;&gt;""),科目对照收入!$M21,科目对照收入!$D21)&amp;""</f>
        <v>手续费</v>
      </c>
      <c r="G681" s="49" t="n">
        <f aca="false">ROUND(SUMIFS(输入聚合!$D:$D,输入聚合!$A:$A,助手收入!$X32),2)</f>
        <v>56.83</v>
      </c>
      <c r="H681" s="49" t="n">
        <f aca="false">IF(ROUND($G681,2)&gt;0,ROUND($G681,2),"")</f>
        <v>56.83</v>
      </c>
      <c r="I681" s="49" t="str">
        <f aca="false">IF(ROUND($G681,2)&lt;0,-ROUND($G681,2),"")</f>
        <v/>
      </c>
      <c r="J681" s="20" t="n">
        <f aca="false">IF(ROUND($G681,2)=0,0,1)</f>
        <v>1</v>
      </c>
      <c r="K681" s="20" t="n">
        <f aca="false">IF($J681=0,"",SUM($J$662:$J681))</f>
        <v>5</v>
      </c>
      <c r="L681" s="20" t="n">
        <f aca="false">IF($K681="","",$A681*100+$K681)</f>
        <v>3105</v>
      </c>
      <c r="M681" s="48" t="str">
        <f aca="false">参数!$B$3</f>
        <v>7月收入</v>
      </c>
    </row>
    <row r="682" customFormat="false" ht="13.5" hidden="false" customHeight="false" outlineLevel="0" collapsed="false">
      <c r="A682" s="47" t="n">
        <v>31</v>
      </c>
      <c r="B682" s="38" t="n">
        <f aca="false">助手收入!$B32</f>
        <v>2044</v>
      </c>
      <c r="C682" s="48" t="str">
        <f aca="false">助手收入!$C32</f>
        <v>博营店</v>
      </c>
      <c r="D682" s="48" t="str">
        <f aca="false">科目对照收入!$B22&amp;""</f>
        <v>主营业务收入</v>
      </c>
      <c r="E682" s="48" t="str">
        <f aca="false">IF(AND(ROUND($G682,2)&lt;0,科目对照收入!$L22&lt;&gt;""),科目对照收入!$L22,科目对照收入!$C22)&amp;""</f>
        <v>主营业务收入</v>
      </c>
      <c r="F682" s="48" t="str">
        <f aca="false">IF(AND(ROUND($G682,2)&lt;0,科目对照收入!$L22&lt;&gt;""),科目对照收入!$M22,科目对照收入!$D22)&amp;""</f>
        <v/>
      </c>
      <c r="G682" s="49" t="n">
        <f aca="false">-ROUND(助手收入!$G32,2)</f>
        <v>-37342.91</v>
      </c>
      <c r="H682" s="49" t="str">
        <f aca="false">IF(ROUND($G682,2)&gt;0,ROUND($G682,2),"")</f>
        <v/>
      </c>
      <c r="I682" s="49" t="n">
        <f aca="false">IF(ROUND($G682,2)&lt;0,-ROUND($G682,2),"")</f>
        <v>37342.91</v>
      </c>
      <c r="J682" s="20" t="n">
        <f aca="false">IF(ROUND($G682,2)=0,0,1)</f>
        <v>1</v>
      </c>
      <c r="K682" s="20" t="n">
        <f aca="false">IF($J682=0,"",SUM($J$662:$J682))</f>
        <v>6</v>
      </c>
      <c r="L682" s="20" t="n">
        <f aca="false">IF($K682="","",$A682*100+$K682)</f>
        <v>3106</v>
      </c>
      <c r="M682" s="48" t="str">
        <f aca="false">参数!$B$3</f>
        <v>7月收入</v>
      </c>
    </row>
    <row r="683" customFormat="false" ht="13.5" hidden="false" customHeight="false" outlineLevel="0" collapsed="false">
      <c r="A683" s="47" t="n">
        <v>31</v>
      </c>
      <c r="B683" s="38" t="n">
        <f aca="false">助手收入!$B32</f>
        <v>2044</v>
      </c>
      <c r="C683" s="48" t="str">
        <f aca="false">助手收入!$C32</f>
        <v>博营店</v>
      </c>
      <c r="D683" s="48" t="str">
        <f aca="false">科目对照收入!$B23&amp;""</f>
        <v>营业外收入</v>
      </c>
      <c r="E683" s="48" t="str">
        <f aca="false">IF(AND(ROUND($G683,2)&lt;0,科目对照收入!$L23&lt;&gt;""),科目对照收入!$L23,科目对照收入!$C23)&amp;""</f>
        <v>营业外收入</v>
      </c>
      <c r="F683" s="48" t="str">
        <f aca="false">IF(AND(ROUND($G683,2)&lt;0,科目对照收入!$L23&lt;&gt;""),科目对照收入!$M23,科目对照收入!$D23)&amp;""</f>
        <v/>
      </c>
      <c r="G683" s="49" t="n">
        <f aca="false">-ROUND(助手收入!$J32,2)</f>
        <v>-0</v>
      </c>
      <c r="H683" s="49" t="str">
        <f aca="false">IF(ROUND($G683,2)&gt;0,ROUND($G683,2),"")</f>
        <v/>
      </c>
      <c r="I683" s="49" t="str">
        <f aca="false">IF(ROUND($G683,2)&lt;0,-ROUND($G683,2),"")</f>
        <v/>
      </c>
      <c r="J683" s="20" t="n">
        <f aca="false">IF(ROUND($G683,2)=0,0,1)</f>
        <v>0</v>
      </c>
      <c r="K683" s="20" t="str">
        <f aca="false">IF($J683=0,"",SUM($J$662:$J683))</f>
        <v/>
      </c>
      <c r="L683" s="20" t="str">
        <f aca="false">IF($K683="","",$A683*100+$K683)</f>
        <v/>
      </c>
      <c r="M683" s="48" t="str">
        <f aca="false">参数!$B$3</f>
        <v>7月收入</v>
      </c>
    </row>
    <row r="684" customFormat="false" ht="13.5" hidden="false" customHeight="false" outlineLevel="0" collapsed="false">
      <c r="A684" s="47" t="n">
        <v>32</v>
      </c>
      <c r="B684" s="38" t="n">
        <f aca="false">助手收入!$B33</f>
        <v>2046</v>
      </c>
      <c r="C684" s="48" t="str">
        <f aca="false">助手收入!$C33</f>
        <v>博康店</v>
      </c>
      <c r="D684" s="48" t="str">
        <f aca="false">科目对照收入!$B2&amp;""</f>
        <v>库存现金</v>
      </c>
      <c r="E684" s="48" t="str">
        <f aca="false">IF(AND(ROUND($G684,2)&lt;0,科目对照收入!$L2&lt;&gt;""),科目对照收入!$L2,科目对照收入!$C2)&amp;""</f>
        <v>库存现金</v>
      </c>
      <c r="F684" s="48" t="str">
        <f aca="false">IF(AND(ROUND($G684,2)&lt;0,科目对照收入!$L2&lt;&gt;""),科目对照收入!$M2,科目对照收入!$D2)&amp;""</f>
        <v/>
      </c>
      <c r="G684" s="49" t="n">
        <f aca="false">助手收入!$I33</f>
        <v>5048.45</v>
      </c>
      <c r="H684" s="49" t="n">
        <f aca="false">IF(ROUND($G684,2)&gt;0,ROUND($G684,2),"")</f>
        <v>5048.45</v>
      </c>
      <c r="I684" s="49" t="str">
        <f aca="false">IF(ROUND($G684,2)&lt;0,-ROUND($G684,2),"")</f>
        <v/>
      </c>
      <c r="J684" s="20" t="n">
        <f aca="false">IF(ROUND($G684,2)=0,0,1)</f>
        <v>1</v>
      </c>
      <c r="K684" s="20" t="n">
        <f aca="false">IF($J684=0,"",SUM($J$684:$J684))</f>
        <v>1</v>
      </c>
      <c r="L684" s="20" t="n">
        <f aca="false">IF($K684="","",$A684*100+$K684)</f>
        <v>3201</v>
      </c>
      <c r="M684" s="48" t="str">
        <f aca="false">参数!$B$3</f>
        <v>7月收入</v>
      </c>
    </row>
    <row r="685" customFormat="false" ht="13.5" hidden="false" customHeight="false" outlineLevel="0" collapsed="false">
      <c r="A685" s="47" t="n">
        <v>32</v>
      </c>
      <c r="B685" s="38" t="n">
        <f aca="false">助手收入!$B33</f>
        <v>2046</v>
      </c>
      <c r="C685" s="48" t="str">
        <f aca="false">助手收入!$C33</f>
        <v>博康店</v>
      </c>
      <c r="D685" s="48" t="str">
        <f aca="false">科目对照收入!$B3&amp;""</f>
        <v>聚合支付</v>
      </c>
      <c r="E685" s="48" t="str">
        <f aca="false">IF(AND(ROUND($G685,2)&lt;0,科目对照收入!$L3&lt;&gt;""),科目对照收入!$L3,科目对照收入!$C3)&amp;""</f>
        <v>应收账款</v>
      </c>
      <c r="F685" s="48" t="str">
        <f aca="false">IF(AND(ROUND($G685,2)&lt;0,科目对照收入!$L3&lt;&gt;""),科目对照收入!$M3,科目对照收入!$D3)&amp;""</f>
        <v>聚合支付</v>
      </c>
      <c r="G685" s="49" t="n">
        <f aca="false">ROUND(SUMIFS(输入聚合!$C:$C,输入聚合!$A:$A,助手收入!$X33)-SUMIFS(输入聚合!$D:$D,输入聚合!$A:$A,助手收入!$X33),2)</f>
        <v>18946.09</v>
      </c>
      <c r="H685" s="49" t="n">
        <f aca="false">IF(ROUND($G685,2)&gt;0,ROUND($G685,2),"")</f>
        <v>18946.09</v>
      </c>
      <c r="I685" s="49" t="str">
        <f aca="false">IF(ROUND($G685,2)&lt;0,-ROUND($G685,2),"")</f>
        <v/>
      </c>
      <c r="J685" s="20" t="n">
        <f aca="false">IF(ROUND($G685,2)=0,0,1)</f>
        <v>1</v>
      </c>
      <c r="K685" s="20" t="n">
        <f aca="false">IF($J685=0,"",SUM($J$684:$J685))</f>
        <v>2</v>
      </c>
      <c r="L685" s="20" t="n">
        <f aca="false">IF($K685="","",$A685*100+$K685)</f>
        <v>3202</v>
      </c>
      <c r="M685" s="48" t="str">
        <f aca="false">参数!$B$3</f>
        <v>7月收入</v>
      </c>
    </row>
    <row r="686" customFormat="false" ht="13.5" hidden="false" customHeight="false" outlineLevel="0" collapsed="false">
      <c r="A686" s="47" t="n">
        <v>32</v>
      </c>
      <c r="B686" s="38" t="n">
        <f aca="false">助手收入!$B33</f>
        <v>2046</v>
      </c>
      <c r="C686" s="48" t="str">
        <f aca="false">助手收入!$C33</f>
        <v>博康店</v>
      </c>
      <c r="D686" s="48" t="str">
        <f aca="false">科目对照收入!$B4&amp;""</f>
        <v>医保</v>
      </c>
      <c r="E686" s="48" t="str">
        <f aca="false">IF(AND(ROUND($G686,2)&lt;0,科目对照收入!$L4&lt;&gt;""),科目对照收入!$L4,科目对照收入!$C4)&amp;""</f>
        <v>应收账款</v>
      </c>
      <c r="F686" s="48" t="str">
        <f aca="false">IF(AND(ROUND($G686,2)&lt;0,科目对照收入!$L4&lt;&gt;""),科目对照收入!$M4,科目对照收入!$D4)&amp;""</f>
        <v>医保</v>
      </c>
      <c r="G686" s="49" t="n">
        <f aca="false">IF(COUNTIFS(输入平台!$A:$A,助手收入!$X33,输入平台!$B:$B,科目对照收入!$B4)&gt;0,ROUND(SUMIFS(输入平台!$C:$C,输入平台!$A:$A,助手收入!$X33,输入平台!$B:$B,科目对照收入!$B4),2),ROUND(海典汇总!$F$34+海典汇总!$G$34,2))</f>
        <v>0</v>
      </c>
      <c r="H686" s="49" t="str">
        <f aca="false">IF(ROUND($G686,2)&gt;0,ROUND($G686,2),"")</f>
        <v/>
      </c>
      <c r="I686" s="49" t="str">
        <f aca="false">IF(ROUND($G686,2)&lt;0,-ROUND($G686,2),"")</f>
        <v/>
      </c>
      <c r="J686" s="20" t="n">
        <f aca="false">IF(ROUND($G686,2)=0,0,1)</f>
        <v>0</v>
      </c>
      <c r="K686" s="20" t="str">
        <f aca="false">IF($J686=0,"",SUM($J$684:$J686))</f>
        <v/>
      </c>
      <c r="L686" s="20" t="str">
        <f aca="false">IF($K686="","",$A686*100+$K686)</f>
        <v/>
      </c>
      <c r="M686" s="48" t="str">
        <f aca="false">参数!$B$3</f>
        <v>7月收入</v>
      </c>
    </row>
    <row r="687" customFormat="false" ht="13.5" hidden="false" customHeight="false" outlineLevel="0" collapsed="false">
      <c r="A687" s="47" t="n">
        <v>32</v>
      </c>
      <c r="B687" s="38" t="n">
        <f aca="false">助手收入!$B33</f>
        <v>2046</v>
      </c>
      <c r="C687" s="48" t="str">
        <f aca="false">助手收入!$C33</f>
        <v>博康店</v>
      </c>
      <c r="D687" s="48" t="str">
        <f aca="false">科目对照收入!$B5&amp;""</f>
        <v>健e卡</v>
      </c>
      <c r="E687" s="48" t="str">
        <f aca="false">IF(AND(ROUND($G687,2)&lt;0,科目对照收入!$L5&lt;&gt;""),科目对照收入!$L5,科目对照收入!$C5)&amp;""</f>
        <v>应收账款</v>
      </c>
      <c r="F687" s="48" t="str">
        <f aca="false">IF(AND(ROUND($G687,2)&lt;0,科目对照收入!$L5&lt;&gt;""),科目对照收入!$M5,科目对照收入!$D5)&amp;""</f>
        <v>健e卡</v>
      </c>
      <c r="G687" s="49" t="n">
        <f aca="false">IF(COUNTIFS(输入平台!$A:$A,助手收入!$X33,输入平台!$B:$B,科目对照收入!$B5)&gt;0,ROUND(SUMIFS(输入平台!$C:$C,输入平台!$A:$A,助手收入!$X33,输入平台!$B:$B,科目对照收入!$B5),2),ROUND(海典汇总!$H$34,2))</f>
        <v>0</v>
      </c>
      <c r="H687" s="49" t="str">
        <f aca="false">IF(ROUND($G687,2)&gt;0,ROUND($G687,2),"")</f>
        <v/>
      </c>
      <c r="I687" s="49" t="str">
        <f aca="false">IF(ROUND($G687,2)&lt;0,-ROUND($G687,2),"")</f>
        <v/>
      </c>
      <c r="J687" s="20" t="n">
        <f aca="false">IF(ROUND($G687,2)=0,0,1)</f>
        <v>0</v>
      </c>
      <c r="K687" s="20" t="str">
        <f aca="false">IF($J687=0,"",SUM($J$684:$J687))</f>
        <v/>
      </c>
      <c r="L687" s="20" t="str">
        <f aca="false">IF($K687="","",$A687*100+$K687)</f>
        <v/>
      </c>
      <c r="M687" s="48" t="str">
        <f aca="false">参数!$B$3</f>
        <v>7月收入</v>
      </c>
    </row>
    <row r="688" customFormat="false" ht="13.5" hidden="false" customHeight="false" outlineLevel="0" collapsed="false">
      <c r="A688" s="47" t="n">
        <v>32</v>
      </c>
      <c r="B688" s="38" t="n">
        <f aca="false">助手收入!$B33</f>
        <v>2046</v>
      </c>
      <c r="C688" s="48" t="str">
        <f aca="false">助手收入!$C33</f>
        <v>博康店</v>
      </c>
      <c r="D688" s="48" t="str">
        <f aca="false">科目对照收入!$B6&amp;""</f>
        <v>医卡通</v>
      </c>
      <c r="E688" s="48" t="str">
        <f aca="false">IF(AND(ROUND($G688,2)&lt;0,科目对照收入!$L6&lt;&gt;""),科目对照收入!$L6,科目对照收入!$C6)&amp;""</f>
        <v>应收账款</v>
      </c>
      <c r="F688" s="48" t="str">
        <f aca="false">IF(AND(ROUND($G688,2)&lt;0,科目对照收入!$L6&lt;&gt;""),科目对照收入!$M6,科目对照收入!$D6)&amp;""</f>
        <v>医卡通</v>
      </c>
      <c r="G688" s="49" t="n">
        <f aca="false">IF(COUNTIFS(输入平台!$A:$A,助手收入!$X33,输入平台!$B:$B,科目对照收入!$B6)&gt;0,ROUND(SUMIFS(输入平台!$C:$C,输入平台!$A:$A,助手收入!$X33,输入平台!$B:$B,科目对照收入!$B6),2),ROUND(海典汇总!$I$34,2))</f>
        <v>604.2</v>
      </c>
      <c r="H688" s="49" t="n">
        <f aca="false">IF(ROUND($G688,2)&gt;0,ROUND($G688,2),"")</f>
        <v>604.2</v>
      </c>
      <c r="I688" s="49" t="str">
        <f aca="false">IF(ROUND($G688,2)&lt;0,-ROUND($G688,2),"")</f>
        <v/>
      </c>
      <c r="J688" s="20" t="n">
        <f aca="false">IF(ROUND($G688,2)=0,0,1)</f>
        <v>1</v>
      </c>
      <c r="K688" s="20" t="n">
        <f aca="false">IF($J688=0,"",SUM($J$684:$J688))</f>
        <v>3</v>
      </c>
      <c r="L688" s="20" t="n">
        <f aca="false">IF($K688="","",$A688*100+$K688)</f>
        <v>3203</v>
      </c>
      <c r="M688" s="48" t="str">
        <f aca="false">参数!$B$3</f>
        <v>7月收入</v>
      </c>
    </row>
    <row r="689" customFormat="false" ht="13.5" hidden="false" customHeight="false" outlineLevel="0" collapsed="false">
      <c r="A689" s="47" t="n">
        <v>32</v>
      </c>
      <c r="B689" s="38" t="n">
        <f aca="false">助手收入!$B33</f>
        <v>2046</v>
      </c>
      <c r="C689" s="48" t="str">
        <f aca="false">助手收入!$C33</f>
        <v>博康店</v>
      </c>
      <c r="D689" s="48" t="str">
        <f aca="false">科目对照收入!$B7&amp;""</f>
        <v>企健网</v>
      </c>
      <c r="E689" s="48" t="str">
        <f aca="false">IF(AND(ROUND($G689,2)&lt;0,科目对照收入!$L7&lt;&gt;""),科目对照收入!$L7,科目对照收入!$C7)&amp;""</f>
        <v>应收账款</v>
      </c>
      <c r="F689" s="48" t="str">
        <f aca="false">IF(AND(ROUND($G689,2)&lt;0,科目对照收入!$L7&lt;&gt;""),科目对照收入!$M7,科目对照收入!$D7)&amp;""</f>
        <v>企健网</v>
      </c>
      <c r="G689" s="49" t="n">
        <f aca="false">IF(COUNTIFS(输入平台!$A:$A,助手收入!$X33,输入平台!$B:$B,科目对照收入!$B7)&gt;0,ROUND(SUMIFS(输入平台!$C:$C,输入平台!$A:$A,助手收入!$X33,输入平台!$B:$B,科目对照收入!$B7),2),ROUND(海典汇总!$J$34,2))</f>
        <v>0</v>
      </c>
      <c r="H689" s="49" t="str">
        <f aca="false">IF(ROUND($G689,2)&gt;0,ROUND($G689,2),"")</f>
        <v/>
      </c>
      <c r="I689" s="49" t="str">
        <f aca="false">IF(ROUND($G689,2)&lt;0,-ROUND($G689,2),"")</f>
        <v/>
      </c>
      <c r="J689" s="20" t="n">
        <f aca="false">IF(ROUND($G689,2)=0,0,1)</f>
        <v>0</v>
      </c>
      <c r="K689" s="20" t="str">
        <f aca="false">IF($J689=0,"",SUM($J$684:$J689))</f>
        <v/>
      </c>
      <c r="L689" s="20" t="str">
        <f aca="false">IF($K689="","",$A689*100+$K689)</f>
        <v/>
      </c>
      <c r="M689" s="48" t="str">
        <f aca="false">参数!$B$3</f>
        <v>7月收入</v>
      </c>
    </row>
    <row r="690" customFormat="false" ht="13.5" hidden="false" customHeight="false" outlineLevel="0" collapsed="false">
      <c r="A690" s="47" t="n">
        <v>32</v>
      </c>
      <c r="B690" s="38" t="n">
        <f aca="false">助手收入!$B33</f>
        <v>2046</v>
      </c>
      <c r="C690" s="48" t="str">
        <f aca="false">助手收入!$C33</f>
        <v>博康店</v>
      </c>
      <c r="D690" s="48" t="str">
        <f aca="false">科目对照收入!$B8&amp;""</f>
        <v>亲情卡</v>
      </c>
      <c r="E690" s="48" t="str">
        <f aca="false">IF(AND(ROUND($G690,2)&lt;0,科目对照收入!$L8&lt;&gt;""),科目对照收入!$L8,科目对照收入!$C8)&amp;""</f>
        <v>应收账款</v>
      </c>
      <c r="F690" s="48" t="str">
        <f aca="false">IF(AND(ROUND($G690,2)&lt;0,科目对照收入!$L8&lt;&gt;""),科目对照收入!$M8,科目对照收入!$D8)&amp;""</f>
        <v>亲情卡</v>
      </c>
      <c r="G690" s="49" t="n">
        <f aca="false">IF(COUNTIFS(输入平台!$A:$A,助手收入!$X33,输入平台!$B:$B,科目对照收入!$B8)&gt;0,ROUND(SUMIFS(输入平台!$C:$C,输入平台!$A:$A,助手收入!$X33,输入平台!$B:$B,科目对照收入!$B8),2),ROUND(海典汇总!$Z$34,2))</f>
        <v>0</v>
      </c>
      <c r="H690" s="49" t="str">
        <f aca="false">IF(ROUND($G690,2)&gt;0,ROUND($G690,2),"")</f>
        <v/>
      </c>
      <c r="I690" s="49" t="str">
        <f aca="false">IF(ROUND($G690,2)&lt;0,-ROUND($G690,2),"")</f>
        <v/>
      </c>
      <c r="J690" s="20" t="n">
        <f aca="false">IF(ROUND($G690,2)=0,0,1)</f>
        <v>0</v>
      </c>
      <c r="K690" s="20" t="str">
        <f aca="false">IF($J690=0,"",SUM($J$684:$J690))</f>
        <v/>
      </c>
      <c r="L690" s="20" t="str">
        <f aca="false">IF($K690="","",$A690*100+$K690)</f>
        <v/>
      </c>
      <c r="M690" s="48" t="str">
        <f aca="false">参数!$B$3</f>
        <v>7月收入</v>
      </c>
    </row>
    <row r="691" customFormat="false" ht="13.5" hidden="false" customHeight="false" outlineLevel="0" collapsed="false">
      <c r="A691" s="47" t="n">
        <v>32</v>
      </c>
      <c r="B691" s="38" t="n">
        <f aca="false">助手收入!$B33</f>
        <v>2046</v>
      </c>
      <c r="C691" s="48" t="str">
        <f aca="false">助手收入!$C33</f>
        <v>博康店</v>
      </c>
      <c r="D691" s="48" t="str">
        <f aca="false">科目对照收入!$B9&amp;""</f>
        <v>24小时</v>
      </c>
      <c r="E691" s="48" t="str">
        <f aca="false">IF(AND(ROUND($G691,2)&lt;0,科目对照收入!$L9&lt;&gt;""),科目对照收入!$L9,科目对照收入!$C9)&amp;""</f>
        <v>应收账款</v>
      </c>
      <c r="F691" s="48" t="str">
        <f aca="false">IF(AND(ROUND($G691,2)&lt;0,科目对照收入!$L9&lt;&gt;""),科目对照收入!$M9,科目对照收入!$D9)&amp;""</f>
        <v>24小时</v>
      </c>
      <c r="G691" s="49" t="n">
        <f aca="false">IF(COUNTIFS(输入平台!$A:$A,助手收入!$X33,输入平台!$B:$B,科目对照收入!$B9)&gt;0,ROUND(SUMIFS(输入平台!$C:$C,输入平台!$A:$A,助手收入!$X33,输入平台!$B:$B,科目对照收入!$B9),2),ROUND(海典汇总!$K$34,2))</f>
        <v>0</v>
      </c>
      <c r="H691" s="49" t="str">
        <f aca="false">IF(ROUND($G691,2)&gt;0,ROUND($G691,2),"")</f>
        <v/>
      </c>
      <c r="I691" s="49" t="str">
        <f aca="false">IF(ROUND($G691,2)&lt;0,-ROUND($G691,2),"")</f>
        <v/>
      </c>
      <c r="J691" s="20" t="n">
        <f aca="false">IF(ROUND($G691,2)=0,0,1)</f>
        <v>0</v>
      </c>
      <c r="K691" s="20" t="str">
        <f aca="false">IF($J691=0,"",SUM($J$684:$J691))</f>
        <v/>
      </c>
      <c r="L691" s="20" t="str">
        <f aca="false">IF($K691="","",$A691*100+$K691)</f>
        <v/>
      </c>
      <c r="M691" s="48" t="str">
        <f aca="false">参数!$B$3</f>
        <v>7月收入</v>
      </c>
    </row>
    <row r="692" customFormat="false" ht="13.5" hidden="false" customHeight="false" outlineLevel="0" collapsed="false">
      <c r="A692" s="47" t="n">
        <v>32</v>
      </c>
      <c r="B692" s="38" t="n">
        <f aca="false">助手收入!$B33</f>
        <v>2046</v>
      </c>
      <c r="C692" s="48" t="str">
        <f aca="false">助手收入!$C33</f>
        <v>博康店</v>
      </c>
      <c r="D692" s="48" t="str">
        <f aca="false">科目对照收入!$B10&amp;""</f>
        <v>美团</v>
      </c>
      <c r="E692" s="48" t="str">
        <f aca="false">IF(AND(ROUND($G692,2)&lt;0,科目对照收入!$L10&lt;&gt;""),科目对照收入!$L10,科目对照收入!$C10)&amp;""</f>
        <v>应收账款</v>
      </c>
      <c r="F692" s="48" t="str">
        <f aca="false">IF(AND(ROUND($G692,2)&lt;0,科目对照收入!$L10&lt;&gt;""),科目对照收入!$M10,科目对照收入!$D10)&amp;""</f>
        <v>美团</v>
      </c>
      <c r="G692" s="49" t="n">
        <f aca="false">IF(COUNTIFS(输入平台!$A:$A,助手收入!$X33,输入平台!$B:$B,科目对照收入!$B10)&gt;0,ROUND(SUMIFS(输入平台!$C:$C,输入平台!$A:$A,助手收入!$X33,输入平台!$B:$B,科目对照收入!$B10),2),ROUND(海典汇总!$M$34,2))</f>
        <v>40</v>
      </c>
      <c r="H692" s="49" t="n">
        <f aca="false">IF(ROUND($G692,2)&gt;0,ROUND($G692,2),"")</f>
        <v>40</v>
      </c>
      <c r="I692" s="49" t="str">
        <f aca="false">IF(ROUND($G692,2)&lt;0,-ROUND($G692,2),"")</f>
        <v/>
      </c>
      <c r="J692" s="20" t="n">
        <f aca="false">IF(ROUND($G692,2)=0,0,1)</f>
        <v>1</v>
      </c>
      <c r="K692" s="20" t="n">
        <f aca="false">IF($J692=0,"",SUM($J$684:$J692))</f>
        <v>4</v>
      </c>
      <c r="L692" s="20" t="n">
        <f aca="false">IF($K692="","",$A692*100+$K692)</f>
        <v>3204</v>
      </c>
      <c r="M692" s="48" t="str">
        <f aca="false">参数!$B$3</f>
        <v>7月收入</v>
      </c>
    </row>
    <row r="693" customFormat="false" ht="13.5" hidden="false" customHeight="false" outlineLevel="0" collapsed="false">
      <c r="A693" s="47" t="n">
        <v>32</v>
      </c>
      <c r="B693" s="38" t="n">
        <f aca="false">助手收入!$B33</f>
        <v>2046</v>
      </c>
      <c r="C693" s="48" t="str">
        <f aca="false">助手收入!$C33</f>
        <v>博康店</v>
      </c>
      <c r="D693" s="48" t="str">
        <f aca="false">科目对照收入!$B11&amp;""</f>
        <v>饿了么</v>
      </c>
      <c r="E693" s="48" t="str">
        <f aca="false">IF(AND(ROUND($G693,2)&lt;0,科目对照收入!$L11&lt;&gt;""),科目对照收入!$L11,科目对照收入!$C11)&amp;""</f>
        <v>应收账款</v>
      </c>
      <c r="F693" s="48" t="str">
        <f aca="false">IF(AND(ROUND($G693,2)&lt;0,科目对照收入!$L11&lt;&gt;""),科目对照收入!$M11,科目对照收入!$D11)&amp;""</f>
        <v>饿了么</v>
      </c>
      <c r="G693" s="49" t="n">
        <f aca="false">IF(COUNTIFS(输入平台!$A:$A,助手收入!$X33,输入平台!$B:$B,科目对照收入!$B11)&gt;0,ROUND(SUMIFS(输入平台!$C:$C,输入平台!$A:$A,助手收入!$X33,输入平台!$B:$B,科目对照收入!$B11),2),ROUND(海典汇总!$N$34,2))</f>
        <v>0</v>
      </c>
      <c r="H693" s="49" t="str">
        <f aca="false">IF(ROUND($G693,2)&gt;0,ROUND($G693,2),"")</f>
        <v/>
      </c>
      <c r="I693" s="49" t="str">
        <f aca="false">IF(ROUND($G693,2)&lt;0,-ROUND($G693,2),"")</f>
        <v/>
      </c>
      <c r="J693" s="20" t="n">
        <f aca="false">IF(ROUND($G693,2)=0,0,1)</f>
        <v>0</v>
      </c>
      <c r="K693" s="20" t="str">
        <f aca="false">IF($J693=0,"",SUM($J$684:$J693))</f>
        <v/>
      </c>
      <c r="L693" s="20" t="str">
        <f aca="false">IF($K693="","",$A693*100+$K693)</f>
        <v/>
      </c>
      <c r="M693" s="48" t="str">
        <f aca="false">参数!$B$3</f>
        <v>7月收入</v>
      </c>
    </row>
    <row r="694" customFormat="false" ht="13.5" hidden="false" customHeight="false" outlineLevel="0" collapsed="false">
      <c r="A694" s="47" t="n">
        <v>32</v>
      </c>
      <c r="B694" s="38" t="n">
        <f aca="false">助手收入!$B33</f>
        <v>2046</v>
      </c>
      <c r="C694" s="48" t="str">
        <f aca="false">助手收入!$C33</f>
        <v>博康店</v>
      </c>
      <c r="D694" s="48" t="str">
        <f aca="false">科目对照收入!$B12&amp;""</f>
        <v>京东秒送</v>
      </c>
      <c r="E694" s="48" t="str">
        <f aca="false">IF(AND(ROUND($G694,2)&lt;0,科目对照收入!$L12&lt;&gt;""),科目对照收入!$L12,科目对照收入!$C12)&amp;""</f>
        <v>应收账款</v>
      </c>
      <c r="F694" s="48" t="str">
        <f aca="false">IF(AND(ROUND($G694,2)&lt;0,科目对照收入!$L12&lt;&gt;""),科目对照收入!$M12,科目对照收入!$D12)&amp;""</f>
        <v>京东秒送</v>
      </c>
      <c r="G694" s="49" t="n">
        <f aca="false">IF(COUNTIFS(输入平台!$A:$A,助手收入!$X33,输入平台!$B:$B,科目对照收入!$B12)&gt;0,ROUND(SUMIFS(输入平台!$C:$C,输入平台!$A:$A,助手收入!$X33,输入平台!$B:$B,科目对照收入!$B12),2),ROUND(海典汇总!$O$34,2))</f>
        <v>0</v>
      </c>
      <c r="H694" s="49" t="str">
        <f aca="false">IF(ROUND($G694,2)&gt;0,ROUND($G694,2),"")</f>
        <v/>
      </c>
      <c r="I694" s="49" t="str">
        <f aca="false">IF(ROUND($G694,2)&lt;0,-ROUND($G694,2),"")</f>
        <v/>
      </c>
      <c r="J694" s="20" t="n">
        <f aca="false">IF(ROUND($G694,2)=0,0,1)</f>
        <v>0</v>
      </c>
      <c r="K694" s="20" t="str">
        <f aca="false">IF($J694=0,"",SUM($J$684:$J694))</f>
        <v/>
      </c>
      <c r="L694" s="20" t="str">
        <f aca="false">IF($K694="","",$A694*100+$K694)</f>
        <v/>
      </c>
      <c r="M694" s="48" t="str">
        <f aca="false">参数!$B$3</f>
        <v>7月收入</v>
      </c>
    </row>
    <row r="695" customFormat="false" ht="13.5" hidden="false" customHeight="false" outlineLevel="0" collapsed="false">
      <c r="A695" s="47" t="n">
        <v>32</v>
      </c>
      <c r="B695" s="38" t="n">
        <f aca="false">助手收入!$B33</f>
        <v>2046</v>
      </c>
      <c r="C695" s="48" t="str">
        <f aca="false">助手收入!$C33</f>
        <v>博康店</v>
      </c>
      <c r="D695" s="48" t="str">
        <f aca="false">科目对照收入!$B13&amp;""</f>
        <v>银联</v>
      </c>
      <c r="E695" s="48" t="str">
        <f aca="false">IF(AND(ROUND($G695,2)&lt;0,科目对照收入!$L13&lt;&gt;""),科目对照收入!$L13,科目对照收入!$C13)&amp;""</f>
        <v>应收账款</v>
      </c>
      <c r="F695" s="48" t="str">
        <f aca="false">IF(AND(ROUND($G695,2)&lt;0,科目对照收入!$L13&lt;&gt;""),科目对照收入!$M13,科目对照收入!$D13)&amp;""</f>
        <v>银联</v>
      </c>
      <c r="G695" s="49" t="n">
        <f aca="false">IF(COUNTIFS(输入平台!$A:$A,助手收入!$X33,输入平台!$B:$B,科目对照收入!$B13)&gt;0,ROUND(SUMIFS(输入平台!$C:$C,输入平台!$A:$A,助手收入!$X33,输入平台!$B:$B,科目对照收入!$B13),2),ROUND(海典汇总!$V$34,2))</f>
        <v>0</v>
      </c>
      <c r="H695" s="49" t="str">
        <f aca="false">IF(ROUND($G695,2)&gt;0,ROUND($G695,2),"")</f>
        <v/>
      </c>
      <c r="I695" s="49" t="str">
        <f aca="false">IF(ROUND($G695,2)&lt;0,-ROUND($G695,2),"")</f>
        <v/>
      </c>
      <c r="J695" s="20" t="n">
        <f aca="false">IF(ROUND($G695,2)=0,0,1)</f>
        <v>0</v>
      </c>
      <c r="K695" s="20" t="str">
        <f aca="false">IF($J695=0,"",SUM($J$684:$J695))</f>
        <v/>
      </c>
      <c r="L695" s="20" t="str">
        <f aca="false">IF($K695="","",$A695*100+$K695)</f>
        <v/>
      </c>
      <c r="M695" s="48" t="str">
        <f aca="false">参数!$B$3</f>
        <v>7月收入</v>
      </c>
    </row>
    <row r="696" customFormat="false" ht="13.5" hidden="false" customHeight="false" outlineLevel="0" collapsed="false">
      <c r="A696" s="47" t="n">
        <v>32</v>
      </c>
      <c r="B696" s="38" t="n">
        <f aca="false">助手收入!$B33</f>
        <v>2046</v>
      </c>
      <c r="C696" s="48" t="str">
        <f aca="false">助手收入!$C33</f>
        <v>博康店</v>
      </c>
      <c r="D696" s="48" t="str">
        <f aca="false">科目对照收入!$B14&amp;""</f>
        <v>小镇外卖</v>
      </c>
      <c r="E696" s="48" t="str">
        <f aca="false">IF(AND(ROUND($G696,2)&lt;0,科目对照收入!$L14&lt;&gt;""),科目对照收入!$L14,科目对照收入!$C14)&amp;""</f>
        <v>应收账款</v>
      </c>
      <c r="F696" s="48" t="str">
        <f aca="false">IF(AND(ROUND($G696,2)&lt;0,科目对照收入!$L14&lt;&gt;""),科目对照收入!$M14,科目对照收入!$D14)&amp;""</f>
        <v>小镇外卖</v>
      </c>
      <c r="G696" s="49" t="n">
        <f aca="false">IF(COUNTIFS(输入平台!$A:$A,助手收入!$X33,输入平台!$B:$B,科目对照收入!$B14)&gt;0,ROUND(SUMIFS(输入平台!$C:$C,输入平台!$A:$A,助手收入!$X33,输入平台!$B:$B,科目对照收入!$B14),2),ROUND(海典汇总!$AC$34,2))</f>
        <v>0</v>
      </c>
      <c r="H696" s="49" t="str">
        <f aca="false">IF(ROUND($G696,2)&gt;0,ROUND($G696,2),"")</f>
        <v/>
      </c>
      <c r="I696" s="49" t="str">
        <f aca="false">IF(ROUND($G696,2)&lt;0,-ROUND($G696,2),"")</f>
        <v/>
      </c>
      <c r="J696" s="20" t="n">
        <f aca="false">IF(ROUND($G696,2)=0,0,1)</f>
        <v>0</v>
      </c>
      <c r="K696" s="20" t="str">
        <f aca="false">IF($J696=0,"",SUM($J$684:$J696))</f>
        <v/>
      </c>
      <c r="L696" s="20" t="str">
        <f aca="false">IF($K696="","",$A696*100+$K696)</f>
        <v/>
      </c>
      <c r="M696" s="48" t="str">
        <f aca="false">参数!$B$3</f>
        <v>7月收入</v>
      </c>
    </row>
    <row r="697" customFormat="false" ht="13.5" hidden="false" customHeight="false" outlineLevel="0" collapsed="false">
      <c r="A697" s="47" t="n">
        <v>32</v>
      </c>
      <c r="B697" s="38" t="n">
        <f aca="false">助手收入!$B33</f>
        <v>2046</v>
      </c>
      <c r="C697" s="48" t="str">
        <f aca="false">助手收入!$C33</f>
        <v>博康店</v>
      </c>
      <c r="D697" s="48" t="str">
        <f aca="false">科目对照收入!$B15&amp;""</f>
        <v>OMS线上支付</v>
      </c>
      <c r="E697" s="48" t="str">
        <f aca="false">IF(AND(ROUND($G697,2)&lt;0,科目对照收入!$L15&lt;&gt;""),科目对照收入!$L15,科目对照收入!$C15)&amp;""</f>
        <v>应收账款</v>
      </c>
      <c r="F697" s="48" t="str">
        <f aca="false">IF(AND(ROUND($G697,2)&lt;0,科目对照收入!$L15&lt;&gt;""),科目对照收入!$M15,科目对照收入!$D15)&amp;""</f>
        <v>OMS线上</v>
      </c>
      <c r="G697" s="49" t="n">
        <f aca="false">IF(COUNTIFS(输入平台!$A:$A,助手收入!$X33,输入平台!$B:$B,科目对照收入!$B15)&gt;0,ROUND(SUMIFS(输入平台!$C:$C,输入平台!$A:$A,助手收入!$X33,输入平台!$B:$B,科目对照收入!$B15),2),ROUND(海典汇总!$L$34,2))</f>
        <v>0</v>
      </c>
      <c r="H697" s="49" t="str">
        <f aca="false">IF(ROUND($G697,2)&gt;0,ROUND($G697,2),"")</f>
        <v/>
      </c>
      <c r="I697" s="49" t="str">
        <f aca="false">IF(ROUND($G697,2)&lt;0,-ROUND($G697,2),"")</f>
        <v/>
      </c>
      <c r="J697" s="20" t="n">
        <f aca="false">IF(ROUND($G697,2)=0,0,1)</f>
        <v>0</v>
      </c>
      <c r="K697" s="20" t="str">
        <f aca="false">IF($J697=0,"",SUM($J$684:$J697))</f>
        <v/>
      </c>
      <c r="L697" s="20" t="str">
        <f aca="false">IF($K697="","",$A697*100+$K697)</f>
        <v/>
      </c>
      <c r="M697" s="48" t="str">
        <f aca="false">参数!$B$3</f>
        <v>7月收入</v>
      </c>
    </row>
    <row r="698" customFormat="false" ht="13.5" hidden="false" customHeight="false" outlineLevel="0" collapsed="false">
      <c r="A698" s="47" t="n">
        <v>32</v>
      </c>
      <c r="B698" s="38" t="n">
        <f aca="false">助手收入!$B33</f>
        <v>2046</v>
      </c>
      <c r="C698" s="48" t="str">
        <f aca="false">助手收入!$C33</f>
        <v>博康店</v>
      </c>
      <c r="D698" s="48" t="str">
        <f aca="false">科目对照收入!$B16&amp;""</f>
        <v>平安药卡</v>
      </c>
      <c r="E698" s="48" t="str">
        <f aca="false">IF(AND(ROUND($G698,2)&lt;0,科目对照收入!$L16&lt;&gt;""),科目对照收入!$L16,科目对照收入!$C16)&amp;""</f>
        <v>应收账款</v>
      </c>
      <c r="F698" s="48" t="str">
        <f aca="false">IF(AND(ROUND($G698,2)&lt;0,科目对照收入!$L16&lt;&gt;""),科目对照收入!$M16,科目对照收入!$D16)&amp;""</f>
        <v>平安</v>
      </c>
      <c r="G698" s="49" t="n">
        <f aca="false">IF(COUNTIFS(输入平台!$A:$A,助手收入!$X33,输入平台!$B:$B,科目对照收入!$B16)&gt;0,ROUND(SUMIFS(输入平台!$C:$C,输入平台!$A:$A,助手收入!$X33,输入平台!$B:$B,科目对照收入!$B16),2),ROUND(海典汇总!$AB$34,2))</f>
        <v>0</v>
      </c>
      <c r="H698" s="49" t="str">
        <f aca="false">IF(ROUND($G698,2)&gt;0,ROUND($G698,2),"")</f>
        <v/>
      </c>
      <c r="I698" s="49" t="str">
        <f aca="false">IF(ROUND($G698,2)&lt;0,-ROUND($G698,2),"")</f>
        <v/>
      </c>
      <c r="J698" s="20" t="n">
        <f aca="false">IF(ROUND($G698,2)=0,0,1)</f>
        <v>0</v>
      </c>
      <c r="K698" s="20" t="str">
        <f aca="false">IF($J698=0,"",SUM($J$684:$J698))</f>
        <v/>
      </c>
      <c r="L698" s="20" t="str">
        <f aca="false">IF($K698="","",$A698*100+$K698)</f>
        <v/>
      </c>
      <c r="M698" s="48" t="str">
        <f aca="false">参数!$B$3</f>
        <v>7月收入</v>
      </c>
    </row>
    <row r="699" customFormat="false" ht="13.5" hidden="false" customHeight="false" outlineLevel="0" collapsed="false">
      <c r="A699" s="47" t="n">
        <v>32</v>
      </c>
      <c r="B699" s="38" t="n">
        <f aca="false">助手收入!$B33</f>
        <v>2046</v>
      </c>
      <c r="C699" s="48" t="str">
        <f aca="false">助手收入!$C33</f>
        <v>博康店</v>
      </c>
      <c r="D699" s="48" t="str">
        <f aca="false">科目对照收入!$B17&amp;""</f>
        <v>储值卡</v>
      </c>
      <c r="E699" s="48" t="str">
        <f aca="false">IF(AND(ROUND($G699,2)&lt;0,科目对照收入!$L17&lt;&gt;""),科目对照收入!$L17,科目对照收入!$C17)&amp;""</f>
        <v>其他应收款</v>
      </c>
      <c r="F699" s="48" t="str">
        <f aca="false">IF(AND(ROUND($G699,2)&lt;0,科目对照收入!$L17&lt;&gt;""),科目对照收入!$M17,科目对照收入!$D17)&amp;""</f>
        <v>储值卡</v>
      </c>
      <c r="G699" s="49" t="n">
        <f aca="false">ROUND(海典汇总!$Q$34,2)</f>
        <v>1.17</v>
      </c>
      <c r="H699" s="49" t="n">
        <f aca="false">IF(ROUND($G699,2)&gt;0,ROUND($G699,2),"")</f>
        <v>1.17</v>
      </c>
      <c r="I699" s="49" t="str">
        <f aca="false">IF(ROUND($G699,2)&lt;0,-ROUND($G699,2),"")</f>
        <v/>
      </c>
      <c r="J699" s="20" t="n">
        <f aca="false">IF(ROUND($G699,2)=0,0,1)</f>
        <v>1</v>
      </c>
      <c r="K699" s="20" t="n">
        <f aca="false">IF($J699=0,"",SUM($J$684:$J699))</f>
        <v>5</v>
      </c>
      <c r="L699" s="20" t="n">
        <f aca="false">IF($K699="","",$A699*100+$K699)</f>
        <v>3205</v>
      </c>
      <c r="M699" s="48" t="str">
        <f aca="false">参数!$B$3</f>
        <v>7月收入</v>
      </c>
    </row>
    <row r="700" customFormat="false" ht="13.5" hidden="false" customHeight="false" outlineLevel="0" collapsed="false">
      <c r="A700" s="47" t="n">
        <v>32</v>
      </c>
      <c r="B700" s="38" t="n">
        <f aca="false">助手收入!$B33</f>
        <v>2046</v>
      </c>
      <c r="C700" s="48" t="str">
        <f aca="false">助手收入!$C33</f>
        <v>博康店</v>
      </c>
      <c r="D700" s="48" t="str">
        <f aca="false">科目对照收入!$B18&amp;""</f>
        <v>会员零钱包</v>
      </c>
      <c r="E700" s="48" t="str">
        <f aca="false">IF(AND(ROUND($G700,2)&lt;0,科目对照收入!$L18&lt;&gt;""),科目对照收入!$L18,科目对照收入!$C18)&amp;""</f>
        <v>其他应收款</v>
      </c>
      <c r="F700" s="48" t="str">
        <f aca="false">IF(AND(ROUND($G700,2)&lt;0,科目对照收入!$L18&lt;&gt;""),科目对照收入!$M18,科目对照收入!$D18)&amp;""</f>
        <v>会员零钱包</v>
      </c>
      <c r="G700" s="49" t="n">
        <f aca="false">ROUND(海典汇总!$P$34,2)</f>
        <v>0</v>
      </c>
      <c r="H700" s="49" t="str">
        <f aca="false">IF(ROUND($G700,2)&gt;0,ROUND($G700,2),"")</f>
        <v/>
      </c>
      <c r="I700" s="49" t="str">
        <f aca="false">IF(ROUND($G700,2)&lt;0,-ROUND($G700,2),"")</f>
        <v/>
      </c>
      <c r="J700" s="20" t="n">
        <f aca="false">IF(ROUND($G700,2)=0,0,1)</f>
        <v>0</v>
      </c>
      <c r="K700" s="20" t="str">
        <f aca="false">IF($J700=0,"",SUM($J$684:$J700))</f>
        <v/>
      </c>
      <c r="L700" s="20" t="str">
        <f aca="false">IF($K700="","",$A700*100+$K700)</f>
        <v/>
      </c>
      <c r="M700" s="48" t="str">
        <f aca="false">参数!$B$3</f>
        <v>7月收入</v>
      </c>
    </row>
    <row r="701" customFormat="false" ht="13.5" hidden="false" customHeight="false" outlineLevel="0" collapsed="false">
      <c r="A701" s="47" t="n">
        <v>32</v>
      </c>
      <c r="B701" s="38" t="n">
        <f aca="false">助手收入!$B33</f>
        <v>2046</v>
      </c>
      <c r="C701" s="48" t="str">
        <f aca="false">助手收入!$C33</f>
        <v>博康店</v>
      </c>
      <c r="D701" s="48" t="str">
        <f aca="false">科目对照收入!$B19&amp;""</f>
        <v>促销费</v>
      </c>
      <c r="E701" s="48" t="str">
        <f aca="false">IF(AND(ROUND($G701,2)&lt;0,科目对照收入!$L19&lt;&gt;""),科目对照收入!$L19,科目对照收入!$C19)&amp;""</f>
        <v>销售费用</v>
      </c>
      <c r="F701" s="48" t="str">
        <f aca="false">IF(AND(ROUND($G701,2)&lt;0,科目对照收入!$L19&lt;&gt;""),科目对照收入!$M19,科目对照收入!$D19)&amp;""</f>
        <v>促销费</v>
      </c>
      <c r="G701" s="49" t="n">
        <f aca="false">ROUND(海典汇总!$U$34+海典汇总!$T$34+海典汇总!$S$34,2)</f>
        <v>737.5</v>
      </c>
      <c r="H701" s="49" t="n">
        <f aca="false">IF(ROUND($G701,2)&gt;0,ROUND($G701,2),"")</f>
        <v>737.5</v>
      </c>
      <c r="I701" s="49" t="str">
        <f aca="false">IF(ROUND($G701,2)&lt;0,-ROUND($G701,2),"")</f>
        <v/>
      </c>
      <c r="J701" s="20" t="n">
        <f aca="false">IF(ROUND($G701,2)=0,0,1)</f>
        <v>1</v>
      </c>
      <c r="K701" s="20" t="n">
        <f aca="false">IF($J701=0,"",SUM($J$684:$J701))</f>
        <v>6</v>
      </c>
      <c r="L701" s="20" t="n">
        <f aca="false">IF($K701="","",$A701*100+$K701)</f>
        <v>3206</v>
      </c>
      <c r="M701" s="48" t="str">
        <f aca="false">参数!$B$3</f>
        <v>7月收入</v>
      </c>
    </row>
    <row r="702" customFormat="false" ht="13.5" hidden="false" customHeight="false" outlineLevel="0" collapsed="false">
      <c r="A702" s="47" t="n">
        <v>32</v>
      </c>
      <c r="B702" s="38" t="n">
        <f aca="false">助手收入!$B33</f>
        <v>2046</v>
      </c>
      <c r="C702" s="48" t="str">
        <f aca="false">助手收入!$C33</f>
        <v>博康店</v>
      </c>
      <c r="D702" s="48" t="str">
        <f aca="false">科目对照收入!$B20&amp;""</f>
        <v>积分</v>
      </c>
      <c r="E702" s="48" t="str">
        <f aca="false">IF(AND(ROUND($G702,2)&lt;0,科目对照收入!$L20&lt;&gt;""),科目对照收入!$L20,科目对照收入!$C20)&amp;""</f>
        <v>销售费用</v>
      </c>
      <c r="F702" s="48" t="str">
        <f aca="false">IF(AND(ROUND($G702,2)&lt;0,科目对照收入!$L20&lt;&gt;""),科目对照收入!$M20,科目对照收入!$D20)&amp;""</f>
        <v>积分</v>
      </c>
      <c r="G702" s="49" t="n">
        <f aca="false">ROUND(海典汇总!$R$34,2)</f>
        <v>0</v>
      </c>
      <c r="H702" s="49" t="str">
        <f aca="false">IF(ROUND($G702,2)&gt;0,ROUND($G702,2),"")</f>
        <v/>
      </c>
      <c r="I702" s="49" t="str">
        <f aca="false">IF(ROUND($G702,2)&lt;0,-ROUND($G702,2),"")</f>
        <v/>
      </c>
      <c r="J702" s="20" t="n">
        <f aca="false">IF(ROUND($G702,2)=0,0,1)</f>
        <v>0</v>
      </c>
      <c r="K702" s="20" t="str">
        <f aca="false">IF($J702=0,"",SUM($J$684:$J702))</f>
        <v/>
      </c>
      <c r="L702" s="20" t="str">
        <f aca="false">IF($K702="","",$A702*100+$K702)</f>
        <v/>
      </c>
      <c r="M702" s="48" t="str">
        <f aca="false">参数!$B$3</f>
        <v>7月收入</v>
      </c>
    </row>
    <row r="703" customFormat="false" ht="13.5" hidden="false" customHeight="false" outlineLevel="0" collapsed="false">
      <c r="A703" s="47" t="n">
        <v>32</v>
      </c>
      <c r="B703" s="38" t="n">
        <f aca="false">助手收入!$B33</f>
        <v>2046</v>
      </c>
      <c r="C703" s="48" t="str">
        <f aca="false">助手收入!$C33</f>
        <v>博康店</v>
      </c>
      <c r="D703" s="48" t="str">
        <f aca="false">科目对照收入!$B21&amp;""</f>
        <v>手续费</v>
      </c>
      <c r="E703" s="48" t="str">
        <f aca="false">IF(AND(ROUND($G703,2)&lt;0,科目对照收入!$L21&lt;&gt;""),科目对照收入!$L21,科目对照收入!$C21)&amp;""</f>
        <v>财务费用</v>
      </c>
      <c r="F703" s="48" t="str">
        <f aca="false">IF(AND(ROUND($G703,2)&lt;0,科目对照收入!$L21&lt;&gt;""),科目对照收入!$M21,科目对照收入!$D21)&amp;""</f>
        <v>手续费</v>
      </c>
      <c r="G703" s="49" t="n">
        <f aca="false">ROUND(SUMIFS(输入聚合!$D:$D,输入聚合!$A:$A,助手收入!$X33),2)</f>
        <v>51.29</v>
      </c>
      <c r="H703" s="49" t="n">
        <f aca="false">IF(ROUND($G703,2)&gt;0,ROUND($G703,2),"")</f>
        <v>51.29</v>
      </c>
      <c r="I703" s="49" t="str">
        <f aca="false">IF(ROUND($G703,2)&lt;0,-ROUND($G703,2),"")</f>
        <v/>
      </c>
      <c r="J703" s="20" t="n">
        <f aca="false">IF(ROUND($G703,2)=0,0,1)</f>
        <v>1</v>
      </c>
      <c r="K703" s="20" t="n">
        <f aca="false">IF($J703=0,"",SUM($J$684:$J703))</f>
        <v>7</v>
      </c>
      <c r="L703" s="20" t="n">
        <f aca="false">IF($K703="","",$A703*100+$K703)</f>
        <v>3207</v>
      </c>
      <c r="M703" s="48" t="str">
        <f aca="false">参数!$B$3</f>
        <v>7月收入</v>
      </c>
    </row>
    <row r="704" customFormat="false" ht="13.5" hidden="false" customHeight="false" outlineLevel="0" collapsed="false">
      <c r="A704" s="47" t="n">
        <v>32</v>
      </c>
      <c r="B704" s="38" t="n">
        <f aca="false">助手收入!$B33</f>
        <v>2046</v>
      </c>
      <c r="C704" s="48" t="str">
        <f aca="false">助手收入!$C33</f>
        <v>博康店</v>
      </c>
      <c r="D704" s="48" t="str">
        <f aca="false">科目对照收入!$B22&amp;""</f>
        <v>主营业务收入</v>
      </c>
      <c r="E704" s="48" t="str">
        <f aca="false">IF(AND(ROUND($G704,2)&lt;0,科目对照收入!$L22&lt;&gt;""),科目对照收入!$L22,科目对照收入!$C22)&amp;""</f>
        <v>主营业务收入</v>
      </c>
      <c r="F704" s="48" t="str">
        <f aca="false">IF(AND(ROUND($G704,2)&lt;0,科目对照收入!$L22&lt;&gt;""),科目对照收入!$M22,科目对照收入!$D22)&amp;""</f>
        <v/>
      </c>
      <c r="G704" s="49" t="n">
        <f aca="false">-ROUND(助手收入!$G33,2)</f>
        <v>-25428.7</v>
      </c>
      <c r="H704" s="49" t="str">
        <f aca="false">IF(ROUND($G704,2)&gt;0,ROUND($G704,2),"")</f>
        <v/>
      </c>
      <c r="I704" s="49" t="n">
        <f aca="false">IF(ROUND($G704,2)&lt;0,-ROUND($G704,2),"")</f>
        <v>25428.7</v>
      </c>
      <c r="J704" s="20" t="n">
        <f aca="false">IF(ROUND($G704,2)=0,0,1)</f>
        <v>1</v>
      </c>
      <c r="K704" s="20" t="n">
        <f aca="false">IF($J704=0,"",SUM($J$684:$J704))</f>
        <v>8</v>
      </c>
      <c r="L704" s="20" t="n">
        <f aca="false">IF($K704="","",$A704*100+$K704)</f>
        <v>3208</v>
      </c>
      <c r="M704" s="48" t="str">
        <f aca="false">参数!$B$3</f>
        <v>7月收入</v>
      </c>
    </row>
    <row r="705" customFormat="false" ht="13.5" hidden="false" customHeight="false" outlineLevel="0" collapsed="false">
      <c r="A705" s="47" t="n">
        <v>32</v>
      </c>
      <c r="B705" s="38" t="n">
        <f aca="false">助手收入!$B33</f>
        <v>2046</v>
      </c>
      <c r="C705" s="48" t="str">
        <f aca="false">助手收入!$C33</f>
        <v>博康店</v>
      </c>
      <c r="D705" s="48" t="str">
        <f aca="false">科目对照收入!$B23&amp;""</f>
        <v>营业外收入</v>
      </c>
      <c r="E705" s="48" t="str">
        <f aca="false">IF(AND(ROUND($G705,2)&lt;0,科目对照收入!$L23&lt;&gt;""),科目对照收入!$L23,科目对照收入!$C23)&amp;""</f>
        <v>营业外收入</v>
      </c>
      <c r="F705" s="48" t="str">
        <f aca="false">IF(AND(ROUND($G705,2)&lt;0,科目对照收入!$L23&lt;&gt;""),科目对照收入!$M23,科目对照收入!$D23)&amp;""</f>
        <v/>
      </c>
      <c r="G705" s="49" t="n">
        <f aca="false">-ROUND(助手收入!$J33,2)</f>
        <v>-0</v>
      </c>
      <c r="H705" s="49" t="str">
        <f aca="false">IF(ROUND($G705,2)&gt;0,ROUND($G705,2),"")</f>
        <v/>
      </c>
      <c r="I705" s="49" t="str">
        <f aca="false">IF(ROUND($G705,2)&lt;0,-ROUND($G705,2),"")</f>
        <v/>
      </c>
      <c r="J705" s="20" t="n">
        <f aca="false">IF(ROUND($G705,2)=0,0,1)</f>
        <v>0</v>
      </c>
      <c r="K705" s="20" t="str">
        <f aca="false">IF($J705=0,"",SUM($J$684:$J705))</f>
        <v/>
      </c>
      <c r="L705" s="20" t="str">
        <f aca="false">IF($K705="","",$A705*100+$K705)</f>
        <v/>
      </c>
      <c r="M705" s="48" t="str">
        <f aca="false">参数!$B$3</f>
        <v>7月收入</v>
      </c>
    </row>
    <row r="706" customFormat="false" ht="13.5" hidden="false" customHeight="false" outlineLevel="0" collapsed="false">
      <c r="A706" s="47" t="n">
        <v>33</v>
      </c>
      <c r="B706" s="38" t="n">
        <f aca="false">助手收入!$B34</f>
        <v>2047</v>
      </c>
      <c r="C706" s="48" t="str">
        <f aca="false">助手收入!$C34</f>
        <v>博联店</v>
      </c>
      <c r="D706" s="48" t="str">
        <f aca="false">科目对照收入!$B2&amp;""</f>
        <v>库存现金</v>
      </c>
      <c r="E706" s="48" t="str">
        <f aca="false">IF(AND(ROUND($G706,2)&lt;0,科目对照收入!$L2&lt;&gt;""),科目对照收入!$L2,科目对照收入!$C2)&amp;""</f>
        <v>库存现金</v>
      </c>
      <c r="F706" s="48" t="str">
        <f aca="false">IF(AND(ROUND($G706,2)&lt;0,科目对照收入!$L2&lt;&gt;""),科目对照收入!$M2,科目对照收入!$D2)&amp;""</f>
        <v/>
      </c>
      <c r="G706" s="49" t="n">
        <f aca="false">助手收入!$I34</f>
        <v>2872.93</v>
      </c>
      <c r="H706" s="49" t="n">
        <f aca="false">IF(ROUND($G706,2)&gt;0,ROUND($G706,2),"")</f>
        <v>2872.93</v>
      </c>
      <c r="I706" s="49" t="str">
        <f aca="false">IF(ROUND($G706,2)&lt;0,-ROUND($G706,2),"")</f>
        <v/>
      </c>
      <c r="J706" s="20" t="n">
        <f aca="false">IF(ROUND($G706,2)=0,0,1)</f>
        <v>1</v>
      </c>
      <c r="K706" s="20" t="n">
        <f aca="false">IF($J706=0,"",SUM($J$706:$J706))</f>
        <v>1</v>
      </c>
      <c r="L706" s="20" t="n">
        <f aca="false">IF($K706="","",$A706*100+$K706)</f>
        <v>3301</v>
      </c>
      <c r="M706" s="48" t="str">
        <f aca="false">参数!$B$3</f>
        <v>7月收入</v>
      </c>
    </row>
    <row r="707" customFormat="false" ht="13.5" hidden="false" customHeight="false" outlineLevel="0" collapsed="false">
      <c r="A707" s="47" t="n">
        <v>33</v>
      </c>
      <c r="B707" s="38" t="n">
        <f aca="false">助手收入!$B34</f>
        <v>2047</v>
      </c>
      <c r="C707" s="48" t="str">
        <f aca="false">助手收入!$C34</f>
        <v>博联店</v>
      </c>
      <c r="D707" s="48" t="str">
        <f aca="false">科目对照收入!$B3&amp;""</f>
        <v>聚合支付</v>
      </c>
      <c r="E707" s="48" t="str">
        <f aca="false">IF(AND(ROUND($G707,2)&lt;0,科目对照收入!$L3&lt;&gt;""),科目对照收入!$L3,科目对照收入!$C3)&amp;""</f>
        <v>应收账款</v>
      </c>
      <c r="F707" s="48" t="str">
        <f aca="false">IF(AND(ROUND($G707,2)&lt;0,科目对照收入!$L3&lt;&gt;""),科目对照收入!$M3,科目对照收入!$D3)&amp;""</f>
        <v>聚合支付</v>
      </c>
      <c r="G707" s="49" t="n">
        <f aca="false">ROUND(SUMIFS(输入聚合!$C:$C,输入聚合!$A:$A,助手收入!$X34)-SUMIFS(输入聚合!$D:$D,输入聚合!$A:$A,助手收入!$X34),2)</f>
        <v>13197.59</v>
      </c>
      <c r="H707" s="49" t="n">
        <f aca="false">IF(ROUND($G707,2)&gt;0,ROUND($G707,2),"")</f>
        <v>13197.59</v>
      </c>
      <c r="I707" s="49" t="str">
        <f aca="false">IF(ROUND($G707,2)&lt;0,-ROUND($G707,2),"")</f>
        <v/>
      </c>
      <c r="J707" s="20" t="n">
        <f aca="false">IF(ROUND($G707,2)=0,0,1)</f>
        <v>1</v>
      </c>
      <c r="K707" s="20" t="n">
        <f aca="false">IF($J707=0,"",SUM($J$706:$J707))</f>
        <v>2</v>
      </c>
      <c r="L707" s="20" t="n">
        <f aca="false">IF($K707="","",$A707*100+$K707)</f>
        <v>3302</v>
      </c>
      <c r="M707" s="48" t="str">
        <f aca="false">参数!$B$3</f>
        <v>7月收入</v>
      </c>
    </row>
    <row r="708" customFormat="false" ht="13.5" hidden="false" customHeight="false" outlineLevel="0" collapsed="false">
      <c r="A708" s="47" t="n">
        <v>33</v>
      </c>
      <c r="B708" s="38" t="n">
        <f aca="false">助手收入!$B34</f>
        <v>2047</v>
      </c>
      <c r="C708" s="48" t="str">
        <f aca="false">助手收入!$C34</f>
        <v>博联店</v>
      </c>
      <c r="D708" s="48" t="str">
        <f aca="false">科目对照收入!$B4&amp;""</f>
        <v>医保</v>
      </c>
      <c r="E708" s="48" t="str">
        <f aca="false">IF(AND(ROUND($G708,2)&lt;0,科目对照收入!$L4&lt;&gt;""),科目对照收入!$L4,科目对照收入!$C4)&amp;""</f>
        <v>应收账款</v>
      </c>
      <c r="F708" s="48" t="str">
        <f aca="false">IF(AND(ROUND($G708,2)&lt;0,科目对照收入!$L4&lt;&gt;""),科目对照收入!$M4,科目对照收入!$D4)&amp;""</f>
        <v>医保</v>
      </c>
      <c r="G708" s="49" t="n">
        <f aca="false">IF(COUNTIFS(输入平台!$A:$A,助手收入!$X34,输入平台!$B:$B,科目对照收入!$B4)&gt;0,ROUND(SUMIFS(输入平台!$C:$C,输入平台!$A:$A,助手收入!$X34,输入平台!$B:$B,科目对照收入!$B4),2),ROUND(海典汇总!$F$35+海典汇总!$G$35,2))</f>
        <v>4429.41</v>
      </c>
      <c r="H708" s="49" t="n">
        <f aca="false">IF(ROUND($G708,2)&gt;0,ROUND($G708,2),"")</f>
        <v>4429.41</v>
      </c>
      <c r="I708" s="49" t="str">
        <f aca="false">IF(ROUND($G708,2)&lt;0,-ROUND($G708,2),"")</f>
        <v/>
      </c>
      <c r="J708" s="20" t="n">
        <f aca="false">IF(ROUND($G708,2)=0,0,1)</f>
        <v>1</v>
      </c>
      <c r="K708" s="20" t="n">
        <f aca="false">IF($J708=0,"",SUM($J$706:$J708))</f>
        <v>3</v>
      </c>
      <c r="L708" s="20" t="n">
        <f aca="false">IF($K708="","",$A708*100+$K708)</f>
        <v>3303</v>
      </c>
      <c r="M708" s="48" t="str">
        <f aca="false">参数!$B$3</f>
        <v>7月收入</v>
      </c>
    </row>
    <row r="709" customFormat="false" ht="13.5" hidden="false" customHeight="false" outlineLevel="0" collapsed="false">
      <c r="A709" s="47" t="n">
        <v>33</v>
      </c>
      <c r="B709" s="38" t="n">
        <f aca="false">助手收入!$B34</f>
        <v>2047</v>
      </c>
      <c r="C709" s="48" t="str">
        <f aca="false">助手收入!$C34</f>
        <v>博联店</v>
      </c>
      <c r="D709" s="48" t="str">
        <f aca="false">科目对照收入!$B5&amp;""</f>
        <v>健e卡</v>
      </c>
      <c r="E709" s="48" t="str">
        <f aca="false">IF(AND(ROUND($G709,2)&lt;0,科目对照收入!$L5&lt;&gt;""),科目对照收入!$L5,科目对照收入!$C5)&amp;""</f>
        <v>应收账款</v>
      </c>
      <c r="F709" s="48" t="str">
        <f aca="false">IF(AND(ROUND($G709,2)&lt;0,科目对照收入!$L5&lt;&gt;""),科目对照收入!$M5,科目对照收入!$D5)&amp;""</f>
        <v>健e卡</v>
      </c>
      <c r="G709" s="49" t="n">
        <f aca="false">IF(COUNTIFS(输入平台!$A:$A,助手收入!$X34,输入平台!$B:$B,科目对照收入!$B5)&gt;0,ROUND(SUMIFS(输入平台!$C:$C,输入平台!$A:$A,助手收入!$X34,输入平台!$B:$B,科目对照收入!$B5),2),ROUND(海典汇总!$H$35,2))</f>
        <v>0</v>
      </c>
      <c r="H709" s="49" t="str">
        <f aca="false">IF(ROUND($G709,2)&gt;0,ROUND($G709,2),"")</f>
        <v/>
      </c>
      <c r="I709" s="49" t="str">
        <f aca="false">IF(ROUND($G709,2)&lt;0,-ROUND($G709,2),"")</f>
        <v/>
      </c>
      <c r="J709" s="20" t="n">
        <f aca="false">IF(ROUND($G709,2)=0,0,1)</f>
        <v>0</v>
      </c>
      <c r="K709" s="20" t="str">
        <f aca="false">IF($J709=0,"",SUM($J$706:$J709))</f>
        <v/>
      </c>
      <c r="L709" s="20" t="str">
        <f aca="false">IF($K709="","",$A709*100+$K709)</f>
        <v/>
      </c>
      <c r="M709" s="48" t="str">
        <f aca="false">参数!$B$3</f>
        <v>7月收入</v>
      </c>
    </row>
    <row r="710" customFormat="false" ht="13.5" hidden="false" customHeight="false" outlineLevel="0" collapsed="false">
      <c r="A710" s="47" t="n">
        <v>33</v>
      </c>
      <c r="B710" s="38" t="n">
        <f aca="false">助手收入!$B34</f>
        <v>2047</v>
      </c>
      <c r="C710" s="48" t="str">
        <f aca="false">助手收入!$C34</f>
        <v>博联店</v>
      </c>
      <c r="D710" s="48" t="str">
        <f aca="false">科目对照收入!$B6&amp;""</f>
        <v>医卡通</v>
      </c>
      <c r="E710" s="48" t="str">
        <f aca="false">IF(AND(ROUND($G710,2)&lt;0,科目对照收入!$L6&lt;&gt;""),科目对照收入!$L6,科目对照收入!$C6)&amp;""</f>
        <v>应收账款</v>
      </c>
      <c r="F710" s="48" t="str">
        <f aca="false">IF(AND(ROUND($G710,2)&lt;0,科目对照收入!$L6&lt;&gt;""),科目对照收入!$M6,科目对照收入!$D6)&amp;""</f>
        <v>医卡通</v>
      </c>
      <c r="G710" s="49" t="n">
        <f aca="false">IF(COUNTIFS(输入平台!$A:$A,助手收入!$X34,输入平台!$B:$B,科目对照收入!$B6)&gt;0,ROUND(SUMIFS(输入平台!$C:$C,输入平台!$A:$A,助手收入!$X34,输入平台!$B:$B,科目对照收入!$B6),2),ROUND(海典汇总!$I$35,2))</f>
        <v>0</v>
      </c>
      <c r="H710" s="49" t="str">
        <f aca="false">IF(ROUND($G710,2)&gt;0,ROUND($G710,2),"")</f>
        <v/>
      </c>
      <c r="I710" s="49" t="str">
        <f aca="false">IF(ROUND($G710,2)&lt;0,-ROUND($G710,2),"")</f>
        <v/>
      </c>
      <c r="J710" s="20" t="n">
        <f aca="false">IF(ROUND($G710,2)=0,0,1)</f>
        <v>0</v>
      </c>
      <c r="K710" s="20" t="str">
        <f aca="false">IF($J710=0,"",SUM($J$706:$J710))</f>
        <v/>
      </c>
      <c r="L710" s="20" t="str">
        <f aca="false">IF($K710="","",$A710*100+$K710)</f>
        <v/>
      </c>
      <c r="M710" s="48" t="str">
        <f aca="false">参数!$B$3</f>
        <v>7月收入</v>
      </c>
    </row>
    <row r="711" customFormat="false" ht="13.5" hidden="false" customHeight="false" outlineLevel="0" collapsed="false">
      <c r="A711" s="47" t="n">
        <v>33</v>
      </c>
      <c r="B711" s="38" t="n">
        <f aca="false">助手收入!$B34</f>
        <v>2047</v>
      </c>
      <c r="C711" s="48" t="str">
        <f aca="false">助手收入!$C34</f>
        <v>博联店</v>
      </c>
      <c r="D711" s="48" t="str">
        <f aca="false">科目对照收入!$B7&amp;""</f>
        <v>企健网</v>
      </c>
      <c r="E711" s="48" t="str">
        <f aca="false">IF(AND(ROUND($G711,2)&lt;0,科目对照收入!$L7&lt;&gt;""),科目对照收入!$L7,科目对照收入!$C7)&amp;""</f>
        <v>应收账款</v>
      </c>
      <c r="F711" s="48" t="str">
        <f aca="false">IF(AND(ROUND($G711,2)&lt;0,科目对照收入!$L7&lt;&gt;""),科目对照收入!$M7,科目对照收入!$D7)&amp;""</f>
        <v>企健网</v>
      </c>
      <c r="G711" s="49" t="n">
        <f aca="false">IF(COUNTIFS(输入平台!$A:$A,助手收入!$X34,输入平台!$B:$B,科目对照收入!$B7)&gt;0,ROUND(SUMIFS(输入平台!$C:$C,输入平台!$A:$A,助手收入!$X34,输入平台!$B:$B,科目对照收入!$B7),2),ROUND(海典汇总!$J$35,2))</f>
        <v>0</v>
      </c>
      <c r="H711" s="49" t="str">
        <f aca="false">IF(ROUND($G711,2)&gt;0,ROUND($G711,2),"")</f>
        <v/>
      </c>
      <c r="I711" s="49" t="str">
        <f aca="false">IF(ROUND($G711,2)&lt;0,-ROUND($G711,2),"")</f>
        <v/>
      </c>
      <c r="J711" s="20" t="n">
        <f aca="false">IF(ROUND($G711,2)=0,0,1)</f>
        <v>0</v>
      </c>
      <c r="K711" s="20" t="str">
        <f aca="false">IF($J711=0,"",SUM($J$706:$J711))</f>
        <v/>
      </c>
      <c r="L711" s="20" t="str">
        <f aca="false">IF($K711="","",$A711*100+$K711)</f>
        <v/>
      </c>
      <c r="M711" s="48" t="str">
        <f aca="false">参数!$B$3</f>
        <v>7月收入</v>
      </c>
    </row>
    <row r="712" customFormat="false" ht="13.5" hidden="false" customHeight="false" outlineLevel="0" collapsed="false">
      <c r="A712" s="47" t="n">
        <v>33</v>
      </c>
      <c r="B712" s="38" t="n">
        <f aca="false">助手收入!$B34</f>
        <v>2047</v>
      </c>
      <c r="C712" s="48" t="str">
        <f aca="false">助手收入!$C34</f>
        <v>博联店</v>
      </c>
      <c r="D712" s="48" t="str">
        <f aca="false">科目对照收入!$B8&amp;""</f>
        <v>亲情卡</v>
      </c>
      <c r="E712" s="48" t="str">
        <f aca="false">IF(AND(ROUND($G712,2)&lt;0,科目对照收入!$L8&lt;&gt;""),科目对照收入!$L8,科目对照收入!$C8)&amp;""</f>
        <v>应收账款</v>
      </c>
      <c r="F712" s="48" t="str">
        <f aca="false">IF(AND(ROUND($G712,2)&lt;0,科目对照收入!$L8&lt;&gt;""),科目对照收入!$M8,科目对照收入!$D8)&amp;""</f>
        <v>亲情卡</v>
      </c>
      <c r="G712" s="49" t="n">
        <f aca="false">IF(COUNTIFS(输入平台!$A:$A,助手收入!$X34,输入平台!$B:$B,科目对照收入!$B8)&gt;0,ROUND(SUMIFS(输入平台!$C:$C,输入平台!$A:$A,助手收入!$X34,输入平台!$B:$B,科目对照收入!$B8),2),ROUND(海典汇总!$Z$35,2))</f>
        <v>0</v>
      </c>
      <c r="H712" s="49" t="str">
        <f aca="false">IF(ROUND($G712,2)&gt;0,ROUND($G712,2),"")</f>
        <v/>
      </c>
      <c r="I712" s="49" t="str">
        <f aca="false">IF(ROUND($G712,2)&lt;0,-ROUND($G712,2),"")</f>
        <v/>
      </c>
      <c r="J712" s="20" t="n">
        <f aca="false">IF(ROUND($G712,2)=0,0,1)</f>
        <v>0</v>
      </c>
      <c r="K712" s="20" t="str">
        <f aca="false">IF($J712=0,"",SUM($J$706:$J712))</f>
        <v/>
      </c>
      <c r="L712" s="20" t="str">
        <f aca="false">IF($K712="","",$A712*100+$K712)</f>
        <v/>
      </c>
      <c r="M712" s="48" t="str">
        <f aca="false">参数!$B$3</f>
        <v>7月收入</v>
      </c>
    </row>
    <row r="713" customFormat="false" ht="13.5" hidden="false" customHeight="false" outlineLevel="0" collapsed="false">
      <c r="A713" s="47" t="n">
        <v>33</v>
      </c>
      <c r="B713" s="38" t="n">
        <f aca="false">助手收入!$B34</f>
        <v>2047</v>
      </c>
      <c r="C713" s="48" t="str">
        <f aca="false">助手收入!$C34</f>
        <v>博联店</v>
      </c>
      <c r="D713" s="48" t="str">
        <f aca="false">科目对照收入!$B9&amp;""</f>
        <v>24小时</v>
      </c>
      <c r="E713" s="48" t="str">
        <f aca="false">IF(AND(ROUND($G713,2)&lt;0,科目对照收入!$L9&lt;&gt;""),科目对照收入!$L9,科目对照收入!$C9)&amp;""</f>
        <v>应收账款</v>
      </c>
      <c r="F713" s="48" t="str">
        <f aca="false">IF(AND(ROUND($G713,2)&lt;0,科目对照收入!$L9&lt;&gt;""),科目对照收入!$M9,科目对照收入!$D9)&amp;""</f>
        <v>24小时</v>
      </c>
      <c r="G713" s="49" t="n">
        <f aca="false">IF(COUNTIFS(输入平台!$A:$A,助手收入!$X34,输入平台!$B:$B,科目对照收入!$B9)&gt;0,ROUND(SUMIFS(输入平台!$C:$C,输入平台!$A:$A,助手收入!$X34,输入平台!$B:$B,科目对照收入!$B9),2),ROUND(海典汇总!$K$35,2))</f>
        <v>0</v>
      </c>
      <c r="H713" s="49" t="str">
        <f aca="false">IF(ROUND($G713,2)&gt;0,ROUND($G713,2),"")</f>
        <v/>
      </c>
      <c r="I713" s="49" t="str">
        <f aca="false">IF(ROUND($G713,2)&lt;0,-ROUND($G713,2),"")</f>
        <v/>
      </c>
      <c r="J713" s="20" t="n">
        <f aca="false">IF(ROUND($G713,2)=0,0,1)</f>
        <v>0</v>
      </c>
      <c r="K713" s="20" t="str">
        <f aca="false">IF($J713=0,"",SUM($J$706:$J713))</f>
        <v/>
      </c>
      <c r="L713" s="20" t="str">
        <f aca="false">IF($K713="","",$A713*100+$K713)</f>
        <v/>
      </c>
      <c r="M713" s="48" t="str">
        <f aca="false">参数!$B$3</f>
        <v>7月收入</v>
      </c>
    </row>
    <row r="714" customFormat="false" ht="13.5" hidden="false" customHeight="false" outlineLevel="0" collapsed="false">
      <c r="A714" s="47" t="n">
        <v>33</v>
      </c>
      <c r="B714" s="38" t="n">
        <f aca="false">助手收入!$B34</f>
        <v>2047</v>
      </c>
      <c r="C714" s="48" t="str">
        <f aca="false">助手收入!$C34</f>
        <v>博联店</v>
      </c>
      <c r="D714" s="48" t="str">
        <f aca="false">科目对照收入!$B10&amp;""</f>
        <v>美团</v>
      </c>
      <c r="E714" s="48" t="str">
        <f aca="false">IF(AND(ROUND($G714,2)&lt;0,科目对照收入!$L10&lt;&gt;""),科目对照收入!$L10,科目对照收入!$C10)&amp;""</f>
        <v>应收账款</v>
      </c>
      <c r="F714" s="48" t="str">
        <f aca="false">IF(AND(ROUND($G714,2)&lt;0,科目对照收入!$L10&lt;&gt;""),科目对照收入!$M10,科目对照收入!$D10)&amp;""</f>
        <v>美团</v>
      </c>
      <c r="G714" s="49" t="n">
        <f aca="false">IF(COUNTIFS(输入平台!$A:$A,助手收入!$X34,输入平台!$B:$B,科目对照收入!$B10)&gt;0,ROUND(SUMIFS(输入平台!$C:$C,输入平台!$A:$A,助手收入!$X34,输入平台!$B:$B,科目对照收入!$B10),2),ROUND(海典汇总!$M$35,2))</f>
        <v>0</v>
      </c>
      <c r="H714" s="49" t="str">
        <f aca="false">IF(ROUND($G714,2)&gt;0,ROUND($G714,2),"")</f>
        <v/>
      </c>
      <c r="I714" s="49" t="str">
        <f aca="false">IF(ROUND($G714,2)&lt;0,-ROUND($G714,2),"")</f>
        <v/>
      </c>
      <c r="J714" s="20" t="n">
        <f aca="false">IF(ROUND($G714,2)=0,0,1)</f>
        <v>0</v>
      </c>
      <c r="K714" s="20" t="str">
        <f aca="false">IF($J714=0,"",SUM($J$706:$J714))</f>
        <v/>
      </c>
      <c r="L714" s="20" t="str">
        <f aca="false">IF($K714="","",$A714*100+$K714)</f>
        <v/>
      </c>
      <c r="M714" s="48" t="str">
        <f aca="false">参数!$B$3</f>
        <v>7月收入</v>
      </c>
    </row>
    <row r="715" customFormat="false" ht="13.5" hidden="false" customHeight="false" outlineLevel="0" collapsed="false">
      <c r="A715" s="47" t="n">
        <v>33</v>
      </c>
      <c r="B715" s="38" t="n">
        <f aca="false">助手收入!$B34</f>
        <v>2047</v>
      </c>
      <c r="C715" s="48" t="str">
        <f aca="false">助手收入!$C34</f>
        <v>博联店</v>
      </c>
      <c r="D715" s="48" t="str">
        <f aca="false">科目对照收入!$B11&amp;""</f>
        <v>饿了么</v>
      </c>
      <c r="E715" s="48" t="str">
        <f aca="false">IF(AND(ROUND($G715,2)&lt;0,科目对照收入!$L11&lt;&gt;""),科目对照收入!$L11,科目对照收入!$C11)&amp;""</f>
        <v>应收账款</v>
      </c>
      <c r="F715" s="48" t="str">
        <f aca="false">IF(AND(ROUND($G715,2)&lt;0,科目对照收入!$L11&lt;&gt;""),科目对照收入!$M11,科目对照收入!$D11)&amp;""</f>
        <v>饿了么</v>
      </c>
      <c r="G715" s="49" t="n">
        <f aca="false">IF(COUNTIFS(输入平台!$A:$A,助手收入!$X34,输入平台!$B:$B,科目对照收入!$B11)&gt;0,ROUND(SUMIFS(输入平台!$C:$C,输入平台!$A:$A,助手收入!$X34,输入平台!$B:$B,科目对照收入!$B11),2),ROUND(海典汇总!$N$35,2))</f>
        <v>0</v>
      </c>
      <c r="H715" s="49" t="str">
        <f aca="false">IF(ROUND($G715,2)&gt;0,ROUND($G715,2),"")</f>
        <v/>
      </c>
      <c r="I715" s="49" t="str">
        <f aca="false">IF(ROUND($G715,2)&lt;0,-ROUND($G715,2),"")</f>
        <v/>
      </c>
      <c r="J715" s="20" t="n">
        <f aca="false">IF(ROUND($G715,2)=0,0,1)</f>
        <v>0</v>
      </c>
      <c r="K715" s="20" t="str">
        <f aca="false">IF($J715=0,"",SUM($J$706:$J715))</f>
        <v/>
      </c>
      <c r="L715" s="20" t="str">
        <f aca="false">IF($K715="","",$A715*100+$K715)</f>
        <v/>
      </c>
      <c r="M715" s="48" t="str">
        <f aca="false">参数!$B$3</f>
        <v>7月收入</v>
      </c>
    </row>
    <row r="716" customFormat="false" ht="13.5" hidden="false" customHeight="false" outlineLevel="0" collapsed="false">
      <c r="A716" s="47" t="n">
        <v>33</v>
      </c>
      <c r="B716" s="38" t="n">
        <f aca="false">助手收入!$B34</f>
        <v>2047</v>
      </c>
      <c r="C716" s="48" t="str">
        <f aca="false">助手收入!$C34</f>
        <v>博联店</v>
      </c>
      <c r="D716" s="48" t="str">
        <f aca="false">科目对照收入!$B12&amp;""</f>
        <v>京东秒送</v>
      </c>
      <c r="E716" s="48" t="str">
        <f aca="false">IF(AND(ROUND($G716,2)&lt;0,科目对照收入!$L12&lt;&gt;""),科目对照收入!$L12,科目对照收入!$C12)&amp;""</f>
        <v>应收账款</v>
      </c>
      <c r="F716" s="48" t="str">
        <f aca="false">IF(AND(ROUND($G716,2)&lt;0,科目对照收入!$L12&lt;&gt;""),科目对照收入!$M12,科目对照收入!$D12)&amp;""</f>
        <v>京东秒送</v>
      </c>
      <c r="G716" s="49" t="n">
        <f aca="false">IF(COUNTIFS(输入平台!$A:$A,助手收入!$X34,输入平台!$B:$B,科目对照收入!$B12)&gt;0,ROUND(SUMIFS(输入平台!$C:$C,输入平台!$A:$A,助手收入!$X34,输入平台!$B:$B,科目对照收入!$B12),2),ROUND(海典汇总!$O$35,2))</f>
        <v>0</v>
      </c>
      <c r="H716" s="49" t="str">
        <f aca="false">IF(ROUND($G716,2)&gt;0,ROUND($G716,2),"")</f>
        <v/>
      </c>
      <c r="I716" s="49" t="str">
        <f aca="false">IF(ROUND($G716,2)&lt;0,-ROUND($G716,2),"")</f>
        <v/>
      </c>
      <c r="J716" s="20" t="n">
        <f aca="false">IF(ROUND($G716,2)=0,0,1)</f>
        <v>0</v>
      </c>
      <c r="K716" s="20" t="str">
        <f aca="false">IF($J716=0,"",SUM($J$706:$J716))</f>
        <v/>
      </c>
      <c r="L716" s="20" t="str">
        <f aca="false">IF($K716="","",$A716*100+$K716)</f>
        <v/>
      </c>
      <c r="M716" s="48" t="str">
        <f aca="false">参数!$B$3</f>
        <v>7月收入</v>
      </c>
    </row>
    <row r="717" customFormat="false" ht="13.5" hidden="false" customHeight="false" outlineLevel="0" collapsed="false">
      <c r="A717" s="47" t="n">
        <v>33</v>
      </c>
      <c r="B717" s="38" t="n">
        <f aca="false">助手收入!$B34</f>
        <v>2047</v>
      </c>
      <c r="C717" s="48" t="str">
        <f aca="false">助手收入!$C34</f>
        <v>博联店</v>
      </c>
      <c r="D717" s="48" t="str">
        <f aca="false">科目对照收入!$B13&amp;""</f>
        <v>银联</v>
      </c>
      <c r="E717" s="48" t="str">
        <f aca="false">IF(AND(ROUND($G717,2)&lt;0,科目对照收入!$L13&lt;&gt;""),科目对照收入!$L13,科目对照收入!$C13)&amp;""</f>
        <v>应收账款</v>
      </c>
      <c r="F717" s="48" t="str">
        <f aca="false">IF(AND(ROUND($G717,2)&lt;0,科目对照收入!$L13&lt;&gt;""),科目对照收入!$M13,科目对照收入!$D13)&amp;""</f>
        <v>银联</v>
      </c>
      <c r="G717" s="49" t="n">
        <f aca="false">IF(COUNTIFS(输入平台!$A:$A,助手收入!$X34,输入平台!$B:$B,科目对照收入!$B13)&gt;0,ROUND(SUMIFS(输入平台!$C:$C,输入平台!$A:$A,助手收入!$X34,输入平台!$B:$B,科目对照收入!$B13),2),ROUND(海典汇总!$V$35,2))</f>
        <v>0</v>
      </c>
      <c r="H717" s="49" t="str">
        <f aca="false">IF(ROUND($G717,2)&gt;0,ROUND($G717,2),"")</f>
        <v/>
      </c>
      <c r="I717" s="49" t="str">
        <f aca="false">IF(ROUND($G717,2)&lt;0,-ROUND($G717,2),"")</f>
        <v/>
      </c>
      <c r="J717" s="20" t="n">
        <f aca="false">IF(ROUND($G717,2)=0,0,1)</f>
        <v>0</v>
      </c>
      <c r="K717" s="20" t="str">
        <f aca="false">IF($J717=0,"",SUM($J$706:$J717))</f>
        <v/>
      </c>
      <c r="L717" s="20" t="str">
        <f aca="false">IF($K717="","",$A717*100+$K717)</f>
        <v/>
      </c>
      <c r="M717" s="48" t="str">
        <f aca="false">参数!$B$3</f>
        <v>7月收入</v>
      </c>
    </row>
    <row r="718" customFormat="false" ht="13.5" hidden="false" customHeight="false" outlineLevel="0" collapsed="false">
      <c r="A718" s="47" t="n">
        <v>33</v>
      </c>
      <c r="B718" s="38" t="n">
        <f aca="false">助手收入!$B34</f>
        <v>2047</v>
      </c>
      <c r="C718" s="48" t="str">
        <f aca="false">助手收入!$C34</f>
        <v>博联店</v>
      </c>
      <c r="D718" s="48" t="str">
        <f aca="false">科目对照收入!$B14&amp;""</f>
        <v>小镇外卖</v>
      </c>
      <c r="E718" s="48" t="str">
        <f aca="false">IF(AND(ROUND($G718,2)&lt;0,科目对照收入!$L14&lt;&gt;""),科目对照收入!$L14,科目对照收入!$C14)&amp;""</f>
        <v>应收账款</v>
      </c>
      <c r="F718" s="48" t="str">
        <f aca="false">IF(AND(ROUND($G718,2)&lt;0,科目对照收入!$L14&lt;&gt;""),科目对照收入!$M14,科目对照收入!$D14)&amp;""</f>
        <v>小镇外卖</v>
      </c>
      <c r="G718" s="49" t="n">
        <f aca="false">IF(COUNTIFS(输入平台!$A:$A,助手收入!$X34,输入平台!$B:$B,科目对照收入!$B14)&gt;0,ROUND(SUMIFS(输入平台!$C:$C,输入平台!$A:$A,助手收入!$X34,输入平台!$B:$B,科目对照收入!$B14),2),ROUND(海典汇总!$AC$35,2))</f>
        <v>0</v>
      </c>
      <c r="H718" s="49" t="str">
        <f aca="false">IF(ROUND($G718,2)&gt;0,ROUND($G718,2),"")</f>
        <v/>
      </c>
      <c r="I718" s="49" t="str">
        <f aca="false">IF(ROUND($G718,2)&lt;0,-ROUND($G718,2),"")</f>
        <v/>
      </c>
      <c r="J718" s="20" t="n">
        <f aca="false">IF(ROUND($G718,2)=0,0,1)</f>
        <v>0</v>
      </c>
      <c r="K718" s="20" t="str">
        <f aca="false">IF($J718=0,"",SUM($J$706:$J718))</f>
        <v/>
      </c>
      <c r="L718" s="20" t="str">
        <f aca="false">IF($K718="","",$A718*100+$K718)</f>
        <v/>
      </c>
      <c r="M718" s="48" t="str">
        <f aca="false">参数!$B$3</f>
        <v>7月收入</v>
      </c>
    </row>
    <row r="719" customFormat="false" ht="13.5" hidden="false" customHeight="false" outlineLevel="0" collapsed="false">
      <c r="A719" s="47" t="n">
        <v>33</v>
      </c>
      <c r="B719" s="38" t="n">
        <f aca="false">助手收入!$B34</f>
        <v>2047</v>
      </c>
      <c r="C719" s="48" t="str">
        <f aca="false">助手收入!$C34</f>
        <v>博联店</v>
      </c>
      <c r="D719" s="48" t="str">
        <f aca="false">科目对照收入!$B15&amp;""</f>
        <v>OMS线上支付</v>
      </c>
      <c r="E719" s="48" t="str">
        <f aca="false">IF(AND(ROUND($G719,2)&lt;0,科目对照收入!$L15&lt;&gt;""),科目对照收入!$L15,科目对照收入!$C15)&amp;""</f>
        <v>应收账款</v>
      </c>
      <c r="F719" s="48" t="str">
        <f aca="false">IF(AND(ROUND($G719,2)&lt;0,科目对照收入!$L15&lt;&gt;""),科目对照收入!$M15,科目对照收入!$D15)&amp;""</f>
        <v>OMS线上</v>
      </c>
      <c r="G719" s="49" t="n">
        <f aca="false">IF(COUNTIFS(输入平台!$A:$A,助手收入!$X34,输入平台!$B:$B,科目对照收入!$B15)&gt;0,ROUND(SUMIFS(输入平台!$C:$C,输入平台!$A:$A,助手收入!$X34,输入平台!$B:$B,科目对照收入!$B15),2),ROUND(海典汇总!$L$35,2))</f>
        <v>0</v>
      </c>
      <c r="H719" s="49" t="str">
        <f aca="false">IF(ROUND($G719,2)&gt;0,ROUND($G719,2),"")</f>
        <v/>
      </c>
      <c r="I719" s="49" t="str">
        <f aca="false">IF(ROUND($G719,2)&lt;0,-ROUND($G719,2),"")</f>
        <v/>
      </c>
      <c r="J719" s="20" t="n">
        <f aca="false">IF(ROUND($G719,2)=0,0,1)</f>
        <v>0</v>
      </c>
      <c r="K719" s="20" t="str">
        <f aca="false">IF($J719=0,"",SUM($J$706:$J719))</f>
        <v/>
      </c>
      <c r="L719" s="20" t="str">
        <f aca="false">IF($K719="","",$A719*100+$K719)</f>
        <v/>
      </c>
      <c r="M719" s="48" t="str">
        <f aca="false">参数!$B$3</f>
        <v>7月收入</v>
      </c>
    </row>
    <row r="720" customFormat="false" ht="13.5" hidden="false" customHeight="false" outlineLevel="0" collapsed="false">
      <c r="A720" s="47" t="n">
        <v>33</v>
      </c>
      <c r="B720" s="38" t="n">
        <f aca="false">助手收入!$B34</f>
        <v>2047</v>
      </c>
      <c r="C720" s="48" t="str">
        <f aca="false">助手收入!$C34</f>
        <v>博联店</v>
      </c>
      <c r="D720" s="48" t="str">
        <f aca="false">科目对照收入!$B16&amp;""</f>
        <v>平安药卡</v>
      </c>
      <c r="E720" s="48" t="str">
        <f aca="false">IF(AND(ROUND($G720,2)&lt;0,科目对照收入!$L16&lt;&gt;""),科目对照收入!$L16,科目对照收入!$C16)&amp;""</f>
        <v>应收账款</v>
      </c>
      <c r="F720" s="48" t="str">
        <f aca="false">IF(AND(ROUND($G720,2)&lt;0,科目对照收入!$L16&lt;&gt;""),科目对照收入!$M16,科目对照收入!$D16)&amp;""</f>
        <v>平安</v>
      </c>
      <c r="G720" s="49" t="n">
        <f aca="false">IF(COUNTIFS(输入平台!$A:$A,助手收入!$X34,输入平台!$B:$B,科目对照收入!$B16)&gt;0,ROUND(SUMIFS(输入平台!$C:$C,输入平台!$A:$A,助手收入!$X34,输入平台!$B:$B,科目对照收入!$B16),2),ROUND(海典汇总!$AB$35,2))</f>
        <v>0</v>
      </c>
      <c r="H720" s="49" t="str">
        <f aca="false">IF(ROUND($G720,2)&gt;0,ROUND($G720,2),"")</f>
        <v/>
      </c>
      <c r="I720" s="49" t="str">
        <f aca="false">IF(ROUND($G720,2)&lt;0,-ROUND($G720,2),"")</f>
        <v/>
      </c>
      <c r="J720" s="20" t="n">
        <f aca="false">IF(ROUND($G720,2)=0,0,1)</f>
        <v>0</v>
      </c>
      <c r="K720" s="20" t="str">
        <f aca="false">IF($J720=0,"",SUM($J$706:$J720))</f>
        <v/>
      </c>
      <c r="L720" s="20" t="str">
        <f aca="false">IF($K720="","",$A720*100+$K720)</f>
        <v/>
      </c>
      <c r="M720" s="48" t="str">
        <f aca="false">参数!$B$3</f>
        <v>7月收入</v>
      </c>
    </row>
    <row r="721" customFormat="false" ht="13.5" hidden="false" customHeight="false" outlineLevel="0" collapsed="false">
      <c r="A721" s="47" t="n">
        <v>33</v>
      </c>
      <c r="B721" s="38" t="n">
        <f aca="false">助手收入!$B34</f>
        <v>2047</v>
      </c>
      <c r="C721" s="48" t="str">
        <f aca="false">助手收入!$C34</f>
        <v>博联店</v>
      </c>
      <c r="D721" s="48" t="str">
        <f aca="false">科目对照收入!$B17&amp;""</f>
        <v>储值卡</v>
      </c>
      <c r="E721" s="48" t="str">
        <f aca="false">IF(AND(ROUND($G721,2)&lt;0,科目对照收入!$L17&lt;&gt;""),科目对照收入!$L17,科目对照收入!$C17)&amp;""</f>
        <v>其他应收款</v>
      </c>
      <c r="F721" s="48" t="str">
        <f aca="false">IF(AND(ROUND($G721,2)&lt;0,科目对照收入!$L17&lt;&gt;""),科目对照收入!$M17,科目对照收入!$D17)&amp;""</f>
        <v>储值卡</v>
      </c>
      <c r="G721" s="49" t="n">
        <f aca="false">ROUND(海典汇总!$Q$35,2)</f>
        <v>0</v>
      </c>
      <c r="H721" s="49" t="str">
        <f aca="false">IF(ROUND($G721,2)&gt;0,ROUND($G721,2),"")</f>
        <v/>
      </c>
      <c r="I721" s="49" t="str">
        <f aca="false">IF(ROUND($G721,2)&lt;0,-ROUND($G721,2),"")</f>
        <v/>
      </c>
      <c r="J721" s="20" t="n">
        <f aca="false">IF(ROUND($G721,2)=0,0,1)</f>
        <v>0</v>
      </c>
      <c r="K721" s="20" t="str">
        <f aca="false">IF($J721=0,"",SUM($J$706:$J721))</f>
        <v/>
      </c>
      <c r="L721" s="20" t="str">
        <f aca="false">IF($K721="","",$A721*100+$K721)</f>
        <v/>
      </c>
      <c r="M721" s="48" t="str">
        <f aca="false">参数!$B$3</f>
        <v>7月收入</v>
      </c>
    </row>
    <row r="722" customFormat="false" ht="13.5" hidden="false" customHeight="false" outlineLevel="0" collapsed="false">
      <c r="A722" s="47" t="n">
        <v>33</v>
      </c>
      <c r="B722" s="38" t="n">
        <f aca="false">助手收入!$B34</f>
        <v>2047</v>
      </c>
      <c r="C722" s="48" t="str">
        <f aca="false">助手收入!$C34</f>
        <v>博联店</v>
      </c>
      <c r="D722" s="48" t="str">
        <f aca="false">科目对照收入!$B18&amp;""</f>
        <v>会员零钱包</v>
      </c>
      <c r="E722" s="48" t="str">
        <f aca="false">IF(AND(ROUND($G722,2)&lt;0,科目对照收入!$L18&lt;&gt;""),科目对照收入!$L18,科目对照收入!$C18)&amp;""</f>
        <v>其他应收款</v>
      </c>
      <c r="F722" s="48" t="str">
        <f aca="false">IF(AND(ROUND($G722,2)&lt;0,科目对照收入!$L18&lt;&gt;""),科目对照收入!$M18,科目对照收入!$D18)&amp;""</f>
        <v>会员零钱包</v>
      </c>
      <c r="G722" s="49" t="n">
        <f aca="false">ROUND(海典汇总!$P$35,2)</f>
        <v>0</v>
      </c>
      <c r="H722" s="49" t="str">
        <f aca="false">IF(ROUND($G722,2)&gt;0,ROUND($G722,2),"")</f>
        <v/>
      </c>
      <c r="I722" s="49" t="str">
        <f aca="false">IF(ROUND($G722,2)&lt;0,-ROUND($G722,2),"")</f>
        <v/>
      </c>
      <c r="J722" s="20" t="n">
        <f aca="false">IF(ROUND($G722,2)=0,0,1)</f>
        <v>0</v>
      </c>
      <c r="K722" s="20" t="str">
        <f aca="false">IF($J722=0,"",SUM($J$706:$J722))</f>
        <v/>
      </c>
      <c r="L722" s="20" t="str">
        <f aca="false">IF($K722="","",$A722*100+$K722)</f>
        <v/>
      </c>
      <c r="M722" s="48" t="str">
        <f aca="false">参数!$B$3</f>
        <v>7月收入</v>
      </c>
    </row>
    <row r="723" customFormat="false" ht="13.5" hidden="false" customHeight="false" outlineLevel="0" collapsed="false">
      <c r="A723" s="47" t="n">
        <v>33</v>
      </c>
      <c r="B723" s="38" t="n">
        <f aca="false">助手收入!$B34</f>
        <v>2047</v>
      </c>
      <c r="C723" s="48" t="str">
        <f aca="false">助手收入!$C34</f>
        <v>博联店</v>
      </c>
      <c r="D723" s="48" t="str">
        <f aca="false">科目对照收入!$B19&amp;""</f>
        <v>促销费</v>
      </c>
      <c r="E723" s="48" t="str">
        <f aca="false">IF(AND(ROUND($G723,2)&lt;0,科目对照收入!$L19&lt;&gt;""),科目对照收入!$L19,科目对照收入!$C19)&amp;""</f>
        <v>销售费用</v>
      </c>
      <c r="F723" s="48" t="str">
        <f aca="false">IF(AND(ROUND($G723,2)&lt;0,科目对照收入!$L19&lt;&gt;""),科目对照收入!$M19,科目对照收入!$D19)&amp;""</f>
        <v>促销费</v>
      </c>
      <c r="G723" s="49" t="n">
        <f aca="false">ROUND(海典汇总!$U$35+海典汇总!$T$35+海典汇总!$S$35,2)</f>
        <v>387.01</v>
      </c>
      <c r="H723" s="49" t="n">
        <f aca="false">IF(ROUND($G723,2)&gt;0,ROUND($G723,2),"")</f>
        <v>387.01</v>
      </c>
      <c r="I723" s="49" t="str">
        <f aca="false">IF(ROUND($G723,2)&lt;0,-ROUND($G723,2),"")</f>
        <v/>
      </c>
      <c r="J723" s="20" t="n">
        <f aca="false">IF(ROUND($G723,2)=0,0,1)</f>
        <v>1</v>
      </c>
      <c r="K723" s="20" t="n">
        <f aca="false">IF($J723=0,"",SUM($J$706:$J723))</f>
        <v>4</v>
      </c>
      <c r="L723" s="20" t="n">
        <f aca="false">IF($K723="","",$A723*100+$K723)</f>
        <v>3304</v>
      </c>
      <c r="M723" s="48" t="str">
        <f aca="false">参数!$B$3</f>
        <v>7月收入</v>
      </c>
    </row>
    <row r="724" customFormat="false" ht="13.5" hidden="false" customHeight="false" outlineLevel="0" collapsed="false">
      <c r="A724" s="47" t="n">
        <v>33</v>
      </c>
      <c r="B724" s="38" t="n">
        <f aca="false">助手收入!$B34</f>
        <v>2047</v>
      </c>
      <c r="C724" s="48" t="str">
        <f aca="false">助手收入!$C34</f>
        <v>博联店</v>
      </c>
      <c r="D724" s="48" t="str">
        <f aca="false">科目对照收入!$B20&amp;""</f>
        <v>积分</v>
      </c>
      <c r="E724" s="48" t="str">
        <f aca="false">IF(AND(ROUND($G724,2)&lt;0,科目对照收入!$L20&lt;&gt;""),科目对照收入!$L20,科目对照收入!$C20)&amp;""</f>
        <v>销售费用</v>
      </c>
      <c r="F724" s="48" t="str">
        <f aca="false">IF(AND(ROUND($G724,2)&lt;0,科目对照收入!$L20&lt;&gt;""),科目对照收入!$M20,科目对照收入!$D20)&amp;""</f>
        <v>积分</v>
      </c>
      <c r="G724" s="49" t="n">
        <f aca="false">ROUND(海典汇总!$R$35,2)</f>
        <v>0</v>
      </c>
      <c r="H724" s="49" t="str">
        <f aca="false">IF(ROUND($G724,2)&gt;0,ROUND($G724,2),"")</f>
        <v/>
      </c>
      <c r="I724" s="49" t="str">
        <f aca="false">IF(ROUND($G724,2)&lt;0,-ROUND($G724,2),"")</f>
        <v/>
      </c>
      <c r="J724" s="20" t="n">
        <f aca="false">IF(ROUND($G724,2)=0,0,1)</f>
        <v>0</v>
      </c>
      <c r="K724" s="20" t="str">
        <f aca="false">IF($J724=0,"",SUM($J$706:$J724))</f>
        <v/>
      </c>
      <c r="L724" s="20" t="str">
        <f aca="false">IF($K724="","",$A724*100+$K724)</f>
        <v/>
      </c>
      <c r="M724" s="48" t="str">
        <f aca="false">参数!$B$3</f>
        <v>7月收入</v>
      </c>
    </row>
    <row r="725" customFormat="false" ht="13.5" hidden="false" customHeight="false" outlineLevel="0" collapsed="false">
      <c r="A725" s="47" t="n">
        <v>33</v>
      </c>
      <c r="B725" s="38" t="n">
        <f aca="false">助手收入!$B34</f>
        <v>2047</v>
      </c>
      <c r="C725" s="48" t="str">
        <f aca="false">助手收入!$C34</f>
        <v>博联店</v>
      </c>
      <c r="D725" s="48" t="str">
        <f aca="false">科目对照收入!$B21&amp;""</f>
        <v>手续费</v>
      </c>
      <c r="E725" s="48" t="str">
        <f aca="false">IF(AND(ROUND($G725,2)&lt;0,科目对照收入!$L21&lt;&gt;""),科目对照收入!$L21,科目对照收入!$C21)&amp;""</f>
        <v>财务费用</v>
      </c>
      <c r="F725" s="48" t="str">
        <f aca="false">IF(AND(ROUND($G725,2)&lt;0,科目对照收入!$L21&lt;&gt;""),科目对照收入!$M21,科目对照收入!$D21)&amp;""</f>
        <v>手续费</v>
      </c>
      <c r="G725" s="49" t="n">
        <f aca="false">ROUND(SUMIFS(输入聚合!$D:$D,输入聚合!$A:$A,助手收入!$X34),2)</f>
        <v>35.73</v>
      </c>
      <c r="H725" s="49" t="n">
        <f aca="false">IF(ROUND($G725,2)&gt;0,ROUND($G725,2),"")</f>
        <v>35.73</v>
      </c>
      <c r="I725" s="49" t="str">
        <f aca="false">IF(ROUND($G725,2)&lt;0,-ROUND($G725,2),"")</f>
        <v/>
      </c>
      <c r="J725" s="20" t="n">
        <f aca="false">IF(ROUND($G725,2)=0,0,1)</f>
        <v>1</v>
      </c>
      <c r="K725" s="20" t="n">
        <f aca="false">IF($J725=0,"",SUM($J$706:$J725))</f>
        <v>5</v>
      </c>
      <c r="L725" s="20" t="n">
        <f aca="false">IF($K725="","",$A725*100+$K725)</f>
        <v>3305</v>
      </c>
      <c r="M725" s="48" t="str">
        <f aca="false">参数!$B$3</f>
        <v>7月收入</v>
      </c>
    </row>
    <row r="726" customFormat="false" ht="13.5" hidden="false" customHeight="false" outlineLevel="0" collapsed="false">
      <c r="A726" s="47" t="n">
        <v>33</v>
      </c>
      <c r="B726" s="38" t="n">
        <f aca="false">助手收入!$B34</f>
        <v>2047</v>
      </c>
      <c r="C726" s="48" t="str">
        <f aca="false">助手收入!$C34</f>
        <v>博联店</v>
      </c>
      <c r="D726" s="48" t="str">
        <f aca="false">科目对照收入!$B22&amp;""</f>
        <v>主营业务收入</v>
      </c>
      <c r="E726" s="48" t="str">
        <f aca="false">IF(AND(ROUND($G726,2)&lt;0,科目对照收入!$L22&lt;&gt;""),科目对照收入!$L22,科目对照收入!$C22)&amp;""</f>
        <v>主营业务收入</v>
      </c>
      <c r="F726" s="48" t="str">
        <f aca="false">IF(AND(ROUND($G726,2)&lt;0,科目对照收入!$L22&lt;&gt;""),科目对照收入!$M22,科目对照收入!$D22)&amp;""</f>
        <v/>
      </c>
      <c r="G726" s="49" t="n">
        <f aca="false">-ROUND(助手收入!$G34,2)</f>
        <v>-20922.67</v>
      </c>
      <c r="H726" s="49" t="str">
        <f aca="false">IF(ROUND($G726,2)&gt;0,ROUND($G726,2),"")</f>
        <v/>
      </c>
      <c r="I726" s="49" t="n">
        <f aca="false">IF(ROUND($G726,2)&lt;0,-ROUND($G726,2),"")</f>
        <v>20922.67</v>
      </c>
      <c r="J726" s="20" t="n">
        <f aca="false">IF(ROUND($G726,2)=0,0,1)</f>
        <v>1</v>
      </c>
      <c r="K726" s="20" t="n">
        <f aca="false">IF($J726=0,"",SUM($J$706:$J726))</f>
        <v>6</v>
      </c>
      <c r="L726" s="20" t="n">
        <f aca="false">IF($K726="","",$A726*100+$K726)</f>
        <v>3306</v>
      </c>
      <c r="M726" s="48" t="str">
        <f aca="false">参数!$B$3</f>
        <v>7月收入</v>
      </c>
    </row>
    <row r="727" customFormat="false" ht="13.5" hidden="false" customHeight="false" outlineLevel="0" collapsed="false">
      <c r="A727" s="47" t="n">
        <v>33</v>
      </c>
      <c r="B727" s="38" t="n">
        <f aca="false">助手收入!$B34</f>
        <v>2047</v>
      </c>
      <c r="C727" s="48" t="str">
        <f aca="false">助手收入!$C34</f>
        <v>博联店</v>
      </c>
      <c r="D727" s="48" t="str">
        <f aca="false">科目对照收入!$B23&amp;""</f>
        <v>营业外收入</v>
      </c>
      <c r="E727" s="48" t="str">
        <f aca="false">IF(AND(ROUND($G727,2)&lt;0,科目对照收入!$L23&lt;&gt;""),科目对照收入!$L23,科目对照收入!$C23)&amp;""</f>
        <v>营业外收入</v>
      </c>
      <c r="F727" s="48" t="str">
        <f aca="false">IF(AND(ROUND($G727,2)&lt;0,科目对照收入!$L23&lt;&gt;""),科目对照收入!$M23,科目对照收入!$D23)&amp;""</f>
        <v/>
      </c>
      <c r="G727" s="49" t="n">
        <f aca="false">-ROUND(助手收入!$J34,2)</f>
        <v>-0</v>
      </c>
      <c r="H727" s="49" t="str">
        <f aca="false">IF(ROUND($G727,2)&gt;0,ROUND($G727,2),"")</f>
        <v/>
      </c>
      <c r="I727" s="49" t="str">
        <f aca="false">IF(ROUND($G727,2)&lt;0,-ROUND($G727,2),"")</f>
        <v/>
      </c>
      <c r="J727" s="20" t="n">
        <f aca="false">IF(ROUND($G727,2)=0,0,1)</f>
        <v>0</v>
      </c>
      <c r="K727" s="20" t="str">
        <f aca="false">IF($J727=0,"",SUM($J$706:$J727))</f>
        <v/>
      </c>
      <c r="L727" s="20" t="str">
        <f aca="false">IF($K727="","",$A727*100+$K727)</f>
        <v/>
      </c>
      <c r="M727" s="48" t="str">
        <f aca="false">参数!$B$3</f>
        <v>7月收入</v>
      </c>
    </row>
    <row r="728" customFormat="false" ht="13.5" hidden="false" customHeight="false" outlineLevel="0" collapsed="false">
      <c r="A728" s="47" t="n">
        <v>34</v>
      </c>
      <c r="B728" s="38" t="n">
        <f aca="false">助手收入!$B35</f>
        <v>2050</v>
      </c>
      <c r="C728" s="48" t="str">
        <f aca="false">助手收入!$C35</f>
        <v>博尚店</v>
      </c>
      <c r="D728" s="48" t="str">
        <f aca="false">科目对照收入!$B2&amp;""</f>
        <v>库存现金</v>
      </c>
      <c r="E728" s="48" t="str">
        <f aca="false">IF(AND(ROUND($G728,2)&lt;0,科目对照收入!$L2&lt;&gt;""),科目对照收入!$L2,科目对照收入!$C2)&amp;""</f>
        <v>库存现金</v>
      </c>
      <c r="F728" s="48" t="str">
        <f aca="false">IF(AND(ROUND($G728,2)&lt;0,科目对照收入!$L2&lt;&gt;""),科目对照收入!$M2,科目对照收入!$D2)&amp;""</f>
        <v/>
      </c>
      <c r="G728" s="49" t="n">
        <f aca="false">助手收入!$I35</f>
        <v>4767.69</v>
      </c>
      <c r="H728" s="49" t="n">
        <f aca="false">IF(ROUND($G728,2)&gt;0,ROUND($G728,2),"")</f>
        <v>4767.69</v>
      </c>
      <c r="I728" s="49" t="str">
        <f aca="false">IF(ROUND($G728,2)&lt;0,-ROUND($G728,2),"")</f>
        <v/>
      </c>
      <c r="J728" s="20" t="n">
        <f aca="false">IF(ROUND($G728,2)=0,0,1)</f>
        <v>1</v>
      </c>
      <c r="K728" s="20" t="n">
        <f aca="false">IF($J728=0,"",SUM($J$728:$J728))</f>
        <v>1</v>
      </c>
      <c r="L728" s="20" t="n">
        <f aca="false">IF($K728="","",$A728*100+$K728)</f>
        <v>3401</v>
      </c>
      <c r="M728" s="48" t="str">
        <f aca="false">参数!$B$3</f>
        <v>7月收入</v>
      </c>
    </row>
    <row r="729" customFormat="false" ht="13.5" hidden="false" customHeight="false" outlineLevel="0" collapsed="false">
      <c r="A729" s="47" t="n">
        <v>34</v>
      </c>
      <c r="B729" s="38" t="n">
        <f aca="false">助手收入!$B35</f>
        <v>2050</v>
      </c>
      <c r="C729" s="48" t="str">
        <f aca="false">助手收入!$C35</f>
        <v>博尚店</v>
      </c>
      <c r="D729" s="48" t="str">
        <f aca="false">科目对照收入!$B3&amp;""</f>
        <v>聚合支付</v>
      </c>
      <c r="E729" s="48" t="str">
        <f aca="false">IF(AND(ROUND($G729,2)&lt;0,科目对照收入!$L3&lt;&gt;""),科目对照收入!$L3,科目对照收入!$C3)&amp;""</f>
        <v>应收账款</v>
      </c>
      <c r="F729" s="48" t="str">
        <f aca="false">IF(AND(ROUND($G729,2)&lt;0,科目对照收入!$L3&lt;&gt;""),科目对照收入!$M3,科目对照收入!$D3)&amp;""</f>
        <v>聚合支付</v>
      </c>
      <c r="G729" s="49" t="n">
        <f aca="false">ROUND(SUMIFS(输入聚合!$C:$C,输入聚合!$A:$A,助手收入!$X35)-SUMIFS(输入聚合!$D:$D,输入聚合!$A:$A,助手收入!$X35),2)</f>
        <v>16092.86</v>
      </c>
      <c r="H729" s="49" t="n">
        <f aca="false">IF(ROUND($G729,2)&gt;0,ROUND($G729,2),"")</f>
        <v>16092.86</v>
      </c>
      <c r="I729" s="49" t="str">
        <f aca="false">IF(ROUND($G729,2)&lt;0,-ROUND($G729,2),"")</f>
        <v/>
      </c>
      <c r="J729" s="20" t="n">
        <f aca="false">IF(ROUND($G729,2)=0,0,1)</f>
        <v>1</v>
      </c>
      <c r="K729" s="20" t="n">
        <f aca="false">IF($J729=0,"",SUM($J$728:$J729))</f>
        <v>2</v>
      </c>
      <c r="L729" s="20" t="n">
        <f aca="false">IF($K729="","",$A729*100+$K729)</f>
        <v>3402</v>
      </c>
      <c r="M729" s="48" t="str">
        <f aca="false">参数!$B$3</f>
        <v>7月收入</v>
      </c>
    </row>
    <row r="730" customFormat="false" ht="13.5" hidden="false" customHeight="false" outlineLevel="0" collapsed="false">
      <c r="A730" s="47" t="n">
        <v>34</v>
      </c>
      <c r="B730" s="38" t="n">
        <f aca="false">助手收入!$B35</f>
        <v>2050</v>
      </c>
      <c r="C730" s="48" t="str">
        <f aca="false">助手收入!$C35</f>
        <v>博尚店</v>
      </c>
      <c r="D730" s="48" t="str">
        <f aca="false">科目对照收入!$B4&amp;""</f>
        <v>医保</v>
      </c>
      <c r="E730" s="48" t="str">
        <f aca="false">IF(AND(ROUND($G730,2)&lt;0,科目对照收入!$L4&lt;&gt;""),科目对照收入!$L4,科目对照收入!$C4)&amp;""</f>
        <v>应收账款</v>
      </c>
      <c r="F730" s="48" t="str">
        <f aca="false">IF(AND(ROUND($G730,2)&lt;0,科目对照收入!$L4&lt;&gt;""),科目对照收入!$M4,科目对照收入!$D4)&amp;""</f>
        <v>医保</v>
      </c>
      <c r="G730" s="49" t="n">
        <f aca="false">IF(COUNTIFS(输入平台!$A:$A,助手收入!$X35,输入平台!$B:$B,科目对照收入!$B4)&gt;0,ROUND(SUMIFS(输入平台!$C:$C,输入平台!$A:$A,助手收入!$X35,输入平台!$B:$B,科目对照收入!$B4),2),ROUND(海典汇总!$F$36+海典汇总!$G$36,2))</f>
        <v>8740.49</v>
      </c>
      <c r="H730" s="49" t="n">
        <f aca="false">IF(ROUND($G730,2)&gt;0,ROUND($G730,2),"")</f>
        <v>8740.49</v>
      </c>
      <c r="I730" s="49" t="str">
        <f aca="false">IF(ROUND($G730,2)&lt;0,-ROUND($G730,2),"")</f>
        <v/>
      </c>
      <c r="J730" s="20" t="n">
        <f aca="false">IF(ROUND($G730,2)=0,0,1)</f>
        <v>1</v>
      </c>
      <c r="K730" s="20" t="n">
        <f aca="false">IF($J730=0,"",SUM($J$728:$J730))</f>
        <v>3</v>
      </c>
      <c r="L730" s="20" t="n">
        <f aca="false">IF($K730="","",$A730*100+$K730)</f>
        <v>3403</v>
      </c>
      <c r="M730" s="48" t="str">
        <f aca="false">参数!$B$3</f>
        <v>7月收入</v>
      </c>
    </row>
    <row r="731" customFormat="false" ht="13.5" hidden="false" customHeight="false" outlineLevel="0" collapsed="false">
      <c r="A731" s="47" t="n">
        <v>34</v>
      </c>
      <c r="B731" s="38" t="n">
        <f aca="false">助手收入!$B35</f>
        <v>2050</v>
      </c>
      <c r="C731" s="48" t="str">
        <f aca="false">助手收入!$C35</f>
        <v>博尚店</v>
      </c>
      <c r="D731" s="48" t="str">
        <f aca="false">科目对照收入!$B5&amp;""</f>
        <v>健e卡</v>
      </c>
      <c r="E731" s="48" t="str">
        <f aca="false">IF(AND(ROUND($G731,2)&lt;0,科目对照收入!$L5&lt;&gt;""),科目对照收入!$L5,科目对照收入!$C5)&amp;""</f>
        <v>应收账款</v>
      </c>
      <c r="F731" s="48" t="str">
        <f aca="false">IF(AND(ROUND($G731,2)&lt;0,科目对照收入!$L5&lt;&gt;""),科目对照收入!$M5,科目对照收入!$D5)&amp;""</f>
        <v>健e卡</v>
      </c>
      <c r="G731" s="49" t="n">
        <f aca="false">IF(COUNTIFS(输入平台!$A:$A,助手收入!$X35,输入平台!$B:$B,科目对照收入!$B5)&gt;0,ROUND(SUMIFS(输入平台!$C:$C,输入平台!$A:$A,助手收入!$X35,输入平台!$B:$B,科目对照收入!$B5),2),ROUND(海典汇总!$H$36,2))</f>
        <v>0</v>
      </c>
      <c r="H731" s="49" t="str">
        <f aca="false">IF(ROUND($G731,2)&gt;0,ROUND($G731,2),"")</f>
        <v/>
      </c>
      <c r="I731" s="49" t="str">
        <f aca="false">IF(ROUND($G731,2)&lt;0,-ROUND($G731,2),"")</f>
        <v/>
      </c>
      <c r="J731" s="20" t="n">
        <f aca="false">IF(ROUND($G731,2)=0,0,1)</f>
        <v>0</v>
      </c>
      <c r="K731" s="20" t="str">
        <f aca="false">IF($J731=0,"",SUM($J$728:$J731))</f>
        <v/>
      </c>
      <c r="L731" s="20" t="str">
        <f aca="false">IF($K731="","",$A731*100+$K731)</f>
        <v/>
      </c>
      <c r="M731" s="48" t="str">
        <f aca="false">参数!$B$3</f>
        <v>7月收入</v>
      </c>
    </row>
    <row r="732" customFormat="false" ht="13.5" hidden="false" customHeight="false" outlineLevel="0" collapsed="false">
      <c r="A732" s="47" t="n">
        <v>34</v>
      </c>
      <c r="B732" s="38" t="n">
        <f aca="false">助手收入!$B35</f>
        <v>2050</v>
      </c>
      <c r="C732" s="48" t="str">
        <f aca="false">助手收入!$C35</f>
        <v>博尚店</v>
      </c>
      <c r="D732" s="48" t="str">
        <f aca="false">科目对照收入!$B6&amp;""</f>
        <v>医卡通</v>
      </c>
      <c r="E732" s="48" t="str">
        <f aca="false">IF(AND(ROUND($G732,2)&lt;0,科目对照收入!$L6&lt;&gt;""),科目对照收入!$L6,科目对照收入!$C6)&amp;""</f>
        <v>应收账款</v>
      </c>
      <c r="F732" s="48" t="str">
        <f aca="false">IF(AND(ROUND($G732,2)&lt;0,科目对照收入!$L6&lt;&gt;""),科目对照收入!$M6,科目对照收入!$D6)&amp;""</f>
        <v>医卡通</v>
      </c>
      <c r="G732" s="49" t="n">
        <f aca="false">IF(COUNTIFS(输入平台!$A:$A,助手收入!$X35,输入平台!$B:$B,科目对照收入!$B6)&gt;0,ROUND(SUMIFS(输入平台!$C:$C,输入平台!$A:$A,助手收入!$X35,输入平台!$B:$B,科目对照收入!$B6),2),ROUND(海典汇总!$I$36,2))</f>
        <v>320.68</v>
      </c>
      <c r="H732" s="49" t="n">
        <f aca="false">IF(ROUND($G732,2)&gt;0,ROUND($G732,2),"")</f>
        <v>320.68</v>
      </c>
      <c r="I732" s="49" t="str">
        <f aca="false">IF(ROUND($G732,2)&lt;0,-ROUND($G732,2),"")</f>
        <v/>
      </c>
      <c r="J732" s="20" t="n">
        <f aca="false">IF(ROUND($G732,2)=0,0,1)</f>
        <v>1</v>
      </c>
      <c r="K732" s="20" t="n">
        <f aca="false">IF($J732=0,"",SUM($J$728:$J732))</f>
        <v>4</v>
      </c>
      <c r="L732" s="20" t="n">
        <f aca="false">IF($K732="","",$A732*100+$K732)</f>
        <v>3404</v>
      </c>
      <c r="M732" s="48" t="str">
        <f aca="false">参数!$B$3</f>
        <v>7月收入</v>
      </c>
    </row>
    <row r="733" customFormat="false" ht="13.5" hidden="false" customHeight="false" outlineLevel="0" collapsed="false">
      <c r="A733" s="47" t="n">
        <v>34</v>
      </c>
      <c r="B733" s="38" t="n">
        <f aca="false">助手收入!$B35</f>
        <v>2050</v>
      </c>
      <c r="C733" s="48" t="str">
        <f aca="false">助手收入!$C35</f>
        <v>博尚店</v>
      </c>
      <c r="D733" s="48" t="str">
        <f aca="false">科目对照收入!$B7&amp;""</f>
        <v>企健网</v>
      </c>
      <c r="E733" s="48" t="str">
        <f aca="false">IF(AND(ROUND($G733,2)&lt;0,科目对照收入!$L7&lt;&gt;""),科目对照收入!$L7,科目对照收入!$C7)&amp;""</f>
        <v>应收账款</v>
      </c>
      <c r="F733" s="48" t="str">
        <f aca="false">IF(AND(ROUND($G733,2)&lt;0,科目对照收入!$L7&lt;&gt;""),科目对照收入!$M7,科目对照收入!$D7)&amp;""</f>
        <v>企健网</v>
      </c>
      <c r="G733" s="49" t="n">
        <f aca="false">IF(COUNTIFS(输入平台!$A:$A,助手收入!$X35,输入平台!$B:$B,科目对照收入!$B7)&gt;0,ROUND(SUMIFS(输入平台!$C:$C,输入平台!$A:$A,助手收入!$X35,输入平台!$B:$B,科目对照收入!$B7),2),ROUND(海典汇总!$J$36,2))</f>
        <v>0</v>
      </c>
      <c r="H733" s="49" t="str">
        <f aca="false">IF(ROUND($G733,2)&gt;0,ROUND($G733,2),"")</f>
        <v/>
      </c>
      <c r="I733" s="49" t="str">
        <f aca="false">IF(ROUND($G733,2)&lt;0,-ROUND($G733,2),"")</f>
        <v/>
      </c>
      <c r="J733" s="20" t="n">
        <f aca="false">IF(ROUND($G733,2)=0,0,1)</f>
        <v>0</v>
      </c>
      <c r="K733" s="20" t="str">
        <f aca="false">IF($J733=0,"",SUM($J$728:$J733))</f>
        <v/>
      </c>
      <c r="L733" s="20" t="str">
        <f aca="false">IF($K733="","",$A733*100+$K733)</f>
        <v/>
      </c>
      <c r="M733" s="48" t="str">
        <f aca="false">参数!$B$3</f>
        <v>7月收入</v>
      </c>
    </row>
    <row r="734" customFormat="false" ht="13.5" hidden="false" customHeight="false" outlineLevel="0" collapsed="false">
      <c r="A734" s="47" t="n">
        <v>34</v>
      </c>
      <c r="B734" s="38" t="n">
        <f aca="false">助手收入!$B35</f>
        <v>2050</v>
      </c>
      <c r="C734" s="48" t="str">
        <f aca="false">助手收入!$C35</f>
        <v>博尚店</v>
      </c>
      <c r="D734" s="48" t="str">
        <f aca="false">科目对照收入!$B8&amp;""</f>
        <v>亲情卡</v>
      </c>
      <c r="E734" s="48" t="str">
        <f aca="false">IF(AND(ROUND($G734,2)&lt;0,科目对照收入!$L8&lt;&gt;""),科目对照收入!$L8,科目对照收入!$C8)&amp;""</f>
        <v>应收账款</v>
      </c>
      <c r="F734" s="48" t="str">
        <f aca="false">IF(AND(ROUND($G734,2)&lt;0,科目对照收入!$L8&lt;&gt;""),科目对照收入!$M8,科目对照收入!$D8)&amp;""</f>
        <v>亲情卡</v>
      </c>
      <c r="G734" s="49" t="n">
        <f aca="false">IF(COUNTIFS(输入平台!$A:$A,助手收入!$X35,输入平台!$B:$B,科目对照收入!$B8)&gt;0,ROUND(SUMIFS(输入平台!$C:$C,输入平台!$A:$A,助手收入!$X35,输入平台!$B:$B,科目对照收入!$B8),2),ROUND(海典汇总!$Z$36,2))</f>
        <v>0</v>
      </c>
      <c r="H734" s="49" t="str">
        <f aca="false">IF(ROUND($G734,2)&gt;0,ROUND($G734,2),"")</f>
        <v/>
      </c>
      <c r="I734" s="49" t="str">
        <f aca="false">IF(ROUND($G734,2)&lt;0,-ROUND($G734,2),"")</f>
        <v/>
      </c>
      <c r="J734" s="20" t="n">
        <f aca="false">IF(ROUND($G734,2)=0,0,1)</f>
        <v>0</v>
      </c>
      <c r="K734" s="20" t="str">
        <f aca="false">IF($J734=0,"",SUM($J$728:$J734))</f>
        <v/>
      </c>
      <c r="L734" s="20" t="str">
        <f aca="false">IF($K734="","",$A734*100+$K734)</f>
        <v/>
      </c>
      <c r="M734" s="48" t="str">
        <f aca="false">参数!$B$3</f>
        <v>7月收入</v>
      </c>
    </row>
    <row r="735" customFormat="false" ht="13.5" hidden="false" customHeight="false" outlineLevel="0" collapsed="false">
      <c r="A735" s="47" t="n">
        <v>34</v>
      </c>
      <c r="B735" s="38" t="n">
        <f aca="false">助手收入!$B35</f>
        <v>2050</v>
      </c>
      <c r="C735" s="48" t="str">
        <f aca="false">助手收入!$C35</f>
        <v>博尚店</v>
      </c>
      <c r="D735" s="48" t="str">
        <f aca="false">科目对照收入!$B9&amp;""</f>
        <v>24小时</v>
      </c>
      <c r="E735" s="48" t="str">
        <f aca="false">IF(AND(ROUND($G735,2)&lt;0,科目对照收入!$L9&lt;&gt;""),科目对照收入!$L9,科目对照收入!$C9)&amp;""</f>
        <v>应收账款</v>
      </c>
      <c r="F735" s="48" t="str">
        <f aca="false">IF(AND(ROUND($G735,2)&lt;0,科目对照收入!$L9&lt;&gt;""),科目对照收入!$M9,科目对照收入!$D9)&amp;""</f>
        <v>24小时</v>
      </c>
      <c r="G735" s="49" t="n">
        <f aca="false">IF(COUNTIFS(输入平台!$A:$A,助手收入!$X35,输入平台!$B:$B,科目对照收入!$B9)&gt;0,ROUND(SUMIFS(输入平台!$C:$C,输入平台!$A:$A,助手收入!$X35,输入平台!$B:$B,科目对照收入!$B9),2),ROUND(海典汇总!$K$36,2))</f>
        <v>0</v>
      </c>
      <c r="H735" s="49" t="str">
        <f aca="false">IF(ROUND($G735,2)&gt;0,ROUND($G735,2),"")</f>
        <v/>
      </c>
      <c r="I735" s="49" t="str">
        <f aca="false">IF(ROUND($G735,2)&lt;0,-ROUND($G735,2),"")</f>
        <v/>
      </c>
      <c r="J735" s="20" t="n">
        <f aca="false">IF(ROUND($G735,2)=0,0,1)</f>
        <v>0</v>
      </c>
      <c r="K735" s="20" t="str">
        <f aca="false">IF($J735=0,"",SUM($J$728:$J735))</f>
        <v/>
      </c>
      <c r="L735" s="20" t="str">
        <f aca="false">IF($K735="","",$A735*100+$K735)</f>
        <v/>
      </c>
      <c r="M735" s="48" t="str">
        <f aca="false">参数!$B$3</f>
        <v>7月收入</v>
      </c>
    </row>
    <row r="736" customFormat="false" ht="13.5" hidden="false" customHeight="false" outlineLevel="0" collapsed="false">
      <c r="A736" s="47" t="n">
        <v>34</v>
      </c>
      <c r="B736" s="38" t="n">
        <f aca="false">助手收入!$B35</f>
        <v>2050</v>
      </c>
      <c r="C736" s="48" t="str">
        <f aca="false">助手收入!$C35</f>
        <v>博尚店</v>
      </c>
      <c r="D736" s="48" t="str">
        <f aca="false">科目对照收入!$B10&amp;""</f>
        <v>美团</v>
      </c>
      <c r="E736" s="48" t="str">
        <f aca="false">IF(AND(ROUND($G736,2)&lt;0,科目对照收入!$L10&lt;&gt;""),科目对照收入!$L10,科目对照收入!$C10)&amp;""</f>
        <v>应收账款</v>
      </c>
      <c r="F736" s="48" t="str">
        <f aca="false">IF(AND(ROUND($G736,2)&lt;0,科目对照收入!$L10&lt;&gt;""),科目对照收入!$M10,科目对照收入!$D10)&amp;""</f>
        <v>美团</v>
      </c>
      <c r="G736" s="49" t="n">
        <f aca="false">IF(COUNTIFS(输入平台!$A:$A,助手收入!$X35,输入平台!$B:$B,科目对照收入!$B10)&gt;0,ROUND(SUMIFS(输入平台!$C:$C,输入平台!$A:$A,助手收入!$X35,输入平台!$B:$B,科目对照收入!$B10),2),ROUND(海典汇总!$M$36,2))</f>
        <v>778.4</v>
      </c>
      <c r="H736" s="49" t="n">
        <f aca="false">IF(ROUND($G736,2)&gt;0,ROUND($G736,2),"")</f>
        <v>778.4</v>
      </c>
      <c r="I736" s="49" t="str">
        <f aca="false">IF(ROUND($G736,2)&lt;0,-ROUND($G736,2),"")</f>
        <v/>
      </c>
      <c r="J736" s="20" t="n">
        <f aca="false">IF(ROUND($G736,2)=0,0,1)</f>
        <v>1</v>
      </c>
      <c r="K736" s="20" t="n">
        <f aca="false">IF($J736=0,"",SUM($J$728:$J736))</f>
        <v>5</v>
      </c>
      <c r="L736" s="20" t="n">
        <f aca="false">IF($K736="","",$A736*100+$K736)</f>
        <v>3405</v>
      </c>
      <c r="M736" s="48" t="str">
        <f aca="false">参数!$B$3</f>
        <v>7月收入</v>
      </c>
    </row>
    <row r="737" customFormat="false" ht="13.5" hidden="false" customHeight="false" outlineLevel="0" collapsed="false">
      <c r="A737" s="47" t="n">
        <v>34</v>
      </c>
      <c r="B737" s="38" t="n">
        <f aca="false">助手收入!$B35</f>
        <v>2050</v>
      </c>
      <c r="C737" s="48" t="str">
        <f aca="false">助手收入!$C35</f>
        <v>博尚店</v>
      </c>
      <c r="D737" s="48" t="str">
        <f aca="false">科目对照收入!$B11&amp;""</f>
        <v>饿了么</v>
      </c>
      <c r="E737" s="48" t="str">
        <f aca="false">IF(AND(ROUND($G737,2)&lt;0,科目对照收入!$L11&lt;&gt;""),科目对照收入!$L11,科目对照收入!$C11)&amp;""</f>
        <v>应收账款</v>
      </c>
      <c r="F737" s="48" t="str">
        <f aca="false">IF(AND(ROUND($G737,2)&lt;0,科目对照收入!$L11&lt;&gt;""),科目对照收入!$M11,科目对照收入!$D11)&amp;""</f>
        <v>饿了么</v>
      </c>
      <c r="G737" s="49" t="n">
        <f aca="false">IF(COUNTIFS(输入平台!$A:$A,助手收入!$X35,输入平台!$B:$B,科目对照收入!$B11)&gt;0,ROUND(SUMIFS(输入平台!$C:$C,输入平台!$A:$A,助手收入!$X35,输入平台!$B:$B,科目对照收入!$B11),2),ROUND(海典汇总!$N$36,2))</f>
        <v>0</v>
      </c>
      <c r="H737" s="49" t="str">
        <f aca="false">IF(ROUND($G737,2)&gt;0,ROUND($G737,2),"")</f>
        <v/>
      </c>
      <c r="I737" s="49" t="str">
        <f aca="false">IF(ROUND($G737,2)&lt;0,-ROUND($G737,2),"")</f>
        <v/>
      </c>
      <c r="J737" s="20" t="n">
        <f aca="false">IF(ROUND($G737,2)=0,0,1)</f>
        <v>0</v>
      </c>
      <c r="K737" s="20" t="str">
        <f aca="false">IF($J737=0,"",SUM($J$728:$J737))</f>
        <v/>
      </c>
      <c r="L737" s="20" t="str">
        <f aca="false">IF($K737="","",$A737*100+$K737)</f>
        <v/>
      </c>
      <c r="M737" s="48" t="str">
        <f aca="false">参数!$B$3</f>
        <v>7月收入</v>
      </c>
    </row>
    <row r="738" customFormat="false" ht="13.5" hidden="false" customHeight="false" outlineLevel="0" collapsed="false">
      <c r="A738" s="47" t="n">
        <v>34</v>
      </c>
      <c r="B738" s="38" t="n">
        <f aca="false">助手收入!$B35</f>
        <v>2050</v>
      </c>
      <c r="C738" s="48" t="str">
        <f aca="false">助手收入!$C35</f>
        <v>博尚店</v>
      </c>
      <c r="D738" s="48" t="str">
        <f aca="false">科目对照收入!$B12&amp;""</f>
        <v>京东秒送</v>
      </c>
      <c r="E738" s="48" t="str">
        <f aca="false">IF(AND(ROUND($G738,2)&lt;0,科目对照收入!$L12&lt;&gt;""),科目对照收入!$L12,科目对照收入!$C12)&amp;""</f>
        <v>应收账款</v>
      </c>
      <c r="F738" s="48" t="str">
        <f aca="false">IF(AND(ROUND($G738,2)&lt;0,科目对照收入!$L12&lt;&gt;""),科目对照收入!$M12,科目对照收入!$D12)&amp;""</f>
        <v>京东秒送</v>
      </c>
      <c r="G738" s="49" t="n">
        <f aca="false">IF(COUNTIFS(输入平台!$A:$A,助手收入!$X35,输入平台!$B:$B,科目对照收入!$B12)&gt;0,ROUND(SUMIFS(输入平台!$C:$C,输入平台!$A:$A,助手收入!$X35,输入平台!$B:$B,科目对照收入!$B12),2),ROUND(海典汇总!$O$36,2))</f>
        <v>0</v>
      </c>
      <c r="H738" s="49" t="str">
        <f aca="false">IF(ROUND($G738,2)&gt;0,ROUND($G738,2),"")</f>
        <v/>
      </c>
      <c r="I738" s="49" t="str">
        <f aca="false">IF(ROUND($G738,2)&lt;0,-ROUND($G738,2),"")</f>
        <v/>
      </c>
      <c r="J738" s="20" t="n">
        <f aca="false">IF(ROUND($G738,2)=0,0,1)</f>
        <v>0</v>
      </c>
      <c r="K738" s="20" t="str">
        <f aca="false">IF($J738=0,"",SUM($J$728:$J738))</f>
        <v/>
      </c>
      <c r="L738" s="20" t="str">
        <f aca="false">IF($K738="","",$A738*100+$K738)</f>
        <v/>
      </c>
      <c r="M738" s="48" t="str">
        <f aca="false">参数!$B$3</f>
        <v>7月收入</v>
      </c>
    </row>
    <row r="739" customFormat="false" ht="13.5" hidden="false" customHeight="false" outlineLevel="0" collapsed="false">
      <c r="A739" s="47" t="n">
        <v>34</v>
      </c>
      <c r="B739" s="38" t="n">
        <f aca="false">助手收入!$B35</f>
        <v>2050</v>
      </c>
      <c r="C739" s="48" t="str">
        <f aca="false">助手收入!$C35</f>
        <v>博尚店</v>
      </c>
      <c r="D739" s="48" t="str">
        <f aca="false">科目对照收入!$B13&amp;""</f>
        <v>银联</v>
      </c>
      <c r="E739" s="48" t="str">
        <f aca="false">IF(AND(ROUND($G739,2)&lt;0,科目对照收入!$L13&lt;&gt;""),科目对照收入!$L13,科目对照收入!$C13)&amp;""</f>
        <v>应收账款</v>
      </c>
      <c r="F739" s="48" t="str">
        <f aca="false">IF(AND(ROUND($G739,2)&lt;0,科目对照收入!$L13&lt;&gt;""),科目对照收入!$M13,科目对照收入!$D13)&amp;""</f>
        <v>银联</v>
      </c>
      <c r="G739" s="49" t="n">
        <f aca="false">IF(COUNTIFS(输入平台!$A:$A,助手收入!$X35,输入平台!$B:$B,科目对照收入!$B13)&gt;0,ROUND(SUMIFS(输入平台!$C:$C,输入平台!$A:$A,助手收入!$X35,输入平台!$B:$B,科目对照收入!$B13),2),ROUND(海典汇总!$V$36,2))</f>
        <v>0</v>
      </c>
      <c r="H739" s="49" t="str">
        <f aca="false">IF(ROUND($G739,2)&gt;0,ROUND($G739,2),"")</f>
        <v/>
      </c>
      <c r="I739" s="49" t="str">
        <f aca="false">IF(ROUND($G739,2)&lt;0,-ROUND($G739,2),"")</f>
        <v/>
      </c>
      <c r="J739" s="20" t="n">
        <f aca="false">IF(ROUND($G739,2)=0,0,1)</f>
        <v>0</v>
      </c>
      <c r="K739" s="20" t="str">
        <f aca="false">IF($J739=0,"",SUM($J$728:$J739))</f>
        <v/>
      </c>
      <c r="L739" s="20" t="str">
        <f aca="false">IF($K739="","",$A739*100+$K739)</f>
        <v/>
      </c>
      <c r="M739" s="48" t="str">
        <f aca="false">参数!$B$3</f>
        <v>7月收入</v>
      </c>
    </row>
    <row r="740" customFormat="false" ht="13.5" hidden="false" customHeight="false" outlineLevel="0" collapsed="false">
      <c r="A740" s="47" t="n">
        <v>34</v>
      </c>
      <c r="B740" s="38" t="n">
        <f aca="false">助手收入!$B35</f>
        <v>2050</v>
      </c>
      <c r="C740" s="48" t="str">
        <f aca="false">助手收入!$C35</f>
        <v>博尚店</v>
      </c>
      <c r="D740" s="48" t="str">
        <f aca="false">科目对照收入!$B14&amp;""</f>
        <v>小镇外卖</v>
      </c>
      <c r="E740" s="48" t="str">
        <f aca="false">IF(AND(ROUND($G740,2)&lt;0,科目对照收入!$L14&lt;&gt;""),科目对照收入!$L14,科目对照收入!$C14)&amp;""</f>
        <v>应收账款</v>
      </c>
      <c r="F740" s="48" t="str">
        <f aca="false">IF(AND(ROUND($G740,2)&lt;0,科目对照收入!$L14&lt;&gt;""),科目对照收入!$M14,科目对照收入!$D14)&amp;""</f>
        <v>小镇外卖</v>
      </c>
      <c r="G740" s="49" t="n">
        <f aca="false">IF(COUNTIFS(输入平台!$A:$A,助手收入!$X35,输入平台!$B:$B,科目对照收入!$B14)&gt;0,ROUND(SUMIFS(输入平台!$C:$C,输入平台!$A:$A,助手收入!$X35,输入平台!$B:$B,科目对照收入!$B14),2),ROUND(海典汇总!$AC$36,2))</f>
        <v>0</v>
      </c>
      <c r="H740" s="49" t="str">
        <f aca="false">IF(ROUND($G740,2)&gt;0,ROUND($G740,2),"")</f>
        <v/>
      </c>
      <c r="I740" s="49" t="str">
        <f aca="false">IF(ROUND($G740,2)&lt;0,-ROUND($G740,2),"")</f>
        <v/>
      </c>
      <c r="J740" s="20" t="n">
        <f aca="false">IF(ROUND($G740,2)=0,0,1)</f>
        <v>0</v>
      </c>
      <c r="K740" s="20" t="str">
        <f aca="false">IF($J740=0,"",SUM($J$728:$J740))</f>
        <v/>
      </c>
      <c r="L740" s="20" t="str">
        <f aca="false">IF($K740="","",$A740*100+$K740)</f>
        <v/>
      </c>
      <c r="M740" s="48" t="str">
        <f aca="false">参数!$B$3</f>
        <v>7月收入</v>
      </c>
    </row>
    <row r="741" customFormat="false" ht="13.5" hidden="false" customHeight="false" outlineLevel="0" collapsed="false">
      <c r="A741" s="47" t="n">
        <v>34</v>
      </c>
      <c r="B741" s="38" t="n">
        <f aca="false">助手收入!$B35</f>
        <v>2050</v>
      </c>
      <c r="C741" s="48" t="str">
        <f aca="false">助手收入!$C35</f>
        <v>博尚店</v>
      </c>
      <c r="D741" s="48" t="str">
        <f aca="false">科目对照收入!$B15&amp;""</f>
        <v>OMS线上支付</v>
      </c>
      <c r="E741" s="48" t="str">
        <f aca="false">IF(AND(ROUND($G741,2)&lt;0,科目对照收入!$L15&lt;&gt;""),科目对照收入!$L15,科目对照收入!$C15)&amp;""</f>
        <v>应收账款</v>
      </c>
      <c r="F741" s="48" t="str">
        <f aca="false">IF(AND(ROUND($G741,2)&lt;0,科目对照收入!$L15&lt;&gt;""),科目对照收入!$M15,科目对照收入!$D15)&amp;""</f>
        <v>OMS线上</v>
      </c>
      <c r="G741" s="49" t="n">
        <f aca="false">IF(COUNTIFS(输入平台!$A:$A,助手收入!$X35,输入平台!$B:$B,科目对照收入!$B15)&gt;0,ROUND(SUMIFS(输入平台!$C:$C,输入平台!$A:$A,助手收入!$X35,输入平台!$B:$B,科目对照收入!$B15),2),ROUND(海典汇总!$L$36,2))</f>
        <v>0</v>
      </c>
      <c r="H741" s="49" t="str">
        <f aca="false">IF(ROUND($G741,2)&gt;0,ROUND($G741,2),"")</f>
        <v/>
      </c>
      <c r="I741" s="49" t="str">
        <f aca="false">IF(ROUND($G741,2)&lt;0,-ROUND($G741,2),"")</f>
        <v/>
      </c>
      <c r="J741" s="20" t="n">
        <f aca="false">IF(ROUND($G741,2)=0,0,1)</f>
        <v>0</v>
      </c>
      <c r="K741" s="20" t="str">
        <f aca="false">IF($J741=0,"",SUM($J$728:$J741))</f>
        <v/>
      </c>
      <c r="L741" s="20" t="str">
        <f aca="false">IF($K741="","",$A741*100+$K741)</f>
        <v/>
      </c>
      <c r="M741" s="48" t="str">
        <f aca="false">参数!$B$3</f>
        <v>7月收入</v>
      </c>
    </row>
    <row r="742" customFormat="false" ht="13.5" hidden="false" customHeight="false" outlineLevel="0" collapsed="false">
      <c r="A742" s="47" t="n">
        <v>34</v>
      </c>
      <c r="B742" s="38" t="n">
        <f aca="false">助手收入!$B35</f>
        <v>2050</v>
      </c>
      <c r="C742" s="48" t="str">
        <f aca="false">助手收入!$C35</f>
        <v>博尚店</v>
      </c>
      <c r="D742" s="48" t="str">
        <f aca="false">科目对照收入!$B16&amp;""</f>
        <v>平安药卡</v>
      </c>
      <c r="E742" s="48" t="str">
        <f aca="false">IF(AND(ROUND($G742,2)&lt;0,科目对照收入!$L16&lt;&gt;""),科目对照收入!$L16,科目对照收入!$C16)&amp;""</f>
        <v>应收账款</v>
      </c>
      <c r="F742" s="48" t="str">
        <f aca="false">IF(AND(ROUND($G742,2)&lt;0,科目对照收入!$L16&lt;&gt;""),科目对照收入!$M16,科目对照收入!$D16)&amp;""</f>
        <v>平安</v>
      </c>
      <c r="G742" s="49" t="n">
        <f aca="false">IF(COUNTIFS(输入平台!$A:$A,助手收入!$X35,输入平台!$B:$B,科目对照收入!$B16)&gt;0,ROUND(SUMIFS(输入平台!$C:$C,输入平台!$A:$A,助手收入!$X35,输入平台!$B:$B,科目对照收入!$B16),2),ROUND(海典汇总!$AB$36,2))</f>
        <v>0</v>
      </c>
      <c r="H742" s="49" t="str">
        <f aca="false">IF(ROUND($G742,2)&gt;0,ROUND($G742,2),"")</f>
        <v/>
      </c>
      <c r="I742" s="49" t="str">
        <f aca="false">IF(ROUND($G742,2)&lt;0,-ROUND($G742,2),"")</f>
        <v/>
      </c>
      <c r="J742" s="20" t="n">
        <f aca="false">IF(ROUND($G742,2)=0,0,1)</f>
        <v>0</v>
      </c>
      <c r="K742" s="20" t="str">
        <f aca="false">IF($J742=0,"",SUM($J$728:$J742))</f>
        <v/>
      </c>
      <c r="L742" s="20" t="str">
        <f aca="false">IF($K742="","",$A742*100+$K742)</f>
        <v/>
      </c>
      <c r="M742" s="48" t="str">
        <f aca="false">参数!$B$3</f>
        <v>7月收入</v>
      </c>
    </row>
    <row r="743" customFormat="false" ht="13.5" hidden="false" customHeight="false" outlineLevel="0" collapsed="false">
      <c r="A743" s="47" t="n">
        <v>34</v>
      </c>
      <c r="B743" s="38" t="n">
        <f aca="false">助手收入!$B35</f>
        <v>2050</v>
      </c>
      <c r="C743" s="48" t="str">
        <f aca="false">助手收入!$C35</f>
        <v>博尚店</v>
      </c>
      <c r="D743" s="48" t="str">
        <f aca="false">科目对照收入!$B17&amp;""</f>
        <v>储值卡</v>
      </c>
      <c r="E743" s="48" t="str">
        <f aca="false">IF(AND(ROUND($G743,2)&lt;0,科目对照收入!$L17&lt;&gt;""),科目对照收入!$L17,科目对照收入!$C17)&amp;""</f>
        <v>其他应收款</v>
      </c>
      <c r="F743" s="48" t="str">
        <f aca="false">IF(AND(ROUND($G743,2)&lt;0,科目对照收入!$L17&lt;&gt;""),科目对照收入!$M17,科目对照收入!$D17)&amp;""</f>
        <v>储值卡</v>
      </c>
      <c r="G743" s="49" t="n">
        <f aca="false">ROUND(海典汇总!$Q$36,2)</f>
        <v>143</v>
      </c>
      <c r="H743" s="49" t="n">
        <f aca="false">IF(ROUND($G743,2)&gt;0,ROUND($G743,2),"")</f>
        <v>143</v>
      </c>
      <c r="I743" s="49" t="str">
        <f aca="false">IF(ROUND($G743,2)&lt;0,-ROUND($G743,2),"")</f>
        <v/>
      </c>
      <c r="J743" s="20" t="n">
        <f aca="false">IF(ROUND($G743,2)=0,0,1)</f>
        <v>1</v>
      </c>
      <c r="K743" s="20" t="n">
        <f aca="false">IF($J743=0,"",SUM($J$728:$J743))</f>
        <v>6</v>
      </c>
      <c r="L743" s="20" t="n">
        <f aca="false">IF($K743="","",$A743*100+$K743)</f>
        <v>3406</v>
      </c>
      <c r="M743" s="48" t="str">
        <f aca="false">参数!$B$3</f>
        <v>7月收入</v>
      </c>
    </row>
    <row r="744" customFormat="false" ht="13.5" hidden="false" customHeight="false" outlineLevel="0" collapsed="false">
      <c r="A744" s="47" t="n">
        <v>34</v>
      </c>
      <c r="B744" s="38" t="n">
        <f aca="false">助手收入!$B35</f>
        <v>2050</v>
      </c>
      <c r="C744" s="48" t="str">
        <f aca="false">助手收入!$C35</f>
        <v>博尚店</v>
      </c>
      <c r="D744" s="48" t="str">
        <f aca="false">科目对照收入!$B18&amp;""</f>
        <v>会员零钱包</v>
      </c>
      <c r="E744" s="48" t="str">
        <f aca="false">IF(AND(ROUND($G744,2)&lt;0,科目对照收入!$L18&lt;&gt;""),科目对照收入!$L18,科目对照收入!$C18)&amp;""</f>
        <v>其他应收款</v>
      </c>
      <c r="F744" s="48" t="str">
        <f aca="false">IF(AND(ROUND($G744,2)&lt;0,科目对照收入!$L18&lt;&gt;""),科目对照收入!$M18,科目对照收入!$D18)&amp;""</f>
        <v>会员零钱包</v>
      </c>
      <c r="G744" s="49" t="n">
        <f aca="false">ROUND(海典汇总!$P$36,2)</f>
        <v>0</v>
      </c>
      <c r="H744" s="49" t="str">
        <f aca="false">IF(ROUND($G744,2)&gt;0,ROUND($G744,2),"")</f>
        <v/>
      </c>
      <c r="I744" s="49" t="str">
        <f aca="false">IF(ROUND($G744,2)&lt;0,-ROUND($G744,2),"")</f>
        <v/>
      </c>
      <c r="J744" s="20" t="n">
        <f aca="false">IF(ROUND($G744,2)=0,0,1)</f>
        <v>0</v>
      </c>
      <c r="K744" s="20" t="str">
        <f aca="false">IF($J744=0,"",SUM($J$728:$J744))</f>
        <v/>
      </c>
      <c r="L744" s="20" t="str">
        <f aca="false">IF($K744="","",$A744*100+$K744)</f>
        <v/>
      </c>
      <c r="M744" s="48" t="str">
        <f aca="false">参数!$B$3</f>
        <v>7月收入</v>
      </c>
    </row>
    <row r="745" customFormat="false" ht="13.5" hidden="false" customHeight="false" outlineLevel="0" collapsed="false">
      <c r="A745" s="47" t="n">
        <v>34</v>
      </c>
      <c r="B745" s="38" t="n">
        <f aca="false">助手收入!$B35</f>
        <v>2050</v>
      </c>
      <c r="C745" s="48" t="str">
        <f aca="false">助手收入!$C35</f>
        <v>博尚店</v>
      </c>
      <c r="D745" s="48" t="str">
        <f aca="false">科目对照收入!$B19&amp;""</f>
        <v>促销费</v>
      </c>
      <c r="E745" s="48" t="str">
        <f aca="false">IF(AND(ROUND($G745,2)&lt;0,科目对照收入!$L19&lt;&gt;""),科目对照收入!$L19,科目对照收入!$C19)&amp;""</f>
        <v>销售费用</v>
      </c>
      <c r="F745" s="48" t="str">
        <f aca="false">IF(AND(ROUND($G745,2)&lt;0,科目对照收入!$L19&lt;&gt;""),科目对照收入!$M19,科目对照收入!$D19)&amp;""</f>
        <v>促销费</v>
      </c>
      <c r="G745" s="49" t="n">
        <f aca="false">ROUND(海典汇总!$U$36+海典汇总!$T$36+海典汇总!$S$36,2)</f>
        <v>993.08</v>
      </c>
      <c r="H745" s="49" t="n">
        <f aca="false">IF(ROUND($G745,2)&gt;0,ROUND($G745,2),"")</f>
        <v>993.08</v>
      </c>
      <c r="I745" s="49" t="str">
        <f aca="false">IF(ROUND($G745,2)&lt;0,-ROUND($G745,2),"")</f>
        <v/>
      </c>
      <c r="J745" s="20" t="n">
        <f aca="false">IF(ROUND($G745,2)=0,0,1)</f>
        <v>1</v>
      </c>
      <c r="K745" s="20" t="n">
        <f aca="false">IF($J745=0,"",SUM($J$728:$J745))</f>
        <v>7</v>
      </c>
      <c r="L745" s="20" t="n">
        <f aca="false">IF($K745="","",$A745*100+$K745)</f>
        <v>3407</v>
      </c>
      <c r="M745" s="48" t="str">
        <f aca="false">参数!$B$3</f>
        <v>7月收入</v>
      </c>
    </row>
    <row r="746" customFormat="false" ht="13.5" hidden="false" customHeight="false" outlineLevel="0" collapsed="false">
      <c r="A746" s="47" t="n">
        <v>34</v>
      </c>
      <c r="B746" s="38" t="n">
        <f aca="false">助手收入!$B35</f>
        <v>2050</v>
      </c>
      <c r="C746" s="48" t="str">
        <f aca="false">助手收入!$C35</f>
        <v>博尚店</v>
      </c>
      <c r="D746" s="48" t="str">
        <f aca="false">科目对照收入!$B20&amp;""</f>
        <v>积分</v>
      </c>
      <c r="E746" s="48" t="str">
        <f aca="false">IF(AND(ROUND($G746,2)&lt;0,科目对照收入!$L20&lt;&gt;""),科目对照收入!$L20,科目对照收入!$C20)&amp;""</f>
        <v>销售费用</v>
      </c>
      <c r="F746" s="48" t="str">
        <f aca="false">IF(AND(ROUND($G746,2)&lt;0,科目对照收入!$L20&lt;&gt;""),科目对照收入!$M20,科目对照收入!$D20)&amp;""</f>
        <v>积分</v>
      </c>
      <c r="G746" s="49" t="n">
        <f aca="false">ROUND(海典汇总!$R$36,2)</f>
        <v>0</v>
      </c>
      <c r="H746" s="49" t="str">
        <f aca="false">IF(ROUND($G746,2)&gt;0,ROUND($G746,2),"")</f>
        <v/>
      </c>
      <c r="I746" s="49" t="str">
        <f aca="false">IF(ROUND($G746,2)&lt;0,-ROUND($G746,2),"")</f>
        <v/>
      </c>
      <c r="J746" s="20" t="n">
        <f aca="false">IF(ROUND($G746,2)=0,0,1)</f>
        <v>0</v>
      </c>
      <c r="K746" s="20" t="str">
        <f aca="false">IF($J746=0,"",SUM($J$728:$J746))</f>
        <v/>
      </c>
      <c r="L746" s="20" t="str">
        <f aca="false">IF($K746="","",$A746*100+$K746)</f>
        <v/>
      </c>
      <c r="M746" s="48" t="str">
        <f aca="false">参数!$B$3</f>
        <v>7月收入</v>
      </c>
    </row>
    <row r="747" customFormat="false" ht="13.5" hidden="false" customHeight="false" outlineLevel="0" collapsed="false">
      <c r="A747" s="47" t="n">
        <v>34</v>
      </c>
      <c r="B747" s="38" t="n">
        <f aca="false">助手收入!$B35</f>
        <v>2050</v>
      </c>
      <c r="C747" s="48" t="str">
        <f aca="false">助手收入!$C35</f>
        <v>博尚店</v>
      </c>
      <c r="D747" s="48" t="str">
        <f aca="false">科目对照收入!$B21&amp;""</f>
        <v>手续费</v>
      </c>
      <c r="E747" s="48" t="str">
        <f aca="false">IF(AND(ROUND($G747,2)&lt;0,科目对照收入!$L21&lt;&gt;""),科目对照收入!$L21,科目对照收入!$C21)&amp;""</f>
        <v>财务费用</v>
      </c>
      <c r="F747" s="48" t="str">
        <f aca="false">IF(AND(ROUND($G747,2)&lt;0,科目对照收入!$L21&lt;&gt;""),科目对照收入!$M21,科目对照收入!$D21)&amp;""</f>
        <v>手续费</v>
      </c>
      <c r="G747" s="49" t="n">
        <f aca="false">ROUND(SUMIFS(输入聚合!$D:$D,输入聚合!$A:$A,助手收入!$X35),2)</f>
        <v>43.57</v>
      </c>
      <c r="H747" s="49" t="n">
        <f aca="false">IF(ROUND($G747,2)&gt;0,ROUND($G747,2),"")</f>
        <v>43.57</v>
      </c>
      <c r="I747" s="49" t="str">
        <f aca="false">IF(ROUND($G747,2)&lt;0,-ROUND($G747,2),"")</f>
        <v/>
      </c>
      <c r="J747" s="20" t="n">
        <f aca="false">IF(ROUND($G747,2)=0,0,1)</f>
        <v>1</v>
      </c>
      <c r="K747" s="20" t="n">
        <f aca="false">IF($J747=0,"",SUM($J$728:$J747))</f>
        <v>8</v>
      </c>
      <c r="L747" s="20" t="n">
        <f aca="false">IF($K747="","",$A747*100+$K747)</f>
        <v>3408</v>
      </c>
      <c r="M747" s="48" t="str">
        <f aca="false">参数!$B$3</f>
        <v>7月收入</v>
      </c>
    </row>
    <row r="748" customFormat="false" ht="13.5" hidden="false" customHeight="false" outlineLevel="0" collapsed="false">
      <c r="A748" s="47" t="n">
        <v>34</v>
      </c>
      <c r="B748" s="38" t="n">
        <f aca="false">助手收入!$B35</f>
        <v>2050</v>
      </c>
      <c r="C748" s="48" t="str">
        <f aca="false">助手收入!$C35</f>
        <v>博尚店</v>
      </c>
      <c r="D748" s="48" t="str">
        <f aca="false">科目对照收入!$B22&amp;""</f>
        <v>主营业务收入</v>
      </c>
      <c r="E748" s="48" t="str">
        <f aca="false">IF(AND(ROUND($G748,2)&lt;0,科目对照收入!$L22&lt;&gt;""),科目对照收入!$L22,科目对照收入!$C22)&amp;""</f>
        <v>主营业务收入</v>
      </c>
      <c r="F748" s="48" t="str">
        <f aca="false">IF(AND(ROUND($G748,2)&lt;0,科目对照收入!$L22&lt;&gt;""),科目对照收入!$M22,科目对照收入!$D22)&amp;""</f>
        <v/>
      </c>
      <c r="G748" s="49" t="n">
        <f aca="false">-ROUND(助手收入!$G35,2)</f>
        <v>-31879.77</v>
      </c>
      <c r="H748" s="49" t="str">
        <f aca="false">IF(ROUND($G748,2)&gt;0,ROUND($G748,2),"")</f>
        <v/>
      </c>
      <c r="I748" s="49" t="n">
        <f aca="false">IF(ROUND($G748,2)&lt;0,-ROUND($G748,2),"")</f>
        <v>31879.77</v>
      </c>
      <c r="J748" s="20" t="n">
        <f aca="false">IF(ROUND($G748,2)=0,0,1)</f>
        <v>1</v>
      </c>
      <c r="K748" s="20" t="n">
        <f aca="false">IF($J748=0,"",SUM($J$728:$J748))</f>
        <v>9</v>
      </c>
      <c r="L748" s="20" t="n">
        <f aca="false">IF($K748="","",$A748*100+$K748)</f>
        <v>3409</v>
      </c>
      <c r="M748" s="48" t="str">
        <f aca="false">参数!$B$3</f>
        <v>7月收入</v>
      </c>
    </row>
    <row r="749" customFormat="false" ht="13.5" hidden="false" customHeight="false" outlineLevel="0" collapsed="false">
      <c r="A749" s="47" t="n">
        <v>34</v>
      </c>
      <c r="B749" s="38" t="n">
        <f aca="false">助手收入!$B35</f>
        <v>2050</v>
      </c>
      <c r="C749" s="48" t="str">
        <f aca="false">助手收入!$C35</f>
        <v>博尚店</v>
      </c>
      <c r="D749" s="48" t="str">
        <f aca="false">科目对照收入!$B23&amp;""</f>
        <v>营业外收入</v>
      </c>
      <c r="E749" s="48" t="str">
        <f aca="false">IF(AND(ROUND($G749,2)&lt;0,科目对照收入!$L23&lt;&gt;""),科目对照收入!$L23,科目对照收入!$C23)&amp;""</f>
        <v>营业外收入</v>
      </c>
      <c r="F749" s="48" t="str">
        <f aca="false">IF(AND(ROUND($G749,2)&lt;0,科目对照收入!$L23&lt;&gt;""),科目对照收入!$M23,科目对照收入!$D23)&amp;""</f>
        <v/>
      </c>
      <c r="G749" s="49" t="n">
        <f aca="false">-ROUND(助手收入!$J35,2)</f>
        <v>-0</v>
      </c>
      <c r="H749" s="49" t="str">
        <f aca="false">IF(ROUND($G749,2)&gt;0,ROUND($G749,2),"")</f>
        <v/>
      </c>
      <c r="I749" s="49" t="str">
        <f aca="false">IF(ROUND($G749,2)&lt;0,-ROUND($G749,2),"")</f>
        <v/>
      </c>
      <c r="J749" s="20" t="n">
        <f aca="false">IF(ROUND($G749,2)=0,0,1)</f>
        <v>0</v>
      </c>
      <c r="K749" s="20" t="str">
        <f aca="false">IF($J749=0,"",SUM($J$728:$J749))</f>
        <v/>
      </c>
      <c r="L749" s="20" t="str">
        <f aca="false">IF($K749="","",$A749*100+$K749)</f>
        <v/>
      </c>
      <c r="M749" s="48" t="str">
        <f aca="false">参数!$B$3</f>
        <v>7月收入</v>
      </c>
    </row>
    <row r="750" customFormat="false" ht="13.5" hidden="false" customHeight="false" outlineLevel="0" collapsed="false">
      <c r="A750" s="47" t="n">
        <v>35</v>
      </c>
      <c r="B750" s="38" t="n">
        <f aca="false">助手收入!$B36</f>
        <v>2053</v>
      </c>
      <c r="C750" s="48" t="str">
        <f aca="false">助手收入!$C36</f>
        <v>博鑫店</v>
      </c>
      <c r="D750" s="48" t="str">
        <f aca="false">科目对照收入!$B2&amp;""</f>
        <v>库存现金</v>
      </c>
      <c r="E750" s="48" t="str">
        <f aca="false">IF(AND(ROUND($G750,2)&lt;0,科目对照收入!$L2&lt;&gt;""),科目对照收入!$L2,科目对照收入!$C2)&amp;""</f>
        <v>库存现金</v>
      </c>
      <c r="F750" s="48" t="str">
        <f aca="false">IF(AND(ROUND($G750,2)&lt;0,科目对照收入!$L2&lt;&gt;""),科目对照收入!$M2,科目对照收入!$D2)&amp;""</f>
        <v/>
      </c>
      <c r="G750" s="49" t="n">
        <f aca="false">助手收入!$I36</f>
        <v>6527.6</v>
      </c>
      <c r="H750" s="49" t="n">
        <f aca="false">IF(ROUND($G750,2)&gt;0,ROUND($G750,2),"")</f>
        <v>6527.6</v>
      </c>
      <c r="I750" s="49" t="str">
        <f aca="false">IF(ROUND($G750,2)&lt;0,-ROUND($G750,2),"")</f>
        <v/>
      </c>
      <c r="J750" s="20" t="n">
        <f aca="false">IF(ROUND($G750,2)=0,0,1)</f>
        <v>1</v>
      </c>
      <c r="K750" s="20" t="n">
        <f aca="false">IF($J750=0,"",SUM($J$750:$J750))</f>
        <v>1</v>
      </c>
      <c r="L750" s="20" t="n">
        <f aca="false">IF($K750="","",$A750*100+$K750)</f>
        <v>3501</v>
      </c>
      <c r="M750" s="48" t="str">
        <f aca="false">参数!$B$3</f>
        <v>7月收入</v>
      </c>
    </row>
    <row r="751" customFormat="false" ht="13.5" hidden="false" customHeight="false" outlineLevel="0" collapsed="false">
      <c r="A751" s="47" t="n">
        <v>35</v>
      </c>
      <c r="B751" s="38" t="n">
        <f aca="false">助手收入!$B36</f>
        <v>2053</v>
      </c>
      <c r="C751" s="48" t="str">
        <f aca="false">助手收入!$C36</f>
        <v>博鑫店</v>
      </c>
      <c r="D751" s="48" t="str">
        <f aca="false">科目对照收入!$B3&amp;""</f>
        <v>聚合支付</v>
      </c>
      <c r="E751" s="48" t="str">
        <f aca="false">IF(AND(ROUND($G751,2)&lt;0,科目对照收入!$L3&lt;&gt;""),科目对照收入!$L3,科目对照收入!$C3)&amp;""</f>
        <v>应收账款</v>
      </c>
      <c r="F751" s="48" t="str">
        <f aca="false">IF(AND(ROUND($G751,2)&lt;0,科目对照收入!$L3&lt;&gt;""),科目对照收入!$M3,科目对照收入!$D3)&amp;""</f>
        <v>聚合支付</v>
      </c>
      <c r="G751" s="49" t="n">
        <f aca="false">ROUND(SUMIFS(输入聚合!$C:$C,输入聚合!$A:$A,助手收入!$X36)-SUMIFS(输入聚合!$D:$D,输入聚合!$A:$A,助手收入!$X36),2)</f>
        <v>26247.13</v>
      </c>
      <c r="H751" s="49" t="n">
        <f aca="false">IF(ROUND($G751,2)&gt;0,ROUND($G751,2),"")</f>
        <v>26247.13</v>
      </c>
      <c r="I751" s="49" t="str">
        <f aca="false">IF(ROUND($G751,2)&lt;0,-ROUND($G751,2),"")</f>
        <v/>
      </c>
      <c r="J751" s="20" t="n">
        <f aca="false">IF(ROUND($G751,2)=0,0,1)</f>
        <v>1</v>
      </c>
      <c r="K751" s="20" t="n">
        <f aca="false">IF($J751=0,"",SUM($J$750:$J751))</f>
        <v>2</v>
      </c>
      <c r="L751" s="20" t="n">
        <f aca="false">IF($K751="","",$A751*100+$K751)</f>
        <v>3502</v>
      </c>
      <c r="M751" s="48" t="str">
        <f aca="false">参数!$B$3</f>
        <v>7月收入</v>
      </c>
    </row>
    <row r="752" customFormat="false" ht="13.5" hidden="false" customHeight="false" outlineLevel="0" collapsed="false">
      <c r="A752" s="47" t="n">
        <v>35</v>
      </c>
      <c r="B752" s="38" t="n">
        <f aca="false">助手收入!$B36</f>
        <v>2053</v>
      </c>
      <c r="C752" s="48" t="str">
        <f aca="false">助手收入!$C36</f>
        <v>博鑫店</v>
      </c>
      <c r="D752" s="48" t="str">
        <f aca="false">科目对照收入!$B4&amp;""</f>
        <v>医保</v>
      </c>
      <c r="E752" s="48" t="str">
        <f aca="false">IF(AND(ROUND($G752,2)&lt;0,科目对照收入!$L4&lt;&gt;""),科目对照收入!$L4,科目对照收入!$C4)&amp;""</f>
        <v>应收账款</v>
      </c>
      <c r="F752" s="48" t="str">
        <f aca="false">IF(AND(ROUND($G752,2)&lt;0,科目对照收入!$L4&lt;&gt;""),科目对照收入!$M4,科目对照收入!$D4)&amp;""</f>
        <v>医保</v>
      </c>
      <c r="G752" s="49" t="n">
        <f aca="false">IF(COUNTIFS(输入平台!$A:$A,助手收入!$X36,输入平台!$B:$B,科目对照收入!$B4)&gt;0,ROUND(SUMIFS(输入平台!$C:$C,输入平台!$A:$A,助手收入!$X36,输入平台!$B:$B,科目对照收入!$B4),2),ROUND(海典汇总!$F$37+海典汇总!$G$37,2))</f>
        <v>6831.64</v>
      </c>
      <c r="H752" s="49" t="n">
        <f aca="false">IF(ROUND($G752,2)&gt;0,ROUND($G752,2),"")</f>
        <v>6831.64</v>
      </c>
      <c r="I752" s="49" t="str">
        <f aca="false">IF(ROUND($G752,2)&lt;0,-ROUND($G752,2),"")</f>
        <v/>
      </c>
      <c r="J752" s="20" t="n">
        <f aca="false">IF(ROUND($G752,2)=0,0,1)</f>
        <v>1</v>
      </c>
      <c r="K752" s="20" t="n">
        <f aca="false">IF($J752=0,"",SUM($J$750:$J752))</f>
        <v>3</v>
      </c>
      <c r="L752" s="20" t="n">
        <f aca="false">IF($K752="","",$A752*100+$K752)</f>
        <v>3503</v>
      </c>
      <c r="M752" s="48" t="str">
        <f aca="false">参数!$B$3</f>
        <v>7月收入</v>
      </c>
    </row>
    <row r="753" customFormat="false" ht="13.5" hidden="false" customHeight="false" outlineLevel="0" collapsed="false">
      <c r="A753" s="47" t="n">
        <v>35</v>
      </c>
      <c r="B753" s="38" t="n">
        <f aca="false">助手收入!$B36</f>
        <v>2053</v>
      </c>
      <c r="C753" s="48" t="str">
        <f aca="false">助手收入!$C36</f>
        <v>博鑫店</v>
      </c>
      <c r="D753" s="48" t="str">
        <f aca="false">科目对照收入!$B5&amp;""</f>
        <v>健e卡</v>
      </c>
      <c r="E753" s="48" t="str">
        <f aca="false">IF(AND(ROUND($G753,2)&lt;0,科目对照收入!$L5&lt;&gt;""),科目对照收入!$L5,科目对照收入!$C5)&amp;""</f>
        <v>应收账款</v>
      </c>
      <c r="F753" s="48" t="str">
        <f aca="false">IF(AND(ROUND($G753,2)&lt;0,科目对照收入!$L5&lt;&gt;""),科目对照收入!$M5,科目对照收入!$D5)&amp;""</f>
        <v>健e卡</v>
      </c>
      <c r="G753" s="49" t="n">
        <f aca="false">IF(COUNTIFS(输入平台!$A:$A,助手收入!$X36,输入平台!$B:$B,科目对照收入!$B5)&gt;0,ROUND(SUMIFS(输入平台!$C:$C,输入平台!$A:$A,助手收入!$X36,输入平台!$B:$B,科目对照收入!$B5),2),ROUND(海典汇总!$H$37,2))</f>
        <v>0</v>
      </c>
      <c r="H753" s="49" t="str">
        <f aca="false">IF(ROUND($G753,2)&gt;0,ROUND($G753,2),"")</f>
        <v/>
      </c>
      <c r="I753" s="49" t="str">
        <f aca="false">IF(ROUND($G753,2)&lt;0,-ROUND($G753,2),"")</f>
        <v/>
      </c>
      <c r="J753" s="20" t="n">
        <f aca="false">IF(ROUND($G753,2)=0,0,1)</f>
        <v>0</v>
      </c>
      <c r="K753" s="20" t="str">
        <f aca="false">IF($J753=0,"",SUM($J$750:$J753))</f>
        <v/>
      </c>
      <c r="L753" s="20" t="str">
        <f aca="false">IF($K753="","",$A753*100+$K753)</f>
        <v/>
      </c>
      <c r="M753" s="48" t="str">
        <f aca="false">参数!$B$3</f>
        <v>7月收入</v>
      </c>
    </row>
    <row r="754" customFormat="false" ht="13.5" hidden="false" customHeight="false" outlineLevel="0" collapsed="false">
      <c r="A754" s="47" t="n">
        <v>35</v>
      </c>
      <c r="B754" s="38" t="n">
        <f aca="false">助手收入!$B36</f>
        <v>2053</v>
      </c>
      <c r="C754" s="48" t="str">
        <f aca="false">助手收入!$C36</f>
        <v>博鑫店</v>
      </c>
      <c r="D754" s="48" t="str">
        <f aca="false">科目对照收入!$B6&amp;""</f>
        <v>医卡通</v>
      </c>
      <c r="E754" s="48" t="str">
        <f aca="false">IF(AND(ROUND($G754,2)&lt;0,科目对照收入!$L6&lt;&gt;""),科目对照收入!$L6,科目对照收入!$C6)&amp;""</f>
        <v>应收账款</v>
      </c>
      <c r="F754" s="48" t="str">
        <f aca="false">IF(AND(ROUND($G754,2)&lt;0,科目对照收入!$L6&lt;&gt;""),科目对照收入!$M6,科目对照收入!$D6)&amp;""</f>
        <v>医卡通</v>
      </c>
      <c r="G754" s="49" t="n">
        <f aca="false">IF(COUNTIFS(输入平台!$A:$A,助手收入!$X36,输入平台!$B:$B,科目对照收入!$B6)&gt;0,ROUND(SUMIFS(输入平台!$C:$C,输入平台!$A:$A,助手收入!$X36,输入平台!$B:$B,科目对照收入!$B6),2),ROUND(海典汇总!$I$37,2))</f>
        <v>0</v>
      </c>
      <c r="H754" s="49" t="str">
        <f aca="false">IF(ROUND($G754,2)&gt;0,ROUND($G754,2),"")</f>
        <v/>
      </c>
      <c r="I754" s="49" t="str">
        <f aca="false">IF(ROUND($G754,2)&lt;0,-ROUND($G754,2),"")</f>
        <v/>
      </c>
      <c r="J754" s="20" t="n">
        <f aca="false">IF(ROUND($G754,2)=0,0,1)</f>
        <v>0</v>
      </c>
      <c r="K754" s="20" t="str">
        <f aca="false">IF($J754=0,"",SUM($J$750:$J754))</f>
        <v/>
      </c>
      <c r="L754" s="20" t="str">
        <f aca="false">IF($K754="","",$A754*100+$K754)</f>
        <v/>
      </c>
      <c r="M754" s="48" t="str">
        <f aca="false">参数!$B$3</f>
        <v>7月收入</v>
      </c>
    </row>
    <row r="755" customFormat="false" ht="13.5" hidden="false" customHeight="false" outlineLevel="0" collapsed="false">
      <c r="A755" s="47" t="n">
        <v>35</v>
      </c>
      <c r="B755" s="38" t="n">
        <f aca="false">助手收入!$B36</f>
        <v>2053</v>
      </c>
      <c r="C755" s="48" t="str">
        <f aca="false">助手收入!$C36</f>
        <v>博鑫店</v>
      </c>
      <c r="D755" s="48" t="str">
        <f aca="false">科目对照收入!$B7&amp;""</f>
        <v>企健网</v>
      </c>
      <c r="E755" s="48" t="str">
        <f aca="false">IF(AND(ROUND($G755,2)&lt;0,科目对照收入!$L7&lt;&gt;""),科目对照收入!$L7,科目对照收入!$C7)&amp;""</f>
        <v>应收账款</v>
      </c>
      <c r="F755" s="48" t="str">
        <f aca="false">IF(AND(ROUND($G755,2)&lt;0,科目对照收入!$L7&lt;&gt;""),科目对照收入!$M7,科目对照收入!$D7)&amp;""</f>
        <v>企健网</v>
      </c>
      <c r="G755" s="49" t="n">
        <f aca="false">IF(COUNTIFS(输入平台!$A:$A,助手收入!$X36,输入平台!$B:$B,科目对照收入!$B7)&gt;0,ROUND(SUMIFS(输入平台!$C:$C,输入平台!$A:$A,助手收入!$X36,输入平台!$B:$B,科目对照收入!$B7),2),ROUND(海典汇总!$J$37,2))</f>
        <v>0</v>
      </c>
      <c r="H755" s="49" t="str">
        <f aca="false">IF(ROUND($G755,2)&gt;0,ROUND($G755,2),"")</f>
        <v/>
      </c>
      <c r="I755" s="49" t="str">
        <f aca="false">IF(ROUND($G755,2)&lt;0,-ROUND($G755,2),"")</f>
        <v/>
      </c>
      <c r="J755" s="20" t="n">
        <f aca="false">IF(ROUND($G755,2)=0,0,1)</f>
        <v>0</v>
      </c>
      <c r="K755" s="20" t="str">
        <f aca="false">IF($J755=0,"",SUM($J$750:$J755))</f>
        <v/>
      </c>
      <c r="L755" s="20" t="str">
        <f aca="false">IF($K755="","",$A755*100+$K755)</f>
        <v/>
      </c>
      <c r="M755" s="48" t="str">
        <f aca="false">参数!$B$3</f>
        <v>7月收入</v>
      </c>
    </row>
    <row r="756" customFormat="false" ht="13.5" hidden="false" customHeight="false" outlineLevel="0" collapsed="false">
      <c r="A756" s="47" t="n">
        <v>35</v>
      </c>
      <c r="B756" s="38" t="n">
        <f aca="false">助手收入!$B36</f>
        <v>2053</v>
      </c>
      <c r="C756" s="48" t="str">
        <f aca="false">助手收入!$C36</f>
        <v>博鑫店</v>
      </c>
      <c r="D756" s="48" t="str">
        <f aca="false">科目对照收入!$B8&amp;""</f>
        <v>亲情卡</v>
      </c>
      <c r="E756" s="48" t="str">
        <f aca="false">IF(AND(ROUND($G756,2)&lt;0,科目对照收入!$L8&lt;&gt;""),科目对照收入!$L8,科目对照收入!$C8)&amp;""</f>
        <v>应收账款</v>
      </c>
      <c r="F756" s="48" t="str">
        <f aca="false">IF(AND(ROUND($G756,2)&lt;0,科目对照收入!$L8&lt;&gt;""),科目对照收入!$M8,科目对照收入!$D8)&amp;""</f>
        <v>亲情卡</v>
      </c>
      <c r="G756" s="49" t="n">
        <f aca="false">IF(COUNTIFS(输入平台!$A:$A,助手收入!$X36,输入平台!$B:$B,科目对照收入!$B8)&gt;0,ROUND(SUMIFS(输入平台!$C:$C,输入平台!$A:$A,助手收入!$X36,输入平台!$B:$B,科目对照收入!$B8),2),ROUND(海典汇总!$Z$37,2))</f>
        <v>0</v>
      </c>
      <c r="H756" s="49" t="str">
        <f aca="false">IF(ROUND($G756,2)&gt;0,ROUND($G756,2),"")</f>
        <v/>
      </c>
      <c r="I756" s="49" t="str">
        <f aca="false">IF(ROUND($G756,2)&lt;0,-ROUND($G756,2),"")</f>
        <v/>
      </c>
      <c r="J756" s="20" t="n">
        <f aca="false">IF(ROUND($G756,2)=0,0,1)</f>
        <v>0</v>
      </c>
      <c r="K756" s="20" t="str">
        <f aca="false">IF($J756=0,"",SUM($J$750:$J756))</f>
        <v/>
      </c>
      <c r="L756" s="20" t="str">
        <f aca="false">IF($K756="","",$A756*100+$K756)</f>
        <v/>
      </c>
      <c r="M756" s="48" t="str">
        <f aca="false">参数!$B$3</f>
        <v>7月收入</v>
      </c>
    </row>
    <row r="757" customFormat="false" ht="13.5" hidden="false" customHeight="false" outlineLevel="0" collapsed="false">
      <c r="A757" s="47" t="n">
        <v>35</v>
      </c>
      <c r="B757" s="38" t="n">
        <f aca="false">助手收入!$B36</f>
        <v>2053</v>
      </c>
      <c r="C757" s="48" t="str">
        <f aca="false">助手收入!$C36</f>
        <v>博鑫店</v>
      </c>
      <c r="D757" s="48" t="str">
        <f aca="false">科目对照收入!$B9&amp;""</f>
        <v>24小时</v>
      </c>
      <c r="E757" s="48" t="str">
        <f aca="false">IF(AND(ROUND($G757,2)&lt;0,科目对照收入!$L9&lt;&gt;""),科目对照收入!$L9,科目对照收入!$C9)&amp;""</f>
        <v>应收账款</v>
      </c>
      <c r="F757" s="48" t="str">
        <f aca="false">IF(AND(ROUND($G757,2)&lt;0,科目对照收入!$L9&lt;&gt;""),科目对照收入!$M9,科目对照收入!$D9)&amp;""</f>
        <v>24小时</v>
      </c>
      <c r="G757" s="49" t="n">
        <f aca="false">IF(COUNTIFS(输入平台!$A:$A,助手收入!$X36,输入平台!$B:$B,科目对照收入!$B9)&gt;0,ROUND(SUMIFS(输入平台!$C:$C,输入平台!$A:$A,助手收入!$X36,输入平台!$B:$B,科目对照收入!$B9),2),ROUND(海典汇总!$K$37,2))</f>
        <v>0</v>
      </c>
      <c r="H757" s="49" t="str">
        <f aca="false">IF(ROUND($G757,2)&gt;0,ROUND($G757,2),"")</f>
        <v/>
      </c>
      <c r="I757" s="49" t="str">
        <f aca="false">IF(ROUND($G757,2)&lt;0,-ROUND($G757,2),"")</f>
        <v/>
      </c>
      <c r="J757" s="20" t="n">
        <f aca="false">IF(ROUND($G757,2)=0,0,1)</f>
        <v>0</v>
      </c>
      <c r="K757" s="20" t="str">
        <f aca="false">IF($J757=0,"",SUM($J$750:$J757))</f>
        <v/>
      </c>
      <c r="L757" s="20" t="str">
        <f aca="false">IF($K757="","",$A757*100+$K757)</f>
        <v/>
      </c>
      <c r="M757" s="48" t="str">
        <f aca="false">参数!$B$3</f>
        <v>7月收入</v>
      </c>
    </row>
    <row r="758" customFormat="false" ht="13.5" hidden="false" customHeight="false" outlineLevel="0" collapsed="false">
      <c r="A758" s="47" t="n">
        <v>35</v>
      </c>
      <c r="B758" s="38" t="n">
        <f aca="false">助手收入!$B36</f>
        <v>2053</v>
      </c>
      <c r="C758" s="48" t="str">
        <f aca="false">助手收入!$C36</f>
        <v>博鑫店</v>
      </c>
      <c r="D758" s="48" t="str">
        <f aca="false">科目对照收入!$B10&amp;""</f>
        <v>美团</v>
      </c>
      <c r="E758" s="48" t="str">
        <f aca="false">IF(AND(ROUND($G758,2)&lt;0,科目对照收入!$L10&lt;&gt;""),科目对照收入!$L10,科目对照收入!$C10)&amp;""</f>
        <v>应收账款</v>
      </c>
      <c r="F758" s="48" t="str">
        <f aca="false">IF(AND(ROUND($G758,2)&lt;0,科目对照收入!$L10&lt;&gt;""),科目对照收入!$M10,科目对照收入!$D10)&amp;""</f>
        <v>美团</v>
      </c>
      <c r="G758" s="49" t="n">
        <f aca="false">IF(COUNTIFS(输入平台!$A:$A,助手收入!$X36,输入平台!$B:$B,科目对照收入!$B10)&gt;0,ROUND(SUMIFS(输入平台!$C:$C,输入平台!$A:$A,助手收入!$X36,输入平台!$B:$B,科目对照收入!$B10),2),ROUND(海典汇总!$M$37,2))</f>
        <v>107.2</v>
      </c>
      <c r="H758" s="49" t="n">
        <f aca="false">IF(ROUND($G758,2)&gt;0,ROUND($G758,2),"")</f>
        <v>107.2</v>
      </c>
      <c r="I758" s="49" t="str">
        <f aca="false">IF(ROUND($G758,2)&lt;0,-ROUND($G758,2),"")</f>
        <v/>
      </c>
      <c r="J758" s="20" t="n">
        <f aca="false">IF(ROUND($G758,2)=0,0,1)</f>
        <v>1</v>
      </c>
      <c r="K758" s="20" t="n">
        <f aca="false">IF($J758=0,"",SUM($J$750:$J758))</f>
        <v>4</v>
      </c>
      <c r="L758" s="20" t="n">
        <f aca="false">IF($K758="","",$A758*100+$K758)</f>
        <v>3504</v>
      </c>
      <c r="M758" s="48" t="str">
        <f aca="false">参数!$B$3</f>
        <v>7月收入</v>
      </c>
    </row>
    <row r="759" customFormat="false" ht="13.5" hidden="false" customHeight="false" outlineLevel="0" collapsed="false">
      <c r="A759" s="47" t="n">
        <v>35</v>
      </c>
      <c r="B759" s="38" t="n">
        <f aca="false">助手收入!$B36</f>
        <v>2053</v>
      </c>
      <c r="C759" s="48" t="str">
        <f aca="false">助手收入!$C36</f>
        <v>博鑫店</v>
      </c>
      <c r="D759" s="48" t="str">
        <f aca="false">科目对照收入!$B11&amp;""</f>
        <v>饿了么</v>
      </c>
      <c r="E759" s="48" t="str">
        <f aca="false">IF(AND(ROUND($G759,2)&lt;0,科目对照收入!$L11&lt;&gt;""),科目对照收入!$L11,科目对照收入!$C11)&amp;""</f>
        <v>应收账款</v>
      </c>
      <c r="F759" s="48" t="str">
        <f aca="false">IF(AND(ROUND($G759,2)&lt;0,科目对照收入!$L11&lt;&gt;""),科目对照收入!$M11,科目对照收入!$D11)&amp;""</f>
        <v>饿了么</v>
      </c>
      <c r="G759" s="49" t="n">
        <f aca="false">IF(COUNTIFS(输入平台!$A:$A,助手收入!$X36,输入平台!$B:$B,科目对照收入!$B11)&gt;0,ROUND(SUMIFS(输入平台!$C:$C,输入平台!$A:$A,助手收入!$X36,输入平台!$B:$B,科目对照收入!$B11),2),ROUND(海典汇总!$N$37,2))</f>
        <v>0</v>
      </c>
      <c r="H759" s="49" t="str">
        <f aca="false">IF(ROUND($G759,2)&gt;0,ROUND($G759,2),"")</f>
        <v/>
      </c>
      <c r="I759" s="49" t="str">
        <f aca="false">IF(ROUND($G759,2)&lt;0,-ROUND($G759,2),"")</f>
        <v/>
      </c>
      <c r="J759" s="20" t="n">
        <f aca="false">IF(ROUND($G759,2)=0,0,1)</f>
        <v>0</v>
      </c>
      <c r="K759" s="20" t="str">
        <f aca="false">IF($J759=0,"",SUM($J$750:$J759))</f>
        <v/>
      </c>
      <c r="L759" s="20" t="str">
        <f aca="false">IF($K759="","",$A759*100+$K759)</f>
        <v/>
      </c>
      <c r="M759" s="48" t="str">
        <f aca="false">参数!$B$3</f>
        <v>7月收入</v>
      </c>
    </row>
    <row r="760" customFormat="false" ht="13.5" hidden="false" customHeight="false" outlineLevel="0" collapsed="false">
      <c r="A760" s="47" t="n">
        <v>35</v>
      </c>
      <c r="B760" s="38" t="n">
        <f aca="false">助手收入!$B36</f>
        <v>2053</v>
      </c>
      <c r="C760" s="48" t="str">
        <f aca="false">助手收入!$C36</f>
        <v>博鑫店</v>
      </c>
      <c r="D760" s="48" t="str">
        <f aca="false">科目对照收入!$B12&amp;""</f>
        <v>京东秒送</v>
      </c>
      <c r="E760" s="48" t="str">
        <f aca="false">IF(AND(ROUND($G760,2)&lt;0,科目对照收入!$L12&lt;&gt;""),科目对照收入!$L12,科目对照收入!$C12)&amp;""</f>
        <v>应收账款</v>
      </c>
      <c r="F760" s="48" t="str">
        <f aca="false">IF(AND(ROUND($G760,2)&lt;0,科目对照收入!$L12&lt;&gt;""),科目对照收入!$M12,科目对照收入!$D12)&amp;""</f>
        <v>京东秒送</v>
      </c>
      <c r="G760" s="49" t="n">
        <f aca="false">IF(COUNTIFS(输入平台!$A:$A,助手收入!$X36,输入平台!$B:$B,科目对照收入!$B12)&gt;0,ROUND(SUMIFS(输入平台!$C:$C,输入平台!$A:$A,助手收入!$X36,输入平台!$B:$B,科目对照收入!$B12),2),ROUND(海典汇总!$O$37,2))</f>
        <v>0</v>
      </c>
      <c r="H760" s="49" t="str">
        <f aca="false">IF(ROUND($G760,2)&gt;0,ROUND($G760,2),"")</f>
        <v/>
      </c>
      <c r="I760" s="49" t="str">
        <f aca="false">IF(ROUND($G760,2)&lt;0,-ROUND($G760,2),"")</f>
        <v/>
      </c>
      <c r="J760" s="20" t="n">
        <f aca="false">IF(ROUND($G760,2)=0,0,1)</f>
        <v>0</v>
      </c>
      <c r="K760" s="20" t="str">
        <f aca="false">IF($J760=0,"",SUM($J$750:$J760))</f>
        <v/>
      </c>
      <c r="L760" s="20" t="str">
        <f aca="false">IF($K760="","",$A760*100+$K760)</f>
        <v/>
      </c>
      <c r="M760" s="48" t="str">
        <f aca="false">参数!$B$3</f>
        <v>7月收入</v>
      </c>
    </row>
    <row r="761" customFormat="false" ht="13.5" hidden="false" customHeight="false" outlineLevel="0" collapsed="false">
      <c r="A761" s="47" t="n">
        <v>35</v>
      </c>
      <c r="B761" s="38" t="n">
        <f aca="false">助手收入!$B36</f>
        <v>2053</v>
      </c>
      <c r="C761" s="48" t="str">
        <f aca="false">助手收入!$C36</f>
        <v>博鑫店</v>
      </c>
      <c r="D761" s="48" t="str">
        <f aca="false">科目对照收入!$B13&amp;""</f>
        <v>银联</v>
      </c>
      <c r="E761" s="48" t="str">
        <f aca="false">IF(AND(ROUND($G761,2)&lt;0,科目对照收入!$L13&lt;&gt;""),科目对照收入!$L13,科目对照收入!$C13)&amp;""</f>
        <v>应收账款</v>
      </c>
      <c r="F761" s="48" t="str">
        <f aca="false">IF(AND(ROUND($G761,2)&lt;0,科目对照收入!$L13&lt;&gt;""),科目对照收入!$M13,科目对照收入!$D13)&amp;""</f>
        <v>银联</v>
      </c>
      <c r="G761" s="49" t="n">
        <f aca="false">IF(COUNTIFS(输入平台!$A:$A,助手收入!$X36,输入平台!$B:$B,科目对照收入!$B13)&gt;0,ROUND(SUMIFS(输入平台!$C:$C,输入平台!$A:$A,助手收入!$X36,输入平台!$B:$B,科目对照收入!$B13),2),ROUND(海典汇总!$V$37,2))</f>
        <v>0</v>
      </c>
      <c r="H761" s="49" t="str">
        <f aca="false">IF(ROUND($G761,2)&gt;0,ROUND($G761,2),"")</f>
        <v/>
      </c>
      <c r="I761" s="49" t="str">
        <f aca="false">IF(ROUND($G761,2)&lt;0,-ROUND($G761,2),"")</f>
        <v/>
      </c>
      <c r="J761" s="20" t="n">
        <f aca="false">IF(ROUND($G761,2)=0,0,1)</f>
        <v>0</v>
      </c>
      <c r="K761" s="20" t="str">
        <f aca="false">IF($J761=0,"",SUM($J$750:$J761))</f>
        <v/>
      </c>
      <c r="L761" s="20" t="str">
        <f aca="false">IF($K761="","",$A761*100+$K761)</f>
        <v/>
      </c>
      <c r="M761" s="48" t="str">
        <f aca="false">参数!$B$3</f>
        <v>7月收入</v>
      </c>
    </row>
    <row r="762" customFormat="false" ht="13.5" hidden="false" customHeight="false" outlineLevel="0" collapsed="false">
      <c r="A762" s="47" t="n">
        <v>35</v>
      </c>
      <c r="B762" s="38" t="n">
        <f aca="false">助手收入!$B36</f>
        <v>2053</v>
      </c>
      <c r="C762" s="48" t="str">
        <f aca="false">助手收入!$C36</f>
        <v>博鑫店</v>
      </c>
      <c r="D762" s="48" t="str">
        <f aca="false">科目对照收入!$B14&amp;""</f>
        <v>小镇外卖</v>
      </c>
      <c r="E762" s="48" t="str">
        <f aca="false">IF(AND(ROUND($G762,2)&lt;0,科目对照收入!$L14&lt;&gt;""),科目对照收入!$L14,科目对照收入!$C14)&amp;""</f>
        <v>应收账款</v>
      </c>
      <c r="F762" s="48" t="str">
        <f aca="false">IF(AND(ROUND($G762,2)&lt;0,科目对照收入!$L14&lt;&gt;""),科目对照收入!$M14,科目对照收入!$D14)&amp;""</f>
        <v>小镇外卖</v>
      </c>
      <c r="G762" s="49" t="n">
        <f aca="false">IF(COUNTIFS(输入平台!$A:$A,助手收入!$X36,输入平台!$B:$B,科目对照收入!$B14)&gt;0,ROUND(SUMIFS(输入平台!$C:$C,输入平台!$A:$A,助手收入!$X36,输入平台!$B:$B,科目对照收入!$B14),2),ROUND(海典汇总!$AC$37,2))</f>
        <v>0</v>
      </c>
      <c r="H762" s="49" t="str">
        <f aca="false">IF(ROUND($G762,2)&gt;0,ROUND($G762,2),"")</f>
        <v/>
      </c>
      <c r="I762" s="49" t="str">
        <f aca="false">IF(ROUND($G762,2)&lt;0,-ROUND($G762,2),"")</f>
        <v/>
      </c>
      <c r="J762" s="20" t="n">
        <f aca="false">IF(ROUND($G762,2)=0,0,1)</f>
        <v>0</v>
      </c>
      <c r="K762" s="20" t="str">
        <f aca="false">IF($J762=0,"",SUM($J$750:$J762))</f>
        <v/>
      </c>
      <c r="L762" s="20" t="str">
        <f aca="false">IF($K762="","",$A762*100+$K762)</f>
        <v/>
      </c>
      <c r="M762" s="48" t="str">
        <f aca="false">参数!$B$3</f>
        <v>7月收入</v>
      </c>
    </row>
    <row r="763" customFormat="false" ht="13.5" hidden="false" customHeight="false" outlineLevel="0" collapsed="false">
      <c r="A763" s="47" t="n">
        <v>35</v>
      </c>
      <c r="B763" s="38" t="n">
        <f aca="false">助手收入!$B36</f>
        <v>2053</v>
      </c>
      <c r="C763" s="48" t="str">
        <f aca="false">助手收入!$C36</f>
        <v>博鑫店</v>
      </c>
      <c r="D763" s="48" t="str">
        <f aca="false">科目对照收入!$B15&amp;""</f>
        <v>OMS线上支付</v>
      </c>
      <c r="E763" s="48" t="str">
        <f aca="false">IF(AND(ROUND($G763,2)&lt;0,科目对照收入!$L15&lt;&gt;""),科目对照收入!$L15,科目对照收入!$C15)&amp;""</f>
        <v>应收账款</v>
      </c>
      <c r="F763" s="48" t="str">
        <f aca="false">IF(AND(ROUND($G763,2)&lt;0,科目对照收入!$L15&lt;&gt;""),科目对照收入!$M15,科目对照收入!$D15)&amp;""</f>
        <v>OMS线上</v>
      </c>
      <c r="G763" s="49" t="n">
        <f aca="false">IF(COUNTIFS(输入平台!$A:$A,助手收入!$X36,输入平台!$B:$B,科目对照收入!$B15)&gt;0,ROUND(SUMIFS(输入平台!$C:$C,输入平台!$A:$A,助手收入!$X36,输入平台!$B:$B,科目对照收入!$B15),2),ROUND(海典汇总!$L$37,2))</f>
        <v>0</v>
      </c>
      <c r="H763" s="49" t="str">
        <f aca="false">IF(ROUND($G763,2)&gt;0,ROUND($G763,2),"")</f>
        <v/>
      </c>
      <c r="I763" s="49" t="str">
        <f aca="false">IF(ROUND($G763,2)&lt;0,-ROUND($G763,2),"")</f>
        <v/>
      </c>
      <c r="J763" s="20" t="n">
        <f aca="false">IF(ROUND($G763,2)=0,0,1)</f>
        <v>0</v>
      </c>
      <c r="K763" s="20" t="str">
        <f aca="false">IF($J763=0,"",SUM($J$750:$J763))</f>
        <v/>
      </c>
      <c r="L763" s="20" t="str">
        <f aca="false">IF($K763="","",$A763*100+$K763)</f>
        <v/>
      </c>
      <c r="M763" s="48" t="str">
        <f aca="false">参数!$B$3</f>
        <v>7月收入</v>
      </c>
    </row>
    <row r="764" customFormat="false" ht="13.5" hidden="false" customHeight="false" outlineLevel="0" collapsed="false">
      <c r="A764" s="47" t="n">
        <v>35</v>
      </c>
      <c r="B764" s="38" t="n">
        <f aca="false">助手收入!$B36</f>
        <v>2053</v>
      </c>
      <c r="C764" s="48" t="str">
        <f aca="false">助手收入!$C36</f>
        <v>博鑫店</v>
      </c>
      <c r="D764" s="48" t="str">
        <f aca="false">科目对照收入!$B16&amp;""</f>
        <v>平安药卡</v>
      </c>
      <c r="E764" s="48" t="str">
        <f aca="false">IF(AND(ROUND($G764,2)&lt;0,科目对照收入!$L16&lt;&gt;""),科目对照收入!$L16,科目对照收入!$C16)&amp;""</f>
        <v>应收账款</v>
      </c>
      <c r="F764" s="48" t="str">
        <f aca="false">IF(AND(ROUND($G764,2)&lt;0,科目对照收入!$L16&lt;&gt;""),科目对照收入!$M16,科目对照收入!$D16)&amp;""</f>
        <v>平安</v>
      </c>
      <c r="G764" s="49" t="n">
        <f aca="false">IF(COUNTIFS(输入平台!$A:$A,助手收入!$X36,输入平台!$B:$B,科目对照收入!$B16)&gt;0,ROUND(SUMIFS(输入平台!$C:$C,输入平台!$A:$A,助手收入!$X36,输入平台!$B:$B,科目对照收入!$B16),2),ROUND(海典汇总!$AB$37,2))</f>
        <v>0</v>
      </c>
      <c r="H764" s="49" t="str">
        <f aca="false">IF(ROUND($G764,2)&gt;0,ROUND($G764,2),"")</f>
        <v/>
      </c>
      <c r="I764" s="49" t="str">
        <f aca="false">IF(ROUND($G764,2)&lt;0,-ROUND($G764,2),"")</f>
        <v/>
      </c>
      <c r="J764" s="20" t="n">
        <f aca="false">IF(ROUND($G764,2)=0,0,1)</f>
        <v>0</v>
      </c>
      <c r="K764" s="20" t="str">
        <f aca="false">IF($J764=0,"",SUM($J$750:$J764))</f>
        <v/>
      </c>
      <c r="L764" s="20" t="str">
        <f aca="false">IF($K764="","",$A764*100+$K764)</f>
        <v/>
      </c>
      <c r="M764" s="48" t="str">
        <f aca="false">参数!$B$3</f>
        <v>7月收入</v>
      </c>
    </row>
    <row r="765" customFormat="false" ht="13.5" hidden="false" customHeight="false" outlineLevel="0" collapsed="false">
      <c r="A765" s="47" t="n">
        <v>35</v>
      </c>
      <c r="B765" s="38" t="n">
        <f aca="false">助手收入!$B36</f>
        <v>2053</v>
      </c>
      <c r="C765" s="48" t="str">
        <f aca="false">助手收入!$C36</f>
        <v>博鑫店</v>
      </c>
      <c r="D765" s="48" t="str">
        <f aca="false">科目对照收入!$B17&amp;""</f>
        <v>储值卡</v>
      </c>
      <c r="E765" s="48" t="str">
        <f aca="false">IF(AND(ROUND($G765,2)&lt;0,科目对照收入!$L17&lt;&gt;""),科目对照收入!$L17,科目对照收入!$C17)&amp;""</f>
        <v>其他应收款</v>
      </c>
      <c r="F765" s="48" t="str">
        <f aca="false">IF(AND(ROUND($G765,2)&lt;0,科目对照收入!$L17&lt;&gt;""),科目对照收入!$M17,科目对照收入!$D17)&amp;""</f>
        <v>储值卡</v>
      </c>
      <c r="G765" s="49" t="n">
        <f aca="false">ROUND(海典汇总!$Q$37,2)</f>
        <v>916.08</v>
      </c>
      <c r="H765" s="49" t="n">
        <f aca="false">IF(ROUND($G765,2)&gt;0,ROUND($G765,2),"")</f>
        <v>916.08</v>
      </c>
      <c r="I765" s="49" t="str">
        <f aca="false">IF(ROUND($G765,2)&lt;0,-ROUND($G765,2),"")</f>
        <v/>
      </c>
      <c r="J765" s="20" t="n">
        <f aca="false">IF(ROUND($G765,2)=0,0,1)</f>
        <v>1</v>
      </c>
      <c r="K765" s="20" t="n">
        <f aca="false">IF($J765=0,"",SUM($J$750:$J765))</f>
        <v>5</v>
      </c>
      <c r="L765" s="20" t="n">
        <f aca="false">IF($K765="","",$A765*100+$K765)</f>
        <v>3505</v>
      </c>
      <c r="M765" s="48" t="str">
        <f aca="false">参数!$B$3</f>
        <v>7月收入</v>
      </c>
    </row>
    <row r="766" customFormat="false" ht="13.5" hidden="false" customHeight="false" outlineLevel="0" collapsed="false">
      <c r="A766" s="47" t="n">
        <v>35</v>
      </c>
      <c r="B766" s="38" t="n">
        <f aca="false">助手收入!$B36</f>
        <v>2053</v>
      </c>
      <c r="C766" s="48" t="str">
        <f aca="false">助手收入!$C36</f>
        <v>博鑫店</v>
      </c>
      <c r="D766" s="48" t="str">
        <f aca="false">科目对照收入!$B18&amp;""</f>
        <v>会员零钱包</v>
      </c>
      <c r="E766" s="48" t="str">
        <f aca="false">IF(AND(ROUND($G766,2)&lt;0,科目对照收入!$L18&lt;&gt;""),科目对照收入!$L18,科目对照收入!$C18)&amp;""</f>
        <v>其他应付款</v>
      </c>
      <c r="F766" s="48" t="str">
        <f aca="false">IF(AND(ROUND($G766,2)&lt;0,科目对照收入!$L18&lt;&gt;""),科目对照收入!$M18,科目对照收入!$D18)&amp;""</f>
        <v>会员零钱包</v>
      </c>
      <c r="G766" s="49" t="n">
        <f aca="false">ROUND(海典汇总!$P$37,2)</f>
        <v>-0.84</v>
      </c>
      <c r="H766" s="49" t="str">
        <f aca="false">IF(ROUND($G766,2)&gt;0,ROUND($G766,2),"")</f>
        <v/>
      </c>
      <c r="I766" s="49" t="n">
        <f aca="false">IF(ROUND($G766,2)&lt;0,-ROUND($G766,2),"")</f>
        <v>0.84</v>
      </c>
      <c r="J766" s="20" t="n">
        <f aca="false">IF(ROUND($G766,2)=0,0,1)</f>
        <v>1</v>
      </c>
      <c r="K766" s="20" t="n">
        <f aca="false">IF($J766=0,"",SUM($J$750:$J766))</f>
        <v>6</v>
      </c>
      <c r="L766" s="20" t="n">
        <f aca="false">IF($K766="","",$A766*100+$K766)</f>
        <v>3506</v>
      </c>
      <c r="M766" s="48" t="str">
        <f aca="false">参数!$B$3</f>
        <v>7月收入</v>
      </c>
    </row>
    <row r="767" customFormat="false" ht="13.5" hidden="false" customHeight="false" outlineLevel="0" collapsed="false">
      <c r="A767" s="47" t="n">
        <v>35</v>
      </c>
      <c r="B767" s="38" t="n">
        <f aca="false">助手收入!$B36</f>
        <v>2053</v>
      </c>
      <c r="C767" s="48" t="str">
        <f aca="false">助手收入!$C36</f>
        <v>博鑫店</v>
      </c>
      <c r="D767" s="48" t="str">
        <f aca="false">科目对照收入!$B19&amp;""</f>
        <v>促销费</v>
      </c>
      <c r="E767" s="48" t="str">
        <f aca="false">IF(AND(ROUND($G767,2)&lt;0,科目对照收入!$L19&lt;&gt;""),科目对照收入!$L19,科目对照收入!$C19)&amp;""</f>
        <v>销售费用</v>
      </c>
      <c r="F767" s="48" t="str">
        <f aca="false">IF(AND(ROUND($G767,2)&lt;0,科目对照收入!$L19&lt;&gt;""),科目对照收入!$M19,科目对照收入!$D19)&amp;""</f>
        <v>促销费</v>
      </c>
      <c r="G767" s="49" t="n">
        <f aca="false">ROUND(海典汇总!$U$37+海典汇总!$T$37+海典汇总!$S$37,2)</f>
        <v>532.72</v>
      </c>
      <c r="H767" s="49" t="n">
        <f aca="false">IF(ROUND($G767,2)&gt;0,ROUND($G767,2),"")</f>
        <v>532.72</v>
      </c>
      <c r="I767" s="49" t="str">
        <f aca="false">IF(ROUND($G767,2)&lt;0,-ROUND($G767,2),"")</f>
        <v/>
      </c>
      <c r="J767" s="20" t="n">
        <f aca="false">IF(ROUND($G767,2)=0,0,1)</f>
        <v>1</v>
      </c>
      <c r="K767" s="20" t="n">
        <f aca="false">IF($J767=0,"",SUM($J$750:$J767))</f>
        <v>7</v>
      </c>
      <c r="L767" s="20" t="n">
        <f aca="false">IF($K767="","",$A767*100+$K767)</f>
        <v>3507</v>
      </c>
      <c r="M767" s="48" t="str">
        <f aca="false">参数!$B$3</f>
        <v>7月收入</v>
      </c>
    </row>
    <row r="768" customFormat="false" ht="13.5" hidden="false" customHeight="false" outlineLevel="0" collapsed="false">
      <c r="A768" s="47" t="n">
        <v>35</v>
      </c>
      <c r="B768" s="38" t="n">
        <f aca="false">助手收入!$B36</f>
        <v>2053</v>
      </c>
      <c r="C768" s="48" t="str">
        <f aca="false">助手收入!$C36</f>
        <v>博鑫店</v>
      </c>
      <c r="D768" s="48" t="str">
        <f aca="false">科目对照收入!$B20&amp;""</f>
        <v>积分</v>
      </c>
      <c r="E768" s="48" t="str">
        <f aca="false">IF(AND(ROUND($G768,2)&lt;0,科目对照收入!$L20&lt;&gt;""),科目对照收入!$L20,科目对照收入!$C20)&amp;""</f>
        <v>销售费用</v>
      </c>
      <c r="F768" s="48" t="str">
        <f aca="false">IF(AND(ROUND($G768,2)&lt;0,科目对照收入!$L20&lt;&gt;""),科目对照收入!$M20,科目对照收入!$D20)&amp;""</f>
        <v>积分</v>
      </c>
      <c r="G768" s="49" t="n">
        <f aca="false">ROUND(海典汇总!$R$37,2)</f>
        <v>0</v>
      </c>
      <c r="H768" s="49" t="str">
        <f aca="false">IF(ROUND($G768,2)&gt;0,ROUND($G768,2),"")</f>
        <v/>
      </c>
      <c r="I768" s="49" t="str">
        <f aca="false">IF(ROUND($G768,2)&lt;0,-ROUND($G768,2),"")</f>
        <v/>
      </c>
      <c r="J768" s="20" t="n">
        <f aca="false">IF(ROUND($G768,2)=0,0,1)</f>
        <v>0</v>
      </c>
      <c r="K768" s="20" t="str">
        <f aca="false">IF($J768=0,"",SUM($J$750:$J768))</f>
        <v/>
      </c>
      <c r="L768" s="20" t="str">
        <f aca="false">IF($K768="","",$A768*100+$K768)</f>
        <v/>
      </c>
      <c r="M768" s="48" t="str">
        <f aca="false">参数!$B$3</f>
        <v>7月收入</v>
      </c>
    </row>
    <row r="769" customFormat="false" ht="13.5" hidden="false" customHeight="false" outlineLevel="0" collapsed="false">
      <c r="A769" s="47" t="n">
        <v>35</v>
      </c>
      <c r="B769" s="38" t="n">
        <f aca="false">助手收入!$B36</f>
        <v>2053</v>
      </c>
      <c r="C769" s="48" t="str">
        <f aca="false">助手收入!$C36</f>
        <v>博鑫店</v>
      </c>
      <c r="D769" s="48" t="str">
        <f aca="false">科目对照收入!$B21&amp;""</f>
        <v>手续费</v>
      </c>
      <c r="E769" s="48" t="str">
        <f aca="false">IF(AND(ROUND($G769,2)&lt;0,科目对照收入!$L21&lt;&gt;""),科目对照收入!$L21,科目对照收入!$C21)&amp;""</f>
        <v>财务费用</v>
      </c>
      <c r="F769" s="48" t="str">
        <f aca="false">IF(AND(ROUND($G769,2)&lt;0,科目对照收入!$L21&lt;&gt;""),科目对照收入!$M21,科目对照收入!$D21)&amp;""</f>
        <v>手续费</v>
      </c>
      <c r="G769" s="49" t="n">
        <f aca="false">ROUND(SUMIFS(输入聚合!$D:$D,输入聚合!$A:$A,助手收入!$X36),2)</f>
        <v>71.06</v>
      </c>
      <c r="H769" s="49" t="n">
        <f aca="false">IF(ROUND($G769,2)&gt;0,ROUND($G769,2),"")</f>
        <v>71.06</v>
      </c>
      <c r="I769" s="49" t="str">
        <f aca="false">IF(ROUND($G769,2)&lt;0,-ROUND($G769,2),"")</f>
        <v/>
      </c>
      <c r="J769" s="20" t="n">
        <f aca="false">IF(ROUND($G769,2)=0,0,1)</f>
        <v>1</v>
      </c>
      <c r="K769" s="20" t="n">
        <f aca="false">IF($J769=0,"",SUM($J$750:$J769))</f>
        <v>8</v>
      </c>
      <c r="L769" s="20" t="n">
        <f aca="false">IF($K769="","",$A769*100+$K769)</f>
        <v>3508</v>
      </c>
      <c r="M769" s="48" t="str">
        <f aca="false">参数!$B$3</f>
        <v>7月收入</v>
      </c>
    </row>
    <row r="770" customFormat="false" ht="13.5" hidden="false" customHeight="false" outlineLevel="0" collapsed="false">
      <c r="A770" s="47" t="n">
        <v>35</v>
      </c>
      <c r="B770" s="38" t="n">
        <f aca="false">助手收入!$B36</f>
        <v>2053</v>
      </c>
      <c r="C770" s="48" t="str">
        <f aca="false">助手收入!$C36</f>
        <v>博鑫店</v>
      </c>
      <c r="D770" s="48" t="str">
        <f aca="false">科目对照收入!$B22&amp;""</f>
        <v>主营业务收入</v>
      </c>
      <c r="E770" s="48" t="str">
        <f aca="false">IF(AND(ROUND($G770,2)&lt;0,科目对照收入!$L22&lt;&gt;""),科目对照收入!$L22,科目对照收入!$C22)&amp;""</f>
        <v>主营业务收入</v>
      </c>
      <c r="F770" s="48" t="str">
        <f aca="false">IF(AND(ROUND($G770,2)&lt;0,科目对照收入!$L22&lt;&gt;""),科目对照收入!$M22,科目对照收入!$D22)&amp;""</f>
        <v/>
      </c>
      <c r="G770" s="49" t="n">
        <f aca="false">-ROUND(助手收入!$G36,2)</f>
        <v>-41232.59</v>
      </c>
      <c r="H770" s="49" t="str">
        <f aca="false">IF(ROUND($G770,2)&gt;0,ROUND($G770,2),"")</f>
        <v/>
      </c>
      <c r="I770" s="49" t="n">
        <f aca="false">IF(ROUND($G770,2)&lt;0,-ROUND($G770,2),"")</f>
        <v>41232.59</v>
      </c>
      <c r="J770" s="20" t="n">
        <f aca="false">IF(ROUND($G770,2)=0,0,1)</f>
        <v>1</v>
      </c>
      <c r="K770" s="20" t="n">
        <f aca="false">IF($J770=0,"",SUM($J$750:$J770))</f>
        <v>9</v>
      </c>
      <c r="L770" s="20" t="n">
        <f aca="false">IF($K770="","",$A770*100+$K770)</f>
        <v>3509</v>
      </c>
      <c r="M770" s="48" t="str">
        <f aca="false">参数!$B$3</f>
        <v>7月收入</v>
      </c>
    </row>
    <row r="771" customFormat="false" ht="13.5" hidden="false" customHeight="false" outlineLevel="0" collapsed="false">
      <c r="A771" s="47" t="n">
        <v>35</v>
      </c>
      <c r="B771" s="38" t="n">
        <f aca="false">助手收入!$B36</f>
        <v>2053</v>
      </c>
      <c r="C771" s="48" t="str">
        <f aca="false">助手收入!$C36</f>
        <v>博鑫店</v>
      </c>
      <c r="D771" s="48" t="str">
        <f aca="false">科目对照收入!$B23&amp;""</f>
        <v>营业外收入</v>
      </c>
      <c r="E771" s="48" t="str">
        <f aca="false">IF(AND(ROUND($G771,2)&lt;0,科目对照收入!$L23&lt;&gt;""),科目对照收入!$L23,科目对照收入!$C23)&amp;""</f>
        <v>营业外收入</v>
      </c>
      <c r="F771" s="48" t="str">
        <f aca="false">IF(AND(ROUND($G771,2)&lt;0,科目对照收入!$L23&lt;&gt;""),科目对照收入!$M23,科目对照收入!$D23)&amp;""</f>
        <v/>
      </c>
      <c r="G771" s="49" t="n">
        <f aca="false">-ROUND(助手收入!$J36,2)</f>
        <v>-0</v>
      </c>
      <c r="H771" s="49" t="str">
        <f aca="false">IF(ROUND($G771,2)&gt;0,ROUND($G771,2),"")</f>
        <v/>
      </c>
      <c r="I771" s="49" t="str">
        <f aca="false">IF(ROUND($G771,2)&lt;0,-ROUND($G771,2),"")</f>
        <v/>
      </c>
      <c r="J771" s="20" t="n">
        <f aca="false">IF(ROUND($G771,2)=0,0,1)</f>
        <v>0</v>
      </c>
      <c r="K771" s="20" t="str">
        <f aca="false">IF($J771=0,"",SUM($J$750:$J771))</f>
        <v/>
      </c>
      <c r="L771" s="20" t="str">
        <f aca="false">IF($K771="","",$A771*100+$K771)</f>
        <v/>
      </c>
      <c r="M771" s="48" t="str">
        <f aca="false">参数!$B$3</f>
        <v>7月收入</v>
      </c>
    </row>
    <row r="772" customFormat="false" ht="13.5" hidden="false" customHeight="false" outlineLevel="0" collapsed="false">
      <c r="A772" s="47" t="n">
        <v>36</v>
      </c>
      <c r="B772" s="38" t="n">
        <f aca="false">助手收入!$B37</f>
        <v>2055</v>
      </c>
      <c r="C772" s="48" t="str">
        <f aca="false">助手收入!$C37</f>
        <v>博魏店</v>
      </c>
      <c r="D772" s="48" t="str">
        <f aca="false">科目对照收入!$B2&amp;""</f>
        <v>库存现金</v>
      </c>
      <c r="E772" s="48" t="str">
        <f aca="false">IF(AND(ROUND($G772,2)&lt;0,科目对照收入!$L2&lt;&gt;""),科目对照收入!$L2,科目对照收入!$C2)&amp;""</f>
        <v>库存现金</v>
      </c>
      <c r="F772" s="48" t="str">
        <f aca="false">IF(AND(ROUND($G772,2)&lt;0,科目对照收入!$L2&lt;&gt;""),科目对照收入!$M2,科目对照收入!$D2)&amp;""</f>
        <v/>
      </c>
      <c r="G772" s="49" t="n">
        <f aca="false">助手收入!$I37</f>
        <v>10010.43</v>
      </c>
      <c r="H772" s="49" t="n">
        <f aca="false">IF(ROUND($G772,2)&gt;0,ROUND($G772,2),"")</f>
        <v>10010.43</v>
      </c>
      <c r="I772" s="49" t="str">
        <f aca="false">IF(ROUND($G772,2)&lt;0,-ROUND($G772,2),"")</f>
        <v/>
      </c>
      <c r="J772" s="20" t="n">
        <f aca="false">IF(ROUND($G772,2)=0,0,1)</f>
        <v>1</v>
      </c>
      <c r="K772" s="20" t="n">
        <f aca="false">IF($J772=0,"",SUM($J$772:$J772))</f>
        <v>1</v>
      </c>
      <c r="L772" s="20" t="n">
        <f aca="false">IF($K772="","",$A772*100+$K772)</f>
        <v>3601</v>
      </c>
      <c r="M772" s="48" t="str">
        <f aca="false">参数!$B$3</f>
        <v>7月收入</v>
      </c>
    </row>
    <row r="773" customFormat="false" ht="13.5" hidden="false" customHeight="false" outlineLevel="0" collapsed="false">
      <c r="A773" s="47" t="n">
        <v>36</v>
      </c>
      <c r="B773" s="38" t="n">
        <f aca="false">助手收入!$B37</f>
        <v>2055</v>
      </c>
      <c r="C773" s="48" t="str">
        <f aca="false">助手收入!$C37</f>
        <v>博魏店</v>
      </c>
      <c r="D773" s="48" t="str">
        <f aca="false">科目对照收入!$B3&amp;""</f>
        <v>聚合支付</v>
      </c>
      <c r="E773" s="48" t="str">
        <f aca="false">IF(AND(ROUND($G773,2)&lt;0,科目对照收入!$L3&lt;&gt;""),科目对照收入!$L3,科目对照收入!$C3)&amp;""</f>
        <v>应收账款</v>
      </c>
      <c r="F773" s="48" t="str">
        <f aca="false">IF(AND(ROUND($G773,2)&lt;0,科目对照收入!$L3&lt;&gt;""),科目对照收入!$M3,科目对照收入!$D3)&amp;""</f>
        <v>聚合支付</v>
      </c>
      <c r="G773" s="49" t="n">
        <f aca="false">ROUND(SUMIFS(输入聚合!$C:$C,输入聚合!$A:$A,助手收入!$X37)-SUMIFS(输入聚合!$D:$D,输入聚合!$A:$A,助手收入!$X37),2)</f>
        <v>25425.29</v>
      </c>
      <c r="H773" s="49" t="n">
        <f aca="false">IF(ROUND($G773,2)&gt;0,ROUND($G773,2),"")</f>
        <v>25425.29</v>
      </c>
      <c r="I773" s="49" t="str">
        <f aca="false">IF(ROUND($G773,2)&lt;0,-ROUND($G773,2),"")</f>
        <v/>
      </c>
      <c r="J773" s="20" t="n">
        <f aca="false">IF(ROUND($G773,2)=0,0,1)</f>
        <v>1</v>
      </c>
      <c r="K773" s="20" t="n">
        <f aca="false">IF($J773=0,"",SUM($J$772:$J773))</f>
        <v>2</v>
      </c>
      <c r="L773" s="20" t="n">
        <f aca="false">IF($K773="","",$A773*100+$K773)</f>
        <v>3602</v>
      </c>
      <c r="M773" s="48" t="str">
        <f aca="false">参数!$B$3</f>
        <v>7月收入</v>
      </c>
    </row>
    <row r="774" customFormat="false" ht="13.5" hidden="false" customHeight="false" outlineLevel="0" collapsed="false">
      <c r="A774" s="47" t="n">
        <v>36</v>
      </c>
      <c r="B774" s="38" t="n">
        <f aca="false">助手收入!$B37</f>
        <v>2055</v>
      </c>
      <c r="C774" s="48" t="str">
        <f aca="false">助手收入!$C37</f>
        <v>博魏店</v>
      </c>
      <c r="D774" s="48" t="str">
        <f aca="false">科目对照收入!$B4&amp;""</f>
        <v>医保</v>
      </c>
      <c r="E774" s="48" t="str">
        <f aca="false">IF(AND(ROUND($G774,2)&lt;0,科目对照收入!$L4&lt;&gt;""),科目对照收入!$L4,科目对照收入!$C4)&amp;""</f>
        <v>应收账款</v>
      </c>
      <c r="F774" s="48" t="str">
        <f aca="false">IF(AND(ROUND($G774,2)&lt;0,科目对照收入!$L4&lt;&gt;""),科目对照收入!$M4,科目对照收入!$D4)&amp;""</f>
        <v>医保</v>
      </c>
      <c r="G774" s="49" t="n">
        <f aca="false">IF(COUNTIFS(输入平台!$A:$A,助手收入!$X37,输入平台!$B:$B,科目对照收入!$B4)&gt;0,ROUND(SUMIFS(输入平台!$C:$C,输入平台!$A:$A,助手收入!$X37,输入平台!$B:$B,科目对照收入!$B4),2),ROUND(海典汇总!$F$38+海典汇总!$G$38,2))</f>
        <v>0</v>
      </c>
      <c r="H774" s="49" t="str">
        <f aca="false">IF(ROUND($G774,2)&gt;0,ROUND($G774,2),"")</f>
        <v/>
      </c>
      <c r="I774" s="49" t="str">
        <f aca="false">IF(ROUND($G774,2)&lt;0,-ROUND($G774,2),"")</f>
        <v/>
      </c>
      <c r="J774" s="20" t="n">
        <f aca="false">IF(ROUND($G774,2)=0,0,1)</f>
        <v>0</v>
      </c>
      <c r="K774" s="20" t="str">
        <f aca="false">IF($J774=0,"",SUM($J$772:$J774))</f>
        <v/>
      </c>
      <c r="L774" s="20" t="str">
        <f aca="false">IF($K774="","",$A774*100+$K774)</f>
        <v/>
      </c>
      <c r="M774" s="48" t="str">
        <f aca="false">参数!$B$3</f>
        <v>7月收入</v>
      </c>
    </row>
    <row r="775" customFormat="false" ht="13.5" hidden="false" customHeight="false" outlineLevel="0" collapsed="false">
      <c r="A775" s="47" t="n">
        <v>36</v>
      </c>
      <c r="B775" s="38" t="n">
        <f aca="false">助手收入!$B37</f>
        <v>2055</v>
      </c>
      <c r="C775" s="48" t="str">
        <f aca="false">助手收入!$C37</f>
        <v>博魏店</v>
      </c>
      <c r="D775" s="48" t="str">
        <f aca="false">科目对照收入!$B5&amp;""</f>
        <v>健e卡</v>
      </c>
      <c r="E775" s="48" t="str">
        <f aca="false">IF(AND(ROUND($G775,2)&lt;0,科目对照收入!$L5&lt;&gt;""),科目对照收入!$L5,科目对照收入!$C5)&amp;""</f>
        <v>应收账款</v>
      </c>
      <c r="F775" s="48" t="str">
        <f aca="false">IF(AND(ROUND($G775,2)&lt;0,科目对照收入!$L5&lt;&gt;""),科目对照收入!$M5,科目对照收入!$D5)&amp;""</f>
        <v>健e卡</v>
      </c>
      <c r="G775" s="49" t="n">
        <f aca="false">IF(COUNTIFS(输入平台!$A:$A,助手收入!$X37,输入平台!$B:$B,科目对照收入!$B5)&gt;0,ROUND(SUMIFS(输入平台!$C:$C,输入平台!$A:$A,助手收入!$X37,输入平台!$B:$B,科目对照收入!$B5),2),ROUND(海典汇总!$H$38,2))</f>
        <v>0</v>
      </c>
      <c r="H775" s="49" t="str">
        <f aca="false">IF(ROUND($G775,2)&gt;0,ROUND($G775,2),"")</f>
        <v/>
      </c>
      <c r="I775" s="49" t="str">
        <f aca="false">IF(ROUND($G775,2)&lt;0,-ROUND($G775,2),"")</f>
        <v/>
      </c>
      <c r="J775" s="20" t="n">
        <f aca="false">IF(ROUND($G775,2)=0,0,1)</f>
        <v>0</v>
      </c>
      <c r="K775" s="20" t="str">
        <f aca="false">IF($J775=0,"",SUM($J$772:$J775))</f>
        <v/>
      </c>
      <c r="L775" s="20" t="str">
        <f aca="false">IF($K775="","",$A775*100+$K775)</f>
        <v/>
      </c>
      <c r="M775" s="48" t="str">
        <f aca="false">参数!$B$3</f>
        <v>7月收入</v>
      </c>
    </row>
    <row r="776" customFormat="false" ht="13.5" hidden="false" customHeight="false" outlineLevel="0" collapsed="false">
      <c r="A776" s="47" t="n">
        <v>36</v>
      </c>
      <c r="B776" s="38" t="n">
        <f aca="false">助手收入!$B37</f>
        <v>2055</v>
      </c>
      <c r="C776" s="48" t="str">
        <f aca="false">助手收入!$C37</f>
        <v>博魏店</v>
      </c>
      <c r="D776" s="48" t="str">
        <f aca="false">科目对照收入!$B6&amp;""</f>
        <v>医卡通</v>
      </c>
      <c r="E776" s="48" t="str">
        <f aca="false">IF(AND(ROUND($G776,2)&lt;0,科目对照收入!$L6&lt;&gt;""),科目对照收入!$L6,科目对照收入!$C6)&amp;""</f>
        <v>应收账款</v>
      </c>
      <c r="F776" s="48" t="str">
        <f aca="false">IF(AND(ROUND($G776,2)&lt;0,科目对照收入!$L6&lt;&gt;""),科目对照收入!$M6,科目对照收入!$D6)&amp;""</f>
        <v>医卡通</v>
      </c>
      <c r="G776" s="49" t="n">
        <f aca="false">IF(COUNTIFS(输入平台!$A:$A,助手收入!$X37,输入平台!$B:$B,科目对照收入!$B6)&gt;0,ROUND(SUMIFS(输入平台!$C:$C,输入平台!$A:$A,助手收入!$X37,输入平台!$B:$B,科目对照收入!$B6),2),ROUND(海典汇总!$I$38,2))</f>
        <v>0</v>
      </c>
      <c r="H776" s="49" t="str">
        <f aca="false">IF(ROUND($G776,2)&gt;0,ROUND($G776,2),"")</f>
        <v/>
      </c>
      <c r="I776" s="49" t="str">
        <f aca="false">IF(ROUND($G776,2)&lt;0,-ROUND($G776,2),"")</f>
        <v/>
      </c>
      <c r="J776" s="20" t="n">
        <f aca="false">IF(ROUND($G776,2)=0,0,1)</f>
        <v>0</v>
      </c>
      <c r="K776" s="20" t="str">
        <f aca="false">IF($J776=0,"",SUM($J$772:$J776))</f>
        <v/>
      </c>
      <c r="L776" s="20" t="str">
        <f aca="false">IF($K776="","",$A776*100+$K776)</f>
        <v/>
      </c>
      <c r="M776" s="48" t="str">
        <f aca="false">参数!$B$3</f>
        <v>7月收入</v>
      </c>
    </row>
    <row r="777" customFormat="false" ht="13.5" hidden="false" customHeight="false" outlineLevel="0" collapsed="false">
      <c r="A777" s="47" t="n">
        <v>36</v>
      </c>
      <c r="B777" s="38" t="n">
        <f aca="false">助手收入!$B37</f>
        <v>2055</v>
      </c>
      <c r="C777" s="48" t="str">
        <f aca="false">助手收入!$C37</f>
        <v>博魏店</v>
      </c>
      <c r="D777" s="48" t="str">
        <f aca="false">科目对照收入!$B7&amp;""</f>
        <v>企健网</v>
      </c>
      <c r="E777" s="48" t="str">
        <f aca="false">IF(AND(ROUND($G777,2)&lt;0,科目对照收入!$L7&lt;&gt;""),科目对照收入!$L7,科目对照收入!$C7)&amp;""</f>
        <v>应收账款</v>
      </c>
      <c r="F777" s="48" t="str">
        <f aca="false">IF(AND(ROUND($G777,2)&lt;0,科目对照收入!$L7&lt;&gt;""),科目对照收入!$M7,科目对照收入!$D7)&amp;""</f>
        <v>企健网</v>
      </c>
      <c r="G777" s="49" t="n">
        <f aca="false">IF(COUNTIFS(输入平台!$A:$A,助手收入!$X37,输入平台!$B:$B,科目对照收入!$B7)&gt;0,ROUND(SUMIFS(输入平台!$C:$C,输入平台!$A:$A,助手收入!$X37,输入平台!$B:$B,科目对照收入!$B7),2),ROUND(海典汇总!$J$38,2))</f>
        <v>0</v>
      </c>
      <c r="H777" s="49" t="str">
        <f aca="false">IF(ROUND($G777,2)&gt;0,ROUND($G777,2),"")</f>
        <v/>
      </c>
      <c r="I777" s="49" t="str">
        <f aca="false">IF(ROUND($G777,2)&lt;0,-ROUND($G777,2),"")</f>
        <v/>
      </c>
      <c r="J777" s="20" t="n">
        <f aca="false">IF(ROUND($G777,2)=0,0,1)</f>
        <v>0</v>
      </c>
      <c r="K777" s="20" t="str">
        <f aca="false">IF($J777=0,"",SUM($J$772:$J777))</f>
        <v/>
      </c>
      <c r="L777" s="20" t="str">
        <f aca="false">IF($K777="","",$A777*100+$K777)</f>
        <v/>
      </c>
      <c r="M777" s="48" t="str">
        <f aca="false">参数!$B$3</f>
        <v>7月收入</v>
      </c>
    </row>
    <row r="778" customFormat="false" ht="13.5" hidden="false" customHeight="false" outlineLevel="0" collapsed="false">
      <c r="A778" s="47" t="n">
        <v>36</v>
      </c>
      <c r="B778" s="38" t="n">
        <f aca="false">助手收入!$B37</f>
        <v>2055</v>
      </c>
      <c r="C778" s="48" t="str">
        <f aca="false">助手收入!$C37</f>
        <v>博魏店</v>
      </c>
      <c r="D778" s="48" t="str">
        <f aca="false">科目对照收入!$B8&amp;""</f>
        <v>亲情卡</v>
      </c>
      <c r="E778" s="48" t="str">
        <f aca="false">IF(AND(ROUND($G778,2)&lt;0,科目对照收入!$L8&lt;&gt;""),科目对照收入!$L8,科目对照收入!$C8)&amp;""</f>
        <v>应收账款</v>
      </c>
      <c r="F778" s="48" t="str">
        <f aca="false">IF(AND(ROUND($G778,2)&lt;0,科目对照收入!$L8&lt;&gt;""),科目对照收入!$M8,科目对照收入!$D8)&amp;""</f>
        <v>亲情卡</v>
      </c>
      <c r="G778" s="49" t="n">
        <f aca="false">IF(COUNTIFS(输入平台!$A:$A,助手收入!$X37,输入平台!$B:$B,科目对照收入!$B8)&gt;0,ROUND(SUMIFS(输入平台!$C:$C,输入平台!$A:$A,助手收入!$X37,输入平台!$B:$B,科目对照收入!$B8),2),ROUND(海典汇总!$Z$38,2))</f>
        <v>0</v>
      </c>
      <c r="H778" s="49" t="str">
        <f aca="false">IF(ROUND($G778,2)&gt;0,ROUND($G778,2),"")</f>
        <v/>
      </c>
      <c r="I778" s="49" t="str">
        <f aca="false">IF(ROUND($G778,2)&lt;0,-ROUND($G778,2),"")</f>
        <v/>
      </c>
      <c r="J778" s="20" t="n">
        <f aca="false">IF(ROUND($G778,2)=0,0,1)</f>
        <v>0</v>
      </c>
      <c r="K778" s="20" t="str">
        <f aca="false">IF($J778=0,"",SUM($J$772:$J778))</f>
        <v/>
      </c>
      <c r="L778" s="20" t="str">
        <f aca="false">IF($K778="","",$A778*100+$K778)</f>
        <v/>
      </c>
      <c r="M778" s="48" t="str">
        <f aca="false">参数!$B$3</f>
        <v>7月收入</v>
      </c>
    </row>
    <row r="779" customFormat="false" ht="13.5" hidden="false" customHeight="false" outlineLevel="0" collapsed="false">
      <c r="A779" s="47" t="n">
        <v>36</v>
      </c>
      <c r="B779" s="38" t="n">
        <f aca="false">助手收入!$B37</f>
        <v>2055</v>
      </c>
      <c r="C779" s="48" t="str">
        <f aca="false">助手收入!$C37</f>
        <v>博魏店</v>
      </c>
      <c r="D779" s="48" t="str">
        <f aca="false">科目对照收入!$B9&amp;""</f>
        <v>24小时</v>
      </c>
      <c r="E779" s="48" t="str">
        <f aca="false">IF(AND(ROUND($G779,2)&lt;0,科目对照收入!$L9&lt;&gt;""),科目对照收入!$L9,科目对照收入!$C9)&amp;""</f>
        <v>应收账款</v>
      </c>
      <c r="F779" s="48" t="str">
        <f aca="false">IF(AND(ROUND($G779,2)&lt;0,科目对照收入!$L9&lt;&gt;""),科目对照收入!$M9,科目对照收入!$D9)&amp;""</f>
        <v>24小时</v>
      </c>
      <c r="G779" s="49" t="n">
        <f aca="false">IF(COUNTIFS(输入平台!$A:$A,助手收入!$X37,输入平台!$B:$B,科目对照收入!$B9)&gt;0,ROUND(SUMIFS(输入平台!$C:$C,输入平台!$A:$A,助手收入!$X37,输入平台!$B:$B,科目对照收入!$B9),2),ROUND(海典汇总!$K$38,2))</f>
        <v>0</v>
      </c>
      <c r="H779" s="49" t="str">
        <f aca="false">IF(ROUND($G779,2)&gt;0,ROUND($G779,2),"")</f>
        <v/>
      </c>
      <c r="I779" s="49" t="str">
        <f aca="false">IF(ROUND($G779,2)&lt;0,-ROUND($G779,2),"")</f>
        <v/>
      </c>
      <c r="J779" s="20" t="n">
        <f aca="false">IF(ROUND($G779,2)=0,0,1)</f>
        <v>0</v>
      </c>
      <c r="K779" s="20" t="str">
        <f aca="false">IF($J779=0,"",SUM($J$772:$J779))</f>
        <v/>
      </c>
      <c r="L779" s="20" t="str">
        <f aca="false">IF($K779="","",$A779*100+$K779)</f>
        <v/>
      </c>
      <c r="M779" s="48" t="str">
        <f aca="false">参数!$B$3</f>
        <v>7月收入</v>
      </c>
    </row>
    <row r="780" customFormat="false" ht="13.5" hidden="false" customHeight="false" outlineLevel="0" collapsed="false">
      <c r="A780" s="47" t="n">
        <v>36</v>
      </c>
      <c r="B780" s="38" t="n">
        <f aca="false">助手收入!$B37</f>
        <v>2055</v>
      </c>
      <c r="C780" s="48" t="str">
        <f aca="false">助手收入!$C37</f>
        <v>博魏店</v>
      </c>
      <c r="D780" s="48" t="str">
        <f aca="false">科目对照收入!$B10&amp;""</f>
        <v>美团</v>
      </c>
      <c r="E780" s="48" t="str">
        <f aca="false">IF(AND(ROUND($G780,2)&lt;0,科目对照收入!$L10&lt;&gt;""),科目对照收入!$L10,科目对照收入!$C10)&amp;""</f>
        <v>应收账款</v>
      </c>
      <c r="F780" s="48" t="str">
        <f aca="false">IF(AND(ROUND($G780,2)&lt;0,科目对照收入!$L10&lt;&gt;""),科目对照收入!$M10,科目对照收入!$D10)&amp;""</f>
        <v>美团</v>
      </c>
      <c r="G780" s="49" t="n">
        <f aca="false">IF(COUNTIFS(输入平台!$A:$A,助手收入!$X37,输入平台!$B:$B,科目对照收入!$B10)&gt;0,ROUND(SUMIFS(输入平台!$C:$C,输入平台!$A:$A,助手收入!$X37,输入平台!$B:$B,科目对照收入!$B10),2),ROUND(海典汇总!$M$38,2))</f>
        <v>0</v>
      </c>
      <c r="H780" s="49" t="str">
        <f aca="false">IF(ROUND($G780,2)&gt;0,ROUND($G780,2),"")</f>
        <v/>
      </c>
      <c r="I780" s="49" t="str">
        <f aca="false">IF(ROUND($G780,2)&lt;0,-ROUND($G780,2),"")</f>
        <v/>
      </c>
      <c r="J780" s="20" t="n">
        <f aca="false">IF(ROUND($G780,2)=0,0,1)</f>
        <v>0</v>
      </c>
      <c r="K780" s="20" t="str">
        <f aca="false">IF($J780=0,"",SUM($J$772:$J780))</f>
        <v/>
      </c>
      <c r="L780" s="20" t="str">
        <f aca="false">IF($K780="","",$A780*100+$K780)</f>
        <v/>
      </c>
      <c r="M780" s="48" t="str">
        <f aca="false">参数!$B$3</f>
        <v>7月收入</v>
      </c>
    </row>
    <row r="781" customFormat="false" ht="13.5" hidden="false" customHeight="false" outlineLevel="0" collapsed="false">
      <c r="A781" s="47" t="n">
        <v>36</v>
      </c>
      <c r="B781" s="38" t="n">
        <f aca="false">助手收入!$B37</f>
        <v>2055</v>
      </c>
      <c r="C781" s="48" t="str">
        <f aca="false">助手收入!$C37</f>
        <v>博魏店</v>
      </c>
      <c r="D781" s="48" t="str">
        <f aca="false">科目对照收入!$B11&amp;""</f>
        <v>饿了么</v>
      </c>
      <c r="E781" s="48" t="str">
        <f aca="false">IF(AND(ROUND($G781,2)&lt;0,科目对照收入!$L11&lt;&gt;""),科目对照收入!$L11,科目对照收入!$C11)&amp;""</f>
        <v>应收账款</v>
      </c>
      <c r="F781" s="48" t="str">
        <f aca="false">IF(AND(ROUND($G781,2)&lt;0,科目对照收入!$L11&lt;&gt;""),科目对照收入!$M11,科目对照收入!$D11)&amp;""</f>
        <v>饿了么</v>
      </c>
      <c r="G781" s="49" t="n">
        <f aca="false">IF(COUNTIFS(输入平台!$A:$A,助手收入!$X37,输入平台!$B:$B,科目对照收入!$B11)&gt;0,ROUND(SUMIFS(输入平台!$C:$C,输入平台!$A:$A,助手收入!$X37,输入平台!$B:$B,科目对照收入!$B11),2),ROUND(海典汇总!$N$38,2))</f>
        <v>0</v>
      </c>
      <c r="H781" s="49" t="str">
        <f aca="false">IF(ROUND($G781,2)&gt;0,ROUND($G781,2),"")</f>
        <v/>
      </c>
      <c r="I781" s="49" t="str">
        <f aca="false">IF(ROUND($G781,2)&lt;0,-ROUND($G781,2),"")</f>
        <v/>
      </c>
      <c r="J781" s="20" t="n">
        <f aca="false">IF(ROUND($G781,2)=0,0,1)</f>
        <v>0</v>
      </c>
      <c r="K781" s="20" t="str">
        <f aca="false">IF($J781=0,"",SUM($J$772:$J781))</f>
        <v/>
      </c>
      <c r="L781" s="20" t="str">
        <f aca="false">IF($K781="","",$A781*100+$K781)</f>
        <v/>
      </c>
      <c r="M781" s="48" t="str">
        <f aca="false">参数!$B$3</f>
        <v>7月收入</v>
      </c>
    </row>
    <row r="782" customFormat="false" ht="13.5" hidden="false" customHeight="false" outlineLevel="0" collapsed="false">
      <c r="A782" s="47" t="n">
        <v>36</v>
      </c>
      <c r="B782" s="38" t="n">
        <f aca="false">助手收入!$B37</f>
        <v>2055</v>
      </c>
      <c r="C782" s="48" t="str">
        <f aca="false">助手收入!$C37</f>
        <v>博魏店</v>
      </c>
      <c r="D782" s="48" t="str">
        <f aca="false">科目对照收入!$B12&amp;""</f>
        <v>京东秒送</v>
      </c>
      <c r="E782" s="48" t="str">
        <f aca="false">IF(AND(ROUND($G782,2)&lt;0,科目对照收入!$L12&lt;&gt;""),科目对照收入!$L12,科目对照收入!$C12)&amp;""</f>
        <v>应收账款</v>
      </c>
      <c r="F782" s="48" t="str">
        <f aca="false">IF(AND(ROUND($G782,2)&lt;0,科目对照收入!$L12&lt;&gt;""),科目对照收入!$M12,科目对照收入!$D12)&amp;""</f>
        <v>京东秒送</v>
      </c>
      <c r="G782" s="49" t="n">
        <f aca="false">IF(COUNTIFS(输入平台!$A:$A,助手收入!$X37,输入平台!$B:$B,科目对照收入!$B12)&gt;0,ROUND(SUMIFS(输入平台!$C:$C,输入平台!$A:$A,助手收入!$X37,输入平台!$B:$B,科目对照收入!$B12),2),ROUND(海典汇总!$O$38,2))</f>
        <v>0</v>
      </c>
      <c r="H782" s="49" t="str">
        <f aca="false">IF(ROUND($G782,2)&gt;0,ROUND($G782,2),"")</f>
        <v/>
      </c>
      <c r="I782" s="49" t="str">
        <f aca="false">IF(ROUND($G782,2)&lt;0,-ROUND($G782,2),"")</f>
        <v/>
      </c>
      <c r="J782" s="20" t="n">
        <f aca="false">IF(ROUND($G782,2)=0,0,1)</f>
        <v>0</v>
      </c>
      <c r="K782" s="20" t="str">
        <f aca="false">IF($J782=0,"",SUM($J$772:$J782))</f>
        <v/>
      </c>
      <c r="L782" s="20" t="str">
        <f aca="false">IF($K782="","",$A782*100+$K782)</f>
        <v/>
      </c>
      <c r="M782" s="48" t="str">
        <f aca="false">参数!$B$3</f>
        <v>7月收入</v>
      </c>
    </row>
    <row r="783" customFormat="false" ht="13.5" hidden="false" customHeight="false" outlineLevel="0" collapsed="false">
      <c r="A783" s="47" t="n">
        <v>36</v>
      </c>
      <c r="B783" s="38" t="n">
        <f aca="false">助手收入!$B37</f>
        <v>2055</v>
      </c>
      <c r="C783" s="48" t="str">
        <f aca="false">助手收入!$C37</f>
        <v>博魏店</v>
      </c>
      <c r="D783" s="48" t="str">
        <f aca="false">科目对照收入!$B13&amp;""</f>
        <v>银联</v>
      </c>
      <c r="E783" s="48" t="str">
        <f aca="false">IF(AND(ROUND($G783,2)&lt;0,科目对照收入!$L13&lt;&gt;""),科目对照收入!$L13,科目对照收入!$C13)&amp;""</f>
        <v>应收账款</v>
      </c>
      <c r="F783" s="48" t="str">
        <f aca="false">IF(AND(ROUND($G783,2)&lt;0,科目对照收入!$L13&lt;&gt;""),科目对照收入!$M13,科目对照收入!$D13)&amp;""</f>
        <v>银联</v>
      </c>
      <c r="G783" s="49" t="n">
        <f aca="false">IF(COUNTIFS(输入平台!$A:$A,助手收入!$X37,输入平台!$B:$B,科目对照收入!$B13)&gt;0,ROUND(SUMIFS(输入平台!$C:$C,输入平台!$A:$A,助手收入!$X37,输入平台!$B:$B,科目对照收入!$B13),2),ROUND(海典汇总!$V$38,2))</f>
        <v>0</v>
      </c>
      <c r="H783" s="49" t="str">
        <f aca="false">IF(ROUND($G783,2)&gt;0,ROUND($G783,2),"")</f>
        <v/>
      </c>
      <c r="I783" s="49" t="str">
        <f aca="false">IF(ROUND($G783,2)&lt;0,-ROUND($G783,2),"")</f>
        <v/>
      </c>
      <c r="J783" s="20" t="n">
        <f aca="false">IF(ROUND($G783,2)=0,0,1)</f>
        <v>0</v>
      </c>
      <c r="K783" s="20" t="str">
        <f aca="false">IF($J783=0,"",SUM($J$772:$J783))</f>
        <v/>
      </c>
      <c r="L783" s="20" t="str">
        <f aca="false">IF($K783="","",$A783*100+$K783)</f>
        <v/>
      </c>
      <c r="M783" s="48" t="str">
        <f aca="false">参数!$B$3</f>
        <v>7月收入</v>
      </c>
    </row>
    <row r="784" customFormat="false" ht="13.5" hidden="false" customHeight="false" outlineLevel="0" collapsed="false">
      <c r="A784" s="47" t="n">
        <v>36</v>
      </c>
      <c r="B784" s="38" t="n">
        <f aca="false">助手收入!$B37</f>
        <v>2055</v>
      </c>
      <c r="C784" s="48" t="str">
        <f aca="false">助手收入!$C37</f>
        <v>博魏店</v>
      </c>
      <c r="D784" s="48" t="str">
        <f aca="false">科目对照收入!$B14&amp;""</f>
        <v>小镇外卖</v>
      </c>
      <c r="E784" s="48" t="str">
        <f aca="false">IF(AND(ROUND($G784,2)&lt;0,科目对照收入!$L14&lt;&gt;""),科目对照收入!$L14,科目对照收入!$C14)&amp;""</f>
        <v>应收账款</v>
      </c>
      <c r="F784" s="48" t="str">
        <f aca="false">IF(AND(ROUND($G784,2)&lt;0,科目对照收入!$L14&lt;&gt;""),科目对照收入!$M14,科目对照收入!$D14)&amp;""</f>
        <v>小镇外卖</v>
      </c>
      <c r="G784" s="49" t="n">
        <f aca="false">IF(COUNTIFS(输入平台!$A:$A,助手收入!$X37,输入平台!$B:$B,科目对照收入!$B14)&gt;0,ROUND(SUMIFS(输入平台!$C:$C,输入平台!$A:$A,助手收入!$X37,输入平台!$B:$B,科目对照收入!$B14),2),ROUND(海典汇总!$AC$38,2))</f>
        <v>0</v>
      </c>
      <c r="H784" s="49" t="str">
        <f aca="false">IF(ROUND($G784,2)&gt;0,ROUND($G784,2),"")</f>
        <v/>
      </c>
      <c r="I784" s="49" t="str">
        <f aca="false">IF(ROUND($G784,2)&lt;0,-ROUND($G784,2),"")</f>
        <v/>
      </c>
      <c r="J784" s="20" t="n">
        <f aca="false">IF(ROUND($G784,2)=0,0,1)</f>
        <v>0</v>
      </c>
      <c r="K784" s="20" t="str">
        <f aca="false">IF($J784=0,"",SUM($J$772:$J784))</f>
        <v/>
      </c>
      <c r="L784" s="20" t="str">
        <f aca="false">IF($K784="","",$A784*100+$K784)</f>
        <v/>
      </c>
      <c r="M784" s="48" t="str">
        <f aca="false">参数!$B$3</f>
        <v>7月收入</v>
      </c>
    </row>
    <row r="785" customFormat="false" ht="13.5" hidden="false" customHeight="false" outlineLevel="0" collapsed="false">
      <c r="A785" s="47" t="n">
        <v>36</v>
      </c>
      <c r="B785" s="38" t="n">
        <f aca="false">助手收入!$B37</f>
        <v>2055</v>
      </c>
      <c r="C785" s="48" t="str">
        <f aca="false">助手收入!$C37</f>
        <v>博魏店</v>
      </c>
      <c r="D785" s="48" t="str">
        <f aca="false">科目对照收入!$B15&amp;""</f>
        <v>OMS线上支付</v>
      </c>
      <c r="E785" s="48" t="str">
        <f aca="false">IF(AND(ROUND($G785,2)&lt;0,科目对照收入!$L15&lt;&gt;""),科目对照收入!$L15,科目对照收入!$C15)&amp;""</f>
        <v>应收账款</v>
      </c>
      <c r="F785" s="48" t="str">
        <f aca="false">IF(AND(ROUND($G785,2)&lt;0,科目对照收入!$L15&lt;&gt;""),科目对照收入!$M15,科目对照收入!$D15)&amp;""</f>
        <v>OMS线上</v>
      </c>
      <c r="G785" s="49" t="n">
        <f aca="false">IF(COUNTIFS(输入平台!$A:$A,助手收入!$X37,输入平台!$B:$B,科目对照收入!$B15)&gt;0,ROUND(SUMIFS(输入平台!$C:$C,输入平台!$A:$A,助手收入!$X37,输入平台!$B:$B,科目对照收入!$B15),2),ROUND(海典汇总!$L$38,2))</f>
        <v>0</v>
      </c>
      <c r="H785" s="49" t="str">
        <f aca="false">IF(ROUND($G785,2)&gt;0,ROUND($G785,2),"")</f>
        <v/>
      </c>
      <c r="I785" s="49" t="str">
        <f aca="false">IF(ROUND($G785,2)&lt;0,-ROUND($G785,2),"")</f>
        <v/>
      </c>
      <c r="J785" s="20" t="n">
        <f aca="false">IF(ROUND($G785,2)=0,0,1)</f>
        <v>0</v>
      </c>
      <c r="K785" s="20" t="str">
        <f aca="false">IF($J785=0,"",SUM($J$772:$J785))</f>
        <v/>
      </c>
      <c r="L785" s="20" t="str">
        <f aca="false">IF($K785="","",$A785*100+$K785)</f>
        <v/>
      </c>
      <c r="M785" s="48" t="str">
        <f aca="false">参数!$B$3</f>
        <v>7月收入</v>
      </c>
    </row>
    <row r="786" customFormat="false" ht="13.5" hidden="false" customHeight="false" outlineLevel="0" collapsed="false">
      <c r="A786" s="47" t="n">
        <v>36</v>
      </c>
      <c r="B786" s="38" t="n">
        <f aca="false">助手收入!$B37</f>
        <v>2055</v>
      </c>
      <c r="C786" s="48" t="str">
        <f aca="false">助手收入!$C37</f>
        <v>博魏店</v>
      </c>
      <c r="D786" s="48" t="str">
        <f aca="false">科目对照收入!$B16&amp;""</f>
        <v>平安药卡</v>
      </c>
      <c r="E786" s="48" t="str">
        <f aca="false">IF(AND(ROUND($G786,2)&lt;0,科目对照收入!$L16&lt;&gt;""),科目对照收入!$L16,科目对照收入!$C16)&amp;""</f>
        <v>应收账款</v>
      </c>
      <c r="F786" s="48" t="str">
        <f aca="false">IF(AND(ROUND($G786,2)&lt;0,科目对照收入!$L16&lt;&gt;""),科目对照收入!$M16,科目对照收入!$D16)&amp;""</f>
        <v>平安</v>
      </c>
      <c r="G786" s="49" t="n">
        <f aca="false">IF(COUNTIFS(输入平台!$A:$A,助手收入!$X37,输入平台!$B:$B,科目对照收入!$B16)&gt;0,ROUND(SUMIFS(输入平台!$C:$C,输入平台!$A:$A,助手收入!$X37,输入平台!$B:$B,科目对照收入!$B16),2),ROUND(海典汇总!$AB$38,2))</f>
        <v>0</v>
      </c>
      <c r="H786" s="49" t="str">
        <f aca="false">IF(ROUND($G786,2)&gt;0,ROUND($G786,2),"")</f>
        <v/>
      </c>
      <c r="I786" s="49" t="str">
        <f aca="false">IF(ROUND($G786,2)&lt;0,-ROUND($G786,2),"")</f>
        <v/>
      </c>
      <c r="J786" s="20" t="n">
        <f aca="false">IF(ROUND($G786,2)=0,0,1)</f>
        <v>0</v>
      </c>
      <c r="K786" s="20" t="str">
        <f aca="false">IF($J786=0,"",SUM($J$772:$J786))</f>
        <v/>
      </c>
      <c r="L786" s="20" t="str">
        <f aca="false">IF($K786="","",$A786*100+$K786)</f>
        <v/>
      </c>
      <c r="M786" s="48" t="str">
        <f aca="false">参数!$B$3</f>
        <v>7月收入</v>
      </c>
    </row>
    <row r="787" customFormat="false" ht="13.5" hidden="false" customHeight="false" outlineLevel="0" collapsed="false">
      <c r="A787" s="47" t="n">
        <v>36</v>
      </c>
      <c r="B787" s="38" t="n">
        <f aca="false">助手收入!$B37</f>
        <v>2055</v>
      </c>
      <c r="C787" s="48" t="str">
        <f aca="false">助手收入!$C37</f>
        <v>博魏店</v>
      </c>
      <c r="D787" s="48" t="str">
        <f aca="false">科目对照收入!$B17&amp;""</f>
        <v>储值卡</v>
      </c>
      <c r="E787" s="48" t="str">
        <f aca="false">IF(AND(ROUND($G787,2)&lt;0,科目对照收入!$L17&lt;&gt;""),科目对照收入!$L17,科目对照收入!$C17)&amp;""</f>
        <v>其他应收款</v>
      </c>
      <c r="F787" s="48" t="str">
        <f aca="false">IF(AND(ROUND($G787,2)&lt;0,科目对照收入!$L17&lt;&gt;""),科目对照收入!$M17,科目对照收入!$D17)&amp;""</f>
        <v>储值卡</v>
      </c>
      <c r="G787" s="49" t="n">
        <f aca="false">ROUND(海典汇总!$Q$38,2)</f>
        <v>15.3</v>
      </c>
      <c r="H787" s="49" t="n">
        <f aca="false">IF(ROUND($G787,2)&gt;0,ROUND($G787,2),"")</f>
        <v>15.3</v>
      </c>
      <c r="I787" s="49" t="str">
        <f aca="false">IF(ROUND($G787,2)&lt;0,-ROUND($G787,2),"")</f>
        <v/>
      </c>
      <c r="J787" s="20" t="n">
        <f aca="false">IF(ROUND($G787,2)=0,0,1)</f>
        <v>1</v>
      </c>
      <c r="K787" s="20" t="n">
        <f aca="false">IF($J787=0,"",SUM($J$772:$J787))</f>
        <v>3</v>
      </c>
      <c r="L787" s="20" t="n">
        <f aca="false">IF($K787="","",$A787*100+$K787)</f>
        <v>3603</v>
      </c>
      <c r="M787" s="48" t="str">
        <f aca="false">参数!$B$3</f>
        <v>7月收入</v>
      </c>
    </row>
    <row r="788" customFormat="false" ht="13.5" hidden="false" customHeight="false" outlineLevel="0" collapsed="false">
      <c r="A788" s="47" t="n">
        <v>36</v>
      </c>
      <c r="B788" s="38" t="n">
        <f aca="false">助手收入!$B37</f>
        <v>2055</v>
      </c>
      <c r="C788" s="48" t="str">
        <f aca="false">助手收入!$C37</f>
        <v>博魏店</v>
      </c>
      <c r="D788" s="48" t="str">
        <f aca="false">科目对照收入!$B18&amp;""</f>
        <v>会员零钱包</v>
      </c>
      <c r="E788" s="48" t="str">
        <f aca="false">IF(AND(ROUND($G788,2)&lt;0,科目对照收入!$L18&lt;&gt;""),科目对照收入!$L18,科目对照收入!$C18)&amp;""</f>
        <v>其他应收款</v>
      </c>
      <c r="F788" s="48" t="str">
        <f aca="false">IF(AND(ROUND($G788,2)&lt;0,科目对照收入!$L18&lt;&gt;""),科目对照收入!$M18,科目对照收入!$D18)&amp;""</f>
        <v>会员零钱包</v>
      </c>
      <c r="G788" s="49" t="n">
        <f aca="false">ROUND(海典汇总!$P$38,2)</f>
        <v>0</v>
      </c>
      <c r="H788" s="49" t="str">
        <f aca="false">IF(ROUND($G788,2)&gt;0,ROUND($G788,2),"")</f>
        <v/>
      </c>
      <c r="I788" s="49" t="str">
        <f aca="false">IF(ROUND($G788,2)&lt;0,-ROUND($G788,2),"")</f>
        <v/>
      </c>
      <c r="J788" s="20" t="n">
        <f aca="false">IF(ROUND($G788,2)=0,0,1)</f>
        <v>0</v>
      </c>
      <c r="K788" s="20" t="str">
        <f aca="false">IF($J788=0,"",SUM($J$772:$J788))</f>
        <v/>
      </c>
      <c r="L788" s="20" t="str">
        <f aca="false">IF($K788="","",$A788*100+$K788)</f>
        <v/>
      </c>
      <c r="M788" s="48" t="str">
        <f aca="false">参数!$B$3</f>
        <v>7月收入</v>
      </c>
    </row>
    <row r="789" customFormat="false" ht="13.5" hidden="false" customHeight="false" outlineLevel="0" collapsed="false">
      <c r="A789" s="47" t="n">
        <v>36</v>
      </c>
      <c r="B789" s="38" t="n">
        <f aca="false">助手收入!$B37</f>
        <v>2055</v>
      </c>
      <c r="C789" s="48" t="str">
        <f aca="false">助手收入!$C37</f>
        <v>博魏店</v>
      </c>
      <c r="D789" s="48" t="str">
        <f aca="false">科目对照收入!$B19&amp;""</f>
        <v>促销费</v>
      </c>
      <c r="E789" s="48" t="str">
        <f aca="false">IF(AND(ROUND($G789,2)&lt;0,科目对照收入!$L19&lt;&gt;""),科目对照收入!$L19,科目对照收入!$C19)&amp;""</f>
        <v>销售费用</v>
      </c>
      <c r="F789" s="48" t="str">
        <f aca="false">IF(AND(ROUND($G789,2)&lt;0,科目对照收入!$L19&lt;&gt;""),科目对照收入!$M19,科目对照收入!$D19)&amp;""</f>
        <v>促销费</v>
      </c>
      <c r="G789" s="49" t="n">
        <f aca="false">ROUND(海典汇总!$U$38+海典汇总!$T$38+海典汇总!$S$38,2)</f>
        <v>192.6</v>
      </c>
      <c r="H789" s="49" t="n">
        <f aca="false">IF(ROUND($G789,2)&gt;0,ROUND($G789,2),"")</f>
        <v>192.6</v>
      </c>
      <c r="I789" s="49" t="str">
        <f aca="false">IF(ROUND($G789,2)&lt;0,-ROUND($G789,2),"")</f>
        <v/>
      </c>
      <c r="J789" s="20" t="n">
        <f aca="false">IF(ROUND($G789,2)=0,0,1)</f>
        <v>1</v>
      </c>
      <c r="K789" s="20" t="n">
        <f aca="false">IF($J789=0,"",SUM($J$772:$J789))</f>
        <v>4</v>
      </c>
      <c r="L789" s="20" t="n">
        <f aca="false">IF($K789="","",$A789*100+$K789)</f>
        <v>3604</v>
      </c>
      <c r="M789" s="48" t="str">
        <f aca="false">参数!$B$3</f>
        <v>7月收入</v>
      </c>
    </row>
    <row r="790" customFormat="false" ht="13.5" hidden="false" customHeight="false" outlineLevel="0" collapsed="false">
      <c r="A790" s="47" t="n">
        <v>36</v>
      </c>
      <c r="B790" s="38" t="n">
        <f aca="false">助手收入!$B37</f>
        <v>2055</v>
      </c>
      <c r="C790" s="48" t="str">
        <f aca="false">助手收入!$C37</f>
        <v>博魏店</v>
      </c>
      <c r="D790" s="48" t="str">
        <f aca="false">科目对照收入!$B20&amp;""</f>
        <v>积分</v>
      </c>
      <c r="E790" s="48" t="str">
        <f aca="false">IF(AND(ROUND($G790,2)&lt;0,科目对照收入!$L20&lt;&gt;""),科目对照收入!$L20,科目对照收入!$C20)&amp;""</f>
        <v>销售费用</v>
      </c>
      <c r="F790" s="48" t="str">
        <f aca="false">IF(AND(ROUND($G790,2)&lt;0,科目对照收入!$L20&lt;&gt;""),科目对照收入!$M20,科目对照收入!$D20)&amp;""</f>
        <v>积分</v>
      </c>
      <c r="G790" s="49" t="n">
        <f aca="false">ROUND(海典汇总!$R$38,2)</f>
        <v>0</v>
      </c>
      <c r="H790" s="49" t="str">
        <f aca="false">IF(ROUND($G790,2)&gt;0,ROUND($G790,2),"")</f>
        <v/>
      </c>
      <c r="I790" s="49" t="str">
        <f aca="false">IF(ROUND($G790,2)&lt;0,-ROUND($G790,2),"")</f>
        <v/>
      </c>
      <c r="J790" s="20" t="n">
        <f aca="false">IF(ROUND($G790,2)=0,0,1)</f>
        <v>0</v>
      </c>
      <c r="K790" s="20" t="str">
        <f aca="false">IF($J790=0,"",SUM($J$772:$J790))</f>
        <v/>
      </c>
      <c r="L790" s="20" t="str">
        <f aca="false">IF($K790="","",$A790*100+$K790)</f>
        <v/>
      </c>
      <c r="M790" s="48" t="str">
        <f aca="false">参数!$B$3</f>
        <v>7月收入</v>
      </c>
    </row>
    <row r="791" customFormat="false" ht="13.5" hidden="false" customHeight="false" outlineLevel="0" collapsed="false">
      <c r="A791" s="47" t="n">
        <v>36</v>
      </c>
      <c r="B791" s="38" t="n">
        <f aca="false">助手收入!$B37</f>
        <v>2055</v>
      </c>
      <c r="C791" s="48" t="str">
        <f aca="false">助手收入!$C37</f>
        <v>博魏店</v>
      </c>
      <c r="D791" s="48" t="str">
        <f aca="false">科目对照收入!$B21&amp;""</f>
        <v>手续费</v>
      </c>
      <c r="E791" s="48" t="str">
        <f aca="false">IF(AND(ROUND($G791,2)&lt;0,科目对照收入!$L21&lt;&gt;""),科目对照收入!$L21,科目对照收入!$C21)&amp;""</f>
        <v>财务费用</v>
      </c>
      <c r="F791" s="48" t="str">
        <f aca="false">IF(AND(ROUND($G791,2)&lt;0,科目对照收入!$L21&lt;&gt;""),科目对照收入!$M21,科目对照收入!$D21)&amp;""</f>
        <v>手续费</v>
      </c>
      <c r="G791" s="49" t="n">
        <f aca="false">ROUND(SUMIFS(输入聚合!$D:$D,输入聚合!$A:$A,助手收入!$X37),2)</f>
        <v>68.83</v>
      </c>
      <c r="H791" s="49" t="n">
        <f aca="false">IF(ROUND($G791,2)&gt;0,ROUND($G791,2),"")</f>
        <v>68.83</v>
      </c>
      <c r="I791" s="49" t="str">
        <f aca="false">IF(ROUND($G791,2)&lt;0,-ROUND($G791,2),"")</f>
        <v/>
      </c>
      <c r="J791" s="20" t="n">
        <f aca="false">IF(ROUND($G791,2)=0,0,1)</f>
        <v>1</v>
      </c>
      <c r="K791" s="20" t="n">
        <f aca="false">IF($J791=0,"",SUM($J$772:$J791))</f>
        <v>5</v>
      </c>
      <c r="L791" s="20" t="n">
        <f aca="false">IF($K791="","",$A791*100+$K791)</f>
        <v>3605</v>
      </c>
      <c r="M791" s="48" t="str">
        <f aca="false">参数!$B$3</f>
        <v>7月收入</v>
      </c>
    </row>
    <row r="792" customFormat="false" ht="13.5" hidden="false" customHeight="false" outlineLevel="0" collapsed="false">
      <c r="A792" s="47" t="n">
        <v>36</v>
      </c>
      <c r="B792" s="38" t="n">
        <f aca="false">助手收入!$B37</f>
        <v>2055</v>
      </c>
      <c r="C792" s="48" t="str">
        <f aca="false">助手收入!$C37</f>
        <v>博魏店</v>
      </c>
      <c r="D792" s="48" t="str">
        <f aca="false">科目对照收入!$B22&amp;""</f>
        <v>主营业务收入</v>
      </c>
      <c r="E792" s="48" t="str">
        <f aca="false">IF(AND(ROUND($G792,2)&lt;0,科目对照收入!$L22&lt;&gt;""),科目对照收入!$L22,科目对照收入!$C22)&amp;""</f>
        <v>主营业务收入</v>
      </c>
      <c r="F792" s="48" t="str">
        <f aca="false">IF(AND(ROUND($G792,2)&lt;0,科目对照收入!$L22&lt;&gt;""),科目对照收入!$M22,科目对照收入!$D22)&amp;""</f>
        <v/>
      </c>
      <c r="G792" s="49" t="n">
        <f aca="false">-ROUND(助手收入!$G37,2)</f>
        <v>-35712.45</v>
      </c>
      <c r="H792" s="49" t="str">
        <f aca="false">IF(ROUND($G792,2)&gt;0,ROUND($G792,2),"")</f>
        <v/>
      </c>
      <c r="I792" s="49" t="n">
        <f aca="false">IF(ROUND($G792,2)&lt;0,-ROUND($G792,2),"")</f>
        <v>35712.45</v>
      </c>
      <c r="J792" s="20" t="n">
        <f aca="false">IF(ROUND($G792,2)=0,0,1)</f>
        <v>1</v>
      </c>
      <c r="K792" s="20" t="n">
        <f aca="false">IF($J792=0,"",SUM($J$772:$J792))</f>
        <v>6</v>
      </c>
      <c r="L792" s="20" t="n">
        <f aca="false">IF($K792="","",$A792*100+$K792)</f>
        <v>3606</v>
      </c>
      <c r="M792" s="48" t="str">
        <f aca="false">参数!$B$3</f>
        <v>7月收入</v>
      </c>
    </row>
    <row r="793" customFormat="false" ht="13.5" hidden="false" customHeight="false" outlineLevel="0" collapsed="false">
      <c r="A793" s="47" t="n">
        <v>36</v>
      </c>
      <c r="B793" s="38" t="n">
        <f aca="false">助手收入!$B37</f>
        <v>2055</v>
      </c>
      <c r="C793" s="48" t="str">
        <f aca="false">助手收入!$C37</f>
        <v>博魏店</v>
      </c>
      <c r="D793" s="48" t="str">
        <f aca="false">科目对照收入!$B23&amp;""</f>
        <v>营业外收入</v>
      </c>
      <c r="E793" s="48" t="str">
        <f aca="false">IF(AND(ROUND($G793,2)&lt;0,科目对照收入!$L23&lt;&gt;""),科目对照收入!$L23,科目对照收入!$C23)&amp;""</f>
        <v>营业外收入</v>
      </c>
      <c r="F793" s="48" t="str">
        <f aca="false">IF(AND(ROUND($G793,2)&lt;0,科目对照收入!$L23&lt;&gt;""),科目对照收入!$M23,科目对照收入!$D23)&amp;""</f>
        <v/>
      </c>
      <c r="G793" s="49" t="n">
        <f aca="false">-ROUND(助手收入!$J37,2)</f>
        <v>-0</v>
      </c>
      <c r="H793" s="49" t="str">
        <f aca="false">IF(ROUND($G793,2)&gt;0,ROUND($G793,2),"")</f>
        <v/>
      </c>
      <c r="I793" s="49" t="str">
        <f aca="false">IF(ROUND($G793,2)&lt;0,-ROUND($G793,2),"")</f>
        <v/>
      </c>
      <c r="J793" s="20" t="n">
        <f aca="false">IF(ROUND($G793,2)=0,0,1)</f>
        <v>0</v>
      </c>
      <c r="K793" s="20" t="str">
        <f aca="false">IF($J793=0,"",SUM($J$772:$J793))</f>
        <v/>
      </c>
      <c r="L793" s="20" t="str">
        <f aca="false">IF($K793="","",$A793*100+$K793)</f>
        <v/>
      </c>
      <c r="M793" s="48" t="str">
        <f aca="false">参数!$B$3</f>
        <v>7月收入</v>
      </c>
    </row>
    <row r="794" customFormat="false" ht="13.5" hidden="false" customHeight="false" outlineLevel="0" collapsed="false">
      <c r="A794" s="47" t="n">
        <v>37</v>
      </c>
      <c r="B794" s="38" t="n">
        <f aca="false">助手收入!$B38</f>
        <v>2057</v>
      </c>
      <c r="C794" s="48" t="str">
        <f aca="false">助手收入!$C38</f>
        <v>博城店</v>
      </c>
      <c r="D794" s="48" t="str">
        <f aca="false">科目对照收入!$B2&amp;""</f>
        <v>库存现金</v>
      </c>
      <c r="E794" s="48" t="str">
        <f aca="false">IF(AND(ROUND($G794,2)&lt;0,科目对照收入!$L2&lt;&gt;""),科目对照收入!$L2,科目对照收入!$C2)&amp;""</f>
        <v>库存现金</v>
      </c>
      <c r="F794" s="48" t="str">
        <f aca="false">IF(AND(ROUND($G794,2)&lt;0,科目对照收入!$L2&lt;&gt;""),科目对照收入!$M2,科目对照收入!$D2)&amp;""</f>
        <v/>
      </c>
      <c r="G794" s="49" t="n">
        <f aca="false">助手收入!$I38</f>
        <v>35773.47</v>
      </c>
      <c r="H794" s="49" t="n">
        <f aca="false">IF(ROUND($G794,2)&gt;0,ROUND($G794,2),"")</f>
        <v>35773.47</v>
      </c>
      <c r="I794" s="49" t="str">
        <f aca="false">IF(ROUND($G794,2)&lt;0,-ROUND($G794,2),"")</f>
        <v/>
      </c>
      <c r="J794" s="20" t="n">
        <f aca="false">IF(ROUND($G794,2)=0,0,1)</f>
        <v>1</v>
      </c>
      <c r="K794" s="20" t="n">
        <f aca="false">IF($J794=0,"",SUM($J$794:$J794))</f>
        <v>1</v>
      </c>
      <c r="L794" s="20" t="n">
        <f aca="false">IF($K794="","",$A794*100+$K794)</f>
        <v>3701</v>
      </c>
      <c r="M794" s="48" t="str">
        <f aca="false">参数!$B$3</f>
        <v>7月收入</v>
      </c>
    </row>
    <row r="795" customFormat="false" ht="13.5" hidden="false" customHeight="false" outlineLevel="0" collapsed="false">
      <c r="A795" s="47" t="n">
        <v>37</v>
      </c>
      <c r="B795" s="38" t="n">
        <f aca="false">助手收入!$B38</f>
        <v>2057</v>
      </c>
      <c r="C795" s="48" t="str">
        <f aca="false">助手收入!$C38</f>
        <v>博城店</v>
      </c>
      <c r="D795" s="48" t="str">
        <f aca="false">科目对照收入!$B3&amp;""</f>
        <v>聚合支付</v>
      </c>
      <c r="E795" s="48" t="str">
        <f aca="false">IF(AND(ROUND($G795,2)&lt;0,科目对照收入!$L3&lt;&gt;""),科目对照收入!$L3,科目对照收入!$C3)&amp;""</f>
        <v>应收账款</v>
      </c>
      <c r="F795" s="48" t="str">
        <f aca="false">IF(AND(ROUND($G795,2)&lt;0,科目对照收入!$L3&lt;&gt;""),科目对照收入!$M3,科目对照收入!$D3)&amp;""</f>
        <v>聚合支付</v>
      </c>
      <c r="G795" s="49" t="n">
        <f aca="false">ROUND(SUMIFS(输入聚合!$C:$C,输入聚合!$A:$A,助手收入!$X38)-SUMIFS(输入聚合!$D:$D,输入聚合!$A:$A,助手收入!$X38),2)</f>
        <v>15104.96</v>
      </c>
      <c r="H795" s="49" t="n">
        <f aca="false">IF(ROUND($G795,2)&gt;0,ROUND($G795,2),"")</f>
        <v>15104.96</v>
      </c>
      <c r="I795" s="49" t="str">
        <f aca="false">IF(ROUND($G795,2)&lt;0,-ROUND($G795,2),"")</f>
        <v/>
      </c>
      <c r="J795" s="20" t="n">
        <f aca="false">IF(ROUND($G795,2)=0,0,1)</f>
        <v>1</v>
      </c>
      <c r="K795" s="20" t="n">
        <f aca="false">IF($J795=0,"",SUM($J$794:$J795))</f>
        <v>2</v>
      </c>
      <c r="L795" s="20" t="n">
        <f aca="false">IF($K795="","",$A795*100+$K795)</f>
        <v>3702</v>
      </c>
      <c r="M795" s="48" t="str">
        <f aca="false">参数!$B$3</f>
        <v>7月收入</v>
      </c>
    </row>
    <row r="796" customFormat="false" ht="13.5" hidden="false" customHeight="false" outlineLevel="0" collapsed="false">
      <c r="A796" s="47" t="n">
        <v>37</v>
      </c>
      <c r="B796" s="38" t="n">
        <f aca="false">助手收入!$B38</f>
        <v>2057</v>
      </c>
      <c r="C796" s="48" t="str">
        <f aca="false">助手收入!$C38</f>
        <v>博城店</v>
      </c>
      <c r="D796" s="48" t="str">
        <f aca="false">科目对照收入!$B4&amp;""</f>
        <v>医保</v>
      </c>
      <c r="E796" s="48" t="str">
        <f aca="false">IF(AND(ROUND($G796,2)&lt;0,科目对照收入!$L4&lt;&gt;""),科目对照收入!$L4,科目对照收入!$C4)&amp;""</f>
        <v>应收账款</v>
      </c>
      <c r="F796" s="48" t="str">
        <f aca="false">IF(AND(ROUND($G796,2)&lt;0,科目对照收入!$L4&lt;&gt;""),科目对照收入!$M4,科目对照收入!$D4)&amp;""</f>
        <v>医保</v>
      </c>
      <c r="G796" s="49" t="n">
        <f aca="false">IF(COUNTIFS(输入平台!$A:$A,助手收入!$X38,输入平台!$B:$B,科目对照收入!$B4)&gt;0,ROUND(SUMIFS(输入平台!$C:$C,输入平台!$A:$A,助手收入!$X38,输入平台!$B:$B,科目对照收入!$B4),2),ROUND(海典汇总!$F$39+海典汇总!$G$39,2))</f>
        <v>0</v>
      </c>
      <c r="H796" s="49" t="str">
        <f aca="false">IF(ROUND($G796,2)&gt;0,ROUND($G796,2),"")</f>
        <v/>
      </c>
      <c r="I796" s="49" t="str">
        <f aca="false">IF(ROUND($G796,2)&lt;0,-ROUND($G796,2),"")</f>
        <v/>
      </c>
      <c r="J796" s="20" t="n">
        <f aca="false">IF(ROUND($G796,2)=0,0,1)</f>
        <v>0</v>
      </c>
      <c r="K796" s="20" t="str">
        <f aca="false">IF($J796=0,"",SUM($J$794:$J796))</f>
        <v/>
      </c>
      <c r="L796" s="20" t="str">
        <f aca="false">IF($K796="","",$A796*100+$K796)</f>
        <v/>
      </c>
      <c r="M796" s="48" t="str">
        <f aca="false">参数!$B$3</f>
        <v>7月收入</v>
      </c>
    </row>
    <row r="797" customFormat="false" ht="13.5" hidden="false" customHeight="false" outlineLevel="0" collapsed="false">
      <c r="A797" s="47" t="n">
        <v>37</v>
      </c>
      <c r="B797" s="38" t="n">
        <f aca="false">助手收入!$B38</f>
        <v>2057</v>
      </c>
      <c r="C797" s="48" t="str">
        <f aca="false">助手收入!$C38</f>
        <v>博城店</v>
      </c>
      <c r="D797" s="48" t="str">
        <f aca="false">科目对照收入!$B5&amp;""</f>
        <v>健e卡</v>
      </c>
      <c r="E797" s="48" t="str">
        <f aca="false">IF(AND(ROUND($G797,2)&lt;0,科目对照收入!$L5&lt;&gt;""),科目对照收入!$L5,科目对照收入!$C5)&amp;""</f>
        <v>应收账款</v>
      </c>
      <c r="F797" s="48" t="str">
        <f aca="false">IF(AND(ROUND($G797,2)&lt;0,科目对照收入!$L5&lt;&gt;""),科目对照收入!$M5,科目对照收入!$D5)&amp;""</f>
        <v>健e卡</v>
      </c>
      <c r="G797" s="49" t="n">
        <f aca="false">IF(COUNTIFS(输入平台!$A:$A,助手收入!$X38,输入平台!$B:$B,科目对照收入!$B5)&gt;0,ROUND(SUMIFS(输入平台!$C:$C,输入平台!$A:$A,助手收入!$X38,输入平台!$B:$B,科目对照收入!$B5),2),ROUND(海典汇总!$H$39,2))</f>
        <v>0</v>
      </c>
      <c r="H797" s="49" t="str">
        <f aca="false">IF(ROUND($G797,2)&gt;0,ROUND($G797,2),"")</f>
        <v/>
      </c>
      <c r="I797" s="49" t="str">
        <f aca="false">IF(ROUND($G797,2)&lt;0,-ROUND($G797,2),"")</f>
        <v/>
      </c>
      <c r="J797" s="20" t="n">
        <f aca="false">IF(ROUND($G797,2)=0,0,1)</f>
        <v>0</v>
      </c>
      <c r="K797" s="20" t="str">
        <f aca="false">IF($J797=0,"",SUM($J$794:$J797))</f>
        <v/>
      </c>
      <c r="L797" s="20" t="str">
        <f aca="false">IF($K797="","",$A797*100+$K797)</f>
        <v/>
      </c>
      <c r="M797" s="48" t="str">
        <f aca="false">参数!$B$3</f>
        <v>7月收入</v>
      </c>
    </row>
    <row r="798" customFormat="false" ht="13.5" hidden="false" customHeight="false" outlineLevel="0" collapsed="false">
      <c r="A798" s="47" t="n">
        <v>37</v>
      </c>
      <c r="B798" s="38" t="n">
        <f aca="false">助手收入!$B38</f>
        <v>2057</v>
      </c>
      <c r="C798" s="48" t="str">
        <f aca="false">助手收入!$C38</f>
        <v>博城店</v>
      </c>
      <c r="D798" s="48" t="str">
        <f aca="false">科目对照收入!$B6&amp;""</f>
        <v>医卡通</v>
      </c>
      <c r="E798" s="48" t="str">
        <f aca="false">IF(AND(ROUND($G798,2)&lt;0,科目对照收入!$L6&lt;&gt;""),科目对照收入!$L6,科目对照收入!$C6)&amp;""</f>
        <v>应收账款</v>
      </c>
      <c r="F798" s="48" t="str">
        <f aca="false">IF(AND(ROUND($G798,2)&lt;0,科目对照收入!$L6&lt;&gt;""),科目对照收入!$M6,科目对照收入!$D6)&amp;""</f>
        <v>医卡通</v>
      </c>
      <c r="G798" s="49" t="n">
        <f aca="false">IF(COUNTIFS(输入平台!$A:$A,助手收入!$X38,输入平台!$B:$B,科目对照收入!$B6)&gt;0,ROUND(SUMIFS(输入平台!$C:$C,输入平台!$A:$A,助手收入!$X38,输入平台!$B:$B,科目对照收入!$B6),2),ROUND(海典汇总!$I$39,2))</f>
        <v>0</v>
      </c>
      <c r="H798" s="49" t="str">
        <f aca="false">IF(ROUND($G798,2)&gt;0,ROUND($G798,2),"")</f>
        <v/>
      </c>
      <c r="I798" s="49" t="str">
        <f aca="false">IF(ROUND($G798,2)&lt;0,-ROUND($G798,2),"")</f>
        <v/>
      </c>
      <c r="J798" s="20" t="n">
        <f aca="false">IF(ROUND($G798,2)=0,0,1)</f>
        <v>0</v>
      </c>
      <c r="K798" s="20" t="str">
        <f aca="false">IF($J798=0,"",SUM($J$794:$J798))</f>
        <v/>
      </c>
      <c r="L798" s="20" t="str">
        <f aca="false">IF($K798="","",$A798*100+$K798)</f>
        <v/>
      </c>
      <c r="M798" s="48" t="str">
        <f aca="false">参数!$B$3</f>
        <v>7月收入</v>
      </c>
    </row>
    <row r="799" customFormat="false" ht="13.5" hidden="false" customHeight="false" outlineLevel="0" collapsed="false">
      <c r="A799" s="47" t="n">
        <v>37</v>
      </c>
      <c r="B799" s="38" t="n">
        <f aca="false">助手收入!$B38</f>
        <v>2057</v>
      </c>
      <c r="C799" s="48" t="str">
        <f aca="false">助手收入!$C38</f>
        <v>博城店</v>
      </c>
      <c r="D799" s="48" t="str">
        <f aca="false">科目对照收入!$B7&amp;""</f>
        <v>企健网</v>
      </c>
      <c r="E799" s="48" t="str">
        <f aca="false">IF(AND(ROUND($G799,2)&lt;0,科目对照收入!$L7&lt;&gt;""),科目对照收入!$L7,科目对照收入!$C7)&amp;""</f>
        <v>应收账款</v>
      </c>
      <c r="F799" s="48" t="str">
        <f aca="false">IF(AND(ROUND($G799,2)&lt;0,科目对照收入!$L7&lt;&gt;""),科目对照收入!$M7,科目对照收入!$D7)&amp;""</f>
        <v>企健网</v>
      </c>
      <c r="G799" s="49" t="n">
        <f aca="false">IF(COUNTIFS(输入平台!$A:$A,助手收入!$X38,输入平台!$B:$B,科目对照收入!$B7)&gt;0,ROUND(SUMIFS(输入平台!$C:$C,输入平台!$A:$A,助手收入!$X38,输入平台!$B:$B,科目对照收入!$B7),2),ROUND(海典汇总!$J$39,2))</f>
        <v>0</v>
      </c>
      <c r="H799" s="49" t="str">
        <f aca="false">IF(ROUND($G799,2)&gt;0,ROUND($G799,2),"")</f>
        <v/>
      </c>
      <c r="I799" s="49" t="str">
        <f aca="false">IF(ROUND($G799,2)&lt;0,-ROUND($G799,2),"")</f>
        <v/>
      </c>
      <c r="J799" s="20" t="n">
        <f aca="false">IF(ROUND($G799,2)=0,0,1)</f>
        <v>0</v>
      </c>
      <c r="K799" s="20" t="str">
        <f aca="false">IF($J799=0,"",SUM($J$794:$J799))</f>
        <v/>
      </c>
      <c r="L799" s="20" t="str">
        <f aca="false">IF($K799="","",$A799*100+$K799)</f>
        <v/>
      </c>
      <c r="M799" s="48" t="str">
        <f aca="false">参数!$B$3</f>
        <v>7月收入</v>
      </c>
    </row>
    <row r="800" customFormat="false" ht="13.5" hidden="false" customHeight="false" outlineLevel="0" collapsed="false">
      <c r="A800" s="47" t="n">
        <v>37</v>
      </c>
      <c r="B800" s="38" t="n">
        <f aca="false">助手收入!$B38</f>
        <v>2057</v>
      </c>
      <c r="C800" s="48" t="str">
        <f aca="false">助手收入!$C38</f>
        <v>博城店</v>
      </c>
      <c r="D800" s="48" t="str">
        <f aca="false">科目对照收入!$B8&amp;""</f>
        <v>亲情卡</v>
      </c>
      <c r="E800" s="48" t="str">
        <f aca="false">IF(AND(ROUND($G800,2)&lt;0,科目对照收入!$L8&lt;&gt;""),科目对照收入!$L8,科目对照收入!$C8)&amp;""</f>
        <v>应收账款</v>
      </c>
      <c r="F800" s="48" t="str">
        <f aca="false">IF(AND(ROUND($G800,2)&lt;0,科目对照收入!$L8&lt;&gt;""),科目对照收入!$M8,科目对照收入!$D8)&amp;""</f>
        <v>亲情卡</v>
      </c>
      <c r="G800" s="49" t="n">
        <f aca="false">IF(COUNTIFS(输入平台!$A:$A,助手收入!$X38,输入平台!$B:$B,科目对照收入!$B8)&gt;0,ROUND(SUMIFS(输入平台!$C:$C,输入平台!$A:$A,助手收入!$X38,输入平台!$B:$B,科目对照收入!$B8),2),ROUND(海典汇总!$Z$39,2))</f>
        <v>0</v>
      </c>
      <c r="H800" s="49" t="str">
        <f aca="false">IF(ROUND($G800,2)&gt;0,ROUND($G800,2),"")</f>
        <v/>
      </c>
      <c r="I800" s="49" t="str">
        <f aca="false">IF(ROUND($G800,2)&lt;0,-ROUND($G800,2),"")</f>
        <v/>
      </c>
      <c r="J800" s="20" t="n">
        <f aca="false">IF(ROUND($G800,2)=0,0,1)</f>
        <v>0</v>
      </c>
      <c r="K800" s="20" t="str">
        <f aca="false">IF($J800=0,"",SUM($J$794:$J800))</f>
        <v/>
      </c>
      <c r="L800" s="20" t="str">
        <f aca="false">IF($K800="","",$A800*100+$K800)</f>
        <v/>
      </c>
      <c r="M800" s="48" t="str">
        <f aca="false">参数!$B$3</f>
        <v>7月收入</v>
      </c>
    </row>
    <row r="801" customFormat="false" ht="13.5" hidden="false" customHeight="false" outlineLevel="0" collapsed="false">
      <c r="A801" s="47" t="n">
        <v>37</v>
      </c>
      <c r="B801" s="38" t="n">
        <f aca="false">助手收入!$B38</f>
        <v>2057</v>
      </c>
      <c r="C801" s="48" t="str">
        <f aca="false">助手收入!$C38</f>
        <v>博城店</v>
      </c>
      <c r="D801" s="48" t="str">
        <f aca="false">科目对照收入!$B9&amp;""</f>
        <v>24小时</v>
      </c>
      <c r="E801" s="48" t="str">
        <f aca="false">IF(AND(ROUND($G801,2)&lt;0,科目对照收入!$L9&lt;&gt;""),科目对照收入!$L9,科目对照收入!$C9)&amp;""</f>
        <v>应收账款</v>
      </c>
      <c r="F801" s="48" t="str">
        <f aca="false">IF(AND(ROUND($G801,2)&lt;0,科目对照收入!$L9&lt;&gt;""),科目对照收入!$M9,科目对照收入!$D9)&amp;""</f>
        <v>24小时</v>
      </c>
      <c r="G801" s="49" t="n">
        <f aca="false">IF(COUNTIFS(输入平台!$A:$A,助手收入!$X38,输入平台!$B:$B,科目对照收入!$B9)&gt;0,ROUND(SUMIFS(输入平台!$C:$C,输入平台!$A:$A,助手收入!$X38,输入平台!$B:$B,科目对照收入!$B9),2),ROUND(海典汇总!$K$39,2))</f>
        <v>0</v>
      </c>
      <c r="H801" s="49" t="str">
        <f aca="false">IF(ROUND($G801,2)&gt;0,ROUND($G801,2),"")</f>
        <v/>
      </c>
      <c r="I801" s="49" t="str">
        <f aca="false">IF(ROUND($G801,2)&lt;0,-ROUND($G801,2),"")</f>
        <v/>
      </c>
      <c r="J801" s="20" t="n">
        <f aca="false">IF(ROUND($G801,2)=0,0,1)</f>
        <v>0</v>
      </c>
      <c r="K801" s="20" t="str">
        <f aca="false">IF($J801=0,"",SUM($J$794:$J801))</f>
        <v/>
      </c>
      <c r="L801" s="20" t="str">
        <f aca="false">IF($K801="","",$A801*100+$K801)</f>
        <v/>
      </c>
      <c r="M801" s="48" t="str">
        <f aca="false">参数!$B$3</f>
        <v>7月收入</v>
      </c>
    </row>
    <row r="802" customFormat="false" ht="13.5" hidden="false" customHeight="false" outlineLevel="0" collapsed="false">
      <c r="A802" s="47" t="n">
        <v>37</v>
      </c>
      <c r="B802" s="38" t="n">
        <f aca="false">助手收入!$B38</f>
        <v>2057</v>
      </c>
      <c r="C802" s="48" t="str">
        <f aca="false">助手收入!$C38</f>
        <v>博城店</v>
      </c>
      <c r="D802" s="48" t="str">
        <f aca="false">科目对照收入!$B10&amp;""</f>
        <v>美团</v>
      </c>
      <c r="E802" s="48" t="str">
        <f aca="false">IF(AND(ROUND($G802,2)&lt;0,科目对照收入!$L10&lt;&gt;""),科目对照收入!$L10,科目对照收入!$C10)&amp;""</f>
        <v>应收账款</v>
      </c>
      <c r="F802" s="48" t="str">
        <f aca="false">IF(AND(ROUND($G802,2)&lt;0,科目对照收入!$L10&lt;&gt;""),科目对照收入!$M10,科目对照收入!$D10)&amp;""</f>
        <v>美团</v>
      </c>
      <c r="G802" s="49" t="n">
        <f aca="false">IF(COUNTIFS(输入平台!$A:$A,助手收入!$X38,输入平台!$B:$B,科目对照收入!$B10)&gt;0,ROUND(SUMIFS(输入平台!$C:$C,输入平台!$A:$A,助手收入!$X38,输入平台!$B:$B,科目对照收入!$B10),2),ROUND(海典汇总!$M$39,2))</f>
        <v>0</v>
      </c>
      <c r="H802" s="49" t="str">
        <f aca="false">IF(ROUND($G802,2)&gt;0,ROUND($G802,2),"")</f>
        <v/>
      </c>
      <c r="I802" s="49" t="str">
        <f aca="false">IF(ROUND($G802,2)&lt;0,-ROUND($G802,2),"")</f>
        <v/>
      </c>
      <c r="J802" s="20" t="n">
        <f aca="false">IF(ROUND($G802,2)=0,0,1)</f>
        <v>0</v>
      </c>
      <c r="K802" s="20" t="str">
        <f aca="false">IF($J802=0,"",SUM($J$794:$J802))</f>
        <v/>
      </c>
      <c r="L802" s="20" t="str">
        <f aca="false">IF($K802="","",$A802*100+$K802)</f>
        <v/>
      </c>
      <c r="M802" s="48" t="str">
        <f aca="false">参数!$B$3</f>
        <v>7月收入</v>
      </c>
    </row>
    <row r="803" customFormat="false" ht="13.5" hidden="false" customHeight="false" outlineLevel="0" collapsed="false">
      <c r="A803" s="47" t="n">
        <v>37</v>
      </c>
      <c r="B803" s="38" t="n">
        <f aca="false">助手收入!$B38</f>
        <v>2057</v>
      </c>
      <c r="C803" s="48" t="str">
        <f aca="false">助手收入!$C38</f>
        <v>博城店</v>
      </c>
      <c r="D803" s="48" t="str">
        <f aca="false">科目对照收入!$B11&amp;""</f>
        <v>饿了么</v>
      </c>
      <c r="E803" s="48" t="str">
        <f aca="false">IF(AND(ROUND($G803,2)&lt;0,科目对照收入!$L11&lt;&gt;""),科目对照收入!$L11,科目对照收入!$C11)&amp;""</f>
        <v>应收账款</v>
      </c>
      <c r="F803" s="48" t="str">
        <f aca="false">IF(AND(ROUND($G803,2)&lt;0,科目对照收入!$L11&lt;&gt;""),科目对照收入!$M11,科目对照收入!$D11)&amp;""</f>
        <v>饿了么</v>
      </c>
      <c r="G803" s="49" t="n">
        <f aca="false">IF(COUNTIFS(输入平台!$A:$A,助手收入!$X38,输入平台!$B:$B,科目对照收入!$B11)&gt;0,ROUND(SUMIFS(输入平台!$C:$C,输入平台!$A:$A,助手收入!$X38,输入平台!$B:$B,科目对照收入!$B11),2),ROUND(海典汇总!$N$39,2))</f>
        <v>0</v>
      </c>
      <c r="H803" s="49" t="str">
        <f aca="false">IF(ROUND($G803,2)&gt;0,ROUND($G803,2),"")</f>
        <v/>
      </c>
      <c r="I803" s="49" t="str">
        <f aca="false">IF(ROUND($G803,2)&lt;0,-ROUND($G803,2),"")</f>
        <v/>
      </c>
      <c r="J803" s="20" t="n">
        <f aca="false">IF(ROUND($G803,2)=0,0,1)</f>
        <v>0</v>
      </c>
      <c r="K803" s="20" t="str">
        <f aca="false">IF($J803=0,"",SUM($J$794:$J803))</f>
        <v/>
      </c>
      <c r="L803" s="20" t="str">
        <f aca="false">IF($K803="","",$A803*100+$K803)</f>
        <v/>
      </c>
      <c r="M803" s="48" t="str">
        <f aca="false">参数!$B$3</f>
        <v>7月收入</v>
      </c>
    </row>
    <row r="804" customFormat="false" ht="13.5" hidden="false" customHeight="false" outlineLevel="0" collapsed="false">
      <c r="A804" s="47" t="n">
        <v>37</v>
      </c>
      <c r="B804" s="38" t="n">
        <f aca="false">助手收入!$B38</f>
        <v>2057</v>
      </c>
      <c r="C804" s="48" t="str">
        <f aca="false">助手收入!$C38</f>
        <v>博城店</v>
      </c>
      <c r="D804" s="48" t="str">
        <f aca="false">科目对照收入!$B12&amp;""</f>
        <v>京东秒送</v>
      </c>
      <c r="E804" s="48" t="str">
        <f aca="false">IF(AND(ROUND($G804,2)&lt;0,科目对照收入!$L12&lt;&gt;""),科目对照收入!$L12,科目对照收入!$C12)&amp;""</f>
        <v>应收账款</v>
      </c>
      <c r="F804" s="48" t="str">
        <f aca="false">IF(AND(ROUND($G804,2)&lt;0,科目对照收入!$L12&lt;&gt;""),科目对照收入!$M12,科目对照收入!$D12)&amp;""</f>
        <v>京东秒送</v>
      </c>
      <c r="G804" s="49" t="n">
        <f aca="false">IF(COUNTIFS(输入平台!$A:$A,助手收入!$X38,输入平台!$B:$B,科目对照收入!$B12)&gt;0,ROUND(SUMIFS(输入平台!$C:$C,输入平台!$A:$A,助手收入!$X38,输入平台!$B:$B,科目对照收入!$B12),2),ROUND(海典汇总!$O$39,2))</f>
        <v>0</v>
      </c>
      <c r="H804" s="49" t="str">
        <f aca="false">IF(ROUND($G804,2)&gt;0,ROUND($G804,2),"")</f>
        <v/>
      </c>
      <c r="I804" s="49" t="str">
        <f aca="false">IF(ROUND($G804,2)&lt;0,-ROUND($G804,2),"")</f>
        <v/>
      </c>
      <c r="J804" s="20" t="n">
        <f aca="false">IF(ROUND($G804,2)=0,0,1)</f>
        <v>0</v>
      </c>
      <c r="K804" s="20" t="str">
        <f aca="false">IF($J804=0,"",SUM($J$794:$J804))</f>
        <v/>
      </c>
      <c r="L804" s="20" t="str">
        <f aca="false">IF($K804="","",$A804*100+$K804)</f>
        <v/>
      </c>
      <c r="M804" s="48" t="str">
        <f aca="false">参数!$B$3</f>
        <v>7月收入</v>
      </c>
    </row>
    <row r="805" customFormat="false" ht="13.5" hidden="false" customHeight="false" outlineLevel="0" collapsed="false">
      <c r="A805" s="47" t="n">
        <v>37</v>
      </c>
      <c r="B805" s="38" t="n">
        <f aca="false">助手收入!$B38</f>
        <v>2057</v>
      </c>
      <c r="C805" s="48" t="str">
        <f aca="false">助手收入!$C38</f>
        <v>博城店</v>
      </c>
      <c r="D805" s="48" t="str">
        <f aca="false">科目对照收入!$B13&amp;""</f>
        <v>银联</v>
      </c>
      <c r="E805" s="48" t="str">
        <f aca="false">IF(AND(ROUND($G805,2)&lt;0,科目对照收入!$L13&lt;&gt;""),科目对照收入!$L13,科目对照收入!$C13)&amp;""</f>
        <v>应收账款</v>
      </c>
      <c r="F805" s="48" t="str">
        <f aca="false">IF(AND(ROUND($G805,2)&lt;0,科目对照收入!$L13&lt;&gt;""),科目对照收入!$M13,科目对照收入!$D13)&amp;""</f>
        <v>银联</v>
      </c>
      <c r="G805" s="49" t="n">
        <f aca="false">IF(COUNTIFS(输入平台!$A:$A,助手收入!$X38,输入平台!$B:$B,科目对照收入!$B13)&gt;0,ROUND(SUMIFS(输入平台!$C:$C,输入平台!$A:$A,助手收入!$X38,输入平台!$B:$B,科目对照收入!$B13),2),ROUND(海典汇总!$V$39,2))</f>
        <v>0</v>
      </c>
      <c r="H805" s="49" t="str">
        <f aca="false">IF(ROUND($G805,2)&gt;0,ROUND($G805,2),"")</f>
        <v/>
      </c>
      <c r="I805" s="49" t="str">
        <f aca="false">IF(ROUND($G805,2)&lt;0,-ROUND($G805,2),"")</f>
        <v/>
      </c>
      <c r="J805" s="20" t="n">
        <f aca="false">IF(ROUND($G805,2)=0,0,1)</f>
        <v>0</v>
      </c>
      <c r="K805" s="20" t="str">
        <f aca="false">IF($J805=0,"",SUM($J$794:$J805))</f>
        <v/>
      </c>
      <c r="L805" s="20" t="str">
        <f aca="false">IF($K805="","",$A805*100+$K805)</f>
        <v/>
      </c>
      <c r="M805" s="48" t="str">
        <f aca="false">参数!$B$3</f>
        <v>7月收入</v>
      </c>
    </row>
    <row r="806" customFormat="false" ht="13.5" hidden="false" customHeight="false" outlineLevel="0" collapsed="false">
      <c r="A806" s="47" t="n">
        <v>37</v>
      </c>
      <c r="B806" s="38" t="n">
        <f aca="false">助手收入!$B38</f>
        <v>2057</v>
      </c>
      <c r="C806" s="48" t="str">
        <f aca="false">助手收入!$C38</f>
        <v>博城店</v>
      </c>
      <c r="D806" s="48" t="str">
        <f aca="false">科目对照收入!$B14&amp;""</f>
        <v>小镇外卖</v>
      </c>
      <c r="E806" s="48" t="str">
        <f aca="false">IF(AND(ROUND($G806,2)&lt;0,科目对照收入!$L14&lt;&gt;""),科目对照收入!$L14,科目对照收入!$C14)&amp;""</f>
        <v>应收账款</v>
      </c>
      <c r="F806" s="48" t="str">
        <f aca="false">IF(AND(ROUND($G806,2)&lt;0,科目对照收入!$L14&lt;&gt;""),科目对照收入!$M14,科目对照收入!$D14)&amp;""</f>
        <v>小镇外卖</v>
      </c>
      <c r="G806" s="49" t="n">
        <f aca="false">IF(COUNTIFS(输入平台!$A:$A,助手收入!$X38,输入平台!$B:$B,科目对照收入!$B14)&gt;0,ROUND(SUMIFS(输入平台!$C:$C,输入平台!$A:$A,助手收入!$X38,输入平台!$B:$B,科目对照收入!$B14),2),ROUND(海典汇总!$AC$39,2))</f>
        <v>0</v>
      </c>
      <c r="H806" s="49" t="str">
        <f aca="false">IF(ROUND($G806,2)&gt;0,ROUND($G806,2),"")</f>
        <v/>
      </c>
      <c r="I806" s="49" t="str">
        <f aca="false">IF(ROUND($G806,2)&lt;0,-ROUND($G806,2),"")</f>
        <v/>
      </c>
      <c r="J806" s="20" t="n">
        <f aca="false">IF(ROUND($G806,2)=0,0,1)</f>
        <v>0</v>
      </c>
      <c r="K806" s="20" t="str">
        <f aca="false">IF($J806=0,"",SUM($J$794:$J806))</f>
        <v/>
      </c>
      <c r="L806" s="20" t="str">
        <f aca="false">IF($K806="","",$A806*100+$K806)</f>
        <v/>
      </c>
      <c r="M806" s="48" t="str">
        <f aca="false">参数!$B$3</f>
        <v>7月收入</v>
      </c>
    </row>
    <row r="807" customFormat="false" ht="13.5" hidden="false" customHeight="false" outlineLevel="0" collapsed="false">
      <c r="A807" s="47" t="n">
        <v>37</v>
      </c>
      <c r="B807" s="38" t="n">
        <f aca="false">助手收入!$B38</f>
        <v>2057</v>
      </c>
      <c r="C807" s="48" t="str">
        <f aca="false">助手收入!$C38</f>
        <v>博城店</v>
      </c>
      <c r="D807" s="48" t="str">
        <f aca="false">科目对照收入!$B15&amp;""</f>
        <v>OMS线上支付</v>
      </c>
      <c r="E807" s="48" t="str">
        <f aca="false">IF(AND(ROUND($G807,2)&lt;0,科目对照收入!$L15&lt;&gt;""),科目对照收入!$L15,科目对照收入!$C15)&amp;""</f>
        <v>应收账款</v>
      </c>
      <c r="F807" s="48" t="str">
        <f aca="false">IF(AND(ROUND($G807,2)&lt;0,科目对照收入!$L15&lt;&gt;""),科目对照收入!$M15,科目对照收入!$D15)&amp;""</f>
        <v>OMS线上</v>
      </c>
      <c r="G807" s="49" t="n">
        <f aca="false">IF(COUNTIFS(输入平台!$A:$A,助手收入!$X38,输入平台!$B:$B,科目对照收入!$B15)&gt;0,ROUND(SUMIFS(输入平台!$C:$C,输入平台!$A:$A,助手收入!$X38,输入平台!$B:$B,科目对照收入!$B15),2),ROUND(海典汇总!$L$39,2))</f>
        <v>0</v>
      </c>
      <c r="H807" s="49" t="str">
        <f aca="false">IF(ROUND($G807,2)&gt;0,ROUND($G807,2),"")</f>
        <v/>
      </c>
      <c r="I807" s="49" t="str">
        <f aca="false">IF(ROUND($G807,2)&lt;0,-ROUND($G807,2),"")</f>
        <v/>
      </c>
      <c r="J807" s="20" t="n">
        <f aca="false">IF(ROUND($G807,2)=0,0,1)</f>
        <v>0</v>
      </c>
      <c r="K807" s="20" t="str">
        <f aca="false">IF($J807=0,"",SUM($J$794:$J807))</f>
        <v/>
      </c>
      <c r="L807" s="20" t="str">
        <f aca="false">IF($K807="","",$A807*100+$K807)</f>
        <v/>
      </c>
      <c r="M807" s="48" t="str">
        <f aca="false">参数!$B$3</f>
        <v>7月收入</v>
      </c>
    </row>
    <row r="808" customFormat="false" ht="13.5" hidden="false" customHeight="false" outlineLevel="0" collapsed="false">
      <c r="A808" s="47" t="n">
        <v>37</v>
      </c>
      <c r="B808" s="38" t="n">
        <f aca="false">助手收入!$B38</f>
        <v>2057</v>
      </c>
      <c r="C808" s="48" t="str">
        <f aca="false">助手收入!$C38</f>
        <v>博城店</v>
      </c>
      <c r="D808" s="48" t="str">
        <f aca="false">科目对照收入!$B16&amp;""</f>
        <v>平安药卡</v>
      </c>
      <c r="E808" s="48" t="str">
        <f aca="false">IF(AND(ROUND($G808,2)&lt;0,科目对照收入!$L16&lt;&gt;""),科目对照收入!$L16,科目对照收入!$C16)&amp;""</f>
        <v>应收账款</v>
      </c>
      <c r="F808" s="48" t="str">
        <f aca="false">IF(AND(ROUND($G808,2)&lt;0,科目对照收入!$L16&lt;&gt;""),科目对照收入!$M16,科目对照收入!$D16)&amp;""</f>
        <v>平安</v>
      </c>
      <c r="G808" s="49" t="n">
        <f aca="false">IF(COUNTIFS(输入平台!$A:$A,助手收入!$X38,输入平台!$B:$B,科目对照收入!$B16)&gt;0,ROUND(SUMIFS(输入平台!$C:$C,输入平台!$A:$A,助手收入!$X38,输入平台!$B:$B,科目对照收入!$B16),2),ROUND(海典汇总!$AB$39,2))</f>
        <v>0</v>
      </c>
      <c r="H808" s="49" t="str">
        <f aca="false">IF(ROUND($G808,2)&gt;0,ROUND($G808,2),"")</f>
        <v/>
      </c>
      <c r="I808" s="49" t="str">
        <f aca="false">IF(ROUND($G808,2)&lt;0,-ROUND($G808,2),"")</f>
        <v/>
      </c>
      <c r="J808" s="20" t="n">
        <f aca="false">IF(ROUND($G808,2)=0,0,1)</f>
        <v>0</v>
      </c>
      <c r="K808" s="20" t="str">
        <f aca="false">IF($J808=0,"",SUM($J$794:$J808))</f>
        <v/>
      </c>
      <c r="L808" s="20" t="str">
        <f aca="false">IF($K808="","",$A808*100+$K808)</f>
        <v/>
      </c>
      <c r="M808" s="48" t="str">
        <f aca="false">参数!$B$3</f>
        <v>7月收入</v>
      </c>
    </row>
    <row r="809" customFormat="false" ht="13.5" hidden="false" customHeight="false" outlineLevel="0" collapsed="false">
      <c r="A809" s="47" t="n">
        <v>37</v>
      </c>
      <c r="B809" s="38" t="n">
        <f aca="false">助手收入!$B38</f>
        <v>2057</v>
      </c>
      <c r="C809" s="48" t="str">
        <f aca="false">助手收入!$C38</f>
        <v>博城店</v>
      </c>
      <c r="D809" s="48" t="str">
        <f aca="false">科目对照收入!$B17&amp;""</f>
        <v>储值卡</v>
      </c>
      <c r="E809" s="48" t="str">
        <f aca="false">IF(AND(ROUND($G809,2)&lt;0,科目对照收入!$L17&lt;&gt;""),科目对照收入!$L17,科目对照收入!$C17)&amp;""</f>
        <v>其他应收款</v>
      </c>
      <c r="F809" s="48" t="str">
        <f aca="false">IF(AND(ROUND($G809,2)&lt;0,科目对照收入!$L17&lt;&gt;""),科目对照收入!$M17,科目对照收入!$D17)&amp;""</f>
        <v>储值卡</v>
      </c>
      <c r="G809" s="49" t="n">
        <f aca="false">ROUND(海典汇总!$Q$39,2)</f>
        <v>0</v>
      </c>
      <c r="H809" s="49" t="str">
        <f aca="false">IF(ROUND($G809,2)&gt;0,ROUND($G809,2),"")</f>
        <v/>
      </c>
      <c r="I809" s="49" t="str">
        <f aca="false">IF(ROUND($G809,2)&lt;0,-ROUND($G809,2),"")</f>
        <v/>
      </c>
      <c r="J809" s="20" t="n">
        <f aca="false">IF(ROUND($G809,2)=0,0,1)</f>
        <v>0</v>
      </c>
      <c r="K809" s="20" t="str">
        <f aca="false">IF($J809=0,"",SUM($J$794:$J809))</f>
        <v/>
      </c>
      <c r="L809" s="20" t="str">
        <f aca="false">IF($K809="","",$A809*100+$K809)</f>
        <v/>
      </c>
      <c r="M809" s="48" t="str">
        <f aca="false">参数!$B$3</f>
        <v>7月收入</v>
      </c>
    </row>
    <row r="810" customFormat="false" ht="13.5" hidden="false" customHeight="false" outlineLevel="0" collapsed="false">
      <c r="A810" s="47" t="n">
        <v>37</v>
      </c>
      <c r="B810" s="38" t="n">
        <f aca="false">助手收入!$B38</f>
        <v>2057</v>
      </c>
      <c r="C810" s="48" t="str">
        <f aca="false">助手收入!$C38</f>
        <v>博城店</v>
      </c>
      <c r="D810" s="48" t="str">
        <f aca="false">科目对照收入!$B18&amp;""</f>
        <v>会员零钱包</v>
      </c>
      <c r="E810" s="48" t="str">
        <f aca="false">IF(AND(ROUND($G810,2)&lt;0,科目对照收入!$L18&lt;&gt;""),科目对照收入!$L18,科目对照收入!$C18)&amp;""</f>
        <v>其他应付款</v>
      </c>
      <c r="F810" s="48" t="str">
        <f aca="false">IF(AND(ROUND($G810,2)&lt;0,科目对照收入!$L18&lt;&gt;""),科目对照收入!$M18,科目对照收入!$D18)&amp;""</f>
        <v>会员零钱包</v>
      </c>
      <c r="G810" s="49" t="n">
        <f aca="false">ROUND(海典汇总!$P$39,2)</f>
        <v>-1</v>
      </c>
      <c r="H810" s="49" t="str">
        <f aca="false">IF(ROUND($G810,2)&gt;0,ROUND($G810,2),"")</f>
        <v/>
      </c>
      <c r="I810" s="49" t="n">
        <f aca="false">IF(ROUND($G810,2)&lt;0,-ROUND($G810,2),"")</f>
        <v>1</v>
      </c>
      <c r="J810" s="20" t="n">
        <f aca="false">IF(ROUND($G810,2)=0,0,1)</f>
        <v>1</v>
      </c>
      <c r="K810" s="20" t="n">
        <f aca="false">IF($J810=0,"",SUM($J$794:$J810))</f>
        <v>3</v>
      </c>
      <c r="L810" s="20" t="n">
        <f aca="false">IF($K810="","",$A810*100+$K810)</f>
        <v>3703</v>
      </c>
      <c r="M810" s="48" t="str">
        <f aca="false">参数!$B$3</f>
        <v>7月收入</v>
      </c>
    </row>
    <row r="811" customFormat="false" ht="13.5" hidden="false" customHeight="false" outlineLevel="0" collapsed="false">
      <c r="A811" s="47" t="n">
        <v>37</v>
      </c>
      <c r="B811" s="38" t="n">
        <f aca="false">助手收入!$B38</f>
        <v>2057</v>
      </c>
      <c r="C811" s="48" t="str">
        <f aca="false">助手收入!$C38</f>
        <v>博城店</v>
      </c>
      <c r="D811" s="48" t="str">
        <f aca="false">科目对照收入!$B19&amp;""</f>
        <v>促销费</v>
      </c>
      <c r="E811" s="48" t="str">
        <f aca="false">IF(AND(ROUND($G811,2)&lt;0,科目对照收入!$L19&lt;&gt;""),科目对照收入!$L19,科目对照收入!$C19)&amp;""</f>
        <v>销售费用</v>
      </c>
      <c r="F811" s="48" t="str">
        <f aca="false">IF(AND(ROUND($G811,2)&lt;0,科目对照收入!$L19&lt;&gt;""),科目对照收入!$M19,科目对照收入!$D19)&amp;""</f>
        <v>促销费</v>
      </c>
      <c r="G811" s="49" t="n">
        <f aca="false">ROUND(海典汇总!$U$39+海典汇总!$T$39+海典汇总!$S$39,2)</f>
        <v>907.44</v>
      </c>
      <c r="H811" s="49" t="n">
        <f aca="false">IF(ROUND($G811,2)&gt;0,ROUND($G811,2),"")</f>
        <v>907.44</v>
      </c>
      <c r="I811" s="49" t="str">
        <f aca="false">IF(ROUND($G811,2)&lt;0,-ROUND($G811,2),"")</f>
        <v/>
      </c>
      <c r="J811" s="20" t="n">
        <f aca="false">IF(ROUND($G811,2)=0,0,1)</f>
        <v>1</v>
      </c>
      <c r="K811" s="20" t="n">
        <f aca="false">IF($J811=0,"",SUM($J$794:$J811))</f>
        <v>4</v>
      </c>
      <c r="L811" s="20" t="n">
        <f aca="false">IF($K811="","",$A811*100+$K811)</f>
        <v>3704</v>
      </c>
      <c r="M811" s="48" t="str">
        <f aca="false">参数!$B$3</f>
        <v>7月收入</v>
      </c>
    </row>
    <row r="812" customFormat="false" ht="13.5" hidden="false" customHeight="false" outlineLevel="0" collapsed="false">
      <c r="A812" s="47" t="n">
        <v>37</v>
      </c>
      <c r="B812" s="38" t="n">
        <f aca="false">助手收入!$B38</f>
        <v>2057</v>
      </c>
      <c r="C812" s="48" t="str">
        <f aca="false">助手收入!$C38</f>
        <v>博城店</v>
      </c>
      <c r="D812" s="48" t="str">
        <f aca="false">科目对照收入!$B20&amp;""</f>
        <v>积分</v>
      </c>
      <c r="E812" s="48" t="str">
        <f aca="false">IF(AND(ROUND($G812,2)&lt;0,科目对照收入!$L20&lt;&gt;""),科目对照收入!$L20,科目对照收入!$C20)&amp;""</f>
        <v>销售费用</v>
      </c>
      <c r="F812" s="48" t="str">
        <f aca="false">IF(AND(ROUND($G812,2)&lt;0,科目对照收入!$L20&lt;&gt;""),科目对照收入!$M20,科目对照收入!$D20)&amp;""</f>
        <v>积分</v>
      </c>
      <c r="G812" s="49" t="n">
        <f aca="false">ROUND(海典汇总!$R$39,2)</f>
        <v>0</v>
      </c>
      <c r="H812" s="49" t="str">
        <f aca="false">IF(ROUND($G812,2)&gt;0,ROUND($G812,2),"")</f>
        <v/>
      </c>
      <c r="I812" s="49" t="str">
        <f aca="false">IF(ROUND($G812,2)&lt;0,-ROUND($G812,2),"")</f>
        <v/>
      </c>
      <c r="J812" s="20" t="n">
        <f aca="false">IF(ROUND($G812,2)=0,0,1)</f>
        <v>0</v>
      </c>
      <c r="K812" s="20" t="str">
        <f aca="false">IF($J812=0,"",SUM($J$794:$J812))</f>
        <v/>
      </c>
      <c r="L812" s="20" t="str">
        <f aca="false">IF($K812="","",$A812*100+$K812)</f>
        <v/>
      </c>
      <c r="M812" s="48" t="str">
        <f aca="false">参数!$B$3</f>
        <v>7月收入</v>
      </c>
    </row>
    <row r="813" customFormat="false" ht="13.5" hidden="false" customHeight="false" outlineLevel="0" collapsed="false">
      <c r="A813" s="47" t="n">
        <v>37</v>
      </c>
      <c r="B813" s="38" t="n">
        <f aca="false">助手收入!$B38</f>
        <v>2057</v>
      </c>
      <c r="C813" s="48" t="str">
        <f aca="false">助手收入!$C38</f>
        <v>博城店</v>
      </c>
      <c r="D813" s="48" t="str">
        <f aca="false">科目对照收入!$B21&amp;""</f>
        <v>手续费</v>
      </c>
      <c r="E813" s="48" t="str">
        <f aca="false">IF(AND(ROUND($G813,2)&lt;0,科目对照收入!$L21&lt;&gt;""),科目对照收入!$L21,科目对照收入!$C21)&amp;""</f>
        <v>财务费用</v>
      </c>
      <c r="F813" s="48" t="str">
        <f aca="false">IF(AND(ROUND($G813,2)&lt;0,科目对照收入!$L21&lt;&gt;""),科目对照收入!$M21,科目对照收入!$D21)&amp;""</f>
        <v>手续费</v>
      </c>
      <c r="G813" s="49" t="n">
        <f aca="false">ROUND(SUMIFS(输入聚合!$D:$D,输入聚合!$A:$A,助手收入!$X38),2)</f>
        <v>40.89</v>
      </c>
      <c r="H813" s="49" t="n">
        <f aca="false">IF(ROUND($G813,2)&gt;0,ROUND($G813,2),"")</f>
        <v>40.89</v>
      </c>
      <c r="I813" s="49" t="str">
        <f aca="false">IF(ROUND($G813,2)&lt;0,-ROUND($G813,2),"")</f>
        <v/>
      </c>
      <c r="J813" s="20" t="n">
        <f aca="false">IF(ROUND($G813,2)=0,0,1)</f>
        <v>1</v>
      </c>
      <c r="K813" s="20" t="n">
        <f aca="false">IF($J813=0,"",SUM($J$794:$J813))</f>
        <v>5</v>
      </c>
      <c r="L813" s="20" t="n">
        <f aca="false">IF($K813="","",$A813*100+$K813)</f>
        <v>3705</v>
      </c>
      <c r="M813" s="48" t="str">
        <f aca="false">参数!$B$3</f>
        <v>7月收入</v>
      </c>
    </row>
    <row r="814" customFormat="false" ht="13.5" hidden="false" customHeight="false" outlineLevel="0" collapsed="false">
      <c r="A814" s="47" t="n">
        <v>37</v>
      </c>
      <c r="B814" s="38" t="n">
        <f aca="false">助手收入!$B38</f>
        <v>2057</v>
      </c>
      <c r="C814" s="48" t="str">
        <f aca="false">助手收入!$C38</f>
        <v>博城店</v>
      </c>
      <c r="D814" s="48" t="str">
        <f aca="false">科目对照收入!$B22&amp;""</f>
        <v>主营业务收入</v>
      </c>
      <c r="E814" s="48" t="str">
        <f aca="false">IF(AND(ROUND($G814,2)&lt;0,科目对照收入!$L22&lt;&gt;""),科目对照收入!$L22,科目对照收入!$C22)&amp;""</f>
        <v>主营业务收入</v>
      </c>
      <c r="F814" s="48" t="str">
        <f aca="false">IF(AND(ROUND($G814,2)&lt;0,科目对照收入!$L22&lt;&gt;""),科目对照收入!$M22,科目对照收入!$D22)&amp;""</f>
        <v/>
      </c>
      <c r="G814" s="49" t="n">
        <f aca="false">-ROUND(助手收入!$G38,2)</f>
        <v>-51825.76</v>
      </c>
      <c r="H814" s="49" t="str">
        <f aca="false">IF(ROUND($G814,2)&gt;0,ROUND($G814,2),"")</f>
        <v/>
      </c>
      <c r="I814" s="49" t="n">
        <f aca="false">IF(ROUND($G814,2)&lt;0,-ROUND($G814,2),"")</f>
        <v>51825.76</v>
      </c>
      <c r="J814" s="20" t="n">
        <f aca="false">IF(ROUND($G814,2)=0,0,1)</f>
        <v>1</v>
      </c>
      <c r="K814" s="20" t="n">
        <f aca="false">IF($J814=0,"",SUM($J$794:$J814))</f>
        <v>6</v>
      </c>
      <c r="L814" s="20" t="n">
        <f aca="false">IF($K814="","",$A814*100+$K814)</f>
        <v>3706</v>
      </c>
      <c r="M814" s="48" t="str">
        <f aca="false">参数!$B$3</f>
        <v>7月收入</v>
      </c>
    </row>
    <row r="815" customFormat="false" ht="13.5" hidden="false" customHeight="false" outlineLevel="0" collapsed="false">
      <c r="A815" s="47" t="n">
        <v>37</v>
      </c>
      <c r="B815" s="38" t="n">
        <f aca="false">助手收入!$B38</f>
        <v>2057</v>
      </c>
      <c r="C815" s="48" t="str">
        <f aca="false">助手收入!$C38</f>
        <v>博城店</v>
      </c>
      <c r="D815" s="48" t="str">
        <f aca="false">科目对照收入!$B23&amp;""</f>
        <v>营业外收入</v>
      </c>
      <c r="E815" s="48" t="str">
        <f aca="false">IF(AND(ROUND($G815,2)&lt;0,科目对照收入!$L23&lt;&gt;""),科目对照收入!$L23,科目对照收入!$C23)&amp;""</f>
        <v>营业外收入</v>
      </c>
      <c r="F815" s="48" t="str">
        <f aca="false">IF(AND(ROUND($G815,2)&lt;0,科目对照收入!$L23&lt;&gt;""),科目对照收入!$M23,科目对照收入!$D23)&amp;""</f>
        <v/>
      </c>
      <c r="G815" s="49" t="n">
        <f aca="false">-ROUND(助手收入!$J38,2)</f>
        <v>-0</v>
      </c>
      <c r="H815" s="49" t="str">
        <f aca="false">IF(ROUND($G815,2)&gt;0,ROUND($G815,2),"")</f>
        <v/>
      </c>
      <c r="I815" s="49" t="str">
        <f aca="false">IF(ROUND($G815,2)&lt;0,-ROUND($G815,2),"")</f>
        <v/>
      </c>
      <c r="J815" s="20" t="n">
        <f aca="false">IF(ROUND($G815,2)=0,0,1)</f>
        <v>0</v>
      </c>
      <c r="K815" s="20" t="str">
        <f aca="false">IF($J815=0,"",SUM($J$794:$J815))</f>
        <v/>
      </c>
      <c r="L815" s="20" t="str">
        <f aca="false">IF($K815="","",$A815*100+$K815)</f>
        <v/>
      </c>
      <c r="M815" s="48" t="str">
        <f aca="false">参数!$B$3</f>
        <v>7月收入</v>
      </c>
    </row>
    <row r="816" customFormat="false" ht="13.5" hidden="false" customHeight="false" outlineLevel="0" collapsed="false">
      <c r="A816" s="47" t="n">
        <v>38</v>
      </c>
      <c r="B816" s="38" t="n">
        <f aca="false">助手收入!$B39</f>
        <v>2060</v>
      </c>
      <c r="C816" s="48" t="str">
        <f aca="false">助手收入!$C39</f>
        <v>博景店</v>
      </c>
      <c r="D816" s="48" t="str">
        <f aca="false">科目对照收入!$B2&amp;""</f>
        <v>库存现金</v>
      </c>
      <c r="E816" s="48" t="str">
        <f aca="false">IF(AND(ROUND($G816,2)&lt;0,科目对照收入!$L2&lt;&gt;""),科目对照收入!$L2,科目对照收入!$C2)&amp;""</f>
        <v>库存现金</v>
      </c>
      <c r="F816" s="48" t="str">
        <f aca="false">IF(AND(ROUND($G816,2)&lt;0,科目对照收入!$L2&lt;&gt;""),科目对照收入!$M2,科目对照收入!$D2)&amp;""</f>
        <v/>
      </c>
      <c r="G816" s="49" t="n">
        <f aca="false">助手收入!$I39</f>
        <v>4964.48</v>
      </c>
      <c r="H816" s="49" t="n">
        <f aca="false">IF(ROUND($G816,2)&gt;0,ROUND($G816,2),"")</f>
        <v>4964.48</v>
      </c>
      <c r="I816" s="49" t="str">
        <f aca="false">IF(ROUND($G816,2)&lt;0,-ROUND($G816,2),"")</f>
        <v/>
      </c>
      <c r="J816" s="20" t="n">
        <f aca="false">IF(ROUND($G816,2)=0,0,1)</f>
        <v>1</v>
      </c>
      <c r="K816" s="20" t="n">
        <f aca="false">IF($J816=0,"",SUM($J$816:$J816))</f>
        <v>1</v>
      </c>
      <c r="L816" s="20" t="n">
        <f aca="false">IF($K816="","",$A816*100+$K816)</f>
        <v>3801</v>
      </c>
      <c r="M816" s="48" t="str">
        <f aca="false">参数!$B$3</f>
        <v>7月收入</v>
      </c>
    </row>
    <row r="817" customFormat="false" ht="13.5" hidden="false" customHeight="false" outlineLevel="0" collapsed="false">
      <c r="A817" s="47" t="n">
        <v>38</v>
      </c>
      <c r="B817" s="38" t="n">
        <f aca="false">助手收入!$B39</f>
        <v>2060</v>
      </c>
      <c r="C817" s="48" t="str">
        <f aca="false">助手收入!$C39</f>
        <v>博景店</v>
      </c>
      <c r="D817" s="48" t="str">
        <f aca="false">科目对照收入!$B3&amp;""</f>
        <v>聚合支付</v>
      </c>
      <c r="E817" s="48" t="str">
        <f aca="false">IF(AND(ROUND($G817,2)&lt;0,科目对照收入!$L3&lt;&gt;""),科目对照收入!$L3,科目对照收入!$C3)&amp;""</f>
        <v>应收账款</v>
      </c>
      <c r="F817" s="48" t="str">
        <f aca="false">IF(AND(ROUND($G817,2)&lt;0,科目对照收入!$L3&lt;&gt;""),科目对照收入!$M3,科目对照收入!$D3)&amp;""</f>
        <v>聚合支付</v>
      </c>
      <c r="G817" s="49" t="n">
        <f aca="false">ROUND(SUMIFS(输入聚合!$C:$C,输入聚合!$A:$A,助手收入!$X39)-SUMIFS(输入聚合!$D:$D,输入聚合!$A:$A,助手收入!$X39),2)</f>
        <v>21779.77</v>
      </c>
      <c r="H817" s="49" t="n">
        <f aca="false">IF(ROUND($G817,2)&gt;0,ROUND($G817,2),"")</f>
        <v>21779.77</v>
      </c>
      <c r="I817" s="49" t="str">
        <f aca="false">IF(ROUND($G817,2)&lt;0,-ROUND($G817,2),"")</f>
        <v/>
      </c>
      <c r="J817" s="20" t="n">
        <f aca="false">IF(ROUND($G817,2)=0,0,1)</f>
        <v>1</v>
      </c>
      <c r="K817" s="20" t="n">
        <f aca="false">IF($J817=0,"",SUM($J$816:$J817))</f>
        <v>2</v>
      </c>
      <c r="L817" s="20" t="n">
        <f aca="false">IF($K817="","",$A817*100+$K817)</f>
        <v>3802</v>
      </c>
      <c r="M817" s="48" t="str">
        <f aca="false">参数!$B$3</f>
        <v>7月收入</v>
      </c>
    </row>
    <row r="818" customFormat="false" ht="13.5" hidden="false" customHeight="false" outlineLevel="0" collapsed="false">
      <c r="A818" s="47" t="n">
        <v>38</v>
      </c>
      <c r="B818" s="38" t="n">
        <f aca="false">助手收入!$B39</f>
        <v>2060</v>
      </c>
      <c r="C818" s="48" t="str">
        <f aca="false">助手收入!$C39</f>
        <v>博景店</v>
      </c>
      <c r="D818" s="48" t="str">
        <f aca="false">科目对照收入!$B4&amp;""</f>
        <v>医保</v>
      </c>
      <c r="E818" s="48" t="str">
        <f aca="false">IF(AND(ROUND($G818,2)&lt;0,科目对照收入!$L4&lt;&gt;""),科目对照收入!$L4,科目对照收入!$C4)&amp;""</f>
        <v>应收账款</v>
      </c>
      <c r="F818" s="48" t="str">
        <f aca="false">IF(AND(ROUND($G818,2)&lt;0,科目对照收入!$L4&lt;&gt;""),科目对照收入!$M4,科目对照收入!$D4)&amp;""</f>
        <v>医保</v>
      </c>
      <c r="G818" s="49" t="n">
        <f aca="false">IF(COUNTIFS(输入平台!$A:$A,助手收入!$X39,输入平台!$B:$B,科目对照收入!$B4)&gt;0,ROUND(SUMIFS(输入平台!$C:$C,输入平台!$A:$A,助手收入!$X39,输入平台!$B:$B,科目对照收入!$B4),2),ROUND(海典汇总!$F$40+海典汇总!$G$40,2))</f>
        <v>7112.52</v>
      </c>
      <c r="H818" s="49" t="n">
        <f aca="false">IF(ROUND($G818,2)&gt;0,ROUND($G818,2),"")</f>
        <v>7112.52</v>
      </c>
      <c r="I818" s="49" t="str">
        <f aca="false">IF(ROUND($G818,2)&lt;0,-ROUND($G818,2),"")</f>
        <v/>
      </c>
      <c r="J818" s="20" t="n">
        <f aca="false">IF(ROUND($G818,2)=0,0,1)</f>
        <v>1</v>
      </c>
      <c r="K818" s="20" t="n">
        <f aca="false">IF($J818=0,"",SUM($J$816:$J818))</f>
        <v>3</v>
      </c>
      <c r="L818" s="20" t="n">
        <f aca="false">IF($K818="","",$A818*100+$K818)</f>
        <v>3803</v>
      </c>
      <c r="M818" s="48" t="str">
        <f aca="false">参数!$B$3</f>
        <v>7月收入</v>
      </c>
    </row>
    <row r="819" customFormat="false" ht="13.5" hidden="false" customHeight="false" outlineLevel="0" collapsed="false">
      <c r="A819" s="47" t="n">
        <v>38</v>
      </c>
      <c r="B819" s="38" t="n">
        <f aca="false">助手收入!$B39</f>
        <v>2060</v>
      </c>
      <c r="C819" s="48" t="str">
        <f aca="false">助手收入!$C39</f>
        <v>博景店</v>
      </c>
      <c r="D819" s="48" t="str">
        <f aca="false">科目对照收入!$B5&amp;""</f>
        <v>健e卡</v>
      </c>
      <c r="E819" s="48" t="str">
        <f aca="false">IF(AND(ROUND($G819,2)&lt;0,科目对照收入!$L5&lt;&gt;""),科目对照收入!$L5,科目对照收入!$C5)&amp;""</f>
        <v>应收账款</v>
      </c>
      <c r="F819" s="48" t="str">
        <f aca="false">IF(AND(ROUND($G819,2)&lt;0,科目对照收入!$L5&lt;&gt;""),科目对照收入!$M5,科目对照收入!$D5)&amp;""</f>
        <v>健e卡</v>
      </c>
      <c r="G819" s="49" t="n">
        <f aca="false">IF(COUNTIFS(输入平台!$A:$A,助手收入!$X39,输入平台!$B:$B,科目对照收入!$B5)&gt;0,ROUND(SUMIFS(输入平台!$C:$C,输入平台!$A:$A,助手收入!$X39,输入平台!$B:$B,科目对照收入!$B5),2),ROUND(海典汇总!$H$40,2))</f>
        <v>0</v>
      </c>
      <c r="H819" s="49" t="str">
        <f aca="false">IF(ROUND($G819,2)&gt;0,ROUND($G819,2),"")</f>
        <v/>
      </c>
      <c r="I819" s="49" t="str">
        <f aca="false">IF(ROUND($G819,2)&lt;0,-ROUND($G819,2),"")</f>
        <v/>
      </c>
      <c r="J819" s="20" t="n">
        <f aca="false">IF(ROUND($G819,2)=0,0,1)</f>
        <v>0</v>
      </c>
      <c r="K819" s="20" t="str">
        <f aca="false">IF($J819=0,"",SUM($J$816:$J819))</f>
        <v/>
      </c>
      <c r="L819" s="20" t="str">
        <f aca="false">IF($K819="","",$A819*100+$K819)</f>
        <v/>
      </c>
      <c r="M819" s="48" t="str">
        <f aca="false">参数!$B$3</f>
        <v>7月收入</v>
      </c>
    </row>
    <row r="820" customFormat="false" ht="13.5" hidden="false" customHeight="false" outlineLevel="0" collapsed="false">
      <c r="A820" s="47" t="n">
        <v>38</v>
      </c>
      <c r="B820" s="38" t="n">
        <f aca="false">助手收入!$B39</f>
        <v>2060</v>
      </c>
      <c r="C820" s="48" t="str">
        <f aca="false">助手收入!$C39</f>
        <v>博景店</v>
      </c>
      <c r="D820" s="48" t="str">
        <f aca="false">科目对照收入!$B6&amp;""</f>
        <v>医卡通</v>
      </c>
      <c r="E820" s="48" t="str">
        <f aca="false">IF(AND(ROUND($G820,2)&lt;0,科目对照收入!$L6&lt;&gt;""),科目对照收入!$L6,科目对照收入!$C6)&amp;""</f>
        <v>应收账款</v>
      </c>
      <c r="F820" s="48" t="str">
        <f aca="false">IF(AND(ROUND($G820,2)&lt;0,科目对照收入!$L6&lt;&gt;""),科目对照收入!$M6,科目对照收入!$D6)&amp;""</f>
        <v>医卡通</v>
      </c>
      <c r="G820" s="49" t="n">
        <f aca="false">IF(COUNTIFS(输入平台!$A:$A,助手收入!$X39,输入平台!$B:$B,科目对照收入!$B6)&gt;0,ROUND(SUMIFS(输入平台!$C:$C,输入平台!$A:$A,助手收入!$X39,输入平台!$B:$B,科目对照收入!$B6),2),ROUND(海典汇总!$I$40,2))</f>
        <v>0</v>
      </c>
      <c r="H820" s="49" t="str">
        <f aca="false">IF(ROUND($G820,2)&gt;0,ROUND($G820,2),"")</f>
        <v/>
      </c>
      <c r="I820" s="49" t="str">
        <f aca="false">IF(ROUND($G820,2)&lt;0,-ROUND($G820,2),"")</f>
        <v/>
      </c>
      <c r="J820" s="20" t="n">
        <f aca="false">IF(ROUND($G820,2)=0,0,1)</f>
        <v>0</v>
      </c>
      <c r="K820" s="20" t="str">
        <f aca="false">IF($J820=0,"",SUM($J$816:$J820))</f>
        <v/>
      </c>
      <c r="L820" s="20" t="str">
        <f aca="false">IF($K820="","",$A820*100+$K820)</f>
        <v/>
      </c>
      <c r="M820" s="48" t="str">
        <f aca="false">参数!$B$3</f>
        <v>7月收入</v>
      </c>
    </row>
    <row r="821" customFormat="false" ht="13.5" hidden="false" customHeight="false" outlineLevel="0" collapsed="false">
      <c r="A821" s="47" t="n">
        <v>38</v>
      </c>
      <c r="B821" s="38" t="n">
        <f aca="false">助手收入!$B39</f>
        <v>2060</v>
      </c>
      <c r="C821" s="48" t="str">
        <f aca="false">助手收入!$C39</f>
        <v>博景店</v>
      </c>
      <c r="D821" s="48" t="str">
        <f aca="false">科目对照收入!$B7&amp;""</f>
        <v>企健网</v>
      </c>
      <c r="E821" s="48" t="str">
        <f aca="false">IF(AND(ROUND($G821,2)&lt;0,科目对照收入!$L7&lt;&gt;""),科目对照收入!$L7,科目对照收入!$C7)&amp;""</f>
        <v>应收账款</v>
      </c>
      <c r="F821" s="48" t="str">
        <f aca="false">IF(AND(ROUND($G821,2)&lt;0,科目对照收入!$L7&lt;&gt;""),科目对照收入!$M7,科目对照收入!$D7)&amp;""</f>
        <v>企健网</v>
      </c>
      <c r="G821" s="49" t="n">
        <f aca="false">IF(COUNTIFS(输入平台!$A:$A,助手收入!$X39,输入平台!$B:$B,科目对照收入!$B7)&gt;0,ROUND(SUMIFS(输入平台!$C:$C,输入平台!$A:$A,助手收入!$X39,输入平台!$B:$B,科目对照收入!$B7),2),ROUND(海典汇总!$J$40,2))</f>
        <v>0</v>
      </c>
      <c r="H821" s="49" t="str">
        <f aca="false">IF(ROUND($G821,2)&gt;0,ROUND($G821,2),"")</f>
        <v/>
      </c>
      <c r="I821" s="49" t="str">
        <f aca="false">IF(ROUND($G821,2)&lt;0,-ROUND($G821,2),"")</f>
        <v/>
      </c>
      <c r="J821" s="20" t="n">
        <f aca="false">IF(ROUND($G821,2)=0,0,1)</f>
        <v>0</v>
      </c>
      <c r="K821" s="20" t="str">
        <f aca="false">IF($J821=0,"",SUM($J$816:$J821))</f>
        <v/>
      </c>
      <c r="L821" s="20" t="str">
        <f aca="false">IF($K821="","",$A821*100+$K821)</f>
        <v/>
      </c>
      <c r="M821" s="48" t="str">
        <f aca="false">参数!$B$3</f>
        <v>7月收入</v>
      </c>
    </row>
    <row r="822" customFormat="false" ht="13.5" hidden="false" customHeight="false" outlineLevel="0" collapsed="false">
      <c r="A822" s="47" t="n">
        <v>38</v>
      </c>
      <c r="B822" s="38" t="n">
        <f aca="false">助手收入!$B39</f>
        <v>2060</v>
      </c>
      <c r="C822" s="48" t="str">
        <f aca="false">助手收入!$C39</f>
        <v>博景店</v>
      </c>
      <c r="D822" s="48" t="str">
        <f aca="false">科目对照收入!$B8&amp;""</f>
        <v>亲情卡</v>
      </c>
      <c r="E822" s="48" t="str">
        <f aca="false">IF(AND(ROUND($G822,2)&lt;0,科目对照收入!$L8&lt;&gt;""),科目对照收入!$L8,科目对照收入!$C8)&amp;""</f>
        <v>应收账款</v>
      </c>
      <c r="F822" s="48" t="str">
        <f aca="false">IF(AND(ROUND($G822,2)&lt;0,科目对照收入!$L8&lt;&gt;""),科目对照收入!$M8,科目对照收入!$D8)&amp;""</f>
        <v>亲情卡</v>
      </c>
      <c r="G822" s="49" t="n">
        <f aca="false">IF(COUNTIFS(输入平台!$A:$A,助手收入!$X39,输入平台!$B:$B,科目对照收入!$B8)&gt;0,ROUND(SUMIFS(输入平台!$C:$C,输入平台!$A:$A,助手收入!$X39,输入平台!$B:$B,科目对照收入!$B8),2),ROUND(海典汇总!$Z$40,2))</f>
        <v>0</v>
      </c>
      <c r="H822" s="49" t="str">
        <f aca="false">IF(ROUND($G822,2)&gt;0,ROUND($G822,2),"")</f>
        <v/>
      </c>
      <c r="I822" s="49" t="str">
        <f aca="false">IF(ROUND($G822,2)&lt;0,-ROUND($G822,2),"")</f>
        <v/>
      </c>
      <c r="J822" s="20" t="n">
        <f aca="false">IF(ROUND($G822,2)=0,0,1)</f>
        <v>0</v>
      </c>
      <c r="K822" s="20" t="str">
        <f aca="false">IF($J822=0,"",SUM($J$816:$J822))</f>
        <v/>
      </c>
      <c r="L822" s="20" t="str">
        <f aca="false">IF($K822="","",$A822*100+$K822)</f>
        <v/>
      </c>
      <c r="M822" s="48" t="str">
        <f aca="false">参数!$B$3</f>
        <v>7月收入</v>
      </c>
    </row>
    <row r="823" customFormat="false" ht="13.5" hidden="false" customHeight="false" outlineLevel="0" collapsed="false">
      <c r="A823" s="47" t="n">
        <v>38</v>
      </c>
      <c r="B823" s="38" t="n">
        <f aca="false">助手收入!$B39</f>
        <v>2060</v>
      </c>
      <c r="C823" s="48" t="str">
        <f aca="false">助手收入!$C39</f>
        <v>博景店</v>
      </c>
      <c r="D823" s="48" t="str">
        <f aca="false">科目对照收入!$B9&amp;""</f>
        <v>24小时</v>
      </c>
      <c r="E823" s="48" t="str">
        <f aca="false">IF(AND(ROUND($G823,2)&lt;0,科目对照收入!$L9&lt;&gt;""),科目对照收入!$L9,科目对照收入!$C9)&amp;""</f>
        <v>应收账款</v>
      </c>
      <c r="F823" s="48" t="str">
        <f aca="false">IF(AND(ROUND($G823,2)&lt;0,科目对照收入!$L9&lt;&gt;""),科目对照收入!$M9,科目对照收入!$D9)&amp;""</f>
        <v>24小时</v>
      </c>
      <c r="G823" s="49" t="n">
        <f aca="false">IF(COUNTIFS(输入平台!$A:$A,助手收入!$X39,输入平台!$B:$B,科目对照收入!$B9)&gt;0,ROUND(SUMIFS(输入平台!$C:$C,输入平台!$A:$A,助手收入!$X39,输入平台!$B:$B,科目对照收入!$B9),2),ROUND(海典汇总!$K$40,2))</f>
        <v>0</v>
      </c>
      <c r="H823" s="49" t="str">
        <f aca="false">IF(ROUND($G823,2)&gt;0,ROUND($G823,2),"")</f>
        <v/>
      </c>
      <c r="I823" s="49" t="str">
        <f aca="false">IF(ROUND($G823,2)&lt;0,-ROUND($G823,2),"")</f>
        <v/>
      </c>
      <c r="J823" s="20" t="n">
        <f aca="false">IF(ROUND($G823,2)=0,0,1)</f>
        <v>0</v>
      </c>
      <c r="K823" s="20" t="str">
        <f aca="false">IF($J823=0,"",SUM($J$816:$J823))</f>
        <v/>
      </c>
      <c r="L823" s="20" t="str">
        <f aca="false">IF($K823="","",$A823*100+$K823)</f>
        <v/>
      </c>
      <c r="M823" s="48" t="str">
        <f aca="false">参数!$B$3</f>
        <v>7月收入</v>
      </c>
    </row>
    <row r="824" customFormat="false" ht="13.5" hidden="false" customHeight="false" outlineLevel="0" collapsed="false">
      <c r="A824" s="47" t="n">
        <v>38</v>
      </c>
      <c r="B824" s="38" t="n">
        <f aca="false">助手收入!$B39</f>
        <v>2060</v>
      </c>
      <c r="C824" s="48" t="str">
        <f aca="false">助手收入!$C39</f>
        <v>博景店</v>
      </c>
      <c r="D824" s="48" t="str">
        <f aca="false">科目对照收入!$B10&amp;""</f>
        <v>美团</v>
      </c>
      <c r="E824" s="48" t="str">
        <f aca="false">IF(AND(ROUND($G824,2)&lt;0,科目对照收入!$L10&lt;&gt;""),科目对照收入!$L10,科目对照收入!$C10)&amp;""</f>
        <v>应收账款</v>
      </c>
      <c r="F824" s="48" t="str">
        <f aca="false">IF(AND(ROUND($G824,2)&lt;0,科目对照收入!$L10&lt;&gt;""),科目对照收入!$M10,科目对照收入!$D10)&amp;""</f>
        <v>美团</v>
      </c>
      <c r="G824" s="49" t="n">
        <f aca="false">IF(COUNTIFS(输入平台!$A:$A,助手收入!$X39,输入平台!$B:$B,科目对照收入!$B10)&gt;0,ROUND(SUMIFS(输入平台!$C:$C,输入平台!$A:$A,助手收入!$X39,输入平台!$B:$B,科目对照收入!$B10),2),ROUND(海典汇总!$M$40,2))</f>
        <v>103</v>
      </c>
      <c r="H824" s="49" t="n">
        <f aca="false">IF(ROUND($G824,2)&gt;0,ROUND($G824,2),"")</f>
        <v>103</v>
      </c>
      <c r="I824" s="49" t="str">
        <f aca="false">IF(ROUND($G824,2)&lt;0,-ROUND($G824,2),"")</f>
        <v/>
      </c>
      <c r="J824" s="20" t="n">
        <f aca="false">IF(ROUND($G824,2)=0,0,1)</f>
        <v>1</v>
      </c>
      <c r="K824" s="20" t="n">
        <f aca="false">IF($J824=0,"",SUM($J$816:$J824))</f>
        <v>4</v>
      </c>
      <c r="L824" s="20" t="n">
        <f aca="false">IF($K824="","",$A824*100+$K824)</f>
        <v>3804</v>
      </c>
      <c r="M824" s="48" t="str">
        <f aca="false">参数!$B$3</f>
        <v>7月收入</v>
      </c>
    </row>
    <row r="825" customFormat="false" ht="13.5" hidden="false" customHeight="false" outlineLevel="0" collapsed="false">
      <c r="A825" s="47" t="n">
        <v>38</v>
      </c>
      <c r="B825" s="38" t="n">
        <f aca="false">助手收入!$B39</f>
        <v>2060</v>
      </c>
      <c r="C825" s="48" t="str">
        <f aca="false">助手收入!$C39</f>
        <v>博景店</v>
      </c>
      <c r="D825" s="48" t="str">
        <f aca="false">科目对照收入!$B11&amp;""</f>
        <v>饿了么</v>
      </c>
      <c r="E825" s="48" t="str">
        <f aca="false">IF(AND(ROUND($G825,2)&lt;0,科目对照收入!$L11&lt;&gt;""),科目对照收入!$L11,科目对照收入!$C11)&amp;""</f>
        <v>应收账款</v>
      </c>
      <c r="F825" s="48" t="str">
        <f aca="false">IF(AND(ROUND($G825,2)&lt;0,科目对照收入!$L11&lt;&gt;""),科目对照收入!$M11,科目对照收入!$D11)&amp;""</f>
        <v>饿了么</v>
      </c>
      <c r="G825" s="49" t="n">
        <f aca="false">IF(COUNTIFS(输入平台!$A:$A,助手收入!$X39,输入平台!$B:$B,科目对照收入!$B11)&gt;0,ROUND(SUMIFS(输入平台!$C:$C,输入平台!$A:$A,助手收入!$X39,输入平台!$B:$B,科目对照收入!$B11),2),ROUND(海典汇总!$N$40,2))</f>
        <v>169.5</v>
      </c>
      <c r="H825" s="49" t="n">
        <f aca="false">IF(ROUND($G825,2)&gt;0,ROUND($G825,2),"")</f>
        <v>169.5</v>
      </c>
      <c r="I825" s="49" t="str">
        <f aca="false">IF(ROUND($G825,2)&lt;0,-ROUND($G825,2),"")</f>
        <v/>
      </c>
      <c r="J825" s="20" t="n">
        <f aca="false">IF(ROUND($G825,2)=0,0,1)</f>
        <v>1</v>
      </c>
      <c r="K825" s="20" t="n">
        <f aca="false">IF($J825=0,"",SUM($J$816:$J825))</f>
        <v>5</v>
      </c>
      <c r="L825" s="20" t="n">
        <f aca="false">IF($K825="","",$A825*100+$K825)</f>
        <v>3805</v>
      </c>
      <c r="M825" s="48" t="str">
        <f aca="false">参数!$B$3</f>
        <v>7月收入</v>
      </c>
    </row>
    <row r="826" customFormat="false" ht="13.5" hidden="false" customHeight="false" outlineLevel="0" collapsed="false">
      <c r="A826" s="47" t="n">
        <v>38</v>
      </c>
      <c r="B826" s="38" t="n">
        <f aca="false">助手收入!$B39</f>
        <v>2060</v>
      </c>
      <c r="C826" s="48" t="str">
        <f aca="false">助手收入!$C39</f>
        <v>博景店</v>
      </c>
      <c r="D826" s="48" t="str">
        <f aca="false">科目对照收入!$B12&amp;""</f>
        <v>京东秒送</v>
      </c>
      <c r="E826" s="48" t="str">
        <f aca="false">IF(AND(ROUND($G826,2)&lt;0,科目对照收入!$L12&lt;&gt;""),科目对照收入!$L12,科目对照收入!$C12)&amp;""</f>
        <v>应收账款</v>
      </c>
      <c r="F826" s="48" t="str">
        <f aca="false">IF(AND(ROUND($G826,2)&lt;0,科目对照收入!$L12&lt;&gt;""),科目对照收入!$M12,科目对照收入!$D12)&amp;""</f>
        <v>京东秒送</v>
      </c>
      <c r="G826" s="49" t="n">
        <f aca="false">IF(COUNTIFS(输入平台!$A:$A,助手收入!$X39,输入平台!$B:$B,科目对照收入!$B12)&gt;0,ROUND(SUMIFS(输入平台!$C:$C,输入平台!$A:$A,助手收入!$X39,输入平台!$B:$B,科目对照收入!$B12),2),ROUND(海典汇总!$O$40,2))</f>
        <v>0</v>
      </c>
      <c r="H826" s="49" t="str">
        <f aca="false">IF(ROUND($G826,2)&gt;0,ROUND($G826,2),"")</f>
        <v/>
      </c>
      <c r="I826" s="49" t="str">
        <f aca="false">IF(ROUND($G826,2)&lt;0,-ROUND($G826,2),"")</f>
        <v/>
      </c>
      <c r="J826" s="20" t="n">
        <f aca="false">IF(ROUND($G826,2)=0,0,1)</f>
        <v>0</v>
      </c>
      <c r="K826" s="20" t="str">
        <f aca="false">IF($J826=0,"",SUM($J$816:$J826))</f>
        <v/>
      </c>
      <c r="L826" s="20" t="str">
        <f aca="false">IF($K826="","",$A826*100+$K826)</f>
        <v/>
      </c>
      <c r="M826" s="48" t="str">
        <f aca="false">参数!$B$3</f>
        <v>7月收入</v>
      </c>
    </row>
    <row r="827" customFormat="false" ht="13.5" hidden="false" customHeight="false" outlineLevel="0" collapsed="false">
      <c r="A827" s="47" t="n">
        <v>38</v>
      </c>
      <c r="B827" s="38" t="n">
        <f aca="false">助手收入!$B39</f>
        <v>2060</v>
      </c>
      <c r="C827" s="48" t="str">
        <f aca="false">助手收入!$C39</f>
        <v>博景店</v>
      </c>
      <c r="D827" s="48" t="str">
        <f aca="false">科目对照收入!$B13&amp;""</f>
        <v>银联</v>
      </c>
      <c r="E827" s="48" t="str">
        <f aca="false">IF(AND(ROUND($G827,2)&lt;0,科目对照收入!$L13&lt;&gt;""),科目对照收入!$L13,科目对照收入!$C13)&amp;""</f>
        <v>应收账款</v>
      </c>
      <c r="F827" s="48" t="str">
        <f aca="false">IF(AND(ROUND($G827,2)&lt;0,科目对照收入!$L13&lt;&gt;""),科目对照收入!$M13,科目对照收入!$D13)&amp;""</f>
        <v>银联</v>
      </c>
      <c r="G827" s="49" t="n">
        <f aca="false">IF(COUNTIFS(输入平台!$A:$A,助手收入!$X39,输入平台!$B:$B,科目对照收入!$B13)&gt;0,ROUND(SUMIFS(输入平台!$C:$C,输入平台!$A:$A,助手收入!$X39,输入平台!$B:$B,科目对照收入!$B13),2),ROUND(海典汇总!$V$40,2))</f>
        <v>0</v>
      </c>
      <c r="H827" s="49" t="str">
        <f aca="false">IF(ROUND($G827,2)&gt;0,ROUND($G827,2),"")</f>
        <v/>
      </c>
      <c r="I827" s="49" t="str">
        <f aca="false">IF(ROUND($G827,2)&lt;0,-ROUND($G827,2),"")</f>
        <v/>
      </c>
      <c r="J827" s="20" t="n">
        <f aca="false">IF(ROUND($G827,2)=0,0,1)</f>
        <v>0</v>
      </c>
      <c r="K827" s="20" t="str">
        <f aca="false">IF($J827=0,"",SUM($J$816:$J827))</f>
        <v/>
      </c>
      <c r="L827" s="20" t="str">
        <f aca="false">IF($K827="","",$A827*100+$K827)</f>
        <v/>
      </c>
      <c r="M827" s="48" t="str">
        <f aca="false">参数!$B$3</f>
        <v>7月收入</v>
      </c>
    </row>
    <row r="828" customFormat="false" ht="13.5" hidden="false" customHeight="false" outlineLevel="0" collapsed="false">
      <c r="A828" s="47" t="n">
        <v>38</v>
      </c>
      <c r="B828" s="38" t="n">
        <f aca="false">助手收入!$B39</f>
        <v>2060</v>
      </c>
      <c r="C828" s="48" t="str">
        <f aca="false">助手收入!$C39</f>
        <v>博景店</v>
      </c>
      <c r="D828" s="48" t="str">
        <f aca="false">科目对照收入!$B14&amp;""</f>
        <v>小镇外卖</v>
      </c>
      <c r="E828" s="48" t="str">
        <f aca="false">IF(AND(ROUND($G828,2)&lt;0,科目对照收入!$L14&lt;&gt;""),科目对照收入!$L14,科目对照收入!$C14)&amp;""</f>
        <v>应收账款</v>
      </c>
      <c r="F828" s="48" t="str">
        <f aca="false">IF(AND(ROUND($G828,2)&lt;0,科目对照收入!$L14&lt;&gt;""),科目对照收入!$M14,科目对照收入!$D14)&amp;""</f>
        <v>小镇外卖</v>
      </c>
      <c r="G828" s="49" t="n">
        <f aca="false">IF(COUNTIFS(输入平台!$A:$A,助手收入!$X39,输入平台!$B:$B,科目对照收入!$B14)&gt;0,ROUND(SUMIFS(输入平台!$C:$C,输入平台!$A:$A,助手收入!$X39,输入平台!$B:$B,科目对照收入!$B14),2),ROUND(海典汇总!$AC$40,2))</f>
        <v>0</v>
      </c>
      <c r="H828" s="49" t="str">
        <f aca="false">IF(ROUND($G828,2)&gt;0,ROUND($G828,2),"")</f>
        <v/>
      </c>
      <c r="I828" s="49" t="str">
        <f aca="false">IF(ROUND($G828,2)&lt;0,-ROUND($G828,2),"")</f>
        <v/>
      </c>
      <c r="J828" s="20" t="n">
        <f aca="false">IF(ROUND($G828,2)=0,0,1)</f>
        <v>0</v>
      </c>
      <c r="K828" s="20" t="str">
        <f aca="false">IF($J828=0,"",SUM($J$816:$J828))</f>
        <v/>
      </c>
      <c r="L828" s="20" t="str">
        <f aca="false">IF($K828="","",$A828*100+$K828)</f>
        <v/>
      </c>
      <c r="M828" s="48" t="str">
        <f aca="false">参数!$B$3</f>
        <v>7月收入</v>
      </c>
    </row>
    <row r="829" customFormat="false" ht="13.5" hidden="false" customHeight="false" outlineLevel="0" collapsed="false">
      <c r="A829" s="47" t="n">
        <v>38</v>
      </c>
      <c r="B829" s="38" t="n">
        <f aca="false">助手收入!$B39</f>
        <v>2060</v>
      </c>
      <c r="C829" s="48" t="str">
        <f aca="false">助手收入!$C39</f>
        <v>博景店</v>
      </c>
      <c r="D829" s="48" t="str">
        <f aca="false">科目对照收入!$B15&amp;""</f>
        <v>OMS线上支付</v>
      </c>
      <c r="E829" s="48" t="str">
        <f aca="false">IF(AND(ROUND($G829,2)&lt;0,科目对照收入!$L15&lt;&gt;""),科目对照收入!$L15,科目对照收入!$C15)&amp;""</f>
        <v>应收账款</v>
      </c>
      <c r="F829" s="48" t="str">
        <f aca="false">IF(AND(ROUND($G829,2)&lt;0,科目对照收入!$L15&lt;&gt;""),科目对照收入!$M15,科目对照收入!$D15)&amp;""</f>
        <v>OMS线上</v>
      </c>
      <c r="G829" s="49" t="n">
        <f aca="false">IF(COUNTIFS(输入平台!$A:$A,助手收入!$X39,输入平台!$B:$B,科目对照收入!$B15)&gt;0,ROUND(SUMIFS(输入平台!$C:$C,输入平台!$A:$A,助手收入!$X39,输入平台!$B:$B,科目对照收入!$B15),2),ROUND(海典汇总!$L$40,2))</f>
        <v>0</v>
      </c>
      <c r="H829" s="49" t="str">
        <f aca="false">IF(ROUND($G829,2)&gt;0,ROUND($G829,2),"")</f>
        <v/>
      </c>
      <c r="I829" s="49" t="str">
        <f aca="false">IF(ROUND($G829,2)&lt;0,-ROUND($G829,2),"")</f>
        <v/>
      </c>
      <c r="J829" s="20" t="n">
        <f aca="false">IF(ROUND($G829,2)=0,0,1)</f>
        <v>0</v>
      </c>
      <c r="K829" s="20" t="str">
        <f aca="false">IF($J829=0,"",SUM($J$816:$J829))</f>
        <v/>
      </c>
      <c r="L829" s="20" t="str">
        <f aca="false">IF($K829="","",$A829*100+$K829)</f>
        <v/>
      </c>
      <c r="M829" s="48" t="str">
        <f aca="false">参数!$B$3</f>
        <v>7月收入</v>
      </c>
    </row>
    <row r="830" customFormat="false" ht="13.5" hidden="false" customHeight="false" outlineLevel="0" collapsed="false">
      <c r="A830" s="47" t="n">
        <v>38</v>
      </c>
      <c r="B830" s="38" t="n">
        <f aca="false">助手收入!$B39</f>
        <v>2060</v>
      </c>
      <c r="C830" s="48" t="str">
        <f aca="false">助手收入!$C39</f>
        <v>博景店</v>
      </c>
      <c r="D830" s="48" t="str">
        <f aca="false">科目对照收入!$B16&amp;""</f>
        <v>平安药卡</v>
      </c>
      <c r="E830" s="48" t="str">
        <f aca="false">IF(AND(ROUND($G830,2)&lt;0,科目对照收入!$L16&lt;&gt;""),科目对照收入!$L16,科目对照收入!$C16)&amp;""</f>
        <v>应收账款</v>
      </c>
      <c r="F830" s="48" t="str">
        <f aca="false">IF(AND(ROUND($G830,2)&lt;0,科目对照收入!$L16&lt;&gt;""),科目对照收入!$M16,科目对照收入!$D16)&amp;""</f>
        <v>平安</v>
      </c>
      <c r="G830" s="49" t="n">
        <f aca="false">IF(COUNTIFS(输入平台!$A:$A,助手收入!$X39,输入平台!$B:$B,科目对照收入!$B16)&gt;0,ROUND(SUMIFS(输入平台!$C:$C,输入平台!$A:$A,助手收入!$X39,输入平台!$B:$B,科目对照收入!$B16),2),ROUND(海典汇总!$AB$40,2))</f>
        <v>0</v>
      </c>
      <c r="H830" s="49" t="str">
        <f aca="false">IF(ROUND($G830,2)&gt;0,ROUND($G830,2),"")</f>
        <v/>
      </c>
      <c r="I830" s="49" t="str">
        <f aca="false">IF(ROUND($G830,2)&lt;0,-ROUND($G830,2),"")</f>
        <v/>
      </c>
      <c r="J830" s="20" t="n">
        <f aca="false">IF(ROUND($G830,2)=0,0,1)</f>
        <v>0</v>
      </c>
      <c r="K830" s="20" t="str">
        <f aca="false">IF($J830=0,"",SUM($J$816:$J830))</f>
        <v/>
      </c>
      <c r="L830" s="20" t="str">
        <f aca="false">IF($K830="","",$A830*100+$K830)</f>
        <v/>
      </c>
      <c r="M830" s="48" t="str">
        <f aca="false">参数!$B$3</f>
        <v>7月收入</v>
      </c>
    </row>
    <row r="831" customFormat="false" ht="13.5" hidden="false" customHeight="false" outlineLevel="0" collapsed="false">
      <c r="A831" s="47" t="n">
        <v>38</v>
      </c>
      <c r="B831" s="38" t="n">
        <f aca="false">助手收入!$B39</f>
        <v>2060</v>
      </c>
      <c r="C831" s="48" t="str">
        <f aca="false">助手收入!$C39</f>
        <v>博景店</v>
      </c>
      <c r="D831" s="48" t="str">
        <f aca="false">科目对照收入!$B17&amp;""</f>
        <v>储值卡</v>
      </c>
      <c r="E831" s="48" t="str">
        <f aca="false">IF(AND(ROUND($G831,2)&lt;0,科目对照收入!$L17&lt;&gt;""),科目对照收入!$L17,科目对照收入!$C17)&amp;""</f>
        <v>其他应收款</v>
      </c>
      <c r="F831" s="48" t="str">
        <f aca="false">IF(AND(ROUND($G831,2)&lt;0,科目对照收入!$L17&lt;&gt;""),科目对照收入!$M17,科目对照收入!$D17)&amp;""</f>
        <v>储值卡</v>
      </c>
      <c r="G831" s="49" t="n">
        <f aca="false">ROUND(海典汇总!$Q$40,2)</f>
        <v>501</v>
      </c>
      <c r="H831" s="49" t="n">
        <f aca="false">IF(ROUND($G831,2)&gt;0,ROUND($G831,2),"")</f>
        <v>501</v>
      </c>
      <c r="I831" s="49" t="str">
        <f aca="false">IF(ROUND($G831,2)&lt;0,-ROUND($G831,2),"")</f>
        <v/>
      </c>
      <c r="J831" s="20" t="n">
        <f aca="false">IF(ROUND($G831,2)=0,0,1)</f>
        <v>1</v>
      </c>
      <c r="K831" s="20" t="n">
        <f aca="false">IF($J831=0,"",SUM($J$816:$J831))</f>
        <v>6</v>
      </c>
      <c r="L831" s="20" t="n">
        <f aca="false">IF($K831="","",$A831*100+$K831)</f>
        <v>3806</v>
      </c>
      <c r="M831" s="48" t="str">
        <f aca="false">参数!$B$3</f>
        <v>7月收入</v>
      </c>
    </row>
    <row r="832" customFormat="false" ht="13.5" hidden="false" customHeight="false" outlineLevel="0" collapsed="false">
      <c r="A832" s="47" t="n">
        <v>38</v>
      </c>
      <c r="B832" s="38" t="n">
        <f aca="false">助手收入!$B39</f>
        <v>2060</v>
      </c>
      <c r="C832" s="48" t="str">
        <f aca="false">助手收入!$C39</f>
        <v>博景店</v>
      </c>
      <c r="D832" s="48" t="str">
        <f aca="false">科目对照收入!$B18&amp;""</f>
        <v>会员零钱包</v>
      </c>
      <c r="E832" s="48" t="str">
        <f aca="false">IF(AND(ROUND($G832,2)&lt;0,科目对照收入!$L18&lt;&gt;""),科目对照收入!$L18,科目对照收入!$C18)&amp;""</f>
        <v>其他应收款</v>
      </c>
      <c r="F832" s="48" t="str">
        <f aca="false">IF(AND(ROUND($G832,2)&lt;0,科目对照收入!$L18&lt;&gt;""),科目对照收入!$M18,科目对照收入!$D18)&amp;""</f>
        <v>会员零钱包</v>
      </c>
      <c r="G832" s="49" t="n">
        <f aca="false">ROUND(海典汇总!$P$40,2)</f>
        <v>0</v>
      </c>
      <c r="H832" s="49" t="str">
        <f aca="false">IF(ROUND($G832,2)&gt;0,ROUND($G832,2),"")</f>
        <v/>
      </c>
      <c r="I832" s="49" t="str">
        <f aca="false">IF(ROUND($G832,2)&lt;0,-ROUND($G832,2),"")</f>
        <v/>
      </c>
      <c r="J832" s="20" t="n">
        <f aca="false">IF(ROUND($G832,2)=0,0,1)</f>
        <v>0</v>
      </c>
      <c r="K832" s="20" t="str">
        <f aca="false">IF($J832=0,"",SUM($J$816:$J832))</f>
        <v/>
      </c>
      <c r="L832" s="20" t="str">
        <f aca="false">IF($K832="","",$A832*100+$K832)</f>
        <v/>
      </c>
      <c r="M832" s="48" t="str">
        <f aca="false">参数!$B$3</f>
        <v>7月收入</v>
      </c>
    </row>
    <row r="833" customFormat="false" ht="13.5" hidden="false" customHeight="false" outlineLevel="0" collapsed="false">
      <c r="A833" s="47" t="n">
        <v>38</v>
      </c>
      <c r="B833" s="38" t="n">
        <f aca="false">助手收入!$B39</f>
        <v>2060</v>
      </c>
      <c r="C833" s="48" t="str">
        <f aca="false">助手收入!$C39</f>
        <v>博景店</v>
      </c>
      <c r="D833" s="48" t="str">
        <f aca="false">科目对照收入!$B19&amp;""</f>
        <v>促销费</v>
      </c>
      <c r="E833" s="48" t="str">
        <f aca="false">IF(AND(ROUND($G833,2)&lt;0,科目对照收入!$L19&lt;&gt;""),科目对照收入!$L19,科目对照收入!$C19)&amp;""</f>
        <v>销售费用</v>
      </c>
      <c r="F833" s="48" t="str">
        <f aca="false">IF(AND(ROUND($G833,2)&lt;0,科目对照收入!$L19&lt;&gt;""),科目对照收入!$M19,科目对照收入!$D19)&amp;""</f>
        <v>促销费</v>
      </c>
      <c r="G833" s="49" t="n">
        <f aca="false">ROUND(海典汇总!$U$40+海典汇总!$T$40+海典汇总!$S$40,2)</f>
        <v>1818.58</v>
      </c>
      <c r="H833" s="49" t="n">
        <f aca="false">IF(ROUND($G833,2)&gt;0,ROUND($G833,2),"")</f>
        <v>1818.58</v>
      </c>
      <c r="I833" s="49" t="str">
        <f aca="false">IF(ROUND($G833,2)&lt;0,-ROUND($G833,2),"")</f>
        <v/>
      </c>
      <c r="J833" s="20" t="n">
        <f aca="false">IF(ROUND($G833,2)=0,0,1)</f>
        <v>1</v>
      </c>
      <c r="K833" s="20" t="n">
        <f aca="false">IF($J833=0,"",SUM($J$816:$J833))</f>
        <v>7</v>
      </c>
      <c r="L833" s="20" t="n">
        <f aca="false">IF($K833="","",$A833*100+$K833)</f>
        <v>3807</v>
      </c>
      <c r="M833" s="48" t="str">
        <f aca="false">参数!$B$3</f>
        <v>7月收入</v>
      </c>
    </row>
    <row r="834" customFormat="false" ht="13.5" hidden="false" customHeight="false" outlineLevel="0" collapsed="false">
      <c r="A834" s="47" t="n">
        <v>38</v>
      </c>
      <c r="B834" s="38" t="n">
        <f aca="false">助手收入!$B39</f>
        <v>2060</v>
      </c>
      <c r="C834" s="48" t="str">
        <f aca="false">助手收入!$C39</f>
        <v>博景店</v>
      </c>
      <c r="D834" s="48" t="str">
        <f aca="false">科目对照收入!$B20&amp;""</f>
        <v>积分</v>
      </c>
      <c r="E834" s="48" t="str">
        <f aca="false">IF(AND(ROUND($G834,2)&lt;0,科目对照收入!$L20&lt;&gt;""),科目对照收入!$L20,科目对照收入!$C20)&amp;""</f>
        <v>销售费用</v>
      </c>
      <c r="F834" s="48" t="str">
        <f aca="false">IF(AND(ROUND($G834,2)&lt;0,科目对照收入!$L20&lt;&gt;""),科目对照收入!$M20,科目对照收入!$D20)&amp;""</f>
        <v>积分</v>
      </c>
      <c r="G834" s="49" t="n">
        <f aca="false">ROUND(海典汇总!$R$40,2)</f>
        <v>0</v>
      </c>
      <c r="H834" s="49" t="str">
        <f aca="false">IF(ROUND($G834,2)&gt;0,ROUND($G834,2),"")</f>
        <v/>
      </c>
      <c r="I834" s="49" t="str">
        <f aca="false">IF(ROUND($G834,2)&lt;0,-ROUND($G834,2),"")</f>
        <v/>
      </c>
      <c r="J834" s="20" t="n">
        <f aca="false">IF(ROUND($G834,2)=0,0,1)</f>
        <v>0</v>
      </c>
      <c r="K834" s="20" t="str">
        <f aca="false">IF($J834=0,"",SUM($J$816:$J834))</f>
        <v/>
      </c>
      <c r="L834" s="20" t="str">
        <f aca="false">IF($K834="","",$A834*100+$K834)</f>
        <v/>
      </c>
      <c r="M834" s="48" t="str">
        <f aca="false">参数!$B$3</f>
        <v>7月收入</v>
      </c>
    </row>
    <row r="835" customFormat="false" ht="13.5" hidden="false" customHeight="false" outlineLevel="0" collapsed="false">
      <c r="A835" s="47" t="n">
        <v>38</v>
      </c>
      <c r="B835" s="38" t="n">
        <f aca="false">助手收入!$B39</f>
        <v>2060</v>
      </c>
      <c r="C835" s="48" t="str">
        <f aca="false">助手收入!$C39</f>
        <v>博景店</v>
      </c>
      <c r="D835" s="48" t="str">
        <f aca="false">科目对照收入!$B21&amp;""</f>
        <v>手续费</v>
      </c>
      <c r="E835" s="48" t="str">
        <f aca="false">IF(AND(ROUND($G835,2)&lt;0,科目对照收入!$L21&lt;&gt;""),科目对照收入!$L21,科目对照收入!$C21)&amp;""</f>
        <v>财务费用</v>
      </c>
      <c r="F835" s="48" t="str">
        <f aca="false">IF(AND(ROUND($G835,2)&lt;0,科目对照收入!$L21&lt;&gt;""),科目对照收入!$M21,科目对照收入!$D21)&amp;""</f>
        <v>手续费</v>
      </c>
      <c r="G835" s="49" t="n">
        <f aca="false">ROUND(SUMIFS(输入聚合!$D:$D,输入聚合!$A:$A,助手收入!$X39),2)</f>
        <v>58.96</v>
      </c>
      <c r="H835" s="49" t="n">
        <f aca="false">IF(ROUND($G835,2)&gt;0,ROUND($G835,2),"")</f>
        <v>58.96</v>
      </c>
      <c r="I835" s="49" t="str">
        <f aca="false">IF(ROUND($G835,2)&lt;0,-ROUND($G835,2),"")</f>
        <v/>
      </c>
      <c r="J835" s="20" t="n">
        <f aca="false">IF(ROUND($G835,2)=0,0,1)</f>
        <v>1</v>
      </c>
      <c r="K835" s="20" t="n">
        <f aca="false">IF($J835=0,"",SUM($J$816:$J835))</f>
        <v>8</v>
      </c>
      <c r="L835" s="20" t="n">
        <f aca="false">IF($K835="","",$A835*100+$K835)</f>
        <v>3808</v>
      </c>
      <c r="M835" s="48" t="str">
        <f aca="false">参数!$B$3</f>
        <v>7月收入</v>
      </c>
    </row>
    <row r="836" customFormat="false" ht="13.5" hidden="false" customHeight="false" outlineLevel="0" collapsed="false">
      <c r="A836" s="47" t="n">
        <v>38</v>
      </c>
      <c r="B836" s="38" t="n">
        <f aca="false">助手收入!$B39</f>
        <v>2060</v>
      </c>
      <c r="C836" s="48" t="str">
        <f aca="false">助手收入!$C39</f>
        <v>博景店</v>
      </c>
      <c r="D836" s="48" t="str">
        <f aca="false">科目对照收入!$B22&amp;""</f>
        <v>主营业务收入</v>
      </c>
      <c r="E836" s="48" t="str">
        <f aca="false">IF(AND(ROUND($G836,2)&lt;0,科目对照收入!$L22&lt;&gt;""),科目对照收入!$L22,科目对照收入!$C22)&amp;""</f>
        <v>主营业务收入</v>
      </c>
      <c r="F836" s="48" t="str">
        <f aca="false">IF(AND(ROUND($G836,2)&lt;0,科目对照收入!$L22&lt;&gt;""),科目对照收入!$M22,科目对照收入!$D22)&amp;""</f>
        <v/>
      </c>
      <c r="G836" s="49" t="n">
        <f aca="false">-ROUND(助手收入!$G39,2)</f>
        <v>-36507.81</v>
      </c>
      <c r="H836" s="49" t="str">
        <f aca="false">IF(ROUND($G836,2)&gt;0,ROUND($G836,2),"")</f>
        <v/>
      </c>
      <c r="I836" s="49" t="n">
        <f aca="false">IF(ROUND($G836,2)&lt;0,-ROUND($G836,2),"")</f>
        <v>36507.81</v>
      </c>
      <c r="J836" s="20" t="n">
        <f aca="false">IF(ROUND($G836,2)=0,0,1)</f>
        <v>1</v>
      </c>
      <c r="K836" s="20" t="n">
        <f aca="false">IF($J836=0,"",SUM($J$816:$J836))</f>
        <v>9</v>
      </c>
      <c r="L836" s="20" t="n">
        <f aca="false">IF($K836="","",$A836*100+$K836)</f>
        <v>3809</v>
      </c>
      <c r="M836" s="48" t="str">
        <f aca="false">参数!$B$3</f>
        <v>7月收入</v>
      </c>
    </row>
    <row r="837" customFormat="false" ht="13.5" hidden="false" customHeight="false" outlineLevel="0" collapsed="false">
      <c r="A837" s="47" t="n">
        <v>38</v>
      </c>
      <c r="B837" s="38" t="n">
        <f aca="false">助手收入!$B39</f>
        <v>2060</v>
      </c>
      <c r="C837" s="48" t="str">
        <f aca="false">助手收入!$C39</f>
        <v>博景店</v>
      </c>
      <c r="D837" s="48" t="str">
        <f aca="false">科目对照收入!$B23&amp;""</f>
        <v>营业外收入</v>
      </c>
      <c r="E837" s="48" t="str">
        <f aca="false">IF(AND(ROUND($G837,2)&lt;0,科目对照收入!$L23&lt;&gt;""),科目对照收入!$L23,科目对照收入!$C23)&amp;""</f>
        <v>营业外收入</v>
      </c>
      <c r="F837" s="48" t="str">
        <f aca="false">IF(AND(ROUND($G837,2)&lt;0,科目对照收入!$L23&lt;&gt;""),科目对照收入!$M23,科目对照收入!$D23)&amp;""</f>
        <v/>
      </c>
      <c r="G837" s="49" t="n">
        <f aca="false">-ROUND(助手收入!$J39,2)</f>
        <v>-0</v>
      </c>
      <c r="H837" s="49" t="str">
        <f aca="false">IF(ROUND($G837,2)&gt;0,ROUND($G837,2),"")</f>
        <v/>
      </c>
      <c r="I837" s="49" t="str">
        <f aca="false">IF(ROUND($G837,2)&lt;0,-ROUND($G837,2),"")</f>
        <v/>
      </c>
      <c r="J837" s="20" t="n">
        <f aca="false">IF(ROUND($G837,2)=0,0,1)</f>
        <v>0</v>
      </c>
      <c r="K837" s="20" t="str">
        <f aca="false">IF($J837=0,"",SUM($J$816:$J837))</f>
        <v/>
      </c>
      <c r="L837" s="20" t="str">
        <f aca="false">IF($K837="","",$A837*100+$K837)</f>
        <v/>
      </c>
      <c r="M837" s="48" t="str">
        <f aca="false">参数!$B$3</f>
        <v>7月收入</v>
      </c>
    </row>
    <row r="838" customFormat="false" ht="13.5" hidden="false" customHeight="false" outlineLevel="0" collapsed="false">
      <c r="A838" s="47" t="n">
        <v>39</v>
      </c>
      <c r="B838" s="38" t="n">
        <f aca="false">助手收入!$B40</f>
        <v>2062</v>
      </c>
      <c r="C838" s="48" t="str">
        <f aca="false">助手收入!$C40</f>
        <v>西范村店</v>
      </c>
      <c r="D838" s="48" t="str">
        <f aca="false">科目对照收入!$B2&amp;""</f>
        <v>库存现金</v>
      </c>
      <c r="E838" s="48" t="str">
        <f aca="false">IF(AND(ROUND($G838,2)&lt;0,科目对照收入!$L2&lt;&gt;""),科目对照收入!$L2,科目对照收入!$C2)&amp;""</f>
        <v>库存现金</v>
      </c>
      <c r="F838" s="48" t="str">
        <f aca="false">IF(AND(ROUND($G838,2)&lt;0,科目对照收入!$L2&lt;&gt;""),科目对照收入!$M2,科目对照收入!$D2)&amp;""</f>
        <v/>
      </c>
      <c r="G838" s="49" t="n">
        <f aca="false">助手收入!$I40</f>
        <v>6528.35</v>
      </c>
      <c r="H838" s="49" t="n">
        <f aca="false">IF(ROUND($G838,2)&gt;0,ROUND($G838,2),"")</f>
        <v>6528.35</v>
      </c>
      <c r="I838" s="49" t="str">
        <f aca="false">IF(ROUND($G838,2)&lt;0,-ROUND($G838,2),"")</f>
        <v/>
      </c>
      <c r="J838" s="20" t="n">
        <f aca="false">IF(ROUND($G838,2)=0,0,1)</f>
        <v>1</v>
      </c>
      <c r="K838" s="20" t="n">
        <f aca="false">IF($J838=0,"",SUM($J$838:$J838))</f>
        <v>1</v>
      </c>
      <c r="L838" s="20" t="n">
        <f aca="false">IF($K838="","",$A838*100+$K838)</f>
        <v>3901</v>
      </c>
      <c r="M838" s="48" t="str">
        <f aca="false">参数!$B$3</f>
        <v>7月收入</v>
      </c>
    </row>
    <row r="839" customFormat="false" ht="13.5" hidden="false" customHeight="false" outlineLevel="0" collapsed="false">
      <c r="A839" s="47" t="n">
        <v>39</v>
      </c>
      <c r="B839" s="38" t="n">
        <f aca="false">助手收入!$B40</f>
        <v>2062</v>
      </c>
      <c r="C839" s="48" t="str">
        <f aca="false">助手收入!$C40</f>
        <v>西范村店</v>
      </c>
      <c r="D839" s="48" t="str">
        <f aca="false">科目对照收入!$B3&amp;""</f>
        <v>聚合支付</v>
      </c>
      <c r="E839" s="48" t="str">
        <f aca="false">IF(AND(ROUND($G839,2)&lt;0,科目对照收入!$L3&lt;&gt;""),科目对照收入!$L3,科目对照收入!$C3)&amp;""</f>
        <v>应收账款</v>
      </c>
      <c r="F839" s="48" t="str">
        <f aca="false">IF(AND(ROUND($G839,2)&lt;0,科目对照收入!$L3&lt;&gt;""),科目对照收入!$M3,科目对照收入!$D3)&amp;""</f>
        <v>聚合支付</v>
      </c>
      <c r="G839" s="49" t="n">
        <f aca="false">ROUND(SUMIFS(输入聚合!$C:$C,输入聚合!$A:$A,助手收入!$X40)-SUMIFS(输入聚合!$D:$D,输入聚合!$A:$A,助手收入!$X40),2)</f>
        <v>50411.54</v>
      </c>
      <c r="H839" s="49" t="n">
        <f aca="false">IF(ROUND($G839,2)&gt;0,ROUND($G839,2),"")</f>
        <v>50411.54</v>
      </c>
      <c r="I839" s="49" t="str">
        <f aca="false">IF(ROUND($G839,2)&lt;0,-ROUND($G839,2),"")</f>
        <v/>
      </c>
      <c r="J839" s="20" t="n">
        <f aca="false">IF(ROUND($G839,2)=0,0,1)</f>
        <v>1</v>
      </c>
      <c r="K839" s="20" t="n">
        <f aca="false">IF($J839=0,"",SUM($J$838:$J839))</f>
        <v>2</v>
      </c>
      <c r="L839" s="20" t="n">
        <f aca="false">IF($K839="","",$A839*100+$K839)</f>
        <v>3902</v>
      </c>
      <c r="M839" s="48" t="str">
        <f aca="false">参数!$B$3</f>
        <v>7月收入</v>
      </c>
    </row>
    <row r="840" customFormat="false" ht="13.5" hidden="false" customHeight="false" outlineLevel="0" collapsed="false">
      <c r="A840" s="47" t="n">
        <v>39</v>
      </c>
      <c r="B840" s="38" t="n">
        <f aca="false">助手收入!$B40</f>
        <v>2062</v>
      </c>
      <c r="C840" s="48" t="str">
        <f aca="false">助手收入!$C40</f>
        <v>西范村店</v>
      </c>
      <c r="D840" s="48" t="str">
        <f aca="false">科目对照收入!$B4&amp;""</f>
        <v>医保</v>
      </c>
      <c r="E840" s="48" t="str">
        <f aca="false">IF(AND(ROUND($G840,2)&lt;0,科目对照收入!$L4&lt;&gt;""),科目对照收入!$L4,科目对照收入!$C4)&amp;""</f>
        <v>应收账款</v>
      </c>
      <c r="F840" s="48" t="str">
        <f aca="false">IF(AND(ROUND($G840,2)&lt;0,科目对照收入!$L4&lt;&gt;""),科目对照收入!$M4,科目对照收入!$D4)&amp;""</f>
        <v>医保</v>
      </c>
      <c r="G840" s="49" t="n">
        <f aca="false">IF(COUNTIFS(输入平台!$A:$A,助手收入!$X40,输入平台!$B:$B,科目对照收入!$B4)&gt;0,ROUND(SUMIFS(输入平台!$C:$C,输入平台!$A:$A,助手收入!$X40,输入平台!$B:$B,科目对照收入!$B4),2),ROUND(海典汇总!$F$41+海典汇总!$G$41,2))</f>
        <v>10937.56</v>
      </c>
      <c r="H840" s="49" t="n">
        <f aca="false">IF(ROUND($G840,2)&gt;0,ROUND($G840,2),"")</f>
        <v>10937.56</v>
      </c>
      <c r="I840" s="49" t="str">
        <f aca="false">IF(ROUND($G840,2)&lt;0,-ROUND($G840,2),"")</f>
        <v/>
      </c>
      <c r="J840" s="20" t="n">
        <f aca="false">IF(ROUND($G840,2)=0,0,1)</f>
        <v>1</v>
      </c>
      <c r="K840" s="20" t="n">
        <f aca="false">IF($J840=0,"",SUM($J$838:$J840))</f>
        <v>3</v>
      </c>
      <c r="L840" s="20" t="n">
        <f aca="false">IF($K840="","",$A840*100+$K840)</f>
        <v>3903</v>
      </c>
      <c r="M840" s="48" t="str">
        <f aca="false">参数!$B$3</f>
        <v>7月收入</v>
      </c>
    </row>
    <row r="841" customFormat="false" ht="13.5" hidden="false" customHeight="false" outlineLevel="0" collapsed="false">
      <c r="A841" s="47" t="n">
        <v>39</v>
      </c>
      <c r="B841" s="38" t="n">
        <f aca="false">助手收入!$B40</f>
        <v>2062</v>
      </c>
      <c r="C841" s="48" t="str">
        <f aca="false">助手收入!$C40</f>
        <v>西范村店</v>
      </c>
      <c r="D841" s="48" t="str">
        <f aca="false">科目对照收入!$B5&amp;""</f>
        <v>健e卡</v>
      </c>
      <c r="E841" s="48" t="str">
        <f aca="false">IF(AND(ROUND($G841,2)&lt;0,科目对照收入!$L5&lt;&gt;""),科目对照收入!$L5,科目对照收入!$C5)&amp;""</f>
        <v>应收账款</v>
      </c>
      <c r="F841" s="48" t="str">
        <f aca="false">IF(AND(ROUND($G841,2)&lt;0,科目对照收入!$L5&lt;&gt;""),科目对照收入!$M5,科目对照收入!$D5)&amp;""</f>
        <v>健e卡</v>
      </c>
      <c r="G841" s="49" t="n">
        <f aca="false">IF(COUNTIFS(输入平台!$A:$A,助手收入!$X40,输入平台!$B:$B,科目对照收入!$B5)&gt;0,ROUND(SUMIFS(输入平台!$C:$C,输入平台!$A:$A,助手收入!$X40,输入平台!$B:$B,科目对照收入!$B5),2),ROUND(海典汇总!$H$41,2))</f>
        <v>0</v>
      </c>
      <c r="H841" s="49" t="str">
        <f aca="false">IF(ROUND($G841,2)&gt;0,ROUND($G841,2),"")</f>
        <v/>
      </c>
      <c r="I841" s="49" t="str">
        <f aca="false">IF(ROUND($G841,2)&lt;0,-ROUND($G841,2),"")</f>
        <v/>
      </c>
      <c r="J841" s="20" t="n">
        <f aca="false">IF(ROUND($G841,2)=0,0,1)</f>
        <v>0</v>
      </c>
      <c r="K841" s="20" t="str">
        <f aca="false">IF($J841=0,"",SUM($J$838:$J841))</f>
        <v/>
      </c>
      <c r="L841" s="20" t="str">
        <f aca="false">IF($K841="","",$A841*100+$K841)</f>
        <v/>
      </c>
      <c r="M841" s="48" t="str">
        <f aca="false">参数!$B$3</f>
        <v>7月收入</v>
      </c>
    </row>
    <row r="842" customFormat="false" ht="13.5" hidden="false" customHeight="false" outlineLevel="0" collapsed="false">
      <c r="A842" s="47" t="n">
        <v>39</v>
      </c>
      <c r="B842" s="38" t="n">
        <f aca="false">助手收入!$B40</f>
        <v>2062</v>
      </c>
      <c r="C842" s="48" t="str">
        <f aca="false">助手收入!$C40</f>
        <v>西范村店</v>
      </c>
      <c r="D842" s="48" t="str">
        <f aca="false">科目对照收入!$B6&amp;""</f>
        <v>医卡通</v>
      </c>
      <c r="E842" s="48" t="str">
        <f aca="false">IF(AND(ROUND($G842,2)&lt;0,科目对照收入!$L6&lt;&gt;""),科目对照收入!$L6,科目对照收入!$C6)&amp;""</f>
        <v>应收账款</v>
      </c>
      <c r="F842" s="48" t="str">
        <f aca="false">IF(AND(ROUND($G842,2)&lt;0,科目对照收入!$L6&lt;&gt;""),科目对照收入!$M6,科目对照收入!$D6)&amp;""</f>
        <v>医卡通</v>
      </c>
      <c r="G842" s="49" t="n">
        <f aca="false">IF(COUNTIFS(输入平台!$A:$A,助手收入!$X40,输入平台!$B:$B,科目对照收入!$B6)&gt;0,ROUND(SUMIFS(输入平台!$C:$C,输入平台!$A:$A,助手收入!$X40,输入平台!$B:$B,科目对照收入!$B6),2),ROUND(海典汇总!$I$41,2))</f>
        <v>0</v>
      </c>
      <c r="H842" s="49" t="str">
        <f aca="false">IF(ROUND($G842,2)&gt;0,ROUND($G842,2),"")</f>
        <v/>
      </c>
      <c r="I842" s="49" t="str">
        <f aca="false">IF(ROUND($G842,2)&lt;0,-ROUND($G842,2),"")</f>
        <v/>
      </c>
      <c r="J842" s="20" t="n">
        <f aca="false">IF(ROUND($G842,2)=0,0,1)</f>
        <v>0</v>
      </c>
      <c r="K842" s="20" t="str">
        <f aca="false">IF($J842=0,"",SUM($J$838:$J842))</f>
        <v/>
      </c>
      <c r="L842" s="20" t="str">
        <f aca="false">IF($K842="","",$A842*100+$K842)</f>
        <v/>
      </c>
      <c r="M842" s="48" t="str">
        <f aca="false">参数!$B$3</f>
        <v>7月收入</v>
      </c>
    </row>
    <row r="843" customFormat="false" ht="13.5" hidden="false" customHeight="false" outlineLevel="0" collapsed="false">
      <c r="A843" s="47" t="n">
        <v>39</v>
      </c>
      <c r="B843" s="38" t="n">
        <f aca="false">助手收入!$B40</f>
        <v>2062</v>
      </c>
      <c r="C843" s="48" t="str">
        <f aca="false">助手收入!$C40</f>
        <v>西范村店</v>
      </c>
      <c r="D843" s="48" t="str">
        <f aca="false">科目对照收入!$B7&amp;""</f>
        <v>企健网</v>
      </c>
      <c r="E843" s="48" t="str">
        <f aca="false">IF(AND(ROUND($G843,2)&lt;0,科目对照收入!$L7&lt;&gt;""),科目对照收入!$L7,科目对照收入!$C7)&amp;""</f>
        <v>应收账款</v>
      </c>
      <c r="F843" s="48" t="str">
        <f aca="false">IF(AND(ROUND($G843,2)&lt;0,科目对照收入!$L7&lt;&gt;""),科目对照收入!$M7,科目对照收入!$D7)&amp;""</f>
        <v>企健网</v>
      </c>
      <c r="G843" s="49" t="n">
        <f aca="false">IF(COUNTIFS(输入平台!$A:$A,助手收入!$X40,输入平台!$B:$B,科目对照收入!$B7)&gt;0,ROUND(SUMIFS(输入平台!$C:$C,输入平台!$A:$A,助手收入!$X40,输入平台!$B:$B,科目对照收入!$B7),2),ROUND(海典汇总!$J$41,2))</f>
        <v>0</v>
      </c>
      <c r="H843" s="49" t="str">
        <f aca="false">IF(ROUND($G843,2)&gt;0,ROUND($G843,2),"")</f>
        <v/>
      </c>
      <c r="I843" s="49" t="str">
        <f aca="false">IF(ROUND($G843,2)&lt;0,-ROUND($G843,2),"")</f>
        <v/>
      </c>
      <c r="J843" s="20" t="n">
        <f aca="false">IF(ROUND($G843,2)=0,0,1)</f>
        <v>0</v>
      </c>
      <c r="K843" s="20" t="str">
        <f aca="false">IF($J843=0,"",SUM($J$838:$J843))</f>
        <v/>
      </c>
      <c r="L843" s="20" t="str">
        <f aca="false">IF($K843="","",$A843*100+$K843)</f>
        <v/>
      </c>
      <c r="M843" s="48" t="str">
        <f aca="false">参数!$B$3</f>
        <v>7月收入</v>
      </c>
    </row>
    <row r="844" customFormat="false" ht="13.5" hidden="false" customHeight="false" outlineLevel="0" collapsed="false">
      <c r="A844" s="47" t="n">
        <v>39</v>
      </c>
      <c r="B844" s="38" t="n">
        <f aca="false">助手收入!$B40</f>
        <v>2062</v>
      </c>
      <c r="C844" s="48" t="str">
        <f aca="false">助手收入!$C40</f>
        <v>西范村店</v>
      </c>
      <c r="D844" s="48" t="str">
        <f aca="false">科目对照收入!$B8&amp;""</f>
        <v>亲情卡</v>
      </c>
      <c r="E844" s="48" t="str">
        <f aca="false">IF(AND(ROUND($G844,2)&lt;0,科目对照收入!$L8&lt;&gt;""),科目对照收入!$L8,科目对照收入!$C8)&amp;""</f>
        <v>应收账款</v>
      </c>
      <c r="F844" s="48" t="str">
        <f aca="false">IF(AND(ROUND($G844,2)&lt;0,科目对照收入!$L8&lt;&gt;""),科目对照收入!$M8,科目对照收入!$D8)&amp;""</f>
        <v>亲情卡</v>
      </c>
      <c r="G844" s="49" t="n">
        <f aca="false">IF(COUNTIFS(输入平台!$A:$A,助手收入!$X40,输入平台!$B:$B,科目对照收入!$B8)&gt;0,ROUND(SUMIFS(输入平台!$C:$C,输入平台!$A:$A,助手收入!$X40,输入平台!$B:$B,科目对照收入!$B8),2),ROUND(海典汇总!$Z$41,2))</f>
        <v>0</v>
      </c>
      <c r="H844" s="49" t="str">
        <f aca="false">IF(ROUND($G844,2)&gt;0,ROUND($G844,2),"")</f>
        <v/>
      </c>
      <c r="I844" s="49" t="str">
        <f aca="false">IF(ROUND($G844,2)&lt;0,-ROUND($G844,2),"")</f>
        <v/>
      </c>
      <c r="J844" s="20" t="n">
        <f aca="false">IF(ROUND($G844,2)=0,0,1)</f>
        <v>0</v>
      </c>
      <c r="K844" s="20" t="str">
        <f aca="false">IF($J844=0,"",SUM($J$838:$J844))</f>
        <v/>
      </c>
      <c r="L844" s="20" t="str">
        <f aca="false">IF($K844="","",$A844*100+$K844)</f>
        <v/>
      </c>
      <c r="M844" s="48" t="str">
        <f aca="false">参数!$B$3</f>
        <v>7月收入</v>
      </c>
    </row>
    <row r="845" customFormat="false" ht="13.5" hidden="false" customHeight="false" outlineLevel="0" collapsed="false">
      <c r="A845" s="47" t="n">
        <v>39</v>
      </c>
      <c r="B845" s="38" t="n">
        <f aca="false">助手收入!$B40</f>
        <v>2062</v>
      </c>
      <c r="C845" s="48" t="str">
        <f aca="false">助手收入!$C40</f>
        <v>西范村店</v>
      </c>
      <c r="D845" s="48" t="str">
        <f aca="false">科目对照收入!$B9&amp;""</f>
        <v>24小时</v>
      </c>
      <c r="E845" s="48" t="str">
        <f aca="false">IF(AND(ROUND($G845,2)&lt;0,科目对照收入!$L9&lt;&gt;""),科目对照收入!$L9,科目对照收入!$C9)&amp;""</f>
        <v>应收账款</v>
      </c>
      <c r="F845" s="48" t="str">
        <f aca="false">IF(AND(ROUND($G845,2)&lt;0,科目对照收入!$L9&lt;&gt;""),科目对照收入!$M9,科目对照收入!$D9)&amp;""</f>
        <v>24小时</v>
      </c>
      <c r="G845" s="49" t="n">
        <f aca="false">IF(COUNTIFS(输入平台!$A:$A,助手收入!$X40,输入平台!$B:$B,科目对照收入!$B9)&gt;0,ROUND(SUMIFS(输入平台!$C:$C,输入平台!$A:$A,助手收入!$X40,输入平台!$B:$B,科目对照收入!$B9),2),ROUND(海典汇总!$K$41,2))</f>
        <v>0</v>
      </c>
      <c r="H845" s="49" t="str">
        <f aca="false">IF(ROUND($G845,2)&gt;0,ROUND($G845,2),"")</f>
        <v/>
      </c>
      <c r="I845" s="49" t="str">
        <f aca="false">IF(ROUND($G845,2)&lt;0,-ROUND($G845,2),"")</f>
        <v/>
      </c>
      <c r="J845" s="20" t="n">
        <f aca="false">IF(ROUND($G845,2)=0,0,1)</f>
        <v>0</v>
      </c>
      <c r="K845" s="20" t="str">
        <f aca="false">IF($J845=0,"",SUM($J$838:$J845))</f>
        <v/>
      </c>
      <c r="L845" s="20" t="str">
        <f aca="false">IF($K845="","",$A845*100+$K845)</f>
        <v/>
      </c>
      <c r="M845" s="48" t="str">
        <f aca="false">参数!$B$3</f>
        <v>7月收入</v>
      </c>
    </row>
    <row r="846" customFormat="false" ht="13.5" hidden="false" customHeight="false" outlineLevel="0" collapsed="false">
      <c r="A846" s="47" t="n">
        <v>39</v>
      </c>
      <c r="B846" s="38" t="n">
        <f aca="false">助手收入!$B40</f>
        <v>2062</v>
      </c>
      <c r="C846" s="48" t="str">
        <f aca="false">助手收入!$C40</f>
        <v>西范村店</v>
      </c>
      <c r="D846" s="48" t="str">
        <f aca="false">科目对照收入!$B10&amp;""</f>
        <v>美团</v>
      </c>
      <c r="E846" s="48" t="str">
        <f aca="false">IF(AND(ROUND($G846,2)&lt;0,科目对照收入!$L10&lt;&gt;""),科目对照收入!$L10,科目对照收入!$C10)&amp;""</f>
        <v>应收账款</v>
      </c>
      <c r="F846" s="48" t="str">
        <f aca="false">IF(AND(ROUND($G846,2)&lt;0,科目对照收入!$L10&lt;&gt;""),科目对照收入!$M10,科目对照收入!$D10)&amp;""</f>
        <v>美团</v>
      </c>
      <c r="G846" s="49" t="n">
        <f aca="false">IF(COUNTIFS(输入平台!$A:$A,助手收入!$X40,输入平台!$B:$B,科目对照收入!$B10)&gt;0,ROUND(SUMIFS(输入平台!$C:$C,输入平台!$A:$A,助手收入!$X40,输入平台!$B:$B,科目对照收入!$B10),2),ROUND(海典汇总!$M$41,2))</f>
        <v>0</v>
      </c>
      <c r="H846" s="49" t="str">
        <f aca="false">IF(ROUND($G846,2)&gt;0,ROUND($G846,2),"")</f>
        <v/>
      </c>
      <c r="I846" s="49" t="str">
        <f aca="false">IF(ROUND($G846,2)&lt;0,-ROUND($G846,2),"")</f>
        <v/>
      </c>
      <c r="J846" s="20" t="n">
        <f aca="false">IF(ROUND($G846,2)=0,0,1)</f>
        <v>0</v>
      </c>
      <c r="K846" s="20" t="str">
        <f aca="false">IF($J846=0,"",SUM($J$838:$J846))</f>
        <v/>
      </c>
      <c r="L846" s="20" t="str">
        <f aca="false">IF($K846="","",$A846*100+$K846)</f>
        <v/>
      </c>
      <c r="M846" s="48" t="str">
        <f aca="false">参数!$B$3</f>
        <v>7月收入</v>
      </c>
    </row>
    <row r="847" customFormat="false" ht="13.5" hidden="false" customHeight="false" outlineLevel="0" collapsed="false">
      <c r="A847" s="47" t="n">
        <v>39</v>
      </c>
      <c r="B847" s="38" t="n">
        <f aca="false">助手收入!$B40</f>
        <v>2062</v>
      </c>
      <c r="C847" s="48" t="str">
        <f aca="false">助手收入!$C40</f>
        <v>西范村店</v>
      </c>
      <c r="D847" s="48" t="str">
        <f aca="false">科目对照收入!$B11&amp;""</f>
        <v>饿了么</v>
      </c>
      <c r="E847" s="48" t="str">
        <f aca="false">IF(AND(ROUND($G847,2)&lt;0,科目对照收入!$L11&lt;&gt;""),科目对照收入!$L11,科目对照收入!$C11)&amp;""</f>
        <v>应收账款</v>
      </c>
      <c r="F847" s="48" t="str">
        <f aca="false">IF(AND(ROUND($G847,2)&lt;0,科目对照收入!$L11&lt;&gt;""),科目对照收入!$M11,科目对照收入!$D11)&amp;""</f>
        <v>饿了么</v>
      </c>
      <c r="G847" s="49" t="n">
        <f aca="false">IF(COUNTIFS(输入平台!$A:$A,助手收入!$X40,输入平台!$B:$B,科目对照收入!$B11)&gt;0,ROUND(SUMIFS(输入平台!$C:$C,输入平台!$A:$A,助手收入!$X40,输入平台!$B:$B,科目对照收入!$B11),2),ROUND(海典汇总!$N$41,2))</f>
        <v>681.8</v>
      </c>
      <c r="H847" s="49" t="n">
        <f aca="false">IF(ROUND($G847,2)&gt;0,ROUND($G847,2),"")</f>
        <v>681.8</v>
      </c>
      <c r="I847" s="49" t="str">
        <f aca="false">IF(ROUND($G847,2)&lt;0,-ROUND($G847,2),"")</f>
        <v/>
      </c>
      <c r="J847" s="20" t="n">
        <f aca="false">IF(ROUND($G847,2)=0,0,1)</f>
        <v>1</v>
      </c>
      <c r="K847" s="20" t="n">
        <f aca="false">IF($J847=0,"",SUM($J$838:$J847))</f>
        <v>4</v>
      </c>
      <c r="L847" s="20" t="n">
        <f aca="false">IF($K847="","",$A847*100+$K847)</f>
        <v>3904</v>
      </c>
      <c r="M847" s="48" t="str">
        <f aca="false">参数!$B$3</f>
        <v>7月收入</v>
      </c>
    </row>
    <row r="848" customFormat="false" ht="13.5" hidden="false" customHeight="false" outlineLevel="0" collapsed="false">
      <c r="A848" s="47" t="n">
        <v>39</v>
      </c>
      <c r="B848" s="38" t="n">
        <f aca="false">助手收入!$B40</f>
        <v>2062</v>
      </c>
      <c r="C848" s="48" t="str">
        <f aca="false">助手收入!$C40</f>
        <v>西范村店</v>
      </c>
      <c r="D848" s="48" t="str">
        <f aca="false">科目对照收入!$B12&amp;""</f>
        <v>京东秒送</v>
      </c>
      <c r="E848" s="48" t="str">
        <f aca="false">IF(AND(ROUND($G848,2)&lt;0,科目对照收入!$L12&lt;&gt;""),科目对照收入!$L12,科目对照收入!$C12)&amp;""</f>
        <v>应收账款</v>
      </c>
      <c r="F848" s="48" t="str">
        <f aca="false">IF(AND(ROUND($G848,2)&lt;0,科目对照收入!$L12&lt;&gt;""),科目对照收入!$M12,科目对照收入!$D12)&amp;""</f>
        <v>京东秒送</v>
      </c>
      <c r="G848" s="49" t="n">
        <f aca="false">IF(COUNTIFS(输入平台!$A:$A,助手收入!$X40,输入平台!$B:$B,科目对照收入!$B12)&gt;0,ROUND(SUMIFS(输入平台!$C:$C,输入平台!$A:$A,助手收入!$X40,输入平台!$B:$B,科目对照收入!$B12),2),ROUND(海典汇总!$O$41,2))</f>
        <v>0</v>
      </c>
      <c r="H848" s="49" t="str">
        <f aca="false">IF(ROUND($G848,2)&gt;0,ROUND($G848,2),"")</f>
        <v/>
      </c>
      <c r="I848" s="49" t="str">
        <f aca="false">IF(ROUND($G848,2)&lt;0,-ROUND($G848,2),"")</f>
        <v/>
      </c>
      <c r="J848" s="20" t="n">
        <f aca="false">IF(ROUND($G848,2)=0,0,1)</f>
        <v>0</v>
      </c>
      <c r="K848" s="20" t="str">
        <f aca="false">IF($J848=0,"",SUM($J$838:$J848))</f>
        <v/>
      </c>
      <c r="L848" s="20" t="str">
        <f aca="false">IF($K848="","",$A848*100+$K848)</f>
        <v/>
      </c>
      <c r="M848" s="48" t="str">
        <f aca="false">参数!$B$3</f>
        <v>7月收入</v>
      </c>
    </row>
    <row r="849" customFormat="false" ht="13.5" hidden="false" customHeight="false" outlineLevel="0" collapsed="false">
      <c r="A849" s="47" t="n">
        <v>39</v>
      </c>
      <c r="B849" s="38" t="n">
        <f aca="false">助手收入!$B40</f>
        <v>2062</v>
      </c>
      <c r="C849" s="48" t="str">
        <f aca="false">助手收入!$C40</f>
        <v>西范村店</v>
      </c>
      <c r="D849" s="48" t="str">
        <f aca="false">科目对照收入!$B13&amp;""</f>
        <v>银联</v>
      </c>
      <c r="E849" s="48" t="str">
        <f aca="false">IF(AND(ROUND($G849,2)&lt;0,科目对照收入!$L13&lt;&gt;""),科目对照收入!$L13,科目对照收入!$C13)&amp;""</f>
        <v>应收账款</v>
      </c>
      <c r="F849" s="48" t="str">
        <f aca="false">IF(AND(ROUND($G849,2)&lt;0,科目对照收入!$L13&lt;&gt;""),科目对照收入!$M13,科目对照收入!$D13)&amp;""</f>
        <v>银联</v>
      </c>
      <c r="G849" s="49" t="n">
        <f aca="false">IF(COUNTIFS(输入平台!$A:$A,助手收入!$X40,输入平台!$B:$B,科目对照收入!$B13)&gt;0,ROUND(SUMIFS(输入平台!$C:$C,输入平台!$A:$A,助手收入!$X40,输入平台!$B:$B,科目对照收入!$B13),2),ROUND(海典汇总!$V$41,2))</f>
        <v>0</v>
      </c>
      <c r="H849" s="49" t="str">
        <f aca="false">IF(ROUND($G849,2)&gt;0,ROUND($G849,2),"")</f>
        <v/>
      </c>
      <c r="I849" s="49" t="str">
        <f aca="false">IF(ROUND($G849,2)&lt;0,-ROUND($G849,2),"")</f>
        <v/>
      </c>
      <c r="J849" s="20" t="n">
        <f aca="false">IF(ROUND($G849,2)=0,0,1)</f>
        <v>0</v>
      </c>
      <c r="K849" s="20" t="str">
        <f aca="false">IF($J849=0,"",SUM($J$838:$J849))</f>
        <v/>
      </c>
      <c r="L849" s="20" t="str">
        <f aca="false">IF($K849="","",$A849*100+$K849)</f>
        <v/>
      </c>
      <c r="M849" s="48" t="str">
        <f aca="false">参数!$B$3</f>
        <v>7月收入</v>
      </c>
    </row>
    <row r="850" customFormat="false" ht="13.5" hidden="false" customHeight="false" outlineLevel="0" collapsed="false">
      <c r="A850" s="47" t="n">
        <v>39</v>
      </c>
      <c r="B850" s="38" t="n">
        <f aca="false">助手收入!$B40</f>
        <v>2062</v>
      </c>
      <c r="C850" s="48" t="str">
        <f aca="false">助手收入!$C40</f>
        <v>西范村店</v>
      </c>
      <c r="D850" s="48" t="str">
        <f aca="false">科目对照收入!$B14&amp;""</f>
        <v>小镇外卖</v>
      </c>
      <c r="E850" s="48" t="str">
        <f aca="false">IF(AND(ROUND($G850,2)&lt;0,科目对照收入!$L14&lt;&gt;""),科目对照收入!$L14,科目对照收入!$C14)&amp;""</f>
        <v>应收账款</v>
      </c>
      <c r="F850" s="48" t="str">
        <f aca="false">IF(AND(ROUND($G850,2)&lt;0,科目对照收入!$L14&lt;&gt;""),科目对照收入!$M14,科目对照收入!$D14)&amp;""</f>
        <v>小镇外卖</v>
      </c>
      <c r="G850" s="49" t="n">
        <f aca="false">IF(COUNTIFS(输入平台!$A:$A,助手收入!$X40,输入平台!$B:$B,科目对照收入!$B14)&gt;0,ROUND(SUMIFS(输入平台!$C:$C,输入平台!$A:$A,助手收入!$X40,输入平台!$B:$B,科目对照收入!$B14),2),ROUND(海典汇总!$AC$41,2))</f>
        <v>0</v>
      </c>
      <c r="H850" s="49" t="str">
        <f aca="false">IF(ROUND($G850,2)&gt;0,ROUND($G850,2),"")</f>
        <v/>
      </c>
      <c r="I850" s="49" t="str">
        <f aca="false">IF(ROUND($G850,2)&lt;0,-ROUND($G850,2),"")</f>
        <v/>
      </c>
      <c r="J850" s="20" t="n">
        <f aca="false">IF(ROUND($G850,2)=0,0,1)</f>
        <v>0</v>
      </c>
      <c r="K850" s="20" t="str">
        <f aca="false">IF($J850=0,"",SUM($J$838:$J850))</f>
        <v/>
      </c>
      <c r="L850" s="20" t="str">
        <f aca="false">IF($K850="","",$A850*100+$K850)</f>
        <v/>
      </c>
      <c r="M850" s="48" t="str">
        <f aca="false">参数!$B$3</f>
        <v>7月收入</v>
      </c>
    </row>
    <row r="851" customFormat="false" ht="13.5" hidden="false" customHeight="false" outlineLevel="0" collapsed="false">
      <c r="A851" s="47" t="n">
        <v>39</v>
      </c>
      <c r="B851" s="38" t="n">
        <f aca="false">助手收入!$B40</f>
        <v>2062</v>
      </c>
      <c r="C851" s="48" t="str">
        <f aca="false">助手收入!$C40</f>
        <v>西范村店</v>
      </c>
      <c r="D851" s="48" t="str">
        <f aca="false">科目对照收入!$B15&amp;""</f>
        <v>OMS线上支付</v>
      </c>
      <c r="E851" s="48" t="str">
        <f aca="false">IF(AND(ROUND($G851,2)&lt;0,科目对照收入!$L15&lt;&gt;""),科目对照收入!$L15,科目对照收入!$C15)&amp;""</f>
        <v>应收账款</v>
      </c>
      <c r="F851" s="48" t="str">
        <f aca="false">IF(AND(ROUND($G851,2)&lt;0,科目对照收入!$L15&lt;&gt;""),科目对照收入!$M15,科目对照收入!$D15)&amp;""</f>
        <v>OMS线上</v>
      </c>
      <c r="G851" s="49" t="n">
        <f aca="false">IF(COUNTIFS(输入平台!$A:$A,助手收入!$X40,输入平台!$B:$B,科目对照收入!$B15)&gt;0,ROUND(SUMIFS(输入平台!$C:$C,输入平台!$A:$A,助手收入!$X40,输入平台!$B:$B,科目对照收入!$B15),2),ROUND(海典汇总!$L$41,2))</f>
        <v>0</v>
      </c>
      <c r="H851" s="49" t="str">
        <f aca="false">IF(ROUND($G851,2)&gt;0,ROUND($G851,2),"")</f>
        <v/>
      </c>
      <c r="I851" s="49" t="str">
        <f aca="false">IF(ROUND($G851,2)&lt;0,-ROUND($G851,2),"")</f>
        <v/>
      </c>
      <c r="J851" s="20" t="n">
        <f aca="false">IF(ROUND($G851,2)=0,0,1)</f>
        <v>0</v>
      </c>
      <c r="K851" s="20" t="str">
        <f aca="false">IF($J851=0,"",SUM($J$838:$J851))</f>
        <v/>
      </c>
      <c r="L851" s="20" t="str">
        <f aca="false">IF($K851="","",$A851*100+$K851)</f>
        <v/>
      </c>
      <c r="M851" s="48" t="str">
        <f aca="false">参数!$B$3</f>
        <v>7月收入</v>
      </c>
    </row>
    <row r="852" customFormat="false" ht="13.5" hidden="false" customHeight="false" outlineLevel="0" collapsed="false">
      <c r="A852" s="47" t="n">
        <v>39</v>
      </c>
      <c r="B852" s="38" t="n">
        <f aca="false">助手收入!$B40</f>
        <v>2062</v>
      </c>
      <c r="C852" s="48" t="str">
        <f aca="false">助手收入!$C40</f>
        <v>西范村店</v>
      </c>
      <c r="D852" s="48" t="str">
        <f aca="false">科目对照收入!$B16&amp;""</f>
        <v>平安药卡</v>
      </c>
      <c r="E852" s="48" t="str">
        <f aca="false">IF(AND(ROUND($G852,2)&lt;0,科目对照收入!$L16&lt;&gt;""),科目对照收入!$L16,科目对照收入!$C16)&amp;""</f>
        <v>应收账款</v>
      </c>
      <c r="F852" s="48" t="str">
        <f aca="false">IF(AND(ROUND($G852,2)&lt;0,科目对照收入!$L16&lt;&gt;""),科目对照收入!$M16,科目对照收入!$D16)&amp;""</f>
        <v>平安</v>
      </c>
      <c r="G852" s="49" t="n">
        <f aca="false">IF(COUNTIFS(输入平台!$A:$A,助手收入!$X40,输入平台!$B:$B,科目对照收入!$B16)&gt;0,ROUND(SUMIFS(输入平台!$C:$C,输入平台!$A:$A,助手收入!$X40,输入平台!$B:$B,科目对照收入!$B16),2),ROUND(海典汇总!$AB$41,2))</f>
        <v>0</v>
      </c>
      <c r="H852" s="49" t="str">
        <f aca="false">IF(ROUND($G852,2)&gt;0,ROUND($G852,2),"")</f>
        <v/>
      </c>
      <c r="I852" s="49" t="str">
        <f aca="false">IF(ROUND($G852,2)&lt;0,-ROUND($G852,2),"")</f>
        <v/>
      </c>
      <c r="J852" s="20" t="n">
        <f aca="false">IF(ROUND($G852,2)=0,0,1)</f>
        <v>0</v>
      </c>
      <c r="K852" s="20" t="str">
        <f aca="false">IF($J852=0,"",SUM($J$838:$J852))</f>
        <v/>
      </c>
      <c r="L852" s="20" t="str">
        <f aca="false">IF($K852="","",$A852*100+$K852)</f>
        <v/>
      </c>
      <c r="M852" s="48" t="str">
        <f aca="false">参数!$B$3</f>
        <v>7月收入</v>
      </c>
    </row>
    <row r="853" customFormat="false" ht="13.5" hidden="false" customHeight="false" outlineLevel="0" collapsed="false">
      <c r="A853" s="47" t="n">
        <v>39</v>
      </c>
      <c r="B853" s="38" t="n">
        <f aca="false">助手收入!$B40</f>
        <v>2062</v>
      </c>
      <c r="C853" s="48" t="str">
        <f aca="false">助手收入!$C40</f>
        <v>西范村店</v>
      </c>
      <c r="D853" s="48" t="str">
        <f aca="false">科目对照收入!$B17&amp;""</f>
        <v>储值卡</v>
      </c>
      <c r="E853" s="48" t="str">
        <f aca="false">IF(AND(ROUND($G853,2)&lt;0,科目对照收入!$L17&lt;&gt;""),科目对照收入!$L17,科目对照收入!$C17)&amp;""</f>
        <v>其他应收款</v>
      </c>
      <c r="F853" s="48" t="str">
        <f aca="false">IF(AND(ROUND($G853,2)&lt;0,科目对照收入!$L17&lt;&gt;""),科目对照收入!$M17,科目对照收入!$D17)&amp;""</f>
        <v>储值卡</v>
      </c>
      <c r="G853" s="49" t="n">
        <f aca="false">ROUND(海典汇总!$Q$41,2)</f>
        <v>0</v>
      </c>
      <c r="H853" s="49" t="str">
        <f aca="false">IF(ROUND($G853,2)&gt;0,ROUND($G853,2),"")</f>
        <v/>
      </c>
      <c r="I853" s="49" t="str">
        <f aca="false">IF(ROUND($G853,2)&lt;0,-ROUND($G853,2),"")</f>
        <v/>
      </c>
      <c r="J853" s="20" t="n">
        <f aca="false">IF(ROUND($G853,2)=0,0,1)</f>
        <v>0</v>
      </c>
      <c r="K853" s="20" t="str">
        <f aca="false">IF($J853=0,"",SUM($J$838:$J853))</f>
        <v/>
      </c>
      <c r="L853" s="20" t="str">
        <f aca="false">IF($K853="","",$A853*100+$K853)</f>
        <v/>
      </c>
      <c r="M853" s="48" t="str">
        <f aca="false">参数!$B$3</f>
        <v>7月收入</v>
      </c>
    </row>
    <row r="854" customFormat="false" ht="13.5" hidden="false" customHeight="false" outlineLevel="0" collapsed="false">
      <c r="A854" s="47" t="n">
        <v>39</v>
      </c>
      <c r="B854" s="38" t="n">
        <f aca="false">助手收入!$B40</f>
        <v>2062</v>
      </c>
      <c r="C854" s="48" t="str">
        <f aca="false">助手收入!$C40</f>
        <v>西范村店</v>
      </c>
      <c r="D854" s="48" t="str">
        <f aca="false">科目对照收入!$B18&amp;""</f>
        <v>会员零钱包</v>
      </c>
      <c r="E854" s="48" t="str">
        <f aca="false">IF(AND(ROUND($G854,2)&lt;0,科目对照收入!$L18&lt;&gt;""),科目对照收入!$L18,科目对照收入!$C18)&amp;""</f>
        <v>其他应收款</v>
      </c>
      <c r="F854" s="48" t="str">
        <f aca="false">IF(AND(ROUND($G854,2)&lt;0,科目对照收入!$L18&lt;&gt;""),科目对照收入!$M18,科目对照收入!$D18)&amp;""</f>
        <v>会员零钱包</v>
      </c>
      <c r="G854" s="49" t="n">
        <f aca="false">ROUND(海典汇总!$P$41,2)</f>
        <v>0</v>
      </c>
      <c r="H854" s="49" t="str">
        <f aca="false">IF(ROUND($G854,2)&gt;0,ROUND($G854,2),"")</f>
        <v/>
      </c>
      <c r="I854" s="49" t="str">
        <f aca="false">IF(ROUND($G854,2)&lt;0,-ROUND($G854,2),"")</f>
        <v/>
      </c>
      <c r="J854" s="20" t="n">
        <f aca="false">IF(ROUND($G854,2)=0,0,1)</f>
        <v>0</v>
      </c>
      <c r="K854" s="20" t="str">
        <f aca="false">IF($J854=0,"",SUM($J$838:$J854))</f>
        <v/>
      </c>
      <c r="L854" s="20" t="str">
        <f aca="false">IF($K854="","",$A854*100+$K854)</f>
        <v/>
      </c>
      <c r="M854" s="48" t="str">
        <f aca="false">参数!$B$3</f>
        <v>7月收入</v>
      </c>
    </row>
    <row r="855" customFormat="false" ht="13.5" hidden="false" customHeight="false" outlineLevel="0" collapsed="false">
      <c r="A855" s="47" t="n">
        <v>39</v>
      </c>
      <c r="B855" s="38" t="n">
        <f aca="false">助手收入!$B40</f>
        <v>2062</v>
      </c>
      <c r="C855" s="48" t="str">
        <f aca="false">助手收入!$C40</f>
        <v>西范村店</v>
      </c>
      <c r="D855" s="48" t="str">
        <f aca="false">科目对照收入!$B19&amp;""</f>
        <v>促销费</v>
      </c>
      <c r="E855" s="48" t="str">
        <f aca="false">IF(AND(ROUND($G855,2)&lt;0,科目对照收入!$L19&lt;&gt;""),科目对照收入!$L19,科目对照收入!$C19)&amp;""</f>
        <v>销售费用</v>
      </c>
      <c r="F855" s="48" t="str">
        <f aca="false">IF(AND(ROUND($G855,2)&lt;0,科目对照收入!$L19&lt;&gt;""),科目对照收入!$M19,科目对照收入!$D19)&amp;""</f>
        <v>促销费</v>
      </c>
      <c r="G855" s="49" t="n">
        <f aca="false">ROUND(海典汇总!$U$41+海典汇总!$T$41+海典汇总!$S$41,2)</f>
        <v>1208.72</v>
      </c>
      <c r="H855" s="49" t="n">
        <f aca="false">IF(ROUND($G855,2)&gt;0,ROUND($G855,2),"")</f>
        <v>1208.72</v>
      </c>
      <c r="I855" s="49" t="str">
        <f aca="false">IF(ROUND($G855,2)&lt;0,-ROUND($G855,2),"")</f>
        <v/>
      </c>
      <c r="J855" s="20" t="n">
        <f aca="false">IF(ROUND($G855,2)=0,0,1)</f>
        <v>1</v>
      </c>
      <c r="K855" s="20" t="n">
        <f aca="false">IF($J855=0,"",SUM($J$838:$J855))</f>
        <v>5</v>
      </c>
      <c r="L855" s="20" t="n">
        <f aca="false">IF($K855="","",$A855*100+$K855)</f>
        <v>3905</v>
      </c>
      <c r="M855" s="48" t="str">
        <f aca="false">参数!$B$3</f>
        <v>7月收入</v>
      </c>
    </row>
    <row r="856" customFormat="false" ht="13.5" hidden="false" customHeight="false" outlineLevel="0" collapsed="false">
      <c r="A856" s="47" t="n">
        <v>39</v>
      </c>
      <c r="B856" s="38" t="n">
        <f aca="false">助手收入!$B40</f>
        <v>2062</v>
      </c>
      <c r="C856" s="48" t="str">
        <f aca="false">助手收入!$C40</f>
        <v>西范村店</v>
      </c>
      <c r="D856" s="48" t="str">
        <f aca="false">科目对照收入!$B20&amp;""</f>
        <v>积分</v>
      </c>
      <c r="E856" s="48" t="str">
        <f aca="false">IF(AND(ROUND($G856,2)&lt;0,科目对照收入!$L20&lt;&gt;""),科目对照收入!$L20,科目对照收入!$C20)&amp;""</f>
        <v>销售费用</v>
      </c>
      <c r="F856" s="48" t="str">
        <f aca="false">IF(AND(ROUND($G856,2)&lt;0,科目对照收入!$L20&lt;&gt;""),科目对照收入!$M20,科目对照收入!$D20)&amp;""</f>
        <v>积分</v>
      </c>
      <c r="G856" s="49" t="n">
        <f aca="false">ROUND(海典汇总!$R$41,2)</f>
        <v>0</v>
      </c>
      <c r="H856" s="49" t="str">
        <f aca="false">IF(ROUND($G856,2)&gt;0,ROUND($G856,2),"")</f>
        <v/>
      </c>
      <c r="I856" s="49" t="str">
        <f aca="false">IF(ROUND($G856,2)&lt;0,-ROUND($G856,2),"")</f>
        <v/>
      </c>
      <c r="J856" s="20" t="n">
        <f aca="false">IF(ROUND($G856,2)=0,0,1)</f>
        <v>0</v>
      </c>
      <c r="K856" s="20" t="str">
        <f aca="false">IF($J856=0,"",SUM($J$838:$J856))</f>
        <v/>
      </c>
      <c r="L856" s="20" t="str">
        <f aca="false">IF($K856="","",$A856*100+$K856)</f>
        <v/>
      </c>
      <c r="M856" s="48" t="str">
        <f aca="false">参数!$B$3</f>
        <v>7月收入</v>
      </c>
    </row>
    <row r="857" customFormat="false" ht="13.5" hidden="false" customHeight="false" outlineLevel="0" collapsed="false">
      <c r="A857" s="47" t="n">
        <v>39</v>
      </c>
      <c r="B857" s="38" t="n">
        <f aca="false">助手收入!$B40</f>
        <v>2062</v>
      </c>
      <c r="C857" s="48" t="str">
        <f aca="false">助手收入!$C40</f>
        <v>西范村店</v>
      </c>
      <c r="D857" s="48" t="str">
        <f aca="false">科目对照收入!$B21&amp;""</f>
        <v>手续费</v>
      </c>
      <c r="E857" s="48" t="str">
        <f aca="false">IF(AND(ROUND($G857,2)&lt;0,科目对照收入!$L21&lt;&gt;""),科目对照收入!$L21,科目对照收入!$C21)&amp;""</f>
        <v>财务费用</v>
      </c>
      <c r="F857" s="48" t="str">
        <f aca="false">IF(AND(ROUND($G857,2)&lt;0,科目对照收入!$L21&lt;&gt;""),科目对照收入!$M21,科目对照收入!$D21)&amp;""</f>
        <v>手续费</v>
      </c>
      <c r="G857" s="49" t="n">
        <f aca="false">ROUND(SUMIFS(输入聚合!$D:$D,输入聚合!$A:$A,助手收入!$X40),2)</f>
        <v>136.48</v>
      </c>
      <c r="H857" s="49" t="n">
        <f aca="false">IF(ROUND($G857,2)&gt;0,ROUND($G857,2),"")</f>
        <v>136.48</v>
      </c>
      <c r="I857" s="49" t="str">
        <f aca="false">IF(ROUND($G857,2)&lt;0,-ROUND($G857,2),"")</f>
        <v/>
      </c>
      <c r="J857" s="20" t="n">
        <f aca="false">IF(ROUND($G857,2)=0,0,1)</f>
        <v>1</v>
      </c>
      <c r="K857" s="20" t="n">
        <f aca="false">IF($J857=0,"",SUM($J$838:$J857))</f>
        <v>6</v>
      </c>
      <c r="L857" s="20" t="n">
        <f aca="false">IF($K857="","",$A857*100+$K857)</f>
        <v>3906</v>
      </c>
      <c r="M857" s="48" t="str">
        <f aca="false">参数!$B$3</f>
        <v>7月收入</v>
      </c>
    </row>
    <row r="858" customFormat="false" ht="13.5" hidden="false" customHeight="false" outlineLevel="0" collapsed="false">
      <c r="A858" s="47" t="n">
        <v>39</v>
      </c>
      <c r="B858" s="38" t="n">
        <f aca="false">助手收入!$B40</f>
        <v>2062</v>
      </c>
      <c r="C858" s="48" t="str">
        <f aca="false">助手收入!$C40</f>
        <v>西范村店</v>
      </c>
      <c r="D858" s="48" t="str">
        <f aca="false">科目对照收入!$B22&amp;""</f>
        <v>主营业务收入</v>
      </c>
      <c r="E858" s="48" t="str">
        <f aca="false">IF(AND(ROUND($G858,2)&lt;0,科目对照收入!$L22&lt;&gt;""),科目对照收入!$L22,科目对照收入!$C22)&amp;""</f>
        <v>主营业务收入</v>
      </c>
      <c r="F858" s="48" t="str">
        <f aca="false">IF(AND(ROUND($G858,2)&lt;0,科目对照收入!$L22&lt;&gt;""),科目对照收入!$M22,科目对照收入!$D22)&amp;""</f>
        <v/>
      </c>
      <c r="G858" s="49" t="n">
        <f aca="false">-ROUND(助手收入!$G40,2)</f>
        <v>-69904.45</v>
      </c>
      <c r="H858" s="49" t="str">
        <f aca="false">IF(ROUND($G858,2)&gt;0,ROUND($G858,2),"")</f>
        <v/>
      </c>
      <c r="I858" s="49" t="n">
        <f aca="false">IF(ROUND($G858,2)&lt;0,-ROUND($G858,2),"")</f>
        <v>69904.45</v>
      </c>
      <c r="J858" s="20" t="n">
        <f aca="false">IF(ROUND($G858,2)=0,0,1)</f>
        <v>1</v>
      </c>
      <c r="K858" s="20" t="n">
        <f aca="false">IF($J858=0,"",SUM($J$838:$J858))</f>
        <v>7</v>
      </c>
      <c r="L858" s="20" t="n">
        <f aca="false">IF($K858="","",$A858*100+$K858)</f>
        <v>3907</v>
      </c>
      <c r="M858" s="48" t="str">
        <f aca="false">参数!$B$3</f>
        <v>7月收入</v>
      </c>
    </row>
    <row r="859" customFormat="false" ht="13.5" hidden="false" customHeight="false" outlineLevel="0" collapsed="false">
      <c r="A859" s="47" t="n">
        <v>39</v>
      </c>
      <c r="B859" s="38" t="n">
        <f aca="false">助手收入!$B40</f>
        <v>2062</v>
      </c>
      <c r="C859" s="48" t="str">
        <f aca="false">助手收入!$C40</f>
        <v>西范村店</v>
      </c>
      <c r="D859" s="48" t="str">
        <f aca="false">科目对照收入!$B23&amp;""</f>
        <v>营业外收入</v>
      </c>
      <c r="E859" s="48" t="str">
        <f aca="false">IF(AND(ROUND($G859,2)&lt;0,科目对照收入!$L23&lt;&gt;""),科目对照收入!$L23,科目对照收入!$C23)&amp;""</f>
        <v>营业外收入</v>
      </c>
      <c r="F859" s="48" t="str">
        <f aca="false">IF(AND(ROUND($G859,2)&lt;0,科目对照收入!$L23&lt;&gt;""),科目对照收入!$M23,科目对照收入!$D23)&amp;""</f>
        <v/>
      </c>
      <c r="G859" s="49" t="n">
        <f aca="false">-ROUND(助手收入!$J40,2)</f>
        <v>-0</v>
      </c>
      <c r="H859" s="49" t="str">
        <f aca="false">IF(ROUND($G859,2)&gt;0,ROUND($G859,2),"")</f>
        <v/>
      </c>
      <c r="I859" s="49" t="str">
        <f aca="false">IF(ROUND($G859,2)&lt;0,-ROUND($G859,2),"")</f>
        <v/>
      </c>
      <c r="J859" s="20" t="n">
        <f aca="false">IF(ROUND($G859,2)=0,0,1)</f>
        <v>0</v>
      </c>
      <c r="K859" s="20" t="str">
        <f aca="false">IF($J859=0,"",SUM($J$838:$J859))</f>
        <v/>
      </c>
      <c r="L859" s="20" t="str">
        <f aca="false">IF($K859="","",$A859*100+$K859)</f>
        <v/>
      </c>
      <c r="M859" s="48" t="str">
        <f aca="false">参数!$B$3</f>
        <v>7月收入</v>
      </c>
    </row>
    <row r="860" customFormat="false" ht="13.5" hidden="false" customHeight="false" outlineLevel="0" collapsed="false">
      <c r="A860" s="47" t="n">
        <v>40</v>
      </c>
      <c r="B860" s="38" t="n">
        <f aca="false">助手收入!$B41</f>
        <v>2063</v>
      </c>
      <c r="C860" s="48" t="str">
        <f aca="false">助手收入!$C41</f>
        <v>博医店</v>
      </c>
      <c r="D860" s="48" t="str">
        <f aca="false">科目对照收入!$B2&amp;""</f>
        <v>库存现金</v>
      </c>
      <c r="E860" s="48" t="str">
        <f aca="false">IF(AND(ROUND($G860,2)&lt;0,科目对照收入!$L2&lt;&gt;""),科目对照收入!$L2,科目对照收入!$C2)&amp;""</f>
        <v>库存现金</v>
      </c>
      <c r="F860" s="48" t="str">
        <f aca="false">IF(AND(ROUND($G860,2)&lt;0,科目对照收入!$L2&lt;&gt;""),科目对照收入!$M2,科目对照收入!$D2)&amp;""</f>
        <v/>
      </c>
      <c r="G860" s="49" t="n">
        <f aca="false">助手收入!$I41</f>
        <v>46487.34</v>
      </c>
      <c r="H860" s="49" t="n">
        <f aca="false">IF(ROUND($G860,2)&gt;0,ROUND($G860,2),"")</f>
        <v>46487.34</v>
      </c>
      <c r="I860" s="49" t="str">
        <f aca="false">IF(ROUND($G860,2)&lt;0,-ROUND($G860,2),"")</f>
        <v/>
      </c>
      <c r="J860" s="20" t="n">
        <f aca="false">IF(ROUND($G860,2)=0,0,1)</f>
        <v>1</v>
      </c>
      <c r="K860" s="20" t="n">
        <f aca="false">IF($J860=0,"",SUM($J$860:$J860))</f>
        <v>1</v>
      </c>
      <c r="L860" s="20" t="n">
        <f aca="false">IF($K860="","",$A860*100+$K860)</f>
        <v>4001</v>
      </c>
      <c r="M860" s="48" t="str">
        <f aca="false">参数!$B$3</f>
        <v>7月收入</v>
      </c>
    </row>
    <row r="861" customFormat="false" ht="13.5" hidden="false" customHeight="false" outlineLevel="0" collapsed="false">
      <c r="A861" s="47" t="n">
        <v>40</v>
      </c>
      <c r="B861" s="38" t="n">
        <f aca="false">助手收入!$B41</f>
        <v>2063</v>
      </c>
      <c r="C861" s="48" t="str">
        <f aca="false">助手收入!$C41</f>
        <v>博医店</v>
      </c>
      <c r="D861" s="48" t="str">
        <f aca="false">科目对照收入!$B3&amp;""</f>
        <v>聚合支付</v>
      </c>
      <c r="E861" s="48" t="str">
        <f aca="false">IF(AND(ROUND($G861,2)&lt;0,科目对照收入!$L3&lt;&gt;""),科目对照收入!$L3,科目对照收入!$C3)&amp;""</f>
        <v>应收账款</v>
      </c>
      <c r="F861" s="48" t="str">
        <f aca="false">IF(AND(ROUND($G861,2)&lt;0,科目对照收入!$L3&lt;&gt;""),科目对照收入!$M3,科目对照收入!$D3)&amp;""</f>
        <v>聚合支付</v>
      </c>
      <c r="G861" s="49" t="n">
        <f aca="false">ROUND(SUMIFS(输入聚合!$C:$C,输入聚合!$A:$A,助手收入!$X41)-SUMIFS(输入聚合!$D:$D,输入聚合!$A:$A,助手收入!$X41),2)</f>
        <v>11657.45</v>
      </c>
      <c r="H861" s="49" t="n">
        <f aca="false">IF(ROUND($G861,2)&gt;0,ROUND($G861,2),"")</f>
        <v>11657.45</v>
      </c>
      <c r="I861" s="49" t="str">
        <f aca="false">IF(ROUND($G861,2)&lt;0,-ROUND($G861,2),"")</f>
        <v/>
      </c>
      <c r="J861" s="20" t="n">
        <f aca="false">IF(ROUND($G861,2)=0,0,1)</f>
        <v>1</v>
      </c>
      <c r="K861" s="20" t="n">
        <f aca="false">IF($J861=0,"",SUM($J$860:$J861))</f>
        <v>2</v>
      </c>
      <c r="L861" s="20" t="n">
        <f aca="false">IF($K861="","",$A861*100+$K861)</f>
        <v>4002</v>
      </c>
      <c r="M861" s="48" t="str">
        <f aca="false">参数!$B$3</f>
        <v>7月收入</v>
      </c>
    </row>
    <row r="862" customFormat="false" ht="13.5" hidden="false" customHeight="false" outlineLevel="0" collapsed="false">
      <c r="A862" s="47" t="n">
        <v>40</v>
      </c>
      <c r="B862" s="38" t="n">
        <f aca="false">助手收入!$B41</f>
        <v>2063</v>
      </c>
      <c r="C862" s="48" t="str">
        <f aca="false">助手收入!$C41</f>
        <v>博医店</v>
      </c>
      <c r="D862" s="48" t="str">
        <f aca="false">科目对照收入!$B4&amp;""</f>
        <v>医保</v>
      </c>
      <c r="E862" s="48" t="str">
        <f aca="false">IF(AND(ROUND($G862,2)&lt;0,科目对照收入!$L4&lt;&gt;""),科目对照收入!$L4,科目对照收入!$C4)&amp;""</f>
        <v>应收账款</v>
      </c>
      <c r="F862" s="48" t="str">
        <f aca="false">IF(AND(ROUND($G862,2)&lt;0,科目对照收入!$L4&lt;&gt;""),科目对照收入!$M4,科目对照收入!$D4)&amp;""</f>
        <v>医保</v>
      </c>
      <c r="G862" s="49" t="n">
        <f aca="false">IF(COUNTIFS(输入平台!$A:$A,助手收入!$X41,输入平台!$B:$B,科目对照收入!$B4)&gt;0,ROUND(SUMIFS(输入平台!$C:$C,输入平台!$A:$A,助手收入!$X41,输入平台!$B:$B,科目对照收入!$B4),2),ROUND(海典汇总!$F$42+海典汇总!$G$42,2))</f>
        <v>30171.06</v>
      </c>
      <c r="H862" s="49" t="n">
        <f aca="false">IF(ROUND($G862,2)&gt;0,ROUND($G862,2),"")</f>
        <v>30171.06</v>
      </c>
      <c r="I862" s="49" t="str">
        <f aca="false">IF(ROUND($G862,2)&lt;0,-ROUND($G862,2),"")</f>
        <v/>
      </c>
      <c r="J862" s="20" t="n">
        <f aca="false">IF(ROUND($G862,2)=0,0,1)</f>
        <v>1</v>
      </c>
      <c r="K862" s="20" t="n">
        <f aca="false">IF($J862=0,"",SUM($J$860:$J862))</f>
        <v>3</v>
      </c>
      <c r="L862" s="20" t="n">
        <f aca="false">IF($K862="","",$A862*100+$K862)</f>
        <v>4003</v>
      </c>
      <c r="M862" s="48" t="str">
        <f aca="false">参数!$B$3</f>
        <v>7月收入</v>
      </c>
    </row>
    <row r="863" customFormat="false" ht="13.5" hidden="false" customHeight="false" outlineLevel="0" collapsed="false">
      <c r="A863" s="47" t="n">
        <v>40</v>
      </c>
      <c r="B863" s="38" t="n">
        <f aca="false">助手收入!$B41</f>
        <v>2063</v>
      </c>
      <c r="C863" s="48" t="str">
        <f aca="false">助手收入!$C41</f>
        <v>博医店</v>
      </c>
      <c r="D863" s="48" t="str">
        <f aca="false">科目对照收入!$B5&amp;""</f>
        <v>健e卡</v>
      </c>
      <c r="E863" s="48" t="str">
        <f aca="false">IF(AND(ROUND($G863,2)&lt;0,科目对照收入!$L5&lt;&gt;""),科目对照收入!$L5,科目对照收入!$C5)&amp;""</f>
        <v>应收账款</v>
      </c>
      <c r="F863" s="48" t="str">
        <f aca="false">IF(AND(ROUND($G863,2)&lt;0,科目对照收入!$L5&lt;&gt;""),科目对照收入!$M5,科目对照收入!$D5)&amp;""</f>
        <v>健e卡</v>
      </c>
      <c r="G863" s="49" t="n">
        <f aca="false">IF(COUNTIFS(输入平台!$A:$A,助手收入!$X41,输入平台!$B:$B,科目对照收入!$B5)&gt;0,ROUND(SUMIFS(输入平台!$C:$C,输入平台!$A:$A,助手收入!$X41,输入平台!$B:$B,科目对照收入!$B5),2),ROUND(海典汇总!$H$42,2))</f>
        <v>12209.19</v>
      </c>
      <c r="H863" s="49" t="n">
        <f aca="false">IF(ROUND($G863,2)&gt;0,ROUND($G863,2),"")</f>
        <v>12209.19</v>
      </c>
      <c r="I863" s="49" t="str">
        <f aca="false">IF(ROUND($G863,2)&lt;0,-ROUND($G863,2),"")</f>
        <v/>
      </c>
      <c r="J863" s="20" t="n">
        <f aca="false">IF(ROUND($G863,2)=0,0,1)</f>
        <v>1</v>
      </c>
      <c r="K863" s="20" t="n">
        <f aca="false">IF($J863=0,"",SUM($J$860:$J863))</f>
        <v>4</v>
      </c>
      <c r="L863" s="20" t="n">
        <f aca="false">IF($K863="","",$A863*100+$K863)</f>
        <v>4004</v>
      </c>
      <c r="M863" s="48" t="str">
        <f aca="false">参数!$B$3</f>
        <v>7月收入</v>
      </c>
    </row>
    <row r="864" customFormat="false" ht="13.5" hidden="false" customHeight="false" outlineLevel="0" collapsed="false">
      <c r="A864" s="47" t="n">
        <v>40</v>
      </c>
      <c r="B864" s="38" t="n">
        <f aca="false">助手收入!$B41</f>
        <v>2063</v>
      </c>
      <c r="C864" s="48" t="str">
        <f aca="false">助手收入!$C41</f>
        <v>博医店</v>
      </c>
      <c r="D864" s="48" t="str">
        <f aca="false">科目对照收入!$B6&amp;""</f>
        <v>医卡通</v>
      </c>
      <c r="E864" s="48" t="str">
        <f aca="false">IF(AND(ROUND($G864,2)&lt;0,科目对照收入!$L6&lt;&gt;""),科目对照收入!$L6,科目对照收入!$C6)&amp;""</f>
        <v>应收账款</v>
      </c>
      <c r="F864" s="48" t="str">
        <f aca="false">IF(AND(ROUND($G864,2)&lt;0,科目对照收入!$L6&lt;&gt;""),科目对照收入!$M6,科目对照收入!$D6)&amp;""</f>
        <v>医卡通</v>
      </c>
      <c r="G864" s="49" t="n">
        <f aca="false">IF(COUNTIFS(输入平台!$A:$A,助手收入!$X41,输入平台!$B:$B,科目对照收入!$B6)&gt;0,ROUND(SUMIFS(输入平台!$C:$C,输入平台!$A:$A,助手收入!$X41,输入平台!$B:$B,科目对照收入!$B6),2),ROUND(海典汇总!$I$42,2))</f>
        <v>0</v>
      </c>
      <c r="H864" s="49" t="str">
        <f aca="false">IF(ROUND($G864,2)&gt;0,ROUND($G864,2),"")</f>
        <v/>
      </c>
      <c r="I864" s="49" t="str">
        <f aca="false">IF(ROUND($G864,2)&lt;0,-ROUND($G864,2),"")</f>
        <v/>
      </c>
      <c r="J864" s="20" t="n">
        <f aca="false">IF(ROUND($G864,2)=0,0,1)</f>
        <v>0</v>
      </c>
      <c r="K864" s="20" t="str">
        <f aca="false">IF($J864=0,"",SUM($J$860:$J864))</f>
        <v/>
      </c>
      <c r="L864" s="20" t="str">
        <f aca="false">IF($K864="","",$A864*100+$K864)</f>
        <v/>
      </c>
      <c r="M864" s="48" t="str">
        <f aca="false">参数!$B$3</f>
        <v>7月收入</v>
      </c>
    </row>
    <row r="865" customFormat="false" ht="13.5" hidden="false" customHeight="false" outlineLevel="0" collapsed="false">
      <c r="A865" s="47" t="n">
        <v>40</v>
      </c>
      <c r="B865" s="38" t="n">
        <f aca="false">助手收入!$B41</f>
        <v>2063</v>
      </c>
      <c r="C865" s="48" t="str">
        <f aca="false">助手收入!$C41</f>
        <v>博医店</v>
      </c>
      <c r="D865" s="48" t="str">
        <f aca="false">科目对照收入!$B7&amp;""</f>
        <v>企健网</v>
      </c>
      <c r="E865" s="48" t="str">
        <f aca="false">IF(AND(ROUND($G865,2)&lt;0,科目对照收入!$L7&lt;&gt;""),科目对照收入!$L7,科目对照收入!$C7)&amp;""</f>
        <v>应收账款</v>
      </c>
      <c r="F865" s="48" t="str">
        <f aca="false">IF(AND(ROUND($G865,2)&lt;0,科目对照收入!$L7&lt;&gt;""),科目对照收入!$M7,科目对照收入!$D7)&amp;""</f>
        <v>企健网</v>
      </c>
      <c r="G865" s="49" t="n">
        <f aca="false">IF(COUNTIFS(输入平台!$A:$A,助手收入!$X41,输入平台!$B:$B,科目对照收入!$B7)&gt;0,ROUND(SUMIFS(输入平台!$C:$C,输入平台!$A:$A,助手收入!$X41,输入平台!$B:$B,科目对照收入!$B7),2),ROUND(海典汇总!$J$42,2))</f>
        <v>0</v>
      </c>
      <c r="H865" s="49" t="str">
        <f aca="false">IF(ROUND($G865,2)&gt;0,ROUND($G865,2),"")</f>
        <v/>
      </c>
      <c r="I865" s="49" t="str">
        <f aca="false">IF(ROUND($G865,2)&lt;0,-ROUND($G865,2),"")</f>
        <v/>
      </c>
      <c r="J865" s="20" t="n">
        <f aca="false">IF(ROUND($G865,2)=0,0,1)</f>
        <v>0</v>
      </c>
      <c r="K865" s="20" t="str">
        <f aca="false">IF($J865=0,"",SUM($J$860:$J865))</f>
        <v/>
      </c>
      <c r="L865" s="20" t="str">
        <f aca="false">IF($K865="","",$A865*100+$K865)</f>
        <v/>
      </c>
      <c r="M865" s="48" t="str">
        <f aca="false">参数!$B$3</f>
        <v>7月收入</v>
      </c>
    </row>
    <row r="866" customFormat="false" ht="13.5" hidden="false" customHeight="false" outlineLevel="0" collapsed="false">
      <c r="A866" s="47" t="n">
        <v>40</v>
      </c>
      <c r="B866" s="38" t="n">
        <f aca="false">助手收入!$B41</f>
        <v>2063</v>
      </c>
      <c r="C866" s="48" t="str">
        <f aca="false">助手收入!$C41</f>
        <v>博医店</v>
      </c>
      <c r="D866" s="48" t="str">
        <f aca="false">科目对照收入!$B8&amp;""</f>
        <v>亲情卡</v>
      </c>
      <c r="E866" s="48" t="str">
        <f aca="false">IF(AND(ROUND($G866,2)&lt;0,科目对照收入!$L8&lt;&gt;""),科目对照收入!$L8,科目对照收入!$C8)&amp;""</f>
        <v>应收账款</v>
      </c>
      <c r="F866" s="48" t="str">
        <f aca="false">IF(AND(ROUND($G866,2)&lt;0,科目对照收入!$L8&lt;&gt;""),科目对照收入!$M8,科目对照收入!$D8)&amp;""</f>
        <v>亲情卡</v>
      </c>
      <c r="G866" s="49" t="n">
        <f aca="false">IF(COUNTIFS(输入平台!$A:$A,助手收入!$X41,输入平台!$B:$B,科目对照收入!$B8)&gt;0,ROUND(SUMIFS(输入平台!$C:$C,输入平台!$A:$A,助手收入!$X41,输入平台!$B:$B,科目对照收入!$B8),2),ROUND(海典汇总!$Z$42,2))</f>
        <v>0</v>
      </c>
      <c r="H866" s="49" t="str">
        <f aca="false">IF(ROUND($G866,2)&gt;0,ROUND($G866,2),"")</f>
        <v/>
      </c>
      <c r="I866" s="49" t="str">
        <f aca="false">IF(ROUND($G866,2)&lt;0,-ROUND($G866,2),"")</f>
        <v/>
      </c>
      <c r="J866" s="20" t="n">
        <f aca="false">IF(ROUND($G866,2)=0,0,1)</f>
        <v>0</v>
      </c>
      <c r="K866" s="20" t="str">
        <f aca="false">IF($J866=0,"",SUM($J$860:$J866))</f>
        <v/>
      </c>
      <c r="L866" s="20" t="str">
        <f aca="false">IF($K866="","",$A866*100+$K866)</f>
        <v/>
      </c>
      <c r="M866" s="48" t="str">
        <f aca="false">参数!$B$3</f>
        <v>7月收入</v>
      </c>
    </row>
    <row r="867" customFormat="false" ht="13.5" hidden="false" customHeight="false" outlineLevel="0" collapsed="false">
      <c r="A867" s="47" t="n">
        <v>40</v>
      </c>
      <c r="B867" s="38" t="n">
        <f aca="false">助手收入!$B41</f>
        <v>2063</v>
      </c>
      <c r="C867" s="48" t="str">
        <f aca="false">助手收入!$C41</f>
        <v>博医店</v>
      </c>
      <c r="D867" s="48" t="str">
        <f aca="false">科目对照收入!$B9&amp;""</f>
        <v>24小时</v>
      </c>
      <c r="E867" s="48" t="str">
        <f aca="false">IF(AND(ROUND($G867,2)&lt;0,科目对照收入!$L9&lt;&gt;""),科目对照收入!$L9,科目对照收入!$C9)&amp;""</f>
        <v>应收账款</v>
      </c>
      <c r="F867" s="48" t="str">
        <f aca="false">IF(AND(ROUND($G867,2)&lt;0,科目对照收入!$L9&lt;&gt;""),科目对照收入!$M9,科目对照收入!$D9)&amp;""</f>
        <v>24小时</v>
      </c>
      <c r="G867" s="49" t="n">
        <f aca="false">IF(COUNTIFS(输入平台!$A:$A,助手收入!$X41,输入平台!$B:$B,科目对照收入!$B9)&gt;0,ROUND(SUMIFS(输入平台!$C:$C,输入平台!$A:$A,助手收入!$X41,输入平台!$B:$B,科目对照收入!$B9),2),ROUND(海典汇总!$K$42,2))</f>
        <v>2268.7</v>
      </c>
      <c r="H867" s="49" t="n">
        <f aca="false">IF(ROUND($G867,2)&gt;0,ROUND($G867,2),"")</f>
        <v>2268.7</v>
      </c>
      <c r="I867" s="49" t="str">
        <f aca="false">IF(ROUND($G867,2)&lt;0,-ROUND($G867,2),"")</f>
        <v/>
      </c>
      <c r="J867" s="20" t="n">
        <f aca="false">IF(ROUND($G867,2)=0,0,1)</f>
        <v>1</v>
      </c>
      <c r="K867" s="20" t="n">
        <f aca="false">IF($J867=0,"",SUM($J$860:$J867))</f>
        <v>5</v>
      </c>
      <c r="L867" s="20" t="n">
        <f aca="false">IF($K867="","",$A867*100+$K867)</f>
        <v>4005</v>
      </c>
      <c r="M867" s="48" t="str">
        <f aca="false">参数!$B$3</f>
        <v>7月收入</v>
      </c>
    </row>
    <row r="868" customFormat="false" ht="13.5" hidden="false" customHeight="false" outlineLevel="0" collapsed="false">
      <c r="A868" s="47" t="n">
        <v>40</v>
      </c>
      <c r="B868" s="38" t="n">
        <f aca="false">助手收入!$B41</f>
        <v>2063</v>
      </c>
      <c r="C868" s="48" t="str">
        <f aca="false">助手收入!$C41</f>
        <v>博医店</v>
      </c>
      <c r="D868" s="48" t="str">
        <f aca="false">科目对照收入!$B10&amp;""</f>
        <v>美团</v>
      </c>
      <c r="E868" s="48" t="str">
        <f aca="false">IF(AND(ROUND($G868,2)&lt;0,科目对照收入!$L10&lt;&gt;""),科目对照收入!$L10,科目对照收入!$C10)&amp;""</f>
        <v>应收账款</v>
      </c>
      <c r="F868" s="48" t="str">
        <f aca="false">IF(AND(ROUND($G868,2)&lt;0,科目对照收入!$L10&lt;&gt;""),科目对照收入!$M10,科目对照收入!$D10)&amp;""</f>
        <v>美团</v>
      </c>
      <c r="G868" s="49" t="n">
        <f aca="false">IF(COUNTIFS(输入平台!$A:$A,助手收入!$X41,输入平台!$B:$B,科目对照收入!$B10)&gt;0,ROUND(SUMIFS(输入平台!$C:$C,输入平台!$A:$A,助手收入!$X41,输入平台!$B:$B,科目对照收入!$B10),2),ROUND(海典汇总!$M$42,2))</f>
        <v>59</v>
      </c>
      <c r="H868" s="49" t="n">
        <f aca="false">IF(ROUND($G868,2)&gt;0,ROUND($G868,2),"")</f>
        <v>59</v>
      </c>
      <c r="I868" s="49" t="str">
        <f aca="false">IF(ROUND($G868,2)&lt;0,-ROUND($G868,2),"")</f>
        <v/>
      </c>
      <c r="J868" s="20" t="n">
        <f aca="false">IF(ROUND($G868,2)=0,0,1)</f>
        <v>1</v>
      </c>
      <c r="K868" s="20" t="n">
        <f aca="false">IF($J868=0,"",SUM($J$860:$J868))</f>
        <v>6</v>
      </c>
      <c r="L868" s="20" t="n">
        <f aca="false">IF($K868="","",$A868*100+$K868)</f>
        <v>4006</v>
      </c>
      <c r="M868" s="48" t="str">
        <f aca="false">参数!$B$3</f>
        <v>7月收入</v>
      </c>
    </row>
    <row r="869" customFormat="false" ht="13.5" hidden="false" customHeight="false" outlineLevel="0" collapsed="false">
      <c r="A869" s="47" t="n">
        <v>40</v>
      </c>
      <c r="B869" s="38" t="n">
        <f aca="false">助手收入!$B41</f>
        <v>2063</v>
      </c>
      <c r="C869" s="48" t="str">
        <f aca="false">助手收入!$C41</f>
        <v>博医店</v>
      </c>
      <c r="D869" s="48" t="str">
        <f aca="false">科目对照收入!$B11&amp;""</f>
        <v>饿了么</v>
      </c>
      <c r="E869" s="48" t="str">
        <f aca="false">IF(AND(ROUND($G869,2)&lt;0,科目对照收入!$L11&lt;&gt;""),科目对照收入!$L11,科目对照收入!$C11)&amp;""</f>
        <v>应收账款</v>
      </c>
      <c r="F869" s="48" t="str">
        <f aca="false">IF(AND(ROUND($G869,2)&lt;0,科目对照收入!$L11&lt;&gt;""),科目对照收入!$M11,科目对照收入!$D11)&amp;""</f>
        <v>饿了么</v>
      </c>
      <c r="G869" s="49" t="n">
        <f aca="false">IF(COUNTIFS(输入平台!$A:$A,助手收入!$X41,输入平台!$B:$B,科目对照收入!$B11)&gt;0,ROUND(SUMIFS(输入平台!$C:$C,输入平台!$A:$A,助手收入!$X41,输入平台!$B:$B,科目对照收入!$B11),2),ROUND(海典汇总!$N$42,2))</f>
        <v>0</v>
      </c>
      <c r="H869" s="49" t="str">
        <f aca="false">IF(ROUND($G869,2)&gt;0,ROUND($G869,2),"")</f>
        <v/>
      </c>
      <c r="I869" s="49" t="str">
        <f aca="false">IF(ROUND($G869,2)&lt;0,-ROUND($G869,2),"")</f>
        <v/>
      </c>
      <c r="J869" s="20" t="n">
        <f aca="false">IF(ROUND($G869,2)=0,0,1)</f>
        <v>0</v>
      </c>
      <c r="K869" s="20" t="str">
        <f aca="false">IF($J869=0,"",SUM($J$860:$J869))</f>
        <v/>
      </c>
      <c r="L869" s="20" t="str">
        <f aca="false">IF($K869="","",$A869*100+$K869)</f>
        <v/>
      </c>
      <c r="M869" s="48" t="str">
        <f aca="false">参数!$B$3</f>
        <v>7月收入</v>
      </c>
    </row>
    <row r="870" customFormat="false" ht="13.5" hidden="false" customHeight="false" outlineLevel="0" collapsed="false">
      <c r="A870" s="47" t="n">
        <v>40</v>
      </c>
      <c r="B870" s="38" t="n">
        <f aca="false">助手收入!$B41</f>
        <v>2063</v>
      </c>
      <c r="C870" s="48" t="str">
        <f aca="false">助手收入!$C41</f>
        <v>博医店</v>
      </c>
      <c r="D870" s="48" t="str">
        <f aca="false">科目对照收入!$B12&amp;""</f>
        <v>京东秒送</v>
      </c>
      <c r="E870" s="48" t="str">
        <f aca="false">IF(AND(ROUND($G870,2)&lt;0,科目对照收入!$L12&lt;&gt;""),科目对照收入!$L12,科目对照收入!$C12)&amp;""</f>
        <v>应收账款</v>
      </c>
      <c r="F870" s="48" t="str">
        <f aca="false">IF(AND(ROUND($G870,2)&lt;0,科目对照收入!$L12&lt;&gt;""),科目对照收入!$M12,科目对照收入!$D12)&amp;""</f>
        <v>京东秒送</v>
      </c>
      <c r="G870" s="49" t="n">
        <f aca="false">IF(COUNTIFS(输入平台!$A:$A,助手收入!$X41,输入平台!$B:$B,科目对照收入!$B12)&gt;0,ROUND(SUMIFS(输入平台!$C:$C,输入平台!$A:$A,助手收入!$X41,输入平台!$B:$B,科目对照收入!$B12),2),ROUND(海典汇总!$O$42,2))</f>
        <v>0</v>
      </c>
      <c r="H870" s="49" t="str">
        <f aca="false">IF(ROUND($G870,2)&gt;0,ROUND($G870,2),"")</f>
        <v/>
      </c>
      <c r="I870" s="49" t="str">
        <f aca="false">IF(ROUND($G870,2)&lt;0,-ROUND($G870,2),"")</f>
        <v/>
      </c>
      <c r="J870" s="20" t="n">
        <f aca="false">IF(ROUND($G870,2)=0,0,1)</f>
        <v>0</v>
      </c>
      <c r="K870" s="20" t="str">
        <f aca="false">IF($J870=0,"",SUM($J$860:$J870))</f>
        <v/>
      </c>
      <c r="L870" s="20" t="str">
        <f aca="false">IF($K870="","",$A870*100+$K870)</f>
        <v/>
      </c>
      <c r="M870" s="48" t="str">
        <f aca="false">参数!$B$3</f>
        <v>7月收入</v>
      </c>
    </row>
    <row r="871" customFormat="false" ht="13.5" hidden="false" customHeight="false" outlineLevel="0" collapsed="false">
      <c r="A871" s="47" t="n">
        <v>40</v>
      </c>
      <c r="B871" s="38" t="n">
        <f aca="false">助手收入!$B41</f>
        <v>2063</v>
      </c>
      <c r="C871" s="48" t="str">
        <f aca="false">助手收入!$C41</f>
        <v>博医店</v>
      </c>
      <c r="D871" s="48" t="str">
        <f aca="false">科目对照收入!$B13&amp;""</f>
        <v>银联</v>
      </c>
      <c r="E871" s="48" t="str">
        <f aca="false">IF(AND(ROUND($G871,2)&lt;0,科目对照收入!$L13&lt;&gt;""),科目对照收入!$L13,科目对照收入!$C13)&amp;""</f>
        <v>应收账款</v>
      </c>
      <c r="F871" s="48" t="str">
        <f aca="false">IF(AND(ROUND($G871,2)&lt;0,科目对照收入!$L13&lt;&gt;""),科目对照收入!$M13,科目对照收入!$D13)&amp;""</f>
        <v>银联</v>
      </c>
      <c r="G871" s="49" t="n">
        <f aca="false">IF(COUNTIFS(输入平台!$A:$A,助手收入!$X41,输入平台!$B:$B,科目对照收入!$B13)&gt;0,ROUND(SUMIFS(输入平台!$C:$C,输入平台!$A:$A,助手收入!$X41,输入平台!$B:$B,科目对照收入!$B13),2),ROUND(海典汇总!$V$42,2))</f>
        <v>0</v>
      </c>
      <c r="H871" s="49" t="str">
        <f aca="false">IF(ROUND($G871,2)&gt;0,ROUND($G871,2),"")</f>
        <v/>
      </c>
      <c r="I871" s="49" t="str">
        <f aca="false">IF(ROUND($G871,2)&lt;0,-ROUND($G871,2),"")</f>
        <v/>
      </c>
      <c r="J871" s="20" t="n">
        <f aca="false">IF(ROUND($G871,2)=0,0,1)</f>
        <v>0</v>
      </c>
      <c r="K871" s="20" t="str">
        <f aca="false">IF($J871=0,"",SUM($J$860:$J871))</f>
        <v/>
      </c>
      <c r="L871" s="20" t="str">
        <f aca="false">IF($K871="","",$A871*100+$K871)</f>
        <v/>
      </c>
      <c r="M871" s="48" t="str">
        <f aca="false">参数!$B$3</f>
        <v>7月收入</v>
      </c>
    </row>
    <row r="872" customFormat="false" ht="13.5" hidden="false" customHeight="false" outlineLevel="0" collapsed="false">
      <c r="A872" s="47" t="n">
        <v>40</v>
      </c>
      <c r="B872" s="38" t="n">
        <f aca="false">助手收入!$B41</f>
        <v>2063</v>
      </c>
      <c r="C872" s="48" t="str">
        <f aca="false">助手收入!$C41</f>
        <v>博医店</v>
      </c>
      <c r="D872" s="48" t="str">
        <f aca="false">科目对照收入!$B14&amp;""</f>
        <v>小镇外卖</v>
      </c>
      <c r="E872" s="48" t="str">
        <f aca="false">IF(AND(ROUND($G872,2)&lt;0,科目对照收入!$L14&lt;&gt;""),科目对照收入!$L14,科目对照收入!$C14)&amp;""</f>
        <v>应收账款</v>
      </c>
      <c r="F872" s="48" t="str">
        <f aca="false">IF(AND(ROUND($G872,2)&lt;0,科目对照收入!$L14&lt;&gt;""),科目对照收入!$M14,科目对照收入!$D14)&amp;""</f>
        <v>小镇外卖</v>
      </c>
      <c r="G872" s="49" t="n">
        <f aca="false">IF(COUNTIFS(输入平台!$A:$A,助手收入!$X41,输入平台!$B:$B,科目对照收入!$B14)&gt;0,ROUND(SUMIFS(输入平台!$C:$C,输入平台!$A:$A,助手收入!$X41,输入平台!$B:$B,科目对照收入!$B14),2),ROUND(海典汇总!$AC$42,2))</f>
        <v>0</v>
      </c>
      <c r="H872" s="49" t="str">
        <f aca="false">IF(ROUND($G872,2)&gt;0,ROUND($G872,2),"")</f>
        <v/>
      </c>
      <c r="I872" s="49" t="str">
        <f aca="false">IF(ROUND($G872,2)&lt;0,-ROUND($G872,2),"")</f>
        <v/>
      </c>
      <c r="J872" s="20" t="n">
        <f aca="false">IF(ROUND($G872,2)=0,0,1)</f>
        <v>0</v>
      </c>
      <c r="K872" s="20" t="str">
        <f aca="false">IF($J872=0,"",SUM($J$860:$J872))</f>
        <v/>
      </c>
      <c r="L872" s="20" t="str">
        <f aca="false">IF($K872="","",$A872*100+$K872)</f>
        <v/>
      </c>
      <c r="M872" s="48" t="str">
        <f aca="false">参数!$B$3</f>
        <v>7月收入</v>
      </c>
    </row>
    <row r="873" customFormat="false" ht="13.5" hidden="false" customHeight="false" outlineLevel="0" collapsed="false">
      <c r="A873" s="47" t="n">
        <v>40</v>
      </c>
      <c r="B873" s="38" t="n">
        <f aca="false">助手收入!$B41</f>
        <v>2063</v>
      </c>
      <c r="C873" s="48" t="str">
        <f aca="false">助手收入!$C41</f>
        <v>博医店</v>
      </c>
      <c r="D873" s="48" t="str">
        <f aca="false">科目对照收入!$B15&amp;""</f>
        <v>OMS线上支付</v>
      </c>
      <c r="E873" s="48" t="str">
        <f aca="false">IF(AND(ROUND($G873,2)&lt;0,科目对照收入!$L15&lt;&gt;""),科目对照收入!$L15,科目对照收入!$C15)&amp;""</f>
        <v>应收账款</v>
      </c>
      <c r="F873" s="48" t="str">
        <f aca="false">IF(AND(ROUND($G873,2)&lt;0,科目对照收入!$L15&lt;&gt;""),科目对照收入!$M15,科目对照收入!$D15)&amp;""</f>
        <v>OMS线上</v>
      </c>
      <c r="G873" s="49" t="n">
        <f aca="false">IF(COUNTIFS(输入平台!$A:$A,助手收入!$X41,输入平台!$B:$B,科目对照收入!$B15)&gt;0,ROUND(SUMIFS(输入平台!$C:$C,输入平台!$A:$A,助手收入!$X41,输入平台!$B:$B,科目对照收入!$B15),2),ROUND(海典汇总!$L$42,2))</f>
        <v>0</v>
      </c>
      <c r="H873" s="49" t="str">
        <f aca="false">IF(ROUND($G873,2)&gt;0,ROUND($G873,2),"")</f>
        <v/>
      </c>
      <c r="I873" s="49" t="str">
        <f aca="false">IF(ROUND($G873,2)&lt;0,-ROUND($G873,2),"")</f>
        <v/>
      </c>
      <c r="J873" s="20" t="n">
        <f aca="false">IF(ROUND($G873,2)=0,0,1)</f>
        <v>0</v>
      </c>
      <c r="K873" s="20" t="str">
        <f aca="false">IF($J873=0,"",SUM($J$860:$J873))</f>
        <v/>
      </c>
      <c r="L873" s="20" t="str">
        <f aca="false">IF($K873="","",$A873*100+$K873)</f>
        <v/>
      </c>
      <c r="M873" s="48" t="str">
        <f aca="false">参数!$B$3</f>
        <v>7月收入</v>
      </c>
    </row>
    <row r="874" customFormat="false" ht="13.5" hidden="false" customHeight="false" outlineLevel="0" collapsed="false">
      <c r="A874" s="47" t="n">
        <v>40</v>
      </c>
      <c r="B874" s="38" t="n">
        <f aca="false">助手收入!$B41</f>
        <v>2063</v>
      </c>
      <c r="C874" s="48" t="str">
        <f aca="false">助手收入!$C41</f>
        <v>博医店</v>
      </c>
      <c r="D874" s="48" t="str">
        <f aca="false">科目对照收入!$B16&amp;""</f>
        <v>平安药卡</v>
      </c>
      <c r="E874" s="48" t="str">
        <f aca="false">IF(AND(ROUND($G874,2)&lt;0,科目对照收入!$L16&lt;&gt;""),科目对照收入!$L16,科目对照收入!$C16)&amp;""</f>
        <v>应收账款</v>
      </c>
      <c r="F874" s="48" t="str">
        <f aca="false">IF(AND(ROUND($G874,2)&lt;0,科目对照收入!$L16&lt;&gt;""),科目对照收入!$M16,科目对照收入!$D16)&amp;""</f>
        <v>平安</v>
      </c>
      <c r="G874" s="49" t="n">
        <f aca="false">IF(COUNTIFS(输入平台!$A:$A,助手收入!$X41,输入平台!$B:$B,科目对照收入!$B16)&gt;0,ROUND(SUMIFS(输入平台!$C:$C,输入平台!$A:$A,助手收入!$X41,输入平台!$B:$B,科目对照收入!$B16),2),ROUND(海典汇总!$AB$42,2))</f>
        <v>0</v>
      </c>
      <c r="H874" s="49" t="str">
        <f aca="false">IF(ROUND($G874,2)&gt;0,ROUND($G874,2),"")</f>
        <v/>
      </c>
      <c r="I874" s="49" t="str">
        <f aca="false">IF(ROUND($G874,2)&lt;0,-ROUND($G874,2),"")</f>
        <v/>
      </c>
      <c r="J874" s="20" t="n">
        <f aca="false">IF(ROUND($G874,2)=0,0,1)</f>
        <v>0</v>
      </c>
      <c r="K874" s="20" t="str">
        <f aca="false">IF($J874=0,"",SUM($J$860:$J874))</f>
        <v/>
      </c>
      <c r="L874" s="20" t="str">
        <f aca="false">IF($K874="","",$A874*100+$K874)</f>
        <v/>
      </c>
      <c r="M874" s="48" t="str">
        <f aca="false">参数!$B$3</f>
        <v>7月收入</v>
      </c>
    </row>
    <row r="875" customFormat="false" ht="13.5" hidden="false" customHeight="false" outlineLevel="0" collapsed="false">
      <c r="A875" s="47" t="n">
        <v>40</v>
      </c>
      <c r="B875" s="38" t="n">
        <f aca="false">助手收入!$B41</f>
        <v>2063</v>
      </c>
      <c r="C875" s="48" t="str">
        <f aca="false">助手收入!$C41</f>
        <v>博医店</v>
      </c>
      <c r="D875" s="48" t="str">
        <f aca="false">科目对照收入!$B17&amp;""</f>
        <v>储值卡</v>
      </c>
      <c r="E875" s="48" t="str">
        <f aca="false">IF(AND(ROUND($G875,2)&lt;0,科目对照收入!$L17&lt;&gt;""),科目对照收入!$L17,科目对照收入!$C17)&amp;""</f>
        <v>其他应收款</v>
      </c>
      <c r="F875" s="48" t="str">
        <f aca="false">IF(AND(ROUND($G875,2)&lt;0,科目对照收入!$L17&lt;&gt;""),科目对照收入!$M17,科目对照收入!$D17)&amp;""</f>
        <v>储值卡</v>
      </c>
      <c r="G875" s="49" t="n">
        <f aca="false">ROUND(海典汇总!$Q$42,2)</f>
        <v>11319.93</v>
      </c>
      <c r="H875" s="49" t="n">
        <f aca="false">IF(ROUND($G875,2)&gt;0,ROUND($G875,2),"")</f>
        <v>11319.93</v>
      </c>
      <c r="I875" s="49" t="str">
        <f aca="false">IF(ROUND($G875,2)&lt;0,-ROUND($G875,2),"")</f>
        <v/>
      </c>
      <c r="J875" s="20" t="n">
        <f aca="false">IF(ROUND($G875,2)=0,0,1)</f>
        <v>1</v>
      </c>
      <c r="K875" s="20" t="n">
        <f aca="false">IF($J875=0,"",SUM($J$860:$J875))</f>
        <v>7</v>
      </c>
      <c r="L875" s="20" t="n">
        <f aca="false">IF($K875="","",$A875*100+$K875)</f>
        <v>4007</v>
      </c>
      <c r="M875" s="48" t="str">
        <f aca="false">参数!$B$3</f>
        <v>7月收入</v>
      </c>
    </row>
    <row r="876" customFormat="false" ht="13.5" hidden="false" customHeight="false" outlineLevel="0" collapsed="false">
      <c r="A876" s="47" t="n">
        <v>40</v>
      </c>
      <c r="B876" s="38" t="n">
        <f aca="false">助手收入!$B41</f>
        <v>2063</v>
      </c>
      <c r="C876" s="48" t="str">
        <f aca="false">助手收入!$C41</f>
        <v>博医店</v>
      </c>
      <c r="D876" s="48" t="str">
        <f aca="false">科目对照收入!$B18&amp;""</f>
        <v>会员零钱包</v>
      </c>
      <c r="E876" s="48" t="str">
        <f aca="false">IF(AND(ROUND($G876,2)&lt;0,科目对照收入!$L18&lt;&gt;""),科目对照收入!$L18,科目对照收入!$C18)&amp;""</f>
        <v>其他应收款</v>
      </c>
      <c r="F876" s="48" t="str">
        <f aca="false">IF(AND(ROUND($G876,2)&lt;0,科目对照收入!$L18&lt;&gt;""),科目对照收入!$M18,科目对照收入!$D18)&amp;""</f>
        <v>会员零钱包</v>
      </c>
      <c r="G876" s="49" t="n">
        <f aca="false">ROUND(海典汇总!$P$42,2)</f>
        <v>0</v>
      </c>
      <c r="H876" s="49" t="str">
        <f aca="false">IF(ROUND($G876,2)&gt;0,ROUND($G876,2),"")</f>
        <v/>
      </c>
      <c r="I876" s="49" t="str">
        <f aca="false">IF(ROUND($G876,2)&lt;0,-ROUND($G876,2),"")</f>
        <v/>
      </c>
      <c r="J876" s="20" t="n">
        <f aca="false">IF(ROUND($G876,2)=0,0,1)</f>
        <v>0</v>
      </c>
      <c r="K876" s="20" t="str">
        <f aca="false">IF($J876=0,"",SUM($J$860:$J876))</f>
        <v/>
      </c>
      <c r="L876" s="20" t="str">
        <f aca="false">IF($K876="","",$A876*100+$K876)</f>
        <v/>
      </c>
      <c r="M876" s="48" t="str">
        <f aca="false">参数!$B$3</f>
        <v>7月收入</v>
      </c>
    </row>
    <row r="877" customFormat="false" ht="13.5" hidden="false" customHeight="false" outlineLevel="0" collapsed="false">
      <c r="A877" s="47" t="n">
        <v>40</v>
      </c>
      <c r="B877" s="38" t="n">
        <f aca="false">助手收入!$B41</f>
        <v>2063</v>
      </c>
      <c r="C877" s="48" t="str">
        <f aca="false">助手收入!$C41</f>
        <v>博医店</v>
      </c>
      <c r="D877" s="48" t="str">
        <f aca="false">科目对照收入!$B19&amp;""</f>
        <v>促销费</v>
      </c>
      <c r="E877" s="48" t="str">
        <f aca="false">IF(AND(ROUND($G877,2)&lt;0,科目对照收入!$L19&lt;&gt;""),科目对照收入!$L19,科目对照收入!$C19)&amp;""</f>
        <v>销售费用</v>
      </c>
      <c r="F877" s="48" t="str">
        <f aca="false">IF(AND(ROUND($G877,2)&lt;0,科目对照收入!$L19&lt;&gt;""),科目对照收入!$M19,科目对照收入!$D19)&amp;""</f>
        <v>促销费</v>
      </c>
      <c r="G877" s="49" t="n">
        <f aca="false">ROUND(海典汇总!$U$42+海典汇总!$T$42+海典汇总!$S$42,2)</f>
        <v>4339.66</v>
      </c>
      <c r="H877" s="49" t="n">
        <f aca="false">IF(ROUND($G877,2)&gt;0,ROUND($G877,2),"")</f>
        <v>4339.66</v>
      </c>
      <c r="I877" s="49" t="str">
        <f aca="false">IF(ROUND($G877,2)&lt;0,-ROUND($G877,2),"")</f>
        <v/>
      </c>
      <c r="J877" s="20" t="n">
        <f aca="false">IF(ROUND($G877,2)=0,0,1)</f>
        <v>1</v>
      </c>
      <c r="K877" s="20" t="n">
        <f aca="false">IF($J877=0,"",SUM($J$860:$J877))</f>
        <v>8</v>
      </c>
      <c r="L877" s="20" t="n">
        <f aca="false">IF($K877="","",$A877*100+$K877)</f>
        <v>4008</v>
      </c>
      <c r="M877" s="48" t="str">
        <f aca="false">参数!$B$3</f>
        <v>7月收入</v>
      </c>
    </row>
    <row r="878" customFormat="false" ht="13.5" hidden="false" customHeight="false" outlineLevel="0" collapsed="false">
      <c r="A878" s="47" t="n">
        <v>40</v>
      </c>
      <c r="B878" s="38" t="n">
        <f aca="false">助手收入!$B41</f>
        <v>2063</v>
      </c>
      <c r="C878" s="48" t="str">
        <f aca="false">助手收入!$C41</f>
        <v>博医店</v>
      </c>
      <c r="D878" s="48" t="str">
        <f aca="false">科目对照收入!$B20&amp;""</f>
        <v>积分</v>
      </c>
      <c r="E878" s="48" t="str">
        <f aca="false">IF(AND(ROUND($G878,2)&lt;0,科目对照收入!$L20&lt;&gt;""),科目对照收入!$L20,科目对照收入!$C20)&amp;""</f>
        <v>销售费用</v>
      </c>
      <c r="F878" s="48" t="str">
        <f aca="false">IF(AND(ROUND($G878,2)&lt;0,科目对照收入!$L20&lt;&gt;""),科目对照收入!$M20,科目对照收入!$D20)&amp;""</f>
        <v>积分</v>
      </c>
      <c r="G878" s="49" t="n">
        <f aca="false">ROUND(海典汇总!$R$42,2)</f>
        <v>0</v>
      </c>
      <c r="H878" s="49" t="str">
        <f aca="false">IF(ROUND($G878,2)&gt;0,ROUND($G878,2),"")</f>
        <v/>
      </c>
      <c r="I878" s="49" t="str">
        <f aca="false">IF(ROUND($G878,2)&lt;0,-ROUND($G878,2),"")</f>
        <v/>
      </c>
      <c r="J878" s="20" t="n">
        <f aca="false">IF(ROUND($G878,2)=0,0,1)</f>
        <v>0</v>
      </c>
      <c r="K878" s="20" t="str">
        <f aca="false">IF($J878=0,"",SUM($J$860:$J878))</f>
        <v/>
      </c>
      <c r="L878" s="20" t="str">
        <f aca="false">IF($K878="","",$A878*100+$K878)</f>
        <v/>
      </c>
      <c r="M878" s="48" t="str">
        <f aca="false">参数!$B$3</f>
        <v>7月收入</v>
      </c>
    </row>
    <row r="879" customFormat="false" ht="13.5" hidden="false" customHeight="false" outlineLevel="0" collapsed="false">
      <c r="A879" s="47" t="n">
        <v>40</v>
      </c>
      <c r="B879" s="38" t="n">
        <f aca="false">助手收入!$B41</f>
        <v>2063</v>
      </c>
      <c r="C879" s="48" t="str">
        <f aca="false">助手收入!$C41</f>
        <v>博医店</v>
      </c>
      <c r="D879" s="48" t="str">
        <f aca="false">科目对照收入!$B21&amp;""</f>
        <v>手续费</v>
      </c>
      <c r="E879" s="48" t="str">
        <f aca="false">IF(AND(ROUND($G879,2)&lt;0,科目对照收入!$L21&lt;&gt;""),科目对照收入!$L21,科目对照收入!$C21)&amp;""</f>
        <v>财务费用</v>
      </c>
      <c r="F879" s="48" t="str">
        <f aca="false">IF(AND(ROUND($G879,2)&lt;0,科目对照收入!$L21&lt;&gt;""),科目对照收入!$M21,科目对照收入!$D21)&amp;""</f>
        <v>手续费</v>
      </c>
      <c r="G879" s="49" t="n">
        <f aca="false">ROUND(SUMIFS(输入聚合!$D:$D,输入聚合!$A:$A,助手收入!$X41),2)</f>
        <v>31.56</v>
      </c>
      <c r="H879" s="49" t="n">
        <f aca="false">IF(ROUND($G879,2)&gt;0,ROUND($G879,2),"")</f>
        <v>31.56</v>
      </c>
      <c r="I879" s="49" t="str">
        <f aca="false">IF(ROUND($G879,2)&lt;0,-ROUND($G879,2),"")</f>
        <v/>
      </c>
      <c r="J879" s="20" t="n">
        <f aca="false">IF(ROUND($G879,2)=0,0,1)</f>
        <v>1</v>
      </c>
      <c r="K879" s="20" t="n">
        <f aca="false">IF($J879=0,"",SUM($J$860:$J879))</f>
        <v>9</v>
      </c>
      <c r="L879" s="20" t="n">
        <f aca="false">IF($K879="","",$A879*100+$K879)</f>
        <v>4009</v>
      </c>
      <c r="M879" s="48" t="str">
        <f aca="false">参数!$B$3</f>
        <v>7月收入</v>
      </c>
    </row>
    <row r="880" customFormat="false" ht="13.5" hidden="false" customHeight="false" outlineLevel="0" collapsed="false">
      <c r="A880" s="47" t="n">
        <v>40</v>
      </c>
      <c r="B880" s="38" t="n">
        <f aca="false">助手收入!$B41</f>
        <v>2063</v>
      </c>
      <c r="C880" s="48" t="str">
        <f aca="false">助手收入!$C41</f>
        <v>博医店</v>
      </c>
      <c r="D880" s="48" t="str">
        <f aca="false">科目对照收入!$B22&amp;""</f>
        <v>主营业务收入</v>
      </c>
      <c r="E880" s="48" t="str">
        <f aca="false">IF(AND(ROUND($G880,2)&lt;0,科目对照收入!$L22&lt;&gt;""),科目对照收入!$L22,科目对照收入!$C22)&amp;""</f>
        <v>主营业务收入</v>
      </c>
      <c r="F880" s="48" t="str">
        <f aca="false">IF(AND(ROUND($G880,2)&lt;0,科目对照收入!$L22&lt;&gt;""),科目对照收入!$M22,科目对照收入!$D22)&amp;""</f>
        <v/>
      </c>
      <c r="G880" s="49" t="n">
        <f aca="false">-ROUND(助手收入!$G41,2)</f>
        <v>-118543.89</v>
      </c>
      <c r="H880" s="49" t="str">
        <f aca="false">IF(ROUND($G880,2)&gt;0,ROUND($G880,2),"")</f>
        <v/>
      </c>
      <c r="I880" s="49" t="n">
        <f aca="false">IF(ROUND($G880,2)&lt;0,-ROUND($G880,2),"")</f>
        <v>118543.89</v>
      </c>
      <c r="J880" s="20" t="n">
        <f aca="false">IF(ROUND($G880,2)=0,0,1)</f>
        <v>1</v>
      </c>
      <c r="K880" s="20" t="n">
        <f aca="false">IF($J880=0,"",SUM($J$860:$J880))</f>
        <v>10</v>
      </c>
      <c r="L880" s="20" t="n">
        <f aca="false">IF($K880="","",$A880*100+$K880)</f>
        <v>4010</v>
      </c>
      <c r="M880" s="48" t="str">
        <f aca="false">参数!$B$3</f>
        <v>7月收入</v>
      </c>
    </row>
    <row r="881" customFormat="false" ht="13.5" hidden="false" customHeight="false" outlineLevel="0" collapsed="false">
      <c r="A881" s="47" t="n">
        <v>40</v>
      </c>
      <c r="B881" s="38" t="n">
        <f aca="false">助手收入!$B41</f>
        <v>2063</v>
      </c>
      <c r="C881" s="48" t="str">
        <f aca="false">助手收入!$C41</f>
        <v>博医店</v>
      </c>
      <c r="D881" s="48" t="str">
        <f aca="false">科目对照收入!$B23&amp;""</f>
        <v>营业外收入</v>
      </c>
      <c r="E881" s="48" t="str">
        <f aca="false">IF(AND(ROUND($G881,2)&lt;0,科目对照收入!$L23&lt;&gt;""),科目对照收入!$L23,科目对照收入!$C23)&amp;""</f>
        <v>营业外收入</v>
      </c>
      <c r="F881" s="48" t="str">
        <f aca="false">IF(AND(ROUND($G881,2)&lt;0,科目对照收入!$L23&lt;&gt;""),科目对照收入!$M23,科目对照收入!$D23)&amp;""</f>
        <v/>
      </c>
      <c r="G881" s="49" t="n">
        <f aca="false">-ROUND(助手收入!$J41,2)</f>
        <v>-0</v>
      </c>
      <c r="H881" s="49" t="str">
        <f aca="false">IF(ROUND($G881,2)&gt;0,ROUND($G881,2),"")</f>
        <v/>
      </c>
      <c r="I881" s="49" t="str">
        <f aca="false">IF(ROUND($G881,2)&lt;0,-ROUND($G881,2),"")</f>
        <v/>
      </c>
      <c r="J881" s="20" t="n">
        <f aca="false">IF(ROUND($G881,2)=0,0,1)</f>
        <v>0</v>
      </c>
      <c r="K881" s="20" t="str">
        <f aca="false">IF($J881=0,"",SUM($J$860:$J881))</f>
        <v/>
      </c>
      <c r="L881" s="20" t="str">
        <f aca="false">IF($K881="","",$A881*100+$K881)</f>
        <v/>
      </c>
      <c r="M881" s="48" t="str">
        <f aca="false">参数!$B$3</f>
        <v>7月收入</v>
      </c>
    </row>
    <row r="882" customFormat="false" ht="13.5" hidden="false" customHeight="false" outlineLevel="0" collapsed="false">
      <c r="A882" s="47" t="n">
        <v>41</v>
      </c>
      <c r="B882" s="38" t="n">
        <f aca="false">助手收入!$B42</f>
        <v>2064</v>
      </c>
      <c r="C882" s="48" t="str">
        <f aca="false">助手收入!$C42</f>
        <v>旗舰店</v>
      </c>
      <c r="D882" s="48" t="str">
        <f aca="false">科目对照收入!$B2&amp;""</f>
        <v>库存现金</v>
      </c>
      <c r="E882" s="48" t="str">
        <f aca="false">IF(AND(ROUND($G882,2)&lt;0,科目对照收入!$L2&lt;&gt;""),科目对照收入!$L2,科目对照收入!$C2)&amp;""</f>
        <v>库存现金</v>
      </c>
      <c r="F882" s="48" t="str">
        <f aca="false">IF(AND(ROUND($G882,2)&lt;0,科目对照收入!$L2&lt;&gt;""),科目对照收入!$M2,科目对照收入!$D2)&amp;""</f>
        <v/>
      </c>
      <c r="G882" s="49" t="n">
        <f aca="false">助手收入!$I42</f>
        <v>699.75</v>
      </c>
      <c r="H882" s="49" t="n">
        <f aca="false">IF(ROUND($G882,2)&gt;0,ROUND($G882,2),"")</f>
        <v>699.75</v>
      </c>
      <c r="I882" s="49" t="str">
        <f aca="false">IF(ROUND($G882,2)&lt;0,-ROUND($G882,2),"")</f>
        <v/>
      </c>
      <c r="J882" s="20" t="n">
        <f aca="false">IF(ROUND($G882,2)=0,0,1)</f>
        <v>1</v>
      </c>
      <c r="K882" s="20" t="n">
        <f aca="false">IF($J882=0,"",SUM($J$882:$J882))</f>
        <v>1</v>
      </c>
      <c r="L882" s="20" t="n">
        <f aca="false">IF($K882="","",$A882*100+$K882)</f>
        <v>4101</v>
      </c>
      <c r="M882" s="48" t="str">
        <f aca="false">参数!$B$3</f>
        <v>7月收入</v>
      </c>
    </row>
    <row r="883" customFormat="false" ht="13.5" hidden="false" customHeight="false" outlineLevel="0" collapsed="false">
      <c r="A883" s="47" t="n">
        <v>41</v>
      </c>
      <c r="B883" s="38" t="n">
        <f aca="false">助手收入!$B42</f>
        <v>2064</v>
      </c>
      <c r="C883" s="48" t="str">
        <f aca="false">助手收入!$C42</f>
        <v>旗舰店</v>
      </c>
      <c r="D883" s="48" t="str">
        <f aca="false">科目对照收入!$B3&amp;""</f>
        <v>聚合支付</v>
      </c>
      <c r="E883" s="48" t="str">
        <f aca="false">IF(AND(ROUND($G883,2)&lt;0,科目对照收入!$L3&lt;&gt;""),科目对照收入!$L3,科目对照收入!$C3)&amp;""</f>
        <v>应收账款</v>
      </c>
      <c r="F883" s="48" t="str">
        <f aca="false">IF(AND(ROUND($G883,2)&lt;0,科目对照收入!$L3&lt;&gt;""),科目对照收入!$M3,科目对照收入!$D3)&amp;""</f>
        <v>聚合支付</v>
      </c>
      <c r="G883" s="49" t="n">
        <f aca="false">ROUND(SUMIFS(输入聚合!$C:$C,输入聚合!$A:$A,助手收入!$X42)-SUMIFS(输入聚合!$D:$D,输入聚合!$A:$A,助手收入!$X42),2)</f>
        <v>0</v>
      </c>
      <c r="H883" s="49" t="str">
        <f aca="false">IF(ROUND($G883,2)&gt;0,ROUND($G883,2),"")</f>
        <v/>
      </c>
      <c r="I883" s="49" t="str">
        <f aca="false">IF(ROUND($G883,2)&lt;0,-ROUND($G883,2),"")</f>
        <v/>
      </c>
      <c r="J883" s="20" t="n">
        <f aca="false">IF(ROUND($G883,2)=0,0,1)</f>
        <v>0</v>
      </c>
      <c r="K883" s="20" t="str">
        <f aca="false">IF($J883=0,"",SUM($J$882:$J883))</f>
        <v/>
      </c>
      <c r="L883" s="20" t="str">
        <f aca="false">IF($K883="","",$A883*100+$K883)</f>
        <v/>
      </c>
      <c r="M883" s="48" t="str">
        <f aca="false">参数!$B$3</f>
        <v>7月收入</v>
      </c>
    </row>
    <row r="884" customFormat="false" ht="13.5" hidden="false" customHeight="false" outlineLevel="0" collapsed="false">
      <c r="A884" s="47" t="n">
        <v>41</v>
      </c>
      <c r="B884" s="38" t="n">
        <f aca="false">助手收入!$B42</f>
        <v>2064</v>
      </c>
      <c r="C884" s="48" t="str">
        <f aca="false">助手收入!$C42</f>
        <v>旗舰店</v>
      </c>
      <c r="D884" s="48" t="str">
        <f aca="false">科目对照收入!$B4&amp;""</f>
        <v>医保</v>
      </c>
      <c r="E884" s="48" t="str">
        <f aca="false">IF(AND(ROUND($G884,2)&lt;0,科目对照收入!$L4&lt;&gt;""),科目对照收入!$L4,科目对照收入!$C4)&amp;""</f>
        <v>应收账款</v>
      </c>
      <c r="F884" s="48" t="str">
        <f aca="false">IF(AND(ROUND($G884,2)&lt;0,科目对照收入!$L4&lt;&gt;""),科目对照收入!$M4,科目对照收入!$D4)&amp;""</f>
        <v>医保</v>
      </c>
      <c r="G884" s="49" t="n">
        <f aca="false">IF(COUNTIFS(输入平台!$A:$A,助手收入!$X42,输入平台!$B:$B,科目对照收入!$B4)&gt;0,ROUND(SUMIFS(输入平台!$C:$C,输入平台!$A:$A,助手收入!$X42,输入平台!$B:$B,科目对照收入!$B4),2),ROUND(海典汇总!$F$43+海典汇总!$G$43,2))</f>
        <v>0</v>
      </c>
      <c r="H884" s="49" t="str">
        <f aca="false">IF(ROUND($G884,2)&gt;0,ROUND($G884,2),"")</f>
        <v/>
      </c>
      <c r="I884" s="49" t="str">
        <f aca="false">IF(ROUND($G884,2)&lt;0,-ROUND($G884,2),"")</f>
        <v/>
      </c>
      <c r="J884" s="20" t="n">
        <f aca="false">IF(ROUND($G884,2)=0,0,1)</f>
        <v>0</v>
      </c>
      <c r="K884" s="20" t="str">
        <f aca="false">IF($J884=0,"",SUM($J$882:$J884))</f>
        <v/>
      </c>
      <c r="L884" s="20" t="str">
        <f aca="false">IF($K884="","",$A884*100+$K884)</f>
        <v/>
      </c>
      <c r="M884" s="48" t="str">
        <f aca="false">参数!$B$3</f>
        <v>7月收入</v>
      </c>
    </row>
    <row r="885" customFormat="false" ht="13.5" hidden="false" customHeight="false" outlineLevel="0" collapsed="false">
      <c r="A885" s="47" t="n">
        <v>41</v>
      </c>
      <c r="B885" s="38" t="n">
        <f aca="false">助手收入!$B42</f>
        <v>2064</v>
      </c>
      <c r="C885" s="48" t="str">
        <f aca="false">助手收入!$C42</f>
        <v>旗舰店</v>
      </c>
      <c r="D885" s="48" t="str">
        <f aca="false">科目对照收入!$B5&amp;""</f>
        <v>健e卡</v>
      </c>
      <c r="E885" s="48" t="str">
        <f aca="false">IF(AND(ROUND($G885,2)&lt;0,科目对照收入!$L5&lt;&gt;""),科目对照收入!$L5,科目对照收入!$C5)&amp;""</f>
        <v>应收账款</v>
      </c>
      <c r="F885" s="48" t="str">
        <f aca="false">IF(AND(ROUND($G885,2)&lt;0,科目对照收入!$L5&lt;&gt;""),科目对照收入!$M5,科目对照收入!$D5)&amp;""</f>
        <v>健e卡</v>
      </c>
      <c r="G885" s="49" t="n">
        <f aca="false">IF(COUNTIFS(输入平台!$A:$A,助手收入!$X42,输入平台!$B:$B,科目对照收入!$B5)&gt;0,ROUND(SUMIFS(输入平台!$C:$C,输入平台!$A:$A,助手收入!$X42,输入平台!$B:$B,科目对照收入!$B5),2),ROUND(海典汇总!$H$43,2))</f>
        <v>0</v>
      </c>
      <c r="H885" s="49" t="str">
        <f aca="false">IF(ROUND($G885,2)&gt;0,ROUND($G885,2),"")</f>
        <v/>
      </c>
      <c r="I885" s="49" t="str">
        <f aca="false">IF(ROUND($G885,2)&lt;0,-ROUND($G885,2),"")</f>
        <v/>
      </c>
      <c r="J885" s="20" t="n">
        <f aca="false">IF(ROUND($G885,2)=0,0,1)</f>
        <v>0</v>
      </c>
      <c r="K885" s="20" t="str">
        <f aca="false">IF($J885=0,"",SUM($J$882:$J885))</f>
        <v/>
      </c>
      <c r="L885" s="20" t="str">
        <f aca="false">IF($K885="","",$A885*100+$K885)</f>
        <v/>
      </c>
      <c r="M885" s="48" t="str">
        <f aca="false">参数!$B$3</f>
        <v>7月收入</v>
      </c>
    </row>
    <row r="886" customFormat="false" ht="13.5" hidden="false" customHeight="false" outlineLevel="0" collapsed="false">
      <c r="A886" s="47" t="n">
        <v>41</v>
      </c>
      <c r="B886" s="38" t="n">
        <f aca="false">助手收入!$B42</f>
        <v>2064</v>
      </c>
      <c r="C886" s="48" t="str">
        <f aca="false">助手收入!$C42</f>
        <v>旗舰店</v>
      </c>
      <c r="D886" s="48" t="str">
        <f aca="false">科目对照收入!$B6&amp;""</f>
        <v>医卡通</v>
      </c>
      <c r="E886" s="48" t="str">
        <f aca="false">IF(AND(ROUND($G886,2)&lt;0,科目对照收入!$L6&lt;&gt;""),科目对照收入!$L6,科目对照收入!$C6)&amp;""</f>
        <v>应收账款</v>
      </c>
      <c r="F886" s="48" t="str">
        <f aca="false">IF(AND(ROUND($G886,2)&lt;0,科目对照收入!$L6&lt;&gt;""),科目对照收入!$M6,科目对照收入!$D6)&amp;""</f>
        <v>医卡通</v>
      </c>
      <c r="G886" s="49" t="n">
        <f aca="false">IF(COUNTIFS(输入平台!$A:$A,助手收入!$X42,输入平台!$B:$B,科目对照收入!$B6)&gt;0,ROUND(SUMIFS(输入平台!$C:$C,输入平台!$A:$A,助手收入!$X42,输入平台!$B:$B,科目对照收入!$B6),2),ROUND(海典汇总!$I$43,2))</f>
        <v>0</v>
      </c>
      <c r="H886" s="49" t="str">
        <f aca="false">IF(ROUND($G886,2)&gt;0,ROUND($G886,2),"")</f>
        <v/>
      </c>
      <c r="I886" s="49" t="str">
        <f aca="false">IF(ROUND($G886,2)&lt;0,-ROUND($G886,2),"")</f>
        <v/>
      </c>
      <c r="J886" s="20" t="n">
        <f aca="false">IF(ROUND($G886,2)=0,0,1)</f>
        <v>0</v>
      </c>
      <c r="K886" s="20" t="str">
        <f aca="false">IF($J886=0,"",SUM($J$882:$J886))</f>
        <v/>
      </c>
      <c r="L886" s="20" t="str">
        <f aca="false">IF($K886="","",$A886*100+$K886)</f>
        <v/>
      </c>
      <c r="M886" s="48" t="str">
        <f aca="false">参数!$B$3</f>
        <v>7月收入</v>
      </c>
    </row>
    <row r="887" customFormat="false" ht="13.5" hidden="false" customHeight="false" outlineLevel="0" collapsed="false">
      <c r="A887" s="47" t="n">
        <v>41</v>
      </c>
      <c r="B887" s="38" t="n">
        <f aca="false">助手收入!$B42</f>
        <v>2064</v>
      </c>
      <c r="C887" s="48" t="str">
        <f aca="false">助手收入!$C42</f>
        <v>旗舰店</v>
      </c>
      <c r="D887" s="48" t="str">
        <f aca="false">科目对照收入!$B7&amp;""</f>
        <v>企健网</v>
      </c>
      <c r="E887" s="48" t="str">
        <f aca="false">IF(AND(ROUND($G887,2)&lt;0,科目对照收入!$L7&lt;&gt;""),科目对照收入!$L7,科目对照收入!$C7)&amp;""</f>
        <v>应收账款</v>
      </c>
      <c r="F887" s="48" t="str">
        <f aca="false">IF(AND(ROUND($G887,2)&lt;0,科目对照收入!$L7&lt;&gt;""),科目对照收入!$M7,科目对照收入!$D7)&amp;""</f>
        <v>企健网</v>
      </c>
      <c r="G887" s="49" t="n">
        <f aca="false">IF(COUNTIFS(输入平台!$A:$A,助手收入!$X42,输入平台!$B:$B,科目对照收入!$B7)&gt;0,ROUND(SUMIFS(输入平台!$C:$C,输入平台!$A:$A,助手收入!$X42,输入平台!$B:$B,科目对照收入!$B7),2),ROUND(海典汇总!$J$43,2))</f>
        <v>0</v>
      </c>
      <c r="H887" s="49" t="str">
        <f aca="false">IF(ROUND($G887,2)&gt;0,ROUND($G887,2),"")</f>
        <v/>
      </c>
      <c r="I887" s="49" t="str">
        <f aca="false">IF(ROUND($G887,2)&lt;0,-ROUND($G887,2),"")</f>
        <v/>
      </c>
      <c r="J887" s="20" t="n">
        <f aca="false">IF(ROUND($G887,2)=0,0,1)</f>
        <v>0</v>
      </c>
      <c r="K887" s="20" t="str">
        <f aca="false">IF($J887=0,"",SUM($J$882:$J887))</f>
        <v/>
      </c>
      <c r="L887" s="20" t="str">
        <f aca="false">IF($K887="","",$A887*100+$K887)</f>
        <v/>
      </c>
      <c r="M887" s="48" t="str">
        <f aca="false">参数!$B$3</f>
        <v>7月收入</v>
      </c>
    </row>
    <row r="888" customFormat="false" ht="13.5" hidden="false" customHeight="false" outlineLevel="0" collapsed="false">
      <c r="A888" s="47" t="n">
        <v>41</v>
      </c>
      <c r="B888" s="38" t="n">
        <f aca="false">助手收入!$B42</f>
        <v>2064</v>
      </c>
      <c r="C888" s="48" t="str">
        <f aca="false">助手收入!$C42</f>
        <v>旗舰店</v>
      </c>
      <c r="D888" s="48" t="str">
        <f aca="false">科目对照收入!$B8&amp;""</f>
        <v>亲情卡</v>
      </c>
      <c r="E888" s="48" t="str">
        <f aca="false">IF(AND(ROUND($G888,2)&lt;0,科目对照收入!$L8&lt;&gt;""),科目对照收入!$L8,科目对照收入!$C8)&amp;""</f>
        <v>应收账款</v>
      </c>
      <c r="F888" s="48" t="str">
        <f aca="false">IF(AND(ROUND($G888,2)&lt;0,科目对照收入!$L8&lt;&gt;""),科目对照收入!$M8,科目对照收入!$D8)&amp;""</f>
        <v>亲情卡</v>
      </c>
      <c r="G888" s="49" t="n">
        <f aca="false">IF(COUNTIFS(输入平台!$A:$A,助手收入!$X42,输入平台!$B:$B,科目对照收入!$B8)&gt;0,ROUND(SUMIFS(输入平台!$C:$C,输入平台!$A:$A,助手收入!$X42,输入平台!$B:$B,科目对照收入!$B8),2),ROUND(海典汇总!$Z$43,2))</f>
        <v>0</v>
      </c>
      <c r="H888" s="49" t="str">
        <f aca="false">IF(ROUND($G888,2)&gt;0,ROUND($G888,2),"")</f>
        <v/>
      </c>
      <c r="I888" s="49" t="str">
        <f aca="false">IF(ROUND($G888,2)&lt;0,-ROUND($G888,2),"")</f>
        <v/>
      </c>
      <c r="J888" s="20" t="n">
        <f aca="false">IF(ROUND($G888,2)=0,0,1)</f>
        <v>0</v>
      </c>
      <c r="K888" s="20" t="str">
        <f aca="false">IF($J888=0,"",SUM($J$882:$J888))</f>
        <v/>
      </c>
      <c r="L888" s="20" t="str">
        <f aca="false">IF($K888="","",$A888*100+$K888)</f>
        <v/>
      </c>
      <c r="M888" s="48" t="str">
        <f aca="false">参数!$B$3</f>
        <v>7月收入</v>
      </c>
    </row>
    <row r="889" customFormat="false" ht="13.5" hidden="false" customHeight="false" outlineLevel="0" collapsed="false">
      <c r="A889" s="47" t="n">
        <v>41</v>
      </c>
      <c r="B889" s="38" t="n">
        <f aca="false">助手收入!$B42</f>
        <v>2064</v>
      </c>
      <c r="C889" s="48" t="str">
        <f aca="false">助手收入!$C42</f>
        <v>旗舰店</v>
      </c>
      <c r="D889" s="48" t="str">
        <f aca="false">科目对照收入!$B9&amp;""</f>
        <v>24小时</v>
      </c>
      <c r="E889" s="48" t="str">
        <f aca="false">IF(AND(ROUND($G889,2)&lt;0,科目对照收入!$L9&lt;&gt;""),科目对照收入!$L9,科目对照收入!$C9)&amp;""</f>
        <v>应收账款</v>
      </c>
      <c r="F889" s="48" t="str">
        <f aca="false">IF(AND(ROUND($G889,2)&lt;0,科目对照收入!$L9&lt;&gt;""),科目对照收入!$M9,科目对照收入!$D9)&amp;""</f>
        <v>24小时</v>
      </c>
      <c r="G889" s="49" t="n">
        <f aca="false">IF(COUNTIFS(输入平台!$A:$A,助手收入!$X42,输入平台!$B:$B,科目对照收入!$B9)&gt;0,ROUND(SUMIFS(输入平台!$C:$C,输入平台!$A:$A,助手收入!$X42,输入平台!$B:$B,科目对照收入!$B9),2),ROUND(海典汇总!$K$43,2))</f>
        <v>0</v>
      </c>
      <c r="H889" s="49" t="str">
        <f aca="false">IF(ROUND($G889,2)&gt;0,ROUND($G889,2),"")</f>
        <v/>
      </c>
      <c r="I889" s="49" t="str">
        <f aca="false">IF(ROUND($G889,2)&lt;0,-ROUND($G889,2),"")</f>
        <v/>
      </c>
      <c r="J889" s="20" t="n">
        <f aca="false">IF(ROUND($G889,2)=0,0,1)</f>
        <v>0</v>
      </c>
      <c r="K889" s="20" t="str">
        <f aca="false">IF($J889=0,"",SUM($J$882:$J889))</f>
        <v/>
      </c>
      <c r="L889" s="20" t="str">
        <f aca="false">IF($K889="","",$A889*100+$K889)</f>
        <v/>
      </c>
      <c r="M889" s="48" t="str">
        <f aca="false">参数!$B$3</f>
        <v>7月收入</v>
      </c>
    </row>
    <row r="890" customFormat="false" ht="13.5" hidden="false" customHeight="false" outlineLevel="0" collapsed="false">
      <c r="A890" s="47" t="n">
        <v>41</v>
      </c>
      <c r="B890" s="38" t="n">
        <f aca="false">助手收入!$B42</f>
        <v>2064</v>
      </c>
      <c r="C890" s="48" t="str">
        <f aca="false">助手收入!$C42</f>
        <v>旗舰店</v>
      </c>
      <c r="D890" s="48" t="str">
        <f aca="false">科目对照收入!$B10&amp;""</f>
        <v>美团</v>
      </c>
      <c r="E890" s="48" t="str">
        <f aca="false">IF(AND(ROUND($G890,2)&lt;0,科目对照收入!$L10&lt;&gt;""),科目对照收入!$L10,科目对照收入!$C10)&amp;""</f>
        <v>应收账款</v>
      </c>
      <c r="F890" s="48" t="str">
        <f aca="false">IF(AND(ROUND($G890,2)&lt;0,科目对照收入!$L10&lt;&gt;""),科目对照收入!$M10,科目对照收入!$D10)&amp;""</f>
        <v>美团</v>
      </c>
      <c r="G890" s="49" t="n">
        <f aca="false">IF(COUNTIFS(输入平台!$A:$A,助手收入!$X42,输入平台!$B:$B,科目对照收入!$B10)&gt;0,ROUND(SUMIFS(输入平台!$C:$C,输入平台!$A:$A,助手收入!$X42,输入平台!$B:$B,科目对照收入!$B10),2),ROUND(海典汇总!$M$43,2))</f>
        <v>0</v>
      </c>
      <c r="H890" s="49" t="str">
        <f aca="false">IF(ROUND($G890,2)&gt;0,ROUND($G890,2),"")</f>
        <v/>
      </c>
      <c r="I890" s="49" t="str">
        <f aca="false">IF(ROUND($G890,2)&lt;0,-ROUND($G890,2),"")</f>
        <v/>
      </c>
      <c r="J890" s="20" t="n">
        <f aca="false">IF(ROUND($G890,2)=0,0,1)</f>
        <v>0</v>
      </c>
      <c r="K890" s="20" t="str">
        <f aca="false">IF($J890=0,"",SUM($J$882:$J890))</f>
        <v/>
      </c>
      <c r="L890" s="20" t="str">
        <f aca="false">IF($K890="","",$A890*100+$K890)</f>
        <v/>
      </c>
      <c r="M890" s="48" t="str">
        <f aca="false">参数!$B$3</f>
        <v>7月收入</v>
      </c>
    </row>
    <row r="891" customFormat="false" ht="13.5" hidden="false" customHeight="false" outlineLevel="0" collapsed="false">
      <c r="A891" s="47" t="n">
        <v>41</v>
      </c>
      <c r="B891" s="38" t="n">
        <f aca="false">助手收入!$B42</f>
        <v>2064</v>
      </c>
      <c r="C891" s="48" t="str">
        <f aca="false">助手收入!$C42</f>
        <v>旗舰店</v>
      </c>
      <c r="D891" s="48" t="str">
        <f aca="false">科目对照收入!$B11&amp;""</f>
        <v>饿了么</v>
      </c>
      <c r="E891" s="48" t="str">
        <f aca="false">IF(AND(ROUND($G891,2)&lt;0,科目对照收入!$L11&lt;&gt;""),科目对照收入!$L11,科目对照收入!$C11)&amp;""</f>
        <v>应收账款</v>
      </c>
      <c r="F891" s="48" t="str">
        <f aca="false">IF(AND(ROUND($G891,2)&lt;0,科目对照收入!$L11&lt;&gt;""),科目对照收入!$M11,科目对照收入!$D11)&amp;""</f>
        <v>饿了么</v>
      </c>
      <c r="G891" s="49" t="n">
        <f aca="false">IF(COUNTIFS(输入平台!$A:$A,助手收入!$X42,输入平台!$B:$B,科目对照收入!$B11)&gt;0,ROUND(SUMIFS(输入平台!$C:$C,输入平台!$A:$A,助手收入!$X42,输入平台!$B:$B,科目对照收入!$B11),2),ROUND(海典汇总!$N$43,2))</f>
        <v>0</v>
      </c>
      <c r="H891" s="49" t="str">
        <f aca="false">IF(ROUND($G891,2)&gt;0,ROUND($G891,2),"")</f>
        <v/>
      </c>
      <c r="I891" s="49" t="str">
        <f aca="false">IF(ROUND($G891,2)&lt;0,-ROUND($G891,2),"")</f>
        <v/>
      </c>
      <c r="J891" s="20" t="n">
        <f aca="false">IF(ROUND($G891,2)=0,0,1)</f>
        <v>0</v>
      </c>
      <c r="K891" s="20" t="str">
        <f aca="false">IF($J891=0,"",SUM($J$882:$J891))</f>
        <v/>
      </c>
      <c r="L891" s="20" t="str">
        <f aca="false">IF($K891="","",$A891*100+$K891)</f>
        <v/>
      </c>
      <c r="M891" s="48" t="str">
        <f aca="false">参数!$B$3</f>
        <v>7月收入</v>
      </c>
    </row>
    <row r="892" customFormat="false" ht="13.5" hidden="false" customHeight="false" outlineLevel="0" collapsed="false">
      <c r="A892" s="47" t="n">
        <v>41</v>
      </c>
      <c r="B892" s="38" t="n">
        <f aca="false">助手收入!$B42</f>
        <v>2064</v>
      </c>
      <c r="C892" s="48" t="str">
        <f aca="false">助手收入!$C42</f>
        <v>旗舰店</v>
      </c>
      <c r="D892" s="48" t="str">
        <f aca="false">科目对照收入!$B12&amp;""</f>
        <v>京东秒送</v>
      </c>
      <c r="E892" s="48" t="str">
        <f aca="false">IF(AND(ROUND($G892,2)&lt;0,科目对照收入!$L12&lt;&gt;""),科目对照收入!$L12,科目对照收入!$C12)&amp;""</f>
        <v>应收账款</v>
      </c>
      <c r="F892" s="48" t="str">
        <f aca="false">IF(AND(ROUND($G892,2)&lt;0,科目对照收入!$L12&lt;&gt;""),科目对照收入!$M12,科目对照收入!$D12)&amp;""</f>
        <v>京东秒送</v>
      </c>
      <c r="G892" s="49" t="n">
        <f aca="false">IF(COUNTIFS(输入平台!$A:$A,助手收入!$X42,输入平台!$B:$B,科目对照收入!$B12)&gt;0,ROUND(SUMIFS(输入平台!$C:$C,输入平台!$A:$A,助手收入!$X42,输入平台!$B:$B,科目对照收入!$B12),2),ROUND(海典汇总!$O$43,2))</f>
        <v>0</v>
      </c>
      <c r="H892" s="49" t="str">
        <f aca="false">IF(ROUND($G892,2)&gt;0,ROUND($G892,2),"")</f>
        <v/>
      </c>
      <c r="I892" s="49" t="str">
        <f aca="false">IF(ROUND($G892,2)&lt;0,-ROUND($G892,2),"")</f>
        <v/>
      </c>
      <c r="J892" s="20" t="n">
        <f aca="false">IF(ROUND($G892,2)=0,0,1)</f>
        <v>0</v>
      </c>
      <c r="K892" s="20" t="str">
        <f aca="false">IF($J892=0,"",SUM($J$882:$J892))</f>
        <v/>
      </c>
      <c r="L892" s="20" t="str">
        <f aca="false">IF($K892="","",$A892*100+$K892)</f>
        <v/>
      </c>
      <c r="M892" s="48" t="str">
        <f aca="false">参数!$B$3</f>
        <v>7月收入</v>
      </c>
    </row>
    <row r="893" customFormat="false" ht="13.5" hidden="false" customHeight="false" outlineLevel="0" collapsed="false">
      <c r="A893" s="47" t="n">
        <v>41</v>
      </c>
      <c r="B893" s="38" t="n">
        <f aca="false">助手收入!$B42</f>
        <v>2064</v>
      </c>
      <c r="C893" s="48" t="str">
        <f aca="false">助手收入!$C42</f>
        <v>旗舰店</v>
      </c>
      <c r="D893" s="48" t="str">
        <f aca="false">科目对照收入!$B13&amp;""</f>
        <v>银联</v>
      </c>
      <c r="E893" s="48" t="str">
        <f aca="false">IF(AND(ROUND($G893,2)&lt;0,科目对照收入!$L13&lt;&gt;""),科目对照收入!$L13,科目对照收入!$C13)&amp;""</f>
        <v>应收账款</v>
      </c>
      <c r="F893" s="48" t="str">
        <f aca="false">IF(AND(ROUND($G893,2)&lt;0,科目对照收入!$L13&lt;&gt;""),科目对照收入!$M13,科目对照收入!$D13)&amp;""</f>
        <v>银联</v>
      </c>
      <c r="G893" s="49" t="n">
        <f aca="false">IF(COUNTIFS(输入平台!$A:$A,助手收入!$X42,输入平台!$B:$B,科目对照收入!$B13)&gt;0,ROUND(SUMIFS(输入平台!$C:$C,输入平台!$A:$A,助手收入!$X42,输入平台!$B:$B,科目对照收入!$B13),2),ROUND(海典汇总!$V$43,2))</f>
        <v>0</v>
      </c>
      <c r="H893" s="49" t="str">
        <f aca="false">IF(ROUND($G893,2)&gt;0,ROUND($G893,2),"")</f>
        <v/>
      </c>
      <c r="I893" s="49" t="str">
        <f aca="false">IF(ROUND($G893,2)&lt;0,-ROUND($G893,2),"")</f>
        <v/>
      </c>
      <c r="J893" s="20" t="n">
        <f aca="false">IF(ROUND($G893,2)=0,0,1)</f>
        <v>0</v>
      </c>
      <c r="K893" s="20" t="str">
        <f aca="false">IF($J893=0,"",SUM($J$882:$J893))</f>
        <v/>
      </c>
      <c r="L893" s="20" t="str">
        <f aca="false">IF($K893="","",$A893*100+$K893)</f>
        <v/>
      </c>
      <c r="M893" s="48" t="str">
        <f aca="false">参数!$B$3</f>
        <v>7月收入</v>
      </c>
    </row>
    <row r="894" customFormat="false" ht="13.5" hidden="false" customHeight="false" outlineLevel="0" collapsed="false">
      <c r="A894" s="47" t="n">
        <v>41</v>
      </c>
      <c r="B894" s="38" t="n">
        <f aca="false">助手收入!$B42</f>
        <v>2064</v>
      </c>
      <c r="C894" s="48" t="str">
        <f aca="false">助手收入!$C42</f>
        <v>旗舰店</v>
      </c>
      <c r="D894" s="48" t="str">
        <f aca="false">科目对照收入!$B14&amp;""</f>
        <v>小镇外卖</v>
      </c>
      <c r="E894" s="48" t="str">
        <f aca="false">IF(AND(ROUND($G894,2)&lt;0,科目对照收入!$L14&lt;&gt;""),科目对照收入!$L14,科目对照收入!$C14)&amp;""</f>
        <v>应收账款</v>
      </c>
      <c r="F894" s="48" t="str">
        <f aca="false">IF(AND(ROUND($G894,2)&lt;0,科目对照收入!$L14&lt;&gt;""),科目对照收入!$M14,科目对照收入!$D14)&amp;""</f>
        <v>小镇外卖</v>
      </c>
      <c r="G894" s="49" t="n">
        <f aca="false">IF(COUNTIFS(输入平台!$A:$A,助手收入!$X42,输入平台!$B:$B,科目对照收入!$B14)&gt;0,ROUND(SUMIFS(输入平台!$C:$C,输入平台!$A:$A,助手收入!$X42,输入平台!$B:$B,科目对照收入!$B14),2),ROUND(海典汇总!$AC$43,2))</f>
        <v>0</v>
      </c>
      <c r="H894" s="49" t="str">
        <f aca="false">IF(ROUND($G894,2)&gt;0,ROUND($G894,2),"")</f>
        <v/>
      </c>
      <c r="I894" s="49" t="str">
        <f aca="false">IF(ROUND($G894,2)&lt;0,-ROUND($G894,2),"")</f>
        <v/>
      </c>
      <c r="J894" s="20" t="n">
        <f aca="false">IF(ROUND($G894,2)=0,0,1)</f>
        <v>0</v>
      </c>
      <c r="K894" s="20" t="str">
        <f aca="false">IF($J894=0,"",SUM($J$882:$J894))</f>
        <v/>
      </c>
      <c r="L894" s="20" t="str">
        <f aca="false">IF($K894="","",$A894*100+$K894)</f>
        <v/>
      </c>
      <c r="M894" s="48" t="str">
        <f aca="false">参数!$B$3</f>
        <v>7月收入</v>
      </c>
    </row>
    <row r="895" customFormat="false" ht="13.5" hidden="false" customHeight="false" outlineLevel="0" collapsed="false">
      <c r="A895" s="47" t="n">
        <v>41</v>
      </c>
      <c r="B895" s="38" t="n">
        <f aca="false">助手收入!$B42</f>
        <v>2064</v>
      </c>
      <c r="C895" s="48" t="str">
        <f aca="false">助手收入!$C42</f>
        <v>旗舰店</v>
      </c>
      <c r="D895" s="48" t="str">
        <f aca="false">科目对照收入!$B15&amp;""</f>
        <v>OMS线上支付</v>
      </c>
      <c r="E895" s="48" t="str">
        <f aca="false">IF(AND(ROUND($G895,2)&lt;0,科目对照收入!$L15&lt;&gt;""),科目对照收入!$L15,科目对照收入!$C15)&amp;""</f>
        <v>应收账款</v>
      </c>
      <c r="F895" s="48" t="str">
        <f aca="false">IF(AND(ROUND($G895,2)&lt;0,科目对照收入!$L15&lt;&gt;""),科目对照收入!$M15,科目对照收入!$D15)&amp;""</f>
        <v>OMS线上</v>
      </c>
      <c r="G895" s="49" t="n">
        <f aca="false">IF(COUNTIFS(输入平台!$A:$A,助手收入!$X42,输入平台!$B:$B,科目对照收入!$B15)&gt;0,ROUND(SUMIFS(输入平台!$C:$C,输入平台!$A:$A,助手收入!$X42,输入平台!$B:$B,科目对照收入!$B15),2),ROUND(海典汇总!$L$43,2))</f>
        <v>0</v>
      </c>
      <c r="H895" s="49" t="str">
        <f aca="false">IF(ROUND($G895,2)&gt;0,ROUND($G895,2),"")</f>
        <v/>
      </c>
      <c r="I895" s="49" t="str">
        <f aca="false">IF(ROUND($G895,2)&lt;0,-ROUND($G895,2),"")</f>
        <v/>
      </c>
      <c r="J895" s="20" t="n">
        <f aca="false">IF(ROUND($G895,2)=0,0,1)</f>
        <v>0</v>
      </c>
      <c r="K895" s="20" t="str">
        <f aca="false">IF($J895=0,"",SUM($J$882:$J895))</f>
        <v/>
      </c>
      <c r="L895" s="20" t="str">
        <f aca="false">IF($K895="","",$A895*100+$K895)</f>
        <v/>
      </c>
      <c r="M895" s="48" t="str">
        <f aca="false">参数!$B$3</f>
        <v>7月收入</v>
      </c>
    </row>
    <row r="896" customFormat="false" ht="13.5" hidden="false" customHeight="false" outlineLevel="0" collapsed="false">
      <c r="A896" s="47" t="n">
        <v>41</v>
      </c>
      <c r="B896" s="38" t="n">
        <f aca="false">助手收入!$B42</f>
        <v>2064</v>
      </c>
      <c r="C896" s="48" t="str">
        <f aca="false">助手收入!$C42</f>
        <v>旗舰店</v>
      </c>
      <c r="D896" s="48" t="str">
        <f aca="false">科目对照收入!$B16&amp;""</f>
        <v>平安药卡</v>
      </c>
      <c r="E896" s="48" t="str">
        <f aca="false">IF(AND(ROUND($G896,2)&lt;0,科目对照收入!$L16&lt;&gt;""),科目对照收入!$L16,科目对照收入!$C16)&amp;""</f>
        <v>应收账款</v>
      </c>
      <c r="F896" s="48" t="str">
        <f aca="false">IF(AND(ROUND($G896,2)&lt;0,科目对照收入!$L16&lt;&gt;""),科目对照收入!$M16,科目对照收入!$D16)&amp;""</f>
        <v>平安</v>
      </c>
      <c r="G896" s="49" t="n">
        <f aca="false">IF(COUNTIFS(输入平台!$A:$A,助手收入!$X42,输入平台!$B:$B,科目对照收入!$B16)&gt;0,ROUND(SUMIFS(输入平台!$C:$C,输入平台!$A:$A,助手收入!$X42,输入平台!$B:$B,科目对照收入!$B16),2),ROUND(海典汇总!$AB$43,2))</f>
        <v>0</v>
      </c>
      <c r="H896" s="49" t="str">
        <f aca="false">IF(ROUND($G896,2)&gt;0,ROUND($G896,2),"")</f>
        <v/>
      </c>
      <c r="I896" s="49" t="str">
        <f aca="false">IF(ROUND($G896,2)&lt;0,-ROUND($G896,2),"")</f>
        <v/>
      </c>
      <c r="J896" s="20" t="n">
        <f aca="false">IF(ROUND($G896,2)=0,0,1)</f>
        <v>0</v>
      </c>
      <c r="K896" s="20" t="str">
        <f aca="false">IF($J896=0,"",SUM($J$882:$J896))</f>
        <v/>
      </c>
      <c r="L896" s="20" t="str">
        <f aca="false">IF($K896="","",$A896*100+$K896)</f>
        <v/>
      </c>
      <c r="M896" s="48" t="str">
        <f aca="false">参数!$B$3</f>
        <v>7月收入</v>
      </c>
    </row>
    <row r="897" customFormat="false" ht="13.5" hidden="false" customHeight="false" outlineLevel="0" collapsed="false">
      <c r="A897" s="47" t="n">
        <v>41</v>
      </c>
      <c r="B897" s="38" t="n">
        <f aca="false">助手收入!$B42</f>
        <v>2064</v>
      </c>
      <c r="C897" s="48" t="str">
        <f aca="false">助手收入!$C42</f>
        <v>旗舰店</v>
      </c>
      <c r="D897" s="48" t="str">
        <f aca="false">科目对照收入!$B17&amp;""</f>
        <v>储值卡</v>
      </c>
      <c r="E897" s="48" t="str">
        <f aca="false">IF(AND(ROUND($G897,2)&lt;0,科目对照收入!$L17&lt;&gt;""),科目对照收入!$L17,科目对照收入!$C17)&amp;""</f>
        <v>其他应收款</v>
      </c>
      <c r="F897" s="48" t="str">
        <f aca="false">IF(AND(ROUND($G897,2)&lt;0,科目对照收入!$L17&lt;&gt;""),科目对照收入!$M17,科目对照收入!$D17)&amp;""</f>
        <v>储值卡</v>
      </c>
      <c r="G897" s="49" t="n">
        <f aca="false">ROUND(海典汇总!$Q$43,2)</f>
        <v>0</v>
      </c>
      <c r="H897" s="49" t="str">
        <f aca="false">IF(ROUND($G897,2)&gt;0,ROUND($G897,2),"")</f>
        <v/>
      </c>
      <c r="I897" s="49" t="str">
        <f aca="false">IF(ROUND($G897,2)&lt;0,-ROUND($G897,2),"")</f>
        <v/>
      </c>
      <c r="J897" s="20" t="n">
        <f aca="false">IF(ROUND($G897,2)=0,0,1)</f>
        <v>0</v>
      </c>
      <c r="K897" s="20" t="str">
        <f aca="false">IF($J897=0,"",SUM($J$882:$J897))</f>
        <v/>
      </c>
      <c r="L897" s="20" t="str">
        <f aca="false">IF($K897="","",$A897*100+$K897)</f>
        <v/>
      </c>
      <c r="M897" s="48" t="str">
        <f aca="false">参数!$B$3</f>
        <v>7月收入</v>
      </c>
    </row>
    <row r="898" customFormat="false" ht="13.5" hidden="false" customHeight="false" outlineLevel="0" collapsed="false">
      <c r="A898" s="47" t="n">
        <v>41</v>
      </c>
      <c r="B898" s="38" t="n">
        <f aca="false">助手收入!$B42</f>
        <v>2064</v>
      </c>
      <c r="C898" s="48" t="str">
        <f aca="false">助手收入!$C42</f>
        <v>旗舰店</v>
      </c>
      <c r="D898" s="48" t="str">
        <f aca="false">科目对照收入!$B18&amp;""</f>
        <v>会员零钱包</v>
      </c>
      <c r="E898" s="48" t="str">
        <f aca="false">IF(AND(ROUND($G898,2)&lt;0,科目对照收入!$L18&lt;&gt;""),科目对照收入!$L18,科目对照收入!$C18)&amp;""</f>
        <v>其他应收款</v>
      </c>
      <c r="F898" s="48" t="str">
        <f aca="false">IF(AND(ROUND($G898,2)&lt;0,科目对照收入!$L18&lt;&gt;""),科目对照收入!$M18,科目对照收入!$D18)&amp;""</f>
        <v>会员零钱包</v>
      </c>
      <c r="G898" s="49" t="n">
        <f aca="false">ROUND(海典汇总!$P$43,2)</f>
        <v>0</v>
      </c>
      <c r="H898" s="49" t="str">
        <f aca="false">IF(ROUND($G898,2)&gt;0,ROUND($G898,2),"")</f>
        <v/>
      </c>
      <c r="I898" s="49" t="str">
        <f aca="false">IF(ROUND($G898,2)&lt;0,-ROUND($G898,2),"")</f>
        <v/>
      </c>
      <c r="J898" s="20" t="n">
        <f aca="false">IF(ROUND($G898,2)=0,0,1)</f>
        <v>0</v>
      </c>
      <c r="K898" s="20" t="str">
        <f aca="false">IF($J898=0,"",SUM($J$882:$J898))</f>
        <v/>
      </c>
      <c r="L898" s="20" t="str">
        <f aca="false">IF($K898="","",$A898*100+$K898)</f>
        <v/>
      </c>
      <c r="M898" s="48" t="str">
        <f aca="false">参数!$B$3</f>
        <v>7月收入</v>
      </c>
    </row>
    <row r="899" customFormat="false" ht="13.5" hidden="false" customHeight="false" outlineLevel="0" collapsed="false">
      <c r="A899" s="47" t="n">
        <v>41</v>
      </c>
      <c r="B899" s="38" t="n">
        <f aca="false">助手收入!$B42</f>
        <v>2064</v>
      </c>
      <c r="C899" s="48" t="str">
        <f aca="false">助手收入!$C42</f>
        <v>旗舰店</v>
      </c>
      <c r="D899" s="48" t="str">
        <f aca="false">科目对照收入!$B19&amp;""</f>
        <v>促销费</v>
      </c>
      <c r="E899" s="48" t="str">
        <f aca="false">IF(AND(ROUND($G899,2)&lt;0,科目对照收入!$L19&lt;&gt;""),科目对照收入!$L19,科目对照收入!$C19)&amp;""</f>
        <v>销售费用</v>
      </c>
      <c r="F899" s="48" t="str">
        <f aca="false">IF(AND(ROUND($G899,2)&lt;0,科目对照收入!$L19&lt;&gt;""),科目对照收入!$M19,科目对照收入!$D19)&amp;""</f>
        <v>促销费</v>
      </c>
      <c r="G899" s="49" t="n">
        <f aca="false">ROUND(海典汇总!$U$43+海典汇总!$T$43+海典汇总!$S$43,2)</f>
        <v>0</v>
      </c>
      <c r="H899" s="49" t="str">
        <f aca="false">IF(ROUND($G899,2)&gt;0,ROUND($G899,2),"")</f>
        <v/>
      </c>
      <c r="I899" s="49" t="str">
        <f aca="false">IF(ROUND($G899,2)&lt;0,-ROUND($G899,2),"")</f>
        <v/>
      </c>
      <c r="J899" s="20" t="n">
        <f aca="false">IF(ROUND($G899,2)=0,0,1)</f>
        <v>0</v>
      </c>
      <c r="K899" s="20" t="str">
        <f aca="false">IF($J899=0,"",SUM($J$882:$J899))</f>
        <v/>
      </c>
      <c r="L899" s="20" t="str">
        <f aca="false">IF($K899="","",$A899*100+$K899)</f>
        <v/>
      </c>
      <c r="M899" s="48" t="str">
        <f aca="false">参数!$B$3</f>
        <v>7月收入</v>
      </c>
    </row>
    <row r="900" customFormat="false" ht="13.5" hidden="false" customHeight="false" outlineLevel="0" collapsed="false">
      <c r="A900" s="47" t="n">
        <v>41</v>
      </c>
      <c r="B900" s="38" t="n">
        <f aca="false">助手收入!$B42</f>
        <v>2064</v>
      </c>
      <c r="C900" s="48" t="str">
        <f aca="false">助手收入!$C42</f>
        <v>旗舰店</v>
      </c>
      <c r="D900" s="48" t="str">
        <f aca="false">科目对照收入!$B20&amp;""</f>
        <v>积分</v>
      </c>
      <c r="E900" s="48" t="str">
        <f aca="false">IF(AND(ROUND($G900,2)&lt;0,科目对照收入!$L20&lt;&gt;""),科目对照收入!$L20,科目对照收入!$C20)&amp;""</f>
        <v>销售费用</v>
      </c>
      <c r="F900" s="48" t="str">
        <f aca="false">IF(AND(ROUND($G900,2)&lt;0,科目对照收入!$L20&lt;&gt;""),科目对照收入!$M20,科目对照收入!$D20)&amp;""</f>
        <v>积分</v>
      </c>
      <c r="G900" s="49" t="n">
        <f aca="false">ROUND(海典汇总!$R$43,2)</f>
        <v>0</v>
      </c>
      <c r="H900" s="49" t="str">
        <f aca="false">IF(ROUND($G900,2)&gt;0,ROUND($G900,2),"")</f>
        <v/>
      </c>
      <c r="I900" s="49" t="str">
        <f aca="false">IF(ROUND($G900,2)&lt;0,-ROUND($G900,2),"")</f>
        <v/>
      </c>
      <c r="J900" s="20" t="n">
        <f aca="false">IF(ROUND($G900,2)=0,0,1)</f>
        <v>0</v>
      </c>
      <c r="K900" s="20" t="str">
        <f aca="false">IF($J900=0,"",SUM($J$882:$J900))</f>
        <v/>
      </c>
      <c r="L900" s="20" t="str">
        <f aca="false">IF($K900="","",$A900*100+$K900)</f>
        <v/>
      </c>
      <c r="M900" s="48" t="str">
        <f aca="false">参数!$B$3</f>
        <v>7月收入</v>
      </c>
    </row>
    <row r="901" customFormat="false" ht="13.5" hidden="false" customHeight="false" outlineLevel="0" collapsed="false">
      <c r="A901" s="47" t="n">
        <v>41</v>
      </c>
      <c r="B901" s="38" t="n">
        <f aca="false">助手收入!$B42</f>
        <v>2064</v>
      </c>
      <c r="C901" s="48" t="str">
        <f aca="false">助手收入!$C42</f>
        <v>旗舰店</v>
      </c>
      <c r="D901" s="48" t="str">
        <f aca="false">科目对照收入!$B21&amp;""</f>
        <v>手续费</v>
      </c>
      <c r="E901" s="48" t="str">
        <f aca="false">IF(AND(ROUND($G901,2)&lt;0,科目对照收入!$L21&lt;&gt;""),科目对照收入!$L21,科目对照收入!$C21)&amp;""</f>
        <v>财务费用</v>
      </c>
      <c r="F901" s="48" t="str">
        <f aca="false">IF(AND(ROUND($G901,2)&lt;0,科目对照收入!$L21&lt;&gt;""),科目对照收入!$M21,科目对照收入!$D21)&amp;""</f>
        <v>手续费</v>
      </c>
      <c r="G901" s="49" t="n">
        <f aca="false">ROUND(SUMIFS(输入聚合!$D:$D,输入聚合!$A:$A,助手收入!$X42),2)</f>
        <v>0</v>
      </c>
      <c r="H901" s="49" t="str">
        <f aca="false">IF(ROUND($G901,2)&gt;0,ROUND($G901,2),"")</f>
        <v/>
      </c>
      <c r="I901" s="49" t="str">
        <f aca="false">IF(ROUND($G901,2)&lt;0,-ROUND($G901,2),"")</f>
        <v/>
      </c>
      <c r="J901" s="20" t="n">
        <f aca="false">IF(ROUND($G901,2)=0,0,1)</f>
        <v>0</v>
      </c>
      <c r="K901" s="20" t="str">
        <f aca="false">IF($J901=0,"",SUM($J$882:$J901))</f>
        <v/>
      </c>
      <c r="L901" s="20" t="str">
        <f aca="false">IF($K901="","",$A901*100+$K901)</f>
        <v/>
      </c>
      <c r="M901" s="48" t="str">
        <f aca="false">参数!$B$3</f>
        <v>7月收入</v>
      </c>
    </row>
    <row r="902" customFormat="false" ht="13.5" hidden="false" customHeight="false" outlineLevel="0" collapsed="false">
      <c r="A902" s="47" t="n">
        <v>41</v>
      </c>
      <c r="B902" s="38" t="n">
        <f aca="false">助手收入!$B42</f>
        <v>2064</v>
      </c>
      <c r="C902" s="48" t="str">
        <f aca="false">助手收入!$C42</f>
        <v>旗舰店</v>
      </c>
      <c r="D902" s="48" t="str">
        <f aca="false">科目对照收入!$B22&amp;""</f>
        <v>主营业务收入</v>
      </c>
      <c r="E902" s="48" t="str">
        <f aca="false">IF(AND(ROUND($G902,2)&lt;0,科目对照收入!$L22&lt;&gt;""),科目对照收入!$L22,科目对照收入!$C22)&amp;""</f>
        <v>主营业务收入</v>
      </c>
      <c r="F902" s="48" t="str">
        <f aca="false">IF(AND(ROUND($G902,2)&lt;0,科目对照收入!$L22&lt;&gt;""),科目对照收入!$M22,科目对照收入!$D22)&amp;""</f>
        <v/>
      </c>
      <c r="G902" s="49" t="n">
        <f aca="false">-ROUND(助手收入!$G42,2)</f>
        <v>-699.75</v>
      </c>
      <c r="H902" s="49" t="str">
        <f aca="false">IF(ROUND($G902,2)&gt;0,ROUND($G902,2),"")</f>
        <v/>
      </c>
      <c r="I902" s="49" t="n">
        <f aca="false">IF(ROUND($G902,2)&lt;0,-ROUND($G902,2),"")</f>
        <v>699.75</v>
      </c>
      <c r="J902" s="20" t="n">
        <f aca="false">IF(ROUND($G902,2)=0,0,1)</f>
        <v>1</v>
      </c>
      <c r="K902" s="20" t="n">
        <f aca="false">IF($J902=0,"",SUM($J$882:$J902))</f>
        <v>2</v>
      </c>
      <c r="L902" s="20" t="n">
        <f aca="false">IF($K902="","",$A902*100+$K902)</f>
        <v>4102</v>
      </c>
      <c r="M902" s="48" t="str">
        <f aca="false">参数!$B$3</f>
        <v>7月收入</v>
      </c>
    </row>
    <row r="903" customFormat="false" ht="13.5" hidden="false" customHeight="false" outlineLevel="0" collapsed="false">
      <c r="A903" s="47" t="n">
        <v>41</v>
      </c>
      <c r="B903" s="38" t="n">
        <f aca="false">助手收入!$B42</f>
        <v>2064</v>
      </c>
      <c r="C903" s="48" t="str">
        <f aca="false">助手收入!$C42</f>
        <v>旗舰店</v>
      </c>
      <c r="D903" s="48" t="str">
        <f aca="false">科目对照收入!$B23&amp;""</f>
        <v>营业外收入</v>
      </c>
      <c r="E903" s="48" t="str">
        <f aca="false">IF(AND(ROUND($G903,2)&lt;0,科目对照收入!$L23&lt;&gt;""),科目对照收入!$L23,科目对照收入!$C23)&amp;""</f>
        <v>营业外收入</v>
      </c>
      <c r="F903" s="48" t="str">
        <f aca="false">IF(AND(ROUND($G903,2)&lt;0,科目对照收入!$L23&lt;&gt;""),科目对照收入!$M23,科目对照收入!$D23)&amp;""</f>
        <v/>
      </c>
      <c r="G903" s="49" t="n">
        <f aca="false">-ROUND(助手收入!$J42,2)</f>
        <v>-0</v>
      </c>
      <c r="H903" s="49" t="str">
        <f aca="false">IF(ROUND($G903,2)&gt;0,ROUND($G903,2),"")</f>
        <v/>
      </c>
      <c r="I903" s="49" t="str">
        <f aca="false">IF(ROUND($G903,2)&lt;0,-ROUND($G903,2),"")</f>
        <v/>
      </c>
      <c r="J903" s="20" t="n">
        <f aca="false">IF(ROUND($G903,2)=0,0,1)</f>
        <v>0</v>
      </c>
      <c r="K903" s="20" t="str">
        <f aca="false">IF($J903=0,"",SUM($J$882:$J903))</f>
        <v/>
      </c>
      <c r="L903" s="20" t="str">
        <f aca="false">IF($K903="","",$A903*100+$K903)</f>
        <v/>
      </c>
      <c r="M903" s="48" t="str">
        <f aca="false">参数!$B$3</f>
        <v>7月收入</v>
      </c>
    </row>
    <row r="904" customFormat="false" ht="13.5" hidden="false" customHeight="false" outlineLevel="0" collapsed="false">
      <c r="A904" s="47" t="n">
        <v>42</v>
      </c>
      <c r="B904" s="38" t="n">
        <f aca="false">助手收入!$B43</f>
        <v>2066</v>
      </c>
      <c r="C904" s="48" t="str">
        <f aca="false">助手收入!$C43</f>
        <v>博实店</v>
      </c>
      <c r="D904" s="48" t="str">
        <f aca="false">科目对照收入!$B2&amp;""</f>
        <v>库存现金</v>
      </c>
      <c r="E904" s="48" t="str">
        <f aca="false">IF(AND(ROUND($G904,2)&lt;0,科目对照收入!$L2&lt;&gt;""),科目对照收入!$L2,科目对照收入!$C2)&amp;""</f>
        <v>库存现金</v>
      </c>
      <c r="F904" s="48" t="str">
        <f aca="false">IF(AND(ROUND($G904,2)&lt;0,科目对照收入!$L2&lt;&gt;""),科目对照收入!$M2,科目对照收入!$D2)&amp;""</f>
        <v/>
      </c>
      <c r="G904" s="49" t="n">
        <f aca="false">助手收入!$I43</f>
        <v>14896.88</v>
      </c>
      <c r="H904" s="49" t="n">
        <f aca="false">IF(ROUND($G904,2)&gt;0,ROUND($G904,2),"")</f>
        <v>14896.88</v>
      </c>
      <c r="I904" s="49" t="str">
        <f aca="false">IF(ROUND($G904,2)&lt;0,-ROUND($G904,2),"")</f>
        <v/>
      </c>
      <c r="J904" s="20" t="n">
        <f aca="false">IF(ROUND($G904,2)=0,0,1)</f>
        <v>1</v>
      </c>
      <c r="K904" s="20" t="n">
        <f aca="false">IF($J904=0,"",SUM($J$904:$J904))</f>
        <v>1</v>
      </c>
      <c r="L904" s="20" t="n">
        <f aca="false">IF($K904="","",$A904*100+$K904)</f>
        <v>4201</v>
      </c>
      <c r="M904" s="48" t="str">
        <f aca="false">参数!$B$3</f>
        <v>7月收入</v>
      </c>
    </row>
    <row r="905" customFormat="false" ht="13.5" hidden="false" customHeight="false" outlineLevel="0" collapsed="false">
      <c r="A905" s="47" t="n">
        <v>42</v>
      </c>
      <c r="B905" s="38" t="n">
        <f aca="false">助手收入!$B43</f>
        <v>2066</v>
      </c>
      <c r="C905" s="48" t="str">
        <f aca="false">助手收入!$C43</f>
        <v>博实店</v>
      </c>
      <c r="D905" s="48" t="str">
        <f aca="false">科目对照收入!$B3&amp;""</f>
        <v>聚合支付</v>
      </c>
      <c r="E905" s="48" t="str">
        <f aca="false">IF(AND(ROUND($G905,2)&lt;0,科目对照收入!$L3&lt;&gt;""),科目对照收入!$L3,科目对照收入!$C3)&amp;""</f>
        <v>应收账款</v>
      </c>
      <c r="F905" s="48" t="str">
        <f aca="false">IF(AND(ROUND($G905,2)&lt;0,科目对照收入!$L3&lt;&gt;""),科目对照收入!$M3,科目对照收入!$D3)&amp;""</f>
        <v>聚合支付</v>
      </c>
      <c r="G905" s="49" t="n">
        <f aca="false">ROUND(SUMIFS(输入聚合!$C:$C,输入聚合!$A:$A,助手收入!$X43)-SUMIFS(输入聚合!$D:$D,输入聚合!$A:$A,助手收入!$X43),2)</f>
        <v>34176.05</v>
      </c>
      <c r="H905" s="49" t="n">
        <f aca="false">IF(ROUND($G905,2)&gt;0,ROUND($G905,2),"")</f>
        <v>34176.05</v>
      </c>
      <c r="I905" s="49" t="str">
        <f aca="false">IF(ROUND($G905,2)&lt;0,-ROUND($G905,2),"")</f>
        <v/>
      </c>
      <c r="J905" s="20" t="n">
        <f aca="false">IF(ROUND($G905,2)=0,0,1)</f>
        <v>1</v>
      </c>
      <c r="K905" s="20" t="n">
        <f aca="false">IF($J905=0,"",SUM($J$904:$J905))</f>
        <v>2</v>
      </c>
      <c r="L905" s="20" t="n">
        <f aca="false">IF($K905="","",$A905*100+$K905)</f>
        <v>4202</v>
      </c>
      <c r="M905" s="48" t="str">
        <f aca="false">参数!$B$3</f>
        <v>7月收入</v>
      </c>
    </row>
    <row r="906" customFormat="false" ht="13.5" hidden="false" customHeight="false" outlineLevel="0" collapsed="false">
      <c r="A906" s="47" t="n">
        <v>42</v>
      </c>
      <c r="B906" s="38" t="n">
        <f aca="false">助手收入!$B43</f>
        <v>2066</v>
      </c>
      <c r="C906" s="48" t="str">
        <f aca="false">助手收入!$C43</f>
        <v>博实店</v>
      </c>
      <c r="D906" s="48" t="str">
        <f aca="false">科目对照收入!$B4&amp;""</f>
        <v>医保</v>
      </c>
      <c r="E906" s="48" t="str">
        <f aca="false">IF(AND(ROUND($G906,2)&lt;0,科目对照收入!$L4&lt;&gt;""),科目对照收入!$L4,科目对照收入!$C4)&amp;""</f>
        <v>应收账款</v>
      </c>
      <c r="F906" s="48" t="str">
        <f aca="false">IF(AND(ROUND($G906,2)&lt;0,科目对照收入!$L4&lt;&gt;""),科目对照收入!$M4,科目对照收入!$D4)&amp;""</f>
        <v>医保</v>
      </c>
      <c r="G906" s="49" t="n">
        <f aca="false">IF(COUNTIFS(输入平台!$A:$A,助手收入!$X43,输入平台!$B:$B,科目对照收入!$B4)&gt;0,ROUND(SUMIFS(输入平台!$C:$C,输入平台!$A:$A,助手收入!$X43,输入平台!$B:$B,科目对照收入!$B4),2),ROUND(海典汇总!$F$44+海典汇总!$G$44,2))</f>
        <v>11657.84</v>
      </c>
      <c r="H906" s="49" t="n">
        <f aca="false">IF(ROUND($G906,2)&gt;0,ROUND($G906,2),"")</f>
        <v>11657.84</v>
      </c>
      <c r="I906" s="49" t="str">
        <f aca="false">IF(ROUND($G906,2)&lt;0,-ROUND($G906,2),"")</f>
        <v/>
      </c>
      <c r="J906" s="20" t="n">
        <f aca="false">IF(ROUND($G906,2)=0,0,1)</f>
        <v>1</v>
      </c>
      <c r="K906" s="20" t="n">
        <f aca="false">IF($J906=0,"",SUM($J$904:$J906))</f>
        <v>3</v>
      </c>
      <c r="L906" s="20" t="n">
        <f aca="false">IF($K906="","",$A906*100+$K906)</f>
        <v>4203</v>
      </c>
      <c r="M906" s="48" t="str">
        <f aca="false">参数!$B$3</f>
        <v>7月收入</v>
      </c>
    </row>
    <row r="907" customFormat="false" ht="13.5" hidden="false" customHeight="false" outlineLevel="0" collapsed="false">
      <c r="A907" s="47" t="n">
        <v>42</v>
      </c>
      <c r="B907" s="38" t="n">
        <f aca="false">助手收入!$B43</f>
        <v>2066</v>
      </c>
      <c r="C907" s="48" t="str">
        <f aca="false">助手收入!$C43</f>
        <v>博实店</v>
      </c>
      <c r="D907" s="48" t="str">
        <f aca="false">科目对照收入!$B5&amp;""</f>
        <v>健e卡</v>
      </c>
      <c r="E907" s="48" t="str">
        <f aca="false">IF(AND(ROUND($G907,2)&lt;0,科目对照收入!$L5&lt;&gt;""),科目对照收入!$L5,科目对照收入!$C5)&amp;""</f>
        <v>应收账款</v>
      </c>
      <c r="F907" s="48" t="str">
        <f aca="false">IF(AND(ROUND($G907,2)&lt;0,科目对照收入!$L5&lt;&gt;""),科目对照收入!$M5,科目对照收入!$D5)&amp;""</f>
        <v>健e卡</v>
      </c>
      <c r="G907" s="49" t="n">
        <f aca="false">IF(COUNTIFS(输入平台!$A:$A,助手收入!$X43,输入平台!$B:$B,科目对照收入!$B5)&gt;0,ROUND(SUMIFS(输入平台!$C:$C,输入平台!$A:$A,助手收入!$X43,输入平台!$B:$B,科目对照收入!$B5),2),ROUND(海典汇总!$H$44,2))</f>
        <v>0</v>
      </c>
      <c r="H907" s="49" t="str">
        <f aca="false">IF(ROUND($G907,2)&gt;0,ROUND($G907,2),"")</f>
        <v/>
      </c>
      <c r="I907" s="49" t="str">
        <f aca="false">IF(ROUND($G907,2)&lt;0,-ROUND($G907,2),"")</f>
        <v/>
      </c>
      <c r="J907" s="20" t="n">
        <f aca="false">IF(ROUND($G907,2)=0,0,1)</f>
        <v>0</v>
      </c>
      <c r="K907" s="20" t="str">
        <f aca="false">IF($J907=0,"",SUM($J$904:$J907))</f>
        <v/>
      </c>
      <c r="L907" s="20" t="str">
        <f aca="false">IF($K907="","",$A907*100+$K907)</f>
        <v/>
      </c>
      <c r="M907" s="48" t="str">
        <f aca="false">参数!$B$3</f>
        <v>7月收入</v>
      </c>
    </row>
    <row r="908" customFormat="false" ht="13.5" hidden="false" customHeight="false" outlineLevel="0" collapsed="false">
      <c r="A908" s="47" t="n">
        <v>42</v>
      </c>
      <c r="B908" s="38" t="n">
        <f aca="false">助手收入!$B43</f>
        <v>2066</v>
      </c>
      <c r="C908" s="48" t="str">
        <f aca="false">助手收入!$C43</f>
        <v>博实店</v>
      </c>
      <c r="D908" s="48" t="str">
        <f aca="false">科目对照收入!$B6&amp;""</f>
        <v>医卡通</v>
      </c>
      <c r="E908" s="48" t="str">
        <f aca="false">IF(AND(ROUND($G908,2)&lt;0,科目对照收入!$L6&lt;&gt;""),科目对照收入!$L6,科目对照收入!$C6)&amp;""</f>
        <v>应收账款</v>
      </c>
      <c r="F908" s="48" t="str">
        <f aca="false">IF(AND(ROUND($G908,2)&lt;0,科目对照收入!$L6&lt;&gt;""),科目对照收入!$M6,科目对照收入!$D6)&amp;""</f>
        <v>医卡通</v>
      </c>
      <c r="G908" s="49" t="n">
        <f aca="false">IF(COUNTIFS(输入平台!$A:$A,助手收入!$X43,输入平台!$B:$B,科目对照收入!$B6)&gt;0,ROUND(SUMIFS(输入平台!$C:$C,输入平台!$A:$A,助手收入!$X43,输入平台!$B:$B,科目对照收入!$B6),2),ROUND(海典汇总!$I$44,2))</f>
        <v>0</v>
      </c>
      <c r="H908" s="49" t="str">
        <f aca="false">IF(ROUND($G908,2)&gt;0,ROUND($G908,2),"")</f>
        <v/>
      </c>
      <c r="I908" s="49" t="str">
        <f aca="false">IF(ROUND($G908,2)&lt;0,-ROUND($G908,2),"")</f>
        <v/>
      </c>
      <c r="J908" s="20" t="n">
        <f aca="false">IF(ROUND($G908,2)=0,0,1)</f>
        <v>0</v>
      </c>
      <c r="K908" s="20" t="str">
        <f aca="false">IF($J908=0,"",SUM($J$904:$J908))</f>
        <v/>
      </c>
      <c r="L908" s="20" t="str">
        <f aca="false">IF($K908="","",$A908*100+$K908)</f>
        <v/>
      </c>
      <c r="M908" s="48" t="str">
        <f aca="false">参数!$B$3</f>
        <v>7月收入</v>
      </c>
    </row>
    <row r="909" customFormat="false" ht="13.5" hidden="false" customHeight="false" outlineLevel="0" collapsed="false">
      <c r="A909" s="47" t="n">
        <v>42</v>
      </c>
      <c r="B909" s="38" t="n">
        <f aca="false">助手收入!$B43</f>
        <v>2066</v>
      </c>
      <c r="C909" s="48" t="str">
        <f aca="false">助手收入!$C43</f>
        <v>博实店</v>
      </c>
      <c r="D909" s="48" t="str">
        <f aca="false">科目对照收入!$B7&amp;""</f>
        <v>企健网</v>
      </c>
      <c r="E909" s="48" t="str">
        <f aca="false">IF(AND(ROUND($G909,2)&lt;0,科目对照收入!$L7&lt;&gt;""),科目对照收入!$L7,科目对照收入!$C7)&amp;""</f>
        <v>应收账款</v>
      </c>
      <c r="F909" s="48" t="str">
        <f aca="false">IF(AND(ROUND($G909,2)&lt;0,科目对照收入!$L7&lt;&gt;""),科目对照收入!$M7,科目对照收入!$D7)&amp;""</f>
        <v>企健网</v>
      </c>
      <c r="G909" s="49" t="n">
        <f aca="false">IF(COUNTIFS(输入平台!$A:$A,助手收入!$X43,输入平台!$B:$B,科目对照收入!$B7)&gt;0,ROUND(SUMIFS(输入平台!$C:$C,输入平台!$A:$A,助手收入!$X43,输入平台!$B:$B,科目对照收入!$B7),2),ROUND(海典汇总!$J$44,2))</f>
        <v>0</v>
      </c>
      <c r="H909" s="49" t="str">
        <f aca="false">IF(ROUND($G909,2)&gt;0,ROUND($G909,2),"")</f>
        <v/>
      </c>
      <c r="I909" s="49" t="str">
        <f aca="false">IF(ROUND($G909,2)&lt;0,-ROUND($G909,2),"")</f>
        <v/>
      </c>
      <c r="J909" s="20" t="n">
        <f aca="false">IF(ROUND($G909,2)=0,0,1)</f>
        <v>0</v>
      </c>
      <c r="K909" s="20" t="str">
        <f aca="false">IF($J909=0,"",SUM($J$904:$J909))</f>
        <v/>
      </c>
      <c r="L909" s="20" t="str">
        <f aca="false">IF($K909="","",$A909*100+$K909)</f>
        <v/>
      </c>
      <c r="M909" s="48" t="str">
        <f aca="false">参数!$B$3</f>
        <v>7月收入</v>
      </c>
    </row>
    <row r="910" customFormat="false" ht="13.5" hidden="false" customHeight="false" outlineLevel="0" collapsed="false">
      <c r="A910" s="47" t="n">
        <v>42</v>
      </c>
      <c r="B910" s="38" t="n">
        <f aca="false">助手收入!$B43</f>
        <v>2066</v>
      </c>
      <c r="C910" s="48" t="str">
        <f aca="false">助手收入!$C43</f>
        <v>博实店</v>
      </c>
      <c r="D910" s="48" t="str">
        <f aca="false">科目对照收入!$B8&amp;""</f>
        <v>亲情卡</v>
      </c>
      <c r="E910" s="48" t="str">
        <f aca="false">IF(AND(ROUND($G910,2)&lt;0,科目对照收入!$L8&lt;&gt;""),科目对照收入!$L8,科目对照收入!$C8)&amp;""</f>
        <v>应收账款</v>
      </c>
      <c r="F910" s="48" t="str">
        <f aca="false">IF(AND(ROUND($G910,2)&lt;0,科目对照收入!$L8&lt;&gt;""),科目对照收入!$M8,科目对照收入!$D8)&amp;""</f>
        <v>亲情卡</v>
      </c>
      <c r="G910" s="49" t="n">
        <f aca="false">IF(COUNTIFS(输入平台!$A:$A,助手收入!$X43,输入平台!$B:$B,科目对照收入!$B8)&gt;0,ROUND(SUMIFS(输入平台!$C:$C,输入平台!$A:$A,助手收入!$X43,输入平台!$B:$B,科目对照收入!$B8),2),ROUND(海典汇总!$Z$44,2))</f>
        <v>0</v>
      </c>
      <c r="H910" s="49" t="str">
        <f aca="false">IF(ROUND($G910,2)&gt;0,ROUND($G910,2),"")</f>
        <v/>
      </c>
      <c r="I910" s="49" t="str">
        <f aca="false">IF(ROUND($G910,2)&lt;0,-ROUND($G910,2),"")</f>
        <v/>
      </c>
      <c r="J910" s="20" t="n">
        <f aca="false">IF(ROUND($G910,2)=0,0,1)</f>
        <v>0</v>
      </c>
      <c r="K910" s="20" t="str">
        <f aca="false">IF($J910=0,"",SUM($J$904:$J910))</f>
        <v/>
      </c>
      <c r="L910" s="20" t="str">
        <f aca="false">IF($K910="","",$A910*100+$K910)</f>
        <v/>
      </c>
      <c r="M910" s="48" t="str">
        <f aca="false">参数!$B$3</f>
        <v>7月收入</v>
      </c>
    </row>
    <row r="911" customFormat="false" ht="13.5" hidden="false" customHeight="false" outlineLevel="0" collapsed="false">
      <c r="A911" s="47" t="n">
        <v>42</v>
      </c>
      <c r="B911" s="38" t="n">
        <f aca="false">助手收入!$B43</f>
        <v>2066</v>
      </c>
      <c r="C911" s="48" t="str">
        <f aca="false">助手收入!$C43</f>
        <v>博实店</v>
      </c>
      <c r="D911" s="48" t="str">
        <f aca="false">科目对照收入!$B9&amp;""</f>
        <v>24小时</v>
      </c>
      <c r="E911" s="48" t="str">
        <f aca="false">IF(AND(ROUND($G911,2)&lt;0,科目对照收入!$L9&lt;&gt;""),科目对照收入!$L9,科目对照收入!$C9)&amp;""</f>
        <v>应收账款</v>
      </c>
      <c r="F911" s="48" t="str">
        <f aca="false">IF(AND(ROUND($G911,2)&lt;0,科目对照收入!$L9&lt;&gt;""),科目对照收入!$M9,科目对照收入!$D9)&amp;""</f>
        <v>24小时</v>
      </c>
      <c r="G911" s="49" t="n">
        <f aca="false">IF(COUNTIFS(输入平台!$A:$A,助手收入!$X43,输入平台!$B:$B,科目对照收入!$B9)&gt;0,ROUND(SUMIFS(输入平台!$C:$C,输入平台!$A:$A,助手收入!$X43,输入平台!$B:$B,科目对照收入!$B9),2),ROUND(海典汇总!$K$44,2))</f>
        <v>0</v>
      </c>
      <c r="H911" s="49" t="str">
        <f aca="false">IF(ROUND($G911,2)&gt;0,ROUND($G911,2),"")</f>
        <v/>
      </c>
      <c r="I911" s="49" t="str">
        <f aca="false">IF(ROUND($G911,2)&lt;0,-ROUND($G911,2),"")</f>
        <v/>
      </c>
      <c r="J911" s="20" t="n">
        <f aca="false">IF(ROUND($G911,2)=0,0,1)</f>
        <v>0</v>
      </c>
      <c r="K911" s="20" t="str">
        <f aca="false">IF($J911=0,"",SUM($J$904:$J911))</f>
        <v/>
      </c>
      <c r="L911" s="20" t="str">
        <f aca="false">IF($K911="","",$A911*100+$K911)</f>
        <v/>
      </c>
      <c r="M911" s="48" t="str">
        <f aca="false">参数!$B$3</f>
        <v>7月收入</v>
      </c>
    </row>
    <row r="912" customFormat="false" ht="13.5" hidden="false" customHeight="false" outlineLevel="0" collapsed="false">
      <c r="A912" s="47" t="n">
        <v>42</v>
      </c>
      <c r="B912" s="38" t="n">
        <f aca="false">助手收入!$B43</f>
        <v>2066</v>
      </c>
      <c r="C912" s="48" t="str">
        <f aca="false">助手收入!$C43</f>
        <v>博实店</v>
      </c>
      <c r="D912" s="48" t="str">
        <f aca="false">科目对照收入!$B10&amp;""</f>
        <v>美团</v>
      </c>
      <c r="E912" s="48" t="str">
        <f aca="false">IF(AND(ROUND($G912,2)&lt;0,科目对照收入!$L10&lt;&gt;""),科目对照收入!$L10,科目对照收入!$C10)&amp;""</f>
        <v>应收账款</v>
      </c>
      <c r="F912" s="48" t="str">
        <f aca="false">IF(AND(ROUND($G912,2)&lt;0,科目对照收入!$L10&lt;&gt;""),科目对照收入!$M10,科目对照收入!$D10)&amp;""</f>
        <v>美团</v>
      </c>
      <c r="G912" s="49" t="n">
        <f aca="false">IF(COUNTIFS(输入平台!$A:$A,助手收入!$X43,输入平台!$B:$B,科目对照收入!$B10)&gt;0,ROUND(SUMIFS(输入平台!$C:$C,输入平台!$A:$A,助手收入!$X43,输入平台!$B:$B,科目对照收入!$B10),2),ROUND(海典汇总!$M$44,2))</f>
        <v>53.5</v>
      </c>
      <c r="H912" s="49" t="n">
        <f aca="false">IF(ROUND($G912,2)&gt;0,ROUND($G912,2),"")</f>
        <v>53.5</v>
      </c>
      <c r="I912" s="49" t="str">
        <f aca="false">IF(ROUND($G912,2)&lt;0,-ROUND($G912,2),"")</f>
        <v/>
      </c>
      <c r="J912" s="20" t="n">
        <f aca="false">IF(ROUND($G912,2)=0,0,1)</f>
        <v>1</v>
      </c>
      <c r="K912" s="20" t="n">
        <f aca="false">IF($J912=0,"",SUM($J$904:$J912))</f>
        <v>4</v>
      </c>
      <c r="L912" s="20" t="n">
        <f aca="false">IF($K912="","",$A912*100+$K912)</f>
        <v>4204</v>
      </c>
      <c r="M912" s="48" t="str">
        <f aca="false">参数!$B$3</f>
        <v>7月收入</v>
      </c>
    </row>
    <row r="913" customFormat="false" ht="13.5" hidden="false" customHeight="false" outlineLevel="0" collapsed="false">
      <c r="A913" s="47" t="n">
        <v>42</v>
      </c>
      <c r="B913" s="38" t="n">
        <f aca="false">助手收入!$B43</f>
        <v>2066</v>
      </c>
      <c r="C913" s="48" t="str">
        <f aca="false">助手收入!$C43</f>
        <v>博实店</v>
      </c>
      <c r="D913" s="48" t="str">
        <f aca="false">科目对照收入!$B11&amp;""</f>
        <v>饿了么</v>
      </c>
      <c r="E913" s="48" t="str">
        <f aca="false">IF(AND(ROUND($G913,2)&lt;0,科目对照收入!$L11&lt;&gt;""),科目对照收入!$L11,科目对照收入!$C11)&amp;""</f>
        <v>应收账款</v>
      </c>
      <c r="F913" s="48" t="str">
        <f aca="false">IF(AND(ROUND($G913,2)&lt;0,科目对照收入!$L11&lt;&gt;""),科目对照收入!$M11,科目对照收入!$D11)&amp;""</f>
        <v>饿了么</v>
      </c>
      <c r="G913" s="49" t="n">
        <f aca="false">IF(COUNTIFS(输入平台!$A:$A,助手收入!$X43,输入平台!$B:$B,科目对照收入!$B11)&gt;0,ROUND(SUMIFS(输入平台!$C:$C,输入平台!$A:$A,助手收入!$X43,输入平台!$B:$B,科目对照收入!$B11),2),ROUND(海典汇总!$N$44,2))</f>
        <v>81.9</v>
      </c>
      <c r="H913" s="49" t="n">
        <f aca="false">IF(ROUND($G913,2)&gt;0,ROUND($G913,2),"")</f>
        <v>81.9</v>
      </c>
      <c r="I913" s="49" t="str">
        <f aca="false">IF(ROUND($G913,2)&lt;0,-ROUND($G913,2),"")</f>
        <v/>
      </c>
      <c r="J913" s="20" t="n">
        <f aca="false">IF(ROUND($G913,2)=0,0,1)</f>
        <v>1</v>
      </c>
      <c r="K913" s="20" t="n">
        <f aca="false">IF($J913=0,"",SUM($J$904:$J913))</f>
        <v>5</v>
      </c>
      <c r="L913" s="20" t="n">
        <f aca="false">IF($K913="","",$A913*100+$K913)</f>
        <v>4205</v>
      </c>
      <c r="M913" s="48" t="str">
        <f aca="false">参数!$B$3</f>
        <v>7月收入</v>
      </c>
    </row>
    <row r="914" customFormat="false" ht="13.5" hidden="false" customHeight="false" outlineLevel="0" collapsed="false">
      <c r="A914" s="47" t="n">
        <v>42</v>
      </c>
      <c r="B914" s="38" t="n">
        <f aca="false">助手收入!$B43</f>
        <v>2066</v>
      </c>
      <c r="C914" s="48" t="str">
        <f aca="false">助手收入!$C43</f>
        <v>博实店</v>
      </c>
      <c r="D914" s="48" t="str">
        <f aca="false">科目对照收入!$B12&amp;""</f>
        <v>京东秒送</v>
      </c>
      <c r="E914" s="48" t="str">
        <f aca="false">IF(AND(ROUND($G914,2)&lt;0,科目对照收入!$L12&lt;&gt;""),科目对照收入!$L12,科目对照收入!$C12)&amp;""</f>
        <v>应收账款</v>
      </c>
      <c r="F914" s="48" t="str">
        <f aca="false">IF(AND(ROUND($G914,2)&lt;0,科目对照收入!$L12&lt;&gt;""),科目对照收入!$M12,科目对照收入!$D12)&amp;""</f>
        <v>京东秒送</v>
      </c>
      <c r="G914" s="49" t="n">
        <f aca="false">IF(COUNTIFS(输入平台!$A:$A,助手收入!$X43,输入平台!$B:$B,科目对照收入!$B12)&gt;0,ROUND(SUMIFS(输入平台!$C:$C,输入平台!$A:$A,助手收入!$X43,输入平台!$B:$B,科目对照收入!$B12),2),ROUND(海典汇总!$O$44,2))</f>
        <v>0</v>
      </c>
      <c r="H914" s="49" t="str">
        <f aca="false">IF(ROUND($G914,2)&gt;0,ROUND($G914,2),"")</f>
        <v/>
      </c>
      <c r="I914" s="49" t="str">
        <f aca="false">IF(ROUND($G914,2)&lt;0,-ROUND($G914,2),"")</f>
        <v/>
      </c>
      <c r="J914" s="20" t="n">
        <f aca="false">IF(ROUND($G914,2)=0,0,1)</f>
        <v>0</v>
      </c>
      <c r="K914" s="20" t="str">
        <f aca="false">IF($J914=0,"",SUM($J$904:$J914))</f>
        <v/>
      </c>
      <c r="L914" s="20" t="str">
        <f aca="false">IF($K914="","",$A914*100+$K914)</f>
        <v/>
      </c>
      <c r="M914" s="48" t="str">
        <f aca="false">参数!$B$3</f>
        <v>7月收入</v>
      </c>
    </row>
    <row r="915" customFormat="false" ht="13.5" hidden="false" customHeight="false" outlineLevel="0" collapsed="false">
      <c r="A915" s="47" t="n">
        <v>42</v>
      </c>
      <c r="B915" s="38" t="n">
        <f aca="false">助手收入!$B43</f>
        <v>2066</v>
      </c>
      <c r="C915" s="48" t="str">
        <f aca="false">助手收入!$C43</f>
        <v>博实店</v>
      </c>
      <c r="D915" s="48" t="str">
        <f aca="false">科目对照收入!$B13&amp;""</f>
        <v>银联</v>
      </c>
      <c r="E915" s="48" t="str">
        <f aca="false">IF(AND(ROUND($G915,2)&lt;0,科目对照收入!$L13&lt;&gt;""),科目对照收入!$L13,科目对照收入!$C13)&amp;""</f>
        <v>应收账款</v>
      </c>
      <c r="F915" s="48" t="str">
        <f aca="false">IF(AND(ROUND($G915,2)&lt;0,科目对照收入!$L13&lt;&gt;""),科目对照收入!$M13,科目对照收入!$D13)&amp;""</f>
        <v>银联</v>
      </c>
      <c r="G915" s="49" t="n">
        <f aca="false">IF(COUNTIFS(输入平台!$A:$A,助手收入!$X43,输入平台!$B:$B,科目对照收入!$B13)&gt;0,ROUND(SUMIFS(输入平台!$C:$C,输入平台!$A:$A,助手收入!$X43,输入平台!$B:$B,科目对照收入!$B13),2),ROUND(海典汇总!$V$44,2))</f>
        <v>0</v>
      </c>
      <c r="H915" s="49" t="str">
        <f aca="false">IF(ROUND($G915,2)&gt;0,ROUND($G915,2),"")</f>
        <v/>
      </c>
      <c r="I915" s="49" t="str">
        <f aca="false">IF(ROUND($G915,2)&lt;0,-ROUND($G915,2),"")</f>
        <v/>
      </c>
      <c r="J915" s="20" t="n">
        <f aca="false">IF(ROUND($G915,2)=0,0,1)</f>
        <v>0</v>
      </c>
      <c r="K915" s="20" t="str">
        <f aca="false">IF($J915=0,"",SUM($J$904:$J915))</f>
        <v/>
      </c>
      <c r="L915" s="20" t="str">
        <f aca="false">IF($K915="","",$A915*100+$K915)</f>
        <v/>
      </c>
      <c r="M915" s="48" t="str">
        <f aca="false">参数!$B$3</f>
        <v>7月收入</v>
      </c>
    </row>
    <row r="916" customFormat="false" ht="13.5" hidden="false" customHeight="false" outlineLevel="0" collapsed="false">
      <c r="A916" s="47" t="n">
        <v>42</v>
      </c>
      <c r="B916" s="38" t="n">
        <f aca="false">助手收入!$B43</f>
        <v>2066</v>
      </c>
      <c r="C916" s="48" t="str">
        <f aca="false">助手收入!$C43</f>
        <v>博实店</v>
      </c>
      <c r="D916" s="48" t="str">
        <f aca="false">科目对照收入!$B14&amp;""</f>
        <v>小镇外卖</v>
      </c>
      <c r="E916" s="48" t="str">
        <f aca="false">IF(AND(ROUND($G916,2)&lt;0,科目对照收入!$L14&lt;&gt;""),科目对照收入!$L14,科目对照收入!$C14)&amp;""</f>
        <v>应收账款</v>
      </c>
      <c r="F916" s="48" t="str">
        <f aca="false">IF(AND(ROUND($G916,2)&lt;0,科目对照收入!$L14&lt;&gt;""),科目对照收入!$M14,科目对照收入!$D14)&amp;""</f>
        <v>小镇外卖</v>
      </c>
      <c r="G916" s="49" t="n">
        <f aca="false">IF(COUNTIFS(输入平台!$A:$A,助手收入!$X43,输入平台!$B:$B,科目对照收入!$B14)&gt;0,ROUND(SUMIFS(输入平台!$C:$C,输入平台!$A:$A,助手收入!$X43,输入平台!$B:$B,科目对照收入!$B14),2),ROUND(海典汇总!$AC$44,2))</f>
        <v>0</v>
      </c>
      <c r="H916" s="49" t="str">
        <f aca="false">IF(ROUND($G916,2)&gt;0,ROUND($G916,2),"")</f>
        <v/>
      </c>
      <c r="I916" s="49" t="str">
        <f aca="false">IF(ROUND($G916,2)&lt;0,-ROUND($G916,2),"")</f>
        <v/>
      </c>
      <c r="J916" s="20" t="n">
        <f aca="false">IF(ROUND($G916,2)=0,0,1)</f>
        <v>0</v>
      </c>
      <c r="K916" s="20" t="str">
        <f aca="false">IF($J916=0,"",SUM($J$904:$J916))</f>
        <v/>
      </c>
      <c r="L916" s="20" t="str">
        <f aca="false">IF($K916="","",$A916*100+$K916)</f>
        <v/>
      </c>
      <c r="M916" s="48" t="str">
        <f aca="false">参数!$B$3</f>
        <v>7月收入</v>
      </c>
    </row>
    <row r="917" customFormat="false" ht="13.5" hidden="false" customHeight="false" outlineLevel="0" collapsed="false">
      <c r="A917" s="47" t="n">
        <v>42</v>
      </c>
      <c r="B917" s="38" t="n">
        <f aca="false">助手收入!$B43</f>
        <v>2066</v>
      </c>
      <c r="C917" s="48" t="str">
        <f aca="false">助手收入!$C43</f>
        <v>博实店</v>
      </c>
      <c r="D917" s="48" t="str">
        <f aca="false">科目对照收入!$B15&amp;""</f>
        <v>OMS线上支付</v>
      </c>
      <c r="E917" s="48" t="str">
        <f aca="false">IF(AND(ROUND($G917,2)&lt;0,科目对照收入!$L15&lt;&gt;""),科目对照收入!$L15,科目对照收入!$C15)&amp;""</f>
        <v>应收账款</v>
      </c>
      <c r="F917" s="48" t="str">
        <f aca="false">IF(AND(ROUND($G917,2)&lt;0,科目对照收入!$L15&lt;&gt;""),科目对照收入!$M15,科目对照收入!$D15)&amp;""</f>
        <v>OMS线上</v>
      </c>
      <c r="G917" s="49" t="n">
        <f aca="false">IF(COUNTIFS(输入平台!$A:$A,助手收入!$X43,输入平台!$B:$B,科目对照收入!$B15)&gt;0,ROUND(SUMIFS(输入平台!$C:$C,输入平台!$A:$A,助手收入!$X43,输入平台!$B:$B,科目对照收入!$B15),2),ROUND(海典汇总!$L$44,2))</f>
        <v>0</v>
      </c>
      <c r="H917" s="49" t="str">
        <f aca="false">IF(ROUND($G917,2)&gt;0,ROUND($G917,2),"")</f>
        <v/>
      </c>
      <c r="I917" s="49" t="str">
        <f aca="false">IF(ROUND($G917,2)&lt;0,-ROUND($G917,2),"")</f>
        <v/>
      </c>
      <c r="J917" s="20" t="n">
        <f aca="false">IF(ROUND($G917,2)=0,0,1)</f>
        <v>0</v>
      </c>
      <c r="K917" s="20" t="str">
        <f aca="false">IF($J917=0,"",SUM($J$904:$J917))</f>
        <v/>
      </c>
      <c r="L917" s="20" t="str">
        <f aca="false">IF($K917="","",$A917*100+$K917)</f>
        <v/>
      </c>
      <c r="M917" s="48" t="str">
        <f aca="false">参数!$B$3</f>
        <v>7月收入</v>
      </c>
    </row>
    <row r="918" customFormat="false" ht="13.5" hidden="false" customHeight="false" outlineLevel="0" collapsed="false">
      <c r="A918" s="47" t="n">
        <v>42</v>
      </c>
      <c r="B918" s="38" t="n">
        <f aca="false">助手收入!$B43</f>
        <v>2066</v>
      </c>
      <c r="C918" s="48" t="str">
        <f aca="false">助手收入!$C43</f>
        <v>博实店</v>
      </c>
      <c r="D918" s="48" t="str">
        <f aca="false">科目对照收入!$B16&amp;""</f>
        <v>平安药卡</v>
      </c>
      <c r="E918" s="48" t="str">
        <f aca="false">IF(AND(ROUND($G918,2)&lt;0,科目对照收入!$L16&lt;&gt;""),科目对照收入!$L16,科目对照收入!$C16)&amp;""</f>
        <v>应收账款</v>
      </c>
      <c r="F918" s="48" t="str">
        <f aca="false">IF(AND(ROUND($G918,2)&lt;0,科目对照收入!$L16&lt;&gt;""),科目对照收入!$M16,科目对照收入!$D16)&amp;""</f>
        <v>平安</v>
      </c>
      <c r="G918" s="49" t="n">
        <f aca="false">IF(COUNTIFS(输入平台!$A:$A,助手收入!$X43,输入平台!$B:$B,科目对照收入!$B16)&gt;0,ROUND(SUMIFS(输入平台!$C:$C,输入平台!$A:$A,助手收入!$X43,输入平台!$B:$B,科目对照收入!$B16),2),ROUND(海典汇总!$AB$44,2))</f>
        <v>0</v>
      </c>
      <c r="H918" s="49" t="str">
        <f aca="false">IF(ROUND($G918,2)&gt;0,ROUND($G918,2),"")</f>
        <v/>
      </c>
      <c r="I918" s="49" t="str">
        <f aca="false">IF(ROUND($G918,2)&lt;0,-ROUND($G918,2),"")</f>
        <v/>
      </c>
      <c r="J918" s="20" t="n">
        <f aca="false">IF(ROUND($G918,2)=0,0,1)</f>
        <v>0</v>
      </c>
      <c r="K918" s="20" t="str">
        <f aca="false">IF($J918=0,"",SUM($J$904:$J918))</f>
        <v/>
      </c>
      <c r="L918" s="20" t="str">
        <f aca="false">IF($K918="","",$A918*100+$K918)</f>
        <v/>
      </c>
      <c r="M918" s="48" t="str">
        <f aca="false">参数!$B$3</f>
        <v>7月收入</v>
      </c>
    </row>
    <row r="919" customFormat="false" ht="13.5" hidden="false" customHeight="false" outlineLevel="0" collapsed="false">
      <c r="A919" s="47" t="n">
        <v>42</v>
      </c>
      <c r="B919" s="38" t="n">
        <f aca="false">助手收入!$B43</f>
        <v>2066</v>
      </c>
      <c r="C919" s="48" t="str">
        <f aca="false">助手收入!$C43</f>
        <v>博实店</v>
      </c>
      <c r="D919" s="48" t="str">
        <f aca="false">科目对照收入!$B17&amp;""</f>
        <v>储值卡</v>
      </c>
      <c r="E919" s="48" t="str">
        <f aca="false">IF(AND(ROUND($G919,2)&lt;0,科目对照收入!$L17&lt;&gt;""),科目对照收入!$L17,科目对照收入!$C17)&amp;""</f>
        <v>其他应收款</v>
      </c>
      <c r="F919" s="48" t="str">
        <f aca="false">IF(AND(ROUND($G919,2)&lt;0,科目对照收入!$L17&lt;&gt;""),科目对照收入!$M17,科目对照收入!$D17)&amp;""</f>
        <v>储值卡</v>
      </c>
      <c r="G919" s="49" t="n">
        <f aca="false">ROUND(海典汇总!$Q$44,2)</f>
        <v>230.1</v>
      </c>
      <c r="H919" s="49" t="n">
        <f aca="false">IF(ROUND($G919,2)&gt;0,ROUND($G919,2),"")</f>
        <v>230.1</v>
      </c>
      <c r="I919" s="49" t="str">
        <f aca="false">IF(ROUND($G919,2)&lt;0,-ROUND($G919,2),"")</f>
        <v/>
      </c>
      <c r="J919" s="20" t="n">
        <f aca="false">IF(ROUND($G919,2)=0,0,1)</f>
        <v>1</v>
      </c>
      <c r="K919" s="20" t="n">
        <f aca="false">IF($J919=0,"",SUM($J$904:$J919))</f>
        <v>6</v>
      </c>
      <c r="L919" s="20" t="n">
        <f aca="false">IF($K919="","",$A919*100+$K919)</f>
        <v>4206</v>
      </c>
      <c r="M919" s="48" t="str">
        <f aca="false">参数!$B$3</f>
        <v>7月收入</v>
      </c>
    </row>
    <row r="920" customFormat="false" ht="13.5" hidden="false" customHeight="false" outlineLevel="0" collapsed="false">
      <c r="A920" s="47" t="n">
        <v>42</v>
      </c>
      <c r="B920" s="38" t="n">
        <f aca="false">助手收入!$B43</f>
        <v>2066</v>
      </c>
      <c r="C920" s="48" t="str">
        <f aca="false">助手收入!$C43</f>
        <v>博实店</v>
      </c>
      <c r="D920" s="48" t="str">
        <f aca="false">科目对照收入!$B18&amp;""</f>
        <v>会员零钱包</v>
      </c>
      <c r="E920" s="48" t="str">
        <f aca="false">IF(AND(ROUND($G920,2)&lt;0,科目对照收入!$L18&lt;&gt;""),科目对照收入!$L18,科目对照收入!$C18)&amp;""</f>
        <v>其他应收款</v>
      </c>
      <c r="F920" s="48" t="str">
        <f aca="false">IF(AND(ROUND($G920,2)&lt;0,科目对照收入!$L18&lt;&gt;""),科目对照收入!$M18,科目对照收入!$D18)&amp;""</f>
        <v>会员零钱包</v>
      </c>
      <c r="G920" s="49" t="n">
        <f aca="false">ROUND(海典汇总!$P$44,2)</f>
        <v>0</v>
      </c>
      <c r="H920" s="49" t="str">
        <f aca="false">IF(ROUND($G920,2)&gt;0,ROUND($G920,2),"")</f>
        <v/>
      </c>
      <c r="I920" s="49" t="str">
        <f aca="false">IF(ROUND($G920,2)&lt;0,-ROUND($G920,2),"")</f>
        <v/>
      </c>
      <c r="J920" s="20" t="n">
        <f aca="false">IF(ROUND($G920,2)=0,0,1)</f>
        <v>0</v>
      </c>
      <c r="K920" s="20" t="str">
        <f aca="false">IF($J920=0,"",SUM($J$904:$J920))</f>
        <v/>
      </c>
      <c r="L920" s="20" t="str">
        <f aca="false">IF($K920="","",$A920*100+$K920)</f>
        <v/>
      </c>
      <c r="M920" s="48" t="str">
        <f aca="false">参数!$B$3</f>
        <v>7月收入</v>
      </c>
    </row>
    <row r="921" customFormat="false" ht="13.5" hidden="false" customHeight="false" outlineLevel="0" collapsed="false">
      <c r="A921" s="47" t="n">
        <v>42</v>
      </c>
      <c r="B921" s="38" t="n">
        <f aca="false">助手收入!$B43</f>
        <v>2066</v>
      </c>
      <c r="C921" s="48" t="str">
        <f aca="false">助手收入!$C43</f>
        <v>博实店</v>
      </c>
      <c r="D921" s="48" t="str">
        <f aca="false">科目对照收入!$B19&amp;""</f>
        <v>促销费</v>
      </c>
      <c r="E921" s="48" t="str">
        <f aca="false">IF(AND(ROUND($G921,2)&lt;0,科目对照收入!$L19&lt;&gt;""),科目对照收入!$L19,科目对照收入!$C19)&amp;""</f>
        <v>销售费用</v>
      </c>
      <c r="F921" s="48" t="str">
        <f aca="false">IF(AND(ROUND($G921,2)&lt;0,科目对照收入!$L19&lt;&gt;""),科目对照收入!$M19,科目对照收入!$D19)&amp;""</f>
        <v>促销费</v>
      </c>
      <c r="G921" s="49" t="n">
        <f aca="false">ROUND(海典汇总!$U$44+海典汇总!$T$44+海典汇总!$S$44,2)</f>
        <v>2531.13</v>
      </c>
      <c r="H921" s="49" t="n">
        <f aca="false">IF(ROUND($G921,2)&gt;0,ROUND($G921,2),"")</f>
        <v>2531.13</v>
      </c>
      <c r="I921" s="49" t="str">
        <f aca="false">IF(ROUND($G921,2)&lt;0,-ROUND($G921,2),"")</f>
        <v/>
      </c>
      <c r="J921" s="20" t="n">
        <f aca="false">IF(ROUND($G921,2)=0,0,1)</f>
        <v>1</v>
      </c>
      <c r="K921" s="20" t="n">
        <f aca="false">IF($J921=0,"",SUM($J$904:$J921))</f>
        <v>7</v>
      </c>
      <c r="L921" s="20" t="n">
        <f aca="false">IF($K921="","",$A921*100+$K921)</f>
        <v>4207</v>
      </c>
      <c r="M921" s="48" t="str">
        <f aca="false">参数!$B$3</f>
        <v>7月收入</v>
      </c>
    </row>
    <row r="922" customFormat="false" ht="13.5" hidden="false" customHeight="false" outlineLevel="0" collapsed="false">
      <c r="A922" s="47" t="n">
        <v>42</v>
      </c>
      <c r="B922" s="38" t="n">
        <f aca="false">助手收入!$B43</f>
        <v>2066</v>
      </c>
      <c r="C922" s="48" t="str">
        <f aca="false">助手收入!$C43</f>
        <v>博实店</v>
      </c>
      <c r="D922" s="48" t="str">
        <f aca="false">科目对照收入!$B20&amp;""</f>
        <v>积分</v>
      </c>
      <c r="E922" s="48" t="str">
        <f aca="false">IF(AND(ROUND($G922,2)&lt;0,科目对照收入!$L20&lt;&gt;""),科目对照收入!$L20,科目对照收入!$C20)&amp;""</f>
        <v>销售费用</v>
      </c>
      <c r="F922" s="48" t="str">
        <f aca="false">IF(AND(ROUND($G922,2)&lt;0,科目对照收入!$L20&lt;&gt;""),科目对照收入!$M20,科目对照收入!$D20)&amp;""</f>
        <v>积分</v>
      </c>
      <c r="G922" s="49" t="n">
        <f aca="false">ROUND(海典汇总!$R$44,2)</f>
        <v>0</v>
      </c>
      <c r="H922" s="49" t="str">
        <f aca="false">IF(ROUND($G922,2)&gt;0,ROUND($G922,2),"")</f>
        <v/>
      </c>
      <c r="I922" s="49" t="str">
        <f aca="false">IF(ROUND($G922,2)&lt;0,-ROUND($G922,2),"")</f>
        <v/>
      </c>
      <c r="J922" s="20" t="n">
        <f aca="false">IF(ROUND($G922,2)=0,0,1)</f>
        <v>0</v>
      </c>
      <c r="K922" s="20" t="str">
        <f aca="false">IF($J922=0,"",SUM($J$904:$J922))</f>
        <v/>
      </c>
      <c r="L922" s="20" t="str">
        <f aca="false">IF($K922="","",$A922*100+$K922)</f>
        <v/>
      </c>
      <c r="M922" s="48" t="str">
        <f aca="false">参数!$B$3</f>
        <v>7月收入</v>
      </c>
    </row>
    <row r="923" customFormat="false" ht="13.5" hidden="false" customHeight="false" outlineLevel="0" collapsed="false">
      <c r="A923" s="47" t="n">
        <v>42</v>
      </c>
      <c r="B923" s="38" t="n">
        <f aca="false">助手收入!$B43</f>
        <v>2066</v>
      </c>
      <c r="C923" s="48" t="str">
        <f aca="false">助手收入!$C43</f>
        <v>博实店</v>
      </c>
      <c r="D923" s="48" t="str">
        <f aca="false">科目对照收入!$B21&amp;""</f>
        <v>手续费</v>
      </c>
      <c r="E923" s="48" t="str">
        <f aca="false">IF(AND(ROUND($G923,2)&lt;0,科目对照收入!$L21&lt;&gt;""),科目对照收入!$L21,科目对照收入!$C21)&amp;""</f>
        <v>财务费用</v>
      </c>
      <c r="F923" s="48" t="str">
        <f aca="false">IF(AND(ROUND($G923,2)&lt;0,科目对照收入!$L21&lt;&gt;""),科目对照收入!$M21,科目对照收入!$D21)&amp;""</f>
        <v>手续费</v>
      </c>
      <c r="G923" s="49" t="n">
        <f aca="false">ROUND(SUMIFS(输入聚合!$D:$D,输入聚合!$A:$A,助手收入!$X43),2)</f>
        <v>92.53</v>
      </c>
      <c r="H923" s="49" t="n">
        <f aca="false">IF(ROUND($G923,2)&gt;0,ROUND($G923,2),"")</f>
        <v>92.53</v>
      </c>
      <c r="I923" s="49" t="str">
        <f aca="false">IF(ROUND($G923,2)&lt;0,-ROUND($G923,2),"")</f>
        <v/>
      </c>
      <c r="J923" s="20" t="n">
        <f aca="false">IF(ROUND($G923,2)=0,0,1)</f>
        <v>1</v>
      </c>
      <c r="K923" s="20" t="n">
        <f aca="false">IF($J923=0,"",SUM($J$904:$J923))</f>
        <v>8</v>
      </c>
      <c r="L923" s="20" t="n">
        <f aca="false">IF($K923="","",$A923*100+$K923)</f>
        <v>4208</v>
      </c>
      <c r="M923" s="48" t="str">
        <f aca="false">参数!$B$3</f>
        <v>7月收入</v>
      </c>
    </row>
    <row r="924" customFormat="false" ht="13.5" hidden="false" customHeight="false" outlineLevel="0" collapsed="false">
      <c r="A924" s="47" t="n">
        <v>42</v>
      </c>
      <c r="B924" s="38" t="n">
        <f aca="false">助手收入!$B43</f>
        <v>2066</v>
      </c>
      <c r="C924" s="48" t="str">
        <f aca="false">助手收入!$C43</f>
        <v>博实店</v>
      </c>
      <c r="D924" s="48" t="str">
        <f aca="false">科目对照收入!$B22&amp;""</f>
        <v>主营业务收入</v>
      </c>
      <c r="E924" s="48" t="str">
        <f aca="false">IF(AND(ROUND($G924,2)&lt;0,科目对照收入!$L22&lt;&gt;""),科目对照收入!$L22,科目对照收入!$C22)&amp;""</f>
        <v>主营业务收入</v>
      </c>
      <c r="F924" s="48" t="str">
        <f aca="false">IF(AND(ROUND($G924,2)&lt;0,科目对照收入!$L22&lt;&gt;""),科目对照收入!$M22,科目对照收入!$D22)&amp;""</f>
        <v/>
      </c>
      <c r="G924" s="49" t="n">
        <f aca="false">-ROUND(助手收入!$G43,2)</f>
        <v>-63719.93</v>
      </c>
      <c r="H924" s="49" t="str">
        <f aca="false">IF(ROUND($G924,2)&gt;0,ROUND($G924,2),"")</f>
        <v/>
      </c>
      <c r="I924" s="49" t="n">
        <f aca="false">IF(ROUND($G924,2)&lt;0,-ROUND($G924,2),"")</f>
        <v>63719.93</v>
      </c>
      <c r="J924" s="20" t="n">
        <f aca="false">IF(ROUND($G924,2)=0,0,1)</f>
        <v>1</v>
      </c>
      <c r="K924" s="20" t="n">
        <f aca="false">IF($J924=0,"",SUM($J$904:$J924))</f>
        <v>9</v>
      </c>
      <c r="L924" s="20" t="n">
        <f aca="false">IF($K924="","",$A924*100+$K924)</f>
        <v>4209</v>
      </c>
      <c r="M924" s="48" t="str">
        <f aca="false">参数!$B$3</f>
        <v>7月收入</v>
      </c>
    </row>
    <row r="925" customFormat="false" ht="13.5" hidden="false" customHeight="false" outlineLevel="0" collapsed="false">
      <c r="A925" s="47" t="n">
        <v>42</v>
      </c>
      <c r="B925" s="38" t="n">
        <f aca="false">助手收入!$B43</f>
        <v>2066</v>
      </c>
      <c r="C925" s="48" t="str">
        <f aca="false">助手收入!$C43</f>
        <v>博实店</v>
      </c>
      <c r="D925" s="48" t="str">
        <f aca="false">科目对照收入!$B23&amp;""</f>
        <v>营业外收入</v>
      </c>
      <c r="E925" s="48" t="str">
        <f aca="false">IF(AND(ROUND($G925,2)&lt;0,科目对照收入!$L23&lt;&gt;""),科目对照收入!$L23,科目对照收入!$C23)&amp;""</f>
        <v>营业外收入</v>
      </c>
      <c r="F925" s="48" t="str">
        <f aca="false">IF(AND(ROUND($G925,2)&lt;0,科目对照收入!$L23&lt;&gt;""),科目对照收入!$M23,科目对照收入!$D23)&amp;""</f>
        <v/>
      </c>
      <c r="G925" s="49" t="n">
        <f aca="false">-ROUND(助手收入!$J43,2)</f>
        <v>-0</v>
      </c>
      <c r="H925" s="49" t="str">
        <f aca="false">IF(ROUND($G925,2)&gt;0,ROUND($G925,2),"")</f>
        <v/>
      </c>
      <c r="I925" s="49" t="str">
        <f aca="false">IF(ROUND($G925,2)&lt;0,-ROUND($G925,2),"")</f>
        <v/>
      </c>
      <c r="J925" s="20" t="n">
        <f aca="false">IF(ROUND($G925,2)=0,0,1)</f>
        <v>0</v>
      </c>
      <c r="K925" s="20" t="str">
        <f aca="false">IF($J925=0,"",SUM($J$904:$J925))</f>
        <v/>
      </c>
      <c r="L925" s="20" t="str">
        <f aca="false">IF($K925="","",$A925*100+$K925)</f>
        <v/>
      </c>
      <c r="M925" s="48" t="str">
        <f aca="false">参数!$B$3</f>
        <v>7月收入</v>
      </c>
    </row>
    <row r="926" customFormat="false" ht="13.5" hidden="false" customHeight="false" outlineLevel="0" collapsed="false">
      <c r="A926" s="47" t="n">
        <v>43</v>
      </c>
      <c r="B926" s="38" t="n">
        <f aca="false">助手收入!$B44</f>
        <v>2067</v>
      </c>
      <c r="C926" s="48" t="str">
        <f aca="false">助手收入!$C44</f>
        <v>博亮店</v>
      </c>
      <c r="D926" s="48" t="str">
        <f aca="false">科目对照收入!$B2&amp;""</f>
        <v>库存现金</v>
      </c>
      <c r="E926" s="48" t="str">
        <f aca="false">IF(AND(ROUND($G926,2)&lt;0,科目对照收入!$L2&lt;&gt;""),科目对照收入!$L2,科目对照收入!$C2)&amp;""</f>
        <v>库存现金</v>
      </c>
      <c r="F926" s="48" t="str">
        <f aca="false">IF(AND(ROUND($G926,2)&lt;0,科目对照收入!$L2&lt;&gt;""),科目对照收入!$M2,科目对照收入!$D2)&amp;""</f>
        <v/>
      </c>
      <c r="G926" s="49" t="n">
        <f aca="false">助手收入!$I44</f>
        <v>3632.88</v>
      </c>
      <c r="H926" s="49" t="n">
        <f aca="false">IF(ROUND($G926,2)&gt;0,ROUND($G926,2),"")</f>
        <v>3632.88</v>
      </c>
      <c r="I926" s="49" t="str">
        <f aca="false">IF(ROUND($G926,2)&lt;0,-ROUND($G926,2),"")</f>
        <v/>
      </c>
      <c r="J926" s="20" t="n">
        <f aca="false">IF(ROUND($G926,2)=0,0,1)</f>
        <v>1</v>
      </c>
      <c r="K926" s="20" t="n">
        <f aca="false">IF($J926=0,"",SUM($J$926:$J926))</f>
        <v>1</v>
      </c>
      <c r="L926" s="20" t="n">
        <f aca="false">IF($K926="","",$A926*100+$K926)</f>
        <v>4301</v>
      </c>
      <c r="M926" s="48" t="str">
        <f aca="false">参数!$B$3</f>
        <v>7月收入</v>
      </c>
    </row>
    <row r="927" customFormat="false" ht="13.5" hidden="false" customHeight="false" outlineLevel="0" collapsed="false">
      <c r="A927" s="47" t="n">
        <v>43</v>
      </c>
      <c r="B927" s="38" t="n">
        <f aca="false">助手收入!$B44</f>
        <v>2067</v>
      </c>
      <c r="C927" s="48" t="str">
        <f aca="false">助手收入!$C44</f>
        <v>博亮店</v>
      </c>
      <c r="D927" s="48" t="str">
        <f aca="false">科目对照收入!$B3&amp;""</f>
        <v>聚合支付</v>
      </c>
      <c r="E927" s="48" t="str">
        <f aca="false">IF(AND(ROUND($G927,2)&lt;0,科目对照收入!$L3&lt;&gt;""),科目对照收入!$L3,科目对照收入!$C3)&amp;""</f>
        <v>应收账款</v>
      </c>
      <c r="F927" s="48" t="str">
        <f aca="false">IF(AND(ROUND($G927,2)&lt;0,科目对照收入!$L3&lt;&gt;""),科目对照收入!$M3,科目对照收入!$D3)&amp;""</f>
        <v>聚合支付</v>
      </c>
      <c r="G927" s="49" t="n">
        <f aca="false">ROUND(SUMIFS(输入聚合!$C:$C,输入聚合!$A:$A,助手收入!$X44)-SUMIFS(输入聚合!$D:$D,输入聚合!$A:$A,助手收入!$X44),2)</f>
        <v>23611.26</v>
      </c>
      <c r="H927" s="49" t="n">
        <f aca="false">IF(ROUND($G927,2)&gt;0,ROUND($G927,2),"")</f>
        <v>23611.26</v>
      </c>
      <c r="I927" s="49" t="str">
        <f aca="false">IF(ROUND($G927,2)&lt;0,-ROUND($G927,2),"")</f>
        <v/>
      </c>
      <c r="J927" s="20" t="n">
        <f aca="false">IF(ROUND($G927,2)=0,0,1)</f>
        <v>1</v>
      </c>
      <c r="K927" s="20" t="n">
        <f aca="false">IF($J927=0,"",SUM($J$926:$J927))</f>
        <v>2</v>
      </c>
      <c r="L927" s="20" t="n">
        <f aca="false">IF($K927="","",$A927*100+$K927)</f>
        <v>4302</v>
      </c>
      <c r="M927" s="48" t="str">
        <f aca="false">参数!$B$3</f>
        <v>7月收入</v>
      </c>
    </row>
    <row r="928" customFormat="false" ht="13.5" hidden="false" customHeight="false" outlineLevel="0" collapsed="false">
      <c r="A928" s="47" t="n">
        <v>43</v>
      </c>
      <c r="B928" s="38" t="n">
        <f aca="false">助手收入!$B44</f>
        <v>2067</v>
      </c>
      <c r="C928" s="48" t="str">
        <f aca="false">助手收入!$C44</f>
        <v>博亮店</v>
      </c>
      <c r="D928" s="48" t="str">
        <f aca="false">科目对照收入!$B4&amp;""</f>
        <v>医保</v>
      </c>
      <c r="E928" s="48" t="str">
        <f aca="false">IF(AND(ROUND($G928,2)&lt;0,科目对照收入!$L4&lt;&gt;""),科目对照收入!$L4,科目对照收入!$C4)&amp;""</f>
        <v>应收账款</v>
      </c>
      <c r="F928" s="48" t="str">
        <f aca="false">IF(AND(ROUND($G928,2)&lt;0,科目对照收入!$L4&lt;&gt;""),科目对照收入!$M4,科目对照收入!$D4)&amp;""</f>
        <v>医保</v>
      </c>
      <c r="G928" s="49" t="n">
        <f aca="false">IF(COUNTIFS(输入平台!$A:$A,助手收入!$X44,输入平台!$B:$B,科目对照收入!$B4)&gt;0,ROUND(SUMIFS(输入平台!$C:$C,输入平台!$A:$A,助手收入!$X44,输入平台!$B:$B,科目对照收入!$B4),2),ROUND(海典汇总!$F$45+海典汇总!$G$45,2))</f>
        <v>0</v>
      </c>
      <c r="H928" s="49" t="str">
        <f aca="false">IF(ROUND($G928,2)&gt;0,ROUND($G928,2),"")</f>
        <v/>
      </c>
      <c r="I928" s="49" t="str">
        <f aca="false">IF(ROUND($G928,2)&lt;0,-ROUND($G928,2),"")</f>
        <v/>
      </c>
      <c r="J928" s="20" t="n">
        <f aca="false">IF(ROUND($G928,2)=0,0,1)</f>
        <v>0</v>
      </c>
      <c r="K928" s="20" t="str">
        <f aca="false">IF($J928=0,"",SUM($J$926:$J928))</f>
        <v/>
      </c>
      <c r="L928" s="20" t="str">
        <f aca="false">IF($K928="","",$A928*100+$K928)</f>
        <v/>
      </c>
      <c r="M928" s="48" t="str">
        <f aca="false">参数!$B$3</f>
        <v>7月收入</v>
      </c>
    </row>
    <row r="929" customFormat="false" ht="13.5" hidden="false" customHeight="false" outlineLevel="0" collapsed="false">
      <c r="A929" s="47" t="n">
        <v>43</v>
      </c>
      <c r="B929" s="38" t="n">
        <f aca="false">助手收入!$B44</f>
        <v>2067</v>
      </c>
      <c r="C929" s="48" t="str">
        <f aca="false">助手收入!$C44</f>
        <v>博亮店</v>
      </c>
      <c r="D929" s="48" t="str">
        <f aca="false">科目对照收入!$B5&amp;""</f>
        <v>健e卡</v>
      </c>
      <c r="E929" s="48" t="str">
        <f aca="false">IF(AND(ROUND($G929,2)&lt;0,科目对照收入!$L5&lt;&gt;""),科目对照收入!$L5,科目对照收入!$C5)&amp;""</f>
        <v>应收账款</v>
      </c>
      <c r="F929" s="48" t="str">
        <f aca="false">IF(AND(ROUND($G929,2)&lt;0,科目对照收入!$L5&lt;&gt;""),科目对照收入!$M5,科目对照收入!$D5)&amp;""</f>
        <v>健e卡</v>
      </c>
      <c r="G929" s="49" t="n">
        <f aca="false">IF(COUNTIFS(输入平台!$A:$A,助手收入!$X44,输入平台!$B:$B,科目对照收入!$B5)&gt;0,ROUND(SUMIFS(输入平台!$C:$C,输入平台!$A:$A,助手收入!$X44,输入平台!$B:$B,科目对照收入!$B5),2),ROUND(海典汇总!$H$45,2))</f>
        <v>0</v>
      </c>
      <c r="H929" s="49" t="str">
        <f aca="false">IF(ROUND($G929,2)&gt;0,ROUND($G929,2),"")</f>
        <v/>
      </c>
      <c r="I929" s="49" t="str">
        <f aca="false">IF(ROUND($G929,2)&lt;0,-ROUND($G929,2),"")</f>
        <v/>
      </c>
      <c r="J929" s="20" t="n">
        <f aca="false">IF(ROUND($G929,2)=0,0,1)</f>
        <v>0</v>
      </c>
      <c r="K929" s="20" t="str">
        <f aca="false">IF($J929=0,"",SUM($J$926:$J929))</f>
        <v/>
      </c>
      <c r="L929" s="20" t="str">
        <f aca="false">IF($K929="","",$A929*100+$K929)</f>
        <v/>
      </c>
      <c r="M929" s="48" t="str">
        <f aca="false">参数!$B$3</f>
        <v>7月收入</v>
      </c>
    </row>
    <row r="930" customFormat="false" ht="13.5" hidden="false" customHeight="false" outlineLevel="0" collapsed="false">
      <c r="A930" s="47" t="n">
        <v>43</v>
      </c>
      <c r="B930" s="38" t="n">
        <f aca="false">助手收入!$B44</f>
        <v>2067</v>
      </c>
      <c r="C930" s="48" t="str">
        <f aca="false">助手收入!$C44</f>
        <v>博亮店</v>
      </c>
      <c r="D930" s="48" t="str">
        <f aca="false">科目对照收入!$B6&amp;""</f>
        <v>医卡通</v>
      </c>
      <c r="E930" s="48" t="str">
        <f aca="false">IF(AND(ROUND($G930,2)&lt;0,科目对照收入!$L6&lt;&gt;""),科目对照收入!$L6,科目对照收入!$C6)&amp;""</f>
        <v>应收账款</v>
      </c>
      <c r="F930" s="48" t="str">
        <f aca="false">IF(AND(ROUND($G930,2)&lt;0,科目对照收入!$L6&lt;&gt;""),科目对照收入!$M6,科目对照收入!$D6)&amp;""</f>
        <v>医卡通</v>
      </c>
      <c r="G930" s="49" t="n">
        <f aca="false">IF(COUNTIFS(输入平台!$A:$A,助手收入!$X44,输入平台!$B:$B,科目对照收入!$B6)&gt;0,ROUND(SUMIFS(输入平台!$C:$C,输入平台!$A:$A,助手收入!$X44,输入平台!$B:$B,科目对照收入!$B6),2),ROUND(海典汇总!$I$45,2))</f>
        <v>0</v>
      </c>
      <c r="H930" s="49" t="str">
        <f aca="false">IF(ROUND($G930,2)&gt;0,ROUND($G930,2),"")</f>
        <v/>
      </c>
      <c r="I930" s="49" t="str">
        <f aca="false">IF(ROUND($G930,2)&lt;0,-ROUND($G930,2),"")</f>
        <v/>
      </c>
      <c r="J930" s="20" t="n">
        <f aca="false">IF(ROUND($G930,2)=0,0,1)</f>
        <v>0</v>
      </c>
      <c r="K930" s="20" t="str">
        <f aca="false">IF($J930=0,"",SUM($J$926:$J930))</f>
        <v/>
      </c>
      <c r="L930" s="20" t="str">
        <f aca="false">IF($K930="","",$A930*100+$K930)</f>
        <v/>
      </c>
      <c r="M930" s="48" t="str">
        <f aca="false">参数!$B$3</f>
        <v>7月收入</v>
      </c>
    </row>
    <row r="931" customFormat="false" ht="13.5" hidden="false" customHeight="false" outlineLevel="0" collapsed="false">
      <c r="A931" s="47" t="n">
        <v>43</v>
      </c>
      <c r="B931" s="38" t="n">
        <f aca="false">助手收入!$B44</f>
        <v>2067</v>
      </c>
      <c r="C931" s="48" t="str">
        <f aca="false">助手收入!$C44</f>
        <v>博亮店</v>
      </c>
      <c r="D931" s="48" t="str">
        <f aca="false">科目对照收入!$B7&amp;""</f>
        <v>企健网</v>
      </c>
      <c r="E931" s="48" t="str">
        <f aca="false">IF(AND(ROUND($G931,2)&lt;0,科目对照收入!$L7&lt;&gt;""),科目对照收入!$L7,科目对照收入!$C7)&amp;""</f>
        <v>应收账款</v>
      </c>
      <c r="F931" s="48" t="str">
        <f aca="false">IF(AND(ROUND($G931,2)&lt;0,科目对照收入!$L7&lt;&gt;""),科目对照收入!$M7,科目对照收入!$D7)&amp;""</f>
        <v>企健网</v>
      </c>
      <c r="G931" s="49" t="n">
        <f aca="false">IF(COUNTIFS(输入平台!$A:$A,助手收入!$X44,输入平台!$B:$B,科目对照收入!$B7)&gt;0,ROUND(SUMIFS(输入平台!$C:$C,输入平台!$A:$A,助手收入!$X44,输入平台!$B:$B,科目对照收入!$B7),2),ROUND(海典汇总!$J$45,2))</f>
        <v>0</v>
      </c>
      <c r="H931" s="49" t="str">
        <f aca="false">IF(ROUND($G931,2)&gt;0,ROUND($G931,2),"")</f>
        <v/>
      </c>
      <c r="I931" s="49" t="str">
        <f aca="false">IF(ROUND($G931,2)&lt;0,-ROUND($G931,2),"")</f>
        <v/>
      </c>
      <c r="J931" s="20" t="n">
        <f aca="false">IF(ROUND($G931,2)=0,0,1)</f>
        <v>0</v>
      </c>
      <c r="K931" s="20" t="str">
        <f aca="false">IF($J931=0,"",SUM($J$926:$J931))</f>
        <v/>
      </c>
      <c r="L931" s="20" t="str">
        <f aca="false">IF($K931="","",$A931*100+$K931)</f>
        <v/>
      </c>
      <c r="M931" s="48" t="str">
        <f aca="false">参数!$B$3</f>
        <v>7月收入</v>
      </c>
    </row>
    <row r="932" customFormat="false" ht="13.5" hidden="false" customHeight="false" outlineLevel="0" collapsed="false">
      <c r="A932" s="47" t="n">
        <v>43</v>
      </c>
      <c r="B932" s="38" t="n">
        <f aca="false">助手收入!$B44</f>
        <v>2067</v>
      </c>
      <c r="C932" s="48" t="str">
        <f aca="false">助手收入!$C44</f>
        <v>博亮店</v>
      </c>
      <c r="D932" s="48" t="str">
        <f aca="false">科目对照收入!$B8&amp;""</f>
        <v>亲情卡</v>
      </c>
      <c r="E932" s="48" t="str">
        <f aca="false">IF(AND(ROUND($G932,2)&lt;0,科目对照收入!$L8&lt;&gt;""),科目对照收入!$L8,科目对照收入!$C8)&amp;""</f>
        <v>应收账款</v>
      </c>
      <c r="F932" s="48" t="str">
        <f aca="false">IF(AND(ROUND($G932,2)&lt;0,科目对照收入!$L8&lt;&gt;""),科目对照收入!$M8,科目对照收入!$D8)&amp;""</f>
        <v>亲情卡</v>
      </c>
      <c r="G932" s="49" t="n">
        <f aca="false">IF(COUNTIFS(输入平台!$A:$A,助手收入!$X44,输入平台!$B:$B,科目对照收入!$B8)&gt;0,ROUND(SUMIFS(输入平台!$C:$C,输入平台!$A:$A,助手收入!$X44,输入平台!$B:$B,科目对照收入!$B8),2),ROUND(海典汇总!$Z$45,2))</f>
        <v>0</v>
      </c>
      <c r="H932" s="49" t="str">
        <f aca="false">IF(ROUND($G932,2)&gt;0,ROUND($G932,2),"")</f>
        <v/>
      </c>
      <c r="I932" s="49" t="str">
        <f aca="false">IF(ROUND($G932,2)&lt;0,-ROUND($G932,2),"")</f>
        <v/>
      </c>
      <c r="J932" s="20" t="n">
        <f aca="false">IF(ROUND($G932,2)=0,0,1)</f>
        <v>0</v>
      </c>
      <c r="K932" s="20" t="str">
        <f aca="false">IF($J932=0,"",SUM($J$926:$J932))</f>
        <v/>
      </c>
      <c r="L932" s="20" t="str">
        <f aca="false">IF($K932="","",$A932*100+$K932)</f>
        <v/>
      </c>
      <c r="M932" s="48" t="str">
        <f aca="false">参数!$B$3</f>
        <v>7月收入</v>
      </c>
    </row>
    <row r="933" customFormat="false" ht="13.5" hidden="false" customHeight="false" outlineLevel="0" collapsed="false">
      <c r="A933" s="47" t="n">
        <v>43</v>
      </c>
      <c r="B933" s="38" t="n">
        <f aca="false">助手收入!$B44</f>
        <v>2067</v>
      </c>
      <c r="C933" s="48" t="str">
        <f aca="false">助手收入!$C44</f>
        <v>博亮店</v>
      </c>
      <c r="D933" s="48" t="str">
        <f aca="false">科目对照收入!$B9&amp;""</f>
        <v>24小时</v>
      </c>
      <c r="E933" s="48" t="str">
        <f aca="false">IF(AND(ROUND($G933,2)&lt;0,科目对照收入!$L9&lt;&gt;""),科目对照收入!$L9,科目对照收入!$C9)&amp;""</f>
        <v>应收账款</v>
      </c>
      <c r="F933" s="48" t="str">
        <f aca="false">IF(AND(ROUND($G933,2)&lt;0,科目对照收入!$L9&lt;&gt;""),科目对照收入!$M9,科目对照收入!$D9)&amp;""</f>
        <v>24小时</v>
      </c>
      <c r="G933" s="49" t="n">
        <f aca="false">IF(COUNTIFS(输入平台!$A:$A,助手收入!$X44,输入平台!$B:$B,科目对照收入!$B9)&gt;0,ROUND(SUMIFS(输入平台!$C:$C,输入平台!$A:$A,助手收入!$X44,输入平台!$B:$B,科目对照收入!$B9),2),ROUND(海典汇总!$K$45,2))</f>
        <v>0</v>
      </c>
      <c r="H933" s="49" t="str">
        <f aca="false">IF(ROUND($G933,2)&gt;0,ROUND($G933,2),"")</f>
        <v/>
      </c>
      <c r="I933" s="49" t="str">
        <f aca="false">IF(ROUND($G933,2)&lt;0,-ROUND($G933,2),"")</f>
        <v/>
      </c>
      <c r="J933" s="20" t="n">
        <f aca="false">IF(ROUND($G933,2)=0,0,1)</f>
        <v>0</v>
      </c>
      <c r="K933" s="20" t="str">
        <f aca="false">IF($J933=0,"",SUM($J$926:$J933))</f>
        <v/>
      </c>
      <c r="L933" s="20" t="str">
        <f aca="false">IF($K933="","",$A933*100+$K933)</f>
        <v/>
      </c>
      <c r="M933" s="48" t="str">
        <f aca="false">参数!$B$3</f>
        <v>7月收入</v>
      </c>
    </row>
    <row r="934" customFormat="false" ht="13.5" hidden="false" customHeight="false" outlineLevel="0" collapsed="false">
      <c r="A934" s="47" t="n">
        <v>43</v>
      </c>
      <c r="B934" s="38" t="n">
        <f aca="false">助手收入!$B44</f>
        <v>2067</v>
      </c>
      <c r="C934" s="48" t="str">
        <f aca="false">助手收入!$C44</f>
        <v>博亮店</v>
      </c>
      <c r="D934" s="48" t="str">
        <f aca="false">科目对照收入!$B10&amp;""</f>
        <v>美团</v>
      </c>
      <c r="E934" s="48" t="str">
        <f aca="false">IF(AND(ROUND($G934,2)&lt;0,科目对照收入!$L10&lt;&gt;""),科目对照收入!$L10,科目对照收入!$C10)&amp;""</f>
        <v>应收账款</v>
      </c>
      <c r="F934" s="48" t="str">
        <f aca="false">IF(AND(ROUND($G934,2)&lt;0,科目对照收入!$L10&lt;&gt;""),科目对照收入!$M10,科目对照收入!$D10)&amp;""</f>
        <v>美团</v>
      </c>
      <c r="G934" s="49" t="n">
        <f aca="false">IF(COUNTIFS(输入平台!$A:$A,助手收入!$X44,输入平台!$B:$B,科目对照收入!$B10)&gt;0,ROUND(SUMIFS(输入平台!$C:$C,输入平台!$A:$A,助手收入!$X44,输入平台!$B:$B,科目对照收入!$B10),2),ROUND(海典汇总!$M$45,2))</f>
        <v>613.3</v>
      </c>
      <c r="H934" s="49" t="n">
        <f aca="false">IF(ROUND($G934,2)&gt;0,ROUND($G934,2),"")</f>
        <v>613.3</v>
      </c>
      <c r="I934" s="49" t="str">
        <f aca="false">IF(ROUND($G934,2)&lt;0,-ROUND($G934,2),"")</f>
        <v/>
      </c>
      <c r="J934" s="20" t="n">
        <f aca="false">IF(ROUND($G934,2)=0,0,1)</f>
        <v>1</v>
      </c>
      <c r="K934" s="20" t="n">
        <f aca="false">IF($J934=0,"",SUM($J$926:$J934))</f>
        <v>3</v>
      </c>
      <c r="L934" s="20" t="n">
        <f aca="false">IF($K934="","",$A934*100+$K934)</f>
        <v>4303</v>
      </c>
      <c r="M934" s="48" t="str">
        <f aca="false">参数!$B$3</f>
        <v>7月收入</v>
      </c>
    </row>
    <row r="935" customFormat="false" ht="13.5" hidden="false" customHeight="false" outlineLevel="0" collapsed="false">
      <c r="A935" s="47" t="n">
        <v>43</v>
      </c>
      <c r="B935" s="38" t="n">
        <f aca="false">助手收入!$B44</f>
        <v>2067</v>
      </c>
      <c r="C935" s="48" t="str">
        <f aca="false">助手收入!$C44</f>
        <v>博亮店</v>
      </c>
      <c r="D935" s="48" t="str">
        <f aca="false">科目对照收入!$B11&amp;""</f>
        <v>饿了么</v>
      </c>
      <c r="E935" s="48" t="str">
        <f aca="false">IF(AND(ROUND($G935,2)&lt;0,科目对照收入!$L11&lt;&gt;""),科目对照收入!$L11,科目对照收入!$C11)&amp;""</f>
        <v>应收账款</v>
      </c>
      <c r="F935" s="48" t="str">
        <f aca="false">IF(AND(ROUND($G935,2)&lt;0,科目对照收入!$L11&lt;&gt;""),科目对照收入!$M11,科目对照收入!$D11)&amp;""</f>
        <v>饿了么</v>
      </c>
      <c r="G935" s="49" t="n">
        <f aca="false">IF(COUNTIFS(输入平台!$A:$A,助手收入!$X44,输入平台!$B:$B,科目对照收入!$B11)&gt;0,ROUND(SUMIFS(输入平台!$C:$C,输入平台!$A:$A,助手收入!$X44,输入平台!$B:$B,科目对照收入!$B11),2),ROUND(海典汇总!$N$45,2))</f>
        <v>0</v>
      </c>
      <c r="H935" s="49" t="str">
        <f aca="false">IF(ROUND($G935,2)&gt;0,ROUND($G935,2),"")</f>
        <v/>
      </c>
      <c r="I935" s="49" t="str">
        <f aca="false">IF(ROUND($G935,2)&lt;0,-ROUND($G935,2),"")</f>
        <v/>
      </c>
      <c r="J935" s="20" t="n">
        <f aca="false">IF(ROUND($G935,2)=0,0,1)</f>
        <v>0</v>
      </c>
      <c r="K935" s="20" t="str">
        <f aca="false">IF($J935=0,"",SUM($J$926:$J935))</f>
        <v/>
      </c>
      <c r="L935" s="20" t="str">
        <f aca="false">IF($K935="","",$A935*100+$K935)</f>
        <v/>
      </c>
      <c r="M935" s="48" t="str">
        <f aca="false">参数!$B$3</f>
        <v>7月收入</v>
      </c>
    </row>
    <row r="936" customFormat="false" ht="13.5" hidden="false" customHeight="false" outlineLevel="0" collapsed="false">
      <c r="A936" s="47" t="n">
        <v>43</v>
      </c>
      <c r="B936" s="38" t="n">
        <f aca="false">助手收入!$B44</f>
        <v>2067</v>
      </c>
      <c r="C936" s="48" t="str">
        <f aca="false">助手收入!$C44</f>
        <v>博亮店</v>
      </c>
      <c r="D936" s="48" t="str">
        <f aca="false">科目对照收入!$B12&amp;""</f>
        <v>京东秒送</v>
      </c>
      <c r="E936" s="48" t="str">
        <f aca="false">IF(AND(ROUND($G936,2)&lt;0,科目对照收入!$L12&lt;&gt;""),科目对照收入!$L12,科目对照收入!$C12)&amp;""</f>
        <v>应收账款</v>
      </c>
      <c r="F936" s="48" t="str">
        <f aca="false">IF(AND(ROUND($G936,2)&lt;0,科目对照收入!$L12&lt;&gt;""),科目对照收入!$M12,科目对照收入!$D12)&amp;""</f>
        <v>京东秒送</v>
      </c>
      <c r="G936" s="49" t="n">
        <f aca="false">IF(COUNTIFS(输入平台!$A:$A,助手收入!$X44,输入平台!$B:$B,科目对照收入!$B12)&gt;0,ROUND(SUMIFS(输入平台!$C:$C,输入平台!$A:$A,助手收入!$X44,输入平台!$B:$B,科目对照收入!$B12),2),ROUND(海典汇总!$O$45,2))</f>
        <v>0</v>
      </c>
      <c r="H936" s="49" t="str">
        <f aca="false">IF(ROUND($G936,2)&gt;0,ROUND($G936,2),"")</f>
        <v/>
      </c>
      <c r="I936" s="49" t="str">
        <f aca="false">IF(ROUND($G936,2)&lt;0,-ROUND($G936,2),"")</f>
        <v/>
      </c>
      <c r="J936" s="20" t="n">
        <f aca="false">IF(ROUND($G936,2)=0,0,1)</f>
        <v>0</v>
      </c>
      <c r="K936" s="20" t="str">
        <f aca="false">IF($J936=0,"",SUM($J$926:$J936))</f>
        <v/>
      </c>
      <c r="L936" s="20" t="str">
        <f aca="false">IF($K936="","",$A936*100+$K936)</f>
        <v/>
      </c>
      <c r="M936" s="48" t="str">
        <f aca="false">参数!$B$3</f>
        <v>7月收入</v>
      </c>
    </row>
    <row r="937" customFormat="false" ht="13.5" hidden="false" customHeight="false" outlineLevel="0" collapsed="false">
      <c r="A937" s="47" t="n">
        <v>43</v>
      </c>
      <c r="B937" s="38" t="n">
        <f aca="false">助手收入!$B44</f>
        <v>2067</v>
      </c>
      <c r="C937" s="48" t="str">
        <f aca="false">助手收入!$C44</f>
        <v>博亮店</v>
      </c>
      <c r="D937" s="48" t="str">
        <f aca="false">科目对照收入!$B13&amp;""</f>
        <v>银联</v>
      </c>
      <c r="E937" s="48" t="str">
        <f aca="false">IF(AND(ROUND($G937,2)&lt;0,科目对照收入!$L13&lt;&gt;""),科目对照收入!$L13,科目对照收入!$C13)&amp;""</f>
        <v>应收账款</v>
      </c>
      <c r="F937" s="48" t="str">
        <f aca="false">IF(AND(ROUND($G937,2)&lt;0,科目对照收入!$L13&lt;&gt;""),科目对照收入!$M13,科目对照收入!$D13)&amp;""</f>
        <v>银联</v>
      </c>
      <c r="G937" s="49" t="n">
        <f aca="false">IF(COUNTIFS(输入平台!$A:$A,助手收入!$X44,输入平台!$B:$B,科目对照收入!$B13)&gt;0,ROUND(SUMIFS(输入平台!$C:$C,输入平台!$A:$A,助手收入!$X44,输入平台!$B:$B,科目对照收入!$B13),2),ROUND(海典汇总!$V$45,2))</f>
        <v>0</v>
      </c>
      <c r="H937" s="49" t="str">
        <f aca="false">IF(ROUND($G937,2)&gt;0,ROUND($G937,2),"")</f>
        <v/>
      </c>
      <c r="I937" s="49" t="str">
        <f aca="false">IF(ROUND($G937,2)&lt;0,-ROUND($G937,2),"")</f>
        <v/>
      </c>
      <c r="J937" s="20" t="n">
        <f aca="false">IF(ROUND($G937,2)=0,0,1)</f>
        <v>0</v>
      </c>
      <c r="K937" s="20" t="str">
        <f aca="false">IF($J937=0,"",SUM($J$926:$J937))</f>
        <v/>
      </c>
      <c r="L937" s="20" t="str">
        <f aca="false">IF($K937="","",$A937*100+$K937)</f>
        <v/>
      </c>
      <c r="M937" s="48" t="str">
        <f aca="false">参数!$B$3</f>
        <v>7月收入</v>
      </c>
    </row>
    <row r="938" customFormat="false" ht="13.5" hidden="false" customHeight="false" outlineLevel="0" collapsed="false">
      <c r="A938" s="47" t="n">
        <v>43</v>
      </c>
      <c r="B938" s="38" t="n">
        <f aca="false">助手收入!$B44</f>
        <v>2067</v>
      </c>
      <c r="C938" s="48" t="str">
        <f aca="false">助手收入!$C44</f>
        <v>博亮店</v>
      </c>
      <c r="D938" s="48" t="str">
        <f aca="false">科目对照收入!$B14&amp;""</f>
        <v>小镇外卖</v>
      </c>
      <c r="E938" s="48" t="str">
        <f aca="false">IF(AND(ROUND($G938,2)&lt;0,科目对照收入!$L14&lt;&gt;""),科目对照收入!$L14,科目对照收入!$C14)&amp;""</f>
        <v>应收账款</v>
      </c>
      <c r="F938" s="48" t="str">
        <f aca="false">IF(AND(ROUND($G938,2)&lt;0,科目对照收入!$L14&lt;&gt;""),科目对照收入!$M14,科目对照收入!$D14)&amp;""</f>
        <v>小镇外卖</v>
      </c>
      <c r="G938" s="49" t="n">
        <f aca="false">IF(COUNTIFS(输入平台!$A:$A,助手收入!$X44,输入平台!$B:$B,科目对照收入!$B14)&gt;0,ROUND(SUMIFS(输入平台!$C:$C,输入平台!$A:$A,助手收入!$X44,输入平台!$B:$B,科目对照收入!$B14),2),ROUND(海典汇总!$AC$45,2))</f>
        <v>0</v>
      </c>
      <c r="H938" s="49" t="str">
        <f aca="false">IF(ROUND($G938,2)&gt;0,ROUND($G938,2),"")</f>
        <v/>
      </c>
      <c r="I938" s="49" t="str">
        <f aca="false">IF(ROUND($G938,2)&lt;0,-ROUND($G938,2),"")</f>
        <v/>
      </c>
      <c r="J938" s="20" t="n">
        <f aca="false">IF(ROUND($G938,2)=0,0,1)</f>
        <v>0</v>
      </c>
      <c r="K938" s="20" t="str">
        <f aca="false">IF($J938=0,"",SUM($J$926:$J938))</f>
        <v/>
      </c>
      <c r="L938" s="20" t="str">
        <f aca="false">IF($K938="","",$A938*100+$K938)</f>
        <v/>
      </c>
      <c r="M938" s="48" t="str">
        <f aca="false">参数!$B$3</f>
        <v>7月收入</v>
      </c>
    </row>
    <row r="939" customFormat="false" ht="13.5" hidden="false" customHeight="false" outlineLevel="0" collapsed="false">
      <c r="A939" s="47" t="n">
        <v>43</v>
      </c>
      <c r="B939" s="38" t="n">
        <f aca="false">助手收入!$B44</f>
        <v>2067</v>
      </c>
      <c r="C939" s="48" t="str">
        <f aca="false">助手收入!$C44</f>
        <v>博亮店</v>
      </c>
      <c r="D939" s="48" t="str">
        <f aca="false">科目对照收入!$B15&amp;""</f>
        <v>OMS线上支付</v>
      </c>
      <c r="E939" s="48" t="str">
        <f aca="false">IF(AND(ROUND($G939,2)&lt;0,科目对照收入!$L15&lt;&gt;""),科目对照收入!$L15,科目对照收入!$C15)&amp;""</f>
        <v>应收账款</v>
      </c>
      <c r="F939" s="48" t="str">
        <f aca="false">IF(AND(ROUND($G939,2)&lt;0,科目对照收入!$L15&lt;&gt;""),科目对照收入!$M15,科目对照收入!$D15)&amp;""</f>
        <v>OMS线上</v>
      </c>
      <c r="G939" s="49" t="n">
        <f aca="false">IF(COUNTIFS(输入平台!$A:$A,助手收入!$X44,输入平台!$B:$B,科目对照收入!$B15)&gt;0,ROUND(SUMIFS(输入平台!$C:$C,输入平台!$A:$A,助手收入!$X44,输入平台!$B:$B,科目对照收入!$B15),2),ROUND(海典汇总!$L$45,2))</f>
        <v>0</v>
      </c>
      <c r="H939" s="49" t="str">
        <f aca="false">IF(ROUND($G939,2)&gt;0,ROUND($G939,2),"")</f>
        <v/>
      </c>
      <c r="I939" s="49" t="str">
        <f aca="false">IF(ROUND($G939,2)&lt;0,-ROUND($G939,2),"")</f>
        <v/>
      </c>
      <c r="J939" s="20" t="n">
        <f aca="false">IF(ROUND($G939,2)=0,0,1)</f>
        <v>0</v>
      </c>
      <c r="K939" s="20" t="str">
        <f aca="false">IF($J939=0,"",SUM($J$926:$J939))</f>
        <v/>
      </c>
      <c r="L939" s="20" t="str">
        <f aca="false">IF($K939="","",$A939*100+$K939)</f>
        <v/>
      </c>
      <c r="M939" s="48" t="str">
        <f aca="false">参数!$B$3</f>
        <v>7月收入</v>
      </c>
    </row>
    <row r="940" customFormat="false" ht="13.5" hidden="false" customHeight="false" outlineLevel="0" collapsed="false">
      <c r="A940" s="47" t="n">
        <v>43</v>
      </c>
      <c r="B940" s="38" t="n">
        <f aca="false">助手收入!$B44</f>
        <v>2067</v>
      </c>
      <c r="C940" s="48" t="str">
        <f aca="false">助手收入!$C44</f>
        <v>博亮店</v>
      </c>
      <c r="D940" s="48" t="str">
        <f aca="false">科目对照收入!$B16&amp;""</f>
        <v>平安药卡</v>
      </c>
      <c r="E940" s="48" t="str">
        <f aca="false">IF(AND(ROUND($G940,2)&lt;0,科目对照收入!$L16&lt;&gt;""),科目对照收入!$L16,科目对照收入!$C16)&amp;""</f>
        <v>应收账款</v>
      </c>
      <c r="F940" s="48" t="str">
        <f aca="false">IF(AND(ROUND($G940,2)&lt;0,科目对照收入!$L16&lt;&gt;""),科目对照收入!$M16,科目对照收入!$D16)&amp;""</f>
        <v>平安</v>
      </c>
      <c r="G940" s="49" t="n">
        <f aca="false">IF(COUNTIFS(输入平台!$A:$A,助手收入!$X44,输入平台!$B:$B,科目对照收入!$B16)&gt;0,ROUND(SUMIFS(输入平台!$C:$C,输入平台!$A:$A,助手收入!$X44,输入平台!$B:$B,科目对照收入!$B16),2),ROUND(海典汇总!$AB$45,2))</f>
        <v>0</v>
      </c>
      <c r="H940" s="49" t="str">
        <f aca="false">IF(ROUND($G940,2)&gt;0,ROUND($G940,2),"")</f>
        <v/>
      </c>
      <c r="I940" s="49" t="str">
        <f aca="false">IF(ROUND($G940,2)&lt;0,-ROUND($G940,2),"")</f>
        <v/>
      </c>
      <c r="J940" s="20" t="n">
        <f aca="false">IF(ROUND($G940,2)=0,0,1)</f>
        <v>0</v>
      </c>
      <c r="K940" s="20" t="str">
        <f aca="false">IF($J940=0,"",SUM($J$926:$J940))</f>
        <v/>
      </c>
      <c r="L940" s="20" t="str">
        <f aca="false">IF($K940="","",$A940*100+$K940)</f>
        <v/>
      </c>
      <c r="M940" s="48" t="str">
        <f aca="false">参数!$B$3</f>
        <v>7月收入</v>
      </c>
    </row>
    <row r="941" customFormat="false" ht="13.5" hidden="false" customHeight="false" outlineLevel="0" collapsed="false">
      <c r="A941" s="47" t="n">
        <v>43</v>
      </c>
      <c r="B941" s="38" t="n">
        <f aca="false">助手收入!$B44</f>
        <v>2067</v>
      </c>
      <c r="C941" s="48" t="str">
        <f aca="false">助手收入!$C44</f>
        <v>博亮店</v>
      </c>
      <c r="D941" s="48" t="str">
        <f aca="false">科目对照收入!$B17&amp;""</f>
        <v>储值卡</v>
      </c>
      <c r="E941" s="48" t="str">
        <f aca="false">IF(AND(ROUND($G941,2)&lt;0,科目对照收入!$L17&lt;&gt;""),科目对照收入!$L17,科目对照收入!$C17)&amp;""</f>
        <v>其他应收款</v>
      </c>
      <c r="F941" s="48" t="str">
        <f aca="false">IF(AND(ROUND($G941,2)&lt;0,科目对照收入!$L17&lt;&gt;""),科目对照收入!$M17,科目对照收入!$D17)&amp;""</f>
        <v>储值卡</v>
      </c>
      <c r="G941" s="49" t="n">
        <f aca="false">ROUND(海典汇总!$Q$45,2)</f>
        <v>182.8</v>
      </c>
      <c r="H941" s="49" t="n">
        <f aca="false">IF(ROUND($G941,2)&gt;0,ROUND($G941,2),"")</f>
        <v>182.8</v>
      </c>
      <c r="I941" s="49" t="str">
        <f aca="false">IF(ROUND($G941,2)&lt;0,-ROUND($G941,2),"")</f>
        <v/>
      </c>
      <c r="J941" s="20" t="n">
        <f aca="false">IF(ROUND($G941,2)=0,0,1)</f>
        <v>1</v>
      </c>
      <c r="K941" s="20" t="n">
        <f aca="false">IF($J941=0,"",SUM($J$926:$J941))</f>
        <v>4</v>
      </c>
      <c r="L941" s="20" t="n">
        <f aca="false">IF($K941="","",$A941*100+$K941)</f>
        <v>4304</v>
      </c>
      <c r="M941" s="48" t="str">
        <f aca="false">参数!$B$3</f>
        <v>7月收入</v>
      </c>
    </row>
    <row r="942" customFormat="false" ht="13.5" hidden="false" customHeight="false" outlineLevel="0" collapsed="false">
      <c r="A942" s="47" t="n">
        <v>43</v>
      </c>
      <c r="B942" s="38" t="n">
        <f aca="false">助手收入!$B44</f>
        <v>2067</v>
      </c>
      <c r="C942" s="48" t="str">
        <f aca="false">助手收入!$C44</f>
        <v>博亮店</v>
      </c>
      <c r="D942" s="48" t="str">
        <f aca="false">科目对照收入!$B18&amp;""</f>
        <v>会员零钱包</v>
      </c>
      <c r="E942" s="48" t="str">
        <f aca="false">IF(AND(ROUND($G942,2)&lt;0,科目对照收入!$L18&lt;&gt;""),科目对照收入!$L18,科目对照收入!$C18)&amp;""</f>
        <v>其他应收款</v>
      </c>
      <c r="F942" s="48" t="str">
        <f aca="false">IF(AND(ROUND($G942,2)&lt;0,科目对照收入!$L18&lt;&gt;""),科目对照收入!$M18,科目对照收入!$D18)&amp;""</f>
        <v>会员零钱包</v>
      </c>
      <c r="G942" s="49" t="n">
        <f aca="false">ROUND(海典汇总!$P$45,2)</f>
        <v>0</v>
      </c>
      <c r="H942" s="49" t="str">
        <f aca="false">IF(ROUND($G942,2)&gt;0,ROUND($G942,2),"")</f>
        <v/>
      </c>
      <c r="I942" s="49" t="str">
        <f aca="false">IF(ROUND($G942,2)&lt;0,-ROUND($G942,2),"")</f>
        <v/>
      </c>
      <c r="J942" s="20" t="n">
        <f aca="false">IF(ROUND($G942,2)=0,0,1)</f>
        <v>0</v>
      </c>
      <c r="K942" s="20" t="str">
        <f aca="false">IF($J942=0,"",SUM($J$926:$J942))</f>
        <v/>
      </c>
      <c r="L942" s="20" t="str">
        <f aca="false">IF($K942="","",$A942*100+$K942)</f>
        <v/>
      </c>
      <c r="M942" s="48" t="str">
        <f aca="false">参数!$B$3</f>
        <v>7月收入</v>
      </c>
    </row>
    <row r="943" customFormat="false" ht="13.5" hidden="false" customHeight="false" outlineLevel="0" collapsed="false">
      <c r="A943" s="47" t="n">
        <v>43</v>
      </c>
      <c r="B943" s="38" t="n">
        <f aca="false">助手收入!$B44</f>
        <v>2067</v>
      </c>
      <c r="C943" s="48" t="str">
        <f aca="false">助手收入!$C44</f>
        <v>博亮店</v>
      </c>
      <c r="D943" s="48" t="str">
        <f aca="false">科目对照收入!$B19&amp;""</f>
        <v>促销费</v>
      </c>
      <c r="E943" s="48" t="str">
        <f aca="false">IF(AND(ROUND($G943,2)&lt;0,科目对照收入!$L19&lt;&gt;""),科目对照收入!$L19,科目对照收入!$C19)&amp;""</f>
        <v>销售费用</v>
      </c>
      <c r="F943" s="48" t="str">
        <f aca="false">IF(AND(ROUND($G943,2)&lt;0,科目对照收入!$L19&lt;&gt;""),科目对照收入!$M19,科目对照收入!$D19)&amp;""</f>
        <v>促销费</v>
      </c>
      <c r="G943" s="49" t="n">
        <f aca="false">ROUND(海典汇总!$U$45+海典汇总!$T$45+海典汇总!$S$45,2)</f>
        <v>998.93</v>
      </c>
      <c r="H943" s="49" t="n">
        <f aca="false">IF(ROUND($G943,2)&gt;0,ROUND($G943,2),"")</f>
        <v>998.93</v>
      </c>
      <c r="I943" s="49" t="str">
        <f aca="false">IF(ROUND($G943,2)&lt;0,-ROUND($G943,2),"")</f>
        <v/>
      </c>
      <c r="J943" s="20" t="n">
        <f aca="false">IF(ROUND($G943,2)=0,0,1)</f>
        <v>1</v>
      </c>
      <c r="K943" s="20" t="n">
        <f aca="false">IF($J943=0,"",SUM($J$926:$J943))</f>
        <v>5</v>
      </c>
      <c r="L943" s="20" t="n">
        <f aca="false">IF($K943="","",$A943*100+$K943)</f>
        <v>4305</v>
      </c>
      <c r="M943" s="48" t="str">
        <f aca="false">参数!$B$3</f>
        <v>7月收入</v>
      </c>
    </row>
    <row r="944" customFormat="false" ht="13.5" hidden="false" customHeight="false" outlineLevel="0" collapsed="false">
      <c r="A944" s="47" t="n">
        <v>43</v>
      </c>
      <c r="B944" s="38" t="n">
        <f aca="false">助手收入!$B44</f>
        <v>2067</v>
      </c>
      <c r="C944" s="48" t="str">
        <f aca="false">助手收入!$C44</f>
        <v>博亮店</v>
      </c>
      <c r="D944" s="48" t="str">
        <f aca="false">科目对照收入!$B20&amp;""</f>
        <v>积分</v>
      </c>
      <c r="E944" s="48" t="str">
        <f aca="false">IF(AND(ROUND($G944,2)&lt;0,科目对照收入!$L20&lt;&gt;""),科目对照收入!$L20,科目对照收入!$C20)&amp;""</f>
        <v>销售费用</v>
      </c>
      <c r="F944" s="48" t="str">
        <f aca="false">IF(AND(ROUND($G944,2)&lt;0,科目对照收入!$L20&lt;&gt;""),科目对照收入!$M20,科目对照收入!$D20)&amp;""</f>
        <v>积分</v>
      </c>
      <c r="G944" s="49" t="n">
        <f aca="false">ROUND(海典汇总!$R$45,2)</f>
        <v>0</v>
      </c>
      <c r="H944" s="49" t="str">
        <f aca="false">IF(ROUND($G944,2)&gt;0,ROUND($G944,2),"")</f>
        <v/>
      </c>
      <c r="I944" s="49" t="str">
        <f aca="false">IF(ROUND($G944,2)&lt;0,-ROUND($G944,2),"")</f>
        <v/>
      </c>
      <c r="J944" s="20" t="n">
        <f aca="false">IF(ROUND($G944,2)=0,0,1)</f>
        <v>0</v>
      </c>
      <c r="K944" s="20" t="str">
        <f aca="false">IF($J944=0,"",SUM($J$926:$J944))</f>
        <v/>
      </c>
      <c r="L944" s="20" t="str">
        <f aca="false">IF($K944="","",$A944*100+$K944)</f>
        <v/>
      </c>
      <c r="M944" s="48" t="str">
        <f aca="false">参数!$B$3</f>
        <v>7月收入</v>
      </c>
    </row>
    <row r="945" customFormat="false" ht="13.5" hidden="false" customHeight="false" outlineLevel="0" collapsed="false">
      <c r="A945" s="47" t="n">
        <v>43</v>
      </c>
      <c r="B945" s="38" t="n">
        <f aca="false">助手收入!$B44</f>
        <v>2067</v>
      </c>
      <c r="C945" s="48" t="str">
        <f aca="false">助手收入!$C44</f>
        <v>博亮店</v>
      </c>
      <c r="D945" s="48" t="str">
        <f aca="false">科目对照收入!$B21&amp;""</f>
        <v>手续费</v>
      </c>
      <c r="E945" s="48" t="str">
        <f aca="false">IF(AND(ROUND($G945,2)&lt;0,科目对照收入!$L21&lt;&gt;""),科目对照收入!$L21,科目对照收入!$C21)&amp;""</f>
        <v>财务费用</v>
      </c>
      <c r="F945" s="48" t="str">
        <f aca="false">IF(AND(ROUND($G945,2)&lt;0,科目对照收入!$L21&lt;&gt;""),科目对照收入!$M21,科目对照收入!$D21)&amp;""</f>
        <v>手续费</v>
      </c>
      <c r="G945" s="49" t="n">
        <f aca="false">ROUND(SUMIFS(输入聚合!$D:$D,输入聚合!$A:$A,助手收入!$X44),2)</f>
        <v>63.92</v>
      </c>
      <c r="H945" s="49" t="n">
        <f aca="false">IF(ROUND($G945,2)&gt;0,ROUND($G945,2),"")</f>
        <v>63.92</v>
      </c>
      <c r="I945" s="49" t="str">
        <f aca="false">IF(ROUND($G945,2)&lt;0,-ROUND($G945,2),"")</f>
        <v/>
      </c>
      <c r="J945" s="20" t="n">
        <f aca="false">IF(ROUND($G945,2)=0,0,1)</f>
        <v>1</v>
      </c>
      <c r="K945" s="20" t="n">
        <f aca="false">IF($J945=0,"",SUM($J$926:$J945))</f>
        <v>6</v>
      </c>
      <c r="L945" s="20" t="n">
        <f aca="false">IF($K945="","",$A945*100+$K945)</f>
        <v>4306</v>
      </c>
      <c r="M945" s="48" t="str">
        <f aca="false">参数!$B$3</f>
        <v>7月收入</v>
      </c>
    </row>
    <row r="946" customFormat="false" ht="13.5" hidden="false" customHeight="false" outlineLevel="0" collapsed="false">
      <c r="A946" s="47" t="n">
        <v>43</v>
      </c>
      <c r="B946" s="38" t="n">
        <f aca="false">助手收入!$B44</f>
        <v>2067</v>
      </c>
      <c r="C946" s="48" t="str">
        <f aca="false">助手收入!$C44</f>
        <v>博亮店</v>
      </c>
      <c r="D946" s="48" t="str">
        <f aca="false">科目对照收入!$B22&amp;""</f>
        <v>主营业务收入</v>
      </c>
      <c r="E946" s="48" t="str">
        <f aca="false">IF(AND(ROUND($G946,2)&lt;0,科目对照收入!$L22&lt;&gt;""),科目对照收入!$L22,科目对照收入!$C22)&amp;""</f>
        <v>主营业务收入</v>
      </c>
      <c r="F946" s="48" t="str">
        <f aca="false">IF(AND(ROUND($G946,2)&lt;0,科目对照收入!$L22&lt;&gt;""),科目对照收入!$M22,科目对照收入!$D22)&amp;""</f>
        <v/>
      </c>
      <c r="G946" s="49" t="n">
        <f aca="false">-ROUND(助手收入!$G44,2)</f>
        <v>-29103.09</v>
      </c>
      <c r="H946" s="49" t="str">
        <f aca="false">IF(ROUND($G946,2)&gt;0,ROUND($G946,2),"")</f>
        <v/>
      </c>
      <c r="I946" s="49" t="n">
        <f aca="false">IF(ROUND($G946,2)&lt;0,-ROUND($G946,2),"")</f>
        <v>29103.09</v>
      </c>
      <c r="J946" s="20" t="n">
        <f aca="false">IF(ROUND($G946,2)=0,0,1)</f>
        <v>1</v>
      </c>
      <c r="K946" s="20" t="n">
        <f aca="false">IF($J946=0,"",SUM($J$926:$J946))</f>
        <v>7</v>
      </c>
      <c r="L946" s="20" t="n">
        <f aca="false">IF($K946="","",$A946*100+$K946)</f>
        <v>4307</v>
      </c>
      <c r="M946" s="48" t="str">
        <f aca="false">参数!$B$3</f>
        <v>7月收入</v>
      </c>
    </row>
    <row r="947" customFormat="false" ht="13.5" hidden="false" customHeight="false" outlineLevel="0" collapsed="false">
      <c r="A947" s="47" t="n">
        <v>43</v>
      </c>
      <c r="B947" s="38" t="n">
        <f aca="false">助手收入!$B44</f>
        <v>2067</v>
      </c>
      <c r="C947" s="48" t="str">
        <f aca="false">助手收入!$C44</f>
        <v>博亮店</v>
      </c>
      <c r="D947" s="48" t="str">
        <f aca="false">科目对照收入!$B23&amp;""</f>
        <v>营业外收入</v>
      </c>
      <c r="E947" s="48" t="str">
        <f aca="false">IF(AND(ROUND($G947,2)&lt;0,科目对照收入!$L23&lt;&gt;""),科目对照收入!$L23,科目对照收入!$C23)&amp;""</f>
        <v>营业外收入</v>
      </c>
      <c r="F947" s="48" t="str">
        <f aca="false">IF(AND(ROUND($G947,2)&lt;0,科目对照收入!$L23&lt;&gt;""),科目对照收入!$M23,科目对照收入!$D23)&amp;""</f>
        <v/>
      </c>
      <c r="G947" s="49" t="n">
        <f aca="false">-ROUND(助手收入!$J44,2)</f>
        <v>-0</v>
      </c>
      <c r="H947" s="49" t="str">
        <f aca="false">IF(ROUND($G947,2)&gt;0,ROUND($G947,2),"")</f>
        <v/>
      </c>
      <c r="I947" s="49" t="str">
        <f aca="false">IF(ROUND($G947,2)&lt;0,-ROUND($G947,2),"")</f>
        <v/>
      </c>
      <c r="J947" s="20" t="n">
        <f aca="false">IF(ROUND($G947,2)=0,0,1)</f>
        <v>0</v>
      </c>
      <c r="K947" s="20" t="str">
        <f aca="false">IF($J947=0,"",SUM($J$926:$J947))</f>
        <v/>
      </c>
      <c r="L947" s="20" t="str">
        <f aca="false">IF($K947="","",$A947*100+$K947)</f>
        <v/>
      </c>
      <c r="M947" s="48" t="str">
        <f aca="false">参数!$B$3</f>
        <v>7月收入</v>
      </c>
    </row>
    <row r="948" customFormat="false" ht="13.5" hidden="false" customHeight="false" outlineLevel="0" collapsed="false">
      <c r="A948" s="47" t="n">
        <v>44</v>
      </c>
      <c r="B948" s="38" t="n">
        <f aca="false">助手收入!$B45</f>
        <v>2068</v>
      </c>
      <c r="C948" s="48" t="str">
        <f aca="false">助手收入!$C45</f>
        <v>博山店</v>
      </c>
      <c r="D948" s="48" t="str">
        <f aca="false">科目对照收入!$B2&amp;""</f>
        <v>库存现金</v>
      </c>
      <c r="E948" s="48" t="str">
        <f aca="false">IF(AND(ROUND($G948,2)&lt;0,科目对照收入!$L2&lt;&gt;""),科目对照收入!$L2,科目对照收入!$C2)&amp;""</f>
        <v>库存现金</v>
      </c>
      <c r="F948" s="48" t="str">
        <f aca="false">IF(AND(ROUND($G948,2)&lt;0,科目对照收入!$L2&lt;&gt;""),科目对照收入!$M2,科目对照收入!$D2)&amp;""</f>
        <v/>
      </c>
      <c r="G948" s="49" t="n">
        <f aca="false">助手收入!$I45</f>
        <v>9684.9</v>
      </c>
      <c r="H948" s="49" t="n">
        <f aca="false">IF(ROUND($G948,2)&gt;0,ROUND($G948,2),"")</f>
        <v>9684.9</v>
      </c>
      <c r="I948" s="49" t="str">
        <f aca="false">IF(ROUND($G948,2)&lt;0,-ROUND($G948,2),"")</f>
        <v/>
      </c>
      <c r="J948" s="20" t="n">
        <f aca="false">IF(ROUND($G948,2)=0,0,1)</f>
        <v>1</v>
      </c>
      <c r="K948" s="20" t="n">
        <f aca="false">IF($J948=0,"",SUM($J$948:$J948))</f>
        <v>1</v>
      </c>
      <c r="L948" s="20" t="n">
        <f aca="false">IF($K948="","",$A948*100+$K948)</f>
        <v>4401</v>
      </c>
      <c r="M948" s="48" t="str">
        <f aca="false">参数!$B$3</f>
        <v>7月收入</v>
      </c>
    </row>
    <row r="949" customFormat="false" ht="13.5" hidden="false" customHeight="false" outlineLevel="0" collapsed="false">
      <c r="A949" s="47" t="n">
        <v>44</v>
      </c>
      <c r="B949" s="38" t="n">
        <f aca="false">助手收入!$B45</f>
        <v>2068</v>
      </c>
      <c r="C949" s="48" t="str">
        <f aca="false">助手收入!$C45</f>
        <v>博山店</v>
      </c>
      <c r="D949" s="48" t="str">
        <f aca="false">科目对照收入!$B3&amp;""</f>
        <v>聚合支付</v>
      </c>
      <c r="E949" s="48" t="str">
        <f aca="false">IF(AND(ROUND($G949,2)&lt;0,科目对照收入!$L3&lt;&gt;""),科目对照收入!$L3,科目对照收入!$C3)&amp;""</f>
        <v>应收账款</v>
      </c>
      <c r="F949" s="48" t="str">
        <f aca="false">IF(AND(ROUND($G949,2)&lt;0,科目对照收入!$L3&lt;&gt;""),科目对照收入!$M3,科目对照收入!$D3)&amp;""</f>
        <v>聚合支付</v>
      </c>
      <c r="G949" s="49" t="n">
        <f aca="false">ROUND(SUMIFS(输入聚合!$C:$C,输入聚合!$A:$A,助手收入!$X45)-SUMIFS(输入聚合!$D:$D,输入聚合!$A:$A,助手收入!$X45),2)</f>
        <v>39264.49</v>
      </c>
      <c r="H949" s="49" t="n">
        <f aca="false">IF(ROUND($G949,2)&gt;0,ROUND($G949,2),"")</f>
        <v>39264.49</v>
      </c>
      <c r="I949" s="49" t="str">
        <f aca="false">IF(ROUND($G949,2)&lt;0,-ROUND($G949,2),"")</f>
        <v/>
      </c>
      <c r="J949" s="20" t="n">
        <f aca="false">IF(ROUND($G949,2)=0,0,1)</f>
        <v>1</v>
      </c>
      <c r="K949" s="20" t="n">
        <f aca="false">IF($J949=0,"",SUM($J$948:$J949))</f>
        <v>2</v>
      </c>
      <c r="L949" s="20" t="n">
        <f aca="false">IF($K949="","",$A949*100+$K949)</f>
        <v>4402</v>
      </c>
      <c r="M949" s="48" t="str">
        <f aca="false">参数!$B$3</f>
        <v>7月收入</v>
      </c>
    </row>
    <row r="950" customFormat="false" ht="13.5" hidden="false" customHeight="false" outlineLevel="0" collapsed="false">
      <c r="A950" s="47" t="n">
        <v>44</v>
      </c>
      <c r="B950" s="38" t="n">
        <f aca="false">助手收入!$B45</f>
        <v>2068</v>
      </c>
      <c r="C950" s="48" t="str">
        <f aca="false">助手收入!$C45</f>
        <v>博山店</v>
      </c>
      <c r="D950" s="48" t="str">
        <f aca="false">科目对照收入!$B4&amp;""</f>
        <v>医保</v>
      </c>
      <c r="E950" s="48" t="str">
        <f aca="false">IF(AND(ROUND($G950,2)&lt;0,科目对照收入!$L4&lt;&gt;""),科目对照收入!$L4,科目对照收入!$C4)&amp;""</f>
        <v>应收账款</v>
      </c>
      <c r="F950" s="48" t="str">
        <f aca="false">IF(AND(ROUND($G950,2)&lt;0,科目对照收入!$L4&lt;&gt;""),科目对照收入!$M4,科目对照收入!$D4)&amp;""</f>
        <v>医保</v>
      </c>
      <c r="G950" s="49" t="n">
        <f aca="false">IF(COUNTIFS(输入平台!$A:$A,助手收入!$X45,输入平台!$B:$B,科目对照收入!$B4)&gt;0,ROUND(SUMIFS(输入平台!$C:$C,输入平台!$A:$A,助手收入!$X45,输入平台!$B:$B,科目对照收入!$B4),2),ROUND(海典汇总!$F$46+海典汇总!$G$46,2))</f>
        <v>11959.95</v>
      </c>
      <c r="H950" s="49" t="n">
        <f aca="false">IF(ROUND($G950,2)&gt;0,ROUND($G950,2),"")</f>
        <v>11959.95</v>
      </c>
      <c r="I950" s="49" t="str">
        <f aca="false">IF(ROUND($G950,2)&lt;0,-ROUND($G950,2),"")</f>
        <v/>
      </c>
      <c r="J950" s="20" t="n">
        <f aca="false">IF(ROUND($G950,2)=0,0,1)</f>
        <v>1</v>
      </c>
      <c r="K950" s="20" t="n">
        <f aca="false">IF($J950=0,"",SUM($J$948:$J950))</f>
        <v>3</v>
      </c>
      <c r="L950" s="20" t="n">
        <f aca="false">IF($K950="","",$A950*100+$K950)</f>
        <v>4403</v>
      </c>
      <c r="M950" s="48" t="str">
        <f aca="false">参数!$B$3</f>
        <v>7月收入</v>
      </c>
    </row>
    <row r="951" customFormat="false" ht="13.5" hidden="false" customHeight="false" outlineLevel="0" collapsed="false">
      <c r="A951" s="47" t="n">
        <v>44</v>
      </c>
      <c r="B951" s="38" t="n">
        <f aca="false">助手收入!$B45</f>
        <v>2068</v>
      </c>
      <c r="C951" s="48" t="str">
        <f aca="false">助手收入!$C45</f>
        <v>博山店</v>
      </c>
      <c r="D951" s="48" t="str">
        <f aca="false">科目对照收入!$B5&amp;""</f>
        <v>健e卡</v>
      </c>
      <c r="E951" s="48" t="str">
        <f aca="false">IF(AND(ROUND($G951,2)&lt;0,科目对照收入!$L5&lt;&gt;""),科目对照收入!$L5,科目对照收入!$C5)&amp;""</f>
        <v>应收账款</v>
      </c>
      <c r="F951" s="48" t="str">
        <f aca="false">IF(AND(ROUND($G951,2)&lt;0,科目对照收入!$L5&lt;&gt;""),科目对照收入!$M5,科目对照收入!$D5)&amp;""</f>
        <v>健e卡</v>
      </c>
      <c r="G951" s="49" t="n">
        <f aca="false">IF(COUNTIFS(输入平台!$A:$A,助手收入!$X45,输入平台!$B:$B,科目对照收入!$B5)&gt;0,ROUND(SUMIFS(输入平台!$C:$C,输入平台!$A:$A,助手收入!$X45,输入平台!$B:$B,科目对照收入!$B5),2),ROUND(海典汇总!$H$46,2))</f>
        <v>0</v>
      </c>
      <c r="H951" s="49" t="str">
        <f aca="false">IF(ROUND($G951,2)&gt;0,ROUND($G951,2),"")</f>
        <v/>
      </c>
      <c r="I951" s="49" t="str">
        <f aca="false">IF(ROUND($G951,2)&lt;0,-ROUND($G951,2),"")</f>
        <v/>
      </c>
      <c r="J951" s="20" t="n">
        <f aca="false">IF(ROUND($G951,2)=0,0,1)</f>
        <v>0</v>
      </c>
      <c r="K951" s="20" t="str">
        <f aca="false">IF($J951=0,"",SUM($J$948:$J951))</f>
        <v/>
      </c>
      <c r="L951" s="20" t="str">
        <f aca="false">IF($K951="","",$A951*100+$K951)</f>
        <v/>
      </c>
      <c r="M951" s="48" t="str">
        <f aca="false">参数!$B$3</f>
        <v>7月收入</v>
      </c>
    </row>
    <row r="952" customFormat="false" ht="13.5" hidden="false" customHeight="false" outlineLevel="0" collapsed="false">
      <c r="A952" s="47" t="n">
        <v>44</v>
      </c>
      <c r="B952" s="38" t="n">
        <f aca="false">助手收入!$B45</f>
        <v>2068</v>
      </c>
      <c r="C952" s="48" t="str">
        <f aca="false">助手收入!$C45</f>
        <v>博山店</v>
      </c>
      <c r="D952" s="48" t="str">
        <f aca="false">科目对照收入!$B6&amp;""</f>
        <v>医卡通</v>
      </c>
      <c r="E952" s="48" t="str">
        <f aca="false">IF(AND(ROUND($G952,2)&lt;0,科目对照收入!$L6&lt;&gt;""),科目对照收入!$L6,科目对照收入!$C6)&amp;""</f>
        <v>应收账款</v>
      </c>
      <c r="F952" s="48" t="str">
        <f aca="false">IF(AND(ROUND($G952,2)&lt;0,科目对照收入!$L6&lt;&gt;""),科目对照收入!$M6,科目对照收入!$D6)&amp;""</f>
        <v>医卡通</v>
      </c>
      <c r="G952" s="49" t="n">
        <f aca="false">IF(COUNTIFS(输入平台!$A:$A,助手收入!$X45,输入平台!$B:$B,科目对照收入!$B6)&gt;0,ROUND(SUMIFS(输入平台!$C:$C,输入平台!$A:$A,助手收入!$X45,输入平台!$B:$B,科目对照收入!$B6),2),ROUND(海典汇总!$I$46,2))</f>
        <v>0</v>
      </c>
      <c r="H952" s="49" t="str">
        <f aca="false">IF(ROUND($G952,2)&gt;0,ROUND($G952,2),"")</f>
        <v/>
      </c>
      <c r="I952" s="49" t="str">
        <f aca="false">IF(ROUND($G952,2)&lt;0,-ROUND($G952,2),"")</f>
        <v/>
      </c>
      <c r="J952" s="20" t="n">
        <f aca="false">IF(ROUND($G952,2)=0,0,1)</f>
        <v>0</v>
      </c>
      <c r="K952" s="20" t="str">
        <f aca="false">IF($J952=0,"",SUM($J$948:$J952))</f>
        <v/>
      </c>
      <c r="L952" s="20" t="str">
        <f aca="false">IF($K952="","",$A952*100+$K952)</f>
        <v/>
      </c>
      <c r="M952" s="48" t="str">
        <f aca="false">参数!$B$3</f>
        <v>7月收入</v>
      </c>
    </row>
    <row r="953" customFormat="false" ht="13.5" hidden="false" customHeight="false" outlineLevel="0" collapsed="false">
      <c r="A953" s="47" t="n">
        <v>44</v>
      </c>
      <c r="B953" s="38" t="n">
        <f aca="false">助手收入!$B45</f>
        <v>2068</v>
      </c>
      <c r="C953" s="48" t="str">
        <f aca="false">助手收入!$C45</f>
        <v>博山店</v>
      </c>
      <c r="D953" s="48" t="str">
        <f aca="false">科目对照收入!$B7&amp;""</f>
        <v>企健网</v>
      </c>
      <c r="E953" s="48" t="str">
        <f aca="false">IF(AND(ROUND($G953,2)&lt;0,科目对照收入!$L7&lt;&gt;""),科目对照收入!$L7,科目对照收入!$C7)&amp;""</f>
        <v>应收账款</v>
      </c>
      <c r="F953" s="48" t="str">
        <f aca="false">IF(AND(ROUND($G953,2)&lt;0,科目对照收入!$L7&lt;&gt;""),科目对照收入!$M7,科目对照收入!$D7)&amp;""</f>
        <v>企健网</v>
      </c>
      <c r="G953" s="49" t="n">
        <f aca="false">IF(COUNTIFS(输入平台!$A:$A,助手收入!$X45,输入平台!$B:$B,科目对照收入!$B7)&gt;0,ROUND(SUMIFS(输入平台!$C:$C,输入平台!$A:$A,助手收入!$X45,输入平台!$B:$B,科目对照收入!$B7),2),ROUND(海典汇总!$J$46,2))</f>
        <v>0</v>
      </c>
      <c r="H953" s="49" t="str">
        <f aca="false">IF(ROUND($G953,2)&gt;0,ROUND($G953,2),"")</f>
        <v/>
      </c>
      <c r="I953" s="49" t="str">
        <f aca="false">IF(ROUND($G953,2)&lt;0,-ROUND($G953,2),"")</f>
        <v/>
      </c>
      <c r="J953" s="20" t="n">
        <f aca="false">IF(ROUND($G953,2)=0,0,1)</f>
        <v>0</v>
      </c>
      <c r="K953" s="20" t="str">
        <f aca="false">IF($J953=0,"",SUM($J$948:$J953))</f>
        <v/>
      </c>
      <c r="L953" s="20" t="str">
        <f aca="false">IF($K953="","",$A953*100+$K953)</f>
        <v/>
      </c>
      <c r="M953" s="48" t="str">
        <f aca="false">参数!$B$3</f>
        <v>7月收入</v>
      </c>
    </row>
    <row r="954" customFormat="false" ht="13.5" hidden="false" customHeight="false" outlineLevel="0" collapsed="false">
      <c r="A954" s="47" t="n">
        <v>44</v>
      </c>
      <c r="B954" s="38" t="n">
        <f aca="false">助手收入!$B45</f>
        <v>2068</v>
      </c>
      <c r="C954" s="48" t="str">
        <f aca="false">助手收入!$C45</f>
        <v>博山店</v>
      </c>
      <c r="D954" s="48" t="str">
        <f aca="false">科目对照收入!$B8&amp;""</f>
        <v>亲情卡</v>
      </c>
      <c r="E954" s="48" t="str">
        <f aca="false">IF(AND(ROUND($G954,2)&lt;0,科目对照收入!$L8&lt;&gt;""),科目对照收入!$L8,科目对照收入!$C8)&amp;""</f>
        <v>应收账款</v>
      </c>
      <c r="F954" s="48" t="str">
        <f aca="false">IF(AND(ROUND($G954,2)&lt;0,科目对照收入!$L8&lt;&gt;""),科目对照收入!$M8,科目对照收入!$D8)&amp;""</f>
        <v>亲情卡</v>
      </c>
      <c r="G954" s="49" t="n">
        <f aca="false">IF(COUNTIFS(输入平台!$A:$A,助手收入!$X45,输入平台!$B:$B,科目对照收入!$B8)&gt;0,ROUND(SUMIFS(输入平台!$C:$C,输入平台!$A:$A,助手收入!$X45,输入平台!$B:$B,科目对照收入!$B8),2),ROUND(海典汇总!$Z$46,2))</f>
        <v>0</v>
      </c>
      <c r="H954" s="49" t="str">
        <f aca="false">IF(ROUND($G954,2)&gt;0,ROUND($G954,2),"")</f>
        <v/>
      </c>
      <c r="I954" s="49" t="str">
        <f aca="false">IF(ROUND($G954,2)&lt;0,-ROUND($G954,2),"")</f>
        <v/>
      </c>
      <c r="J954" s="20" t="n">
        <f aca="false">IF(ROUND($G954,2)=0,0,1)</f>
        <v>0</v>
      </c>
      <c r="K954" s="20" t="str">
        <f aca="false">IF($J954=0,"",SUM($J$948:$J954))</f>
        <v/>
      </c>
      <c r="L954" s="20" t="str">
        <f aca="false">IF($K954="","",$A954*100+$K954)</f>
        <v/>
      </c>
      <c r="M954" s="48" t="str">
        <f aca="false">参数!$B$3</f>
        <v>7月收入</v>
      </c>
    </row>
    <row r="955" customFormat="false" ht="13.5" hidden="false" customHeight="false" outlineLevel="0" collapsed="false">
      <c r="A955" s="47" t="n">
        <v>44</v>
      </c>
      <c r="B955" s="38" t="n">
        <f aca="false">助手收入!$B45</f>
        <v>2068</v>
      </c>
      <c r="C955" s="48" t="str">
        <f aca="false">助手收入!$C45</f>
        <v>博山店</v>
      </c>
      <c r="D955" s="48" t="str">
        <f aca="false">科目对照收入!$B9&amp;""</f>
        <v>24小时</v>
      </c>
      <c r="E955" s="48" t="str">
        <f aca="false">IF(AND(ROUND($G955,2)&lt;0,科目对照收入!$L9&lt;&gt;""),科目对照收入!$L9,科目对照收入!$C9)&amp;""</f>
        <v>应收账款</v>
      </c>
      <c r="F955" s="48" t="str">
        <f aca="false">IF(AND(ROUND($G955,2)&lt;0,科目对照收入!$L9&lt;&gt;""),科目对照收入!$M9,科目对照收入!$D9)&amp;""</f>
        <v>24小时</v>
      </c>
      <c r="G955" s="49" t="n">
        <f aca="false">IF(COUNTIFS(输入平台!$A:$A,助手收入!$X45,输入平台!$B:$B,科目对照收入!$B9)&gt;0,ROUND(SUMIFS(输入平台!$C:$C,输入平台!$A:$A,助手收入!$X45,输入平台!$B:$B,科目对照收入!$B9),2),ROUND(海典汇总!$K$46,2))</f>
        <v>0</v>
      </c>
      <c r="H955" s="49" t="str">
        <f aca="false">IF(ROUND($G955,2)&gt;0,ROUND($G955,2),"")</f>
        <v/>
      </c>
      <c r="I955" s="49" t="str">
        <f aca="false">IF(ROUND($G955,2)&lt;0,-ROUND($G955,2),"")</f>
        <v/>
      </c>
      <c r="J955" s="20" t="n">
        <f aca="false">IF(ROUND($G955,2)=0,0,1)</f>
        <v>0</v>
      </c>
      <c r="K955" s="20" t="str">
        <f aca="false">IF($J955=0,"",SUM($J$948:$J955))</f>
        <v/>
      </c>
      <c r="L955" s="20" t="str">
        <f aca="false">IF($K955="","",$A955*100+$K955)</f>
        <v/>
      </c>
      <c r="M955" s="48" t="str">
        <f aca="false">参数!$B$3</f>
        <v>7月收入</v>
      </c>
    </row>
    <row r="956" customFormat="false" ht="13.5" hidden="false" customHeight="false" outlineLevel="0" collapsed="false">
      <c r="A956" s="47" t="n">
        <v>44</v>
      </c>
      <c r="B956" s="38" t="n">
        <f aca="false">助手收入!$B45</f>
        <v>2068</v>
      </c>
      <c r="C956" s="48" t="str">
        <f aca="false">助手收入!$C45</f>
        <v>博山店</v>
      </c>
      <c r="D956" s="48" t="str">
        <f aca="false">科目对照收入!$B10&amp;""</f>
        <v>美团</v>
      </c>
      <c r="E956" s="48" t="str">
        <f aca="false">IF(AND(ROUND($G956,2)&lt;0,科目对照收入!$L10&lt;&gt;""),科目对照收入!$L10,科目对照收入!$C10)&amp;""</f>
        <v>应收账款</v>
      </c>
      <c r="F956" s="48" t="str">
        <f aca="false">IF(AND(ROUND($G956,2)&lt;0,科目对照收入!$L10&lt;&gt;""),科目对照收入!$M10,科目对照收入!$D10)&amp;""</f>
        <v>美团</v>
      </c>
      <c r="G956" s="49" t="n">
        <f aca="false">IF(COUNTIFS(输入平台!$A:$A,助手收入!$X45,输入平台!$B:$B,科目对照收入!$B10)&gt;0,ROUND(SUMIFS(输入平台!$C:$C,输入平台!$A:$A,助手收入!$X45,输入平台!$B:$B,科目对照收入!$B10),2),ROUND(海典汇总!$M$46,2))</f>
        <v>0</v>
      </c>
      <c r="H956" s="49" t="str">
        <f aca="false">IF(ROUND($G956,2)&gt;0,ROUND($G956,2),"")</f>
        <v/>
      </c>
      <c r="I956" s="49" t="str">
        <f aca="false">IF(ROUND($G956,2)&lt;0,-ROUND($G956,2),"")</f>
        <v/>
      </c>
      <c r="J956" s="20" t="n">
        <f aca="false">IF(ROUND($G956,2)=0,0,1)</f>
        <v>0</v>
      </c>
      <c r="K956" s="20" t="str">
        <f aca="false">IF($J956=0,"",SUM($J$948:$J956))</f>
        <v/>
      </c>
      <c r="L956" s="20" t="str">
        <f aca="false">IF($K956="","",$A956*100+$K956)</f>
        <v/>
      </c>
      <c r="M956" s="48" t="str">
        <f aca="false">参数!$B$3</f>
        <v>7月收入</v>
      </c>
    </row>
    <row r="957" customFormat="false" ht="13.5" hidden="false" customHeight="false" outlineLevel="0" collapsed="false">
      <c r="A957" s="47" t="n">
        <v>44</v>
      </c>
      <c r="B957" s="38" t="n">
        <f aca="false">助手收入!$B45</f>
        <v>2068</v>
      </c>
      <c r="C957" s="48" t="str">
        <f aca="false">助手收入!$C45</f>
        <v>博山店</v>
      </c>
      <c r="D957" s="48" t="str">
        <f aca="false">科目对照收入!$B11&amp;""</f>
        <v>饿了么</v>
      </c>
      <c r="E957" s="48" t="str">
        <f aca="false">IF(AND(ROUND($G957,2)&lt;0,科目对照收入!$L11&lt;&gt;""),科目对照收入!$L11,科目对照收入!$C11)&amp;""</f>
        <v>应收账款</v>
      </c>
      <c r="F957" s="48" t="str">
        <f aca="false">IF(AND(ROUND($G957,2)&lt;0,科目对照收入!$L11&lt;&gt;""),科目对照收入!$M11,科目对照收入!$D11)&amp;""</f>
        <v>饿了么</v>
      </c>
      <c r="G957" s="49" t="n">
        <f aca="false">IF(COUNTIFS(输入平台!$A:$A,助手收入!$X45,输入平台!$B:$B,科目对照收入!$B11)&gt;0,ROUND(SUMIFS(输入平台!$C:$C,输入平台!$A:$A,助手收入!$X45,输入平台!$B:$B,科目对照收入!$B11),2),ROUND(海典汇总!$N$46,2))</f>
        <v>0</v>
      </c>
      <c r="H957" s="49" t="str">
        <f aca="false">IF(ROUND($G957,2)&gt;0,ROUND($G957,2),"")</f>
        <v/>
      </c>
      <c r="I957" s="49" t="str">
        <f aca="false">IF(ROUND($G957,2)&lt;0,-ROUND($G957,2),"")</f>
        <v/>
      </c>
      <c r="J957" s="20" t="n">
        <f aca="false">IF(ROUND($G957,2)=0,0,1)</f>
        <v>0</v>
      </c>
      <c r="K957" s="20" t="str">
        <f aca="false">IF($J957=0,"",SUM($J$948:$J957))</f>
        <v/>
      </c>
      <c r="L957" s="20" t="str">
        <f aca="false">IF($K957="","",$A957*100+$K957)</f>
        <v/>
      </c>
      <c r="M957" s="48" t="str">
        <f aca="false">参数!$B$3</f>
        <v>7月收入</v>
      </c>
    </row>
    <row r="958" customFormat="false" ht="13.5" hidden="false" customHeight="false" outlineLevel="0" collapsed="false">
      <c r="A958" s="47" t="n">
        <v>44</v>
      </c>
      <c r="B958" s="38" t="n">
        <f aca="false">助手收入!$B45</f>
        <v>2068</v>
      </c>
      <c r="C958" s="48" t="str">
        <f aca="false">助手收入!$C45</f>
        <v>博山店</v>
      </c>
      <c r="D958" s="48" t="str">
        <f aca="false">科目对照收入!$B12&amp;""</f>
        <v>京东秒送</v>
      </c>
      <c r="E958" s="48" t="str">
        <f aca="false">IF(AND(ROUND($G958,2)&lt;0,科目对照收入!$L12&lt;&gt;""),科目对照收入!$L12,科目对照收入!$C12)&amp;""</f>
        <v>应收账款</v>
      </c>
      <c r="F958" s="48" t="str">
        <f aca="false">IF(AND(ROUND($G958,2)&lt;0,科目对照收入!$L12&lt;&gt;""),科目对照收入!$M12,科目对照收入!$D12)&amp;""</f>
        <v>京东秒送</v>
      </c>
      <c r="G958" s="49" t="n">
        <f aca="false">IF(COUNTIFS(输入平台!$A:$A,助手收入!$X45,输入平台!$B:$B,科目对照收入!$B12)&gt;0,ROUND(SUMIFS(输入平台!$C:$C,输入平台!$A:$A,助手收入!$X45,输入平台!$B:$B,科目对照收入!$B12),2),ROUND(海典汇总!$O$46,2))</f>
        <v>0</v>
      </c>
      <c r="H958" s="49" t="str">
        <f aca="false">IF(ROUND($G958,2)&gt;0,ROUND($G958,2),"")</f>
        <v/>
      </c>
      <c r="I958" s="49" t="str">
        <f aca="false">IF(ROUND($G958,2)&lt;0,-ROUND($G958,2),"")</f>
        <v/>
      </c>
      <c r="J958" s="20" t="n">
        <f aca="false">IF(ROUND($G958,2)=0,0,1)</f>
        <v>0</v>
      </c>
      <c r="K958" s="20" t="str">
        <f aca="false">IF($J958=0,"",SUM($J$948:$J958))</f>
        <v/>
      </c>
      <c r="L958" s="20" t="str">
        <f aca="false">IF($K958="","",$A958*100+$K958)</f>
        <v/>
      </c>
      <c r="M958" s="48" t="str">
        <f aca="false">参数!$B$3</f>
        <v>7月收入</v>
      </c>
    </row>
    <row r="959" customFormat="false" ht="13.5" hidden="false" customHeight="false" outlineLevel="0" collapsed="false">
      <c r="A959" s="47" t="n">
        <v>44</v>
      </c>
      <c r="B959" s="38" t="n">
        <f aca="false">助手收入!$B45</f>
        <v>2068</v>
      </c>
      <c r="C959" s="48" t="str">
        <f aca="false">助手收入!$C45</f>
        <v>博山店</v>
      </c>
      <c r="D959" s="48" t="str">
        <f aca="false">科目对照收入!$B13&amp;""</f>
        <v>银联</v>
      </c>
      <c r="E959" s="48" t="str">
        <f aca="false">IF(AND(ROUND($G959,2)&lt;0,科目对照收入!$L13&lt;&gt;""),科目对照收入!$L13,科目对照收入!$C13)&amp;""</f>
        <v>应收账款</v>
      </c>
      <c r="F959" s="48" t="str">
        <f aca="false">IF(AND(ROUND($G959,2)&lt;0,科目对照收入!$L13&lt;&gt;""),科目对照收入!$M13,科目对照收入!$D13)&amp;""</f>
        <v>银联</v>
      </c>
      <c r="G959" s="49" t="n">
        <f aca="false">IF(COUNTIFS(输入平台!$A:$A,助手收入!$X45,输入平台!$B:$B,科目对照收入!$B13)&gt;0,ROUND(SUMIFS(输入平台!$C:$C,输入平台!$A:$A,助手收入!$X45,输入平台!$B:$B,科目对照收入!$B13),2),ROUND(海典汇总!$V$46,2))</f>
        <v>0</v>
      </c>
      <c r="H959" s="49" t="str">
        <f aca="false">IF(ROUND($G959,2)&gt;0,ROUND($G959,2),"")</f>
        <v/>
      </c>
      <c r="I959" s="49" t="str">
        <f aca="false">IF(ROUND($G959,2)&lt;0,-ROUND($G959,2),"")</f>
        <v/>
      </c>
      <c r="J959" s="20" t="n">
        <f aca="false">IF(ROUND($G959,2)=0,0,1)</f>
        <v>0</v>
      </c>
      <c r="K959" s="20" t="str">
        <f aca="false">IF($J959=0,"",SUM($J$948:$J959))</f>
        <v/>
      </c>
      <c r="L959" s="20" t="str">
        <f aca="false">IF($K959="","",$A959*100+$K959)</f>
        <v/>
      </c>
      <c r="M959" s="48" t="str">
        <f aca="false">参数!$B$3</f>
        <v>7月收入</v>
      </c>
    </row>
    <row r="960" customFormat="false" ht="13.5" hidden="false" customHeight="false" outlineLevel="0" collapsed="false">
      <c r="A960" s="47" t="n">
        <v>44</v>
      </c>
      <c r="B960" s="38" t="n">
        <f aca="false">助手收入!$B45</f>
        <v>2068</v>
      </c>
      <c r="C960" s="48" t="str">
        <f aca="false">助手收入!$C45</f>
        <v>博山店</v>
      </c>
      <c r="D960" s="48" t="str">
        <f aca="false">科目对照收入!$B14&amp;""</f>
        <v>小镇外卖</v>
      </c>
      <c r="E960" s="48" t="str">
        <f aca="false">IF(AND(ROUND($G960,2)&lt;0,科目对照收入!$L14&lt;&gt;""),科目对照收入!$L14,科目对照收入!$C14)&amp;""</f>
        <v>应收账款</v>
      </c>
      <c r="F960" s="48" t="str">
        <f aca="false">IF(AND(ROUND($G960,2)&lt;0,科目对照收入!$L14&lt;&gt;""),科目对照收入!$M14,科目对照收入!$D14)&amp;""</f>
        <v>小镇外卖</v>
      </c>
      <c r="G960" s="49" t="n">
        <f aca="false">IF(COUNTIFS(输入平台!$A:$A,助手收入!$X45,输入平台!$B:$B,科目对照收入!$B14)&gt;0,ROUND(SUMIFS(输入平台!$C:$C,输入平台!$A:$A,助手收入!$X45,输入平台!$B:$B,科目对照收入!$B14),2),ROUND(海典汇总!$AC$46,2))</f>
        <v>0</v>
      </c>
      <c r="H960" s="49" t="str">
        <f aca="false">IF(ROUND($G960,2)&gt;0,ROUND($G960,2),"")</f>
        <v/>
      </c>
      <c r="I960" s="49" t="str">
        <f aca="false">IF(ROUND($G960,2)&lt;0,-ROUND($G960,2),"")</f>
        <v/>
      </c>
      <c r="J960" s="20" t="n">
        <f aca="false">IF(ROUND($G960,2)=0,0,1)</f>
        <v>0</v>
      </c>
      <c r="K960" s="20" t="str">
        <f aca="false">IF($J960=0,"",SUM($J$948:$J960))</f>
        <v/>
      </c>
      <c r="L960" s="20" t="str">
        <f aca="false">IF($K960="","",$A960*100+$K960)</f>
        <v/>
      </c>
      <c r="M960" s="48" t="str">
        <f aca="false">参数!$B$3</f>
        <v>7月收入</v>
      </c>
    </row>
    <row r="961" customFormat="false" ht="13.5" hidden="false" customHeight="false" outlineLevel="0" collapsed="false">
      <c r="A961" s="47" t="n">
        <v>44</v>
      </c>
      <c r="B961" s="38" t="n">
        <f aca="false">助手收入!$B45</f>
        <v>2068</v>
      </c>
      <c r="C961" s="48" t="str">
        <f aca="false">助手收入!$C45</f>
        <v>博山店</v>
      </c>
      <c r="D961" s="48" t="str">
        <f aca="false">科目对照收入!$B15&amp;""</f>
        <v>OMS线上支付</v>
      </c>
      <c r="E961" s="48" t="str">
        <f aca="false">IF(AND(ROUND($G961,2)&lt;0,科目对照收入!$L15&lt;&gt;""),科目对照收入!$L15,科目对照收入!$C15)&amp;""</f>
        <v>应收账款</v>
      </c>
      <c r="F961" s="48" t="str">
        <f aca="false">IF(AND(ROUND($G961,2)&lt;0,科目对照收入!$L15&lt;&gt;""),科目对照收入!$M15,科目对照收入!$D15)&amp;""</f>
        <v>OMS线上</v>
      </c>
      <c r="G961" s="49" t="n">
        <f aca="false">IF(COUNTIFS(输入平台!$A:$A,助手收入!$X45,输入平台!$B:$B,科目对照收入!$B15)&gt;0,ROUND(SUMIFS(输入平台!$C:$C,输入平台!$A:$A,助手收入!$X45,输入平台!$B:$B,科目对照收入!$B15),2),ROUND(海典汇总!$L$46,2))</f>
        <v>0</v>
      </c>
      <c r="H961" s="49" t="str">
        <f aca="false">IF(ROUND($G961,2)&gt;0,ROUND($G961,2),"")</f>
        <v/>
      </c>
      <c r="I961" s="49" t="str">
        <f aca="false">IF(ROUND($G961,2)&lt;0,-ROUND($G961,2),"")</f>
        <v/>
      </c>
      <c r="J961" s="20" t="n">
        <f aca="false">IF(ROUND($G961,2)=0,0,1)</f>
        <v>0</v>
      </c>
      <c r="K961" s="20" t="str">
        <f aca="false">IF($J961=0,"",SUM($J$948:$J961))</f>
        <v/>
      </c>
      <c r="L961" s="20" t="str">
        <f aca="false">IF($K961="","",$A961*100+$K961)</f>
        <v/>
      </c>
      <c r="M961" s="48" t="str">
        <f aca="false">参数!$B$3</f>
        <v>7月收入</v>
      </c>
    </row>
    <row r="962" customFormat="false" ht="13.5" hidden="false" customHeight="false" outlineLevel="0" collapsed="false">
      <c r="A962" s="47" t="n">
        <v>44</v>
      </c>
      <c r="B962" s="38" t="n">
        <f aca="false">助手收入!$B45</f>
        <v>2068</v>
      </c>
      <c r="C962" s="48" t="str">
        <f aca="false">助手收入!$C45</f>
        <v>博山店</v>
      </c>
      <c r="D962" s="48" t="str">
        <f aca="false">科目对照收入!$B16&amp;""</f>
        <v>平安药卡</v>
      </c>
      <c r="E962" s="48" t="str">
        <f aca="false">IF(AND(ROUND($G962,2)&lt;0,科目对照收入!$L16&lt;&gt;""),科目对照收入!$L16,科目对照收入!$C16)&amp;""</f>
        <v>应收账款</v>
      </c>
      <c r="F962" s="48" t="str">
        <f aca="false">IF(AND(ROUND($G962,2)&lt;0,科目对照收入!$L16&lt;&gt;""),科目对照收入!$M16,科目对照收入!$D16)&amp;""</f>
        <v>平安</v>
      </c>
      <c r="G962" s="49" t="n">
        <f aca="false">IF(COUNTIFS(输入平台!$A:$A,助手收入!$X45,输入平台!$B:$B,科目对照收入!$B16)&gt;0,ROUND(SUMIFS(输入平台!$C:$C,输入平台!$A:$A,助手收入!$X45,输入平台!$B:$B,科目对照收入!$B16),2),ROUND(海典汇总!$AB$46,2))</f>
        <v>0</v>
      </c>
      <c r="H962" s="49" t="str">
        <f aca="false">IF(ROUND($G962,2)&gt;0,ROUND($G962,2),"")</f>
        <v/>
      </c>
      <c r="I962" s="49" t="str">
        <f aca="false">IF(ROUND($G962,2)&lt;0,-ROUND($G962,2),"")</f>
        <v/>
      </c>
      <c r="J962" s="20" t="n">
        <f aca="false">IF(ROUND($G962,2)=0,0,1)</f>
        <v>0</v>
      </c>
      <c r="K962" s="20" t="str">
        <f aca="false">IF($J962=0,"",SUM($J$948:$J962))</f>
        <v/>
      </c>
      <c r="L962" s="20" t="str">
        <f aca="false">IF($K962="","",$A962*100+$K962)</f>
        <v/>
      </c>
      <c r="M962" s="48" t="str">
        <f aca="false">参数!$B$3</f>
        <v>7月收入</v>
      </c>
    </row>
    <row r="963" customFormat="false" ht="13.5" hidden="false" customHeight="false" outlineLevel="0" collapsed="false">
      <c r="A963" s="47" t="n">
        <v>44</v>
      </c>
      <c r="B963" s="38" t="n">
        <f aca="false">助手收入!$B45</f>
        <v>2068</v>
      </c>
      <c r="C963" s="48" t="str">
        <f aca="false">助手收入!$C45</f>
        <v>博山店</v>
      </c>
      <c r="D963" s="48" t="str">
        <f aca="false">科目对照收入!$B17&amp;""</f>
        <v>储值卡</v>
      </c>
      <c r="E963" s="48" t="str">
        <f aca="false">IF(AND(ROUND($G963,2)&lt;0,科目对照收入!$L17&lt;&gt;""),科目对照收入!$L17,科目对照收入!$C17)&amp;""</f>
        <v>其他应收款</v>
      </c>
      <c r="F963" s="48" t="str">
        <f aca="false">IF(AND(ROUND($G963,2)&lt;0,科目对照收入!$L17&lt;&gt;""),科目对照收入!$M17,科目对照收入!$D17)&amp;""</f>
        <v>储值卡</v>
      </c>
      <c r="G963" s="49" t="n">
        <f aca="false">ROUND(海典汇总!$Q$46,2)</f>
        <v>133.08</v>
      </c>
      <c r="H963" s="49" t="n">
        <f aca="false">IF(ROUND($G963,2)&gt;0,ROUND($G963,2),"")</f>
        <v>133.08</v>
      </c>
      <c r="I963" s="49" t="str">
        <f aca="false">IF(ROUND($G963,2)&lt;0,-ROUND($G963,2),"")</f>
        <v/>
      </c>
      <c r="J963" s="20" t="n">
        <f aca="false">IF(ROUND($G963,2)=0,0,1)</f>
        <v>1</v>
      </c>
      <c r="K963" s="20" t="n">
        <f aca="false">IF($J963=0,"",SUM($J$948:$J963))</f>
        <v>4</v>
      </c>
      <c r="L963" s="20" t="n">
        <f aca="false">IF($K963="","",$A963*100+$K963)</f>
        <v>4404</v>
      </c>
      <c r="M963" s="48" t="str">
        <f aca="false">参数!$B$3</f>
        <v>7月收入</v>
      </c>
    </row>
    <row r="964" customFormat="false" ht="13.5" hidden="false" customHeight="false" outlineLevel="0" collapsed="false">
      <c r="A964" s="47" t="n">
        <v>44</v>
      </c>
      <c r="B964" s="38" t="n">
        <f aca="false">助手收入!$B45</f>
        <v>2068</v>
      </c>
      <c r="C964" s="48" t="str">
        <f aca="false">助手收入!$C45</f>
        <v>博山店</v>
      </c>
      <c r="D964" s="48" t="str">
        <f aca="false">科目对照收入!$B18&amp;""</f>
        <v>会员零钱包</v>
      </c>
      <c r="E964" s="48" t="str">
        <f aca="false">IF(AND(ROUND($G964,2)&lt;0,科目对照收入!$L18&lt;&gt;""),科目对照收入!$L18,科目对照收入!$C18)&amp;""</f>
        <v>其他应付款</v>
      </c>
      <c r="F964" s="48" t="str">
        <f aca="false">IF(AND(ROUND($G964,2)&lt;0,科目对照收入!$L18&lt;&gt;""),科目对照收入!$M18,科目对照收入!$D18)&amp;""</f>
        <v>会员零钱包</v>
      </c>
      <c r="G964" s="49" t="n">
        <f aca="false">ROUND(海典汇总!$P$46,2)</f>
        <v>-0.1</v>
      </c>
      <c r="H964" s="49" t="str">
        <f aca="false">IF(ROUND($G964,2)&gt;0,ROUND($G964,2),"")</f>
        <v/>
      </c>
      <c r="I964" s="49" t="n">
        <f aca="false">IF(ROUND($G964,2)&lt;0,-ROUND($G964,2),"")</f>
        <v>0.1</v>
      </c>
      <c r="J964" s="20" t="n">
        <f aca="false">IF(ROUND($G964,2)=0,0,1)</f>
        <v>1</v>
      </c>
      <c r="K964" s="20" t="n">
        <f aca="false">IF($J964=0,"",SUM($J$948:$J964))</f>
        <v>5</v>
      </c>
      <c r="L964" s="20" t="n">
        <f aca="false">IF($K964="","",$A964*100+$K964)</f>
        <v>4405</v>
      </c>
      <c r="M964" s="48" t="str">
        <f aca="false">参数!$B$3</f>
        <v>7月收入</v>
      </c>
    </row>
    <row r="965" customFormat="false" ht="13.5" hidden="false" customHeight="false" outlineLevel="0" collapsed="false">
      <c r="A965" s="47" t="n">
        <v>44</v>
      </c>
      <c r="B965" s="38" t="n">
        <f aca="false">助手收入!$B45</f>
        <v>2068</v>
      </c>
      <c r="C965" s="48" t="str">
        <f aca="false">助手收入!$C45</f>
        <v>博山店</v>
      </c>
      <c r="D965" s="48" t="str">
        <f aca="false">科目对照收入!$B19&amp;""</f>
        <v>促销费</v>
      </c>
      <c r="E965" s="48" t="str">
        <f aca="false">IF(AND(ROUND($G965,2)&lt;0,科目对照收入!$L19&lt;&gt;""),科目对照收入!$L19,科目对照收入!$C19)&amp;""</f>
        <v>销售费用</v>
      </c>
      <c r="F965" s="48" t="str">
        <f aca="false">IF(AND(ROUND($G965,2)&lt;0,科目对照收入!$L19&lt;&gt;""),科目对照收入!$M19,科目对照收入!$D19)&amp;""</f>
        <v>促销费</v>
      </c>
      <c r="G965" s="49" t="n">
        <f aca="false">ROUND(海典汇总!$U$46+海典汇总!$T$46+海典汇总!$S$46,2)</f>
        <v>2009.74</v>
      </c>
      <c r="H965" s="49" t="n">
        <f aca="false">IF(ROUND($G965,2)&gt;0,ROUND($G965,2),"")</f>
        <v>2009.74</v>
      </c>
      <c r="I965" s="49" t="str">
        <f aca="false">IF(ROUND($G965,2)&lt;0,-ROUND($G965,2),"")</f>
        <v/>
      </c>
      <c r="J965" s="20" t="n">
        <f aca="false">IF(ROUND($G965,2)=0,0,1)</f>
        <v>1</v>
      </c>
      <c r="K965" s="20" t="n">
        <f aca="false">IF($J965=0,"",SUM($J$948:$J965))</f>
        <v>6</v>
      </c>
      <c r="L965" s="20" t="n">
        <f aca="false">IF($K965="","",$A965*100+$K965)</f>
        <v>4406</v>
      </c>
      <c r="M965" s="48" t="str">
        <f aca="false">参数!$B$3</f>
        <v>7月收入</v>
      </c>
    </row>
    <row r="966" customFormat="false" ht="13.5" hidden="false" customHeight="false" outlineLevel="0" collapsed="false">
      <c r="A966" s="47" t="n">
        <v>44</v>
      </c>
      <c r="B966" s="38" t="n">
        <f aca="false">助手收入!$B45</f>
        <v>2068</v>
      </c>
      <c r="C966" s="48" t="str">
        <f aca="false">助手收入!$C45</f>
        <v>博山店</v>
      </c>
      <c r="D966" s="48" t="str">
        <f aca="false">科目对照收入!$B20&amp;""</f>
        <v>积分</v>
      </c>
      <c r="E966" s="48" t="str">
        <f aca="false">IF(AND(ROUND($G966,2)&lt;0,科目对照收入!$L20&lt;&gt;""),科目对照收入!$L20,科目对照收入!$C20)&amp;""</f>
        <v>销售费用</v>
      </c>
      <c r="F966" s="48" t="str">
        <f aca="false">IF(AND(ROUND($G966,2)&lt;0,科目对照收入!$L20&lt;&gt;""),科目对照收入!$M20,科目对照收入!$D20)&amp;""</f>
        <v>积分</v>
      </c>
      <c r="G966" s="49" t="n">
        <f aca="false">ROUND(海典汇总!$R$46,2)</f>
        <v>0</v>
      </c>
      <c r="H966" s="49" t="str">
        <f aca="false">IF(ROUND($G966,2)&gt;0,ROUND($G966,2),"")</f>
        <v/>
      </c>
      <c r="I966" s="49" t="str">
        <f aca="false">IF(ROUND($G966,2)&lt;0,-ROUND($G966,2),"")</f>
        <v/>
      </c>
      <c r="J966" s="20" t="n">
        <f aca="false">IF(ROUND($G966,2)=0,0,1)</f>
        <v>0</v>
      </c>
      <c r="K966" s="20" t="str">
        <f aca="false">IF($J966=0,"",SUM($J$948:$J966))</f>
        <v/>
      </c>
      <c r="L966" s="20" t="str">
        <f aca="false">IF($K966="","",$A966*100+$K966)</f>
        <v/>
      </c>
      <c r="M966" s="48" t="str">
        <f aca="false">参数!$B$3</f>
        <v>7月收入</v>
      </c>
    </row>
    <row r="967" customFormat="false" ht="13.5" hidden="false" customHeight="false" outlineLevel="0" collapsed="false">
      <c r="A967" s="47" t="n">
        <v>44</v>
      </c>
      <c r="B967" s="38" t="n">
        <f aca="false">助手收入!$B45</f>
        <v>2068</v>
      </c>
      <c r="C967" s="48" t="str">
        <f aca="false">助手收入!$C45</f>
        <v>博山店</v>
      </c>
      <c r="D967" s="48" t="str">
        <f aca="false">科目对照收入!$B21&amp;""</f>
        <v>手续费</v>
      </c>
      <c r="E967" s="48" t="str">
        <f aca="false">IF(AND(ROUND($G967,2)&lt;0,科目对照收入!$L21&lt;&gt;""),科目对照收入!$L21,科目对照收入!$C21)&amp;""</f>
        <v>财务费用</v>
      </c>
      <c r="F967" s="48" t="str">
        <f aca="false">IF(AND(ROUND($G967,2)&lt;0,科目对照收入!$L21&lt;&gt;""),科目对照收入!$M21,科目对照收入!$D21)&amp;""</f>
        <v>手续费</v>
      </c>
      <c r="G967" s="49" t="n">
        <f aca="false">ROUND(SUMIFS(输入聚合!$D:$D,输入聚合!$A:$A,助手收入!$X45),2)</f>
        <v>106.3</v>
      </c>
      <c r="H967" s="49" t="n">
        <f aca="false">IF(ROUND($G967,2)&gt;0,ROUND($G967,2),"")</f>
        <v>106.3</v>
      </c>
      <c r="I967" s="49" t="str">
        <f aca="false">IF(ROUND($G967,2)&lt;0,-ROUND($G967,2),"")</f>
        <v/>
      </c>
      <c r="J967" s="20" t="n">
        <f aca="false">IF(ROUND($G967,2)=0,0,1)</f>
        <v>1</v>
      </c>
      <c r="K967" s="20" t="n">
        <f aca="false">IF($J967=0,"",SUM($J$948:$J967))</f>
        <v>7</v>
      </c>
      <c r="L967" s="20" t="n">
        <f aca="false">IF($K967="","",$A967*100+$K967)</f>
        <v>4407</v>
      </c>
      <c r="M967" s="48" t="str">
        <f aca="false">参数!$B$3</f>
        <v>7月收入</v>
      </c>
    </row>
    <row r="968" customFormat="false" ht="13.5" hidden="false" customHeight="false" outlineLevel="0" collapsed="false">
      <c r="A968" s="47" t="n">
        <v>44</v>
      </c>
      <c r="B968" s="38" t="n">
        <f aca="false">助手收入!$B45</f>
        <v>2068</v>
      </c>
      <c r="C968" s="48" t="str">
        <f aca="false">助手收入!$C45</f>
        <v>博山店</v>
      </c>
      <c r="D968" s="48" t="str">
        <f aca="false">科目对照收入!$B22&amp;""</f>
        <v>主营业务收入</v>
      </c>
      <c r="E968" s="48" t="str">
        <f aca="false">IF(AND(ROUND($G968,2)&lt;0,科目对照收入!$L22&lt;&gt;""),科目对照收入!$L22,科目对照收入!$C22)&amp;""</f>
        <v>主营业务收入</v>
      </c>
      <c r="F968" s="48" t="str">
        <f aca="false">IF(AND(ROUND($G968,2)&lt;0,科目对照收入!$L22&lt;&gt;""),科目对照收入!$M22,科目对照收入!$D22)&amp;""</f>
        <v/>
      </c>
      <c r="G968" s="49" t="n">
        <f aca="false">-ROUND(助手收入!$G45,2)</f>
        <v>-63158.36</v>
      </c>
      <c r="H968" s="49" t="str">
        <f aca="false">IF(ROUND($G968,2)&gt;0,ROUND($G968,2),"")</f>
        <v/>
      </c>
      <c r="I968" s="49" t="n">
        <f aca="false">IF(ROUND($G968,2)&lt;0,-ROUND($G968,2),"")</f>
        <v>63158.36</v>
      </c>
      <c r="J968" s="20" t="n">
        <f aca="false">IF(ROUND($G968,2)=0,0,1)</f>
        <v>1</v>
      </c>
      <c r="K968" s="20" t="n">
        <f aca="false">IF($J968=0,"",SUM($J$948:$J968))</f>
        <v>8</v>
      </c>
      <c r="L968" s="20" t="n">
        <f aca="false">IF($K968="","",$A968*100+$K968)</f>
        <v>4408</v>
      </c>
      <c r="M968" s="48" t="str">
        <f aca="false">参数!$B$3</f>
        <v>7月收入</v>
      </c>
    </row>
    <row r="969" customFormat="false" ht="13.5" hidden="false" customHeight="false" outlineLevel="0" collapsed="false">
      <c r="A969" s="47" t="n">
        <v>44</v>
      </c>
      <c r="B969" s="38" t="n">
        <f aca="false">助手收入!$B45</f>
        <v>2068</v>
      </c>
      <c r="C969" s="48" t="str">
        <f aca="false">助手收入!$C45</f>
        <v>博山店</v>
      </c>
      <c r="D969" s="48" t="str">
        <f aca="false">科目对照收入!$B23&amp;""</f>
        <v>营业外收入</v>
      </c>
      <c r="E969" s="48" t="str">
        <f aca="false">IF(AND(ROUND($G969,2)&lt;0,科目对照收入!$L23&lt;&gt;""),科目对照收入!$L23,科目对照收入!$C23)&amp;""</f>
        <v>营业外收入</v>
      </c>
      <c r="F969" s="48" t="str">
        <f aca="false">IF(AND(ROUND($G969,2)&lt;0,科目对照收入!$L23&lt;&gt;""),科目对照收入!$M23,科目对照收入!$D23)&amp;""</f>
        <v/>
      </c>
      <c r="G969" s="49" t="n">
        <f aca="false">-ROUND(助手收入!$J45,2)</f>
        <v>-0</v>
      </c>
      <c r="H969" s="49" t="str">
        <f aca="false">IF(ROUND($G969,2)&gt;0,ROUND($G969,2),"")</f>
        <v/>
      </c>
      <c r="I969" s="49" t="str">
        <f aca="false">IF(ROUND($G969,2)&lt;0,-ROUND($G969,2),"")</f>
        <v/>
      </c>
      <c r="J969" s="20" t="n">
        <f aca="false">IF(ROUND($G969,2)=0,0,1)</f>
        <v>0</v>
      </c>
      <c r="K969" s="20" t="str">
        <f aca="false">IF($J969=0,"",SUM($J$948:$J969))</f>
        <v/>
      </c>
      <c r="L969" s="20" t="str">
        <f aca="false">IF($K969="","",$A969*100+$K969)</f>
        <v/>
      </c>
      <c r="M969" s="48" t="str">
        <f aca="false">参数!$B$3</f>
        <v>7月收入</v>
      </c>
    </row>
    <row r="970" customFormat="false" ht="13.5" hidden="false" customHeight="false" outlineLevel="0" collapsed="false">
      <c r="A970" s="47" t="n">
        <v>45</v>
      </c>
      <c r="B970" s="38" t="n">
        <f aca="false">助手收入!$B46</f>
        <v>2069</v>
      </c>
      <c r="C970" s="48" t="str">
        <f aca="false">助手收入!$C46</f>
        <v>博东店</v>
      </c>
      <c r="D970" s="48" t="str">
        <f aca="false">科目对照收入!$B2&amp;""</f>
        <v>库存现金</v>
      </c>
      <c r="E970" s="48" t="str">
        <f aca="false">IF(AND(ROUND($G970,2)&lt;0,科目对照收入!$L2&lt;&gt;""),科目对照收入!$L2,科目对照收入!$C2)&amp;""</f>
        <v>库存现金</v>
      </c>
      <c r="F970" s="48" t="str">
        <f aca="false">IF(AND(ROUND($G970,2)&lt;0,科目对照收入!$L2&lt;&gt;""),科目对照收入!$M2,科目对照收入!$D2)&amp;""</f>
        <v/>
      </c>
      <c r="G970" s="49" t="n">
        <f aca="false">助手收入!$I46</f>
        <v>0</v>
      </c>
      <c r="H970" s="49" t="str">
        <f aca="false">IF(ROUND($G970,2)&gt;0,ROUND($G970,2),"")</f>
        <v/>
      </c>
      <c r="I970" s="49" t="str">
        <f aca="false">IF(ROUND($G970,2)&lt;0,-ROUND($G970,2),"")</f>
        <v/>
      </c>
      <c r="J970" s="20" t="n">
        <f aca="false">IF(ROUND($G970,2)=0,0,1)</f>
        <v>0</v>
      </c>
      <c r="K970" s="20" t="str">
        <f aca="false">IF($J970=0,"",SUM($J$970:$J970))</f>
        <v/>
      </c>
      <c r="L970" s="20" t="str">
        <f aca="false">IF($K970="","",$A970*100+$K970)</f>
        <v/>
      </c>
      <c r="M970" s="48" t="str">
        <f aca="false">参数!$B$3</f>
        <v>7月收入</v>
      </c>
    </row>
    <row r="971" customFormat="false" ht="13.5" hidden="false" customHeight="false" outlineLevel="0" collapsed="false">
      <c r="A971" s="47" t="n">
        <v>45</v>
      </c>
      <c r="B971" s="38" t="n">
        <f aca="false">助手收入!$B46</f>
        <v>2069</v>
      </c>
      <c r="C971" s="48" t="str">
        <f aca="false">助手收入!$C46</f>
        <v>博东店</v>
      </c>
      <c r="D971" s="48" t="str">
        <f aca="false">科目对照收入!$B3&amp;""</f>
        <v>聚合支付</v>
      </c>
      <c r="E971" s="48" t="str">
        <f aca="false">IF(AND(ROUND($G971,2)&lt;0,科目对照收入!$L3&lt;&gt;""),科目对照收入!$L3,科目对照收入!$C3)&amp;""</f>
        <v>应收账款</v>
      </c>
      <c r="F971" s="48" t="str">
        <f aca="false">IF(AND(ROUND($G971,2)&lt;0,科目对照收入!$L3&lt;&gt;""),科目对照收入!$M3,科目对照收入!$D3)&amp;""</f>
        <v>聚合支付</v>
      </c>
      <c r="G971" s="49" t="n">
        <f aca="false">ROUND(SUMIFS(输入聚合!$C:$C,输入聚合!$A:$A,助手收入!$X46)-SUMIFS(输入聚合!$D:$D,输入聚合!$A:$A,助手收入!$X46),2)</f>
        <v>0</v>
      </c>
      <c r="H971" s="49" t="str">
        <f aca="false">IF(ROUND($G971,2)&gt;0,ROUND($G971,2),"")</f>
        <v/>
      </c>
      <c r="I971" s="49" t="str">
        <f aca="false">IF(ROUND($G971,2)&lt;0,-ROUND($G971,2),"")</f>
        <v/>
      </c>
      <c r="J971" s="20" t="n">
        <f aca="false">IF(ROUND($G971,2)=0,0,1)</f>
        <v>0</v>
      </c>
      <c r="K971" s="20" t="str">
        <f aca="false">IF($J971=0,"",SUM($J$970:$J971))</f>
        <v/>
      </c>
      <c r="L971" s="20" t="str">
        <f aca="false">IF($K971="","",$A971*100+$K971)</f>
        <v/>
      </c>
      <c r="M971" s="48" t="str">
        <f aca="false">参数!$B$3</f>
        <v>7月收入</v>
      </c>
    </row>
    <row r="972" customFormat="false" ht="13.5" hidden="false" customHeight="false" outlineLevel="0" collapsed="false">
      <c r="A972" s="47" t="n">
        <v>45</v>
      </c>
      <c r="B972" s="38" t="n">
        <f aca="false">助手收入!$B46</f>
        <v>2069</v>
      </c>
      <c r="C972" s="48" t="str">
        <f aca="false">助手收入!$C46</f>
        <v>博东店</v>
      </c>
      <c r="D972" s="48" t="str">
        <f aca="false">科目对照收入!$B4&amp;""</f>
        <v>医保</v>
      </c>
      <c r="E972" s="48" t="str">
        <f aca="false">IF(AND(ROUND($G972,2)&lt;0,科目对照收入!$L4&lt;&gt;""),科目对照收入!$L4,科目对照收入!$C4)&amp;""</f>
        <v>应收账款</v>
      </c>
      <c r="F972" s="48" t="str">
        <f aca="false">IF(AND(ROUND($G972,2)&lt;0,科目对照收入!$L4&lt;&gt;""),科目对照收入!$M4,科目对照收入!$D4)&amp;""</f>
        <v>医保</v>
      </c>
      <c r="G972" s="49" t="n">
        <f aca="false">IF(COUNTIFS(输入平台!$A:$A,助手收入!$X46,输入平台!$B:$B,科目对照收入!$B4)&gt;0,ROUND(SUMIFS(输入平台!$C:$C,输入平台!$A:$A,助手收入!$X46,输入平台!$B:$B,科目对照收入!$B4),2),ROUND(海典汇总!$F$47+海典汇总!$G$47,2))</f>
        <v>0</v>
      </c>
      <c r="H972" s="49" t="str">
        <f aca="false">IF(ROUND($G972,2)&gt;0,ROUND($G972,2),"")</f>
        <v/>
      </c>
      <c r="I972" s="49" t="str">
        <f aca="false">IF(ROUND($G972,2)&lt;0,-ROUND($G972,2),"")</f>
        <v/>
      </c>
      <c r="J972" s="20" t="n">
        <f aca="false">IF(ROUND($G972,2)=0,0,1)</f>
        <v>0</v>
      </c>
      <c r="K972" s="20" t="str">
        <f aca="false">IF($J972=0,"",SUM($J$970:$J972))</f>
        <v/>
      </c>
      <c r="L972" s="20" t="str">
        <f aca="false">IF($K972="","",$A972*100+$K972)</f>
        <v/>
      </c>
      <c r="M972" s="48" t="str">
        <f aca="false">参数!$B$3</f>
        <v>7月收入</v>
      </c>
    </row>
    <row r="973" customFormat="false" ht="13.5" hidden="false" customHeight="false" outlineLevel="0" collapsed="false">
      <c r="A973" s="47" t="n">
        <v>45</v>
      </c>
      <c r="B973" s="38" t="n">
        <f aca="false">助手收入!$B46</f>
        <v>2069</v>
      </c>
      <c r="C973" s="48" t="str">
        <f aca="false">助手收入!$C46</f>
        <v>博东店</v>
      </c>
      <c r="D973" s="48" t="str">
        <f aca="false">科目对照收入!$B5&amp;""</f>
        <v>健e卡</v>
      </c>
      <c r="E973" s="48" t="str">
        <f aca="false">IF(AND(ROUND($G973,2)&lt;0,科目对照收入!$L5&lt;&gt;""),科目对照收入!$L5,科目对照收入!$C5)&amp;""</f>
        <v>应收账款</v>
      </c>
      <c r="F973" s="48" t="str">
        <f aca="false">IF(AND(ROUND($G973,2)&lt;0,科目对照收入!$L5&lt;&gt;""),科目对照收入!$M5,科目对照收入!$D5)&amp;""</f>
        <v>健e卡</v>
      </c>
      <c r="G973" s="49" t="n">
        <f aca="false">IF(COUNTIFS(输入平台!$A:$A,助手收入!$X46,输入平台!$B:$B,科目对照收入!$B5)&gt;0,ROUND(SUMIFS(输入平台!$C:$C,输入平台!$A:$A,助手收入!$X46,输入平台!$B:$B,科目对照收入!$B5),2),ROUND(海典汇总!$H$47,2))</f>
        <v>0</v>
      </c>
      <c r="H973" s="49" t="str">
        <f aca="false">IF(ROUND($G973,2)&gt;0,ROUND($G973,2),"")</f>
        <v/>
      </c>
      <c r="I973" s="49" t="str">
        <f aca="false">IF(ROUND($G973,2)&lt;0,-ROUND($G973,2),"")</f>
        <v/>
      </c>
      <c r="J973" s="20" t="n">
        <f aca="false">IF(ROUND($G973,2)=0,0,1)</f>
        <v>0</v>
      </c>
      <c r="K973" s="20" t="str">
        <f aca="false">IF($J973=0,"",SUM($J$970:$J973))</f>
        <v/>
      </c>
      <c r="L973" s="20" t="str">
        <f aca="false">IF($K973="","",$A973*100+$K973)</f>
        <v/>
      </c>
      <c r="M973" s="48" t="str">
        <f aca="false">参数!$B$3</f>
        <v>7月收入</v>
      </c>
    </row>
    <row r="974" customFormat="false" ht="13.5" hidden="false" customHeight="false" outlineLevel="0" collapsed="false">
      <c r="A974" s="47" t="n">
        <v>45</v>
      </c>
      <c r="B974" s="38" t="n">
        <f aca="false">助手收入!$B46</f>
        <v>2069</v>
      </c>
      <c r="C974" s="48" t="str">
        <f aca="false">助手收入!$C46</f>
        <v>博东店</v>
      </c>
      <c r="D974" s="48" t="str">
        <f aca="false">科目对照收入!$B6&amp;""</f>
        <v>医卡通</v>
      </c>
      <c r="E974" s="48" t="str">
        <f aca="false">IF(AND(ROUND($G974,2)&lt;0,科目对照收入!$L6&lt;&gt;""),科目对照收入!$L6,科目对照收入!$C6)&amp;""</f>
        <v>应收账款</v>
      </c>
      <c r="F974" s="48" t="str">
        <f aca="false">IF(AND(ROUND($G974,2)&lt;0,科目对照收入!$L6&lt;&gt;""),科目对照收入!$M6,科目对照收入!$D6)&amp;""</f>
        <v>医卡通</v>
      </c>
      <c r="G974" s="49" t="n">
        <f aca="false">IF(COUNTIFS(输入平台!$A:$A,助手收入!$X46,输入平台!$B:$B,科目对照收入!$B6)&gt;0,ROUND(SUMIFS(输入平台!$C:$C,输入平台!$A:$A,助手收入!$X46,输入平台!$B:$B,科目对照收入!$B6),2),ROUND(海典汇总!$I$47,2))</f>
        <v>0</v>
      </c>
      <c r="H974" s="49" t="str">
        <f aca="false">IF(ROUND($G974,2)&gt;0,ROUND($G974,2),"")</f>
        <v/>
      </c>
      <c r="I974" s="49" t="str">
        <f aca="false">IF(ROUND($G974,2)&lt;0,-ROUND($G974,2),"")</f>
        <v/>
      </c>
      <c r="J974" s="20" t="n">
        <f aca="false">IF(ROUND($G974,2)=0,0,1)</f>
        <v>0</v>
      </c>
      <c r="K974" s="20" t="str">
        <f aca="false">IF($J974=0,"",SUM($J$970:$J974))</f>
        <v/>
      </c>
      <c r="L974" s="20" t="str">
        <f aca="false">IF($K974="","",$A974*100+$K974)</f>
        <v/>
      </c>
      <c r="M974" s="48" t="str">
        <f aca="false">参数!$B$3</f>
        <v>7月收入</v>
      </c>
    </row>
    <row r="975" customFormat="false" ht="13.5" hidden="false" customHeight="false" outlineLevel="0" collapsed="false">
      <c r="A975" s="47" t="n">
        <v>45</v>
      </c>
      <c r="B975" s="38" t="n">
        <f aca="false">助手收入!$B46</f>
        <v>2069</v>
      </c>
      <c r="C975" s="48" t="str">
        <f aca="false">助手收入!$C46</f>
        <v>博东店</v>
      </c>
      <c r="D975" s="48" t="str">
        <f aca="false">科目对照收入!$B7&amp;""</f>
        <v>企健网</v>
      </c>
      <c r="E975" s="48" t="str">
        <f aca="false">IF(AND(ROUND($G975,2)&lt;0,科目对照收入!$L7&lt;&gt;""),科目对照收入!$L7,科目对照收入!$C7)&amp;""</f>
        <v>应收账款</v>
      </c>
      <c r="F975" s="48" t="str">
        <f aca="false">IF(AND(ROUND($G975,2)&lt;0,科目对照收入!$L7&lt;&gt;""),科目对照收入!$M7,科目对照收入!$D7)&amp;""</f>
        <v>企健网</v>
      </c>
      <c r="G975" s="49" t="n">
        <f aca="false">IF(COUNTIFS(输入平台!$A:$A,助手收入!$X46,输入平台!$B:$B,科目对照收入!$B7)&gt;0,ROUND(SUMIFS(输入平台!$C:$C,输入平台!$A:$A,助手收入!$X46,输入平台!$B:$B,科目对照收入!$B7),2),ROUND(海典汇总!$J$47,2))</f>
        <v>0</v>
      </c>
      <c r="H975" s="49" t="str">
        <f aca="false">IF(ROUND($G975,2)&gt;0,ROUND($G975,2),"")</f>
        <v/>
      </c>
      <c r="I975" s="49" t="str">
        <f aca="false">IF(ROUND($G975,2)&lt;0,-ROUND($G975,2),"")</f>
        <v/>
      </c>
      <c r="J975" s="20" t="n">
        <f aca="false">IF(ROUND($G975,2)=0,0,1)</f>
        <v>0</v>
      </c>
      <c r="K975" s="20" t="str">
        <f aca="false">IF($J975=0,"",SUM($J$970:$J975))</f>
        <v/>
      </c>
      <c r="L975" s="20" t="str">
        <f aca="false">IF($K975="","",$A975*100+$K975)</f>
        <v/>
      </c>
      <c r="M975" s="48" t="str">
        <f aca="false">参数!$B$3</f>
        <v>7月收入</v>
      </c>
    </row>
    <row r="976" customFormat="false" ht="13.5" hidden="false" customHeight="false" outlineLevel="0" collapsed="false">
      <c r="A976" s="47" t="n">
        <v>45</v>
      </c>
      <c r="B976" s="38" t="n">
        <f aca="false">助手收入!$B46</f>
        <v>2069</v>
      </c>
      <c r="C976" s="48" t="str">
        <f aca="false">助手收入!$C46</f>
        <v>博东店</v>
      </c>
      <c r="D976" s="48" t="str">
        <f aca="false">科目对照收入!$B8&amp;""</f>
        <v>亲情卡</v>
      </c>
      <c r="E976" s="48" t="str">
        <f aca="false">IF(AND(ROUND($G976,2)&lt;0,科目对照收入!$L8&lt;&gt;""),科目对照收入!$L8,科目对照收入!$C8)&amp;""</f>
        <v>应收账款</v>
      </c>
      <c r="F976" s="48" t="str">
        <f aca="false">IF(AND(ROUND($G976,2)&lt;0,科目对照收入!$L8&lt;&gt;""),科目对照收入!$M8,科目对照收入!$D8)&amp;""</f>
        <v>亲情卡</v>
      </c>
      <c r="G976" s="49" t="n">
        <f aca="false">IF(COUNTIFS(输入平台!$A:$A,助手收入!$X46,输入平台!$B:$B,科目对照收入!$B8)&gt;0,ROUND(SUMIFS(输入平台!$C:$C,输入平台!$A:$A,助手收入!$X46,输入平台!$B:$B,科目对照收入!$B8),2),ROUND(海典汇总!$Z$47,2))</f>
        <v>0</v>
      </c>
      <c r="H976" s="49" t="str">
        <f aca="false">IF(ROUND($G976,2)&gt;0,ROUND($G976,2),"")</f>
        <v/>
      </c>
      <c r="I976" s="49" t="str">
        <f aca="false">IF(ROUND($G976,2)&lt;0,-ROUND($G976,2),"")</f>
        <v/>
      </c>
      <c r="J976" s="20" t="n">
        <f aca="false">IF(ROUND($G976,2)=0,0,1)</f>
        <v>0</v>
      </c>
      <c r="K976" s="20" t="str">
        <f aca="false">IF($J976=0,"",SUM($J$970:$J976))</f>
        <v/>
      </c>
      <c r="L976" s="20" t="str">
        <f aca="false">IF($K976="","",$A976*100+$K976)</f>
        <v/>
      </c>
      <c r="M976" s="48" t="str">
        <f aca="false">参数!$B$3</f>
        <v>7月收入</v>
      </c>
    </row>
    <row r="977" customFormat="false" ht="13.5" hidden="false" customHeight="false" outlineLevel="0" collapsed="false">
      <c r="A977" s="47" t="n">
        <v>45</v>
      </c>
      <c r="B977" s="38" t="n">
        <f aca="false">助手收入!$B46</f>
        <v>2069</v>
      </c>
      <c r="C977" s="48" t="str">
        <f aca="false">助手收入!$C46</f>
        <v>博东店</v>
      </c>
      <c r="D977" s="48" t="str">
        <f aca="false">科目对照收入!$B9&amp;""</f>
        <v>24小时</v>
      </c>
      <c r="E977" s="48" t="str">
        <f aca="false">IF(AND(ROUND($G977,2)&lt;0,科目对照收入!$L9&lt;&gt;""),科目对照收入!$L9,科目对照收入!$C9)&amp;""</f>
        <v>应收账款</v>
      </c>
      <c r="F977" s="48" t="str">
        <f aca="false">IF(AND(ROUND($G977,2)&lt;0,科目对照收入!$L9&lt;&gt;""),科目对照收入!$M9,科目对照收入!$D9)&amp;""</f>
        <v>24小时</v>
      </c>
      <c r="G977" s="49" t="n">
        <f aca="false">IF(COUNTIFS(输入平台!$A:$A,助手收入!$X46,输入平台!$B:$B,科目对照收入!$B9)&gt;0,ROUND(SUMIFS(输入平台!$C:$C,输入平台!$A:$A,助手收入!$X46,输入平台!$B:$B,科目对照收入!$B9),2),ROUND(海典汇总!$K$47,2))</f>
        <v>0</v>
      </c>
      <c r="H977" s="49" t="str">
        <f aca="false">IF(ROUND($G977,2)&gt;0,ROUND($G977,2),"")</f>
        <v/>
      </c>
      <c r="I977" s="49" t="str">
        <f aca="false">IF(ROUND($G977,2)&lt;0,-ROUND($G977,2),"")</f>
        <v/>
      </c>
      <c r="J977" s="20" t="n">
        <f aca="false">IF(ROUND($G977,2)=0,0,1)</f>
        <v>0</v>
      </c>
      <c r="K977" s="20" t="str">
        <f aca="false">IF($J977=0,"",SUM($J$970:$J977))</f>
        <v/>
      </c>
      <c r="L977" s="20" t="str">
        <f aca="false">IF($K977="","",$A977*100+$K977)</f>
        <v/>
      </c>
      <c r="M977" s="48" t="str">
        <f aca="false">参数!$B$3</f>
        <v>7月收入</v>
      </c>
    </row>
    <row r="978" customFormat="false" ht="13.5" hidden="false" customHeight="false" outlineLevel="0" collapsed="false">
      <c r="A978" s="47" t="n">
        <v>45</v>
      </c>
      <c r="B978" s="38" t="n">
        <f aca="false">助手收入!$B46</f>
        <v>2069</v>
      </c>
      <c r="C978" s="48" t="str">
        <f aca="false">助手收入!$C46</f>
        <v>博东店</v>
      </c>
      <c r="D978" s="48" t="str">
        <f aca="false">科目对照收入!$B10&amp;""</f>
        <v>美团</v>
      </c>
      <c r="E978" s="48" t="str">
        <f aca="false">IF(AND(ROUND($G978,2)&lt;0,科目对照收入!$L10&lt;&gt;""),科目对照收入!$L10,科目对照收入!$C10)&amp;""</f>
        <v>应收账款</v>
      </c>
      <c r="F978" s="48" t="str">
        <f aca="false">IF(AND(ROUND($G978,2)&lt;0,科目对照收入!$L10&lt;&gt;""),科目对照收入!$M10,科目对照收入!$D10)&amp;""</f>
        <v>美团</v>
      </c>
      <c r="G978" s="49" t="n">
        <f aca="false">IF(COUNTIFS(输入平台!$A:$A,助手收入!$X46,输入平台!$B:$B,科目对照收入!$B10)&gt;0,ROUND(SUMIFS(输入平台!$C:$C,输入平台!$A:$A,助手收入!$X46,输入平台!$B:$B,科目对照收入!$B10),2),ROUND(海典汇总!$M$47,2))</f>
        <v>0</v>
      </c>
      <c r="H978" s="49" t="str">
        <f aca="false">IF(ROUND($G978,2)&gt;0,ROUND($G978,2),"")</f>
        <v/>
      </c>
      <c r="I978" s="49" t="str">
        <f aca="false">IF(ROUND($G978,2)&lt;0,-ROUND($G978,2),"")</f>
        <v/>
      </c>
      <c r="J978" s="20" t="n">
        <f aca="false">IF(ROUND($G978,2)=0,0,1)</f>
        <v>0</v>
      </c>
      <c r="K978" s="20" t="str">
        <f aca="false">IF($J978=0,"",SUM($J$970:$J978))</f>
        <v/>
      </c>
      <c r="L978" s="20" t="str">
        <f aca="false">IF($K978="","",$A978*100+$K978)</f>
        <v/>
      </c>
      <c r="M978" s="48" t="str">
        <f aca="false">参数!$B$3</f>
        <v>7月收入</v>
      </c>
    </row>
    <row r="979" customFormat="false" ht="13.5" hidden="false" customHeight="false" outlineLevel="0" collapsed="false">
      <c r="A979" s="47" t="n">
        <v>45</v>
      </c>
      <c r="B979" s="38" t="n">
        <f aca="false">助手收入!$B46</f>
        <v>2069</v>
      </c>
      <c r="C979" s="48" t="str">
        <f aca="false">助手收入!$C46</f>
        <v>博东店</v>
      </c>
      <c r="D979" s="48" t="str">
        <f aca="false">科目对照收入!$B11&amp;""</f>
        <v>饿了么</v>
      </c>
      <c r="E979" s="48" t="str">
        <f aca="false">IF(AND(ROUND($G979,2)&lt;0,科目对照收入!$L11&lt;&gt;""),科目对照收入!$L11,科目对照收入!$C11)&amp;""</f>
        <v>应收账款</v>
      </c>
      <c r="F979" s="48" t="str">
        <f aca="false">IF(AND(ROUND($G979,2)&lt;0,科目对照收入!$L11&lt;&gt;""),科目对照收入!$M11,科目对照收入!$D11)&amp;""</f>
        <v>饿了么</v>
      </c>
      <c r="G979" s="49" t="n">
        <f aca="false">IF(COUNTIFS(输入平台!$A:$A,助手收入!$X46,输入平台!$B:$B,科目对照收入!$B11)&gt;0,ROUND(SUMIFS(输入平台!$C:$C,输入平台!$A:$A,助手收入!$X46,输入平台!$B:$B,科目对照收入!$B11),2),ROUND(海典汇总!$N$47,2))</f>
        <v>0</v>
      </c>
      <c r="H979" s="49" t="str">
        <f aca="false">IF(ROUND($G979,2)&gt;0,ROUND($G979,2),"")</f>
        <v/>
      </c>
      <c r="I979" s="49" t="str">
        <f aca="false">IF(ROUND($G979,2)&lt;0,-ROUND($G979,2),"")</f>
        <v/>
      </c>
      <c r="J979" s="20" t="n">
        <f aca="false">IF(ROUND($G979,2)=0,0,1)</f>
        <v>0</v>
      </c>
      <c r="K979" s="20" t="str">
        <f aca="false">IF($J979=0,"",SUM($J$970:$J979))</f>
        <v/>
      </c>
      <c r="L979" s="20" t="str">
        <f aca="false">IF($K979="","",$A979*100+$K979)</f>
        <v/>
      </c>
      <c r="M979" s="48" t="str">
        <f aca="false">参数!$B$3</f>
        <v>7月收入</v>
      </c>
    </row>
    <row r="980" customFormat="false" ht="13.5" hidden="false" customHeight="false" outlineLevel="0" collapsed="false">
      <c r="A980" s="47" t="n">
        <v>45</v>
      </c>
      <c r="B980" s="38" t="n">
        <f aca="false">助手收入!$B46</f>
        <v>2069</v>
      </c>
      <c r="C980" s="48" t="str">
        <f aca="false">助手收入!$C46</f>
        <v>博东店</v>
      </c>
      <c r="D980" s="48" t="str">
        <f aca="false">科目对照收入!$B12&amp;""</f>
        <v>京东秒送</v>
      </c>
      <c r="E980" s="48" t="str">
        <f aca="false">IF(AND(ROUND($G980,2)&lt;0,科目对照收入!$L12&lt;&gt;""),科目对照收入!$L12,科目对照收入!$C12)&amp;""</f>
        <v>应收账款</v>
      </c>
      <c r="F980" s="48" t="str">
        <f aca="false">IF(AND(ROUND($G980,2)&lt;0,科目对照收入!$L12&lt;&gt;""),科目对照收入!$M12,科目对照收入!$D12)&amp;""</f>
        <v>京东秒送</v>
      </c>
      <c r="G980" s="49" t="n">
        <f aca="false">IF(COUNTIFS(输入平台!$A:$A,助手收入!$X46,输入平台!$B:$B,科目对照收入!$B12)&gt;0,ROUND(SUMIFS(输入平台!$C:$C,输入平台!$A:$A,助手收入!$X46,输入平台!$B:$B,科目对照收入!$B12),2),ROUND(海典汇总!$O$47,2))</f>
        <v>0</v>
      </c>
      <c r="H980" s="49" t="str">
        <f aca="false">IF(ROUND($G980,2)&gt;0,ROUND($G980,2),"")</f>
        <v/>
      </c>
      <c r="I980" s="49" t="str">
        <f aca="false">IF(ROUND($G980,2)&lt;0,-ROUND($G980,2),"")</f>
        <v/>
      </c>
      <c r="J980" s="20" t="n">
        <f aca="false">IF(ROUND($G980,2)=0,0,1)</f>
        <v>0</v>
      </c>
      <c r="K980" s="20" t="str">
        <f aca="false">IF($J980=0,"",SUM($J$970:$J980))</f>
        <v/>
      </c>
      <c r="L980" s="20" t="str">
        <f aca="false">IF($K980="","",$A980*100+$K980)</f>
        <v/>
      </c>
      <c r="M980" s="48" t="str">
        <f aca="false">参数!$B$3</f>
        <v>7月收入</v>
      </c>
    </row>
    <row r="981" customFormat="false" ht="13.5" hidden="false" customHeight="false" outlineLevel="0" collapsed="false">
      <c r="A981" s="47" t="n">
        <v>45</v>
      </c>
      <c r="B981" s="38" t="n">
        <f aca="false">助手收入!$B46</f>
        <v>2069</v>
      </c>
      <c r="C981" s="48" t="str">
        <f aca="false">助手收入!$C46</f>
        <v>博东店</v>
      </c>
      <c r="D981" s="48" t="str">
        <f aca="false">科目对照收入!$B13&amp;""</f>
        <v>银联</v>
      </c>
      <c r="E981" s="48" t="str">
        <f aca="false">IF(AND(ROUND($G981,2)&lt;0,科目对照收入!$L13&lt;&gt;""),科目对照收入!$L13,科目对照收入!$C13)&amp;""</f>
        <v>应收账款</v>
      </c>
      <c r="F981" s="48" t="str">
        <f aca="false">IF(AND(ROUND($G981,2)&lt;0,科目对照收入!$L13&lt;&gt;""),科目对照收入!$M13,科目对照收入!$D13)&amp;""</f>
        <v>银联</v>
      </c>
      <c r="G981" s="49" t="n">
        <f aca="false">IF(COUNTIFS(输入平台!$A:$A,助手收入!$X46,输入平台!$B:$B,科目对照收入!$B13)&gt;0,ROUND(SUMIFS(输入平台!$C:$C,输入平台!$A:$A,助手收入!$X46,输入平台!$B:$B,科目对照收入!$B13),2),ROUND(海典汇总!$V$47,2))</f>
        <v>0</v>
      </c>
      <c r="H981" s="49" t="str">
        <f aca="false">IF(ROUND($G981,2)&gt;0,ROUND($G981,2),"")</f>
        <v/>
      </c>
      <c r="I981" s="49" t="str">
        <f aca="false">IF(ROUND($G981,2)&lt;0,-ROUND($G981,2),"")</f>
        <v/>
      </c>
      <c r="J981" s="20" t="n">
        <f aca="false">IF(ROUND($G981,2)=0,0,1)</f>
        <v>0</v>
      </c>
      <c r="K981" s="20" t="str">
        <f aca="false">IF($J981=0,"",SUM($J$970:$J981))</f>
        <v/>
      </c>
      <c r="L981" s="20" t="str">
        <f aca="false">IF($K981="","",$A981*100+$K981)</f>
        <v/>
      </c>
      <c r="M981" s="48" t="str">
        <f aca="false">参数!$B$3</f>
        <v>7月收入</v>
      </c>
    </row>
    <row r="982" customFormat="false" ht="13.5" hidden="false" customHeight="false" outlineLevel="0" collapsed="false">
      <c r="A982" s="47" t="n">
        <v>45</v>
      </c>
      <c r="B982" s="38" t="n">
        <f aca="false">助手收入!$B46</f>
        <v>2069</v>
      </c>
      <c r="C982" s="48" t="str">
        <f aca="false">助手收入!$C46</f>
        <v>博东店</v>
      </c>
      <c r="D982" s="48" t="str">
        <f aca="false">科目对照收入!$B14&amp;""</f>
        <v>小镇外卖</v>
      </c>
      <c r="E982" s="48" t="str">
        <f aca="false">IF(AND(ROUND($G982,2)&lt;0,科目对照收入!$L14&lt;&gt;""),科目对照收入!$L14,科目对照收入!$C14)&amp;""</f>
        <v>应收账款</v>
      </c>
      <c r="F982" s="48" t="str">
        <f aca="false">IF(AND(ROUND($G982,2)&lt;0,科目对照收入!$L14&lt;&gt;""),科目对照收入!$M14,科目对照收入!$D14)&amp;""</f>
        <v>小镇外卖</v>
      </c>
      <c r="G982" s="49" t="n">
        <f aca="false">IF(COUNTIFS(输入平台!$A:$A,助手收入!$X46,输入平台!$B:$B,科目对照收入!$B14)&gt;0,ROUND(SUMIFS(输入平台!$C:$C,输入平台!$A:$A,助手收入!$X46,输入平台!$B:$B,科目对照收入!$B14),2),ROUND(海典汇总!$AC$47,2))</f>
        <v>0</v>
      </c>
      <c r="H982" s="49" t="str">
        <f aca="false">IF(ROUND($G982,2)&gt;0,ROUND($G982,2),"")</f>
        <v/>
      </c>
      <c r="I982" s="49" t="str">
        <f aca="false">IF(ROUND($G982,2)&lt;0,-ROUND($G982,2),"")</f>
        <v/>
      </c>
      <c r="J982" s="20" t="n">
        <f aca="false">IF(ROUND($G982,2)=0,0,1)</f>
        <v>0</v>
      </c>
      <c r="K982" s="20" t="str">
        <f aca="false">IF($J982=0,"",SUM($J$970:$J982))</f>
        <v/>
      </c>
      <c r="L982" s="20" t="str">
        <f aca="false">IF($K982="","",$A982*100+$K982)</f>
        <v/>
      </c>
      <c r="M982" s="48" t="str">
        <f aca="false">参数!$B$3</f>
        <v>7月收入</v>
      </c>
    </row>
    <row r="983" customFormat="false" ht="13.5" hidden="false" customHeight="false" outlineLevel="0" collapsed="false">
      <c r="A983" s="47" t="n">
        <v>45</v>
      </c>
      <c r="B983" s="38" t="n">
        <f aca="false">助手收入!$B46</f>
        <v>2069</v>
      </c>
      <c r="C983" s="48" t="str">
        <f aca="false">助手收入!$C46</f>
        <v>博东店</v>
      </c>
      <c r="D983" s="48" t="str">
        <f aca="false">科目对照收入!$B15&amp;""</f>
        <v>OMS线上支付</v>
      </c>
      <c r="E983" s="48" t="str">
        <f aca="false">IF(AND(ROUND($G983,2)&lt;0,科目对照收入!$L15&lt;&gt;""),科目对照收入!$L15,科目对照收入!$C15)&amp;""</f>
        <v>应收账款</v>
      </c>
      <c r="F983" s="48" t="str">
        <f aca="false">IF(AND(ROUND($G983,2)&lt;0,科目对照收入!$L15&lt;&gt;""),科目对照收入!$M15,科目对照收入!$D15)&amp;""</f>
        <v>OMS线上</v>
      </c>
      <c r="G983" s="49" t="n">
        <f aca="false">IF(COUNTIFS(输入平台!$A:$A,助手收入!$X46,输入平台!$B:$B,科目对照收入!$B15)&gt;0,ROUND(SUMIFS(输入平台!$C:$C,输入平台!$A:$A,助手收入!$X46,输入平台!$B:$B,科目对照收入!$B15),2),ROUND(海典汇总!$L$47,2))</f>
        <v>0</v>
      </c>
      <c r="H983" s="49" t="str">
        <f aca="false">IF(ROUND($G983,2)&gt;0,ROUND($G983,2),"")</f>
        <v/>
      </c>
      <c r="I983" s="49" t="str">
        <f aca="false">IF(ROUND($G983,2)&lt;0,-ROUND($G983,2),"")</f>
        <v/>
      </c>
      <c r="J983" s="20" t="n">
        <f aca="false">IF(ROUND($G983,2)=0,0,1)</f>
        <v>0</v>
      </c>
      <c r="K983" s="20" t="str">
        <f aca="false">IF($J983=0,"",SUM($J$970:$J983))</f>
        <v/>
      </c>
      <c r="L983" s="20" t="str">
        <f aca="false">IF($K983="","",$A983*100+$K983)</f>
        <v/>
      </c>
      <c r="M983" s="48" t="str">
        <f aca="false">参数!$B$3</f>
        <v>7月收入</v>
      </c>
    </row>
    <row r="984" customFormat="false" ht="13.5" hidden="false" customHeight="false" outlineLevel="0" collapsed="false">
      <c r="A984" s="47" t="n">
        <v>45</v>
      </c>
      <c r="B984" s="38" t="n">
        <f aca="false">助手收入!$B46</f>
        <v>2069</v>
      </c>
      <c r="C984" s="48" t="str">
        <f aca="false">助手收入!$C46</f>
        <v>博东店</v>
      </c>
      <c r="D984" s="48" t="str">
        <f aca="false">科目对照收入!$B16&amp;""</f>
        <v>平安药卡</v>
      </c>
      <c r="E984" s="48" t="str">
        <f aca="false">IF(AND(ROUND($G984,2)&lt;0,科目对照收入!$L16&lt;&gt;""),科目对照收入!$L16,科目对照收入!$C16)&amp;""</f>
        <v>应收账款</v>
      </c>
      <c r="F984" s="48" t="str">
        <f aca="false">IF(AND(ROUND($G984,2)&lt;0,科目对照收入!$L16&lt;&gt;""),科目对照收入!$M16,科目对照收入!$D16)&amp;""</f>
        <v>平安</v>
      </c>
      <c r="G984" s="49" t="n">
        <f aca="false">IF(COUNTIFS(输入平台!$A:$A,助手收入!$X46,输入平台!$B:$B,科目对照收入!$B16)&gt;0,ROUND(SUMIFS(输入平台!$C:$C,输入平台!$A:$A,助手收入!$X46,输入平台!$B:$B,科目对照收入!$B16),2),ROUND(海典汇总!$AB$47,2))</f>
        <v>0</v>
      </c>
      <c r="H984" s="49" t="str">
        <f aca="false">IF(ROUND($G984,2)&gt;0,ROUND($G984,2),"")</f>
        <v/>
      </c>
      <c r="I984" s="49" t="str">
        <f aca="false">IF(ROUND($G984,2)&lt;0,-ROUND($G984,2),"")</f>
        <v/>
      </c>
      <c r="J984" s="20" t="n">
        <f aca="false">IF(ROUND($G984,2)=0,0,1)</f>
        <v>0</v>
      </c>
      <c r="K984" s="20" t="str">
        <f aca="false">IF($J984=0,"",SUM($J$970:$J984))</f>
        <v/>
      </c>
      <c r="L984" s="20" t="str">
        <f aca="false">IF($K984="","",$A984*100+$K984)</f>
        <v/>
      </c>
      <c r="M984" s="48" t="str">
        <f aca="false">参数!$B$3</f>
        <v>7月收入</v>
      </c>
    </row>
    <row r="985" customFormat="false" ht="13.5" hidden="false" customHeight="false" outlineLevel="0" collapsed="false">
      <c r="A985" s="47" t="n">
        <v>45</v>
      </c>
      <c r="B985" s="38" t="n">
        <f aca="false">助手收入!$B46</f>
        <v>2069</v>
      </c>
      <c r="C985" s="48" t="str">
        <f aca="false">助手收入!$C46</f>
        <v>博东店</v>
      </c>
      <c r="D985" s="48" t="str">
        <f aca="false">科目对照收入!$B17&amp;""</f>
        <v>储值卡</v>
      </c>
      <c r="E985" s="48" t="str">
        <f aca="false">IF(AND(ROUND($G985,2)&lt;0,科目对照收入!$L17&lt;&gt;""),科目对照收入!$L17,科目对照收入!$C17)&amp;""</f>
        <v>其他应收款</v>
      </c>
      <c r="F985" s="48" t="str">
        <f aca="false">IF(AND(ROUND($G985,2)&lt;0,科目对照收入!$L17&lt;&gt;""),科目对照收入!$M17,科目对照收入!$D17)&amp;""</f>
        <v>储值卡</v>
      </c>
      <c r="G985" s="49" t="n">
        <f aca="false">ROUND(海典汇总!$Q$47,2)</f>
        <v>0</v>
      </c>
      <c r="H985" s="49" t="str">
        <f aca="false">IF(ROUND($G985,2)&gt;0,ROUND($G985,2),"")</f>
        <v/>
      </c>
      <c r="I985" s="49" t="str">
        <f aca="false">IF(ROUND($G985,2)&lt;0,-ROUND($G985,2),"")</f>
        <v/>
      </c>
      <c r="J985" s="20" t="n">
        <f aca="false">IF(ROUND($G985,2)=0,0,1)</f>
        <v>0</v>
      </c>
      <c r="K985" s="20" t="str">
        <f aca="false">IF($J985=0,"",SUM($J$970:$J985))</f>
        <v/>
      </c>
      <c r="L985" s="20" t="str">
        <f aca="false">IF($K985="","",$A985*100+$K985)</f>
        <v/>
      </c>
      <c r="M985" s="48" t="str">
        <f aca="false">参数!$B$3</f>
        <v>7月收入</v>
      </c>
    </row>
    <row r="986" customFormat="false" ht="13.5" hidden="false" customHeight="false" outlineLevel="0" collapsed="false">
      <c r="A986" s="47" t="n">
        <v>45</v>
      </c>
      <c r="B986" s="38" t="n">
        <f aca="false">助手收入!$B46</f>
        <v>2069</v>
      </c>
      <c r="C986" s="48" t="str">
        <f aca="false">助手收入!$C46</f>
        <v>博东店</v>
      </c>
      <c r="D986" s="48" t="str">
        <f aca="false">科目对照收入!$B18&amp;""</f>
        <v>会员零钱包</v>
      </c>
      <c r="E986" s="48" t="str">
        <f aca="false">IF(AND(ROUND($G986,2)&lt;0,科目对照收入!$L18&lt;&gt;""),科目对照收入!$L18,科目对照收入!$C18)&amp;""</f>
        <v>其他应收款</v>
      </c>
      <c r="F986" s="48" t="str">
        <f aca="false">IF(AND(ROUND($G986,2)&lt;0,科目对照收入!$L18&lt;&gt;""),科目对照收入!$M18,科目对照收入!$D18)&amp;""</f>
        <v>会员零钱包</v>
      </c>
      <c r="G986" s="49" t="n">
        <f aca="false">ROUND(海典汇总!$P$47,2)</f>
        <v>0</v>
      </c>
      <c r="H986" s="49" t="str">
        <f aca="false">IF(ROUND($G986,2)&gt;0,ROUND($G986,2),"")</f>
        <v/>
      </c>
      <c r="I986" s="49" t="str">
        <f aca="false">IF(ROUND($G986,2)&lt;0,-ROUND($G986,2),"")</f>
        <v/>
      </c>
      <c r="J986" s="20" t="n">
        <f aca="false">IF(ROUND($G986,2)=0,0,1)</f>
        <v>0</v>
      </c>
      <c r="K986" s="20" t="str">
        <f aca="false">IF($J986=0,"",SUM($J$970:$J986))</f>
        <v/>
      </c>
      <c r="L986" s="20" t="str">
        <f aca="false">IF($K986="","",$A986*100+$K986)</f>
        <v/>
      </c>
      <c r="M986" s="48" t="str">
        <f aca="false">参数!$B$3</f>
        <v>7月收入</v>
      </c>
    </row>
    <row r="987" customFormat="false" ht="13.5" hidden="false" customHeight="false" outlineLevel="0" collapsed="false">
      <c r="A987" s="47" t="n">
        <v>45</v>
      </c>
      <c r="B987" s="38" t="n">
        <f aca="false">助手收入!$B46</f>
        <v>2069</v>
      </c>
      <c r="C987" s="48" t="str">
        <f aca="false">助手收入!$C46</f>
        <v>博东店</v>
      </c>
      <c r="D987" s="48" t="str">
        <f aca="false">科目对照收入!$B19&amp;""</f>
        <v>促销费</v>
      </c>
      <c r="E987" s="48" t="str">
        <f aca="false">IF(AND(ROUND($G987,2)&lt;0,科目对照收入!$L19&lt;&gt;""),科目对照收入!$L19,科目对照收入!$C19)&amp;""</f>
        <v>销售费用</v>
      </c>
      <c r="F987" s="48" t="str">
        <f aca="false">IF(AND(ROUND($G987,2)&lt;0,科目对照收入!$L19&lt;&gt;""),科目对照收入!$M19,科目对照收入!$D19)&amp;""</f>
        <v>促销费</v>
      </c>
      <c r="G987" s="49" t="n">
        <f aca="false">ROUND(海典汇总!$U$47+海典汇总!$T$47+海典汇总!$S$47,2)</f>
        <v>0</v>
      </c>
      <c r="H987" s="49" t="str">
        <f aca="false">IF(ROUND($G987,2)&gt;0,ROUND($G987,2),"")</f>
        <v/>
      </c>
      <c r="I987" s="49" t="str">
        <f aca="false">IF(ROUND($G987,2)&lt;0,-ROUND($G987,2),"")</f>
        <v/>
      </c>
      <c r="J987" s="20" t="n">
        <f aca="false">IF(ROUND($G987,2)=0,0,1)</f>
        <v>0</v>
      </c>
      <c r="K987" s="20" t="str">
        <f aca="false">IF($J987=0,"",SUM($J$970:$J987))</f>
        <v/>
      </c>
      <c r="L987" s="20" t="str">
        <f aca="false">IF($K987="","",$A987*100+$K987)</f>
        <v/>
      </c>
      <c r="M987" s="48" t="str">
        <f aca="false">参数!$B$3</f>
        <v>7月收入</v>
      </c>
    </row>
    <row r="988" customFormat="false" ht="13.5" hidden="false" customHeight="false" outlineLevel="0" collapsed="false">
      <c r="A988" s="47" t="n">
        <v>45</v>
      </c>
      <c r="B988" s="38" t="n">
        <f aca="false">助手收入!$B46</f>
        <v>2069</v>
      </c>
      <c r="C988" s="48" t="str">
        <f aca="false">助手收入!$C46</f>
        <v>博东店</v>
      </c>
      <c r="D988" s="48" t="str">
        <f aca="false">科目对照收入!$B20&amp;""</f>
        <v>积分</v>
      </c>
      <c r="E988" s="48" t="str">
        <f aca="false">IF(AND(ROUND($G988,2)&lt;0,科目对照收入!$L20&lt;&gt;""),科目对照收入!$L20,科目对照收入!$C20)&amp;""</f>
        <v>销售费用</v>
      </c>
      <c r="F988" s="48" t="str">
        <f aca="false">IF(AND(ROUND($G988,2)&lt;0,科目对照收入!$L20&lt;&gt;""),科目对照收入!$M20,科目对照收入!$D20)&amp;""</f>
        <v>积分</v>
      </c>
      <c r="G988" s="49" t="n">
        <f aca="false">ROUND(海典汇总!$R$47,2)</f>
        <v>0</v>
      </c>
      <c r="H988" s="49" t="str">
        <f aca="false">IF(ROUND($G988,2)&gt;0,ROUND($G988,2),"")</f>
        <v/>
      </c>
      <c r="I988" s="49" t="str">
        <f aca="false">IF(ROUND($G988,2)&lt;0,-ROUND($G988,2),"")</f>
        <v/>
      </c>
      <c r="J988" s="20" t="n">
        <f aca="false">IF(ROUND($G988,2)=0,0,1)</f>
        <v>0</v>
      </c>
      <c r="K988" s="20" t="str">
        <f aca="false">IF($J988=0,"",SUM($J$970:$J988))</f>
        <v/>
      </c>
      <c r="L988" s="20" t="str">
        <f aca="false">IF($K988="","",$A988*100+$K988)</f>
        <v/>
      </c>
      <c r="M988" s="48" t="str">
        <f aca="false">参数!$B$3</f>
        <v>7月收入</v>
      </c>
    </row>
    <row r="989" customFormat="false" ht="13.5" hidden="false" customHeight="false" outlineLevel="0" collapsed="false">
      <c r="A989" s="47" t="n">
        <v>45</v>
      </c>
      <c r="B989" s="38" t="n">
        <f aca="false">助手收入!$B46</f>
        <v>2069</v>
      </c>
      <c r="C989" s="48" t="str">
        <f aca="false">助手收入!$C46</f>
        <v>博东店</v>
      </c>
      <c r="D989" s="48" t="str">
        <f aca="false">科目对照收入!$B21&amp;""</f>
        <v>手续费</v>
      </c>
      <c r="E989" s="48" t="str">
        <f aca="false">IF(AND(ROUND($G989,2)&lt;0,科目对照收入!$L21&lt;&gt;""),科目对照收入!$L21,科目对照收入!$C21)&amp;""</f>
        <v>财务费用</v>
      </c>
      <c r="F989" s="48" t="str">
        <f aca="false">IF(AND(ROUND($G989,2)&lt;0,科目对照收入!$L21&lt;&gt;""),科目对照收入!$M21,科目对照收入!$D21)&amp;""</f>
        <v>手续费</v>
      </c>
      <c r="G989" s="49" t="n">
        <f aca="false">ROUND(SUMIFS(输入聚合!$D:$D,输入聚合!$A:$A,助手收入!$X46),2)</f>
        <v>0</v>
      </c>
      <c r="H989" s="49" t="str">
        <f aca="false">IF(ROUND($G989,2)&gt;0,ROUND($G989,2),"")</f>
        <v/>
      </c>
      <c r="I989" s="49" t="str">
        <f aca="false">IF(ROUND($G989,2)&lt;0,-ROUND($G989,2),"")</f>
        <v/>
      </c>
      <c r="J989" s="20" t="n">
        <f aca="false">IF(ROUND($G989,2)=0,0,1)</f>
        <v>0</v>
      </c>
      <c r="K989" s="20" t="str">
        <f aca="false">IF($J989=0,"",SUM($J$970:$J989))</f>
        <v/>
      </c>
      <c r="L989" s="20" t="str">
        <f aca="false">IF($K989="","",$A989*100+$K989)</f>
        <v/>
      </c>
      <c r="M989" s="48" t="str">
        <f aca="false">参数!$B$3</f>
        <v>7月收入</v>
      </c>
    </row>
    <row r="990" customFormat="false" ht="13.5" hidden="false" customHeight="false" outlineLevel="0" collapsed="false">
      <c r="A990" s="47" t="n">
        <v>45</v>
      </c>
      <c r="B990" s="38" t="n">
        <f aca="false">助手收入!$B46</f>
        <v>2069</v>
      </c>
      <c r="C990" s="48" t="str">
        <f aca="false">助手收入!$C46</f>
        <v>博东店</v>
      </c>
      <c r="D990" s="48" t="str">
        <f aca="false">科目对照收入!$B22&amp;""</f>
        <v>主营业务收入</v>
      </c>
      <c r="E990" s="48" t="str">
        <f aca="false">IF(AND(ROUND($G990,2)&lt;0,科目对照收入!$L22&lt;&gt;""),科目对照收入!$L22,科目对照收入!$C22)&amp;""</f>
        <v>主营业务收入</v>
      </c>
      <c r="F990" s="48" t="str">
        <f aca="false">IF(AND(ROUND($G990,2)&lt;0,科目对照收入!$L22&lt;&gt;""),科目对照收入!$M22,科目对照收入!$D22)&amp;""</f>
        <v/>
      </c>
      <c r="G990" s="49" t="n">
        <f aca="false">-ROUND(助手收入!$G46,2)</f>
        <v>-0</v>
      </c>
      <c r="H990" s="49" t="str">
        <f aca="false">IF(ROUND($G990,2)&gt;0,ROUND($G990,2),"")</f>
        <v/>
      </c>
      <c r="I990" s="49" t="str">
        <f aca="false">IF(ROUND($G990,2)&lt;0,-ROUND($G990,2),"")</f>
        <v/>
      </c>
      <c r="J990" s="20" t="n">
        <f aca="false">IF(ROUND($G990,2)=0,0,1)</f>
        <v>0</v>
      </c>
      <c r="K990" s="20" t="str">
        <f aca="false">IF($J990=0,"",SUM($J$970:$J990))</f>
        <v/>
      </c>
      <c r="L990" s="20" t="str">
        <f aca="false">IF($K990="","",$A990*100+$K990)</f>
        <v/>
      </c>
      <c r="M990" s="48" t="str">
        <f aca="false">参数!$B$3</f>
        <v>7月收入</v>
      </c>
    </row>
    <row r="991" customFormat="false" ht="13.5" hidden="false" customHeight="false" outlineLevel="0" collapsed="false">
      <c r="A991" s="47" t="n">
        <v>45</v>
      </c>
      <c r="B991" s="38" t="n">
        <f aca="false">助手收入!$B46</f>
        <v>2069</v>
      </c>
      <c r="C991" s="48" t="str">
        <f aca="false">助手收入!$C46</f>
        <v>博东店</v>
      </c>
      <c r="D991" s="48" t="str">
        <f aca="false">科目对照收入!$B23&amp;""</f>
        <v>营业外收入</v>
      </c>
      <c r="E991" s="48" t="str">
        <f aca="false">IF(AND(ROUND($G991,2)&lt;0,科目对照收入!$L23&lt;&gt;""),科目对照收入!$L23,科目对照收入!$C23)&amp;""</f>
        <v>营业外收入</v>
      </c>
      <c r="F991" s="48" t="str">
        <f aca="false">IF(AND(ROUND($G991,2)&lt;0,科目对照收入!$L23&lt;&gt;""),科目对照收入!$M23,科目对照收入!$D23)&amp;""</f>
        <v/>
      </c>
      <c r="G991" s="49" t="n">
        <f aca="false">-ROUND(助手收入!$J46,2)</f>
        <v>-0</v>
      </c>
      <c r="H991" s="49" t="str">
        <f aca="false">IF(ROUND($G991,2)&gt;0,ROUND($G991,2),"")</f>
        <v/>
      </c>
      <c r="I991" s="49" t="str">
        <f aca="false">IF(ROUND($G991,2)&lt;0,-ROUND($G991,2),"")</f>
        <v/>
      </c>
      <c r="J991" s="20" t="n">
        <f aca="false">IF(ROUND($G991,2)=0,0,1)</f>
        <v>0</v>
      </c>
      <c r="K991" s="20" t="str">
        <f aca="false">IF($J991=0,"",SUM($J$970:$J991))</f>
        <v/>
      </c>
      <c r="L991" s="20" t="str">
        <f aca="false">IF($K991="","",$A991*100+$K991)</f>
        <v/>
      </c>
      <c r="M991" s="48" t="str">
        <f aca="false">参数!$B$3</f>
        <v>7月收入</v>
      </c>
    </row>
    <row r="992" customFormat="false" ht="13.5" hidden="false" customHeight="false" outlineLevel="0" collapsed="false">
      <c r="A992" s="47" t="n">
        <v>46</v>
      </c>
      <c r="B992" s="38" t="str">
        <f aca="false">助手收入!$B47</f>
        <v/>
      </c>
      <c r="C992" s="48" t="str">
        <f aca="false">助手收入!$C47</f>
        <v>备用1</v>
      </c>
      <c r="D992" s="48" t="str">
        <f aca="false">科目对照收入!$B2&amp;""</f>
        <v>库存现金</v>
      </c>
      <c r="E992" s="48" t="str">
        <f aca="false">IF(AND(ROUND($G992,2)&lt;0,科目对照收入!$L2&lt;&gt;""),科目对照收入!$L2,科目对照收入!$C2)&amp;""</f>
        <v>库存现金</v>
      </c>
      <c r="F992" s="48" t="str">
        <f aca="false">IF(AND(ROUND($G992,2)&lt;0,科目对照收入!$L2&lt;&gt;""),科目对照收入!$M2,科目对照收入!$D2)&amp;""</f>
        <v/>
      </c>
      <c r="G992" s="49" t="n">
        <f aca="false">助手收入!$I47</f>
        <v>0</v>
      </c>
      <c r="H992" s="49" t="str">
        <f aca="false">IF(ROUND($G992,2)&gt;0,ROUND($G992,2),"")</f>
        <v/>
      </c>
      <c r="I992" s="49" t="str">
        <f aca="false">IF(ROUND($G992,2)&lt;0,-ROUND($G992,2),"")</f>
        <v/>
      </c>
      <c r="J992" s="20" t="n">
        <f aca="false">IF(ROUND($G992,2)=0,0,1)</f>
        <v>0</v>
      </c>
      <c r="K992" s="20" t="str">
        <f aca="false">IF($J992=0,"",SUM($J$992:$J992))</f>
        <v/>
      </c>
      <c r="L992" s="20" t="str">
        <f aca="false">IF($K992="","",$A992*100+$K992)</f>
        <v/>
      </c>
      <c r="M992" s="48" t="str">
        <f aca="false">参数!$B$3</f>
        <v>7月收入</v>
      </c>
    </row>
    <row r="993" customFormat="false" ht="13.5" hidden="false" customHeight="false" outlineLevel="0" collapsed="false">
      <c r="A993" s="47" t="n">
        <v>46</v>
      </c>
      <c r="B993" s="38" t="str">
        <f aca="false">助手收入!$B47</f>
        <v/>
      </c>
      <c r="C993" s="48" t="str">
        <f aca="false">助手收入!$C47</f>
        <v>备用1</v>
      </c>
      <c r="D993" s="48" t="str">
        <f aca="false">科目对照收入!$B3&amp;""</f>
        <v>聚合支付</v>
      </c>
      <c r="E993" s="48" t="str">
        <f aca="false">IF(AND(ROUND($G993,2)&lt;0,科目对照收入!$L3&lt;&gt;""),科目对照收入!$L3,科目对照收入!$C3)&amp;""</f>
        <v>应收账款</v>
      </c>
      <c r="F993" s="48" t="str">
        <f aca="false">IF(AND(ROUND($G993,2)&lt;0,科目对照收入!$L3&lt;&gt;""),科目对照收入!$M3,科目对照收入!$D3)&amp;""</f>
        <v>聚合支付</v>
      </c>
      <c r="G993" s="49" t="n">
        <f aca="false">ROUND(SUMIFS(输入聚合!$C:$C,输入聚合!$A:$A,助手收入!$X47)-SUMIFS(输入聚合!$D:$D,输入聚合!$A:$A,助手收入!$X47),2)</f>
        <v>0</v>
      </c>
      <c r="H993" s="49" t="str">
        <f aca="false">IF(ROUND($G993,2)&gt;0,ROUND($G993,2),"")</f>
        <v/>
      </c>
      <c r="I993" s="49" t="str">
        <f aca="false">IF(ROUND($G993,2)&lt;0,-ROUND($G993,2),"")</f>
        <v/>
      </c>
      <c r="J993" s="20" t="n">
        <f aca="false">IF(ROUND($G993,2)=0,0,1)</f>
        <v>0</v>
      </c>
      <c r="K993" s="20" t="str">
        <f aca="false">IF($J993=0,"",SUM($J$992:$J993))</f>
        <v/>
      </c>
      <c r="L993" s="20" t="str">
        <f aca="false">IF($K993="","",$A993*100+$K993)</f>
        <v/>
      </c>
      <c r="M993" s="48" t="str">
        <f aca="false">参数!$B$3</f>
        <v>7月收入</v>
      </c>
    </row>
    <row r="994" customFormat="false" ht="13.5" hidden="false" customHeight="false" outlineLevel="0" collapsed="false">
      <c r="A994" s="47" t="n">
        <v>46</v>
      </c>
      <c r="B994" s="38" t="str">
        <f aca="false">助手收入!$B47</f>
        <v/>
      </c>
      <c r="C994" s="48" t="str">
        <f aca="false">助手收入!$C47</f>
        <v>备用1</v>
      </c>
      <c r="D994" s="48" t="str">
        <f aca="false">科目对照收入!$B4&amp;""</f>
        <v>医保</v>
      </c>
      <c r="E994" s="48" t="str">
        <f aca="false">IF(AND(ROUND($G994,2)&lt;0,科目对照收入!$L4&lt;&gt;""),科目对照收入!$L4,科目对照收入!$C4)&amp;""</f>
        <v>应收账款</v>
      </c>
      <c r="F994" s="48" t="str">
        <f aca="false">IF(AND(ROUND($G994,2)&lt;0,科目对照收入!$L4&lt;&gt;""),科目对照收入!$M4,科目对照收入!$D4)&amp;""</f>
        <v>医保</v>
      </c>
      <c r="G994" s="49" t="n">
        <f aca="false">IF(COUNTIFS(输入平台!$A:$A,助手收入!$X47,输入平台!$B:$B,科目对照收入!$B4)&gt;0,ROUND(SUMIFS(输入平台!$C:$C,输入平台!$A:$A,助手收入!$X47,输入平台!$B:$B,科目对照收入!$B4),2),ROUND(海典汇总!$F$48+海典汇总!$G$48,2))</f>
        <v>0</v>
      </c>
      <c r="H994" s="49" t="str">
        <f aca="false">IF(ROUND($G994,2)&gt;0,ROUND($G994,2),"")</f>
        <v/>
      </c>
      <c r="I994" s="49" t="str">
        <f aca="false">IF(ROUND($G994,2)&lt;0,-ROUND($G994,2),"")</f>
        <v/>
      </c>
      <c r="J994" s="20" t="n">
        <f aca="false">IF(ROUND($G994,2)=0,0,1)</f>
        <v>0</v>
      </c>
      <c r="K994" s="20" t="str">
        <f aca="false">IF($J994=0,"",SUM($J$992:$J994))</f>
        <v/>
      </c>
      <c r="L994" s="20" t="str">
        <f aca="false">IF($K994="","",$A994*100+$K994)</f>
        <v/>
      </c>
      <c r="M994" s="48" t="str">
        <f aca="false">参数!$B$3</f>
        <v>7月收入</v>
      </c>
    </row>
    <row r="995" customFormat="false" ht="13.5" hidden="false" customHeight="false" outlineLevel="0" collapsed="false">
      <c r="A995" s="47" t="n">
        <v>46</v>
      </c>
      <c r="B995" s="38" t="str">
        <f aca="false">助手收入!$B47</f>
        <v/>
      </c>
      <c r="C995" s="48" t="str">
        <f aca="false">助手收入!$C47</f>
        <v>备用1</v>
      </c>
      <c r="D995" s="48" t="str">
        <f aca="false">科目对照收入!$B5&amp;""</f>
        <v>健e卡</v>
      </c>
      <c r="E995" s="48" t="str">
        <f aca="false">IF(AND(ROUND($G995,2)&lt;0,科目对照收入!$L5&lt;&gt;""),科目对照收入!$L5,科目对照收入!$C5)&amp;""</f>
        <v>应收账款</v>
      </c>
      <c r="F995" s="48" t="str">
        <f aca="false">IF(AND(ROUND($G995,2)&lt;0,科目对照收入!$L5&lt;&gt;""),科目对照收入!$M5,科目对照收入!$D5)&amp;""</f>
        <v>健e卡</v>
      </c>
      <c r="G995" s="49" t="n">
        <f aca="false">IF(COUNTIFS(输入平台!$A:$A,助手收入!$X47,输入平台!$B:$B,科目对照收入!$B5)&gt;0,ROUND(SUMIFS(输入平台!$C:$C,输入平台!$A:$A,助手收入!$X47,输入平台!$B:$B,科目对照收入!$B5),2),ROUND(海典汇总!$H$48,2))</f>
        <v>0</v>
      </c>
      <c r="H995" s="49" t="str">
        <f aca="false">IF(ROUND($G995,2)&gt;0,ROUND($G995,2),"")</f>
        <v/>
      </c>
      <c r="I995" s="49" t="str">
        <f aca="false">IF(ROUND($G995,2)&lt;0,-ROUND($G995,2),"")</f>
        <v/>
      </c>
      <c r="J995" s="20" t="n">
        <f aca="false">IF(ROUND($G995,2)=0,0,1)</f>
        <v>0</v>
      </c>
      <c r="K995" s="20" t="str">
        <f aca="false">IF($J995=0,"",SUM($J$992:$J995))</f>
        <v/>
      </c>
      <c r="L995" s="20" t="str">
        <f aca="false">IF($K995="","",$A995*100+$K995)</f>
        <v/>
      </c>
      <c r="M995" s="48" t="str">
        <f aca="false">参数!$B$3</f>
        <v>7月收入</v>
      </c>
    </row>
    <row r="996" customFormat="false" ht="13.5" hidden="false" customHeight="false" outlineLevel="0" collapsed="false">
      <c r="A996" s="47" t="n">
        <v>46</v>
      </c>
      <c r="B996" s="38" t="str">
        <f aca="false">助手收入!$B47</f>
        <v/>
      </c>
      <c r="C996" s="48" t="str">
        <f aca="false">助手收入!$C47</f>
        <v>备用1</v>
      </c>
      <c r="D996" s="48" t="str">
        <f aca="false">科目对照收入!$B6&amp;""</f>
        <v>医卡通</v>
      </c>
      <c r="E996" s="48" t="str">
        <f aca="false">IF(AND(ROUND($G996,2)&lt;0,科目对照收入!$L6&lt;&gt;""),科目对照收入!$L6,科目对照收入!$C6)&amp;""</f>
        <v>应收账款</v>
      </c>
      <c r="F996" s="48" t="str">
        <f aca="false">IF(AND(ROUND($G996,2)&lt;0,科目对照收入!$L6&lt;&gt;""),科目对照收入!$M6,科目对照收入!$D6)&amp;""</f>
        <v>医卡通</v>
      </c>
      <c r="G996" s="49" t="n">
        <f aca="false">IF(COUNTIFS(输入平台!$A:$A,助手收入!$X47,输入平台!$B:$B,科目对照收入!$B6)&gt;0,ROUND(SUMIFS(输入平台!$C:$C,输入平台!$A:$A,助手收入!$X47,输入平台!$B:$B,科目对照收入!$B6),2),ROUND(海典汇总!$I$48,2))</f>
        <v>0</v>
      </c>
      <c r="H996" s="49" t="str">
        <f aca="false">IF(ROUND($G996,2)&gt;0,ROUND($G996,2),"")</f>
        <v/>
      </c>
      <c r="I996" s="49" t="str">
        <f aca="false">IF(ROUND($G996,2)&lt;0,-ROUND($G996,2),"")</f>
        <v/>
      </c>
      <c r="J996" s="20" t="n">
        <f aca="false">IF(ROUND($G996,2)=0,0,1)</f>
        <v>0</v>
      </c>
      <c r="K996" s="20" t="str">
        <f aca="false">IF($J996=0,"",SUM($J$992:$J996))</f>
        <v/>
      </c>
      <c r="L996" s="20" t="str">
        <f aca="false">IF($K996="","",$A996*100+$K996)</f>
        <v/>
      </c>
      <c r="M996" s="48" t="str">
        <f aca="false">参数!$B$3</f>
        <v>7月收入</v>
      </c>
    </row>
    <row r="997" customFormat="false" ht="13.5" hidden="false" customHeight="false" outlineLevel="0" collapsed="false">
      <c r="A997" s="47" t="n">
        <v>46</v>
      </c>
      <c r="B997" s="38" t="str">
        <f aca="false">助手收入!$B47</f>
        <v/>
      </c>
      <c r="C997" s="48" t="str">
        <f aca="false">助手收入!$C47</f>
        <v>备用1</v>
      </c>
      <c r="D997" s="48" t="str">
        <f aca="false">科目对照收入!$B7&amp;""</f>
        <v>企健网</v>
      </c>
      <c r="E997" s="48" t="str">
        <f aca="false">IF(AND(ROUND($G997,2)&lt;0,科目对照收入!$L7&lt;&gt;""),科目对照收入!$L7,科目对照收入!$C7)&amp;""</f>
        <v>应收账款</v>
      </c>
      <c r="F997" s="48" t="str">
        <f aca="false">IF(AND(ROUND($G997,2)&lt;0,科目对照收入!$L7&lt;&gt;""),科目对照收入!$M7,科目对照收入!$D7)&amp;""</f>
        <v>企健网</v>
      </c>
      <c r="G997" s="49" t="n">
        <f aca="false">IF(COUNTIFS(输入平台!$A:$A,助手收入!$X47,输入平台!$B:$B,科目对照收入!$B7)&gt;0,ROUND(SUMIFS(输入平台!$C:$C,输入平台!$A:$A,助手收入!$X47,输入平台!$B:$B,科目对照收入!$B7),2),ROUND(海典汇总!$J$48,2))</f>
        <v>0</v>
      </c>
      <c r="H997" s="49" t="str">
        <f aca="false">IF(ROUND($G997,2)&gt;0,ROUND($G997,2),"")</f>
        <v/>
      </c>
      <c r="I997" s="49" t="str">
        <f aca="false">IF(ROUND($G997,2)&lt;0,-ROUND($G997,2),"")</f>
        <v/>
      </c>
      <c r="J997" s="20" t="n">
        <f aca="false">IF(ROUND($G997,2)=0,0,1)</f>
        <v>0</v>
      </c>
      <c r="K997" s="20" t="str">
        <f aca="false">IF($J997=0,"",SUM($J$992:$J997))</f>
        <v/>
      </c>
      <c r="L997" s="20" t="str">
        <f aca="false">IF($K997="","",$A997*100+$K997)</f>
        <v/>
      </c>
      <c r="M997" s="48" t="str">
        <f aca="false">参数!$B$3</f>
        <v>7月收入</v>
      </c>
    </row>
    <row r="998" customFormat="false" ht="13.5" hidden="false" customHeight="false" outlineLevel="0" collapsed="false">
      <c r="A998" s="47" t="n">
        <v>46</v>
      </c>
      <c r="B998" s="38" t="str">
        <f aca="false">助手收入!$B47</f>
        <v/>
      </c>
      <c r="C998" s="48" t="str">
        <f aca="false">助手收入!$C47</f>
        <v>备用1</v>
      </c>
      <c r="D998" s="48" t="str">
        <f aca="false">科目对照收入!$B8&amp;""</f>
        <v>亲情卡</v>
      </c>
      <c r="E998" s="48" t="str">
        <f aca="false">IF(AND(ROUND($G998,2)&lt;0,科目对照收入!$L8&lt;&gt;""),科目对照收入!$L8,科目对照收入!$C8)&amp;""</f>
        <v>应收账款</v>
      </c>
      <c r="F998" s="48" t="str">
        <f aca="false">IF(AND(ROUND($G998,2)&lt;0,科目对照收入!$L8&lt;&gt;""),科目对照收入!$M8,科目对照收入!$D8)&amp;""</f>
        <v>亲情卡</v>
      </c>
      <c r="G998" s="49" t="n">
        <f aca="false">IF(COUNTIFS(输入平台!$A:$A,助手收入!$X47,输入平台!$B:$B,科目对照收入!$B8)&gt;0,ROUND(SUMIFS(输入平台!$C:$C,输入平台!$A:$A,助手收入!$X47,输入平台!$B:$B,科目对照收入!$B8),2),ROUND(海典汇总!$Z$48,2))</f>
        <v>0</v>
      </c>
      <c r="H998" s="49" t="str">
        <f aca="false">IF(ROUND($G998,2)&gt;0,ROUND($G998,2),"")</f>
        <v/>
      </c>
      <c r="I998" s="49" t="str">
        <f aca="false">IF(ROUND($G998,2)&lt;0,-ROUND($G998,2),"")</f>
        <v/>
      </c>
      <c r="J998" s="20" t="n">
        <f aca="false">IF(ROUND($G998,2)=0,0,1)</f>
        <v>0</v>
      </c>
      <c r="K998" s="20" t="str">
        <f aca="false">IF($J998=0,"",SUM($J$992:$J998))</f>
        <v/>
      </c>
      <c r="L998" s="20" t="str">
        <f aca="false">IF($K998="","",$A998*100+$K998)</f>
        <v/>
      </c>
      <c r="M998" s="48" t="str">
        <f aca="false">参数!$B$3</f>
        <v>7月收入</v>
      </c>
    </row>
    <row r="999" customFormat="false" ht="13.5" hidden="false" customHeight="false" outlineLevel="0" collapsed="false">
      <c r="A999" s="47" t="n">
        <v>46</v>
      </c>
      <c r="B999" s="38" t="str">
        <f aca="false">助手收入!$B47</f>
        <v/>
      </c>
      <c r="C999" s="48" t="str">
        <f aca="false">助手收入!$C47</f>
        <v>备用1</v>
      </c>
      <c r="D999" s="48" t="str">
        <f aca="false">科目对照收入!$B9&amp;""</f>
        <v>24小时</v>
      </c>
      <c r="E999" s="48" t="str">
        <f aca="false">IF(AND(ROUND($G999,2)&lt;0,科目对照收入!$L9&lt;&gt;""),科目对照收入!$L9,科目对照收入!$C9)&amp;""</f>
        <v>应收账款</v>
      </c>
      <c r="F999" s="48" t="str">
        <f aca="false">IF(AND(ROUND($G999,2)&lt;0,科目对照收入!$L9&lt;&gt;""),科目对照收入!$M9,科目对照收入!$D9)&amp;""</f>
        <v>24小时</v>
      </c>
      <c r="G999" s="49" t="n">
        <f aca="false">IF(COUNTIFS(输入平台!$A:$A,助手收入!$X47,输入平台!$B:$B,科目对照收入!$B9)&gt;0,ROUND(SUMIFS(输入平台!$C:$C,输入平台!$A:$A,助手收入!$X47,输入平台!$B:$B,科目对照收入!$B9),2),ROUND(海典汇总!$K$48,2))</f>
        <v>0</v>
      </c>
      <c r="H999" s="49" t="str">
        <f aca="false">IF(ROUND($G999,2)&gt;0,ROUND($G999,2),"")</f>
        <v/>
      </c>
      <c r="I999" s="49" t="str">
        <f aca="false">IF(ROUND($G999,2)&lt;0,-ROUND($G999,2),"")</f>
        <v/>
      </c>
      <c r="J999" s="20" t="n">
        <f aca="false">IF(ROUND($G999,2)=0,0,1)</f>
        <v>0</v>
      </c>
      <c r="K999" s="20" t="str">
        <f aca="false">IF($J999=0,"",SUM($J$992:$J999))</f>
        <v/>
      </c>
      <c r="L999" s="20" t="str">
        <f aca="false">IF($K999="","",$A999*100+$K999)</f>
        <v/>
      </c>
      <c r="M999" s="48" t="str">
        <f aca="false">参数!$B$3</f>
        <v>7月收入</v>
      </c>
    </row>
    <row r="1000" customFormat="false" ht="13.5" hidden="false" customHeight="false" outlineLevel="0" collapsed="false">
      <c r="A1000" s="47" t="n">
        <v>46</v>
      </c>
      <c r="B1000" s="38" t="str">
        <f aca="false">助手收入!$B47</f>
        <v/>
      </c>
      <c r="C1000" s="48" t="str">
        <f aca="false">助手收入!$C47</f>
        <v>备用1</v>
      </c>
      <c r="D1000" s="48" t="str">
        <f aca="false">科目对照收入!$B10&amp;""</f>
        <v>美团</v>
      </c>
      <c r="E1000" s="48" t="str">
        <f aca="false">IF(AND(ROUND($G1000,2)&lt;0,科目对照收入!$L10&lt;&gt;""),科目对照收入!$L10,科目对照收入!$C10)&amp;""</f>
        <v>应收账款</v>
      </c>
      <c r="F1000" s="48" t="str">
        <f aca="false">IF(AND(ROUND($G1000,2)&lt;0,科目对照收入!$L10&lt;&gt;""),科目对照收入!$M10,科目对照收入!$D10)&amp;""</f>
        <v>美团</v>
      </c>
      <c r="G1000" s="49" t="n">
        <f aca="false">IF(COUNTIFS(输入平台!$A:$A,助手收入!$X47,输入平台!$B:$B,科目对照收入!$B10)&gt;0,ROUND(SUMIFS(输入平台!$C:$C,输入平台!$A:$A,助手收入!$X47,输入平台!$B:$B,科目对照收入!$B10),2),ROUND(海典汇总!$M$48,2))</f>
        <v>0</v>
      </c>
      <c r="H1000" s="49" t="str">
        <f aca="false">IF(ROUND($G1000,2)&gt;0,ROUND($G1000,2),"")</f>
        <v/>
      </c>
      <c r="I1000" s="49" t="str">
        <f aca="false">IF(ROUND($G1000,2)&lt;0,-ROUND($G1000,2),"")</f>
        <v/>
      </c>
      <c r="J1000" s="20" t="n">
        <f aca="false">IF(ROUND($G1000,2)=0,0,1)</f>
        <v>0</v>
      </c>
      <c r="K1000" s="20" t="str">
        <f aca="false">IF($J1000=0,"",SUM($J$992:$J1000))</f>
        <v/>
      </c>
      <c r="L1000" s="20" t="str">
        <f aca="false">IF($K1000="","",$A1000*100+$K1000)</f>
        <v/>
      </c>
      <c r="M1000" s="48" t="str">
        <f aca="false">参数!$B$3</f>
        <v>7月收入</v>
      </c>
    </row>
    <row r="1001" customFormat="false" ht="13.5" hidden="false" customHeight="false" outlineLevel="0" collapsed="false">
      <c r="A1001" s="47" t="n">
        <v>46</v>
      </c>
      <c r="B1001" s="38" t="str">
        <f aca="false">助手收入!$B47</f>
        <v/>
      </c>
      <c r="C1001" s="48" t="str">
        <f aca="false">助手收入!$C47</f>
        <v>备用1</v>
      </c>
      <c r="D1001" s="48" t="str">
        <f aca="false">科目对照收入!$B11&amp;""</f>
        <v>饿了么</v>
      </c>
      <c r="E1001" s="48" t="str">
        <f aca="false">IF(AND(ROUND($G1001,2)&lt;0,科目对照收入!$L11&lt;&gt;""),科目对照收入!$L11,科目对照收入!$C11)&amp;""</f>
        <v>应收账款</v>
      </c>
      <c r="F1001" s="48" t="str">
        <f aca="false">IF(AND(ROUND($G1001,2)&lt;0,科目对照收入!$L11&lt;&gt;""),科目对照收入!$M11,科目对照收入!$D11)&amp;""</f>
        <v>饿了么</v>
      </c>
      <c r="G1001" s="49" t="n">
        <f aca="false">IF(COUNTIFS(输入平台!$A:$A,助手收入!$X47,输入平台!$B:$B,科目对照收入!$B11)&gt;0,ROUND(SUMIFS(输入平台!$C:$C,输入平台!$A:$A,助手收入!$X47,输入平台!$B:$B,科目对照收入!$B11),2),ROUND(海典汇总!$N$48,2))</f>
        <v>0</v>
      </c>
      <c r="H1001" s="49" t="str">
        <f aca="false">IF(ROUND($G1001,2)&gt;0,ROUND($G1001,2),"")</f>
        <v/>
      </c>
      <c r="I1001" s="49" t="str">
        <f aca="false">IF(ROUND($G1001,2)&lt;0,-ROUND($G1001,2),"")</f>
        <v/>
      </c>
      <c r="J1001" s="20" t="n">
        <f aca="false">IF(ROUND($G1001,2)=0,0,1)</f>
        <v>0</v>
      </c>
      <c r="K1001" s="20" t="str">
        <f aca="false">IF($J1001=0,"",SUM($J$992:$J1001))</f>
        <v/>
      </c>
      <c r="L1001" s="20" t="str">
        <f aca="false">IF($K1001="","",$A1001*100+$K1001)</f>
        <v/>
      </c>
      <c r="M1001" s="48" t="str">
        <f aca="false">参数!$B$3</f>
        <v>7月收入</v>
      </c>
    </row>
    <row r="1002" customFormat="false" ht="13.5" hidden="false" customHeight="false" outlineLevel="0" collapsed="false">
      <c r="A1002" s="47" t="n">
        <v>46</v>
      </c>
      <c r="B1002" s="38" t="str">
        <f aca="false">助手收入!$B47</f>
        <v/>
      </c>
      <c r="C1002" s="48" t="str">
        <f aca="false">助手收入!$C47</f>
        <v>备用1</v>
      </c>
      <c r="D1002" s="48" t="str">
        <f aca="false">科目对照收入!$B12&amp;""</f>
        <v>京东秒送</v>
      </c>
      <c r="E1002" s="48" t="str">
        <f aca="false">IF(AND(ROUND($G1002,2)&lt;0,科目对照收入!$L12&lt;&gt;""),科目对照收入!$L12,科目对照收入!$C12)&amp;""</f>
        <v>应收账款</v>
      </c>
      <c r="F1002" s="48" t="str">
        <f aca="false">IF(AND(ROUND($G1002,2)&lt;0,科目对照收入!$L12&lt;&gt;""),科目对照收入!$M12,科目对照收入!$D12)&amp;""</f>
        <v>京东秒送</v>
      </c>
      <c r="G1002" s="49" t="n">
        <f aca="false">IF(COUNTIFS(输入平台!$A:$A,助手收入!$X47,输入平台!$B:$B,科目对照收入!$B12)&gt;0,ROUND(SUMIFS(输入平台!$C:$C,输入平台!$A:$A,助手收入!$X47,输入平台!$B:$B,科目对照收入!$B12),2),ROUND(海典汇总!$O$48,2))</f>
        <v>0</v>
      </c>
      <c r="H1002" s="49" t="str">
        <f aca="false">IF(ROUND($G1002,2)&gt;0,ROUND($G1002,2),"")</f>
        <v/>
      </c>
      <c r="I1002" s="49" t="str">
        <f aca="false">IF(ROUND($G1002,2)&lt;0,-ROUND($G1002,2),"")</f>
        <v/>
      </c>
      <c r="J1002" s="20" t="n">
        <f aca="false">IF(ROUND($G1002,2)=0,0,1)</f>
        <v>0</v>
      </c>
      <c r="K1002" s="20" t="str">
        <f aca="false">IF($J1002=0,"",SUM($J$992:$J1002))</f>
        <v/>
      </c>
      <c r="L1002" s="20" t="str">
        <f aca="false">IF($K1002="","",$A1002*100+$K1002)</f>
        <v/>
      </c>
      <c r="M1002" s="48" t="str">
        <f aca="false">参数!$B$3</f>
        <v>7月收入</v>
      </c>
    </row>
    <row r="1003" customFormat="false" ht="13.5" hidden="false" customHeight="false" outlineLevel="0" collapsed="false">
      <c r="A1003" s="47" t="n">
        <v>46</v>
      </c>
      <c r="B1003" s="38" t="str">
        <f aca="false">助手收入!$B47</f>
        <v/>
      </c>
      <c r="C1003" s="48" t="str">
        <f aca="false">助手收入!$C47</f>
        <v>备用1</v>
      </c>
      <c r="D1003" s="48" t="str">
        <f aca="false">科目对照收入!$B13&amp;""</f>
        <v>银联</v>
      </c>
      <c r="E1003" s="48" t="str">
        <f aca="false">IF(AND(ROUND($G1003,2)&lt;0,科目对照收入!$L13&lt;&gt;""),科目对照收入!$L13,科目对照收入!$C13)&amp;""</f>
        <v>应收账款</v>
      </c>
      <c r="F1003" s="48" t="str">
        <f aca="false">IF(AND(ROUND($G1003,2)&lt;0,科目对照收入!$L13&lt;&gt;""),科目对照收入!$M13,科目对照收入!$D13)&amp;""</f>
        <v>银联</v>
      </c>
      <c r="G1003" s="49" t="n">
        <f aca="false">IF(COUNTIFS(输入平台!$A:$A,助手收入!$X47,输入平台!$B:$B,科目对照收入!$B13)&gt;0,ROUND(SUMIFS(输入平台!$C:$C,输入平台!$A:$A,助手收入!$X47,输入平台!$B:$B,科目对照收入!$B13),2),ROUND(海典汇总!$V$48,2))</f>
        <v>0</v>
      </c>
      <c r="H1003" s="49" t="str">
        <f aca="false">IF(ROUND($G1003,2)&gt;0,ROUND($G1003,2),"")</f>
        <v/>
      </c>
      <c r="I1003" s="49" t="str">
        <f aca="false">IF(ROUND($G1003,2)&lt;0,-ROUND($G1003,2),"")</f>
        <v/>
      </c>
      <c r="J1003" s="20" t="n">
        <f aca="false">IF(ROUND($G1003,2)=0,0,1)</f>
        <v>0</v>
      </c>
      <c r="K1003" s="20" t="str">
        <f aca="false">IF($J1003=0,"",SUM($J$992:$J1003))</f>
        <v/>
      </c>
      <c r="L1003" s="20" t="str">
        <f aca="false">IF($K1003="","",$A1003*100+$K1003)</f>
        <v/>
      </c>
      <c r="M1003" s="48" t="str">
        <f aca="false">参数!$B$3</f>
        <v>7月收入</v>
      </c>
    </row>
    <row r="1004" customFormat="false" ht="13.5" hidden="false" customHeight="false" outlineLevel="0" collapsed="false">
      <c r="A1004" s="47" t="n">
        <v>46</v>
      </c>
      <c r="B1004" s="38" t="str">
        <f aca="false">助手收入!$B47</f>
        <v/>
      </c>
      <c r="C1004" s="48" t="str">
        <f aca="false">助手收入!$C47</f>
        <v>备用1</v>
      </c>
      <c r="D1004" s="48" t="str">
        <f aca="false">科目对照收入!$B14&amp;""</f>
        <v>小镇外卖</v>
      </c>
      <c r="E1004" s="48" t="str">
        <f aca="false">IF(AND(ROUND($G1004,2)&lt;0,科目对照收入!$L14&lt;&gt;""),科目对照收入!$L14,科目对照收入!$C14)&amp;""</f>
        <v>应收账款</v>
      </c>
      <c r="F1004" s="48" t="str">
        <f aca="false">IF(AND(ROUND($G1004,2)&lt;0,科目对照收入!$L14&lt;&gt;""),科目对照收入!$M14,科目对照收入!$D14)&amp;""</f>
        <v>小镇外卖</v>
      </c>
      <c r="G1004" s="49" t="n">
        <f aca="false">IF(COUNTIFS(输入平台!$A:$A,助手收入!$X47,输入平台!$B:$B,科目对照收入!$B14)&gt;0,ROUND(SUMIFS(输入平台!$C:$C,输入平台!$A:$A,助手收入!$X47,输入平台!$B:$B,科目对照收入!$B14),2),ROUND(海典汇总!$AC$48,2))</f>
        <v>0</v>
      </c>
      <c r="H1004" s="49" t="str">
        <f aca="false">IF(ROUND($G1004,2)&gt;0,ROUND($G1004,2),"")</f>
        <v/>
      </c>
      <c r="I1004" s="49" t="str">
        <f aca="false">IF(ROUND($G1004,2)&lt;0,-ROUND($G1004,2),"")</f>
        <v/>
      </c>
      <c r="J1004" s="20" t="n">
        <f aca="false">IF(ROUND($G1004,2)=0,0,1)</f>
        <v>0</v>
      </c>
      <c r="K1004" s="20" t="str">
        <f aca="false">IF($J1004=0,"",SUM($J$992:$J1004))</f>
        <v/>
      </c>
      <c r="L1004" s="20" t="str">
        <f aca="false">IF($K1004="","",$A1004*100+$K1004)</f>
        <v/>
      </c>
      <c r="M1004" s="48" t="str">
        <f aca="false">参数!$B$3</f>
        <v>7月收入</v>
      </c>
    </row>
    <row r="1005" customFormat="false" ht="13.5" hidden="false" customHeight="false" outlineLevel="0" collapsed="false">
      <c r="A1005" s="47" t="n">
        <v>46</v>
      </c>
      <c r="B1005" s="38" t="str">
        <f aca="false">助手收入!$B47</f>
        <v/>
      </c>
      <c r="C1005" s="48" t="str">
        <f aca="false">助手收入!$C47</f>
        <v>备用1</v>
      </c>
      <c r="D1005" s="48" t="str">
        <f aca="false">科目对照收入!$B15&amp;""</f>
        <v>OMS线上支付</v>
      </c>
      <c r="E1005" s="48" t="str">
        <f aca="false">IF(AND(ROUND($G1005,2)&lt;0,科目对照收入!$L15&lt;&gt;""),科目对照收入!$L15,科目对照收入!$C15)&amp;""</f>
        <v>应收账款</v>
      </c>
      <c r="F1005" s="48" t="str">
        <f aca="false">IF(AND(ROUND($G1005,2)&lt;0,科目对照收入!$L15&lt;&gt;""),科目对照收入!$M15,科目对照收入!$D15)&amp;""</f>
        <v>OMS线上</v>
      </c>
      <c r="G1005" s="49" t="n">
        <f aca="false">IF(COUNTIFS(输入平台!$A:$A,助手收入!$X47,输入平台!$B:$B,科目对照收入!$B15)&gt;0,ROUND(SUMIFS(输入平台!$C:$C,输入平台!$A:$A,助手收入!$X47,输入平台!$B:$B,科目对照收入!$B15),2),ROUND(海典汇总!$L$48,2))</f>
        <v>0</v>
      </c>
      <c r="H1005" s="49" t="str">
        <f aca="false">IF(ROUND($G1005,2)&gt;0,ROUND($G1005,2),"")</f>
        <v/>
      </c>
      <c r="I1005" s="49" t="str">
        <f aca="false">IF(ROUND($G1005,2)&lt;0,-ROUND($G1005,2),"")</f>
        <v/>
      </c>
      <c r="J1005" s="20" t="n">
        <f aca="false">IF(ROUND($G1005,2)=0,0,1)</f>
        <v>0</v>
      </c>
      <c r="K1005" s="20" t="str">
        <f aca="false">IF($J1005=0,"",SUM($J$992:$J1005))</f>
        <v/>
      </c>
      <c r="L1005" s="20" t="str">
        <f aca="false">IF($K1005="","",$A1005*100+$K1005)</f>
        <v/>
      </c>
      <c r="M1005" s="48" t="str">
        <f aca="false">参数!$B$3</f>
        <v>7月收入</v>
      </c>
    </row>
    <row r="1006" customFormat="false" ht="13.5" hidden="false" customHeight="false" outlineLevel="0" collapsed="false">
      <c r="A1006" s="47" t="n">
        <v>46</v>
      </c>
      <c r="B1006" s="38" t="str">
        <f aca="false">助手收入!$B47</f>
        <v/>
      </c>
      <c r="C1006" s="48" t="str">
        <f aca="false">助手收入!$C47</f>
        <v>备用1</v>
      </c>
      <c r="D1006" s="48" t="str">
        <f aca="false">科目对照收入!$B16&amp;""</f>
        <v>平安药卡</v>
      </c>
      <c r="E1006" s="48" t="str">
        <f aca="false">IF(AND(ROUND($G1006,2)&lt;0,科目对照收入!$L16&lt;&gt;""),科目对照收入!$L16,科目对照收入!$C16)&amp;""</f>
        <v>应收账款</v>
      </c>
      <c r="F1006" s="48" t="str">
        <f aca="false">IF(AND(ROUND($G1006,2)&lt;0,科目对照收入!$L16&lt;&gt;""),科目对照收入!$M16,科目对照收入!$D16)&amp;""</f>
        <v>平安</v>
      </c>
      <c r="G1006" s="49" t="n">
        <f aca="false">IF(COUNTIFS(输入平台!$A:$A,助手收入!$X47,输入平台!$B:$B,科目对照收入!$B16)&gt;0,ROUND(SUMIFS(输入平台!$C:$C,输入平台!$A:$A,助手收入!$X47,输入平台!$B:$B,科目对照收入!$B16),2),ROUND(海典汇总!$AB$48,2))</f>
        <v>0</v>
      </c>
      <c r="H1006" s="49" t="str">
        <f aca="false">IF(ROUND($G1006,2)&gt;0,ROUND($G1006,2),"")</f>
        <v/>
      </c>
      <c r="I1006" s="49" t="str">
        <f aca="false">IF(ROUND($G1006,2)&lt;0,-ROUND($G1006,2),"")</f>
        <v/>
      </c>
      <c r="J1006" s="20" t="n">
        <f aca="false">IF(ROUND($G1006,2)=0,0,1)</f>
        <v>0</v>
      </c>
      <c r="K1006" s="20" t="str">
        <f aca="false">IF($J1006=0,"",SUM($J$992:$J1006))</f>
        <v/>
      </c>
      <c r="L1006" s="20" t="str">
        <f aca="false">IF($K1006="","",$A1006*100+$K1006)</f>
        <v/>
      </c>
      <c r="M1006" s="48" t="str">
        <f aca="false">参数!$B$3</f>
        <v>7月收入</v>
      </c>
    </row>
    <row r="1007" customFormat="false" ht="13.5" hidden="false" customHeight="false" outlineLevel="0" collapsed="false">
      <c r="A1007" s="47" t="n">
        <v>46</v>
      </c>
      <c r="B1007" s="38" t="str">
        <f aca="false">助手收入!$B47</f>
        <v/>
      </c>
      <c r="C1007" s="48" t="str">
        <f aca="false">助手收入!$C47</f>
        <v>备用1</v>
      </c>
      <c r="D1007" s="48" t="str">
        <f aca="false">科目对照收入!$B17&amp;""</f>
        <v>储值卡</v>
      </c>
      <c r="E1007" s="48" t="str">
        <f aca="false">IF(AND(ROUND($G1007,2)&lt;0,科目对照收入!$L17&lt;&gt;""),科目对照收入!$L17,科目对照收入!$C17)&amp;""</f>
        <v>其他应收款</v>
      </c>
      <c r="F1007" s="48" t="str">
        <f aca="false">IF(AND(ROUND($G1007,2)&lt;0,科目对照收入!$L17&lt;&gt;""),科目对照收入!$M17,科目对照收入!$D17)&amp;""</f>
        <v>储值卡</v>
      </c>
      <c r="G1007" s="49" t="n">
        <f aca="false">ROUND(海典汇总!$Q$48,2)</f>
        <v>0</v>
      </c>
      <c r="H1007" s="49" t="str">
        <f aca="false">IF(ROUND($G1007,2)&gt;0,ROUND($G1007,2),"")</f>
        <v/>
      </c>
      <c r="I1007" s="49" t="str">
        <f aca="false">IF(ROUND($G1007,2)&lt;0,-ROUND($G1007,2),"")</f>
        <v/>
      </c>
      <c r="J1007" s="20" t="n">
        <f aca="false">IF(ROUND($G1007,2)=0,0,1)</f>
        <v>0</v>
      </c>
      <c r="K1007" s="20" t="str">
        <f aca="false">IF($J1007=0,"",SUM($J$992:$J1007))</f>
        <v/>
      </c>
      <c r="L1007" s="20" t="str">
        <f aca="false">IF($K1007="","",$A1007*100+$K1007)</f>
        <v/>
      </c>
      <c r="M1007" s="48" t="str">
        <f aca="false">参数!$B$3</f>
        <v>7月收入</v>
      </c>
    </row>
    <row r="1008" customFormat="false" ht="13.5" hidden="false" customHeight="false" outlineLevel="0" collapsed="false">
      <c r="A1008" s="47" t="n">
        <v>46</v>
      </c>
      <c r="B1008" s="38" t="str">
        <f aca="false">助手收入!$B47</f>
        <v/>
      </c>
      <c r="C1008" s="48" t="str">
        <f aca="false">助手收入!$C47</f>
        <v>备用1</v>
      </c>
      <c r="D1008" s="48" t="str">
        <f aca="false">科目对照收入!$B18&amp;""</f>
        <v>会员零钱包</v>
      </c>
      <c r="E1008" s="48" t="str">
        <f aca="false">IF(AND(ROUND($G1008,2)&lt;0,科目对照收入!$L18&lt;&gt;""),科目对照收入!$L18,科目对照收入!$C18)&amp;""</f>
        <v>其他应收款</v>
      </c>
      <c r="F1008" s="48" t="str">
        <f aca="false">IF(AND(ROUND($G1008,2)&lt;0,科目对照收入!$L18&lt;&gt;""),科目对照收入!$M18,科目对照收入!$D18)&amp;""</f>
        <v>会员零钱包</v>
      </c>
      <c r="G1008" s="49" t="n">
        <f aca="false">ROUND(海典汇总!$P$48,2)</f>
        <v>0</v>
      </c>
      <c r="H1008" s="49" t="str">
        <f aca="false">IF(ROUND($G1008,2)&gt;0,ROUND($G1008,2),"")</f>
        <v/>
      </c>
      <c r="I1008" s="49" t="str">
        <f aca="false">IF(ROUND($G1008,2)&lt;0,-ROUND($G1008,2),"")</f>
        <v/>
      </c>
      <c r="J1008" s="20" t="n">
        <f aca="false">IF(ROUND($G1008,2)=0,0,1)</f>
        <v>0</v>
      </c>
      <c r="K1008" s="20" t="str">
        <f aca="false">IF($J1008=0,"",SUM($J$992:$J1008))</f>
        <v/>
      </c>
      <c r="L1008" s="20" t="str">
        <f aca="false">IF($K1008="","",$A1008*100+$K1008)</f>
        <v/>
      </c>
      <c r="M1008" s="48" t="str">
        <f aca="false">参数!$B$3</f>
        <v>7月收入</v>
      </c>
    </row>
    <row r="1009" customFormat="false" ht="13.5" hidden="false" customHeight="false" outlineLevel="0" collapsed="false">
      <c r="A1009" s="47" t="n">
        <v>46</v>
      </c>
      <c r="B1009" s="38" t="str">
        <f aca="false">助手收入!$B47</f>
        <v/>
      </c>
      <c r="C1009" s="48" t="str">
        <f aca="false">助手收入!$C47</f>
        <v>备用1</v>
      </c>
      <c r="D1009" s="48" t="str">
        <f aca="false">科目对照收入!$B19&amp;""</f>
        <v>促销费</v>
      </c>
      <c r="E1009" s="48" t="str">
        <f aca="false">IF(AND(ROUND($G1009,2)&lt;0,科目对照收入!$L19&lt;&gt;""),科目对照收入!$L19,科目对照收入!$C19)&amp;""</f>
        <v>销售费用</v>
      </c>
      <c r="F1009" s="48" t="str">
        <f aca="false">IF(AND(ROUND($G1009,2)&lt;0,科目对照收入!$L19&lt;&gt;""),科目对照收入!$M19,科目对照收入!$D19)&amp;""</f>
        <v>促销费</v>
      </c>
      <c r="G1009" s="49" t="n">
        <f aca="false">ROUND(海典汇总!$U$48+海典汇总!$T$48+海典汇总!$S$48,2)</f>
        <v>0</v>
      </c>
      <c r="H1009" s="49" t="str">
        <f aca="false">IF(ROUND($G1009,2)&gt;0,ROUND($G1009,2),"")</f>
        <v/>
      </c>
      <c r="I1009" s="49" t="str">
        <f aca="false">IF(ROUND($G1009,2)&lt;0,-ROUND($G1009,2),"")</f>
        <v/>
      </c>
      <c r="J1009" s="20" t="n">
        <f aca="false">IF(ROUND($G1009,2)=0,0,1)</f>
        <v>0</v>
      </c>
      <c r="K1009" s="20" t="str">
        <f aca="false">IF($J1009=0,"",SUM($J$992:$J1009))</f>
        <v/>
      </c>
      <c r="L1009" s="20" t="str">
        <f aca="false">IF($K1009="","",$A1009*100+$K1009)</f>
        <v/>
      </c>
      <c r="M1009" s="48" t="str">
        <f aca="false">参数!$B$3</f>
        <v>7月收入</v>
      </c>
    </row>
    <row r="1010" customFormat="false" ht="13.5" hidden="false" customHeight="false" outlineLevel="0" collapsed="false">
      <c r="A1010" s="47" t="n">
        <v>46</v>
      </c>
      <c r="B1010" s="38" t="str">
        <f aca="false">助手收入!$B47</f>
        <v/>
      </c>
      <c r="C1010" s="48" t="str">
        <f aca="false">助手收入!$C47</f>
        <v>备用1</v>
      </c>
      <c r="D1010" s="48" t="str">
        <f aca="false">科目对照收入!$B20&amp;""</f>
        <v>积分</v>
      </c>
      <c r="E1010" s="48" t="str">
        <f aca="false">IF(AND(ROUND($G1010,2)&lt;0,科目对照收入!$L20&lt;&gt;""),科目对照收入!$L20,科目对照收入!$C20)&amp;""</f>
        <v>销售费用</v>
      </c>
      <c r="F1010" s="48" t="str">
        <f aca="false">IF(AND(ROUND($G1010,2)&lt;0,科目对照收入!$L20&lt;&gt;""),科目对照收入!$M20,科目对照收入!$D20)&amp;""</f>
        <v>积分</v>
      </c>
      <c r="G1010" s="49" t="n">
        <f aca="false">ROUND(海典汇总!$R$48,2)</f>
        <v>0</v>
      </c>
      <c r="H1010" s="49" t="str">
        <f aca="false">IF(ROUND($G1010,2)&gt;0,ROUND($G1010,2),"")</f>
        <v/>
      </c>
      <c r="I1010" s="49" t="str">
        <f aca="false">IF(ROUND($G1010,2)&lt;0,-ROUND($G1010,2),"")</f>
        <v/>
      </c>
      <c r="J1010" s="20" t="n">
        <f aca="false">IF(ROUND($G1010,2)=0,0,1)</f>
        <v>0</v>
      </c>
      <c r="K1010" s="20" t="str">
        <f aca="false">IF($J1010=0,"",SUM($J$992:$J1010))</f>
        <v/>
      </c>
      <c r="L1010" s="20" t="str">
        <f aca="false">IF($K1010="","",$A1010*100+$K1010)</f>
        <v/>
      </c>
      <c r="M1010" s="48" t="str">
        <f aca="false">参数!$B$3</f>
        <v>7月收入</v>
      </c>
    </row>
    <row r="1011" customFormat="false" ht="13.5" hidden="false" customHeight="false" outlineLevel="0" collapsed="false">
      <c r="A1011" s="47" t="n">
        <v>46</v>
      </c>
      <c r="B1011" s="38" t="str">
        <f aca="false">助手收入!$B47</f>
        <v/>
      </c>
      <c r="C1011" s="48" t="str">
        <f aca="false">助手收入!$C47</f>
        <v>备用1</v>
      </c>
      <c r="D1011" s="48" t="str">
        <f aca="false">科目对照收入!$B21&amp;""</f>
        <v>手续费</v>
      </c>
      <c r="E1011" s="48" t="str">
        <f aca="false">IF(AND(ROUND($G1011,2)&lt;0,科目对照收入!$L21&lt;&gt;""),科目对照收入!$L21,科目对照收入!$C21)&amp;""</f>
        <v>财务费用</v>
      </c>
      <c r="F1011" s="48" t="str">
        <f aca="false">IF(AND(ROUND($G1011,2)&lt;0,科目对照收入!$L21&lt;&gt;""),科目对照收入!$M21,科目对照收入!$D21)&amp;""</f>
        <v>手续费</v>
      </c>
      <c r="G1011" s="49" t="n">
        <f aca="false">ROUND(SUMIFS(输入聚合!$D:$D,输入聚合!$A:$A,助手收入!$X47),2)</f>
        <v>0</v>
      </c>
      <c r="H1011" s="49" t="str">
        <f aca="false">IF(ROUND($G1011,2)&gt;0,ROUND($G1011,2),"")</f>
        <v/>
      </c>
      <c r="I1011" s="49" t="str">
        <f aca="false">IF(ROUND($G1011,2)&lt;0,-ROUND($G1011,2),"")</f>
        <v/>
      </c>
      <c r="J1011" s="20" t="n">
        <f aca="false">IF(ROUND($G1011,2)=0,0,1)</f>
        <v>0</v>
      </c>
      <c r="K1011" s="20" t="str">
        <f aca="false">IF($J1011=0,"",SUM($J$992:$J1011))</f>
        <v/>
      </c>
      <c r="L1011" s="20" t="str">
        <f aca="false">IF($K1011="","",$A1011*100+$K1011)</f>
        <v/>
      </c>
      <c r="M1011" s="48" t="str">
        <f aca="false">参数!$B$3</f>
        <v>7月收入</v>
      </c>
    </row>
    <row r="1012" customFormat="false" ht="13.5" hidden="false" customHeight="false" outlineLevel="0" collapsed="false">
      <c r="A1012" s="47" t="n">
        <v>46</v>
      </c>
      <c r="B1012" s="38" t="str">
        <f aca="false">助手收入!$B47</f>
        <v/>
      </c>
      <c r="C1012" s="48" t="str">
        <f aca="false">助手收入!$C47</f>
        <v>备用1</v>
      </c>
      <c r="D1012" s="48" t="str">
        <f aca="false">科目对照收入!$B22&amp;""</f>
        <v>主营业务收入</v>
      </c>
      <c r="E1012" s="48" t="str">
        <f aca="false">IF(AND(ROUND($G1012,2)&lt;0,科目对照收入!$L22&lt;&gt;""),科目对照收入!$L22,科目对照收入!$C22)&amp;""</f>
        <v>主营业务收入</v>
      </c>
      <c r="F1012" s="48" t="str">
        <f aca="false">IF(AND(ROUND($G1012,2)&lt;0,科目对照收入!$L22&lt;&gt;""),科目对照收入!$M22,科目对照收入!$D22)&amp;""</f>
        <v/>
      </c>
      <c r="G1012" s="49" t="n">
        <f aca="false">-ROUND(助手收入!$G47,2)</f>
        <v>-0</v>
      </c>
      <c r="H1012" s="49" t="str">
        <f aca="false">IF(ROUND($G1012,2)&gt;0,ROUND($G1012,2),"")</f>
        <v/>
      </c>
      <c r="I1012" s="49" t="str">
        <f aca="false">IF(ROUND($G1012,2)&lt;0,-ROUND($G1012,2),"")</f>
        <v/>
      </c>
      <c r="J1012" s="20" t="n">
        <f aca="false">IF(ROUND($G1012,2)=0,0,1)</f>
        <v>0</v>
      </c>
      <c r="K1012" s="20" t="str">
        <f aca="false">IF($J1012=0,"",SUM($J$992:$J1012))</f>
        <v/>
      </c>
      <c r="L1012" s="20" t="str">
        <f aca="false">IF($K1012="","",$A1012*100+$K1012)</f>
        <v/>
      </c>
      <c r="M1012" s="48" t="str">
        <f aca="false">参数!$B$3</f>
        <v>7月收入</v>
      </c>
    </row>
    <row r="1013" customFormat="false" ht="13.5" hidden="false" customHeight="false" outlineLevel="0" collapsed="false">
      <c r="A1013" s="47" t="n">
        <v>46</v>
      </c>
      <c r="B1013" s="38" t="str">
        <f aca="false">助手收入!$B47</f>
        <v/>
      </c>
      <c r="C1013" s="48" t="str">
        <f aca="false">助手收入!$C47</f>
        <v>备用1</v>
      </c>
      <c r="D1013" s="48" t="str">
        <f aca="false">科目对照收入!$B23&amp;""</f>
        <v>营业外收入</v>
      </c>
      <c r="E1013" s="48" t="str">
        <f aca="false">IF(AND(ROUND($G1013,2)&lt;0,科目对照收入!$L23&lt;&gt;""),科目对照收入!$L23,科目对照收入!$C23)&amp;""</f>
        <v>营业外收入</v>
      </c>
      <c r="F1013" s="48" t="str">
        <f aca="false">IF(AND(ROUND($G1013,2)&lt;0,科目对照收入!$L23&lt;&gt;""),科目对照收入!$M23,科目对照收入!$D23)&amp;""</f>
        <v/>
      </c>
      <c r="G1013" s="49" t="n">
        <f aca="false">-ROUND(助手收入!$J47,2)</f>
        <v>-0</v>
      </c>
      <c r="H1013" s="49" t="str">
        <f aca="false">IF(ROUND($G1013,2)&gt;0,ROUND($G1013,2),"")</f>
        <v/>
      </c>
      <c r="I1013" s="49" t="str">
        <f aca="false">IF(ROUND($G1013,2)&lt;0,-ROUND($G1013,2),"")</f>
        <v/>
      </c>
      <c r="J1013" s="20" t="n">
        <f aca="false">IF(ROUND($G1013,2)=0,0,1)</f>
        <v>0</v>
      </c>
      <c r="K1013" s="20" t="str">
        <f aca="false">IF($J1013=0,"",SUM($J$992:$J1013))</f>
        <v/>
      </c>
      <c r="L1013" s="20" t="str">
        <f aca="false">IF($K1013="","",$A1013*100+$K1013)</f>
        <v/>
      </c>
      <c r="M1013" s="48" t="str">
        <f aca="false">参数!$B$3</f>
        <v>7月收入</v>
      </c>
    </row>
    <row r="1014" customFormat="false" ht="13.5" hidden="false" customHeight="false" outlineLevel="0" collapsed="false">
      <c r="A1014" s="47" t="n">
        <v>47</v>
      </c>
      <c r="B1014" s="38" t="str">
        <f aca="false">助手收入!$B48</f>
        <v/>
      </c>
      <c r="C1014" s="48" t="str">
        <f aca="false">助手收入!$C48</f>
        <v>备用2</v>
      </c>
      <c r="D1014" s="48" t="str">
        <f aca="false">科目对照收入!$B2&amp;""</f>
        <v>库存现金</v>
      </c>
      <c r="E1014" s="48" t="str">
        <f aca="false">IF(AND(ROUND($G1014,2)&lt;0,科目对照收入!$L2&lt;&gt;""),科目对照收入!$L2,科目对照收入!$C2)&amp;""</f>
        <v>库存现金</v>
      </c>
      <c r="F1014" s="48" t="str">
        <f aca="false">IF(AND(ROUND($G1014,2)&lt;0,科目对照收入!$L2&lt;&gt;""),科目对照收入!$M2,科目对照收入!$D2)&amp;""</f>
        <v/>
      </c>
      <c r="G1014" s="49" t="n">
        <f aca="false">助手收入!$I48</f>
        <v>0</v>
      </c>
      <c r="H1014" s="49" t="str">
        <f aca="false">IF(ROUND($G1014,2)&gt;0,ROUND($G1014,2),"")</f>
        <v/>
      </c>
      <c r="I1014" s="49" t="str">
        <f aca="false">IF(ROUND($G1014,2)&lt;0,-ROUND($G1014,2),"")</f>
        <v/>
      </c>
      <c r="J1014" s="20" t="n">
        <f aca="false">IF(ROUND($G1014,2)=0,0,1)</f>
        <v>0</v>
      </c>
      <c r="K1014" s="20" t="str">
        <f aca="false">IF($J1014=0,"",SUM($J$1014:$J1014))</f>
        <v/>
      </c>
      <c r="L1014" s="20" t="str">
        <f aca="false">IF($K1014="","",$A1014*100+$K1014)</f>
        <v/>
      </c>
      <c r="M1014" s="48" t="str">
        <f aca="false">参数!$B$3</f>
        <v>7月收入</v>
      </c>
    </row>
    <row r="1015" customFormat="false" ht="13.5" hidden="false" customHeight="false" outlineLevel="0" collapsed="false">
      <c r="A1015" s="47" t="n">
        <v>47</v>
      </c>
      <c r="B1015" s="38" t="str">
        <f aca="false">助手收入!$B48</f>
        <v/>
      </c>
      <c r="C1015" s="48" t="str">
        <f aca="false">助手收入!$C48</f>
        <v>备用2</v>
      </c>
      <c r="D1015" s="48" t="str">
        <f aca="false">科目对照收入!$B3&amp;""</f>
        <v>聚合支付</v>
      </c>
      <c r="E1015" s="48" t="str">
        <f aca="false">IF(AND(ROUND($G1015,2)&lt;0,科目对照收入!$L3&lt;&gt;""),科目对照收入!$L3,科目对照收入!$C3)&amp;""</f>
        <v>应收账款</v>
      </c>
      <c r="F1015" s="48" t="str">
        <f aca="false">IF(AND(ROUND($G1015,2)&lt;0,科目对照收入!$L3&lt;&gt;""),科目对照收入!$M3,科目对照收入!$D3)&amp;""</f>
        <v>聚合支付</v>
      </c>
      <c r="G1015" s="49" t="n">
        <f aca="false">ROUND(SUMIFS(输入聚合!$C:$C,输入聚合!$A:$A,助手收入!$X48)-SUMIFS(输入聚合!$D:$D,输入聚合!$A:$A,助手收入!$X48),2)</f>
        <v>0</v>
      </c>
      <c r="H1015" s="49" t="str">
        <f aca="false">IF(ROUND($G1015,2)&gt;0,ROUND($G1015,2),"")</f>
        <v/>
      </c>
      <c r="I1015" s="49" t="str">
        <f aca="false">IF(ROUND($G1015,2)&lt;0,-ROUND($G1015,2),"")</f>
        <v/>
      </c>
      <c r="J1015" s="20" t="n">
        <f aca="false">IF(ROUND($G1015,2)=0,0,1)</f>
        <v>0</v>
      </c>
      <c r="K1015" s="20" t="str">
        <f aca="false">IF($J1015=0,"",SUM($J$1014:$J1015))</f>
        <v/>
      </c>
      <c r="L1015" s="20" t="str">
        <f aca="false">IF($K1015="","",$A1015*100+$K1015)</f>
        <v/>
      </c>
      <c r="M1015" s="48" t="str">
        <f aca="false">参数!$B$3</f>
        <v>7月收入</v>
      </c>
    </row>
    <row r="1016" customFormat="false" ht="13.5" hidden="false" customHeight="false" outlineLevel="0" collapsed="false">
      <c r="A1016" s="47" t="n">
        <v>47</v>
      </c>
      <c r="B1016" s="38" t="str">
        <f aca="false">助手收入!$B48</f>
        <v/>
      </c>
      <c r="C1016" s="48" t="str">
        <f aca="false">助手收入!$C48</f>
        <v>备用2</v>
      </c>
      <c r="D1016" s="48" t="str">
        <f aca="false">科目对照收入!$B4&amp;""</f>
        <v>医保</v>
      </c>
      <c r="E1016" s="48" t="str">
        <f aca="false">IF(AND(ROUND($G1016,2)&lt;0,科目对照收入!$L4&lt;&gt;""),科目对照收入!$L4,科目对照收入!$C4)&amp;""</f>
        <v>应收账款</v>
      </c>
      <c r="F1016" s="48" t="str">
        <f aca="false">IF(AND(ROUND($G1016,2)&lt;0,科目对照收入!$L4&lt;&gt;""),科目对照收入!$M4,科目对照收入!$D4)&amp;""</f>
        <v>医保</v>
      </c>
      <c r="G1016" s="49" t="n">
        <f aca="false">IF(COUNTIFS(输入平台!$A:$A,助手收入!$X48,输入平台!$B:$B,科目对照收入!$B4)&gt;0,ROUND(SUMIFS(输入平台!$C:$C,输入平台!$A:$A,助手收入!$X48,输入平台!$B:$B,科目对照收入!$B4),2),ROUND(海典汇总!$F$49+海典汇总!$G$49,2))</f>
        <v>0</v>
      </c>
      <c r="H1016" s="49" t="str">
        <f aca="false">IF(ROUND($G1016,2)&gt;0,ROUND($G1016,2),"")</f>
        <v/>
      </c>
      <c r="I1016" s="49" t="str">
        <f aca="false">IF(ROUND($G1016,2)&lt;0,-ROUND($G1016,2),"")</f>
        <v/>
      </c>
      <c r="J1016" s="20" t="n">
        <f aca="false">IF(ROUND($G1016,2)=0,0,1)</f>
        <v>0</v>
      </c>
      <c r="K1016" s="20" t="str">
        <f aca="false">IF($J1016=0,"",SUM($J$1014:$J1016))</f>
        <v/>
      </c>
      <c r="L1016" s="20" t="str">
        <f aca="false">IF($K1016="","",$A1016*100+$K1016)</f>
        <v/>
      </c>
      <c r="M1016" s="48" t="str">
        <f aca="false">参数!$B$3</f>
        <v>7月收入</v>
      </c>
    </row>
    <row r="1017" customFormat="false" ht="13.5" hidden="false" customHeight="false" outlineLevel="0" collapsed="false">
      <c r="A1017" s="47" t="n">
        <v>47</v>
      </c>
      <c r="B1017" s="38" t="str">
        <f aca="false">助手收入!$B48</f>
        <v/>
      </c>
      <c r="C1017" s="48" t="str">
        <f aca="false">助手收入!$C48</f>
        <v>备用2</v>
      </c>
      <c r="D1017" s="48" t="str">
        <f aca="false">科目对照收入!$B5&amp;""</f>
        <v>健e卡</v>
      </c>
      <c r="E1017" s="48" t="str">
        <f aca="false">IF(AND(ROUND($G1017,2)&lt;0,科目对照收入!$L5&lt;&gt;""),科目对照收入!$L5,科目对照收入!$C5)&amp;""</f>
        <v>应收账款</v>
      </c>
      <c r="F1017" s="48" t="str">
        <f aca="false">IF(AND(ROUND($G1017,2)&lt;0,科目对照收入!$L5&lt;&gt;""),科目对照收入!$M5,科目对照收入!$D5)&amp;""</f>
        <v>健e卡</v>
      </c>
      <c r="G1017" s="49" t="n">
        <f aca="false">IF(COUNTIFS(输入平台!$A:$A,助手收入!$X48,输入平台!$B:$B,科目对照收入!$B5)&gt;0,ROUND(SUMIFS(输入平台!$C:$C,输入平台!$A:$A,助手收入!$X48,输入平台!$B:$B,科目对照收入!$B5),2),ROUND(海典汇总!$H$49,2))</f>
        <v>0</v>
      </c>
      <c r="H1017" s="49" t="str">
        <f aca="false">IF(ROUND($G1017,2)&gt;0,ROUND($G1017,2),"")</f>
        <v/>
      </c>
      <c r="I1017" s="49" t="str">
        <f aca="false">IF(ROUND($G1017,2)&lt;0,-ROUND($G1017,2),"")</f>
        <v/>
      </c>
      <c r="J1017" s="20" t="n">
        <f aca="false">IF(ROUND($G1017,2)=0,0,1)</f>
        <v>0</v>
      </c>
      <c r="K1017" s="20" t="str">
        <f aca="false">IF($J1017=0,"",SUM($J$1014:$J1017))</f>
        <v/>
      </c>
      <c r="L1017" s="20" t="str">
        <f aca="false">IF($K1017="","",$A1017*100+$K1017)</f>
        <v/>
      </c>
      <c r="M1017" s="48" t="str">
        <f aca="false">参数!$B$3</f>
        <v>7月收入</v>
      </c>
    </row>
    <row r="1018" customFormat="false" ht="13.5" hidden="false" customHeight="false" outlineLevel="0" collapsed="false">
      <c r="A1018" s="47" t="n">
        <v>47</v>
      </c>
      <c r="B1018" s="38" t="str">
        <f aca="false">助手收入!$B48</f>
        <v/>
      </c>
      <c r="C1018" s="48" t="str">
        <f aca="false">助手收入!$C48</f>
        <v>备用2</v>
      </c>
      <c r="D1018" s="48" t="str">
        <f aca="false">科目对照收入!$B6&amp;""</f>
        <v>医卡通</v>
      </c>
      <c r="E1018" s="48" t="str">
        <f aca="false">IF(AND(ROUND($G1018,2)&lt;0,科目对照收入!$L6&lt;&gt;""),科目对照收入!$L6,科目对照收入!$C6)&amp;""</f>
        <v>应收账款</v>
      </c>
      <c r="F1018" s="48" t="str">
        <f aca="false">IF(AND(ROUND($G1018,2)&lt;0,科目对照收入!$L6&lt;&gt;""),科目对照收入!$M6,科目对照收入!$D6)&amp;""</f>
        <v>医卡通</v>
      </c>
      <c r="G1018" s="49" t="n">
        <f aca="false">IF(COUNTIFS(输入平台!$A:$A,助手收入!$X48,输入平台!$B:$B,科目对照收入!$B6)&gt;0,ROUND(SUMIFS(输入平台!$C:$C,输入平台!$A:$A,助手收入!$X48,输入平台!$B:$B,科目对照收入!$B6),2),ROUND(海典汇总!$I$49,2))</f>
        <v>0</v>
      </c>
      <c r="H1018" s="49" t="str">
        <f aca="false">IF(ROUND($G1018,2)&gt;0,ROUND($G1018,2),"")</f>
        <v/>
      </c>
      <c r="I1018" s="49" t="str">
        <f aca="false">IF(ROUND($G1018,2)&lt;0,-ROUND($G1018,2),"")</f>
        <v/>
      </c>
      <c r="J1018" s="20" t="n">
        <f aca="false">IF(ROUND($G1018,2)=0,0,1)</f>
        <v>0</v>
      </c>
      <c r="K1018" s="20" t="str">
        <f aca="false">IF($J1018=0,"",SUM($J$1014:$J1018))</f>
        <v/>
      </c>
      <c r="L1018" s="20" t="str">
        <f aca="false">IF($K1018="","",$A1018*100+$K1018)</f>
        <v/>
      </c>
      <c r="M1018" s="48" t="str">
        <f aca="false">参数!$B$3</f>
        <v>7月收入</v>
      </c>
    </row>
    <row r="1019" customFormat="false" ht="13.5" hidden="false" customHeight="false" outlineLevel="0" collapsed="false">
      <c r="A1019" s="47" t="n">
        <v>47</v>
      </c>
      <c r="B1019" s="38" t="str">
        <f aca="false">助手收入!$B48</f>
        <v/>
      </c>
      <c r="C1019" s="48" t="str">
        <f aca="false">助手收入!$C48</f>
        <v>备用2</v>
      </c>
      <c r="D1019" s="48" t="str">
        <f aca="false">科目对照收入!$B7&amp;""</f>
        <v>企健网</v>
      </c>
      <c r="E1019" s="48" t="str">
        <f aca="false">IF(AND(ROUND($G1019,2)&lt;0,科目对照收入!$L7&lt;&gt;""),科目对照收入!$L7,科目对照收入!$C7)&amp;""</f>
        <v>应收账款</v>
      </c>
      <c r="F1019" s="48" t="str">
        <f aca="false">IF(AND(ROUND($G1019,2)&lt;0,科目对照收入!$L7&lt;&gt;""),科目对照收入!$M7,科目对照收入!$D7)&amp;""</f>
        <v>企健网</v>
      </c>
      <c r="G1019" s="49" t="n">
        <f aca="false">IF(COUNTIFS(输入平台!$A:$A,助手收入!$X48,输入平台!$B:$B,科目对照收入!$B7)&gt;0,ROUND(SUMIFS(输入平台!$C:$C,输入平台!$A:$A,助手收入!$X48,输入平台!$B:$B,科目对照收入!$B7),2),ROUND(海典汇总!$J$49,2))</f>
        <v>0</v>
      </c>
      <c r="H1019" s="49" t="str">
        <f aca="false">IF(ROUND($G1019,2)&gt;0,ROUND($G1019,2),"")</f>
        <v/>
      </c>
      <c r="I1019" s="49" t="str">
        <f aca="false">IF(ROUND($G1019,2)&lt;0,-ROUND($G1019,2),"")</f>
        <v/>
      </c>
      <c r="J1019" s="20" t="n">
        <f aca="false">IF(ROUND($G1019,2)=0,0,1)</f>
        <v>0</v>
      </c>
      <c r="K1019" s="20" t="str">
        <f aca="false">IF($J1019=0,"",SUM($J$1014:$J1019))</f>
        <v/>
      </c>
      <c r="L1019" s="20" t="str">
        <f aca="false">IF($K1019="","",$A1019*100+$K1019)</f>
        <v/>
      </c>
      <c r="M1019" s="48" t="str">
        <f aca="false">参数!$B$3</f>
        <v>7月收入</v>
      </c>
    </row>
    <row r="1020" customFormat="false" ht="13.5" hidden="false" customHeight="false" outlineLevel="0" collapsed="false">
      <c r="A1020" s="47" t="n">
        <v>47</v>
      </c>
      <c r="B1020" s="38" t="str">
        <f aca="false">助手收入!$B48</f>
        <v/>
      </c>
      <c r="C1020" s="48" t="str">
        <f aca="false">助手收入!$C48</f>
        <v>备用2</v>
      </c>
      <c r="D1020" s="48" t="str">
        <f aca="false">科目对照收入!$B8&amp;""</f>
        <v>亲情卡</v>
      </c>
      <c r="E1020" s="48" t="str">
        <f aca="false">IF(AND(ROUND($G1020,2)&lt;0,科目对照收入!$L8&lt;&gt;""),科目对照收入!$L8,科目对照收入!$C8)&amp;""</f>
        <v>应收账款</v>
      </c>
      <c r="F1020" s="48" t="str">
        <f aca="false">IF(AND(ROUND($G1020,2)&lt;0,科目对照收入!$L8&lt;&gt;""),科目对照收入!$M8,科目对照收入!$D8)&amp;""</f>
        <v>亲情卡</v>
      </c>
      <c r="G1020" s="49" t="n">
        <f aca="false">IF(COUNTIFS(输入平台!$A:$A,助手收入!$X48,输入平台!$B:$B,科目对照收入!$B8)&gt;0,ROUND(SUMIFS(输入平台!$C:$C,输入平台!$A:$A,助手收入!$X48,输入平台!$B:$B,科目对照收入!$B8),2),ROUND(海典汇总!$Z$49,2))</f>
        <v>0</v>
      </c>
      <c r="H1020" s="49" t="str">
        <f aca="false">IF(ROUND($G1020,2)&gt;0,ROUND($G1020,2),"")</f>
        <v/>
      </c>
      <c r="I1020" s="49" t="str">
        <f aca="false">IF(ROUND($G1020,2)&lt;0,-ROUND($G1020,2),"")</f>
        <v/>
      </c>
      <c r="J1020" s="20" t="n">
        <f aca="false">IF(ROUND($G1020,2)=0,0,1)</f>
        <v>0</v>
      </c>
      <c r="K1020" s="20" t="str">
        <f aca="false">IF($J1020=0,"",SUM($J$1014:$J1020))</f>
        <v/>
      </c>
      <c r="L1020" s="20" t="str">
        <f aca="false">IF($K1020="","",$A1020*100+$K1020)</f>
        <v/>
      </c>
      <c r="M1020" s="48" t="str">
        <f aca="false">参数!$B$3</f>
        <v>7月收入</v>
      </c>
    </row>
    <row r="1021" customFormat="false" ht="13.5" hidden="false" customHeight="false" outlineLevel="0" collapsed="false">
      <c r="A1021" s="47" t="n">
        <v>47</v>
      </c>
      <c r="B1021" s="38" t="str">
        <f aca="false">助手收入!$B48</f>
        <v/>
      </c>
      <c r="C1021" s="48" t="str">
        <f aca="false">助手收入!$C48</f>
        <v>备用2</v>
      </c>
      <c r="D1021" s="48" t="str">
        <f aca="false">科目对照收入!$B9&amp;""</f>
        <v>24小时</v>
      </c>
      <c r="E1021" s="48" t="str">
        <f aca="false">IF(AND(ROUND($G1021,2)&lt;0,科目对照收入!$L9&lt;&gt;""),科目对照收入!$L9,科目对照收入!$C9)&amp;""</f>
        <v>应收账款</v>
      </c>
      <c r="F1021" s="48" t="str">
        <f aca="false">IF(AND(ROUND($G1021,2)&lt;0,科目对照收入!$L9&lt;&gt;""),科目对照收入!$M9,科目对照收入!$D9)&amp;""</f>
        <v>24小时</v>
      </c>
      <c r="G1021" s="49" t="n">
        <f aca="false">IF(COUNTIFS(输入平台!$A:$A,助手收入!$X48,输入平台!$B:$B,科目对照收入!$B9)&gt;0,ROUND(SUMIFS(输入平台!$C:$C,输入平台!$A:$A,助手收入!$X48,输入平台!$B:$B,科目对照收入!$B9),2),ROUND(海典汇总!$K$49,2))</f>
        <v>0</v>
      </c>
      <c r="H1021" s="49" t="str">
        <f aca="false">IF(ROUND($G1021,2)&gt;0,ROUND($G1021,2),"")</f>
        <v/>
      </c>
      <c r="I1021" s="49" t="str">
        <f aca="false">IF(ROUND($G1021,2)&lt;0,-ROUND($G1021,2),"")</f>
        <v/>
      </c>
      <c r="J1021" s="20" t="n">
        <f aca="false">IF(ROUND($G1021,2)=0,0,1)</f>
        <v>0</v>
      </c>
      <c r="K1021" s="20" t="str">
        <f aca="false">IF($J1021=0,"",SUM($J$1014:$J1021))</f>
        <v/>
      </c>
      <c r="L1021" s="20" t="str">
        <f aca="false">IF($K1021="","",$A1021*100+$K1021)</f>
        <v/>
      </c>
      <c r="M1021" s="48" t="str">
        <f aca="false">参数!$B$3</f>
        <v>7月收入</v>
      </c>
    </row>
    <row r="1022" customFormat="false" ht="13.5" hidden="false" customHeight="false" outlineLevel="0" collapsed="false">
      <c r="A1022" s="47" t="n">
        <v>47</v>
      </c>
      <c r="B1022" s="38" t="str">
        <f aca="false">助手收入!$B48</f>
        <v/>
      </c>
      <c r="C1022" s="48" t="str">
        <f aca="false">助手收入!$C48</f>
        <v>备用2</v>
      </c>
      <c r="D1022" s="48" t="str">
        <f aca="false">科目对照收入!$B10&amp;""</f>
        <v>美团</v>
      </c>
      <c r="E1022" s="48" t="str">
        <f aca="false">IF(AND(ROUND($G1022,2)&lt;0,科目对照收入!$L10&lt;&gt;""),科目对照收入!$L10,科目对照收入!$C10)&amp;""</f>
        <v>应收账款</v>
      </c>
      <c r="F1022" s="48" t="str">
        <f aca="false">IF(AND(ROUND($G1022,2)&lt;0,科目对照收入!$L10&lt;&gt;""),科目对照收入!$M10,科目对照收入!$D10)&amp;""</f>
        <v>美团</v>
      </c>
      <c r="G1022" s="49" t="n">
        <f aca="false">IF(COUNTIFS(输入平台!$A:$A,助手收入!$X48,输入平台!$B:$B,科目对照收入!$B10)&gt;0,ROUND(SUMIFS(输入平台!$C:$C,输入平台!$A:$A,助手收入!$X48,输入平台!$B:$B,科目对照收入!$B10),2),ROUND(海典汇总!$M$49,2))</f>
        <v>0</v>
      </c>
      <c r="H1022" s="49" t="str">
        <f aca="false">IF(ROUND($G1022,2)&gt;0,ROUND($G1022,2),"")</f>
        <v/>
      </c>
      <c r="I1022" s="49" t="str">
        <f aca="false">IF(ROUND($G1022,2)&lt;0,-ROUND($G1022,2),"")</f>
        <v/>
      </c>
      <c r="J1022" s="20" t="n">
        <f aca="false">IF(ROUND($G1022,2)=0,0,1)</f>
        <v>0</v>
      </c>
      <c r="K1022" s="20" t="str">
        <f aca="false">IF($J1022=0,"",SUM($J$1014:$J1022))</f>
        <v/>
      </c>
      <c r="L1022" s="20" t="str">
        <f aca="false">IF($K1022="","",$A1022*100+$K1022)</f>
        <v/>
      </c>
      <c r="M1022" s="48" t="str">
        <f aca="false">参数!$B$3</f>
        <v>7月收入</v>
      </c>
    </row>
    <row r="1023" customFormat="false" ht="13.5" hidden="false" customHeight="false" outlineLevel="0" collapsed="false">
      <c r="A1023" s="47" t="n">
        <v>47</v>
      </c>
      <c r="B1023" s="38" t="str">
        <f aca="false">助手收入!$B48</f>
        <v/>
      </c>
      <c r="C1023" s="48" t="str">
        <f aca="false">助手收入!$C48</f>
        <v>备用2</v>
      </c>
      <c r="D1023" s="48" t="str">
        <f aca="false">科目对照收入!$B11&amp;""</f>
        <v>饿了么</v>
      </c>
      <c r="E1023" s="48" t="str">
        <f aca="false">IF(AND(ROUND($G1023,2)&lt;0,科目对照收入!$L11&lt;&gt;""),科目对照收入!$L11,科目对照收入!$C11)&amp;""</f>
        <v>应收账款</v>
      </c>
      <c r="F1023" s="48" t="str">
        <f aca="false">IF(AND(ROUND($G1023,2)&lt;0,科目对照收入!$L11&lt;&gt;""),科目对照收入!$M11,科目对照收入!$D11)&amp;""</f>
        <v>饿了么</v>
      </c>
      <c r="G1023" s="49" t="n">
        <f aca="false">IF(COUNTIFS(输入平台!$A:$A,助手收入!$X48,输入平台!$B:$B,科目对照收入!$B11)&gt;0,ROUND(SUMIFS(输入平台!$C:$C,输入平台!$A:$A,助手收入!$X48,输入平台!$B:$B,科目对照收入!$B11),2),ROUND(海典汇总!$N$49,2))</f>
        <v>0</v>
      </c>
      <c r="H1023" s="49" t="str">
        <f aca="false">IF(ROUND($G1023,2)&gt;0,ROUND($G1023,2),"")</f>
        <v/>
      </c>
      <c r="I1023" s="49" t="str">
        <f aca="false">IF(ROUND($G1023,2)&lt;0,-ROUND($G1023,2),"")</f>
        <v/>
      </c>
      <c r="J1023" s="20" t="n">
        <f aca="false">IF(ROUND($G1023,2)=0,0,1)</f>
        <v>0</v>
      </c>
      <c r="K1023" s="20" t="str">
        <f aca="false">IF($J1023=0,"",SUM($J$1014:$J1023))</f>
        <v/>
      </c>
      <c r="L1023" s="20" t="str">
        <f aca="false">IF($K1023="","",$A1023*100+$K1023)</f>
        <v/>
      </c>
      <c r="M1023" s="48" t="str">
        <f aca="false">参数!$B$3</f>
        <v>7月收入</v>
      </c>
    </row>
    <row r="1024" customFormat="false" ht="13.5" hidden="false" customHeight="false" outlineLevel="0" collapsed="false">
      <c r="A1024" s="47" t="n">
        <v>47</v>
      </c>
      <c r="B1024" s="38" t="str">
        <f aca="false">助手收入!$B48</f>
        <v/>
      </c>
      <c r="C1024" s="48" t="str">
        <f aca="false">助手收入!$C48</f>
        <v>备用2</v>
      </c>
      <c r="D1024" s="48" t="str">
        <f aca="false">科目对照收入!$B12&amp;""</f>
        <v>京东秒送</v>
      </c>
      <c r="E1024" s="48" t="str">
        <f aca="false">IF(AND(ROUND($G1024,2)&lt;0,科目对照收入!$L12&lt;&gt;""),科目对照收入!$L12,科目对照收入!$C12)&amp;""</f>
        <v>应收账款</v>
      </c>
      <c r="F1024" s="48" t="str">
        <f aca="false">IF(AND(ROUND($G1024,2)&lt;0,科目对照收入!$L12&lt;&gt;""),科目对照收入!$M12,科目对照收入!$D12)&amp;""</f>
        <v>京东秒送</v>
      </c>
      <c r="G1024" s="49" t="n">
        <f aca="false">IF(COUNTIFS(输入平台!$A:$A,助手收入!$X48,输入平台!$B:$B,科目对照收入!$B12)&gt;0,ROUND(SUMIFS(输入平台!$C:$C,输入平台!$A:$A,助手收入!$X48,输入平台!$B:$B,科目对照收入!$B12),2),ROUND(海典汇总!$O$49,2))</f>
        <v>0</v>
      </c>
      <c r="H1024" s="49" t="str">
        <f aca="false">IF(ROUND($G1024,2)&gt;0,ROUND($G1024,2),"")</f>
        <v/>
      </c>
      <c r="I1024" s="49" t="str">
        <f aca="false">IF(ROUND($G1024,2)&lt;0,-ROUND($G1024,2),"")</f>
        <v/>
      </c>
      <c r="J1024" s="20" t="n">
        <f aca="false">IF(ROUND($G1024,2)=0,0,1)</f>
        <v>0</v>
      </c>
      <c r="K1024" s="20" t="str">
        <f aca="false">IF($J1024=0,"",SUM($J$1014:$J1024))</f>
        <v/>
      </c>
      <c r="L1024" s="20" t="str">
        <f aca="false">IF($K1024="","",$A1024*100+$K1024)</f>
        <v/>
      </c>
      <c r="M1024" s="48" t="str">
        <f aca="false">参数!$B$3</f>
        <v>7月收入</v>
      </c>
    </row>
    <row r="1025" customFormat="false" ht="13.5" hidden="false" customHeight="false" outlineLevel="0" collapsed="false">
      <c r="A1025" s="47" t="n">
        <v>47</v>
      </c>
      <c r="B1025" s="38" t="str">
        <f aca="false">助手收入!$B48</f>
        <v/>
      </c>
      <c r="C1025" s="48" t="str">
        <f aca="false">助手收入!$C48</f>
        <v>备用2</v>
      </c>
      <c r="D1025" s="48" t="str">
        <f aca="false">科目对照收入!$B13&amp;""</f>
        <v>银联</v>
      </c>
      <c r="E1025" s="48" t="str">
        <f aca="false">IF(AND(ROUND($G1025,2)&lt;0,科目对照收入!$L13&lt;&gt;""),科目对照收入!$L13,科目对照收入!$C13)&amp;""</f>
        <v>应收账款</v>
      </c>
      <c r="F1025" s="48" t="str">
        <f aca="false">IF(AND(ROUND($G1025,2)&lt;0,科目对照收入!$L13&lt;&gt;""),科目对照收入!$M13,科目对照收入!$D13)&amp;""</f>
        <v>银联</v>
      </c>
      <c r="G1025" s="49" t="n">
        <f aca="false">IF(COUNTIFS(输入平台!$A:$A,助手收入!$X48,输入平台!$B:$B,科目对照收入!$B13)&gt;0,ROUND(SUMIFS(输入平台!$C:$C,输入平台!$A:$A,助手收入!$X48,输入平台!$B:$B,科目对照收入!$B13),2),ROUND(海典汇总!$V$49,2))</f>
        <v>0</v>
      </c>
      <c r="H1025" s="49" t="str">
        <f aca="false">IF(ROUND($G1025,2)&gt;0,ROUND($G1025,2),"")</f>
        <v/>
      </c>
      <c r="I1025" s="49" t="str">
        <f aca="false">IF(ROUND($G1025,2)&lt;0,-ROUND($G1025,2),"")</f>
        <v/>
      </c>
      <c r="J1025" s="20" t="n">
        <f aca="false">IF(ROUND($G1025,2)=0,0,1)</f>
        <v>0</v>
      </c>
      <c r="K1025" s="20" t="str">
        <f aca="false">IF($J1025=0,"",SUM($J$1014:$J1025))</f>
        <v/>
      </c>
      <c r="L1025" s="20" t="str">
        <f aca="false">IF($K1025="","",$A1025*100+$K1025)</f>
        <v/>
      </c>
      <c r="M1025" s="48" t="str">
        <f aca="false">参数!$B$3</f>
        <v>7月收入</v>
      </c>
    </row>
    <row r="1026" customFormat="false" ht="13.5" hidden="false" customHeight="false" outlineLevel="0" collapsed="false">
      <c r="A1026" s="47" t="n">
        <v>47</v>
      </c>
      <c r="B1026" s="38" t="str">
        <f aca="false">助手收入!$B48</f>
        <v/>
      </c>
      <c r="C1026" s="48" t="str">
        <f aca="false">助手收入!$C48</f>
        <v>备用2</v>
      </c>
      <c r="D1026" s="48" t="str">
        <f aca="false">科目对照收入!$B14&amp;""</f>
        <v>小镇外卖</v>
      </c>
      <c r="E1026" s="48" t="str">
        <f aca="false">IF(AND(ROUND($G1026,2)&lt;0,科目对照收入!$L14&lt;&gt;""),科目对照收入!$L14,科目对照收入!$C14)&amp;""</f>
        <v>应收账款</v>
      </c>
      <c r="F1026" s="48" t="str">
        <f aca="false">IF(AND(ROUND($G1026,2)&lt;0,科目对照收入!$L14&lt;&gt;""),科目对照收入!$M14,科目对照收入!$D14)&amp;""</f>
        <v>小镇外卖</v>
      </c>
      <c r="G1026" s="49" t="n">
        <f aca="false">IF(COUNTIFS(输入平台!$A:$A,助手收入!$X48,输入平台!$B:$B,科目对照收入!$B14)&gt;0,ROUND(SUMIFS(输入平台!$C:$C,输入平台!$A:$A,助手收入!$X48,输入平台!$B:$B,科目对照收入!$B14),2),ROUND(海典汇总!$AC$49,2))</f>
        <v>0</v>
      </c>
      <c r="H1026" s="49" t="str">
        <f aca="false">IF(ROUND($G1026,2)&gt;0,ROUND($G1026,2),"")</f>
        <v/>
      </c>
      <c r="I1026" s="49" t="str">
        <f aca="false">IF(ROUND($G1026,2)&lt;0,-ROUND($G1026,2),"")</f>
        <v/>
      </c>
      <c r="J1026" s="20" t="n">
        <f aca="false">IF(ROUND($G1026,2)=0,0,1)</f>
        <v>0</v>
      </c>
      <c r="K1026" s="20" t="str">
        <f aca="false">IF($J1026=0,"",SUM($J$1014:$J1026))</f>
        <v/>
      </c>
      <c r="L1026" s="20" t="str">
        <f aca="false">IF($K1026="","",$A1026*100+$K1026)</f>
        <v/>
      </c>
      <c r="M1026" s="48" t="str">
        <f aca="false">参数!$B$3</f>
        <v>7月收入</v>
      </c>
    </row>
    <row r="1027" customFormat="false" ht="13.5" hidden="false" customHeight="false" outlineLevel="0" collapsed="false">
      <c r="A1027" s="47" t="n">
        <v>47</v>
      </c>
      <c r="B1027" s="38" t="str">
        <f aca="false">助手收入!$B48</f>
        <v/>
      </c>
      <c r="C1027" s="48" t="str">
        <f aca="false">助手收入!$C48</f>
        <v>备用2</v>
      </c>
      <c r="D1027" s="48" t="str">
        <f aca="false">科目对照收入!$B15&amp;""</f>
        <v>OMS线上支付</v>
      </c>
      <c r="E1027" s="48" t="str">
        <f aca="false">IF(AND(ROUND($G1027,2)&lt;0,科目对照收入!$L15&lt;&gt;""),科目对照收入!$L15,科目对照收入!$C15)&amp;""</f>
        <v>应收账款</v>
      </c>
      <c r="F1027" s="48" t="str">
        <f aca="false">IF(AND(ROUND($G1027,2)&lt;0,科目对照收入!$L15&lt;&gt;""),科目对照收入!$M15,科目对照收入!$D15)&amp;""</f>
        <v>OMS线上</v>
      </c>
      <c r="G1027" s="49" t="n">
        <f aca="false">IF(COUNTIFS(输入平台!$A:$A,助手收入!$X48,输入平台!$B:$B,科目对照收入!$B15)&gt;0,ROUND(SUMIFS(输入平台!$C:$C,输入平台!$A:$A,助手收入!$X48,输入平台!$B:$B,科目对照收入!$B15),2),ROUND(海典汇总!$L$49,2))</f>
        <v>0</v>
      </c>
      <c r="H1027" s="49" t="str">
        <f aca="false">IF(ROUND($G1027,2)&gt;0,ROUND($G1027,2),"")</f>
        <v/>
      </c>
      <c r="I1027" s="49" t="str">
        <f aca="false">IF(ROUND($G1027,2)&lt;0,-ROUND($G1027,2),"")</f>
        <v/>
      </c>
      <c r="J1027" s="20" t="n">
        <f aca="false">IF(ROUND($G1027,2)=0,0,1)</f>
        <v>0</v>
      </c>
      <c r="K1027" s="20" t="str">
        <f aca="false">IF($J1027=0,"",SUM($J$1014:$J1027))</f>
        <v/>
      </c>
      <c r="L1027" s="20" t="str">
        <f aca="false">IF($K1027="","",$A1027*100+$K1027)</f>
        <v/>
      </c>
      <c r="M1027" s="48" t="str">
        <f aca="false">参数!$B$3</f>
        <v>7月收入</v>
      </c>
    </row>
    <row r="1028" customFormat="false" ht="13.5" hidden="false" customHeight="false" outlineLevel="0" collapsed="false">
      <c r="A1028" s="47" t="n">
        <v>47</v>
      </c>
      <c r="B1028" s="38" t="str">
        <f aca="false">助手收入!$B48</f>
        <v/>
      </c>
      <c r="C1028" s="48" t="str">
        <f aca="false">助手收入!$C48</f>
        <v>备用2</v>
      </c>
      <c r="D1028" s="48" t="str">
        <f aca="false">科目对照收入!$B16&amp;""</f>
        <v>平安药卡</v>
      </c>
      <c r="E1028" s="48" t="str">
        <f aca="false">IF(AND(ROUND($G1028,2)&lt;0,科目对照收入!$L16&lt;&gt;""),科目对照收入!$L16,科目对照收入!$C16)&amp;""</f>
        <v>应收账款</v>
      </c>
      <c r="F1028" s="48" t="str">
        <f aca="false">IF(AND(ROUND($G1028,2)&lt;0,科目对照收入!$L16&lt;&gt;""),科目对照收入!$M16,科目对照收入!$D16)&amp;""</f>
        <v>平安</v>
      </c>
      <c r="G1028" s="49" t="n">
        <f aca="false">IF(COUNTIFS(输入平台!$A:$A,助手收入!$X48,输入平台!$B:$B,科目对照收入!$B16)&gt;0,ROUND(SUMIFS(输入平台!$C:$C,输入平台!$A:$A,助手收入!$X48,输入平台!$B:$B,科目对照收入!$B16),2),ROUND(海典汇总!$AB$49,2))</f>
        <v>0</v>
      </c>
      <c r="H1028" s="49" t="str">
        <f aca="false">IF(ROUND($G1028,2)&gt;0,ROUND($G1028,2),"")</f>
        <v/>
      </c>
      <c r="I1028" s="49" t="str">
        <f aca="false">IF(ROUND($G1028,2)&lt;0,-ROUND($G1028,2),"")</f>
        <v/>
      </c>
      <c r="J1028" s="20" t="n">
        <f aca="false">IF(ROUND($G1028,2)=0,0,1)</f>
        <v>0</v>
      </c>
      <c r="K1028" s="20" t="str">
        <f aca="false">IF($J1028=0,"",SUM($J$1014:$J1028))</f>
        <v/>
      </c>
      <c r="L1028" s="20" t="str">
        <f aca="false">IF($K1028="","",$A1028*100+$K1028)</f>
        <v/>
      </c>
      <c r="M1028" s="48" t="str">
        <f aca="false">参数!$B$3</f>
        <v>7月收入</v>
      </c>
    </row>
    <row r="1029" customFormat="false" ht="13.5" hidden="false" customHeight="false" outlineLevel="0" collapsed="false">
      <c r="A1029" s="47" t="n">
        <v>47</v>
      </c>
      <c r="B1029" s="38" t="str">
        <f aca="false">助手收入!$B48</f>
        <v/>
      </c>
      <c r="C1029" s="48" t="str">
        <f aca="false">助手收入!$C48</f>
        <v>备用2</v>
      </c>
      <c r="D1029" s="48" t="str">
        <f aca="false">科目对照收入!$B17&amp;""</f>
        <v>储值卡</v>
      </c>
      <c r="E1029" s="48" t="str">
        <f aca="false">IF(AND(ROUND($G1029,2)&lt;0,科目对照收入!$L17&lt;&gt;""),科目对照收入!$L17,科目对照收入!$C17)&amp;""</f>
        <v>其他应收款</v>
      </c>
      <c r="F1029" s="48" t="str">
        <f aca="false">IF(AND(ROUND($G1029,2)&lt;0,科目对照收入!$L17&lt;&gt;""),科目对照收入!$M17,科目对照收入!$D17)&amp;""</f>
        <v>储值卡</v>
      </c>
      <c r="G1029" s="49" t="n">
        <f aca="false">ROUND(海典汇总!$Q$49,2)</f>
        <v>0</v>
      </c>
      <c r="H1029" s="49" t="str">
        <f aca="false">IF(ROUND($G1029,2)&gt;0,ROUND($G1029,2),"")</f>
        <v/>
      </c>
      <c r="I1029" s="49" t="str">
        <f aca="false">IF(ROUND($G1029,2)&lt;0,-ROUND($G1029,2),"")</f>
        <v/>
      </c>
      <c r="J1029" s="20" t="n">
        <f aca="false">IF(ROUND($G1029,2)=0,0,1)</f>
        <v>0</v>
      </c>
      <c r="K1029" s="20" t="str">
        <f aca="false">IF($J1029=0,"",SUM($J$1014:$J1029))</f>
        <v/>
      </c>
      <c r="L1029" s="20" t="str">
        <f aca="false">IF($K1029="","",$A1029*100+$K1029)</f>
        <v/>
      </c>
      <c r="M1029" s="48" t="str">
        <f aca="false">参数!$B$3</f>
        <v>7月收入</v>
      </c>
    </row>
    <row r="1030" customFormat="false" ht="13.5" hidden="false" customHeight="false" outlineLevel="0" collapsed="false">
      <c r="A1030" s="47" t="n">
        <v>47</v>
      </c>
      <c r="B1030" s="38" t="str">
        <f aca="false">助手收入!$B48</f>
        <v/>
      </c>
      <c r="C1030" s="48" t="str">
        <f aca="false">助手收入!$C48</f>
        <v>备用2</v>
      </c>
      <c r="D1030" s="48" t="str">
        <f aca="false">科目对照收入!$B18&amp;""</f>
        <v>会员零钱包</v>
      </c>
      <c r="E1030" s="48" t="str">
        <f aca="false">IF(AND(ROUND($G1030,2)&lt;0,科目对照收入!$L18&lt;&gt;""),科目对照收入!$L18,科目对照收入!$C18)&amp;""</f>
        <v>其他应收款</v>
      </c>
      <c r="F1030" s="48" t="str">
        <f aca="false">IF(AND(ROUND($G1030,2)&lt;0,科目对照收入!$L18&lt;&gt;""),科目对照收入!$M18,科目对照收入!$D18)&amp;""</f>
        <v>会员零钱包</v>
      </c>
      <c r="G1030" s="49" t="n">
        <f aca="false">ROUND(海典汇总!$P$49,2)</f>
        <v>0</v>
      </c>
      <c r="H1030" s="49" t="str">
        <f aca="false">IF(ROUND($G1030,2)&gt;0,ROUND($G1030,2),"")</f>
        <v/>
      </c>
      <c r="I1030" s="49" t="str">
        <f aca="false">IF(ROUND($G1030,2)&lt;0,-ROUND($G1030,2),"")</f>
        <v/>
      </c>
      <c r="J1030" s="20" t="n">
        <f aca="false">IF(ROUND($G1030,2)=0,0,1)</f>
        <v>0</v>
      </c>
      <c r="K1030" s="20" t="str">
        <f aca="false">IF($J1030=0,"",SUM($J$1014:$J1030))</f>
        <v/>
      </c>
      <c r="L1030" s="20" t="str">
        <f aca="false">IF($K1030="","",$A1030*100+$K1030)</f>
        <v/>
      </c>
      <c r="M1030" s="48" t="str">
        <f aca="false">参数!$B$3</f>
        <v>7月收入</v>
      </c>
    </row>
    <row r="1031" customFormat="false" ht="13.5" hidden="false" customHeight="false" outlineLevel="0" collapsed="false">
      <c r="A1031" s="47" t="n">
        <v>47</v>
      </c>
      <c r="B1031" s="38" t="str">
        <f aca="false">助手收入!$B48</f>
        <v/>
      </c>
      <c r="C1031" s="48" t="str">
        <f aca="false">助手收入!$C48</f>
        <v>备用2</v>
      </c>
      <c r="D1031" s="48" t="str">
        <f aca="false">科目对照收入!$B19&amp;""</f>
        <v>促销费</v>
      </c>
      <c r="E1031" s="48" t="str">
        <f aca="false">IF(AND(ROUND($G1031,2)&lt;0,科目对照收入!$L19&lt;&gt;""),科目对照收入!$L19,科目对照收入!$C19)&amp;""</f>
        <v>销售费用</v>
      </c>
      <c r="F1031" s="48" t="str">
        <f aca="false">IF(AND(ROUND($G1031,2)&lt;0,科目对照收入!$L19&lt;&gt;""),科目对照收入!$M19,科目对照收入!$D19)&amp;""</f>
        <v>促销费</v>
      </c>
      <c r="G1031" s="49" t="n">
        <f aca="false">ROUND(海典汇总!$U$49+海典汇总!$T$49+海典汇总!$S$49,2)</f>
        <v>0</v>
      </c>
      <c r="H1031" s="49" t="str">
        <f aca="false">IF(ROUND($G1031,2)&gt;0,ROUND($G1031,2),"")</f>
        <v/>
      </c>
      <c r="I1031" s="49" t="str">
        <f aca="false">IF(ROUND($G1031,2)&lt;0,-ROUND($G1031,2),"")</f>
        <v/>
      </c>
      <c r="J1031" s="20" t="n">
        <f aca="false">IF(ROUND($G1031,2)=0,0,1)</f>
        <v>0</v>
      </c>
      <c r="K1031" s="20" t="str">
        <f aca="false">IF($J1031=0,"",SUM($J$1014:$J1031))</f>
        <v/>
      </c>
      <c r="L1031" s="20" t="str">
        <f aca="false">IF($K1031="","",$A1031*100+$K1031)</f>
        <v/>
      </c>
      <c r="M1031" s="48" t="str">
        <f aca="false">参数!$B$3</f>
        <v>7月收入</v>
      </c>
    </row>
    <row r="1032" customFormat="false" ht="13.5" hidden="false" customHeight="false" outlineLevel="0" collapsed="false">
      <c r="A1032" s="47" t="n">
        <v>47</v>
      </c>
      <c r="B1032" s="38" t="str">
        <f aca="false">助手收入!$B48</f>
        <v/>
      </c>
      <c r="C1032" s="48" t="str">
        <f aca="false">助手收入!$C48</f>
        <v>备用2</v>
      </c>
      <c r="D1032" s="48" t="str">
        <f aca="false">科目对照收入!$B20&amp;""</f>
        <v>积分</v>
      </c>
      <c r="E1032" s="48" t="str">
        <f aca="false">IF(AND(ROUND($G1032,2)&lt;0,科目对照收入!$L20&lt;&gt;""),科目对照收入!$L20,科目对照收入!$C20)&amp;""</f>
        <v>销售费用</v>
      </c>
      <c r="F1032" s="48" t="str">
        <f aca="false">IF(AND(ROUND($G1032,2)&lt;0,科目对照收入!$L20&lt;&gt;""),科目对照收入!$M20,科目对照收入!$D20)&amp;""</f>
        <v>积分</v>
      </c>
      <c r="G1032" s="49" t="n">
        <f aca="false">ROUND(海典汇总!$R$49,2)</f>
        <v>0</v>
      </c>
      <c r="H1032" s="49" t="str">
        <f aca="false">IF(ROUND($G1032,2)&gt;0,ROUND($G1032,2),"")</f>
        <v/>
      </c>
      <c r="I1032" s="49" t="str">
        <f aca="false">IF(ROUND($G1032,2)&lt;0,-ROUND($G1032,2),"")</f>
        <v/>
      </c>
      <c r="J1032" s="20" t="n">
        <f aca="false">IF(ROUND($G1032,2)=0,0,1)</f>
        <v>0</v>
      </c>
      <c r="K1032" s="20" t="str">
        <f aca="false">IF($J1032=0,"",SUM($J$1014:$J1032))</f>
        <v/>
      </c>
      <c r="L1032" s="20" t="str">
        <f aca="false">IF($K1032="","",$A1032*100+$K1032)</f>
        <v/>
      </c>
      <c r="M1032" s="48" t="str">
        <f aca="false">参数!$B$3</f>
        <v>7月收入</v>
      </c>
    </row>
    <row r="1033" customFormat="false" ht="13.5" hidden="false" customHeight="false" outlineLevel="0" collapsed="false">
      <c r="A1033" s="47" t="n">
        <v>47</v>
      </c>
      <c r="B1033" s="38" t="str">
        <f aca="false">助手收入!$B48</f>
        <v/>
      </c>
      <c r="C1033" s="48" t="str">
        <f aca="false">助手收入!$C48</f>
        <v>备用2</v>
      </c>
      <c r="D1033" s="48" t="str">
        <f aca="false">科目对照收入!$B21&amp;""</f>
        <v>手续费</v>
      </c>
      <c r="E1033" s="48" t="str">
        <f aca="false">IF(AND(ROUND($G1033,2)&lt;0,科目对照收入!$L21&lt;&gt;""),科目对照收入!$L21,科目对照收入!$C21)&amp;""</f>
        <v>财务费用</v>
      </c>
      <c r="F1033" s="48" t="str">
        <f aca="false">IF(AND(ROUND($G1033,2)&lt;0,科目对照收入!$L21&lt;&gt;""),科目对照收入!$M21,科目对照收入!$D21)&amp;""</f>
        <v>手续费</v>
      </c>
      <c r="G1033" s="49" t="n">
        <f aca="false">ROUND(SUMIFS(输入聚合!$D:$D,输入聚合!$A:$A,助手收入!$X48),2)</f>
        <v>0</v>
      </c>
      <c r="H1033" s="49" t="str">
        <f aca="false">IF(ROUND($G1033,2)&gt;0,ROUND($G1033,2),"")</f>
        <v/>
      </c>
      <c r="I1033" s="49" t="str">
        <f aca="false">IF(ROUND($G1033,2)&lt;0,-ROUND($G1033,2),"")</f>
        <v/>
      </c>
      <c r="J1033" s="20" t="n">
        <f aca="false">IF(ROUND($G1033,2)=0,0,1)</f>
        <v>0</v>
      </c>
      <c r="K1033" s="20" t="str">
        <f aca="false">IF($J1033=0,"",SUM($J$1014:$J1033))</f>
        <v/>
      </c>
      <c r="L1033" s="20" t="str">
        <f aca="false">IF($K1033="","",$A1033*100+$K1033)</f>
        <v/>
      </c>
      <c r="M1033" s="48" t="str">
        <f aca="false">参数!$B$3</f>
        <v>7月收入</v>
      </c>
    </row>
    <row r="1034" customFormat="false" ht="13.5" hidden="false" customHeight="false" outlineLevel="0" collapsed="false">
      <c r="A1034" s="47" t="n">
        <v>47</v>
      </c>
      <c r="B1034" s="38" t="str">
        <f aca="false">助手收入!$B48</f>
        <v/>
      </c>
      <c r="C1034" s="48" t="str">
        <f aca="false">助手收入!$C48</f>
        <v>备用2</v>
      </c>
      <c r="D1034" s="48" t="str">
        <f aca="false">科目对照收入!$B22&amp;""</f>
        <v>主营业务收入</v>
      </c>
      <c r="E1034" s="48" t="str">
        <f aca="false">IF(AND(ROUND($G1034,2)&lt;0,科目对照收入!$L22&lt;&gt;""),科目对照收入!$L22,科目对照收入!$C22)&amp;""</f>
        <v>主营业务收入</v>
      </c>
      <c r="F1034" s="48" t="str">
        <f aca="false">IF(AND(ROUND($G1034,2)&lt;0,科目对照收入!$L22&lt;&gt;""),科目对照收入!$M22,科目对照收入!$D22)&amp;""</f>
        <v/>
      </c>
      <c r="G1034" s="49" t="n">
        <f aca="false">-ROUND(助手收入!$G48,2)</f>
        <v>-0</v>
      </c>
      <c r="H1034" s="49" t="str">
        <f aca="false">IF(ROUND($G1034,2)&gt;0,ROUND($G1034,2),"")</f>
        <v/>
      </c>
      <c r="I1034" s="49" t="str">
        <f aca="false">IF(ROUND($G1034,2)&lt;0,-ROUND($G1034,2),"")</f>
        <v/>
      </c>
      <c r="J1034" s="20" t="n">
        <f aca="false">IF(ROUND($G1034,2)=0,0,1)</f>
        <v>0</v>
      </c>
      <c r="K1034" s="20" t="str">
        <f aca="false">IF($J1034=0,"",SUM($J$1014:$J1034))</f>
        <v/>
      </c>
      <c r="L1034" s="20" t="str">
        <f aca="false">IF($K1034="","",$A1034*100+$K1034)</f>
        <v/>
      </c>
      <c r="M1034" s="48" t="str">
        <f aca="false">参数!$B$3</f>
        <v>7月收入</v>
      </c>
    </row>
    <row r="1035" customFormat="false" ht="13.5" hidden="false" customHeight="false" outlineLevel="0" collapsed="false">
      <c r="A1035" s="47" t="n">
        <v>47</v>
      </c>
      <c r="B1035" s="38" t="str">
        <f aca="false">助手收入!$B48</f>
        <v/>
      </c>
      <c r="C1035" s="48" t="str">
        <f aca="false">助手收入!$C48</f>
        <v>备用2</v>
      </c>
      <c r="D1035" s="48" t="str">
        <f aca="false">科目对照收入!$B23&amp;""</f>
        <v>营业外收入</v>
      </c>
      <c r="E1035" s="48" t="str">
        <f aca="false">IF(AND(ROUND($G1035,2)&lt;0,科目对照收入!$L23&lt;&gt;""),科目对照收入!$L23,科目对照收入!$C23)&amp;""</f>
        <v>营业外收入</v>
      </c>
      <c r="F1035" s="48" t="str">
        <f aca="false">IF(AND(ROUND($G1035,2)&lt;0,科目对照收入!$L23&lt;&gt;""),科目对照收入!$M23,科目对照收入!$D23)&amp;""</f>
        <v/>
      </c>
      <c r="G1035" s="49" t="n">
        <f aca="false">-ROUND(助手收入!$J48,2)</f>
        <v>-0</v>
      </c>
      <c r="H1035" s="49" t="str">
        <f aca="false">IF(ROUND($G1035,2)&gt;0,ROUND($G1035,2),"")</f>
        <v/>
      </c>
      <c r="I1035" s="49" t="str">
        <f aca="false">IF(ROUND($G1035,2)&lt;0,-ROUND($G1035,2),"")</f>
        <v/>
      </c>
      <c r="J1035" s="20" t="n">
        <f aca="false">IF(ROUND($G1035,2)=0,0,1)</f>
        <v>0</v>
      </c>
      <c r="K1035" s="20" t="str">
        <f aca="false">IF($J1035=0,"",SUM($J$1014:$J1035))</f>
        <v/>
      </c>
      <c r="L1035" s="20" t="str">
        <f aca="false">IF($K1035="","",$A1035*100+$K1035)</f>
        <v/>
      </c>
      <c r="M1035" s="48" t="str">
        <f aca="false">参数!$B$3</f>
        <v>7月收入</v>
      </c>
    </row>
    <row r="1036" customFormat="false" ht="13.5" hidden="false" customHeight="false" outlineLevel="0" collapsed="false">
      <c r="A1036" s="47" t="n">
        <v>48</v>
      </c>
      <c r="B1036" s="38" t="str">
        <f aca="false">助手收入!$B49</f>
        <v/>
      </c>
      <c r="C1036" s="48" t="str">
        <f aca="false">助手收入!$C49</f>
        <v>备用3</v>
      </c>
      <c r="D1036" s="48" t="str">
        <f aca="false">科目对照收入!$B2&amp;""</f>
        <v>库存现金</v>
      </c>
      <c r="E1036" s="48" t="str">
        <f aca="false">IF(AND(ROUND($G1036,2)&lt;0,科目对照收入!$L2&lt;&gt;""),科目对照收入!$L2,科目对照收入!$C2)&amp;""</f>
        <v>库存现金</v>
      </c>
      <c r="F1036" s="48" t="str">
        <f aca="false">IF(AND(ROUND($G1036,2)&lt;0,科目对照收入!$L2&lt;&gt;""),科目对照收入!$M2,科目对照收入!$D2)&amp;""</f>
        <v/>
      </c>
      <c r="G1036" s="49" t="n">
        <f aca="false">助手收入!$I49</f>
        <v>0</v>
      </c>
      <c r="H1036" s="49" t="str">
        <f aca="false">IF(ROUND($G1036,2)&gt;0,ROUND($G1036,2),"")</f>
        <v/>
      </c>
      <c r="I1036" s="49" t="str">
        <f aca="false">IF(ROUND($G1036,2)&lt;0,-ROUND($G1036,2),"")</f>
        <v/>
      </c>
      <c r="J1036" s="20" t="n">
        <f aca="false">IF(ROUND($G1036,2)=0,0,1)</f>
        <v>0</v>
      </c>
      <c r="K1036" s="20" t="str">
        <f aca="false">IF($J1036=0,"",SUM($J$1036:$J1036))</f>
        <v/>
      </c>
      <c r="L1036" s="20" t="str">
        <f aca="false">IF($K1036="","",$A1036*100+$K1036)</f>
        <v/>
      </c>
      <c r="M1036" s="48" t="str">
        <f aca="false">参数!$B$3</f>
        <v>7月收入</v>
      </c>
    </row>
    <row r="1037" customFormat="false" ht="13.5" hidden="false" customHeight="false" outlineLevel="0" collapsed="false">
      <c r="A1037" s="47" t="n">
        <v>48</v>
      </c>
      <c r="B1037" s="38" t="str">
        <f aca="false">助手收入!$B49</f>
        <v/>
      </c>
      <c r="C1037" s="48" t="str">
        <f aca="false">助手收入!$C49</f>
        <v>备用3</v>
      </c>
      <c r="D1037" s="48" t="str">
        <f aca="false">科目对照收入!$B3&amp;""</f>
        <v>聚合支付</v>
      </c>
      <c r="E1037" s="48" t="str">
        <f aca="false">IF(AND(ROUND($G1037,2)&lt;0,科目对照收入!$L3&lt;&gt;""),科目对照收入!$L3,科目对照收入!$C3)&amp;""</f>
        <v>应收账款</v>
      </c>
      <c r="F1037" s="48" t="str">
        <f aca="false">IF(AND(ROUND($G1037,2)&lt;0,科目对照收入!$L3&lt;&gt;""),科目对照收入!$M3,科目对照收入!$D3)&amp;""</f>
        <v>聚合支付</v>
      </c>
      <c r="G1037" s="49" t="n">
        <f aca="false">ROUND(SUMIFS(输入聚合!$C:$C,输入聚合!$A:$A,助手收入!$X49)-SUMIFS(输入聚合!$D:$D,输入聚合!$A:$A,助手收入!$X49),2)</f>
        <v>0</v>
      </c>
      <c r="H1037" s="49" t="str">
        <f aca="false">IF(ROUND($G1037,2)&gt;0,ROUND($G1037,2),"")</f>
        <v/>
      </c>
      <c r="I1037" s="49" t="str">
        <f aca="false">IF(ROUND($G1037,2)&lt;0,-ROUND($G1037,2),"")</f>
        <v/>
      </c>
      <c r="J1037" s="20" t="n">
        <f aca="false">IF(ROUND($G1037,2)=0,0,1)</f>
        <v>0</v>
      </c>
      <c r="K1037" s="20" t="str">
        <f aca="false">IF($J1037=0,"",SUM($J$1036:$J1037))</f>
        <v/>
      </c>
      <c r="L1037" s="20" t="str">
        <f aca="false">IF($K1037="","",$A1037*100+$K1037)</f>
        <v/>
      </c>
      <c r="M1037" s="48" t="str">
        <f aca="false">参数!$B$3</f>
        <v>7月收入</v>
      </c>
    </row>
    <row r="1038" customFormat="false" ht="13.5" hidden="false" customHeight="false" outlineLevel="0" collapsed="false">
      <c r="A1038" s="47" t="n">
        <v>48</v>
      </c>
      <c r="B1038" s="38" t="str">
        <f aca="false">助手收入!$B49</f>
        <v/>
      </c>
      <c r="C1038" s="48" t="str">
        <f aca="false">助手收入!$C49</f>
        <v>备用3</v>
      </c>
      <c r="D1038" s="48" t="str">
        <f aca="false">科目对照收入!$B4&amp;""</f>
        <v>医保</v>
      </c>
      <c r="E1038" s="48" t="str">
        <f aca="false">IF(AND(ROUND($G1038,2)&lt;0,科目对照收入!$L4&lt;&gt;""),科目对照收入!$L4,科目对照收入!$C4)&amp;""</f>
        <v>应收账款</v>
      </c>
      <c r="F1038" s="48" t="str">
        <f aca="false">IF(AND(ROUND($G1038,2)&lt;0,科目对照收入!$L4&lt;&gt;""),科目对照收入!$M4,科目对照收入!$D4)&amp;""</f>
        <v>医保</v>
      </c>
      <c r="G1038" s="49" t="n">
        <f aca="false">IF(COUNTIFS(输入平台!$A:$A,助手收入!$X49,输入平台!$B:$B,科目对照收入!$B4)&gt;0,ROUND(SUMIFS(输入平台!$C:$C,输入平台!$A:$A,助手收入!$X49,输入平台!$B:$B,科目对照收入!$B4),2),ROUND(海典汇总!$F$50+海典汇总!$G$50,2))</f>
        <v>0</v>
      </c>
      <c r="H1038" s="49" t="str">
        <f aca="false">IF(ROUND($G1038,2)&gt;0,ROUND($G1038,2),"")</f>
        <v/>
      </c>
      <c r="I1038" s="49" t="str">
        <f aca="false">IF(ROUND($G1038,2)&lt;0,-ROUND($G1038,2),"")</f>
        <v/>
      </c>
      <c r="J1038" s="20" t="n">
        <f aca="false">IF(ROUND($G1038,2)=0,0,1)</f>
        <v>0</v>
      </c>
      <c r="K1038" s="20" t="str">
        <f aca="false">IF($J1038=0,"",SUM($J$1036:$J1038))</f>
        <v/>
      </c>
      <c r="L1038" s="20" t="str">
        <f aca="false">IF($K1038="","",$A1038*100+$K1038)</f>
        <v/>
      </c>
      <c r="M1038" s="48" t="str">
        <f aca="false">参数!$B$3</f>
        <v>7月收入</v>
      </c>
    </row>
    <row r="1039" customFormat="false" ht="13.5" hidden="false" customHeight="false" outlineLevel="0" collapsed="false">
      <c r="A1039" s="47" t="n">
        <v>48</v>
      </c>
      <c r="B1039" s="38" t="str">
        <f aca="false">助手收入!$B49</f>
        <v/>
      </c>
      <c r="C1039" s="48" t="str">
        <f aca="false">助手收入!$C49</f>
        <v>备用3</v>
      </c>
      <c r="D1039" s="48" t="str">
        <f aca="false">科目对照收入!$B5&amp;""</f>
        <v>健e卡</v>
      </c>
      <c r="E1039" s="48" t="str">
        <f aca="false">IF(AND(ROUND($G1039,2)&lt;0,科目对照收入!$L5&lt;&gt;""),科目对照收入!$L5,科目对照收入!$C5)&amp;""</f>
        <v>应收账款</v>
      </c>
      <c r="F1039" s="48" t="str">
        <f aca="false">IF(AND(ROUND($G1039,2)&lt;0,科目对照收入!$L5&lt;&gt;""),科目对照收入!$M5,科目对照收入!$D5)&amp;""</f>
        <v>健e卡</v>
      </c>
      <c r="G1039" s="49" t="n">
        <f aca="false">IF(COUNTIFS(输入平台!$A:$A,助手收入!$X49,输入平台!$B:$B,科目对照收入!$B5)&gt;0,ROUND(SUMIFS(输入平台!$C:$C,输入平台!$A:$A,助手收入!$X49,输入平台!$B:$B,科目对照收入!$B5),2),ROUND(海典汇总!$H$50,2))</f>
        <v>0</v>
      </c>
      <c r="H1039" s="49" t="str">
        <f aca="false">IF(ROUND($G1039,2)&gt;0,ROUND($G1039,2),"")</f>
        <v/>
      </c>
      <c r="I1039" s="49" t="str">
        <f aca="false">IF(ROUND($G1039,2)&lt;0,-ROUND($G1039,2),"")</f>
        <v/>
      </c>
      <c r="J1039" s="20" t="n">
        <f aca="false">IF(ROUND($G1039,2)=0,0,1)</f>
        <v>0</v>
      </c>
      <c r="K1039" s="20" t="str">
        <f aca="false">IF($J1039=0,"",SUM($J$1036:$J1039))</f>
        <v/>
      </c>
      <c r="L1039" s="20" t="str">
        <f aca="false">IF($K1039="","",$A1039*100+$K1039)</f>
        <v/>
      </c>
      <c r="M1039" s="48" t="str">
        <f aca="false">参数!$B$3</f>
        <v>7月收入</v>
      </c>
    </row>
    <row r="1040" customFormat="false" ht="13.5" hidden="false" customHeight="false" outlineLevel="0" collapsed="false">
      <c r="A1040" s="47" t="n">
        <v>48</v>
      </c>
      <c r="B1040" s="38" t="str">
        <f aca="false">助手收入!$B49</f>
        <v/>
      </c>
      <c r="C1040" s="48" t="str">
        <f aca="false">助手收入!$C49</f>
        <v>备用3</v>
      </c>
      <c r="D1040" s="48" t="str">
        <f aca="false">科目对照收入!$B6&amp;""</f>
        <v>医卡通</v>
      </c>
      <c r="E1040" s="48" t="str">
        <f aca="false">IF(AND(ROUND($G1040,2)&lt;0,科目对照收入!$L6&lt;&gt;""),科目对照收入!$L6,科目对照收入!$C6)&amp;""</f>
        <v>应收账款</v>
      </c>
      <c r="F1040" s="48" t="str">
        <f aca="false">IF(AND(ROUND($G1040,2)&lt;0,科目对照收入!$L6&lt;&gt;""),科目对照收入!$M6,科目对照收入!$D6)&amp;""</f>
        <v>医卡通</v>
      </c>
      <c r="G1040" s="49" t="n">
        <f aca="false">IF(COUNTIFS(输入平台!$A:$A,助手收入!$X49,输入平台!$B:$B,科目对照收入!$B6)&gt;0,ROUND(SUMIFS(输入平台!$C:$C,输入平台!$A:$A,助手收入!$X49,输入平台!$B:$B,科目对照收入!$B6),2),ROUND(海典汇总!$I$50,2))</f>
        <v>0</v>
      </c>
      <c r="H1040" s="49" t="str">
        <f aca="false">IF(ROUND($G1040,2)&gt;0,ROUND($G1040,2),"")</f>
        <v/>
      </c>
      <c r="I1040" s="49" t="str">
        <f aca="false">IF(ROUND($G1040,2)&lt;0,-ROUND($G1040,2),"")</f>
        <v/>
      </c>
      <c r="J1040" s="20" t="n">
        <f aca="false">IF(ROUND($G1040,2)=0,0,1)</f>
        <v>0</v>
      </c>
      <c r="K1040" s="20" t="str">
        <f aca="false">IF($J1040=0,"",SUM($J$1036:$J1040))</f>
        <v/>
      </c>
      <c r="L1040" s="20" t="str">
        <f aca="false">IF($K1040="","",$A1040*100+$K1040)</f>
        <v/>
      </c>
      <c r="M1040" s="48" t="str">
        <f aca="false">参数!$B$3</f>
        <v>7月收入</v>
      </c>
    </row>
    <row r="1041" customFormat="false" ht="13.5" hidden="false" customHeight="false" outlineLevel="0" collapsed="false">
      <c r="A1041" s="47" t="n">
        <v>48</v>
      </c>
      <c r="B1041" s="38" t="str">
        <f aca="false">助手收入!$B49</f>
        <v/>
      </c>
      <c r="C1041" s="48" t="str">
        <f aca="false">助手收入!$C49</f>
        <v>备用3</v>
      </c>
      <c r="D1041" s="48" t="str">
        <f aca="false">科目对照收入!$B7&amp;""</f>
        <v>企健网</v>
      </c>
      <c r="E1041" s="48" t="str">
        <f aca="false">IF(AND(ROUND($G1041,2)&lt;0,科目对照收入!$L7&lt;&gt;""),科目对照收入!$L7,科目对照收入!$C7)&amp;""</f>
        <v>应收账款</v>
      </c>
      <c r="F1041" s="48" t="str">
        <f aca="false">IF(AND(ROUND($G1041,2)&lt;0,科目对照收入!$L7&lt;&gt;""),科目对照收入!$M7,科目对照收入!$D7)&amp;""</f>
        <v>企健网</v>
      </c>
      <c r="G1041" s="49" t="n">
        <f aca="false">IF(COUNTIFS(输入平台!$A:$A,助手收入!$X49,输入平台!$B:$B,科目对照收入!$B7)&gt;0,ROUND(SUMIFS(输入平台!$C:$C,输入平台!$A:$A,助手收入!$X49,输入平台!$B:$B,科目对照收入!$B7),2),ROUND(海典汇总!$J$50,2))</f>
        <v>0</v>
      </c>
      <c r="H1041" s="49" t="str">
        <f aca="false">IF(ROUND($G1041,2)&gt;0,ROUND($G1041,2),"")</f>
        <v/>
      </c>
      <c r="I1041" s="49" t="str">
        <f aca="false">IF(ROUND($G1041,2)&lt;0,-ROUND($G1041,2),"")</f>
        <v/>
      </c>
      <c r="J1041" s="20" t="n">
        <f aca="false">IF(ROUND($G1041,2)=0,0,1)</f>
        <v>0</v>
      </c>
      <c r="K1041" s="20" t="str">
        <f aca="false">IF($J1041=0,"",SUM($J$1036:$J1041))</f>
        <v/>
      </c>
      <c r="L1041" s="20" t="str">
        <f aca="false">IF($K1041="","",$A1041*100+$K1041)</f>
        <v/>
      </c>
      <c r="M1041" s="48" t="str">
        <f aca="false">参数!$B$3</f>
        <v>7月收入</v>
      </c>
    </row>
    <row r="1042" customFormat="false" ht="13.5" hidden="false" customHeight="false" outlineLevel="0" collapsed="false">
      <c r="A1042" s="47" t="n">
        <v>48</v>
      </c>
      <c r="B1042" s="38" t="str">
        <f aca="false">助手收入!$B49</f>
        <v/>
      </c>
      <c r="C1042" s="48" t="str">
        <f aca="false">助手收入!$C49</f>
        <v>备用3</v>
      </c>
      <c r="D1042" s="48" t="str">
        <f aca="false">科目对照收入!$B8&amp;""</f>
        <v>亲情卡</v>
      </c>
      <c r="E1042" s="48" t="str">
        <f aca="false">IF(AND(ROUND($G1042,2)&lt;0,科目对照收入!$L8&lt;&gt;""),科目对照收入!$L8,科目对照收入!$C8)&amp;""</f>
        <v>应收账款</v>
      </c>
      <c r="F1042" s="48" t="str">
        <f aca="false">IF(AND(ROUND($G1042,2)&lt;0,科目对照收入!$L8&lt;&gt;""),科目对照收入!$M8,科目对照收入!$D8)&amp;""</f>
        <v>亲情卡</v>
      </c>
      <c r="G1042" s="49" t="n">
        <f aca="false">IF(COUNTIFS(输入平台!$A:$A,助手收入!$X49,输入平台!$B:$B,科目对照收入!$B8)&gt;0,ROUND(SUMIFS(输入平台!$C:$C,输入平台!$A:$A,助手收入!$X49,输入平台!$B:$B,科目对照收入!$B8),2),ROUND(海典汇总!$Z$50,2))</f>
        <v>0</v>
      </c>
      <c r="H1042" s="49" t="str">
        <f aca="false">IF(ROUND($G1042,2)&gt;0,ROUND($G1042,2),"")</f>
        <v/>
      </c>
      <c r="I1042" s="49" t="str">
        <f aca="false">IF(ROUND($G1042,2)&lt;0,-ROUND($G1042,2),"")</f>
        <v/>
      </c>
      <c r="J1042" s="20" t="n">
        <f aca="false">IF(ROUND($G1042,2)=0,0,1)</f>
        <v>0</v>
      </c>
      <c r="K1042" s="20" t="str">
        <f aca="false">IF($J1042=0,"",SUM($J$1036:$J1042))</f>
        <v/>
      </c>
      <c r="L1042" s="20" t="str">
        <f aca="false">IF($K1042="","",$A1042*100+$K1042)</f>
        <v/>
      </c>
      <c r="M1042" s="48" t="str">
        <f aca="false">参数!$B$3</f>
        <v>7月收入</v>
      </c>
    </row>
    <row r="1043" customFormat="false" ht="13.5" hidden="false" customHeight="false" outlineLevel="0" collapsed="false">
      <c r="A1043" s="47" t="n">
        <v>48</v>
      </c>
      <c r="B1043" s="38" t="str">
        <f aca="false">助手收入!$B49</f>
        <v/>
      </c>
      <c r="C1043" s="48" t="str">
        <f aca="false">助手收入!$C49</f>
        <v>备用3</v>
      </c>
      <c r="D1043" s="48" t="str">
        <f aca="false">科目对照收入!$B9&amp;""</f>
        <v>24小时</v>
      </c>
      <c r="E1043" s="48" t="str">
        <f aca="false">IF(AND(ROUND($G1043,2)&lt;0,科目对照收入!$L9&lt;&gt;""),科目对照收入!$L9,科目对照收入!$C9)&amp;""</f>
        <v>应收账款</v>
      </c>
      <c r="F1043" s="48" t="str">
        <f aca="false">IF(AND(ROUND($G1043,2)&lt;0,科目对照收入!$L9&lt;&gt;""),科目对照收入!$M9,科目对照收入!$D9)&amp;""</f>
        <v>24小时</v>
      </c>
      <c r="G1043" s="49" t="n">
        <f aca="false">IF(COUNTIFS(输入平台!$A:$A,助手收入!$X49,输入平台!$B:$B,科目对照收入!$B9)&gt;0,ROUND(SUMIFS(输入平台!$C:$C,输入平台!$A:$A,助手收入!$X49,输入平台!$B:$B,科目对照收入!$B9),2),ROUND(海典汇总!$K$50,2))</f>
        <v>0</v>
      </c>
      <c r="H1043" s="49" t="str">
        <f aca="false">IF(ROUND($G1043,2)&gt;0,ROUND($G1043,2),"")</f>
        <v/>
      </c>
      <c r="I1043" s="49" t="str">
        <f aca="false">IF(ROUND($G1043,2)&lt;0,-ROUND($G1043,2),"")</f>
        <v/>
      </c>
      <c r="J1043" s="20" t="n">
        <f aca="false">IF(ROUND($G1043,2)=0,0,1)</f>
        <v>0</v>
      </c>
      <c r="K1043" s="20" t="str">
        <f aca="false">IF($J1043=0,"",SUM($J$1036:$J1043))</f>
        <v/>
      </c>
      <c r="L1043" s="20" t="str">
        <f aca="false">IF($K1043="","",$A1043*100+$K1043)</f>
        <v/>
      </c>
      <c r="M1043" s="48" t="str">
        <f aca="false">参数!$B$3</f>
        <v>7月收入</v>
      </c>
    </row>
    <row r="1044" customFormat="false" ht="13.5" hidden="false" customHeight="false" outlineLevel="0" collapsed="false">
      <c r="A1044" s="47" t="n">
        <v>48</v>
      </c>
      <c r="B1044" s="38" t="str">
        <f aca="false">助手收入!$B49</f>
        <v/>
      </c>
      <c r="C1044" s="48" t="str">
        <f aca="false">助手收入!$C49</f>
        <v>备用3</v>
      </c>
      <c r="D1044" s="48" t="str">
        <f aca="false">科目对照收入!$B10&amp;""</f>
        <v>美团</v>
      </c>
      <c r="E1044" s="48" t="str">
        <f aca="false">IF(AND(ROUND($G1044,2)&lt;0,科目对照收入!$L10&lt;&gt;""),科目对照收入!$L10,科目对照收入!$C10)&amp;""</f>
        <v>应收账款</v>
      </c>
      <c r="F1044" s="48" t="str">
        <f aca="false">IF(AND(ROUND($G1044,2)&lt;0,科目对照收入!$L10&lt;&gt;""),科目对照收入!$M10,科目对照收入!$D10)&amp;""</f>
        <v>美团</v>
      </c>
      <c r="G1044" s="49" t="n">
        <f aca="false">IF(COUNTIFS(输入平台!$A:$A,助手收入!$X49,输入平台!$B:$B,科目对照收入!$B10)&gt;0,ROUND(SUMIFS(输入平台!$C:$C,输入平台!$A:$A,助手收入!$X49,输入平台!$B:$B,科目对照收入!$B10),2),ROUND(海典汇总!$M$50,2))</f>
        <v>0</v>
      </c>
      <c r="H1044" s="49" t="str">
        <f aca="false">IF(ROUND($G1044,2)&gt;0,ROUND($G1044,2),"")</f>
        <v/>
      </c>
      <c r="I1044" s="49" t="str">
        <f aca="false">IF(ROUND($G1044,2)&lt;0,-ROUND($G1044,2),"")</f>
        <v/>
      </c>
      <c r="J1044" s="20" t="n">
        <f aca="false">IF(ROUND($G1044,2)=0,0,1)</f>
        <v>0</v>
      </c>
      <c r="K1044" s="20" t="str">
        <f aca="false">IF($J1044=0,"",SUM($J$1036:$J1044))</f>
        <v/>
      </c>
      <c r="L1044" s="20" t="str">
        <f aca="false">IF($K1044="","",$A1044*100+$K1044)</f>
        <v/>
      </c>
      <c r="M1044" s="48" t="str">
        <f aca="false">参数!$B$3</f>
        <v>7月收入</v>
      </c>
    </row>
    <row r="1045" customFormat="false" ht="13.5" hidden="false" customHeight="false" outlineLevel="0" collapsed="false">
      <c r="A1045" s="47" t="n">
        <v>48</v>
      </c>
      <c r="B1045" s="38" t="str">
        <f aca="false">助手收入!$B49</f>
        <v/>
      </c>
      <c r="C1045" s="48" t="str">
        <f aca="false">助手收入!$C49</f>
        <v>备用3</v>
      </c>
      <c r="D1045" s="48" t="str">
        <f aca="false">科目对照收入!$B11&amp;""</f>
        <v>饿了么</v>
      </c>
      <c r="E1045" s="48" t="str">
        <f aca="false">IF(AND(ROUND($G1045,2)&lt;0,科目对照收入!$L11&lt;&gt;""),科目对照收入!$L11,科目对照收入!$C11)&amp;""</f>
        <v>应收账款</v>
      </c>
      <c r="F1045" s="48" t="str">
        <f aca="false">IF(AND(ROUND($G1045,2)&lt;0,科目对照收入!$L11&lt;&gt;""),科目对照收入!$M11,科目对照收入!$D11)&amp;""</f>
        <v>饿了么</v>
      </c>
      <c r="G1045" s="49" t="n">
        <f aca="false">IF(COUNTIFS(输入平台!$A:$A,助手收入!$X49,输入平台!$B:$B,科目对照收入!$B11)&gt;0,ROUND(SUMIFS(输入平台!$C:$C,输入平台!$A:$A,助手收入!$X49,输入平台!$B:$B,科目对照收入!$B11),2),ROUND(海典汇总!$N$50,2))</f>
        <v>0</v>
      </c>
      <c r="H1045" s="49" t="str">
        <f aca="false">IF(ROUND($G1045,2)&gt;0,ROUND($G1045,2),"")</f>
        <v/>
      </c>
      <c r="I1045" s="49" t="str">
        <f aca="false">IF(ROUND($G1045,2)&lt;0,-ROUND($G1045,2),"")</f>
        <v/>
      </c>
      <c r="J1045" s="20" t="n">
        <f aca="false">IF(ROUND($G1045,2)=0,0,1)</f>
        <v>0</v>
      </c>
      <c r="K1045" s="20" t="str">
        <f aca="false">IF($J1045=0,"",SUM($J$1036:$J1045))</f>
        <v/>
      </c>
      <c r="L1045" s="20" t="str">
        <f aca="false">IF($K1045="","",$A1045*100+$K1045)</f>
        <v/>
      </c>
      <c r="M1045" s="48" t="str">
        <f aca="false">参数!$B$3</f>
        <v>7月收入</v>
      </c>
    </row>
    <row r="1046" customFormat="false" ht="13.5" hidden="false" customHeight="false" outlineLevel="0" collapsed="false">
      <c r="A1046" s="47" t="n">
        <v>48</v>
      </c>
      <c r="B1046" s="38" t="str">
        <f aca="false">助手收入!$B49</f>
        <v/>
      </c>
      <c r="C1046" s="48" t="str">
        <f aca="false">助手收入!$C49</f>
        <v>备用3</v>
      </c>
      <c r="D1046" s="48" t="str">
        <f aca="false">科目对照收入!$B12&amp;""</f>
        <v>京东秒送</v>
      </c>
      <c r="E1046" s="48" t="str">
        <f aca="false">IF(AND(ROUND($G1046,2)&lt;0,科目对照收入!$L12&lt;&gt;""),科目对照收入!$L12,科目对照收入!$C12)&amp;""</f>
        <v>应收账款</v>
      </c>
      <c r="F1046" s="48" t="str">
        <f aca="false">IF(AND(ROUND($G1046,2)&lt;0,科目对照收入!$L12&lt;&gt;""),科目对照收入!$M12,科目对照收入!$D12)&amp;""</f>
        <v>京东秒送</v>
      </c>
      <c r="G1046" s="49" t="n">
        <f aca="false">IF(COUNTIFS(输入平台!$A:$A,助手收入!$X49,输入平台!$B:$B,科目对照收入!$B12)&gt;0,ROUND(SUMIFS(输入平台!$C:$C,输入平台!$A:$A,助手收入!$X49,输入平台!$B:$B,科目对照收入!$B12),2),ROUND(海典汇总!$O$50,2))</f>
        <v>0</v>
      </c>
      <c r="H1046" s="49" t="str">
        <f aca="false">IF(ROUND($G1046,2)&gt;0,ROUND($G1046,2),"")</f>
        <v/>
      </c>
      <c r="I1046" s="49" t="str">
        <f aca="false">IF(ROUND($G1046,2)&lt;0,-ROUND($G1046,2),"")</f>
        <v/>
      </c>
      <c r="J1046" s="20" t="n">
        <f aca="false">IF(ROUND($G1046,2)=0,0,1)</f>
        <v>0</v>
      </c>
      <c r="K1046" s="20" t="str">
        <f aca="false">IF($J1046=0,"",SUM($J$1036:$J1046))</f>
        <v/>
      </c>
      <c r="L1046" s="20" t="str">
        <f aca="false">IF($K1046="","",$A1046*100+$K1046)</f>
        <v/>
      </c>
      <c r="M1046" s="48" t="str">
        <f aca="false">参数!$B$3</f>
        <v>7月收入</v>
      </c>
    </row>
    <row r="1047" customFormat="false" ht="13.5" hidden="false" customHeight="false" outlineLevel="0" collapsed="false">
      <c r="A1047" s="47" t="n">
        <v>48</v>
      </c>
      <c r="B1047" s="38" t="str">
        <f aca="false">助手收入!$B49</f>
        <v/>
      </c>
      <c r="C1047" s="48" t="str">
        <f aca="false">助手收入!$C49</f>
        <v>备用3</v>
      </c>
      <c r="D1047" s="48" t="str">
        <f aca="false">科目对照收入!$B13&amp;""</f>
        <v>银联</v>
      </c>
      <c r="E1047" s="48" t="str">
        <f aca="false">IF(AND(ROUND($G1047,2)&lt;0,科目对照收入!$L13&lt;&gt;""),科目对照收入!$L13,科目对照收入!$C13)&amp;""</f>
        <v>应收账款</v>
      </c>
      <c r="F1047" s="48" t="str">
        <f aca="false">IF(AND(ROUND($G1047,2)&lt;0,科目对照收入!$L13&lt;&gt;""),科目对照收入!$M13,科目对照收入!$D13)&amp;""</f>
        <v>银联</v>
      </c>
      <c r="G1047" s="49" t="n">
        <f aca="false">IF(COUNTIFS(输入平台!$A:$A,助手收入!$X49,输入平台!$B:$B,科目对照收入!$B13)&gt;0,ROUND(SUMIFS(输入平台!$C:$C,输入平台!$A:$A,助手收入!$X49,输入平台!$B:$B,科目对照收入!$B13),2),ROUND(海典汇总!$V$50,2))</f>
        <v>0</v>
      </c>
      <c r="H1047" s="49" t="str">
        <f aca="false">IF(ROUND($G1047,2)&gt;0,ROUND($G1047,2),"")</f>
        <v/>
      </c>
      <c r="I1047" s="49" t="str">
        <f aca="false">IF(ROUND($G1047,2)&lt;0,-ROUND($G1047,2),"")</f>
        <v/>
      </c>
      <c r="J1047" s="20" t="n">
        <f aca="false">IF(ROUND($G1047,2)=0,0,1)</f>
        <v>0</v>
      </c>
      <c r="K1047" s="20" t="str">
        <f aca="false">IF($J1047=0,"",SUM($J$1036:$J1047))</f>
        <v/>
      </c>
      <c r="L1047" s="20" t="str">
        <f aca="false">IF($K1047="","",$A1047*100+$K1047)</f>
        <v/>
      </c>
      <c r="M1047" s="48" t="str">
        <f aca="false">参数!$B$3</f>
        <v>7月收入</v>
      </c>
    </row>
    <row r="1048" customFormat="false" ht="13.5" hidden="false" customHeight="false" outlineLevel="0" collapsed="false">
      <c r="A1048" s="47" t="n">
        <v>48</v>
      </c>
      <c r="B1048" s="38" t="str">
        <f aca="false">助手收入!$B49</f>
        <v/>
      </c>
      <c r="C1048" s="48" t="str">
        <f aca="false">助手收入!$C49</f>
        <v>备用3</v>
      </c>
      <c r="D1048" s="48" t="str">
        <f aca="false">科目对照收入!$B14&amp;""</f>
        <v>小镇外卖</v>
      </c>
      <c r="E1048" s="48" t="str">
        <f aca="false">IF(AND(ROUND($G1048,2)&lt;0,科目对照收入!$L14&lt;&gt;""),科目对照收入!$L14,科目对照收入!$C14)&amp;""</f>
        <v>应收账款</v>
      </c>
      <c r="F1048" s="48" t="str">
        <f aca="false">IF(AND(ROUND($G1048,2)&lt;0,科目对照收入!$L14&lt;&gt;""),科目对照收入!$M14,科目对照收入!$D14)&amp;""</f>
        <v>小镇外卖</v>
      </c>
      <c r="G1048" s="49" t="n">
        <f aca="false">IF(COUNTIFS(输入平台!$A:$A,助手收入!$X49,输入平台!$B:$B,科目对照收入!$B14)&gt;0,ROUND(SUMIFS(输入平台!$C:$C,输入平台!$A:$A,助手收入!$X49,输入平台!$B:$B,科目对照收入!$B14),2),ROUND(海典汇总!$AC$50,2))</f>
        <v>0</v>
      </c>
      <c r="H1048" s="49" t="str">
        <f aca="false">IF(ROUND($G1048,2)&gt;0,ROUND($G1048,2),"")</f>
        <v/>
      </c>
      <c r="I1048" s="49" t="str">
        <f aca="false">IF(ROUND($G1048,2)&lt;0,-ROUND($G1048,2),"")</f>
        <v/>
      </c>
      <c r="J1048" s="20" t="n">
        <f aca="false">IF(ROUND($G1048,2)=0,0,1)</f>
        <v>0</v>
      </c>
      <c r="K1048" s="20" t="str">
        <f aca="false">IF($J1048=0,"",SUM($J$1036:$J1048))</f>
        <v/>
      </c>
      <c r="L1048" s="20" t="str">
        <f aca="false">IF($K1048="","",$A1048*100+$K1048)</f>
        <v/>
      </c>
      <c r="M1048" s="48" t="str">
        <f aca="false">参数!$B$3</f>
        <v>7月收入</v>
      </c>
    </row>
    <row r="1049" customFormat="false" ht="13.5" hidden="false" customHeight="false" outlineLevel="0" collapsed="false">
      <c r="A1049" s="47" t="n">
        <v>48</v>
      </c>
      <c r="B1049" s="38" t="str">
        <f aca="false">助手收入!$B49</f>
        <v/>
      </c>
      <c r="C1049" s="48" t="str">
        <f aca="false">助手收入!$C49</f>
        <v>备用3</v>
      </c>
      <c r="D1049" s="48" t="str">
        <f aca="false">科目对照收入!$B15&amp;""</f>
        <v>OMS线上支付</v>
      </c>
      <c r="E1049" s="48" t="str">
        <f aca="false">IF(AND(ROUND($G1049,2)&lt;0,科目对照收入!$L15&lt;&gt;""),科目对照收入!$L15,科目对照收入!$C15)&amp;""</f>
        <v>应收账款</v>
      </c>
      <c r="F1049" s="48" t="str">
        <f aca="false">IF(AND(ROUND($G1049,2)&lt;0,科目对照收入!$L15&lt;&gt;""),科目对照收入!$M15,科目对照收入!$D15)&amp;""</f>
        <v>OMS线上</v>
      </c>
      <c r="G1049" s="49" t="n">
        <f aca="false">IF(COUNTIFS(输入平台!$A:$A,助手收入!$X49,输入平台!$B:$B,科目对照收入!$B15)&gt;0,ROUND(SUMIFS(输入平台!$C:$C,输入平台!$A:$A,助手收入!$X49,输入平台!$B:$B,科目对照收入!$B15),2),ROUND(海典汇总!$L$50,2))</f>
        <v>0</v>
      </c>
      <c r="H1049" s="49" t="str">
        <f aca="false">IF(ROUND($G1049,2)&gt;0,ROUND($G1049,2),"")</f>
        <v/>
      </c>
      <c r="I1049" s="49" t="str">
        <f aca="false">IF(ROUND($G1049,2)&lt;0,-ROUND($G1049,2),"")</f>
        <v/>
      </c>
      <c r="J1049" s="20" t="n">
        <f aca="false">IF(ROUND($G1049,2)=0,0,1)</f>
        <v>0</v>
      </c>
      <c r="K1049" s="20" t="str">
        <f aca="false">IF($J1049=0,"",SUM($J$1036:$J1049))</f>
        <v/>
      </c>
      <c r="L1049" s="20" t="str">
        <f aca="false">IF($K1049="","",$A1049*100+$K1049)</f>
        <v/>
      </c>
      <c r="M1049" s="48" t="str">
        <f aca="false">参数!$B$3</f>
        <v>7月收入</v>
      </c>
    </row>
    <row r="1050" customFormat="false" ht="13.5" hidden="false" customHeight="false" outlineLevel="0" collapsed="false">
      <c r="A1050" s="47" t="n">
        <v>48</v>
      </c>
      <c r="B1050" s="38" t="str">
        <f aca="false">助手收入!$B49</f>
        <v/>
      </c>
      <c r="C1050" s="48" t="str">
        <f aca="false">助手收入!$C49</f>
        <v>备用3</v>
      </c>
      <c r="D1050" s="48" t="str">
        <f aca="false">科目对照收入!$B16&amp;""</f>
        <v>平安药卡</v>
      </c>
      <c r="E1050" s="48" t="str">
        <f aca="false">IF(AND(ROUND($G1050,2)&lt;0,科目对照收入!$L16&lt;&gt;""),科目对照收入!$L16,科目对照收入!$C16)&amp;""</f>
        <v>应收账款</v>
      </c>
      <c r="F1050" s="48" t="str">
        <f aca="false">IF(AND(ROUND($G1050,2)&lt;0,科目对照收入!$L16&lt;&gt;""),科目对照收入!$M16,科目对照收入!$D16)&amp;""</f>
        <v>平安</v>
      </c>
      <c r="G1050" s="49" t="n">
        <f aca="false">IF(COUNTIFS(输入平台!$A:$A,助手收入!$X49,输入平台!$B:$B,科目对照收入!$B16)&gt;0,ROUND(SUMIFS(输入平台!$C:$C,输入平台!$A:$A,助手收入!$X49,输入平台!$B:$B,科目对照收入!$B16),2),ROUND(海典汇总!$AB$50,2))</f>
        <v>0</v>
      </c>
      <c r="H1050" s="49" t="str">
        <f aca="false">IF(ROUND($G1050,2)&gt;0,ROUND($G1050,2),"")</f>
        <v/>
      </c>
      <c r="I1050" s="49" t="str">
        <f aca="false">IF(ROUND($G1050,2)&lt;0,-ROUND($G1050,2),"")</f>
        <v/>
      </c>
      <c r="J1050" s="20" t="n">
        <f aca="false">IF(ROUND($G1050,2)=0,0,1)</f>
        <v>0</v>
      </c>
      <c r="K1050" s="20" t="str">
        <f aca="false">IF($J1050=0,"",SUM($J$1036:$J1050))</f>
        <v/>
      </c>
      <c r="L1050" s="20" t="str">
        <f aca="false">IF($K1050="","",$A1050*100+$K1050)</f>
        <v/>
      </c>
      <c r="M1050" s="48" t="str">
        <f aca="false">参数!$B$3</f>
        <v>7月收入</v>
      </c>
    </row>
    <row r="1051" customFormat="false" ht="13.5" hidden="false" customHeight="false" outlineLevel="0" collapsed="false">
      <c r="A1051" s="47" t="n">
        <v>48</v>
      </c>
      <c r="B1051" s="38" t="str">
        <f aca="false">助手收入!$B49</f>
        <v/>
      </c>
      <c r="C1051" s="48" t="str">
        <f aca="false">助手收入!$C49</f>
        <v>备用3</v>
      </c>
      <c r="D1051" s="48" t="str">
        <f aca="false">科目对照收入!$B17&amp;""</f>
        <v>储值卡</v>
      </c>
      <c r="E1051" s="48" t="str">
        <f aca="false">IF(AND(ROUND($G1051,2)&lt;0,科目对照收入!$L17&lt;&gt;""),科目对照收入!$L17,科目对照收入!$C17)&amp;""</f>
        <v>其他应收款</v>
      </c>
      <c r="F1051" s="48" t="str">
        <f aca="false">IF(AND(ROUND($G1051,2)&lt;0,科目对照收入!$L17&lt;&gt;""),科目对照收入!$M17,科目对照收入!$D17)&amp;""</f>
        <v>储值卡</v>
      </c>
      <c r="G1051" s="49" t="n">
        <f aca="false">ROUND(海典汇总!$Q$50,2)</f>
        <v>0</v>
      </c>
      <c r="H1051" s="49" t="str">
        <f aca="false">IF(ROUND($G1051,2)&gt;0,ROUND($G1051,2),"")</f>
        <v/>
      </c>
      <c r="I1051" s="49" t="str">
        <f aca="false">IF(ROUND($G1051,2)&lt;0,-ROUND($G1051,2),"")</f>
        <v/>
      </c>
      <c r="J1051" s="20" t="n">
        <f aca="false">IF(ROUND($G1051,2)=0,0,1)</f>
        <v>0</v>
      </c>
      <c r="K1051" s="20" t="str">
        <f aca="false">IF($J1051=0,"",SUM($J$1036:$J1051))</f>
        <v/>
      </c>
      <c r="L1051" s="20" t="str">
        <f aca="false">IF($K1051="","",$A1051*100+$K1051)</f>
        <v/>
      </c>
      <c r="M1051" s="48" t="str">
        <f aca="false">参数!$B$3</f>
        <v>7月收入</v>
      </c>
    </row>
    <row r="1052" customFormat="false" ht="13.5" hidden="false" customHeight="false" outlineLevel="0" collapsed="false">
      <c r="A1052" s="47" t="n">
        <v>48</v>
      </c>
      <c r="B1052" s="38" t="str">
        <f aca="false">助手收入!$B49</f>
        <v/>
      </c>
      <c r="C1052" s="48" t="str">
        <f aca="false">助手收入!$C49</f>
        <v>备用3</v>
      </c>
      <c r="D1052" s="48" t="str">
        <f aca="false">科目对照收入!$B18&amp;""</f>
        <v>会员零钱包</v>
      </c>
      <c r="E1052" s="48" t="str">
        <f aca="false">IF(AND(ROUND($G1052,2)&lt;0,科目对照收入!$L18&lt;&gt;""),科目对照收入!$L18,科目对照收入!$C18)&amp;""</f>
        <v>其他应收款</v>
      </c>
      <c r="F1052" s="48" t="str">
        <f aca="false">IF(AND(ROUND($G1052,2)&lt;0,科目对照收入!$L18&lt;&gt;""),科目对照收入!$M18,科目对照收入!$D18)&amp;""</f>
        <v>会员零钱包</v>
      </c>
      <c r="G1052" s="49" t="n">
        <f aca="false">ROUND(海典汇总!$P$50,2)</f>
        <v>0</v>
      </c>
      <c r="H1052" s="49" t="str">
        <f aca="false">IF(ROUND($G1052,2)&gt;0,ROUND($G1052,2),"")</f>
        <v/>
      </c>
      <c r="I1052" s="49" t="str">
        <f aca="false">IF(ROUND($G1052,2)&lt;0,-ROUND($G1052,2),"")</f>
        <v/>
      </c>
      <c r="J1052" s="20" t="n">
        <f aca="false">IF(ROUND($G1052,2)=0,0,1)</f>
        <v>0</v>
      </c>
      <c r="K1052" s="20" t="str">
        <f aca="false">IF($J1052=0,"",SUM($J$1036:$J1052))</f>
        <v/>
      </c>
      <c r="L1052" s="20" t="str">
        <f aca="false">IF($K1052="","",$A1052*100+$K1052)</f>
        <v/>
      </c>
      <c r="M1052" s="48" t="str">
        <f aca="false">参数!$B$3</f>
        <v>7月收入</v>
      </c>
    </row>
    <row r="1053" customFormat="false" ht="13.5" hidden="false" customHeight="false" outlineLevel="0" collapsed="false">
      <c r="A1053" s="47" t="n">
        <v>48</v>
      </c>
      <c r="B1053" s="38" t="str">
        <f aca="false">助手收入!$B49</f>
        <v/>
      </c>
      <c r="C1053" s="48" t="str">
        <f aca="false">助手收入!$C49</f>
        <v>备用3</v>
      </c>
      <c r="D1053" s="48" t="str">
        <f aca="false">科目对照收入!$B19&amp;""</f>
        <v>促销费</v>
      </c>
      <c r="E1053" s="48" t="str">
        <f aca="false">IF(AND(ROUND($G1053,2)&lt;0,科目对照收入!$L19&lt;&gt;""),科目对照收入!$L19,科目对照收入!$C19)&amp;""</f>
        <v>销售费用</v>
      </c>
      <c r="F1053" s="48" t="str">
        <f aca="false">IF(AND(ROUND($G1053,2)&lt;0,科目对照收入!$L19&lt;&gt;""),科目对照收入!$M19,科目对照收入!$D19)&amp;""</f>
        <v>促销费</v>
      </c>
      <c r="G1053" s="49" t="n">
        <f aca="false">ROUND(海典汇总!$U$50+海典汇总!$T$50+海典汇总!$S$50,2)</f>
        <v>0</v>
      </c>
      <c r="H1053" s="49" t="str">
        <f aca="false">IF(ROUND($G1053,2)&gt;0,ROUND($G1053,2),"")</f>
        <v/>
      </c>
      <c r="I1053" s="49" t="str">
        <f aca="false">IF(ROUND($G1053,2)&lt;0,-ROUND($G1053,2),"")</f>
        <v/>
      </c>
      <c r="J1053" s="20" t="n">
        <f aca="false">IF(ROUND($G1053,2)=0,0,1)</f>
        <v>0</v>
      </c>
      <c r="K1053" s="20" t="str">
        <f aca="false">IF($J1053=0,"",SUM($J$1036:$J1053))</f>
        <v/>
      </c>
      <c r="L1053" s="20" t="str">
        <f aca="false">IF($K1053="","",$A1053*100+$K1053)</f>
        <v/>
      </c>
      <c r="M1053" s="48" t="str">
        <f aca="false">参数!$B$3</f>
        <v>7月收入</v>
      </c>
    </row>
    <row r="1054" customFormat="false" ht="13.5" hidden="false" customHeight="false" outlineLevel="0" collapsed="false">
      <c r="A1054" s="47" t="n">
        <v>48</v>
      </c>
      <c r="B1054" s="38" t="str">
        <f aca="false">助手收入!$B49</f>
        <v/>
      </c>
      <c r="C1054" s="48" t="str">
        <f aca="false">助手收入!$C49</f>
        <v>备用3</v>
      </c>
      <c r="D1054" s="48" t="str">
        <f aca="false">科目对照收入!$B20&amp;""</f>
        <v>积分</v>
      </c>
      <c r="E1054" s="48" t="str">
        <f aca="false">IF(AND(ROUND($G1054,2)&lt;0,科目对照收入!$L20&lt;&gt;""),科目对照收入!$L20,科目对照收入!$C20)&amp;""</f>
        <v>销售费用</v>
      </c>
      <c r="F1054" s="48" t="str">
        <f aca="false">IF(AND(ROUND($G1054,2)&lt;0,科目对照收入!$L20&lt;&gt;""),科目对照收入!$M20,科目对照收入!$D20)&amp;""</f>
        <v>积分</v>
      </c>
      <c r="G1054" s="49" t="n">
        <f aca="false">ROUND(海典汇总!$R$50,2)</f>
        <v>0</v>
      </c>
      <c r="H1054" s="49" t="str">
        <f aca="false">IF(ROUND($G1054,2)&gt;0,ROUND($G1054,2),"")</f>
        <v/>
      </c>
      <c r="I1054" s="49" t="str">
        <f aca="false">IF(ROUND($G1054,2)&lt;0,-ROUND($G1054,2),"")</f>
        <v/>
      </c>
      <c r="J1054" s="20" t="n">
        <f aca="false">IF(ROUND($G1054,2)=0,0,1)</f>
        <v>0</v>
      </c>
      <c r="K1054" s="20" t="str">
        <f aca="false">IF($J1054=0,"",SUM($J$1036:$J1054))</f>
        <v/>
      </c>
      <c r="L1054" s="20" t="str">
        <f aca="false">IF($K1054="","",$A1054*100+$K1054)</f>
        <v/>
      </c>
      <c r="M1054" s="48" t="str">
        <f aca="false">参数!$B$3</f>
        <v>7月收入</v>
      </c>
    </row>
    <row r="1055" customFormat="false" ht="13.5" hidden="false" customHeight="false" outlineLevel="0" collapsed="false">
      <c r="A1055" s="47" t="n">
        <v>48</v>
      </c>
      <c r="B1055" s="38" t="str">
        <f aca="false">助手收入!$B49</f>
        <v/>
      </c>
      <c r="C1055" s="48" t="str">
        <f aca="false">助手收入!$C49</f>
        <v>备用3</v>
      </c>
      <c r="D1055" s="48" t="str">
        <f aca="false">科目对照收入!$B21&amp;""</f>
        <v>手续费</v>
      </c>
      <c r="E1055" s="48" t="str">
        <f aca="false">IF(AND(ROUND($G1055,2)&lt;0,科目对照收入!$L21&lt;&gt;""),科目对照收入!$L21,科目对照收入!$C21)&amp;""</f>
        <v>财务费用</v>
      </c>
      <c r="F1055" s="48" t="str">
        <f aca="false">IF(AND(ROUND($G1055,2)&lt;0,科目对照收入!$L21&lt;&gt;""),科目对照收入!$M21,科目对照收入!$D21)&amp;""</f>
        <v>手续费</v>
      </c>
      <c r="G1055" s="49" t="n">
        <f aca="false">ROUND(SUMIFS(输入聚合!$D:$D,输入聚合!$A:$A,助手收入!$X49),2)</f>
        <v>0</v>
      </c>
      <c r="H1055" s="49" t="str">
        <f aca="false">IF(ROUND($G1055,2)&gt;0,ROUND($G1055,2),"")</f>
        <v/>
      </c>
      <c r="I1055" s="49" t="str">
        <f aca="false">IF(ROUND($G1055,2)&lt;0,-ROUND($G1055,2),"")</f>
        <v/>
      </c>
      <c r="J1055" s="20" t="n">
        <f aca="false">IF(ROUND($G1055,2)=0,0,1)</f>
        <v>0</v>
      </c>
      <c r="K1055" s="20" t="str">
        <f aca="false">IF($J1055=0,"",SUM($J$1036:$J1055))</f>
        <v/>
      </c>
      <c r="L1055" s="20" t="str">
        <f aca="false">IF($K1055="","",$A1055*100+$K1055)</f>
        <v/>
      </c>
      <c r="M1055" s="48" t="str">
        <f aca="false">参数!$B$3</f>
        <v>7月收入</v>
      </c>
    </row>
    <row r="1056" customFormat="false" ht="13.5" hidden="false" customHeight="false" outlineLevel="0" collapsed="false">
      <c r="A1056" s="47" t="n">
        <v>48</v>
      </c>
      <c r="B1056" s="38" t="str">
        <f aca="false">助手收入!$B49</f>
        <v/>
      </c>
      <c r="C1056" s="48" t="str">
        <f aca="false">助手收入!$C49</f>
        <v>备用3</v>
      </c>
      <c r="D1056" s="48" t="str">
        <f aca="false">科目对照收入!$B22&amp;""</f>
        <v>主营业务收入</v>
      </c>
      <c r="E1056" s="48" t="str">
        <f aca="false">IF(AND(ROUND($G1056,2)&lt;0,科目对照收入!$L22&lt;&gt;""),科目对照收入!$L22,科目对照收入!$C22)&amp;""</f>
        <v>主营业务收入</v>
      </c>
      <c r="F1056" s="48" t="str">
        <f aca="false">IF(AND(ROUND($G1056,2)&lt;0,科目对照收入!$L22&lt;&gt;""),科目对照收入!$M22,科目对照收入!$D22)&amp;""</f>
        <v/>
      </c>
      <c r="G1056" s="49" t="n">
        <f aca="false">-ROUND(助手收入!$G49,2)</f>
        <v>-0</v>
      </c>
      <c r="H1056" s="49" t="str">
        <f aca="false">IF(ROUND($G1056,2)&gt;0,ROUND($G1056,2),"")</f>
        <v/>
      </c>
      <c r="I1056" s="49" t="str">
        <f aca="false">IF(ROUND($G1056,2)&lt;0,-ROUND($G1056,2),"")</f>
        <v/>
      </c>
      <c r="J1056" s="20" t="n">
        <f aca="false">IF(ROUND($G1056,2)=0,0,1)</f>
        <v>0</v>
      </c>
      <c r="K1056" s="20" t="str">
        <f aca="false">IF($J1056=0,"",SUM($J$1036:$J1056))</f>
        <v/>
      </c>
      <c r="L1056" s="20" t="str">
        <f aca="false">IF($K1056="","",$A1056*100+$K1056)</f>
        <v/>
      </c>
      <c r="M1056" s="48" t="str">
        <f aca="false">参数!$B$3</f>
        <v>7月收入</v>
      </c>
    </row>
    <row r="1057" customFormat="false" ht="13.5" hidden="false" customHeight="false" outlineLevel="0" collapsed="false">
      <c r="A1057" s="47" t="n">
        <v>48</v>
      </c>
      <c r="B1057" s="38" t="str">
        <f aca="false">助手收入!$B49</f>
        <v/>
      </c>
      <c r="C1057" s="48" t="str">
        <f aca="false">助手收入!$C49</f>
        <v>备用3</v>
      </c>
      <c r="D1057" s="48" t="str">
        <f aca="false">科目对照收入!$B23&amp;""</f>
        <v>营业外收入</v>
      </c>
      <c r="E1057" s="48" t="str">
        <f aca="false">IF(AND(ROUND($G1057,2)&lt;0,科目对照收入!$L23&lt;&gt;""),科目对照收入!$L23,科目对照收入!$C23)&amp;""</f>
        <v>营业外收入</v>
      </c>
      <c r="F1057" s="48" t="str">
        <f aca="false">IF(AND(ROUND($G1057,2)&lt;0,科目对照收入!$L23&lt;&gt;""),科目对照收入!$M23,科目对照收入!$D23)&amp;""</f>
        <v/>
      </c>
      <c r="G1057" s="49" t="n">
        <f aca="false">-ROUND(助手收入!$J49,2)</f>
        <v>-0</v>
      </c>
      <c r="H1057" s="49" t="str">
        <f aca="false">IF(ROUND($G1057,2)&gt;0,ROUND($G1057,2),"")</f>
        <v/>
      </c>
      <c r="I1057" s="49" t="str">
        <f aca="false">IF(ROUND($G1057,2)&lt;0,-ROUND($G1057,2),"")</f>
        <v/>
      </c>
      <c r="J1057" s="20" t="n">
        <f aca="false">IF(ROUND($G1057,2)=0,0,1)</f>
        <v>0</v>
      </c>
      <c r="K1057" s="20" t="str">
        <f aca="false">IF($J1057=0,"",SUM($J$1036:$J1057))</f>
        <v/>
      </c>
      <c r="L1057" s="20" t="str">
        <f aca="false">IF($K1057="","",$A1057*100+$K1057)</f>
        <v/>
      </c>
      <c r="M1057" s="48" t="str">
        <f aca="false">参数!$B$3</f>
        <v>7月收入</v>
      </c>
    </row>
    <row r="1058" customFormat="false" ht="13.5" hidden="false" customHeight="false" outlineLevel="0" collapsed="false">
      <c r="A1058" s="47" t="n">
        <v>49</v>
      </c>
      <c r="B1058" s="38" t="str">
        <f aca="false">助手收入!$B50</f>
        <v/>
      </c>
      <c r="C1058" s="48" t="str">
        <f aca="false">助手收入!$C50</f>
        <v>备用4</v>
      </c>
      <c r="D1058" s="48" t="str">
        <f aca="false">科目对照收入!$B2&amp;""</f>
        <v>库存现金</v>
      </c>
      <c r="E1058" s="48" t="str">
        <f aca="false">IF(AND(ROUND($G1058,2)&lt;0,科目对照收入!$L2&lt;&gt;""),科目对照收入!$L2,科目对照收入!$C2)&amp;""</f>
        <v>库存现金</v>
      </c>
      <c r="F1058" s="48" t="str">
        <f aca="false">IF(AND(ROUND($G1058,2)&lt;0,科目对照收入!$L2&lt;&gt;""),科目对照收入!$M2,科目对照收入!$D2)&amp;""</f>
        <v/>
      </c>
      <c r="G1058" s="49" t="n">
        <f aca="false">助手收入!$I50</f>
        <v>0</v>
      </c>
      <c r="H1058" s="49" t="str">
        <f aca="false">IF(ROUND($G1058,2)&gt;0,ROUND($G1058,2),"")</f>
        <v/>
      </c>
      <c r="I1058" s="49" t="str">
        <f aca="false">IF(ROUND($G1058,2)&lt;0,-ROUND($G1058,2),"")</f>
        <v/>
      </c>
      <c r="J1058" s="20" t="n">
        <f aca="false">IF(ROUND($G1058,2)=0,0,1)</f>
        <v>0</v>
      </c>
      <c r="K1058" s="20" t="str">
        <f aca="false">IF($J1058=0,"",SUM($J$1058:$J1058))</f>
        <v/>
      </c>
      <c r="L1058" s="20" t="str">
        <f aca="false">IF($K1058="","",$A1058*100+$K1058)</f>
        <v/>
      </c>
      <c r="M1058" s="48" t="str">
        <f aca="false">参数!$B$3</f>
        <v>7月收入</v>
      </c>
    </row>
    <row r="1059" customFormat="false" ht="13.5" hidden="false" customHeight="false" outlineLevel="0" collapsed="false">
      <c r="A1059" s="47" t="n">
        <v>49</v>
      </c>
      <c r="B1059" s="38" t="str">
        <f aca="false">助手收入!$B50</f>
        <v/>
      </c>
      <c r="C1059" s="48" t="str">
        <f aca="false">助手收入!$C50</f>
        <v>备用4</v>
      </c>
      <c r="D1059" s="48" t="str">
        <f aca="false">科目对照收入!$B3&amp;""</f>
        <v>聚合支付</v>
      </c>
      <c r="E1059" s="48" t="str">
        <f aca="false">IF(AND(ROUND($G1059,2)&lt;0,科目对照收入!$L3&lt;&gt;""),科目对照收入!$L3,科目对照收入!$C3)&amp;""</f>
        <v>应收账款</v>
      </c>
      <c r="F1059" s="48" t="str">
        <f aca="false">IF(AND(ROUND($G1059,2)&lt;0,科目对照收入!$L3&lt;&gt;""),科目对照收入!$M3,科目对照收入!$D3)&amp;""</f>
        <v>聚合支付</v>
      </c>
      <c r="G1059" s="49" t="n">
        <f aca="false">ROUND(SUMIFS(输入聚合!$C:$C,输入聚合!$A:$A,助手收入!$X50)-SUMIFS(输入聚合!$D:$D,输入聚合!$A:$A,助手收入!$X50),2)</f>
        <v>0</v>
      </c>
      <c r="H1059" s="49" t="str">
        <f aca="false">IF(ROUND($G1059,2)&gt;0,ROUND($G1059,2),"")</f>
        <v/>
      </c>
      <c r="I1059" s="49" t="str">
        <f aca="false">IF(ROUND($G1059,2)&lt;0,-ROUND($G1059,2),"")</f>
        <v/>
      </c>
      <c r="J1059" s="20" t="n">
        <f aca="false">IF(ROUND($G1059,2)=0,0,1)</f>
        <v>0</v>
      </c>
      <c r="K1059" s="20" t="str">
        <f aca="false">IF($J1059=0,"",SUM($J$1058:$J1059))</f>
        <v/>
      </c>
      <c r="L1059" s="20" t="str">
        <f aca="false">IF($K1059="","",$A1059*100+$K1059)</f>
        <v/>
      </c>
      <c r="M1059" s="48" t="str">
        <f aca="false">参数!$B$3</f>
        <v>7月收入</v>
      </c>
    </row>
    <row r="1060" customFormat="false" ht="13.5" hidden="false" customHeight="false" outlineLevel="0" collapsed="false">
      <c r="A1060" s="47" t="n">
        <v>49</v>
      </c>
      <c r="B1060" s="38" t="str">
        <f aca="false">助手收入!$B50</f>
        <v/>
      </c>
      <c r="C1060" s="48" t="str">
        <f aca="false">助手收入!$C50</f>
        <v>备用4</v>
      </c>
      <c r="D1060" s="48" t="str">
        <f aca="false">科目对照收入!$B4&amp;""</f>
        <v>医保</v>
      </c>
      <c r="E1060" s="48" t="str">
        <f aca="false">IF(AND(ROUND($G1060,2)&lt;0,科目对照收入!$L4&lt;&gt;""),科目对照收入!$L4,科目对照收入!$C4)&amp;""</f>
        <v>应收账款</v>
      </c>
      <c r="F1060" s="48" t="str">
        <f aca="false">IF(AND(ROUND($G1060,2)&lt;0,科目对照收入!$L4&lt;&gt;""),科目对照收入!$M4,科目对照收入!$D4)&amp;""</f>
        <v>医保</v>
      </c>
      <c r="G1060" s="49" t="n">
        <f aca="false">IF(COUNTIFS(输入平台!$A:$A,助手收入!$X50,输入平台!$B:$B,科目对照收入!$B4)&gt;0,ROUND(SUMIFS(输入平台!$C:$C,输入平台!$A:$A,助手收入!$X50,输入平台!$B:$B,科目对照收入!$B4),2),ROUND(海典汇总!$F$51+海典汇总!$G$51,2))</f>
        <v>0</v>
      </c>
      <c r="H1060" s="49" t="str">
        <f aca="false">IF(ROUND($G1060,2)&gt;0,ROUND($G1060,2),"")</f>
        <v/>
      </c>
      <c r="I1060" s="49" t="str">
        <f aca="false">IF(ROUND($G1060,2)&lt;0,-ROUND($G1060,2),"")</f>
        <v/>
      </c>
      <c r="J1060" s="20" t="n">
        <f aca="false">IF(ROUND($G1060,2)=0,0,1)</f>
        <v>0</v>
      </c>
      <c r="K1060" s="20" t="str">
        <f aca="false">IF($J1060=0,"",SUM($J$1058:$J1060))</f>
        <v/>
      </c>
      <c r="L1060" s="20" t="str">
        <f aca="false">IF($K1060="","",$A1060*100+$K1060)</f>
        <v/>
      </c>
      <c r="M1060" s="48" t="str">
        <f aca="false">参数!$B$3</f>
        <v>7月收入</v>
      </c>
    </row>
    <row r="1061" customFormat="false" ht="13.5" hidden="false" customHeight="false" outlineLevel="0" collapsed="false">
      <c r="A1061" s="47" t="n">
        <v>49</v>
      </c>
      <c r="B1061" s="38" t="str">
        <f aca="false">助手收入!$B50</f>
        <v/>
      </c>
      <c r="C1061" s="48" t="str">
        <f aca="false">助手收入!$C50</f>
        <v>备用4</v>
      </c>
      <c r="D1061" s="48" t="str">
        <f aca="false">科目对照收入!$B5&amp;""</f>
        <v>健e卡</v>
      </c>
      <c r="E1061" s="48" t="str">
        <f aca="false">IF(AND(ROUND($G1061,2)&lt;0,科目对照收入!$L5&lt;&gt;""),科目对照收入!$L5,科目对照收入!$C5)&amp;""</f>
        <v>应收账款</v>
      </c>
      <c r="F1061" s="48" t="str">
        <f aca="false">IF(AND(ROUND($G1061,2)&lt;0,科目对照收入!$L5&lt;&gt;""),科目对照收入!$M5,科目对照收入!$D5)&amp;""</f>
        <v>健e卡</v>
      </c>
      <c r="G1061" s="49" t="n">
        <f aca="false">IF(COUNTIFS(输入平台!$A:$A,助手收入!$X50,输入平台!$B:$B,科目对照收入!$B5)&gt;0,ROUND(SUMIFS(输入平台!$C:$C,输入平台!$A:$A,助手收入!$X50,输入平台!$B:$B,科目对照收入!$B5),2),ROUND(海典汇总!$H$51,2))</f>
        <v>0</v>
      </c>
      <c r="H1061" s="49" t="str">
        <f aca="false">IF(ROUND($G1061,2)&gt;0,ROUND($G1061,2),"")</f>
        <v/>
      </c>
      <c r="I1061" s="49" t="str">
        <f aca="false">IF(ROUND($G1061,2)&lt;0,-ROUND($G1061,2),"")</f>
        <v/>
      </c>
      <c r="J1061" s="20" t="n">
        <f aca="false">IF(ROUND($G1061,2)=0,0,1)</f>
        <v>0</v>
      </c>
      <c r="K1061" s="20" t="str">
        <f aca="false">IF($J1061=0,"",SUM($J$1058:$J1061))</f>
        <v/>
      </c>
      <c r="L1061" s="20" t="str">
        <f aca="false">IF($K1061="","",$A1061*100+$K1061)</f>
        <v/>
      </c>
      <c r="M1061" s="48" t="str">
        <f aca="false">参数!$B$3</f>
        <v>7月收入</v>
      </c>
    </row>
    <row r="1062" customFormat="false" ht="13.5" hidden="false" customHeight="false" outlineLevel="0" collapsed="false">
      <c r="A1062" s="47" t="n">
        <v>49</v>
      </c>
      <c r="B1062" s="38" t="str">
        <f aca="false">助手收入!$B50</f>
        <v/>
      </c>
      <c r="C1062" s="48" t="str">
        <f aca="false">助手收入!$C50</f>
        <v>备用4</v>
      </c>
      <c r="D1062" s="48" t="str">
        <f aca="false">科目对照收入!$B6&amp;""</f>
        <v>医卡通</v>
      </c>
      <c r="E1062" s="48" t="str">
        <f aca="false">IF(AND(ROUND($G1062,2)&lt;0,科目对照收入!$L6&lt;&gt;""),科目对照收入!$L6,科目对照收入!$C6)&amp;""</f>
        <v>应收账款</v>
      </c>
      <c r="F1062" s="48" t="str">
        <f aca="false">IF(AND(ROUND($G1062,2)&lt;0,科目对照收入!$L6&lt;&gt;""),科目对照收入!$M6,科目对照收入!$D6)&amp;""</f>
        <v>医卡通</v>
      </c>
      <c r="G1062" s="49" t="n">
        <f aca="false">IF(COUNTIFS(输入平台!$A:$A,助手收入!$X50,输入平台!$B:$B,科目对照收入!$B6)&gt;0,ROUND(SUMIFS(输入平台!$C:$C,输入平台!$A:$A,助手收入!$X50,输入平台!$B:$B,科目对照收入!$B6),2),ROUND(海典汇总!$I$51,2))</f>
        <v>0</v>
      </c>
      <c r="H1062" s="49" t="str">
        <f aca="false">IF(ROUND($G1062,2)&gt;0,ROUND($G1062,2),"")</f>
        <v/>
      </c>
      <c r="I1062" s="49" t="str">
        <f aca="false">IF(ROUND($G1062,2)&lt;0,-ROUND($G1062,2),"")</f>
        <v/>
      </c>
      <c r="J1062" s="20" t="n">
        <f aca="false">IF(ROUND($G1062,2)=0,0,1)</f>
        <v>0</v>
      </c>
      <c r="K1062" s="20" t="str">
        <f aca="false">IF($J1062=0,"",SUM($J$1058:$J1062))</f>
        <v/>
      </c>
      <c r="L1062" s="20" t="str">
        <f aca="false">IF($K1062="","",$A1062*100+$K1062)</f>
        <v/>
      </c>
      <c r="M1062" s="48" t="str">
        <f aca="false">参数!$B$3</f>
        <v>7月收入</v>
      </c>
    </row>
    <row r="1063" customFormat="false" ht="13.5" hidden="false" customHeight="false" outlineLevel="0" collapsed="false">
      <c r="A1063" s="47" t="n">
        <v>49</v>
      </c>
      <c r="B1063" s="38" t="str">
        <f aca="false">助手收入!$B50</f>
        <v/>
      </c>
      <c r="C1063" s="48" t="str">
        <f aca="false">助手收入!$C50</f>
        <v>备用4</v>
      </c>
      <c r="D1063" s="48" t="str">
        <f aca="false">科目对照收入!$B7&amp;""</f>
        <v>企健网</v>
      </c>
      <c r="E1063" s="48" t="str">
        <f aca="false">IF(AND(ROUND($G1063,2)&lt;0,科目对照收入!$L7&lt;&gt;""),科目对照收入!$L7,科目对照收入!$C7)&amp;""</f>
        <v>应收账款</v>
      </c>
      <c r="F1063" s="48" t="str">
        <f aca="false">IF(AND(ROUND($G1063,2)&lt;0,科目对照收入!$L7&lt;&gt;""),科目对照收入!$M7,科目对照收入!$D7)&amp;""</f>
        <v>企健网</v>
      </c>
      <c r="G1063" s="49" t="n">
        <f aca="false">IF(COUNTIFS(输入平台!$A:$A,助手收入!$X50,输入平台!$B:$B,科目对照收入!$B7)&gt;0,ROUND(SUMIFS(输入平台!$C:$C,输入平台!$A:$A,助手收入!$X50,输入平台!$B:$B,科目对照收入!$B7),2),ROUND(海典汇总!$J$51,2))</f>
        <v>0</v>
      </c>
      <c r="H1063" s="49" t="str">
        <f aca="false">IF(ROUND($G1063,2)&gt;0,ROUND($G1063,2),"")</f>
        <v/>
      </c>
      <c r="I1063" s="49" t="str">
        <f aca="false">IF(ROUND($G1063,2)&lt;0,-ROUND($G1063,2),"")</f>
        <v/>
      </c>
      <c r="J1063" s="20" t="n">
        <f aca="false">IF(ROUND($G1063,2)=0,0,1)</f>
        <v>0</v>
      </c>
      <c r="K1063" s="20" t="str">
        <f aca="false">IF($J1063=0,"",SUM($J$1058:$J1063))</f>
        <v/>
      </c>
      <c r="L1063" s="20" t="str">
        <f aca="false">IF($K1063="","",$A1063*100+$K1063)</f>
        <v/>
      </c>
      <c r="M1063" s="48" t="str">
        <f aca="false">参数!$B$3</f>
        <v>7月收入</v>
      </c>
    </row>
    <row r="1064" customFormat="false" ht="13.5" hidden="false" customHeight="false" outlineLevel="0" collapsed="false">
      <c r="A1064" s="47" t="n">
        <v>49</v>
      </c>
      <c r="B1064" s="38" t="str">
        <f aca="false">助手收入!$B50</f>
        <v/>
      </c>
      <c r="C1064" s="48" t="str">
        <f aca="false">助手收入!$C50</f>
        <v>备用4</v>
      </c>
      <c r="D1064" s="48" t="str">
        <f aca="false">科目对照收入!$B8&amp;""</f>
        <v>亲情卡</v>
      </c>
      <c r="E1064" s="48" t="str">
        <f aca="false">IF(AND(ROUND($G1064,2)&lt;0,科目对照收入!$L8&lt;&gt;""),科目对照收入!$L8,科目对照收入!$C8)&amp;""</f>
        <v>应收账款</v>
      </c>
      <c r="F1064" s="48" t="str">
        <f aca="false">IF(AND(ROUND($G1064,2)&lt;0,科目对照收入!$L8&lt;&gt;""),科目对照收入!$M8,科目对照收入!$D8)&amp;""</f>
        <v>亲情卡</v>
      </c>
      <c r="G1064" s="49" t="n">
        <f aca="false">IF(COUNTIFS(输入平台!$A:$A,助手收入!$X50,输入平台!$B:$B,科目对照收入!$B8)&gt;0,ROUND(SUMIFS(输入平台!$C:$C,输入平台!$A:$A,助手收入!$X50,输入平台!$B:$B,科目对照收入!$B8),2),ROUND(海典汇总!$Z$51,2))</f>
        <v>0</v>
      </c>
      <c r="H1064" s="49" t="str">
        <f aca="false">IF(ROUND($G1064,2)&gt;0,ROUND($G1064,2),"")</f>
        <v/>
      </c>
      <c r="I1064" s="49" t="str">
        <f aca="false">IF(ROUND($G1064,2)&lt;0,-ROUND($G1064,2),"")</f>
        <v/>
      </c>
      <c r="J1064" s="20" t="n">
        <f aca="false">IF(ROUND($G1064,2)=0,0,1)</f>
        <v>0</v>
      </c>
      <c r="K1064" s="20" t="str">
        <f aca="false">IF($J1064=0,"",SUM($J$1058:$J1064))</f>
        <v/>
      </c>
      <c r="L1064" s="20" t="str">
        <f aca="false">IF($K1064="","",$A1064*100+$K1064)</f>
        <v/>
      </c>
      <c r="M1064" s="48" t="str">
        <f aca="false">参数!$B$3</f>
        <v>7月收入</v>
      </c>
    </row>
    <row r="1065" customFormat="false" ht="13.5" hidden="false" customHeight="false" outlineLevel="0" collapsed="false">
      <c r="A1065" s="47" t="n">
        <v>49</v>
      </c>
      <c r="B1065" s="38" t="str">
        <f aca="false">助手收入!$B50</f>
        <v/>
      </c>
      <c r="C1065" s="48" t="str">
        <f aca="false">助手收入!$C50</f>
        <v>备用4</v>
      </c>
      <c r="D1065" s="48" t="str">
        <f aca="false">科目对照收入!$B9&amp;""</f>
        <v>24小时</v>
      </c>
      <c r="E1065" s="48" t="str">
        <f aca="false">IF(AND(ROUND($G1065,2)&lt;0,科目对照收入!$L9&lt;&gt;""),科目对照收入!$L9,科目对照收入!$C9)&amp;""</f>
        <v>应收账款</v>
      </c>
      <c r="F1065" s="48" t="str">
        <f aca="false">IF(AND(ROUND($G1065,2)&lt;0,科目对照收入!$L9&lt;&gt;""),科目对照收入!$M9,科目对照收入!$D9)&amp;""</f>
        <v>24小时</v>
      </c>
      <c r="G1065" s="49" t="n">
        <f aca="false">IF(COUNTIFS(输入平台!$A:$A,助手收入!$X50,输入平台!$B:$B,科目对照收入!$B9)&gt;0,ROUND(SUMIFS(输入平台!$C:$C,输入平台!$A:$A,助手收入!$X50,输入平台!$B:$B,科目对照收入!$B9),2),ROUND(海典汇总!$K$51,2))</f>
        <v>0</v>
      </c>
      <c r="H1065" s="49" t="str">
        <f aca="false">IF(ROUND($G1065,2)&gt;0,ROUND($G1065,2),"")</f>
        <v/>
      </c>
      <c r="I1065" s="49" t="str">
        <f aca="false">IF(ROUND($G1065,2)&lt;0,-ROUND($G1065,2),"")</f>
        <v/>
      </c>
      <c r="J1065" s="20" t="n">
        <f aca="false">IF(ROUND($G1065,2)=0,0,1)</f>
        <v>0</v>
      </c>
      <c r="K1065" s="20" t="str">
        <f aca="false">IF($J1065=0,"",SUM($J$1058:$J1065))</f>
        <v/>
      </c>
      <c r="L1065" s="20" t="str">
        <f aca="false">IF($K1065="","",$A1065*100+$K1065)</f>
        <v/>
      </c>
      <c r="M1065" s="48" t="str">
        <f aca="false">参数!$B$3</f>
        <v>7月收入</v>
      </c>
    </row>
    <row r="1066" customFormat="false" ht="13.5" hidden="false" customHeight="false" outlineLevel="0" collapsed="false">
      <c r="A1066" s="47" t="n">
        <v>49</v>
      </c>
      <c r="B1066" s="38" t="str">
        <f aca="false">助手收入!$B50</f>
        <v/>
      </c>
      <c r="C1066" s="48" t="str">
        <f aca="false">助手收入!$C50</f>
        <v>备用4</v>
      </c>
      <c r="D1066" s="48" t="str">
        <f aca="false">科目对照收入!$B10&amp;""</f>
        <v>美团</v>
      </c>
      <c r="E1066" s="48" t="str">
        <f aca="false">IF(AND(ROUND($G1066,2)&lt;0,科目对照收入!$L10&lt;&gt;""),科目对照收入!$L10,科目对照收入!$C10)&amp;""</f>
        <v>应收账款</v>
      </c>
      <c r="F1066" s="48" t="str">
        <f aca="false">IF(AND(ROUND($G1066,2)&lt;0,科目对照收入!$L10&lt;&gt;""),科目对照收入!$M10,科目对照收入!$D10)&amp;""</f>
        <v>美团</v>
      </c>
      <c r="G1066" s="49" t="n">
        <f aca="false">IF(COUNTIFS(输入平台!$A:$A,助手收入!$X50,输入平台!$B:$B,科目对照收入!$B10)&gt;0,ROUND(SUMIFS(输入平台!$C:$C,输入平台!$A:$A,助手收入!$X50,输入平台!$B:$B,科目对照收入!$B10),2),ROUND(海典汇总!$M$51,2))</f>
        <v>0</v>
      </c>
      <c r="H1066" s="49" t="str">
        <f aca="false">IF(ROUND($G1066,2)&gt;0,ROUND($G1066,2),"")</f>
        <v/>
      </c>
      <c r="I1066" s="49" t="str">
        <f aca="false">IF(ROUND($G1066,2)&lt;0,-ROUND($G1066,2),"")</f>
        <v/>
      </c>
      <c r="J1066" s="20" t="n">
        <f aca="false">IF(ROUND($G1066,2)=0,0,1)</f>
        <v>0</v>
      </c>
      <c r="K1066" s="20" t="str">
        <f aca="false">IF($J1066=0,"",SUM($J$1058:$J1066))</f>
        <v/>
      </c>
      <c r="L1066" s="20" t="str">
        <f aca="false">IF($K1066="","",$A1066*100+$K1066)</f>
        <v/>
      </c>
      <c r="M1066" s="48" t="str">
        <f aca="false">参数!$B$3</f>
        <v>7月收入</v>
      </c>
    </row>
    <row r="1067" customFormat="false" ht="13.5" hidden="false" customHeight="false" outlineLevel="0" collapsed="false">
      <c r="A1067" s="47" t="n">
        <v>49</v>
      </c>
      <c r="B1067" s="38" t="str">
        <f aca="false">助手收入!$B50</f>
        <v/>
      </c>
      <c r="C1067" s="48" t="str">
        <f aca="false">助手收入!$C50</f>
        <v>备用4</v>
      </c>
      <c r="D1067" s="48" t="str">
        <f aca="false">科目对照收入!$B11&amp;""</f>
        <v>饿了么</v>
      </c>
      <c r="E1067" s="48" t="str">
        <f aca="false">IF(AND(ROUND($G1067,2)&lt;0,科目对照收入!$L11&lt;&gt;""),科目对照收入!$L11,科目对照收入!$C11)&amp;""</f>
        <v>应收账款</v>
      </c>
      <c r="F1067" s="48" t="str">
        <f aca="false">IF(AND(ROUND($G1067,2)&lt;0,科目对照收入!$L11&lt;&gt;""),科目对照收入!$M11,科目对照收入!$D11)&amp;""</f>
        <v>饿了么</v>
      </c>
      <c r="G1067" s="49" t="n">
        <f aca="false">IF(COUNTIFS(输入平台!$A:$A,助手收入!$X50,输入平台!$B:$B,科目对照收入!$B11)&gt;0,ROUND(SUMIFS(输入平台!$C:$C,输入平台!$A:$A,助手收入!$X50,输入平台!$B:$B,科目对照收入!$B11),2),ROUND(海典汇总!$N$51,2))</f>
        <v>0</v>
      </c>
      <c r="H1067" s="49" t="str">
        <f aca="false">IF(ROUND($G1067,2)&gt;0,ROUND($G1067,2),"")</f>
        <v/>
      </c>
      <c r="I1067" s="49" t="str">
        <f aca="false">IF(ROUND($G1067,2)&lt;0,-ROUND($G1067,2),"")</f>
        <v/>
      </c>
      <c r="J1067" s="20" t="n">
        <f aca="false">IF(ROUND($G1067,2)=0,0,1)</f>
        <v>0</v>
      </c>
      <c r="K1067" s="20" t="str">
        <f aca="false">IF($J1067=0,"",SUM($J$1058:$J1067))</f>
        <v/>
      </c>
      <c r="L1067" s="20" t="str">
        <f aca="false">IF($K1067="","",$A1067*100+$K1067)</f>
        <v/>
      </c>
      <c r="M1067" s="48" t="str">
        <f aca="false">参数!$B$3</f>
        <v>7月收入</v>
      </c>
    </row>
    <row r="1068" customFormat="false" ht="13.5" hidden="false" customHeight="false" outlineLevel="0" collapsed="false">
      <c r="A1068" s="47" t="n">
        <v>49</v>
      </c>
      <c r="B1068" s="38" t="str">
        <f aca="false">助手收入!$B50</f>
        <v/>
      </c>
      <c r="C1068" s="48" t="str">
        <f aca="false">助手收入!$C50</f>
        <v>备用4</v>
      </c>
      <c r="D1068" s="48" t="str">
        <f aca="false">科目对照收入!$B12&amp;""</f>
        <v>京东秒送</v>
      </c>
      <c r="E1068" s="48" t="str">
        <f aca="false">IF(AND(ROUND($G1068,2)&lt;0,科目对照收入!$L12&lt;&gt;""),科目对照收入!$L12,科目对照收入!$C12)&amp;""</f>
        <v>应收账款</v>
      </c>
      <c r="F1068" s="48" t="str">
        <f aca="false">IF(AND(ROUND($G1068,2)&lt;0,科目对照收入!$L12&lt;&gt;""),科目对照收入!$M12,科目对照收入!$D12)&amp;""</f>
        <v>京东秒送</v>
      </c>
      <c r="G1068" s="49" t="n">
        <f aca="false">IF(COUNTIFS(输入平台!$A:$A,助手收入!$X50,输入平台!$B:$B,科目对照收入!$B12)&gt;0,ROUND(SUMIFS(输入平台!$C:$C,输入平台!$A:$A,助手收入!$X50,输入平台!$B:$B,科目对照收入!$B12),2),ROUND(海典汇总!$O$51,2))</f>
        <v>0</v>
      </c>
      <c r="H1068" s="49" t="str">
        <f aca="false">IF(ROUND($G1068,2)&gt;0,ROUND($G1068,2),"")</f>
        <v/>
      </c>
      <c r="I1068" s="49" t="str">
        <f aca="false">IF(ROUND($G1068,2)&lt;0,-ROUND($G1068,2),"")</f>
        <v/>
      </c>
      <c r="J1068" s="20" t="n">
        <f aca="false">IF(ROUND($G1068,2)=0,0,1)</f>
        <v>0</v>
      </c>
      <c r="K1068" s="20" t="str">
        <f aca="false">IF($J1068=0,"",SUM($J$1058:$J1068))</f>
        <v/>
      </c>
      <c r="L1068" s="20" t="str">
        <f aca="false">IF($K1068="","",$A1068*100+$K1068)</f>
        <v/>
      </c>
      <c r="M1068" s="48" t="str">
        <f aca="false">参数!$B$3</f>
        <v>7月收入</v>
      </c>
    </row>
    <row r="1069" customFormat="false" ht="13.5" hidden="false" customHeight="false" outlineLevel="0" collapsed="false">
      <c r="A1069" s="47" t="n">
        <v>49</v>
      </c>
      <c r="B1069" s="38" t="str">
        <f aca="false">助手收入!$B50</f>
        <v/>
      </c>
      <c r="C1069" s="48" t="str">
        <f aca="false">助手收入!$C50</f>
        <v>备用4</v>
      </c>
      <c r="D1069" s="48" t="str">
        <f aca="false">科目对照收入!$B13&amp;""</f>
        <v>银联</v>
      </c>
      <c r="E1069" s="48" t="str">
        <f aca="false">IF(AND(ROUND($G1069,2)&lt;0,科目对照收入!$L13&lt;&gt;""),科目对照收入!$L13,科目对照收入!$C13)&amp;""</f>
        <v>应收账款</v>
      </c>
      <c r="F1069" s="48" t="str">
        <f aca="false">IF(AND(ROUND($G1069,2)&lt;0,科目对照收入!$L13&lt;&gt;""),科目对照收入!$M13,科目对照收入!$D13)&amp;""</f>
        <v>银联</v>
      </c>
      <c r="G1069" s="49" t="n">
        <f aca="false">IF(COUNTIFS(输入平台!$A:$A,助手收入!$X50,输入平台!$B:$B,科目对照收入!$B13)&gt;0,ROUND(SUMIFS(输入平台!$C:$C,输入平台!$A:$A,助手收入!$X50,输入平台!$B:$B,科目对照收入!$B13),2),ROUND(海典汇总!$V$51,2))</f>
        <v>0</v>
      </c>
      <c r="H1069" s="49" t="str">
        <f aca="false">IF(ROUND($G1069,2)&gt;0,ROUND($G1069,2),"")</f>
        <v/>
      </c>
      <c r="I1069" s="49" t="str">
        <f aca="false">IF(ROUND($G1069,2)&lt;0,-ROUND($G1069,2),"")</f>
        <v/>
      </c>
      <c r="J1069" s="20" t="n">
        <f aca="false">IF(ROUND($G1069,2)=0,0,1)</f>
        <v>0</v>
      </c>
      <c r="K1069" s="20" t="str">
        <f aca="false">IF($J1069=0,"",SUM($J$1058:$J1069))</f>
        <v/>
      </c>
      <c r="L1069" s="20" t="str">
        <f aca="false">IF($K1069="","",$A1069*100+$K1069)</f>
        <v/>
      </c>
      <c r="M1069" s="48" t="str">
        <f aca="false">参数!$B$3</f>
        <v>7月收入</v>
      </c>
    </row>
    <row r="1070" customFormat="false" ht="13.5" hidden="false" customHeight="false" outlineLevel="0" collapsed="false">
      <c r="A1070" s="47" t="n">
        <v>49</v>
      </c>
      <c r="B1070" s="38" t="str">
        <f aca="false">助手收入!$B50</f>
        <v/>
      </c>
      <c r="C1070" s="48" t="str">
        <f aca="false">助手收入!$C50</f>
        <v>备用4</v>
      </c>
      <c r="D1070" s="48" t="str">
        <f aca="false">科目对照收入!$B14&amp;""</f>
        <v>小镇外卖</v>
      </c>
      <c r="E1070" s="48" t="str">
        <f aca="false">IF(AND(ROUND($G1070,2)&lt;0,科目对照收入!$L14&lt;&gt;""),科目对照收入!$L14,科目对照收入!$C14)&amp;""</f>
        <v>应收账款</v>
      </c>
      <c r="F1070" s="48" t="str">
        <f aca="false">IF(AND(ROUND($G1070,2)&lt;0,科目对照收入!$L14&lt;&gt;""),科目对照收入!$M14,科目对照收入!$D14)&amp;""</f>
        <v>小镇外卖</v>
      </c>
      <c r="G1070" s="49" t="n">
        <f aca="false">IF(COUNTIFS(输入平台!$A:$A,助手收入!$X50,输入平台!$B:$B,科目对照收入!$B14)&gt;0,ROUND(SUMIFS(输入平台!$C:$C,输入平台!$A:$A,助手收入!$X50,输入平台!$B:$B,科目对照收入!$B14),2),ROUND(海典汇总!$AC$51,2))</f>
        <v>0</v>
      </c>
      <c r="H1070" s="49" t="str">
        <f aca="false">IF(ROUND($G1070,2)&gt;0,ROUND($G1070,2),"")</f>
        <v/>
      </c>
      <c r="I1070" s="49" t="str">
        <f aca="false">IF(ROUND($G1070,2)&lt;0,-ROUND($G1070,2),"")</f>
        <v/>
      </c>
      <c r="J1070" s="20" t="n">
        <f aca="false">IF(ROUND($G1070,2)=0,0,1)</f>
        <v>0</v>
      </c>
      <c r="K1070" s="20" t="str">
        <f aca="false">IF($J1070=0,"",SUM($J$1058:$J1070))</f>
        <v/>
      </c>
      <c r="L1070" s="20" t="str">
        <f aca="false">IF($K1070="","",$A1070*100+$K1070)</f>
        <v/>
      </c>
      <c r="M1070" s="48" t="str">
        <f aca="false">参数!$B$3</f>
        <v>7月收入</v>
      </c>
    </row>
    <row r="1071" customFormat="false" ht="13.5" hidden="false" customHeight="false" outlineLevel="0" collapsed="false">
      <c r="A1071" s="47" t="n">
        <v>49</v>
      </c>
      <c r="B1071" s="38" t="str">
        <f aca="false">助手收入!$B50</f>
        <v/>
      </c>
      <c r="C1071" s="48" t="str">
        <f aca="false">助手收入!$C50</f>
        <v>备用4</v>
      </c>
      <c r="D1071" s="48" t="str">
        <f aca="false">科目对照收入!$B15&amp;""</f>
        <v>OMS线上支付</v>
      </c>
      <c r="E1071" s="48" t="str">
        <f aca="false">IF(AND(ROUND($G1071,2)&lt;0,科目对照收入!$L15&lt;&gt;""),科目对照收入!$L15,科目对照收入!$C15)&amp;""</f>
        <v>应收账款</v>
      </c>
      <c r="F1071" s="48" t="str">
        <f aca="false">IF(AND(ROUND($G1071,2)&lt;0,科目对照收入!$L15&lt;&gt;""),科目对照收入!$M15,科目对照收入!$D15)&amp;""</f>
        <v>OMS线上</v>
      </c>
      <c r="G1071" s="49" t="n">
        <f aca="false">IF(COUNTIFS(输入平台!$A:$A,助手收入!$X50,输入平台!$B:$B,科目对照收入!$B15)&gt;0,ROUND(SUMIFS(输入平台!$C:$C,输入平台!$A:$A,助手收入!$X50,输入平台!$B:$B,科目对照收入!$B15),2),ROUND(海典汇总!$L$51,2))</f>
        <v>0</v>
      </c>
      <c r="H1071" s="49" t="str">
        <f aca="false">IF(ROUND($G1071,2)&gt;0,ROUND($G1071,2),"")</f>
        <v/>
      </c>
      <c r="I1071" s="49" t="str">
        <f aca="false">IF(ROUND($G1071,2)&lt;0,-ROUND($G1071,2),"")</f>
        <v/>
      </c>
      <c r="J1071" s="20" t="n">
        <f aca="false">IF(ROUND($G1071,2)=0,0,1)</f>
        <v>0</v>
      </c>
      <c r="K1071" s="20" t="str">
        <f aca="false">IF($J1071=0,"",SUM($J$1058:$J1071))</f>
        <v/>
      </c>
      <c r="L1071" s="20" t="str">
        <f aca="false">IF($K1071="","",$A1071*100+$K1071)</f>
        <v/>
      </c>
      <c r="M1071" s="48" t="str">
        <f aca="false">参数!$B$3</f>
        <v>7月收入</v>
      </c>
    </row>
    <row r="1072" customFormat="false" ht="13.5" hidden="false" customHeight="false" outlineLevel="0" collapsed="false">
      <c r="A1072" s="47" t="n">
        <v>49</v>
      </c>
      <c r="B1072" s="38" t="str">
        <f aca="false">助手收入!$B50</f>
        <v/>
      </c>
      <c r="C1072" s="48" t="str">
        <f aca="false">助手收入!$C50</f>
        <v>备用4</v>
      </c>
      <c r="D1072" s="48" t="str">
        <f aca="false">科目对照收入!$B16&amp;""</f>
        <v>平安药卡</v>
      </c>
      <c r="E1072" s="48" t="str">
        <f aca="false">IF(AND(ROUND($G1072,2)&lt;0,科目对照收入!$L16&lt;&gt;""),科目对照收入!$L16,科目对照收入!$C16)&amp;""</f>
        <v>应收账款</v>
      </c>
      <c r="F1072" s="48" t="str">
        <f aca="false">IF(AND(ROUND($G1072,2)&lt;0,科目对照收入!$L16&lt;&gt;""),科目对照收入!$M16,科目对照收入!$D16)&amp;""</f>
        <v>平安</v>
      </c>
      <c r="G1072" s="49" t="n">
        <f aca="false">IF(COUNTIFS(输入平台!$A:$A,助手收入!$X50,输入平台!$B:$B,科目对照收入!$B16)&gt;0,ROUND(SUMIFS(输入平台!$C:$C,输入平台!$A:$A,助手收入!$X50,输入平台!$B:$B,科目对照收入!$B16),2),ROUND(海典汇总!$AB$51,2))</f>
        <v>0</v>
      </c>
      <c r="H1072" s="49" t="str">
        <f aca="false">IF(ROUND($G1072,2)&gt;0,ROUND($G1072,2),"")</f>
        <v/>
      </c>
      <c r="I1072" s="49" t="str">
        <f aca="false">IF(ROUND($G1072,2)&lt;0,-ROUND($G1072,2),"")</f>
        <v/>
      </c>
      <c r="J1072" s="20" t="n">
        <f aca="false">IF(ROUND($G1072,2)=0,0,1)</f>
        <v>0</v>
      </c>
      <c r="K1072" s="20" t="str">
        <f aca="false">IF($J1072=0,"",SUM($J$1058:$J1072))</f>
        <v/>
      </c>
      <c r="L1072" s="20" t="str">
        <f aca="false">IF($K1072="","",$A1072*100+$K1072)</f>
        <v/>
      </c>
      <c r="M1072" s="48" t="str">
        <f aca="false">参数!$B$3</f>
        <v>7月收入</v>
      </c>
    </row>
    <row r="1073" customFormat="false" ht="13.5" hidden="false" customHeight="false" outlineLevel="0" collapsed="false">
      <c r="A1073" s="47" t="n">
        <v>49</v>
      </c>
      <c r="B1073" s="38" t="str">
        <f aca="false">助手收入!$B50</f>
        <v/>
      </c>
      <c r="C1073" s="48" t="str">
        <f aca="false">助手收入!$C50</f>
        <v>备用4</v>
      </c>
      <c r="D1073" s="48" t="str">
        <f aca="false">科目对照收入!$B17&amp;""</f>
        <v>储值卡</v>
      </c>
      <c r="E1073" s="48" t="str">
        <f aca="false">IF(AND(ROUND($G1073,2)&lt;0,科目对照收入!$L17&lt;&gt;""),科目对照收入!$L17,科目对照收入!$C17)&amp;""</f>
        <v>其他应收款</v>
      </c>
      <c r="F1073" s="48" t="str">
        <f aca="false">IF(AND(ROUND($G1073,2)&lt;0,科目对照收入!$L17&lt;&gt;""),科目对照收入!$M17,科目对照收入!$D17)&amp;""</f>
        <v>储值卡</v>
      </c>
      <c r="G1073" s="49" t="n">
        <f aca="false">ROUND(海典汇总!$Q$51,2)</f>
        <v>0</v>
      </c>
      <c r="H1073" s="49" t="str">
        <f aca="false">IF(ROUND($G1073,2)&gt;0,ROUND($G1073,2),"")</f>
        <v/>
      </c>
      <c r="I1073" s="49" t="str">
        <f aca="false">IF(ROUND($G1073,2)&lt;0,-ROUND($G1073,2),"")</f>
        <v/>
      </c>
      <c r="J1073" s="20" t="n">
        <f aca="false">IF(ROUND($G1073,2)=0,0,1)</f>
        <v>0</v>
      </c>
      <c r="K1073" s="20" t="str">
        <f aca="false">IF($J1073=0,"",SUM($J$1058:$J1073))</f>
        <v/>
      </c>
      <c r="L1073" s="20" t="str">
        <f aca="false">IF($K1073="","",$A1073*100+$K1073)</f>
        <v/>
      </c>
      <c r="M1073" s="48" t="str">
        <f aca="false">参数!$B$3</f>
        <v>7月收入</v>
      </c>
    </row>
    <row r="1074" customFormat="false" ht="13.5" hidden="false" customHeight="false" outlineLevel="0" collapsed="false">
      <c r="A1074" s="47" t="n">
        <v>49</v>
      </c>
      <c r="B1074" s="38" t="str">
        <f aca="false">助手收入!$B50</f>
        <v/>
      </c>
      <c r="C1074" s="48" t="str">
        <f aca="false">助手收入!$C50</f>
        <v>备用4</v>
      </c>
      <c r="D1074" s="48" t="str">
        <f aca="false">科目对照收入!$B18&amp;""</f>
        <v>会员零钱包</v>
      </c>
      <c r="E1074" s="48" t="str">
        <f aca="false">IF(AND(ROUND($G1074,2)&lt;0,科目对照收入!$L18&lt;&gt;""),科目对照收入!$L18,科目对照收入!$C18)&amp;""</f>
        <v>其他应收款</v>
      </c>
      <c r="F1074" s="48" t="str">
        <f aca="false">IF(AND(ROUND($G1074,2)&lt;0,科目对照收入!$L18&lt;&gt;""),科目对照收入!$M18,科目对照收入!$D18)&amp;""</f>
        <v>会员零钱包</v>
      </c>
      <c r="G1074" s="49" t="n">
        <f aca="false">ROUND(海典汇总!$P$51,2)</f>
        <v>0</v>
      </c>
      <c r="H1074" s="49" t="str">
        <f aca="false">IF(ROUND($G1074,2)&gt;0,ROUND($G1074,2),"")</f>
        <v/>
      </c>
      <c r="I1074" s="49" t="str">
        <f aca="false">IF(ROUND($G1074,2)&lt;0,-ROUND($G1074,2),"")</f>
        <v/>
      </c>
      <c r="J1074" s="20" t="n">
        <f aca="false">IF(ROUND($G1074,2)=0,0,1)</f>
        <v>0</v>
      </c>
      <c r="K1074" s="20" t="str">
        <f aca="false">IF($J1074=0,"",SUM($J$1058:$J1074))</f>
        <v/>
      </c>
      <c r="L1074" s="20" t="str">
        <f aca="false">IF($K1074="","",$A1074*100+$K1074)</f>
        <v/>
      </c>
      <c r="M1074" s="48" t="str">
        <f aca="false">参数!$B$3</f>
        <v>7月收入</v>
      </c>
    </row>
    <row r="1075" customFormat="false" ht="13.5" hidden="false" customHeight="false" outlineLevel="0" collapsed="false">
      <c r="A1075" s="47" t="n">
        <v>49</v>
      </c>
      <c r="B1075" s="38" t="str">
        <f aca="false">助手收入!$B50</f>
        <v/>
      </c>
      <c r="C1075" s="48" t="str">
        <f aca="false">助手收入!$C50</f>
        <v>备用4</v>
      </c>
      <c r="D1075" s="48" t="str">
        <f aca="false">科目对照收入!$B19&amp;""</f>
        <v>促销费</v>
      </c>
      <c r="E1075" s="48" t="str">
        <f aca="false">IF(AND(ROUND($G1075,2)&lt;0,科目对照收入!$L19&lt;&gt;""),科目对照收入!$L19,科目对照收入!$C19)&amp;""</f>
        <v>销售费用</v>
      </c>
      <c r="F1075" s="48" t="str">
        <f aca="false">IF(AND(ROUND($G1075,2)&lt;0,科目对照收入!$L19&lt;&gt;""),科目对照收入!$M19,科目对照收入!$D19)&amp;""</f>
        <v>促销费</v>
      </c>
      <c r="G1075" s="49" t="n">
        <f aca="false">ROUND(海典汇总!$U$51+海典汇总!$T$51+海典汇总!$S$51,2)</f>
        <v>0</v>
      </c>
      <c r="H1075" s="49" t="str">
        <f aca="false">IF(ROUND($G1075,2)&gt;0,ROUND($G1075,2),"")</f>
        <v/>
      </c>
      <c r="I1075" s="49" t="str">
        <f aca="false">IF(ROUND($G1075,2)&lt;0,-ROUND($G1075,2),"")</f>
        <v/>
      </c>
      <c r="J1075" s="20" t="n">
        <f aca="false">IF(ROUND($G1075,2)=0,0,1)</f>
        <v>0</v>
      </c>
      <c r="K1075" s="20" t="str">
        <f aca="false">IF($J1075=0,"",SUM($J$1058:$J1075))</f>
        <v/>
      </c>
      <c r="L1075" s="20" t="str">
        <f aca="false">IF($K1075="","",$A1075*100+$K1075)</f>
        <v/>
      </c>
      <c r="M1075" s="48" t="str">
        <f aca="false">参数!$B$3</f>
        <v>7月收入</v>
      </c>
    </row>
    <row r="1076" customFormat="false" ht="13.5" hidden="false" customHeight="false" outlineLevel="0" collapsed="false">
      <c r="A1076" s="47" t="n">
        <v>49</v>
      </c>
      <c r="B1076" s="38" t="str">
        <f aca="false">助手收入!$B50</f>
        <v/>
      </c>
      <c r="C1076" s="48" t="str">
        <f aca="false">助手收入!$C50</f>
        <v>备用4</v>
      </c>
      <c r="D1076" s="48" t="str">
        <f aca="false">科目对照收入!$B20&amp;""</f>
        <v>积分</v>
      </c>
      <c r="E1076" s="48" t="str">
        <f aca="false">IF(AND(ROUND($G1076,2)&lt;0,科目对照收入!$L20&lt;&gt;""),科目对照收入!$L20,科目对照收入!$C20)&amp;""</f>
        <v>销售费用</v>
      </c>
      <c r="F1076" s="48" t="str">
        <f aca="false">IF(AND(ROUND($G1076,2)&lt;0,科目对照收入!$L20&lt;&gt;""),科目对照收入!$M20,科目对照收入!$D20)&amp;""</f>
        <v>积分</v>
      </c>
      <c r="G1076" s="49" t="n">
        <f aca="false">ROUND(海典汇总!$R$51,2)</f>
        <v>0</v>
      </c>
      <c r="H1076" s="49" t="str">
        <f aca="false">IF(ROUND($G1076,2)&gt;0,ROUND($G1076,2),"")</f>
        <v/>
      </c>
      <c r="I1076" s="49" t="str">
        <f aca="false">IF(ROUND($G1076,2)&lt;0,-ROUND($G1076,2),"")</f>
        <v/>
      </c>
      <c r="J1076" s="20" t="n">
        <f aca="false">IF(ROUND($G1076,2)=0,0,1)</f>
        <v>0</v>
      </c>
      <c r="K1076" s="20" t="str">
        <f aca="false">IF($J1076=0,"",SUM($J$1058:$J1076))</f>
        <v/>
      </c>
      <c r="L1076" s="20" t="str">
        <f aca="false">IF($K1076="","",$A1076*100+$K1076)</f>
        <v/>
      </c>
      <c r="M1076" s="48" t="str">
        <f aca="false">参数!$B$3</f>
        <v>7月收入</v>
      </c>
    </row>
    <row r="1077" customFormat="false" ht="13.5" hidden="false" customHeight="false" outlineLevel="0" collapsed="false">
      <c r="A1077" s="47" t="n">
        <v>49</v>
      </c>
      <c r="B1077" s="38" t="str">
        <f aca="false">助手收入!$B50</f>
        <v/>
      </c>
      <c r="C1077" s="48" t="str">
        <f aca="false">助手收入!$C50</f>
        <v>备用4</v>
      </c>
      <c r="D1077" s="48" t="str">
        <f aca="false">科目对照收入!$B21&amp;""</f>
        <v>手续费</v>
      </c>
      <c r="E1077" s="48" t="str">
        <f aca="false">IF(AND(ROUND($G1077,2)&lt;0,科目对照收入!$L21&lt;&gt;""),科目对照收入!$L21,科目对照收入!$C21)&amp;""</f>
        <v>财务费用</v>
      </c>
      <c r="F1077" s="48" t="str">
        <f aca="false">IF(AND(ROUND($G1077,2)&lt;0,科目对照收入!$L21&lt;&gt;""),科目对照收入!$M21,科目对照收入!$D21)&amp;""</f>
        <v>手续费</v>
      </c>
      <c r="G1077" s="49" t="n">
        <f aca="false">ROUND(SUMIFS(输入聚合!$D:$D,输入聚合!$A:$A,助手收入!$X50),2)</f>
        <v>0</v>
      </c>
      <c r="H1077" s="49" t="str">
        <f aca="false">IF(ROUND($G1077,2)&gt;0,ROUND($G1077,2),"")</f>
        <v/>
      </c>
      <c r="I1077" s="49" t="str">
        <f aca="false">IF(ROUND($G1077,2)&lt;0,-ROUND($G1077,2),"")</f>
        <v/>
      </c>
      <c r="J1077" s="20" t="n">
        <f aca="false">IF(ROUND($G1077,2)=0,0,1)</f>
        <v>0</v>
      </c>
      <c r="K1077" s="20" t="str">
        <f aca="false">IF($J1077=0,"",SUM($J$1058:$J1077))</f>
        <v/>
      </c>
      <c r="L1077" s="20" t="str">
        <f aca="false">IF($K1077="","",$A1077*100+$K1077)</f>
        <v/>
      </c>
      <c r="M1077" s="48" t="str">
        <f aca="false">参数!$B$3</f>
        <v>7月收入</v>
      </c>
    </row>
    <row r="1078" customFormat="false" ht="13.5" hidden="false" customHeight="false" outlineLevel="0" collapsed="false">
      <c r="A1078" s="47" t="n">
        <v>49</v>
      </c>
      <c r="B1078" s="38" t="str">
        <f aca="false">助手收入!$B50</f>
        <v/>
      </c>
      <c r="C1078" s="48" t="str">
        <f aca="false">助手收入!$C50</f>
        <v>备用4</v>
      </c>
      <c r="D1078" s="48" t="str">
        <f aca="false">科目对照收入!$B22&amp;""</f>
        <v>主营业务收入</v>
      </c>
      <c r="E1078" s="48" t="str">
        <f aca="false">IF(AND(ROUND($G1078,2)&lt;0,科目对照收入!$L22&lt;&gt;""),科目对照收入!$L22,科目对照收入!$C22)&amp;""</f>
        <v>主营业务收入</v>
      </c>
      <c r="F1078" s="48" t="str">
        <f aca="false">IF(AND(ROUND($G1078,2)&lt;0,科目对照收入!$L22&lt;&gt;""),科目对照收入!$M22,科目对照收入!$D22)&amp;""</f>
        <v/>
      </c>
      <c r="G1078" s="49" t="n">
        <f aca="false">-ROUND(助手收入!$G50,2)</f>
        <v>-0</v>
      </c>
      <c r="H1078" s="49" t="str">
        <f aca="false">IF(ROUND($G1078,2)&gt;0,ROUND($G1078,2),"")</f>
        <v/>
      </c>
      <c r="I1078" s="49" t="str">
        <f aca="false">IF(ROUND($G1078,2)&lt;0,-ROUND($G1078,2),"")</f>
        <v/>
      </c>
      <c r="J1078" s="20" t="n">
        <f aca="false">IF(ROUND($G1078,2)=0,0,1)</f>
        <v>0</v>
      </c>
      <c r="K1078" s="20" t="str">
        <f aca="false">IF($J1078=0,"",SUM($J$1058:$J1078))</f>
        <v/>
      </c>
      <c r="L1078" s="20" t="str">
        <f aca="false">IF($K1078="","",$A1078*100+$K1078)</f>
        <v/>
      </c>
      <c r="M1078" s="48" t="str">
        <f aca="false">参数!$B$3</f>
        <v>7月收入</v>
      </c>
    </row>
    <row r="1079" customFormat="false" ht="13.5" hidden="false" customHeight="false" outlineLevel="0" collapsed="false">
      <c r="A1079" s="47" t="n">
        <v>49</v>
      </c>
      <c r="B1079" s="38" t="str">
        <f aca="false">助手收入!$B50</f>
        <v/>
      </c>
      <c r="C1079" s="48" t="str">
        <f aca="false">助手收入!$C50</f>
        <v>备用4</v>
      </c>
      <c r="D1079" s="48" t="str">
        <f aca="false">科目对照收入!$B23&amp;""</f>
        <v>营业外收入</v>
      </c>
      <c r="E1079" s="48" t="str">
        <f aca="false">IF(AND(ROUND($G1079,2)&lt;0,科目对照收入!$L23&lt;&gt;""),科目对照收入!$L23,科目对照收入!$C23)&amp;""</f>
        <v>营业外收入</v>
      </c>
      <c r="F1079" s="48" t="str">
        <f aca="false">IF(AND(ROUND($G1079,2)&lt;0,科目对照收入!$L23&lt;&gt;""),科目对照收入!$M23,科目对照收入!$D23)&amp;""</f>
        <v/>
      </c>
      <c r="G1079" s="49" t="n">
        <f aca="false">-ROUND(助手收入!$J50,2)</f>
        <v>-0</v>
      </c>
      <c r="H1079" s="49" t="str">
        <f aca="false">IF(ROUND($G1079,2)&gt;0,ROUND($G1079,2),"")</f>
        <v/>
      </c>
      <c r="I1079" s="49" t="str">
        <f aca="false">IF(ROUND($G1079,2)&lt;0,-ROUND($G1079,2),"")</f>
        <v/>
      </c>
      <c r="J1079" s="20" t="n">
        <f aca="false">IF(ROUND($G1079,2)=0,0,1)</f>
        <v>0</v>
      </c>
      <c r="K1079" s="20" t="str">
        <f aca="false">IF($J1079=0,"",SUM($J$1058:$J1079))</f>
        <v/>
      </c>
      <c r="L1079" s="20" t="str">
        <f aca="false">IF($K1079="","",$A1079*100+$K1079)</f>
        <v/>
      </c>
      <c r="M1079" s="48" t="str">
        <f aca="false">参数!$B$3</f>
        <v>7月收入</v>
      </c>
    </row>
    <row r="1080" customFormat="false" ht="13.5" hidden="false" customHeight="false" outlineLevel="0" collapsed="false">
      <c r="A1080" s="47" t="n">
        <v>50</v>
      </c>
      <c r="B1080" s="38" t="str">
        <f aca="false">助手收入!$B51</f>
        <v/>
      </c>
      <c r="C1080" s="48" t="str">
        <f aca="false">助手收入!$C51</f>
        <v>备用5</v>
      </c>
      <c r="D1080" s="48" t="str">
        <f aca="false">科目对照收入!$B2&amp;""</f>
        <v>库存现金</v>
      </c>
      <c r="E1080" s="48" t="str">
        <f aca="false">IF(AND(ROUND($G1080,2)&lt;0,科目对照收入!$L2&lt;&gt;""),科目对照收入!$L2,科目对照收入!$C2)&amp;""</f>
        <v>库存现金</v>
      </c>
      <c r="F1080" s="48" t="str">
        <f aca="false">IF(AND(ROUND($G1080,2)&lt;0,科目对照收入!$L2&lt;&gt;""),科目对照收入!$M2,科目对照收入!$D2)&amp;""</f>
        <v/>
      </c>
      <c r="G1080" s="49" t="n">
        <f aca="false">助手收入!$I51</f>
        <v>0</v>
      </c>
      <c r="H1080" s="49" t="str">
        <f aca="false">IF(ROUND($G1080,2)&gt;0,ROUND($G1080,2),"")</f>
        <v/>
      </c>
      <c r="I1080" s="49" t="str">
        <f aca="false">IF(ROUND($G1080,2)&lt;0,-ROUND($G1080,2),"")</f>
        <v/>
      </c>
      <c r="J1080" s="20" t="n">
        <f aca="false">IF(ROUND($G1080,2)=0,0,1)</f>
        <v>0</v>
      </c>
      <c r="K1080" s="20" t="str">
        <f aca="false">IF($J1080=0,"",SUM($J$1080:$J1080))</f>
        <v/>
      </c>
      <c r="L1080" s="20" t="str">
        <f aca="false">IF($K1080="","",$A1080*100+$K1080)</f>
        <v/>
      </c>
      <c r="M1080" s="48" t="str">
        <f aca="false">参数!$B$3</f>
        <v>7月收入</v>
      </c>
    </row>
    <row r="1081" customFormat="false" ht="13.5" hidden="false" customHeight="false" outlineLevel="0" collapsed="false">
      <c r="A1081" s="47" t="n">
        <v>50</v>
      </c>
      <c r="B1081" s="38" t="str">
        <f aca="false">助手收入!$B51</f>
        <v/>
      </c>
      <c r="C1081" s="48" t="str">
        <f aca="false">助手收入!$C51</f>
        <v>备用5</v>
      </c>
      <c r="D1081" s="48" t="str">
        <f aca="false">科目对照收入!$B3&amp;""</f>
        <v>聚合支付</v>
      </c>
      <c r="E1081" s="48" t="str">
        <f aca="false">IF(AND(ROUND($G1081,2)&lt;0,科目对照收入!$L3&lt;&gt;""),科目对照收入!$L3,科目对照收入!$C3)&amp;""</f>
        <v>应收账款</v>
      </c>
      <c r="F1081" s="48" t="str">
        <f aca="false">IF(AND(ROUND($G1081,2)&lt;0,科目对照收入!$L3&lt;&gt;""),科目对照收入!$M3,科目对照收入!$D3)&amp;""</f>
        <v>聚合支付</v>
      </c>
      <c r="G1081" s="49" t="n">
        <f aca="false">ROUND(SUMIFS(输入聚合!$C:$C,输入聚合!$A:$A,助手收入!$X51)-SUMIFS(输入聚合!$D:$D,输入聚合!$A:$A,助手收入!$X51),2)</f>
        <v>0</v>
      </c>
      <c r="H1081" s="49" t="str">
        <f aca="false">IF(ROUND($G1081,2)&gt;0,ROUND($G1081,2),"")</f>
        <v/>
      </c>
      <c r="I1081" s="49" t="str">
        <f aca="false">IF(ROUND($G1081,2)&lt;0,-ROUND($G1081,2),"")</f>
        <v/>
      </c>
      <c r="J1081" s="20" t="n">
        <f aca="false">IF(ROUND($G1081,2)=0,0,1)</f>
        <v>0</v>
      </c>
      <c r="K1081" s="20" t="str">
        <f aca="false">IF($J1081=0,"",SUM($J$1080:$J1081))</f>
        <v/>
      </c>
      <c r="L1081" s="20" t="str">
        <f aca="false">IF($K1081="","",$A1081*100+$K1081)</f>
        <v/>
      </c>
      <c r="M1081" s="48" t="str">
        <f aca="false">参数!$B$3</f>
        <v>7月收入</v>
      </c>
    </row>
    <row r="1082" customFormat="false" ht="13.5" hidden="false" customHeight="false" outlineLevel="0" collapsed="false">
      <c r="A1082" s="47" t="n">
        <v>50</v>
      </c>
      <c r="B1082" s="38" t="str">
        <f aca="false">助手收入!$B51</f>
        <v/>
      </c>
      <c r="C1082" s="48" t="str">
        <f aca="false">助手收入!$C51</f>
        <v>备用5</v>
      </c>
      <c r="D1082" s="48" t="str">
        <f aca="false">科目对照收入!$B4&amp;""</f>
        <v>医保</v>
      </c>
      <c r="E1082" s="48" t="str">
        <f aca="false">IF(AND(ROUND($G1082,2)&lt;0,科目对照收入!$L4&lt;&gt;""),科目对照收入!$L4,科目对照收入!$C4)&amp;""</f>
        <v>应收账款</v>
      </c>
      <c r="F1082" s="48" t="str">
        <f aca="false">IF(AND(ROUND($G1082,2)&lt;0,科目对照收入!$L4&lt;&gt;""),科目对照收入!$M4,科目对照收入!$D4)&amp;""</f>
        <v>医保</v>
      </c>
      <c r="G1082" s="49" t="n">
        <f aca="false">IF(COUNTIFS(输入平台!$A:$A,助手收入!$X51,输入平台!$B:$B,科目对照收入!$B4)&gt;0,ROUND(SUMIFS(输入平台!$C:$C,输入平台!$A:$A,助手收入!$X51,输入平台!$B:$B,科目对照收入!$B4),2),ROUND(海典汇总!$F$52+海典汇总!$G$52,2))</f>
        <v>0</v>
      </c>
      <c r="H1082" s="49" t="str">
        <f aca="false">IF(ROUND($G1082,2)&gt;0,ROUND($G1082,2),"")</f>
        <v/>
      </c>
      <c r="I1082" s="49" t="str">
        <f aca="false">IF(ROUND($G1082,2)&lt;0,-ROUND($G1082,2),"")</f>
        <v/>
      </c>
      <c r="J1082" s="20" t="n">
        <f aca="false">IF(ROUND($G1082,2)=0,0,1)</f>
        <v>0</v>
      </c>
      <c r="K1082" s="20" t="str">
        <f aca="false">IF($J1082=0,"",SUM($J$1080:$J1082))</f>
        <v/>
      </c>
      <c r="L1082" s="20" t="str">
        <f aca="false">IF($K1082="","",$A1082*100+$K1082)</f>
        <v/>
      </c>
      <c r="M1082" s="48" t="str">
        <f aca="false">参数!$B$3</f>
        <v>7月收入</v>
      </c>
    </row>
    <row r="1083" customFormat="false" ht="13.5" hidden="false" customHeight="false" outlineLevel="0" collapsed="false">
      <c r="A1083" s="47" t="n">
        <v>50</v>
      </c>
      <c r="B1083" s="38" t="str">
        <f aca="false">助手收入!$B51</f>
        <v/>
      </c>
      <c r="C1083" s="48" t="str">
        <f aca="false">助手收入!$C51</f>
        <v>备用5</v>
      </c>
      <c r="D1083" s="48" t="str">
        <f aca="false">科目对照收入!$B5&amp;""</f>
        <v>健e卡</v>
      </c>
      <c r="E1083" s="48" t="str">
        <f aca="false">IF(AND(ROUND($G1083,2)&lt;0,科目对照收入!$L5&lt;&gt;""),科目对照收入!$L5,科目对照收入!$C5)&amp;""</f>
        <v>应收账款</v>
      </c>
      <c r="F1083" s="48" t="str">
        <f aca="false">IF(AND(ROUND($G1083,2)&lt;0,科目对照收入!$L5&lt;&gt;""),科目对照收入!$M5,科目对照收入!$D5)&amp;""</f>
        <v>健e卡</v>
      </c>
      <c r="G1083" s="49" t="n">
        <f aca="false">IF(COUNTIFS(输入平台!$A:$A,助手收入!$X51,输入平台!$B:$B,科目对照收入!$B5)&gt;0,ROUND(SUMIFS(输入平台!$C:$C,输入平台!$A:$A,助手收入!$X51,输入平台!$B:$B,科目对照收入!$B5),2),ROUND(海典汇总!$H$52,2))</f>
        <v>0</v>
      </c>
      <c r="H1083" s="49" t="str">
        <f aca="false">IF(ROUND($G1083,2)&gt;0,ROUND($G1083,2),"")</f>
        <v/>
      </c>
      <c r="I1083" s="49" t="str">
        <f aca="false">IF(ROUND($G1083,2)&lt;0,-ROUND($G1083,2),"")</f>
        <v/>
      </c>
      <c r="J1083" s="20" t="n">
        <f aca="false">IF(ROUND($G1083,2)=0,0,1)</f>
        <v>0</v>
      </c>
      <c r="K1083" s="20" t="str">
        <f aca="false">IF($J1083=0,"",SUM($J$1080:$J1083))</f>
        <v/>
      </c>
      <c r="L1083" s="20" t="str">
        <f aca="false">IF($K1083="","",$A1083*100+$K1083)</f>
        <v/>
      </c>
      <c r="M1083" s="48" t="str">
        <f aca="false">参数!$B$3</f>
        <v>7月收入</v>
      </c>
    </row>
    <row r="1084" customFormat="false" ht="13.5" hidden="false" customHeight="false" outlineLevel="0" collapsed="false">
      <c r="A1084" s="47" t="n">
        <v>50</v>
      </c>
      <c r="B1084" s="38" t="str">
        <f aca="false">助手收入!$B51</f>
        <v/>
      </c>
      <c r="C1084" s="48" t="str">
        <f aca="false">助手收入!$C51</f>
        <v>备用5</v>
      </c>
      <c r="D1084" s="48" t="str">
        <f aca="false">科目对照收入!$B6&amp;""</f>
        <v>医卡通</v>
      </c>
      <c r="E1084" s="48" t="str">
        <f aca="false">IF(AND(ROUND($G1084,2)&lt;0,科目对照收入!$L6&lt;&gt;""),科目对照收入!$L6,科目对照收入!$C6)&amp;""</f>
        <v>应收账款</v>
      </c>
      <c r="F1084" s="48" t="str">
        <f aca="false">IF(AND(ROUND($G1084,2)&lt;0,科目对照收入!$L6&lt;&gt;""),科目对照收入!$M6,科目对照收入!$D6)&amp;""</f>
        <v>医卡通</v>
      </c>
      <c r="G1084" s="49" t="n">
        <f aca="false">IF(COUNTIFS(输入平台!$A:$A,助手收入!$X51,输入平台!$B:$B,科目对照收入!$B6)&gt;0,ROUND(SUMIFS(输入平台!$C:$C,输入平台!$A:$A,助手收入!$X51,输入平台!$B:$B,科目对照收入!$B6),2),ROUND(海典汇总!$I$52,2))</f>
        <v>0</v>
      </c>
      <c r="H1084" s="49" t="str">
        <f aca="false">IF(ROUND($G1084,2)&gt;0,ROUND($G1084,2),"")</f>
        <v/>
      </c>
      <c r="I1084" s="49" t="str">
        <f aca="false">IF(ROUND($G1084,2)&lt;0,-ROUND($G1084,2),"")</f>
        <v/>
      </c>
      <c r="J1084" s="20" t="n">
        <f aca="false">IF(ROUND($G1084,2)=0,0,1)</f>
        <v>0</v>
      </c>
      <c r="K1084" s="20" t="str">
        <f aca="false">IF($J1084=0,"",SUM($J$1080:$J1084))</f>
        <v/>
      </c>
      <c r="L1084" s="20" t="str">
        <f aca="false">IF($K1084="","",$A1084*100+$K1084)</f>
        <v/>
      </c>
      <c r="M1084" s="48" t="str">
        <f aca="false">参数!$B$3</f>
        <v>7月收入</v>
      </c>
    </row>
    <row r="1085" customFormat="false" ht="13.5" hidden="false" customHeight="false" outlineLevel="0" collapsed="false">
      <c r="A1085" s="47" t="n">
        <v>50</v>
      </c>
      <c r="B1085" s="38" t="str">
        <f aca="false">助手收入!$B51</f>
        <v/>
      </c>
      <c r="C1085" s="48" t="str">
        <f aca="false">助手收入!$C51</f>
        <v>备用5</v>
      </c>
      <c r="D1085" s="48" t="str">
        <f aca="false">科目对照收入!$B7&amp;""</f>
        <v>企健网</v>
      </c>
      <c r="E1085" s="48" t="str">
        <f aca="false">IF(AND(ROUND($G1085,2)&lt;0,科目对照收入!$L7&lt;&gt;""),科目对照收入!$L7,科目对照收入!$C7)&amp;""</f>
        <v>应收账款</v>
      </c>
      <c r="F1085" s="48" t="str">
        <f aca="false">IF(AND(ROUND($G1085,2)&lt;0,科目对照收入!$L7&lt;&gt;""),科目对照收入!$M7,科目对照收入!$D7)&amp;""</f>
        <v>企健网</v>
      </c>
      <c r="G1085" s="49" t="n">
        <f aca="false">IF(COUNTIFS(输入平台!$A:$A,助手收入!$X51,输入平台!$B:$B,科目对照收入!$B7)&gt;0,ROUND(SUMIFS(输入平台!$C:$C,输入平台!$A:$A,助手收入!$X51,输入平台!$B:$B,科目对照收入!$B7),2),ROUND(海典汇总!$J$52,2))</f>
        <v>0</v>
      </c>
      <c r="H1085" s="49" t="str">
        <f aca="false">IF(ROUND($G1085,2)&gt;0,ROUND($G1085,2),"")</f>
        <v/>
      </c>
      <c r="I1085" s="49" t="str">
        <f aca="false">IF(ROUND($G1085,2)&lt;0,-ROUND($G1085,2),"")</f>
        <v/>
      </c>
      <c r="J1085" s="20" t="n">
        <f aca="false">IF(ROUND($G1085,2)=0,0,1)</f>
        <v>0</v>
      </c>
      <c r="K1085" s="20" t="str">
        <f aca="false">IF($J1085=0,"",SUM($J$1080:$J1085))</f>
        <v/>
      </c>
      <c r="L1085" s="20" t="str">
        <f aca="false">IF($K1085="","",$A1085*100+$K1085)</f>
        <v/>
      </c>
      <c r="M1085" s="48" t="str">
        <f aca="false">参数!$B$3</f>
        <v>7月收入</v>
      </c>
    </row>
    <row r="1086" customFormat="false" ht="13.5" hidden="false" customHeight="false" outlineLevel="0" collapsed="false">
      <c r="A1086" s="47" t="n">
        <v>50</v>
      </c>
      <c r="B1086" s="38" t="str">
        <f aca="false">助手收入!$B51</f>
        <v/>
      </c>
      <c r="C1086" s="48" t="str">
        <f aca="false">助手收入!$C51</f>
        <v>备用5</v>
      </c>
      <c r="D1086" s="48" t="str">
        <f aca="false">科目对照收入!$B8&amp;""</f>
        <v>亲情卡</v>
      </c>
      <c r="E1086" s="48" t="str">
        <f aca="false">IF(AND(ROUND($G1086,2)&lt;0,科目对照收入!$L8&lt;&gt;""),科目对照收入!$L8,科目对照收入!$C8)&amp;""</f>
        <v>应收账款</v>
      </c>
      <c r="F1086" s="48" t="str">
        <f aca="false">IF(AND(ROUND($G1086,2)&lt;0,科目对照收入!$L8&lt;&gt;""),科目对照收入!$M8,科目对照收入!$D8)&amp;""</f>
        <v>亲情卡</v>
      </c>
      <c r="G1086" s="49" t="n">
        <f aca="false">IF(COUNTIFS(输入平台!$A:$A,助手收入!$X51,输入平台!$B:$B,科目对照收入!$B8)&gt;0,ROUND(SUMIFS(输入平台!$C:$C,输入平台!$A:$A,助手收入!$X51,输入平台!$B:$B,科目对照收入!$B8),2),ROUND(海典汇总!$Z$52,2))</f>
        <v>0</v>
      </c>
      <c r="H1086" s="49" t="str">
        <f aca="false">IF(ROUND($G1086,2)&gt;0,ROUND($G1086,2),"")</f>
        <v/>
      </c>
      <c r="I1086" s="49" t="str">
        <f aca="false">IF(ROUND($G1086,2)&lt;0,-ROUND($G1086,2),"")</f>
        <v/>
      </c>
      <c r="J1086" s="20" t="n">
        <f aca="false">IF(ROUND($G1086,2)=0,0,1)</f>
        <v>0</v>
      </c>
      <c r="K1086" s="20" t="str">
        <f aca="false">IF($J1086=0,"",SUM($J$1080:$J1086))</f>
        <v/>
      </c>
      <c r="L1086" s="20" t="str">
        <f aca="false">IF($K1086="","",$A1086*100+$K1086)</f>
        <v/>
      </c>
      <c r="M1086" s="48" t="str">
        <f aca="false">参数!$B$3</f>
        <v>7月收入</v>
      </c>
    </row>
    <row r="1087" customFormat="false" ht="13.5" hidden="false" customHeight="false" outlineLevel="0" collapsed="false">
      <c r="A1087" s="47" t="n">
        <v>50</v>
      </c>
      <c r="B1087" s="38" t="str">
        <f aca="false">助手收入!$B51</f>
        <v/>
      </c>
      <c r="C1087" s="48" t="str">
        <f aca="false">助手收入!$C51</f>
        <v>备用5</v>
      </c>
      <c r="D1087" s="48" t="str">
        <f aca="false">科目对照收入!$B9&amp;""</f>
        <v>24小时</v>
      </c>
      <c r="E1087" s="48" t="str">
        <f aca="false">IF(AND(ROUND($G1087,2)&lt;0,科目对照收入!$L9&lt;&gt;""),科目对照收入!$L9,科目对照收入!$C9)&amp;""</f>
        <v>应收账款</v>
      </c>
      <c r="F1087" s="48" t="str">
        <f aca="false">IF(AND(ROUND($G1087,2)&lt;0,科目对照收入!$L9&lt;&gt;""),科目对照收入!$M9,科目对照收入!$D9)&amp;""</f>
        <v>24小时</v>
      </c>
      <c r="G1087" s="49" t="n">
        <f aca="false">IF(COUNTIFS(输入平台!$A:$A,助手收入!$X51,输入平台!$B:$B,科目对照收入!$B9)&gt;0,ROUND(SUMIFS(输入平台!$C:$C,输入平台!$A:$A,助手收入!$X51,输入平台!$B:$B,科目对照收入!$B9),2),ROUND(海典汇总!$K$52,2))</f>
        <v>0</v>
      </c>
      <c r="H1087" s="49" t="str">
        <f aca="false">IF(ROUND($G1087,2)&gt;0,ROUND($G1087,2),"")</f>
        <v/>
      </c>
      <c r="I1087" s="49" t="str">
        <f aca="false">IF(ROUND($G1087,2)&lt;0,-ROUND($G1087,2),"")</f>
        <v/>
      </c>
      <c r="J1087" s="20" t="n">
        <f aca="false">IF(ROUND($G1087,2)=0,0,1)</f>
        <v>0</v>
      </c>
      <c r="K1087" s="20" t="str">
        <f aca="false">IF($J1087=0,"",SUM($J$1080:$J1087))</f>
        <v/>
      </c>
      <c r="L1087" s="20" t="str">
        <f aca="false">IF($K1087="","",$A1087*100+$K1087)</f>
        <v/>
      </c>
      <c r="M1087" s="48" t="str">
        <f aca="false">参数!$B$3</f>
        <v>7月收入</v>
      </c>
    </row>
    <row r="1088" customFormat="false" ht="13.5" hidden="false" customHeight="false" outlineLevel="0" collapsed="false">
      <c r="A1088" s="47" t="n">
        <v>50</v>
      </c>
      <c r="B1088" s="38" t="str">
        <f aca="false">助手收入!$B51</f>
        <v/>
      </c>
      <c r="C1088" s="48" t="str">
        <f aca="false">助手收入!$C51</f>
        <v>备用5</v>
      </c>
      <c r="D1088" s="48" t="str">
        <f aca="false">科目对照收入!$B10&amp;""</f>
        <v>美团</v>
      </c>
      <c r="E1088" s="48" t="str">
        <f aca="false">IF(AND(ROUND($G1088,2)&lt;0,科目对照收入!$L10&lt;&gt;""),科目对照收入!$L10,科目对照收入!$C10)&amp;""</f>
        <v>应收账款</v>
      </c>
      <c r="F1088" s="48" t="str">
        <f aca="false">IF(AND(ROUND($G1088,2)&lt;0,科目对照收入!$L10&lt;&gt;""),科目对照收入!$M10,科目对照收入!$D10)&amp;""</f>
        <v>美团</v>
      </c>
      <c r="G1088" s="49" t="n">
        <f aca="false">IF(COUNTIFS(输入平台!$A:$A,助手收入!$X51,输入平台!$B:$B,科目对照收入!$B10)&gt;0,ROUND(SUMIFS(输入平台!$C:$C,输入平台!$A:$A,助手收入!$X51,输入平台!$B:$B,科目对照收入!$B10),2),ROUND(海典汇总!$M$52,2))</f>
        <v>0</v>
      </c>
      <c r="H1088" s="49" t="str">
        <f aca="false">IF(ROUND($G1088,2)&gt;0,ROUND($G1088,2),"")</f>
        <v/>
      </c>
      <c r="I1088" s="49" t="str">
        <f aca="false">IF(ROUND($G1088,2)&lt;0,-ROUND($G1088,2),"")</f>
        <v/>
      </c>
      <c r="J1088" s="20" t="n">
        <f aca="false">IF(ROUND($G1088,2)=0,0,1)</f>
        <v>0</v>
      </c>
      <c r="K1088" s="20" t="str">
        <f aca="false">IF($J1088=0,"",SUM($J$1080:$J1088))</f>
        <v/>
      </c>
      <c r="L1088" s="20" t="str">
        <f aca="false">IF($K1088="","",$A1088*100+$K1088)</f>
        <v/>
      </c>
      <c r="M1088" s="48" t="str">
        <f aca="false">参数!$B$3</f>
        <v>7月收入</v>
      </c>
    </row>
    <row r="1089" customFormat="false" ht="13.5" hidden="false" customHeight="false" outlineLevel="0" collapsed="false">
      <c r="A1089" s="47" t="n">
        <v>50</v>
      </c>
      <c r="B1089" s="38" t="str">
        <f aca="false">助手收入!$B51</f>
        <v/>
      </c>
      <c r="C1089" s="48" t="str">
        <f aca="false">助手收入!$C51</f>
        <v>备用5</v>
      </c>
      <c r="D1089" s="48" t="str">
        <f aca="false">科目对照收入!$B11&amp;""</f>
        <v>饿了么</v>
      </c>
      <c r="E1089" s="48" t="str">
        <f aca="false">IF(AND(ROUND($G1089,2)&lt;0,科目对照收入!$L11&lt;&gt;""),科目对照收入!$L11,科目对照收入!$C11)&amp;""</f>
        <v>应收账款</v>
      </c>
      <c r="F1089" s="48" t="str">
        <f aca="false">IF(AND(ROUND($G1089,2)&lt;0,科目对照收入!$L11&lt;&gt;""),科目对照收入!$M11,科目对照收入!$D11)&amp;""</f>
        <v>饿了么</v>
      </c>
      <c r="G1089" s="49" t="n">
        <f aca="false">IF(COUNTIFS(输入平台!$A:$A,助手收入!$X51,输入平台!$B:$B,科目对照收入!$B11)&gt;0,ROUND(SUMIFS(输入平台!$C:$C,输入平台!$A:$A,助手收入!$X51,输入平台!$B:$B,科目对照收入!$B11),2),ROUND(海典汇总!$N$52,2))</f>
        <v>0</v>
      </c>
      <c r="H1089" s="49" t="str">
        <f aca="false">IF(ROUND($G1089,2)&gt;0,ROUND($G1089,2),"")</f>
        <v/>
      </c>
      <c r="I1089" s="49" t="str">
        <f aca="false">IF(ROUND($G1089,2)&lt;0,-ROUND($G1089,2),"")</f>
        <v/>
      </c>
      <c r="J1089" s="20" t="n">
        <f aca="false">IF(ROUND($G1089,2)=0,0,1)</f>
        <v>0</v>
      </c>
      <c r="K1089" s="20" t="str">
        <f aca="false">IF($J1089=0,"",SUM($J$1080:$J1089))</f>
        <v/>
      </c>
      <c r="L1089" s="20" t="str">
        <f aca="false">IF($K1089="","",$A1089*100+$K1089)</f>
        <v/>
      </c>
      <c r="M1089" s="48" t="str">
        <f aca="false">参数!$B$3</f>
        <v>7月收入</v>
      </c>
    </row>
    <row r="1090" customFormat="false" ht="13.5" hidden="false" customHeight="false" outlineLevel="0" collapsed="false">
      <c r="A1090" s="47" t="n">
        <v>50</v>
      </c>
      <c r="B1090" s="38" t="str">
        <f aca="false">助手收入!$B51</f>
        <v/>
      </c>
      <c r="C1090" s="48" t="str">
        <f aca="false">助手收入!$C51</f>
        <v>备用5</v>
      </c>
      <c r="D1090" s="48" t="str">
        <f aca="false">科目对照收入!$B12&amp;""</f>
        <v>京东秒送</v>
      </c>
      <c r="E1090" s="48" t="str">
        <f aca="false">IF(AND(ROUND($G1090,2)&lt;0,科目对照收入!$L12&lt;&gt;""),科目对照收入!$L12,科目对照收入!$C12)&amp;""</f>
        <v>应收账款</v>
      </c>
      <c r="F1090" s="48" t="str">
        <f aca="false">IF(AND(ROUND($G1090,2)&lt;0,科目对照收入!$L12&lt;&gt;""),科目对照收入!$M12,科目对照收入!$D12)&amp;""</f>
        <v>京东秒送</v>
      </c>
      <c r="G1090" s="49" t="n">
        <f aca="false">IF(COUNTIFS(输入平台!$A:$A,助手收入!$X51,输入平台!$B:$B,科目对照收入!$B12)&gt;0,ROUND(SUMIFS(输入平台!$C:$C,输入平台!$A:$A,助手收入!$X51,输入平台!$B:$B,科目对照收入!$B12),2),ROUND(海典汇总!$O$52,2))</f>
        <v>0</v>
      </c>
      <c r="H1090" s="49" t="str">
        <f aca="false">IF(ROUND($G1090,2)&gt;0,ROUND($G1090,2),"")</f>
        <v/>
      </c>
      <c r="I1090" s="49" t="str">
        <f aca="false">IF(ROUND($G1090,2)&lt;0,-ROUND($G1090,2),"")</f>
        <v/>
      </c>
      <c r="J1090" s="20" t="n">
        <f aca="false">IF(ROUND($G1090,2)=0,0,1)</f>
        <v>0</v>
      </c>
      <c r="K1090" s="20" t="str">
        <f aca="false">IF($J1090=0,"",SUM($J$1080:$J1090))</f>
        <v/>
      </c>
      <c r="L1090" s="20" t="str">
        <f aca="false">IF($K1090="","",$A1090*100+$K1090)</f>
        <v/>
      </c>
      <c r="M1090" s="48" t="str">
        <f aca="false">参数!$B$3</f>
        <v>7月收入</v>
      </c>
    </row>
    <row r="1091" customFormat="false" ht="13.5" hidden="false" customHeight="false" outlineLevel="0" collapsed="false">
      <c r="A1091" s="47" t="n">
        <v>50</v>
      </c>
      <c r="B1091" s="38" t="str">
        <f aca="false">助手收入!$B51</f>
        <v/>
      </c>
      <c r="C1091" s="48" t="str">
        <f aca="false">助手收入!$C51</f>
        <v>备用5</v>
      </c>
      <c r="D1091" s="48" t="str">
        <f aca="false">科目对照收入!$B13&amp;""</f>
        <v>银联</v>
      </c>
      <c r="E1091" s="48" t="str">
        <f aca="false">IF(AND(ROUND($G1091,2)&lt;0,科目对照收入!$L13&lt;&gt;""),科目对照收入!$L13,科目对照收入!$C13)&amp;""</f>
        <v>应收账款</v>
      </c>
      <c r="F1091" s="48" t="str">
        <f aca="false">IF(AND(ROUND($G1091,2)&lt;0,科目对照收入!$L13&lt;&gt;""),科目对照收入!$M13,科目对照收入!$D13)&amp;""</f>
        <v>银联</v>
      </c>
      <c r="G1091" s="49" t="n">
        <f aca="false">IF(COUNTIFS(输入平台!$A:$A,助手收入!$X51,输入平台!$B:$B,科目对照收入!$B13)&gt;0,ROUND(SUMIFS(输入平台!$C:$C,输入平台!$A:$A,助手收入!$X51,输入平台!$B:$B,科目对照收入!$B13),2),ROUND(海典汇总!$V$52,2))</f>
        <v>0</v>
      </c>
      <c r="H1091" s="49" t="str">
        <f aca="false">IF(ROUND($G1091,2)&gt;0,ROUND($G1091,2),"")</f>
        <v/>
      </c>
      <c r="I1091" s="49" t="str">
        <f aca="false">IF(ROUND($G1091,2)&lt;0,-ROUND($G1091,2),"")</f>
        <v/>
      </c>
      <c r="J1091" s="20" t="n">
        <f aca="false">IF(ROUND($G1091,2)=0,0,1)</f>
        <v>0</v>
      </c>
      <c r="K1091" s="20" t="str">
        <f aca="false">IF($J1091=0,"",SUM($J$1080:$J1091))</f>
        <v/>
      </c>
      <c r="L1091" s="20" t="str">
        <f aca="false">IF($K1091="","",$A1091*100+$K1091)</f>
        <v/>
      </c>
      <c r="M1091" s="48" t="str">
        <f aca="false">参数!$B$3</f>
        <v>7月收入</v>
      </c>
    </row>
    <row r="1092" customFormat="false" ht="13.5" hidden="false" customHeight="false" outlineLevel="0" collapsed="false">
      <c r="A1092" s="47" t="n">
        <v>50</v>
      </c>
      <c r="B1092" s="38" t="str">
        <f aca="false">助手收入!$B51</f>
        <v/>
      </c>
      <c r="C1092" s="48" t="str">
        <f aca="false">助手收入!$C51</f>
        <v>备用5</v>
      </c>
      <c r="D1092" s="48" t="str">
        <f aca="false">科目对照收入!$B14&amp;""</f>
        <v>小镇外卖</v>
      </c>
      <c r="E1092" s="48" t="str">
        <f aca="false">IF(AND(ROUND($G1092,2)&lt;0,科目对照收入!$L14&lt;&gt;""),科目对照收入!$L14,科目对照收入!$C14)&amp;""</f>
        <v>应收账款</v>
      </c>
      <c r="F1092" s="48" t="str">
        <f aca="false">IF(AND(ROUND($G1092,2)&lt;0,科目对照收入!$L14&lt;&gt;""),科目对照收入!$M14,科目对照收入!$D14)&amp;""</f>
        <v>小镇外卖</v>
      </c>
      <c r="G1092" s="49" t="n">
        <f aca="false">IF(COUNTIFS(输入平台!$A:$A,助手收入!$X51,输入平台!$B:$B,科目对照收入!$B14)&gt;0,ROUND(SUMIFS(输入平台!$C:$C,输入平台!$A:$A,助手收入!$X51,输入平台!$B:$B,科目对照收入!$B14),2),ROUND(海典汇总!$AC$52,2))</f>
        <v>0</v>
      </c>
      <c r="H1092" s="49" t="str">
        <f aca="false">IF(ROUND($G1092,2)&gt;0,ROUND($G1092,2),"")</f>
        <v/>
      </c>
      <c r="I1092" s="49" t="str">
        <f aca="false">IF(ROUND($G1092,2)&lt;0,-ROUND($G1092,2),"")</f>
        <v/>
      </c>
      <c r="J1092" s="20" t="n">
        <f aca="false">IF(ROUND($G1092,2)=0,0,1)</f>
        <v>0</v>
      </c>
      <c r="K1092" s="20" t="str">
        <f aca="false">IF($J1092=0,"",SUM($J$1080:$J1092))</f>
        <v/>
      </c>
      <c r="L1092" s="20" t="str">
        <f aca="false">IF($K1092="","",$A1092*100+$K1092)</f>
        <v/>
      </c>
      <c r="M1092" s="48" t="str">
        <f aca="false">参数!$B$3</f>
        <v>7月收入</v>
      </c>
    </row>
    <row r="1093" customFormat="false" ht="13.5" hidden="false" customHeight="false" outlineLevel="0" collapsed="false">
      <c r="A1093" s="47" t="n">
        <v>50</v>
      </c>
      <c r="B1093" s="38" t="str">
        <f aca="false">助手收入!$B51</f>
        <v/>
      </c>
      <c r="C1093" s="48" t="str">
        <f aca="false">助手收入!$C51</f>
        <v>备用5</v>
      </c>
      <c r="D1093" s="48" t="str">
        <f aca="false">科目对照收入!$B15&amp;""</f>
        <v>OMS线上支付</v>
      </c>
      <c r="E1093" s="48" t="str">
        <f aca="false">IF(AND(ROUND($G1093,2)&lt;0,科目对照收入!$L15&lt;&gt;""),科目对照收入!$L15,科目对照收入!$C15)&amp;""</f>
        <v>应收账款</v>
      </c>
      <c r="F1093" s="48" t="str">
        <f aca="false">IF(AND(ROUND($G1093,2)&lt;0,科目对照收入!$L15&lt;&gt;""),科目对照收入!$M15,科目对照收入!$D15)&amp;""</f>
        <v>OMS线上</v>
      </c>
      <c r="G1093" s="49" t="n">
        <f aca="false">IF(COUNTIFS(输入平台!$A:$A,助手收入!$X51,输入平台!$B:$B,科目对照收入!$B15)&gt;0,ROUND(SUMIFS(输入平台!$C:$C,输入平台!$A:$A,助手收入!$X51,输入平台!$B:$B,科目对照收入!$B15),2),ROUND(海典汇总!$L$52,2))</f>
        <v>0</v>
      </c>
      <c r="H1093" s="49" t="str">
        <f aca="false">IF(ROUND($G1093,2)&gt;0,ROUND($G1093,2),"")</f>
        <v/>
      </c>
      <c r="I1093" s="49" t="str">
        <f aca="false">IF(ROUND($G1093,2)&lt;0,-ROUND($G1093,2),"")</f>
        <v/>
      </c>
      <c r="J1093" s="20" t="n">
        <f aca="false">IF(ROUND($G1093,2)=0,0,1)</f>
        <v>0</v>
      </c>
      <c r="K1093" s="20" t="str">
        <f aca="false">IF($J1093=0,"",SUM($J$1080:$J1093))</f>
        <v/>
      </c>
      <c r="L1093" s="20" t="str">
        <f aca="false">IF($K1093="","",$A1093*100+$K1093)</f>
        <v/>
      </c>
      <c r="M1093" s="48" t="str">
        <f aca="false">参数!$B$3</f>
        <v>7月收入</v>
      </c>
    </row>
    <row r="1094" customFormat="false" ht="13.5" hidden="false" customHeight="false" outlineLevel="0" collapsed="false">
      <c r="A1094" s="47" t="n">
        <v>50</v>
      </c>
      <c r="B1094" s="38" t="str">
        <f aca="false">助手收入!$B51</f>
        <v/>
      </c>
      <c r="C1094" s="48" t="str">
        <f aca="false">助手收入!$C51</f>
        <v>备用5</v>
      </c>
      <c r="D1094" s="48" t="str">
        <f aca="false">科目对照收入!$B16&amp;""</f>
        <v>平安药卡</v>
      </c>
      <c r="E1094" s="48" t="str">
        <f aca="false">IF(AND(ROUND($G1094,2)&lt;0,科目对照收入!$L16&lt;&gt;""),科目对照收入!$L16,科目对照收入!$C16)&amp;""</f>
        <v>应收账款</v>
      </c>
      <c r="F1094" s="48" t="str">
        <f aca="false">IF(AND(ROUND($G1094,2)&lt;0,科目对照收入!$L16&lt;&gt;""),科目对照收入!$M16,科目对照收入!$D16)&amp;""</f>
        <v>平安</v>
      </c>
      <c r="G1094" s="49" t="n">
        <f aca="false">IF(COUNTIFS(输入平台!$A:$A,助手收入!$X51,输入平台!$B:$B,科目对照收入!$B16)&gt;0,ROUND(SUMIFS(输入平台!$C:$C,输入平台!$A:$A,助手收入!$X51,输入平台!$B:$B,科目对照收入!$B16),2),ROUND(海典汇总!$AB$52,2))</f>
        <v>0</v>
      </c>
      <c r="H1094" s="49" t="str">
        <f aca="false">IF(ROUND($G1094,2)&gt;0,ROUND($G1094,2),"")</f>
        <v/>
      </c>
      <c r="I1094" s="49" t="str">
        <f aca="false">IF(ROUND($G1094,2)&lt;0,-ROUND($G1094,2),"")</f>
        <v/>
      </c>
      <c r="J1094" s="20" t="n">
        <f aca="false">IF(ROUND($G1094,2)=0,0,1)</f>
        <v>0</v>
      </c>
      <c r="K1094" s="20" t="str">
        <f aca="false">IF($J1094=0,"",SUM($J$1080:$J1094))</f>
        <v/>
      </c>
      <c r="L1094" s="20" t="str">
        <f aca="false">IF($K1094="","",$A1094*100+$K1094)</f>
        <v/>
      </c>
      <c r="M1094" s="48" t="str">
        <f aca="false">参数!$B$3</f>
        <v>7月收入</v>
      </c>
    </row>
    <row r="1095" customFormat="false" ht="13.5" hidden="false" customHeight="false" outlineLevel="0" collapsed="false">
      <c r="A1095" s="47" t="n">
        <v>50</v>
      </c>
      <c r="B1095" s="38" t="str">
        <f aca="false">助手收入!$B51</f>
        <v/>
      </c>
      <c r="C1095" s="48" t="str">
        <f aca="false">助手收入!$C51</f>
        <v>备用5</v>
      </c>
      <c r="D1095" s="48" t="str">
        <f aca="false">科目对照收入!$B17&amp;""</f>
        <v>储值卡</v>
      </c>
      <c r="E1095" s="48" t="str">
        <f aca="false">IF(AND(ROUND($G1095,2)&lt;0,科目对照收入!$L17&lt;&gt;""),科目对照收入!$L17,科目对照收入!$C17)&amp;""</f>
        <v>其他应收款</v>
      </c>
      <c r="F1095" s="48" t="str">
        <f aca="false">IF(AND(ROUND($G1095,2)&lt;0,科目对照收入!$L17&lt;&gt;""),科目对照收入!$M17,科目对照收入!$D17)&amp;""</f>
        <v>储值卡</v>
      </c>
      <c r="G1095" s="49" t="n">
        <f aca="false">ROUND(海典汇总!$Q$52,2)</f>
        <v>0</v>
      </c>
      <c r="H1095" s="49" t="str">
        <f aca="false">IF(ROUND($G1095,2)&gt;0,ROUND($G1095,2),"")</f>
        <v/>
      </c>
      <c r="I1095" s="49" t="str">
        <f aca="false">IF(ROUND($G1095,2)&lt;0,-ROUND($G1095,2),"")</f>
        <v/>
      </c>
      <c r="J1095" s="20" t="n">
        <f aca="false">IF(ROUND($G1095,2)=0,0,1)</f>
        <v>0</v>
      </c>
      <c r="K1095" s="20" t="str">
        <f aca="false">IF($J1095=0,"",SUM($J$1080:$J1095))</f>
        <v/>
      </c>
      <c r="L1095" s="20" t="str">
        <f aca="false">IF($K1095="","",$A1095*100+$K1095)</f>
        <v/>
      </c>
      <c r="M1095" s="48" t="str">
        <f aca="false">参数!$B$3</f>
        <v>7月收入</v>
      </c>
    </row>
    <row r="1096" customFormat="false" ht="13.5" hidden="false" customHeight="false" outlineLevel="0" collapsed="false">
      <c r="A1096" s="47" t="n">
        <v>50</v>
      </c>
      <c r="B1096" s="38" t="str">
        <f aca="false">助手收入!$B51</f>
        <v/>
      </c>
      <c r="C1096" s="48" t="str">
        <f aca="false">助手收入!$C51</f>
        <v>备用5</v>
      </c>
      <c r="D1096" s="48" t="str">
        <f aca="false">科目对照收入!$B18&amp;""</f>
        <v>会员零钱包</v>
      </c>
      <c r="E1096" s="48" t="str">
        <f aca="false">IF(AND(ROUND($G1096,2)&lt;0,科目对照收入!$L18&lt;&gt;""),科目对照收入!$L18,科目对照收入!$C18)&amp;""</f>
        <v>其他应收款</v>
      </c>
      <c r="F1096" s="48" t="str">
        <f aca="false">IF(AND(ROUND($G1096,2)&lt;0,科目对照收入!$L18&lt;&gt;""),科目对照收入!$M18,科目对照收入!$D18)&amp;""</f>
        <v>会员零钱包</v>
      </c>
      <c r="G1096" s="49" t="n">
        <f aca="false">ROUND(海典汇总!$P$52,2)</f>
        <v>0</v>
      </c>
      <c r="H1096" s="49" t="str">
        <f aca="false">IF(ROUND($G1096,2)&gt;0,ROUND($G1096,2),"")</f>
        <v/>
      </c>
      <c r="I1096" s="49" t="str">
        <f aca="false">IF(ROUND($G1096,2)&lt;0,-ROUND($G1096,2),"")</f>
        <v/>
      </c>
      <c r="J1096" s="20" t="n">
        <f aca="false">IF(ROUND($G1096,2)=0,0,1)</f>
        <v>0</v>
      </c>
      <c r="K1096" s="20" t="str">
        <f aca="false">IF($J1096=0,"",SUM($J$1080:$J1096))</f>
        <v/>
      </c>
      <c r="L1096" s="20" t="str">
        <f aca="false">IF($K1096="","",$A1096*100+$K1096)</f>
        <v/>
      </c>
      <c r="M1096" s="48" t="str">
        <f aca="false">参数!$B$3</f>
        <v>7月收入</v>
      </c>
    </row>
    <row r="1097" customFormat="false" ht="13.5" hidden="false" customHeight="false" outlineLevel="0" collapsed="false">
      <c r="A1097" s="47" t="n">
        <v>50</v>
      </c>
      <c r="B1097" s="38" t="str">
        <f aca="false">助手收入!$B51</f>
        <v/>
      </c>
      <c r="C1097" s="48" t="str">
        <f aca="false">助手收入!$C51</f>
        <v>备用5</v>
      </c>
      <c r="D1097" s="48" t="str">
        <f aca="false">科目对照收入!$B19&amp;""</f>
        <v>促销费</v>
      </c>
      <c r="E1097" s="48" t="str">
        <f aca="false">IF(AND(ROUND($G1097,2)&lt;0,科目对照收入!$L19&lt;&gt;""),科目对照收入!$L19,科目对照收入!$C19)&amp;""</f>
        <v>销售费用</v>
      </c>
      <c r="F1097" s="48" t="str">
        <f aca="false">IF(AND(ROUND($G1097,2)&lt;0,科目对照收入!$L19&lt;&gt;""),科目对照收入!$M19,科目对照收入!$D19)&amp;""</f>
        <v>促销费</v>
      </c>
      <c r="G1097" s="49" t="n">
        <f aca="false">ROUND(海典汇总!$U$52+海典汇总!$T$52+海典汇总!$S$52,2)</f>
        <v>0</v>
      </c>
      <c r="H1097" s="49" t="str">
        <f aca="false">IF(ROUND($G1097,2)&gt;0,ROUND($G1097,2),"")</f>
        <v/>
      </c>
      <c r="I1097" s="49" t="str">
        <f aca="false">IF(ROUND($G1097,2)&lt;0,-ROUND($G1097,2),"")</f>
        <v/>
      </c>
      <c r="J1097" s="20" t="n">
        <f aca="false">IF(ROUND($G1097,2)=0,0,1)</f>
        <v>0</v>
      </c>
      <c r="K1097" s="20" t="str">
        <f aca="false">IF($J1097=0,"",SUM($J$1080:$J1097))</f>
        <v/>
      </c>
      <c r="L1097" s="20" t="str">
        <f aca="false">IF($K1097="","",$A1097*100+$K1097)</f>
        <v/>
      </c>
      <c r="M1097" s="48" t="str">
        <f aca="false">参数!$B$3</f>
        <v>7月收入</v>
      </c>
    </row>
    <row r="1098" customFormat="false" ht="13.5" hidden="false" customHeight="false" outlineLevel="0" collapsed="false">
      <c r="A1098" s="47" t="n">
        <v>50</v>
      </c>
      <c r="B1098" s="38" t="str">
        <f aca="false">助手收入!$B51</f>
        <v/>
      </c>
      <c r="C1098" s="48" t="str">
        <f aca="false">助手收入!$C51</f>
        <v>备用5</v>
      </c>
      <c r="D1098" s="48" t="str">
        <f aca="false">科目对照收入!$B20&amp;""</f>
        <v>积分</v>
      </c>
      <c r="E1098" s="48" t="str">
        <f aca="false">IF(AND(ROUND($G1098,2)&lt;0,科目对照收入!$L20&lt;&gt;""),科目对照收入!$L20,科目对照收入!$C20)&amp;""</f>
        <v>销售费用</v>
      </c>
      <c r="F1098" s="48" t="str">
        <f aca="false">IF(AND(ROUND($G1098,2)&lt;0,科目对照收入!$L20&lt;&gt;""),科目对照收入!$M20,科目对照收入!$D20)&amp;""</f>
        <v>积分</v>
      </c>
      <c r="G1098" s="49" t="n">
        <f aca="false">ROUND(海典汇总!$R$52,2)</f>
        <v>0</v>
      </c>
      <c r="H1098" s="49" t="str">
        <f aca="false">IF(ROUND($G1098,2)&gt;0,ROUND($G1098,2),"")</f>
        <v/>
      </c>
      <c r="I1098" s="49" t="str">
        <f aca="false">IF(ROUND($G1098,2)&lt;0,-ROUND($G1098,2),"")</f>
        <v/>
      </c>
      <c r="J1098" s="20" t="n">
        <f aca="false">IF(ROUND($G1098,2)=0,0,1)</f>
        <v>0</v>
      </c>
      <c r="K1098" s="20" t="str">
        <f aca="false">IF($J1098=0,"",SUM($J$1080:$J1098))</f>
        <v/>
      </c>
      <c r="L1098" s="20" t="str">
        <f aca="false">IF($K1098="","",$A1098*100+$K1098)</f>
        <v/>
      </c>
      <c r="M1098" s="48" t="str">
        <f aca="false">参数!$B$3</f>
        <v>7月收入</v>
      </c>
    </row>
    <row r="1099" customFormat="false" ht="13.5" hidden="false" customHeight="false" outlineLevel="0" collapsed="false">
      <c r="A1099" s="47" t="n">
        <v>50</v>
      </c>
      <c r="B1099" s="38" t="str">
        <f aca="false">助手收入!$B51</f>
        <v/>
      </c>
      <c r="C1099" s="48" t="str">
        <f aca="false">助手收入!$C51</f>
        <v>备用5</v>
      </c>
      <c r="D1099" s="48" t="str">
        <f aca="false">科目对照收入!$B21&amp;""</f>
        <v>手续费</v>
      </c>
      <c r="E1099" s="48" t="str">
        <f aca="false">IF(AND(ROUND($G1099,2)&lt;0,科目对照收入!$L21&lt;&gt;""),科目对照收入!$L21,科目对照收入!$C21)&amp;""</f>
        <v>财务费用</v>
      </c>
      <c r="F1099" s="48" t="str">
        <f aca="false">IF(AND(ROUND($G1099,2)&lt;0,科目对照收入!$L21&lt;&gt;""),科目对照收入!$M21,科目对照收入!$D21)&amp;""</f>
        <v>手续费</v>
      </c>
      <c r="G1099" s="49" t="n">
        <f aca="false">ROUND(SUMIFS(输入聚合!$D:$D,输入聚合!$A:$A,助手收入!$X51),2)</f>
        <v>0</v>
      </c>
      <c r="H1099" s="49" t="str">
        <f aca="false">IF(ROUND($G1099,2)&gt;0,ROUND($G1099,2),"")</f>
        <v/>
      </c>
      <c r="I1099" s="49" t="str">
        <f aca="false">IF(ROUND($G1099,2)&lt;0,-ROUND($G1099,2),"")</f>
        <v/>
      </c>
      <c r="J1099" s="20" t="n">
        <f aca="false">IF(ROUND($G1099,2)=0,0,1)</f>
        <v>0</v>
      </c>
      <c r="K1099" s="20" t="str">
        <f aca="false">IF($J1099=0,"",SUM($J$1080:$J1099))</f>
        <v/>
      </c>
      <c r="L1099" s="20" t="str">
        <f aca="false">IF($K1099="","",$A1099*100+$K1099)</f>
        <v/>
      </c>
      <c r="M1099" s="48" t="str">
        <f aca="false">参数!$B$3</f>
        <v>7月收入</v>
      </c>
    </row>
    <row r="1100" customFormat="false" ht="13.5" hidden="false" customHeight="false" outlineLevel="0" collapsed="false">
      <c r="A1100" s="47" t="n">
        <v>50</v>
      </c>
      <c r="B1100" s="38" t="str">
        <f aca="false">助手收入!$B51</f>
        <v/>
      </c>
      <c r="C1100" s="48" t="str">
        <f aca="false">助手收入!$C51</f>
        <v>备用5</v>
      </c>
      <c r="D1100" s="48" t="str">
        <f aca="false">科目对照收入!$B22&amp;""</f>
        <v>主营业务收入</v>
      </c>
      <c r="E1100" s="48" t="str">
        <f aca="false">IF(AND(ROUND($G1100,2)&lt;0,科目对照收入!$L22&lt;&gt;""),科目对照收入!$L22,科目对照收入!$C22)&amp;""</f>
        <v>主营业务收入</v>
      </c>
      <c r="F1100" s="48" t="str">
        <f aca="false">IF(AND(ROUND($G1100,2)&lt;0,科目对照收入!$L22&lt;&gt;""),科目对照收入!$M22,科目对照收入!$D22)&amp;""</f>
        <v/>
      </c>
      <c r="G1100" s="49" t="n">
        <f aca="false">-ROUND(助手收入!$G51,2)</f>
        <v>-0</v>
      </c>
      <c r="H1100" s="49" t="str">
        <f aca="false">IF(ROUND($G1100,2)&gt;0,ROUND($G1100,2),"")</f>
        <v/>
      </c>
      <c r="I1100" s="49" t="str">
        <f aca="false">IF(ROUND($G1100,2)&lt;0,-ROUND($G1100,2),"")</f>
        <v/>
      </c>
      <c r="J1100" s="20" t="n">
        <f aca="false">IF(ROUND($G1100,2)=0,0,1)</f>
        <v>0</v>
      </c>
      <c r="K1100" s="20" t="str">
        <f aca="false">IF($J1100=0,"",SUM($J$1080:$J1100))</f>
        <v/>
      </c>
      <c r="L1100" s="20" t="str">
        <f aca="false">IF($K1100="","",$A1100*100+$K1100)</f>
        <v/>
      </c>
      <c r="M1100" s="48" t="str">
        <f aca="false">参数!$B$3</f>
        <v>7月收入</v>
      </c>
    </row>
    <row r="1101" customFormat="false" ht="13.5" hidden="false" customHeight="false" outlineLevel="0" collapsed="false">
      <c r="A1101" s="47" t="n">
        <v>50</v>
      </c>
      <c r="B1101" s="38" t="str">
        <f aca="false">助手收入!$B51</f>
        <v/>
      </c>
      <c r="C1101" s="48" t="str">
        <f aca="false">助手收入!$C51</f>
        <v>备用5</v>
      </c>
      <c r="D1101" s="48" t="str">
        <f aca="false">科目对照收入!$B23&amp;""</f>
        <v>营业外收入</v>
      </c>
      <c r="E1101" s="48" t="str">
        <f aca="false">IF(AND(ROUND($G1101,2)&lt;0,科目对照收入!$L23&lt;&gt;""),科目对照收入!$L23,科目对照收入!$C23)&amp;""</f>
        <v>营业外收入</v>
      </c>
      <c r="F1101" s="48" t="str">
        <f aca="false">IF(AND(ROUND($G1101,2)&lt;0,科目对照收入!$L23&lt;&gt;""),科目对照收入!$M23,科目对照收入!$D23)&amp;""</f>
        <v/>
      </c>
      <c r="G1101" s="49" t="n">
        <f aca="false">-ROUND(助手收入!$J51,2)</f>
        <v>-0</v>
      </c>
      <c r="H1101" s="49" t="str">
        <f aca="false">IF(ROUND($G1101,2)&gt;0,ROUND($G1101,2),"")</f>
        <v/>
      </c>
      <c r="I1101" s="49" t="str">
        <f aca="false">IF(ROUND($G1101,2)&lt;0,-ROUND($G1101,2),"")</f>
        <v/>
      </c>
      <c r="J1101" s="20" t="n">
        <f aca="false">IF(ROUND($G1101,2)=0,0,1)</f>
        <v>0</v>
      </c>
      <c r="K1101" s="20" t="str">
        <f aca="false">IF($J1101=0,"",SUM($J$1080:$J1101))</f>
        <v/>
      </c>
      <c r="L1101" s="20" t="str">
        <f aca="false">IF($K1101="","",$A1101*100+$K1101)</f>
        <v/>
      </c>
      <c r="M1101" s="48" t="str">
        <f aca="false">参数!$B$3</f>
        <v>7月收入</v>
      </c>
    </row>
    <row r="1102" customFormat="false" ht="13.5" hidden="false" customHeight="false" outlineLevel="0" collapsed="false">
      <c r="A1102" s="47" t="n">
        <v>51</v>
      </c>
      <c r="B1102" s="38" t="str">
        <f aca="false">助手收入!$B52</f>
        <v/>
      </c>
      <c r="C1102" s="48" t="str">
        <f aca="false">助手收入!$C52</f>
        <v>备用6</v>
      </c>
      <c r="D1102" s="48" t="str">
        <f aca="false">科目对照收入!$B2&amp;""</f>
        <v>库存现金</v>
      </c>
      <c r="E1102" s="48" t="str">
        <f aca="false">IF(AND(ROUND($G1102,2)&lt;0,科目对照收入!$L2&lt;&gt;""),科目对照收入!$L2,科目对照收入!$C2)&amp;""</f>
        <v>库存现金</v>
      </c>
      <c r="F1102" s="48" t="str">
        <f aca="false">IF(AND(ROUND($G1102,2)&lt;0,科目对照收入!$L2&lt;&gt;""),科目对照收入!$M2,科目对照收入!$D2)&amp;""</f>
        <v/>
      </c>
      <c r="G1102" s="49" t="n">
        <f aca="false">助手收入!$I52</f>
        <v>0</v>
      </c>
      <c r="H1102" s="49" t="str">
        <f aca="false">IF(ROUND($G1102,2)&gt;0,ROUND($G1102,2),"")</f>
        <v/>
      </c>
      <c r="I1102" s="49" t="str">
        <f aca="false">IF(ROUND($G1102,2)&lt;0,-ROUND($G1102,2),"")</f>
        <v/>
      </c>
      <c r="J1102" s="20" t="n">
        <f aca="false">IF(ROUND($G1102,2)=0,0,1)</f>
        <v>0</v>
      </c>
      <c r="K1102" s="20" t="str">
        <f aca="false">IF($J1102=0,"",SUM($J$1102:$J1102))</f>
        <v/>
      </c>
      <c r="L1102" s="20" t="str">
        <f aca="false">IF($K1102="","",$A1102*100+$K1102)</f>
        <v/>
      </c>
      <c r="M1102" s="48" t="str">
        <f aca="false">参数!$B$3</f>
        <v>7月收入</v>
      </c>
    </row>
    <row r="1103" customFormat="false" ht="13.5" hidden="false" customHeight="false" outlineLevel="0" collapsed="false">
      <c r="A1103" s="47" t="n">
        <v>51</v>
      </c>
      <c r="B1103" s="38" t="str">
        <f aca="false">助手收入!$B52</f>
        <v/>
      </c>
      <c r="C1103" s="48" t="str">
        <f aca="false">助手收入!$C52</f>
        <v>备用6</v>
      </c>
      <c r="D1103" s="48" t="str">
        <f aca="false">科目对照收入!$B3&amp;""</f>
        <v>聚合支付</v>
      </c>
      <c r="E1103" s="48" t="str">
        <f aca="false">IF(AND(ROUND($G1103,2)&lt;0,科目对照收入!$L3&lt;&gt;""),科目对照收入!$L3,科目对照收入!$C3)&amp;""</f>
        <v>应收账款</v>
      </c>
      <c r="F1103" s="48" t="str">
        <f aca="false">IF(AND(ROUND($G1103,2)&lt;0,科目对照收入!$L3&lt;&gt;""),科目对照收入!$M3,科目对照收入!$D3)&amp;""</f>
        <v>聚合支付</v>
      </c>
      <c r="G1103" s="49" t="n">
        <f aca="false">ROUND(SUMIFS(输入聚合!$C:$C,输入聚合!$A:$A,助手收入!$X52)-SUMIFS(输入聚合!$D:$D,输入聚合!$A:$A,助手收入!$X52),2)</f>
        <v>0</v>
      </c>
      <c r="H1103" s="49" t="str">
        <f aca="false">IF(ROUND($G1103,2)&gt;0,ROUND($G1103,2),"")</f>
        <v/>
      </c>
      <c r="I1103" s="49" t="str">
        <f aca="false">IF(ROUND($G1103,2)&lt;0,-ROUND($G1103,2),"")</f>
        <v/>
      </c>
      <c r="J1103" s="20" t="n">
        <f aca="false">IF(ROUND($G1103,2)=0,0,1)</f>
        <v>0</v>
      </c>
      <c r="K1103" s="20" t="str">
        <f aca="false">IF($J1103=0,"",SUM($J$1102:$J1103))</f>
        <v/>
      </c>
      <c r="L1103" s="20" t="str">
        <f aca="false">IF($K1103="","",$A1103*100+$K1103)</f>
        <v/>
      </c>
      <c r="M1103" s="48" t="str">
        <f aca="false">参数!$B$3</f>
        <v>7月收入</v>
      </c>
    </row>
    <row r="1104" customFormat="false" ht="13.5" hidden="false" customHeight="false" outlineLevel="0" collapsed="false">
      <c r="A1104" s="47" t="n">
        <v>51</v>
      </c>
      <c r="B1104" s="38" t="str">
        <f aca="false">助手收入!$B52</f>
        <v/>
      </c>
      <c r="C1104" s="48" t="str">
        <f aca="false">助手收入!$C52</f>
        <v>备用6</v>
      </c>
      <c r="D1104" s="48" t="str">
        <f aca="false">科目对照收入!$B4&amp;""</f>
        <v>医保</v>
      </c>
      <c r="E1104" s="48" t="str">
        <f aca="false">IF(AND(ROUND($G1104,2)&lt;0,科目对照收入!$L4&lt;&gt;""),科目对照收入!$L4,科目对照收入!$C4)&amp;""</f>
        <v>应收账款</v>
      </c>
      <c r="F1104" s="48" t="str">
        <f aca="false">IF(AND(ROUND($G1104,2)&lt;0,科目对照收入!$L4&lt;&gt;""),科目对照收入!$M4,科目对照收入!$D4)&amp;""</f>
        <v>医保</v>
      </c>
      <c r="G1104" s="49" t="n">
        <f aca="false">IF(COUNTIFS(输入平台!$A:$A,助手收入!$X52,输入平台!$B:$B,科目对照收入!$B4)&gt;0,ROUND(SUMIFS(输入平台!$C:$C,输入平台!$A:$A,助手收入!$X52,输入平台!$B:$B,科目对照收入!$B4),2),ROUND(海典汇总!$F$53+海典汇总!$G$53,2))</f>
        <v>0</v>
      </c>
      <c r="H1104" s="49" t="str">
        <f aca="false">IF(ROUND($G1104,2)&gt;0,ROUND($G1104,2),"")</f>
        <v/>
      </c>
      <c r="I1104" s="49" t="str">
        <f aca="false">IF(ROUND($G1104,2)&lt;0,-ROUND($G1104,2),"")</f>
        <v/>
      </c>
      <c r="J1104" s="20" t="n">
        <f aca="false">IF(ROUND($G1104,2)=0,0,1)</f>
        <v>0</v>
      </c>
      <c r="K1104" s="20" t="str">
        <f aca="false">IF($J1104=0,"",SUM($J$1102:$J1104))</f>
        <v/>
      </c>
      <c r="L1104" s="20" t="str">
        <f aca="false">IF($K1104="","",$A1104*100+$K1104)</f>
        <v/>
      </c>
      <c r="M1104" s="48" t="str">
        <f aca="false">参数!$B$3</f>
        <v>7月收入</v>
      </c>
    </row>
    <row r="1105" customFormat="false" ht="13.5" hidden="false" customHeight="false" outlineLevel="0" collapsed="false">
      <c r="A1105" s="47" t="n">
        <v>51</v>
      </c>
      <c r="B1105" s="38" t="str">
        <f aca="false">助手收入!$B52</f>
        <v/>
      </c>
      <c r="C1105" s="48" t="str">
        <f aca="false">助手收入!$C52</f>
        <v>备用6</v>
      </c>
      <c r="D1105" s="48" t="str">
        <f aca="false">科目对照收入!$B5&amp;""</f>
        <v>健e卡</v>
      </c>
      <c r="E1105" s="48" t="str">
        <f aca="false">IF(AND(ROUND($G1105,2)&lt;0,科目对照收入!$L5&lt;&gt;""),科目对照收入!$L5,科目对照收入!$C5)&amp;""</f>
        <v>应收账款</v>
      </c>
      <c r="F1105" s="48" t="str">
        <f aca="false">IF(AND(ROUND($G1105,2)&lt;0,科目对照收入!$L5&lt;&gt;""),科目对照收入!$M5,科目对照收入!$D5)&amp;""</f>
        <v>健e卡</v>
      </c>
      <c r="G1105" s="49" t="n">
        <f aca="false">IF(COUNTIFS(输入平台!$A:$A,助手收入!$X52,输入平台!$B:$B,科目对照收入!$B5)&gt;0,ROUND(SUMIFS(输入平台!$C:$C,输入平台!$A:$A,助手收入!$X52,输入平台!$B:$B,科目对照收入!$B5),2),ROUND(海典汇总!$H$53,2))</f>
        <v>0</v>
      </c>
      <c r="H1105" s="49" t="str">
        <f aca="false">IF(ROUND($G1105,2)&gt;0,ROUND($G1105,2),"")</f>
        <v/>
      </c>
      <c r="I1105" s="49" t="str">
        <f aca="false">IF(ROUND($G1105,2)&lt;0,-ROUND($G1105,2),"")</f>
        <v/>
      </c>
      <c r="J1105" s="20" t="n">
        <f aca="false">IF(ROUND($G1105,2)=0,0,1)</f>
        <v>0</v>
      </c>
      <c r="K1105" s="20" t="str">
        <f aca="false">IF($J1105=0,"",SUM($J$1102:$J1105))</f>
        <v/>
      </c>
      <c r="L1105" s="20" t="str">
        <f aca="false">IF($K1105="","",$A1105*100+$K1105)</f>
        <v/>
      </c>
      <c r="M1105" s="48" t="str">
        <f aca="false">参数!$B$3</f>
        <v>7月收入</v>
      </c>
    </row>
    <row r="1106" customFormat="false" ht="13.5" hidden="false" customHeight="false" outlineLevel="0" collapsed="false">
      <c r="A1106" s="47" t="n">
        <v>51</v>
      </c>
      <c r="B1106" s="38" t="str">
        <f aca="false">助手收入!$B52</f>
        <v/>
      </c>
      <c r="C1106" s="48" t="str">
        <f aca="false">助手收入!$C52</f>
        <v>备用6</v>
      </c>
      <c r="D1106" s="48" t="str">
        <f aca="false">科目对照收入!$B6&amp;""</f>
        <v>医卡通</v>
      </c>
      <c r="E1106" s="48" t="str">
        <f aca="false">IF(AND(ROUND($G1106,2)&lt;0,科目对照收入!$L6&lt;&gt;""),科目对照收入!$L6,科目对照收入!$C6)&amp;""</f>
        <v>应收账款</v>
      </c>
      <c r="F1106" s="48" t="str">
        <f aca="false">IF(AND(ROUND($G1106,2)&lt;0,科目对照收入!$L6&lt;&gt;""),科目对照收入!$M6,科目对照收入!$D6)&amp;""</f>
        <v>医卡通</v>
      </c>
      <c r="G1106" s="49" t="n">
        <f aca="false">IF(COUNTIFS(输入平台!$A:$A,助手收入!$X52,输入平台!$B:$B,科目对照收入!$B6)&gt;0,ROUND(SUMIFS(输入平台!$C:$C,输入平台!$A:$A,助手收入!$X52,输入平台!$B:$B,科目对照收入!$B6),2),ROUND(海典汇总!$I$53,2))</f>
        <v>0</v>
      </c>
      <c r="H1106" s="49" t="str">
        <f aca="false">IF(ROUND($G1106,2)&gt;0,ROUND($G1106,2),"")</f>
        <v/>
      </c>
      <c r="I1106" s="49" t="str">
        <f aca="false">IF(ROUND($G1106,2)&lt;0,-ROUND($G1106,2),"")</f>
        <v/>
      </c>
      <c r="J1106" s="20" t="n">
        <f aca="false">IF(ROUND($G1106,2)=0,0,1)</f>
        <v>0</v>
      </c>
      <c r="K1106" s="20" t="str">
        <f aca="false">IF($J1106=0,"",SUM($J$1102:$J1106))</f>
        <v/>
      </c>
      <c r="L1106" s="20" t="str">
        <f aca="false">IF($K1106="","",$A1106*100+$K1106)</f>
        <v/>
      </c>
      <c r="M1106" s="48" t="str">
        <f aca="false">参数!$B$3</f>
        <v>7月收入</v>
      </c>
    </row>
    <row r="1107" customFormat="false" ht="13.5" hidden="false" customHeight="false" outlineLevel="0" collapsed="false">
      <c r="A1107" s="47" t="n">
        <v>51</v>
      </c>
      <c r="B1107" s="38" t="str">
        <f aca="false">助手收入!$B52</f>
        <v/>
      </c>
      <c r="C1107" s="48" t="str">
        <f aca="false">助手收入!$C52</f>
        <v>备用6</v>
      </c>
      <c r="D1107" s="48" t="str">
        <f aca="false">科目对照收入!$B7&amp;""</f>
        <v>企健网</v>
      </c>
      <c r="E1107" s="48" t="str">
        <f aca="false">IF(AND(ROUND($G1107,2)&lt;0,科目对照收入!$L7&lt;&gt;""),科目对照收入!$L7,科目对照收入!$C7)&amp;""</f>
        <v>应收账款</v>
      </c>
      <c r="F1107" s="48" t="str">
        <f aca="false">IF(AND(ROUND($G1107,2)&lt;0,科目对照收入!$L7&lt;&gt;""),科目对照收入!$M7,科目对照收入!$D7)&amp;""</f>
        <v>企健网</v>
      </c>
      <c r="G1107" s="49" t="n">
        <f aca="false">IF(COUNTIFS(输入平台!$A:$A,助手收入!$X52,输入平台!$B:$B,科目对照收入!$B7)&gt;0,ROUND(SUMIFS(输入平台!$C:$C,输入平台!$A:$A,助手收入!$X52,输入平台!$B:$B,科目对照收入!$B7),2),ROUND(海典汇总!$J$53,2))</f>
        <v>0</v>
      </c>
      <c r="H1107" s="49" t="str">
        <f aca="false">IF(ROUND($G1107,2)&gt;0,ROUND($G1107,2),"")</f>
        <v/>
      </c>
      <c r="I1107" s="49" t="str">
        <f aca="false">IF(ROUND($G1107,2)&lt;0,-ROUND($G1107,2),"")</f>
        <v/>
      </c>
      <c r="J1107" s="20" t="n">
        <f aca="false">IF(ROUND($G1107,2)=0,0,1)</f>
        <v>0</v>
      </c>
      <c r="K1107" s="20" t="str">
        <f aca="false">IF($J1107=0,"",SUM($J$1102:$J1107))</f>
        <v/>
      </c>
      <c r="L1107" s="20" t="str">
        <f aca="false">IF($K1107="","",$A1107*100+$K1107)</f>
        <v/>
      </c>
      <c r="M1107" s="48" t="str">
        <f aca="false">参数!$B$3</f>
        <v>7月收入</v>
      </c>
    </row>
    <row r="1108" customFormat="false" ht="13.5" hidden="false" customHeight="false" outlineLevel="0" collapsed="false">
      <c r="A1108" s="47" t="n">
        <v>51</v>
      </c>
      <c r="B1108" s="38" t="str">
        <f aca="false">助手收入!$B52</f>
        <v/>
      </c>
      <c r="C1108" s="48" t="str">
        <f aca="false">助手收入!$C52</f>
        <v>备用6</v>
      </c>
      <c r="D1108" s="48" t="str">
        <f aca="false">科目对照收入!$B8&amp;""</f>
        <v>亲情卡</v>
      </c>
      <c r="E1108" s="48" t="str">
        <f aca="false">IF(AND(ROUND($G1108,2)&lt;0,科目对照收入!$L8&lt;&gt;""),科目对照收入!$L8,科目对照收入!$C8)&amp;""</f>
        <v>应收账款</v>
      </c>
      <c r="F1108" s="48" t="str">
        <f aca="false">IF(AND(ROUND($G1108,2)&lt;0,科目对照收入!$L8&lt;&gt;""),科目对照收入!$M8,科目对照收入!$D8)&amp;""</f>
        <v>亲情卡</v>
      </c>
      <c r="G1108" s="49" t="n">
        <f aca="false">IF(COUNTIFS(输入平台!$A:$A,助手收入!$X52,输入平台!$B:$B,科目对照收入!$B8)&gt;0,ROUND(SUMIFS(输入平台!$C:$C,输入平台!$A:$A,助手收入!$X52,输入平台!$B:$B,科目对照收入!$B8),2),ROUND(海典汇总!$Z$53,2))</f>
        <v>0</v>
      </c>
      <c r="H1108" s="49" t="str">
        <f aca="false">IF(ROUND($G1108,2)&gt;0,ROUND($G1108,2),"")</f>
        <v/>
      </c>
      <c r="I1108" s="49" t="str">
        <f aca="false">IF(ROUND($G1108,2)&lt;0,-ROUND($G1108,2),"")</f>
        <v/>
      </c>
      <c r="J1108" s="20" t="n">
        <f aca="false">IF(ROUND($G1108,2)=0,0,1)</f>
        <v>0</v>
      </c>
      <c r="K1108" s="20" t="str">
        <f aca="false">IF($J1108=0,"",SUM($J$1102:$J1108))</f>
        <v/>
      </c>
      <c r="L1108" s="20" t="str">
        <f aca="false">IF($K1108="","",$A1108*100+$K1108)</f>
        <v/>
      </c>
      <c r="M1108" s="48" t="str">
        <f aca="false">参数!$B$3</f>
        <v>7月收入</v>
      </c>
    </row>
    <row r="1109" customFormat="false" ht="13.5" hidden="false" customHeight="false" outlineLevel="0" collapsed="false">
      <c r="A1109" s="47" t="n">
        <v>51</v>
      </c>
      <c r="B1109" s="38" t="str">
        <f aca="false">助手收入!$B52</f>
        <v/>
      </c>
      <c r="C1109" s="48" t="str">
        <f aca="false">助手收入!$C52</f>
        <v>备用6</v>
      </c>
      <c r="D1109" s="48" t="str">
        <f aca="false">科目对照收入!$B9&amp;""</f>
        <v>24小时</v>
      </c>
      <c r="E1109" s="48" t="str">
        <f aca="false">IF(AND(ROUND($G1109,2)&lt;0,科目对照收入!$L9&lt;&gt;""),科目对照收入!$L9,科目对照收入!$C9)&amp;""</f>
        <v>应收账款</v>
      </c>
      <c r="F1109" s="48" t="str">
        <f aca="false">IF(AND(ROUND($G1109,2)&lt;0,科目对照收入!$L9&lt;&gt;""),科目对照收入!$M9,科目对照收入!$D9)&amp;""</f>
        <v>24小时</v>
      </c>
      <c r="G1109" s="49" t="n">
        <f aca="false">IF(COUNTIFS(输入平台!$A:$A,助手收入!$X52,输入平台!$B:$B,科目对照收入!$B9)&gt;0,ROUND(SUMIFS(输入平台!$C:$C,输入平台!$A:$A,助手收入!$X52,输入平台!$B:$B,科目对照收入!$B9),2),ROUND(海典汇总!$K$53,2))</f>
        <v>0</v>
      </c>
      <c r="H1109" s="49" t="str">
        <f aca="false">IF(ROUND($G1109,2)&gt;0,ROUND($G1109,2),"")</f>
        <v/>
      </c>
      <c r="I1109" s="49" t="str">
        <f aca="false">IF(ROUND($G1109,2)&lt;0,-ROUND($G1109,2),"")</f>
        <v/>
      </c>
      <c r="J1109" s="20" t="n">
        <f aca="false">IF(ROUND($G1109,2)=0,0,1)</f>
        <v>0</v>
      </c>
      <c r="K1109" s="20" t="str">
        <f aca="false">IF($J1109=0,"",SUM($J$1102:$J1109))</f>
        <v/>
      </c>
      <c r="L1109" s="20" t="str">
        <f aca="false">IF($K1109="","",$A1109*100+$K1109)</f>
        <v/>
      </c>
      <c r="M1109" s="48" t="str">
        <f aca="false">参数!$B$3</f>
        <v>7月收入</v>
      </c>
    </row>
    <row r="1110" customFormat="false" ht="13.5" hidden="false" customHeight="false" outlineLevel="0" collapsed="false">
      <c r="A1110" s="47" t="n">
        <v>51</v>
      </c>
      <c r="B1110" s="38" t="str">
        <f aca="false">助手收入!$B52</f>
        <v/>
      </c>
      <c r="C1110" s="48" t="str">
        <f aca="false">助手收入!$C52</f>
        <v>备用6</v>
      </c>
      <c r="D1110" s="48" t="str">
        <f aca="false">科目对照收入!$B10&amp;""</f>
        <v>美团</v>
      </c>
      <c r="E1110" s="48" t="str">
        <f aca="false">IF(AND(ROUND($G1110,2)&lt;0,科目对照收入!$L10&lt;&gt;""),科目对照收入!$L10,科目对照收入!$C10)&amp;""</f>
        <v>应收账款</v>
      </c>
      <c r="F1110" s="48" t="str">
        <f aca="false">IF(AND(ROUND($G1110,2)&lt;0,科目对照收入!$L10&lt;&gt;""),科目对照收入!$M10,科目对照收入!$D10)&amp;""</f>
        <v>美团</v>
      </c>
      <c r="G1110" s="49" t="n">
        <f aca="false">IF(COUNTIFS(输入平台!$A:$A,助手收入!$X52,输入平台!$B:$B,科目对照收入!$B10)&gt;0,ROUND(SUMIFS(输入平台!$C:$C,输入平台!$A:$A,助手收入!$X52,输入平台!$B:$B,科目对照收入!$B10),2),ROUND(海典汇总!$M$53,2))</f>
        <v>0</v>
      </c>
      <c r="H1110" s="49" t="str">
        <f aca="false">IF(ROUND($G1110,2)&gt;0,ROUND($G1110,2),"")</f>
        <v/>
      </c>
      <c r="I1110" s="49" t="str">
        <f aca="false">IF(ROUND($G1110,2)&lt;0,-ROUND($G1110,2),"")</f>
        <v/>
      </c>
      <c r="J1110" s="20" t="n">
        <f aca="false">IF(ROUND($G1110,2)=0,0,1)</f>
        <v>0</v>
      </c>
      <c r="K1110" s="20" t="str">
        <f aca="false">IF($J1110=0,"",SUM($J$1102:$J1110))</f>
        <v/>
      </c>
      <c r="L1110" s="20" t="str">
        <f aca="false">IF($K1110="","",$A1110*100+$K1110)</f>
        <v/>
      </c>
      <c r="M1110" s="48" t="str">
        <f aca="false">参数!$B$3</f>
        <v>7月收入</v>
      </c>
    </row>
    <row r="1111" customFormat="false" ht="13.5" hidden="false" customHeight="false" outlineLevel="0" collapsed="false">
      <c r="A1111" s="47" t="n">
        <v>51</v>
      </c>
      <c r="B1111" s="38" t="str">
        <f aca="false">助手收入!$B52</f>
        <v/>
      </c>
      <c r="C1111" s="48" t="str">
        <f aca="false">助手收入!$C52</f>
        <v>备用6</v>
      </c>
      <c r="D1111" s="48" t="str">
        <f aca="false">科目对照收入!$B11&amp;""</f>
        <v>饿了么</v>
      </c>
      <c r="E1111" s="48" t="str">
        <f aca="false">IF(AND(ROUND($G1111,2)&lt;0,科目对照收入!$L11&lt;&gt;""),科目对照收入!$L11,科目对照收入!$C11)&amp;""</f>
        <v>应收账款</v>
      </c>
      <c r="F1111" s="48" t="str">
        <f aca="false">IF(AND(ROUND($G1111,2)&lt;0,科目对照收入!$L11&lt;&gt;""),科目对照收入!$M11,科目对照收入!$D11)&amp;""</f>
        <v>饿了么</v>
      </c>
      <c r="G1111" s="49" t="n">
        <f aca="false">IF(COUNTIFS(输入平台!$A:$A,助手收入!$X52,输入平台!$B:$B,科目对照收入!$B11)&gt;0,ROUND(SUMIFS(输入平台!$C:$C,输入平台!$A:$A,助手收入!$X52,输入平台!$B:$B,科目对照收入!$B11),2),ROUND(海典汇总!$N$53,2))</f>
        <v>0</v>
      </c>
      <c r="H1111" s="49" t="str">
        <f aca="false">IF(ROUND($G1111,2)&gt;0,ROUND($G1111,2),"")</f>
        <v/>
      </c>
      <c r="I1111" s="49" t="str">
        <f aca="false">IF(ROUND($G1111,2)&lt;0,-ROUND($G1111,2),"")</f>
        <v/>
      </c>
      <c r="J1111" s="20" t="n">
        <f aca="false">IF(ROUND($G1111,2)=0,0,1)</f>
        <v>0</v>
      </c>
      <c r="K1111" s="20" t="str">
        <f aca="false">IF($J1111=0,"",SUM($J$1102:$J1111))</f>
        <v/>
      </c>
      <c r="L1111" s="20" t="str">
        <f aca="false">IF($K1111="","",$A1111*100+$K1111)</f>
        <v/>
      </c>
      <c r="M1111" s="48" t="str">
        <f aca="false">参数!$B$3</f>
        <v>7月收入</v>
      </c>
    </row>
    <row r="1112" customFormat="false" ht="13.5" hidden="false" customHeight="false" outlineLevel="0" collapsed="false">
      <c r="A1112" s="47" t="n">
        <v>51</v>
      </c>
      <c r="B1112" s="38" t="str">
        <f aca="false">助手收入!$B52</f>
        <v/>
      </c>
      <c r="C1112" s="48" t="str">
        <f aca="false">助手收入!$C52</f>
        <v>备用6</v>
      </c>
      <c r="D1112" s="48" t="str">
        <f aca="false">科目对照收入!$B12&amp;""</f>
        <v>京东秒送</v>
      </c>
      <c r="E1112" s="48" t="str">
        <f aca="false">IF(AND(ROUND($G1112,2)&lt;0,科目对照收入!$L12&lt;&gt;""),科目对照收入!$L12,科目对照收入!$C12)&amp;""</f>
        <v>应收账款</v>
      </c>
      <c r="F1112" s="48" t="str">
        <f aca="false">IF(AND(ROUND($G1112,2)&lt;0,科目对照收入!$L12&lt;&gt;""),科目对照收入!$M12,科目对照收入!$D12)&amp;""</f>
        <v>京东秒送</v>
      </c>
      <c r="G1112" s="49" t="n">
        <f aca="false">IF(COUNTIFS(输入平台!$A:$A,助手收入!$X52,输入平台!$B:$B,科目对照收入!$B12)&gt;0,ROUND(SUMIFS(输入平台!$C:$C,输入平台!$A:$A,助手收入!$X52,输入平台!$B:$B,科目对照收入!$B12),2),ROUND(海典汇总!$O$53,2))</f>
        <v>0</v>
      </c>
      <c r="H1112" s="49" t="str">
        <f aca="false">IF(ROUND($G1112,2)&gt;0,ROUND($G1112,2),"")</f>
        <v/>
      </c>
      <c r="I1112" s="49" t="str">
        <f aca="false">IF(ROUND($G1112,2)&lt;0,-ROUND($G1112,2),"")</f>
        <v/>
      </c>
      <c r="J1112" s="20" t="n">
        <f aca="false">IF(ROUND($G1112,2)=0,0,1)</f>
        <v>0</v>
      </c>
      <c r="K1112" s="20" t="str">
        <f aca="false">IF($J1112=0,"",SUM($J$1102:$J1112))</f>
        <v/>
      </c>
      <c r="L1112" s="20" t="str">
        <f aca="false">IF($K1112="","",$A1112*100+$K1112)</f>
        <v/>
      </c>
      <c r="M1112" s="48" t="str">
        <f aca="false">参数!$B$3</f>
        <v>7月收入</v>
      </c>
    </row>
    <row r="1113" customFormat="false" ht="13.5" hidden="false" customHeight="false" outlineLevel="0" collapsed="false">
      <c r="A1113" s="47" t="n">
        <v>51</v>
      </c>
      <c r="B1113" s="38" t="str">
        <f aca="false">助手收入!$B52</f>
        <v/>
      </c>
      <c r="C1113" s="48" t="str">
        <f aca="false">助手收入!$C52</f>
        <v>备用6</v>
      </c>
      <c r="D1113" s="48" t="str">
        <f aca="false">科目对照收入!$B13&amp;""</f>
        <v>银联</v>
      </c>
      <c r="E1113" s="48" t="str">
        <f aca="false">IF(AND(ROUND($G1113,2)&lt;0,科目对照收入!$L13&lt;&gt;""),科目对照收入!$L13,科目对照收入!$C13)&amp;""</f>
        <v>应收账款</v>
      </c>
      <c r="F1113" s="48" t="str">
        <f aca="false">IF(AND(ROUND($G1113,2)&lt;0,科目对照收入!$L13&lt;&gt;""),科目对照收入!$M13,科目对照收入!$D13)&amp;""</f>
        <v>银联</v>
      </c>
      <c r="G1113" s="49" t="n">
        <f aca="false">IF(COUNTIFS(输入平台!$A:$A,助手收入!$X52,输入平台!$B:$B,科目对照收入!$B13)&gt;0,ROUND(SUMIFS(输入平台!$C:$C,输入平台!$A:$A,助手收入!$X52,输入平台!$B:$B,科目对照收入!$B13),2),ROUND(海典汇总!$V$53,2))</f>
        <v>0</v>
      </c>
      <c r="H1113" s="49" t="str">
        <f aca="false">IF(ROUND($G1113,2)&gt;0,ROUND($G1113,2),"")</f>
        <v/>
      </c>
      <c r="I1113" s="49" t="str">
        <f aca="false">IF(ROUND($G1113,2)&lt;0,-ROUND($G1113,2),"")</f>
        <v/>
      </c>
      <c r="J1113" s="20" t="n">
        <f aca="false">IF(ROUND($G1113,2)=0,0,1)</f>
        <v>0</v>
      </c>
      <c r="K1113" s="20" t="str">
        <f aca="false">IF($J1113=0,"",SUM($J$1102:$J1113))</f>
        <v/>
      </c>
      <c r="L1113" s="20" t="str">
        <f aca="false">IF($K1113="","",$A1113*100+$K1113)</f>
        <v/>
      </c>
      <c r="M1113" s="48" t="str">
        <f aca="false">参数!$B$3</f>
        <v>7月收入</v>
      </c>
    </row>
    <row r="1114" customFormat="false" ht="13.5" hidden="false" customHeight="false" outlineLevel="0" collapsed="false">
      <c r="A1114" s="47" t="n">
        <v>51</v>
      </c>
      <c r="B1114" s="38" t="str">
        <f aca="false">助手收入!$B52</f>
        <v/>
      </c>
      <c r="C1114" s="48" t="str">
        <f aca="false">助手收入!$C52</f>
        <v>备用6</v>
      </c>
      <c r="D1114" s="48" t="str">
        <f aca="false">科目对照收入!$B14&amp;""</f>
        <v>小镇外卖</v>
      </c>
      <c r="E1114" s="48" t="str">
        <f aca="false">IF(AND(ROUND($G1114,2)&lt;0,科目对照收入!$L14&lt;&gt;""),科目对照收入!$L14,科目对照收入!$C14)&amp;""</f>
        <v>应收账款</v>
      </c>
      <c r="F1114" s="48" t="str">
        <f aca="false">IF(AND(ROUND($G1114,2)&lt;0,科目对照收入!$L14&lt;&gt;""),科目对照收入!$M14,科目对照收入!$D14)&amp;""</f>
        <v>小镇外卖</v>
      </c>
      <c r="G1114" s="49" t="n">
        <f aca="false">IF(COUNTIFS(输入平台!$A:$A,助手收入!$X52,输入平台!$B:$B,科目对照收入!$B14)&gt;0,ROUND(SUMIFS(输入平台!$C:$C,输入平台!$A:$A,助手收入!$X52,输入平台!$B:$B,科目对照收入!$B14),2),ROUND(海典汇总!$AC$53,2))</f>
        <v>0</v>
      </c>
      <c r="H1114" s="49" t="str">
        <f aca="false">IF(ROUND($G1114,2)&gt;0,ROUND($G1114,2),"")</f>
        <v/>
      </c>
      <c r="I1114" s="49" t="str">
        <f aca="false">IF(ROUND($G1114,2)&lt;0,-ROUND($G1114,2),"")</f>
        <v/>
      </c>
      <c r="J1114" s="20" t="n">
        <f aca="false">IF(ROUND($G1114,2)=0,0,1)</f>
        <v>0</v>
      </c>
      <c r="K1114" s="20" t="str">
        <f aca="false">IF($J1114=0,"",SUM($J$1102:$J1114))</f>
        <v/>
      </c>
      <c r="L1114" s="20" t="str">
        <f aca="false">IF($K1114="","",$A1114*100+$K1114)</f>
        <v/>
      </c>
      <c r="M1114" s="48" t="str">
        <f aca="false">参数!$B$3</f>
        <v>7月收入</v>
      </c>
    </row>
    <row r="1115" customFormat="false" ht="13.5" hidden="false" customHeight="false" outlineLevel="0" collapsed="false">
      <c r="A1115" s="47" t="n">
        <v>51</v>
      </c>
      <c r="B1115" s="38" t="str">
        <f aca="false">助手收入!$B52</f>
        <v/>
      </c>
      <c r="C1115" s="48" t="str">
        <f aca="false">助手收入!$C52</f>
        <v>备用6</v>
      </c>
      <c r="D1115" s="48" t="str">
        <f aca="false">科目对照收入!$B15&amp;""</f>
        <v>OMS线上支付</v>
      </c>
      <c r="E1115" s="48" t="str">
        <f aca="false">IF(AND(ROUND($G1115,2)&lt;0,科目对照收入!$L15&lt;&gt;""),科目对照收入!$L15,科目对照收入!$C15)&amp;""</f>
        <v>应收账款</v>
      </c>
      <c r="F1115" s="48" t="str">
        <f aca="false">IF(AND(ROUND($G1115,2)&lt;0,科目对照收入!$L15&lt;&gt;""),科目对照收入!$M15,科目对照收入!$D15)&amp;""</f>
        <v>OMS线上</v>
      </c>
      <c r="G1115" s="49" t="n">
        <f aca="false">IF(COUNTIFS(输入平台!$A:$A,助手收入!$X52,输入平台!$B:$B,科目对照收入!$B15)&gt;0,ROUND(SUMIFS(输入平台!$C:$C,输入平台!$A:$A,助手收入!$X52,输入平台!$B:$B,科目对照收入!$B15),2),ROUND(海典汇总!$L$53,2))</f>
        <v>0</v>
      </c>
      <c r="H1115" s="49" t="str">
        <f aca="false">IF(ROUND($G1115,2)&gt;0,ROUND($G1115,2),"")</f>
        <v/>
      </c>
      <c r="I1115" s="49" t="str">
        <f aca="false">IF(ROUND($G1115,2)&lt;0,-ROUND($G1115,2),"")</f>
        <v/>
      </c>
      <c r="J1115" s="20" t="n">
        <f aca="false">IF(ROUND($G1115,2)=0,0,1)</f>
        <v>0</v>
      </c>
      <c r="K1115" s="20" t="str">
        <f aca="false">IF($J1115=0,"",SUM($J$1102:$J1115))</f>
        <v/>
      </c>
      <c r="L1115" s="20" t="str">
        <f aca="false">IF($K1115="","",$A1115*100+$K1115)</f>
        <v/>
      </c>
      <c r="M1115" s="48" t="str">
        <f aca="false">参数!$B$3</f>
        <v>7月收入</v>
      </c>
    </row>
    <row r="1116" customFormat="false" ht="13.5" hidden="false" customHeight="false" outlineLevel="0" collapsed="false">
      <c r="A1116" s="47" t="n">
        <v>51</v>
      </c>
      <c r="B1116" s="38" t="str">
        <f aca="false">助手收入!$B52</f>
        <v/>
      </c>
      <c r="C1116" s="48" t="str">
        <f aca="false">助手收入!$C52</f>
        <v>备用6</v>
      </c>
      <c r="D1116" s="48" t="str">
        <f aca="false">科目对照收入!$B16&amp;""</f>
        <v>平安药卡</v>
      </c>
      <c r="E1116" s="48" t="str">
        <f aca="false">IF(AND(ROUND($G1116,2)&lt;0,科目对照收入!$L16&lt;&gt;""),科目对照收入!$L16,科目对照收入!$C16)&amp;""</f>
        <v>应收账款</v>
      </c>
      <c r="F1116" s="48" t="str">
        <f aca="false">IF(AND(ROUND($G1116,2)&lt;0,科目对照收入!$L16&lt;&gt;""),科目对照收入!$M16,科目对照收入!$D16)&amp;""</f>
        <v>平安</v>
      </c>
      <c r="G1116" s="49" t="n">
        <f aca="false">IF(COUNTIFS(输入平台!$A:$A,助手收入!$X52,输入平台!$B:$B,科目对照收入!$B16)&gt;0,ROUND(SUMIFS(输入平台!$C:$C,输入平台!$A:$A,助手收入!$X52,输入平台!$B:$B,科目对照收入!$B16),2),ROUND(海典汇总!$AB$53,2))</f>
        <v>0</v>
      </c>
      <c r="H1116" s="49" t="str">
        <f aca="false">IF(ROUND($G1116,2)&gt;0,ROUND($G1116,2),"")</f>
        <v/>
      </c>
      <c r="I1116" s="49" t="str">
        <f aca="false">IF(ROUND($G1116,2)&lt;0,-ROUND($G1116,2),"")</f>
        <v/>
      </c>
      <c r="J1116" s="20" t="n">
        <f aca="false">IF(ROUND($G1116,2)=0,0,1)</f>
        <v>0</v>
      </c>
      <c r="K1116" s="20" t="str">
        <f aca="false">IF($J1116=0,"",SUM($J$1102:$J1116))</f>
        <v/>
      </c>
      <c r="L1116" s="20" t="str">
        <f aca="false">IF($K1116="","",$A1116*100+$K1116)</f>
        <v/>
      </c>
      <c r="M1116" s="48" t="str">
        <f aca="false">参数!$B$3</f>
        <v>7月收入</v>
      </c>
    </row>
    <row r="1117" customFormat="false" ht="13.5" hidden="false" customHeight="false" outlineLevel="0" collapsed="false">
      <c r="A1117" s="47" t="n">
        <v>51</v>
      </c>
      <c r="B1117" s="38" t="str">
        <f aca="false">助手收入!$B52</f>
        <v/>
      </c>
      <c r="C1117" s="48" t="str">
        <f aca="false">助手收入!$C52</f>
        <v>备用6</v>
      </c>
      <c r="D1117" s="48" t="str">
        <f aca="false">科目对照收入!$B17&amp;""</f>
        <v>储值卡</v>
      </c>
      <c r="E1117" s="48" t="str">
        <f aca="false">IF(AND(ROUND($G1117,2)&lt;0,科目对照收入!$L17&lt;&gt;""),科目对照收入!$L17,科目对照收入!$C17)&amp;""</f>
        <v>其他应收款</v>
      </c>
      <c r="F1117" s="48" t="str">
        <f aca="false">IF(AND(ROUND($G1117,2)&lt;0,科目对照收入!$L17&lt;&gt;""),科目对照收入!$M17,科目对照收入!$D17)&amp;""</f>
        <v>储值卡</v>
      </c>
      <c r="G1117" s="49" t="n">
        <f aca="false">ROUND(海典汇总!$Q$53,2)</f>
        <v>0</v>
      </c>
      <c r="H1117" s="49" t="str">
        <f aca="false">IF(ROUND($G1117,2)&gt;0,ROUND($G1117,2),"")</f>
        <v/>
      </c>
      <c r="I1117" s="49" t="str">
        <f aca="false">IF(ROUND($G1117,2)&lt;0,-ROUND($G1117,2),"")</f>
        <v/>
      </c>
      <c r="J1117" s="20" t="n">
        <f aca="false">IF(ROUND($G1117,2)=0,0,1)</f>
        <v>0</v>
      </c>
      <c r="K1117" s="20" t="str">
        <f aca="false">IF($J1117=0,"",SUM($J$1102:$J1117))</f>
        <v/>
      </c>
      <c r="L1117" s="20" t="str">
        <f aca="false">IF($K1117="","",$A1117*100+$K1117)</f>
        <v/>
      </c>
      <c r="M1117" s="48" t="str">
        <f aca="false">参数!$B$3</f>
        <v>7月收入</v>
      </c>
    </row>
    <row r="1118" customFormat="false" ht="13.5" hidden="false" customHeight="false" outlineLevel="0" collapsed="false">
      <c r="A1118" s="47" t="n">
        <v>51</v>
      </c>
      <c r="B1118" s="38" t="str">
        <f aca="false">助手收入!$B52</f>
        <v/>
      </c>
      <c r="C1118" s="48" t="str">
        <f aca="false">助手收入!$C52</f>
        <v>备用6</v>
      </c>
      <c r="D1118" s="48" t="str">
        <f aca="false">科目对照收入!$B18&amp;""</f>
        <v>会员零钱包</v>
      </c>
      <c r="E1118" s="48" t="str">
        <f aca="false">IF(AND(ROUND($G1118,2)&lt;0,科目对照收入!$L18&lt;&gt;""),科目对照收入!$L18,科目对照收入!$C18)&amp;""</f>
        <v>其他应收款</v>
      </c>
      <c r="F1118" s="48" t="str">
        <f aca="false">IF(AND(ROUND($G1118,2)&lt;0,科目对照收入!$L18&lt;&gt;""),科目对照收入!$M18,科目对照收入!$D18)&amp;""</f>
        <v>会员零钱包</v>
      </c>
      <c r="G1118" s="49" t="n">
        <f aca="false">ROUND(海典汇总!$P$53,2)</f>
        <v>0</v>
      </c>
      <c r="H1118" s="49" t="str">
        <f aca="false">IF(ROUND($G1118,2)&gt;0,ROUND($G1118,2),"")</f>
        <v/>
      </c>
      <c r="I1118" s="49" t="str">
        <f aca="false">IF(ROUND($G1118,2)&lt;0,-ROUND($G1118,2),"")</f>
        <v/>
      </c>
      <c r="J1118" s="20" t="n">
        <f aca="false">IF(ROUND($G1118,2)=0,0,1)</f>
        <v>0</v>
      </c>
      <c r="K1118" s="20" t="str">
        <f aca="false">IF($J1118=0,"",SUM($J$1102:$J1118))</f>
        <v/>
      </c>
      <c r="L1118" s="20" t="str">
        <f aca="false">IF($K1118="","",$A1118*100+$K1118)</f>
        <v/>
      </c>
      <c r="M1118" s="48" t="str">
        <f aca="false">参数!$B$3</f>
        <v>7月收入</v>
      </c>
    </row>
    <row r="1119" customFormat="false" ht="13.5" hidden="false" customHeight="false" outlineLevel="0" collapsed="false">
      <c r="A1119" s="47" t="n">
        <v>51</v>
      </c>
      <c r="B1119" s="38" t="str">
        <f aca="false">助手收入!$B52</f>
        <v/>
      </c>
      <c r="C1119" s="48" t="str">
        <f aca="false">助手收入!$C52</f>
        <v>备用6</v>
      </c>
      <c r="D1119" s="48" t="str">
        <f aca="false">科目对照收入!$B19&amp;""</f>
        <v>促销费</v>
      </c>
      <c r="E1119" s="48" t="str">
        <f aca="false">IF(AND(ROUND($G1119,2)&lt;0,科目对照收入!$L19&lt;&gt;""),科目对照收入!$L19,科目对照收入!$C19)&amp;""</f>
        <v>销售费用</v>
      </c>
      <c r="F1119" s="48" t="str">
        <f aca="false">IF(AND(ROUND($G1119,2)&lt;0,科目对照收入!$L19&lt;&gt;""),科目对照收入!$M19,科目对照收入!$D19)&amp;""</f>
        <v>促销费</v>
      </c>
      <c r="G1119" s="49" t="n">
        <f aca="false">ROUND(海典汇总!$U$53+海典汇总!$T$53+海典汇总!$S$53,2)</f>
        <v>0</v>
      </c>
      <c r="H1119" s="49" t="str">
        <f aca="false">IF(ROUND($G1119,2)&gt;0,ROUND($G1119,2),"")</f>
        <v/>
      </c>
      <c r="I1119" s="49" t="str">
        <f aca="false">IF(ROUND($G1119,2)&lt;0,-ROUND($G1119,2),"")</f>
        <v/>
      </c>
      <c r="J1119" s="20" t="n">
        <f aca="false">IF(ROUND($G1119,2)=0,0,1)</f>
        <v>0</v>
      </c>
      <c r="K1119" s="20" t="str">
        <f aca="false">IF($J1119=0,"",SUM($J$1102:$J1119))</f>
        <v/>
      </c>
      <c r="L1119" s="20" t="str">
        <f aca="false">IF($K1119="","",$A1119*100+$K1119)</f>
        <v/>
      </c>
      <c r="M1119" s="48" t="str">
        <f aca="false">参数!$B$3</f>
        <v>7月收入</v>
      </c>
    </row>
    <row r="1120" customFormat="false" ht="13.5" hidden="false" customHeight="false" outlineLevel="0" collapsed="false">
      <c r="A1120" s="47" t="n">
        <v>51</v>
      </c>
      <c r="B1120" s="38" t="str">
        <f aca="false">助手收入!$B52</f>
        <v/>
      </c>
      <c r="C1120" s="48" t="str">
        <f aca="false">助手收入!$C52</f>
        <v>备用6</v>
      </c>
      <c r="D1120" s="48" t="str">
        <f aca="false">科目对照收入!$B20&amp;""</f>
        <v>积分</v>
      </c>
      <c r="E1120" s="48" t="str">
        <f aca="false">IF(AND(ROUND($G1120,2)&lt;0,科目对照收入!$L20&lt;&gt;""),科目对照收入!$L20,科目对照收入!$C20)&amp;""</f>
        <v>销售费用</v>
      </c>
      <c r="F1120" s="48" t="str">
        <f aca="false">IF(AND(ROUND($G1120,2)&lt;0,科目对照收入!$L20&lt;&gt;""),科目对照收入!$M20,科目对照收入!$D20)&amp;""</f>
        <v>积分</v>
      </c>
      <c r="G1120" s="49" t="n">
        <f aca="false">ROUND(海典汇总!$R$53,2)</f>
        <v>0</v>
      </c>
      <c r="H1120" s="49" t="str">
        <f aca="false">IF(ROUND($G1120,2)&gt;0,ROUND($G1120,2),"")</f>
        <v/>
      </c>
      <c r="I1120" s="49" t="str">
        <f aca="false">IF(ROUND($G1120,2)&lt;0,-ROUND($G1120,2),"")</f>
        <v/>
      </c>
      <c r="J1120" s="20" t="n">
        <f aca="false">IF(ROUND($G1120,2)=0,0,1)</f>
        <v>0</v>
      </c>
      <c r="K1120" s="20" t="str">
        <f aca="false">IF($J1120=0,"",SUM($J$1102:$J1120))</f>
        <v/>
      </c>
      <c r="L1120" s="20" t="str">
        <f aca="false">IF($K1120="","",$A1120*100+$K1120)</f>
        <v/>
      </c>
      <c r="M1120" s="48" t="str">
        <f aca="false">参数!$B$3</f>
        <v>7月收入</v>
      </c>
    </row>
    <row r="1121" customFormat="false" ht="13.5" hidden="false" customHeight="false" outlineLevel="0" collapsed="false">
      <c r="A1121" s="47" t="n">
        <v>51</v>
      </c>
      <c r="B1121" s="38" t="str">
        <f aca="false">助手收入!$B52</f>
        <v/>
      </c>
      <c r="C1121" s="48" t="str">
        <f aca="false">助手收入!$C52</f>
        <v>备用6</v>
      </c>
      <c r="D1121" s="48" t="str">
        <f aca="false">科目对照收入!$B21&amp;""</f>
        <v>手续费</v>
      </c>
      <c r="E1121" s="48" t="str">
        <f aca="false">IF(AND(ROUND($G1121,2)&lt;0,科目对照收入!$L21&lt;&gt;""),科目对照收入!$L21,科目对照收入!$C21)&amp;""</f>
        <v>财务费用</v>
      </c>
      <c r="F1121" s="48" t="str">
        <f aca="false">IF(AND(ROUND($G1121,2)&lt;0,科目对照收入!$L21&lt;&gt;""),科目对照收入!$M21,科目对照收入!$D21)&amp;""</f>
        <v>手续费</v>
      </c>
      <c r="G1121" s="49" t="n">
        <f aca="false">ROUND(SUMIFS(输入聚合!$D:$D,输入聚合!$A:$A,助手收入!$X52),2)</f>
        <v>0</v>
      </c>
      <c r="H1121" s="49" t="str">
        <f aca="false">IF(ROUND($G1121,2)&gt;0,ROUND($G1121,2),"")</f>
        <v/>
      </c>
      <c r="I1121" s="49" t="str">
        <f aca="false">IF(ROUND($G1121,2)&lt;0,-ROUND($G1121,2),"")</f>
        <v/>
      </c>
      <c r="J1121" s="20" t="n">
        <f aca="false">IF(ROUND($G1121,2)=0,0,1)</f>
        <v>0</v>
      </c>
      <c r="K1121" s="20" t="str">
        <f aca="false">IF($J1121=0,"",SUM($J$1102:$J1121))</f>
        <v/>
      </c>
      <c r="L1121" s="20" t="str">
        <f aca="false">IF($K1121="","",$A1121*100+$K1121)</f>
        <v/>
      </c>
      <c r="M1121" s="48" t="str">
        <f aca="false">参数!$B$3</f>
        <v>7月收入</v>
      </c>
    </row>
    <row r="1122" customFormat="false" ht="13.5" hidden="false" customHeight="false" outlineLevel="0" collapsed="false">
      <c r="A1122" s="47" t="n">
        <v>51</v>
      </c>
      <c r="B1122" s="38" t="str">
        <f aca="false">助手收入!$B52</f>
        <v/>
      </c>
      <c r="C1122" s="48" t="str">
        <f aca="false">助手收入!$C52</f>
        <v>备用6</v>
      </c>
      <c r="D1122" s="48" t="str">
        <f aca="false">科目对照收入!$B22&amp;""</f>
        <v>主营业务收入</v>
      </c>
      <c r="E1122" s="48" t="str">
        <f aca="false">IF(AND(ROUND($G1122,2)&lt;0,科目对照收入!$L22&lt;&gt;""),科目对照收入!$L22,科目对照收入!$C22)&amp;""</f>
        <v>主营业务收入</v>
      </c>
      <c r="F1122" s="48" t="str">
        <f aca="false">IF(AND(ROUND($G1122,2)&lt;0,科目对照收入!$L22&lt;&gt;""),科目对照收入!$M22,科目对照收入!$D22)&amp;""</f>
        <v/>
      </c>
      <c r="G1122" s="49" t="n">
        <f aca="false">-ROUND(助手收入!$G52,2)</f>
        <v>-0</v>
      </c>
      <c r="H1122" s="49" t="str">
        <f aca="false">IF(ROUND($G1122,2)&gt;0,ROUND($G1122,2),"")</f>
        <v/>
      </c>
      <c r="I1122" s="49" t="str">
        <f aca="false">IF(ROUND($G1122,2)&lt;0,-ROUND($G1122,2),"")</f>
        <v/>
      </c>
      <c r="J1122" s="20" t="n">
        <f aca="false">IF(ROUND($G1122,2)=0,0,1)</f>
        <v>0</v>
      </c>
      <c r="K1122" s="20" t="str">
        <f aca="false">IF($J1122=0,"",SUM($J$1102:$J1122))</f>
        <v/>
      </c>
      <c r="L1122" s="20" t="str">
        <f aca="false">IF($K1122="","",$A1122*100+$K1122)</f>
        <v/>
      </c>
      <c r="M1122" s="48" t="str">
        <f aca="false">参数!$B$3</f>
        <v>7月收入</v>
      </c>
    </row>
    <row r="1123" customFormat="false" ht="13.5" hidden="false" customHeight="false" outlineLevel="0" collapsed="false">
      <c r="A1123" s="47" t="n">
        <v>51</v>
      </c>
      <c r="B1123" s="38" t="str">
        <f aca="false">助手收入!$B52</f>
        <v/>
      </c>
      <c r="C1123" s="48" t="str">
        <f aca="false">助手收入!$C52</f>
        <v>备用6</v>
      </c>
      <c r="D1123" s="48" t="str">
        <f aca="false">科目对照收入!$B23&amp;""</f>
        <v>营业外收入</v>
      </c>
      <c r="E1123" s="48" t="str">
        <f aca="false">IF(AND(ROUND($G1123,2)&lt;0,科目对照收入!$L23&lt;&gt;""),科目对照收入!$L23,科目对照收入!$C23)&amp;""</f>
        <v>营业外收入</v>
      </c>
      <c r="F1123" s="48" t="str">
        <f aca="false">IF(AND(ROUND($G1123,2)&lt;0,科目对照收入!$L23&lt;&gt;""),科目对照收入!$M23,科目对照收入!$D23)&amp;""</f>
        <v/>
      </c>
      <c r="G1123" s="49" t="n">
        <f aca="false">-ROUND(助手收入!$J52,2)</f>
        <v>-0</v>
      </c>
      <c r="H1123" s="49" t="str">
        <f aca="false">IF(ROUND($G1123,2)&gt;0,ROUND($G1123,2),"")</f>
        <v/>
      </c>
      <c r="I1123" s="49" t="str">
        <f aca="false">IF(ROUND($G1123,2)&lt;0,-ROUND($G1123,2),"")</f>
        <v/>
      </c>
      <c r="J1123" s="20" t="n">
        <f aca="false">IF(ROUND($G1123,2)=0,0,1)</f>
        <v>0</v>
      </c>
      <c r="K1123" s="20" t="str">
        <f aca="false">IF($J1123=0,"",SUM($J$1102:$J1123))</f>
        <v/>
      </c>
      <c r="L1123" s="20" t="str">
        <f aca="false">IF($K1123="","",$A1123*100+$K1123)</f>
        <v/>
      </c>
      <c r="M1123" s="48" t="str">
        <f aca="false">参数!$B$3</f>
        <v>7月收入</v>
      </c>
    </row>
    <row r="1124" customFormat="false" ht="13.5" hidden="false" customHeight="false" outlineLevel="0" collapsed="false">
      <c r="A1124" s="47" t="n">
        <v>52</v>
      </c>
      <c r="B1124" s="38" t="str">
        <f aca="false">助手收入!$B53</f>
        <v/>
      </c>
      <c r="C1124" s="48" t="str">
        <f aca="false">助手收入!$C53</f>
        <v>备用7</v>
      </c>
      <c r="D1124" s="48" t="str">
        <f aca="false">科目对照收入!$B2&amp;""</f>
        <v>库存现金</v>
      </c>
      <c r="E1124" s="48" t="str">
        <f aca="false">IF(AND(ROUND($G1124,2)&lt;0,科目对照收入!$L2&lt;&gt;""),科目对照收入!$L2,科目对照收入!$C2)&amp;""</f>
        <v>库存现金</v>
      </c>
      <c r="F1124" s="48" t="str">
        <f aca="false">IF(AND(ROUND($G1124,2)&lt;0,科目对照收入!$L2&lt;&gt;""),科目对照收入!$M2,科目对照收入!$D2)&amp;""</f>
        <v/>
      </c>
      <c r="G1124" s="49" t="n">
        <f aca="false">助手收入!$I53</f>
        <v>0</v>
      </c>
      <c r="H1124" s="49" t="str">
        <f aca="false">IF(ROUND($G1124,2)&gt;0,ROUND($G1124,2),"")</f>
        <v/>
      </c>
      <c r="I1124" s="49" t="str">
        <f aca="false">IF(ROUND($G1124,2)&lt;0,-ROUND($G1124,2),"")</f>
        <v/>
      </c>
      <c r="J1124" s="20" t="n">
        <f aca="false">IF(ROUND($G1124,2)=0,0,1)</f>
        <v>0</v>
      </c>
      <c r="K1124" s="20" t="str">
        <f aca="false">IF($J1124=0,"",SUM($J$1124:$J1124))</f>
        <v/>
      </c>
      <c r="L1124" s="20" t="str">
        <f aca="false">IF($K1124="","",$A1124*100+$K1124)</f>
        <v/>
      </c>
      <c r="M1124" s="48" t="str">
        <f aca="false">参数!$B$3</f>
        <v>7月收入</v>
      </c>
    </row>
    <row r="1125" customFormat="false" ht="13.5" hidden="false" customHeight="false" outlineLevel="0" collapsed="false">
      <c r="A1125" s="47" t="n">
        <v>52</v>
      </c>
      <c r="B1125" s="38" t="str">
        <f aca="false">助手收入!$B53</f>
        <v/>
      </c>
      <c r="C1125" s="48" t="str">
        <f aca="false">助手收入!$C53</f>
        <v>备用7</v>
      </c>
      <c r="D1125" s="48" t="str">
        <f aca="false">科目对照收入!$B3&amp;""</f>
        <v>聚合支付</v>
      </c>
      <c r="E1125" s="48" t="str">
        <f aca="false">IF(AND(ROUND($G1125,2)&lt;0,科目对照收入!$L3&lt;&gt;""),科目对照收入!$L3,科目对照收入!$C3)&amp;""</f>
        <v>应收账款</v>
      </c>
      <c r="F1125" s="48" t="str">
        <f aca="false">IF(AND(ROUND($G1125,2)&lt;0,科目对照收入!$L3&lt;&gt;""),科目对照收入!$M3,科目对照收入!$D3)&amp;""</f>
        <v>聚合支付</v>
      </c>
      <c r="G1125" s="49" t="n">
        <f aca="false">ROUND(SUMIFS(输入聚合!$C:$C,输入聚合!$A:$A,助手收入!$X53)-SUMIFS(输入聚合!$D:$D,输入聚合!$A:$A,助手收入!$X53),2)</f>
        <v>0</v>
      </c>
      <c r="H1125" s="49" t="str">
        <f aca="false">IF(ROUND($G1125,2)&gt;0,ROUND($G1125,2),"")</f>
        <v/>
      </c>
      <c r="I1125" s="49" t="str">
        <f aca="false">IF(ROUND($G1125,2)&lt;0,-ROUND($G1125,2),"")</f>
        <v/>
      </c>
      <c r="J1125" s="20" t="n">
        <f aca="false">IF(ROUND($G1125,2)=0,0,1)</f>
        <v>0</v>
      </c>
      <c r="K1125" s="20" t="str">
        <f aca="false">IF($J1125=0,"",SUM($J$1124:$J1125))</f>
        <v/>
      </c>
      <c r="L1125" s="20" t="str">
        <f aca="false">IF($K1125="","",$A1125*100+$K1125)</f>
        <v/>
      </c>
      <c r="M1125" s="48" t="str">
        <f aca="false">参数!$B$3</f>
        <v>7月收入</v>
      </c>
    </row>
    <row r="1126" customFormat="false" ht="13.5" hidden="false" customHeight="false" outlineLevel="0" collapsed="false">
      <c r="A1126" s="47" t="n">
        <v>52</v>
      </c>
      <c r="B1126" s="38" t="str">
        <f aca="false">助手收入!$B53</f>
        <v/>
      </c>
      <c r="C1126" s="48" t="str">
        <f aca="false">助手收入!$C53</f>
        <v>备用7</v>
      </c>
      <c r="D1126" s="48" t="str">
        <f aca="false">科目对照收入!$B4&amp;""</f>
        <v>医保</v>
      </c>
      <c r="E1126" s="48" t="str">
        <f aca="false">IF(AND(ROUND($G1126,2)&lt;0,科目对照收入!$L4&lt;&gt;""),科目对照收入!$L4,科目对照收入!$C4)&amp;""</f>
        <v>应收账款</v>
      </c>
      <c r="F1126" s="48" t="str">
        <f aca="false">IF(AND(ROUND($G1126,2)&lt;0,科目对照收入!$L4&lt;&gt;""),科目对照收入!$M4,科目对照收入!$D4)&amp;""</f>
        <v>医保</v>
      </c>
      <c r="G1126" s="49" t="n">
        <f aca="false">IF(COUNTIFS(输入平台!$A:$A,助手收入!$X53,输入平台!$B:$B,科目对照收入!$B4)&gt;0,ROUND(SUMIFS(输入平台!$C:$C,输入平台!$A:$A,助手收入!$X53,输入平台!$B:$B,科目对照收入!$B4),2),ROUND(海典汇总!$F$54+海典汇总!$G$54,2))</f>
        <v>0</v>
      </c>
      <c r="H1126" s="49" t="str">
        <f aca="false">IF(ROUND($G1126,2)&gt;0,ROUND($G1126,2),"")</f>
        <v/>
      </c>
      <c r="I1126" s="49" t="str">
        <f aca="false">IF(ROUND($G1126,2)&lt;0,-ROUND($G1126,2),"")</f>
        <v/>
      </c>
      <c r="J1126" s="20" t="n">
        <f aca="false">IF(ROUND($G1126,2)=0,0,1)</f>
        <v>0</v>
      </c>
      <c r="K1126" s="20" t="str">
        <f aca="false">IF($J1126=0,"",SUM($J$1124:$J1126))</f>
        <v/>
      </c>
      <c r="L1126" s="20" t="str">
        <f aca="false">IF($K1126="","",$A1126*100+$K1126)</f>
        <v/>
      </c>
      <c r="M1126" s="48" t="str">
        <f aca="false">参数!$B$3</f>
        <v>7月收入</v>
      </c>
    </row>
    <row r="1127" customFormat="false" ht="13.5" hidden="false" customHeight="false" outlineLevel="0" collapsed="false">
      <c r="A1127" s="47" t="n">
        <v>52</v>
      </c>
      <c r="B1127" s="38" t="str">
        <f aca="false">助手收入!$B53</f>
        <v/>
      </c>
      <c r="C1127" s="48" t="str">
        <f aca="false">助手收入!$C53</f>
        <v>备用7</v>
      </c>
      <c r="D1127" s="48" t="str">
        <f aca="false">科目对照收入!$B5&amp;""</f>
        <v>健e卡</v>
      </c>
      <c r="E1127" s="48" t="str">
        <f aca="false">IF(AND(ROUND($G1127,2)&lt;0,科目对照收入!$L5&lt;&gt;""),科目对照收入!$L5,科目对照收入!$C5)&amp;""</f>
        <v>应收账款</v>
      </c>
      <c r="F1127" s="48" t="str">
        <f aca="false">IF(AND(ROUND($G1127,2)&lt;0,科目对照收入!$L5&lt;&gt;""),科目对照收入!$M5,科目对照收入!$D5)&amp;""</f>
        <v>健e卡</v>
      </c>
      <c r="G1127" s="49" t="n">
        <f aca="false">IF(COUNTIFS(输入平台!$A:$A,助手收入!$X53,输入平台!$B:$B,科目对照收入!$B5)&gt;0,ROUND(SUMIFS(输入平台!$C:$C,输入平台!$A:$A,助手收入!$X53,输入平台!$B:$B,科目对照收入!$B5),2),ROUND(海典汇总!$H$54,2))</f>
        <v>0</v>
      </c>
      <c r="H1127" s="49" t="str">
        <f aca="false">IF(ROUND($G1127,2)&gt;0,ROUND($G1127,2),"")</f>
        <v/>
      </c>
      <c r="I1127" s="49" t="str">
        <f aca="false">IF(ROUND($G1127,2)&lt;0,-ROUND($G1127,2),"")</f>
        <v/>
      </c>
      <c r="J1127" s="20" t="n">
        <f aca="false">IF(ROUND($G1127,2)=0,0,1)</f>
        <v>0</v>
      </c>
      <c r="K1127" s="20" t="str">
        <f aca="false">IF($J1127=0,"",SUM($J$1124:$J1127))</f>
        <v/>
      </c>
      <c r="L1127" s="20" t="str">
        <f aca="false">IF($K1127="","",$A1127*100+$K1127)</f>
        <v/>
      </c>
      <c r="M1127" s="48" t="str">
        <f aca="false">参数!$B$3</f>
        <v>7月收入</v>
      </c>
    </row>
    <row r="1128" customFormat="false" ht="13.5" hidden="false" customHeight="false" outlineLevel="0" collapsed="false">
      <c r="A1128" s="47" t="n">
        <v>52</v>
      </c>
      <c r="B1128" s="38" t="str">
        <f aca="false">助手收入!$B53</f>
        <v/>
      </c>
      <c r="C1128" s="48" t="str">
        <f aca="false">助手收入!$C53</f>
        <v>备用7</v>
      </c>
      <c r="D1128" s="48" t="str">
        <f aca="false">科目对照收入!$B6&amp;""</f>
        <v>医卡通</v>
      </c>
      <c r="E1128" s="48" t="str">
        <f aca="false">IF(AND(ROUND($G1128,2)&lt;0,科目对照收入!$L6&lt;&gt;""),科目对照收入!$L6,科目对照收入!$C6)&amp;""</f>
        <v>应收账款</v>
      </c>
      <c r="F1128" s="48" t="str">
        <f aca="false">IF(AND(ROUND($G1128,2)&lt;0,科目对照收入!$L6&lt;&gt;""),科目对照收入!$M6,科目对照收入!$D6)&amp;""</f>
        <v>医卡通</v>
      </c>
      <c r="G1128" s="49" t="n">
        <f aca="false">IF(COUNTIFS(输入平台!$A:$A,助手收入!$X53,输入平台!$B:$B,科目对照收入!$B6)&gt;0,ROUND(SUMIFS(输入平台!$C:$C,输入平台!$A:$A,助手收入!$X53,输入平台!$B:$B,科目对照收入!$B6),2),ROUND(海典汇总!$I$54,2))</f>
        <v>0</v>
      </c>
      <c r="H1128" s="49" t="str">
        <f aca="false">IF(ROUND($G1128,2)&gt;0,ROUND($G1128,2),"")</f>
        <v/>
      </c>
      <c r="I1128" s="49" t="str">
        <f aca="false">IF(ROUND($G1128,2)&lt;0,-ROUND($G1128,2),"")</f>
        <v/>
      </c>
      <c r="J1128" s="20" t="n">
        <f aca="false">IF(ROUND($G1128,2)=0,0,1)</f>
        <v>0</v>
      </c>
      <c r="K1128" s="20" t="str">
        <f aca="false">IF($J1128=0,"",SUM($J$1124:$J1128))</f>
        <v/>
      </c>
      <c r="L1128" s="20" t="str">
        <f aca="false">IF($K1128="","",$A1128*100+$K1128)</f>
        <v/>
      </c>
      <c r="M1128" s="48" t="str">
        <f aca="false">参数!$B$3</f>
        <v>7月收入</v>
      </c>
    </row>
    <row r="1129" customFormat="false" ht="13.5" hidden="false" customHeight="false" outlineLevel="0" collapsed="false">
      <c r="A1129" s="47" t="n">
        <v>52</v>
      </c>
      <c r="B1129" s="38" t="str">
        <f aca="false">助手收入!$B53</f>
        <v/>
      </c>
      <c r="C1129" s="48" t="str">
        <f aca="false">助手收入!$C53</f>
        <v>备用7</v>
      </c>
      <c r="D1129" s="48" t="str">
        <f aca="false">科目对照收入!$B7&amp;""</f>
        <v>企健网</v>
      </c>
      <c r="E1129" s="48" t="str">
        <f aca="false">IF(AND(ROUND($G1129,2)&lt;0,科目对照收入!$L7&lt;&gt;""),科目对照收入!$L7,科目对照收入!$C7)&amp;""</f>
        <v>应收账款</v>
      </c>
      <c r="F1129" s="48" t="str">
        <f aca="false">IF(AND(ROUND($G1129,2)&lt;0,科目对照收入!$L7&lt;&gt;""),科目对照收入!$M7,科目对照收入!$D7)&amp;""</f>
        <v>企健网</v>
      </c>
      <c r="G1129" s="49" t="n">
        <f aca="false">IF(COUNTIFS(输入平台!$A:$A,助手收入!$X53,输入平台!$B:$B,科目对照收入!$B7)&gt;0,ROUND(SUMIFS(输入平台!$C:$C,输入平台!$A:$A,助手收入!$X53,输入平台!$B:$B,科目对照收入!$B7),2),ROUND(海典汇总!$J$54,2))</f>
        <v>0</v>
      </c>
      <c r="H1129" s="49" t="str">
        <f aca="false">IF(ROUND($G1129,2)&gt;0,ROUND($G1129,2),"")</f>
        <v/>
      </c>
      <c r="I1129" s="49" t="str">
        <f aca="false">IF(ROUND($G1129,2)&lt;0,-ROUND($G1129,2),"")</f>
        <v/>
      </c>
      <c r="J1129" s="20" t="n">
        <f aca="false">IF(ROUND($G1129,2)=0,0,1)</f>
        <v>0</v>
      </c>
      <c r="K1129" s="20" t="str">
        <f aca="false">IF($J1129=0,"",SUM($J$1124:$J1129))</f>
        <v/>
      </c>
      <c r="L1129" s="20" t="str">
        <f aca="false">IF($K1129="","",$A1129*100+$K1129)</f>
        <v/>
      </c>
      <c r="M1129" s="48" t="str">
        <f aca="false">参数!$B$3</f>
        <v>7月收入</v>
      </c>
    </row>
    <row r="1130" customFormat="false" ht="13.5" hidden="false" customHeight="false" outlineLevel="0" collapsed="false">
      <c r="A1130" s="47" t="n">
        <v>52</v>
      </c>
      <c r="B1130" s="38" t="str">
        <f aca="false">助手收入!$B53</f>
        <v/>
      </c>
      <c r="C1130" s="48" t="str">
        <f aca="false">助手收入!$C53</f>
        <v>备用7</v>
      </c>
      <c r="D1130" s="48" t="str">
        <f aca="false">科目对照收入!$B8&amp;""</f>
        <v>亲情卡</v>
      </c>
      <c r="E1130" s="48" t="str">
        <f aca="false">IF(AND(ROUND($G1130,2)&lt;0,科目对照收入!$L8&lt;&gt;""),科目对照收入!$L8,科目对照收入!$C8)&amp;""</f>
        <v>应收账款</v>
      </c>
      <c r="F1130" s="48" t="str">
        <f aca="false">IF(AND(ROUND($G1130,2)&lt;0,科目对照收入!$L8&lt;&gt;""),科目对照收入!$M8,科目对照收入!$D8)&amp;""</f>
        <v>亲情卡</v>
      </c>
      <c r="G1130" s="49" t="n">
        <f aca="false">IF(COUNTIFS(输入平台!$A:$A,助手收入!$X53,输入平台!$B:$B,科目对照收入!$B8)&gt;0,ROUND(SUMIFS(输入平台!$C:$C,输入平台!$A:$A,助手收入!$X53,输入平台!$B:$B,科目对照收入!$B8),2),ROUND(海典汇总!$Z$54,2))</f>
        <v>0</v>
      </c>
      <c r="H1130" s="49" t="str">
        <f aca="false">IF(ROUND($G1130,2)&gt;0,ROUND($G1130,2),"")</f>
        <v/>
      </c>
      <c r="I1130" s="49" t="str">
        <f aca="false">IF(ROUND($G1130,2)&lt;0,-ROUND($G1130,2),"")</f>
        <v/>
      </c>
      <c r="J1130" s="20" t="n">
        <f aca="false">IF(ROUND($G1130,2)=0,0,1)</f>
        <v>0</v>
      </c>
      <c r="K1130" s="20" t="str">
        <f aca="false">IF($J1130=0,"",SUM($J$1124:$J1130))</f>
        <v/>
      </c>
      <c r="L1130" s="20" t="str">
        <f aca="false">IF($K1130="","",$A1130*100+$K1130)</f>
        <v/>
      </c>
      <c r="M1130" s="48" t="str">
        <f aca="false">参数!$B$3</f>
        <v>7月收入</v>
      </c>
    </row>
    <row r="1131" customFormat="false" ht="13.5" hidden="false" customHeight="false" outlineLevel="0" collapsed="false">
      <c r="A1131" s="47" t="n">
        <v>52</v>
      </c>
      <c r="B1131" s="38" t="str">
        <f aca="false">助手收入!$B53</f>
        <v/>
      </c>
      <c r="C1131" s="48" t="str">
        <f aca="false">助手收入!$C53</f>
        <v>备用7</v>
      </c>
      <c r="D1131" s="48" t="str">
        <f aca="false">科目对照收入!$B9&amp;""</f>
        <v>24小时</v>
      </c>
      <c r="E1131" s="48" t="str">
        <f aca="false">IF(AND(ROUND($G1131,2)&lt;0,科目对照收入!$L9&lt;&gt;""),科目对照收入!$L9,科目对照收入!$C9)&amp;""</f>
        <v>应收账款</v>
      </c>
      <c r="F1131" s="48" t="str">
        <f aca="false">IF(AND(ROUND($G1131,2)&lt;0,科目对照收入!$L9&lt;&gt;""),科目对照收入!$M9,科目对照收入!$D9)&amp;""</f>
        <v>24小时</v>
      </c>
      <c r="G1131" s="49" t="n">
        <f aca="false">IF(COUNTIFS(输入平台!$A:$A,助手收入!$X53,输入平台!$B:$B,科目对照收入!$B9)&gt;0,ROUND(SUMIFS(输入平台!$C:$C,输入平台!$A:$A,助手收入!$X53,输入平台!$B:$B,科目对照收入!$B9),2),ROUND(海典汇总!$K$54,2))</f>
        <v>0</v>
      </c>
      <c r="H1131" s="49" t="str">
        <f aca="false">IF(ROUND($G1131,2)&gt;0,ROUND($G1131,2),"")</f>
        <v/>
      </c>
      <c r="I1131" s="49" t="str">
        <f aca="false">IF(ROUND($G1131,2)&lt;0,-ROUND($G1131,2),"")</f>
        <v/>
      </c>
      <c r="J1131" s="20" t="n">
        <f aca="false">IF(ROUND($G1131,2)=0,0,1)</f>
        <v>0</v>
      </c>
      <c r="K1131" s="20" t="str">
        <f aca="false">IF($J1131=0,"",SUM($J$1124:$J1131))</f>
        <v/>
      </c>
      <c r="L1131" s="20" t="str">
        <f aca="false">IF($K1131="","",$A1131*100+$K1131)</f>
        <v/>
      </c>
      <c r="M1131" s="48" t="str">
        <f aca="false">参数!$B$3</f>
        <v>7月收入</v>
      </c>
    </row>
    <row r="1132" customFormat="false" ht="13.5" hidden="false" customHeight="false" outlineLevel="0" collapsed="false">
      <c r="A1132" s="47" t="n">
        <v>52</v>
      </c>
      <c r="B1132" s="38" t="str">
        <f aca="false">助手收入!$B53</f>
        <v/>
      </c>
      <c r="C1132" s="48" t="str">
        <f aca="false">助手收入!$C53</f>
        <v>备用7</v>
      </c>
      <c r="D1132" s="48" t="str">
        <f aca="false">科目对照收入!$B10&amp;""</f>
        <v>美团</v>
      </c>
      <c r="E1132" s="48" t="str">
        <f aca="false">IF(AND(ROUND($G1132,2)&lt;0,科目对照收入!$L10&lt;&gt;""),科目对照收入!$L10,科目对照收入!$C10)&amp;""</f>
        <v>应收账款</v>
      </c>
      <c r="F1132" s="48" t="str">
        <f aca="false">IF(AND(ROUND($G1132,2)&lt;0,科目对照收入!$L10&lt;&gt;""),科目对照收入!$M10,科目对照收入!$D10)&amp;""</f>
        <v>美团</v>
      </c>
      <c r="G1132" s="49" t="n">
        <f aca="false">IF(COUNTIFS(输入平台!$A:$A,助手收入!$X53,输入平台!$B:$B,科目对照收入!$B10)&gt;0,ROUND(SUMIFS(输入平台!$C:$C,输入平台!$A:$A,助手收入!$X53,输入平台!$B:$B,科目对照收入!$B10),2),ROUND(海典汇总!$M$54,2))</f>
        <v>0</v>
      </c>
      <c r="H1132" s="49" t="str">
        <f aca="false">IF(ROUND($G1132,2)&gt;0,ROUND($G1132,2),"")</f>
        <v/>
      </c>
      <c r="I1132" s="49" t="str">
        <f aca="false">IF(ROUND($G1132,2)&lt;0,-ROUND($G1132,2),"")</f>
        <v/>
      </c>
      <c r="J1132" s="20" t="n">
        <f aca="false">IF(ROUND($G1132,2)=0,0,1)</f>
        <v>0</v>
      </c>
      <c r="K1132" s="20" t="str">
        <f aca="false">IF($J1132=0,"",SUM($J$1124:$J1132))</f>
        <v/>
      </c>
      <c r="L1132" s="20" t="str">
        <f aca="false">IF($K1132="","",$A1132*100+$K1132)</f>
        <v/>
      </c>
      <c r="M1132" s="48" t="str">
        <f aca="false">参数!$B$3</f>
        <v>7月收入</v>
      </c>
    </row>
    <row r="1133" customFormat="false" ht="13.5" hidden="false" customHeight="false" outlineLevel="0" collapsed="false">
      <c r="A1133" s="47" t="n">
        <v>52</v>
      </c>
      <c r="B1133" s="38" t="str">
        <f aca="false">助手收入!$B53</f>
        <v/>
      </c>
      <c r="C1133" s="48" t="str">
        <f aca="false">助手收入!$C53</f>
        <v>备用7</v>
      </c>
      <c r="D1133" s="48" t="str">
        <f aca="false">科目对照收入!$B11&amp;""</f>
        <v>饿了么</v>
      </c>
      <c r="E1133" s="48" t="str">
        <f aca="false">IF(AND(ROUND($G1133,2)&lt;0,科目对照收入!$L11&lt;&gt;""),科目对照收入!$L11,科目对照收入!$C11)&amp;""</f>
        <v>应收账款</v>
      </c>
      <c r="F1133" s="48" t="str">
        <f aca="false">IF(AND(ROUND($G1133,2)&lt;0,科目对照收入!$L11&lt;&gt;""),科目对照收入!$M11,科目对照收入!$D11)&amp;""</f>
        <v>饿了么</v>
      </c>
      <c r="G1133" s="49" t="n">
        <f aca="false">IF(COUNTIFS(输入平台!$A:$A,助手收入!$X53,输入平台!$B:$B,科目对照收入!$B11)&gt;0,ROUND(SUMIFS(输入平台!$C:$C,输入平台!$A:$A,助手收入!$X53,输入平台!$B:$B,科目对照收入!$B11),2),ROUND(海典汇总!$N$54,2))</f>
        <v>0</v>
      </c>
      <c r="H1133" s="49" t="str">
        <f aca="false">IF(ROUND($G1133,2)&gt;0,ROUND($G1133,2),"")</f>
        <v/>
      </c>
      <c r="I1133" s="49" t="str">
        <f aca="false">IF(ROUND($G1133,2)&lt;0,-ROUND($G1133,2),"")</f>
        <v/>
      </c>
      <c r="J1133" s="20" t="n">
        <f aca="false">IF(ROUND($G1133,2)=0,0,1)</f>
        <v>0</v>
      </c>
      <c r="K1133" s="20" t="str">
        <f aca="false">IF($J1133=0,"",SUM($J$1124:$J1133))</f>
        <v/>
      </c>
      <c r="L1133" s="20" t="str">
        <f aca="false">IF($K1133="","",$A1133*100+$K1133)</f>
        <v/>
      </c>
      <c r="M1133" s="48" t="str">
        <f aca="false">参数!$B$3</f>
        <v>7月收入</v>
      </c>
    </row>
    <row r="1134" customFormat="false" ht="13.5" hidden="false" customHeight="false" outlineLevel="0" collapsed="false">
      <c r="A1134" s="47" t="n">
        <v>52</v>
      </c>
      <c r="B1134" s="38" t="str">
        <f aca="false">助手收入!$B53</f>
        <v/>
      </c>
      <c r="C1134" s="48" t="str">
        <f aca="false">助手收入!$C53</f>
        <v>备用7</v>
      </c>
      <c r="D1134" s="48" t="str">
        <f aca="false">科目对照收入!$B12&amp;""</f>
        <v>京东秒送</v>
      </c>
      <c r="E1134" s="48" t="str">
        <f aca="false">IF(AND(ROUND($G1134,2)&lt;0,科目对照收入!$L12&lt;&gt;""),科目对照收入!$L12,科目对照收入!$C12)&amp;""</f>
        <v>应收账款</v>
      </c>
      <c r="F1134" s="48" t="str">
        <f aca="false">IF(AND(ROUND($G1134,2)&lt;0,科目对照收入!$L12&lt;&gt;""),科目对照收入!$M12,科目对照收入!$D12)&amp;""</f>
        <v>京东秒送</v>
      </c>
      <c r="G1134" s="49" t="n">
        <f aca="false">IF(COUNTIFS(输入平台!$A:$A,助手收入!$X53,输入平台!$B:$B,科目对照收入!$B12)&gt;0,ROUND(SUMIFS(输入平台!$C:$C,输入平台!$A:$A,助手收入!$X53,输入平台!$B:$B,科目对照收入!$B12),2),ROUND(海典汇总!$O$54,2))</f>
        <v>0</v>
      </c>
      <c r="H1134" s="49" t="str">
        <f aca="false">IF(ROUND($G1134,2)&gt;0,ROUND($G1134,2),"")</f>
        <v/>
      </c>
      <c r="I1134" s="49" t="str">
        <f aca="false">IF(ROUND($G1134,2)&lt;0,-ROUND($G1134,2),"")</f>
        <v/>
      </c>
      <c r="J1134" s="20" t="n">
        <f aca="false">IF(ROUND($G1134,2)=0,0,1)</f>
        <v>0</v>
      </c>
      <c r="K1134" s="20" t="str">
        <f aca="false">IF($J1134=0,"",SUM($J$1124:$J1134))</f>
        <v/>
      </c>
      <c r="L1134" s="20" t="str">
        <f aca="false">IF($K1134="","",$A1134*100+$K1134)</f>
        <v/>
      </c>
      <c r="M1134" s="48" t="str">
        <f aca="false">参数!$B$3</f>
        <v>7月收入</v>
      </c>
    </row>
    <row r="1135" customFormat="false" ht="13.5" hidden="false" customHeight="false" outlineLevel="0" collapsed="false">
      <c r="A1135" s="47" t="n">
        <v>52</v>
      </c>
      <c r="B1135" s="38" t="str">
        <f aca="false">助手收入!$B53</f>
        <v/>
      </c>
      <c r="C1135" s="48" t="str">
        <f aca="false">助手收入!$C53</f>
        <v>备用7</v>
      </c>
      <c r="D1135" s="48" t="str">
        <f aca="false">科目对照收入!$B13&amp;""</f>
        <v>银联</v>
      </c>
      <c r="E1135" s="48" t="str">
        <f aca="false">IF(AND(ROUND($G1135,2)&lt;0,科目对照收入!$L13&lt;&gt;""),科目对照收入!$L13,科目对照收入!$C13)&amp;""</f>
        <v>应收账款</v>
      </c>
      <c r="F1135" s="48" t="str">
        <f aca="false">IF(AND(ROUND($G1135,2)&lt;0,科目对照收入!$L13&lt;&gt;""),科目对照收入!$M13,科目对照收入!$D13)&amp;""</f>
        <v>银联</v>
      </c>
      <c r="G1135" s="49" t="n">
        <f aca="false">IF(COUNTIFS(输入平台!$A:$A,助手收入!$X53,输入平台!$B:$B,科目对照收入!$B13)&gt;0,ROUND(SUMIFS(输入平台!$C:$C,输入平台!$A:$A,助手收入!$X53,输入平台!$B:$B,科目对照收入!$B13),2),ROUND(海典汇总!$V$54,2))</f>
        <v>0</v>
      </c>
      <c r="H1135" s="49" t="str">
        <f aca="false">IF(ROUND($G1135,2)&gt;0,ROUND($G1135,2),"")</f>
        <v/>
      </c>
      <c r="I1135" s="49" t="str">
        <f aca="false">IF(ROUND($G1135,2)&lt;0,-ROUND($G1135,2),"")</f>
        <v/>
      </c>
      <c r="J1135" s="20" t="n">
        <f aca="false">IF(ROUND($G1135,2)=0,0,1)</f>
        <v>0</v>
      </c>
      <c r="K1135" s="20" t="str">
        <f aca="false">IF($J1135=0,"",SUM($J$1124:$J1135))</f>
        <v/>
      </c>
      <c r="L1135" s="20" t="str">
        <f aca="false">IF($K1135="","",$A1135*100+$K1135)</f>
        <v/>
      </c>
      <c r="M1135" s="48" t="str">
        <f aca="false">参数!$B$3</f>
        <v>7月收入</v>
      </c>
    </row>
    <row r="1136" customFormat="false" ht="13.5" hidden="false" customHeight="false" outlineLevel="0" collapsed="false">
      <c r="A1136" s="47" t="n">
        <v>52</v>
      </c>
      <c r="B1136" s="38" t="str">
        <f aca="false">助手收入!$B53</f>
        <v/>
      </c>
      <c r="C1136" s="48" t="str">
        <f aca="false">助手收入!$C53</f>
        <v>备用7</v>
      </c>
      <c r="D1136" s="48" t="str">
        <f aca="false">科目对照收入!$B14&amp;""</f>
        <v>小镇外卖</v>
      </c>
      <c r="E1136" s="48" t="str">
        <f aca="false">IF(AND(ROUND($G1136,2)&lt;0,科目对照收入!$L14&lt;&gt;""),科目对照收入!$L14,科目对照收入!$C14)&amp;""</f>
        <v>应收账款</v>
      </c>
      <c r="F1136" s="48" t="str">
        <f aca="false">IF(AND(ROUND($G1136,2)&lt;0,科目对照收入!$L14&lt;&gt;""),科目对照收入!$M14,科目对照收入!$D14)&amp;""</f>
        <v>小镇外卖</v>
      </c>
      <c r="G1136" s="49" t="n">
        <f aca="false">IF(COUNTIFS(输入平台!$A:$A,助手收入!$X53,输入平台!$B:$B,科目对照收入!$B14)&gt;0,ROUND(SUMIFS(输入平台!$C:$C,输入平台!$A:$A,助手收入!$X53,输入平台!$B:$B,科目对照收入!$B14),2),ROUND(海典汇总!$AC$54,2))</f>
        <v>0</v>
      </c>
      <c r="H1136" s="49" t="str">
        <f aca="false">IF(ROUND($G1136,2)&gt;0,ROUND($G1136,2),"")</f>
        <v/>
      </c>
      <c r="I1136" s="49" t="str">
        <f aca="false">IF(ROUND($G1136,2)&lt;0,-ROUND($G1136,2),"")</f>
        <v/>
      </c>
      <c r="J1136" s="20" t="n">
        <f aca="false">IF(ROUND($G1136,2)=0,0,1)</f>
        <v>0</v>
      </c>
      <c r="K1136" s="20" t="str">
        <f aca="false">IF($J1136=0,"",SUM($J$1124:$J1136))</f>
        <v/>
      </c>
      <c r="L1136" s="20" t="str">
        <f aca="false">IF($K1136="","",$A1136*100+$K1136)</f>
        <v/>
      </c>
      <c r="M1136" s="48" t="str">
        <f aca="false">参数!$B$3</f>
        <v>7月收入</v>
      </c>
    </row>
    <row r="1137" customFormat="false" ht="13.5" hidden="false" customHeight="false" outlineLevel="0" collapsed="false">
      <c r="A1137" s="47" t="n">
        <v>52</v>
      </c>
      <c r="B1137" s="38" t="str">
        <f aca="false">助手收入!$B53</f>
        <v/>
      </c>
      <c r="C1137" s="48" t="str">
        <f aca="false">助手收入!$C53</f>
        <v>备用7</v>
      </c>
      <c r="D1137" s="48" t="str">
        <f aca="false">科目对照收入!$B15&amp;""</f>
        <v>OMS线上支付</v>
      </c>
      <c r="E1137" s="48" t="str">
        <f aca="false">IF(AND(ROUND($G1137,2)&lt;0,科目对照收入!$L15&lt;&gt;""),科目对照收入!$L15,科目对照收入!$C15)&amp;""</f>
        <v>应收账款</v>
      </c>
      <c r="F1137" s="48" t="str">
        <f aca="false">IF(AND(ROUND($G1137,2)&lt;0,科目对照收入!$L15&lt;&gt;""),科目对照收入!$M15,科目对照收入!$D15)&amp;""</f>
        <v>OMS线上</v>
      </c>
      <c r="G1137" s="49" t="n">
        <f aca="false">IF(COUNTIFS(输入平台!$A:$A,助手收入!$X53,输入平台!$B:$B,科目对照收入!$B15)&gt;0,ROUND(SUMIFS(输入平台!$C:$C,输入平台!$A:$A,助手收入!$X53,输入平台!$B:$B,科目对照收入!$B15),2),ROUND(海典汇总!$L$54,2))</f>
        <v>0</v>
      </c>
      <c r="H1137" s="49" t="str">
        <f aca="false">IF(ROUND($G1137,2)&gt;0,ROUND($G1137,2),"")</f>
        <v/>
      </c>
      <c r="I1137" s="49" t="str">
        <f aca="false">IF(ROUND($G1137,2)&lt;0,-ROUND($G1137,2),"")</f>
        <v/>
      </c>
      <c r="J1137" s="20" t="n">
        <f aca="false">IF(ROUND($G1137,2)=0,0,1)</f>
        <v>0</v>
      </c>
      <c r="K1137" s="20" t="str">
        <f aca="false">IF($J1137=0,"",SUM($J$1124:$J1137))</f>
        <v/>
      </c>
      <c r="L1137" s="20" t="str">
        <f aca="false">IF($K1137="","",$A1137*100+$K1137)</f>
        <v/>
      </c>
      <c r="M1137" s="48" t="str">
        <f aca="false">参数!$B$3</f>
        <v>7月收入</v>
      </c>
    </row>
    <row r="1138" customFormat="false" ht="13.5" hidden="false" customHeight="false" outlineLevel="0" collapsed="false">
      <c r="A1138" s="47" t="n">
        <v>52</v>
      </c>
      <c r="B1138" s="38" t="str">
        <f aca="false">助手收入!$B53</f>
        <v/>
      </c>
      <c r="C1138" s="48" t="str">
        <f aca="false">助手收入!$C53</f>
        <v>备用7</v>
      </c>
      <c r="D1138" s="48" t="str">
        <f aca="false">科目对照收入!$B16&amp;""</f>
        <v>平安药卡</v>
      </c>
      <c r="E1138" s="48" t="str">
        <f aca="false">IF(AND(ROUND($G1138,2)&lt;0,科目对照收入!$L16&lt;&gt;""),科目对照收入!$L16,科目对照收入!$C16)&amp;""</f>
        <v>应收账款</v>
      </c>
      <c r="F1138" s="48" t="str">
        <f aca="false">IF(AND(ROUND($G1138,2)&lt;0,科目对照收入!$L16&lt;&gt;""),科目对照收入!$M16,科目对照收入!$D16)&amp;""</f>
        <v>平安</v>
      </c>
      <c r="G1138" s="49" t="n">
        <f aca="false">IF(COUNTIFS(输入平台!$A:$A,助手收入!$X53,输入平台!$B:$B,科目对照收入!$B16)&gt;0,ROUND(SUMIFS(输入平台!$C:$C,输入平台!$A:$A,助手收入!$X53,输入平台!$B:$B,科目对照收入!$B16),2),ROUND(海典汇总!$AB$54,2))</f>
        <v>0</v>
      </c>
      <c r="H1138" s="49" t="str">
        <f aca="false">IF(ROUND($G1138,2)&gt;0,ROUND($G1138,2),"")</f>
        <v/>
      </c>
      <c r="I1138" s="49" t="str">
        <f aca="false">IF(ROUND($G1138,2)&lt;0,-ROUND($G1138,2),"")</f>
        <v/>
      </c>
      <c r="J1138" s="20" t="n">
        <f aca="false">IF(ROUND($G1138,2)=0,0,1)</f>
        <v>0</v>
      </c>
      <c r="K1138" s="20" t="str">
        <f aca="false">IF($J1138=0,"",SUM($J$1124:$J1138))</f>
        <v/>
      </c>
      <c r="L1138" s="20" t="str">
        <f aca="false">IF($K1138="","",$A1138*100+$K1138)</f>
        <v/>
      </c>
      <c r="M1138" s="48" t="str">
        <f aca="false">参数!$B$3</f>
        <v>7月收入</v>
      </c>
    </row>
    <row r="1139" customFormat="false" ht="13.5" hidden="false" customHeight="false" outlineLevel="0" collapsed="false">
      <c r="A1139" s="47" t="n">
        <v>52</v>
      </c>
      <c r="B1139" s="38" t="str">
        <f aca="false">助手收入!$B53</f>
        <v/>
      </c>
      <c r="C1139" s="48" t="str">
        <f aca="false">助手收入!$C53</f>
        <v>备用7</v>
      </c>
      <c r="D1139" s="48" t="str">
        <f aca="false">科目对照收入!$B17&amp;""</f>
        <v>储值卡</v>
      </c>
      <c r="E1139" s="48" t="str">
        <f aca="false">IF(AND(ROUND($G1139,2)&lt;0,科目对照收入!$L17&lt;&gt;""),科目对照收入!$L17,科目对照收入!$C17)&amp;""</f>
        <v>其他应收款</v>
      </c>
      <c r="F1139" s="48" t="str">
        <f aca="false">IF(AND(ROUND($G1139,2)&lt;0,科目对照收入!$L17&lt;&gt;""),科目对照收入!$M17,科目对照收入!$D17)&amp;""</f>
        <v>储值卡</v>
      </c>
      <c r="G1139" s="49" t="n">
        <f aca="false">ROUND(海典汇总!$Q$54,2)</f>
        <v>0</v>
      </c>
      <c r="H1139" s="49" t="str">
        <f aca="false">IF(ROUND($G1139,2)&gt;0,ROUND($G1139,2),"")</f>
        <v/>
      </c>
      <c r="I1139" s="49" t="str">
        <f aca="false">IF(ROUND($G1139,2)&lt;0,-ROUND($G1139,2),"")</f>
        <v/>
      </c>
      <c r="J1139" s="20" t="n">
        <f aca="false">IF(ROUND($G1139,2)=0,0,1)</f>
        <v>0</v>
      </c>
      <c r="K1139" s="20" t="str">
        <f aca="false">IF($J1139=0,"",SUM($J$1124:$J1139))</f>
        <v/>
      </c>
      <c r="L1139" s="20" t="str">
        <f aca="false">IF($K1139="","",$A1139*100+$K1139)</f>
        <v/>
      </c>
      <c r="M1139" s="48" t="str">
        <f aca="false">参数!$B$3</f>
        <v>7月收入</v>
      </c>
    </row>
    <row r="1140" customFormat="false" ht="13.5" hidden="false" customHeight="false" outlineLevel="0" collapsed="false">
      <c r="A1140" s="47" t="n">
        <v>52</v>
      </c>
      <c r="B1140" s="38" t="str">
        <f aca="false">助手收入!$B53</f>
        <v/>
      </c>
      <c r="C1140" s="48" t="str">
        <f aca="false">助手收入!$C53</f>
        <v>备用7</v>
      </c>
      <c r="D1140" s="48" t="str">
        <f aca="false">科目对照收入!$B18&amp;""</f>
        <v>会员零钱包</v>
      </c>
      <c r="E1140" s="48" t="str">
        <f aca="false">IF(AND(ROUND($G1140,2)&lt;0,科目对照收入!$L18&lt;&gt;""),科目对照收入!$L18,科目对照收入!$C18)&amp;""</f>
        <v>其他应收款</v>
      </c>
      <c r="F1140" s="48" t="str">
        <f aca="false">IF(AND(ROUND($G1140,2)&lt;0,科目对照收入!$L18&lt;&gt;""),科目对照收入!$M18,科目对照收入!$D18)&amp;""</f>
        <v>会员零钱包</v>
      </c>
      <c r="G1140" s="49" t="n">
        <f aca="false">ROUND(海典汇总!$P$54,2)</f>
        <v>0</v>
      </c>
      <c r="H1140" s="49" t="str">
        <f aca="false">IF(ROUND($G1140,2)&gt;0,ROUND($G1140,2),"")</f>
        <v/>
      </c>
      <c r="I1140" s="49" t="str">
        <f aca="false">IF(ROUND($G1140,2)&lt;0,-ROUND($G1140,2),"")</f>
        <v/>
      </c>
      <c r="J1140" s="20" t="n">
        <f aca="false">IF(ROUND($G1140,2)=0,0,1)</f>
        <v>0</v>
      </c>
      <c r="K1140" s="20" t="str">
        <f aca="false">IF($J1140=0,"",SUM($J$1124:$J1140))</f>
        <v/>
      </c>
      <c r="L1140" s="20" t="str">
        <f aca="false">IF($K1140="","",$A1140*100+$K1140)</f>
        <v/>
      </c>
      <c r="M1140" s="48" t="str">
        <f aca="false">参数!$B$3</f>
        <v>7月收入</v>
      </c>
    </row>
    <row r="1141" customFormat="false" ht="13.5" hidden="false" customHeight="false" outlineLevel="0" collapsed="false">
      <c r="A1141" s="47" t="n">
        <v>52</v>
      </c>
      <c r="B1141" s="38" t="str">
        <f aca="false">助手收入!$B53</f>
        <v/>
      </c>
      <c r="C1141" s="48" t="str">
        <f aca="false">助手收入!$C53</f>
        <v>备用7</v>
      </c>
      <c r="D1141" s="48" t="str">
        <f aca="false">科目对照收入!$B19&amp;""</f>
        <v>促销费</v>
      </c>
      <c r="E1141" s="48" t="str">
        <f aca="false">IF(AND(ROUND($G1141,2)&lt;0,科目对照收入!$L19&lt;&gt;""),科目对照收入!$L19,科目对照收入!$C19)&amp;""</f>
        <v>销售费用</v>
      </c>
      <c r="F1141" s="48" t="str">
        <f aca="false">IF(AND(ROUND($G1141,2)&lt;0,科目对照收入!$L19&lt;&gt;""),科目对照收入!$M19,科目对照收入!$D19)&amp;""</f>
        <v>促销费</v>
      </c>
      <c r="G1141" s="49" t="n">
        <f aca="false">ROUND(海典汇总!$U$54+海典汇总!$T$54+海典汇总!$S$54,2)</f>
        <v>0</v>
      </c>
      <c r="H1141" s="49" t="str">
        <f aca="false">IF(ROUND($G1141,2)&gt;0,ROUND($G1141,2),"")</f>
        <v/>
      </c>
      <c r="I1141" s="49" t="str">
        <f aca="false">IF(ROUND($G1141,2)&lt;0,-ROUND($G1141,2),"")</f>
        <v/>
      </c>
      <c r="J1141" s="20" t="n">
        <f aca="false">IF(ROUND($G1141,2)=0,0,1)</f>
        <v>0</v>
      </c>
      <c r="K1141" s="20" t="str">
        <f aca="false">IF($J1141=0,"",SUM($J$1124:$J1141))</f>
        <v/>
      </c>
      <c r="L1141" s="20" t="str">
        <f aca="false">IF($K1141="","",$A1141*100+$K1141)</f>
        <v/>
      </c>
      <c r="M1141" s="48" t="str">
        <f aca="false">参数!$B$3</f>
        <v>7月收入</v>
      </c>
    </row>
    <row r="1142" customFormat="false" ht="13.5" hidden="false" customHeight="false" outlineLevel="0" collapsed="false">
      <c r="A1142" s="47" t="n">
        <v>52</v>
      </c>
      <c r="B1142" s="38" t="str">
        <f aca="false">助手收入!$B53</f>
        <v/>
      </c>
      <c r="C1142" s="48" t="str">
        <f aca="false">助手收入!$C53</f>
        <v>备用7</v>
      </c>
      <c r="D1142" s="48" t="str">
        <f aca="false">科目对照收入!$B20&amp;""</f>
        <v>积分</v>
      </c>
      <c r="E1142" s="48" t="str">
        <f aca="false">IF(AND(ROUND($G1142,2)&lt;0,科目对照收入!$L20&lt;&gt;""),科目对照收入!$L20,科目对照收入!$C20)&amp;""</f>
        <v>销售费用</v>
      </c>
      <c r="F1142" s="48" t="str">
        <f aca="false">IF(AND(ROUND($G1142,2)&lt;0,科目对照收入!$L20&lt;&gt;""),科目对照收入!$M20,科目对照收入!$D20)&amp;""</f>
        <v>积分</v>
      </c>
      <c r="G1142" s="49" t="n">
        <f aca="false">ROUND(海典汇总!$R$54,2)</f>
        <v>0</v>
      </c>
      <c r="H1142" s="49" t="str">
        <f aca="false">IF(ROUND($G1142,2)&gt;0,ROUND($G1142,2),"")</f>
        <v/>
      </c>
      <c r="I1142" s="49" t="str">
        <f aca="false">IF(ROUND($G1142,2)&lt;0,-ROUND($G1142,2),"")</f>
        <v/>
      </c>
      <c r="J1142" s="20" t="n">
        <f aca="false">IF(ROUND($G1142,2)=0,0,1)</f>
        <v>0</v>
      </c>
      <c r="K1142" s="20" t="str">
        <f aca="false">IF($J1142=0,"",SUM($J$1124:$J1142))</f>
        <v/>
      </c>
      <c r="L1142" s="20" t="str">
        <f aca="false">IF($K1142="","",$A1142*100+$K1142)</f>
        <v/>
      </c>
      <c r="M1142" s="48" t="str">
        <f aca="false">参数!$B$3</f>
        <v>7月收入</v>
      </c>
    </row>
    <row r="1143" customFormat="false" ht="13.5" hidden="false" customHeight="false" outlineLevel="0" collapsed="false">
      <c r="A1143" s="47" t="n">
        <v>52</v>
      </c>
      <c r="B1143" s="38" t="str">
        <f aca="false">助手收入!$B53</f>
        <v/>
      </c>
      <c r="C1143" s="48" t="str">
        <f aca="false">助手收入!$C53</f>
        <v>备用7</v>
      </c>
      <c r="D1143" s="48" t="str">
        <f aca="false">科目对照收入!$B21&amp;""</f>
        <v>手续费</v>
      </c>
      <c r="E1143" s="48" t="str">
        <f aca="false">IF(AND(ROUND($G1143,2)&lt;0,科目对照收入!$L21&lt;&gt;""),科目对照收入!$L21,科目对照收入!$C21)&amp;""</f>
        <v>财务费用</v>
      </c>
      <c r="F1143" s="48" t="str">
        <f aca="false">IF(AND(ROUND($G1143,2)&lt;0,科目对照收入!$L21&lt;&gt;""),科目对照收入!$M21,科目对照收入!$D21)&amp;""</f>
        <v>手续费</v>
      </c>
      <c r="G1143" s="49" t="n">
        <f aca="false">ROUND(SUMIFS(输入聚合!$D:$D,输入聚合!$A:$A,助手收入!$X53),2)</f>
        <v>0</v>
      </c>
      <c r="H1143" s="49" t="str">
        <f aca="false">IF(ROUND($G1143,2)&gt;0,ROUND($G1143,2),"")</f>
        <v/>
      </c>
      <c r="I1143" s="49" t="str">
        <f aca="false">IF(ROUND($G1143,2)&lt;0,-ROUND($G1143,2),"")</f>
        <v/>
      </c>
      <c r="J1143" s="20" t="n">
        <f aca="false">IF(ROUND($G1143,2)=0,0,1)</f>
        <v>0</v>
      </c>
      <c r="K1143" s="20" t="str">
        <f aca="false">IF($J1143=0,"",SUM($J$1124:$J1143))</f>
        <v/>
      </c>
      <c r="L1143" s="20" t="str">
        <f aca="false">IF($K1143="","",$A1143*100+$K1143)</f>
        <v/>
      </c>
      <c r="M1143" s="48" t="str">
        <f aca="false">参数!$B$3</f>
        <v>7月收入</v>
      </c>
    </row>
    <row r="1144" customFormat="false" ht="13.5" hidden="false" customHeight="false" outlineLevel="0" collapsed="false">
      <c r="A1144" s="47" t="n">
        <v>52</v>
      </c>
      <c r="B1144" s="38" t="str">
        <f aca="false">助手收入!$B53</f>
        <v/>
      </c>
      <c r="C1144" s="48" t="str">
        <f aca="false">助手收入!$C53</f>
        <v>备用7</v>
      </c>
      <c r="D1144" s="48" t="str">
        <f aca="false">科目对照收入!$B22&amp;""</f>
        <v>主营业务收入</v>
      </c>
      <c r="E1144" s="48" t="str">
        <f aca="false">IF(AND(ROUND($G1144,2)&lt;0,科目对照收入!$L22&lt;&gt;""),科目对照收入!$L22,科目对照收入!$C22)&amp;""</f>
        <v>主营业务收入</v>
      </c>
      <c r="F1144" s="48" t="str">
        <f aca="false">IF(AND(ROUND($G1144,2)&lt;0,科目对照收入!$L22&lt;&gt;""),科目对照收入!$M22,科目对照收入!$D22)&amp;""</f>
        <v/>
      </c>
      <c r="G1144" s="49" t="n">
        <f aca="false">-ROUND(助手收入!$G53,2)</f>
        <v>-0</v>
      </c>
      <c r="H1144" s="49" t="str">
        <f aca="false">IF(ROUND($G1144,2)&gt;0,ROUND($G1144,2),"")</f>
        <v/>
      </c>
      <c r="I1144" s="49" t="str">
        <f aca="false">IF(ROUND($G1144,2)&lt;0,-ROUND($G1144,2),"")</f>
        <v/>
      </c>
      <c r="J1144" s="20" t="n">
        <f aca="false">IF(ROUND($G1144,2)=0,0,1)</f>
        <v>0</v>
      </c>
      <c r="K1144" s="20" t="str">
        <f aca="false">IF($J1144=0,"",SUM($J$1124:$J1144))</f>
        <v/>
      </c>
      <c r="L1144" s="20" t="str">
        <f aca="false">IF($K1144="","",$A1144*100+$K1144)</f>
        <v/>
      </c>
      <c r="M1144" s="48" t="str">
        <f aca="false">参数!$B$3</f>
        <v>7月收入</v>
      </c>
    </row>
    <row r="1145" customFormat="false" ht="13.5" hidden="false" customHeight="false" outlineLevel="0" collapsed="false">
      <c r="A1145" s="47" t="n">
        <v>52</v>
      </c>
      <c r="B1145" s="38" t="str">
        <f aca="false">助手收入!$B53</f>
        <v/>
      </c>
      <c r="C1145" s="48" t="str">
        <f aca="false">助手收入!$C53</f>
        <v>备用7</v>
      </c>
      <c r="D1145" s="48" t="str">
        <f aca="false">科目对照收入!$B23&amp;""</f>
        <v>营业外收入</v>
      </c>
      <c r="E1145" s="48" t="str">
        <f aca="false">IF(AND(ROUND($G1145,2)&lt;0,科目对照收入!$L23&lt;&gt;""),科目对照收入!$L23,科目对照收入!$C23)&amp;""</f>
        <v>营业外收入</v>
      </c>
      <c r="F1145" s="48" t="str">
        <f aca="false">IF(AND(ROUND($G1145,2)&lt;0,科目对照收入!$L23&lt;&gt;""),科目对照收入!$M23,科目对照收入!$D23)&amp;""</f>
        <v/>
      </c>
      <c r="G1145" s="49" t="n">
        <f aca="false">-ROUND(助手收入!$J53,2)</f>
        <v>-0</v>
      </c>
      <c r="H1145" s="49" t="str">
        <f aca="false">IF(ROUND($G1145,2)&gt;0,ROUND($G1145,2),"")</f>
        <v/>
      </c>
      <c r="I1145" s="49" t="str">
        <f aca="false">IF(ROUND($G1145,2)&lt;0,-ROUND($G1145,2),"")</f>
        <v/>
      </c>
      <c r="J1145" s="20" t="n">
        <f aca="false">IF(ROUND($G1145,2)=0,0,1)</f>
        <v>0</v>
      </c>
      <c r="K1145" s="20" t="str">
        <f aca="false">IF($J1145=0,"",SUM($J$1124:$J1145))</f>
        <v/>
      </c>
      <c r="L1145" s="20" t="str">
        <f aca="false">IF($K1145="","",$A1145*100+$K1145)</f>
        <v/>
      </c>
      <c r="M1145" s="48" t="str">
        <f aca="false">参数!$B$3</f>
        <v>7月收入</v>
      </c>
    </row>
    <row r="1146" customFormat="false" ht="13.5" hidden="false" customHeight="false" outlineLevel="0" collapsed="false">
      <c r="A1146" s="47" t="n">
        <v>53</v>
      </c>
      <c r="B1146" s="38" t="str">
        <f aca="false">助手收入!$B54</f>
        <v/>
      </c>
      <c r="C1146" s="48" t="str">
        <f aca="false">助手收入!$C54</f>
        <v>备用8</v>
      </c>
      <c r="D1146" s="48" t="str">
        <f aca="false">科目对照收入!$B2&amp;""</f>
        <v>库存现金</v>
      </c>
      <c r="E1146" s="48" t="str">
        <f aca="false">IF(AND(ROUND($G1146,2)&lt;0,科目对照收入!$L2&lt;&gt;""),科目对照收入!$L2,科目对照收入!$C2)&amp;""</f>
        <v>库存现金</v>
      </c>
      <c r="F1146" s="48" t="str">
        <f aca="false">IF(AND(ROUND($G1146,2)&lt;0,科目对照收入!$L2&lt;&gt;""),科目对照收入!$M2,科目对照收入!$D2)&amp;""</f>
        <v/>
      </c>
      <c r="G1146" s="49" t="n">
        <f aca="false">助手收入!$I54</f>
        <v>0</v>
      </c>
      <c r="H1146" s="49" t="str">
        <f aca="false">IF(ROUND($G1146,2)&gt;0,ROUND($G1146,2),"")</f>
        <v/>
      </c>
      <c r="I1146" s="49" t="str">
        <f aca="false">IF(ROUND($G1146,2)&lt;0,-ROUND($G1146,2),"")</f>
        <v/>
      </c>
      <c r="J1146" s="20" t="n">
        <f aca="false">IF(ROUND($G1146,2)=0,0,1)</f>
        <v>0</v>
      </c>
      <c r="K1146" s="20" t="str">
        <f aca="false">IF($J1146=0,"",SUM($J$1146:$J1146))</f>
        <v/>
      </c>
      <c r="L1146" s="20" t="str">
        <f aca="false">IF($K1146="","",$A1146*100+$K1146)</f>
        <v/>
      </c>
      <c r="M1146" s="48" t="str">
        <f aca="false">参数!$B$3</f>
        <v>7月收入</v>
      </c>
    </row>
    <row r="1147" customFormat="false" ht="13.5" hidden="false" customHeight="false" outlineLevel="0" collapsed="false">
      <c r="A1147" s="47" t="n">
        <v>53</v>
      </c>
      <c r="B1147" s="38" t="str">
        <f aca="false">助手收入!$B54</f>
        <v/>
      </c>
      <c r="C1147" s="48" t="str">
        <f aca="false">助手收入!$C54</f>
        <v>备用8</v>
      </c>
      <c r="D1147" s="48" t="str">
        <f aca="false">科目对照收入!$B3&amp;""</f>
        <v>聚合支付</v>
      </c>
      <c r="E1147" s="48" t="str">
        <f aca="false">IF(AND(ROUND($G1147,2)&lt;0,科目对照收入!$L3&lt;&gt;""),科目对照收入!$L3,科目对照收入!$C3)&amp;""</f>
        <v>应收账款</v>
      </c>
      <c r="F1147" s="48" t="str">
        <f aca="false">IF(AND(ROUND($G1147,2)&lt;0,科目对照收入!$L3&lt;&gt;""),科目对照收入!$M3,科目对照收入!$D3)&amp;""</f>
        <v>聚合支付</v>
      </c>
      <c r="G1147" s="49" t="n">
        <f aca="false">ROUND(SUMIFS(输入聚合!$C:$C,输入聚合!$A:$A,助手收入!$X54)-SUMIFS(输入聚合!$D:$D,输入聚合!$A:$A,助手收入!$X54),2)</f>
        <v>0</v>
      </c>
      <c r="H1147" s="49" t="str">
        <f aca="false">IF(ROUND($G1147,2)&gt;0,ROUND($G1147,2),"")</f>
        <v/>
      </c>
      <c r="I1147" s="49" t="str">
        <f aca="false">IF(ROUND($G1147,2)&lt;0,-ROUND($G1147,2),"")</f>
        <v/>
      </c>
      <c r="J1147" s="20" t="n">
        <f aca="false">IF(ROUND($G1147,2)=0,0,1)</f>
        <v>0</v>
      </c>
      <c r="K1147" s="20" t="str">
        <f aca="false">IF($J1147=0,"",SUM($J$1146:$J1147))</f>
        <v/>
      </c>
      <c r="L1147" s="20" t="str">
        <f aca="false">IF($K1147="","",$A1147*100+$K1147)</f>
        <v/>
      </c>
      <c r="M1147" s="48" t="str">
        <f aca="false">参数!$B$3</f>
        <v>7月收入</v>
      </c>
    </row>
    <row r="1148" customFormat="false" ht="13.5" hidden="false" customHeight="false" outlineLevel="0" collapsed="false">
      <c r="A1148" s="47" t="n">
        <v>53</v>
      </c>
      <c r="B1148" s="38" t="str">
        <f aca="false">助手收入!$B54</f>
        <v/>
      </c>
      <c r="C1148" s="48" t="str">
        <f aca="false">助手收入!$C54</f>
        <v>备用8</v>
      </c>
      <c r="D1148" s="48" t="str">
        <f aca="false">科目对照收入!$B4&amp;""</f>
        <v>医保</v>
      </c>
      <c r="E1148" s="48" t="str">
        <f aca="false">IF(AND(ROUND($G1148,2)&lt;0,科目对照收入!$L4&lt;&gt;""),科目对照收入!$L4,科目对照收入!$C4)&amp;""</f>
        <v>应收账款</v>
      </c>
      <c r="F1148" s="48" t="str">
        <f aca="false">IF(AND(ROUND($G1148,2)&lt;0,科目对照收入!$L4&lt;&gt;""),科目对照收入!$M4,科目对照收入!$D4)&amp;""</f>
        <v>医保</v>
      </c>
      <c r="G1148" s="49" t="n">
        <f aca="false">IF(COUNTIFS(输入平台!$A:$A,助手收入!$X54,输入平台!$B:$B,科目对照收入!$B4)&gt;0,ROUND(SUMIFS(输入平台!$C:$C,输入平台!$A:$A,助手收入!$X54,输入平台!$B:$B,科目对照收入!$B4),2),ROUND(海典汇总!$F$55+海典汇总!$G$55,2))</f>
        <v>0</v>
      </c>
      <c r="H1148" s="49" t="str">
        <f aca="false">IF(ROUND($G1148,2)&gt;0,ROUND($G1148,2),"")</f>
        <v/>
      </c>
      <c r="I1148" s="49" t="str">
        <f aca="false">IF(ROUND($G1148,2)&lt;0,-ROUND($G1148,2),"")</f>
        <v/>
      </c>
      <c r="J1148" s="20" t="n">
        <f aca="false">IF(ROUND($G1148,2)=0,0,1)</f>
        <v>0</v>
      </c>
      <c r="K1148" s="20" t="str">
        <f aca="false">IF($J1148=0,"",SUM($J$1146:$J1148))</f>
        <v/>
      </c>
      <c r="L1148" s="20" t="str">
        <f aca="false">IF($K1148="","",$A1148*100+$K1148)</f>
        <v/>
      </c>
      <c r="M1148" s="48" t="str">
        <f aca="false">参数!$B$3</f>
        <v>7月收入</v>
      </c>
    </row>
    <row r="1149" customFormat="false" ht="13.5" hidden="false" customHeight="false" outlineLevel="0" collapsed="false">
      <c r="A1149" s="47" t="n">
        <v>53</v>
      </c>
      <c r="B1149" s="38" t="str">
        <f aca="false">助手收入!$B54</f>
        <v/>
      </c>
      <c r="C1149" s="48" t="str">
        <f aca="false">助手收入!$C54</f>
        <v>备用8</v>
      </c>
      <c r="D1149" s="48" t="str">
        <f aca="false">科目对照收入!$B5&amp;""</f>
        <v>健e卡</v>
      </c>
      <c r="E1149" s="48" t="str">
        <f aca="false">IF(AND(ROUND($G1149,2)&lt;0,科目对照收入!$L5&lt;&gt;""),科目对照收入!$L5,科目对照收入!$C5)&amp;""</f>
        <v>应收账款</v>
      </c>
      <c r="F1149" s="48" t="str">
        <f aca="false">IF(AND(ROUND($G1149,2)&lt;0,科目对照收入!$L5&lt;&gt;""),科目对照收入!$M5,科目对照收入!$D5)&amp;""</f>
        <v>健e卡</v>
      </c>
      <c r="G1149" s="49" t="n">
        <f aca="false">IF(COUNTIFS(输入平台!$A:$A,助手收入!$X54,输入平台!$B:$B,科目对照收入!$B5)&gt;0,ROUND(SUMIFS(输入平台!$C:$C,输入平台!$A:$A,助手收入!$X54,输入平台!$B:$B,科目对照收入!$B5),2),ROUND(海典汇总!$H$55,2))</f>
        <v>0</v>
      </c>
      <c r="H1149" s="49" t="str">
        <f aca="false">IF(ROUND($G1149,2)&gt;0,ROUND($G1149,2),"")</f>
        <v/>
      </c>
      <c r="I1149" s="49" t="str">
        <f aca="false">IF(ROUND($G1149,2)&lt;0,-ROUND($G1149,2),"")</f>
        <v/>
      </c>
      <c r="J1149" s="20" t="n">
        <f aca="false">IF(ROUND($G1149,2)=0,0,1)</f>
        <v>0</v>
      </c>
      <c r="K1149" s="20" t="str">
        <f aca="false">IF($J1149=0,"",SUM($J$1146:$J1149))</f>
        <v/>
      </c>
      <c r="L1149" s="20" t="str">
        <f aca="false">IF($K1149="","",$A1149*100+$K1149)</f>
        <v/>
      </c>
      <c r="M1149" s="48" t="str">
        <f aca="false">参数!$B$3</f>
        <v>7月收入</v>
      </c>
    </row>
    <row r="1150" customFormat="false" ht="13.5" hidden="false" customHeight="false" outlineLevel="0" collapsed="false">
      <c r="A1150" s="47" t="n">
        <v>53</v>
      </c>
      <c r="B1150" s="38" t="str">
        <f aca="false">助手收入!$B54</f>
        <v/>
      </c>
      <c r="C1150" s="48" t="str">
        <f aca="false">助手收入!$C54</f>
        <v>备用8</v>
      </c>
      <c r="D1150" s="48" t="str">
        <f aca="false">科目对照收入!$B6&amp;""</f>
        <v>医卡通</v>
      </c>
      <c r="E1150" s="48" t="str">
        <f aca="false">IF(AND(ROUND($G1150,2)&lt;0,科目对照收入!$L6&lt;&gt;""),科目对照收入!$L6,科目对照收入!$C6)&amp;""</f>
        <v>应收账款</v>
      </c>
      <c r="F1150" s="48" t="str">
        <f aca="false">IF(AND(ROUND($G1150,2)&lt;0,科目对照收入!$L6&lt;&gt;""),科目对照收入!$M6,科目对照收入!$D6)&amp;""</f>
        <v>医卡通</v>
      </c>
      <c r="G1150" s="49" t="n">
        <f aca="false">IF(COUNTIFS(输入平台!$A:$A,助手收入!$X54,输入平台!$B:$B,科目对照收入!$B6)&gt;0,ROUND(SUMIFS(输入平台!$C:$C,输入平台!$A:$A,助手收入!$X54,输入平台!$B:$B,科目对照收入!$B6),2),ROUND(海典汇总!$I$55,2))</f>
        <v>0</v>
      </c>
      <c r="H1150" s="49" t="str">
        <f aca="false">IF(ROUND($G1150,2)&gt;0,ROUND($G1150,2),"")</f>
        <v/>
      </c>
      <c r="I1150" s="49" t="str">
        <f aca="false">IF(ROUND($G1150,2)&lt;0,-ROUND($G1150,2),"")</f>
        <v/>
      </c>
      <c r="J1150" s="20" t="n">
        <f aca="false">IF(ROUND($G1150,2)=0,0,1)</f>
        <v>0</v>
      </c>
      <c r="K1150" s="20" t="str">
        <f aca="false">IF($J1150=0,"",SUM($J$1146:$J1150))</f>
        <v/>
      </c>
      <c r="L1150" s="20" t="str">
        <f aca="false">IF($K1150="","",$A1150*100+$K1150)</f>
        <v/>
      </c>
      <c r="M1150" s="48" t="str">
        <f aca="false">参数!$B$3</f>
        <v>7月收入</v>
      </c>
    </row>
    <row r="1151" customFormat="false" ht="13.5" hidden="false" customHeight="false" outlineLevel="0" collapsed="false">
      <c r="A1151" s="47" t="n">
        <v>53</v>
      </c>
      <c r="B1151" s="38" t="str">
        <f aca="false">助手收入!$B54</f>
        <v/>
      </c>
      <c r="C1151" s="48" t="str">
        <f aca="false">助手收入!$C54</f>
        <v>备用8</v>
      </c>
      <c r="D1151" s="48" t="str">
        <f aca="false">科目对照收入!$B7&amp;""</f>
        <v>企健网</v>
      </c>
      <c r="E1151" s="48" t="str">
        <f aca="false">IF(AND(ROUND($G1151,2)&lt;0,科目对照收入!$L7&lt;&gt;""),科目对照收入!$L7,科目对照收入!$C7)&amp;""</f>
        <v>应收账款</v>
      </c>
      <c r="F1151" s="48" t="str">
        <f aca="false">IF(AND(ROUND($G1151,2)&lt;0,科目对照收入!$L7&lt;&gt;""),科目对照收入!$M7,科目对照收入!$D7)&amp;""</f>
        <v>企健网</v>
      </c>
      <c r="G1151" s="49" t="n">
        <f aca="false">IF(COUNTIFS(输入平台!$A:$A,助手收入!$X54,输入平台!$B:$B,科目对照收入!$B7)&gt;0,ROUND(SUMIFS(输入平台!$C:$C,输入平台!$A:$A,助手收入!$X54,输入平台!$B:$B,科目对照收入!$B7),2),ROUND(海典汇总!$J$55,2))</f>
        <v>0</v>
      </c>
      <c r="H1151" s="49" t="str">
        <f aca="false">IF(ROUND($G1151,2)&gt;0,ROUND($G1151,2),"")</f>
        <v/>
      </c>
      <c r="I1151" s="49" t="str">
        <f aca="false">IF(ROUND($G1151,2)&lt;0,-ROUND($G1151,2),"")</f>
        <v/>
      </c>
      <c r="J1151" s="20" t="n">
        <f aca="false">IF(ROUND($G1151,2)=0,0,1)</f>
        <v>0</v>
      </c>
      <c r="K1151" s="20" t="str">
        <f aca="false">IF($J1151=0,"",SUM($J$1146:$J1151))</f>
        <v/>
      </c>
      <c r="L1151" s="20" t="str">
        <f aca="false">IF($K1151="","",$A1151*100+$K1151)</f>
        <v/>
      </c>
      <c r="M1151" s="48" t="str">
        <f aca="false">参数!$B$3</f>
        <v>7月收入</v>
      </c>
    </row>
    <row r="1152" customFormat="false" ht="13.5" hidden="false" customHeight="false" outlineLevel="0" collapsed="false">
      <c r="A1152" s="47" t="n">
        <v>53</v>
      </c>
      <c r="B1152" s="38" t="str">
        <f aca="false">助手收入!$B54</f>
        <v/>
      </c>
      <c r="C1152" s="48" t="str">
        <f aca="false">助手收入!$C54</f>
        <v>备用8</v>
      </c>
      <c r="D1152" s="48" t="str">
        <f aca="false">科目对照收入!$B8&amp;""</f>
        <v>亲情卡</v>
      </c>
      <c r="E1152" s="48" t="str">
        <f aca="false">IF(AND(ROUND($G1152,2)&lt;0,科目对照收入!$L8&lt;&gt;""),科目对照收入!$L8,科目对照收入!$C8)&amp;""</f>
        <v>应收账款</v>
      </c>
      <c r="F1152" s="48" t="str">
        <f aca="false">IF(AND(ROUND($G1152,2)&lt;0,科目对照收入!$L8&lt;&gt;""),科目对照收入!$M8,科目对照收入!$D8)&amp;""</f>
        <v>亲情卡</v>
      </c>
      <c r="G1152" s="49" t="n">
        <f aca="false">IF(COUNTIFS(输入平台!$A:$A,助手收入!$X54,输入平台!$B:$B,科目对照收入!$B8)&gt;0,ROUND(SUMIFS(输入平台!$C:$C,输入平台!$A:$A,助手收入!$X54,输入平台!$B:$B,科目对照收入!$B8),2),ROUND(海典汇总!$Z$55,2))</f>
        <v>0</v>
      </c>
      <c r="H1152" s="49" t="str">
        <f aca="false">IF(ROUND($G1152,2)&gt;0,ROUND($G1152,2),"")</f>
        <v/>
      </c>
      <c r="I1152" s="49" t="str">
        <f aca="false">IF(ROUND($G1152,2)&lt;0,-ROUND($G1152,2),"")</f>
        <v/>
      </c>
      <c r="J1152" s="20" t="n">
        <f aca="false">IF(ROUND($G1152,2)=0,0,1)</f>
        <v>0</v>
      </c>
      <c r="K1152" s="20" t="str">
        <f aca="false">IF($J1152=0,"",SUM($J$1146:$J1152))</f>
        <v/>
      </c>
      <c r="L1152" s="20" t="str">
        <f aca="false">IF($K1152="","",$A1152*100+$K1152)</f>
        <v/>
      </c>
      <c r="M1152" s="48" t="str">
        <f aca="false">参数!$B$3</f>
        <v>7月收入</v>
      </c>
    </row>
    <row r="1153" customFormat="false" ht="13.5" hidden="false" customHeight="false" outlineLevel="0" collapsed="false">
      <c r="A1153" s="47" t="n">
        <v>53</v>
      </c>
      <c r="B1153" s="38" t="str">
        <f aca="false">助手收入!$B54</f>
        <v/>
      </c>
      <c r="C1153" s="48" t="str">
        <f aca="false">助手收入!$C54</f>
        <v>备用8</v>
      </c>
      <c r="D1153" s="48" t="str">
        <f aca="false">科目对照收入!$B9&amp;""</f>
        <v>24小时</v>
      </c>
      <c r="E1153" s="48" t="str">
        <f aca="false">IF(AND(ROUND($G1153,2)&lt;0,科目对照收入!$L9&lt;&gt;""),科目对照收入!$L9,科目对照收入!$C9)&amp;""</f>
        <v>应收账款</v>
      </c>
      <c r="F1153" s="48" t="str">
        <f aca="false">IF(AND(ROUND($G1153,2)&lt;0,科目对照收入!$L9&lt;&gt;""),科目对照收入!$M9,科目对照收入!$D9)&amp;""</f>
        <v>24小时</v>
      </c>
      <c r="G1153" s="49" t="n">
        <f aca="false">IF(COUNTIFS(输入平台!$A:$A,助手收入!$X54,输入平台!$B:$B,科目对照收入!$B9)&gt;0,ROUND(SUMIFS(输入平台!$C:$C,输入平台!$A:$A,助手收入!$X54,输入平台!$B:$B,科目对照收入!$B9),2),ROUND(海典汇总!$K$55,2))</f>
        <v>0</v>
      </c>
      <c r="H1153" s="49" t="str">
        <f aca="false">IF(ROUND($G1153,2)&gt;0,ROUND($G1153,2),"")</f>
        <v/>
      </c>
      <c r="I1153" s="49" t="str">
        <f aca="false">IF(ROUND($G1153,2)&lt;0,-ROUND($G1153,2),"")</f>
        <v/>
      </c>
      <c r="J1153" s="20" t="n">
        <f aca="false">IF(ROUND($G1153,2)=0,0,1)</f>
        <v>0</v>
      </c>
      <c r="K1153" s="20" t="str">
        <f aca="false">IF($J1153=0,"",SUM($J$1146:$J1153))</f>
        <v/>
      </c>
      <c r="L1153" s="20" t="str">
        <f aca="false">IF($K1153="","",$A1153*100+$K1153)</f>
        <v/>
      </c>
      <c r="M1153" s="48" t="str">
        <f aca="false">参数!$B$3</f>
        <v>7月收入</v>
      </c>
    </row>
    <row r="1154" customFormat="false" ht="13.5" hidden="false" customHeight="false" outlineLevel="0" collapsed="false">
      <c r="A1154" s="47" t="n">
        <v>53</v>
      </c>
      <c r="B1154" s="38" t="str">
        <f aca="false">助手收入!$B54</f>
        <v/>
      </c>
      <c r="C1154" s="48" t="str">
        <f aca="false">助手收入!$C54</f>
        <v>备用8</v>
      </c>
      <c r="D1154" s="48" t="str">
        <f aca="false">科目对照收入!$B10&amp;""</f>
        <v>美团</v>
      </c>
      <c r="E1154" s="48" t="str">
        <f aca="false">IF(AND(ROUND($G1154,2)&lt;0,科目对照收入!$L10&lt;&gt;""),科目对照收入!$L10,科目对照收入!$C10)&amp;""</f>
        <v>应收账款</v>
      </c>
      <c r="F1154" s="48" t="str">
        <f aca="false">IF(AND(ROUND($G1154,2)&lt;0,科目对照收入!$L10&lt;&gt;""),科目对照收入!$M10,科目对照收入!$D10)&amp;""</f>
        <v>美团</v>
      </c>
      <c r="G1154" s="49" t="n">
        <f aca="false">IF(COUNTIFS(输入平台!$A:$A,助手收入!$X54,输入平台!$B:$B,科目对照收入!$B10)&gt;0,ROUND(SUMIFS(输入平台!$C:$C,输入平台!$A:$A,助手收入!$X54,输入平台!$B:$B,科目对照收入!$B10),2),ROUND(海典汇总!$M$55,2))</f>
        <v>0</v>
      </c>
      <c r="H1154" s="49" t="str">
        <f aca="false">IF(ROUND($G1154,2)&gt;0,ROUND($G1154,2),"")</f>
        <v/>
      </c>
      <c r="I1154" s="49" t="str">
        <f aca="false">IF(ROUND($G1154,2)&lt;0,-ROUND($G1154,2),"")</f>
        <v/>
      </c>
      <c r="J1154" s="20" t="n">
        <f aca="false">IF(ROUND($G1154,2)=0,0,1)</f>
        <v>0</v>
      </c>
      <c r="K1154" s="20" t="str">
        <f aca="false">IF($J1154=0,"",SUM($J$1146:$J1154))</f>
        <v/>
      </c>
      <c r="L1154" s="20" t="str">
        <f aca="false">IF($K1154="","",$A1154*100+$K1154)</f>
        <v/>
      </c>
      <c r="M1154" s="48" t="str">
        <f aca="false">参数!$B$3</f>
        <v>7月收入</v>
      </c>
    </row>
    <row r="1155" customFormat="false" ht="13.5" hidden="false" customHeight="false" outlineLevel="0" collapsed="false">
      <c r="A1155" s="47" t="n">
        <v>53</v>
      </c>
      <c r="B1155" s="38" t="str">
        <f aca="false">助手收入!$B54</f>
        <v/>
      </c>
      <c r="C1155" s="48" t="str">
        <f aca="false">助手收入!$C54</f>
        <v>备用8</v>
      </c>
      <c r="D1155" s="48" t="str">
        <f aca="false">科目对照收入!$B11&amp;""</f>
        <v>饿了么</v>
      </c>
      <c r="E1155" s="48" t="str">
        <f aca="false">IF(AND(ROUND($G1155,2)&lt;0,科目对照收入!$L11&lt;&gt;""),科目对照收入!$L11,科目对照收入!$C11)&amp;""</f>
        <v>应收账款</v>
      </c>
      <c r="F1155" s="48" t="str">
        <f aca="false">IF(AND(ROUND($G1155,2)&lt;0,科目对照收入!$L11&lt;&gt;""),科目对照收入!$M11,科目对照收入!$D11)&amp;""</f>
        <v>饿了么</v>
      </c>
      <c r="G1155" s="49" t="n">
        <f aca="false">IF(COUNTIFS(输入平台!$A:$A,助手收入!$X54,输入平台!$B:$B,科目对照收入!$B11)&gt;0,ROUND(SUMIFS(输入平台!$C:$C,输入平台!$A:$A,助手收入!$X54,输入平台!$B:$B,科目对照收入!$B11),2),ROUND(海典汇总!$N$55,2))</f>
        <v>0</v>
      </c>
      <c r="H1155" s="49" t="str">
        <f aca="false">IF(ROUND($G1155,2)&gt;0,ROUND($G1155,2),"")</f>
        <v/>
      </c>
      <c r="I1155" s="49" t="str">
        <f aca="false">IF(ROUND($G1155,2)&lt;0,-ROUND($G1155,2),"")</f>
        <v/>
      </c>
      <c r="J1155" s="20" t="n">
        <f aca="false">IF(ROUND($G1155,2)=0,0,1)</f>
        <v>0</v>
      </c>
      <c r="K1155" s="20" t="str">
        <f aca="false">IF($J1155=0,"",SUM($J$1146:$J1155))</f>
        <v/>
      </c>
      <c r="L1155" s="20" t="str">
        <f aca="false">IF($K1155="","",$A1155*100+$K1155)</f>
        <v/>
      </c>
      <c r="M1155" s="48" t="str">
        <f aca="false">参数!$B$3</f>
        <v>7月收入</v>
      </c>
    </row>
    <row r="1156" customFormat="false" ht="13.5" hidden="false" customHeight="false" outlineLevel="0" collapsed="false">
      <c r="A1156" s="47" t="n">
        <v>53</v>
      </c>
      <c r="B1156" s="38" t="str">
        <f aca="false">助手收入!$B54</f>
        <v/>
      </c>
      <c r="C1156" s="48" t="str">
        <f aca="false">助手收入!$C54</f>
        <v>备用8</v>
      </c>
      <c r="D1156" s="48" t="str">
        <f aca="false">科目对照收入!$B12&amp;""</f>
        <v>京东秒送</v>
      </c>
      <c r="E1156" s="48" t="str">
        <f aca="false">IF(AND(ROUND($G1156,2)&lt;0,科目对照收入!$L12&lt;&gt;""),科目对照收入!$L12,科目对照收入!$C12)&amp;""</f>
        <v>应收账款</v>
      </c>
      <c r="F1156" s="48" t="str">
        <f aca="false">IF(AND(ROUND($G1156,2)&lt;0,科目对照收入!$L12&lt;&gt;""),科目对照收入!$M12,科目对照收入!$D12)&amp;""</f>
        <v>京东秒送</v>
      </c>
      <c r="G1156" s="49" t="n">
        <f aca="false">IF(COUNTIFS(输入平台!$A:$A,助手收入!$X54,输入平台!$B:$B,科目对照收入!$B12)&gt;0,ROUND(SUMIFS(输入平台!$C:$C,输入平台!$A:$A,助手收入!$X54,输入平台!$B:$B,科目对照收入!$B12),2),ROUND(海典汇总!$O$55,2))</f>
        <v>0</v>
      </c>
      <c r="H1156" s="49" t="str">
        <f aca="false">IF(ROUND($G1156,2)&gt;0,ROUND($G1156,2),"")</f>
        <v/>
      </c>
      <c r="I1156" s="49" t="str">
        <f aca="false">IF(ROUND($G1156,2)&lt;0,-ROUND($G1156,2),"")</f>
        <v/>
      </c>
      <c r="J1156" s="20" t="n">
        <f aca="false">IF(ROUND($G1156,2)=0,0,1)</f>
        <v>0</v>
      </c>
      <c r="K1156" s="20" t="str">
        <f aca="false">IF($J1156=0,"",SUM($J$1146:$J1156))</f>
        <v/>
      </c>
      <c r="L1156" s="20" t="str">
        <f aca="false">IF($K1156="","",$A1156*100+$K1156)</f>
        <v/>
      </c>
      <c r="M1156" s="48" t="str">
        <f aca="false">参数!$B$3</f>
        <v>7月收入</v>
      </c>
    </row>
    <row r="1157" customFormat="false" ht="13.5" hidden="false" customHeight="false" outlineLevel="0" collapsed="false">
      <c r="A1157" s="47" t="n">
        <v>53</v>
      </c>
      <c r="B1157" s="38" t="str">
        <f aca="false">助手收入!$B54</f>
        <v/>
      </c>
      <c r="C1157" s="48" t="str">
        <f aca="false">助手收入!$C54</f>
        <v>备用8</v>
      </c>
      <c r="D1157" s="48" t="str">
        <f aca="false">科目对照收入!$B13&amp;""</f>
        <v>银联</v>
      </c>
      <c r="E1157" s="48" t="str">
        <f aca="false">IF(AND(ROUND($G1157,2)&lt;0,科目对照收入!$L13&lt;&gt;""),科目对照收入!$L13,科目对照收入!$C13)&amp;""</f>
        <v>应收账款</v>
      </c>
      <c r="F1157" s="48" t="str">
        <f aca="false">IF(AND(ROUND($G1157,2)&lt;0,科目对照收入!$L13&lt;&gt;""),科目对照收入!$M13,科目对照收入!$D13)&amp;""</f>
        <v>银联</v>
      </c>
      <c r="G1157" s="49" t="n">
        <f aca="false">IF(COUNTIFS(输入平台!$A:$A,助手收入!$X54,输入平台!$B:$B,科目对照收入!$B13)&gt;0,ROUND(SUMIFS(输入平台!$C:$C,输入平台!$A:$A,助手收入!$X54,输入平台!$B:$B,科目对照收入!$B13),2),ROUND(海典汇总!$V$55,2))</f>
        <v>0</v>
      </c>
      <c r="H1157" s="49" t="str">
        <f aca="false">IF(ROUND($G1157,2)&gt;0,ROUND($G1157,2),"")</f>
        <v/>
      </c>
      <c r="I1157" s="49" t="str">
        <f aca="false">IF(ROUND($G1157,2)&lt;0,-ROUND($G1157,2),"")</f>
        <v/>
      </c>
      <c r="J1157" s="20" t="n">
        <f aca="false">IF(ROUND($G1157,2)=0,0,1)</f>
        <v>0</v>
      </c>
      <c r="K1157" s="20" t="str">
        <f aca="false">IF($J1157=0,"",SUM($J$1146:$J1157))</f>
        <v/>
      </c>
      <c r="L1157" s="20" t="str">
        <f aca="false">IF($K1157="","",$A1157*100+$K1157)</f>
        <v/>
      </c>
      <c r="M1157" s="48" t="str">
        <f aca="false">参数!$B$3</f>
        <v>7月收入</v>
      </c>
    </row>
    <row r="1158" customFormat="false" ht="13.5" hidden="false" customHeight="false" outlineLevel="0" collapsed="false">
      <c r="A1158" s="47" t="n">
        <v>53</v>
      </c>
      <c r="B1158" s="38" t="str">
        <f aca="false">助手收入!$B54</f>
        <v/>
      </c>
      <c r="C1158" s="48" t="str">
        <f aca="false">助手收入!$C54</f>
        <v>备用8</v>
      </c>
      <c r="D1158" s="48" t="str">
        <f aca="false">科目对照收入!$B14&amp;""</f>
        <v>小镇外卖</v>
      </c>
      <c r="E1158" s="48" t="str">
        <f aca="false">IF(AND(ROUND($G1158,2)&lt;0,科目对照收入!$L14&lt;&gt;""),科目对照收入!$L14,科目对照收入!$C14)&amp;""</f>
        <v>应收账款</v>
      </c>
      <c r="F1158" s="48" t="str">
        <f aca="false">IF(AND(ROUND($G1158,2)&lt;0,科目对照收入!$L14&lt;&gt;""),科目对照收入!$M14,科目对照收入!$D14)&amp;""</f>
        <v>小镇外卖</v>
      </c>
      <c r="G1158" s="49" t="n">
        <f aca="false">IF(COUNTIFS(输入平台!$A:$A,助手收入!$X54,输入平台!$B:$B,科目对照收入!$B14)&gt;0,ROUND(SUMIFS(输入平台!$C:$C,输入平台!$A:$A,助手收入!$X54,输入平台!$B:$B,科目对照收入!$B14),2),ROUND(海典汇总!$AC$55,2))</f>
        <v>0</v>
      </c>
      <c r="H1158" s="49" t="str">
        <f aca="false">IF(ROUND($G1158,2)&gt;0,ROUND($G1158,2),"")</f>
        <v/>
      </c>
      <c r="I1158" s="49" t="str">
        <f aca="false">IF(ROUND($G1158,2)&lt;0,-ROUND($G1158,2),"")</f>
        <v/>
      </c>
      <c r="J1158" s="20" t="n">
        <f aca="false">IF(ROUND($G1158,2)=0,0,1)</f>
        <v>0</v>
      </c>
      <c r="K1158" s="20" t="str">
        <f aca="false">IF($J1158=0,"",SUM($J$1146:$J1158))</f>
        <v/>
      </c>
      <c r="L1158" s="20" t="str">
        <f aca="false">IF($K1158="","",$A1158*100+$K1158)</f>
        <v/>
      </c>
      <c r="M1158" s="48" t="str">
        <f aca="false">参数!$B$3</f>
        <v>7月收入</v>
      </c>
    </row>
    <row r="1159" customFormat="false" ht="13.5" hidden="false" customHeight="false" outlineLevel="0" collapsed="false">
      <c r="A1159" s="47" t="n">
        <v>53</v>
      </c>
      <c r="B1159" s="38" t="str">
        <f aca="false">助手收入!$B54</f>
        <v/>
      </c>
      <c r="C1159" s="48" t="str">
        <f aca="false">助手收入!$C54</f>
        <v>备用8</v>
      </c>
      <c r="D1159" s="48" t="str">
        <f aca="false">科目对照收入!$B15&amp;""</f>
        <v>OMS线上支付</v>
      </c>
      <c r="E1159" s="48" t="str">
        <f aca="false">IF(AND(ROUND($G1159,2)&lt;0,科目对照收入!$L15&lt;&gt;""),科目对照收入!$L15,科目对照收入!$C15)&amp;""</f>
        <v>应收账款</v>
      </c>
      <c r="F1159" s="48" t="str">
        <f aca="false">IF(AND(ROUND($G1159,2)&lt;0,科目对照收入!$L15&lt;&gt;""),科目对照收入!$M15,科目对照收入!$D15)&amp;""</f>
        <v>OMS线上</v>
      </c>
      <c r="G1159" s="49" t="n">
        <f aca="false">IF(COUNTIFS(输入平台!$A:$A,助手收入!$X54,输入平台!$B:$B,科目对照收入!$B15)&gt;0,ROUND(SUMIFS(输入平台!$C:$C,输入平台!$A:$A,助手收入!$X54,输入平台!$B:$B,科目对照收入!$B15),2),ROUND(海典汇总!$L$55,2))</f>
        <v>0</v>
      </c>
      <c r="H1159" s="49" t="str">
        <f aca="false">IF(ROUND($G1159,2)&gt;0,ROUND($G1159,2),"")</f>
        <v/>
      </c>
      <c r="I1159" s="49" t="str">
        <f aca="false">IF(ROUND($G1159,2)&lt;0,-ROUND($G1159,2),"")</f>
        <v/>
      </c>
      <c r="J1159" s="20" t="n">
        <f aca="false">IF(ROUND($G1159,2)=0,0,1)</f>
        <v>0</v>
      </c>
      <c r="K1159" s="20" t="str">
        <f aca="false">IF($J1159=0,"",SUM($J$1146:$J1159))</f>
        <v/>
      </c>
      <c r="L1159" s="20" t="str">
        <f aca="false">IF($K1159="","",$A1159*100+$K1159)</f>
        <v/>
      </c>
      <c r="M1159" s="48" t="str">
        <f aca="false">参数!$B$3</f>
        <v>7月收入</v>
      </c>
    </row>
    <row r="1160" customFormat="false" ht="13.5" hidden="false" customHeight="false" outlineLevel="0" collapsed="false">
      <c r="A1160" s="47" t="n">
        <v>53</v>
      </c>
      <c r="B1160" s="38" t="str">
        <f aca="false">助手收入!$B54</f>
        <v/>
      </c>
      <c r="C1160" s="48" t="str">
        <f aca="false">助手收入!$C54</f>
        <v>备用8</v>
      </c>
      <c r="D1160" s="48" t="str">
        <f aca="false">科目对照收入!$B16&amp;""</f>
        <v>平安药卡</v>
      </c>
      <c r="E1160" s="48" t="str">
        <f aca="false">IF(AND(ROUND($G1160,2)&lt;0,科目对照收入!$L16&lt;&gt;""),科目对照收入!$L16,科目对照收入!$C16)&amp;""</f>
        <v>应收账款</v>
      </c>
      <c r="F1160" s="48" t="str">
        <f aca="false">IF(AND(ROUND($G1160,2)&lt;0,科目对照收入!$L16&lt;&gt;""),科目对照收入!$M16,科目对照收入!$D16)&amp;""</f>
        <v>平安</v>
      </c>
      <c r="G1160" s="49" t="n">
        <f aca="false">IF(COUNTIFS(输入平台!$A:$A,助手收入!$X54,输入平台!$B:$B,科目对照收入!$B16)&gt;0,ROUND(SUMIFS(输入平台!$C:$C,输入平台!$A:$A,助手收入!$X54,输入平台!$B:$B,科目对照收入!$B16),2),ROUND(海典汇总!$AB$55,2))</f>
        <v>0</v>
      </c>
      <c r="H1160" s="49" t="str">
        <f aca="false">IF(ROUND($G1160,2)&gt;0,ROUND($G1160,2),"")</f>
        <v/>
      </c>
      <c r="I1160" s="49" t="str">
        <f aca="false">IF(ROUND($G1160,2)&lt;0,-ROUND($G1160,2),"")</f>
        <v/>
      </c>
      <c r="J1160" s="20" t="n">
        <f aca="false">IF(ROUND($G1160,2)=0,0,1)</f>
        <v>0</v>
      </c>
      <c r="K1160" s="20" t="str">
        <f aca="false">IF($J1160=0,"",SUM($J$1146:$J1160))</f>
        <v/>
      </c>
      <c r="L1160" s="20" t="str">
        <f aca="false">IF($K1160="","",$A1160*100+$K1160)</f>
        <v/>
      </c>
      <c r="M1160" s="48" t="str">
        <f aca="false">参数!$B$3</f>
        <v>7月收入</v>
      </c>
    </row>
    <row r="1161" customFormat="false" ht="13.5" hidden="false" customHeight="false" outlineLevel="0" collapsed="false">
      <c r="A1161" s="47" t="n">
        <v>53</v>
      </c>
      <c r="B1161" s="38" t="str">
        <f aca="false">助手收入!$B54</f>
        <v/>
      </c>
      <c r="C1161" s="48" t="str">
        <f aca="false">助手收入!$C54</f>
        <v>备用8</v>
      </c>
      <c r="D1161" s="48" t="str">
        <f aca="false">科目对照收入!$B17&amp;""</f>
        <v>储值卡</v>
      </c>
      <c r="E1161" s="48" t="str">
        <f aca="false">IF(AND(ROUND($G1161,2)&lt;0,科目对照收入!$L17&lt;&gt;""),科目对照收入!$L17,科目对照收入!$C17)&amp;""</f>
        <v>其他应收款</v>
      </c>
      <c r="F1161" s="48" t="str">
        <f aca="false">IF(AND(ROUND($G1161,2)&lt;0,科目对照收入!$L17&lt;&gt;""),科目对照收入!$M17,科目对照收入!$D17)&amp;""</f>
        <v>储值卡</v>
      </c>
      <c r="G1161" s="49" t="n">
        <f aca="false">ROUND(海典汇总!$Q$55,2)</f>
        <v>0</v>
      </c>
      <c r="H1161" s="49" t="str">
        <f aca="false">IF(ROUND($G1161,2)&gt;0,ROUND($G1161,2),"")</f>
        <v/>
      </c>
      <c r="I1161" s="49" t="str">
        <f aca="false">IF(ROUND($G1161,2)&lt;0,-ROUND($G1161,2),"")</f>
        <v/>
      </c>
      <c r="J1161" s="20" t="n">
        <f aca="false">IF(ROUND($G1161,2)=0,0,1)</f>
        <v>0</v>
      </c>
      <c r="K1161" s="20" t="str">
        <f aca="false">IF($J1161=0,"",SUM($J$1146:$J1161))</f>
        <v/>
      </c>
      <c r="L1161" s="20" t="str">
        <f aca="false">IF($K1161="","",$A1161*100+$K1161)</f>
        <v/>
      </c>
      <c r="M1161" s="48" t="str">
        <f aca="false">参数!$B$3</f>
        <v>7月收入</v>
      </c>
    </row>
    <row r="1162" customFormat="false" ht="13.5" hidden="false" customHeight="false" outlineLevel="0" collapsed="false">
      <c r="A1162" s="47" t="n">
        <v>53</v>
      </c>
      <c r="B1162" s="38" t="str">
        <f aca="false">助手收入!$B54</f>
        <v/>
      </c>
      <c r="C1162" s="48" t="str">
        <f aca="false">助手收入!$C54</f>
        <v>备用8</v>
      </c>
      <c r="D1162" s="48" t="str">
        <f aca="false">科目对照收入!$B18&amp;""</f>
        <v>会员零钱包</v>
      </c>
      <c r="E1162" s="48" t="str">
        <f aca="false">IF(AND(ROUND($G1162,2)&lt;0,科目对照收入!$L18&lt;&gt;""),科目对照收入!$L18,科目对照收入!$C18)&amp;""</f>
        <v>其他应收款</v>
      </c>
      <c r="F1162" s="48" t="str">
        <f aca="false">IF(AND(ROUND($G1162,2)&lt;0,科目对照收入!$L18&lt;&gt;""),科目对照收入!$M18,科目对照收入!$D18)&amp;""</f>
        <v>会员零钱包</v>
      </c>
      <c r="G1162" s="49" t="n">
        <f aca="false">ROUND(海典汇总!$P$55,2)</f>
        <v>0</v>
      </c>
      <c r="H1162" s="49" t="str">
        <f aca="false">IF(ROUND($G1162,2)&gt;0,ROUND($G1162,2),"")</f>
        <v/>
      </c>
      <c r="I1162" s="49" t="str">
        <f aca="false">IF(ROUND($G1162,2)&lt;0,-ROUND($G1162,2),"")</f>
        <v/>
      </c>
      <c r="J1162" s="20" t="n">
        <f aca="false">IF(ROUND($G1162,2)=0,0,1)</f>
        <v>0</v>
      </c>
      <c r="K1162" s="20" t="str">
        <f aca="false">IF($J1162=0,"",SUM($J$1146:$J1162))</f>
        <v/>
      </c>
      <c r="L1162" s="20" t="str">
        <f aca="false">IF($K1162="","",$A1162*100+$K1162)</f>
        <v/>
      </c>
      <c r="M1162" s="48" t="str">
        <f aca="false">参数!$B$3</f>
        <v>7月收入</v>
      </c>
    </row>
    <row r="1163" customFormat="false" ht="13.5" hidden="false" customHeight="false" outlineLevel="0" collapsed="false">
      <c r="A1163" s="47" t="n">
        <v>53</v>
      </c>
      <c r="B1163" s="38" t="str">
        <f aca="false">助手收入!$B54</f>
        <v/>
      </c>
      <c r="C1163" s="48" t="str">
        <f aca="false">助手收入!$C54</f>
        <v>备用8</v>
      </c>
      <c r="D1163" s="48" t="str">
        <f aca="false">科目对照收入!$B19&amp;""</f>
        <v>促销费</v>
      </c>
      <c r="E1163" s="48" t="str">
        <f aca="false">IF(AND(ROUND($G1163,2)&lt;0,科目对照收入!$L19&lt;&gt;""),科目对照收入!$L19,科目对照收入!$C19)&amp;""</f>
        <v>销售费用</v>
      </c>
      <c r="F1163" s="48" t="str">
        <f aca="false">IF(AND(ROUND($G1163,2)&lt;0,科目对照收入!$L19&lt;&gt;""),科目对照收入!$M19,科目对照收入!$D19)&amp;""</f>
        <v>促销费</v>
      </c>
      <c r="G1163" s="49" t="n">
        <f aca="false">ROUND(海典汇总!$U$55+海典汇总!$T$55+海典汇总!$S$55,2)</f>
        <v>0</v>
      </c>
      <c r="H1163" s="49" t="str">
        <f aca="false">IF(ROUND($G1163,2)&gt;0,ROUND($G1163,2),"")</f>
        <v/>
      </c>
      <c r="I1163" s="49" t="str">
        <f aca="false">IF(ROUND($G1163,2)&lt;0,-ROUND($G1163,2),"")</f>
        <v/>
      </c>
      <c r="J1163" s="20" t="n">
        <f aca="false">IF(ROUND($G1163,2)=0,0,1)</f>
        <v>0</v>
      </c>
      <c r="K1163" s="20" t="str">
        <f aca="false">IF($J1163=0,"",SUM($J$1146:$J1163))</f>
        <v/>
      </c>
      <c r="L1163" s="20" t="str">
        <f aca="false">IF($K1163="","",$A1163*100+$K1163)</f>
        <v/>
      </c>
      <c r="M1163" s="48" t="str">
        <f aca="false">参数!$B$3</f>
        <v>7月收入</v>
      </c>
    </row>
    <row r="1164" customFormat="false" ht="13.5" hidden="false" customHeight="false" outlineLevel="0" collapsed="false">
      <c r="A1164" s="47" t="n">
        <v>53</v>
      </c>
      <c r="B1164" s="38" t="str">
        <f aca="false">助手收入!$B54</f>
        <v/>
      </c>
      <c r="C1164" s="48" t="str">
        <f aca="false">助手收入!$C54</f>
        <v>备用8</v>
      </c>
      <c r="D1164" s="48" t="str">
        <f aca="false">科目对照收入!$B20&amp;""</f>
        <v>积分</v>
      </c>
      <c r="E1164" s="48" t="str">
        <f aca="false">IF(AND(ROUND($G1164,2)&lt;0,科目对照收入!$L20&lt;&gt;""),科目对照收入!$L20,科目对照收入!$C20)&amp;""</f>
        <v>销售费用</v>
      </c>
      <c r="F1164" s="48" t="str">
        <f aca="false">IF(AND(ROUND($G1164,2)&lt;0,科目对照收入!$L20&lt;&gt;""),科目对照收入!$M20,科目对照收入!$D20)&amp;""</f>
        <v>积分</v>
      </c>
      <c r="G1164" s="49" t="n">
        <f aca="false">ROUND(海典汇总!$R$55,2)</f>
        <v>0</v>
      </c>
      <c r="H1164" s="49" t="str">
        <f aca="false">IF(ROUND($G1164,2)&gt;0,ROUND($G1164,2),"")</f>
        <v/>
      </c>
      <c r="I1164" s="49" t="str">
        <f aca="false">IF(ROUND($G1164,2)&lt;0,-ROUND($G1164,2),"")</f>
        <v/>
      </c>
      <c r="J1164" s="20" t="n">
        <f aca="false">IF(ROUND($G1164,2)=0,0,1)</f>
        <v>0</v>
      </c>
      <c r="K1164" s="20" t="str">
        <f aca="false">IF($J1164=0,"",SUM($J$1146:$J1164))</f>
        <v/>
      </c>
      <c r="L1164" s="20" t="str">
        <f aca="false">IF($K1164="","",$A1164*100+$K1164)</f>
        <v/>
      </c>
      <c r="M1164" s="48" t="str">
        <f aca="false">参数!$B$3</f>
        <v>7月收入</v>
      </c>
    </row>
    <row r="1165" customFormat="false" ht="13.5" hidden="false" customHeight="false" outlineLevel="0" collapsed="false">
      <c r="A1165" s="47" t="n">
        <v>53</v>
      </c>
      <c r="B1165" s="38" t="str">
        <f aca="false">助手收入!$B54</f>
        <v/>
      </c>
      <c r="C1165" s="48" t="str">
        <f aca="false">助手收入!$C54</f>
        <v>备用8</v>
      </c>
      <c r="D1165" s="48" t="str">
        <f aca="false">科目对照收入!$B21&amp;""</f>
        <v>手续费</v>
      </c>
      <c r="E1165" s="48" t="str">
        <f aca="false">IF(AND(ROUND($G1165,2)&lt;0,科目对照收入!$L21&lt;&gt;""),科目对照收入!$L21,科目对照收入!$C21)&amp;""</f>
        <v>财务费用</v>
      </c>
      <c r="F1165" s="48" t="str">
        <f aca="false">IF(AND(ROUND($G1165,2)&lt;0,科目对照收入!$L21&lt;&gt;""),科目对照收入!$M21,科目对照收入!$D21)&amp;""</f>
        <v>手续费</v>
      </c>
      <c r="G1165" s="49" t="n">
        <f aca="false">ROUND(SUMIFS(输入聚合!$D:$D,输入聚合!$A:$A,助手收入!$X54),2)</f>
        <v>0</v>
      </c>
      <c r="H1165" s="49" t="str">
        <f aca="false">IF(ROUND($G1165,2)&gt;0,ROUND($G1165,2),"")</f>
        <v/>
      </c>
      <c r="I1165" s="49" t="str">
        <f aca="false">IF(ROUND($G1165,2)&lt;0,-ROUND($G1165,2),"")</f>
        <v/>
      </c>
      <c r="J1165" s="20" t="n">
        <f aca="false">IF(ROUND($G1165,2)=0,0,1)</f>
        <v>0</v>
      </c>
      <c r="K1165" s="20" t="str">
        <f aca="false">IF($J1165=0,"",SUM($J$1146:$J1165))</f>
        <v/>
      </c>
      <c r="L1165" s="20" t="str">
        <f aca="false">IF($K1165="","",$A1165*100+$K1165)</f>
        <v/>
      </c>
      <c r="M1165" s="48" t="str">
        <f aca="false">参数!$B$3</f>
        <v>7月收入</v>
      </c>
    </row>
    <row r="1166" customFormat="false" ht="13.5" hidden="false" customHeight="false" outlineLevel="0" collapsed="false">
      <c r="A1166" s="47" t="n">
        <v>53</v>
      </c>
      <c r="B1166" s="38" t="str">
        <f aca="false">助手收入!$B54</f>
        <v/>
      </c>
      <c r="C1166" s="48" t="str">
        <f aca="false">助手收入!$C54</f>
        <v>备用8</v>
      </c>
      <c r="D1166" s="48" t="str">
        <f aca="false">科目对照收入!$B22&amp;""</f>
        <v>主营业务收入</v>
      </c>
      <c r="E1166" s="48" t="str">
        <f aca="false">IF(AND(ROUND($G1166,2)&lt;0,科目对照收入!$L22&lt;&gt;""),科目对照收入!$L22,科目对照收入!$C22)&amp;""</f>
        <v>主营业务收入</v>
      </c>
      <c r="F1166" s="48" t="str">
        <f aca="false">IF(AND(ROUND($G1166,2)&lt;0,科目对照收入!$L22&lt;&gt;""),科目对照收入!$M22,科目对照收入!$D22)&amp;""</f>
        <v/>
      </c>
      <c r="G1166" s="49" t="n">
        <f aca="false">-ROUND(助手收入!$G54,2)</f>
        <v>-0</v>
      </c>
      <c r="H1166" s="49" t="str">
        <f aca="false">IF(ROUND($G1166,2)&gt;0,ROUND($G1166,2),"")</f>
        <v/>
      </c>
      <c r="I1166" s="49" t="str">
        <f aca="false">IF(ROUND($G1166,2)&lt;0,-ROUND($G1166,2),"")</f>
        <v/>
      </c>
      <c r="J1166" s="20" t="n">
        <f aca="false">IF(ROUND($G1166,2)=0,0,1)</f>
        <v>0</v>
      </c>
      <c r="K1166" s="20" t="str">
        <f aca="false">IF($J1166=0,"",SUM($J$1146:$J1166))</f>
        <v/>
      </c>
      <c r="L1166" s="20" t="str">
        <f aca="false">IF($K1166="","",$A1166*100+$K1166)</f>
        <v/>
      </c>
      <c r="M1166" s="48" t="str">
        <f aca="false">参数!$B$3</f>
        <v>7月收入</v>
      </c>
    </row>
    <row r="1167" customFormat="false" ht="13.5" hidden="false" customHeight="false" outlineLevel="0" collapsed="false">
      <c r="A1167" s="47" t="n">
        <v>53</v>
      </c>
      <c r="B1167" s="38" t="str">
        <f aca="false">助手收入!$B54</f>
        <v/>
      </c>
      <c r="C1167" s="48" t="str">
        <f aca="false">助手收入!$C54</f>
        <v>备用8</v>
      </c>
      <c r="D1167" s="48" t="str">
        <f aca="false">科目对照收入!$B23&amp;""</f>
        <v>营业外收入</v>
      </c>
      <c r="E1167" s="48" t="str">
        <f aca="false">IF(AND(ROUND($G1167,2)&lt;0,科目对照收入!$L23&lt;&gt;""),科目对照收入!$L23,科目对照收入!$C23)&amp;""</f>
        <v>营业外收入</v>
      </c>
      <c r="F1167" s="48" t="str">
        <f aca="false">IF(AND(ROUND($G1167,2)&lt;0,科目对照收入!$L23&lt;&gt;""),科目对照收入!$M23,科目对照收入!$D23)&amp;""</f>
        <v/>
      </c>
      <c r="G1167" s="49" t="n">
        <f aca="false">-ROUND(助手收入!$J54,2)</f>
        <v>-0</v>
      </c>
      <c r="H1167" s="49" t="str">
        <f aca="false">IF(ROUND($G1167,2)&gt;0,ROUND($G1167,2),"")</f>
        <v/>
      </c>
      <c r="I1167" s="49" t="str">
        <f aca="false">IF(ROUND($G1167,2)&lt;0,-ROUND($G1167,2),"")</f>
        <v/>
      </c>
      <c r="J1167" s="20" t="n">
        <f aca="false">IF(ROUND($G1167,2)=0,0,1)</f>
        <v>0</v>
      </c>
      <c r="K1167" s="20" t="str">
        <f aca="false">IF($J1167=0,"",SUM($J$1146:$J1167))</f>
        <v/>
      </c>
      <c r="L1167" s="20" t="str">
        <f aca="false">IF($K1167="","",$A1167*100+$K1167)</f>
        <v/>
      </c>
      <c r="M1167" s="48" t="str">
        <f aca="false">参数!$B$3</f>
        <v>7月收入</v>
      </c>
    </row>
    <row r="1168" customFormat="false" ht="13.5" hidden="false" customHeight="false" outlineLevel="0" collapsed="false">
      <c r="A1168" s="47" t="n">
        <v>54</v>
      </c>
      <c r="B1168" s="38" t="str">
        <f aca="false">助手收入!$B55</f>
        <v/>
      </c>
      <c r="C1168" s="48" t="str">
        <f aca="false">助手收入!$C55</f>
        <v>备用9</v>
      </c>
      <c r="D1168" s="48" t="str">
        <f aca="false">科目对照收入!$B2&amp;""</f>
        <v>库存现金</v>
      </c>
      <c r="E1168" s="48" t="str">
        <f aca="false">IF(AND(ROUND($G1168,2)&lt;0,科目对照收入!$L2&lt;&gt;""),科目对照收入!$L2,科目对照收入!$C2)&amp;""</f>
        <v>库存现金</v>
      </c>
      <c r="F1168" s="48" t="str">
        <f aca="false">IF(AND(ROUND($G1168,2)&lt;0,科目对照收入!$L2&lt;&gt;""),科目对照收入!$M2,科目对照收入!$D2)&amp;""</f>
        <v/>
      </c>
      <c r="G1168" s="49" t="n">
        <f aca="false">助手收入!$I55</f>
        <v>0</v>
      </c>
      <c r="H1168" s="49" t="str">
        <f aca="false">IF(ROUND($G1168,2)&gt;0,ROUND($G1168,2),"")</f>
        <v/>
      </c>
      <c r="I1168" s="49" t="str">
        <f aca="false">IF(ROUND($G1168,2)&lt;0,-ROUND($G1168,2),"")</f>
        <v/>
      </c>
      <c r="J1168" s="20" t="n">
        <f aca="false">IF(ROUND($G1168,2)=0,0,1)</f>
        <v>0</v>
      </c>
      <c r="K1168" s="20" t="str">
        <f aca="false">IF($J1168=0,"",SUM($J$1168:$J1168))</f>
        <v/>
      </c>
      <c r="L1168" s="20" t="str">
        <f aca="false">IF($K1168="","",$A1168*100+$K1168)</f>
        <v/>
      </c>
      <c r="M1168" s="48" t="str">
        <f aca="false">参数!$B$3</f>
        <v>7月收入</v>
      </c>
    </row>
    <row r="1169" customFormat="false" ht="13.5" hidden="false" customHeight="false" outlineLevel="0" collapsed="false">
      <c r="A1169" s="47" t="n">
        <v>54</v>
      </c>
      <c r="B1169" s="38" t="str">
        <f aca="false">助手收入!$B55</f>
        <v/>
      </c>
      <c r="C1169" s="48" t="str">
        <f aca="false">助手收入!$C55</f>
        <v>备用9</v>
      </c>
      <c r="D1169" s="48" t="str">
        <f aca="false">科目对照收入!$B3&amp;""</f>
        <v>聚合支付</v>
      </c>
      <c r="E1169" s="48" t="str">
        <f aca="false">IF(AND(ROUND($G1169,2)&lt;0,科目对照收入!$L3&lt;&gt;""),科目对照收入!$L3,科目对照收入!$C3)&amp;""</f>
        <v>应收账款</v>
      </c>
      <c r="F1169" s="48" t="str">
        <f aca="false">IF(AND(ROUND($G1169,2)&lt;0,科目对照收入!$L3&lt;&gt;""),科目对照收入!$M3,科目对照收入!$D3)&amp;""</f>
        <v>聚合支付</v>
      </c>
      <c r="G1169" s="49" t="n">
        <f aca="false">ROUND(SUMIFS(输入聚合!$C:$C,输入聚合!$A:$A,助手收入!$X55)-SUMIFS(输入聚合!$D:$D,输入聚合!$A:$A,助手收入!$X55),2)</f>
        <v>0</v>
      </c>
      <c r="H1169" s="49" t="str">
        <f aca="false">IF(ROUND($G1169,2)&gt;0,ROUND($G1169,2),"")</f>
        <v/>
      </c>
      <c r="I1169" s="49" t="str">
        <f aca="false">IF(ROUND($G1169,2)&lt;0,-ROUND($G1169,2),"")</f>
        <v/>
      </c>
      <c r="J1169" s="20" t="n">
        <f aca="false">IF(ROUND($G1169,2)=0,0,1)</f>
        <v>0</v>
      </c>
      <c r="K1169" s="20" t="str">
        <f aca="false">IF($J1169=0,"",SUM($J$1168:$J1169))</f>
        <v/>
      </c>
      <c r="L1169" s="20" t="str">
        <f aca="false">IF($K1169="","",$A1169*100+$K1169)</f>
        <v/>
      </c>
      <c r="M1169" s="48" t="str">
        <f aca="false">参数!$B$3</f>
        <v>7月收入</v>
      </c>
    </row>
    <row r="1170" customFormat="false" ht="13.5" hidden="false" customHeight="false" outlineLevel="0" collapsed="false">
      <c r="A1170" s="47" t="n">
        <v>54</v>
      </c>
      <c r="B1170" s="38" t="str">
        <f aca="false">助手收入!$B55</f>
        <v/>
      </c>
      <c r="C1170" s="48" t="str">
        <f aca="false">助手收入!$C55</f>
        <v>备用9</v>
      </c>
      <c r="D1170" s="48" t="str">
        <f aca="false">科目对照收入!$B4&amp;""</f>
        <v>医保</v>
      </c>
      <c r="E1170" s="48" t="str">
        <f aca="false">IF(AND(ROUND($G1170,2)&lt;0,科目对照收入!$L4&lt;&gt;""),科目对照收入!$L4,科目对照收入!$C4)&amp;""</f>
        <v>应收账款</v>
      </c>
      <c r="F1170" s="48" t="str">
        <f aca="false">IF(AND(ROUND($G1170,2)&lt;0,科目对照收入!$L4&lt;&gt;""),科目对照收入!$M4,科目对照收入!$D4)&amp;""</f>
        <v>医保</v>
      </c>
      <c r="G1170" s="49" t="n">
        <f aca="false">IF(COUNTIFS(输入平台!$A:$A,助手收入!$X55,输入平台!$B:$B,科目对照收入!$B4)&gt;0,ROUND(SUMIFS(输入平台!$C:$C,输入平台!$A:$A,助手收入!$X55,输入平台!$B:$B,科目对照收入!$B4),2),ROUND(海典汇总!$F$56+海典汇总!$G$56,2))</f>
        <v>0</v>
      </c>
      <c r="H1170" s="49" t="str">
        <f aca="false">IF(ROUND($G1170,2)&gt;0,ROUND($G1170,2),"")</f>
        <v/>
      </c>
      <c r="I1170" s="49" t="str">
        <f aca="false">IF(ROUND($G1170,2)&lt;0,-ROUND($G1170,2),"")</f>
        <v/>
      </c>
      <c r="J1170" s="20" t="n">
        <f aca="false">IF(ROUND($G1170,2)=0,0,1)</f>
        <v>0</v>
      </c>
      <c r="K1170" s="20" t="str">
        <f aca="false">IF($J1170=0,"",SUM($J$1168:$J1170))</f>
        <v/>
      </c>
      <c r="L1170" s="20" t="str">
        <f aca="false">IF($K1170="","",$A1170*100+$K1170)</f>
        <v/>
      </c>
      <c r="M1170" s="48" t="str">
        <f aca="false">参数!$B$3</f>
        <v>7月收入</v>
      </c>
    </row>
    <row r="1171" customFormat="false" ht="13.5" hidden="false" customHeight="false" outlineLevel="0" collapsed="false">
      <c r="A1171" s="47" t="n">
        <v>54</v>
      </c>
      <c r="B1171" s="38" t="str">
        <f aca="false">助手收入!$B55</f>
        <v/>
      </c>
      <c r="C1171" s="48" t="str">
        <f aca="false">助手收入!$C55</f>
        <v>备用9</v>
      </c>
      <c r="D1171" s="48" t="str">
        <f aca="false">科目对照收入!$B5&amp;""</f>
        <v>健e卡</v>
      </c>
      <c r="E1171" s="48" t="str">
        <f aca="false">IF(AND(ROUND($G1171,2)&lt;0,科目对照收入!$L5&lt;&gt;""),科目对照收入!$L5,科目对照收入!$C5)&amp;""</f>
        <v>应收账款</v>
      </c>
      <c r="F1171" s="48" t="str">
        <f aca="false">IF(AND(ROUND($G1171,2)&lt;0,科目对照收入!$L5&lt;&gt;""),科目对照收入!$M5,科目对照收入!$D5)&amp;""</f>
        <v>健e卡</v>
      </c>
      <c r="G1171" s="49" t="n">
        <f aca="false">IF(COUNTIFS(输入平台!$A:$A,助手收入!$X55,输入平台!$B:$B,科目对照收入!$B5)&gt;0,ROUND(SUMIFS(输入平台!$C:$C,输入平台!$A:$A,助手收入!$X55,输入平台!$B:$B,科目对照收入!$B5),2),ROUND(海典汇总!$H$56,2))</f>
        <v>0</v>
      </c>
      <c r="H1171" s="49" t="str">
        <f aca="false">IF(ROUND($G1171,2)&gt;0,ROUND($G1171,2),"")</f>
        <v/>
      </c>
      <c r="I1171" s="49" t="str">
        <f aca="false">IF(ROUND($G1171,2)&lt;0,-ROUND($G1171,2),"")</f>
        <v/>
      </c>
      <c r="J1171" s="20" t="n">
        <f aca="false">IF(ROUND($G1171,2)=0,0,1)</f>
        <v>0</v>
      </c>
      <c r="K1171" s="20" t="str">
        <f aca="false">IF($J1171=0,"",SUM($J$1168:$J1171))</f>
        <v/>
      </c>
      <c r="L1171" s="20" t="str">
        <f aca="false">IF($K1171="","",$A1171*100+$K1171)</f>
        <v/>
      </c>
      <c r="M1171" s="48" t="str">
        <f aca="false">参数!$B$3</f>
        <v>7月收入</v>
      </c>
    </row>
    <row r="1172" customFormat="false" ht="13.5" hidden="false" customHeight="false" outlineLevel="0" collapsed="false">
      <c r="A1172" s="47" t="n">
        <v>54</v>
      </c>
      <c r="B1172" s="38" t="str">
        <f aca="false">助手收入!$B55</f>
        <v/>
      </c>
      <c r="C1172" s="48" t="str">
        <f aca="false">助手收入!$C55</f>
        <v>备用9</v>
      </c>
      <c r="D1172" s="48" t="str">
        <f aca="false">科目对照收入!$B6&amp;""</f>
        <v>医卡通</v>
      </c>
      <c r="E1172" s="48" t="str">
        <f aca="false">IF(AND(ROUND($G1172,2)&lt;0,科目对照收入!$L6&lt;&gt;""),科目对照收入!$L6,科目对照收入!$C6)&amp;""</f>
        <v>应收账款</v>
      </c>
      <c r="F1172" s="48" t="str">
        <f aca="false">IF(AND(ROUND($G1172,2)&lt;0,科目对照收入!$L6&lt;&gt;""),科目对照收入!$M6,科目对照收入!$D6)&amp;""</f>
        <v>医卡通</v>
      </c>
      <c r="G1172" s="49" t="n">
        <f aca="false">IF(COUNTIFS(输入平台!$A:$A,助手收入!$X55,输入平台!$B:$B,科目对照收入!$B6)&gt;0,ROUND(SUMIFS(输入平台!$C:$C,输入平台!$A:$A,助手收入!$X55,输入平台!$B:$B,科目对照收入!$B6),2),ROUND(海典汇总!$I$56,2))</f>
        <v>0</v>
      </c>
      <c r="H1172" s="49" t="str">
        <f aca="false">IF(ROUND($G1172,2)&gt;0,ROUND($G1172,2),"")</f>
        <v/>
      </c>
      <c r="I1172" s="49" t="str">
        <f aca="false">IF(ROUND($G1172,2)&lt;0,-ROUND($G1172,2),"")</f>
        <v/>
      </c>
      <c r="J1172" s="20" t="n">
        <f aca="false">IF(ROUND($G1172,2)=0,0,1)</f>
        <v>0</v>
      </c>
      <c r="K1172" s="20" t="str">
        <f aca="false">IF($J1172=0,"",SUM($J$1168:$J1172))</f>
        <v/>
      </c>
      <c r="L1172" s="20" t="str">
        <f aca="false">IF($K1172="","",$A1172*100+$K1172)</f>
        <v/>
      </c>
      <c r="M1172" s="48" t="str">
        <f aca="false">参数!$B$3</f>
        <v>7月收入</v>
      </c>
    </row>
    <row r="1173" customFormat="false" ht="13.5" hidden="false" customHeight="false" outlineLevel="0" collapsed="false">
      <c r="A1173" s="47" t="n">
        <v>54</v>
      </c>
      <c r="B1173" s="38" t="str">
        <f aca="false">助手收入!$B55</f>
        <v/>
      </c>
      <c r="C1173" s="48" t="str">
        <f aca="false">助手收入!$C55</f>
        <v>备用9</v>
      </c>
      <c r="D1173" s="48" t="str">
        <f aca="false">科目对照收入!$B7&amp;""</f>
        <v>企健网</v>
      </c>
      <c r="E1173" s="48" t="str">
        <f aca="false">IF(AND(ROUND($G1173,2)&lt;0,科目对照收入!$L7&lt;&gt;""),科目对照收入!$L7,科目对照收入!$C7)&amp;""</f>
        <v>应收账款</v>
      </c>
      <c r="F1173" s="48" t="str">
        <f aca="false">IF(AND(ROUND($G1173,2)&lt;0,科目对照收入!$L7&lt;&gt;""),科目对照收入!$M7,科目对照收入!$D7)&amp;""</f>
        <v>企健网</v>
      </c>
      <c r="G1173" s="49" t="n">
        <f aca="false">IF(COUNTIFS(输入平台!$A:$A,助手收入!$X55,输入平台!$B:$B,科目对照收入!$B7)&gt;0,ROUND(SUMIFS(输入平台!$C:$C,输入平台!$A:$A,助手收入!$X55,输入平台!$B:$B,科目对照收入!$B7),2),ROUND(海典汇总!$J$56,2))</f>
        <v>0</v>
      </c>
      <c r="H1173" s="49" t="str">
        <f aca="false">IF(ROUND($G1173,2)&gt;0,ROUND($G1173,2),"")</f>
        <v/>
      </c>
      <c r="I1173" s="49" t="str">
        <f aca="false">IF(ROUND($G1173,2)&lt;0,-ROUND($G1173,2),"")</f>
        <v/>
      </c>
      <c r="J1173" s="20" t="n">
        <f aca="false">IF(ROUND($G1173,2)=0,0,1)</f>
        <v>0</v>
      </c>
      <c r="K1173" s="20" t="str">
        <f aca="false">IF($J1173=0,"",SUM($J$1168:$J1173))</f>
        <v/>
      </c>
      <c r="L1173" s="20" t="str">
        <f aca="false">IF($K1173="","",$A1173*100+$K1173)</f>
        <v/>
      </c>
      <c r="M1173" s="48" t="str">
        <f aca="false">参数!$B$3</f>
        <v>7月收入</v>
      </c>
    </row>
    <row r="1174" customFormat="false" ht="13.5" hidden="false" customHeight="false" outlineLevel="0" collapsed="false">
      <c r="A1174" s="47" t="n">
        <v>54</v>
      </c>
      <c r="B1174" s="38" t="str">
        <f aca="false">助手收入!$B55</f>
        <v/>
      </c>
      <c r="C1174" s="48" t="str">
        <f aca="false">助手收入!$C55</f>
        <v>备用9</v>
      </c>
      <c r="D1174" s="48" t="str">
        <f aca="false">科目对照收入!$B8&amp;""</f>
        <v>亲情卡</v>
      </c>
      <c r="E1174" s="48" t="str">
        <f aca="false">IF(AND(ROUND($G1174,2)&lt;0,科目对照收入!$L8&lt;&gt;""),科目对照收入!$L8,科目对照收入!$C8)&amp;""</f>
        <v>应收账款</v>
      </c>
      <c r="F1174" s="48" t="str">
        <f aca="false">IF(AND(ROUND($G1174,2)&lt;0,科目对照收入!$L8&lt;&gt;""),科目对照收入!$M8,科目对照收入!$D8)&amp;""</f>
        <v>亲情卡</v>
      </c>
      <c r="G1174" s="49" t="n">
        <f aca="false">IF(COUNTIFS(输入平台!$A:$A,助手收入!$X55,输入平台!$B:$B,科目对照收入!$B8)&gt;0,ROUND(SUMIFS(输入平台!$C:$C,输入平台!$A:$A,助手收入!$X55,输入平台!$B:$B,科目对照收入!$B8),2),ROUND(海典汇总!$Z$56,2))</f>
        <v>0</v>
      </c>
      <c r="H1174" s="49" t="str">
        <f aca="false">IF(ROUND($G1174,2)&gt;0,ROUND($G1174,2),"")</f>
        <v/>
      </c>
      <c r="I1174" s="49" t="str">
        <f aca="false">IF(ROUND($G1174,2)&lt;0,-ROUND($G1174,2),"")</f>
        <v/>
      </c>
      <c r="J1174" s="20" t="n">
        <f aca="false">IF(ROUND($G1174,2)=0,0,1)</f>
        <v>0</v>
      </c>
      <c r="K1174" s="20" t="str">
        <f aca="false">IF($J1174=0,"",SUM($J$1168:$J1174))</f>
        <v/>
      </c>
      <c r="L1174" s="20" t="str">
        <f aca="false">IF($K1174="","",$A1174*100+$K1174)</f>
        <v/>
      </c>
      <c r="M1174" s="48" t="str">
        <f aca="false">参数!$B$3</f>
        <v>7月收入</v>
      </c>
    </row>
    <row r="1175" customFormat="false" ht="13.5" hidden="false" customHeight="false" outlineLevel="0" collapsed="false">
      <c r="A1175" s="47" t="n">
        <v>54</v>
      </c>
      <c r="B1175" s="38" t="str">
        <f aca="false">助手收入!$B55</f>
        <v/>
      </c>
      <c r="C1175" s="48" t="str">
        <f aca="false">助手收入!$C55</f>
        <v>备用9</v>
      </c>
      <c r="D1175" s="48" t="str">
        <f aca="false">科目对照收入!$B9&amp;""</f>
        <v>24小时</v>
      </c>
      <c r="E1175" s="48" t="str">
        <f aca="false">IF(AND(ROUND($G1175,2)&lt;0,科目对照收入!$L9&lt;&gt;""),科目对照收入!$L9,科目对照收入!$C9)&amp;""</f>
        <v>应收账款</v>
      </c>
      <c r="F1175" s="48" t="str">
        <f aca="false">IF(AND(ROUND($G1175,2)&lt;0,科目对照收入!$L9&lt;&gt;""),科目对照收入!$M9,科目对照收入!$D9)&amp;""</f>
        <v>24小时</v>
      </c>
      <c r="G1175" s="49" t="n">
        <f aca="false">IF(COUNTIFS(输入平台!$A:$A,助手收入!$X55,输入平台!$B:$B,科目对照收入!$B9)&gt;0,ROUND(SUMIFS(输入平台!$C:$C,输入平台!$A:$A,助手收入!$X55,输入平台!$B:$B,科目对照收入!$B9),2),ROUND(海典汇总!$K$56,2))</f>
        <v>0</v>
      </c>
      <c r="H1175" s="49" t="str">
        <f aca="false">IF(ROUND($G1175,2)&gt;0,ROUND($G1175,2),"")</f>
        <v/>
      </c>
      <c r="I1175" s="49" t="str">
        <f aca="false">IF(ROUND($G1175,2)&lt;0,-ROUND($G1175,2),"")</f>
        <v/>
      </c>
      <c r="J1175" s="20" t="n">
        <f aca="false">IF(ROUND($G1175,2)=0,0,1)</f>
        <v>0</v>
      </c>
      <c r="K1175" s="20" t="str">
        <f aca="false">IF($J1175=0,"",SUM($J$1168:$J1175))</f>
        <v/>
      </c>
      <c r="L1175" s="20" t="str">
        <f aca="false">IF($K1175="","",$A1175*100+$K1175)</f>
        <v/>
      </c>
      <c r="M1175" s="48" t="str">
        <f aca="false">参数!$B$3</f>
        <v>7月收入</v>
      </c>
    </row>
    <row r="1176" customFormat="false" ht="13.5" hidden="false" customHeight="false" outlineLevel="0" collapsed="false">
      <c r="A1176" s="47" t="n">
        <v>54</v>
      </c>
      <c r="B1176" s="38" t="str">
        <f aca="false">助手收入!$B55</f>
        <v/>
      </c>
      <c r="C1176" s="48" t="str">
        <f aca="false">助手收入!$C55</f>
        <v>备用9</v>
      </c>
      <c r="D1176" s="48" t="str">
        <f aca="false">科目对照收入!$B10&amp;""</f>
        <v>美团</v>
      </c>
      <c r="E1176" s="48" t="str">
        <f aca="false">IF(AND(ROUND($G1176,2)&lt;0,科目对照收入!$L10&lt;&gt;""),科目对照收入!$L10,科目对照收入!$C10)&amp;""</f>
        <v>应收账款</v>
      </c>
      <c r="F1176" s="48" t="str">
        <f aca="false">IF(AND(ROUND($G1176,2)&lt;0,科目对照收入!$L10&lt;&gt;""),科目对照收入!$M10,科目对照收入!$D10)&amp;""</f>
        <v>美团</v>
      </c>
      <c r="G1176" s="49" t="n">
        <f aca="false">IF(COUNTIFS(输入平台!$A:$A,助手收入!$X55,输入平台!$B:$B,科目对照收入!$B10)&gt;0,ROUND(SUMIFS(输入平台!$C:$C,输入平台!$A:$A,助手收入!$X55,输入平台!$B:$B,科目对照收入!$B10),2),ROUND(海典汇总!$M$56,2))</f>
        <v>0</v>
      </c>
      <c r="H1176" s="49" t="str">
        <f aca="false">IF(ROUND($G1176,2)&gt;0,ROUND($G1176,2),"")</f>
        <v/>
      </c>
      <c r="I1176" s="49" t="str">
        <f aca="false">IF(ROUND($G1176,2)&lt;0,-ROUND($G1176,2),"")</f>
        <v/>
      </c>
      <c r="J1176" s="20" t="n">
        <f aca="false">IF(ROUND($G1176,2)=0,0,1)</f>
        <v>0</v>
      </c>
      <c r="K1176" s="20" t="str">
        <f aca="false">IF($J1176=0,"",SUM($J$1168:$J1176))</f>
        <v/>
      </c>
      <c r="L1176" s="20" t="str">
        <f aca="false">IF($K1176="","",$A1176*100+$K1176)</f>
        <v/>
      </c>
      <c r="M1176" s="48" t="str">
        <f aca="false">参数!$B$3</f>
        <v>7月收入</v>
      </c>
    </row>
    <row r="1177" customFormat="false" ht="13.5" hidden="false" customHeight="false" outlineLevel="0" collapsed="false">
      <c r="A1177" s="47" t="n">
        <v>54</v>
      </c>
      <c r="B1177" s="38" t="str">
        <f aca="false">助手收入!$B55</f>
        <v/>
      </c>
      <c r="C1177" s="48" t="str">
        <f aca="false">助手收入!$C55</f>
        <v>备用9</v>
      </c>
      <c r="D1177" s="48" t="str">
        <f aca="false">科目对照收入!$B11&amp;""</f>
        <v>饿了么</v>
      </c>
      <c r="E1177" s="48" t="str">
        <f aca="false">IF(AND(ROUND($G1177,2)&lt;0,科目对照收入!$L11&lt;&gt;""),科目对照收入!$L11,科目对照收入!$C11)&amp;""</f>
        <v>应收账款</v>
      </c>
      <c r="F1177" s="48" t="str">
        <f aca="false">IF(AND(ROUND($G1177,2)&lt;0,科目对照收入!$L11&lt;&gt;""),科目对照收入!$M11,科目对照收入!$D11)&amp;""</f>
        <v>饿了么</v>
      </c>
      <c r="G1177" s="49" t="n">
        <f aca="false">IF(COUNTIFS(输入平台!$A:$A,助手收入!$X55,输入平台!$B:$B,科目对照收入!$B11)&gt;0,ROUND(SUMIFS(输入平台!$C:$C,输入平台!$A:$A,助手收入!$X55,输入平台!$B:$B,科目对照收入!$B11),2),ROUND(海典汇总!$N$56,2))</f>
        <v>0</v>
      </c>
      <c r="H1177" s="49" t="str">
        <f aca="false">IF(ROUND($G1177,2)&gt;0,ROUND($G1177,2),"")</f>
        <v/>
      </c>
      <c r="I1177" s="49" t="str">
        <f aca="false">IF(ROUND($G1177,2)&lt;0,-ROUND($G1177,2),"")</f>
        <v/>
      </c>
      <c r="J1177" s="20" t="n">
        <f aca="false">IF(ROUND($G1177,2)=0,0,1)</f>
        <v>0</v>
      </c>
      <c r="K1177" s="20" t="str">
        <f aca="false">IF($J1177=0,"",SUM($J$1168:$J1177))</f>
        <v/>
      </c>
      <c r="L1177" s="20" t="str">
        <f aca="false">IF($K1177="","",$A1177*100+$K1177)</f>
        <v/>
      </c>
      <c r="M1177" s="48" t="str">
        <f aca="false">参数!$B$3</f>
        <v>7月收入</v>
      </c>
    </row>
    <row r="1178" customFormat="false" ht="13.5" hidden="false" customHeight="false" outlineLevel="0" collapsed="false">
      <c r="A1178" s="47" t="n">
        <v>54</v>
      </c>
      <c r="B1178" s="38" t="str">
        <f aca="false">助手收入!$B55</f>
        <v/>
      </c>
      <c r="C1178" s="48" t="str">
        <f aca="false">助手收入!$C55</f>
        <v>备用9</v>
      </c>
      <c r="D1178" s="48" t="str">
        <f aca="false">科目对照收入!$B12&amp;""</f>
        <v>京东秒送</v>
      </c>
      <c r="E1178" s="48" t="str">
        <f aca="false">IF(AND(ROUND($G1178,2)&lt;0,科目对照收入!$L12&lt;&gt;""),科目对照收入!$L12,科目对照收入!$C12)&amp;""</f>
        <v>应收账款</v>
      </c>
      <c r="F1178" s="48" t="str">
        <f aca="false">IF(AND(ROUND($G1178,2)&lt;0,科目对照收入!$L12&lt;&gt;""),科目对照收入!$M12,科目对照收入!$D12)&amp;""</f>
        <v>京东秒送</v>
      </c>
      <c r="G1178" s="49" t="n">
        <f aca="false">IF(COUNTIFS(输入平台!$A:$A,助手收入!$X55,输入平台!$B:$B,科目对照收入!$B12)&gt;0,ROUND(SUMIFS(输入平台!$C:$C,输入平台!$A:$A,助手收入!$X55,输入平台!$B:$B,科目对照收入!$B12),2),ROUND(海典汇总!$O$56,2))</f>
        <v>0</v>
      </c>
      <c r="H1178" s="49" t="str">
        <f aca="false">IF(ROUND($G1178,2)&gt;0,ROUND($G1178,2),"")</f>
        <v/>
      </c>
      <c r="I1178" s="49" t="str">
        <f aca="false">IF(ROUND($G1178,2)&lt;0,-ROUND($G1178,2),"")</f>
        <v/>
      </c>
      <c r="J1178" s="20" t="n">
        <f aca="false">IF(ROUND($G1178,2)=0,0,1)</f>
        <v>0</v>
      </c>
      <c r="K1178" s="20" t="str">
        <f aca="false">IF($J1178=0,"",SUM($J$1168:$J1178))</f>
        <v/>
      </c>
      <c r="L1178" s="20" t="str">
        <f aca="false">IF($K1178="","",$A1178*100+$K1178)</f>
        <v/>
      </c>
      <c r="M1178" s="48" t="str">
        <f aca="false">参数!$B$3</f>
        <v>7月收入</v>
      </c>
    </row>
    <row r="1179" customFormat="false" ht="13.5" hidden="false" customHeight="false" outlineLevel="0" collapsed="false">
      <c r="A1179" s="47" t="n">
        <v>54</v>
      </c>
      <c r="B1179" s="38" t="str">
        <f aca="false">助手收入!$B55</f>
        <v/>
      </c>
      <c r="C1179" s="48" t="str">
        <f aca="false">助手收入!$C55</f>
        <v>备用9</v>
      </c>
      <c r="D1179" s="48" t="str">
        <f aca="false">科目对照收入!$B13&amp;""</f>
        <v>银联</v>
      </c>
      <c r="E1179" s="48" t="str">
        <f aca="false">IF(AND(ROUND($G1179,2)&lt;0,科目对照收入!$L13&lt;&gt;""),科目对照收入!$L13,科目对照收入!$C13)&amp;""</f>
        <v>应收账款</v>
      </c>
      <c r="F1179" s="48" t="str">
        <f aca="false">IF(AND(ROUND($G1179,2)&lt;0,科目对照收入!$L13&lt;&gt;""),科目对照收入!$M13,科目对照收入!$D13)&amp;""</f>
        <v>银联</v>
      </c>
      <c r="G1179" s="49" t="n">
        <f aca="false">IF(COUNTIFS(输入平台!$A:$A,助手收入!$X55,输入平台!$B:$B,科目对照收入!$B13)&gt;0,ROUND(SUMIFS(输入平台!$C:$C,输入平台!$A:$A,助手收入!$X55,输入平台!$B:$B,科目对照收入!$B13),2),ROUND(海典汇总!$V$56,2))</f>
        <v>0</v>
      </c>
      <c r="H1179" s="49" t="str">
        <f aca="false">IF(ROUND($G1179,2)&gt;0,ROUND($G1179,2),"")</f>
        <v/>
      </c>
      <c r="I1179" s="49" t="str">
        <f aca="false">IF(ROUND($G1179,2)&lt;0,-ROUND($G1179,2),"")</f>
        <v/>
      </c>
      <c r="J1179" s="20" t="n">
        <f aca="false">IF(ROUND($G1179,2)=0,0,1)</f>
        <v>0</v>
      </c>
      <c r="K1179" s="20" t="str">
        <f aca="false">IF($J1179=0,"",SUM($J$1168:$J1179))</f>
        <v/>
      </c>
      <c r="L1179" s="20" t="str">
        <f aca="false">IF($K1179="","",$A1179*100+$K1179)</f>
        <v/>
      </c>
      <c r="M1179" s="48" t="str">
        <f aca="false">参数!$B$3</f>
        <v>7月收入</v>
      </c>
    </row>
    <row r="1180" customFormat="false" ht="13.5" hidden="false" customHeight="false" outlineLevel="0" collapsed="false">
      <c r="A1180" s="47" t="n">
        <v>54</v>
      </c>
      <c r="B1180" s="38" t="str">
        <f aca="false">助手收入!$B55</f>
        <v/>
      </c>
      <c r="C1180" s="48" t="str">
        <f aca="false">助手收入!$C55</f>
        <v>备用9</v>
      </c>
      <c r="D1180" s="48" t="str">
        <f aca="false">科目对照收入!$B14&amp;""</f>
        <v>小镇外卖</v>
      </c>
      <c r="E1180" s="48" t="str">
        <f aca="false">IF(AND(ROUND($G1180,2)&lt;0,科目对照收入!$L14&lt;&gt;""),科目对照收入!$L14,科目对照收入!$C14)&amp;""</f>
        <v>应收账款</v>
      </c>
      <c r="F1180" s="48" t="str">
        <f aca="false">IF(AND(ROUND($G1180,2)&lt;0,科目对照收入!$L14&lt;&gt;""),科目对照收入!$M14,科目对照收入!$D14)&amp;""</f>
        <v>小镇外卖</v>
      </c>
      <c r="G1180" s="49" t="n">
        <f aca="false">IF(COUNTIFS(输入平台!$A:$A,助手收入!$X55,输入平台!$B:$B,科目对照收入!$B14)&gt;0,ROUND(SUMIFS(输入平台!$C:$C,输入平台!$A:$A,助手收入!$X55,输入平台!$B:$B,科目对照收入!$B14),2),ROUND(海典汇总!$AC$56,2))</f>
        <v>0</v>
      </c>
      <c r="H1180" s="49" t="str">
        <f aca="false">IF(ROUND($G1180,2)&gt;0,ROUND($G1180,2),"")</f>
        <v/>
      </c>
      <c r="I1180" s="49" t="str">
        <f aca="false">IF(ROUND($G1180,2)&lt;0,-ROUND($G1180,2),"")</f>
        <v/>
      </c>
      <c r="J1180" s="20" t="n">
        <f aca="false">IF(ROUND($G1180,2)=0,0,1)</f>
        <v>0</v>
      </c>
      <c r="K1180" s="20" t="str">
        <f aca="false">IF($J1180=0,"",SUM($J$1168:$J1180))</f>
        <v/>
      </c>
      <c r="L1180" s="20" t="str">
        <f aca="false">IF($K1180="","",$A1180*100+$K1180)</f>
        <v/>
      </c>
      <c r="M1180" s="48" t="str">
        <f aca="false">参数!$B$3</f>
        <v>7月收入</v>
      </c>
    </row>
    <row r="1181" customFormat="false" ht="13.5" hidden="false" customHeight="false" outlineLevel="0" collapsed="false">
      <c r="A1181" s="47" t="n">
        <v>54</v>
      </c>
      <c r="B1181" s="38" t="str">
        <f aca="false">助手收入!$B55</f>
        <v/>
      </c>
      <c r="C1181" s="48" t="str">
        <f aca="false">助手收入!$C55</f>
        <v>备用9</v>
      </c>
      <c r="D1181" s="48" t="str">
        <f aca="false">科目对照收入!$B15&amp;""</f>
        <v>OMS线上支付</v>
      </c>
      <c r="E1181" s="48" t="str">
        <f aca="false">IF(AND(ROUND($G1181,2)&lt;0,科目对照收入!$L15&lt;&gt;""),科目对照收入!$L15,科目对照收入!$C15)&amp;""</f>
        <v>应收账款</v>
      </c>
      <c r="F1181" s="48" t="str">
        <f aca="false">IF(AND(ROUND($G1181,2)&lt;0,科目对照收入!$L15&lt;&gt;""),科目对照收入!$M15,科目对照收入!$D15)&amp;""</f>
        <v>OMS线上</v>
      </c>
      <c r="G1181" s="49" t="n">
        <f aca="false">IF(COUNTIFS(输入平台!$A:$A,助手收入!$X55,输入平台!$B:$B,科目对照收入!$B15)&gt;0,ROUND(SUMIFS(输入平台!$C:$C,输入平台!$A:$A,助手收入!$X55,输入平台!$B:$B,科目对照收入!$B15),2),ROUND(海典汇总!$L$56,2))</f>
        <v>0</v>
      </c>
      <c r="H1181" s="49" t="str">
        <f aca="false">IF(ROUND($G1181,2)&gt;0,ROUND($G1181,2),"")</f>
        <v/>
      </c>
      <c r="I1181" s="49" t="str">
        <f aca="false">IF(ROUND($G1181,2)&lt;0,-ROUND($G1181,2),"")</f>
        <v/>
      </c>
      <c r="J1181" s="20" t="n">
        <f aca="false">IF(ROUND($G1181,2)=0,0,1)</f>
        <v>0</v>
      </c>
      <c r="K1181" s="20" t="str">
        <f aca="false">IF($J1181=0,"",SUM($J$1168:$J1181))</f>
        <v/>
      </c>
      <c r="L1181" s="20" t="str">
        <f aca="false">IF($K1181="","",$A1181*100+$K1181)</f>
        <v/>
      </c>
      <c r="M1181" s="48" t="str">
        <f aca="false">参数!$B$3</f>
        <v>7月收入</v>
      </c>
    </row>
    <row r="1182" customFormat="false" ht="13.5" hidden="false" customHeight="false" outlineLevel="0" collapsed="false">
      <c r="A1182" s="47" t="n">
        <v>54</v>
      </c>
      <c r="B1182" s="38" t="str">
        <f aca="false">助手收入!$B55</f>
        <v/>
      </c>
      <c r="C1182" s="48" t="str">
        <f aca="false">助手收入!$C55</f>
        <v>备用9</v>
      </c>
      <c r="D1182" s="48" t="str">
        <f aca="false">科目对照收入!$B16&amp;""</f>
        <v>平安药卡</v>
      </c>
      <c r="E1182" s="48" t="str">
        <f aca="false">IF(AND(ROUND($G1182,2)&lt;0,科目对照收入!$L16&lt;&gt;""),科目对照收入!$L16,科目对照收入!$C16)&amp;""</f>
        <v>应收账款</v>
      </c>
      <c r="F1182" s="48" t="str">
        <f aca="false">IF(AND(ROUND($G1182,2)&lt;0,科目对照收入!$L16&lt;&gt;""),科目对照收入!$M16,科目对照收入!$D16)&amp;""</f>
        <v>平安</v>
      </c>
      <c r="G1182" s="49" t="n">
        <f aca="false">IF(COUNTIFS(输入平台!$A:$A,助手收入!$X55,输入平台!$B:$B,科目对照收入!$B16)&gt;0,ROUND(SUMIFS(输入平台!$C:$C,输入平台!$A:$A,助手收入!$X55,输入平台!$B:$B,科目对照收入!$B16),2),ROUND(海典汇总!$AB$56,2))</f>
        <v>0</v>
      </c>
      <c r="H1182" s="49" t="str">
        <f aca="false">IF(ROUND($G1182,2)&gt;0,ROUND($G1182,2),"")</f>
        <v/>
      </c>
      <c r="I1182" s="49" t="str">
        <f aca="false">IF(ROUND($G1182,2)&lt;0,-ROUND($G1182,2),"")</f>
        <v/>
      </c>
      <c r="J1182" s="20" t="n">
        <f aca="false">IF(ROUND($G1182,2)=0,0,1)</f>
        <v>0</v>
      </c>
      <c r="K1182" s="20" t="str">
        <f aca="false">IF($J1182=0,"",SUM($J$1168:$J1182))</f>
        <v/>
      </c>
      <c r="L1182" s="20" t="str">
        <f aca="false">IF($K1182="","",$A1182*100+$K1182)</f>
        <v/>
      </c>
      <c r="M1182" s="48" t="str">
        <f aca="false">参数!$B$3</f>
        <v>7月收入</v>
      </c>
    </row>
    <row r="1183" customFormat="false" ht="13.5" hidden="false" customHeight="false" outlineLevel="0" collapsed="false">
      <c r="A1183" s="47" t="n">
        <v>54</v>
      </c>
      <c r="B1183" s="38" t="str">
        <f aca="false">助手收入!$B55</f>
        <v/>
      </c>
      <c r="C1183" s="48" t="str">
        <f aca="false">助手收入!$C55</f>
        <v>备用9</v>
      </c>
      <c r="D1183" s="48" t="str">
        <f aca="false">科目对照收入!$B17&amp;""</f>
        <v>储值卡</v>
      </c>
      <c r="E1183" s="48" t="str">
        <f aca="false">IF(AND(ROUND($G1183,2)&lt;0,科目对照收入!$L17&lt;&gt;""),科目对照收入!$L17,科目对照收入!$C17)&amp;""</f>
        <v>其他应收款</v>
      </c>
      <c r="F1183" s="48" t="str">
        <f aca="false">IF(AND(ROUND($G1183,2)&lt;0,科目对照收入!$L17&lt;&gt;""),科目对照收入!$M17,科目对照收入!$D17)&amp;""</f>
        <v>储值卡</v>
      </c>
      <c r="G1183" s="49" t="n">
        <f aca="false">ROUND(海典汇总!$Q$56,2)</f>
        <v>0</v>
      </c>
      <c r="H1183" s="49" t="str">
        <f aca="false">IF(ROUND($G1183,2)&gt;0,ROUND($G1183,2),"")</f>
        <v/>
      </c>
      <c r="I1183" s="49" t="str">
        <f aca="false">IF(ROUND($G1183,2)&lt;0,-ROUND($G1183,2),"")</f>
        <v/>
      </c>
      <c r="J1183" s="20" t="n">
        <f aca="false">IF(ROUND($G1183,2)=0,0,1)</f>
        <v>0</v>
      </c>
      <c r="K1183" s="20" t="str">
        <f aca="false">IF($J1183=0,"",SUM($J$1168:$J1183))</f>
        <v/>
      </c>
      <c r="L1183" s="20" t="str">
        <f aca="false">IF($K1183="","",$A1183*100+$K1183)</f>
        <v/>
      </c>
      <c r="M1183" s="48" t="str">
        <f aca="false">参数!$B$3</f>
        <v>7月收入</v>
      </c>
    </row>
    <row r="1184" customFormat="false" ht="13.5" hidden="false" customHeight="false" outlineLevel="0" collapsed="false">
      <c r="A1184" s="47" t="n">
        <v>54</v>
      </c>
      <c r="B1184" s="38" t="str">
        <f aca="false">助手收入!$B55</f>
        <v/>
      </c>
      <c r="C1184" s="48" t="str">
        <f aca="false">助手收入!$C55</f>
        <v>备用9</v>
      </c>
      <c r="D1184" s="48" t="str">
        <f aca="false">科目对照收入!$B18&amp;""</f>
        <v>会员零钱包</v>
      </c>
      <c r="E1184" s="48" t="str">
        <f aca="false">IF(AND(ROUND($G1184,2)&lt;0,科目对照收入!$L18&lt;&gt;""),科目对照收入!$L18,科目对照收入!$C18)&amp;""</f>
        <v>其他应收款</v>
      </c>
      <c r="F1184" s="48" t="str">
        <f aca="false">IF(AND(ROUND($G1184,2)&lt;0,科目对照收入!$L18&lt;&gt;""),科目对照收入!$M18,科目对照收入!$D18)&amp;""</f>
        <v>会员零钱包</v>
      </c>
      <c r="G1184" s="49" t="n">
        <f aca="false">ROUND(海典汇总!$P$56,2)</f>
        <v>0</v>
      </c>
      <c r="H1184" s="49" t="str">
        <f aca="false">IF(ROUND($G1184,2)&gt;0,ROUND($G1184,2),"")</f>
        <v/>
      </c>
      <c r="I1184" s="49" t="str">
        <f aca="false">IF(ROUND($G1184,2)&lt;0,-ROUND($G1184,2),"")</f>
        <v/>
      </c>
      <c r="J1184" s="20" t="n">
        <f aca="false">IF(ROUND($G1184,2)=0,0,1)</f>
        <v>0</v>
      </c>
      <c r="K1184" s="20" t="str">
        <f aca="false">IF($J1184=0,"",SUM($J$1168:$J1184))</f>
        <v/>
      </c>
      <c r="L1184" s="20" t="str">
        <f aca="false">IF($K1184="","",$A1184*100+$K1184)</f>
        <v/>
      </c>
      <c r="M1184" s="48" t="str">
        <f aca="false">参数!$B$3</f>
        <v>7月收入</v>
      </c>
    </row>
    <row r="1185" customFormat="false" ht="13.5" hidden="false" customHeight="false" outlineLevel="0" collapsed="false">
      <c r="A1185" s="47" t="n">
        <v>54</v>
      </c>
      <c r="B1185" s="38" t="str">
        <f aca="false">助手收入!$B55</f>
        <v/>
      </c>
      <c r="C1185" s="48" t="str">
        <f aca="false">助手收入!$C55</f>
        <v>备用9</v>
      </c>
      <c r="D1185" s="48" t="str">
        <f aca="false">科目对照收入!$B19&amp;""</f>
        <v>促销费</v>
      </c>
      <c r="E1185" s="48" t="str">
        <f aca="false">IF(AND(ROUND($G1185,2)&lt;0,科目对照收入!$L19&lt;&gt;""),科目对照收入!$L19,科目对照收入!$C19)&amp;""</f>
        <v>销售费用</v>
      </c>
      <c r="F1185" s="48" t="str">
        <f aca="false">IF(AND(ROUND($G1185,2)&lt;0,科目对照收入!$L19&lt;&gt;""),科目对照收入!$M19,科目对照收入!$D19)&amp;""</f>
        <v>促销费</v>
      </c>
      <c r="G1185" s="49" t="n">
        <f aca="false">ROUND(海典汇总!$U$56+海典汇总!$T$56+海典汇总!$S$56,2)</f>
        <v>0</v>
      </c>
      <c r="H1185" s="49" t="str">
        <f aca="false">IF(ROUND($G1185,2)&gt;0,ROUND($G1185,2),"")</f>
        <v/>
      </c>
      <c r="I1185" s="49" t="str">
        <f aca="false">IF(ROUND($G1185,2)&lt;0,-ROUND($G1185,2),"")</f>
        <v/>
      </c>
      <c r="J1185" s="20" t="n">
        <f aca="false">IF(ROUND($G1185,2)=0,0,1)</f>
        <v>0</v>
      </c>
      <c r="K1185" s="20" t="str">
        <f aca="false">IF($J1185=0,"",SUM($J$1168:$J1185))</f>
        <v/>
      </c>
      <c r="L1185" s="20" t="str">
        <f aca="false">IF($K1185="","",$A1185*100+$K1185)</f>
        <v/>
      </c>
      <c r="M1185" s="48" t="str">
        <f aca="false">参数!$B$3</f>
        <v>7月收入</v>
      </c>
    </row>
    <row r="1186" customFormat="false" ht="13.5" hidden="false" customHeight="false" outlineLevel="0" collapsed="false">
      <c r="A1186" s="47" t="n">
        <v>54</v>
      </c>
      <c r="B1186" s="38" t="str">
        <f aca="false">助手收入!$B55</f>
        <v/>
      </c>
      <c r="C1186" s="48" t="str">
        <f aca="false">助手收入!$C55</f>
        <v>备用9</v>
      </c>
      <c r="D1186" s="48" t="str">
        <f aca="false">科目对照收入!$B20&amp;""</f>
        <v>积分</v>
      </c>
      <c r="E1186" s="48" t="str">
        <f aca="false">IF(AND(ROUND($G1186,2)&lt;0,科目对照收入!$L20&lt;&gt;""),科目对照收入!$L20,科目对照收入!$C20)&amp;""</f>
        <v>销售费用</v>
      </c>
      <c r="F1186" s="48" t="str">
        <f aca="false">IF(AND(ROUND($G1186,2)&lt;0,科目对照收入!$L20&lt;&gt;""),科目对照收入!$M20,科目对照收入!$D20)&amp;""</f>
        <v>积分</v>
      </c>
      <c r="G1186" s="49" t="n">
        <f aca="false">ROUND(海典汇总!$R$56,2)</f>
        <v>0</v>
      </c>
      <c r="H1186" s="49" t="str">
        <f aca="false">IF(ROUND($G1186,2)&gt;0,ROUND($G1186,2),"")</f>
        <v/>
      </c>
      <c r="I1186" s="49" t="str">
        <f aca="false">IF(ROUND($G1186,2)&lt;0,-ROUND($G1186,2),"")</f>
        <v/>
      </c>
      <c r="J1186" s="20" t="n">
        <f aca="false">IF(ROUND($G1186,2)=0,0,1)</f>
        <v>0</v>
      </c>
      <c r="K1186" s="20" t="str">
        <f aca="false">IF($J1186=0,"",SUM($J$1168:$J1186))</f>
        <v/>
      </c>
      <c r="L1186" s="20" t="str">
        <f aca="false">IF($K1186="","",$A1186*100+$K1186)</f>
        <v/>
      </c>
      <c r="M1186" s="48" t="str">
        <f aca="false">参数!$B$3</f>
        <v>7月收入</v>
      </c>
    </row>
    <row r="1187" customFormat="false" ht="13.5" hidden="false" customHeight="false" outlineLevel="0" collapsed="false">
      <c r="A1187" s="47" t="n">
        <v>54</v>
      </c>
      <c r="B1187" s="38" t="str">
        <f aca="false">助手收入!$B55</f>
        <v/>
      </c>
      <c r="C1187" s="48" t="str">
        <f aca="false">助手收入!$C55</f>
        <v>备用9</v>
      </c>
      <c r="D1187" s="48" t="str">
        <f aca="false">科目对照收入!$B21&amp;""</f>
        <v>手续费</v>
      </c>
      <c r="E1187" s="48" t="str">
        <f aca="false">IF(AND(ROUND($G1187,2)&lt;0,科目对照收入!$L21&lt;&gt;""),科目对照收入!$L21,科目对照收入!$C21)&amp;""</f>
        <v>财务费用</v>
      </c>
      <c r="F1187" s="48" t="str">
        <f aca="false">IF(AND(ROUND($G1187,2)&lt;0,科目对照收入!$L21&lt;&gt;""),科目对照收入!$M21,科目对照收入!$D21)&amp;""</f>
        <v>手续费</v>
      </c>
      <c r="G1187" s="49" t="n">
        <f aca="false">ROUND(SUMIFS(输入聚合!$D:$D,输入聚合!$A:$A,助手收入!$X55),2)</f>
        <v>0</v>
      </c>
      <c r="H1187" s="49" t="str">
        <f aca="false">IF(ROUND($G1187,2)&gt;0,ROUND($G1187,2),"")</f>
        <v/>
      </c>
      <c r="I1187" s="49" t="str">
        <f aca="false">IF(ROUND($G1187,2)&lt;0,-ROUND($G1187,2),"")</f>
        <v/>
      </c>
      <c r="J1187" s="20" t="n">
        <f aca="false">IF(ROUND($G1187,2)=0,0,1)</f>
        <v>0</v>
      </c>
      <c r="K1187" s="20" t="str">
        <f aca="false">IF($J1187=0,"",SUM($J$1168:$J1187))</f>
        <v/>
      </c>
      <c r="L1187" s="20" t="str">
        <f aca="false">IF($K1187="","",$A1187*100+$K1187)</f>
        <v/>
      </c>
      <c r="M1187" s="48" t="str">
        <f aca="false">参数!$B$3</f>
        <v>7月收入</v>
      </c>
    </row>
    <row r="1188" customFormat="false" ht="13.5" hidden="false" customHeight="false" outlineLevel="0" collapsed="false">
      <c r="A1188" s="47" t="n">
        <v>54</v>
      </c>
      <c r="B1188" s="38" t="str">
        <f aca="false">助手收入!$B55</f>
        <v/>
      </c>
      <c r="C1188" s="48" t="str">
        <f aca="false">助手收入!$C55</f>
        <v>备用9</v>
      </c>
      <c r="D1188" s="48" t="str">
        <f aca="false">科目对照收入!$B22&amp;""</f>
        <v>主营业务收入</v>
      </c>
      <c r="E1188" s="48" t="str">
        <f aca="false">IF(AND(ROUND($G1188,2)&lt;0,科目对照收入!$L22&lt;&gt;""),科目对照收入!$L22,科目对照收入!$C22)&amp;""</f>
        <v>主营业务收入</v>
      </c>
      <c r="F1188" s="48" t="str">
        <f aca="false">IF(AND(ROUND($G1188,2)&lt;0,科目对照收入!$L22&lt;&gt;""),科目对照收入!$M22,科目对照收入!$D22)&amp;""</f>
        <v/>
      </c>
      <c r="G1188" s="49" t="n">
        <f aca="false">-ROUND(助手收入!$G55,2)</f>
        <v>-0</v>
      </c>
      <c r="H1188" s="49" t="str">
        <f aca="false">IF(ROUND($G1188,2)&gt;0,ROUND($G1188,2),"")</f>
        <v/>
      </c>
      <c r="I1188" s="49" t="str">
        <f aca="false">IF(ROUND($G1188,2)&lt;0,-ROUND($G1188,2),"")</f>
        <v/>
      </c>
      <c r="J1188" s="20" t="n">
        <f aca="false">IF(ROUND($G1188,2)=0,0,1)</f>
        <v>0</v>
      </c>
      <c r="K1188" s="20" t="str">
        <f aca="false">IF($J1188=0,"",SUM($J$1168:$J1188))</f>
        <v/>
      </c>
      <c r="L1188" s="20" t="str">
        <f aca="false">IF($K1188="","",$A1188*100+$K1188)</f>
        <v/>
      </c>
      <c r="M1188" s="48" t="str">
        <f aca="false">参数!$B$3</f>
        <v>7月收入</v>
      </c>
    </row>
    <row r="1189" customFormat="false" ht="13.5" hidden="false" customHeight="false" outlineLevel="0" collapsed="false">
      <c r="A1189" s="47" t="n">
        <v>54</v>
      </c>
      <c r="B1189" s="38" t="str">
        <f aca="false">助手收入!$B55</f>
        <v/>
      </c>
      <c r="C1189" s="48" t="str">
        <f aca="false">助手收入!$C55</f>
        <v>备用9</v>
      </c>
      <c r="D1189" s="48" t="str">
        <f aca="false">科目对照收入!$B23&amp;""</f>
        <v>营业外收入</v>
      </c>
      <c r="E1189" s="48" t="str">
        <f aca="false">IF(AND(ROUND($G1189,2)&lt;0,科目对照收入!$L23&lt;&gt;""),科目对照收入!$L23,科目对照收入!$C23)&amp;""</f>
        <v>营业外收入</v>
      </c>
      <c r="F1189" s="48" t="str">
        <f aca="false">IF(AND(ROUND($G1189,2)&lt;0,科目对照收入!$L23&lt;&gt;""),科目对照收入!$M23,科目对照收入!$D23)&amp;""</f>
        <v/>
      </c>
      <c r="G1189" s="49" t="n">
        <f aca="false">-ROUND(助手收入!$J55,2)</f>
        <v>-0</v>
      </c>
      <c r="H1189" s="49" t="str">
        <f aca="false">IF(ROUND($G1189,2)&gt;0,ROUND($G1189,2),"")</f>
        <v/>
      </c>
      <c r="I1189" s="49" t="str">
        <f aca="false">IF(ROUND($G1189,2)&lt;0,-ROUND($G1189,2),"")</f>
        <v/>
      </c>
      <c r="J1189" s="20" t="n">
        <f aca="false">IF(ROUND($G1189,2)=0,0,1)</f>
        <v>0</v>
      </c>
      <c r="K1189" s="20" t="str">
        <f aca="false">IF($J1189=0,"",SUM($J$1168:$J1189))</f>
        <v/>
      </c>
      <c r="L1189" s="20" t="str">
        <f aca="false">IF($K1189="","",$A1189*100+$K1189)</f>
        <v/>
      </c>
      <c r="M1189" s="48" t="str">
        <f aca="false">参数!$B$3</f>
        <v>7月收入</v>
      </c>
    </row>
    <row r="1190" customFormat="false" ht="13.5" hidden="false" customHeight="false" outlineLevel="0" collapsed="false">
      <c r="A1190" s="47" t="n">
        <v>55</v>
      </c>
      <c r="B1190" s="38" t="str">
        <f aca="false">助手收入!$B56</f>
        <v/>
      </c>
      <c r="C1190" s="48" t="str">
        <f aca="false">助手收入!$C56</f>
        <v>备用10</v>
      </c>
      <c r="D1190" s="48" t="str">
        <f aca="false">科目对照收入!$B2&amp;""</f>
        <v>库存现金</v>
      </c>
      <c r="E1190" s="48" t="str">
        <f aca="false">IF(AND(ROUND($G1190,2)&lt;0,科目对照收入!$L2&lt;&gt;""),科目对照收入!$L2,科目对照收入!$C2)&amp;""</f>
        <v>库存现金</v>
      </c>
      <c r="F1190" s="48" t="str">
        <f aca="false">IF(AND(ROUND($G1190,2)&lt;0,科目对照收入!$L2&lt;&gt;""),科目对照收入!$M2,科目对照收入!$D2)&amp;""</f>
        <v/>
      </c>
      <c r="G1190" s="49" t="n">
        <f aca="false">助手收入!$I56</f>
        <v>0</v>
      </c>
      <c r="H1190" s="49" t="str">
        <f aca="false">IF(ROUND($G1190,2)&gt;0,ROUND($G1190,2),"")</f>
        <v/>
      </c>
      <c r="I1190" s="49" t="str">
        <f aca="false">IF(ROUND($G1190,2)&lt;0,-ROUND($G1190,2),"")</f>
        <v/>
      </c>
      <c r="J1190" s="20" t="n">
        <f aca="false">IF(ROUND($G1190,2)=0,0,1)</f>
        <v>0</v>
      </c>
      <c r="K1190" s="20" t="str">
        <f aca="false">IF($J1190=0,"",SUM($J$1190:$J1190))</f>
        <v/>
      </c>
      <c r="L1190" s="20" t="str">
        <f aca="false">IF($K1190="","",$A1190*100+$K1190)</f>
        <v/>
      </c>
      <c r="M1190" s="48" t="str">
        <f aca="false">参数!$B$3</f>
        <v>7月收入</v>
      </c>
    </row>
    <row r="1191" customFormat="false" ht="13.5" hidden="false" customHeight="false" outlineLevel="0" collapsed="false">
      <c r="A1191" s="47" t="n">
        <v>55</v>
      </c>
      <c r="B1191" s="38" t="str">
        <f aca="false">助手收入!$B56</f>
        <v/>
      </c>
      <c r="C1191" s="48" t="str">
        <f aca="false">助手收入!$C56</f>
        <v>备用10</v>
      </c>
      <c r="D1191" s="48" t="str">
        <f aca="false">科目对照收入!$B3&amp;""</f>
        <v>聚合支付</v>
      </c>
      <c r="E1191" s="48" t="str">
        <f aca="false">IF(AND(ROUND($G1191,2)&lt;0,科目对照收入!$L3&lt;&gt;""),科目对照收入!$L3,科目对照收入!$C3)&amp;""</f>
        <v>应收账款</v>
      </c>
      <c r="F1191" s="48" t="str">
        <f aca="false">IF(AND(ROUND($G1191,2)&lt;0,科目对照收入!$L3&lt;&gt;""),科目对照收入!$M3,科目对照收入!$D3)&amp;""</f>
        <v>聚合支付</v>
      </c>
      <c r="G1191" s="49" t="n">
        <f aca="false">ROUND(SUMIFS(输入聚合!$C:$C,输入聚合!$A:$A,助手收入!$X56)-SUMIFS(输入聚合!$D:$D,输入聚合!$A:$A,助手收入!$X56),2)</f>
        <v>0</v>
      </c>
      <c r="H1191" s="49" t="str">
        <f aca="false">IF(ROUND($G1191,2)&gt;0,ROUND($G1191,2),"")</f>
        <v/>
      </c>
      <c r="I1191" s="49" t="str">
        <f aca="false">IF(ROUND($G1191,2)&lt;0,-ROUND($G1191,2),"")</f>
        <v/>
      </c>
      <c r="J1191" s="20" t="n">
        <f aca="false">IF(ROUND($G1191,2)=0,0,1)</f>
        <v>0</v>
      </c>
      <c r="K1191" s="20" t="str">
        <f aca="false">IF($J1191=0,"",SUM($J$1190:$J1191))</f>
        <v/>
      </c>
      <c r="L1191" s="20" t="str">
        <f aca="false">IF($K1191="","",$A1191*100+$K1191)</f>
        <v/>
      </c>
      <c r="M1191" s="48" t="str">
        <f aca="false">参数!$B$3</f>
        <v>7月收入</v>
      </c>
    </row>
    <row r="1192" customFormat="false" ht="13.5" hidden="false" customHeight="false" outlineLevel="0" collapsed="false">
      <c r="A1192" s="47" t="n">
        <v>55</v>
      </c>
      <c r="B1192" s="38" t="str">
        <f aca="false">助手收入!$B56</f>
        <v/>
      </c>
      <c r="C1192" s="48" t="str">
        <f aca="false">助手收入!$C56</f>
        <v>备用10</v>
      </c>
      <c r="D1192" s="48" t="str">
        <f aca="false">科目对照收入!$B4&amp;""</f>
        <v>医保</v>
      </c>
      <c r="E1192" s="48" t="str">
        <f aca="false">IF(AND(ROUND($G1192,2)&lt;0,科目对照收入!$L4&lt;&gt;""),科目对照收入!$L4,科目对照收入!$C4)&amp;""</f>
        <v>应收账款</v>
      </c>
      <c r="F1192" s="48" t="str">
        <f aca="false">IF(AND(ROUND($G1192,2)&lt;0,科目对照收入!$L4&lt;&gt;""),科目对照收入!$M4,科目对照收入!$D4)&amp;""</f>
        <v>医保</v>
      </c>
      <c r="G1192" s="49" t="n">
        <f aca="false">IF(COUNTIFS(输入平台!$A:$A,助手收入!$X56,输入平台!$B:$B,科目对照收入!$B4)&gt;0,ROUND(SUMIFS(输入平台!$C:$C,输入平台!$A:$A,助手收入!$X56,输入平台!$B:$B,科目对照收入!$B4),2),ROUND(海典汇总!$F$57+海典汇总!$G$57,2))</f>
        <v>0</v>
      </c>
      <c r="H1192" s="49" t="str">
        <f aca="false">IF(ROUND($G1192,2)&gt;0,ROUND($G1192,2),"")</f>
        <v/>
      </c>
      <c r="I1192" s="49" t="str">
        <f aca="false">IF(ROUND($G1192,2)&lt;0,-ROUND($G1192,2),"")</f>
        <v/>
      </c>
      <c r="J1192" s="20" t="n">
        <f aca="false">IF(ROUND($G1192,2)=0,0,1)</f>
        <v>0</v>
      </c>
      <c r="K1192" s="20" t="str">
        <f aca="false">IF($J1192=0,"",SUM($J$1190:$J1192))</f>
        <v/>
      </c>
      <c r="L1192" s="20" t="str">
        <f aca="false">IF($K1192="","",$A1192*100+$K1192)</f>
        <v/>
      </c>
      <c r="M1192" s="48" t="str">
        <f aca="false">参数!$B$3</f>
        <v>7月收入</v>
      </c>
    </row>
    <row r="1193" customFormat="false" ht="13.5" hidden="false" customHeight="false" outlineLevel="0" collapsed="false">
      <c r="A1193" s="47" t="n">
        <v>55</v>
      </c>
      <c r="B1193" s="38" t="str">
        <f aca="false">助手收入!$B56</f>
        <v/>
      </c>
      <c r="C1193" s="48" t="str">
        <f aca="false">助手收入!$C56</f>
        <v>备用10</v>
      </c>
      <c r="D1193" s="48" t="str">
        <f aca="false">科目对照收入!$B5&amp;""</f>
        <v>健e卡</v>
      </c>
      <c r="E1193" s="48" t="str">
        <f aca="false">IF(AND(ROUND($G1193,2)&lt;0,科目对照收入!$L5&lt;&gt;""),科目对照收入!$L5,科目对照收入!$C5)&amp;""</f>
        <v>应收账款</v>
      </c>
      <c r="F1193" s="48" t="str">
        <f aca="false">IF(AND(ROUND($G1193,2)&lt;0,科目对照收入!$L5&lt;&gt;""),科目对照收入!$M5,科目对照收入!$D5)&amp;""</f>
        <v>健e卡</v>
      </c>
      <c r="G1193" s="49" t="n">
        <f aca="false">IF(COUNTIFS(输入平台!$A:$A,助手收入!$X56,输入平台!$B:$B,科目对照收入!$B5)&gt;0,ROUND(SUMIFS(输入平台!$C:$C,输入平台!$A:$A,助手收入!$X56,输入平台!$B:$B,科目对照收入!$B5),2),ROUND(海典汇总!$H$57,2))</f>
        <v>0</v>
      </c>
      <c r="H1193" s="49" t="str">
        <f aca="false">IF(ROUND($G1193,2)&gt;0,ROUND($G1193,2),"")</f>
        <v/>
      </c>
      <c r="I1193" s="49" t="str">
        <f aca="false">IF(ROUND($G1193,2)&lt;0,-ROUND($G1193,2),"")</f>
        <v/>
      </c>
      <c r="J1193" s="20" t="n">
        <f aca="false">IF(ROUND($G1193,2)=0,0,1)</f>
        <v>0</v>
      </c>
      <c r="K1193" s="20" t="str">
        <f aca="false">IF($J1193=0,"",SUM($J$1190:$J1193))</f>
        <v/>
      </c>
      <c r="L1193" s="20" t="str">
        <f aca="false">IF($K1193="","",$A1193*100+$K1193)</f>
        <v/>
      </c>
      <c r="M1193" s="48" t="str">
        <f aca="false">参数!$B$3</f>
        <v>7月收入</v>
      </c>
    </row>
    <row r="1194" customFormat="false" ht="13.5" hidden="false" customHeight="false" outlineLevel="0" collapsed="false">
      <c r="A1194" s="47" t="n">
        <v>55</v>
      </c>
      <c r="B1194" s="38" t="str">
        <f aca="false">助手收入!$B56</f>
        <v/>
      </c>
      <c r="C1194" s="48" t="str">
        <f aca="false">助手收入!$C56</f>
        <v>备用10</v>
      </c>
      <c r="D1194" s="48" t="str">
        <f aca="false">科目对照收入!$B6&amp;""</f>
        <v>医卡通</v>
      </c>
      <c r="E1194" s="48" t="str">
        <f aca="false">IF(AND(ROUND($G1194,2)&lt;0,科目对照收入!$L6&lt;&gt;""),科目对照收入!$L6,科目对照收入!$C6)&amp;""</f>
        <v>应收账款</v>
      </c>
      <c r="F1194" s="48" t="str">
        <f aca="false">IF(AND(ROUND($G1194,2)&lt;0,科目对照收入!$L6&lt;&gt;""),科目对照收入!$M6,科目对照收入!$D6)&amp;""</f>
        <v>医卡通</v>
      </c>
      <c r="G1194" s="49" t="n">
        <f aca="false">IF(COUNTIFS(输入平台!$A:$A,助手收入!$X56,输入平台!$B:$B,科目对照收入!$B6)&gt;0,ROUND(SUMIFS(输入平台!$C:$C,输入平台!$A:$A,助手收入!$X56,输入平台!$B:$B,科目对照收入!$B6),2),ROUND(海典汇总!$I$57,2))</f>
        <v>0</v>
      </c>
      <c r="H1194" s="49" t="str">
        <f aca="false">IF(ROUND($G1194,2)&gt;0,ROUND($G1194,2),"")</f>
        <v/>
      </c>
      <c r="I1194" s="49" t="str">
        <f aca="false">IF(ROUND($G1194,2)&lt;0,-ROUND($G1194,2),"")</f>
        <v/>
      </c>
      <c r="J1194" s="20" t="n">
        <f aca="false">IF(ROUND($G1194,2)=0,0,1)</f>
        <v>0</v>
      </c>
      <c r="K1194" s="20" t="str">
        <f aca="false">IF($J1194=0,"",SUM($J$1190:$J1194))</f>
        <v/>
      </c>
      <c r="L1194" s="20" t="str">
        <f aca="false">IF($K1194="","",$A1194*100+$K1194)</f>
        <v/>
      </c>
      <c r="M1194" s="48" t="str">
        <f aca="false">参数!$B$3</f>
        <v>7月收入</v>
      </c>
    </row>
    <row r="1195" customFormat="false" ht="13.5" hidden="false" customHeight="false" outlineLevel="0" collapsed="false">
      <c r="A1195" s="47" t="n">
        <v>55</v>
      </c>
      <c r="B1195" s="38" t="str">
        <f aca="false">助手收入!$B56</f>
        <v/>
      </c>
      <c r="C1195" s="48" t="str">
        <f aca="false">助手收入!$C56</f>
        <v>备用10</v>
      </c>
      <c r="D1195" s="48" t="str">
        <f aca="false">科目对照收入!$B7&amp;""</f>
        <v>企健网</v>
      </c>
      <c r="E1195" s="48" t="str">
        <f aca="false">IF(AND(ROUND($G1195,2)&lt;0,科目对照收入!$L7&lt;&gt;""),科目对照收入!$L7,科目对照收入!$C7)&amp;""</f>
        <v>应收账款</v>
      </c>
      <c r="F1195" s="48" t="str">
        <f aca="false">IF(AND(ROUND($G1195,2)&lt;0,科目对照收入!$L7&lt;&gt;""),科目对照收入!$M7,科目对照收入!$D7)&amp;""</f>
        <v>企健网</v>
      </c>
      <c r="G1195" s="49" t="n">
        <f aca="false">IF(COUNTIFS(输入平台!$A:$A,助手收入!$X56,输入平台!$B:$B,科目对照收入!$B7)&gt;0,ROUND(SUMIFS(输入平台!$C:$C,输入平台!$A:$A,助手收入!$X56,输入平台!$B:$B,科目对照收入!$B7),2),ROUND(海典汇总!$J$57,2))</f>
        <v>0</v>
      </c>
      <c r="H1195" s="49" t="str">
        <f aca="false">IF(ROUND($G1195,2)&gt;0,ROUND($G1195,2),"")</f>
        <v/>
      </c>
      <c r="I1195" s="49" t="str">
        <f aca="false">IF(ROUND($G1195,2)&lt;0,-ROUND($G1195,2),"")</f>
        <v/>
      </c>
      <c r="J1195" s="20" t="n">
        <f aca="false">IF(ROUND($G1195,2)=0,0,1)</f>
        <v>0</v>
      </c>
      <c r="K1195" s="20" t="str">
        <f aca="false">IF($J1195=0,"",SUM($J$1190:$J1195))</f>
        <v/>
      </c>
      <c r="L1195" s="20" t="str">
        <f aca="false">IF($K1195="","",$A1195*100+$K1195)</f>
        <v/>
      </c>
      <c r="M1195" s="48" t="str">
        <f aca="false">参数!$B$3</f>
        <v>7月收入</v>
      </c>
    </row>
    <row r="1196" customFormat="false" ht="13.5" hidden="false" customHeight="false" outlineLevel="0" collapsed="false">
      <c r="A1196" s="47" t="n">
        <v>55</v>
      </c>
      <c r="B1196" s="38" t="str">
        <f aca="false">助手收入!$B56</f>
        <v/>
      </c>
      <c r="C1196" s="48" t="str">
        <f aca="false">助手收入!$C56</f>
        <v>备用10</v>
      </c>
      <c r="D1196" s="48" t="str">
        <f aca="false">科目对照收入!$B8&amp;""</f>
        <v>亲情卡</v>
      </c>
      <c r="E1196" s="48" t="str">
        <f aca="false">IF(AND(ROUND($G1196,2)&lt;0,科目对照收入!$L8&lt;&gt;""),科目对照收入!$L8,科目对照收入!$C8)&amp;""</f>
        <v>应收账款</v>
      </c>
      <c r="F1196" s="48" t="str">
        <f aca="false">IF(AND(ROUND($G1196,2)&lt;0,科目对照收入!$L8&lt;&gt;""),科目对照收入!$M8,科目对照收入!$D8)&amp;""</f>
        <v>亲情卡</v>
      </c>
      <c r="G1196" s="49" t="n">
        <f aca="false">IF(COUNTIFS(输入平台!$A:$A,助手收入!$X56,输入平台!$B:$B,科目对照收入!$B8)&gt;0,ROUND(SUMIFS(输入平台!$C:$C,输入平台!$A:$A,助手收入!$X56,输入平台!$B:$B,科目对照收入!$B8),2),ROUND(海典汇总!$Z$57,2))</f>
        <v>0</v>
      </c>
      <c r="H1196" s="49" t="str">
        <f aca="false">IF(ROUND($G1196,2)&gt;0,ROUND($G1196,2),"")</f>
        <v/>
      </c>
      <c r="I1196" s="49" t="str">
        <f aca="false">IF(ROUND($G1196,2)&lt;0,-ROUND($G1196,2),"")</f>
        <v/>
      </c>
      <c r="J1196" s="20" t="n">
        <f aca="false">IF(ROUND($G1196,2)=0,0,1)</f>
        <v>0</v>
      </c>
      <c r="K1196" s="20" t="str">
        <f aca="false">IF($J1196=0,"",SUM($J$1190:$J1196))</f>
        <v/>
      </c>
      <c r="L1196" s="20" t="str">
        <f aca="false">IF($K1196="","",$A1196*100+$K1196)</f>
        <v/>
      </c>
      <c r="M1196" s="48" t="str">
        <f aca="false">参数!$B$3</f>
        <v>7月收入</v>
      </c>
    </row>
    <row r="1197" customFormat="false" ht="13.5" hidden="false" customHeight="false" outlineLevel="0" collapsed="false">
      <c r="A1197" s="47" t="n">
        <v>55</v>
      </c>
      <c r="B1197" s="38" t="str">
        <f aca="false">助手收入!$B56</f>
        <v/>
      </c>
      <c r="C1197" s="48" t="str">
        <f aca="false">助手收入!$C56</f>
        <v>备用10</v>
      </c>
      <c r="D1197" s="48" t="str">
        <f aca="false">科目对照收入!$B9&amp;""</f>
        <v>24小时</v>
      </c>
      <c r="E1197" s="48" t="str">
        <f aca="false">IF(AND(ROUND($G1197,2)&lt;0,科目对照收入!$L9&lt;&gt;""),科目对照收入!$L9,科目对照收入!$C9)&amp;""</f>
        <v>应收账款</v>
      </c>
      <c r="F1197" s="48" t="str">
        <f aca="false">IF(AND(ROUND($G1197,2)&lt;0,科目对照收入!$L9&lt;&gt;""),科目对照收入!$M9,科目对照收入!$D9)&amp;""</f>
        <v>24小时</v>
      </c>
      <c r="G1197" s="49" t="n">
        <f aca="false">IF(COUNTIFS(输入平台!$A:$A,助手收入!$X56,输入平台!$B:$B,科目对照收入!$B9)&gt;0,ROUND(SUMIFS(输入平台!$C:$C,输入平台!$A:$A,助手收入!$X56,输入平台!$B:$B,科目对照收入!$B9),2),ROUND(海典汇总!$K$57,2))</f>
        <v>0</v>
      </c>
      <c r="H1197" s="49" t="str">
        <f aca="false">IF(ROUND($G1197,2)&gt;0,ROUND($G1197,2),"")</f>
        <v/>
      </c>
      <c r="I1197" s="49" t="str">
        <f aca="false">IF(ROUND($G1197,2)&lt;0,-ROUND($G1197,2),"")</f>
        <v/>
      </c>
      <c r="J1197" s="20" t="n">
        <f aca="false">IF(ROUND($G1197,2)=0,0,1)</f>
        <v>0</v>
      </c>
      <c r="K1197" s="20" t="str">
        <f aca="false">IF($J1197=0,"",SUM($J$1190:$J1197))</f>
        <v/>
      </c>
      <c r="L1197" s="20" t="str">
        <f aca="false">IF($K1197="","",$A1197*100+$K1197)</f>
        <v/>
      </c>
      <c r="M1197" s="48" t="str">
        <f aca="false">参数!$B$3</f>
        <v>7月收入</v>
      </c>
    </row>
    <row r="1198" customFormat="false" ht="13.5" hidden="false" customHeight="false" outlineLevel="0" collapsed="false">
      <c r="A1198" s="47" t="n">
        <v>55</v>
      </c>
      <c r="B1198" s="38" t="str">
        <f aca="false">助手收入!$B56</f>
        <v/>
      </c>
      <c r="C1198" s="48" t="str">
        <f aca="false">助手收入!$C56</f>
        <v>备用10</v>
      </c>
      <c r="D1198" s="48" t="str">
        <f aca="false">科目对照收入!$B10&amp;""</f>
        <v>美团</v>
      </c>
      <c r="E1198" s="48" t="str">
        <f aca="false">IF(AND(ROUND($G1198,2)&lt;0,科目对照收入!$L10&lt;&gt;""),科目对照收入!$L10,科目对照收入!$C10)&amp;""</f>
        <v>应收账款</v>
      </c>
      <c r="F1198" s="48" t="str">
        <f aca="false">IF(AND(ROUND($G1198,2)&lt;0,科目对照收入!$L10&lt;&gt;""),科目对照收入!$M10,科目对照收入!$D10)&amp;""</f>
        <v>美团</v>
      </c>
      <c r="G1198" s="49" t="n">
        <f aca="false">IF(COUNTIFS(输入平台!$A:$A,助手收入!$X56,输入平台!$B:$B,科目对照收入!$B10)&gt;0,ROUND(SUMIFS(输入平台!$C:$C,输入平台!$A:$A,助手收入!$X56,输入平台!$B:$B,科目对照收入!$B10),2),ROUND(海典汇总!$M$57,2))</f>
        <v>0</v>
      </c>
      <c r="H1198" s="49" t="str">
        <f aca="false">IF(ROUND($G1198,2)&gt;0,ROUND($G1198,2),"")</f>
        <v/>
      </c>
      <c r="I1198" s="49" t="str">
        <f aca="false">IF(ROUND($G1198,2)&lt;0,-ROUND($G1198,2),"")</f>
        <v/>
      </c>
      <c r="J1198" s="20" t="n">
        <f aca="false">IF(ROUND($G1198,2)=0,0,1)</f>
        <v>0</v>
      </c>
      <c r="K1198" s="20" t="str">
        <f aca="false">IF($J1198=0,"",SUM($J$1190:$J1198))</f>
        <v/>
      </c>
      <c r="L1198" s="20" t="str">
        <f aca="false">IF($K1198="","",$A1198*100+$K1198)</f>
        <v/>
      </c>
      <c r="M1198" s="48" t="str">
        <f aca="false">参数!$B$3</f>
        <v>7月收入</v>
      </c>
    </row>
    <row r="1199" customFormat="false" ht="13.5" hidden="false" customHeight="false" outlineLevel="0" collapsed="false">
      <c r="A1199" s="47" t="n">
        <v>55</v>
      </c>
      <c r="B1199" s="38" t="str">
        <f aca="false">助手收入!$B56</f>
        <v/>
      </c>
      <c r="C1199" s="48" t="str">
        <f aca="false">助手收入!$C56</f>
        <v>备用10</v>
      </c>
      <c r="D1199" s="48" t="str">
        <f aca="false">科目对照收入!$B11&amp;""</f>
        <v>饿了么</v>
      </c>
      <c r="E1199" s="48" t="str">
        <f aca="false">IF(AND(ROUND($G1199,2)&lt;0,科目对照收入!$L11&lt;&gt;""),科目对照收入!$L11,科目对照收入!$C11)&amp;""</f>
        <v>应收账款</v>
      </c>
      <c r="F1199" s="48" t="str">
        <f aca="false">IF(AND(ROUND($G1199,2)&lt;0,科目对照收入!$L11&lt;&gt;""),科目对照收入!$M11,科目对照收入!$D11)&amp;""</f>
        <v>饿了么</v>
      </c>
      <c r="G1199" s="49" t="n">
        <f aca="false">IF(COUNTIFS(输入平台!$A:$A,助手收入!$X56,输入平台!$B:$B,科目对照收入!$B11)&gt;0,ROUND(SUMIFS(输入平台!$C:$C,输入平台!$A:$A,助手收入!$X56,输入平台!$B:$B,科目对照收入!$B11),2),ROUND(海典汇总!$N$57,2))</f>
        <v>0</v>
      </c>
      <c r="H1199" s="49" t="str">
        <f aca="false">IF(ROUND($G1199,2)&gt;0,ROUND($G1199,2),"")</f>
        <v/>
      </c>
      <c r="I1199" s="49" t="str">
        <f aca="false">IF(ROUND($G1199,2)&lt;0,-ROUND($G1199,2),"")</f>
        <v/>
      </c>
      <c r="J1199" s="20" t="n">
        <f aca="false">IF(ROUND($G1199,2)=0,0,1)</f>
        <v>0</v>
      </c>
      <c r="K1199" s="20" t="str">
        <f aca="false">IF($J1199=0,"",SUM($J$1190:$J1199))</f>
        <v/>
      </c>
      <c r="L1199" s="20" t="str">
        <f aca="false">IF($K1199="","",$A1199*100+$K1199)</f>
        <v/>
      </c>
      <c r="M1199" s="48" t="str">
        <f aca="false">参数!$B$3</f>
        <v>7月收入</v>
      </c>
    </row>
    <row r="1200" customFormat="false" ht="13.5" hidden="false" customHeight="false" outlineLevel="0" collapsed="false">
      <c r="A1200" s="47" t="n">
        <v>55</v>
      </c>
      <c r="B1200" s="38" t="str">
        <f aca="false">助手收入!$B56</f>
        <v/>
      </c>
      <c r="C1200" s="48" t="str">
        <f aca="false">助手收入!$C56</f>
        <v>备用10</v>
      </c>
      <c r="D1200" s="48" t="str">
        <f aca="false">科目对照收入!$B12&amp;""</f>
        <v>京东秒送</v>
      </c>
      <c r="E1200" s="48" t="str">
        <f aca="false">IF(AND(ROUND($G1200,2)&lt;0,科目对照收入!$L12&lt;&gt;""),科目对照收入!$L12,科目对照收入!$C12)&amp;""</f>
        <v>应收账款</v>
      </c>
      <c r="F1200" s="48" t="str">
        <f aca="false">IF(AND(ROUND($G1200,2)&lt;0,科目对照收入!$L12&lt;&gt;""),科目对照收入!$M12,科目对照收入!$D12)&amp;""</f>
        <v>京东秒送</v>
      </c>
      <c r="G1200" s="49" t="n">
        <f aca="false">IF(COUNTIFS(输入平台!$A:$A,助手收入!$X56,输入平台!$B:$B,科目对照收入!$B12)&gt;0,ROUND(SUMIFS(输入平台!$C:$C,输入平台!$A:$A,助手收入!$X56,输入平台!$B:$B,科目对照收入!$B12),2),ROUND(海典汇总!$O$57,2))</f>
        <v>0</v>
      </c>
      <c r="H1200" s="49" t="str">
        <f aca="false">IF(ROUND($G1200,2)&gt;0,ROUND($G1200,2),"")</f>
        <v/>
      </c>
      <c r="I1200" s="49" t="str">
        <f aca="false">IF(ROUND($G1200,2)&lt;0,-ROUND($G1200,2),"")</f>
        <v/>
      </c>
      <c r="J1200" s="20" t="n">
        <f aca="false">IF(ROUND($G1200,2)=0,0,1)</f>
        <v>0</v>
      </c>
      <c r="K1200" s="20" t="str">
        <f aca="false">IF($J1200=0,"",SUM($J$1190:$J1200))</f>
        <v/>
      </c>
      <c r="L1200" s="20" t="str">
        <f aca="false">IF($K1200="","",$A1200*100+$K1200)</f>
        <v/>
      </c>
      <c r="M1200" s="48" t="str">
        <f aca="false">参数!$B$3</f>
        <v>7月收入</v>
      </c>
    </row>
    <row r="1201" customFormat="false" ht="13.5" hidden="false" customHeight="false" outlineLevel="0" collapsed="false">
      <c r="A1201" s="47" t="n">
        <v>55</v>
      </c>
      <c r="B1201" s="38" t="str">
        <f aca="false">助手收入!$B56</f>
        <v/>
      </c>
      <c r="C1201" s="48" t="str">
        <f aca="false">助手收入!$C56</f>
        <v>备用10</v>
      </c>
      <c r="D1201" s="48" t="str">
        <f aca="false">科目对照收入!$B13&amp;""</f>
        <v>银联</v>
      </c>
      <c r="E1201" s="48" t="str">
        <f aca="false">IF(AND(ROUND($G1201,2)&lt;0,科目对照收入!$L13&lt;&gt;""),科目对照收入!$L13,科目对照收入!$C13)&amp;""</f>
        <v>应收账款</v>
      </c>
      <c r="F1201" s="48" t="str">
        <f aca="false">IF(AND(ROUND($G1201,2)&lt;0,科目对照收入!$L13&lt;&gt;""),科目对照收入!$M13,科目对照收入!$D13)&amp;""</f>
        <v>银联</v>
      </c>
      <c r="G1201" s="49" t="n">
        <f aca="false">IF(COUNTIFS(输入平台!$A:$A,助手收入!$X56,输入平台!$B:$B,科目对照收入!$B13)&gt;0,ROUND(SUMIFS(输入平台!$C:$C,输入平台!$A:$A,助手收入!$X56,输入平台!$B:$B,科目对照收入!$B13),2),ROUND(海典汇总!$V$57,2))</f>
        <v>0</v>
      </c>
      <c r="H1201" s="49" t="str">
        <f aca="false">IF(ROUND($G1201,2)&gt;0,ROUND($G1201,2),"")</f>
        <v/>
      </c>
      <c r="I1201" s="49" t="str">
        <f aca="false">IF(ROUND($G1201,2)&lt;0,-ROUND($G1201,2),"")</f>
        <v/>
      </c>
      <c r="J1201" s="20" t="n">
        <f aca="false">IF(ROUND($G1201,2)=0,0,1)</f>
        <v>0</v>
      </c>
      <c r="K1201" s="20" t="str">
        <f aca="false">IF($J1201=0,"",SUM($J$1190:$J1201))</f>
        <v/>
      </c>
      <c r="L1201" s="20" t="str">
        <f aca="false">IF($K1201="","",$A1201*100+$K1201)</f>
        <v/>
      </c>
      <c r="M1201" s="48" t="str">
        <f aca="false">参数!$B$3</f>
        <v>7月收入</v>
      </c>
    </row>
    <row r="1202" customFormat="false" ht="13.5" hidden="false" customHeight="false" outlineLevel="0" collapsed="false">
      <c r="A1202" s="47" t="n">
        <v>55</v>
      </c>
      <c r="B1202" s="38" t="str">
        <f aca="false">助手收入!$B56</f>
        <v/>
      </c>
      <c r="C1202" s="48" t="str">
        <f aca="false">助手收入!$C56</f>
        <v>备用10</v>
      </c>
      <c r="D1202" s="48" t="str">
        <f aca="false">科目对照收入!$B14&amp;""</f>
        <v>小镇外卖</v>
      </c>
      <c r="E1202" s="48" t="str">
        <f aca="false">IF(AND(ROUND($G1202,2)&lt;0,科目对照收入!$L14&lt;&gt;""),科目对照收入!$L14,科目对照收入!$C14)&amp;""</f>
        <v>应收账款</v>
      </c>
      <c r="F1202" s="48" t="str">
        <f aca="false">IF(AND(ROUND($G1202,2)&lt;0,科目对照收入!$L14&lt;&gt;""),科目对照收入!$M14,科目对照收入!$D14)&amp;""</f>
        <v>小镇外卖</v>
      </c>
      <c r="G1202" s="49" t="n">
        <f aca="false">IF(COUNTIFS(输入平台!$A:$A,助手收入!$X56,输入平台!$B:$B,科目对照收入!$B14)&gt;0,ROUND(SUMIFS(输入平台!$C:$C,输入平台!$A:$A,助手收入!$X56,输入平台!$B:$B,科目对照收入!$B14),2),ROUND(海典汇总!$AC$57,2))</f>
        <v>0</v>
      </c>
      <c r="H1202" s="49" t="str">
        <f aca="false">IF(ROUND($G1202,2)&gt;0,ROUND($G1202,2),"")</f>
        <v/>
      </c>
      <c r="I1202" s="49" t="str">
        <f aca="false">IF(ROUND($G1202,2)&lt;0,-ROUND($G1202,2),"")</f>
        <v/>
      </c>
      <c r="J1202" s="20" t="n">
        <f aca="false">IF(ROUND($G1202,2)=0,0,1)</f>
        <v>0</v>
      </c>
      <c r="K1202" s="20" t="str">
        <f aca="false">IF($J1202=0,"",SUM($J$1190:$J1202))</f>
        <v/>
      </c>
      <c r="L1202" s="20" t="str">
        <f aca="false">IF($K1202="","",$A1202*100+$K1202)</f>
        <v/>
      </c>
      <c r="M1202" s="48" t="str">
        <f aca="false">参数!$B$3</f>
        <v>7月收入</v>
      </c>
    </row>
    <row r="1203" customFormat="false" ht="13.5" hidden="false" customHeight="false" outlineLevel="0" collapsed="false">
      <c r="A1203" s="47" t="n">
        <v>55</v>
      </c>
      <c r="B1203" s="38" t="str">
        <f aca="false">助手收入!$B56</f>
        <v/>
      </c>
      <c r="C1203" s="48" t="str">
        <f aca="false">助手收入!$C56</f>
        <v>备用10</v>
      </c>
      <c r="D1203" s="48" t="str">
        <f aca="false">科目对照收入!$B15&amp;""</f>
        <v>OMS线上支付</v>
      </c>
      <c r="E1203" s="48" t="str">
        <f aca="false">IF(AND(ROUND($G1203,2)&lt;0,科目对照收入!$L15&lt;&gt;""),科目对照收入!$L15,科目对照收入!$C15)&amp;""</f>
        <v>应收账款</v>
      </c>
      <c r="F1203" s="48" t="str">
        <f aca="false">IF(AND(ROUND($G1203,2)&lt;0,科目对照收入!$L15&lt;&gt;""),科目对照收入!$M15,科目对照收入!$D15)&amp;""</f>
        <v>OMS线上</v>
      </c>
      <c r="G1203" s="49" t="n">
        <f aca="false">IF(COUNTIFS(输入平台!$A:$A,助手收入!$X56,输入平台!$B:$B,科目对照收入!$B15)&gt;0,ROUND(SUMIFS(输入平台!$C:$C,输入平台!$A:$A,助手收入!$X56,输入平台!$B:$B,科目对照收入!$B15),2),ROUND(海典汇总!$L$57,2))</f>
        <v>0</v>
      </c>
      <c r="H1203" s="49" t="str">
        <f aca="false">IF(ROUND($G1203,2)&gt;0,ROUND($G1203,2),"")</f>
        <v/>
      </c>
      <c r="I1203" s="49" t="str">
        <f aca="false">IF(ROUND($G1203,2)&lt;0,-ROUND($G1203,2),"")</f>
        <v/>
      </c>
      <c r="J1203" s="20" t="n">
        <f aca="false">IF(ROUND($G1203,2)=0,0,1)</f>
        <v>0</v>
      </c>
      <c r="K1203" s="20" t="str">
        <f aca="false">IF($J1203=0,"",SUM($J$1190:$J1203))</f>
        <v/>
      </c>
      <c r="L1203" s="20" t="str">
        <f aca="false">IF($K1203="","",$A1203*100+$K1203)</f>
        <v/>
      </c>
      <c r="M1203" s="48" t="str">
        <f aca="false">参数!$B$3</f>
        <v>7月收入</v>
      </c>
    </row>
    <row r="1204" customFormat="false" ht="13.5" hidden="false" customHeight="false" outlineLevel="0" collapsed="false">
      <c r="A1204" s="47" t="n">
        <v>55</v>
      </c>
      <c r="B1204" s="38" t="str">
        <f aca="false">助手收入!$B56</f>
        <v/>
      </c>
      <c r="C1204" s="48" t="str">
        <f aca="false">助手收入!$C56</f>
        <v>备用10</v>
      </c>
      <c r="D1204" s="48" t="str">
        <f aca="false">科目对照收入!$B16&amp;""</f>
        <v>平安药卡</v>
      </c>
      <c r="E1204" s="48" t="str">
        <f aca="false">IF(AND(ROUND($G1204,2)&lt;0,科目对照收入!$L16&lt;&gt;""),科目对照收入!$L16,科目对照收入!$C16)&amp;""</f>
        <v>应收账款</v>
      </c>
      <c r="F1204" s="48" t="str">
        <f aca="false">IF(AND(ROUND($G1204,2)&lt;0,科目对照收入!$L16&lt;&gt;""),科目对照收入!$M16,科目对照收入!$D16)&amp;""</f>
        <v>平安</v>
      </c>
      <c r="G1204" s="49" t="n">
        <f aca="false">IF(COUNTIFS(输入平台!$A:$A,助手收入!$X56,输入平台!$B:$B,科目对照收入!$B16)&gt;0,ROUND(SUMIFS(输入平台!$C:$C,输入平台!$A:$A,助手收入!$X56,输入平台!$B:$B,科目对照收入!$B16),2),ROUND(海典汇总!$AB$57,2))</f>
        <v>0</v>
      </c>
      <c r="H1204" s="49" t="str">
        <f aca="false">IF(ROUND($G1204,2)&gt;0,ROUND($G1204,2),"")</f>
        <v/>
      </c>
      <c r="I1204" s="49" t="str">
        <f aca="false">IF(ROUND($G1204,2)&lt;0,-ROUND($G1204,2),"")</f>
        <v/>
      </c>
      <c r="J1204" s="20" t="n">
        <f aca="false">IF(ROUND($G1204,2)=0,0,1)</f>
        <v>0</v>
      </c>
      <c r="K1204" s="20" t="str">
        <f aca="false">IF($J1204=0,"",SUM($J$1190:$J1204))</f>
        <v/>
      </c>
      <c r="L1204" s="20" t="str">
        <f aca="false">IF($K1204="","",$A1204*100+$K1204)</f>
        <v/>
      </c>
      <c r="M1204" s="48" t="str">
        <f aca="false">参数!$B$3</f>
        <v>7月收入</v>
      </c>
    </row>
    <row r="1205" customFormat="false" ht="13.5" hidden="false" customHeight="false" outlineLevel="0" collapsed="false">
      <c r="A1205" s="47" t="n">
        <v>55</v>
      </c>
      <c r="B1205" s="38" t="str">
        <f aca="false">助手收入!$B56</f>
        <v/>
      </c>
      <c r="C1205" s="48" t="str">
        <f aca="false">助手收入!$C56</f>
        <v>备用10</v>
      </c>
      <c r="D1205" s="48" t="str">
        <f aca="false">科目对照收入!$B17&amp;""</f>
        <v>储值卡</v>
      </c>
      <c r="E1205" s="48" t="str">
        <f aca="false">IF(AND(ROUND($G1205,2)&lt;0,科目对照收入!$L17&lt;&gt;""),科目对照收入!$L17,科目对照收入!$C17)&amp;""</f>
        <v>其他应收款</v>
      </c>
      <c r="F1205" s="48" t="str">
        <f aca="false">IF(AND(ROUND($G1205,2)&lt;0,科目对照收入!$L17&lt;&gt;""),科目对照收入!$M17,科目对照收入!$D17)&amp;""</f>
        <v>储值卡</v>
      </c>
      <c r="G1205" s="49" t="n">
        <f aca="false">ROUND(海典汇总!$Q$57,2)</f>
        <v>0</v>
      </c>
      <c r="H1205" s="49" t="str">
        <f aca="false">IF(ROUND($G1205,2)&gt;0,ROUND($G1205,2),"")</f>
        <v/>
      </c>
      <c r="I1205" s="49" t="str">
        <f aca="false">IF(ROUND($G1205,2)&lt;0,-ROUND($G1205,2),"")</f>
        <v/>
      </c>
      <c r="J1205" s="20" t="n">
        <f aca="false">IF(ROUND($G1205,2)=0,0,1)</f>
        <v>0</v>
      </c>
      <c r="K1205" s="20" t="str">
        <f aca="false">IF($J1205=0,"",SUM($J$1190:$J1205))</f>
        <v/>
      </c>
      <c r="L1205" s="20" t="str">
        <f aca="false">IF($K1205="","",$A1205*100+$K1205)</f>
        <v/>
      </c>
      <c r="M1205" s="48" t="str">
        <f aca="false">参数!$B$3</f>
        <v>7月收入</v>
      </c>
    </row>
    <row r="1206" customFormat="false" ht="13.5" hidden="false" customHeight="false" outlineLevel="0" collapsed="false">
      <c r="A1206" s="47" t="n">
        <v>55</v>
      </c>
      <c r="B1206" s="38" t="str">
        <f aca="false">助手收入!$B56</f>
        <v/>
      </c>
      <c r="C1206" s="48" t="str">
        <f aca="false">助手收入!$C56</f>
        <v>备用10</v>
      </c>
      <c r="D1206" s="48" t="str">
        <f aca="false">科目对照收入!$B18&amp;""</f>
        <v>会员零钱包</v>
      </c>
      <c r="E1206" s="48" t="str">
        <f aca="false">IF(AND(ROUND($G1206,2)&lt;0,科目对照收入!$L18&lt;&gt;""),科目对照收入!$L18,科目对照收入!$C18)&amp;""</f>
        <v>其他应收款</v>
      </c>
      <c r="F1206" s="48" t="str">
        <f aca="false">IF(AND(ROUND($G1206,2)&lt;0,科目对照收入!$L18&lt;&gt;""),科目对照收入!$M18,科目对照收入!$D18)&amp;""</f>
        <v>会员零钱包</v>
      </c>
      <c r="G1206" s="49" t="n">
        <f aca="false">ROUND(海典汇总!$P$57,2)</f>
        <v>0</v>
      </c>
      <c r="H1206" s="49" t="str">
        <f aca="false">IF(ROUND($G1206,2)&gt;0,ROUND($G1206,2),"")</f>
        <v/>
      </c>
      <c r="I1206" s="49" t="str">
        <f aca="false">IF(ROUND($G1206,2)&lt;0,-ROUND($G1206,2),"")</f>
        <v/>
      </c>
      <c r="J1206" s="20" t="n">
        <f aca="false">IF(ROUND($G1206,2)=0,0,1)</f>
        <v>0</v>
      </c>
      <c r="K1206" s="20" t="str">
        <f aca="false">IF($J1206=0,"",SUM($J$1190:$J1206))</f>
        <v/>
      </c>
      <c r="L1206" s="20" t="str">
        <f aca="false">IF($K1206="","",$A1206*100+$K1206)</f>
        <v/>
      </c>
      <c r="M1206" s="48" t="str">
        <f aca="false">参数!$B$3</f>
        <v>7月收入</v>
      </c>
    </row>
    <row r="1207" customFormat="false" ht="13.5" hidden="false" customHeight="false" outlineLevel="0" collapsed="false">
      <c r="A1207" s="47" t="n">
        <v>55</v>
      </c>
      <c r="B1207" s="38" t="str">
        <f aca="false">助手收入!$B56</f>
        <v/>
      </c>
      <c r="C1207" s="48" t="str">
        <f aca="false">助手收入!$C56</f>
        <v>备用10</v>
      </c>
      <c r="D1207" s="48" t="str">
        <f aca="false">科目对照收入!$B19&amp;""</f>
        <v>促销费</v>
      </c>
      <c r="E1207" s="48" t="str">
        <f aca="false">IF(AND(ROUND($G1207,2)&lt;0,科目对照收入!$L19&lt;&gt;""),科目对照收入!$L19,科目对照收入!$C19)&amp;""</f>
        <v>销售费用</v>
      </c>
      <c r="F1207" s="48" t="str">
        <f aca="false">IF(AND(ROUND($G1207,2)&lt;0,科目对照收入!$L19&lt;&gt;""),科目对照收入!$M19,科目对照收入!$D19)&amp;""</f>
        <v>促销费</v>
      </c>
      <c r="G1207" s="49" t="n">
        <f aca="false">ROUND(海典汇总!$U$57+海典汇总!$T$57+海典汇总!$S$57,2)</f>
        <v>0</v>
      </c>
      <c r="H1207" s="49" t="str">
        <f aca="false">IF(ROUND($G1207,2)&gt;0,ROUND($G1207,2),"")</f>
        <v/>
      </c>
      <c r="I1207" s="49" t="str">
        <f aca="false">IF(ROUND($G1207,2)&lt;0,-ROUND($G1207,2),"")</f>
        <v/>
      </c>
      <c r="J1207" s="20" t="n">
        <f aca="false">IF(ROUND($G1207,2)=0,0,1)</f>
        <v>0</v>
      </c>
      <c r="K1207" s="20" t="str">
        <f aca="false">IF($J1207=0,"",SUM($J$1190:$J1207))</f>
        <v/>
      </c>
      <c r="L1207" s="20" t="str">
        <f aca="false">IF($K1207="","",$A1207*100+$K1207)</f>
        <v/>
      </c>
      <c r="M1207" s="48" t="str">
        <f aca="false">参数!$B$3</f>
        <v>7月收入</v>
      </c>
    </row>
    <row r="1208" customFormat="false" ht="13.5" hidden="false" customHeight="false" outlineLevel="0" collapsed="false">
      <c r="A1208" s="47" t="n">
        <v>55</v>
      </c>
      <c r="B1208" s="38" t="str">
        <f aca="false">助手收入!$B56</f>
        <v/>
      </c>
      <c r="C1208" s="48" t="str">
        <f aca="false">助手收入!$C56</f>
        <v>备用10</v>
      </c>
      <c r="D1208" s="48" t="str">
        <f aca="false">科目对照收入!$B20&amp;""</f>
        <v>积分</v>
      </c>
      <c r="E1208" s="48" t="str">
        <f aca="false">IF(AND(ROUND($G1208,2)&lt;0,科目对照收入!$L20&lt;&gt;""),科目对照收入!$L20,科目对照收入!$C20)&amp;""</f>
        <v>销售费用</v>
      </c>
      <c r="F1208" s="48" t="str">
        <f aca="false">IF(AND(ROUND($G1208,2)&lt;0,科目对照收入!$L20&lt;&gt;""),科目对照收入!$M20,科目对照收入!$D20)&amp;""</f>
        <v>积分</v>
      </c>
      <c r="G1208" s="49" t="n">
        <f aca="false">ROUND(海典汇总!$R$57,2)</f>
        <v>0</v>
      </c>
      <c r="H1208" s="49" t="str">
        <f aca="false">IF(ROUND($G1208,2)&gt;0,ROUND($G1208,2),"")</f>
        <v/>
      </c>
      <c r="I1208" s="49" t="str">
        <f aca="false">IF(ROUND($G1208,2)&lt;0,-ROUND($G1208,2),"")</f>
        <v/>
      </c>
      <c r="J1208" s="20" t="n">
        <f aca="false">IF(ROUND($G1208,2)=0,0,1)</f>
        <v>0</v>
      </c>
      <c r="K1208" s="20" t="str">
        <f aca="false">IF($J1208=0,"",SUM($J$1190:$J1208))</f>
        <v/>
      </c>
      <c r="L1208" s="20" t="str">
        <f aca="false">IF($K1208="","",$A1208*100+$K1208)</f>
        <v/>
      </c>
      <c r="M1208" s="48" t="str">
        <f aca="false">参数!$B$3</f>
        <v>7月收入</v>
      </c>
    </row>
    <row r="1209" customFormat="false" ht="13.5" hidden="false" customHeight="false" outlineLevel="0" collapsed="false">
      <c r="A1209" s="47" t="n">
        <v>55</v>
      </c>
      <c r="B1209" s="38" t="str">
        <f aca="false">助手收入!$B56</f>
        <v/>
      </c>
      <c r="C1209" s="48" t="str">
        <f aca="false">助手收入!$C56</f>
        <v>备用10</v>
      </c>
      <c r="D1209" s="48" t="str">
        <f aca="false">科目对照收入!$B21&amp;""</f>
        <v>手续费</v>
      </c>
      <c r="E1209" s="48" t="str">
        <f aca="false">IF(AND(ROUND($G1209,2)&lt;0,科目对照收入!$L21&lt;&gt;""),科目对照收入!$L21,科目对照收入!$C21)&amp;""</f>
        <v>财务费用</v>
      </c>
      <c r="F1209" s="48" t="str">
        <f aca="false">IF(AND(ROUND($G1209,2)&lt;0,科目对照收入!$L21&lt;&gt;""),科目对照收入!$M21,科目对照收入!$D21)&amp;""</f>
        <v>手续费</v>
      </c>
      <c r="G1209" s="49" t="n">
        <f aca="false">ROUND(SUMIFS(输入聚合!$D:$D,输入聚合!$A:$A,助手收入!$X56),2)</f>
        <v>0</v>
      </c>
      <c r="H1209" s="49" t="str">
        <f aca="false">IF(ROUND($G1209,2)&gt;0,ROUND($G1209,2),"")</f>
        <v/>
      </c>
      <c r="I1209" s="49" t="str">
        <f aca="false">IF(ROUND($G1209,2)&lt;0,-ROUND($G1209,2),"")</f>
        <v/>
      </c>
      <c r="J1209" s="20" t="n">
        <f aca="false">IF(ROUND($G1209,2)=0,0,1)</f>
        <v>0</v>
      </c>
      <c r="K1209" s="20" t="str">
        <f aca="false">IF($J1209=0,"",SUM($J$1190:$J1209))</f>
        <v/>
      </c>
      <c r="L1209" s="20" t="str">
        <f aca="false">IF($K1209="","",$A1209*100+$K1209)</f>
        <v/>
      </c>
      <c r="M1209" s="48" t="str">
        <f aca="false">参数!$B$3</f>
        <v>7月收入</v>
      </c>
    </row>
    <row r="1210" customFormat="false" ht="13.5" hidden="false" customHeight="false" outlineLevel="0" collapsed="false">
      <c r="A1210" s="47" t="n">
        <v>55</v>
      </c>
      <c r="B1210" s="38" t="str">
        <f aca="false">助手收入!$B56</f>
        <v/>
      </c>
      <c r="C1210" s="48" t="str">
        <f aca="false">助手收入!$C56</f>
        <v>备用10</v>
      </c>
      <c r="D1210" s="48" t="str">
        <f aca="false">科目对照收入!$B22&amp;""</f>
        <v>主营业务收入</v>
      </c>
      <c r="E1210" s="48" t="str">
        <f aca="false">IF(AND(ROUND($G1210,2)&lt;0,科目对照收入!$L22&lt;&gt;""),科目对照收入!$L22,科目对照收入!$C22)&amp;""</f>
        <v>主营业务收入</v>
      </c>
      <c r="F1210" s="48" t="str">
        <f aca="false">IF(AND(ROUND($G1210,2)&lt;0,科目对照收入!$L22&lt;&gt;""),科目对照收入!$M22,科目对照收入!$D22)&amp;""</f>
        <v/>
      </c>
      <c r="G1210" s="49" t="n">
        <f aca="false">-ROUND(助手收入!$G56,2)</f>
        <v>-0</v>
      </c>
      <c r="H1210" s="49" t="str">
        <f aca="false">IF(ROUND($G1210,2)&gt;0,ROUND($G1210,2),"")</f>
        <v/>
      </c>
      <c r="I1210" s="49" t="str">
        <f aca="false">IF(ROUND($G1210,2)&lt;0,-ROUND($G1210,2),"")</f>
        <v/>
      </c>
      <c r="J1210" s="20" t="n">
        <f aca="false">IF(ROUND($G1210,2)=0,0,1)</f>
        <v>0</v>
      </c>
      <c r="K1210" s="20" t="str">
        <f aca="false">IF($J1210=0,"",SUM($J$1190:$J1210))</f>
        <v/>
      </c>
      <c r="L1210" s="20" t="str">
        <f aca="false">IF($K1210="","",$A1210*100+$K1210)</f>
        <v/>
      </c>
      <c r="M1210" s="48" t="str">
        <f aca="false">参数!$B$3</f>
        <v>7月收入</v>
      </c>
    </row>
    <row r="1211" customFormat="false" ht="13.5" hidden="false" customHeight="false" outlineLevel="0" collapsed="false">
      <c r="A1211" s="47" t="n">
        <v>55</v>
      </c>
      <c r="B1211" s="38" t="str">
        <f aca="false">助手收入!$B56</f>
        <v/>
      </c>
      <c r="C1211" s="48" t="str">
        <f aca="false">助手收入!$C56</f>
        <v>备用10</v>
      </c>
      <c r="D1211" s="48" t="str">
        <f aca="false">科目对照收入!$B23&amp;""</f>
        <v>营业外收入</v>
      </c>
      <c r="E1211" s="48" t="str">
        <f aca="false">IF(AND(ROUND($G1211,2)&lt;0,科目对照收入!$L23&lt;&gt;""),科目对照收入!$L23,科目对照收入!$C23)&amp;""</f>
        <v>营业外收入</v>
      </c>
      <c r="F1211" s="48" t="str">
        <f aca="false">IF(AND(ROUND($G1211,2)&lt;0,科目对照收入!$L23&lt;&gt;""),科目对照收入!$M23,科目对照收入!$D23)&amp;""</f>
        <v/>
      </c>
      <c r="G1211" s="49" t="n">
        <f aca="false">-ROUND(助手收入!$J56,2)</f>
        <v>-0</v>
      </c>
      <c r="H1211" s="49" t="str">
        <f aca="false">IF(ROUND($G1211,2)&gt;0,ROUND($G1211,2),"")</f>
        <v/>
      </c>
      <c r="I1211" s="49" t="str">
        <f aca="false">IF(ROUND($G1211,2)&lt;0,-ROUND($G1211,2),"")</f>
        <v/>
      </c>
      <c r="J1211" s="20" t="n">
        <f aca="false">IF(ROUND($G1211,2)=0,0,1)</f>
        <v>0</v>
      </c>
      <c r="K1211" s="20" t="str">
        <f aca="false">IF($J1211=0,"",SUM($J$1190:$J1211))</f>
        <v/>
      </c>
      <c r="L1211" s="20" t="str">
        <f aca="false">IF($K1211="","",$A1211*100+$K1211)</f>
        <v/>
      </c>
      <c r="M1211" s="48" t="str">
        <f aca="false">参数!$B$3</f>
        <v>7月收入</v>
      </c>
    </row>
    <row r="1212" customFormat="false" ht="13.5" hidden="false" customHeight="false" outlineLevel="0" collapsed="false">
      <c r="A1212" s="47" t="n">
        <v>56</v>
      </c>
      <c r="B1212" s="38" t="str">
        <f aca="false">助手收入!$B57</f>
        <v/>
      </c>
      <c r="C1212" s="48" t="str">
        <f aca="false">助手收入!$C57</f>
        <v>备用11</v>
      </c>
      <c r="D1212" s="48" t="str">
        <f aca="false">科目对照收入!$B2&amp;""</f>
        <v>库存现金</v>
      </c>
      <c r="E1212" s="48" t="str">
        <f aca="false">IF(AND(ROUND($G1212,2)&lt;0,科目对照收入!$L2&lt;&gt;""),科目对照收入!$L2,科目对照收入!$C2)&amp;""</f>
        <v>库存现金</v>
      </c>
      <c r="F1212" s="48" t="str">
        <f aca="false">IF(AND(ROUND($G1212,2)&lt;0,科目对照收入!$L2&lt;&gt;""),科目对照收入!$M2,科目对照收入!$D2)&amp;""</f>
        <v/>
      </c>
      <c r="G1212" s="49" t="n">
        <f aca="false">助手收入!$I57</f>
        <v>0</v>
      </c>
      <c r="H1212" s="49" t="str">
        <f aca="false">IF(ROUND($G1212,2)&gt;0,ROUND($G1212,2),"")</f>
        <v/>
      </c>
      <c r="I1212" s="49" t="str">
        <f aca="false">IF(ROUND($G1212,2)&lt;0,-ROUND($G1212,2),"")</f>
        <v/>
      </c>
      <c r="J1212" s="20" t="n">
        <f aca="false">IF(ROUND($G1212,2)=0,0,1)</f>
        <v>0</v>
      </c>
      <c r="K1212" s="20" t="str">
        <f aca="false">IF($J1212=0,"",SUM($J$1212:$J1212))</f>
        <v/>
      </c>
      <c r="L1212" s="20" t="str">
        <f aca="false">IF($K1212="","",$A1212*100+$K1212)</f>
        <v/>
      </c>
      <c r="M1212" s="48" t="str">
        <f aca="false">参数!$B$3</f>
        <v>7月收入</v>
      </c>
    </row>
    <row r="1213" customFormat="false" ht="13.5" hidden="false" customHeight="false" outlineLevel="0" collapsed="false">
      <c r="A1213" s="47" t="n">
        <v>56</v>
      </c>
      <c r="B1213" s="38" t="str">
        <f aca="false">助手收入!$B57</f>
        <v/>
      </c>
      <c r="C1213" s="48" t="str">
        <f aca="false">助手收入!$C57</f>
        <v>备用11</v>
      </c>
      <c r="D1213" s="48" t="str">
        <f aca="false">科目对照收入!$B3&amp;""</f>
        <v>聚合支付</v>
      </c>
      <c r="E1213" s="48" t="str">
        <f aca="false">IF(AND(ROUND($G1213,2)&lt;0,科目对照收入!$L3&lt;&gt;""),科目对照收入!$L3,科目对照收入!$C3)&amp;""</f>
        <v>应收账款</v>
      </c>
      <c r="F1213" s="48" t="str">
        <f aca="false">IF(AND(ROUND($G1213,2)&lt;0,科目对照收入!$L3&lt;&gt;""),科目对照收入!$M3,科目对照收入!$D3)&amp;""</f>
        <v>聚合支付</v>
      </c>
      <c r="G1213" s="49" t="n">
        <f aca="false">ROUND(SUMIFS(输入聚合!$C:$C,输入聚合!$A:$A,助手收入!$X57)-SUMIFS(输入聚合!$D:$D,输入聚合!$A:$A,助手收入!$X57),2)</f>
        <v>0</v>
      </c>
      <c r="H1213" s="49" t="str">
        <f aca="false">IF(ROUND($G1213,2)&gt;0,ROUND($G1213,2),"")</f>
        <v/>
      </c>
      <c r="I1213" s="49" t="str">
        <f aca="false">IF(ROUND($G1213,2)&lt;0,-ROUND($G1213,2),"")</f>
        <v/>
      </c>
      <c r="J1213" s="20" t="n">
        <f aca="false">IF(ROUND($G1213,2)=0,0,1)</f>
        <v>0</v>
      </c>
      <c r="K1213" s="20" t="str">
        <f aca="false">IF($J1213=0,"",SUM($J$1212:$J1213))</f>
        <v/>
      </c>
      <c r="L1213" s="20" t="str">
        <f aca="false">IF($K1213="","",$A1213*100+$K1213)</f>
        <v/>
      </c>
      <c r="M1213" s="48" t="str">
        <f aca="false">参数!$B$3</f>
        <v>7月收入</v>
      </c>
    </row>
    <row r="1214" customFormat="false" ht="13.5" hidden="false" customHeight="false" outlineLevel="0" collapsed="false">
      <c r="A1214" s="47" t="n">
        <v>56</v>
      </c>
      <c r="B1214" s="38" t="str">
        <f aca="false">助手收入!$B57</f>
        <v/>
      </c>
      <c r="C1214" s="48" t="str">
        <f aca="false">助手收入!$C57</f>
        <v>备用11</v>
      </c>
      <c r="D1214" s="48" t="str">
        <f aca="false">科目对照收入!$B4&amp;""</f>
        <v>医保</v>
      </c>
      <c r="E1214" s="48" t="str">
        <f aca="false">IF(AND(ROUND($G1214,2)&lt;0,科目对照收入!$L4&lt;&gt;""),科目对照收入!$L4,科目对照收入!$C4)&amp;""</f>
        <v>应收账款</v>
      </c>
      <c r="F1214" s="48" t="str">
        <f aca="false">IF(AND(ROUND($G1214,2)&lt;0,科目对照收入!$L4&lt;&gt;""),科目对照收入!$M4,科目对照收入!$D4)&amp;""</f>
        <v>医保</v>
      </c>
      <c r="G1214" s="49" t="n">
        <f aca="false">IF(COUNTIFS(输入平台!$A:$A,助手收入!$X57,输入平台!$B:$B,科目对照收入!$B4)&gt;0,ROUND(SUMIFS(输入平台!$C:$C,输入平台!$A:$A,助手收入!$X57,输入平台!$B:$B,科目对照收入!$B4),2),ROUND(海典汇总!$F$58+海典汇总!$G$58,2))</f>
        <v>0</v>
      </c>
      <c r="H1214" s="49" t="str">
        <f aca="false">IF(ROUND($G1214,2)&gt;0,ROUND($G1214,2),"")</f>
        <v/>
      </c>
      <c r="I1214" s="49" t="str">
        <f aca="false">IF(ROUND($G1214,2)&lt;0,-ROUND($G1214,2),"")</f>
        <v/>
      </c>
      <c r="J1214" s="20" t="n">
        <f aca="false">IF(ROUND($G1214,2)=0,0,1)</f>
        <v>0</v>
      </c>
      <c r="K1214" s="20" t="str">
        <f aca="false">IF($J1214=0,"",SUM($J$1212:$J1214))</f>
        <v/>
      </c>
      <c r="L1214" s="20" t="str">
        <f aca="false">IF($K1214="","",$A1214*100+$K1214)</f>
        <v/>
      </c>
      <c r="M1214" s="48" t="str">
        <f aca="false">参数!$B$3</f>
        <v>7月收入</v>
      </c>
    </row>
    <row r="1215" customFormat="false" ht="13.5" hidden="false" customHeight="false" outlineLevel="0" collapsed="false">
      <c r="A1215" s="47" t="n">
        <v>56</v>
      </c>
      <c r="B1215" s="38" t="str">
        <f aca="false">助手收入!$B57</f>
        <v/>
      </c>
      <c r="C1215" s="48" t="str">
        <f aca="false">助手收入!$C57</f>
        <v>备用11</v>
      </c>
      <c r="D1215" s="48" t="str">
        <f aca="false">科目对照收入!$B5&amp;""</f>
        <v>健e卡</v>
      </c>
      <c r="E1215" s="48" t="str">
        <f aca="false">IF(AND(ROUND($G1215,2)&lt;0,科目对照收入!$L5&lt;&gt;""),科目对照收入!$L5,科目对照收入!$C5)&amp;""</f>
        <v>应收账款</v>
      </c>
      <c r="F1215" s="48" t="str">
        <f aca="false">IF(AND(ROUND($G1215,2)&lt;0,科目对照收入!$L5&lt;&gt;""),科目对照收入!$M5,科目对照收入!$D5)&amp;""</f>
        <v>健e卡</v>
      </c>
      <c r="G1215" s="49" t="n">
        <f aca="false">IF(COUNTIFS(输入平台!$A:$A,助手收入!$X57,输入平台!$B:$B,科目对照收入!$B5)&gt;0,ROUND(SUMIFS(输入平台!$C:$C,输入平台!$A:$A,助手收入!$X57,输入平台!$B:$B,科目对照收入!$B5),2),ROUND(海典汇总!$H$58,2))</f>
        <v>0</v>
      </c>
      <c r="H1215" s="49" t="str">
        <f aca="false">IF(ROUND($G1215,2)&gt;0,ROUND($G1215,2),"")</f>
        <v/>
      </c>
      <c r="I1215" s="49" t="str">
        <f aca="false">IF(ROUND($G1215,2)&lt;0,-ROUND($G1215,2),"")</f>
        <v/>
      </c>
      <c r="J1215" s="20" t="n">
        <f aca="false">IF(ROUND($G1215,2)=0,0,1)</f>
        <v>0</v>
      </c>
      <c r="K1215" s="20" t="str">
        <f aca="false">IF($J1215=0,"",SUM($J$1212:$J1215))</f>
        <v/>
      </c>
      <c r="L1215" s="20" t="str">
        <f aca="false">IF($K1215="","",$A1215*100+$K1215)</f>
        <v/>
      </c>
      <c r="M1215" s="48" t="str">
        <f aca="false">参数!$B$3</f>
        <v>7月收入</v>
      </c>
    </row>
    <row r="1216" customFormat="false" ht="13.5" hidden="false" customHeight="false" outlineLevel="0" collapsed="false">
      <c r="A1216" s="47" t="n">
        <v>56</v>
      </c>
      <c r="B1216" s="38" t="str">
        <f aca="false">助手收入!$B57</f>
        <v/>
      </c>
      <c r="C1216" s="48" t="str">
        <f aca="false">助手收入!$C57</f>
        <v>备用11</v>
      </c>
      <c r="D1216" s="48" t="str">
        <f aca="false">科目对照收入!$B6&amp;""</f>
        <v>医卡通</v>
      </c>
      <c r="E1216" s="48" t="str">
        <f aca="false">IF(AND(ROUND($G1216,2)&lt;0,科目对照收入!$L6&lt;&gt;""),科目对照收入!$L6,科目对照收入!$C6)&amp;""</f>
        <v>应收账款</v>
      </c>
      <c r="F1216" s="48" t="str">
        <f aca="false">IF(AND(ROUND($G1216,2)&lt;0,科目对照收入!$L6&lt;&gt;""),科目对照收入!$M6,科目对照收入!$D6)&amp;""</f>
        <v>医卡通</v>
      </c>
      <c r="G1216" s="49" t="n">
        <f aca="false">IF(COUNTIFS(输入平台!$A:$A,助手收入!$X57,输入平台!$B:$B,科目对照收入!$B6)&gt;0,ROUND(SUMIFS(输入平台!$C:$C,输入平台!$A:$A,助手收入!$X57,输入平台!$B:$B,科目对照收入!$B6),2),ROUND(海典汇总!$I$58,2))</f>
        <v>0</v>
      </c>
      <c r="H1216" s="49" t="str">
        <f aca="false">IF(ROUND($G1216,2)&gt;0,ROUND($G1216,2),"")</f>
        <v/>
      </c>
      <c r="I1216" s="49" t="str">
        <f aca="false">IF(ROUND($G1216,2)&lt;0,-ROUND($G1216,2),"")</f>
        <v/>
      </c>
      <c r="J1216" s="20" t="n">
        <f aca="false">IF(ROUND($G1216,2)=0,0,1)</f>
        <v>0</v>
      </c>
      <c r="K1216" s="20" t="str">
        <f aca="false">IF($J1216=0,"",SUM($J$1212:$J1216))</f>
        <v/>
      </c>
      <c r="L1216" s="20" t="str">
        <f aca="false">IF($K1216="","",$A1216*100+$K1216)</f>
        <v/>
      </c>
      <c r="M1216" s="48" t="str">
        <f aca="false">参数!$B$3</f>
        <v>7月收入</v>
      </c>
    </row>
    <row r="1217" customFormat="false" ht="13.5" hidden="false" customHeight="false" outlineLevel="0" collapsed="false">
      <c r="A1217" s="47" t="n">
        <v>56</v>
      </c>
      <c r="B1217" s="38" t="str">
        <f aca="false">助手收入!$B57</f>
        <v/>
      </c>
      <c r="C1217" s="48" t="str">
        <f aca="false">助手收入!$C57</f>
        <v>备用11</v>
      </c>
      <c r="D1217" s="48" t="str">
        <f aca="false">科目对照收入!$B7&amp;""</f>
        <v>企健网</v>
      </c>
      <c r="E1217" s="48" t="str">
        <f aca="false">IF(AND(ROUND($G1217,2)&lt;0,科目对照收入!$L7&lt;&gt;""),科目对照收入!$L7,科目对照收入!$C7)&amp;""</f>
        <v>应收账款</v>
      </c>
      <c r="F1217" s="48" t="str">
        <f aca="false">IF(AND(ROUND($G1217,2)&lt;0,科目对照收入!$L7&lt;&gt;""),科目对照收入!$M7,科目对照收入!$D7)&amp;""</f>
        <v>企健网</v>
      </c>
      <c r="G1217" s="49" t="n">
        <f aca="false">IF(COUNTIFS(输入平台!$A:$A,助手收入!$X57,输入平台!$B:$B,科目对照收入!$B7)&gt;0,ROUND(SUMIFS(输入平台!$C:$C,输入平台!$A:$A,助手收入!$X57,输入平台!$B:$B,科目对照收入!$B7),2),ROUND(海典汇总!$J$58,2))</f>
        <v>0</v>
      </c>
      <c r="H1217" s="49" t="str">
        <f aca="false">IF(ROUND($G1217,2)&gt;0,ROUND($G1217,2),"")</f>
        <v/>
      </c>
      <c r="I1217" s="49" t="str">
        <f aca="false">IF(ROUND($G1217,2)&lt;0,-ROUND($G1217,2),"")</f>
        <v/>
      </c>
      <c r="J1217" s="20" t="n">
        <f aca="false">IF(ROUND($G1217,2)=0,0,1)</f>
        <v>0</v>
      </c>
      <c r="K1217" s="20" t="str">
        <f aca="false">IF($J1217=0,"",SUM($J$1212:$J1217))</f>
        <v/>
      </c>
      <c r="L1217" s="20" t="str">
        <f aca="false">IF($K1217="","",$A1217*100+$K1217)</f>
        <v/>
      </c>
      <c r="M1217" s="48" t="str">
        <f aca="false">参数!$B$3</f>
        <v>7月收入</v>
      </c>
    </row>
    <row r="1218" customFormat="false" ht="13.5" hidden="false" customHeight="false" outlineLevel="0" collapsed="false">
      <c r="A1218" s="47" t="n">
        <v>56</v>
      </c>
      <c r="B1218" s="38" t="str">
        <f aca="false">助手收入!$B57</f>
        <v/>
      </c>
      <c r="C1218" s="48" t="str">
        <f aca="false">助手收入!$C57</f>
        <v>备用11</v>
      </c>
      <c r="D1218" s="48" t="str">
        <f aca="false">科目对照收入!$B8&amp;""</f>
        <v>亲情卡</v>
      </c>
      <c r="E1218" s="48" t="str">
        <f aca="false">IF(AND(ROUND($G1218,2)&lt;0,科目对照收入!$L8&lt;&gt;""),科目对照收入!$L8,科目对照收入!$C8)&amp;""</f>
        <v>应收账款</v>
      </c>
      <c r="F1218" s="48" t="str">
        <f aca="false">IF(AND(ROUND($G1218,2)&lt;0,科目对照收入!$L8&lt;&gt;""),科目对照收入!$M8,科目对照收入!$D8)&amp;""</f>
        <v>亲情卡</v>
      </c>
      <c r="G1218" s="49" t="n">
        <f aca="false">IF(COUNTIFS(输入平台!$A:$A,助手收入!$X57,输入平台!$B:$B,科目对照收入!$B8)&gt;0,ROUND(SUMIFS(输入平台!$C:$C,输入平台!$A:$A,助手收入!$X57,输入平台!$B:$B,科目对照收入!$B8),2),ROUND(海典汇总!$Z$58,2))</f>
        <v>0</v>
      </c>
      <c r="H1218" s="49" t="str">
        <f aca="false">IF(ROUND($G1218,2)&gt;0,ROUND($G1218,2),"")</f>
        <v/>
      </c>
      <c r="I1218" s="49" t="str">
        <f aca="false">IF(ROUND($G1218,2)&lt;0,-ROUND($G1218,2),"")</f>
        <v/>
      </c>
      <c r="J1218" s="20" t="n">
        <f aca="false">IF(ROUND($G1218,2)=0,0,1)</f>
        <v>0</v>
      </c>
      <c r="K1218" s="20" t="str">
        <f aca="false">IF($J1218=0,"",SUM($J$1212:$J1218))</f>
        <v/>
      </c>
      <c r="L1218" s="20" t="str">
        <f aca="false">IF($K1218="","",$A1218*100+$K1218)</f>
        <v/>
      </c>
      <c r="M1218" s="48" t="str">
        <f aca="false">参数!$B$3</f>
        <v>7月收入</v>
      </c>
    </row>
    <row r="1219" customFormat="false" ht="13.5" hidden="false" customHeight="false" outlineLevel="0" collapsed="false">
      <c r="A1219" s="47" t="n">
        <v>56</v>
      </c>
      <c r="B1219" s="38" t="str">
        <f aca="false">助手收入!$B57</f>
        <v/>
      </c>
      <c r="C1219" s="48" t="str">
        <f aca="false">助手收入!$C57</f>
        <v>备用11</v>
      </c>
      <c r="D1219" s="48" t="str">
        <f aca="false">科目对照收入!$B9&amp;""</f>
        <v>24小时</v>
      </c>
      <c r="E1219" s="48" t="str">
        <f aca="false">IF(AND(ROUND($G1219,2)&lt;0,科目对照收入!$L9&lt;&gt;""),科目对照收入!$L9,科目对照收入!$C9)&amp;""</f>
        <v>应收账款</v>
      </c>
      <c r="F1219" s="48" t="str">
        <f aca="false">IF(AND(ROUND($G1219,2)&lt;0,科目对照收入!$L9&lt;&gt;""),科目对照收入!$M9,科目对照收入!$D9)&amp;""</f>
        <v>24小时</v>
      </c>
      <c r="G1219" s="49" t="n">
        <f aca="false">IF(COUNTIFS(输入平台!$A:$A,助手收入!$X57,输入平台!$B:$B,科目对照收入!$B9)&gt;0,ROUND(SUMIFS(输入平台!$C:$C,输入平台!$A:$A,助手收入!$X57,输入平台!$B:$B,科目对照收入!$B9),2),ROUND(海典汇总!$K$58,2))</f>
        <v>0</v>
      </c>
      <c r="H1219" s="49" t="str">
        <f aca="false">IF(ROUND($G1219,2)&gt;0,ROUND($G1219,2),"")</f>
        <v/>
      </c>
      <c r="I1219" s="49" t="str">
        <f aca="false">IF(ROUND($G1219,2)&lt;0,-ROUND($G1219,2),"")</f>
        <v/>
      </c>
      <c r="J1219" s="20" t="n">
        <f aca="false">IF(ROUND($G1219,2)=0,0,1)</f>
        <v>0</v>
      </c>
      <c r="K1219" s="20" t="str">
        <f aca="false">IF($J1219=0,"",SUM($J$1212:$J1219))</f>
        <v/>
      </c>
      <c r="L1219" s="20" t="str">
        <f aca="false">IF($K1219="","",$A1219*100+$K1219)</f>
        <v/>
      </c>
      <c r="M1219" s="48" t="str">
        <f aca="false">参数!$B$3</f>
        <v>7月收入</v>
      </c>
    </row>
    <row r="1220" customFormat="false" ht="13.5" hidden="false" customHeight="false" outlineLevel="0" collapsed="false">
      <c r="A1220" s="47" t="n">
        <v>56</v>
      </c>
      <c r="B1220" s="38" t="str">
        <f aca="false">助手收入!$B57</f>
        <v/>
      </c>
      <c r="C1220" s="48" t="str">
        <f aca="false">助手收入!$C57</f>
        <v>备用11</v>
      </c>
      <c r="D1220" s="48" t="str">
        <f aca="false">科目对照收入!$B10&amp;""</f>
        <v>美团</v>
      </c>
      <c r="E1220" s="48" t="str">
        <f aca="false">IF(AND(ROUND($G1220,2)&lt;0,科目对照收入!$L10&lt;&gt;""),科目对照收入!$L10,科目对照收入!$C10)&amp;""</f>
        <v>应收账款</v>
      </c>
      <c r="F1220" s="48" t="str">
        <f aca="false">IF(AND(ROUND($G1220,2)&lt;0,科目对照收入!$L10&lt;&gt;""),科目对照收入!$M10,科目对照收入!$D10)&amp;""</f>
        <v>美团</v>
      </c>
      <c r="G1220" s="49" t="n">
        <f aca="false">IF(COUNTIFS(输入平台!$A:$A,助手收入!$X57,输入平台!$B:$B,科目对照收入!$B10)&gt;0,ROUND(SUMIFS(输入平台!$C:$C,输入平台!$A:$A,助手收入!$X57,输入平台!$B:$B,科目对照收入!$B10),2),ROUND(海典汇总!$M$58,2))</f>
        <v>0</v>
      </c>
      <c r="H1220" s="49" t="str">
        <f aca="false">IF(ROUND($G1220,2)&gt;0,ROUND($G1220,2),"")</f>
        <v/>
      </c>
      <c r="I1220" s="49" t="str">
        <f aca="false">IF(ROUND($G1220,2)&lt;0,-ROUND($G1220,2),"")</f>
        <v/>
      </c>
      <c r="J1220" s="20" t="n">
        <f aca="false">IF(ROUND($G1220,2)=0,0,1)</f>
        <v>0</v>
      </c>
      <c r="K1220" s="20" t="str">
        <f aca="false">IF($J1220=0,"",SUM($J$1212:$J1220))</f>
        <v/>
      </c>
      <c r="L1220" s="20" t="str">
        <f aca="false">IF($K1220="","",$A1220*100+$K1220)</f>
        <v/>
      </c>
      <c r="M1220" s="48" t="str">
        <f aca="false">参数!$B$3</f>
        <v>7月收入</v>
      </c>
    </row>
    <row r="1221" customFormat="false" ht="13.5" hidden="false" customHeight="false" outlineLevel="0" collapsed="false">
      <c r="A1221" s="47" t="n">
        <v>56</v>
      </c>
      <c r="B1221" s="38" t="str">
        <f aca="false">助手收入!$B57</f>
        <v/>
      </c>
      <c r="C1221" s="48" t="str">
        <f aca="false">助手收入!$C57</f>
        <v>备用11</v>
      </c>
      <c r="D1221" s="48" t="str">
        <f aca="false">科目对照收入!$B11&amp;""</f>
        <v>饿了么</v>
      </c>
      <c r="E1221" s="48" t="str">
        <f aca="false">IF(AND(ROUND($G1221,2)&lt;0,科目对照收入!$L11&lt;&gt;""),科目对照收入!$L11,科目对照收入!$C11)&amp;""</f>
        <v>应收账款</v>
      </c>
      <c r="F1221" s="48" t="str">
        <f aca="false">IF(AND(ROUND($G1221,2)&lt;0,科目对照收入!$L11&lt;&gt;""),科目对照收入!$M11,科目对照收入!$D11)&amp;""</f>
        <v>饿了么</v>
      </c>
      <c r="G1221" s="49" t="n">
        <f aca="false">IF(COUNTIFS(输入平台!$A:$A,助手收入!$X57,输入平台!$B:$B,科目对照收入!$B11)&gt;0,ROUND(SUMIFS(输入平台!$C:$C,输入平台!$A:$A,助手收入!$X57,输入平台!$B:$B,科目对照收入!$B11),2),ROUND(海典汇总!$N$58,2))</f>
        <v>0</v>
      </c>
      <c r="H1221" s="49" t="str">
        <f aca="false">IF(ROUND($G1221,2)&gt;0,ROUND($G1221,2),"")</f>
        <v/>
      </c>
      <c r="I1221" s="49" t="str">
        <f aca="false">IF(ROUND($G1221,2)&lt;0,-ROUND($G1221,2),"")</f>
        <v/>
      </c>
      <c r="J1221" s="20" t="n">
        <f aca="false">IF(ROUND($G1221,2)=0,0,1)</f>
        <v>0</v>
      </c>
      <c r="K1221" s="20" t="str">
        <f aca="false">IF($J1221=0,"",SUM($J$1212:$J1221))</f>
        <v/>
      </c>
      <c r="L1221" s="20" t="str">
        <f aca="false">IF($K1221="","",$A1221*100+$K1221)</f>
        <v/>
      </c>
      <c r="M1221" s="48" t="str">
        <f aca="false">参数!$B$3</f>
        <v>7月收入</v>
      </c>
    </row>
    <row r="1222" customFormat="false" ht="13.5" hidden="false" customHeight="false" outlineLevel="0" collapsed="false">
      <c r="A1222" s="47" t="n">
        <v>56</v>
      </c>
      <c r="B1222" s="38" t="str">
        <f aca="false">助手收入!$B57</f>
        <v/>
      </c>
      <c r="C1222" s="48" t="str">
        <f aca="false">助手收入!$C57</f>
        <v>备用11</v>
      </c>
      <c r="D1222" s="48" t="str">
        <f aca="false">科目对照收入!$B12&amp;""</f>
        <v>京东秒送</v>
      </c>
      <c r="E1222" s="48" t="str">
        <f aca="false">IF(AND(ROUND($G1222,2)&lt;0,科目对照收入!$L12&lt;&gt;""),科目对照收入!$L12,科目对照收入!$C12)&amp;""</f>
        <v>应收账款</v>
      </c>
      <c r="F1222" s="48" t="str">
        <f aca="false">IF(AND(ROUND($G1222,2)&lt;0,科目对照收入!$L12&lt;&gt;""),科目对照收入!$M12,科目对照收入!$D12)&amp;""</f>
        <v>京东秒送</v>
      </c>
      <c r="G1222" s="49" t="n">
        <f aca="false">IF(COUNTIFS(输入平台!$A:$A,助手收入!$X57,输入平台!$B:$B,科目对照收入!$B12)&gt;0,ROUND(SUMIFS(输入平台!$C:$C,输入平台!$A:$A,助手收入!$X57,输入平台!$B:$B,科目对照收入!$B12),2),ROUND(海典汇总!$O$58,2))</f>
        <v>0</v>
      </c>
      <c r="H1222" s="49" t="str">
        <f aca="false">IF(ROUND($G1222,2)&gt;0,ROUND($G1222,2),"")</f>
        <v/>
      </c>
      <c r="I1222" s="49" t="str">
        <f aca="false">IF(ROUND($G1222,2)&lt;0,-ROUND($G1222,2),"")</f>
        <v/>
      </c>
      <c r="J1222" s="20" t="n">
        <f aca="false">IF(ROUND($G1222,2)=0,0,1)</f>
        <v>0</v>
      </c>
      <c r="K1222" s="20" t="str">
        <f aca="false">IF($J1222=0,"",SUM($J$1212:$J1222))</f>
        <v/>
      </c>
      <c r="L1222" s="20" t="str">
        <f aca="false">IF($K1222="","",$A1222*100+$K1222)</f>
        <v/>
      </c>
      <c r="M1222" s="48" t="str">
        <f aca="false">参数!$B$3</f>
        <v>7月收入</v>
      </c>
    </row>
    <row r="1223" customFormat="false" ht="13.5" hidden="false" customHeight="false" outlineLevel="0" collapsed="false">
      <c r="A1223" s="47" t="n">
        <v>56</v>
      </c>
      <c r="B1223" s="38" t="str">
        <f aca="false">助手收入!$B57</f>
        <v/>
      </c>
      <c r="C1223" s="48" t="str">
        <f aca="false">助手收入!$C57</f>
        <v>备用11</v>
      </c>
      <c r="D1223" s="48" t="str">
        <f aca="false">科目对照收入!$B13&amp;""</f>
        <v>银联</v>
      </c>
      <c r="E1223" s="48" t="str">
        <f aca="false">IF(AND(ROUND($G1223,2)&lt;0,科目对照收入!$L13&lt;&gt;""),科目对照收入!$L13,科目对照收入!$C13)&amp;""</f>
        <v>应收账款</v>
      </c>
      <c r="F1223" s="48" t="str">
        <f aca="false">IF(AND(ROUND($G1223,2)&lt;0,科目对照收入!$L13&lt;&gt;""),科目对照收入!$M13,科目对照收入!$D13)&amp;""</f>
        <v>银联</v>
      </c>
      <c r="G1223" s="49" t="n">
        <f aca="false">IF(COUNTIFS(输入平台!$A:$A,助手收入!$X57,输入平台!$B:$B,科目对照收入!$B13)&gt;0,ROUND(SUMIFS(输入平台!$C:$C,输入平台!$A:$A,助手收入!$X57,输入平台!$B:$B,科目对照收入!$B13),2),ROUND(海典汇总!$V$58,2))</f>
        <v>0</v>
      </c>
      <c r="H1223" s="49" t="str">
        <f aca="false">IF(ROUND($G1223,2)&gt;0,ROUND($G1223,2),"")</f>
        <v/>
      </c>
      <c r="I1223" s="49" t="str">
        <f aca="false">IF(ROUND($G1223,2)&lt;0,-ROUND($G1223,2),"")</f>
        <v/>
      </c>
      <c r="J1223" s="20" t="n">
        <f aca="false">IF(ROUND($G1223,2)=0,0,1)</f>
        <v>0</v>
      </c>
      <c r="K1223" s="20" t="str">
        <f aca="false">IF($J1223=0,"",SUM($J$1212:$J1223))</f>
        <v/>
      </c>
      <c r="L1223" s="20" t="str">
        <f aca="false">IF($K1223="","",$A1223*100+$K1223)</f>
        <v/>
      </c>
      <c r="M1223" s="48" t="str">
        <f aca="false">参数!$B$3</f>
        <v>7月收入</v>
      </c>
    </row>
    <row r="1224" customFormat="false" ht="13.5" hidden="false" customHeight="false" outlineLevel="0" collapsed="false">
      <c r="A1224" s="47" t="n">
        <v>56</v>
      </c>
      <c r="B1224" s="38" t="str">
        <f aca="false">助手收入!$B57</f>
        <v/>
      </c>
      <c r="C1224" s="48" t="str">
        <f aca="false">助手收入!$C57</f>
        <v>备用11</v>
      </c>
      <c r="D1224" s="48" t="str">
        <f aca="false">科目对照收入!$B14&amp;""</f>
        <v>小镇外卖</v>
      </c>
      <c r="E1224" s="48" t="str">
        <f aca="false">IF(AND(ROUND($G1224,2)&lt;0,科目对照收入!$L14&lt;&gt;""),科目对照收入!$L14,科目对照收入!$C14)&amp;""</f>
        <v>应收账款</v>
      </c>
      <c r="F1224" s="48" t="str">
        <f aca="false">IF(AND(ROUND($G1224,2)&lt;0,科目对照收入!$L14&lt;&gt;""),科目对照收入!$M14,科目对照收入!$D14)&amp;""</f>
        <v>小镇外卖</v>
      </c>
      <c r="G1224" s="49" t="n">
        <f aca="false">IF(COUNTIFS(输入平台!$A:$A,助手收入!$X57,输入平台!$B:$B,科目对照收入!$B14)&gt;0,ROUND(SUMIFS(输入平台!$C:$C,输入平台!$A:$A,助手收入!$X57,输入平台!$B:$B,科目对照收入!$B14),2),ROUND(海典汇总!$AC$58,2))</f>
        <v>0</v>
      </c>
      <c r="H1224" s="49" t="str">
        <f aca="false">IF(ROUND($G1224,2)&gt;0,ROUND($G1224,2),"")</f>
        <v/>
      </c>
      <c r="I1224" s="49" t="str">
        <f aca="false">IF(ROUND($G1224,2)&lt;0,-ROUND($G1224,2),"")</f>
        <v/>
      </c>
      <c r="J1224" s="20" t="n">
        <f aca="false">IF(ROUND($G1224,2)=0,0,1)</f>
        <v>0</v>
      </c>
      <c r="K1224" s="20" t="str">
        <f aca="false">IF($J1224=0,"",SUM($J$1212:$J1224))</f>
        <v/>
      </c>
      <c r="L1224" s="20" t="str">
        <f aca="false">IF($K1224="","",$A1224*100+$K1224)</f>
        <v/>
      </c>
      <c r="M1224" s="48" t="str">
        <f aca="false">参数!$B$3</f>
        <v>7月收入</v>
      </c>
    </row>
    <row r="1225" customFormat="false" ht="13.5" hidden="false" customHeight="false" outlineLevel="0" collapsed="false">
      <c r="A1225" s="47" t="n">
        <v>56</v>
      </c>
      <c r="B1225" s="38" t="str">
        <f aca="false">助手收入!$B57</f>
        <v/>
      </c>
      <c r="C1225" s="48" t="str">
        <f aca="false">助手收入!$C57</f>
        <v>备用11</v>
      </c>
      <c r="D1225" s="48" t="str">
        <f aca="false">科目对照收入!$B15&amp;""</f>
        <v>OMS线上支付</v>
      </c>
      <c r="E1225" s="48" t="str">
        <f aca="false">IF(AND(ROUND($G1225,2)&lt;0,科目对照收入!$L15&lt;&gt;""),科目对照收入!$L15,科目对照收入!$C15)&amp;""</f>
        <v>应收账款</v>
      </c>
      <c r="F1225" s="48" t="str">
        <f aca="false">IF(AND(ROUND($G1225,2)&lt;0,科目对照收入!$L15&lt;&gt;""),科目对照收入!$M15,科目对照收入!$D15)&amp;""</f>
        <v>OMS线上</v>
      </c>
      <c r="G1225" s="49" t="n">
        <f aca="false">IF(COUNTIFS(输入平台!$A:$A,助手收入!$X57,输入平台!$B:$B,科目对照收入!$B15)&gt;0,ROUND(SUMIFS(输入平台!$C:$C,输入平台!$A:$A,助手收入!$X57,输入平台!$B:$B,科目对照收入!$B15),2),ROUND(海典汇总!$L$58,2))</f>
        <v>0</v>
      </c>
      <c r="H1225" s="49" t="str">
        <f aca="false">IF(ROUND($G1225,2)&gt;0,ROUND($G1225,2),"")</f>
        <v/>
      </c>
      <c r="I1225" s="49" t="str">
        <f aca="false">IF(ROUND($G1225,2)&lt;0,-ROUND($G1225,2),"")</f>
        <v/>
      </c>
      <c r="J1225" s="20" t="n">
        <f aca="false">IF(ROUND($G1225,2)=0,0,1)</f>
        <v>0</v>
      </c>
      <c r="K1225" s="20" t="str">
        <f aca="false">IF($J1225=0,"",SUM($J$1212:$J1225))</f>
        <v/>
      </c>
      <c r="L1225" s="20" t="str">
        <f aca="false">IF($K1225="","",$A1225*100+$K1225)</f>
        <v/>
      </c>
      <c r="M1225" s="48" t="str">
        <f aca="false">参数!$B$3</f>
        <v>7月收入</v>
      </c>
    </row>
    <row r="1226" customFormat="false" ht="13.5" hidden="false" customHeight="false" outlineLevel="0" collapsed="false">
      <c r="A1226" s="47" t="n">
        <v>56</v>
      </c>
      <c r="B1226" s="38" t="str">
        <f aca="false">助手收入!$B57</f>
        <v/>
      </c>
      <c r="C1226" s="48" t="str">
        <f aca="false">助手收入!$C57</f>
        <v>备用11</v>
      </c>
      <c r="D1226" s="48" t="str">
        <f aca="false">科目对照收入!$B16&amp;""</f>
        <v>平安药卡</v>
      </c>
      <c r="E1226" s="48" t="str">
        <f aca="false">IF(AND(ROUND($G1226,2)&lt;0,科目对照收入!$L16&lt;&gt;""),科目对照收入!$L16,科目对照收入!$C16)&amp;""</f>
        <v>应收账款</v>
      </c>
      <c r="F1226" s="48" t="str">
        <f aca="false">IF(AND(ROUND($G1226,2)&lt;0,科目对照收入!$L16&lt;&gt;""),科目对照收入!$M16,科目对照收入!$D16)&amp;""</f>
        <v>平安</v>
      </c>
      <c r="G1226" s="49" t="n">
        <f aca="false">IF(COUNTIFS(输入平台!$A:$A,助手收入!$X57,输入平台!$B:$B,科目对照收入!$B16)&gt;0,ROUND(SUMIFS(输入平台!$C:$C,输入平台!$A:$A,助手收入!$X57,输入平台!$B:$B,科目对照收入!$B16),2),ROUND(海典汇总!$AB$58,2))</f>
        <v>0</v>
      </c>
      <c r="H1226" s="49" t="str">
        <f aca="false">IF(ROUND($G1226,2)&gt;0,ROUND($G1226,2),"")</f>
        <v/>
      </c>
      <c r="I1226" s="49" t="str">
        <f aca="false">IF(ROUND($G1226,2)&lt;0,-ROUND($G1226,2),"")</f>
        <v/>
      </c>
      <c r="J1226" s="20" t="n">
        <f aca="false">IF(ROUND($G1226,2)=0,0,1)</f>
        <v>0</v>
      </c>
      <c r="K1226" s="20" t="str">
        <f aca="false">IF($J1226=0,"",SUM($J$1212:$J1226))</f>
        <v/>
      </c>
      <c r="L1226" s="20" t="str">
        <f aca="false">IF($K1226="","",$A1226*100+$K1226)</f>
        <v/>
      </c>
      <c r="M1226" s="48" t="str">
        <f aca="false">参数!$B$3</f>
        <v>7月收入</v>
      </c>
    </row>
    <row r="1227" customFormat="false" ht="13.5" hidden="false" customHeight="false" outlineLevel="0" collapsed="false">
      <c r="A1227" s="47" t="n">
        <v>56</v>
      </c>
      <c r="B1227" s="38" t="str">
        <f aca="false">助手收入!$B57</f>
        <v/>
      </c>
      <c r="C1227" s="48" t="str">
        <f aca="false">助手收入!$C57</f>
        <v>备用11</v>
      </c>
      <c r="D1227" s="48" t="str">
        <f aca="false">科目对照收入!$B17&amp;""</f>
        <v>储值卡</v>
      </c>
      <c r="E1227" s="48" t="str">
        <f aca="false">IF(AND(ROUND($G1227,2)&lt;0,科目对照收入!$L17&lt;&gt;""),科目对照收入!$L17,科目对照收入!$C17)&amp;""</f>
        <v>其他应收款</v>
      </c>
      <c r="F1227" s="48" t="str">
        <f aca="false">IF(AND(ROUND($G1227,2)&lt;0,科目对照收入!$L17&lt;&gt;""),科目对照收入!$M17,科目对照收入!$D17)&amp;""</f>
        <v>储值卡</v>
      </c>
      <c r="G1227" s="49" t="n">
        <f aca="false">ROUND(海典汇总!$Q$58,2)</f>
        <v>0</v>
      </c>
      <c r="H1227" s="49" t="str">
        <f aca="false">IF(ROUND($G1227,2)&gt;0,ROUND($G1227,2),"")</f>
        <v/>
      </c>
      <c r="I1227" s="49" t="str">
        <f aca="false">IF(ROUND($G1227,2)&lt;0,-ROUND($G1227,2),"")</f>
        <v/>
      </c>
      <c r="J1227" s="20" t="n">
        <f aca="false">IF(ROUND($G1227,2)=0,0,1)</f>
        <v>0</v>
      </c>
      <c r="K1227" s="20" t="str">
        <f aca="false">IF($J1227=0,"",SUM($J$1212:$J1227))</f>
        <v/>
      </c>
      <c r="L1227" s="20" t="str">
        <f aca="false">IF($K1227="","",$A1227*100+$K1227)</f>
        <v/>
      </c>
      <c r="M1227" s="48" t="str">
        <f aca="false">参数!$B$3</f>
        <v>7月收入</v>
      </c>
    </row>
    <row r="1228" customFormat="false" ht="13.5" hidden="false" customHeight="false" outlineLevel="0" collapsed="false">
      <c r="A1228" s="47" t="n">
        <v>56</v>
      </c>
      <c r="B1228" s="38" t="str">
        <f aca="false">助手收入!$B57</f>
        <v/>
      </c>
      <c r="C1228" s="48" t="str">
        <f aca="false">助手收入!$C57</f>
        <v>备用11</v>
      </c>
      <c r="D1228" s="48" t="str">
        <f aca="false">科目对照收入!$B18&amp;""</f>
        <v>会员零钱包</v>
      </c>
      <c r="E1228" s="48" t="str">
        <f aca="false">IF(AND(ROUND($G1228,2)&lt;0,科目对照收入!$L18&lt;&gt;""),科目对照收入!$L18,科目对照收入!$C18)&amp;""</f>
        <v>其他应收款</v>
      </c>
      <c r="F1228" s="48" t="str">
        <f aca="false">IF(AND(ROUND($G1228,2)&lt;0,科目对照收入!$L18&lt;&gt;""),科目对照收入!$M18,科目对照收入!$D18)&amp;""</f>
        <v>会员零钱包</v>
      </c>
      <c r="G1228" s="49" t="n">
        <f aca="false">ROUND(海典汇总!$P$58,2)</f>
        <v>0</v>
      </c>
      <c r="H1228" s="49" t="str">
        <f aca="false">IF(ROUND($G1228,2)&gt;0,ROUND($G1228,2),"")</f>
        <v/>
      </c>
      <c r="I1228" s="49" t="str">
        <f aca="false">IF(ROUND($G1228,2)&lt;0,-ROUND($G1228,2),"")</f>
        <v/>
      </c>
      <c r="J1228" s="20" t="n">
        <f aca="false">IF(ROUND($G1228,2)=0,0,1)</f>
        <v>0</v>
      </c>
      <c r="K1228" s="20" t="str">
        <f aca="false">IF($J1228=0,"",SUM($J$1212:$J1228))</f>
        <v/>
      </c>
      <c r="L1228" s="20" t="str">
        <f aca="false">IF($K1228="","",$A1228*100+$K1228)</f>
        <v/>
      </c>
      <c r="M1228" s="48" t="str">
        <f aca="false">参数!$B$3</f>
        <v>7月收入</v>
      </c>
    </row>
    <row r="1229" customFormat="false" ht="13.5" hidden="false" customHeight="false" outlineLevel="0" collapsed="false">
      <c r="A1229" s="47" t="n">
        <v>56</v>
      </c>
      <c r="B1229" s="38" t="str">
        <f aca="false">助手收入!$B57</f>
        <v/>
      </c>
      <c r="C1229" s="48" t="str">
        <f aca="false">助手收入!$C57</f>
        <v>备用11</v>
      </c>
      <c r="D1229" s="48" t="str">
        <f aca="false">科目对照收入!$B19&amp;""</f>
        <v>促销费</v>
      </c>
      <c r="E1229" s="48" t="str">
        <f aca="false">IF(AND(ROUND($G1229,2)&lt;0,科目对照收入!$L19&lt;&gt;""),科目对照收入!$L19,科目对照收入!$C19)&amp;""</f>
        <v>销售费用</v>
      </c>
      <c r="F1229" s="48" t="str">
        <f aca="false">IF(AND(ROUND($G1229,2)&lt;0,科目对照收入!$L19&lt;&gt;""),科目对照收入!$M19,科目对照收入!$D19)&amp;""</f>
        <v>促销费</v>
      </c>
      <c r="G1229" s="49" t="n">
        <f aca="false">ROUND(海典汇总!$U$58+海典汇总!$T$58+海典汇总!$S$58,2)</f>
        <v>0</v>
      </c>
      <c r="H1229" s="49" t="str">
        <f aca="false">IF(ROUND($G1229,2)&gt;0,ROUND($G1229,2),"")</f>
        <v/>
      </c>
      <c r="I1229" s="49" t="str">
        <f aca="false">IF(ROUND($G1229,2)&lt;0,-ROUND($G1229,2),"")</f>
        <v/>
      </c>
      <c r="J1229" s="20" t="n">
        <f aca="false">IF(ROUND($G1229,2)=0,0,1)</f>
        <v>0</v>
      </c>
      <c r="K1229" s="20" t="str">
        <f aca="false">IF($J1229=0,"",SUM($J$1212:$J1229))</f>
        <v/>
      </c>
      <c r="L1229" s="20" t="str">
        <f aca="false">IF($K1229="","",$A1229*100+$K1229)</f>
        <v/>
      </c>
      <c r="M1229" s="48" t="str">
        <f aca="false">参数!$B$3</f>
        <v>7月收入</v>
      </c>
    </row>
    <row r="1230" customFormat="false" ht="13.5" hidden="false" customHeight="false" outlineLevel="0" collapsed="false">
      <c r="A1230" s="47" t="n">
        <v>56</v>
      </c>
      <c r="B1230" s="38" t="str">
        <f aca="false">助手收入!$B57</f>
        <v/>
      </c>
      <c r="C1230" s="48" t="str">
        <f aca="false">助手收入!$C57</f>
        <v>备用11</v>
      </c>
      <c r="D1230" s="48" t="str">
        <f aca="false">科目对照收入!$B20&amp;""</f>
        <v>积分</v>
      </c>
      <c r="E1230" s="48" t="str">
        <f aca="false">IF(AND(ROUND($G1230,2)&lt;0,科目对照收入!$L20&lt;&gt;""),科目对照收入!$L20,科目对照收入!$C20)&amp;""</f>
        <v>销售费用</v>
      </c>
      <c r="F1230" s="48" t="str">
        <f aca="false">IF(AND(ROUND($G1230,2)&lt;0,科目对照收入!$L20&lt;&gt;""),科目对照收入!$M20,科目对照收入!$D20)&amp;""</f>
        <v>积分</v>
      </c>
      <c r="G1230" s="49" t="n">
        <f aca="false">ROUND(海典汇总!$R$58,2)</f>
        <v>0</v>
      </c>
      <c r="H1230" s="49" t="str">
        <f aca="false">IF(ROUND($G1230,2)&gt;0,ROUND($G1230,2),"")</f>
        <v/>
      </c>
      <c r="I1230" s="49" t="str">
        <f aca="false">IF(ROUND($G1230,2)&lt;0,-ROUND($G1230,2),"")</f>
        <v/>
      </c>
      <c r="J1230" s="20" t="n">
        <f aca="false">IF(ROUND($G1230,2)=0,0,1)</f>
        <v>0</v>
      </c>
      <c r="K1230" s="20" t="str">
        <f aca="false">IF($J1230=0,"",SUM($J$1212:$J1230))</f>
        <v/>
      </c>
      <c r="L1230" s="20" t="str">
        <f aca="false">IF($K1230="","",$A1230*100+$K1230)</f>
        <v/>
      </c>
      <c r="M1230" s="48" t="str">
        <f aca="false">参数!$B$3</f>
        <v>7月收入</v>
      </c>
    </row>
    <row r="1231" customFormat="false" ht="13.5" hidden="false" customHeight="false" outlineLevel="0" collapsed="false">
      <c r="A1231" s="47" t="n">
        <v>56</v>
      </c>
      <c r="B1231" s="38" t="str">
        <f aca="false">助手收入!$B57</f>
        <v/>
      </c>
      <c r="C1231" s="48" t="str">
        <f aca="false">助手收入!$C57</f>
        <v>备用11</v>
      </c>
      <c r="D1231" s="48" t="str">
        <f aca="false">科目对照收入!$B21&amp;""</f>
        <v>手续费</v>
      </c>
      <c r="E1231" s="48" t="str">
        <f aca="false">IF(AND(ROUND($G1231,2)&lt;0,科目对照收入!$L21&lt;&gt;""),科目对照收入!$L21,科目对照收入!$C21)&amp;""</f>
        <v>财务费用</v>
      </c>
      <c r="F1231" s="48" t="str">
        <f aca="false">IF(AND(ROUND($G1231,2)&lt;0,科目对照收入!$L21&lt;&gt;""),科目对照收入!$M21,科目对照收入!$D21)&amp;""</f>
        <v>手续费</v>
      </c>
      <c r="G1231" s="49" t="n">
        <f aca="false">ROUND(SUMIFS(输入聚合!$D:$D,输入聚合!$A:$A,助手收入!$X57),2)</f>
        <v>0</v>
      </c>
      <c r="H1231" s="49" t="str">
        <f aca="false">IF(ROUND($G1231,2)&gt;0,ROUND($G1231,2),"")</f>
        <v/>
      </c>
      <c r="I1231" s="49" t="str">
        <f aca="false">IF(ROUND($G1231,2)&lt;0,-ROUND($G1231,2),"")</f>
        <v/>
      </c>
      <c r="J1231" s="20" t="n">
        <f aca="false">IF(ROUND($G1231,2)=0,0,1)</f>
        <v>0</v>
      </c>
      <c r="K1231" s="20" t="str">
        <f aca="false">IF($J1231=0,"",SUM($J$1212:$J1231))</f>
        <v/>
      </c>
      <c r="L1231" s="20" t="str">
        <f aca="false">IF($K1231="","",$A1231*100+$K1231)</f>
        <v/>
      </c>
      <c r="M1231" s="48" t="str">
        <f aca="false">参数!$B$3</f>
        <v>7月收入</v>
      </c>
    </row>
    <row r="1232" customFormat="false" ht="13.5" hidden="false" customHeight="false" outlineLevel="0" collapsed="false">
      <c r="A1232" s="47" t="n">
        <v>56</v>
      </c>
      <c r="B1232" s="38" t="str">
        <f aca="false">助手收入!$B57</f>
        <v/>
      </c>
      <c r="C1232" s="48" t="str">
        <f aca="false">助手收入!$C57</f>
        <v>备用11</v>
      </c>
      <c r="D1232" s="48" t="str">
        <f aca="false">科目对照收入!$B22&amp;""</f>
        <v>主营业务收入</v>
      </c>
      <c r="E1232" s="48" t="str">
        <f aca="false">IF(AND(ROUND($G1232,2)&lt;0,科目对照收入!$L22&lt;&gt;""),科目对照收入!$L22,科目对照收入!$C22)&amp;""</f>
        <v>主营业务收入</v>
      </c>
      <c r="F1232" s="48" t="str">
        <f aca="false">IF(AND(ROUND($G1232,2)&lt;0,科目对照收入!$L22&lt;&gt;""),科目对照收入!$M22,科目对照收入!$D22)&amp;""</f>
        <v/>
      </c>
      <c r="G1232" s="49" t="n">
        <f aca="false">-ROUND(助手收入!$G57,2)</f>
        <v>-0</v>
      </c>
      <c r="H1232" s="49" t="str">
        <f aca="false">IF(ROUND($G1232,2)&gt;0,ROUND($G1232,2),"")</f>
        <v/>
      </c>
      <c r="I1232" s="49" t="str">
        <f aca="false">IF(ROUND($G1232,2)&lt;0,-ROUND($G1232,2),"")</f>
        <v/>
      </c>
      <c r="J1232" s="20" t="n">
        <f aca="false">IF(ROUND($G1232,2)=0,0,1)</f>
        <v>0</v>
      </c>
      <c r="K1232" s="20" t="str">
        <f aca="false">IF($J1232=0,"",SUM($J$1212:$J1232))</f>
        <v/>
      </c>
      <c r="L1232" s="20" t="str">
        <f aca="false">IF($K1232="","",$A1232*100+$K1232)</f>
        <v/>
      </c>
      <c r="M1232" s="48" t="str">
        <f aca="false">参数!$B$3</f>
        <v>7月收入</v>
      </c>
    </row>
    <row r="1233" customFormat="false" ht="13.5" hidden="false" customHeight="false" outlineLevel="0" collapsed="false">
      <c r="A1233" s="47" t="n">
        <v>56</v>
      </c>
      <c r="B1233" s="38" t="str">
        <f aca="false">助手收入!$B57</f>
        <v/>
      </c>
      <c r="C1233" s="48" t="str">
        <f aca="false">助手收入!$C57</f>
        <v>备用11</v>
      </c>
      <c r="D1233" s="48" t="str">
        <f aca="false">科目对照收入!$B23&amp;""</f>
        <v>营业外收入</v>
      </c>
      <c r="E1233" s="48" t="str">
        <f aca="false">IF(AND(ROUND($G1233,2)&lt;0,科目对照收入!$L23&lt;&gt;""),科目对照收入!$L23,科目对照收入!$C23)&amp;""</f>
        <v>营业外收入</v>
      </c>
      <c r="F1233" s="48" t="str">
        <f aca="false">IF(AND(ROUND($G1233,2)&lt;0,科目对照收入!$L23&lt;&gt;""),科目对照收入!$M23,科目对照收入!$D23)&amp;""</f>
        <v/>
      </c>
      <c r="G1233" s="49" t="n">
        <f aca="false">-ROUND(助手收入!$J57,2)</f>
        <v>-0</v>
      </c>
      <c r="H1233" s="49" t="str">
        <f aca="false">IF(ROUND($G1233,2)&gt;0,ROUND($G1233,2),"")</f>
        <v/>
      </c>
      <c r="I1233" s="49" t="str">
        <f aca="false">IF(ROUND($G1233,2)&lt;0,-ROUND($G1233,2),"")</f>
        <v/>
      </c>
      <c r="J1233" s="20" t="n">
        <f aca="false">IF(ROUND($G1233,2)=0,0,1)</f>
        <v>0</v>
      </c>
      <c r="K1233" s="20" t="str">
        <f aca="false">IF($J1233=0,"",SUM($J$1212:$J1233))</f>
        <v/>
      </c>
      <c r="L1233" s="20" t="str">
        <f aca="false">IF($K1233="","",$A1233*100+$K1233)</f>
        <v/>
      </c>
      <c r="M1233" s="48" t="str">
        <f aca="false">参数!$B$3</f>
        <v>7月收入</v>
      </c>
    </row>
    <row r="1234" customFormat="false" ht="13.5" hidden="false" customHeight="false" outlineLevel="0" collapsed="false">
      <c r="A1234" s="47" t="n">
        <v>57</v>
      </c>
      <c r="B1234" s="38" t="str">
        <f aca="false">助手收入!$B58</f>
        <v/>
      </c>
      <c r="C1234" s="48" t="str">
        <f aca="false">助手收入!$C58</f>
        <v>备用12</v>
      </c>
      <c r="D1234" s="48" t="str">
        <f aca="false">科目对照收入!$B2&amp;""</f>
        <v>库存现金</v>
      </c>
      <c r="E1234" s="48" t="str">
        <f aca="false">IF(AND(ROUND($G1234,2)&lt;0,科目对照收入!$L2&lt;&gt;""),科目对照收入!$L2,科目对照收入!$C2)&amp;""</f>
        <v>库存现金</v>
      </c>
      <c r="F1234" s="48" t="str">
        <f aca="false">IF(AND(ROUND($G1234,2)&lt;0,科目对照收入!$L2&lt;&gt;""),科目对照收入!$M2,科目对照收入!$D2)&amp;""</f>
        <v/>
      </c>
      <c r="G1234" s="49" t="n">
        <f aca="false">助手收入!$I58</f>
        <v>0</v>
      </c>
      <c r="H1234" s="49" t="str">
        <f aca="false">IF(ROUND($G1234,2)&gt;0,ROUND($G1234,2),"")</f>
        <v/>
      </c>
      <c r="I1234" s="49" t="str">
        <f aca="false">IF(ROUND($G1234,2)&lt;0,-ROUND($G1234,2),"")</f>
        <v/>
      </c>
      <c r="J1234" s="20" t="n">
        <f aca="false">IF(ROUND($G1234,2)=0,0,1)</f>
        <v>0</v>
      </c>
      <c r="K1234" s="20" t="str">
        <f aca="false">IF($J1234=0,"",SUM($J$1234:$J1234))</f>
        <v/>
      </c>
      <c r="L1234" s="20" t="str">
        <f aca="false">IF($K1234="","",$A1234*100+$K1234)</f>
        <v/>
      </c>
      <c r="M1234" s="48" t="str">
        <f aca="false">参数!$B$3</f>
        <v>7月收入</v>
      </c>
    </row>
    <row r="1235" customFormat="false" ht="13.5" hidden="false" customHeight="false" outlineLevel="0" collapsed="false">
      <c r="A1235" s="47" t="n">
        <v>57</v>
      </c>
      <c r="B1235" s="38" t="str">
        <f aca="false">助手收入!$B58</f>
        <v/>
      </c>
      <c r="C1235" s="48" t="str">
        <f aca="false">助手收入!$C58</f>
        <v>备用12</v>
      </c>
      <c r="D1235" s="48" t="str">
        <f aca="false">科目对照收入!$B3&amp;""</f>
        <v>聚合支付</v>
      </c>
      <c r="E1235" s="48" t="str">
        <f aca="false">IF(AND(ROUND($G1235,2)&lt;0,科目对照收入!$L3&lt;&gt;""),科目对照收入!$L3,科目对照收入!$C3)&amp;""</f>
        <v>应收账款</v>
      </c>
      <c r="F1235" s="48" t="str">
        <f aca="false">IF(AND(ROUND($G1235,2)&lt;0,科目对照收入!$L3&lt;&gt;""),科目对照收入!$M3,科目对照收入!$D3)&amp;""</f>
        <v>聚合支付</v>
      </c>
      <c r="G1235" s="49" t="n">
        <f aca="false">ROUND(SUMIFS(输入聚合!$C:$C,输入聚合!$A:$A,助手收入!$X58)-SUMIFS(输入聚合!$D:$D,输入聚合!$A:$A,助手收入!$X58),2)</f>
        <v>0</v>
      </c>
      <c r="H1235" s="49" t="str">
        <f aca="false">IF(ROUND($G1235,2)&gt;0,ROUND($G1235,2),"")</f>
        <v/>
      </c>
      <c r="I1235" s="49" t="str">
        <f aca="false">IF(ROUND($G1235,2)&lt;0,-ROUND($G1235,2),"")</f>
        <v/>
      </c>
      <c r="J1235" s="20" t="n">
        <f aca="false">IF(ROUND($G1235,2)=0,0,1)</f>
        <v>0</v>
      </c>
      <c r="K1235" s="20" t="str">
        <f aca="false">IF($J1235=0,"",SUM($J$1234:$J1235))</f>
        <v/>
      </c>
      <c r="L1235" s="20" t="str">
        <f aca="false">IF($K1235="","",$A1235*100+$K1235)</f>
        <v/>
      </c>
      <c r="M1235" s="48" t="str">
        <f aca="false">参数!$B$3</f>
        <v>7月收入</v>
      </c>
    </row>
    <row r="1236" customFormat="false" ht="13.5" hidden="false" customHeight="false" outlineLevel="0" collapsed="false">
      <c r="A1236" s="47" t="n">
        <v>57</v>
      </c>
      <c r="B1236" s="38" t="str">
        <f aca="false">助手收入!$B58</f>
        <v/>
      </c>
      <c r="C1236" s="48" t="str">
        <f aca="false">助手收入!$C58</f>
        <v>备用12</v>
      </c>
      <c r="D1236" s="48" t="str">
        <f aca="false">科目对照收入!$B4&amp;""</f>
        <v>医保</v>
      </c>
      <c r="E1236" s="48" t="str">
        <f aca="false">IF(AND(ROUND($G1236,2)&lt;0,科目对照收入!$L4&lt;&gt;""),科目对照收入!$L4,科目对照收入!$C4)&amp;""</f>
        <v>应收账款</v>
      </c>
      <c r="F1236" s="48" t="str">
        <f aca="false">IF(AND(ROUND($G1236,2)&lt;0,科目对照收入!$L4&lt;&gt;""),科目对照收入!$M4,科目对照收入!$D4)&amp;""</f>
        <v>医保</v>
      </c>
      <c r="G1236" s="49" t="n">
        <f aca="false">IF(COUNTIFS(输入平台!$A:$A,助手收入!$X58,输入平台!$B:$B,科目对照收入!$B4)&gt;0,ROUND(SUMIFS(输入平台!$C:$C,输入平台!$A:$A,助手收入!$X58,输入平台!$B:$B,科目对照收入!$B4),2),ROUND(海典汇总!$F$59+海典汇总!$G$59,2))</f>
        <v>0</v>
      </c>
      <c r="H1236" s="49" t="str">
        <f aca="false">IF(ROUND($G1236,2)&gt;0,ROUND($G1236,2),"")</f>
        <v/>
      </c>
      <c r="I1236" s="49" t="str">
        <f aca="false">IF(ROUND($G1236,2)&lt;0,-ROUND($G1236,2),"")</f>
        <v/>
      </c>
      <c r="J1236" s="20" t="n">
        <f aca="false">IF(ROUND($G1236,2)=0,0,1)</f>
        <v>0</v>
      </c>
      <c r="K1236" s="20" t="str">
        <f aca="false">IF($J1236=0,"",SUM($J$1234:$J1236))</f>
        <v/>
      </c>
      <c r="L1236" s="20" t="str">
        <f aca="false">IF($K1236="","",$A1236*100+$K1236)</f>
        <v/>
      </c>
      <c r="M1236" s="48" t="str">
        <f aca="false">参数!$B$3</f>
        <v>7月收入</v>
      </c>
    </row>
    <row r="1237" customFormat="false" ht="13.5" hidden="false" customHeight="false" outlineLevel="0" collapsed="false">
      <c r="A1237" s="47" t="n">
        <v>57</v>
      </c>
      <c r="B1237" s="38" t="str">
        <f aca="false">助手收入!$B58</f>
        <v/>
      </c>
      <c r="C1237" s="48" t="str">
        <f aca="false">助手收入!$C58</f>
        <v>备用12</v>
      </c>
      <c r="D1237" s="48" t="str">
        <f aca="false">科目对照收入!$B5&amp;""</f>
        <v>健e卡</v>
      </c>
      <c r="E1237" s="48" t="str">
        <f aca="false">IF(AND(ROUND($G1237,2)&lt;0,科目对照收入!$L5&lt;&gt;""),科目对照收入!$L5,科目对照收入!$C5)&amp;""</f>
        <v>应收账款</v>
      </c>
      <c r="F1237" s="48" t="str">
        <f aca="false">IF(AND(ROUND($G1237,2)&lt;0,科目对照收入!$L5&lt;&gt;""),科目对照收入!$M5,科目对照收入!$D5)&amp;""</f>
        <v>健e卡</v>
      </c>
      <c r="G1237" s="49" t="n">
        <f aca="false">IF(COUNTIFS(输入平台!$A:$A,助手收入!$X58,输入平台!$B:$B,科目对照收入!$B5)&gt;0,ROUND(SUMIFS(输入平台!$C:$C,输入平台!$A:$A,助手收入!$X58,输入平台!$B:$B,科目对照收入!$B5),2),ROUND(海典汇总!$H$59,2))</f>
        <v>0</v>
      </c>
      <c r="H1237" s="49" t="str">
        <f aca="false">IF(ROUND($G1237,2)&gt;0,ROUND($G1237,2),"")</f>
        <v/>
      </c>
      <c r="I1237" s="49" t="str">
        <f aca="false">IF(ROUND($G1237,2)&lt;0,-ROUND($G1237,2),"")</f>
        <v/>
      </c>
      <c r="J1237" s="20" t="n">
        <f aca="false">IF(ROUND($G1237,2)=0,0,1)</f>
        <v>0</v>
      </c>
      <c r="K1237" s="20" t="str">
        <f aca="false">IF($J1237=0,"",SUM($J$1234:$J1237))</f>
        <v/>
      </c>
      <c r="L1237" s="20" t="str">
        <f aca="false">IF($K1237="","",$A1237*100+$K1237)</f>
        <v/>
      </c>
      <c r="M1237" s="48" t="str">
        <f aca="false">参数!$B$3</f>
        <v>7月收入</v>
      </c>
    </row>
    <row r="1238" customFormat="false" ht="13.5" hidden="false" customHeight="false" outlineLevel="0" collapsed="false">
      <c r="A1238" s="47" t="n">
        <v>57</v>
      </c>
      <c r="B1238" s="38" t="str">
        <f aca="false">助手收入!$B58</f>
        <v/>
      </c>
      <c r="C1238" s="48" t="str">
        <f aca="false">助手收入!$C58</f>
        <v>备用12</v>
      </c>
      <c r="D1238" s="48" t="str">
        <f aca="false">科目对照收入!$B6&amp;""</f>
        <v>医卡通</v>
      </c>
      <c r="E1238" s="48" t="str">
        <f aca="false">IF(AND(ROUND($G1238,2)&lt;0,科目对照收入!$L6&lt;&gt;""),科目对照收入!$L6,科目对照收入!$C6)&amp;""</f>
        <v>应收账款</v>
      </c>
      <c r="F1238" s="48" t="str">
        <f aca="false">IF(AND(ROUND($G1238,2)&lt;0,科目对照收入!$L6&lt;&gt;""),科目对照收入!$M6,科目对照收入!$D6)&amp;""</f>
        <v>医卡通</v>
      </c>
      <c r="G1238" s="49" t="n">
        <f aca="false">IF(COUNTIFS(输入平台!$A:$A,助手收入!$X58,输入平台!$B:$B,科目对照收入!$B6)&gt;0,ROUND(SUMIFS(输入平台!$C:$C,输入平台!$A:$A,助手收入!$X58,输入平台!$B:$B,科目对照收入!$B6),2),ROUND(海典汇总!$I$59,2))</f>
        <v>0</v>
      </c>
      <c r="H1238" s="49" t="str">
        <f aca="false">IF(ROUND($G1238,2)&gt;0,ROUND($G1238,2),"")</f>
        <v/>
      </c>
      <c r="I1238" s="49" t="str">
        <f aca="false">IF(ROUND($G1238,2)&lt;0,-ROUND($G1238,2),"")</f>
        <v/>
      </c>
      <c r="J1238" s="20" t="n">
        <f aca="false">IF(ROUND($G1238,2)=0,0,1)</f>
        <v>0</v>
      </c>
      <c r="K1238" s="20" t="str">
        <f aca="false">IF($J1238=0,"",SUM($J$1234:$J1238))</f>
        <v/>
      </c>
      <c r="L1238" s="20" t="str">
        <f aca="false">IF($K1238="","",$A1238*100+$K1238)</f>
        <v/>
      </c>
      <c r="M1238" s="48" t="str">
        <f aca="false">参数!$B$3</f>
        <v>7月收入</v>
      </c>
    </row>
    <row r="1239" customFormat="false" ht="13.5" hidden="false" customHeight="false" outlineLevel="0" collapsed="false">
      <c r="A1239" s="47" t="n">
        <v>57</v>
      </c>
      <c r="B1239" s="38" t="str">
        <f aca="false">助手收入!$B58</f>
        <v/>
      </c>
      <c r="C1239" s="48" t="str">
        <f aca="false">助手收入!$C58</f>
        <v>备用12</v>
      </c>
      <c r="D1239" s="48" t="str">
        <f aca="false">科目对照收入!$B7&amp;""</f>
        <v>企健网</v>
      </c>
      <c r="E1239" s="48" t="str">
        <f aca="false">IF(AND(ROUND($G1239,2)&lt;0,科目对照收入!$L7&lt;&gt;""),科目对照收入!$L7,科目对照收入!$C7)&amp;""</f>
        <v>应收账款</v>
      </c>
      <c r="F1239" s="48" t="str">
        <f aca="false">IF(AND(ROUND($G1239,2)&lt;0,科目对照收入!$L7&lt;&gt;""),科目对照收入!$M7,科目对照收入!$D7)&amp;""</f>
        <v>企健网</v>
      </c>
      <c r="G1239" s="49" t="n">
        <f aca="false">IF(COUNTIFS(输入平台!$A:$A,助手收入!$X58,输入平台!$B:$B,科目对照收入!$B7)&gt;0,ROUND(SUMIFS(输入平台!$C:$C,输入平台!$A:$A,助手收入!$X58,输入平台!$B:$B,科目对照收入!$B7),2),ROUND(海典汇总!$J$59,2))</f>
        <v>0</v>
      </c>
      <c r="H1239" s="49" t="str">
        <f aca="false">IF(ROUND($G1239,2)&gt;0,ROUND($G1239,2),"")</f>
        <v/>
      </c>
      <c r="I1239" s="49" t="str">
        <f aca="false">IF(ROUND($G1239,2)&lt;0,-ROUND($G1239,2),"")</f>
        <v/>
      </c>
      <c r="J1239" s="20" t="n">
        <f aca="false">IF(ROUND($G1239,2)=0,0,1)</f>
        <v>0</v>
      </c>
      <c r="K1239" s="20" t="str">
        <f aca="false">IF($J1239=0,"",SUM($J$1234:$J1239))</f>
        <v/>
      </c>
      <c r="L1239" s="20" t="str">
        <f aca="false">IF($K1239="","",$A1239*100+$K1239)</f>
        <v/>
      </c>
      <c r="M1239" s="48" t="str">
        <f aca="false">参数!$B$3</f>
        <v>7月收入</v>
      </c>
    </row>
    <row r="1240" customFormat="false" ht="13.5" hidden="false" customHeight="false" outlineLevel="0" collapsed="false">
      <c r="A1240" s="47" t="n">
        <v>57</v>
      </c>
      <c r="B1240" s="38" t="str">
        <f aca="false">助手收入!$B58</f>
        <v/>
      </c>
      <c r="C1240" s="48" t="str">
        <f aca="false">助手收入!$C58</f>
        <v>备用12</v>
      </c>
      <c r="D1240" s="48" t="str">
        <f aca="false">科目对照收入!$B8&amp;""</f>
        <v>亲情卡</v>
      </c>
      <c r="E1240" s="48" t="str">
        <f aca="false">IF(AND(ROUND($G1240,2)&lt;0,科目对照收入!$L8&lt;&gt;""),科目对照收入!$L8,科目对照收入!$C8)&amp;""</f>
        <v>应收账款</v>
      </c>
      <c r="F1240" s="48" t="str">
        <f aca="false">IF(AND(ROUND($G1240,2)&lt;0,科目对照收入!$L8&lt;&gt;""),科目对照收入!$M8,科目对照收入!$D8)&amp;""</f>
        <v>亲情卡</v>
      </c>
      <c r="G1240" s="49" t="n">
        <f aca="false">IF(COUNTIFS(输入平台!$A:$A,助手收入!$X58,输入平台!$B:$B,科目对照收入!$B8)&gt;0,ROUND(SUMIFS(输入平台!$C:$C,输入平台!$A:$A,助手收入!$X58,输入平台!$B:$B,科目对照收入!$B8),2),ROUND(海典汇总!$Z$59,2))</f>
        <v>0</v>
      </c>
      <c r="H1240" s="49" t="str">
        <f aca="false">IF(ROUND($G1240,2)&gt;0,ROUND($G1240,2),"")</f>
        <v/>
      </c>
      <c r="I1240" s="49" t="str">
        <f aca="false">IF(ROUND($G1240,2)&lt;0,-ROUND($G1240,2),"")</f>
        <v/>
      </c>
      <c r="J1240" s="20" t="n">
        <f aca="false">IF(ROUND($G1240,2)=0,0,1)</f>
        <v>0</v>
      </c>
      <c r="K1240" s="20" t="str">
        <f aca="false">IF($J1240=0,"",SUM($J$1234:$J1240))</f>
        <v/>
      </c>
      <c r="L1240" s="20" t="str">
        <f aca="false">IF($K1240="","",$A1240*100+$K1240)</f>
        <v/>
      </c>
      <c r="M1240" s="48" t="str">
        <f aca="false">参数!$B$3</f>
        <v>7月收入</v>
      </c>
    </row>
    <row r="1241" customFormat="false" ht="13.5" hidden="false" customHeight="false" outlineLevel="0" collapsed="false">
      <c r="A1241" s="47" t="n">
        <v>57</v>
      </c>
      <c r="B1241" s="38" t="str">
        <f aca="false">助手收入!$B58</f>
        <v/>
      </c>
      <c r="C1241" s="48" t="str">
        <f aca="false">助手收入!$C58</f>
        <v>备用12</v>
      </c>
      <c r="D1241" s="48" t="str">
        <f aca="false">科目对照收入!$B9&amp;""</f>
        <v>24小时</v>
      </c>
      <c r="E1241" s="48" t="str">
        <f aca="false">IF(AND(ROUND($G1241,2)&lt;0,科目对照收入!$L9&lt;&gt;""),科目对照收入!$L9,科目对照收入!$C9)&amp;""</f>
        <v>应收账款</v>
      </c>
      <c r="F1241" s="48" t="str">
        <f aca="false">IF(AND(ROUND($G1241,2)&lt;0,科目对照收入!$L9&lt;&gt;""),科目对照收入!$M9,科目对照收入!$D9)&amp;""</f>
        <v>24小时</v>
      </c>
      <c r="G1241" s="49" t="n">
        <f aca="false">IF(COUNTIFS(输入平台!$A:$A,助手收入!$X58,输入平台!$B:$B,科目对照收入!$B9)&gt;0,ROUND(SUMIFS(输入平台!$C:$C,输入平台!$A:$A,助手收入!$X58,输入平台!$B:$B,科目对照收入!$B9),2),ROUND(海典汇总!$K$59,2))</f>
        <v>0</v>
      </c>
      <c r="H1241" s="49" t="str">
        <f aca="false">IF(ROUND($G1241,2)&gt;0,ROUND($G1241,2),"")</f>
        <v/>
      </c>
      <c r="I1241" s="49" t="str">
        <f aca="false">IF(ROUND($G1241,2)&lt;0,-ROUND($G1241,2),"")</f>
        <v/>
      </c>
      <c r="J1241" s="20" t="n">
        <f aca="false">IF(ROUND($G1241,2)=0,0,1)</f>
        <v>0</v>
      </c>
      <c r="K1241" s="20" t="str">
        <f aca="false">IF($J1241=0,"",SUM($J$1234:$J1241))</f>
        <v/>
      </c>
      <c r="L1241" s="20" t="str">
        <f aca="false">IF($K1241="","",$A1241*100+$K1241)</f>
        <v/>
      </c>
      <c r="M1241" s="48" t="str">
        <f aca="false">参数!$B$3</f>
        <v>7月收入</v>
      </c>
    </row>
    <row r="1242" customFormat="false" ht="13.5" hidden="false" customHeight="false" outlineLevel="0" collapsed="false">
      <c r="A1242" s="47" t="n">
        <v>57</v>
      </c>
      <c r="B1242" s="38" t="str">
        <f aca="false">助手收入!$B58</f>
        <v/>
      </c>
      <c r="C1242" s="48" t="str">
        <f aca="false">助手收入!$C58</f>
        <v>备用12</v>
      </c>
      <c r="D1242" s="48" t="str">
        <f aca="false">科目对照收入!$B10&amp;""</f>
        <v>美团</v>
      </c>
      <c r="E1242" s="48" t="str">
        <f aca="false">IF(AND(ROUND($G1242,2)&lt;0,科目对照收入!$L10&lt;&gt;""),科目对照收入!$L10,科目对照收入!$C10)&amp;""</f>
        <v>应收账款</v>
      </c>
      <c r="F1242" s="48" t="str">
        <f aca="false">IF(AND(ROUND($G1242,2)&lt;0,科目对照收入!$L10&lt;&gt;""),科目对照收入!$M10,科目对照收入!$D10)&amp;""</f>
        <v>美团</v>
      </c>
      <c r="G1242" s="49" t="n">
        <f aca="false">IF(COUNTIFS(输入平台!$A:$A,助手收入!$X58,输入平台!$B:$B,科目对照收入!$B10)&gt;0,ROUND(SUMIFS(输入平台!$C:$C,输入平台!$A:$A,助手收入!$X58,输入平台!$B:$B,科目对照收入!$B10),2),ROUND(海典汇总!$M$59,2))</f>
        <v>0</v>
      </c>
      <c r="H1242" s="49" t="str">
        <f aca="false">IF(ROUND($G1242,2)&gt;0,ROUND($G1242,2),"")</f>
        <v/>
      </c>
      <c r="I1242" s="49" t="str">
        <f aca="false">IF(ROUND($G1242,2)&lt;0,-ROUND($G1242,2),"")</f>
        <v/>
      </c>
      <c r="J1242" s="20" t="n">
        <f aca="false">IF(ROUND($G1242,2)=0,0,1)</f>
        <v>0</v>
      </c>
      <c r="K1242" s="20" t="str">
        <f aca="false">IF($J1242=0,"",SUM($J$1234:$J1242))</f>
        <v/>
      </c>
      <c r="L1242" s="20" t="str">
        <f aca="false">IF($K1242="","",$A1242*100+$K1242)</f>
        <v/>
      </c>
      <c r="M1242" s="48" t="str">
        <f aca="false">参数!$B$3</f>
        <v>7月收入</v>
      </c>
    </row>
    <row r="1243" customFormat="false" ht="13.5" hidden="false" customHeight="false" outlineLevel="0" collapsed="false">
      <c r="A1243" s="47" t="n">
        <v>57</v>
      </c>
      <c r="B1243" s="38" t="str">
        <f aca="false">助手收入!$B58</f>
        <v/>
      </c>
      <c r="C1243" s="48" t="str">
        <f aca="false">助手收入!$C58</f>
        <v>备用12</v>
      </c>
      <c r="D1243" s="48" t="str">
        <f aca="false">科目对照收入!$B11&amp;""</f>
        <v>饿了么</v>
      </c>
      <c r="E1243" s="48" t="str">
        <f aca="false">IF(AND(ROUND($G1243,2)&lt;0,科目对照收入!$L11&lt;&gt;""),科目对照收入!$L11,科目对照收入!$C11)&amp;""</f>
        <v>应收账款</v>
      </c>
      <c r="F1243" s="48" t="str">
        <f aca="false">IF(AND(ROUND($G1243,2)&lt;0,科目对照收入!$L11&lt;&gt;""),科目对照收入!$M11,科目对照收入!$D11)&amp;""</f>
        <v>饿了么</v>
      </c>
      <c r="G1243" s="49" t="n">
        <f aca="false">IF(COUNTIFS(输入平台!$A:$A,助手收入!$X58,输入平台!$B:$B,科目对照收入!$B11)&gt;0,ROUND(SUMIFS(输入平台!$C:$C,输入平台!$A:$A,助手收入!$X58,输入平台!$B:$B,科目对照收入!$B11),2),ROUND(海典汇总!$N$59,2))</f>
        <v>0</v>
      </c>
      <c r="H1243" s="49" t="str">
        <f aca="false">IF(ROUND($G1243,2)&gt;0,ROUND($G1243,2),"")</f>
        <v/>
      </c>
      <c r="I1243" s="49" t="str">
        <f aca="false">IF(ROUND($G1243,2)&lt;0,-ROUND($G1243,2),"")</f>
        <v/>
      </c>
      <c r="J1243" s="20" t="n">
        <f aca="false">IF(ROUND($G1243,2)=0,0,1)</f>
        <v>0</v>
      </c>
      <c r="K1243" s="20" t="str">
        <f aca="false">IF($J1243=0,"",SUM($J$1234:$J1243))</f>
        <v/>
      </c>
      <c r="L1243" s="20" t="str">
        <f aca="false">IF($K1243="","",$A1243*100+$K1243)</f>
        <v/>
      </c>
      <c r="M1243" s="48" t="str">
        <f aca="false">参数!$B$3</f>
        <v>7月收入</v>
      </c>
    </row>
    <row r="1244" customFormat="false" ht="13.5" hidden="false" customHeight="false" outlineLevel="0" collapsed="false">
      <c r="A1244" s="47" t="n">
        <v>57</v>
      </c>
      <c r="B1244" s="38" t="str">
        <f aca="false">助手收入!$B58</f>
        <v/>
      </c>
      <c r="C1244" s="48" t="str">
        <f aca="false">助手收入!$C58</f>
        <v>备用12</v>
      </c>
      <c r="D1244" s="48" t="str">
        <f aca="false">科目对照收入!$B12&amp;""</f>
        <v>京东秒送</v>
      </c>
      <c r="E1244" s="48" t="str">
        <f aca="false">IF(AND(ROUND($G1244,2)&lt;0,科目对照收入!$L12&lt;&gt;""),科目对照收入!$L12,科目对照收入!$C12)&amp;""</f>
        <v>应收账款</v>
      </c>
      <c r="F1244" s="48" t="str">
        <f aca="false">IF(AND(ROUND($G1244,2)&lt;0,科目对照收入!$L12&lt;&gt;""),科目对照收入!$M12,科目对照收入!$D12)&amp;""</f>
        <v>京东秒送</v>
      </c>
      <c r="G1244" s="49" t="n">
        <f aca="false">IF(COUNTIFS(输入平台!$A:$A,助手收入!$X58,输入平台!$B:$B,科目对照收入!$B12)&gt;0,ROUND(SUMIFS(输入平台!$C:$C,输入平台!$A:$A,助手收入!$X58,输入平台!$B:$B,科目对照收入!$B12),2),ROUND(海典汇总!$O$59,2))</f>
        <v>0</v>
      </c>
      <c r="H1244" s="49" t="str">
        <f aca="false">IF(ROUND($G1244,2)&gt;0,ROUND($G1244,2),"")</f>
        <v/>
      </c>
      <c r="I1244" s="49" t="str">
        <f aca="false">IF(ROUND($G1244,2)&lt;0,-ROUND($G1244,2),"")</f>
        <v/>
      </c>
      <c r="J1244" s="20" t="n">
        <f aca="false">IF(ROUND($G1244,2)=0,0,1)</f>
        <v>0</v>
      </c>
      <c r="K1244" s="20" t="str">
        <f aca="false">IF($J1244=0,"",SUM($J$1234:$J1244))</f>
        <v/>
      </c>
      <c r="L1244" s="20" t="str">
        <f aca="false">IF($K1244="","",$A1244*100+$K1244)</f>
        <v/>
      </c>
      <c r="M1244" s="48" t="str">
        <f aca="false">参数!$B$3</f>
        <v>7月收入</v>
      </c>
    </row>
    <row r="1245" customFormat="false" ht="13.5" hidden="false" customHeight="false" outlineLevel="0" collapsed="false">
      <c r="A1245" s="47" t="n">
        <v>57</v>
      </c>
      <c r="B1245" s="38" t="str">
        <f aca="false">助手收入!$B58</f>
        <v/>
      </c>
      <c r="C1245" s="48" t="str">
        <f aca="false">助手收入!$C58</f>
        <v>备用12</v>
      </c>
      <c r="D1245" s="48" t="str">
        <f aca="false">科目对照收入!$B13&amp;""</f>
        <v>银联</v>
      </c>
      <c r="E1245" s="48" t="str">
        <f aca="false">IF(AND(ROUND($G1245,2)&lt;0,科目对照收入!$L13&lt;&gt;""),科目对照收入!$L13,科目对照收入!$C13)&amp;""</f>
        <v>应收账款</v>
      </c>
      <c r="F1245" s="48" t="str">
        <f aca="false">IF(AND(ROUND($G1245,2)&lt;0,科目对照收入!$L13&lt;&gt;""),科目对照收入!$M13,科目对照收入!$D13)&amp;""</f>
        <v>银联</v>
      </c>
      <c r="G1245" s="49" t="n">
        <f aca="false">IF(COUNTIFS(输入平台!$A:$A,助手收入!$X58,输入平台!$B:$B,科目对照收入!$B13)&gt;0,ROUND(SUMIFS(输入平台!$C:$C,输入平台!$A:$A,助手收入!$X58,输入平台!$B:$B,科目对照收入!$B13),2),ROUND(海典汇总!$V$59,2))</f>
        <v>0</v>
      </c>
      <c r="H1245" s="49" t="str">
        <f aca="false">IF(ROUND($G1245,2)&gt;0,ROUND($G1245,2),"")</f>
        <v/>
      </c>
      <c r="I1245" s="49" t="str">
        <f aca="false">IF(ROUND($G1245,2)&lt;0,-ROUND($G1245,2),"")</f>
        <v/>
      </c>
      <c r="J1245" s="20" t="n">
        <f aca="false">IF(ROUND($G1245,2)=0,0,1)</f>
        <v>0</v>
      </c>
      <c r="K1245" s="20" t="str">
        <f aca="false">IF($J1245=0,"",SUM($J$1234:$J1245))</f>
        <v/>
      </c>
      <c r="L1245" s="20" t="str">
        <f aca="false">IF($K1245="","",$A1245*100+$K1245)</f>
        <v/>
      </c>
      <c r="M1245" s="48" t="str">
        <f aca="false">参数!$B$3</f>
        <v>7月收入</v>
      </c>
    </row>
    <row r="1246" customFormat="false" ht="13.5" hidden="false" customHeight="false" outlineLevel="0" collapsed="false">
      <c r="A1246" s="47" t="n">
        <v>57</v>
      </c>
      <c r="B1246" s="38" t="str">
        <f aca="false">助手收入!$B58</f>
        <v/>
      </c>
      <c r="C1246" s="48" t="str">
        <f aca="false">助手收入!$C58</f>
        <v>备用12</v>
      </c>
      <c r="D1246" s="48" t="str">
        <f aca="false">科目对照收入!$B14&amp;""</f>
        <v>小镇外卖</v>
      </c>
      <c r="E1246" s="48" t="str">
        <f aca="false">IF(AND(ROUND($G1246,2)&lt;0,科目对照收入!$L14&lt;&gt;""),科目对照收入!$L14,科目对照收入!$C14)&amp;""</f>
        <v>应收账款</v>
      </c>
      <c r="F1246" s="48" t="str">
        <f aca="false">IF(AND(ROUND($G1246,2)&lt;0,科目对照收入!$L14&lt;&gt;""),科目对照收入!$M14,科目对照收入!$D14)&amp;""</f>
        <v>小镇外卖</v>
      </c>
      <c r="G1246" s="49" t="n">
        <f aca="false">IF(COUNTIFS(输入平台!$A:$A,助手收入!$X58,输入平台!$B:$B,科目对照收入!$B14)&gt;0,ROUND(SUMIFS(输入平台!$C:$C,输入平台!$A:$A,助手收入!$X58,输入平台!$B:$B,科目对照收入!$B14),2),ROUND(海典汇总!$AC$59,2))</f>
        <v>0</v>
      </c>
      <c r="H1246" s="49" t="str">
        <f aca="false">IF(ROUND($G1246,2)&gt;0,ROUND($G1246,2),"")</f>
        <v/>
      </c>
      <c r="I1246" s="49" t="str">
        <f aca="false">IF(ROUND($G1246,2)&lt;0,-ROUND($G1246,2),"")</f>
        <v/>
      </c>
      <c r="J1246" s="20" t="n">
        <f aca="false">IF(ROUND($G1246,2)=0,0,1)</f>
        <v>0</v>
      </c>
      <c r="K1246" s="20" t="str">
        <f aca="false">IF($J1246=0,"",SUM($J$1234:$J1246))</f>
        <v/>
      </c>
      <c r="L1246" s="20" t="str">
        <f aca="false">IF($K1246="","",$A1246*100+$K1246)</f>
        <v/>
      </c>
      <c r="M1246" s="48" t="str">
        <f aca="false">参数!$B$3</f>
        <v>7月收入</v>
      </c>
    </row>
    <row r="1247" customFormat="false" ht="13.5" hidden="false" customHeight="false" outlineLevel="0" collapsed="false">
      <c r="A1247" s="47" t="n">
        <v>57</v>
      </c>
      <c r="B1247" s="38" t="str">
        <f aca="false">助手收入!$B58</f>
        <v/>
      </c>
      <c r="C1247" s="48" t="str">
        <f aca="false">助手收入!$C58</f>
        <v>备用12</v>
      </c>
      <c r="D1247" s="48" t="str">
        <f aca="false">科目对照收入!$B15&amp;""</f>
        <v>OMS线上支付</v>
      </c>
      <c r="E1247" s="48" t="str">
        <f aca="false">IF(AND(ROUND($G1247,2)&lt;0,科目对照收入!$L15&lt;&gt;""),科目对照收入!$L15,科目对照收入!$C15)&amp;""</f>
        <v>应收账款</v>
      </c>
      <c r="F1247" s="48" t="str">
        <f aca="false">IF(AND(ROUND($G1247,2)&lt;0,科目对照收入!$L15&lt;&gt;""),科目对照收入!$M15,科目对照收入!$D15)&amp;""</f>
        <v>OMS线上</v>
      </c>
      <c r="G1247" s="49" t="n">
        <f aca="false">IF(COUNTIFS(输入平台!$A:$A,助手收入!$X58,输入平台!$B:$B,科目对照收入!$B15)&gt;0,ROUND(SUMIFS(输入平台!$C:$C,输入平台!$A:$A,助手收入!$X58,输入平台!$B:$B,科目对照收入!$B15),2),ROUND(海典汇总!$L$59,2))</f>
        <v>0</v>
      </c>
      <c r="H1247" s="49" t="str">
        <f aca="false">IF(ROUND($G1247,2)&gt;0,ROUND($G1247,2),"")</f>
        <v/>
      </c>
      <c r="I1247" s="49" t="str">
        <f aca="false">IF(ROUND($G1247,2)&lt;0,-ROUND($G1247,2),"")</f>
        <v/>
      </c>
      <c r="J1247" s="20" t="n">
        <f aca="false">IF(ROUND($G1247,2)=0,0,1)</f>
        <v>0</v>
      </c>
      <c r="K1247" s="20" t="str">
        <f aca="false">IF($J1247=0,"",SUM($J$1234:$J1247))</f>
        <v/>
      </c>
      <c r="L1247" s="20" t="str">
        <f aca="false">IF($K1247="","",$A1247*100+$K1247)</f>
        <v/>
      </c>
      <c r="M1247" s="48" t="str">
        <f aca="false">参数!$B$3</f>
        <v>7月收入</v>
      </c>
    </row>
    <row r="1248" customFormat="false" ht="13.5" hidden="false" customHeight="false" outlineLevel="0" collapsed="false">
      <c r="A1248" s="47" t="n">
        <v>57</v>
      </c>
      <c r="B1248" s="38" t="str">
        <f aca="false">助手收入!$B58</f>
        <v/>
      </c>
      <c r="C1248" s="48" t="str">
        <f aca="false">助手收入!$C58</f>
        <v>备用12</v>
      </c>
      <c r="D1248" s="48" t="str">
        <f aca="false">科目对照收入!$B16&amp;""</f>
        <v>平安药卡</v>
      </c>
      <c r="E1248" s="48" t="str">
        <f aca="false">IF(AND(ROUND($G1248,2)&lt;0,科目对照收入!$L16&lt;&gt;""),科目对照收入!$L16,科目对照收入!$C16)&amp;""</f>
        <v>应收账款</v>
      </c>
      <c r="F1248" s="48" t="str">
        <f aca="false">IF(AND(ROUND($G1248,2)&lt;0,科目对照收入!$L16&lt;&gt;""),科目对照收入!$M16,科目对照收入!$D16)&amp;""</f>
        <v>平安</v>
      </c>
      <c r="G1248" s="49" t="n">
        <f aca="false">IF(COUNTIFS(输入平台!$A:$A,助手收入!$X58,输入平台!$B:$B,科目对照收入!$B16)&gt;0,ROUND(SUMIFS(输入平台!$C:$C,输入平台!$A:$A,助手收入!$X58,输入平台!$B:$B,科目对照收入!$B16),2),ROUND(海典汇总!$AB$59,2))</f>
        <v>0</v>
      </c>
      <c r="H1248" s="49" t="str">
        <f aca="false">IF(ROUND($G1248,2)&gt;0,ROUND($G1248,2),"")</f>
        <v/>
      </c>
      <c r="I1248" s="49" t="str">
        <f aca="false">IF(ROUND($G1248,2)&lt;0,-ROUND($G1248,2),"")</f>
        <v/>
      </c>
      <c r="J1248" s="20" t="n">
        <f aca="false">IF(ROUND($G1248,2)=0,0,1)</f>
        <v>0</v>
      </c>
      <c r="K1248" s="20" t="str">
        <f aca="false">IF($J1248=0,"",SUM($J$1234:$J1248))</f>
        <v/>
      </c>
      <c r="L1248" s="20" t="str">
        <f aca="false">IF($K1248="","",$A1248*100+$K1248)</f>
        <v/>
      </c>
      <c r="M1248" s="48" t="str">
        <f aca="false">参数!$B$3</f>
        <v>7月收入</v>
      </c>
    </row>
    <row r="1249" customFormat="false" ht="13.5" hidden="false" customHeight="false" outlineLevel="0" collapsed="false">
      <c r="A1249" s="47" t="n">
        <v>57</v>
      </c>
      <c r="B1249" s="38" t="str">
        <f aca="false">助手收入!$B58</f>
        <v/>
      </c>
      <c r="C1249" s="48" t="str">
        <f aca="false">助手收入!$C58</f>
        <v>备用12</v>
      </c>
      <c r="D1249" s="48" t="str">
        <f aca="false">科目对照收入!$B17&amp;""</f>
        <v>储值卡</v>
      </c>
      <c r="E1249" s="48" t="str">
        <f aca="false">IF(AND(ROUND($G1249,2)&lt;0,科目对照收入!$L17&lt;&gt;""),科目对照收入!$L17,科目对照收入!$C17)&amp;""</f>
        <v>其他应收款</v>
      </c>
      <c r="F1249" s="48" t="str">
        <f aca="false">IF(AND(ROUND($G1249,2)&lt;0,科目对照收入!$L17&lt;&gt;""),科目对照收入!$M17,科目对照收入!$D17)&amp;""</f>
        <v>储值卡</v>
      </c>
      <c r="G1249" s="49" t="n">
        <f aca="false">ROUND(海典汇总!$Q$59,2)</f>
        <v>0</v>
      </c>
      <c r="H1249" s="49" t="str">
        <f aca="false">IF(ROUND($G1249,2)&gt;0,ROUND($G1249,2),"")</f>
        <v/>
      </c>
      <c r="I1249" s="49" t="str">
        <f aca="false">IF(ROUND($G1249,2)&lt;0,-ROUND($G1249,2),"")</f>
        <v/>
      </c>
      <c r="J1249" s="20" t="n">
        <f aca="false">IF(ROUND($G1249,2)=0,0,1)</f>
        <v>0</v>
      </c>
      <c r="K1249" s="20" t="str">
        <f aca="false">IF($J1249=0,"",SUM($J$1234:$J1249))</f>
        <v/>
      </c>
      <c r="L1249" s="20" t="str">
        <f aca="false">IF($K1249="","",$A1249*100+$K1249)</f>
        <v/>
      </c>
      <c r="M1249" s="48" t="str">
        <f aca="false">参数!$B$3</f>
        <v>7月收入</v>
      </c>
    </row>
    <row r="1250" customFormat="false" ht="13.5" hidden="false" customHeight="false" outlineLevel="0" collapsed="false">
      <c r="A1250" s="47" t="n">
        <v>57</v>
      </c>
      <c r="B1250" s="38" t="str">
        <f aca="false">助手收入!$B58</f>
        <v/>
      </c>
      <c r="C1250" s="48" t="str">
        <f aca="false">助手收入!$C58</f>
        <v>备用12</v>
      </c>
      <c r="D1250" s="48" t="str">
        <f aca="false">科目对照收入!$B18&amp;""</f>
        <v>会员零钱包</v>
      </c>
      <c r="E1250" s="48" t="str">
        <f aca="false">IF(AND(ROUND($G1250,2)&lt;0,科目对照收入!$L18&lt;&gt;""),科目对照收入!$L18,科目对照收入!$C18)&amp;""</f>
        <v>其他应收款</v>
      </c>
      <c r="F1250" s="48" t="str">
        <f aca="false">IF(AND(ROUND($G1250,2)&lt;0,科目对照收入!$L18&lt;&gt;""),科目对照收入!$M18,科目对照收入!$D18)&amp;""</f>
        <v>会员零钱包</v>
      </c>
      <c r="G1250" s="49" t="n">
        <f aca="false">ROUND(海典汇总!$P$59,2)</f>
        <v>0</v>
      </c>
      <c r="H1250" s="49" t="str">
        <f aca="false">IF(ROUND($G1250,2)&gt;0,ROUND($G1250,2),"")</f>
        <v/>
      </c>
      <c r="I1250" s="49" t="str">
        <f aca="false">IF(ROUND($G1250,2)&lt;0,-ROUND($G1250,2),"")</f>
        <v/>
      </c>
      <c r="J1250" s="20" t="n">
        <f aca="false">IF(ROUND($G1250,2)=0,0,1)</f>
        <v>0</v>
      </c>
      <c r="K1250" s="20" t="str">
        <f aca="false">IF($J1250=0,"",SUM($J$1234:$J1250))</f>
        <v/>
      </c>
      <c r="L1250" s="20" t="str">
        <f aca="false">IF($K1250="","",$A1250*100+$K1250)</f>
        <v/>
      </c>
      <c r="M1250" s="48" t="str">
        <f aca="false">参数!$B$3</f>
        <v>7月收入</v>
      </c>
    </row>
    <row r="1251" customFormat="false" ht="13.5" hidden="false" customHeight="false" outlineLevel="0" collapsed="false">
      <c r="A1251" s="47" t="n">
        <v>57</v>
      </c>
      <c r="B1251" s="38" t="str">
        <f aca="false">助手收入!$B58</f>
        <v/>
      </c>
      <c r="C1251" s="48" t="str">
        <f aca="false">助手收入!$C58</f>
        <v>备用12</v>
      </c>
      <c r="D1251" s="48" t="str">
        <f aca="false">科目对照收入!$B19&amp;""</f>
        <v>促销费</v>
      </c>
      <c r="E1251" s="48" t="str">
        <f aca="false">IF(AND(ROUND($G1251,2)&lt;0,科目对照收入!$L19&lt;&gt;""),科目对照收入!$L19,科目对照收入!$C19)&amp;""</f>
        <v>销售费用</v>
      </c>
      <c r="F1251" s="48" t="str">
        <f aca="false">IF(AND(ROUND($G1251,2)&lt;0,科目对照收入!$L19&lt;&gt;""),科目对照收入!$M19,科目对照收入!$D19)&amp;""</f>
        <v>促销费</v>
      </c>
      <c r="G1251" s="49" t="n">
        <f aca="false">ROUND(海典汇总!$U$59+海典汇总!$T$59+海典汇总!$S$59,2)</f>
        <v>0</v>
      </c>
      <c r="H1251" s="49" t="str">
        <f aca="false">IF(ROUND($G1251,2)&gt;0,ROUND($G1251,2),"")</f>
        <v/>
      </c>
      <c r="I1251" s="49" t="str">
        <f aca="false">IF(ROUND($G1251,2)&lt;0,-ROUND($G1251,2),"")</f>
        <v/>
      </c>
      <c r="J1251" s="20" t="n">
        <f aca="false">IF(ROUND($G1251,2)=0,0,1)</f>
        <v>0</v>
      </c>
      <c r="K1251" s="20" t="str">
        <f aca="false">IF($J1251=0,"",SUM($J$1234:$J1251))</f>
        <v/>
      </c>
      <c r="L1251" s="20" t="str">
        <f aca="false">IF($K1251="","",$A1251*100+$K1251)</f>
        <v/>
      </c>
      <c r="M1251" s="48" t="str">
        <f aca="false">参数!$B$3</f>
        <v>7月收入</v>
      </c>
    </row>
    <row r="1252" customFormat="false" ht="13.5" hidden="false" customHeight="false" outlineLevel="0" collapsed="false">
      <c r="A1252" s="47" t="n">
        <v>57</v>
      </c>
      <c r="B1252" s="38" t="str">
        <f aca="false">助手收入!$B58</f>
        <v/>
      </c>
      <c r="C1252" s="48" t="str">
        <f aca="false">助手收入!$C58</f>
        <v>备用12</v>
      </c>
      <c r="D1252" s="48" t="str">
        <f aca="false">科目对照收入!$B20&amp;""</f>
        <v>积分</v>
      </c>
      <c r="E1252" s="48" t="str">
        <f aca="false">IF(AND(ROUND($G1252,2)&lt;0,科目对照收入!$L20&lt;&gt;""),科目对照收入!$L20,科目对照收入!$C20)&amp;""</f>
        <v>销售费用</v>
      </c>
      <c r="F1252" s="48" t="str">
        <f aca="false">IF(AND(ROUND($G1252,2)&lt;0,科目对照收入!$L20&lt;&gt;""),科目对照收入!$M20,科目对照收入!$D20)&amp;""</f>
        <v>积分</v>
      </c>
      <c r="G1252" s="49" t="n">
        <f aca="false">ROUND(海典汇总!$R$59,2)</f>
        <v>0</v>
      </c>
      <c r="H1252" s="49" t="str">
        <f aca="false">IF(ROUND($G1252,2)&gt;0,ROUND($G1252,2),"")</f>
        <v/>
      </c>
      <c r="I1252" s="49" t="str">
        <f aca="false">IF(ROUND($G1252,2)&lt;0,-ROUND($G1252,2),"")</f>
        <v/>
      </c>
      <c r="J1252" s="20" t="n">
        <f aca="false">IF(ROUND($G1252,2)=0,0,1)</f>
        <v>0</v>
      </c>
      <c r="K1252" s="20" t="str">
        <f aca="false">IF($J1252=0,"",SUM($J$1234:$J1252))</f>
        <v/>
      </c>
      <c r="L1252" s="20" t="str">
        <f aca="false">IF($K1252="","",$A1252*100+$K1252)</f>
        <v/>
      </c>
      <c r="M1252" s="48" t="str">
        <f aca="false">参数!$B$3</f>
        <v>7月收入</v>
      </c>
    </row>
    <row r="1253" customFormat="false" ht="13.5" hidden="false" customHeight="false" outlineLevel="0" collapsed="false">
      <c r="A1253" s="47" t="n">
        <v>57</v>
      </c>
      <c r="B1253" s="38" t="str">
        <f aca="false">助手收入!$B58</f>
        <v/>
      </c>
      <c r="C1253" s="48" t="str">
        <f aca="false">助手收入!$C58</f>
        <v>备用12</v>
      </c>
      <c r="D1253" s="48" t="str">
        <f aca="false">科目对照收入!$B21&amp;""</f>
        <v>手续费</v>
      </c>
      <c r="E1253" s="48" t="str">
        <f aca="false">IF(AND(ROUND($G1253,2)&lt;0,科目对照收入!$L21&lt;&gt;""),科目对照收入!$L21,科目对照收入!$C21)&amp;""</f>
        <v>财务费用</v>
      </c>
      <c r="F1253" s="48" t="str">
        <f aca="false">IF(AND(ROUND($G1253,2)&lt;0,科目对照收入!$L21&lt;&gt;""),科目对照收入!$M21,科目对照收入!$D21)&amp;""</f>
        <v>手续费</v>
      </c>
      <c r="G1253" s="49" t="n">
        <f aca="false">ROUND(SUMIFS(输入聚合!$D:$D,输入聚合!$A:$A,助手收入!$X58),2)</f>
        <v>0</v>
      </c>
      <c r="H1253" s="49" t="str">
        <f aca="false">IF(ROUND($G1253,2)&gt;0,ROUND($G1253,2),"")</f>
        <v/>
      </c>
      <c r="I1253" s="49" t="str">
        <f aca="false">IF(ROUND($G1253,2)&lt;0,-ROUND($G1253,2),"")</f>
        <v/>
      </c>
      <c r="J1253" s="20" t="n">
        <f aca="false">IF(ROUND($G1253,2)=0,0,1)</f>
        <v>0</v>
      </c>
      <c r="K1253" s="20" t="str">
        <f aca="false">IF($J1253=0,"",SUM($J$1234:$J1253))</f>
        <v/>
      </c>
      <c r="L1253" s="20" t="str">
        <f aca="false">IF($K1253="","",$A1253*100+$K1253)</f>
        <v/>
      </c>
      <c r="M1253" s="48" t="str">
        <f aca="false">参数!$B$3</f>
        <v>7月收入</v>
      </c>
    </row>
    <row r="1254" customFormat="false" ht="13.5" hidden="false" customHeight="false" outlineLevel="0" collapsed="false">
      <c r="A1254" s="47" t="n">
        <v>57</v>
      </c>
      <c r="B1254" s="38" t="str">
        <f aca="false">助手收入!$B58</f>
        <v/>
      </c>
      <c r="C1254" s="48" t="str">
        <f aca="false">助手收入!$C58</f>
        <v>备用12</v>
      </c>
      <c r="D1254" s="48" t="str">
        <f aca="false">科目对照收入!$B22&amp;""</f>
        <v>主营业务收入</v>
      </c>
      <c r="E1254" s="48" t="str">
        <f aca="false">IF(AND(ROUND($G1254,2)&lt;0,科目对照收入!$L22&lt;&gt;""),科目对照收入!$L22,科目对照收入!$C22)&amp;""</f>
        <v>主营业务收入</v>
      </c>
      <c r="F1254" s="48" t="str">
        <f aca="false">IF(AND(ROUND($G1254,2)&lt;0,科目对照收入!$L22&lt;&gt;""),科目对照收入!$M22,科目对照收入!$D22)&amp;""</f>
        <v/>
      </c>
      <c r="G1254" s="49" t="n">
        <f aca="false">-ROUND(助手收入!$G58,2)</f>
        <v>-0</v>
      </c>
      <c r="H1254" s="49" t="str">
        <f aca="false">IF(ROUND($G1254,2)&gt;0,ROUND($G1254,2),"")</f>
        <v/>
      </c>
      <c r="I1254" s="49" t="str">
        <f aca="false">IF(ROUND($G1254,2)&lt;0,-ROUND($G1254,2),"")</f>
        <v/>
      </c>
      <c r="J1254" s="20" t="n">
        <f aca="false">IF(ROUND($G1254,2)=0,0,1)</f>
        <v>0</v>
      </c>
      <c r="K1254" s="20" t="str">
        <f aca="false">IF($J1254=0,"",SUM($J$1234:$J1254))</f>
        <v/>
      </c>
      <c r="L1254" s="20" t="str">
        <f aca="false">IF($K1254="","",$A1254*100+$K1254)</f>
        <v/>
      </c>
      <c r="M1254" s="48" t="str">
        <f aca="false">参数!$B$3</f>
        <v>7月收入</v>
      </c>
    </row>
    <row r="1255" customFormat="false" ht="13.5" hidden="false" customHeight="false" outlineLevel="0" collapsed="false">
      <c r="A1255" s="47" t="n">
        <v>57</v>
      </c>
      <c r="B1255" s="38" t="str">
        <f aca="false">助手收入!$B58</f>
        <v/>
      </c>
      <c r="C1255" s="48" t="str">
        <f aca="false">助手收入!$C58</f>
        <v>备用12</v>
      </c>
      <c r="D1255" s="48" t="str">
        <f aca="false">科目对照收入!$B23&amp;""</f>
        <v>营业外收入</v>
      </c>
      <c r="E1255" s="48" t="str">
        <f aca="false">IF(AND(ROUND($G1255,2)&lt;0,科目对照收入!$L23&lt;&gt;""),科目对照收入!$L23,科目对照收入!$C23)&amp;""</f>
        <v>营业外收入</v>
      </c>
      <c r="F1255" s="48" t="str">
        <f aca="false">IF(AND(ROUND($G1255,2)&lt;0,科目对照收入!$L23&lt;&gt;""),科目对照收入!$M23,科目对照收入!$D23)&amp;""</f>
        <v/>
      </c>
      <c r="G1255" s="49" t="n">
        <f aca="false">-ROUND(助手收入!$J58,2)</f>
        <v>-0</v>
      </c>
      <c r="H1255" s="49" t="str">
        <f aca="false">IF(ROUND($G1255,2)&gt;0,ROUND($G1255,2),"")</f>
        <v/>
      </c>
      <c r="I1255" s="49" t="str">
        <f aca="false">IF(ROUND($G1255,2)&lt;0,-ROUND($G1255,2),"")</f>
        <v/>
      </c>
      <c r="J1255" s="20" t="n">
        <f aca="false">IF(ROUND($G1255,2)=0,0,1)</f>
        <v>0</v>
      </c>
      <c r="K1255" s="20" t="str">
        <f aca="false">IF($J1255=0,"",SUM($J$1234:$J1255))</f>
        <v/>
      </c>
      <c r="L1255" s="20" t="str">
        <f aca="false">IF($K1255="","",$A1255*100+$K1255)</f>
        <v/>
      </c>
      <c r="M1255" s="48" t="str">
        <f aca="false">参数!$B$3</f>
        <v>7月收入</v>
      </c>
    </row>
    <row r="1256" customFormat="false" ht="13.5" hidden="false" customHeight="false" outlineLevel="0" collapsed="false">
      <c r="A1256" s="47" t="n">
        <v>58</v>
      </c>
      <c r="B1256" s="38" t="str">
        <f aca="false">助手收入!$B59</f>
        <v/>
      </c>
      <c r="C1256" s="48" t="str">
        <f aca="false">助手收入!$C59</f>
        <v>备用13</v>
      </c>
      <c r="D1256" s="48" t="str">
        <f aca="false">科目对照收入!$B2&amp;""</f>
        <v>库存现金</v>
      </c>
      <c r="E1256" s="48" t="str">
        <f aca="false">IF(AND(ROUND($G1256,2)&lt;0,科目对照收入!$L2&lt;&gt;""),科目对照收入!$L2,科目对照收入!$C2)&amp;""</f>
        <v>库存现金</v>
      </c>
      <c r="F1256" s="48" t="str">
        <f aca="false">IF(AND(ROUND($G1256,2)&lt;0,科目对照收入!$L2&lt;&gt;""),科目对照收入!$M2,科目对照收入!$D2)&amp;""</f>
        <v/>
      </c>
      <c r="G1256" s="49" t="n">
        <f aca="false">助手收入!$I59</f>
        <v>0</v>
      </c>
      <c r="H1256" s="49" t="str">
        <f aca="false">IF(ROUND($G1256,2)&gt;0,ROUND($G1256,2),"")</f>
        <v/>
      </c>
      <c r="I1256" s="49" t="str">
        <f aca="false">IF(ROUND($G1256,2)&lt;0,-ROUND($G1256,2),"")</f>
        <v/>
      </c>
      <c r="J1256" s="20" t="n">
        <f aca="false">IF(ROUND($G1256,2)=0,0,1)</f>
        <v>0</v>
      </c>
      <c r="K1256" s="20" t="str">
        <f aca="false">IF($J1256=0,"",SUM($J$1256:$J1256))</f>
        <v/>
      </c>
      <c r="L1256" s="20" t="str">
        <f aca="false">IF($K1256="","",$A1256*100+$K1256)</f>
        <v/>
      </c>
      <c r="M1256" s="48" t="str">
        <f aca="false">参数!$B$3</f>
        <v>7月收入</v>
      </c>
    </row>
    <row r="1257" customFormat="false" ht="13.5" hidden="false" customHeight="false" outlineLevel="0" collapsed="false">
      <c r="A1257" s="47" t="n">
        <v>58</v>
      </c>
      <c r="B1257" s="38" t="str">
        <f aca="false">助手收入!$B59</f>
        <v/>
      </c>
      <c r="C1257" s="48" t="str">
        <f aca="false">助手收入!$C59</f>
        <v>备用13</v>
      </c>
      <c r="D1257" s="48" t="str">
        <f aca="false">科目对照收入!$B3&amp;""</f>
        <v>聚合支付</v>
      </c>
      <c r="E1257" s="48" t="str">
        <f aca="false">IF(AND(ROUND($G1257,2)&lt;0,科目对照收入!$L3&lt;&gt;""),科目对照收入!$L3,科目对照收入!$C3)&amp;""</f>
        <v>应收账款</v>
      </c>
      <c r="F1257" s="48" t="str">
        <f aca="false">IF(AND(ROUND($G1257,2)&lt;0,科目对照收入!$L3&lt;&gt;""),科目对照收入!$M3,科目对照收入!$D3)&amp;""</f>
        <v>聚合支付</v>
      </c>
      <c r="G1257" s="49" t="n">
        <f aca="false">ROUND(SUMIFS(输入聚合!$C:$C,输入聚合!$A:$A,助手收入!$X59)-SUMIFS(输入聚合!$D:$D,输入聚合!$A:$A,助手收入!$X59),2)</f>
        <v>0</v>
      </c>
      <c r="H1257" s="49" t="str">
        <f aca="false">IF(ROUND($G1257,2)&gt;0,ROUND($G1257,2),"")</f>
        <v/>
      </c>
      <c r="I1257" s="49" t="str">
        <f aca="false">IF(ROUND($G1257,2)&lt;0,-ROUND($G1257,2),"")</f>
        <v/>
      </c>
      <c r="J1257" s="20" t="n">
        <f aca="false">IF(ROUND($G1257,2)=0,0,1)</f>
        <v>0</v>
      </c>
      <c r="K1257" s="20" t="str">
        <f aca="false">IF($J1257=0,"",SUM($J$1256:$J1257))</f>
        <v/>
      </c>
      <c r="L1257" s="20" t="str">
        <f aca="false">IF($K1257="","",$A1257*100+$K1257)</f>
        <v/>
      </c>
      <c r="M1257" s="48" t="str">
        <f aca="false">参数!$B$3</f>
        <v>7月收入</v>
      </c>
    </row>
    <row r="1258" customFormat="false" ht="13.5" hidden="false" customHeight="false" outlineLevel="0" collapsed="false">
      <c r="A1258" s="47" t="n">
        <v>58</v>
      </c>
      <c r="B1258" s="38" t="str">
        <f aca="false">助手收入!$B59</f>
        <v/>
      </c>
      <c r="C1258" s="48" t="str">
        <f aca="false">助手收入!$C59</f>
        <v>备用13</v>
      </c>
      <c r="D1258" s="48" t="str">
        <f aca="false">科目对照收入!$B4&amp;""</f>
        <v>医保</v>
      </c>
      <c r="E1258" s="48" t="str">
        <f aca="false">IF(AND(ROUND($G1258,2)&lt;0,科目对照收入!$L4&lt;&gt;""),科目对照收入!$L4,科目对照收入!$C4)&amp;""</f>
        <v>应收账款</v>
      </c>
      <c r="F1258" s="48" t="str">
        <f aca="false">IF(AND(ROUND($G1258,2)&lt;0,科目对照收入!$L4&lt;&gt;""),科目对照收入!$M4,科目对照收入!$D4)&amp;""</f>
        <v>医保</v>
      </c>
      <c r="G1258" s="49" t="n">
        <f aca="false">IF(COUNTIFS(输入平台!$A:$A,助手收入!$X59,输入平台!$B:$B,科目对照收入!$B4)&gt;0,ROUND(SUMIFS(输入平台!$C:$C,输入平台!$A:$A,助手收入!$X59,输入平台!$B:$B,科目对照收入!$B4),2),ROUND(海典汇总!$F$60+海典汇总!$G$60,2))</f>
        <v>0</v>
      </c>
      <c r="H1258" s="49" t="str">
        <f aca="false">IF(ROUND($G1258,2)&gt;0,ROUND($G1258,2),"")</f>
        <v/>
      </c>
      <c r="I1258" s="49" t="str">
        <f aca="false">IF(ROUND($G1258,2)&lt;0,-ROUND($G1258,2),"")</f>
        <v/>
      </c>
      <c r="J1258" s="20" t="n">
        <f aca="false">IF(ROUND($G1258,2)=0,0,1)</f>
        <v>0</v>
      </c>
      <c r="K1258" s="20" t="str">
        <f aca="false">IF($J1258=0,"",SUM($J$1256:$J1258))</f>
        <v/>
      </c>
      <c r="L1258" s="20" t="str">
        <f aca="false">IF($K1258="","",$A1258*100+$K1258)</f>
        <v/>
      </c>
      <c r="M1258" s="48" t="str">
        <f aca="false">参数!$B$3</f>
        <v>7月收入</v>
      </c>
    </row>
    <row r="1259" customFormat="false" ht="13.5" hidden="false" customHeight="false" outlineLevel="0" collapsed="false">
      <c r="A1259" s="47" t="n">
        <v>58</v>
      </c>
      <c r="B1259" s="38" t="str">
        <f aca="false">助手收入!$B59</f>
        <v/>
      </c>
      <c r="C1259" s="48" t="str">
        <f aca="false">助手收入!$C59</f>
        <v>备用13</v>
      </c>
      <c r="D1259" s="48" t="str">
        <f aca="false">科目对照收入!$B5&amp;""</f>
        <v>健e卡</v>
      </c>
      <c r="E1259" s="48" t="str">
        <f aca="false">IF(AND(ROUND($G1259,2)&lt;0,科目对照收入!$L5&lt;&gt;""),科目对照收入!$L5,科目对照收入!$C5)&amp;""</f>
        <v>应收账款</v>
      </c>
      <c r="F1259" s="48" t="str">
        <f aca="false">IF(AND(ROUND($G1259,2)&lt;0,科目对照收入!$L5&lt;&gt;""),科目对照收入!$M5,科目对照收入!$D5)&amp;""</f>
        <v>健e卡</v>
      </c>
      <c r="G1259" s="49" t="n">
        <f aca="false">IF(COUNTIFS(输入平台!$A:$A,助手收入!$X59,输入平台!$B:$B,科目对照收入!$B5)&gt;0,ROUND(SUMIFS(输入平台!$C:$C,输入平台!$A:$A,助手收入!$X59,输入平台!$B:$B,科目对照收入!$B5),2),ROUND(海典汇总!$H$60,2))</f>
        <v>0</v>
      </c>
      <c r="H1259" s="49" t="str">
        <f aca="false">IF(ROUND($G1259,2)&gt;0,ROUND($G1259,2),"")</f>
        <v/>
      </c>
      <c r="I1259" s="49" t="str">
        <f aca="false">IF(ROUND($G1259,2)&lt;0,-ROUND($G1259,2),"")</f>
        <v/>
      </c>
      <c r="J1259" s="20" t="n">
        <f aca="false">IF(ROUND($G1259,2)=0,0,1)</f>
        <v>0</v>
      </c>
      <c r="K1259" s="20" t="str">
        <f aca="false">IF($J1259=0,"",SUM($J$1256:$J1259))</f>
        <v/>
      </c>
      <c r="L1259" s="20" t="str">
        <f aca="false">IF($K1259="","",$A1259*100+$K1259)</f>
        <v/>
      </c>
      <c r="M1259" s="48" t="str">
        <f aca="false">参数!$B$3</f>
        <v>7月收入</v>
      </c>
    </row>
    <row r="1260" customFormat="false" ht="13.5" hidden="false" customHeight="false" outlineLevel="0" collapsed="false">
      <c r="A1260" s="47" t="n">
        <v>58</v>
      </c>
      <c r="B1260" s="38" t="str">
        <f aca="false">助手收入!$B59</f>
        <v/>
      </c>
      <c r="C1260" s="48" t="str">
        <f aca="false">助手收入!$C59</f>
        <v>备用13</v>
      </c>
      <c r="D1260" s="48" t="str">
        <f aca="false">科目对照收入!$B6&amp;""</f>
        <v>医卡通</v>
      </c>
      <c r="E1260" s="48" t="str">
        <f aca="false">IF(AND(ROUND($G1260,2)&lt;0,科目对照收入!$L6&lt;&gt;""),科目对照收入!$L6,科目对照收入!$C6)&amp;""</f>
        <v>应收账款</v>
      </c>
      <c r="F1260" s="48" t="str">
        <f aca="false">IF(AND(ROUND($G1260,2)&lt;0,科目对照收入!$L6&lt;&gt;""),科目对照收入!$M6,科目对照收入!$D6)&amp;""</f>
        <v>医卡通</v>
      </c>
      <c r="G1260" s="49" t="n">
        <f aca="false">IF(COUNTIFS(输入平台!$A:$A,助手收入!$X59,输入平台!$B:$B,科目对照收入!$B6)&gt;0,ROUND(SUMIFS(输入平台!$C:$C,输入平台!$A:$A,助手收入!$X59,输入平台!$B:$B,科目对照收入!$B6),2),ROUND(海典汇总!$I$60,2))</f>
        <v>0</v>
      </c>
      <c r="H1260" s="49" t="str">
        <f aca="false">IF(ROUND($G1260,2)&gt;0,ROUND($G1260,2),"")</f>
        <v/>
      </c>
      <c r="I1260" s="49" t="str">
        <f aca="false">IF(ROUND($G1260,2)&lt;0,-ROUND($G1260,2),"")</f>
        <v/>
      </c>
      <c r="J1260" s="20" t="n">
        <f aca="false">IF(ROUND($G1260,2)=0,0,1)</f>
        <v>0</v>
      </c>
      <c r="K1260" s="20" t="str">
        <f aca="false">IF($J1260=0,"",SUM($J$1256:$J1260))</f>
        <v/>
      </c>
      <c r="L1260" s="20" t="str">
        <f aca="false">IF($K1260="","",$A1260*100+$K1260)</f>
        <v/>
      </c>
      <c r="M1260" s="48" t="str">
        <f aca="false">参数!$B$3</f>
        <v>7月收入</v>
      </c>
    </row>
    <row r="1261" customFormat="false" ht="13.5" hidden="false" customHeight="false" outlineLevel="0" collapsed="false">
      <c r="A1261" s="47" t="n">
        <v>58</v>
      </c>
      <c r="B1261" s="38" t="str">
        <f aca="false">助手收入!$B59</f>
        <v/>
      </c>
      <c r="C1261" s="48" t="str">
        <f aca="false">助手收入!$C59</f>
        <v>备用13</v>
      </c>
      <c r="D1261" s="48" t="str">
        <f aca="false">科目对照收入!$B7&amp;""</f>
        <v>企健网</v>
      </c>
      <c r="E1261" s="48" t="str">
        <f aca="false">IF(AND(ROUND($G1261,2)&lt;0,科目对照收入!$L7&lt;&gt;""),科目对照收入!$L7,科目对照收入!$C7)&amp;""</f>
        <v>应收账款</v>
      </c>
      <c r="F1261" s="48" t="str">
        <f aca="false">IF(AND(ROUND($G1261,2)&lt;0,科目对照收入!$L7&lt;&gt;""),科目对照收入!$M7,科目对照收入!$D7)&amp;""</f>
        <v>企健网</v>
      </c>
      <c r="G1261" s="49" t="n">
        <f aca="false">IF(COUNTIFS(输入平台!$A:$A,助手收入!$X59,输入平台!$B:$B,科目对照收入!$B7)&gt;0,ROUND(SUMIFS(输入平台!$C:$C,输入平台!$A:$A,助手收入!$X59,输入平台!$B:$B,科目对照收入!$B7),2),ROUND(海典汇总!$J$60,2))</f>
        <v>0</v>
      </c>
      <c r="H1261" s="49" t="str">
        <f aca="false">IF(ROUND($G1261,2)&gt;0,ROUND($G1261,2),"")</f>
        <v/>
      </c>
      <c r="I1261" s="49" t="str">
        <f aca="false">IF(ROUND($G1261,2)&lt;0,-ROUND($G1261,2),"")</f>
        <v/>
      </c>
      <c r="J1261" s="20" t="n">
        <f aca="false">IF(ROUND($G1261,2)=0,0,1)</f>
        <v>0</v>
      </c>
      <c r="K1261" s="20" t="str">
        <f aca="false">IF($J1261=0,"",SUM($J$1256:$J1261))</f>
        <v/>
      </c>
      <c r="L1261" s="20" t="str">
        <f aca="false">IF($K1261="","",$A1261*100+$K1261)</f>
        <v/>
      </c>
      <c r="M1261" s="48" t="str">
        <f aca="false">参数!$B$3</f>
        <v>7月收入</v>
      </c>
    </row>
    <row r="1262" customFormat="false" ht="13.5" hidden="false" customHeight="false" outlineLevel="0" collapsed="false">
      <c r="A1262" s="47" t="n">
        <v>58</v>
      </c>
      <c r="B1262" s="38" t="str">
        <f aca="false">助手收入!$B59</f>
        <v/>
      </c>
      <c r="C1262" s="48" t="str">
        <f aca="false">助手收入!$C59</f>
        <v>备用13</v>
      </c>
      <c r="D1262" s="48" t="str">
        <f aca="false">科目对照收入!$B8&amp;""</f>
        <v>亲情卡</v>
      </c>
      <c r="E1262" s="48" t="str">
        <f aca="false">IF(AND(ROUND($G1262,2)&lt;0,科目对照收入!$L8&lt;&gt;""),科目对照收入!$L8,科目对照收入!$C8)&amp;""</f>
        <v>应收账款</v>
      </c>
      <c r="F1262" s="48" t="str">
        <f aca="false">IF(AND(ROUND($G1262,2)&lt;0,科目对照收入!$L8&lt;&gt;""),科目对照收入!$M8,科目对照收入!$D8)&amp;""</f>
        <v>亲情卡</v>
      </c>
      <c r="G1262" s="49" t="n">
        <f aca="false">IF(COUNTIFS(输入平台!$A:$A,助手收入!$X59,输入平台!$B:$B,科目对照收入!$B8)&gt;0,ROUND(SUMIFS(输入平台!$C:$C,输入平台!$A:$A,助手收入!$X59,输入平台!$B:$B,科目对照收入!$B8),2),ROUND(海典汇总!$Z$60,2))</f>
        <v>0</v>
      </c>
      <c r="H1262" s="49" t="str">
        <f aca="false">IF(ROUND($G1262,2)&gt;0,ROUND($G1262,2),"")</f>
        <v/>
      </c>
      <c r="I1262" s="49" t="str">
        <f aca="false">IF(ROUND($G1262,2)&lt;0,-ROUND($G1262,2),"")</f>
        <v/>
      </c>
      <c r="J1262" s="20" t="n">
        <f aca="false">IF(ROUND($G1262,2)=0,0,1)</f>
        <v>0</v>
      </c>
      <c r="K1262" s="20" t="str">
        <f aca="false">IF($J1262=0,"",SUM($J$1256:$J1262))</f>
        <v/>
      </c>
      <c r="L1262" s="20" t="str">
        <f aca="false">IF($K1262="","",$A1262*100+$K1262)</f>
        <v/>
      </c>
      <c r="M1262" s="48" t="str">
        <f aca="false">参数!$B$3</f>
        <v>7月收入</v>
      </c>
    </row>
    <row r="1263" customFormat="false" ht="13.5" hidden="false" customHeight="false" outlineLevel="0" collapsed="false">
      <c r="A1263" s="47" t="n">
        <v>58</v>
      </c>
      <c r="B1263" s="38" t="str">
        <f aca="false">助手收入!$B59</f>
        <v/>
      </c>
      <c r="C1263" s="48" t="str">
        <f aca="false">助手收入!$C59</f>
        <v>备用13</v>
      </c>
      <c r="D1263" s="48" t="str">
        <f aca="false">科目对照收入!$B9&amp;""</f>
        <v>24小时</v>
      </c>
      <c r="E1263" s="48" t="str">
        <f aca="false">IF(AND(ROUND($G1263,2)&lt;0,科目对照收入!$L9&lt;&gt;""),科目对照收入!$L9,科目对照收入!$C9)&amp;""</f>
        <v>应收账款</v>
      </c>
      <c r="F1263" s="48" t="str">
        <f aca="false">IF(AND(ROUND($G1263,2)&lt;0,科目对照收入!$L9&lt;&gt;""),科目对照收入!$M9,科目对照收入!$D9)&amp;""</f>
        <v>24小时</v>
      </c>
      <c r="G1263" s="49" t="n">
        <f aca="false">IF(COUNTIFS(输入平台!$A:$A,助手收入!$X59,输入平台!$B:$B,科目对照收入!$B9)&gt;0,ROUND(SUMIFS(输入平台!$C:$C,输入平台!$A:$A,助手收入!$X59,输入平台!$B:$B,科目对照收入!$B9),2),ROUND(海典汇总!$K$60,2))</f>
        <v>0</v>
      </c>
      <c r="H1263" s="49" t="str">
        <f aca="false">IF(ROUND($G1263,2)&gt;0,ROUND($G1263,2),"")</f>
        <v/>
      </c>
      <c r="I1263" s="49" t="str">
        <f aca="false">IF(ROUND($G1263,2)&lt;0,-ROUND($G1263,2),"")</f>
        <v/>
      </c>
      <c r="J1263" s="20" t="n">
        <f aca="false">IF(ROUND($G1263,2)=0,0,1)</f>
        <v>0</v>
      </c>
      <c r="K1263" s="20" t="str">
        <f aca="false">IF($J1263=0,"",SUM($J$1256:$J1263))</f>
        <v/>
      </c>
      <c r="L1263" s="20" t="str">
        <f aca="false">IF($K1263="","",$A1263*100+$K1263)</f>
        <v/>
      </c>
      <c r="M1263" s="48" t="str">
        <f aca="false">参数!$B$3</f>
        <v>7月收入</v>
      </c>
    </row>
    <row r="1264" customFormat="false" ht="13.5" hidden="false" customHeight="false" outlineLevel="0" collapsed="false">
      <c r="A1264" s="47" t="n">
        <v>58</v>
      </c>
      <c r="B1264" s="38" t="str">
        <f aca="false">助手收入!$B59</f>
        <v/>
      </c>
      <c r="C1264" s="48" t="str">
        <f aca="false">助手收入!$C59</f>
        <v>备用13</v>
      </c>
      <c r="D1264" s="48" t="str">
        <f aca="false">科目对照收入!$B10&amp;""</f>
        <v>美团</v>
      </c>
      <c r="E1264" s="48" t="str">
        <f aca="false">IF(AND(ROUND($G1264,2)&lt;0,科目对照收入!$L10&lt;&gt;""),科目对照收入!$L10,科目对照收入!$C10)&amp;""</f>
        <v>应收账款</v>
      </c>
      <c r="F1264" s="48" t="str">
        <f aca="false">IF(AND(ROUND($G1264,2)&lt;0,科目对照收入!$L10&lt;&gt;""),科目对照收入!$M10,科目对照收入!$D10)&amp;""</f>
        <v>美团</v>
      </c>
      <c r="G1264" s="49" t="n">
        <f aca="false">IF(COUNTIFS(输入平台!$A:$A,助手收入!$X59,输入平台!$B:$B,科目对照收入!$B10)&gt;0,ROUND(SUMIFS(输入平台!$C:$C,输入平台!$A:$A,助手收入!$X59,输入平台!$B:$B,科目对照收入!$B10),2),ROUND(海典汇总!$M$60,2))</f>
        <v>0</v>
      </c>
      <c r="H1264" s="49" t="str">
        <f aca="false">IF(ROUND($G1264,2)&gt;0,ROUND($G1264,2),"")</f>
        <v/>
      </c>
      <c r="I1264" s="49" t="str">
        <f aca="false">IF(ROUND($G1264,2)&lt;0,-ROUND($G1264,2),"")</f>
        <v/>
      </c>
      <c r="J1264" s="20" t="n">
        <f aca="false">IF(ROUND($G1264,2)=0,0,1)</f>
        <v>0</v>
      </c>
      <c r="K1264" s="20" t="str">
        <f aca="false">IF($J1264=0,"",SUM($J$1256:$J1264))</f>
        <v/>
      </c>
      <c r="L1264" s="20" t="str">
        <f aca="false">IF($K1264="","",$A1264*100+$K1264)</f>
        <v/>
      </c>
      <c r="M1264" s="48" t="str">
        <f aca="false">参数!$B$3</f>
        <v>7月收入</v>
      </c>
    </row>
    <row r="1265" customFormat="false" ht="13.5" hidden="false" customHeight="false" outlineLevel="0" collapsed="false">
      <c r="A1265" s="47" t="n">
        <v>58</v>
      </c>
      <c r="B1265" s="38" t="str">
        <f aca="false">助手收入!$B59</f>
        <v/>
      </c>
      <c r="C1265" s="48" t="str">
        <f aca="false">助手收入!$C59</f>
        <v>备用13</v>
      </c>
      <c r="D1265" s="48" t="str">
        <f aca="false">科目对照收入!$B11&amp;""</f>
        <v>饿了么</v>
      </c>
      <c r="E1265" s="48" t="str">
        <f aca="false">IF(AND(ROUND($G1265,2)&lt;0,科目对照收入!$L11&lt;&gt;""),科目对照收入!$L11,科目对照收入!$C11)&amp;""</f>
        <v>应收账款</v>
      </c>
      <c r="F1265" s="48" t="str">
        <f aca="false">IF(AND(ROUND($G1265,2)&lt;0,科目对照收入!$L11&lt;&gt;""),科目对照收入!$M11,科目对照收入!$D11)&amp;""</f>
        <v>饿了么</v>
      </c>
      <c r="G1265" s="49" t="n">
        <f aca="false">IF(COUNTIFS(输入平台!$A:$A,助手收入!$X59,输入平台!$B:$B,科目对照收入!$B11)&gt;0,ROUND(SUMIFS(输入平台!$C:$C,输入平台!$A:$A,助手收入!$X59,输入平台!$B:$B,科目对照收入!$B11),2),ROUND(海典汇总!$N$60,2))</f>
        <v>0</v>
      </c>
      <c r="H1265" s="49" t="str">
        <f aca="false">IF(ROUND($G1265,2)&gt;0,ROUND($G1265,2),"")</f>
        <v/>
      </c>
      <c r="I1265" s="49" t="str">
        <f aca="false">IF(ROUND($G1265,2)&lt;0,-ROUND($G1265,2),"")</f>
        <v/>
      </c>
      <c r="J1265" s="20" t="n">
        <f aca="false">IF(ROUND($G1265,2)=0,0,1)</f>
        <v>0</v>
      </c>
      <c r="K1265" s="20" t="str">
        <f aca="false">IF($J1265=0,"",SUM($J$1256:$J1265))</f>
        <v/>
      </c>
      <c r="L1265" s="20" t="str">
        <f aca="false">IF($K1265="","",$A1265*100+$K1265)</f>
        <v/>
      </c>
      <c r="M1265" s="48" t="str">
        <f aca="false">参数!$B$3</f>
        <v>7月收入</v>
      </c>
    </row>
    <row r="1266" customFormat="false" ht="13.5" hidden="false" customHeight="false" outlineLevel="0" collapsed="false">
      <c r="A1266" s="47" t="n">
        <v>58</v>
      </c>
      <c r="B1266" s="38" t="str">
        <f aca="false">助手收入!$B59</f>
        <v/>
      </c>
      <c r="C1266" s="48" t="str">
        <f aca="false">助手收入!$C59</f>
        <v>备用13</v>
      </c>
      <c r="D1266" s="48" t="str">
        <f aca="false">科目对照收入!$B12&amp;""</f>
        <v>京东秒送</v>
      </c>
      <c r="E1266" s="48" t="str">
        <f aca="false">IF(AND(ROUND($G1266,2)&lt;0,科目对照收入!$L12&lt;&gt;""),科目对照收入!$L12,科目对照收入!$C12)&amp;""</f>
        <v>应收账款</v>
      </c>
      <c r="F1266" s="48" t="str">
        <f aca="false">IF(AND(ROUND($G1266,2)&lt;0,科目对照收入!$L12&lt;&gt;""),科目对照收入!$M12,科目对照收入!$D12)&amp;""</f>
        <v>京东秒送</v>
      </c>
      <c r="G1266" s="49" t="n">
        <f aca="false">IF(COUNTIFS(输入平台!$A:$A,助手收入!$X59,输入平台!$B:$B,科目对照收入!$B12)&gt;0,ROUND(SUMIFS(输入平台!$C:$C,输入平台!$A:$A,助手收入!$X59,输入平台!$B:$B,科目对照收入!$B12),2),ROUND(海典汇总!$O$60,2))</f>
        <v>0</v>
      </c>
      <c r="H1266" s="49" t="str">
        <f aca="false">IF(ROUND($G1266,2)&gt;0,ROUND($G1266,2),"")</f>
        <v/>
      </c>
      <c r="I1266" s="49" t="str">
        <f aca="false">IF(ROUND($G1266,2)&lt;0,-ROUND($G1266,2),"")</f>
        <v/>
      </c>
      <c r="J1266" s="20" t="n">
        <f aca="false">IF(ROUND($G1266,2)=0,0,1)</f>
        <v>0</v>
      </c>
      <c r="K1266" s="20" t="str">
        <f aca="false">IF($J1266=0,"",SUM($J$1256:$J1266))</f>
        <v/>
      </c>
      <c r="L1266" s="20" t="str">
        <f aca="false">IF($K1266="","",$A1266*100+$K1266)</f>
        <v/>
      </c>
      <c r="M1266" s="48" t="str">
        <f aca="false">参数!$B$3</f>
        <v>7月收入</v>
      </c>
    </row>
    <row r="1267" customFormat="false" ht="13.5" hidden="false" customHeight="false" outlineLevel="0" collapsed="false">
      <c r="A1267" s="47" t="n">
        <v>58</v>
      </c>
      <c r="B1267" s="38" t="str">
        <f aca="false">助手收入!$B59</f>
        <v/>
      </c>
      <c r="C1267" s="48" t="str">
        <f aca="false">助手收入!$C59</f>
        <v>备用13</v>
      </c>
      <c r="D1267" s="48" t="str">
        <f aca="false">科目对照收入!$B13&amp;""</f>
        <v>银联</v>
      </c>
      <c r="E1267" s="48" t="str">
        <f aca="false">IF(AND(ROUND($G1267,2)&lt;0,科目对照收入!$L13&lt;&gt;""),科目对照收入!$L13,科目对照收入!$C13)&amp;""</f>
        <v>应收账款</v>
      </c>
      <c r="F1267" s="48" t="str">
        <f aca="false">IF(AND(ROUND($G1267,2)&lt;0,科目对照收入!$L13&lt;&gt;""),科目对照收入!$M13,科目对照收入!$D13)&amp;""</f>
        <v>银联</v>
      </c>
      <c r="G1267" s="49" t="n">
        <f aca="false">IF(COUNTIFS(输入平台!$A:$A,助手收入!$X59,输入平台!$B:$B,科目对照收入!$B13)&gt;0,ROUND(SUMIFS(输入平台!$C:$C,输入平台!$A:$A,助手收入!$X59,输入平台!$B:$B,科目对照收入!$B13),2),ROUND(海典汇总!$V$60,2))</f>
        <v>0</v>
      </c>
      <c r="H1267" s="49" t="str">
        <f aca="false">IF(ROUND($G1267,2)&gt;0,ROUND($G1267,2),"")</f>
        <v/>
      </c>
      <c r="I1267" s="49" t="str">
        <f aca="false">IF(ROUND($G1267,2)&lt;0,-ROUND($G1267,2),"")</f>
        <v/>
      </c>
      <c r="J1267" s="20" t="n">
        <f aca="false">IF(ROUND($G1267,2)=0,0,1)</f>
        <v>0</v>
      </c>
      <c r="K1267" s="20" t="str">
        <f aca="false">IF($J1267=0,"",SUM($J$1256:$J1267))</f>
        <v/>
      </c>
      <c r="L1267" s="20" t="str">
        <f aca="false">IF($K1267="","",$A1267*100+$K1267)</f>
        <v/>
      </c>
      <c r="M1267" s="48" t="str">
        <f aca="false">参数!$B$3</f>
        <v>7月收入</v>
      </c>
    </row>
    <row r="1268" customFormat="false" ht="13.5" hidden="false" customHeight="false" outlineLevel="0" collapsed="false">
      <c r="A1268" s="47" t="n">
        <v>58</v>
      </c>
      <c r="B1268" s="38" t="str">
        <f aca="false">助手收入!$B59</f>
        <v/>
      </c>
      <c r="C1268" s="48" t="str">
        <f aca="false">助手收入!$C59</f>
        <v>备用13</v>
      </c>
      <c r="D1268" s="48" t="str">
        <f aca="false">科目对照收入!$B14&amp;""</f>
        <v>小镇外卖</v>
      </c>
      <c r="E1268" s="48" t="str">
        <f aca="false">IF(AND(ROUND($G1268,2)&lt;0,科目对照收入!$L14&lt;&gt;""),科目对照收入!$L14,科目对照收入!$C14)&amp;""</f>
        <v>应收账款</v>
      </c>
      <c r="F1268" s="48" t="str">
        <f aca="false">IF(AND(ROUND($G1268,2)&lt;0,科目对照收入!$L14&lt;&gt;""),科目对照收入!$M14,科目对照收入!$D14)&amp;""</f>
        <v>小镇外卖</v>
      </c>
      <c r="G1268" s="49" t="n">
        <f aca="false">IF(COUNTIFS(输入平台!$A:$A,助手收入!$X59,输入平台!$B:$B,科目对照收入!$B14)&gt;0,ROUND(SUMIFS(输入平台!$C:$C,输入平台!$A:$A,助手收入!$X59,输入平台!$B:$B,科目对照收入!$B14),2),ROUND(海典汇总!$AC$60,2))</f>
        <v>0</v>
      </c>
      <c r="H1268" s="49" t="str">
        <f aca="false">IF(ROUND($G1268,2)&gt;0,ROUND($G1268,2),"")</f>
        <v/>
      </c>
      <c r="I1268" s="49" t="str">
        <f aca="false">IF(ROUND($G1268,2)&lt;0,-ROUND($G1268,2),"")</f>
        <v/>
      </c>
      <c r="J1268" s="20" t="n">
        <f aca="false">IF(ROUND($G1268,2)=0,0,1)</f>
        <v>0</v>
      </c>
      <c r="K1268" s="20" t="str">
        <f aca="false">IF($J1268=0,"",SUM($J$1256:$J1268))</f>
        <v/>
      </c>
      <c r="L1268" s="20" t="str">
        <f aca="false">IF($K1268="","",$A1268*100+$K1268)</f>
        <v/>
      </c>
      <c r="M1268" s="48" t="str">
        <f aca="false">参数!$B$3</f>
        <v>7月收入</v>
      </c>
    </row>
    <row r="1269" customFormat="false" ht="13.5" hidden="false" customHeight="false" outlineLevel="0" collapsed="false">
      <c r="A1269" s="47" t="n">
        <v>58</v>
      </c>
      <c r="B1269" s="38" t="str">
        <f aca="false">助手收入!$B59</f>
        <v/>
      </c>
      <c r="C1269" s="48" t="str">
        <f aca="false">助手收入!$C59</f>
        <v>备用13</v>
      </c>
      <c r="D1269" s="48" t="str">
        <f aca="false">科目对照收入!$B15&amp;""</f>
        <v>OMS线上支付</v>
      </c>
      <c r="E1269" s="48" t="str">
        <f aca="false">IF(AND(ROUND($G1269,2)&lt;0,科目对照收入!$L15&lt;&gt;""),科目对照收入!$L15,科目对照收入!$C15)&amp;""</f>
        <v>应收账款</v>
      </c>
      <c r="F1269" s="48" t="str">
        <f aca="false">IF(AND(ROUND($G1269,2)&lt;0,科目对照收入!$L15&lt;&gt;""),科目对照收入!$M15,科目对照收入!$D15)&amp;""</f>
        <v>OMS线上</v>
      </c>
      <c r="G1269" s="49" t="n">
        <f aca="false">IF(COUNTIFS(输入平台!$A:$A,助手收入!$X59,输入平台!$B:$B,科目对照收入!$B15)&gt;0,ROUND(SUMIFS(输入平台!$C:$C,输入平台!$A:$A,助手收入!$X59,输入平台!$B:$B,科目对照收入!$B15),2),ROUND(海典汇总!$L$60,2))</f>
        <v>0</v>
      </c>
      <c r="H1269" s="49" t="str">
        <f aca="false">IF(ROUND($G1269,2)&gt;0,ROUND($G1269,2),"")</f>
        <v/>
      </c>
      <c r="I1269" s="49" t="str">
        <f aca="false">IF(ROUND($G1269,2)&lt;0,-ROUND($G1269,2),"")</f>
        <v/>
      </c>
      <c r="J1269" s="20" t="n">
        <f aca="false">IF(ROUND($G1269,2)=0,0,1)</f>
        <v>0</v>
      </c>
      <c r="K1269" s="20" t="str">
        <f aca="false">IF($J1269=0,"",SUM($J$1256:$J1269))</f>
        <v/>
      </c>
      <c r="L1269" s="20" t="str">
        <f aca="false">IF($K1269="","",$A1269*100+$K1269)</f>
        <v/>
      </c>
      <c r="M1269" s="48" t="str">
        <f aca="false">参数!$B$3</f>
        <v>7月收入</v>
      </c>
    </row>
    <row r="1270" customFormat="false" ht="13.5" hidden="false" customHeight="false" outlineLevel="0" collapsed="false">
      <c r="A1270" s="47" t="n">
        <v>58</v>
      </c>
      <c r="B1270" s="38" t="str">
        <f aca="false">助手收入!$B59</f>
        <v/>
      </c>
      <c r="C1270" s="48" t="str">
        <f aca="false">助手收入!$C59</f>
        <v>备用13</v>
      </c>
      <c r="D1270" s="48" t="str">
        <f aca="false">科目对照收入!$B16&amp;""</f>
        <v>平安药卡</v>
      </c>
      <c r="E1270" s="48" t="str">
        <f aca="false">IF(AND(ROUND($G1270,2)&lt;0,科目对照收入!$L16&lt;&gt;""),科目对照收入!$L16,科目对照收入!$C16)&amp;""</f>
        <v>应收账款</v>
      </c>
      <c r="F1270" s="48" t="str">
        <f aca="false">IF(AND(ROUND($G1270,2)&lt;0,科目对照收入!$L16&lt;&gt;""),科目对照收入!$M16,科目对照收入!$D16)&amp;""</f>
        <v>平安</v>
      </c>
      <c r="G1270" s="49" t="n">
        <f aca="false">IF(COUNTIFS(输入平台!$A:$A,助手收入!$X59,输入平台!$B:$B,科目对照收入!$B16)&gt;0,ROUND(SUMIFS(输入平台!$C:$C,输入平台!$A:$A,助手收入!$X59,输入平台!$B:$B,科目对照收入!$B16),2),ROUND(海典汇总!$AB$60,2))</f>
        <v>0</v>
      </c>
      <c r="H1270" s="49" t="str">
        <f aca="false">IF(ROUND($G1270,2)&gt;0,ROUND($G1270,2),"")</f>
        <v/>
      </c>
      <c r="I1270" s="49" t="str">
        <f aca="false">IF(ROUND($G1270,2)&lt;0,-ROUND($G1270,2),"")</f>
        <v/>
      </c>
      <c r="J1270" s="20" t="n">
        <f aca="false">IF(ROUND($G1270,2)=0,0,1)</f>
        <v>0</v>
      </c>
      <c r="K1270" s="20" t="str">
        <f aca="false">IF($J1270=0,"",SUM($J$1256:$J1270))</f>
        <v/>
      </c>
      <c r="L1270" s="20" t="str">
        <f aca="false">IF($K1270="","",$A1270*100+$K1270)</f>
        <v/>
      </c>
      <c r="M1270" s="48" t="str">
        <f aca="false">参数!$B$3</f>
        <v>7月收入</v>
      </c>
    </row>
    <row r="1271" customFormat="false" ht="13.5" hidden="false" customHeight="false" outlineLevel="0" collapsed="false">
      <c r="A1271" s="47" t="n">
        <v>58</v>
      </c>
      <c r="B1271" s="38" t="str">
        <f aca="false">助手收入!$B59</f>
        <v/>
      </c>
      <c r="C1271" s="48" t="str">
        <f aca="false">助手收入!$C59</f>
        <v>备用13</v>
      </c>
      <c r="D1271" s="48" t="str">
        <f aca="false">科目对照收入!$B17&amp;""</f>
        <v>储值卡</v>
      </c>
      <c r="E1271" s="48" t="str">
        <f aca="false">IF(AND(ROUND($G1271,2)&lt;0,科目对照收入!$L17&lt;&gt;""),科目对照收入!$L17,科目对照收入!$C17)&amp;""</f>
        <v>其他应收款</v>
      </c>
      <c r="F1271" s="48" t="str">
        <f aca="false">IF(AND(ROUND($G1271,2)&lt;0,科目对照收入!$L17&lt;&gt;""),科目对照收入!$M17,科目对照收入!$D17)&amp;""</f>
        <v>储值卡</v>
      </c>
      <c r="G1271" s="49" t="n">
        <f aca="false">ROUND(海典汇总!$Q$60,2)</f>
        <v>0</v>
      </c>
      <c r="H1271" s="49" t="str">
        <f aca="false">IF(ROUND($G1271,2)&gt;0,ROUND($G1271,2),"")</f>
        <v/>
      </c>
      <c r="I1271" s="49" t="str">
        <f aca="false">IF(ROUND($G1271,2)&lt;0,-ROUND($G1271,2),"")</f>
        <v/>
      </c>
      <c r="J1271" s="20" t="n">
        <f aca="false">IF(ROUND($G1271,2)=0,0,1)</f>
        <v>0</v>
      </c>
      <c r="K1271" s="20" t="str">
        <f aca="false">IF($J1271=0,"",SUM($J$1256:$J1271))</f>
        <v/>
      </c>
      <c r="L1271" s="20" t="str">
        <f aca="false">IF($K1271="","",$A1271*100+$K1271)</f>
        <v/>
      </c>
      <c r="M1271" s="48" t="str">
        <f aca="false">参数!$B$3</f>
        <v>7月收入</v>
      </c>
    </row>
    <row r="1272" customFormat="false" ht="13.5" hidden="false" customHeight="false" outlineLevel="0" collapsed="false">
      <c r="A1272" s="47" t="n">
        <v>58</v>
      </c>
      <c r="B1272" s="38" t="str">
        <f aca="false">助手收入!$B59</f>
        <v/>
      </c>
      <c r="C1272" s="48" t="str">
        <f aca="false">助手收入!$C59</f>
        <v>备用13</v>
      </c>
      <c r="D1272" s="48" t="str">
        <f aca="false">科目对照收入!$B18&amp;""</f>
        <v>会员零钱包</v>
      </c>
      <c r="E1272" s="48" t="str">
        <f aca="false">IF(AND(ROUND($G1272,2)&lt;0,科目对照收入!$L18&lt;&gt;""),科目对照收入!$L18,科目对照收入!$C18)&amp;""</f>
        <v>其他应收款</v>
      </c>
      <c r="F1272" s="48" t="str">
        <f aca="false">IF(AND(ROUND($G1272,2)&lt;0,科目对照收入!$L18&lt;&gt;""),科目对照收入!$M18,科目对照收入!$D18)&amp;""</f>
        <v>会员零钱包</v>
      </c>
      <c r="G1272" s="49" t="n">
        <f aca="false">ROUND(海典汇总!$P$60,2)</f>
        <v>0</v>
      </c>
      <c r="H1272" s="49" t="str">
        <f aca="false">IF(ROUND($G1272,2)&gt;0,ROUND($G1272,2),"")</f>
        <v/>
      </c>
      <c r="I1272" s="49" t="str">
        <f aca="false">IF(ROUND($G1272,2)&lt;0,-ROUND($G1272,2),"")</f>
        <v/>
      </c>
      <c r="J1272" s="20" t="n">
        <f aca="false">IF(ROUND($G1272,2)=0,0,1)</f>
        <v>0</v>
      </c>
      <c r="K1272" s="20" t="str">
        <f aca="false">IF($J1272=0,"",SUM($J$1256:$J1272))</f>
        <v/>
      </c>
      <c r="L1272" s="20" t="str">
        <f aca="false">IF($K1272="","",$A1272*100+$K1272)</f>
        <v/>
      </c>
      <c r="M1272" s="48" t="str">
        <f aca="false">参数!$B$3</f>
        <v>7月收入</v>
      </c>
    </row>
    <row r="1273" customFormat="false" ht="13.5" hidden="false" customHeight="false" outlineLevel="0" collapsed="false">
      <c r="A1273" s="47" t="n">
        <v>58</v>
      </c>
      <c r="B1273" s="38" t="str">
        <f aca="false">助手收入!$B59</f>
        <v/>
      </c>
      <c r="C1273" s="48" t="str">
        <f aca="false">助手收入!$C59</f>
        <v>备用13</v>
      </c>
      <c r="D1273" s="48" t="str">
        <f aca="false">科目对照收入!$B19&amp;""</f>
        <v>促销费</v>
      </c>
      <c r="E1273" s="48" t="str">
        <f aca="false">IF(AND(ROUND($G1273,2)&lt;0,科目对照收入!$L19&lt;&gt;""),科目对照收入!$L19,科目对照收入!$C19)&amp;""</f>
        <v>销售费用</v>
      </c>
      <c r="F1273" s="48" t="str">
        <f aca="false">IF(AND(ROUND($G1273,2)&lt;0,科目对照收入!$L19&lt;&gt;""),科目对照收入!$M19,科目对照收入!$D19)&amp;""</f>
        <v>促销费</v>
      </c>
      <c r="G1273" s="49" t="n">
        <f aca="false">ROUND(海典汇总!$U$60+海典汇总!$T$60+海典汇总!$S$60,2)</f>
        <v>0</v>
      </c>
      <c r="H1273" s="49" t="str">
        <f aca="false">IF(ROUND($G1273,2)&gt;0,ROUND($G1273,2),"")</f>
        <v/>
      </c>
      <c r="I1273" s="49" t="str">
        <f aca="false">IF(ROUND($G1273,2)&lt;0,-ROUND($G1273,2),"")</f>
        <v/>
      </c>
      <c r="J1273" s="20" t="n">
        <f aca="false">IF(ROUND($G1273,2)=0,0,1)</f>
        <v>0</v>
      </c>
      <c r="K1273" s="20" t="str">
        <f aca="false">IF($J1273=0,"",SUM($J$1256:$J1273))</f>
        <v/>
      </c>
      <c r="L1273" s="20" t="str">
        <f aca="false">IF($K1273="","",$A1273*100+$K1273)</f>
        <v/>
      </c>
      <c r="M1273" s="48" t="str">
        <f aca="false">参数!$B$3</f>
        <v>7月收入</v>
      </c>
    </row>
    <row r="1274" customFormat="false" ht="13.5" hidden="false" customHeight="false" outlineLevel="0" collapsed="false">
      <c r="A1274" s="47" t="n">
        <v>58</v>
      </c>
      <c r="B1274" s="38" t="str">
        <f aca="false">助手收入!$B59</f>
        <v/>
      </c>
      <c r="C1274" s="48" t="str">
        <f aca="false">助手收入!$C59</f>
        <v>备用13</v>
      </c>
      <c r="D1274" s="48" t="str">
        <f aca="false">科目对照收入!$B20&amp;""</f>
        <v>积分</v>
      </c>
      <c r="E1274" s="48" t="str">
        <f aca="false">IF(AND(ROUND($G1274,2)&lt;0,科目对照收入!$L20&lt;&gt;""),科目对照收入!$L20,科目对照收入!$C20)&amp;""</f>
        <v>销售费用</v>
      </c>
      <c r="F1274" s="48" t="str">
        <f aca="false">IF(AND(ROUND($G1274,2)&lt;0,科目对照收入!$L20&lt;&gt;""),科目对照收入!$M20,科目对照收入!$D20)&amp;""</f>
        <v>积分</v>
      </c>
      <c r="G1274" s="49" t="n">
        <f aca="false">ROUND(海典汇总!$R$60,2)</f>
        <v>0</v>
      </c>
      <c r="H1274" s="49" t="str">
        <f aca="false">IF(ROUND($G1274,2)&gt;0,ROUND($G1274,2),"")</f>
        <v/>
      </c>
      <c r="I1274" s="49" t="str">
        <f aca="false">IF(ROUND($G1274,2)&lt;0,-ROUND($G1274,2),"")</f>
        <v/>
      </c>
      <c r="J1274" s="20" t="n">
        <f aca="false">IF(ROUND($G1274,2)=0,0,1)</f>
        <v>0</v>
      </c>
      <c r="K1274" s="20" t="str">
        <f aca="false">IF($J1274=0,"",SUM($J$1256:$J1274))</f>
        <v/>
      </c>
      <c r="L1274" s="20" t="str">
        <f aca="false">IF($K1274="","",$A1274*100+$K1274)</f>
        <v/>
      </c>
      <c r="M1274" s="48" t="str">
        <f aca="false">参数!$B$3</f>
        <v>7月收入</v>
      </c>
    </row>
    <row r="1275" customFormat="false" ht="13.5" hidden="false" customHeight="false" outlineLevel="0" collapsed="false">
      <c r="A1275" s="47" t="n">
        <v>58</v>
      </c>
      <c r="B1275" s="38" t="str">
        <f aca="false">助手收入!$B59</f>
        <v/>
      </c>
      <c r="C1275" s="48" t="str">
        <f aca="false">助手收入!$C59</f>
        <v>备用13</v>
      </c>
      <c r="D1275" s="48" t="str">
        <f aca="false">科目对照收入!$B21&amp;""</f>
        <v>手续费</v>
      </c>
      <c r="E1275" s="48" t="str">
        <f aca="false">IF(AND(ROUND($G1275,2)&lt;0,科目对照收入!$L21&lt;&gt;""),科目对照收入!$L21,科目对照收入!$C21)&amp;""</f>
        <v>财务费用</v>
      </c>
      <c r="F1275" s="48" t="str">
        <f aca="false">IF(AND(ROUND($G1275,2)&lt;0,科目对照收入!$L21&lt;&gt;""),科目对照收入!$M21,科目对照收入!$D21)&amp;""</f>
        <v>手续费</v>
      </c>
      <c r="G1275" s="49" t="n">
        <f aca="false">ROUND(SUMIFS(输入聚合!$D:$D,输入聚合!$A:$A,助手收入!$X59),2)</f>
        <v>0</v>
      </c>
      <c r="H1275" s="49" t="str">
        <f aca="false">IF(ROUND($G1275,2)&gt;0,ROUND($G1275,2),"")</f>
        <v/>
      </c>
      <c r="I1275" s="49" t="str">
        <f aca="false">IF(ROUND($G1275,2)&lt;0,-ROUND($G1275,2),"")</f>
        <v/>
      </c>
      <c r="J1275" s="20" t="n">
        <f aca="false">IF(ROUND($G1275,2)=0,0,1)</f>
        <v>0</v>
      </c>
      <c r="K1275" s="20" t="str">
        <f aca="false">IF($J1275=0,"",SUM($J$1256:$J1275))</f>
        <v/>
      </c>
      <c r="L1275" s="20" t="str">
        <f aca="false">IF($K1275="","",$A1275*100+$K1275)</f>
        <v/>
      </c>
      <c r="M1275" s="48" t="str">
        <f aca="false">参数!$B$3</f>
        <v>7月收入</v>
      </c>
    </row>
    <row r="1276" customFormat="false" ht="13.5" hidden="false" customHeight="false" outlineLevel="0" collapsed="false">
      <c r="A1276" s="47" t="n">
        <v>58</v>
      </c>
      <c r="B1276" s="38" t="str">
        <f aca="false">助手收入!$B59</f>
        <v/>
      </c>
      <c r="C1276" s="48" t="str">
        <f aca="false">助手收入!$C59</f>
        <v>备用13</v>
      </c>
      <c r="D1276" s="48" t="str">
        <f aca="false">科目对照收入!$B22&amp;""</f>
        <v>主营业务收入</v>
      </c>
      <c r="E1276" s="48" t="str">
        <f aca="false">IF(AND(ROUND($G1276,2)&lt;0,科目对照收入!$L22&lt;&gt;""),科目对照收入!$L22,科目对照收入!$C22)&amp;""</f>
        <v>主营业务收入</v>
      </c>
      <c r="F1276" s="48" t="str">
        <f aca="false">IF(AND(ROUND($G1276,2)&lt;0,科目对照收入!$L22&lt;&gt;""),科目对照收入!$M22,科目对照收入!$D22)&amp;""</f>
        <v/>
      </c>
      <c r="G1276" s="49" t="n">
        <f aca="false">-ROUND(助手收入!$G59,2)</f>
        <v>-0</v>
      </c>
      <c r="H1276" s="49" t="str">
        <f aca="false">IF(ROUND($G1276,2)&gt;0,ROUND($G1276,2),"")</f>
        <v/>
      </c>
      <c r="I1276" s="49" t="str">
        <f aca="false">IF(ROUND($G1276,2)&lt;0,-ROUND($G1276,2),"")</f>
        <v/>
      </c>
      <c r="J1276" s="20" t="n">
        <f aca="false">IF(ROUND($G1276,2)=0,0,1)</f>
        <v>0</v>
      </c>
      <c r="K1276" s="20" t="str">
        <f aca="false">IF($J1276=0,"",SUM($J$1256:$J1276))</f>
        <v/>
      </c>
      <c r="L1276" s="20" t="str">
        <f aca="false">IF($K1276="","",$A1276*100+$K1276)</f>
        <v/>
      </c>
      <c r="M1276" s="48" t="str">
        <f aca="false">参数!$B$3</f>
        <v>7月收入</v>
      </c>
    </row>
    <row r="1277" customFormat="false" ht="13.5" hidden="false" customHeight="false" outlineLevel="0" collapsed="false">
      <c r="A1277" s="47" t="n">
        <v>58</v>
      </c>
      <c r="B1277" s="38" t="str">
        <f aca="false">助手收入!$B59</f>
        <v/>
      </c>
      <c r="C1277" s="48" t="str">
        <f aca="false">助手收入!$C59</f>
        <v>备用13</v>
      </c>
      <c r="D1277" s="48" t="str">
        <f aca="false">科目对照收入!$B23&amp;""</f>
        <v>营业外收入</v>
      </c>
      <c r="E1277" s="48" t="str">
        <f aca="false">IF(AND(ROUND($G1277,2)&lt;0,科目对照收入!$L23&lt;&gt;""),科目对照收入!$L23,科目对照收入!$C23)&amp;""</f>
        <v>营业外收入</v>
      </c>
      <c r="F1277" s="48" t="str">
        <f aca="false">IF(AND(ROUND($G1277,2)&lt;0,科目对照收入!$L23&lt;&gt;""),科目对照收入!$M23,科目对照收入!$D23)&amp;""</f>
        <v/>
      </c>
      <c r="G1277" s="49" t="n">
        <f aca="false">-ROUND(助手收入!$J59,2)</f>
        <v>-0</v>
      </c>
      <c r="H1277" s="49" t="str">
        <f aca="false">IF(ROUND($G1277,2)&gt;0,ROUND($G1277,2),"")</f>
        <v/>
      </c>
      <c r="I1277" s="49" t="str">
        <f aca="false">IF(ROUND($G1277,2)&lt;0,-ROUND($G1277,2),"")</f>
        <v/>
      </c>
      <c r="J1277" s="20" t="n">
        <f aca="false">IF(ROUND($G1277,2)=0,0,1)</f>
        <v>0</v>
      </c>
      <c r="K1277" s="20" t="str">
        <f aca="false">IF($J1277=0,"",SUM($J$1256:$J1277))</f>
        <v/>
      </c>
      <c r="L1277" s="20" t="str">
        <f aca="false">IF($K1277="","",$A1277*100+$K1277)</f>
        <v/>
      </c>
      <c r="M1277" s="48" t="str">
        <f aca="false">参数!$B$3</f>
        <v>7月收入</v>
      </c>
    </row>
    <row r="1278" customFormat="false" ht="13.5" hidden="false" customHeight="false" outlineLevel="0" collapsed="false">
      <c r="A1278" s="47" t="n">
        <v>59</v>
      </c>
      <c r="B1278" s="38" t="str">
        <f aca="false">助手收入!$B60</f>
        <v/>
      </c>
      <c r="C1278" s="48" t="str">
        <f aca="false">助手收入!$C60</f>
        <v>备用14</v>
      </c>
      <c r="D1278" s="48" t="str">
        <f aca="false">科目对照收入!$B2&amp;""</f>
        <v>库存现金</v>
      </c>
      <c r="E1278" s="48" t="str">
        <f aca="false">IF(AND(ROUND($G1278,2)&lt;0,科目对照收入!$L2&lt;&gt;""),科目对照收入!$L2,科目对照收入!$C2)&amp;""</f>
        <v>库存现金</v>
      </c>
      <c r="F1278" s="48" t="str">
        <f aca="false">IF(AND(ROUND($G1278,2)&lt;0,科目对照收入!$L2&lt;&gt;""),科目对照收入!$M2,科目对照收入!$D2)&amp;""</f>
        <v/>
      </c>
      <c r="G1278" s="49" t="n">
        <f aca="false">助手收入!$I60</f>
        <v>0</v>
      </c>
      <c r="H1278" s="49" t="str">
        <f aca="false">IF(ROUND($G1278,2)&gt;0,ROUND($G1278,2),"")</f>
        <v/>
      </c>
      <c r="I1278" s="49" t="str">
        <f aca="false">IF(ROUND($G1278,2)&lt;0,-ROUND($G1278,2),"")</f>
        <v/>
      </c>
      <c r="J1278" s="20" t="n">
        <f aca="false">IF(ROUND($G1278,2)=0,0,1)</f>
        <v>0</v>
      </c>
      <c r="K1278" s="20" t="str">
        <f aca="false">IF($J1278=0,"",SUM($J$1278:$J1278))</f>
        <v/>
      </c>
      <c r="L1278" s="20" t="str">
        <f aca="false">IF($K1278="","",$A1278*100+$K1278)</f>
        <v/>
      </c>
      <c r="M1278" s="48" t="str">
        <f aca="false">参数!$B$3</f>
        <v>7月收入</v>
      </c>
    </row>
    <row r="1279" customFormat="false" ht="13.5" hidden="false" customHeight="false" outlineLevel="0" collapsed="false">
      <c r="A1279" s="47" t="n">
        <v>59</v>
      </c>
      <c r="B1279" s="38" t="str">
        <f aca="false">助手收入!$B60</f>
        <v/>
      </c>
      <c r="C1279" s="48" t="str">
        <f aca="false">助手收入!$C60</f>
        <v>备用14</v>
      </c>
      <c r="D1279" s="48" t="str">
        <f aca="false">科目对照收入!$B3&amp;""</f>
        <v>聚合支付</v>
      </c>
      <c r="E1279" s="48" t="str">
        <f aca="false">IF(AND(ROUND($G1279,2)&lt;0,科目对照收入!$L3&lt;&gt;""),科目对照收入!$L3,科目对照收入!$C3)&amp;""</f>
        <v>应收账款</v>
      </c>
      <c r="F1279" s="48" t="str">
        <f aca="false">IF(AND(ROUND($G1279,2)&lt;0,科目对照收入!$L3&lt;&gt;""),科目对照收入!$M3,科目对照收入!$D3)&amp;""</f>
        <v>聚合支付</v>
      </c>
      <c r="G1279" s="49" t="n">
        <f aca="false">ROUND(SUMIFS(输入聚合!$C:$C,输入聚合!$A:$A,助手收入!$X60)-SUMIFS(输入聚合!$D:$D,输入聚合!$A:$A,助手收入!$X60),2)</f>
        <v>0</v>
      </c>
      <c r="H1279" s="49" t="str">
        <f aca="false">IF(ROUND($G1279,2)&gt;0,ROUND($G1279,2),"")</f>
        <v/>
      </c>
      <c r="I1279" s="49" t="str">
        <f aca="false">IF(ROUND($G1279,2)&lt;0,-ROUND($G1279,2),"")</f>
        <v/>
      </c>
      <c r="J1279" s="20" t="n">
        <f aca="false">IF(ROUND($G1279,2)=0,0,1)</f>
        <v>0</v>
      </c>
      <c r="K1279" s="20" t="str">
        <f aca="false">IF($J1279=0,"",SUM($J$1278:$J1279))</f>
        <v/>
      </c>
      <c r="L1279" s="20" t="str">
        <f aca="false">IF($K1279="","",$A1279*100+$K1279)</f>
        <v/>
      </c>
      <c r="M1279" s="48" t="str">
        <f aca="false">参数!$B$3</f>
        <v>7月收入</v>
      </c>
    </row>
    <row r="1280" customFormat="false" ht="13.5" hidden="false" customHeight="false" outlineLevel="0" collapsed="false">
      <c r="A1280" s="47" t="n">
        <v>59</v>
      </c>
      <c r="B1280" s="38" t="str">
        <f aca="false">助手收入!$B60</f>
        <v/>
      </c>
      <c r="C1280" s="48" t="str">
        <f aca="false">助手收入!$C60</f>
        <v>备用14</v>
      </c>
      <c r="D1280" s="48" t="str">
        <f aca="false">科目对照收入!$B4&amp;""</f>
        <v>医保</v>
      </c>
      <c r="E1280" s="48" t="str">
        <f aca="false">IF(AND(ROUND($G1280,2)&lt;0,科目对照收入!$L4&lt;&gt;""),科目对照收入!$L4,科目对照收入!$C4)&amp;""</f>
        <v>应收账款</v>
      </c>
      <c r="F1280" s="48" t="str">
        <f aca="false">IF(AND(ROUND($G1280,2)&lt;0,科目对照收入!$L4&lt;&gt;""),科目对照收入!$M4,科目对照收入!$D4)&amp;""</f>
        <v>医保</v>
      </c>
      <c r="G1280" s="49" t="n">
        <f aca="false">IF(COUNTIFS(输入平台!$A:$A,助手收入!$X60,输入平台!$B:$B,科目对照收入!$B4)&gt;0,ROUND(SUMIFS(输入平台!$C:$C,输入平台!$A:$A,助手收入!$X60,输入平台!$B:$B,科目对照收入!$B4),2),ROUND(海典汇总!$F$61+海典汇总!$G$61,2))</f>
        <v>0</v>
      </c>
      <c r="H1280" s="49" t="str">
        <f aca="false">IF(ROUND($G1280,2)&gt;0,ROUND($G1280,2),"")</f>
        <v/>
      </c>
      <c r="I1280" s="49" t="str">
        <f aca="false">IF(ROUND($G1280,2)&lt;0,-ROUND($G1280,2),"")</f>
        <v/>
      </c>
      <c r="J1280" s="20" t="n">
        <f aca="false">IF(ROUND($G1280,2)=0,0,1)</f>
        <v>0</v>
      </c>
      <c r="K1280" s="20" t="str">
        <f aca="false">IF($J1280=0,"",SUM($J$1278:$J1280))</f>
        <v/>
      </c>
      <c r="L1280" s="20" t="str">
        <f aca="false">IF($K1280="","",$A1280*100+$K1280)</f>
        <v/>
      </c>
      <c r="M1280" s="48" t="str">
        <f aca="false">参数!$B$3</f>
        <v>7月收入</v>
      </c>
    </row>
    <row r="1281" customFormat="false" ht="13.5" hidden="false" customHeight="false" outlineLevel="0" collapsed="false">
      <c r="A1281" s="47" t="n">
        <v>59</v>
      </c>
      <c r="B1281" s="38" t="str">
        <f aca="false">助手收入!$B60</f>
        <v/>
      </c>
      <c r="C1281" s="48" t="str">
        <f aca="false">助手收入!$C60</f>
        <v>备用14</v>
      </c>
      <c r="D1281" s="48" t="str">
        <f aca="false">科目对照收入!$B5&amp;""</f>
        <v>健e卡</v>
      </c>
      <c r="E1281" s="48" t="str">
        <f aca="false">IF(AND(ROUND($G1281,2)&lt;0,科目对照收入!$L5&lt;&gt;""),科目对照收入!$L5,科目对照收入!$C5)&amp;""</f>
        <v>应收账款</v>
      </c>
      <c r="F1281" s="48" t="str">
        <f aca="false">IF(AND(ROUND($G1281,2)&lt;0,科目对照收入!$L5&lt;&gt;""),科目对照收入!$M5,科目对照收入!$D5)&amp;""</f>
        <v>健e卡</v>
      </c>
      <c r="G1281" s="49" t="n">
        <f aca="false">IF(COUNTIFS(输入平台!$A:$A,助手收入!$X60,输入平台!$B:$B,科目对照收入!$B5)&gt;0,ROUND(SUMIFS(输入平台!$C:$C,输入平台!$A:$A,助手收入!$X60,输入平台!$B:$B,科目对照收入!$B5),2),ROUND(海典汇总!$H$61,2))</f>
        <v>0</v>
      </c>
      <c r="H1281" s="49" t="str">
        <f aca="false">IF(ROUND($G1281,2)&gt;0,ROUND($G1281,2),"")</f>
        <v/>
      </c>
      <c r="I1281" s="49" t="str">
        <f aca="false">IF(ROUND($G1281,2)&lt;0,-ROUND($G1281,2),"")</f>
        <v/>
      </c>
      <c r="J1281" s="20" t="n">
        <f aca="false">IF(ROUND($G1281,2)=0,0,1)</f>
        <v>0</v>
      </c>
      <c r="K1281" s="20" t="str">
        <f aca="false">IF($J1281=0,"",SUM($J$1278:$J1281))</f>
        <v/>
      </c>
      <c r="L1281" s="20" t="str">
        <f aca="false">IF($K1281="","",$A1281*100+$K1281)</f>
        <v/>
      </c>
      <c r="M1281" s="48" t="str">
        <f aca="false">参数!$B$3</f>
        <v>7月收入</v>
      </c>
    </row>
    <row r="1282" customFormat="false" ht="13.5" hidden="false" customHeight="false" outlineLevel="0" collapsed="false">
      <c r="A1282" s="47" t="n">
        <v>59</v>
      </c>
      <c r="B1282" s="38" t="str">
        <f aca="false">助手收入!$B60</f>
        <v/>
      </c>
      <c r="C1282" s="48" t="str">
        <f aca="false">助手收入!$C60</f>
        <v>备用14</v>
      </c>
      <c r="D1282" s="48" t="str">
        <f aca="false">科目对照收入!$B6&amp;""</f>
        <v>医卡通</v>
      </c>
      <c r="E1282" s="48" t="str">
        <f aca="false">IF(AND(ROUND($G1282,2)&lt;0,科目对照收入!$L6&lt;&gt;""),科目对照收入!$L6,科目对照收入!$C6)&amp;""</f>
        <v>应收账款</v>
      </c>
      <c r="F1282" s="48" t="str">
        <f aca="false">IF(AND(ROUND($G1282,2)&lt;0,科目对照收入!$L6&lt;&gt;""),科目对照收入!$M6,科目对照收入!$D6)&amp;""</f>
        <v>医卡通</v>
      </c>
      <c r="G1282" s="49" t="n">
        <f aca="false">IF(COUNTIFS(输入平台!$A:$A,助手收入!$X60,输入平台!$B:$B,科目对照收入!$B6)&gt;0,ROUND(SUMIFS(输入平台!$C:$C,输入平台!$A:$A,助手收入!$X60,输入平台!$B:$B,科目对照收入!$B6),2),ROUND(海典汇总!$I$61,2))</f>
        <v>0</v>
      </c>
      <c r="H1282" s="49" t="str">
        <f aca="false">IF(ROUND($G1282,2)&gt;0,ROUND($G1282,2),"")</f>
        <v/>
      </c>
      <c r="I1282" s="49" t="str">
        <f aca="false">IF(ROUND($G1282,2)&lt;0,-ROUND($G1282,2),"")</f>
        <v/>
      </c>
      <c r="J1282" s="20" t="n">
        <f aca="false">IF(ROUND($G1282,2)=0,0,1)</f>
        <v>0</v>
      </c>
      <c r="K1282" s="20" t="str">
        <f aca="false">IF($J1282=0,"",SUM($J$1278:$J1282))</f>
        <v/>
      </c>
      <c r="L1282" s="20" t="str">
        <f aca="false">IF($K1282="","",$A1282*100+$K1282)</f>
        <v/>
      </c>
      <c r="M1282" s="48" t="str">
        <f aca="false">参数!$B$3</f>
        <v>7月收入</v>
      </c>
    </row>
    <row r="1283" customFormat="false" ht="13.5" hidden="false" customHeight="false" outlineLevel="0" collapsed="false">
      <c r="A1283" s="47" t="n">
        <v>59</v>
      </c>
      <c r="B1283" s="38" t="str">
        <f aca="false">助手收入!$B60</f>
        <v/>
      </c>
      <c r="C1283" s="48" t="str">
        <f aca="false">助手收入!$C60</f>
        <v>备用14</v>
      </c>
      <c r="D1283" s="48" t="str">
        <f aca="false">科目对照收入!$B7&amp;""</f>
        <v>企健网</v>
      </c>
      <c r="E1283" s="48" t="str">
        <f aca="false">IF(AND(ROUND($G1283,2)&lt;0,科目对照收入!$L7&lt;&gt;""),科目对照收入!$L7,科目对照收入!$C7)&amp;""</f>
        <v>应收账款</v>
      </c>
      <c r="F1283" s="48" t="str">
        <f aca="false">IF(AND(ROUND($G1283,2)&lt;0,科目对照收入!$L7&lt;&gt;""),科目对照收入!$M7,科目对照收入!$D7)&amp;""</f>
        <v>企健网</v>
      </c>
      <c r="G1283" s="49" t="n">
        <f aca="false">IF(COUNTIFS(输入平台!$A:$A,助手收入!$X60,输入平台!$B:$B,科目对照收入!$B7)&gt;0,ROUND(SUMIFS(输入平台!$C:$C,输入平台!$A:$A,助手收入!$X60,输入平台!$B:$B,科目对照收入!$B7),2),ROUND(海典汇总!$J$61,2))</f>
        <v>0</v>
      </c>
      <c r="H1283" s="49" t="str">
        <f aca="false">IF(ROUND($G1283,2)&gt;0,ROUND($G1283,2),"")</f>
        <v/>
      </c>
      <c r="I1283" s="49" t="str">
        <f aca="false">IF(ROUND($G1283,2)&lt;0,-ROUND($G1283,2),"")</f>
        <v/>
      </c>
      <c r="J1283" s="20" t="n">
        <f aca="false">IF(ROUND($G1283,2)=0,0,1)</f>
        <v>0</v>
      </c>
      <c r="K1283" s="20" t="str">
        <f aca="false">IF($J1283=0,"",SUM($J$1278:$J1283))</f>
        <v/>
      </c>
      <c r="L1283" s="20" t="str">
        <f aca="false">IF($K1283="","",$A1283*100+$K1283)</f>
        <v/>
      </c>
      <c r="M1283" s="48" t="str">
        <f aca="false">参数!$B$3</f>
        <v>7月收入</v>
      </c>
    </row>
    <row r="1284" customFormat="false" ht="13.5" hidden="false" customHeight="false" outlineLevel="0" collapsed="false">
      <c r="A1284" s="47" t="n">
        <v>59</v>
      </c>
      <c r="B1284" s="38" t="str">
        <f aca="false">助手收入!$B60</f>
        <v/>
      </c>
      <c r="C1284" s="48" t="str">
        <f aca="false">助手收入!$C60</f>
        <v>备用14</v>
      </c>
      <c r="D1284" s="48" t="str">
        <f aca="false">科目对照收入!$B8&amp;""</f>
        <v>亲情卡</v>
      </c>
      <c r="E1284" s="48" t="str">
        <f aca="false">IF(AND(ROUND($G1284,2)&lt;0,科目对照收入!$L8&lt;&gt;""),科目对照收入!$L8,科目对照收入!$C8)&amp;""</f>
        <v>应收账款</v>
      </c>
      <c r="F1284" s="48" t="str">
        <f aca="false">IF(AND(ROUND($G1284,2)&lt;0,科目对照收入!$L8&lt;&gt;""),科目对照收入!$M8,科目对照收入!$D8)&amp;""</f>
        <v>亲情卡</v>
      </c>
      <c r="G1284" s="49" t="n">
        <f aca="false">IF(COUNTIFS(输入平台!$A:$A,助手收入!$X60,输入平台!$B:$B,科目对照收入!$B8)&gt;0,ROUND(SUMIFS(输入平台!$C:$C,输入平台!$A:$A,助手收入!$X60,输入平台!$B:$B,科目对照收入!$B8),2),ROUND(海典汇总!$Z$61,2))</f>
        <v>0</v>
      </c>
      <c r="H1284" s="49" t="str">
        <f aca="false">IF(ROUND($G1284,2)&gt;0,ROUND($G1284,2),"")</f>
        <v/>
      </c>
      <c r="I1284" s="49" t="str">
        <f aca="false">IF(ROUND($G1284,2)&lt;0,-ROUND($G1284,2),"")</f>
        <v/>
      </c>
      <c r="J1284" s="20" t="n">
        <f aca="false">IF(ROUND($G1284,2)=0,0,1)</f>
        <v>0</v>
      </c>
      <c r="K1284" s="20" t="str">
        <f aca="false">IF($J1284=0,"",SUM($J$1278:$J1284))</f>
        <v/>
      </c>
      <c r="L1284" s="20" t="str">
        <f aca="false">IF($K1284="","",$A1284*100+$K1284)</f>
        <v/>
      </c>
      <c r="M1284" s="48" t="str">
        <f aca="false">参数!$B$3</f>
        <v>7月收入</v>
      </c>
    </row>
    <row r="1285" customFormat="false" ht="13.5" hidden="false" customHeight="false" outlineLevel="0" collapsed="false">
      <c r="A1285" s="47" t="n">
        <v>59</v>
      </c>
      <c r="B1285" s="38" t="str">
        <f aca="false">助手收入!$B60</f>
        <v/>
      </c>
      <c r="C1285" s="48" t="str">
        <f aca="false">助手收入!$C60</f>
        <v>备用14</v>
      </c>
      <c r="D1285" s="48" t="str">
        <f aca="false">科目对照收入!$B9&amp;""</f>
        <v>24小时</v>
      </c>
      <c r="E1285" s="48" t="str">
        <f aca="false">IF(AND(ROUND($G1285,2)&lt;0,科目对照收入!$L9&lt;&gt;""),科目对照收入!$L9,科目对照收入!$C9)&amp;""</f>
        <v>应收账款</v>
      </c>
      <c r="F1285" s="48" t="str">
        <f aca="false">IF(AND(ROUND($G1285,2)&lt;0,科目对照收入!$L9&lt;&gt;""),科目对照收入!$M9,科目对照收入!$D9)&amp;""</f>
        <v>24小时</v>
      </c>
      <c r="G1285" s="49" t="n">
        <f aca="false">IF(COUNTIFS(输入平台!$A:$A,助手收入!$X60,输入平台!$B:$B,科目对照收入!$B9)&gt;0,ROUND(SUMIFS(输入平台!$C:$C,输入平台!$A:$A,助手收入!$X60,输入平台!$B:$B,科目对照收入!$B9),2),ROUND(海典汇总!$K$61,2))</f>
        <v>0</v>
      </c>
      <c r="H1285" s="49" t="str">
        <f aca="false">IF(ROUND($G1285,2)&gt;0,ROUND($G1285,2),"")</f>
        <v/>
      </c>
      <c r="I1285" s="49" t="str">
        <f aca="false">IF(ROUND($G1285,2)&lt;0,-ROUND($G1285,2),"")</f>
        <v/>
      </c>
      <c r="J1285" s="20" t="n">
        <f aca="false">IF(ROUND($G1285,2)=0,0,1)</f>
        <v>0</v>
      </c>
      <c r="K1285" s="20" t="str">
        <f aca="false">IF($J1285=0,"",SUM($J$1278:$J1285))</f>
        <v/>
      </c>
      <c r="L1285" s="20" t="str">
        <f aca="false">IF($K1285="","",$A1285*100+$K1285)</f>
        <v/>
      </c>
      <c r="M1285" s="48" t="str">
        <f aca="false">参数!$B$3</f>
        <v>7月收入</v>
      </c>
    </row>
    <row r="1286" customFormat="false" ht="13.5" hidden="false" customHeight="false" outlineLevel="0" collapsed="false">
      <c r="A1286" s="47" t="n">
        <v>59</v>
      </c>
      <c r="B1286" s="38" t="str">
        <f aca="false">助手收入!$B60</f>
        <v/>
      </c>
      <c r="C1286" s="48" t="str">
        <f aca="false">助手收入!$C60</f>
        <v>备用14</v>
      </c>
      <c r="D1286" s="48" t="str">
        <f aca="false">科目对照收入!$B10&amp;""</f>
        <v>美团</v>
      </c>
      <c r="E1286" s="48" t="str">
        <f aca="false">IF(AND(ROUND($G1286,2)&lt;0,科目对照收入!$L10&lt;&gt;""),科目对照收入!$L10,科目对照收入!$C10)&amp;""</f>
        <v>应收账款</v>
      </c>
      <c r="F1286" s="48" t="str">
        <f aca="false">IF(AND(ROUND($G1286,2)&lt;0,科目对照收入!$L10&lt;&gt;""),科目对照收入!$M10,科目对照收入!$D10)&amp;""</f>
        <v>美团</v>
      </c>
      <c r="G1286" s="49" t="n">
        <f aca="false">IF(COUNTIFS(输入平台!$A:$A,助手收入!$X60,输入平台!$B:$B,科目对照收入!$B10)&gt;0,ROUND(SUMIFS(输入平台!$C:$C,输入平台!$A:$A,助手收入!$X60,输入平台!$B:$B,科目对照收入!$B10),2),ROUND(海典汇总!$M$61,2))</f>
        <v>0</v>
      </c>
      <c r="H1286" s="49" t="str">
        <f aca="false">IF(ROUND($G1286,2)&gt;0,ROUND($G1286,2),"")</f>
        <v/>
      </c>
      <c r="I1286" s="49" t="str">
        <f aca="false">IF(ROUND($G1286,2)&lt;0,-ROUND($G1286,2),"")</f>
        <v/>
      </c>
      <c r="J1286" s="20" t="n">
        <f aca="false">IF(ROUND($G1286,2)=0,0,1)</f>
        <v>0</v>
      </c>
      <c r="K1286" s="20" t="str">
        <f aca="false">IF($J1286=0,"",SUM($J$1278:$J1286))</f>
        <v/>
      </c>
      <c r="L1286" s="20" t="str">
        <f aca="false">IF($K1286="","",$A1286*100+$K1286)</f>
        <v/>
      </c>
      <c r="M1286" s="48" t="str">
        <f aca="false">参数!$B$3</f>
        <v>7月收入</v>
      </c>
    </row>
    <row r="1287" customFormat="false" ht="13.5" hidden="false" customHeight="false" outlineLevel="0" collapsed="false">
      <c r="A1287" s="47" t="n">
        <v>59</v>
      </c>
      <c r="B1287" s="38" t="str">
        <f aca="false">助手收入!$B60</f>
        <v/>
      </c>
      <c r="C1287" s="48" t="str">
        <f aca="false">助手收入!$C60</f>
        <v>备用14</v>
      </c>
      <c r="D1287" s="48" t="str">
        <f aca="false">科目对照收入!$B11&amp;""</f>
        <v>饿了么</v>
      </c>
      <c r="E1287" s="48" t="str">
        <f aca="false">IF(AND(ROUND($G1287,2)&lt;0,科目对照收入!$L11&lt;&gt;""),科目对照收入!$L11,科目对照收入!$C11)&amp;""</f>
        <v>应收账款</v>
      </c>
      <c r="F1287" s="48" t="str">
        <f aca="false">IF(AND(ROUND($G1287,2)&lt;0,科目对照收入!$L11&lt;&gt;""),科目对照收入!$M11,科目对照收入!$D11)&amp;""</f>
        <v>饿了么</v>
      </c>
      <c r="G1287" s="49" t="n">
        <f aca="false">IF(COUNTIFS(输入平台!$A:$A,助手收入!$X60,输入平台!$B:$B,科目对照收入!$B11)&gt;0,ROUND(SUMIFS(输入平台!$C:$C,输入平台!$A:$A,助手收入!$X60,输入平台!$B:$B,科目对照收入!$B11),2),ROUND(海典汇总!$N$61,2))</f>
        <v>0</v>
      </c>
      <c r="H1287" s="49" t="str">
        <f aca="false">IF(ROUND($G1287,2)&gt;0,ROUND($G1287,2),"")</f>
        <v/>
      </c>
      <c r="I1287" s="49" t="str">
        <f aca="false">IF(ROUND($G1287,2)&lt;0,-ROUND($G1287,2),"")</f>
        <v/>
      </c>
      <c r="J1287" s="20" t="n">
        <f aca="false">IF(ROUND($G1287,2)=0,0,1)</f>
        <v>0</v>
      </c>
      <c r="K1287" s="20" t="str">
        <f aca="false">IF($J1287=0,"",SUM($J$1278:$J1287))</f>
        <v/>
      </c>
      <c r="L1287" s="20" t="str">
        <f aca="false">IF($K1287="","",$A1287*100+$K1287)</f>
        <v/>
      </c>
      <c r="M1287" s="48" t="str">
        <f aca="false">参数!$B$3</f>
        <v>7月收入</v>
      </c>
    </row>
    <row r="1288" customFormat="false" ht="13.5" hidden="false" customHeight="false" outlineLevel="0" collapsed="false">
      <c r="A1288" s="47" t="n">
        <v>59</v>
      </c>
      <c r="B1288" s="38" t="str">
        <f aca="false">助手收入!$B60</f>
        <v/>
      </c>
      <c r="C1288" s="48" t="str">
        <f aca="false">助手收入!$C60</f>
        <v>备用14</v>
      </c>
      <c r="D1288" s="48" t="str">
        <f aca="false">科目对照收入!$B12&amp;""</f>
        <v>京东秒送</v>
      </c>
      <c r="E1288" s="48" t="str">
        <f aca="false">IF(AND(ROUND($G1288,2)&lt;0,科目对照收入!$L12&lt;&gt;""),科目对照收入!$L12,科目对照收入!$C12)&amp;""</f>
        <v>应收账款</v>
      </c>
      <c r="F1288" s="48" t="str">
        <f aca="false">IF(AND(ROUND($G1288,2)&lt;0,科目对照收入!$L12&lt;&gt;""),科目对照收入!$M12,科目对照收入!$D12)&amp;""</f>
        <v>京东秒送</v>
      </c>
      <c r="G1288" s="49" t="n">
        <f aca="false">IF(COUNTIFS(输入平台!$A:$A,助手收入!$X60,输入平台!$B:$B,科目对照收入!$B12)&gt;0,ROUND(SUMIFS(输入平台!$C:$C,输入平台!$A:$A,助手收入!$X60,输入平台!$B:$B,科目对照收入!$B12),2),ROUND(海典汇总!$O$61,2))</f>
        <v>0</v>
      </c>
      <c r="H1288" s="49" t="str">
        <f aca="false">IF(ROUND($G1288,2)&gt;0,ROUND($G1288,2),"")</f>
        <v/>
      </c>
      <c r="I1288" s="49" t="str">
        <f aca="false">IF(ROUND($G1288,2)&lt;0,-ROUND($G1288,2),"")</f>
        <v/>
      </c>
      <c r="J1288" s="20" t="n">
        <f aca="false">IF(ROUND($G1288,2)=0,0,1)</f>
        <v>0</v>
      </c>
      <c r="K1288" s="20" t="str">
        <f aca="false">IF($J1288=0,"",SUM($J$1278:$J1288))</f>
        <v/>
      </c>
      <c r="L1288" s="20" t="str">
        <f aca="false">IF($K1288="","",$A1288*100+$K1288)</f>
        <v/>
      </c>
      <c r="M1288" s="48" t="str">
        <f aca="false">参数!$B$3</f>
        <v>7月收入</v>
      </c>
    </row>
    <row r="1289" customFormat="false" ht="13.5" hidden="false" customHeight="false" outlineLevel="0" collapsed="false">
      <c r="A1289" s="47" t="n">
        <v>59</v>
      </c>
      <c r="B1289" s="38" t="str">
        <f aca="false">助手收入!$B60</f>
        <v/>
      </c>
      <c r="C1289" s="48" t="str">
        <f aca="false">助手收入!$C60</f>
        <v>备用14</v>
      </c>
      <c r="D1289" s="48" t="str">
        <f aca="false">科目对照收入!$B13&amp;""</f>
        <v>银联</v>
      </c>
      <c r="E1289" s="48" t="str">
        <f aca="false">IF(AND(ROUND($G1289,2)&lt;0,科目对照收入!$L13&lt;&gt;""),科目对照收入!$L13,科目对照收入!$C13)&amp;""</f>
        <v>应收账款</v>
      </c>
      <c r="F1289" s="48" t="str">
        <f aca="false">IF(AND(ROUND($G1289,2)&lt;0,科目对照收入!$L13&lt;&gt;""),科目对照收入!$M13,科目对照收入!$D13)&amp;""</f>
        <v>银联</v>
      </c>
      <c r="G1289" s="49" t="n">
        <f aca="false">IF(COUNTIFS(输入平台!$A:$A,助手收入!$X60,输入平台!$B:$B,科目对照收入!$B13)&gt;0,ROUND(SUMIFS(输入平台!$C:$C,输入平台!$A:$A,助手收入!$X60,输入平台!$B:$B,科目对照收入!$B13),2),ROUND(海典汇总!$V$61,2))</f>
        <v>0</v>
      </c>
      <c r="H1289" s="49" t="str">
        <f aca="false">IF(ROUND($G1289,2)&gt;0,ROUND($G1289,2),"")</f>
        <v/>
      </c>
      <c r="I1289" s="49" t="str">
        <f aca="false">IF(ROUND($G1289,2)&lt;0,-ROUND($G1289,2),"")</f>
        <v/>
      </c>
      <c r="J1289" s="20" t="n">
        <f aca="false">IF(ROUND($G1289,2)=0,0,1)</f>
        <v>0</v>
      </c>
      <c r="K1289" s="20" t="str">
        <f aca="false">IF($J1289=0,"",SUM($J$1278:$J1289))</f>
        <v/>
      </c>
      <c r="L1289" s="20" t="str">
        <f aca="false">IF($K1289="","",$A1289*100+$K1289)</f>
        <v/>
      </c>
      <c r="M1289" s="48" t="str">
        <f aca="false">参数!$B$3</f>
        <v>7月收入</v>
      </c>
    </row>
    <row r="1290" customFormat="false" ht="13.5" hidden="false" customHeight="false" outlineLevel="0" collapsed="false">
      <c r="A1290" s="47" t="n">
        <v>59</v>
      </c>
      <c r="B1290" s="38" t="str">
        <f aca="false">助手收入!$B60</f>
        <v/>
      </c>
      <c r="C1290" s="48" t="str">
        <f aca="false">助手收入!$C60</f>
        <v>备用14</v>
      </c>
      <c r="D1290" s="48" t="str">
        <f aca="false">科目对照收入!$B14&amp;""</f>
        <v>小镇外卖</v>
      </c>
      <c r="E1290" s="48" t="str">
        <f aca="false">IF(AND(ROUND($G1290,2)&lt;0,科目对照收入!$L14&lt;&gt;""),科目对照收入!$L14,科目对照收入!$C14)&amp;""</f>
        <v>应收账款</v>
      </c>
      <c r="F1290" s="48" t="str">
        <f aca="false">IF(AND(ROUND($G1290,2)&lt;0,科目对照收入!$L14&lt;&gt;""),科目对照收入!$M14,科目对照收入!$D14)&amp;""</f>
        <v>小镇外卖</v>
      </c>
      <c r="G1290" s="49" t="n">
        <f aca="false">IF(COUNTIFS(输入平台!$A:$A,助手收入!$X60,输入平台!$B:$B,科目对照收入!$B14)&gt;0,ROUND(SUMIFS(输入平台!$C:$C,输入平台!$A:$A,助手收入!$X60,输入平台!$B:$B,科目对照收入!$B14),2),ROUND(海典汇总!$AC$61,2))</f>
        <v>0</v>
      </c>
      <c r="H1290" s="49" t="str">
        <f aca="false">IF(ROUND($G1290,2)&gt;0,ROUND($G1290,2),"")</f>
        <v/>
      </c>
      <c r="I1290" s="49" t="str">
        <f aca="false">IF(ROUND($G1290,2)&lt;0,-ROUND($G1290,2),"")</f>
        <v/>
      </c>
      <c r="J1290" s="20" t="n">
        <f aca="false">IF(ROUND($G1290,2)=0,0,1)</f>
        <v>0</v>
      </c>
      <c r="K1290" s="20" t="str">
        <f aca="false">IF($J1290=0,"",SUM($J$1278:$J1290))</f>
        <v/>
      </c>
      <c r="L1290" s="20" t="str">
        <f aca="false">IF($K1290="","",$A1290*100+$K1290)</f>
        <v/>
      </c>
      <c r="M1290" s="48" t="str">
        <f aca="false">参数!$B$3</f>
        <v>7月收入</v>
      </c>
    </row>
    <row r="1291" customFormat="false" ht="13.5" hidden="false" customHeight="false" outlineLevel="0" collapsed="false">
      <c r="A1291" s="47" t="n">
        <v>59</v>
      </c>
      <c r="B1291" s="38" t="str">
        <f aca="false">助手收入!$B60</f>
        <v/>
      </c>
      <c r="C1291" s="48" t="str">
        <f aca="false">助手收入!$C60</f>
        <v>备用14</v>
      </c>
      <c r="D1291" s="48" t="str">
        <f aca="false">科目对照收入!$B15&amp;""</f>
        <v>OMS线上支付</v>
      </c>
      <c r="E1291" s="48" t="str">
        <f aca="false">IF(AND(ROUND($G1291,2)&lt;0,科目对照收入!$L15&lt;&gt;""),科目对照收入!$L15,科目对照收入!$C15)&amp;""</f>
        <v>应收账款</v>
      </c>
      <c r="F1291" s="48" t="str">
        <f aca="false">IF(AND(ROUND($G1291,2)&lt;0,科目对照收入!$L15&lt;&gt;""),科目对照收入!$M15,科目对照收入!$D15)&amp;""</f>
        <v>OMS线上</v>
      </c>
      <c r="G1291" s="49" t="n">
        <f aca="false">IF(COUNTIFS(输入平台!$A:$A,助手收入!$X60,输入平台!$B:$B,科目对照收入!$B15)&gt;0,ROUND(SUMIFS(输入平台!$C:$C,输入平台!$A:$A,助手收入!$X60,输入平台!$B:$B,科目对照收入!$B15),2),ROUND(海典汇总!$L$61,2))</f>
        <v>0</v>
      </c>
      <c r="H1291" s="49" t="str">
        <f aca="false">IF(ROUND($G1291,2)&gt;0,ROUND($G1291,2),"")</f>
        <v/>
      </c>
      <c r="I1291" s="49" t="str">
        <f aca="false">IF(ROUND($G1291,2)&lt;0,-ROUND($G1291,2),"")</f>
        <v/>
      </c>
      <c r="J1291" s="20" t="n">
        <f aca="false">IF(ROUND($G1291,2)=0,0,1)</f>
        <v>0</v>
      </c>
      <c r="K1291" s="20" t="str">
        <f aca="false">IF($J1291=0,"",SUM($J$1278:$J1291))</f>
        <v/>
      </c>
      <c r="L1291" s="20" t="str">
        <f aca="false">IF($K1291="","",$A1291*100+$K1291)</f>
        <v/>
      </c>
      <c r="M1291" s="48" t="str">
        <f aca="false">参数!$B$3</f>
        <v>7月收入</v>
      </c>
    </row>
    <row r="1292" customFormat="false" ht="13.5" hidden="false" customHeight="false" outlineLevel="0" collapsed="false">
      <c r="A1292" s="47" t="n">
        <v>59</v>
      </c>
      <c r="B1292" s="38" t="str">
        <f aca="false">助手收入!$B60</f>
        <v/>
      </c>
      <c r="C1292" s="48" t="str">
        <f aca="false">助手收入!$C60</f>
        <v>备用14</v>
      </c>
      <c r="D1292" s="48" t="str">
        <f aca="false">科目对照收入!$B16&amp;""</f>
        <v>平安药卡</v>
      </c>
      <c r="E1292" s="48" t="str">
        <f aca="false">IF(AND(ROUND($G1292,2)&lt;0,科目对照收入!$L16&lt;&gt;""),科目对照收入!$L16,科目对照收入!$C16)&amp;""</f>
        <v>应收账款</v>
      </c>
      <c r="F1292" s="48" t="str">
        <f aca="false">IF(AND(ROUND($G1292,2)&lt;0,科目对照收入!$L16&lt;&gt;""),科目对照收入!$M16,科目对照收入!$D16)&amp;""</f>
        <v>平安</v>
      </c>
      <c r="G1292" s="49" t="n">
        <f aca="false">IF(COUNTIFS(输入平台!$A:$A,助手收入!$X60,输入平台!$B:$B,科目对照收入!$B16)&gt;0,ROUND(SUMIFS(输入平台!$C:$C,输入平台!$A:$A,助手收入!$X60,输入平台!$B:$B,科目对照收入!$B16),2),ROUND(海典汇总!$AB$61,2))</f>
        <v>0</v>
      </c>
      <c r="H1292" s="49" t="str">
        <f aca="false">IF(ROUND($G1292,2)&gt;0,ROUND($G1292,2),"")</f>
        <v/>
      </c>
      <c r="I1292" s="49" t="str">
        <f aca="false">IF(ROUND($G1292,2)&lt;0,-ROUND($G1292,2),"")</f>
        <v/>
      </c>
      <c r="J1292" s="20" t="n">
        <f aca="false">IF(ROUND($G1292,2)=0,0,1)</f>
        <v>0</v>
      </c>
      <c r="K1292" s="20" t="str">
        <f aca="false">IF($J1292=0,"",SUM($J$1278:$J1292))</f>
        <v/>
      </c>
      <c r="L1292" s="20" t="str">
        <f aca="false">IF($K1292="","",$A1292*100+$K1292)</f>
        <v/>
      </c>
      <c r="M1292" s="48" t="str">
        <f aca="false">参数!$B$3</f>
        <v>7月收入</v>
      </c>
    </row>
    <row r="1293" customFormat="false" ht="13.5" hidden="false" customHeight="false" outlineLevel="0" collapsed="false">
      <c r="A1293" s="47" t="n">
        <v>59</v>
      </c>
      <c r="B1293" s="38" t="str">
        <f aca="false">助手收入!$B60</f>
        <v/>
      </c>
      <c r="C1293" s="48" t="str">
        <f aca="false">助手收入!$C60</f>
        <v>备用14</v>
      </c>
      <c r="D1293" s="48" t="str">
        <f aca="false">科目对照收入!$B17&amp;""</f>
        <v>储值卡</v>
      </c>
      <c r="E1293" s="48" t="str">
        <f aca="false">IF(AND(ROUND($G1293,2)&lt;0,科目对照收入!$L17&lt;&gt;""),科目对照收入!$L17,科目对照收入!$C17)&amp;""</f>
        <v>其他应收款</v>
      </c>
      <c r="F1293" s="48" t="str">
        <f aca="false">IF(AND(ROUND($G1293,2)&lt;0,科目对照收入!$L17&lt;&gt;""),科目对照收入!$M17,科目对照收入!$D17)&amp;""</f>
        <v>储值卡</v>
      </c>
      <c r="G1293" s="49" t="n">
        <f aca="false">ROUND(海典汇总!$Q$61,2)</f>
        <v>0</v>
      </c>
      <c r="H1293" s="49" t="str">
        <f aca="false">IF(ROUND($G1293,2)&gt;0,ROUND($G1293,2),"")</f>
        <v/>
      </c>
      <c r="I1293" s="49" t="str">
        <f aca="false">IF(ROUND($G1293,2)&lt;0,-ROUND($G1293,2),"")</f>
        <v/>
      </c>
      <c r="J1293" s="20" t="n">
        <f aca="false">IF(ROUND($G1293,2)=0,0,1)</f>
        <v>0</v>
      </c>
      <c r="K1293" s="20" t="str">
        <f aca="false">IF($J1293=0,"",SUM($J$1278:$J1293))</f>
        <v/>
      </c>
      <c r="L1293" s="20" t="str">
        <f aca="false">IF($K1293="","",$A1293*100+$K1293)</f>
        <v/>
      </c>
      <c r="M1293" s="48" t="str">
        <f aca="false">参数!$B$3</f>
        <v>7月收入</v>
      </c>
    </row>
    <row r="1294" customFormat="false" ht="13.5" hidden="false" customHeight="false" outlineLevel="0" collapsed="false">
      <c r="A1294" s="47" t="n">
        <v>59</v>
      </c>
      <c r="B1294" s="38" t="str">
        <f aca="false">助手收入!$B60</f>
        <v/>
      </c>
      <c r="C1294" s="48" t="str">
        <f aca="false">助手收入!$C60</f>
        <v>备用14</v>
      </c>
      <c r="D1294" s="48" t="str">
        <f aca="false">科目对照收入!$B18&amp;""</f>
        <v>会员零钱包</v>
      </c>
      <c r="E1294" s="48" t="str">
        <f aca="false">IF(AND(ROUND($G1294,2)&lt;0,科目对照收入!$L18&lt;&gt;""),科目对照收入!$L18,科目对照收入!$C18)&amp;""</f>
        <v>其他应收款</v>
      </c>
      <c r="F1294" s="48" t="str">
        <f aca="false">IF(AND(ROUND($G1294,2)&lt;0,科目对照收入!$L18&lt;&gt;""),科目对照收入!$M18,科目对照收入!$D18)&amp;""</f>
        <v>会员零钱包</v>
      </c>
      <c r="G1294" s="49" t="n">
        <f aca="false">ROUND(海典汇总!$P$61,2)</f>
        <v>0</v>
      </c>
      <c r="H1294" s="49" t="str">
        <f aca="false">IF(ROUND($G1294,2)&gt;0,ROUND($G1294,2),"")</f>
        <v/>
      </c>
      <c r="I1294" s="49" t="str">
        <f aca="false">IF(ROUND($G1294,2)&lt;0,-ROUND($G1294,2),"")</f>
        <v/>
      </c>
      <c r="J1294" s="20" t="n">
        <f aca="false">IF(ROUND($G1294,2)=0,0,1)</f>
        <v>0</v>
      </c>
      <c r="K1294" s="20" t="str">
        <f aca="false">IF($J1294=0,"",SUM($J$1278:$J1294))</f>
        <v/>
      </c>
      <c r="L1294" s="20" t="str">
        <f aca="false">IF($K1294="","",$A1294*100+$K1294)</f>
        <v/>
      </c>
      <c r="M1294" s="48" t="str">
        <f aca="false">参数!$B$3</f>
        <v>7月收入</v>
      </c>
    </row>
    <row r="1295" customFormat="false" ht="13.5" hidden="false" customHeight="false" outlineLevel="0" collapsed="false">
      <c r="A1295" s="47" t="n">
        <v>59</v>
      </c>
      <c r="B1295" s="38" t="str">
        <f aca="false">助手收入!$B60</f>
        <v/>
      </c>
      <c r="C1295" s="48" t="str">
        <f aca="false">助手收入!$C60</f>
        <v>备用14</v>
      </c>
      <c r="D1295" s="48" t="str">
        <f aca="false">科目对照收入!$B19&amp;""</f>
        <v>促销费</v>
      </c>
      <c r="E1295" s="48" t="str">
        <f aca="false">IF(AND(ROUND($G1295,2)&lt;0,科目对照收入!$L19&lt;&gt;""),科目对照收入!$L19,科目对照收入!$C19)&amp;""</f>
        <v>销售费用</v>
      </c>
      <c r="F1295" s="48" t="str">
        <f aca="false">IF(AND(ROUND($G1295,2)&lt;0,科目对照收入!$L19&lt;&gt;""),科目对照收入!$M19,科目对照收入!$D19)&amp;""</f>
        <v>促销费</v>
      </c>
      <c r="G1295" s="49" t="n">
        <f aca="false">ROUND(海典汇总!$U$61+海典汇总!$T$61+海典汇总!$S$61,2)</f>
        <v>0</v>
      </c>
      <c r="H1295" s="49" t="str">
        <f aca="false">IF(ROUND($G1295,2)&gt;0,ROUND($G1295,2),"")</f>
        <v/>
      </c>
      <c r="I1295" s="49" t="str">
        <f aca="false">IF(ROUND($G1295,2)&lt;0,-ROUND($G1295,2),"")</f>
        <v/>
      </c>
      <c r="J1295" s="20" t="n">
        <f aca="false">IF(ROUND($G1295,2)=0,0,1)</f>
        <v>0</v>
      </c>
      <c r="K1295" s="20" t="str">
        <f aca="false">IF($J1295=0,"",SUM($J$1278:$J1295))</f>
        <v/>
      </c>
      <c r="L1295" s="20" t="str">
        <f aca="false">IF($K1295="","",$A1295*100+$K1295)</f>
        <v/>
      </c>
      <c r="M1295" s="48" t="str">
        <f aca="false">参数!$B$3</f>
        <v>7月收入</v>
      </c>
    </row>
    <row r="1296" customFormat="false" ht="13.5" hidden="false" customHeight="false" outlineLevel="0" collapsed="false">
      <c r="A1296" s="47" t="n">
        <v>59</v>
      </c>
      <c r="B1296" s="38" t="str">
        <f aca="false">助手收入!$B60</f>
        <v/>
      </c>
      <c r="C1296" s="48" t="str">
        <f aca="false">助手收入!$C60</f>
        <v>备用14</v>
      </c>
      <c r="D1296" s="48" t="str">
        <f aca="false">科目对照收入!$B20&amp;""</f>
        <v>积分</v>
      </c>
      <c r="E1296" s="48" t="str">
        <f aca="false">IF(AND(ROUND($G1296,2)&lt;0,科目对照收入!$L20&lt;&gt;""),科目对照收入!$L20,科目对照收入!$C20)&amp;""</f>
        <v>销售费用</v>
      </c>
      <c r="F1296" s="48" t="str">
        <f aca="false">IF(AND(ROUND($G1296,2)&lt;0,科目对照收入!$L20&lt;&gt;""),科目对照收入!$M20,科目对照收入!$D20)&amp;""</f>
        <v>积分</v>
      </c>
      <c r="G1296" s="49" t="n">
        <f aca="false">ROUND(海典汇总!$R$61,2)</f>
        <v>0</v>
      </c>
      <c r="H1296" s="49" t="str">
        <f aca="false">IF(ROUND($G1296,2)&gt;0,ROUND($G1296,2),"")</f>
        <v/>
      </c>
      <c r="I1296" s="49" t="str">
        <f aca="false">IF(ROUND($G1296,2)&lt;0,-ROUND($G1296,2),"")</f>
        <v/>
      </c>
      <c r="J1296" s="20" t="n">
        <f aca="false">IF(ROUND($G1296,2)=0,0,1)</f>
        <v>0</v>
      </c>
      <c r="K1296" s="20" t="str">
        <f aca="false">IF($J1296=0,"",SUM($J$1278:$J1296))</f>
        <v/>
      </c>
      <c r="L1296" s="20" t="str">
        <f aca="false">IF($K1296="","",$A1296*100+$K1296)</f>
        <v/>
      </c>
      <c r="M1296" s="48" t="str">
        <f aca="false">参数!$B$3</f>
        <v>7月收入</v>
      </c>
    </row>
    <row r="1297" customFormat="false" ht="13.5" hidden="false" customHeight="false" outlineLevel="0" collapsed="false">
      <c r="A1297" s="47" t="n">
        <v>59</v>
      </c>
      <c r="B1297" s="38" t="str">
        <f aca="false">助手收入!$B60</f>
        <v/>
      </c>
      <c r="C1297" s="48" t="str">
        <f aca="false">助手收入!$C60</f>
        <v>备用14</v>
      </c>
      <c r="D1297" s="48" t="str">
        <f aca="false">科目对照收入!$B21&amp;""</f>
        <v>手续费</v>
      </c>
      <c r="E1297" s="48" t="str">
        <f aca="false">IF(AND(ROUND($G1297,2)&lt;0,科目对照收入!$L21&lt;&gt;""),科目对照收入!$L21,科目对照收入!$C21)&amp;""</f>
        <v>财务费用</v>
      </c>
      <c r="F1297" s="48" t="str">
        <f aca="false">IF(AND(ROUND($G1297,2)&lt;0,科目对照收入!$L21&lt;&gt;""),科目对照收入!$M21,科目对照收入!$D21)&amp;""</f>
        <v>手续费</v>
      </c>
      <c r="G1297" s="49" t="n">
        <f aca="false">ROUND(SUMIFS(输入聚合!$D:$D,输入聚合!$A:$A,助手收入!$X60),2)</f>
        <v>0</v>
      </c>
      <c r="H1297" s="49" t="str">
        <f aca="false">IF(ROUND($G1297,2)&gt;0,ROUND($G1297,2),"")</f>
        <v/>
      </c>
      <c r="I1297" s="49" t="str">
        <f aca="false">IF(ROUND($G1297,2)&lt;0,-ROUND($G1297,2),"")</f>
        <v/>
      </c>
      <c r="J1297" s="20" t="n">
        <f aca="false">IF(ROUND($G1297,2)=0,0,1)</f>
        <v>0</v>
      </c>
      <c r="K1297" s="20" t="str">
        <f aca="false">IF($J1297=0,"",SUM($J$1278:$J1297))</f>
        <v/>
      </c>
      <c r="L1297" s="20" t="str">
        <f aca="false">IF($K1297="","",$A1297*100+$K1297)</f>
        <v/>
      </c>
      <c r="M1297" s="48" t="str">
        <f aca="false">参数!$B$3</f>
        <v>7月收入</v>
      </c>
    </row>
    <row r="1298" customFormat="false" ht="13.5" hidden="false" customHeight="false" outlineLevel="0" collapsed="false">
      <c r="A1298" s="47" t="n">
        <v>59</v>
      </c>
      <c r="B1298" s="38" t="str">
        <f aca="false">助手收入!$B60</f>
        <v/>
      </c>
      <c r="C1298" s="48" t="str">
        <f aca="false">助手收入!$C60</f>
        <v>备用14</v>
      </c>
      <c r="D1298" s="48" t="str">
        <f aca="false">科目对照收入!$B22&amp;""</f>
        <v>主营业务收入</v>
      </c>
      <c r="E1298" s="48" t="str">
        <f aca="false">IF(AND(ROUND($G1298,2)&lt;0,科目对照收入!$L22&lt;&gt;""),科目对照收入!$L22,科目对照收入!$C22)&amp;""</f>
        <v>主营业务收入</v>
      </c>
      <c r="F1298" s="48" t="str">
        <f aca="false">IF(AND(ROUND($G1298,2)&lt;0,科目对照收入!$L22&lt;&gt;""),科目对照收入!$M22,科目对照收入!$D22)&amp;""</f>
        <v/>
      </c>
      <c r="G1298" s="49" t="n">
        <f aca="false">-ROUND(助手收入!$G60,2)</f>
        <v>-0</v>
      </c>
      <c r="H1298" s="49" t="str">
        <f aca="false">IF(ROUND($G1298,2)&gt;0,ROUND($G1298,2),"")</f>
        <v/>
      </c>
      <c r="I1298" s="49" t="str">
        <f aca="false">IF(ROUND($G1298,2)&lt;0,-ROUND($G1298,2),"")</f>
        <v/>
      </c>
      <c r="J1298" s="20" t="n">
        <f aca="false">IF(ROUND($G1298,2)=0,0,1)</f>
        <v>0</v>
      </c>
      <c r="K1298" s="20" t="str">
        <f aca="false">IF($J1298=0,"",SUM($J$1278:$J1298))</f>
        <v/>
      </c>
      <c r="L1298" s="20" t="str">
        <f aca="false">IF($K1298="","",$A1298*100+$K1298)</f>
        <v/>
      </c>
      <c r="M1298" s="48" t="str">
        <f aca="false">参数!$B$3</f>
        <v>7月收入</v>
      </c>
    </row>
    <row r="1299" customFormat="false" ht="13.5" hidden="false" customHeight="false" outlineLevel="0" collapsed="false">
      <c r="A1299" s="47" t="n">
        <v>59</v>
      </c>
      <c r="B1299" s="38" t="str">
        <f aca="false">助手收入!$B60</f>
        <v/>
      </c>
      <c r="C1299" s="48" t="str">
        <f aca="false">助手收入!$C60</f>
        <v>备用14</v>
      </c>
      <c r="D1299" s="48" t="str">
        <f aca="false">科目对照收入!$B23&amp;""</f>
        <v>营业外收入</v>
      </c>
      <c r="E1299" s="48" t="str">
        <f aca="false">IF(AND(ROUND($G1299,2)&lt;0,科目对照收入!$L23&lt;&gt;""),科目对照收入!$L23,科目对照收入!$C23)&amp;""</f>
        <v>营业外收入</v>
      </c>
      <c r="F1299" s="48" t="str">
        <f aca="false">IF(AND(ROUND($G1299,2)&lt;0,科目对照收入!$L23&lt;&gt;""),科目对照收入!$M23,科目对照收入!$D23)&amp;""</f>
        <v/>
      </c>
      <c r="G1299" s="49" t="n">
        <f aca="false">-ROUND(助手收入!$J60,2)</f>
        <v>-0</v>
      </c>
      <c r="H1299" s="49" t="str">
        <f aca="false">IF(ROUND($G1299,2)&gt;0,ROUND($G1299,2),"")</f>
        <v/>
      </c>
      <c r="I1299" s="49" t="str">
        <f aca="false">IF(ROUND($G1299,2)&lt;0,-ROUND($G1299,2),"")</f>
        <v/>
      </c>
      <c r="J1299" s="20" t="n">
        <f aca="false">IF(ROUND($G1299,2)=0,0,1)</f>
        <v>0</v>
      </c>
      <c r="K1299" s="20" t="str">
        <f aca="false">IF($J1299=0,"",SUM($J$1278:$J1299))</f>
        <v/>
      </c>
      <c r="L1299" s="20" t="str">
        <f aca="false">IF($K1299="","",$A1299*100+$K1299)</f>
        <v/>
      </c>
      <c r="M1299" s="48" t="str">
        <f aca="false">参数!$B$3</f>
        <v>7月收入</v>
      </c>
    </row>
    <row r="1300" customFormat="false" ht="13.5" hidden="false" customHeight="false" outlineLevel="0" collapsed="false">
      <c r="A1300" s="47" t="n">
        <v>60</v>
      </c>
      <c r="B1300" s="38" t="str">
        <f aca="false">助手收入!$B61</f>
        <v/>
      </c>
      <c r="C1300" s="48" t="str">
        <f aca="false">助手收入!$C61</f>
        <v>备用15</v>
      </c>
      <c r="D1300" s="48" t="str">
        <f aca="false">科目对照收入!$B2&amp;""</f>
        <v>库存现金</v>
      </c>
      <c r="E1300" s="48" t="str">
        <f aca="false">IF(AND(ROUND($G1300,2)&lt;0,科目对照收入!$L2&lt;&gt;""),科目对照收入!$L2,科目对照收入!$C2)&amp;""</f>
        <v>库存现金</v>
      </c>
      <c r="F1300" s="48" t="str">
        <f aca="false">IF(AND(ROUND($G1300,2)&lt;0,科目对照收入!$L2&lt;&gt;""),科目对照收入!$M2,科目对照收入!$D2)&amp;""</f>
        <v/>
      </c>
      <c r="G1300" s="49" t="n">
        <f aca="false">助手收入!$I61</f>
        <v>0</v>
      </c>
      <c r="H1300" s="49" t="str">
        <f aca="false">IF(ROUND($G1300,2)&gt;0,ROUND($G1300,2),"")</f>
        <v/>
      </c>
      <c r="I1300" s="49" t="str">
        <f aca="false">IF(ROUND($G1300,2)&lt;0,-ROUND($G1300,2),"")</f>
        <v/>
      </c>
      <c r="J1300" s="20" t="n">
        <f aca="false">IF(ROUND($G1300,2)=0,0,1)</f>
        <v>0</v>
      </c>
      <c r="K1300" s="20" t="str">
        <f aca="false">IF($J1300=0,"",SUM($J$1300:$J1300))</f>
        <v/>
      </c>
      <c r="L1300" s="20" t="str">
        <f aca="false">IF($K1300="","",$A1300*100+$K1300)</f>
        <v/>
      </c>
      <c r="M1300" s="48" t="str">
        <f aca="false">参数!$B$3</f>
        <v>7月收入</v>
      </c>
    </row>
    <row r="1301" customFormat="false" ht="13.5" hidden="false" customHeight="false" outlineLevel="0" collapsed="false">
      <c r="A1301" s="47" t="n">
        <v>60</v>
      </c>
      <c r="B1301" s="38" t="str">
        <f aca="false">助手收入!$B61</f>
        <v/>
      </c>
      <c r="C1301" s="48" t="str">
        <f aca="false">助手收入!$C61</f>
        <v>备用15</v>
      </c>
      <c r="D1301" s="48" t="str">
        <f aca="false">科目对照收入!$B3&amp;""</f>
        <v>聚合支付</v>
      </c>
      <c r="E1301" s="48" t="str">
        <f aca="false">IF(AND(ROUND($G1301,2)&lt;0,科目对照收入!$L3&lt;&gt;""),科目对照收入!$L3,科目对照收入!$C3)&amp;""</f>
        <v>应收账款</v>
      </c>
      <c r="F1301" s="48" t="str">
        <f aca="false">IF(AND(ROUND($G1301,2)&lt;0,科目对照收入!$L3&lt;&gt;""),科目对照收入!$M3,科目对照收入!$D3)&amp;""</f>
        <v>聚合支付</v>
      </c>
      <c r="G1301" s="49" t="n">
        <f aca="false">ROUND(SUMIFS(输入聚合!$C:$C,输入聚合!$A:$A,助手收入!$X61)-SUMIFS(输入聚合!$D:$D,输入聚合!$A:$A,助手收入!$X61),2)</f>
        <v>0</v>
      </c>
      <c r="H1301" s="49" t="str">
        <f aca="false">IF(ROUND($G1301,2)&gt;0,ROUND($G1301,2),"")</f>
        <v/>
      </c>
      <c r="I1301" s="49" t="str">
        <f aca="false">IF(ROUND($G1301,2)&lt;0,-ROUND($G1301,2),"")</f>
        <v/>
      </c>
      <c r="J1301" s="20" t="n">
        <f aca="false">IF(ROUND($G1301,2)=0,0,1)</f>
        <v>0</v>
      </c>
      <c r="K1301" s="20" t="str">
        <f aca="false">IF($J1301=0,"",SUM($J$1300:$J1301))</f>
        <v/>
      </c>
      <c r="L1301" s="20" t="str">
        <f aca="false">IF($K1301="","",$A1301*100+$K1301)</f>
        <v/>
      </c>
      <c r="M1301" s="48" t="str">
        <f aca="false">参数!$B$3</f>
        <v>7月收入</v>
      </c>
    </row>
    <row r="1302" customFormat="false" ht="13.5" hidden="false" customHeight="false" outlineLevel="0" collapsed="false">
      <c r="A1302" s="47" t="n">
        <v>60</v>
      </c>
      <c r="B1302" s="38" t="str">
        <f aca="false">助手收入!$B61</f>
        <v/>
      </c>
      <c r="C1302" s="48" t="str">
        <f aca="false">助手收入!$C61</f>
        <v>备用15</v>
      </c>
      <c r="D1302" s="48" t="str">
        <f aca="false">科目对照收入!$B4&amp;""</f>
        <v>医保</v>
      </c>
      <c r="E1302" s="48" t="str">
        <f aca="false">IF(AND(ROUND($G1302,2)&lt;0,科目对照收入!$L4&lt;&gt;""),科目对照收入!$L4,科目对照收入!$C4)&amp;""</f>
        <v>应收账款</v>
      </c>
      <c r="F1302" s="48" t="str">
        <f aca="false">IF(AND(ROUND($G1302,2)&lt;0,科目对照收入!$L4&lt;&gt;""),科目对照收入!$M4,科目对照收入!$D4)&amp;""</f>
        <v>医保</v>
      </c>
      <c r="G1302" s="49" t="n">
        <f aca="false">IF(COUNTIFS(输入平台!$A:$A,助手收入!$X61,输入平台!$B:$B,科目对照收入!$B4)&gt;0,ROUND(SUMIFS(输入平台!$C:$C,输入平台!$A:$A,助手收入!$X61,输入平台!$B:$B,科目对照收入!$B4),2),ROUND(海典汇总!$F$62+海典汇总!$G$62,2))</f>
        <v>0</v>
      </c>
      <c r="H1302" s="49" t="str">
        <f aca="false">IF(ROUND($G1302,2)&gt;0,ROUND($G1302,2),"")</f>
        <v/>
      </c>
      <c r="I1302" s="49" t="str">
        <f aca="false">IF(ROUND($G1302,2)&lt;0,-ROUND($G1302,2),"")</f>
        <v/>
      </c>
      <c r="J1302" s="20" t="n">
        <f aca="false">IF(ROUND($G1302,2)=0,0,1)</f>
        <v>0</v>
      </c>
      <c r="K1302" s="20" t="str">
        <f aca="false">IF($J1302=0,"",SUM($J$1300:$J1302))</f>
        <v/>
      </c>
      <c r="L1302" s="20" t="str">
        <f aca="false">IF($K1302="","",$A1302*100+$K1302)</f>
        <v/>
      </c>
      <c r="M1302" s="48" t="str">
        <f aca="false">参数!$B$3</f>
        <v>7月收入</v>
      </c>
    </row>
    <row r="1303" customFormat="false" ht="13.5" hidden="false" customHeight="false" outlineLevel="0" collapsed="false">
      <c r="A1303" s="47" t="n">
        <v>60</v>
      </c>
      <c r="B1303" s="38" t="str">
        <f aca="false">助手收入!$B61</f>
        <v/>
      </c>
      <c r="C1303" s="48" t="str">
        <f aca="false">助手收入!$C61</f>
        <v>备用15</v>
      </c>
      <c r="D1303" s="48" t="str">
        <f aca="false">科目对照收入!$B5&amp;""</f>
        <v>健e卡</v>
      </c>
      <c r="E1303" s="48" t="str">
        <f aca="false">IF(AND(ROUND($G1303,2)&lt;0,科目对照收入!$L5&lt;&gt;""),科目对照收入!$L5,科目对照收入!$C5)&amp;""</f>
        <v>应收账款</v>
      </c>
      <c r="F1303" s="48" t="str">
        <f aca="false">IF(AND(ROUND($G1303,2)&lt;0,科目对照收入!$L5&lt;&gt;""),科目对照收入!$M5,科目对照收入!$D5)&amp;""</f>
        <v>健e卡</v>
      </c>
      <c r="G1303" s="49" t="n">
        <f aca="false">IF(COUNTIFS(输入平台!$A:$A,助手收入!$X61,输入平台!$B:$B,科目对照收入!$B5)&gt;0,ROUND(SUMIFS(输入平台!$C:$C,输入平台!$A:$A,助手收入!$X61,输入平台!$B:$B,科目对照收入!$B5),2),ROUND(海典汇总!$H$62,2))</f>
        <v>0</v>
      </c>
      <c r="H1303" s="49" t="str">
        <f aca="false">IF(ROUND($G1303,2)&gt;0,ROUND($G1303,2),"")</f>
        <v/>
      </c>
      <c r="I1303" s="49" t="str">
        <f aca="false">IF(ROUND($G1303,2)&lt;0,-ROUND($G1303,2),"")</f>
        <v/>
      </c>
      <c r="J1303" s="20" t="n">
        <f aca="false">IF(ROUND($G1303,2)=0,0,1)</f>
        <v>0</v>
      </c>
      <c r="K1303" s="20" t="str">
        <f aca="false">IF($J1303=0,"",SUM($J$1300:$J1303))</f>
        <v/>
      </c>
      <c r="L1303" s="20" t="str">
        <f aca="false">IF($K1303="","",$A1303*100+$K1303)</f>
        <v/>
      </c>
      <c r="M1303" s="48" t="str">
        <f aca="false">参数!$B$3</f>
        <v>7月收入</v>
      </c>
    </row>
    <row r="1304" customFormat="false" ht="13.5" hidden="false" customHeight="false" outlineLevel="0" collapsed="false">
      <c r="A1304" s="47" t="n">
        <v>60</v>
      </c>
      <c r="B1304" s="38" t="str">
        <f aca="false">助手收入!$B61</f>
        <v/>
      </c>
      <c r="C1304" s="48" t="str">
        <f aca="false">助手收入!$C61</f>
        <v>备用15</v>
      </c>
      <c r="D1304" s="48" t="str">
        <f aca="false">科目对照收入!$B6&amp;""</f>
        <v>医卡通</v>
      </c>
      <c r="E1304" s="48" t="str">
        <f aca="false">IF(AND(ROUND($G1304,2)&lt;0,科目对照收入!$L6&lt;&gt;""),科目对照收入!$L6,科目对照收入!$C6)&amp;""</f>
        <v>应收账款</v>
      </c>
      <c r="F1304" s="48" t="str">
        <f aca="false">IF(AND(ROUND($G1304,2)&lt;0,科目对照收入!$L6&lt;&gt;""),科目对照收入!$M6,科目对照收入!$D6)&amp;""</f>
        <v>医卡通</v>
      </c>
      <c r="G1304" s="49" t="n">
        <f aca="false">IF(COUNTIFS(输入平台!$A:$A,助手收入!$X61,输入平台!$B:$B,科目对照收入!$B6)&gt;0,ROUND(SUMIFS(输入平台!$C:$C,输入平台!$A:$A,助手收入!$X61,输入平台!$B:$B,科目对照收入!$B6),2),ROUND(海典汇总!$I$62,2))</f>
        <v>0</v>
      </c>
      <c r="H1304" s="49" t="str">
        <f aca="false">IF(ROUND($G1304,2)&gt;0,ROUND($G1304,2),"")</f>
        <v/>
      </c>
      <c r="I1304" s="49" t="str">
        <f aca="false">IF(ROUND($G1304,2)&lt;0,-ROUND($G1304,2),"")</f>
        <v/>
      </c>
      <c r="J1304" s="20" t="n">
        <f aca="false">IF(ROUND($G1304,2)=0,0,1)</f>
        <v>0</v>
      </c>
      <c r="K1304" s="20" t="str">
        <f aca="false">IF($J1304=0,"",SUM($J$1300:$J1304))</f>
        <v/>
      </c>
      <c r="L1304" s="20" t="str">
        <f aca="false">IF($K1304="","",$A1304*100+$K1304)</f>
        <v/>
      </c>
      <c r="M1304" s="48" t="str">
        <f aca="false">参数!$B$3</f>
        <v>7月收入</v>
      </c>
    </row>
    <row r="1305" customFormat="false" ht="13.5" hidden="false" customHeight="false" outlineLevel="0" collapsed="false">
      <c r="A1305" s="47" t="n">
        <v>60</v>
      </c>
      <c r="B1305" s="38" t="str">
        <f aca="false">助手收入!$B61</f>
        <v/>
      </c>
      <c r="C1305" s="48" t="str">
        <f aca="false">助手收入!$C61</f>
        <v>备用15</v>
      </c>
      <c r="D1305" s="48" t="str">
        <f aca="false">科目对照收入!$B7&amp;""</f>
        <v>企健网</v>
      </c>
      <c r="E1305" s="48" t="str">
        <f aca="false">IF(AND(ROUND($G1305,2)&lt;0,科目对照收入!$L7&lt;&gt;""),科目对照收入!$L7,科目对照收入!$C7)&amp;""</f>
        <v>应收账款</v>
      </c>
      <c r="F1305" s="48" t="str">
        <f aca="false">IF(AND(ROUND($G1305,2)&lt;0,科目对照收入!$L7&lt;&gt;""),科目对照收入!$M7,科目对照收入!$D7)&amp;""</f>
        <v>企健网</v>
      </c>
      <c r="G1305" s="49" t="n">
        <f aca="false">IF(COUNTIFS(输入平台!$A:$A,助手收入!$X61,输入平台!$B:$B,科目对照收入!$B7)&gt;0,ROUND(SUMIFS(输入平台!$C:$C,输入平台!$A:$A,助手收入!$X61,输入平台!$B:$B,科目对照收入!$B7),2),ROUND(海典汇总!$J$62,2))</f>
        <v>0</v>
      </c>
      <c r="H1305" s="49" t="str">
        <f aca="false">IF(ROUND($G1305,2)&gt;0,ROUND($G1305,2),"")</f>
        <v/>
      </c>
      <c r="I1305" s="49" t="str">
        <f aca="false">IF(ROUND($G1305,2)&lt;0,-ROUND($G1305,2),"")</f>
        <v/>
      </c>
      <c r="J1305" s="20" t="n">
        <f aca="false">IF(ROUND($G1305,2)=0,0,1)</f>
        <v>0</v>
      </c>
      <c r="K1305" s="20" t="str">
        <f aca="false">IF($J1305=0,"",SUM($J$1300:$J1305))</f>
        <v/>
      </c>
      <c r="L1305" s="20" t="str">
        <f aca="false">IF($K1305="","",$A1305*100+$K1305)</f>
        <v/>
      </c>
      <c r="M1305" s="48" t="str">
        <f aca="false">参数!$B$3</f>
        <v>7月收入</v>
      </c>
    </row>
    <row r="1306" customFormat="false" ht="13.5" hidden="false" customHeight="false" outlineLevel="0" collapsed="false">
      <c r="A1306" s="47" t="n">
        <v>60</v>
      </c>
      <c r="B1306" s="38" t="str">
        <f aca="false">助手收入!$B61</f>
        <v/>
      </c>
      <c r="C1306" s="48" t="str">
        <f aca="false">助手收入!$C61</f>
        <v>备用15</v>
      </c>
      <c r="D1306" s="48" t="str">
        <f aca="false">科目对照收入!$B8&amp;""</f>
        <v>亲情卡</v>
      </c>
      <c r="E1306" s="48" t="str">
        <f aca="false">IF(AND(ROUND($G1306,2)&lt;0,科目对照收入!$L8&lt;&gt;""),科目对照收入!$L8,科目对照收入!$C8)&amp;""</f>
        <v>应收账款</v>
      </c>
      <c r="F1306" s="48" t="str">
        <f aca="false">IF(AND(ROUND($G1306,2)&lt;0,科目对照收入!$L8&lt;&gt;""),科目对照收入!$M8,科目对照收入!$D8)&amp;""</f>
        <v>亲情卡</v>
      </c>
      <c r="G1306" s="49" t="n">
        <f aca="false">IF(COUNTIFS(输入平台!$A:$A,助手收入!$X61,输入平台!$B:$B,科目对照收入!$B8)&gt;0,ROUND(SUMIFS(输入平台!$C:$C,输入平台!$A:$A,助手收入!$X61,输入平台!$B:$B,科目对照收入!$B8),2),ROUND(海典汇总!$Z$62,2))</f>
        <v>0</v>
      </c>
      <c r="H1306" s="49" t="str">
        <f aca="false">IF(ROUND($G1306,2)&gt;0,ROUND($G1306,2),"")</f>
        <v/>
      </c>
      <c r="I1306" s="49" t="str">
        <f aca="false">IF(ROUND($G1306,2)&lt;0,-ROUND($G1306,2),"")</f>
        <v/>
      </c>
      <c r="J1306" s="20" t="n">
        <f aca="false">IF(ROUND($G1306,2)=0,0,1)</f>
        <v>0</v>
      </c>
      <c r="K1306" s="20" t="str">
        <f aca="false">IF($J1306=0,"",SUM($J$1300:$J1306))</f>
        <v/>
      </c>
      <c r="L1306" s="20" t="str">
        <f aca="false">IF($K1306="","",$A1306*100+$K1306)</f>
        <v/>
      </c>
      <c r="M1306" s="48" t="str">
        <f aca="false">参数!$B$3</f>
        <v>7月收入</v>
      </c>
    </row>
    <row r="1307" customFormat="false" ht="13.5" hidden="false" customHeight="false" outlineLevel="0" collapsed="false">
      <c r="A1307" s="47" t="n">
        <v>60</v>
      </c>
      <c r="B1307" s="38" t="str">
        <f aca="false">助手收入!$B61</f>
        <v/>
      </c>
      <c r="C1307" s="48" t="str">
        <f aca="false">助手收入!$C61</f>
        <v>备用15</v>
      </c>
      <c r="D1307" s="48" t="str">
        <f aca="false">科目对照收入!$B9&amp;""</f>
        <v>24小时</v>
      </c>
      <c r="E1307" s="48" t="str">
        <f aca="false">IF(AND(ROUND($G1307,2)&lt;0,科目对照收入!$L9&lt;&gt;""),科目对照收入!$L9,科目对照收入!$C9)&amp;""</f>
        <v>应收账款</v>
      </c>
      <c r="F1307" s="48" t="str">
        <f aca="false">IF(AND(ROUND($G1307,2)&lt;0,科目对照收入!$L9&lt;&gt;""),科目对照收入!$M9,科目对照收入!$D9)&amp;""</f>
        <v>24小时</v>
      </c>
      <c r="G1307" s="49" t="n">
        <f aca="false">IF(COUNTIFS(输入平台!$A:$A,助手收入!$X61,输入平台!$B:$B,科目对照收入!$B9)&gt;0,ROUND(SUMIFS(输入平台!$C:$C,输入平台!$A:$A,助手收入!$X61,输入平台!$B:$B,科目对照收入!$B9),2),ROUND(海典汇总!$K$62,2))</f>
        <v>0</v>
      </c>
      <c r="H1307" s="49" t="str">
        <f aca="false">IF(ROUND($G1307,2)&gt;0,ROUND($G1307,2),"")</f>
        <v/>
      </c>
      <c r="I1307" s="49" t="str">
        <f aca="false">IF(ROUND($G1307,2)&lt;0,-ROUND($G1307,2),"")</f>
        <v/>
      </c>
      <c r="J1307" s="20" t="n">
        <f aca="false">IF(ROUND($G1307,2)=0,0,1)</f>
        <v>0</v>
      </c>
      <c r="K1307" s="20" t="str">
        <f aca="false">IF($J1307=0,"",SUM($J$1300:$J1307))</f>
        <v/>
      </c>
      <c r="L1307" s="20" t="str">
        <f aca="false">IF($K1307="","",$A1307*100+$K1307)</f>
        <v/>
      </c>
      <c r="M1307" s="48" t="str">
        <f aca="false">参数!$B$3</f>
        <v>7月收入</v>
      </c>
    </row>
    <row r="1308" customFormat="false" ht="13.5" hidden="false" customHeight="false" outlineLevel="0" collapsed="false">
      <c r="A1308" s="47" t="n">
        <v>60</v>
      </c>
      <c r="B1308" s="38" t="str">
        <f aca="false">助手收入!$B61</f>
        <v/>
      </c>
      <c r="C1308" s="48" t="str">
        <f aca="false">助手收入!$C61</f>
        <v>备用15</v>
      </c>
      <c r="D1308" s="48" t="str">
        <f aca="false">科目对照收入!$B10&amp;""</f>
        <v>美团</v>
      </c>
      <c r="E1308" s="48" t="str">
        <f aca="false">IF(AND(ROUND($G1308,2)&lt;0,科目对照收入!$L10&lt;&gt;""),科目对照收入!$L10,科目对照收入!$C10)&amp;""</f>
        <v>应收账款</v>
      </c>
      <c r="F1308" s="48" t="str">
        <f aca="false">IF(AND(ROUND($G1308,2)&lt;0,科目对照收入!$L10&lt;&gt;""),科目对照收入!$M10,科目对照收入!$D10)&amp;""</f>
        <v>美团</v>
      </c>
      <c r="G1308" s="49" t="n">
        <f aca="false">IF(COUNTIFS(输入平台!$A:$A,助手收入!$X61,输入平台!$B:$B,科目对照收入!$B10)&gt;0,ROUND(SUMIFS(输入平台!$C:$C,输入平台!$A:$A,助手收入!$X61,输入平台!$B:$B,科目对照收入!$B10),2),ROUND(海典汇总!$M$62,2))</f>
        <v>0</v>
      </c>
      <c r="H1308" s="49" t="str">
        <f aca="false">IF(ROUND($G1308,2)&gt;0,ROUND($G1308,2),"")</f>
        <v/>
      </c>
      <c r="I1308" s="49" t="str">
        <f aca="false">IF(ROUND($G1308,2)&lt;0,-ROUND($G1308,2),"")</f>
        <v/>
      </c>
      <c r="J1308" s="20" t="n">
        <f aca="false">IF(ROUND($G1308,2)=0,0,1)</f>
        <v>0</v>
      </c>
      <c r="K1308" s="20" t="str">
        <f aca="false">IF($J1308=0,"",SUM($J$1300:$J1308))</f>
        <v/>
      </c>
      <c r="L1308" s="20" t="str">
        <f aca="false">IF($K1308="","",$A1308*100+$K1308)</f>
        <v/>
      </c>
      <c r="M1308" s="48" t="str">
        <f aca="false">参数!$B$3</f>
        <v>7月收入</v>
      </c>
    </row>
    <row r="1309" customFormat="false" ht="13.5" hidden="false" customHeight="false" outlineLevel="0" collapsed="false">
      <c r="A1309" s="47" t="n">
        <v>60</v>
      </c>
      <c r="B1309" s="38" t="str">
        <f aca="false">助手收入!$B61</f>
        <v/>
      </c>
      <c r="C1309" s="48" t="str">
        <f aca="false">助手收入!$C61</f>
        <v>备用15</v>
      </c>
      <c r="D1309" s="48" t="str">
        <f aca="false">科目对照收入!$B11&amp;""</f>
        <v>饿了么</v>
      </c>
      <c r="E1309" s="48" t="str">
        <f aca="false">IF(AND(ROUND($G1309,2)&lt;0,科目对照收入!$L11&lt;&gt;""),科目对照收入!$L11,科目对照收入!$C11)&amp;""</f>
        <v>应收账款</v>
      </c>
      <c r="F1309" s="48" t="str">
        <f aca="false">IF(AND(ROUND($G1309,2)&lt;0,科目对照收入!$L11&lt;&gt;""),科目对照收入!$M11,科目对照收入!$D11)&amp;""</f>
        <v>饿了么</v>
      </c>
      <c r="G1309" s="49" t="n">
        <f aca="false">IF(COUNTIFS(输入平台!$A:$A,助手收入!$X61,输入平台!$B:$B,科目对照收入!$B11)&gt;0,ROUND(SUMIFS(输入平台!$C:$C,输入平台!$A:$A,助手收入!$X61,输入平台!$B:$B,科目对照收入!$B11),2),ROUND(海典汇总!$N$62,2))</f>
        <v>0</v>
      </c>
      <c r="H1309" s="49" t="str">
        <f aca="false">IF(ROUND($G1309,2)&gt;0,ROUND($G1309,2),"")</f>
        <v/>
      </c>
      <c r="I1309" s="49" t="str">
        <f aca="false">IF(ROUND($G1309,2)&lt;0,-ROUND($G1309,2),"")</f>
        <v/>
      </c>
      <c r="J1309" s="20" t="n">
        <f aca="false">IF(ROUND($G1309,2)=0,0,1)</f>
        <v>0</v>
      </c>
      <c r="K1309" s="20" t="str">
        <f aca="false">IF($J1309=0,"",SUM($J$1300:$J1309))</f>
        <v/>
      </c>
      <c r="L1309" s="20" t="str">
        <f aca="false">IF($K1309="","",$A1309*100+$K1309)</f>
        <v/>
      </c>
      <c r="M1309" s="48" t="str">
        <f aca="false">参数!$B$3</f>
        <v>7月收入</v>
      </c>
    </row>
    <row r="1310" customFormat="false" ht="13.5" hidden="false" customHeight="false" outlineLevel="0" collapsed="false">
      <c r="A1310" s="47" t="n">
        <v>60</v>
      </c>
      <c r="B1310" s="38" t="str">
        <f aca="false">助手收入!$B61</f>
        <v/>
      </c>
      <c r="C1310" s="48" t="str">
        <f aca="false">助手收入!$C61</f>
        <v>备用15</v>
      </c>
      <c r="D1310" s="48" t="str">
        <f aca="false">科目对照收入!$B12&amp;""</f>
        <v>京东秒送</v>
      </c>
      <c r="E1310" s="48" t="str">
        <f aca="false">IF(AND(ROUND($G1310,2)&lt;0,科目对照收入!$L12&lt;&gt;""),科目对照收入!$L12,科目对照收入!$C12)&amp;""</f>
        <v>应收账款</v>
      </c>
      <c r="F1310" s="48" t="str">
        <f aca="false">IF(AND(ROUND($G1310,2)&lt;0,科目对照收入!$L12&lt;&gt;""),科目对照收入!$M12,科目对照收入!$D12)&amp;""</f>
        <v>京东秒送</v>
      </c>
      <c r="G1310" s="49" t="n">
        <f aca="false">IF(COUNTIFS(输入平台!$A:$A,助手收入!$X61,输入平台!$B:$B,科目对照收入!$B12)&gt;0,ROUND(SUMIFS(输入平台!$C:$C,输入平台!$A:$A,助手收入!$X61,输入平台!$B:$B,科目对照收入!$B12),2),ROUND(海典汇总!$O$62,2))</f>
        <v>0</v>
      </c>
      <c r="H1310" s="49" t="str">
        <f aca="false">IF(ROUND($G1310,2)&gt;0,ROUND($G1310,2),"")</f>
        <v/>
      </c>
      <c r="I1310" s="49" t="str">
        <f aca="false">IF(ROUND($G1310,2)&lt;0,-ROUND($G1310,2),"")</f>
        <v/>
      </c>
      <c r="J1310" s="20" t="n">
        <f aca="false">IF(ROUND($G1310,2)=0,0,1)</f>
        <v>0</v>
      </c>
      <c r="K1310" s="20" t="str">
        <f aca="false">IF($J1310=0,"",SUM($J$1300:$J1310))</f>
        <v/>
      </c>
      <c r="L1310" s="20" t="str">
        <f aca="false">IF($K1310="","",$A1310*100+$K1310)</f>
        <v/>
      </c>
      <c r="M1310" s="48" t="str">
        <f aca="false">参数!$B$3</f>
        <v>7月收入</v>
      </c>
    </row>
    <row r="1311" customFormat="false" ht="13.5" hidden="false" customHeight="false" outlineLevel="0" collapsed="false">
      <c r="A1311" s="47" t="n">
        <v>60</v>
      </c>
      <c r="B1311" s="38" t="str">
        <f aca="false">助手收入!$B61</f>
        <v/>
      </c>
      <c r="C1311" s="48" t="str">
        <f aca="false">助手收入!$C61</f>
        <v>备用15</v>
      </c>
      <c r="D1311" s="48" t="str">
        <f aca="false">科目对照收入!$B13&amp;""</f>
        <v>银联</v>
      </c>
      <c r="E1311" s="48" t="str">
        <f aca="false">IF(AND(ROUND($G1311,2)&lt;0,科目对照收入!$L13&lt;&gt;""),科目对照收入!$L13,科目对照收入!$C13)&amp;""</f>
        <v>应收账款</v>
      </c>
      <c r="F1311" s="48" t="str">
        <f aca="false">IF(AND(ROUND($G1311,2)&lt;0,科目对照收入!$L13&lt;&gt;""),科目对照收入!$M13,科目对照收入!$D13)&amp;""</f>
        <v>银联</v>
      </c>
      <c r="G1311" s="49" t="n">
        <f aca="false">IF(COUNTIFS(输入平台!$A:$A,助手收入!$X61,输入平台!$B:$B,科目对照收入!$B13)&gt;0,ROUND(SUMIFS(输入平台!$C:$C,输入平台!$A:$A,助手收入!$X61,输入平台!$B:$B,科目对照收入!$B13),2),ROUND(海典汇总!$V$62,2))</f>
        <v>0</v>
      </c>
      <c r="H1311" s="49" t="str">
        <f aca="false">IF(ROUND($G1311,2)&gt;0,ROUND($G1311,2),"")</f>
        <v/>
      </c>
      <c r="I1311" s="49" t="str">
        <f aca="false">IF(ROUND($G1311,2)&lt;0,-ROUND($G1311,2),"")</f>
        <v/>
      </c>
      <c r="J1311" s="20" t="n">
        <f aca="false">IF(ROUND($G1311,2)=0,0,1)</f>
        <v>0</v>
      </c>
      <c r="K1311" s="20" t="str">
        <f aca="false">IF($J1311=0,"",SUM($J$1300:$J1311))</f>
        <v/>
      </c>
      <c r="L1311" s="20" t="str">
        <f aca="false">IF($K1311="","",$A1311*100+$K1311)</f>
        <v/>
      </c>
      <c r="M1311" s="48" t="str">
        <f aca="false">参数!$B$3</f>
        <v>7月收入</v>
      </c>
    </row>
    <row r="1312" customFormat="false" ht="13.5" hidden="false" customHeight="false" outlineLevel="0" collapsed="false">
      <c r="A1312" s="47" t="n">
        <v>60</v>
      </c>
      <c r="B1312" s="38" t="str">
        <f aca="false">助手收入!$B61</f>
        <v/>
      </c>
      <c r="C1312" s="48" t="str">
        <f aca="false">助手收入!$C61</f>
        <v>备用15</v>
      </c>
      <c r="D1312" s="48" t="str">
        <f aca="false">科目对照收入!$B14&amp;""</f>
        <v>小镇外卖</v>
      </c>
      <c r="E1312" s="48" t="str">
        <f aca="false">IF(AND(ROUND($G1312,2)&lt;0,科目对照收入!$L14&lt;&gt;""),科目对照收入!$L14,科目对照收入!$C14)&amp;""</f>
        <v>应收账款</v>
      </c>
      <c r="F1312" s="48" t="str">
        <f aca="false">IF(AND(ROUND($G1312,2)&lt;0,科目对照收入!$L14&lt;&gt;""),科目对照收入!$M14,科目对照收入!$D14)&amp;""</f>
        <v>小镇外卖</v>
      </c>
      <c r="G1312" s="49" t="n">
        <f aca="false">IF(COUNTIFS(输入平台!$A:$A,助手收入!$X61,输入平台!$B:$B,科目对照收入!$B14)&gt;0,ROUND(SUMIFS(输入平台!$C:$C,输入平台!$A:$A,助手收入!$X61,输入平台!$B:$B,科目对照收入!$B14),2),ROUND(海典汇总!$AC$62,2))</f>
        <v>0</v>
      </c>
      <c r="H1312" s="49" t="str">
        <f aca="false">IF(ROUND($G1312,2)&gt;0,ROUND($G1312,2),"")</f>
        <v/>
      </c>
      <c r="I1312" s="49" t="str">
        <f aca="false">IF(ROUND($G1312,2)&lt;0,-ROUND($G1312,2),"")</f>
        <v/>
      </c>
      <c r="J1312" s="20" t="n">
        <f aca="false">IF(ROUND($G1312,2)=0,0,1)</f>
        <v>0</v>
      </c>
      <c r="K1312" s="20" t="str">
        <f aca="false">IF($J1312=0,"",SUM($J$1300:$J1312))</f>
        <v/>
      </c>
      <c r="L1312" s="20" t="str">
        <f aca="false">IF($K1312="","",$A1312*100+$K1312)</f>
        <v/>
      </c>
      <c r="M1312" s="48" t="str">
        <f aca="false">参数!$B$3</f>
        <v>7月收入</v>
      </c>
    </row>
    <row r="1313" customFormat="false" ht="13.5" hidden="false" customHeight="false" outlineLevel="0" collapsed="false">
      <c r="A1313" s="47" t="n">
        <v>60</v>
      </c>
      <c r="B1313" s="38" t="str">
        <f aca="false">助手收入!$B61</f>
        <v/>
      </c>
      <c r="C1313" s="48" t="str">
        <f aca="false">助手收入!$C61</f>
        <v>备用15</v>
      </c>
      <c r="D1313" s="48" t="str">
        <f aca="false">科目对照收入!$B15&amp;""</f>
        <v>OMS线上支付</v>
      </c>
      <c r="E1313" s="48" t="str">
        <f aca="false">IF(AND(ROUND($G1313,2)&lt;0,科目对照收入!$L15&lt;&gt;""),科目对照收入!$L15,科目对照收入!$C15)&amp;""</f>
        <v>应收账款</v>
      </c>
      <c r="F1313" s="48" t="str">
        <f aca="false">IF(AND(ROUND($G1313,2)&lt;0,科目对照收入!$L15&lt;&gt;""),科目对照收入!$M15,科目对照收入!$D15)&amp;""</f>
        <v>OMS线上</v>
      </c>
      <c r="G1313" s="49" t="n">
        <f aca="false">IF(COUNTIFS(输入平台!$A:$A,助手收入!$X61,输入平台!$B:$B,科目对照收入!$B15)&gt;0,ROUND(SUMIFS(输入平台!$C:$C,输入平台!$A:$A,助手收入!$X61,输入平台!$B:$B,科目对照收入!$B15),2),ROUND(海典汇总!$L$62,2))</f>
        <v>0</v>
      </c>
      <c r="H1313" s="49" t="str">
        <f aca="false">IF(ROUND($G1313,2)&gt;0,ROUND($G1313,2),"")</f>
        <v/>
      </c>
      <c r="I1313" s="49" t="str">
        <f aca="false">IF(ROUND($G1313,2)&lt;0,-ROUND($G1313,2),"")</f>
        <v/>
      </c>
      <c r="J1313" s="20" t="n">
        <f aca="false">IF(ROUND($G1313,2)=0,0,1)</f>
        <v>0</v>
      </c>
      <c r="K1313" s="20" t="str">
        <f aca="false">IF($J1313=0,"",SUM($J$1300:$J1313))</f>
        <v/>
      </c>
      <c r="L1313" s="20" t="str">
        <f aca="false">IF($K1313="","",$A1313*100+$K1313)</f>
        <v/>
      </c>
      <c r="M1313" s="48" t="str">
        <f aca="false">参数!$B$3</f>
        <v>7月收入</v>
      </c>
    </row>
    <row r="1314" customFormat="false" ht="13.5" hidden="false" customHeight="false" outlineLevel="0" collapsed="false">
      <c r="A1314" s="47" t="n">
        <v>60</v>
      </c>
      <c r="B1314" s="38" t="str">
        <f aca="false">助手收入!$B61</f>
        <v/>
      </c>
      <c r="C1314" s="48" t="str">
        <f aca="false">助手收入!$C61</f>
        <v>备用15</v>
      </c>
      <c r="D1314" s="48" t="str">
        <f aca="false">科目对照收入!$B16&amp;""</f>
        <v>平安药卡</v>
      </c>
      <c r="E1314" s="48" t="str">
        <f aca="false">IF(AND(ROUND($G1314,2)&lt;0,科目对照收入!$L16&lt;&gt;""),科目对照收入!$L16,科目对照收入!$C16)&amp;""</f>
        <v>应收账款</v>
      </c>
      <c r="F1314" s="48" t="str">
        <f aca="false">IF(AND(ROUND($G1314,2)&lt;0,科目对照收入!$L16&lt;&gt;""),科目对照收入!$M16,科目对照收入!$D16)&amp;""</f>
        <v>平安</v>
      </c>
      <c r="G1314" s="49" t="n">
        <f aca="false">IF(COUNTIFS(输入平台!$A:$A,助手收入!$X61,输入平台!$B:$B,科目对照收入!$B16)&gt;0,ROUND(SUMIFS(输入平台!$C:$C,输入平台!$A:$A,助手收入!$X61,输入平台!$B:$B,科目对照收入!$B16),2),ROUND(海典汇总!$AB$62,2))</f>
        <v>0</v>
      </c>
      <c r="H1314" s="49" t="str">
        <f aca="false">IF(ROUND($G1314,2)&gt;0,ROUND($G1314,2),"")</f>
        <v/>
      </c>
      <c r="I1314" s="49" t="str">
        <f aca="false">IF(ROUND($G1314,2)&lt;0,-ROUND($G1314,2),"")</f>
        <v/>
      </c>
      <c r="J1314" s="20" t="n">
        <f aca="false">IF(ROUND($G1314,2)=0,0,1)</f>
        <v>0</v>
      </c>
      <c r="K1314" s="20" t="str">
        <f aca="false">IF($J1314=0,"",SUM($J$1300:$J1314))</f>
        <v/>
      </c>
      <c r="L1314" s="20" t="str">
        <f aca="false">IF($K1314="","",$A1314*100+$K1314)</f>
        <v/>
      </c>
      <c r="M1314" s="48" t="str">
        <f aca="false">参数!$B$3</f>
        <v>7月收入</v>
      </c>
    </row>
    <row r="1315" customFormat="false" ht="13.5" hidden="false" customHeight="false" outlineLevel="0" collapsed="false">
      <c r="A1315" s="47" t="n">
        <v>60</v>
      </c>
      <c r="B1315" s="38" t="str">
        <f aca="false">助手收入!$B61</f>
        <v/>
      </c>
      <c r="C1315" s="48" t="str">
        <f aca="false">助手收入!$C61</f>
        <v>备用15</v>
      </c>
      <c r="D1315" s="48" t="str">
        <f aca="false">科目对照收入!$B17&amp;""</f>
        <v>储值卡</v>
      </c>
      <c r="E1315" s="48" t="str">
        <f aca="false">IF(AND(ROUND($G1315,2)&lt;0,科目对照收入!$L17&lt;&gt;""),科目对照收入!$L17,科目对照收入!$C17)&amp;""</f>
        <v>其他应收款</v>
      </c>
      <c r="F1315" s="48" t="str">
        <f aca="false">IF(AND(ROUND($G1315,2)&lt;0,科目对照收入!$L17&lt;&gt;""),科目对照收入!$M17,科目对照收入!$D17)&amp;""</f>
        <v>储值卡</v>
      </c>
      <c r="G1315" s="49" t="n">
        <f aca="false">ROUND(海典汇总!$Q$62,2)</f>
        <v>0</v>
      </c>
      <c r="H1315" s="49" t="str">
        <f aca="false">IF(ROUND($G1315,2)&gt;0,ROUND($G1315,2),"")</f>
        <v/>
      </c>
      <c r="I1315" s="49" t="str">
        <f aca="false">IF(ROUND($G1315,2)&lt;0,-ROUND($G1315,2),"")</f>
        <v/>
      </c>
      <c r="J1315" s="20" t="n">
        <f aca="false">IF(ROUND($G1315,2)=0,0,1)</f>
        <v>0</v>
      </c>
      <c r="K1315" s="20" t="str">
        <f aca="false">IF($J1315=0,"",SUM($J$1300:$J1315))</f>
        <v/>
      </c>
      <c r="L1315" s="20" t="str">
        <f aca="false">IF($K1315="","",$A1315*100+$K1315)</f>
        <v/>
      </c>
      <c r="M1315" s="48" t="str">
        <f aca="false">参数!$B$3</f>
        <v>7月收入</v>
      </c>
    </row>
    <row r="1316" customFormat="false" ht="13.5" hidden="false" customHeight="false" outlineLevel="0" collapsed="false">
      <c r="A1316" s="47" t="n">
        <v>60</v>
      </c>
      <c r="B1316" s="38" t="str">
        <f aca="false">助手收入!$B61</f>
        <v/>
      </c>
      <c r="C1316" s="48" t="str">
        <f aca="false">助手收入!$C61</f>
        <v>备用15</v>
      </c>
      <c r="D1316" s="48" t="str">
        <f aca="false">科目对照收入!$B18&amp;""</f>
        <v>会员零钱包</v>
      </c>
      <c r="E1316" s="48" t="str">
        <f aca="false">IF(AND(ROUND($G1316,2)&lt;0,科目对照收入!$L18&lt;&gt;""),科目对照收入!$L18,科目对照收入!$C18)&amp;""</f>
        <v>其他应收款</v>
      </c>
      <c r="F1316" s="48" t="str">
        <f aca="false">IF(AND(ROUND($G1316,2)&lt;0,科目对照收入!$L18&lt;&gt;""),科目对照收入!$M18,科目对照收入!$D18)&amp;""</f>
        <v>会员零钱包</v>
      </c>
      <c r="G1316" s="49" t="n">
        <f aca="false">ROUND(海典汇总!$P$62,2)</f>
        <v>0</v>
      </c>
      <c r="H1316" s="49" t="str">
        <f aca="false">IF(ROUND($G1316,2)&gt;0,ROUND($G1316,2),"")</f>
        <v/>
      </c>
      <c r="I1316" s="49" t="str">
        <f aca="false">IF(ROUND($G1316,2)&lt;0,-ROUND($G1316,2),"")</f>
        <v/>
      </c>
      <c r="J1316" s="20" t="n">
        <f aca="false">IF(ROUND($G1316,2)=0,0,1)</f>
        <v>0</v>
      </c>
      <c r="K1316" s="20" t="str">
        <f aca="false">IF($J1316=0,"",SUM($J$1300:$J1316))</f>
        <v/>
      </c>
      <c r="L1316" s="20" t="str">
        <f aca="false">IF($K1316="","",$A1316*100+$K1316)</f>
        <v/>
      </c>
      <c r="M1316" s="48" t="str">
        <f aca="false">参数!$B$3</f>
        <v>7月收入</v>
      </c>
    </row>
    <row r="1317" customFormat="false" ht="13.5" hidden="false" customHeight="false" outlineLevel="0" collapsed="false">
      <c r="A1317" s="47" t="n">
        <v>60</v>
      </c>
      <c r="B1317" s="38" t="str">
        <f aca="false">助手收入!$B61</f>
        <v/>
      </c>
      <c r="C1317" s="48" t="str">
        <f aca="false">助手收入!$C61</f>
        <v>备用15</v>
      </c>
      <c r="D1317" s="48" t="str">
        <f aca="false">科目对照收入!$B19&amp;""</f>
        <v>促销费</v>
      </c>
      <c r="E1317" s="48" t="str">
        <f aca="false">IF(AND(ROUND($G1317,2)&lt;0,科目对照收入!$L19&lt;&gt;""),科目对照收入!$L19,科目对照收入!$C19)&amp;""</f>
        <v>销售费用</v>
      </c>
      <c r="F1317" s="48" t="str">
        <f aca="false">IF(AND(ROUND($G1317,2)&lt;0,科目对照收入!$L19&lt;&gt;""),科目对照收入!$M19,科目对照收入!$D19)&amp;""</f>
        <v>促销费</v>
      </c>
      <c r="G1317" s="49" t="n">
        <f aca="false">ROUND(海典汇总!$U$62+海典汇总!$T$62+海典汇总!$S$62,2)</f>
        <v>0</v>
      </c>
      <c r="H1317" s="49" t="str">
        <f aca="false">IF(ROUND($G1317,2)&gt;0,ROUND($G1317,2),"")</f>
        <v/>
      </c>
      <c r="I1317" s="49" t="str">
        <f aca="false">IF(ROUND($G1317,2)&lt;0,-ROUND($G1317,2),"")</f>
        <v/>
      </c>
      <c r="J1317" s="20" t="n">
        <f aca="false">IF(ROUND($G1317,2)=0,0,1)</f>
        <v>0</v>
      </c>
      <c r="K1317" s="20" t="str">
        <f aca="false">IF($J1317=0,"",SUM($J$1300:$J1317))</f>
        <v/>
      </c>
      <c r="L1317" s="20" t="str">
        <f aca="false">IF($K1317="","",$A1317*100+$K1317)</f>
        <v/>
      </c>
      <c r="M1317" s="48" t="str">
        <f aca="false">参数!$B$3</f>
        <v>7月收入</v>
      </c>
    </row>
    <row r="1318" customFormat="false" ht="13.5" hidden="false" customHeight="false" outlineLevel="0" collapsed="false">
      <c r="A1318" s="47" t="n">
        <v>60</v>
      </c>
      <c r="B1318" s="38" t="str">
        <f aca="false">助手收入!$B61</f>
        <v/>
      </c>
      <c r="C1318" s="48" t="str">
        <f aca="false">助手收入!$C61</f>
        <v>备用15</v>
      </c>
      <c r="D1318" s="48" t="str">
        <f aca="false">科目对照收入!$B20&amp;""</f>
        <v>积分</v>
      </c>
      <c r="E1318" s="48" t="str">
        <f aca="false">IF(AND(ROUND($G1318,2)&lt;0,科目对照收入!$L20&lt;&gt;""),科目对照收入!$L20,科目对照收入!$C20)&amp;""</f>
        <v>销售费用</v>
      </c>
      <c r="F1318" s="48" t="str">
        <f aca="false">IF(AND(ROUND($G1318,2)&lt;0,科目对照收入!$L20&lt;&gt;""),科目对照收入!$M20,科目对照收入!$D20)&amp;""</f>
        <v>积分</v>
      </c>
      <c r="G1318" s="49" t="n">
        <f aca="false">ROUND(海典汇总!$R$62,2)</f>
        <v>0</v>
      </c>
      <c r="H1318" s="49" t="str">
        <f aca="false">IF(ROUND($G1318,2)&gt;0,ROUND($G1318,2),"")</f>
        <v/>
      </c>
      <c r="I1318" s="49" t="str">
        <f aca="false">IF(ROUND($G1318,2)&lt;0,-ROUND($G1318,2),"")</f>
        <v/>
      </c>
      <c r="J1318" s="20" t="n">
        <f aca="false">IF(ROUND($G1318,2)=0,0,1)</f>
        <v>0</v>
      </c>
      <c r="K1318" s="20" t="str">
        <f aca="false">IF($J1318=0,"",SUM($J$1300:$J1318))</f>
        <v/>
      </c>
      <c r="L1318" s="20" t="str">
        <f aca="false">IF($K1318="","",$A1318*100+$K1318)</f>
        <v/>
      </c>
      <c r="M1318" s="48" t="str">
        <f aca="false">参数!$B$3</f>
        <v>7月收入</v>
      </c>
    </row>
    <row r="1319" customFormat="false" ht="13.5" hidden="false" customHeight="false" outlineLevel="0" collapsed="false">
      <c r="A1319" s="47" t="n">
        <v>60</v>
      </c>
      <c r="B1319" s="38" t="str">
        <f aca="false">助手收入!$B61</f>
        <v/>
      </c>
      <c r="C1319" s="48" t="str">
        <f aca="false">助手收入!$C61</f>
        <v>备用15</v>
      </c>
      <c r="D1319" s="48" t="str">
        <f aca="false">科目对照收入!$B21&amp;""</f>
        <v>手续费</v>
      </c>
      <c r="E1319" s="48" t="str">
        <f aca="false">IF(AND(ROUND($G1319,2)&lt;0,科目对照收入!$L21&lt;&gt;""),科目对照收入!$L21,科目对照收入!$C21)&amp;""</f>
        <v>财务费用</v>
      </c>
      <c r="F1319" s="48" t="str">
        <f aca="false">IF(AND(ROUND($G1319,2)&lt;0,科目对照收入!$L21&lt;&gt;""),科目对照收入!$M21,科目对照收入!$D21)&amp;""</f>
        <v>手续费</v>
      </c>
      <c r="G1319" s="49" t="n">
        <f aca="false">ROUND(SUMIFS(输入聚合!$D:$D,输入聚合!$A:$A,助手收入!$X61),2)</f>
        <v>0</v>
      </c>
      <c r="H1319" s="49" t="str">
        <f aca="false">IF(ROUND($G1319,2)&gt;0,ROUND($G1319,2),"")</f>
        <v/>
      </c>
      <c r="I1319" s="49" t="str">
        <f aca="false">IF(ROUND($G1319,2)&lt;0,-ROUND($G1319,2),"")</f>
        <v/>
      </c>
      <c r="J1319" s="20" t="n">
        <f aca="false">IF(ROUND($G1319,2)=0,0,1)</f>
        <v>0</v>
      </c>
      <c r="K1319" s="20" t="str">
        <f aca="false">IF($J1319=0,"",SUM($J$1300:$J1319))</f>
        <v/>
      </c>
      <c r="L1319" s="20" t="str">
        <f aca="false">IF($K1319="","",$A1319*100+$K1319)</f>
        <v/>
      </c>
      <c r="M1319" s="48" t="str">
        <f aca="false">参数!$B$3</f>
        <v>7月收入</v>
      </c>
    </row>
    <row r="1320" customFormat="false" ht="13.5" hidden="false" customHeight="false" outlineLevel="0" collapsed="false">
      <c r="A1320" s="47" t="n">
        <v>60</v>
      </c>
      <c r="B1320" s="38" t="str">
        <f aca="false">助手收入!$B61</f>
        <v/>
      </c>
      <c r="C1320" s="48" t="str">
        <f aca="false">助手收入!$C61</f>
        <v>备用15</v>
      </c>
      <c r="D1320" s="48" t="str">
        <f aca="false">科目对照收入!$B22&amp;""</f>
        <v>主营业务收入</v>
      </c>
      <c r="E1320" s="48" t="str">
        <f aca="false">IF(AND(ROUND($G1320,2)&lt;0,科目对照收入!$L22&lt;&gt;""),科目对照收入!$L22,科目对照收入!$C22)&amp;""</f>
        <v>主营业务收入</v>
      </c>
      <c r="F1320" s="48" t="str">
        <f aca="false">IF(AND(ROUND($G1320,2)&lt;0,科目对照收入!$L22&lt;&gt;""),科目对照收入!$M22,科目对照收入!$D22)&amp;""</f>
        <v/>
      </c>
      <c r="G1320" s="49" t="n">
        <f aca="false">-ROUND(助手收入!$G61,2)</f>
        <v>-0</v>
      </c>
      <c r="H1320" s="49" t="str">
        <f aca="false">IF(ROUND($G1320,2)&gt;0,ROUND($G1320,2),"")</f>
        <v/>
      </c>
      <c r="I1320" s="49" t="str">
        <f aca="false">IF(ROUND($G1320,2)&lt;0,-ROUND($G1320,2),"")</f>
        <v/>
      </c>
      <c r="J1320" s="20" t="n">
        <f aca="false">IF(ROUND($G1320,2)=0,0,1)</f>
        <v>0</v>
      </c>
      <c r="K1320" s="20" t="str">
        <f aca="false">IF($J1320=0,"",SUM($J$1300:$J1320))</f>
        <v/>
      </c>
      <c r="L1320" s="20" t="str">
        <f aca="false">IF($K1320="","",$A1320*100+$K1320)</f>
        <v/>
      </c>
      <c r="M1320" s="48" t="str">
        <f aca="false">参数!$B$3</f>
        <v>7月收入</v>
      </c>
    </row>
    <row r="1321" customFormat="false" ht="13.5" hidden="false" customHeight="false" outlineLevel="0" collapsed="false">
      <c r="A1321" s="47" t="n">
        <v>60</v>
      </c>
      <c r="B1321" s="38" t="str">
        <f aca="false">助手收入!$B61</f>
        <v/>
      </c>
      <c r="C1321" s="48" t="str">
        <f aca="false">助手收入!$C61</f>
        <v>备用15</v>
      </c>
      <c r="D1321" s="48" t="str">
        <f aca="false">科目对照收入!$B23&amp;""</f>
        <v>营业外收入</v>
      </c>
      <c r="E1321" s="48" t="str">
        <f aca="false">IF(AND(ROUND($G1321,2)&lt;0,科目对照收入!$L23&lt;&gt;""),科目对照收入!$L23,科目对照收入!$C23)&amp;""</f>
        <v>营业外收入</v>
      </c>
      <c r="F1321" s="48" t="str">
        <f aca="false">IF(AND(ROUND($G1321,2)&lt;0,科目对照收入!$L23&lt;&gt;""),科目对照收入!$M23,科目对照收入!$D23)&amp;""</f>
        <v/>
      </c>
      <c r="G1321" s="49" t="n">
        <f aca="false">-ROUND(助手收入!$J61,2)</f>
        <v>-0</v>
      </c>
      <c r="H1321" s="49" t="str">
        <f aca="false">IF(ROUND($G1321,2)&gt;0,ROUND($G1321,2),"")</f>
        <v/>
      </c>
      <c r="I1321" s="49" t="str">
        <f aca="false">IF(ROUND($G1321,2)&lt;0,-ROUND($G1321,2),"")</f>
        <v/>
      </c>
      <c r="J1321" s="20" t="n">
        <f aca="false">IF(ROUND($G1321,2)=0,0,1)</f>
        <v>0</v>
      </c>
      <c r="K1321" s="20" t="str">
        <f aca="false">IF($J1321=0,"",SUM($J$1300:$J1321))</f>
        <v/>
      </c>
      <c r="L1321" s="20" t="str">
        <f aca="false">IF($K1321="","",$A1321*100+$K1321)</f>
        <v/>
      </c>
      <c r="M1321" s="48" t="str">
        <f aca="false">参数!$B$3</f>
        <v>7月收入</v>
      </c>
    </row>
    <row r="1322" customFormat="false" ht="13.5" hidden="false" customHeight="false" outlineLevel="0" collapsed="false">
      <c r="A1322" s="47" t="n">
        <v>61</v>
      </c>
      <c r="B1322" s="38" t="str">
        <f aca="false">助手收入!$B62</f>
        <v/>
      </c>
      <c r="C1322" s="48" t="str">
        <f aca="false">助手收入!$C62</f>
        <v>备用16</v>
      </c>
      <c r="D1322" s="48" t="str">
        <f aca="false">科目对照收入!$B2&amp;""</f>
        <v>库存现金</v>
      </c>
      <c r="E1322" s="48" t="str">
        <f aca="false">IF(AND(ROUND($G1322,2)&lt;0,科目对照收入!$L2&lt;&gt;""),科目对照收入!$L2,科目对照收入!$C2)&amp;""</f>
        <v>库存现金</v>
      </c>
      <c r="F1322" s="48" t="str">
        <f aca="false">IF(AND(ROUND($G1322,2)&lt;0,科目对照收入!$L2&lt;&gt;""),科目对照收入!$M2,科目对照收入!$D2)&amp;""</f>
        <v/>
      </c>
      <c r="G1322" s="49" t="n">
        <f aca="false">助手收入!$I62</f>
        <v>0</v>
      </c>
      <c r="H1322" s="49" t="str">
        <f aca="false">IF(ROUND($G1322,2)&gt;0,ROUND($G1322,2),"")</f>
        <v/>
      </c>
      <c r="I1322" s="49" t="str">
        <f aca="false">IF(ROUND($G1322,2)&lt;0,-ROUND($G1322,2),"")</f>
        <v/>
      </c>
      <c r="J1322" s="20" t="n">
        <f aca="false">IF(ROUND($G1322,2)=0,0,1)</f>
        <v>0</v>
      </c>
      <c r="K1322" s="20" t="str">
        <f aca="false">IF($J1322=0,"",SUM($J$1322:$J1322))</f>
        <v/>
      </c>
      <c r="L1322" s="20" t="str">
        <f aca="false">IF($K1322="","",$A1322*100+$K1322)</f>
        <v/>
      </c>
      <c r="M1322" s="48" t="str">
        <f aca="false">参数!$B$3</f>
        <v>7月收入</v>
      </c>
    </row>
    <row r="1323" customFormat="false" ht="13.5" hidden="false" customHeight="false" outlineLevel="0" collapsed="false">
      <c r="A1323" s="47" t="n">
        <v>61</v>
      </c>
      <c r="B1323" s="38" t="str">
        <f aca="false">助手收入!$B62</f>
        <v/>
      </c>
      <c r="C1323" s="48" t="str">
        <f aca="false">助手收入!$C62</f>
        <v>备用16</v>
      </c>
      <c r="D1323" s="48" t="str">
        <f aca="false">科目对照收入!$B3&amp;""</f>
        <v>聚合支付</v>
      </c>
      <c r="E1323" s="48" t="str">
        <f aca="false">IF(AND(ROUND($G1323,2)&lt;0,科目对照收入!$L3&lt;&gt;""),科目对照收入!$L3,科目对照收入!$C3)&amp;""</f>
        <v>应收账款</v>
      </c>
      <c r="F1323" s="48" t="str">
        <f aca="false">IF(AND(ROUND($G1323,2)&lt;0,科目对照收入!$L3&lt;&gt;""),科目对照收入!$M3,科目对照收入!$D3)&amp;""</f>
        <v>聚合支付</v>
      </c>
      <c r="G1323" s="49" t="n">
        <f aca="false">ROUND(SUMIFS(输入聚合!$C:$C,输入聚合!$A:$A,助手收入!$X62)-SUMIFS(输入聚合!$D:$D,输入聚合!$A:$A,助手收入!$X62),2)</f>
        <v>0</v>
      </c>
      <c r="H1323" s="49" t="str">
        <f aca="false">IF(ROUND($G1323,2)&gt;0,ROUND($G1323,2),"")</f>
        <v/>
      </c>
      <c r="I1323" s="49" t="str">
        <f aca="false">IF(ROUND($G1323,2)&lt;0,-ROUND($G1323,2),"")</f>
        <v/>
      </c>
      <c r="J1323" s="20" t="n">
        <f aca="false">IF(ROUND($G1323,2)=0,0,1)</f>
        <v>0</v>
      </c>
      <c r="K1323" s="20" t="str">
        <f aca="false">IF($J1323=0,"",SUM($J$1322:$J1323))</f>
        <v/>
      </c>
      <c r="L1323" s="20" t="str">
        <f aca="false">IF($K1323="","",$A1323*100+$K1323)</f>
        <v/>
      </c>
      <c r="M1323" s="48" t="str">
        <f aca="false">参数!$B$3</f>
        <v>7月收入</v>
      </c>
    </row>
    <row r="1324" customFormat="false" ht="13.5" hidden="false" customHeight="false" outlineLevel="0" collapsed="false">
      <c r="A1324" s="47" t="n">
        <v>61</v>
      </c>
      <c r="B1324" s="38" t="str">
        <f aca="false">助手收入!$B62</f>
        <v/>
      </c>
      <c r="C1324" s="48" t="str">
        <f aca="false">助手收入!$C62</f>
        <v>备用16</v>
      </c>
      <c r="D1324" s="48" t="str">
        <f aca="false">科目对照收入!$B4&amp;""</f>
        <v>医保</v>
      </c>
      <c r="E1324" s="48" t="str">
        <f aca="false">IF(AND(ROUND($G1324,2)&lt;0,科目对照收入!$L4&lt;&gt;""),科目对照收入!$L4,科目对照收入!$C4)&amp;""</f>
        <v>应收账款</v>
      </c>
      <c r="F1324" s="48" t="str">
        <f aca="false">IF(AND(ROUND($G1324,2)&lt;0,科目对照收入!$L4&lt;&gt;""),科目对照收入!$M4,科目对照收入!$D4)&amp;""</f>
        <v>医保</v>
      </c>
      <c r="G1324" s="49" t="n">
        <f aca="false">IF(COUNTIFS(输入平台!$A:$A,助手收入!$X62,输入平台!$B:$B,科目对照收入!$B4)&gt;0,ROUND(SUMIFS(输入平台!$C:$C,输入平台!$A:$A,助手收入!$X62,输入平台!$B:$B,科目对照收入!$B4),2),ROUND(海典汇总!$F$63+海典汇总!$G$63,2))</f>
        <v>0</v>
      </c>
      <c r="H1324" s="49" t="str">
        <f aca="false">IF(ROUND($G1324,2)&gt;0,ROUND($G1324,2),"")</f>
        <v/>
      </c>
      <c r="I1324" s="49" t="str">
        <f aca="false">IF(ROUND($G1324,2)&lt;0,-ROUND($G1324,2),"")</f>
        <v/>
      </c>
      <c r="J1324" s="20" t="n">
        <f aca="false">IF(ROUND($G1324,2)=0,0,1)</f>
        <v>0</v>
      </c>
      <c r="K1324" s="20" t="str">
        <f aca="false">IF($J1324=0,"",SUM($J$1322:$J1324))</f>
        <v/>
      </c>
      <c r="L1324" s="20" t="str">
        <f aca="false">IF($K1324="","",$A1324*100+$K1324)</f>
        <v/>
      </c>
      <c r="M1324" s="48" t="str">
        <f aca="false">参数!$B$3</f>
        <v>7月收入</v>
      </c>
    </row>
    <row r="1325" customFormat="false" ht="13.5" hidden="false" customHeight="false" outlineLevel="0" collapsed="false">
      <c r="A1325" s="47" t="n">
        <v>61</v>
      </c>
      <c r="B1325" s="38" t="str">
        <f aca="false">助手收入!$B62</f>
        <v/>
      </c>
      <c r="C1325" s="48" t="str">
        <f aca="false">助手收入!$C62</f>
        <v>备用16</v>
      </c>
      <c r="D1325" s="48" t="str">
        <f aca="false">科目对照收入!$B5&amp;""</f>
        <v>健e卡</v>
      </c>
      <c r="E1325" s="48" t="str">
        <f aca="false">IF(AND(ROUND($G1325,2)&lt;0,科目对照收入!$L5&lt;&gt;""),科目对照收入!$L5,科目对照收入!$C5)&amp;""</f>
        <v>应收账款</v>
      </c>
      <c r="F1325" s="48" t="str">
        <f aca="false">IF(AND(ROUND($G1325,2)&lt;0,科目对照收入!$L5&lt;&gt;""),科目对照收入!$M5,科目对照收入!$D5)&amp;""</f>
        <v>健e卡</v>
      </c>
      <c r="G1325" s="49" t="n">
        <f aca="false">IF(COUNTIFS(输入平台!$A:$A,助手收入!$X62,输入平台!$B:$B,科目对照收入!$B5)&gt;0,ROUND(SUMIFS(输入平台!$C:$C,输入平台!$A:$A,助手收入!$X62,输入平台!$B:$B,科目对照收入!$B5),2),ROUND(海典汇总!$H$63,2))</f>
        <v>0</v>
      </c>
      <c r="H1325" s="49" t="str">
        <f aca="false">IF(ROUND($G1325,2)&gt;0,ROUND($G1325,2),"")</f>
        <v/>
      </c>
      <c r="I1325" s="49" t="str">
        <f aca="false">IF(ROUND($G1325,2)&lt;0,-ROUND($G1325,2),"")</f>
        <v/>
      </c>
      <c r="J1325" s="20" t="n">
        <f aca="false">IF(ROUND($G1325,2)=0,0,1)</f>
        <v>0</v>
      </c>
      <c r="K1325" s="20" t="str">
        <f aca="false">IF($J1325=0,"",SUM($J$1322:$J1325))</f>
        <v/>
      </c>
      <c r="L1325" s="20" t="str">
        <f aca="false">IF($K1325="","",$A1325*100+$K1325)</f>
        <v/>
      </c>
      <c r="M1325" s="48" t="str">
        <f aca="false">参数!$B$3</f>
        <v>7月收入</v>
      </c>
    </row>
    <row r="1326" customFormat="false" ht="13.5" hidden="false" customHeight="false" outlineLevel="0" collapsed="false">
      <c r="A1326" s="47" t="n">
        <v>61</v>
      </c>
      <c r="B1326" s="38" t="str">
        <f aca="false">助手收入!$B62</f>
        <v/>
      </c>
      <c r="C1326" s="48" t="str">
        <f aca="false">助手收入!$C62</f>
        <v>备用16</v>
      </c>
      <c r="D1326" s="48" t="str">
        <f aca="false">科目对照收入!$B6&amp;""</f>
        <v>医卡通</v>
      </c>
      <c r="E1326" s="48" t="str">
        <f aca="false">IF(AND(ROUND($G1326,2)&lt;0,科目对照收入!$L6&lt;&gt;""),科目对照收入!$L6,科目对照收入!$C6)&amp;""</f>
        <v>应收账款</v>
      </c>
      <c r="F1326" s="48" t="str">
        <f aca="false">IF(AND(ROUND($G1326,2)&lt;0,科目对照收入!$L6&lt;&gt;""),科目对照收入!$M6,科目对照收入!$D6)&amp;""</f>
        <v>医卡通</v>
      </c>
      <c r="G1326" s="49" t="n">
        <f aca="false">IF(COUNTIFS(输入平台!$A:$A,助手收入!$X62,输入平台!$B:$B,科目对照收入!$B6)&gt;0,ROUND(SUMIFS(输入平台!$C:$C,输入平台!$A:$A,助手收入!$X62,输入平台!$B:$B,科目对照收入!$B6),2),ROUND(海典汇总!$I$63,2))</f>
        <v>0</v>
      </c>
      <c r="H1326" s="49" t="str">
        <f aca="false">IF(ROUND($G1326,2)&gt;0,ROUND($G1326,2),"")</f>
        <v/>
      </c>
      <c r="I1326" s="49" t="str">
        <f aca="false">IF(ROUND($G1326,2)&lt;0,-ROUND($G1326,2),"")</f>
        <v/>
      </c>
      <c r="J1326" s="20" t="n">
        <f aca="false">IF(ROUND($G1326,2)=0,0,1)</f>
        <v>0</v>
      </c>
      <c r="K1326" s="20" t="str">
        <f aca="false">IF($J1326=0,"",SUM($J$1322:$J1326))</f>
        <v/>
      </c>
      <c r="L1326" s="20" t="str">
        <f aca="false">IF($K1326="","",$A1326*100+$K1326)</f>
        <v/>
      </c>
      <c r="M1326" s="48" t="str">
        <f aca="false">参数!$B$3</f>
        <v>7月收入</v>
      </c>
    </row>
    <row r="1327" customFormat="false" ht="13.5" hidden="false" customHeight="false" outlineLevel="0" collapsed="false">
      <c r="A1327" s="47" t="n">
        <v>61</v>
      </c>
      <c r="B1327" s="38" t="str">
        <f aca="false">助手收入!$B62</f>
        <v/>
      </c>
      <c r="C1327" s="48" t="str">
        <f aca="false">助手收入!$C62</f>
        <v>备用16</v>
      </c>
      <c r="D1327" s="48" t="str">
        <f aca="false">科目对照收入!$B7&amp;""</f>
        <v>企健网</v>
      </c>
      <c r="E1327" s="48" t="str">
        <f aca="false">IF(AND(ROUND($G1327,2)&lt;0,科目对照收入!$L7&lt;&gt;""),科目对照收入!$L7,科目对照收入!$C7)&amp;""</f>
        <v>应收账款</v>
      </c>
      <c r="F1327" s="48" t="str">
        <f aca="false">IF(AND(ROUND($G1327,2)&lt;0,科目对照收入!$L7&lt;&gt;""),科目对照收入!$M7,科目对照收入!$D7)&amp;""</f>
        <v>企健网</v>
      </c>
      <c r="G1327" s="49" t="n">
        <f aca="false">IF(COUNTIFS(输入平台!$A:$A,助手收入!$X62,输入平台!$B:$B,科目对照收入!$B7)&gt;0,ROUND(SUMIFS(输入平台!$C:$C,输入平台!$A:$A,助手收入!$X62,输入平台!$B:$B,科目对照收入!$B7),2),ROUND(海典汇总!$J$63,2))</f>
        <v>0</v>
      </c>
      <c r="H1327" s="49" t="str">
        <f aca="false">IF(ROUND($G1327,2)&gt;0,ROUND($G1327,2),"")</f>
        <v/>
      </c>
      <c r="I1327" s="49" t="str">
        <f aca="false">IF(ROUND($G1327,2)&lt;0,-ROUND($G1327,2),"")</f>
        <v/>
      </c>
      <c r="J1327" s="20" t="n">
        <f aca="false">IF(ROUND($G1327,2)=0,0,1)</f>
        <v>0</v>
      </c>
      <c r="K1327" s="20" t="str">
        <f aca="false">IF($J1327=0,"",SUM($J$1322:$J1327))</f>
        <v/>
      </c>
      <c r="L1327" s="20" t="str">
        <f aca="false">IF($K1327="","",$A1327*100+$K1327)</f>
        <v/>
      </c>
      <c r="M1327" s="48" t="str">
        <f aca="false">参数!$B$3</f>
        <v>7月收入</v>
      </c>
    </row>
    <row r="1328" customFormat="false" ht="13.5" hidden="false" customHeight="false" outlineLevel="0" collapsed="false">
      <c r="A1328" s="47" t="n">
        <v>61</v>
      </c>
      <c r="B1328" s="38" t="str">
        <f aca="false">助手收入!$B62</f>
        <v/>
      </c>
      <c r="C1328" s="48" t="str">
        <f aca="false">助手收入!$C62</f>
        <v>备用16</v>
      </c>
      <c r="D1328" s="48" t="str">
        <f aca="false">科目对照收入!$B8&amp;""</f>
        <v>亲情卡</v>
      </c>
      <c r="E1328" s="48" t="str">
        <f aca="false">IF(AND(ROUND($G1328,2)&lt;0,科目对照收入!$L8&lt;&gt;""),科目对照收入!$L8,科目对照收入!$C8)&amp;""</f>
        <v>应收账款</v>
      </c>
      <c r="F1328" s="48" t="str">
        <f aca="false">IF(AND(ROUND($G1328,2)&lt;0,科目对照收入!$L8&lt;&gt;""),科目对照收入!$M8,科目对照收入!$D8)&amp;""</f>
        <v>亲情卡</v>
      </c>
      <c r="G1328" s="49" t="n">
        <f aca="false">IF(COUNTIFS(输入平台!$A:$A,助手收入!$X62,输入平台!$B:$B,科目对照收入!$B8)&gt;0,ROUND(SUMIFS(输入平台!$C:$C,输入平台!$A:$A,助手收入!$X62,输入平台!$B:$B,科目对照收入!$B8),2),ROUND(海典汇总!$Z$63,2))</f>
        <v>0</v>
      </c>
      <c r="H1328" s="49" t="str">
        <f aca="false">IF(ROUND($G1328,2)&gt;0,ROUND($G1328,2),"")</f>
        <v/>
      </c>
      <c r="I1328" s="49" t="str">
        <f aca="false">IF(ROUND($G1328,2)&lt;0,-ROUND($G1328,2),"")</f>
        <v/>
      </c>
      <c r="J1328" s="20" t="n">
        <f aca="false">IF(ROUND($G1328,2)=0,0,1)</f>
        <v>0</v>
      </c>
      <c r="K1328" s="20" t="str">
        <f aca="false">IF($J1328=0,"",SUM($J$1322:$J1328))</f>
        <v/>
      </c>
      <c r="L1328" s="20" t="str">
        <f aca="false">IF($K1328="","",$A1328*100+$K1328)</f>
        <v/>
      </c>
      <c r="M1328" s="48" t="str">
        <f aca="false">参数!$B$3</f>
        <v>7月收入</v>
      </c>
    </row>
    <row r="1329" customFormat="false" ht="13.5" hidden="false" customHeight="false" outlineLevel="0" collapsed="false">
      <c r="A1329" s="47" t="n">
        <v>61</v>
      </c>
      <c r="B1329" s="38" t="str">
        <f aca="false">助手收入!$B62</f>
        <v/>
      </c>
      <c r="C1329" s="48" t="str">
        <f aca="false">助手收入!$C62</f>
        <v>备用16</v>
      </c>
      <c r="D1329" s="48" t="str">
        <f aca="false">科目对照收入!$B9&amp;""</f>
        <v>24小时</v>
      </c>
      <c r="E1329" s="48" t="str">
        <f aca="false">IF(AND(ROUND($G1329,2)&lt;0,科目对照收入!$L9&lt;&gt;""),科目对照收入!$L9,科目对照收入!$C9)&amp;""</f>
        <v>应收账款</v>
      </c>
      <c r="F1329" s="48" t="str">
        <f aca="false">IF(AND(ROUND($G1329,2)&lt;0,科目对照收入!$L9&lt;&gt;""),科目对照收入!$M9,科目对照收入!$D9)&amp;""</f>
        <v>24小时</v>
      </c>
      <c r="G1329" s="49" t="n">
        <f aca="false">IF(COUNTIFS(输入平台!$A:$A,助手收入!$X62,输入平台!$B:$B,科目对照收入!$B9)&gt;0,ROUND(SUMIFS(输入平台!$C:$C,输入平台!$A:$A,助手收入!$X62,输入平台!$B:$B,科目对照收入!$B9),2),ROUND(海典汇总!$K$63,2))</f>
        <v>0</v>
      </c>
      <c r="H1329" s="49" t="str">
        <f aca="false">IF(ROUND($G1329,2)&gt;0,ROUND($G1329,2),"")</f>
        <v/>
      </c>
      <c r="I1329" s="49" t="str">
        <f aca="false">IF(ROUND($G1329,2)&lt;0,-ROUND($G1329,2),"")</f>
        <v/>
      </c>
      <c r="J1329" s="20" t="n">
        <f aca="false">IF(ROUND($G1329,2)=0,0,1)</f>
        <v>0</v>
      </c>
      <c r="K1329" s="20" t="str">
        <f aca="false">IF($J1329=0,"",SUM($J$1322:$J1329))</f>
        <v/>
      </c>
      <c r="L1329" s="20" t="str">
        <f aca="false">IF($K1329="","",$A1329*100+$K1329)</f>
        <v/>
      </c>
      <c r="M1329" s="48" t="str">
        <f aca="false">参数!$B$3</f>
        <v>7月收入</v>
      </c>
    </row>
    <row r="1330" customFormat="false" ht="13.5" hidden="false" customHeight="false" outlineLevel="0" collapsed="false">
      <c r="A1330" s="47" t="n">
        <v>61</v>
      </c>
      <c r="B1330" s="38" t="str">
        <f aca="false">助手收入!$B62</f>
        <v/>
      </c>
      <c r="C1330" s="48" t="str">
        <f aca="false">助手收入!$C62</f>
        <v>备用16</v>
      </c>
      <c r="D1330" s="48" t="str">
        <f aca="false">科目对照收入!$B10&amp;""</f>
        <v>美团</v>
      </c>
      <c r="E1330" s="48" t="str">
        <f aca="false">IF(AND(ROUND($G1330,2)&lt;0,科目对照收入!$L10&lt;&gt;""),科目对照收入!$L10,科目对照收入!$C10)&amp;""</f>
        <v>应收账款</v>
      </c>
      <c r="F1330" s="48" t="str">
        <f aca="false">IF(AND(ROUND($G1330,2)&lt;0,科目对照收入!$L10&lt;&gt;""),科目对照收入!$M10,科目对照收入!$D10)&amp;""</f>
        <v>美团</v>
      </c>
      <c r="G1330" s="49" t="n">
        <f aca="false">IF(COUNTIFS(输入平台!$A:$A,助手收入!$X62,输入平台!$B:$B,科目对照收入!$B10)&gt;0,ROUND(SUMIFS(输入平台!$C:$C,输入平台!$A:$A,助手收入!$X62,输入平台!$B:$B,科目对照收入!$B10),2),ROUND(海典汇总!$M$63,2))</f>
        <v>0</v>
      </c>
      <c r="H1330" s="49" t="str">
        <f aca="false">IF(ROUND($G1330,2)&gt;0,ROUND($G1330,2),"")</f>
        <v/>
      </c>
      <c r="I1330" s="49" t="str">
        <f aca="false">IF(ROUND($G1330,2)&lt;0,-ROUND($G1330,2),"")</f>
        <v/>
      </c>
      <c r="J1330" s="20" t="n">
        <f aca="false">IF(ROUND($G1330,2)=0,0,1)</f>
        <v>0</v>
      </c>
      <c r="K1330" s="20" t="str">
        <f aca="false">IF($J1330=0,"",SUM($J$1322:$J1330))</f>
        <v/>
      </c>
      <c r="L1330" s="20" t="str">
        <f aca="false">IF($K1330="","",$A1330*100+$K1330)</f>
        <v/>
      </c>
      <c r="M1330" s="48" t="str">
        <f aca="false">参数!$B$3</f>
        <v>7月收入</v>
      </c>
    </row>
    <row r="1331" customFormat="false" ht="13.5" hidden="false" customHeight="false" outlineLevel="0" collapsed="false">
      <c r="A1331" s="47" t="n">
        <v>61</v>
      </c>
      <c r="B1331" s="38" t="str">
        <f aca="false">助手收入!$B62</f>
        <v/>
      </c>
      <c r="C1331" s="48" t="str">
        <f aca="false">助手收入!$C62</f>
        <v>备用16</v>
      </c>
      <c r="D1331" s="48" t="str">
        <f aca="false">科目对照收入!$B11&amp;""</f>
        <v>饿了么</v>
      </c>
      <c r="E1331" s="48" t="str">
        <f aca="false">IF(AND(ROUND($G1331,2)&lt;0,科目对照收入!$L11&lt;&gt;""),科目对照收入!$L11,科目对照收入!$C11)&amp;""</f>
        <v>应收账款</v>
      </c>
      <c r="F1331" s="48" t="str">
        <f aca="false">IF(AND(ROUND($G1331,2)&lt;0,科目对照收入!$L11&lt;&gt;""),科目对照收入!$M11,科目对照收入!$D11)&amp;""</f>
        <v>饿了么</v>
      </c>
      <c r="G1331" s="49" t="n">
        <f aca="false">IF(COUNTIFS(输入平台!$A:$A,助手收入!$X62,输入平台!$B:$B,科目对照收入!$B11)&gt;0,ROUND(SUMIFS(输入平台!$C:$C,输入平台!$A:$A,助手收入!$X62,输入平台!$B:$B,科目对照收入!$B11),2),ROUND(海典汇总!$N$63,2))</f>
        <v>0</v>
      </c>
      <c r="H1331" s="49" t="str">
        <f aca="false">IF(ROUND($G1331,2)&gt;0,ROUND($G1331,2),"")</f>
        <v/>
      </c>
      <c r="I1331" s="49" t="str">
        <f aca="false">IF(ROUND($G1331,2)&lt;0,-ROUND($G1331,2),"")</f>
        <v/>
      </c>
      <c r="J1331" s="20" t="n">
        <f aca="false">IF(ROUND($G1331,2)=0,0,1)</f>
        <v>0</v>
      </c>
      <c r="K1331" s="20" t="str">
        <f aca="false">IF($J1331=0,"",SUM($J$1322:$J1331))</f>
        <v/>
      </c>
      <c r="L1331" s="20" t="str">
        <f aca="false">IF($K1331="","",$A1331*100+$K1331)</f>
        <v/>
      </c>
      <c r="M1331" s="48" t="str">
        <f aca="false">参数!$B$3</f>
        <v>7月收入</v>
      </c>
    </row>
    <row r="1332" customFormat="false" ht="13.5" hidden="false" customHeight="false" outlineLevel="0" collapsed="false">
      <c r="A1332" s="47" t="n">
        <v>61</v>
      </c>
      <c r="B1332" s="38" t="str">
        <f aca="false">助手收入!$B62</f>
        <v/>
      </c>
      <c r="C1332" s="48" t="str">
        <f aca="false">助手收入!$C62</f>
        <v>备用16</v>
      </c>
      <c r="D1332" s="48" t="str">
        <f aca="false">科目对照收入!$B12&amp;""</f>
        <v>京东秒送</v>
      </c>
      <c r="E1332" s="48" t="str">
        <f aca="false">IF(AND(ROUND($G1332,2)&lt;0,科目对照收入!$L12&lt;&gt;""),科目对照收入!$L12,科目对照收入!$C12)&amp;""</f>
        <v>应收账款</v>
      </c>
      <c r="F1332" s="48" t="str">
        <f aca="false">IF(AND(ROUND($G1332,2)&lt;0,科目对照收入!$L12&lt;&gt;""),科目对照收入!$M12,科目对照收入!$D12)&amp;""</f>
        <v>京东秒送</v>
      </c>
      <c r="G1332" s="49" t="n">
        <f aca="false">IF(COUNTIFS(输入平台!$A:$A,助手收入!$X62,输入平台!$B:$B,科目对照收入!$B12)&gt;0,ROUND(SUMIFS(输入平台!$C:$C,输入平台!$A:$A,助手收入!$X62,输入平台!$B:$B,科目对照收入!$B12),2),ROUND(海典汇总!$O$63,2))</f>
        <v>0</v>
      </c>
      <c r="H1332" s="49" t="str">
        <f aca="false">IF(ROUND($G1332,2)&gt;0,ROUND($G1332,2),"")</f>
        <v/>
      </c>
      <c r="I1332" s="49" t="str">
        <f aca="false">IF(ROUND($G1332,2)&lt;0,-ROUND($G1332,2),"")</f>
        <v/>
      </c>
      <c r="J1332" s="20" t="n">
        <f aca="false">IF(ROUND($G1332,2)=0,0,1)</f>
        <v>0</v>
      </c>
      <c r="K1332" s="20" t="str">
        <f aca="false">IF($J1332=0,"",SUM($J$1322:$J1332))</f>
        <v/>
      </c>
      <c r="L1332" s="20" t="str">
        <f aca="false">IF($K1332="","",$A1332*100+$K1332)</f>
        <v/>
      </c>
      <c r="M1332" s="48" t="str">
        <f aca="false">参数!$B$3</f>
        <v>7月收入</v>
      </c>
    </row>
    <row r="1333" customFormat="false" ht="13.5" hidden="false" customHeight="false" outlineLevel="0" collapsed="false">
      <c r="A1333" s="47" t="n">
        <v>61</v>
      </c>
      <c r="B1333" s="38" t="str">
        <f aca="false">助手收入!$B62</f>
        <v/>
      </c>
      <c r="C1333" s="48" t="str">
        <f aca="false">助手收入!$C62</f>
        <v>备用16</v>
      </c>
      <c r="D1333" s="48" t="str">
        <f aca="false">科目对照收入!$B13&amp;""</f>
        <v>银联</v>
      </c>
      <c r="E1333" s="48" t="str">
        <f aca="false">IF(AND(ROUND($G1333,2)&lt;0,科目对照收入!$L13&lt;&gt;""),科目对照收入!$L13,科目对照收入!$C13)&amp;""</f>
        <v>应收账款</v>
      </c>
      <c r="F1333" s="48" t="str">
        <f aca="false">IF(AND(ROUND($G1333,2)&lt;0,科目对照收入!$L13&lt;&gt;""),科目对照收入!$M13,科目对照收入!$D13)&amp;""</f>
        <v>银联</v>
      </c>
      <c r="G1333" s="49" t="n">
        <f aca="false">IF(COUNTIFS(输入平台!$A:$A,助手收入!$X62,输入平台!$B:$B,科目对照收入!$B13)&gt;0,ROUND(SUMIFS(输入平台!$C:$C,输入平台!$A:$A,助手收入!$X62,输入平台!$B:$B,科目对照收入!$B13),2),ROUND(海典汇总!$V$63,2))</f>
        <v>0</v>
      </c>
      <c r="H1333" s="49" t="str">
        <f aca="false">IF(ROUND($G1333,2)&gt;0,ROUND($G1333,2),"")</f>
        <v/>
      </c>
      <c r="I1333" s="49" t="str">
        <f aca="false">IF(ROUND($G1333,2)&lt;0,-ROUND($G1333,2),"")</f>
        <v/>
      </c>
      <c r="J1333" s="20" t="n">
        <f aca="false">IF(ROUND($G1333,2)=0,0,1)</f>
        <v>0</v>
      </c>
      <c r="K1333" s="20" t="str">
        <f aca="false">IF($J1333=0,"",SUM($J$1322:$J1333))</f>
        <v/>
      </c>
      <c r="L1333" s="20" t="str">
        <f aca="false">IF($K1333="","",$A1333*100+$K1333)</f>
        <v/>
      </c>
      <c r="M1333" s="48" t="str">
        <f aca="false">参数!$B$3</f>
        <v>7月收入</v>
      </c>
    </row>
    <row r="1334" customFormat="false" ht="13.5" hidden="false" customHeight="false" outlineLevel="0" collapsed="false">
      <c r="A1334" s="47" t="n">
        <v>61</v>
      </c>
      <c r="B1334" s="38" t="str">
        <f aca="false">助手收入!$B62</f>
        <v/>
      </c>
      <c r="C1334" s="48" t="str">
        <f aca="false">助手收入!$C62</f>
        <v>备用16</v>
      </c>
      <c r="D1334" s="48" t="str">
        <f aca="false">科目对照收入!$B14&amp;""</f>
        <v>小镇外卖</v>
      </c>
      <c r="E1334" s="48" t="str">
        <f aca="false">IF(AND(ROUND($G1334,2)&lt;0,科目对照收入!$L14&lt;&gt;""),科目对照收入!$L14,科目对照收入!$C14)&amp;""</f>
        <v>应收账款</v>
      </c>
      <c r="F1334" s="48" t="str">
        <f aca="false">IF(AND(ROUND($G1334,2)&lt;0,科目对照收入!$L14&lt;&gt;""),科目对照收入!$M14,科目对照收入!$D14)&amp;""</f>
        <v>小镇外卖</v>
      </c>
      <c r="G1334" s="49" t="n">
        <f aca="false">IF(COUNTIFS(输入平台!$A:$A,助手收入!$X62,输入平台!$B:$B,科目对照收入!$B14)&gt;0,ROUND(SUMIFS(输入平台!$C:$C,输入平台!$A:$A,助手收入!$X62,输入平台!$B:$B,科目对照收入!$B14),2),ROUND(海典汇总!$AC$63,2))</f>
        <v>0</v>
      </c>
      <c r="H1334" s="49" t="str">
        <f aca="false">IF(ROUND($G1334,2)&gt;0,ROUND($G1334,2),"")</f>
        <v/>
      </c>
      <c r="I1334" s="49" t="str">
        <f aca="false">IF(ROUND($G1334,2)&lt;0,-ROUND($G1334,2),"")</f>
        <v/>
      </c>
      <c r="J1334" s="20" t="n">
        <f aca="false">IF(ROUND($G1334,2)=0,0,1)</f>
        <v>0</v>
      </c>
      <c r="K1334" s="20" t="str">
        <f aca="false">IF($J1334=0,"",SUM($J$1322:$J1334))</f>
        <v/>
      </c>
      <c r="L1334" s="20" t="str">
        <f aca="false">IF($K1334="","",$A1334*100+$K1334)</f>
        <v/>
      </c>
      <c r="M1334" s="48" t="str">
        <f aca="false">参数!$B$3</f>
        <v>7月收入</v>
      </c>
    </row>
    <row r="1335" customFormat="false" ht="13.5" hidden="false" customHeight="false" outlineLevel="0" collapsed="false">
      <c r="A1335" s="47" t="n">
        <v>61</v>
      </c>
      <c r="B1335" s="38" t="str">
        <f aca="false">助手收入!$B62</f>
        <v/>
      </c>
      <c r="C1335" s="48" t="str">
        <f aca="false">助手收入!$C62</f>
        <v>备用16</v>
      </c>
      <c r="D1335" s="48" t="str">
        <f aca="false">科目对照收入!$B15&amp;""</f>
        <v>OMS线上支付</v>
      </c>
      <c r="E1335" s="48" t="str">
        <f aca="false">IF(AND(ROUND($G1335,2)&lt;0,科目对照收入!$L15&lt;&gt;""),科目对照收入!$L15,科目对照收入!$C15)&amp;""</f>
        <v>应收账款</v>
      </c>
      <c r="F1335" s="48" t="str">
        <f aca="false">IF(AND(ROUND($G1335,2)&lt;0,科目对照收入!$L15&lt;&gt;""),科目对照收入!$M15,科目对照收入!$D15)&amp;""</f>
        <v>OMS线上</v>
      </c>
      <c r="G1335" s="49" t="n">
        <f aca="false">IF(COUNTIFS(输入平台!$A:$A,助手收入!$X62,输入平台!$B:$B,科目对照收入!$B15)&gt;0,ROUND(SUMIFS(输入平台!$C:$C,输入平台!$A:$A,助手收入!$X62,输入平台!$B:$B,科目对照收入!$B15),2),ROUND(海典汇总!$L$63,2))</f>
        <v>0</v>
      </c>
      <c r="H1335" s="49" t="str">
        <f aca="false">IF(ROUND($G1335,2)&gt;0,ROUND($G1335,2),"")</f>
        <v/>
      </c>
      <c r="I1335" s="49" t="str">
        <f aca="false">IF(ROUND($G1335,2)&lt;0,-ROUND($G1335,2),"")</f>
        <v/>
      </c>
      <c r="J1335" s="20" t="n">
        <f aca="false">IF(ROUND($G1335,2)=0,0,1)</f>
        <v>0</v>
      </c>
      <c r="K1335" s="20" t="str">
        <f aca="false">IF($J1335=0,"",SUM($J$1322:$J1335))</f>
        <v/>
      </c>
      <c r="L1335" s="20" t="str">
        <f aca="false">IF($K1335="","",$A1335*100+$K1335)</f>
        <v/>
      </c>
      <c r="M1335" s="48" t="str">
        <f aca="false">参数!$B$3</f>
        <v>7月收入</v>
      </c>
    </row>
    <row r="1336" customFormat="false" ht="13.5" hidden="false" customHeight="false" outlineLevel="0" collapsed="false">
      <c r="A1336" s="47" t="n">
        <v>61</v>
      </c>
      <c r="B1336" s="38" t="str">
        <f aca="false">助手收入!$B62</f>
        <v/>
      </c>
      <c r="C1336" s="48" t="str">
        <f aca="false">助手收入!$C62</f>
        <v>备用16</v>
      </c>
      <c r="D1336" s="48" t="str">
        <f aca="false">科目对照收入!$B16&amp;""</f>
        <v>平安药卡</v>
      </c>
      <c r="E1336" s="48" t="str">
        <f aca="false">IF(AND(ROUND($G1336,2)&lt;0,科目对照收入!$L16&lt;&gt;""),科目对照收入!$L16,科目对照收入!$C16)&amp;""</f>
        <v>应收账款</v>
      </c>
      <c r="F1336" s="48" t="str">
        <f aca="false">IF(AND(ROUND($G1336,2)&lt;0,科目对照收入!$L16&lt;&gt;""),科目对照收入!$M16,科目对照收入!$D16)&amp;""</f>
        <v>平安</v>
      </c>
      <c r="G1336" s="49" t="n">
        <f aca="false">IF(COUNTIFS(输入平台!$A:$A,助手收入!$X62,输入平台!$B:$B,科目对照收入!$B16)&gt;0,ROUND(SUMIFS(输入平台!$C:$C,输入平台!$A:$A,助手收入!$X62,输入平台!$B:$B,科目对照收入!$B16),2),ROUND(海典汇总!$AB$63,2))</f>
        <v>0</v>
      </c>
      <c r="H1336" s="49" t="str">
        <f aca="false">IF(ROUND($G1336,2)&gt;0,ROUND($G1336,2),"")</f>
        <v/>
      </c>
      <c r="I1336" s="49" t="str">
        <f aca="false">IF(ROUND($G1336,2)&lt;0,-ROUND($G1336,2),"")</f>
        <v/>
      </c>
      <c r="J1336" s="20" t="n">
        <f aca="false">IF(ROUND($G1336,2)=0,0,1)</f>
        <v>0</v>
      </c>
      <c r="K1336" s="20" t="str">
        <f aca="false">IF($J1336=0,"",SUM($J$1322:$J1336))</f>
        <v/>
      </c>
      <c r="L1336" s="20" t="str">
        <f aca="false">IF($K1336="","",$A1336*100+$K1336)</f>
        <v/>
      </c>
      <c r="M1336" s="48" t="str">
        <f aca="false">参数!$B$3</f>
        <v>7月收入</v>
      </c>
    </row>
    <row r="1337" customFormat="false" ht="13.5" hidden="false" customHeight="false" outlineLevel="0" collapsed="false">
      <c r="A1337" s="47" t="n">
        <v>61</v>
      </c>
      <c r="B1337" s="38" t="str">
        <f aca="false">助手收入!$B62</f>
        <v/>
      </c>
      <c r="C1337" s="48" t="str">
        <f aca="false">助手收入!$C62</f>
        <v>备用16</v>
      </c>
      <c r="D1337" s="48" t="str">
        <f aca="false">科目对照收入!$B17&amp;""</f>
        <v>储值卡</v>
      </c>
      <c r="E1337" s="48" t="str">
        <f aca="false">IF(AND(ROUND($G1337,2)&lt;0,科目对照收入!$L17&lt;&gt;""),科目对照收入!$L17,科目对照收入!$C17)&amp;""</f>
        <v>其他应收款</v>
      </c>
      <c r="F1337" s="48" t="str">
        <f aca="false">IF(AND(ROUND($G1337,2)&lt;0,科目对照收入!$L17&lt;&gt;""),科目对照收入!$M17,科目对照收入!$D17)&amp;""</f>
        <v>储值卡</v>
      </c>
      <c r="G1337" s="49" t="n">
        <f aca="false">ROUND(海典汇总!$Q$63,2)</f>
        <v>0</v>
      </c>
      <c r="H1337" s="49" t="str">
        <f aca="false">IF(ROUND($G1337,2)&gt;0,ROUND($G1337,2),"")</f>
        <v/>
      </c>
      <c r="I1337" s="49" t="str">
        <f aca="false">IF(ROUND($G1337,2)&lt;0,-ROUND($G1337,2),"")</f>
        <v/>
      </c>
      <c r="J1337" s="20" t="n">
        <f aca="false">IF(ROUND($G1337,2)=0,0,1)</f>
        <v>0</v>
      </c>
      <c r="K1337" s="20" t="str">
        <f aca="false">IF($J1337=0,"",SUM($J$1322:$J1337))</f>
        <v/>
      </c>
      <c r="L1337" s="20" t="str">
        <f aca="false">IF($K1337="","",$A1337*100+$K1337)</f>
        <v/>
      </c>
      <c r="M1337" s="48" t="str">
        <f aca="false">参数!$B$3</f>
        <v>7月收入</v>
      </c>
    </row>
    <row r="1338" customFormat="false" ht="13.5" hidden="false" customHeight="false" outlineLevel="0" collapsed="false">
      <c r="A1338" s="47" t="n">
        <v>61</v>
      </c>
      <c r="B1338" s="38" t="str">
        <f aca="false">助手收入!$B62</f>
        <v/>
      </c>
      <c r="C1338" s="48" t="str">
        <f aca="false">助手收入!$C62</f>
        <v>备用16</v>
      </c>
      <c r="D1338" s="48" t="str">
        <f aca="false">科目对照收入!$B18&amp;""</f>
        <v>会员零钱包</v>
      </c>
      <c r="E1338" s="48" t="str">
        <f aca="false">IF(AND(ROUND($G1338,2)&lt;0,科目对照收入!$L18&lt;&gt;""),科目对照收入!$L18,科目对照收入!$C18)&amp;""</f>
        <v>其他应收款</v>
      </c>
      <c r="F1338" s="48" t="str">
        <f aca="false">IF(AND(ROUND($G1338,2)&lt;0,科目对照收入!$L18&lt;&gt;""),科目对照收入!$M18,科目对照收入!$D18)&amp;""</f>
        <v>会员零钱包</v>
      </c>
      <c r="G1338" s="49" t="n">
        <f aca="false">ROUND(海典汇总!$P$63,2)</f>
        <v>0</v>
      </c>
      <c r="H1338" s="49" t="str">
        <f aca="false">IF(ROUND($G1338,2)&gt;0,ROUND($G1338,2),"")</f>
        <v/>
      </c>
      <c r="I1338" s="49" t="str">
        <f aca="false">IF(ROUND($G1338,2)&lt;0,-ROUND($G1338,2),"")</f>
        <v/>
      </c>
      <c r="J1338" s="20" t="n">
        <f aca="false">IF(ROUND($G1338,2)=0,0,1)</f>
        <v>0</v>
      </c>
      <c r="K1338" s="20" t="str">
        <f aca="false">IF($J1338=0,"",SUM($J$1322:$J1338))</f>
        <v/>
      </c>
      <c r="L1338" s="20" t="str">
        <f aca="false">IF($K1338="","",$A1338*100+$K1338)</f>
        <v/>
      </c>
      <c r="M1338" s="48" t="str">
        <f aca="false">参数!$B$3</f>
        <v>7月收入</v>
      </c>
    </row>
    <row r="1339" customFormat="false" ht="13.5" hidden="false" customHeight="false" outlineLevel="0" collapsed="false">
      <c r="A1339" s="47" t="n">
        <v>61</v>
      </c>
      <c r="B1339" s="38" t="str">
        <f aca="false">助手收入!$B62</f>
        <v/>
      </c>
      <c r="C1339" s="48" t="str">
        <f aca="false">助手收入!$C62</f>
        <v>备用16</v>
      </c>
      <c r="D1339" s="48" t="str">
        <f aca="false">科目对照收入!$B19&amp;""</f>
        <v>促销费</v>
      </c>
      <c r="E1339" s="48" t="str">
        <f aca="false">IF(AND(ROUND($G1339,2)&lt;0,科目对照收入!$L19&lt;&gt;""),科目对照收入!$L19,科目对照收入!$C19)&amp;""</f>
        <v>销售费用</v>
      </c>
      <c r="F1339" s="48" t="str">
        <f aca="false">IF(AND(ROUND($G1339,2)&lt;0,科目对照收入!$L19&lt;&gt;""),科目对照收入!$M19,科目对照收入!$D19)&amp;""</f>
        <v>促销费</v>
      </c>
      <c r="G1339" s="49" t="n">
        <f aca="false">ROUND(海典汇总!$U$63+海典汇总!$T$63+海典汇总!$S$63,2)</f>
        <v>0</v>
      </c>
      <c r="H1339" s="49" t="str">
        <f aca="false">IF(ROUND($G1339,2)&gt;0,ROUND($G1339,2),"")</f>
        <v/>
      </c>
      <c r="I1339" s="49" t="str">
        <f aca="false">IF(ROUND($G1339,2)&lt;0,-ROUND($G1339,2),"")</f>
        <v/>
      </c>
      <c r="J1339" s="20" t="n">
        <f aca="false">IF(ROUND($G1339,2)=0,0,1)</f>
        <v>0</v>
      </c>
      <c r="K1339" s="20" t="str">
        <f aca="false">IF($J1339=0,"",SUM($J$1322:$J1339))</f>
        <v/>
      </c>
      <c r="L1339" s="20" t="str">
        <f aca="false">IF($K1339="","",$A1339*100+$K1339)</f>
        <v/>
      </c>
      <c r="M1339" s="48" t="str">
        <f aca="false">参数!$B$3</f>
        <v>7月收入</v>
      </c>
    </row>
    <row r="1340" customFormat="false" ht="13.5" hidden="false" customHeight="false" outlineLevel="0" collapsed="false">
      <c r="A1340" s="47" t="n">
        <v>61</v>
      </c>
      <c r="B1340" s="38" t="str">
        <f aca="false">助手收入!$B62</f>
        <v/>
      </c>
      <c r="C1340" s="48" t="str">
        <f aca="false">助手收入!$C62</f>
        <v>备用16</v>
      </c>
      <c r="D1340" s="48" t="str">
        <f aca="false">科目对照收入!$B20&amp;""</f>
        <v>积分</v>
      </c>
      <c r="E1340" s="48" t="str">
        <f aca="false">IF(AND(ROUND($G1340,2)&lt;0,科目对照收入!$L20&lt;&gt;""),科目对照收入!$L20,科目对照收入!$C20)&amp;""</f>
        <v>销售费用</v>
      </c>
      <c r="F1340" s="48" t="str">
        <f aca="false">IF(AND(ROUND($G1340,2)&lt;0,科目对照收入!$L20&lt;&gt;""),科目对照收入!$M20,科目对照收入!$D20)&amp;""</f>
        <v>积分</v>
      </c>
      <c r="G1340" s="49" t="n">
        <f aca="false">ROUND(海典汇总!$R$63,2)</f>
        <v>0</v>
      </c>
      <c r="H1340" s="49" t="str">
        <f aca="false">IF(ROUND($G1340,2)&gt;0,ROUND($G1340,2),"")</f>
        <v/>
      </c>
      <c r="I1340" s="49" t="str">
        <f aca="false">IF(ROUND($G1340,2)&lt;0,-ROUND($G1340,2),"")</f>
        <v/>
      </c>
      <c r="J1340" s="20" t="n">
        <f aca="false">IF(ROUND($G1340,2)=0,0,1)</f>
        <v>0</v>
      </c>
      <c r="K1340" s="20" t="str">
        <f aca="false">IF($J1340=0,"",SUM($J$1322:$J1340))</f>
        <v/>
      </c>
      <c r="L1340" s="20" t="str">
        <f aca="false">IF($K1340="","",$A1340*100+$K1340)</f>
        <v/>
      </c>
      <c r="M1340" s="48" t="str">
        <f aca="false">参数!$B$3</f>
        <v>7月收入</v>
      </c>
    </row>
    <row r="1341" customFormat="false" ht="13.5" hidden="false" customHeight="false" outlineLevel="0" collapsed="false">
      <c r="A1341" s="47" t="n">
        <v>61</v>
      </c>
      <c r="B1341" s="38" t="str">
        <f aca="false">助手收入!$B62</f>
        <v/>
      </c>
      <c r="C1341" s="48" t="str">
        <f aca="false">助手收入!$C62</f>
        <v>备用16</v>
      </c>
      <c r="D1341" s="48" t="str">
        <f aca="false">科目对照收入!$B21&amp;""</f>
        <v>手续费</v>
      </c>
      <c r="E1341" s="48" t="str">
        <f aca="false">IF(AND(ROUND($G1341,2)&lt;0,科目对照收入!$L21&lt;&gt;""),科目对照收入!$L21,科目对照收入!$C21)&amp;""</f>
        <v>财务费用</v>
      </c>
      <c r="F1341" s="48" t="str">
        <f aca="false">IF(AND(ROUND($G1341,2)&lt;0,科目对照收入!$L21&lt;&gt;""),科目对照收入!$M21,科目对照收入!$D21)&amp;""</f>
        <v>手续费</v>
      </c>
      <c r="G1341" s="49" t="n">
        <f aca="false">ROUND(SUMIFS(输入聚合!$D:$D,输入聚合!$A:$A,助手收入!$X62),2)</f>
        <v>0</v>
      </c>
      <c r="H1341" s="49" t="str">
        <f aca="false">IF(ROUND($G1341,2)&gt;0,ROUND($G1341,2),"")</f>
        <v/>
      </c>
      <c r="I1341" s="49" t="str">
        <f aca="false">IF(ROUND($G1341,2)&lt;0,-ROUND($G1341,2),"")</f>
        <v/>
      </c>
      <c r="J1341" s="20" t="n">
        <f aca="false">IF(ROUND($G1341,2)=0,0,1)</f>
        <v>0</v>
      </c>
      <c r="K1341" s="20" t="str">
        <f aca="false">IF($J1341=0,"",SUM($J$1322:$J1341))</f>
        <v/>
      </c>
      <c r="L1341" s="20" t="str">
        <f aca="false">IF($K1341="","",$A1341*100+$K1341)</f>
        <v/>
      </c>
      <c r="M1341" s="48" t="str">
        <f aca="false">参数!$B$3</f>
        <v>7月收入</v>
      </c>
    </row>
    <row r="1342" customFormat="false" ht="13.5" hidden="false" customHeight="false" outlineLevel="0" collapsed="false">
      <c r="A1342" s="47" t="n">
        <v>61</v>
      </c>
      <c r="B1342" s="38" t="str">
        <f aca="false">助手收入!$B62</f>
        <v/>
      </c>
      <c r="C1342" s="48" t="str">
        <f aca="false">助手收入!$C62</f>
        <v>备用16</v>
      </c>
      <c r="D1342" s="48" t="str">
        <f aca="false">科目对照收入!$B22&amp;""</f>
        <v>主营业务收入</v>
      </c>
      <c r="E1342" s="48" t="str">
        <f aca="false">IF(AND(ROUND($G1342,2)&lt;0,科目对照收入!$L22&lt;&gt;""),科目对照收入!$L22,科目对照收入!$C22)&amp;""</f>
        <v>主营业务收入</v>
      </c>
      <c r="F1342" s="48" t="str">
        <f aca="false">IF(AND(ROUND($G1342,2)&lt;0,科目对照收入!$L22&lt;&gt;""),科目对照收入!$M22,科目对照收入!$D22)&amp;""</f>
        <v/>
      </c>
      <c r="G1342" s="49" t="n">
        <f aca="false">-ROUND(助手收入!$G62,2)</f>
        <v>-0</v>
      </c>
      <c r="H1342" s="49" t="str">
        <f aca="false">IF(ROUND($G1342,2)&gt;0,ROUND($G1342,2),"")</f>
        <v/>
      </c>
      <c r="I1342" s="49" t="str">
        <f aca="false">IF(ROUND($G1342,2)&lt;0,-ROUND($G1342,2),"")</f>
        <v/>
      </c>
      <c r="J1342" s="20" t="n">
        <f aca="false">IF(ROUND($G1342,2)=0,0,1)</f>
        <v>0</v>
      </c>
      <c r="K1342" s="20" t="str">
        <f aca="false">IF($J1342=0,"",SUM($J$1322:$J1342))</f>
        <v/>
      </c>
      <c r="L1342" s="20" t="str">
        <f aca="false">IF($K1342="","",$A1342*100+$K1342)</f>
        <v/>
      </c>
      <c r="M1342" s="48" t="str">
        <f aca="false">参数!$B$3</f>
        <v>7月收入</v>
      </c>
    </row>
    <row r="1343" customFormat="false" ht="13.5" hidden="false" customHeight="false" outlineLevel="0" collapsed="false">
      <c r="A1343" s="47" t="n">
        <v>61</v>
      </c>
      <c r="B1343" s="38" t="str">
        <f aca="false">助手收入!$B62</f>
        <v/>
      </c>
      <c r="C1343" s="48" t="str">
        <f aca="false">助手收入!$C62</f>
        <v>备用16</v>
      </c>
      <c r="D1343" s="48" t="str">
        <f aca="false">科目对照收入!$B23&amp;""</f>
        <v>营业外收入</v>
      </c>
      <c r="E1343" s="48" t="str">
        <f aca="false">IF(AND(ROUND($G1343,2)&lt;0,科目对照收入!$L23&lt;&gt;""),科目对照收入!$L23,科目对照收入!$C23)&amp;""</f>
        <v>营业外收入</v>
      </c>
      <c r="F1343" s="48" t="str">
        <f aca="false">IF(AND(ROUND($G1343,2)&lt;0,科目对照收入!$L23&lt;&gt;""),科目对照收入!$M23,科目对照收入!$D23)&amp;""</f>
        <v/>
      </c>
      <c r="G1343" s="49" t="n">
        <f aca="false">-ROUND(助手收入!$J62,2)</f>
        <v>-0</v>
      </c>
      <c r="H1343" s="49" t="str">
        <f aca="false">IF(ROUND($G1343,2)&gt;0,ROUND($G1343,2),"")</f>
        <v/>
      </c>
      <c r="I1343" s="49" t="str">
        <f aca="false">IF(ROUND($G1343,2)&lt;0,-ROUND($G1343,2),"")</f>
        <v/>
      </c>
      <c r="J1343" s="20" t="n">
        <f aca="false">IF(ROUND($G1343,2)=0,0,1)</f>
        <v>0</v>
      </c>
      <c r="K1343" s="20" t="str">
        <f aca="false">IF($J1343=0,"",SUM($J$1322:$J1343))</f>
        <v/>
      </c>
      <c r="L1343" s="20" t="str">
        <f aca="false">IF($K1343="","",$A1343*100+$K1343)</f>
        <v/>
      </c>
      <c r="M1343" s="48" t="str">
        <f aca="false">参数!$B$3</f>
        <v>7月收入</v>
      </c>
    </row>
    <row r="1344" customFormat="false" ht="13.5" hidden="false" customHeight="false" outlineLevel="0" collapsed="false">
      <c r="A1344" s="47" t="n">
        <v>62</v>
      </c>
      <c r="B1344" s="38" t="str">
        <f aca="false">助手收入!$B63</f>
        <v/>
      </c>
      <c r="C1344" s="48" t="str">
        <f aca="false">助手收入!$C63</f>
        <v>备用17</v>
      </c>
      <c r="D1344" s="48" t="str">
        <f aca="false">科目对照收入!$B2&amp;""</f>
        <v>库存现金</v>
      </c>
      <c r="E1344" s="48" t="str">
        <f aca="false">IF(AND(ROUND($G1344,2)&lt;0,科目对照收入!$L2&lt;&gt;""),科目对照收入!$L2,科目对照收入!$C2)&amp;""</f>
        <v>库存现金</v>
      </c>
      <c r="F1344" s="48" t="str">
        <f aca="false">IF(AND(ROUND($G1344,2)&lt;0,科目对照收入!$L2&lt;&gt;""),科目对照收入!$M2,科目对照收入!$D2)&amp;""</f>
        <v/>
      </c>
      <c r="G1344" s="49" t="n">
        <f aca="false">助手收入!$I63</f>
        <v>0</v>
      </c>
      <c r="H1344" s="49" t="str">
        <f aca="false">IF(ROUND($G1344,2)&gt;0,ROUND($G1344,2),"")</f>
        <v/>
      </c>
      <c r="I1344" s="49" t="str">
        <f aca="false">IF(ROUND($G1344,2)&lt;0,-ROUND($G1344,2),"")</f>
        <v/>
      </c>
      <c r="J1344" s="20" t="n">
        <f aca="false">IF(ROUND($G1344,2)=0,0,1)</f>
        <v>0</v>
      </c>
      <c r="K1344" s="20" t="str">
        <f aca="false">IF($J1344=0,"",SUM($J$1344:$J1344))</f>
        <v/>
      </c>
      <c r="L1344" s="20" t="str">
        <f aca="false">IF($K1344="","",$A1344*100+$K1344)</f>
        <v/>
      </c>
      <c r="M1344" s="48" t="str">
        <f aca="false">参数!$B$3</f>
        <v>7月收入</v>
      </c>
    </row>
    <row r="1345" customFormat="false" ht="13.5" hidden="false" customHeight="false" outlineLevel="0" collapsed="false">
      <c r="A1345" s="47" t="n">
        <v>62</v>
      </c>
      <c r="B1345" s="38" t="str">
        <f aca="false">助手收入!$B63</f>
        <v/>
      </c>
      <c r="C1345" s="48" t="str">
        <f aca="false">助手收入!$C63</f>
        <v>备用17</v>
      </c>
      <c r="D1345" s="48" t="str">
        <f aca="false">科目对照收入!$B3&amp;""</f>
        <v>聚合支付</v>
      </c>
      <c r="E1345" s="48" t="str">
        <f aca="false">IF(AND(ROUND($G1345,2)&lt;0,科目对照收入!$L3&lt;&gt;""),科目对照收入!$L3,科目对照收入!$C3)&amp;""</f>
        <v>应收账款</v>
      </c>
      <c r="F1345" s="48" t="str">
        <f aca="false">IF(AND(ROUND($G1345,2)&lt;0,科目对照收入!$L3&lt;&gt;""),科目对照收入!$M3,科目对照收入!$D3)&amp;""</f>
        <v>聚合支付</v>
      </c>
      <c r="G1345" s="49" t="n">
        <f aca="false">ROUND(SUMIFS(输入聚合!$C:$C,输入聚合!$A:$A,助手收入!$X63)-SUMIFS(输入聚合!$D:$D,输入聚合!$A:$A,助手收入!$X63),2)</f>
        <v>0</v>
      </c>
      <c r="H1345" s="49" t="str">
        <f aca="false">IF(ROUND($G1345,2)&gt;0,ROUND($G1345,2),"")</f>
        <v/>
      </c>
      <c r="I1345" s="49" t="str">
        <f aca="false">IF(ROUND($G1345,2)&lt;0,-ROUND($G1345,2),"")</f>
        <v/>
      </c>
      <c r="J1345" s="20" t="n">
        <f aca="false">IF(ROUND($G1345,2)=0,0,1)</f>
        <v>0</v>
      </c>
      <c r="K1345" s="20" t="str">
        <f aca="false">IF($J1345=0,"",SUM($J$1344:$J1345))</f>
        <v/>
      </c>
      <c r="L1345" s="20" t="str">
        <f aca="false">IF($K1345="","",$A1345*100+$K1345)</f>
        <v/>
      </c>
      <c r="M1345" s="48" t="str">
        <f aca="false">参数!$B$3</f>
        <v>7月收入</v>
      </c>
    </row>
    <row r="1346" customFormat="false" ht="13.5" hidden="false" customHeight="false" outlineLevel="0" collapsed="false">
      <c r="A1346" s="47" t="n">
        <v>62</v>
      </c>
      <c r="B1346" s="38" t="str">
        <f aca="false">助手收入!$B63</f>
        <v/>
      </c>
      <c r="C1346" s="48" t="str">
        <f aca="false">助手收入!$C63</f>
        <v>备用17</v>
      </c>
      <c r="D1346" s="48" t="str">
        <f aca="false">科目对照收入!$B4&amp;""</f>
        <v>医保</v>
      </c>
      <c r="E1346" s="48" t="str">
        <f aca="false">IF(AND(ROUND($G1346,2)&lt;0,科目对照收入!$L4&lt;&gt;""),科目对照收入!$L4,科目对照收入!$C4)&amp;""</f>
        <v>应收账款</v>
      </c>
      <c r="F1346" s="48" t="str">
        <f aca="false">IF(AND(ROUND($G1346,2)&lt;0,科目对照收入!$L4&lt;&gt;""),科目对照收入!$M4,科目对照收入!$D4)&amp;""</f>
        <v>医保</v>
      </c>
      <c r="G1346" s="49" t="n">
        <f aca="false">IF(COUNTIFS(输入平台!$A:$A,助手收入!$X63,输入平台!$B:$B,科目对照收入!$B4)&gt;0,ROUND(SUMIFS(输入平台!$C:$C,输入平台!$A:$A,助手收入!$X63,输入平台!$B:$B,科目对照收入!$B4),2),ROUND(海典汇总!$F$64+海典汇总!$G$64,2))</f>
        <v>0</v>
      </c>
      <c r="H1346" s="49" t="str">
        <f aca="false">IF(ROUND($G1346,2)&gt;0,ROUND($G1346,2),"")</f>
        <v/>
      </c>
      <c r="I1346" s="49" t="str">
        <f aca="false">IF(ROUND($G1346,2)&lt;0,-ROUND($G1346,2),"")</f>
        <v/>
      </c>
      <c r="J1346" s="20" t="n">
        <f aca="false">IF(ROUND($G1346,2)=0,0,1)</f>
        <v>0</v>
      </c>
      <c r="K1346" s="20" t="str">
        <f aca="false">IF($J1346=0,"",SUM($J$1344:$J1346))</f>
        <v/>
      </c>
      <c r="L1346" s="20" t="str">
        <f aca="false">IF($K1346="","",$A1346*100+$K1346)</f>
        <v/>
      </c>
      <c r="M1346" s="48" t="str">
        <f aca="false">参数!$B$3</f>
        <v>7月收入</v>
      </c>
    </row>
    <row r="1347" customFormat="false" ht="13.5" hidden="false" customHeight="false" outlineLevel="0" collapsed="false">
      <c r="A1347" s="47" t="n">
        <v>62</v>
      </c>
      <c r="B1347" s="38" t="str">
        <f aca="false">助手收入!$B63</f>
        <v/>
      </c>
      <c r="C1347" s="48" t="str">
        <f aca="false">助手收入!$C63</f>
        <v>备用17</v>
      </c>
      <c r="D1347" s="48" t="str">
        <f aca="false">科目对照收入!$B5&amp;""</f>
        <v>健e卡</v>
      </c>
      <c r="E1347" s="48" t="str">
        <f aca="false">IF(AND(ROUND($G1347,2)&lt;0,科目对照收入!$L5&lt;&gt;""),科目对照收入!$L5,科目对照收入!$C5)&amp;""</f>
        <v>应收账款</v>
      </c>
      <c r="F1347" s="48" t="str">
        <f aca="false">IF(AND(ROUND($G1347,2)&lt;0,科目对照收入!$L5&lt;&gt;""),科目对照收入!$M5,科目对照收入!$D5)&amp;""</f>
        <v>健e卡</v>
      </c>
      <c r="G1347" s="49" t="n">
        <f aca="false">IF(COUNTIFS(输入平台!$A:$A,助手收入!$X63,输入平台!$B:$B,科目对照收入!$B5)&gt;0,ROUND(SUMIFS(输入平台!$C:$C,输入平台!$A:$A,助手收入!$X63,输入平台!$B:$B,科目对照收入!$B5),2),ROUND(海典汇总!$H$64,2))</f>
        <v>0</v>
      </c>
      <c r="H1347" s="49" t="str">
        <f aca="false">IF(ROUND($G1347,2)&gt;0,ROUND($G1347,2),"")</f>
        <v/>
      </c>
      <c r="I1347" s="49" t="str">
        <f aca="false">IF(ROUND($G1347,2)&lt;0,-ROUND($G1347,2),"")</f>
        <v/>
      </c>
      <c r="J1347" s="20" t="n">
        <f aca="false">IF(ROUND($G1347,2)=0,0,1)</f>
        <v>0</v>
      </c>
      <c r="K1347" s="20" t="str">
        <f aca="false">IF($J1347=0,"",SUM($J$1344:$J1347))</f>
        <v/>
      </c>
      <c r="L1347" s="20" t="str">
        <f aca="false">IF($K1347="","",$A1347*100+$K1347)</f>
        <v/>
      </c>
      <c r="M1347" s="48" t="str">
        <f aca="false">参数!$B$3</f>
        <v>7月收入</v>
      </c>
    </row>
    <row r="1348" customFormat="false" ht="13.5" hidden="false" customHeight="false" outlineLevel="0" collapsed="false">
      <c r="A1348" s="47" t="n">
        <v>62</v>
      </c>
      <c r="B1348" s="38" t="str">
        <f aca="false">助手收入!$B63</f>
        <v/>
      </c>
      <c r="C1348" s="48" t="str">
        <f aca="false">助手收入!$C63</f>
        <v>备用17</v>
      </c>
      <c r="D1348" s="48" t="str">
        <f aca="false">科目对照收入!$B6&amp;""</f>
        <v>医卡通</v>
      </c>
      <c r="E1348" s="48" t="str">
        <f aca="false">IF(AND(ROUND($G1348,2)&lt;0,科目对照收入!$L6&lt;&gt;""),科目对照收入!$L6,科目对照收入!$C6)&amp;""</f>
        <v>应收账款</v>
      </c>
      <c r="F1348" s="48" t="str">
        <f aca="false">IF(AND(ROUND($G1348,2)&lt;0,科目对照收入!$L6&lt;&gt;""),科目对照收入!$M6,科目对照收入!$D6)&amp;""</f>
        <v>医卡通</v>
      </c>
      <c r="G1348" s="49" t="n">
        <f aca="false">IF(COUNTIFS(输入平台!$A:$A,助手收入!$X63,输入平台!$B:$B,科目对照收入!$B6)&gt;0,ROUND(SUMIFS(输入平台!$C:$C,输入平台!$A:$A,助手收入!$X63,输入平台!$B:$B,科目对照收入!$B6),2),ROUND(海典汇总!$I$64,2))</f>
        <v>0</v>
      </c>
      <c r="H1348" s="49" t="str">
        <f aca="false">IF(ROUND($G1348,2)&gt;0,ROUND($G1348,2),"")</f>
        <v/>
      </c>
      <c r="I1348" s="49" t="str">
        <f aca="false">IF(ROUND($G1348,2)&lt;0,-ROUND($G1348,2),"")</f>
        <v/>
      </c>
      <c r="J1348" s="20" t="n">
        <f aca="false">IF(ROUND($G1348,2)=0,0,1)</f>
        <v>0</v>
      </c>
      <c r="K1348" s="20" t="str">
        <f aca="false">IF($J1348=0,"",SUM($J$1344:$J1348))</f>
        <v/>
      </c>
      <c r="L1348" s="20" t="str">
        <f aca="false">IF($K1348="","",$A1348*100+$K1348)</f>
        <v/>
      </c>
      <c r="M1348" s="48" t="str">
        <f aca="false">参数!$B$3</f>
        <v>7月收入</v>
      </c>
    </row>
    <row r="1349" customFormat="false" ht="13.5" hidden="false" customHeight="false" outlineLevel="0" collapsed="false">
      <c r="A1349" s="47" t="n">
        <v>62</v>
      </c>
      <c r="B1349" s="38" t="str">
        <f aca="false">助手收入!$B63</f>
        <v/>
      </c>
      <c r="C1349" s="48" t="str">
        <f aca="false">助手收入!$C63</f>
        <v>备用17</v>
      </c>
      <c r="D1349" s="48" t="str">
        <f aca="false">科目对照收入!$B7&amp;""</f>
        <v>企健网</v>
      </c>
      <c r="E1349" s="48" t="str">
        <f aca="false">IF(AND(ROUND($G1349,2)&lt;0,科目对照收入!$L7&lt;&gt;""),科目对照收入!$L7,科目对照收入!$C7)&amp;""</f>
        <v>应收账款</v>
      </c>
      <c r="F1349" s="48" t="str">
        <f aca="false">IF(AND(ROUND($G1349,2)&lt;0,科目对照收入!$L7&lt;&gt;""),科目对照收入!$M7,科目对照收入!$D7)&amp;""</f>
        <v>企健网</v>
      </c>
      <c r="G1349" s="49" t="n">
        <f aca="false">IF(COUNTIFS(输入平台!$A:$A,助手收入!$X63,输入平台!$B:$B,科目对照收入!$B7)&gt;0,ROUND(SUMIFS(输入平台!$C:$C,输入平台!$A:$A,助手收入!$X63,输入平台!$B:$B,科目对照收入!$B7),2),ROUND(海典汇总!$J$64,2))</f>
        <v>0</v>
      </c>
      <c r="H1349" s="49" t="str">
        <f aca="false">IF(ROUND($G1349,2)&gt;0,ROUND($G1349,2),"")</f>
        <v/>
      </c>
      <c r="I1349" s="49" t="str">
        <f aca="false">IF(ROUND($G1349,2)&lt;0,-ROUND($G1349,2),"")</f>
        <v/>
      </c>
      <c r="J1349" s="20" t="n">
        <f aca="false">IF(ROUND($G1349,2)=0,0,1)</f>
        <v>0</v>
      </c>
      <c r="K1349" s="20" t="str">
        <f aca="false">IF($J1349=0,"",SUM($J$1344:$J1349))</f>
        <v/>
      </c>
      <c r="L1349" s="20" t="str">
        <f aca="false">IF($K1349="","",$A1349*100+$K1349)</f>
        <v/>
      </c>
      <c r="M1349" s="48" t="str">
        <f aca="false">参数!$B$3</f>
        <v>7月收入</v>
      </c>
    </row>
    <row r="1350" customFormat="false" ht="13.5" hidden="false" customHeight="false" outlineLevel="0" collapsed="false">
      <c r="A1350" s="47" t="n">
        <v>62</v>
      </c>
      <c r="B1350" s="38" t="str">
        <f aca="false">助手收入!$B63</f>
        <v/>
      </c>
      <c r="C1350" s="48" t="str">
        <f aca="false">助手收入!$C63</f>
        <v>备用17</v>
      </c>
      <c r="D1350" s="48" t="str">
        <f aca="false">科目对照收入!$B8&amp;""</f>
        <v>亲情卡</v>
      </c>
      <c r="E1350" s="48" t="str">
        <f aca="false">IF(AND(ROUND($G1350,2)&lt;0,科目对照收入!$L8&lt;&gt;""),科目对照收入!$L8,科目对照收入!$C8)&amp;""</f>
        <v>应收账款</v>
      </c>
      <c r="F1350" s="48" t="str">
        <f aca="false">IF(AND(ROUND($G1350,2)&lt;0,科目对照收入!$L8&lt;&gt;""),科目对照收入!$M8,科目对照收入!$D8)&amp;""</f>
        <v>亲情卡</v>
      </c>
      <c r="G1350" s="49" t="n">
        <f aca="false">IF(COUNTIFS(输入平台!$A:$A,助手收入!$X63,输入平台!$B:$B,科目对照收入!$B8)&gt;0,ROUND(SUMIFS(输入平台!$C:$C,输入平台!$A:$A,助手收入!$X63,输入平台!$B:$B,科目对照收入!$B8),2),ROUND(海典汇总!$Z$64,2))</f>
        <v>0</v>
      </c>
      <c r="H1350" s="49" t="str">
        <f aca="false">IF(ROUND($G1350,2)&gt;0,ROUND($G1350,2),"")</f>
        <v/>
      </c>
      <c r="I1350" s="49" t="str">
        <f aca="false">IF(ROUND($G1350,2)&lt;0,-ROUND($G1350,2),"")</f>
        <v/>
      </c>
      <c r="J1350" s="20" t="n">
        <f aca="false">IF(ROUND($G1350,2)=0,0,1)</f>
        <v>0</v>
      </c>
      <c r="K1350" s="20" t="str">
        <f aca="false">IF($J1350=0,"",SUM($J$1344:$J1350))</f>
        <v/>
      </c>
      <c r="L1350" s="20" t="str">
        <f aca="false">IF($K1350="","",$A1350*100+$K1350)</f>
        <v/>
      </c>
      <c r="M1350" s="48" t="str">
        <f aca="false">参数!$B$3</f>
        <v>7月收入</v>
      </c>
    </row>
    <row r="1351" customFormat="false" ht="13.5" hidden="false" customHeight="false" outlineLevel="0" collapsed="false">
      <c r="A1351" s="47" t="n">
        <v>62</v>
      </c>
      <c r="B1351" s="38" t="str">
        <f aca="false">助手收入!$B63</f>
        <v/>
      </c>
      <c r="C1351" s="48" t="str">
        <f aca="false">助手收入!$C63</f>
        <v>备用17</v>
      </c>
      <c r="D1351" s="48" t="str">
        <f aca="false">科目对照收入!$B9&amp;""</f>
        <v>24小时</v>
      </c>
      <c r="E1351" s="48" t="str">
        <f aca="false">IF(AND(ROUND($G1351,2)&lt;0,科目对照收入!$L9&lt;&gt;""),科目对照收入!$L9,科目对照收入!$C9)&amp;""</f>
        <v>应收账款</v>
      </c>
      <c r="F1351" s="48" t="str">
        <f aca="false">IF(AND(ROUND($G1351,2)&lt;0,科目对照收入!$L9&lt;&gt;""),科目对照收入!$M9,科目对照收入!$D9)&amp;""</f>
        <v>24小时</v>
      </c>
      <c r="G1351" s="49" t="n">
        <f aca="false">IF(COUNTIFS(输入平台!$A:$A,助手收入!$X63,输入平台!$B:$B,科目对照收入!$B9)&gt;0,ROUND(SUMIFS(输入平台!$C:$C,输入平台!$A:$A,助手收入!$X63,输入平台!$B:$B,科目对照收入!$B9),2),ROUND(海典汇总!$K$64,2))</f>
        <v>0</v>
      </c>
      <c r="H1351" s="49" t="str">
        <f aca="false">IF(ROUND($G1351,2)&gt;0,ROUND($G1351,2),"")</f>
        <v/>
      </c>
      <c r="I1351" s="49" t="str">
        <f aca="false">IF(ROUND($G1351,2)&lt;0,-ROUND($G1351,2),"")</f>
        <v/>
      </c>
      <c r="J1351" s="20" t="n">
        <f aca="false">IF(ROUND($G1351,2)=0,0,1)</f>
        <v>0</v>
      </c>
      <c r="K1351" s="20" t="str">
        <f aca="false">IF($J1351=0,"",SUM($J$1344:$J1351))</f>
        <v/>
      </c>
      <c r="L1351" s="20" t="str">
        <f aca="false">IF($K1351="","",$A1351*100+$K1351)</f>
        <v/>
      </c>
      <c r="M1351" s="48" t="str">
        <f aca="false">参数!$B$3</f>
        <v>7月收入</v>
      </c>
    </row>
    <row r="1352" customFormat="false" ht="13.5" hidden="false" customHeight="false" outlineLevel="0" collapsed="false">
      <c r="A1352" s="47" t="n">
        <v>62</v>
      </c>
      <c r="B1352" s="38" t="str">
        <f aca="false">助手收入!$B63</f>
        <v/>
      </c>
      <c r="C1352" s="48" t="str">
        <f aca="false">助手收入!$C63</f>
        <v>备用17</v>
      </c>
      <c r="D1352" s="48" t="str">
        <f aca="false">科目对照收入!$B10&amp;""</f>
        <v>美团</v>
      </c>
      <c r="E1352" s="48" t="str">
        <f aca="false">IF(AND(ROUND($G1352,2)&lt;0,科目对照收入!$L10&lt;&gt;""),科目对照收入!$L10,科目对照收入!$C10)&amp;""</f>
        <v>应收账款</v>
      </c>
      <c r="F1352" s="48" t="str">
        <f aca="false">IF(AND(ROUND($G1352,2)&lt;0,科目对照收入!$L10&lt;&gt;""),科目对照收入!$M10,科目对照收入!$D10)&amp;""</f>
        <v>美团</v>
      </c>
      <c r="G1352" s="49" t="n">
        <f aca="false">IF(COUNTIFS(输入平台!$A:$A,助手收入!$X63,输入平台!$B:$B,科目对照收入!$B10)&gt;0,ROUND(SUMIFS(输入平台!$C:$C,输入平台!$A:$A,助手收入!$X63,输入平台!$B:$B,科目对照收入!$B10),2),ROUND(海典汇总!$M$64,2))</f>
        <v>0</v>
      </c>
      <c r="H1352" s="49" t="str">
        <f aca="false">IF(ROUND($G1352,2)&gt;0,ROUND($G1352,2),"")</f>
        <v/>
      </c>
      <c r="I1352" s="49" t="str">
        <f aca="false">IF(ROUND($G1352,2)&lt;0,-ROUND($G1352,2),"")</f>
        <v/>
      </c>
      <c r="J1352" s="20" t="n">
        <f aca="false">IF(ROUND($G1352,2)=0,0,1)</f>
        <v>0</v>
      </c>
      <c r="K1352" s="20" t="str">
        <f aca="false">IF($J1352=0,"",SUM($J$1344:$J1352))</f>
        <v/>
      </c>
      <c r="L1352" s="20" t="str">
        <f aca="false">IF($K1352="","",$A1352*100+$K1352)</f>
        <v/>
      </c>
      <c r="M1352" s="48" t="str">
        <f aca="false">参数!$B$3</f>
        <v>7月收入</v>
      </c>
    </row>
    <row r="1353" customFormat="false" ht="13.5" hidden="false" customHeight="false" outlineLevel="0" collapsed="false">
      <c r="A1353" s="47" t="n">
        <v>62</v>
      </c>
      <c r="B1353" s="38" t="str">
        <f aca="false">助手收入!$B63</f>
        <v/>
      </c>
      <c r="C1353" s="48" t="str">
        <f aca="false">助手收入!$C63</f>
        <v>备用17</v>
      </c>
      <c r="D1353" s="48" t="str">
        <f aca="false">科目对照收入!$B11&amp;""</f>
        <v>饿了么</v>
      </c>
      <c r="E1353" s="48" t="str">
        <f aca="false">IF(AND(ROUND($G1353,2)&lt;0,科目对照收入!$L11&lt;&gt;""),科目对照收入!$L11,科目对照收入!$C11)&amp;""</f>
        <v>应收账款</v>
      </c>
      <c r="F1353" s="48" t="str">
        <f aca="false">IF(AND(ROUND($G1353,2)&lt;0,科目对照收入!$L11&lt;&gt;""),科目对照收入!$M11,科目对照收入!$D11)&amp;""</f>
        <v>饿了么</v>
      </c>
      <c r="G1353" s="49" t="n">
        <f aca="false">IF(COUNTIFS(输入平台!$A:$A,助手收入!$X63,输入平台!$B:$B,科目对照收入!$B11)&gt;0,ROUND(SUMIFS(输入平台!$C:$C,输入平台!$A:$A,助手收入!$X63,输入平台!$B:$B,科目对照收入!$B11),2),ROUND(海典汇总!$N$64,2))</f>
        <v>0</v>
      </c>
      <c r="H1353" s="49" t="str">
        <f aca="false">IF(ROUND($G1353,2)&gt;0,ROUND($G1353,2),"")</f>
        <v/>
      </c>
      <c r="I1353" s="49" t="str">
        <f aca="false">IF(ROUND($G1353,2)&lt;0,-ROUND($G1353,2),"")</f>
        <v/>
      </c>
      <c r="J1353" s="20" t="n">
        <f aca="false">IF(ROUND($G1353,2)=0,0,1)</f>
        <v>0</v>
      </c>
      <c r="K1353" s="20" t="str">
        <f aca="false">IF($J1353=0,"",SUM($J$1344:$J1353))</f>
        <v/>
      </c>
      <c r="L1353" s="20" t="str">
        <f aca="false">IF($K1353="","",$A1353*100+$K1353)</f>
        <v/>
      </c>
      <c r="M1353" s="48" t="str">
        <f aca="false">参数!$B$3</f>
        <v>7月收入</v>
      </c>
    </row>
    <row r="1354" customFormat="false" ht="13.5" hidden="false" customHeight="false" outlineLevel="0" collapsed="false">
      <c r="A1354" s="47" t="n">
        <v>62</v>
      </c>
      <c r="B1354" s="38" t="str">
        <f aca="false">助手收入!$B63</f>
        <v/>
      </c>
      <c r="C1354" s="48" t="str">
        <f aca="false">助手收入!$C63</f>
        <v>备用17</v>
      </c>
      <c r="D1354" s="48" t="str">
        <f aca="false">科目对照收入!$B12&amp;""</f>
        <v>京东秒送</v>
      </c>
      <c r="E1354" s="48" t="str">
        <f aca="false">IF(AND(ROUND($G1354,2)&lt;0,科目对照收入!$L12&lt;&gt;""),科目对照收入!$L12,科目对照收入!$C12)&amp;""</f>
        <v>应收账款</v>
      </c>
      <c r="F1354" s="48" t="str">
        <f aca="false">IF(AND(ROUND($G1354,2)&lt;0,科目对照收入!$L12&lt;&gt;""),科目对照收入!$M12,科目对照收入!$D12)&amp;""</f>
        <v>京东秒送</v>
      </c>
      <c r="G1354" s="49" t="n">
        <f aca="false">IF(COUNTIFS(输入平台!$A:$A,助手收入!$X63,输入平台!$B:$B,科目对照收入!$B12)&gt;0,ROUND(SUMIFS(输入平台!$C:$C,输入平台!$A:$A,助手收入!$X63,输入平台!$B:$B,科目对照收入!$B12),2),ROUND(海典汇总!$O$64,2))</f>
        <v>0</v>
      </c>
      <c r="H1354" s="49" t="str">
        <f aca="false">IF(ROUND($G1354,2)&gt;0,ROUND($G1354,2),"")</f>
        <v/>
      </c>
      <c r="I1354" s="49" t="str">
        <f aca="false">IF(ROUND($G1354,2)&lt;0,-ROUND($G1354,2),"")</f>
        <v/>
      </c>
      <c r="J1354" s="20" t="n">
        <f aca="false">IF(ROUND($G1354,2)=0,0,1)</f>
        <v>0</v>
      </c>
      <c r="K1354" s="20" t="str">
        <f aca="false">IF($J1354=0,"",SUM($J$1344:$J1354))</f>
        <v/>
      </c>
      <c r="L1354" s="20" t="str">
        <f aca="false">IF($K1354="","",$A1354*100+$K1354)</f>
        <v/>
      </c>
      <c r="M1354" s="48" t="str">
        <f aca="false">参数!$B$3</f>
        <v>7月收入</v>
      </c>
    </row>
    <row r="1355" customFormat="false" ht="13.5" hidden="false" customHeight="false" outlineLevel="0" collapsed="false">
      <c r="A1355" s="47" t="n">
        <v>62</v>
      </c>
      <c r="B1355" s="38" t="str">
        <f aca="false">助手收入!$B63</f>
        <v/>
      </c>
      <c r="C1355" s="48" t="str">
        <f aca="false">助手收入!$C63</f>
        <v>备用17</v>
      </c>
      <c r="D1355" s="48" t="str">
        <f aca="false">科目对照收入!$B13&amp;""</f>
        <v>银联</v>
      </c>
      <c r="E1355" s="48" t="str">
        <f aca="false">IF(AND(ROUND($G1355,2)&lt;0,科目对照收入!$L13&lt;&gt;""),科目对照收入!$L13,科目对照收入!$C13)&amp;""</f>
        <v>应收账款</v>
      </c>
      <c r="F1355" s="48" t="str">
        <f aca="false">IF(AND(ROUND($G1355,2)&lt;0,科目对照收入!$L13&lt;&gt;""),科目对照收入!$M13,科目对照收入!$D13)&amp;""</f>
        <v>银联</v>
      </c>
      <c r="G1355" s="49" t="n">
        <f aca="false">IF(COUNTIFS(输入平台!$A:$A,助手收入!$X63,输入平台!$B:$B,科目对照收入!$B13)&gt;0,ROUND(SUMIFS(输入平台!$C:$C,输入平台!$A:$A,助手收入!$X63,输入平台!$B:$B,科目对照收入!$B13),2),ROUND(海典汇总!$V$64,2))</f>
        <v>0</v>
      </c>
      <c r="H1355" s="49" t="str">
        <f aca="false">IF(ROUND($G1355,2)&gt;0,ROUND($G1355,2),"")</f>
        <v/>
      </c>
      <c r="I1355" s="49" t="str">
        <f aca="false">IF(ROUND($G1355,2)&lt;0,-ROUND($G1355,2),"")</f>
        <v/>
      </c>
      <c r="J1355" s="20" t="n">
        <f aca="false">IF(ROUND($G1355,2)=0,0,1)</f>
        <v>0</v>
      </c>
      <c r="K1355" s="20" t="str">
        <f aca="false">IF($J1355=0,"",SUM($J$1344:$J1355))</f>
        <v/>
      </c>
      <c r="L1355" s="20" t="str">
        <f aca="false">IF($K1355="","",$A1355*100+$K1355)</f>
        <v/>
      </c>
      <c r="M1355" s="48" t="str">
        <f aca="false">参数!$B$3</f>
        <v>7月收入</v>
      </c>
    </row>
    <row r="1356" customFormat="false" ht="13.5" hidden="false" customHeight="false" outlineLevel="0" collapsed="false">
      <c r="A1356" s="47" t="n">
        <v>62</v>
      </c>
      <c r="B1356" s="38" t="str">
        <f aca="false">助手收入!$B63</f>
        <v/>
      </c>
      <c r="C1356" s="48" t="str">
        <f aca="false">助手收入!$C63</f>
        <v>备用17</v>
      </c>
      <c r="D1356" s="48" t="str">
        <f aca="false">科目对照收入!$B14&amp;""</f>
        <v>小镇外卖</v>
      </c>
      <c r="E1356" s="48" t="str">
        <f aca="false">IF(AND(ROUND($G1356,2)&lt;0,科目对照收入!$L14&lt;&gt;""),科目对照收入!$L14,科目对照收入!$C14)&amp;""</f>
        <v>应收账款</v>
      </c>
      <c r="F1356" s="48" t="str">
        <f aca="false">IF(AND(ROUND($G1356,2)&lt;0,科目对照收入!$L14&lt;&gt;""),科目对照收入!$M14,科目对照收入!$D14)&amp;""</f>
        <v>小镇外卖</v>
      </c>
      <c r="G1356" s="49" t="n">
        <f aca="false">IF(COUNTIFS(输入平台!$A:$A,助手收入!$X63,输入平台!$B:$B,科目对照收入!$B14)&gt;0,ROUND(SUMIFS(输入平台!$C:$C,输入平台!$A:$A,助手收入!$X63,输入平台!$B:$B,科目对照收入!$B14),2),ROUND(海典汇总!$AC$64,2))</f>
        <v>0</v>
      </c>
      <c r="H1356" s="49" t="str">
        <f aca="false">IF(ROUND($G1356,2)&gt;0,ROUND($G1356,2),"")</f>
        <v/>
      </c>
      <c r="I1356" s="49" t="str">
        <f aca="false">IF(ROUND($G1356,2)&lt;0,-ROUND($G1356,2),"")</f>
        <v/>
      </c>
      <c r="J1356" s="20" t="n">
        <f aca="false">IF(ROUND($G1356,2)=0,0,1)</f>
        <v>0</v>
      </c>
      <c r="K1356" s="20" t="str">
        <f aca="false">IF($J1356=0,"",SUM($J$1344:$J1356))</f>
        <v/>
      </c>
      <c r="L1356" s="20" t="str">
        <f aca="false">IF($K1356="","",$A1356*100+$K1356)</f>
        <v/>
      </c>
      <c r="M1356" s="48" t="str">
        <f aca="false">参数!$B$3</f>
        <v>7月收入</v>
      </c>
    </row>
    <row r="1357" customFormat="false" ht="13.5" hidden="false" customHeight="false" outlineLevel="0" collapsed="false">
      <c r="A1357" s="47" t="n">
        <v>62</v>
      </c>
      <c r="B1357" s="38" t="str">
        <f aca="false">助手收入!$B63</f>
        <v/>
      </c>
      <c r="C1357" s="48" t="str">
        <f aca="false">助手收入!$C63</f>
        <v>备用17</v>
      </c>
      <c r="D1357" s="48" t="str">
        <f aca="false">科目对照收入!$B15&amp;""</f>
        <v>OMS线上支付</v>
      </c>
      <c r="E1357" s="48" t="str">
        <f aca="false">IF(AND(ROUND($G1357,2)&lt;0,科目对照收入!$L15&lt;&gt;""),科目对照收入!$L15,科目对照收入!$C15)&amp;""</f>
        <v>应收账款</v>
      </c>
      <c r="F1357" s="48" t="str">
        <f aca="false">IF(AND(ROUND($G1357,2)&lt;0,科目对照收入!$L15&lt;&gt;""),科目对照收入!$M15,科目对照收入!$D15)&amp;""</f>
        <v>OMS线上</v>
      </c>
      <c r="G1357" s="49" t="n">
        <f aca="false">IF(COUNTIFS(输入平台!$A:$A,助手收入!$X63,输入平台!$B:$B,科目对照收入!$B15)&gt;0,ROUND(SUMIFS(输入平台!$C:$C,输入平台!$A:$A,助手收入!$X63,输入平台!$B:$B,科目对照收入!$B15),2),ROUND(海典汇总!$L$64,2))</f>
        <v>0</v>
      </c>
      <c r="H1357" s="49" t="str">
        <f aca="false">IF(ROUND($G1357,2)&gt;0,ROUND($G1357,2),"")</f>
        <v/>
      </c>
      <c r="I1357" s="49" t="str">
        <f aca="false">IF(ROUND($G1357,2)&lt;0,-ROUND($G1357,2),"")</f>
        <v/>
      </c>
      <c r="J1357" s="20" t="n">
        <f aca="false">IF(ROUND($G1357,2)=0,0,1)</f>
        <v>0</v>
      </c>
      <c r="K1357" s="20" t="str">
        <f aca="false">IF($J1357=0,"",SUM($J$1344:$J1357))</f>
        <v/>
      </c>
      <c r="L1357" s="20" t="str">
        <f aca="false">IF($K1357="","",$A1357*100+$K1357)</f>
        <v/>
      </c>
      <c r="M1357" s="48" t="str">
        <f aca="false">参数!$B$3</f>
        <v>7月收入</v>
      </c>
    </row>
    <row r="1358" customFormat="false" ht="13.5" hidden="false" customHeight="false" outlineLevel="0" collapsed="false">
      <c r="A1358" s="47" t="n">
        <v>62</v>
      </c>
      <c r="B1358" s="38" t="str">
        <f aca="false">助手收入!$B63</f>
        <v/>
      </c>
      <c r="C1358" s="48" t="str">
        <f aca="false">助手收入!$C63</f>
        <v>备用17</v>
      </c>
      <c r="D1358" s="48" t="str">
        <f aca="false">科目对照收入!$B16&amp;""</f>
        <v>平安药卡</v>
      </c>
      <c r="E1358" s="48" t="str">
        <f aca="false">IF(AND(ROUND($G1358,2)&lt;0,科目对照收入!$L16&lt;&gt;""),科目对照收入!$L16,科目对照收入!$C16)&amp;""</f>
        <v>应收账款</v>
      </c>
      <c r="F1358" s="48" t="str">
        <f aca="false">IF(AND(ROUND($G1358,2)&lt;0,科目对照收入!$L16&lt;&gt;""),科目对照收入!$M16,科目对照收入!$D16)&amp;""</f>
        <v>平安</v>
      </c>
      <c r="G1358" s="49" t="n">
        <f aca="false">IF(COUNTIFS(输入平台!$A:$A,助手收入!$X63,输入平台!$B:$B,科目对照收入!$B16)&gt;0,ROUND(SUMIFS(输入平台!$C:$C,输入平台!$A:$A,助手收入!$X63,输入平台!$B:$B,科目对照收入!$B16),2),ROUND(海典汇总!$AB$64,2))</f>
        <v>0</v>
      </c>
      <c r="H1358" s="49" t="str">
        <f aca="false">IF(ROUND($G1358,2)&gt;0,ROUND($G1358,2),"")</f>
        <v/>
      </c>
      <c r="I1358" s="49" t="str">
        <f aca="false">IF(ROUND($G1358,2)&lt;0,-ROUND($G1358,2),"")</f>
        <v/>
      </c>
      <c r="J1358" s="20" t="n">
        <f aca="false">IF(ROUND($G1358,2)=0,0,1)</f>
        <v>0</v>
      </c>
      <c r="K1358" s="20" t="str">
        <f aca="false">IF($J1358=0,"",SUM($J$1344:$J1358))</f>
        <v/>
      </c>
      <c r="L1358" s="20" t="str">
        <f aca="false">IF($K1358="","",$A1358*100+$K1358)</f>
        <v/>
      </c>
      <c r="M1358" s="48" t="str">
        <f aca="false">参数!$B$3</f>
        <v>7月收入</v>
      </c>
    </row>
    <row r="1359" customFormat="false" ht="13.5" hidden="false" customHeight="false" outlineLevel="0" collapsed="false">
      <c r="A1359" s="47" t="n">
        <v>62</v>
      </c>
      <c r="B1359" s="38" t="str">
        <f aca="false">助手收入!$B63</f>
        <v/>
      </c>
      <c r="C1359" s="48" t="str">
        <f aca="false">助手收入!$C63</f>
        <v>备用17</v>
      </c>
      <c r="D1359" s="48" t="str">
        <f aca="false">科目对照收入!$B17&amp;""</f>
        <v>储值卡</v>
      </c>
      <c r="E1359" s="48" t="str">
        <f aca="false">IF(AND(ROUND($G1359,2)&lt;0,科目对照收入!$L17&lt;&gt;""),科目对照收入!$L17,科目对照收入!$C17)&amp;""</f>
        <v>其他应收款</v>
      </c>
      <c r="F1359" s="48" t="str">
        <f aca="false">IF(AND(ROUND($G1359,2)&lt;0,科目对照收入!$L17&lt;&gt;""),科目对照收入!$M17,科目对照收入!$D17)&amp;""</f>
        <v>储值卡</v>
      </c>
      <c r="G1359" s="49" t="n">
        <f aca="false">ROUND(海典汇总!$Q$64,2)</f>
        <v>0</v>
      </c>
      <c r="H1359" s="49" t="str">
        <f aca="false">IF(ROUND($G1359,2)&gt;0,ROUND($G1359,2),"")</f>
        <v/>
      </c>
      <c r="I1359" s="49" t="str">
        <f aca="false">IF(ROUND($G1359,2)&lt;0,-ROUND($G1359,2),"")</f>
        <v/>
      </c>
      <c r="J1359" s="20" t="n">
        <f aca="false">IF(ROUND($G1359,2)=0,0,1)</f>
        <v>0</v>
      </c>
      <c r="K1359" s="20" t="str">
        <f aca="false">IF($J1359=0,"",SUM($J$1344:$J1359))</f>
        <v/>
      </c>
      <c r="L1359" s="20" t="str">
        <f aca="false">IF($K1359="","",$A1359*100+$K1359)</f>
        <v/>
      </c>
      <c r="M1359" s="48" t="str">
        <f aca="false">参数!$B$3</f>
        <v>7月收入</v>
      </c>
    </row>
    <row r="1360" customFormat="false" ht="13.5" hidden="false" customHeight="false" outlineLevel="0" collapsed="false">
      <c r="A1360" s="47" t="n">
        <v>62</v>
      </c>
      <c r="B1360" s="38" t="str">
        <f aca="false">助手收入!$B63</f>
        <v/>
      </c>
      <c r="C1360" s="48" t="str">
        <f aca="false">助手收入!$C63</f>
        <v>备用17</v>
      </c>
      <c r="D1360" s="48" t="str">
        <f aca="false">科目对照收入!$B18&amp;""</f>
        <v>会员零钱包</v>
      </c>
      <c r="E1360" s="48" t="str">
        <f aca="false">IF(AND(ROUND($G1360,2)&lt;0,科目对照收入!$L18&lt;&gt;""),科目对照收入!$L18,科目对照收入!$C18)&amp;""</f>
        <v>其他应收款</v>
      </c>
      <c r="F1360" s="48" t="str">
        <f aca="false">IF(AND(ROUND($G1360,2)&lt;0,科目对照收入!$L18&lt;&gt;""),科目对照收入!$M18,科目对照收入!$D18)&amp;""</f>
        <v>会员零钱包</v>
      </c>
      <c r="G1360" s="49" t="n">
        <f aca="false">ROUND(海典汇总!$P$64,2)</f>
        <v>0</v>
      </c>
      <c r="H1360" s="49" t="str">
        <f aca="false">IF(ROUND($G1360,2)&gt;0,ROUND($G1360,2),"")</f>
        <v/>
      </c>
      <c r="I1360" s="49" t="str">
        <f aca="false">IF(ROUND($G1360,2)&lt;0,-ROUND($G1360,2),"")</f>
        <v/>
      </c>
      <c r="J1360" s="20" t="n">
        <f aca="false">IF(ROUND($G1360,2)=0,0,1)</f>
        <v>0</v>
      </c>
      <c r="K1360" s="20" t="str">
        <f aca="false">IF($J1360=0,"",SUM($J$1344:$J1360))</f>
        <v/>
      </c>
      <c r="L1360" s="20" t="str">
        <f aca="false">IF($K1360="","",$A1360*100+$K1360)</f>
        <v/>
      </c>
      <c r="M1360" s="48" t="str">
        <f aca="false">参数!$B$3</f>
        <v>7月收入</v>
      </c>
    </row>
    <row r="1361" customFormat="false" ht="13.5" hidden="false" customHeight="false" outlineLevel="0" collapsed="false">
      <c r="A1361" s="47" t="n">
        <v>62</v>
      </c>
      <c r="B1361" s="38" t="str">
        <f aca="false">助手收入!$B63</f>
        <v/>
      </c>
      <c r="C1361" s="48" t="str">
        <f aca="false">助手收入!$C63</f>
        <v>备用17</v>
      </c>
      <c r="D1361" s="48" t="str">
        <f aca="false">科目对照收入!$B19&amp;""</f>
        <v>促销费</v>
      </c>
      <c r="E1361" s="48" t="str">
        <f aca="false">IF(AND(ROUND($G1361,2)&lt;0,科目对照收入!$L19&lt;&gt;""),科目对照收入!$L19,科目对照收入!$C19)&amp;""</f>
        <v>销售费用</v>
      </c>
      <c r="F1361" s="48" t="str">
        <f aca="false">IF(AND(ROUND($G1361,2)&lt;0,科目对照收入!$L19&lt;&gt;""),科目对照收入!$M19,科目对照收入!$D19)&amp;""</f>
        <v>促销费</v>
      </c>
      <c r="G1361" s="49" t="n">
        <f aca="false">ROUND(海典汇总!$U$64+海典汇总!$T$64+海典汇总!$S$64,2)</f>
        <v>0</v>
      </c>
      <c r="H1361" s="49" t="str">
        <f aca="false">IF(ROUND($G1361,2)&gt;0,ROUND($G1361,2),"")</f>
        <v/>
      </c>
      <c r="I1361" s="49" t="str">
        <f aca="false">IF(ROUND($G1361,2)&lt;0,-ROUND($G1361,2),"")</f>
        <v/>
      </c>
      <c r="J1361" s="20" t="n">
        <f aca="false">IF(ROUND($G1361,2)=0,0,1)</f>
        <v>0</v>
      </c>
      <c r="K1361" s="20" t="str">
        <f aca="false">IF($J1361=0,"",SUM($J$1344:$J1361))</f>
        <v/>
      </c>
      <c r="L1361" s="20" t="str">
        <f aca="false">IF($K1361="","",$A1361*100+$K1361)</f>
        <v/>
      </c>
      <c r="M1361" s="48" t="str">
        <f aca="false">参数!$B$3</f>
        <v>7月收入</v>
      </c>
    </row>
    <row r="1362" customFormat="false" ht="13.5" hidden="false" customHeight="false" outlineLevel="0" collapsed="false">
      <c r="A1362" s="47" t="n">
        <v>62</v>
      </c>
      <c r="B1362" s="38" t="str">
        <f aca="false">助手收入!$B63</f>
        <v/>
      </c>
      <c r="C1362" s="48" t="str">
        <f aca="false">助手收入!$C63</f>
        <v>备用17</v>
      </c>
      <c r="D1362" s="48" t="str">
        <f aca="false">科目对照收入!$B20&amp;""</f>
        <v>积分</v>
      </c>
      <c r="E1362" s="48" t="str">
        <f aca="false">IF(AND(ROUND($G1362,2)&lt;0,科目对照收入!$L20&lt;&gt;""),科目对照收入!$L20,科目对照收入!$C20)&amp;""</f>
        <v>销售费用</v>
      </c>
      <c r="F1362" s="48" t="str">
        <f aca="false">IF(AND(ROUND($G1362,2)&lt;0,科目对照收入!$L20&lt;&gt;""),科目对照收入!$M20,科目对照收入!$D20)&amp;""</f>
        <v>积分</v>
      </c>
      <c r="G1362" s="49" t="n">
        <f aca="false">ROUND(海典汇总!$R$64,2)</f>
        <v>0</v>
      </c>
      <c r="H1362" s="49" t="str">
        <f aca="false">IF(ROUND($G1362,2)&gt;0,ROUND($G1362,2),"")</f>
        <v/>
      </c>
      <c r="I1362" s="49" t="str">
        <f aca="false">IF(ROUND($G1362,2)&lt;0,-ROUND($G1362,2),"")</f>
        <v/>
      </c>
      <c r="J1362" s="20" t="n">
        <f aca="false">IF(ROUND($G1362,2)=0,0,1)</f>
        <v>0</v>
      </c>
      <c r="K1362" s="20" t="str">
        <f aca="false">IF($J1362=0,"",SUM($J$1344:$J1362))</f>
        <v/>
      </c>
      <c r="L1362" s="20" t="str">
        <f aca="false">IF($K1362="","",$A1362*100+$K1362)</f>
        <v/>
      </c>
      <c r="M1362" s="48" t="str">
        <f aca="false">参数!$B$3</f>
        <v>7月收入</v>
      </c>
    </row>
    <row r="1363" customFormat="false" ht="13.5" hidden="false" customHeight="false" outlineLevel="0" collapsed="false">
      <c r="A1363" s="47" t="n">
        <v>62</v>
      </c>
      <c r="B1363" s="38" t="str">
        <f aca="false">助手收入!$B63</f>
        <v/>
      </c>
      <c r="C1363" s="48" t="str">
        <f aca="false">助手收入!$C63</f>
        <v>备用17</v>
      </c>
      <c r="D1363" s="48" t="str">
        <f aca="false">科目对照收入!$B21&amp;""</f>
        <v>手续费</v>
      </c>
      <c r="E1363" s="48" t="str">
        <f aca="false">IF(AND(ROUND($G1363,2)&lt;0,科目对照收入!$L21&lt;&gt;""),科目对照收入!$L21,科目对照收入!$C21)&amp;""</f>
        <v>财务费用</v>
      </c>
      <c r="F1363" s="48" t="str">
        <f aca="false">IF(AND(ROUND($G1363,2)&lt;0,科目对照收入!$L21&lt;&gt;""),科目对照收入!$M21,科目对照收入!$D21)&amp;""</f>
        <v>手续费</v>
      </c>
      <c r="G1363" s="49" t="n">
        <f aca="false">ROUND(SUMIFS(输入聚合!$D:$D,输入聚合!$A:$A,助手收入!$X63),2)</f>
        <v>0</v>
      </c>
      <c r="H1363" s="49" t="str">
        <f aca="false">IF(ROUND($G1363,2)&gt;0,ROUND($G1363,2),"")</f>
        <v/>
      </c>
      <c r="I1363" s="49" t="str">
        <f aca="false">IF(ROUND($G1363,2)&lt;0,-ROUND($G1363,2),"")</f>
        <v/>
      </c>
      <c r="J1363" s="20" t="n">
        <f aca="false">IF(ROUND($G1363,2)=0,0,1)</f>
        <v>0</v>
      </c>
      <c r="K1363" s="20" t="str">
        <f aca="false">IF($J1363=0,"",SUM($J$1344:$J1363))</f>
        <v/>
      </c>
      <c r="L1363" s="20" t="str">
        <f aca="false">IF($K1363="","",$A1363*100+$K1363)</f>
        <v/>
      </c>
      <c r="M1363" s="48" t="str">
        <f aca="false">参数!$B$3</f>
        <v>7月收入</v>
      </c>
    </row>
    <row r="1364" customFormat="false" ht="13.5" hidden="false" customHeight="false" outlineLevel="0" collapsed="false">
      <c r="A1364" s="47" t="n">
        <v>62</v>
      </c>
      <c r="B1364" s="38" t="str">
        <f aca="false">助手收入!$B63</f>
        <v/>
      </c>
      <c r="C1364" s="48" t="str">
        <f aca="false">助手收入!$C63</f>
        <v>备用17</v>
      </c>
      <c r="D1364" s="48" t="str">
        <f aca="false">科目对照收入!$B22&amp;""</f>
        <v>主营业务收入</v>
      </c>
      <c r="E1364" s="48" t="str">
        <f aca="false">IF(AND(ROUND($G1364,2)&lt;0,科目对照收入!$L22&lt;&gt;""),科目对照收入!$L22,科目对照收入!$C22)&amp;""</f>
        <v>主营业务收入</v>
      </c>
      <c r="F1364" s="48" t="str">
        <f aca="false">IF(AND(ROUND($G1364,2)&lt;0,科目对照收入!$L22&lt;&gt;""),科目对照收入!$M22,科目对照收入!$D22)&amp;""</f>
        <v/>
      </c>
      <c r="G1364" s="49" t="n">
        <f aca="false">-ROUND(助手收入!$G63,2)</f>
        <v>-0</v>
      </c>
      <c r="H1364" s="49" t="str">
        <f aca="false">IF(ROUND($G1364,2)&gt;0,ROUND($G1364,2),"")</f>
        <v/>
      </c>
      <c r="I1364" s="49" t="str">
        <f aca="false">IF(ROUND($G1364,2)&lt;0,-ROUND($G1364,2),"")</f>
        <v/>
      </c>
      <c r="J1364" s="20" t="n">
        <f aca="false">IF(ROUND($G1364,2)=0,0,1)</f>
        <v>0</v>
      </c>
      <c r="K1364" s="20" t="str">
        <f aca="false">IF($J1364=0,"",SUM($J$1344:$J1364))</f>
        <v/>
      </c>
      <c r="L1364" s="20" t="str">
        <f aca="false">IF($K1364="","",$A1364*100+$K1364)</f>
        <v/>
      </c>
      <c r="M1364" s="48" t="str">
        <f aca="false">参数!$B$3</f>
        <v>7月收入</v>
      </c>
    </row>
    <row r="1365" customFormat="false" ht="13.5" hidden="false" customHeight="false" outlineLevel="0" collapsed="false">
      <c r="A1365" s="47" t="n">
        <v>62</v>
      </c>
      <c r="B1365" s="38" t="str">
        <f aca="false">助手收入!$B63</f>
        <v/>
      </c>
      <c r="C1365" s="48" t="str">
        <f aca="false">助手收入!$C63</f>
        <v>备用17</v>
      </c>
      <c r="D1365" s="48" t="str">
        <f aca="false">科目对照收入!$B23&amp;""</f>
        <v>营业外收入</v>
      </c>
      <c r="E1365" s="48" t="str">
        <f aca="false">IF(AND(ROUND($G1365,2)&lt;0,科目对照收入!$L23&lt;&gt;""),科目对照收入!$L23,科目对照收入!$C23)&amp;""</f>
        <v>营业外收入</v>
      </c>
      <c r="F1365" s="48" t="str">
        <f aca="false">IF(AND(ROUND($G1365,2)&lt;0,科目对照收入!$L23&lt;&gt;""),科目对照收入!$M23,科目对照收入!$D23)&amp;""</f>
        <v/>
      </c>
      <c r="G1365" s="49" t="n">
        <f aca="false">-ROUND(助手收入!$J63,2)</f>
        <v>-0</v>
      </c>
      <c r="H1365" s="49" t="str">
        <f aca="false">IF(ROUND($G1365,2)&gt;0,ROUND($G1365,2),"")</f>
        <v/>
      </c>
      <c r="I1365" s="49" t="str">
        <f aca="false">IF(ROUND($G1365,2)&lt;0,-ROUND($G1365,2),"")</f>
        <v/>
      </c>
      <c r="J1365" s="20" t="n">
        <f aca="false">IF(ROUND($G1365,2)=0,0,1)</f>
        <v>0</v>
      </c>
      <c r="K1365" s="20" t="str">
        <f aca="false">IF($J1365=0,"",SUM($J$1344:$J1365))</f>
        <v/>
      </c>
      <c r="L1365" s="20" t="str">
        <f aca="false">IF($K1365="","",$A1365*100+$K1365)</f>
        <v/>
      </c>
      <c r="M1365" s="48" t="str">
        <f aca="false">参数!$B$3</f>
        <v>7月收入</v>
      </c>
    </row>
    <row r="1366" customFormat="false" ht="13.5" hidden="false" customHeight="false" outlineLevel="0" collapsed="false">
      <c r="A1366" s="47" t="n">
        <v>63</v>
      </c>
      <c r="B1366" s="38" t="str">
        <f aca="false">助手收入!$B64</f>
        <v/>
      </c>
      <c r="C1366" s="48" t="str">
        <f aca="false">助手收入!$C64</f>
        <v>备用18</v>
      </c>
      <c r="D1366" s="48" t="str">
        <f aca="false">科目对照收入!$B2&amp;""</f>
        <v>库存现金</v>
      </c>
      <c r="E1366" s="48" t="str">
        <f aca="false">IF(AND(ROUND($G1366,2)&lt;0,科目对照收入!$L2&lt;&gt;""),科目对照收入!$L2,科目对照收入!$C2)&amp;""</f>
        <v>库存现金</v>
      </c>
      <c r="F1366" s="48" t="str">
        <f aca="false">IF(AND(ROUND($G1366,2)&lt;0,科目对照收入!$L2&lt;&gt;""),科目对照收入!$M2,科目对照收入!$D2)&amp;""</f>
        <v/>
      </c>
      <c r="G1366" s="49" t="n">
        <f aca="false">助手收入!$I64</f>
        <v>0</v>
      </c>
      <c r="H1366" s="49" t="str">
        <f aca="false">IF(ROUND($G1366,2)&gt;0,ROUND($G1366,2),"")</f>
        <v/>
      </c>
      <c r="I1366" s="49" t="str">
        <f aca="false">IF(ROUND($G1366,2)&lt;0,-ROUND($G1366,2),"")</f>
        <v/>
      </c>
      <c r="J1366" s="20" t="n">
        <f aca="false">IF(ROUND($G1366,2)=0,0,1)</f>
        <v>0</v>
      </c>
      <c r="K1366" s="20" t="str">
        <f aca="false">IF($J1366=0,"",SUM($J$1366:$J1366))</f>
        <v/>
      </c>
      <c r="L1366" s="20" t="str">
        <f aca="false">IF($K1366="","",$A1366*100+$K1366)</f>
        <v/>
      </c>
      <c r="M1366" s="48" t="str">
        <f aca="false">参数!$B$3</f>
        <v>7月收入</v>
      </c>
    </row>
    <row r="1367" customFormat="false" ht="13.5" hidden="false" customHeight="false" outlineLevel="0" collapsed="false">
      <c r="A1367" s="47" t="n">
        <v>63</v>
      </c>
      <c r="B1367" s="38" t="str">
        <f aca="false">助手收入!$B64</f>
        <v/>
      </c>
      <c r="C1367" s="48" t="str">
        <f aca="false">助手收入!$C64</f>
        <v>备用18</v>
      </c>
      <c r="D1367" s="48" t="str">
        <f aca="false">科目对照收入!$B3&amp;""</f>
        <v>聚合支付</v>
      </c>
      <c r="E1367" s="48" t="str">
        <f aca="false">IF(AND(ROUND($G1367,2)&lt;0,科目对照收入!$L3&lt;&gt;""),科目对照收入!$L3,科目对照收入!$C3)&amp;""</f>
        <v>应收账款</v>
      </c>
      <c r="F1367" s="48" t="str">
        <f aca="false">IF(AND(ROUND($G1367,2)&lt;0,科目对照收入!$L3&lt;&gt;""),科目对照收入!$M3,科目对照收入!$D3)&amp;""</f>
        <v>聚合支付</v>
      </c>
      <c r="G1367" s="49" t="n">
        <f aca="false">ROUND(SUMIFS(输入聚合!$C:$C,输入聚合!$A:$A,助手收入!$X64)-SUMIFS(输入聚合!$D:$D,输入聚合!$A:$A,助手收入!$X64),2)</f>
        <v>0</v>
      </c>
      <c r="H1367" s="49" t="str">
        <f aca="false">IF(ROUND($G1367,2)&gt;0,ROUND($G1367,2),"")</f>
        <v/>
      </c>
      <c r="I1367" s="49" t="str">
        <f aca="false">IF(ROUND($G1367,2)&lt;0,-ROUND($G1367,2),"")</f>
        <v/>
      </c>
      <c r="J1367" s="20" t="n">
        <f aca="false">IF(ROUND($G1367,2)=0,0,1)</f>
        <v>0</v>
      </c>
      <c r="K1367" s="20" t="str">
        <f aca="false">IF($J1367=0,"",SUM($J$1366:$J1367))</f>
        <v/>
      </c>
      <c r="L1367" s="20" t="str">
        <f aca="false">IF($K1367="","",$A1367*100+$K1367)</f>
        <v/>
      </c>
      <c r="M1367" s="48" t="str">
        <f aca="false">参数!$B$3</f>
        <v>7月收入</v>
      </c>
    </row>
    <row r="1368" customFormat="false" ht="13.5" hidden="false" customHeight="false" outlineLevel="0" collapsed="false">
      <c r="A1368" s="47" t="n">
        <v>63</v>
      </c>
      <c r="B1368" s="38" t="str">
        <f aca="false">助手收入!$B64</f>
        <v/>
      </c>
      <c r="C1368" s="48" t="str">
        <f aca="false">助手收入!$C64</f>
        <v>备用18</v>
      </c>
      <c r="D1368" s="48" t="str">
        <f aca="false">科目对照收入!$B4&amp;""</f>
        <v>医保</v>
      </c>
      <c r="E1368" s="48" t="str">
        <f aca="false">IF(AND(ROUND($G1368,2)&lt;0,科目对照收入!$L4&lt;&gt;""),科目对照收入!$L4,科目对照收入!$C4)&amp;""</f>
        <v>应收账款</v>
      </c>
      <c r="F1368" s="48" t="str">
        <f aca="false">IF(AND(ROUND($G1368,2)&lt;0,科目对照收入!$L4&lt;&gt;""),科目对照收入!$M4,科目对照收入!$D4)&amp;""</f>
        <v>医保</v>
      </c>
      <c r="G1368" s="49" t="n">
        <f aca="false">IF(COUNTIFS(输入平台!$A:$A,助手收入!$X64,输入平台!$B:$B,科目对照收入!$B4)&gt;0,ROUND(SUMIFS(输入平台!$C:$C,输入平台!$A:$A,助手收入!$X64,输入平台!$B:$B,科目对照收入!$B4),2),ROUND(海典汇总!$F$65+海典汇总!$G$65,2))</f>
        <v>0</v>
      </c>
      <c r="H1368" s="49" t="str">
        <f aca="false">IF(ROUND($G1368,2)&gt;0,ROUND($G1368,2),"")</f>
        <v/>
      </c>
      <c r="I1368" s="49" t="str">
        <f aca="false">IF(ROUND($G1368,2)&lt;0,-ROUND($G1368,2),"")</f>
        <v/>
      </c>
      <c r="J1368" s="20" t="n">
        <f aca="false">IF(ROUND($G1368,2)=0,0,1)</f>
        <v>0</v>
      </c>
      <c r="K1368" s="20" t="str">
        <f aca="false">IF($J1368=0,"",SUM($J$1366:$J1368))</f>
        <v/>
      </c>
      <c r="L1368" s="20" t="str">
        <f aca="false">IF($K1368="","",$A1368*100+$K1368)</f>
        <v/>
      </c>
      <c r="M1368" s="48" t="str">
        <f aca="false">参数!$B$3</f>
        <v>7月收入</v>
      </c>
    </row>
    <row r="1369" customFormat="false" ht="13.5" hidden="false" customHeight="false" outlineLevel="0" collapsed="false">
      <c r="A1369" s="47" t="n">
        <v>63</v>
      </c>
      <c r="B1369" s="38" t="str">
        <f aca="false">助手收入!$B64</f>
        <v/>
      </c>
      <c r="C1369" s="48" t="str">
        <f aca="false">助手收入!$C64</f>
        <v>备用18</v>
      </c>
      <c r="D1369" s="48" t="str">
        <f aca="false">科目对照收入!$B5&amp;""</f>
        <v>健e卡</v>
      </c>
      <c r="E1369" s="48" t="str">
        <f aca="false">IF(AND(ROUND($G1369,2)&lt;0,科目对照收入!$L5&lt;&gt;""),科目对照收入!$L5,科目对照收入!$C5)&amp;""</f>
        <v>应收账款</v>
      </c>
      <c r="F1369" s="48" t="str">
        <f aca="false">IF(AND(ROUND($G1369,2)&lt;0,科目对照收入!$L5&lt;&gt;""),科目对照收入!$M5,科目对照收入!$D5)&amp;""</f>
        <v>健e卡</v>
      </c>
      <c r="G1369" s="49" t="n">
        <f aca="false">IF(COUNTIFS(输入平台!$A:$A,助手收入!$X64,输入平台!$B:$B,科目对照收入!$B5)&gt;0,ROUND(SUMIFS(输入平台!$C:$C,输入平台!$A:$A,助手收入!$X64,输入平台!$B:$B,科目对照收入!$B5),2),ROUND(海典汇总!$H$65,2))</f>
        <v>0</v>
      </c>
      <c r="H1369" s="49" t="str">
        <f aca="false">IF(ROUND($G1369,2)&gt;0,ROUND($G1369,2),"")</f>
        <v/>
      </c>
      <c r="I1369" s="49" t="str">
        <f aca="false">IF(ROUND($G1369,2)&lt;0,-ROUND($G1369,2),"")</f>
        <v/>
      </c>
      <c r="J1369" s="20" t="n">
        <f aca="false">IF(ROUND($G1369,2)=0,0,1)</f>
        <v>0</v>
      </c>
      <c r="K1369" s="20" t="str">
        <f aca="false">IF($J1369=0,"",SUM($J$1366:$J1369))</f>
        <v/>
      </c>
      <c r="L1369" s="20" t="str">
        <f aca="false">IF($K1369="","",$A1369*100+$K1369)</f>
        <v/>
      </c>
      <c r="M1369" s="48" t="str">
        <f aca="false">参数!$B$3</f>
        <v>7月收入</v>
      </c>
    </row>
    <row r="1370" customFormat="false" ht="13.5" hidden="false" customHeight="false" outlineLevel="0" collapsed="false">
      <c r="A1370" s="47" t="n">
        <v>63</v>
      </c>
      <c r="B1370" s="38" t="str">
        <f aca="false">助手收入!$B64</f>
        <v/>
      </c>
      <c r="C1370" s="48" t="str">
        <f aca="false">助手收入!$C64</f>
        <v>备用18</v>
      </c>
      <c r="D1370" s="48" t="str">
        <f aca="false">科目对照收入!$B6&amp;""</f>
        <v>医卡通</v>
      </c>
      <c r="E1370" s="48" t="str">
        <f aca="false">IF(AND(ROUND($G1370,2)&lt;0,科目对照收入!$L6&lt;&gt;""),科目对照收入!$L6,科目对照收入!$C6)&amp;""</f>
        <v>应收账款</v>
      </c>
      <c r="F1370" s="48" t="str">
        <f aca="false">IF(AND(ROUND($G1370,2)&lt;0,科目对照收入!$L6&lt;&gt;""),科目对照收入!$M6,科目对照收入!$D6)&amp;""</f>
        <v>医卡通</v>
      </c>
      <c r="G1370" s="49" t="n">
        <f aca="false">IF(COUNTIFS(输入平台!$A:$A,助手收入!$X64,输入平台!$B:$B,科目对照收入!$B6)&gt;0,ROUND(SUMIFS(输入平台!$C:$C,输入平台!$A:$A,助手收入!$X64,输入平台!$B:$B,科目对照收入!$B6),2),ROUND(海典汇总!$I$65,2))</f>
        <v>0</v>
      </c>
      <c r="H1370" s="49" t="str">
        <f aca="false">IF(ROUND($G1370,2)&gt;0,ROUND($G1370,2),"")</f>
        <v/>
      </c>
      <c r="I1370" s="49" t="str">
        <f aca="false">IF(ROUND($G1370,2)&lt;0,-ROUND($G1370,2),"")</f>
        <v/>
      </c>
      <c r="J1370" s="20" t="n">
        <f aca="false">IF(ROUND($G1370,2)=0,0,1)</f>
        <v>0</v>
      </c>
      <c r="K1370" s="20" t="str">
        <f aca="false">IF($J1370=0,"",SUM($J$1366:$J1370))</f>
        <v/>
      </c>
      <c r="L1370" s="20" t="str">
        <f aca="false">IF($K1370="","",$A1370*100+$K1370)</f>
        <v/>
      </c>
      <c r="M1370" s="48" t="str">
        <f aca="false">参数!$B$3</f>
        <v>7月收入</v>
      </c>
    </row>
    <row r="1371" customFormat="false" ht="13.5" hidden="false" customHeight="false" outlineLevel="0" collapsed="false">
      <c r="A1371" s="47" t="n">
        <v>63</v>
      </c>
      <c r="B1371" s="38" t="str">
        <f aca="false">助手收入!$B64</f>
        <v/>
      </c>
      <c r="C1371" s="48" t="str">
        <f aca="false">助手收入!$C64</f>
        <v>备用18</v>
      </c>
      <c r="D1371" s="48" t="str">
        <f aca="false">科目对照收入!$B7&amp;""</f>
        <v>企健网</v>
      </c>
      <c r="E1371" s="48" t="str">
        <f aca="false">IF(AND(ROUND($G1371,2)&lt;0,科目对照收入!$L7&lt;&gt;""),科目对照收入!$L7,科目对照收入!$C7)&amp;""</f>
        <v>应收账款</v>
      </c>
      <c r="F1371" s="48" t="str">
        <f aca="false">IF(AND(ROUND($G1371,2)&lt;0,科目对照收入!$L7&lt;&gt;""),科目对照收入!$M7,科目对照收入!$D7)&amp;""</f>
        <v>企健网</v>
      </c>
      <c r="G1371" s="49" t="n">
        <f aca="false">IF(COUNTIFS(输入平台!$A:$A,助手收入!$X64,输入平台!$B:$B,科目对照收入!$B7)&gt;0,ROUND(SUMIFS(输入平台!$C:$C,输入平台!$A:$A,助手收入!$X64,输入平台!$B:$B,科目对照收入!$B7),2),ROUND(海典汇总!$J$65,2))</f>
        <v>0</v>
      </c>
      <c r="H1371" s="49" t="str">
        <f aca="false">IF(ROUND($G1371,2)&gt;0,ROUND($G1371,2),"")</f>
        <v/>
      </c>
      <c r="I1371" s="49" t="str">
        <f aca="false">IF(ROUND($G1371,2)&lt;0,-ROUND($G1371,2),"")</f>
        <v/>
      </c>
      <c r="J1371" s="20" t="n">
        <f aca="false">IF(ROUND($G1371,2)=0,0,1)</f>
        <v>0</v>
      </c>
      <c r="K1371" s="20" t="str">
        <f aca="false">IF($J1371=0,"",SUM($J$1366:$J1371))</f>
        <v/>
      </c>
      <c r="L1371" s="20" t="str">
        <f aca="false">IF($K1371="","",$A1371*100+$K1371)</f>
        <v/>
      </c>
      <c r="M1371" s="48" t="str">
        <f aca="false">参数!$B$3</f>
        <v>7月收入</v>
      </c>
    </row>
    <row r="1372" customFormat="false" ht="13.5" hidden="false" customHeight="false" outlineLevel="0" collapsed="false">
      <c r="A1372" s="47" t="n">
        <v>63</v>
      </c>
      <c r="B1372" s="38" t="str">
        <f aca="false">助手收入!$B64</f>
        <v/>
      </c>
      <c r="C1372" s="48" t="str">
        <f aca="false">助手收入!$C64</f>
        <v>备用18</v>
      </c>
      <c r="D1372" s="48" t="str">
        <f aca="false">科目对照收入!$B8&amp;""</f>
        <v>亲情卡</v>
      </c>
      <c r="E1372" s="48" t="str">
        <f aca="false">IF(AND(ROUND($G1372,2)&lt;0,科目对照收入!$L8&lt;&gt;""),科目对照收入!$L8,科目对照收入!$C8)&amp;""</f>
        <v>应收账款</v>
      </c>
      <c r="F1372" s="48" t="str">
        <f aca="false">IF(AND(ROUND($G1372,2)&lt;0,科目对照收入!$L8&lt;&gt;""),科目对照收入!$M8,科目对照收入!$D8)&amp;""</f>
        <v>亲情卡</v>
      </c>
      <c r="G1372" s="49" t="n">
        <f aca="false">IF(COUNTIFS(输入平台!$A:$A,助手收入!$X64,输入平台!$B:$B,科目对照收入!$B8)&gt;0,ROUND(SUMIFS(输入平台!$C:$C,输入平台!$A:$A,助手收入!$X64,输入平台!$B:$B,科目对照收入!$B8),2),ROUND(海典汇总!$Z$65,2))</f>
        <v>0</v>
      </c>
      <c r="H1372" s="49" t="str">
        <f aca="false">IF(ROUND($G1372,2)&gt;0,ROUND($G1372,2),"")</f>
        <v/>
      </c>
      <c r="I1372" s="49" t="str">
        <f aca="false">IF(ROUND($G1372,2)&lt;0,-ROUND($G1372,2),"")</f>
        <v/>
      </c>
      <c r="J1372" s="20" t="n">
        <f aca="false">IF(ROUND($G1372,2)=0,0,1)</f>
        <v>0</v>
      </c>
      <c r="K1372" s="20" t="str">
        <f aca="false">IF($J1372=0,"",SUM($J$1366:$J1372))</f>
        <v/>
      </c>
      <c r="L1372" s="20" t="str">
        <f aca="false">IF($K1372="","",$A1372*100+$K1372)</f>
        <v/>
      </c>
      <c r="M1372" s="48" t="str">
        <f aca="false">参数!$B$3</f>
        <v>7月收入</v>
      </c>
    </row>
    <row r="1373" customFormat="false" ht="13.5" hidden="false" customHeight="false" outlineLevel="0" collapsed="false">
      <c r="A1373" s="47" t="n">
        <v>63</v>
      </c>
      <c r="B1373" s="38" t="str">
        <f aca="false">助手收入!$B64</f>
        <v/>
      </c>
      <c r="C1373" s="48" t="str">
        <f aca="false">助手收入!$C64</f>
        <v>备用18</v>
      </c>
      <c r="D1373" s="48" t="str">
        <f aca="false">科目对照收入!$B9&amp;""</f>
        <v>24小时</v>
      </c>
      <c r="E1373" s="48" t="str">
        <f aca="false">IF(AND(ROUND($G1373,2)&lt;0,科目对照收入!$L9&lt;&gt;""),科目对照收入!$L9,科目对照收入!$C9)&amp;""</f>
        <v>应收账款</v>
      </c>
      <c r="F1373" s="48" t="str">
        <f aca="false">IF(AND(ROUND($G1373,2)&lt;0,科目对照收入!$L9&lt;&gt;""),科目对照收入!$M9,科目对照收入!$D9)&amp;""</f>
        <v>24小时</v>
      </c>
      <c r="G1373" s="49" t="n">
        <f aca="false">IF(COUNTIFS(输入平台!$A:$A,助手收入!$X64,输入平台!$B:$B,科目对照收入!$B9)&gt;0,ROUND(SUMIFS(输入平台!$C:$C,输入平台!$A:$A,助手收入!$X64,输入平台!$B:$B,科目对照收入!$B9),2),ROUND(海典汇总!$K$65,2))</f>
        <v>0</v>
      </c>
      <c r="H1373" s="49" t="str">
        <f aca="false">IF(ROUND($G1373,2)&gt;0,ROUND($G1373,2),"")</f>
        <v/>
      </c>
      <c r="I1373" s="49" t="str">
        <f aca="false">IF(ROUND($G1373,2)&lt;0,-ROUND($G1373,2),"")</f>
        <v/>
      </c>
      <c r="J1373" s="20" t="n">
        <f aca="false">IF(ROUND($G1373,2)=0,0,1)</f>
        <v>0</v>
      </c>
      <c r="K1373" s="20" t="str">
        <f aca="false">IF($J1373=0,"",SUM($J$1366:$J1373))</f>
        <v/>
      </c>
      <c r="L1373" s="20" t="str">
        <f aca="false">IF($K1373="","",$A1373*100+$K1373)</f>
        <v/>
      </c>
      <c r="M1373" s="48" t="str">
        <f aca="false">参数!$B$3</f>
        <v>7月收入</v>
      </c>
    </row>
    <row r="1374" customFormat="false" ht="13.5" hidden="false" customHeight="false" outlineLevel="0" collapsed="false">
      <c r="A1374" s="47" t="n">
        <v>63</v>
      </c>
      <c r="B1374" s="38" t="str">
        <f aca="false">助手收入!$B64</f>
        <v/>
      </c>
      <c r="C1374" s="48" t="str">
        <f aca="false">助手收入!$C64</f>
        <v>备用18</v>
      </c>
      <c r="D1374" s="48" t="str">
        <f aca="false">科目对照收入!$B10&amp;""</f>
        <v>美团</v>
      </c>
      <c r="E1374" s="48" t="str">
        <f aca="false">IF(AND(ROUND($G1374,2)&lt;0,科目对照收入!$L10&lt;&gt;""),科目对照收入!$L10,科目对照收入!$C10)&amp;""</f>
        <v>应收账款</v>
      </c>
      <c r="F1374" s="48" t="str">
        <f aca="false">IF(AND(ROUND($G1374,2)&lt;0,科目对照收入!$L10&lt;&gt;""),科目对照收入!$M10,科目对照收入!$D10)&amp;""</f>
        <v>美团</v>
      </c>
      <c r="G1374" s="49" t="n">
        <f aca="false">IF(COUNTIFS(输入平台!$A:$A,助手收入!$X64,输入平台!$B:$B,科目对照收入!$B10)&gt;0,ROUND(SUMIFS(输入平台!$C:$C,输入平台!$A:$A,助手收入!$X64,输入平台!$B:$B,科目对照收入!$B10),2),ROUND(海典汇总!$M$65,2))</f>
        <v>0</v>
      </c>
      <c r="H1374" s="49" t="str">
        <f aca="false">IF(ROUND($G1374,2)&gt;0,ROUND($G1374,2),"")</f>
        <v/>
      </c>
      <c r="I1374" s="49" t="str">
        <f aca="false">IF(ROUND($G1374,2)&lt;0,-ROUND($G1374,2),"")</f>
        <v/>
      </c>
      <c r="J1374" s="20" t="n">
        <f aca="false">IF(ROUND($G1374,2)=0,0,1)</f>
        <v>0</v>
      </c>
      <c r="K1374" s="20" t="str">
        <f aca="false">IF($J1374=0,"",SUM($J$1366:$J1374))</f>
        <v/>
      </c>
      <c r="L1374" s="20" t="str">
        <f aca="false">IF($K1374="","",$A1374*100+$K1374)</f>
        <v/>
      </c>
      <c r="M1374" s="48" t="str">
        <f aca="false">参数!$B$3</f>
        <v>7月收入</v>
      </c>
    </row>
    <row r="1375" customFormat="false" ht="13.5" hidden="false" customHeight="false" outlineLevel="0" collapsed="false">
      <c r="A1375" s="47" t="n">
        <v>63</v>
      </c>
      <c r="B1375" s="38" t="str">
        <f aca="false">助手收入!$B64</f>
        <v/>
      </c>
      <c r="C1375" s="48" t="str">
        <f aca="false">助手收入!$C64</f>
        <v>备用18</v>
      </c>
      <c r="D1375" s="48" t="str">
        <f aca="false">科目对照收入!$B11&amp;""</f>
        <v>饿了么</v>
      </c>
      <c r="E1375" s="48" t="str">
        <f aca="false">IF(AND(ROUND($G1375,2)&lt;0,科目对照收入!$L11&lt;&gt;""),科目对照收入!$L11,科目对照收入!$C11)&amp;""</f>
        <v>应收账款</v>
      </c>
      <c r="F1375" s="48" t="str">
        <f aca="false">IF(AND(ROUND($G1375,2)&lt;0,科目对照收入!$L11&lt;&gt;""),科目对照收入!$M11,科目对照收入!$D11)&amp;""</f>
        <v>饿了么</v>
      </c>
      <c r="G1375" s="49" t="n">
        <f aca="false">IF(COUNTIFS(输入平台!$A:$A,助手收入!$X64,输入平台!$B:$B,科目对照收入!$B11)&gt;0,ROUND(SUMIFS(输入平台!$C:$C,输入平台!$A:$A,助手收入!$X64,输入平台!$B:$B,科目对照收入!$B11),2),ROUND(海典汇总!$N$65,2))</f>
        <v>0</v>
      </c>
      <c r="H1375" s="49" t="str">
        <f aca="false">IF(ROUND($G1375,2)&gt;0,ROUND($G1375,2),"")</f>
        <v/>
      </c>
      <c r="I1375" s="49" t="str">
        <f aca="false">IF(ROUND($G1375,2)&lt;0,-ROUND($G1375,2),"")</f>
        <v/>
      </c>
      <c r="J1375" s="20" t="n">
        <f aca="false">IF(ROUND($G1375,2)=0,0,1)</f>
        <v>0</v>
      </c>
      <c r="K1375" s="20" t="str">
        <f aca="false">IF($J1375=0,"",SUM($J$1366:$J1375))</f>
        <v/>
      </c>
      <c r="L1375" s="20" t="str">
        <f aca="false">IF($K1375="","",$A1375*100+$K1375)</f>
        <v/>
      </c>
      <c r="M1375" s="48" t="str">
        <f aca="false">参数!$B$3</f>
        <v>7月收入</v>
      </c>
    </row>
    <row r="1376" customFormat="false" ht="13.5" hidden="false" customHeight="false" outlineLevel="0" collapsed="false">
      <c r="A1376" s="47" t="n">
        <v>63</v>
      </c>
      <c r="B1376" s="38" t="str">
        <f aca="false">助手收入!$B64</f>
        <v/>
      </c>
      <c r="C1376" s="48" t="str">
        <f aca="false">助手收入!$C64</f>
        <v>备用18</v>
      </c>
      <c r="D1376" s="48" t="str">
        <f aca="false">科目对照收入!$B12&amp;""</f>
        <v>京东秒送</v>
      </c>
      <c r="E1376" s="48" t="str">
        <f aca="false">IF(AND(ROUND($G1376,2)&lt;0,科目对照收入!$L12&lt;&gt;""),科目对照收入!$L12,科目对照收入!$C12)&amp;""</f>
        <v>应收账款</v>
      </c>
      <c r="F1376" s="48" t="str">
        <f aca="false">IF(AND(ROUND($G1376,2)&lt;0,科目对照收入!$L12&lt;&gt;""),科目对照收入!$M12,科目对照收入!$D12)&amp;""</f>
        <v>京东秒送</v>
      </c>
      <c r="G1376" s="49" t="n">
        <f aca="false">IF(COUNTIFS(输入平台!$A:$A,助手收入!$X64,输入平台!$B:$B,科目对照收入!$B12)&gt;0,ROUND(SUMIFS(输入平台!$C:$C,输入平台!$A:$A,助手收入!$X64,输入平台!$B:$B,科目对照收入!$B12),2),ROUND(海典汇总!$O$65,2))</f>
        <v>0</v>
      </c>
      <c r="H1376" s="49" t="str">
        <f aca="false">IF(ROUND($G1376,2)&gt;0,ROUND($G1376,2),"")</f>
        <v/>
      </c>
      <c r="I1376" s="49" t="str">
        <f aca="false">IF(ROUND($G1376,2)&lt;0,-ROUND($G1376,2),"")</f>
        <v/>
      </c>
      <c r="J1376" s="20" t="n">
        <f aca="false">IF(ROUND($G1376,2)=0,0,1)</f>
        <v>0</v>
      </c>
      <c r="K1376" s="20" t="str">
        <f aca="false">IF($J1376=0,"",SUM($J$1366:$J1376))</f>
        <v/>
      </c>
      <c r="L1376" s="20" t="str">
        <f aca="false">IF($K1376="","",$A1376*100+$K1376)</f>
        <v/>
      </c>
      <c r="M1376" s="48" t="str">
        <f aca="false">参数!$B$3</f>
        <v>7月收入</v>
      </c>
    </row>
    <row r="1377" customFormat="false" ht="13.5" hidden="false" customHeight="false" outlineLevel="0" collapsed="false">
      <c r="A1377" s="47" t="n">
        <v>63</v>
      </c>
      <c r="B1377" s="38" t="str">
        <f aca="false">助手收入!$B64</f>
        <v/>
      </c>
      <c r="C1377" s="48" t="str">
        <f aca="false">助手收入!$C64</f>
        <v>备用18</v>
      </c>
      <c r="D1377" s="48" t="str">
        <f aca="false">科目对照收入!$B13&amp;""</f>
        <v>银联</v>
      </c>
      <c r="E1377" s="48" t="str">
        <f aca="false">IF(AND(ROUND($G1377,2)&lt;0,科目对照收入!$L13&lt;&gt;""),科目对照收入!$L13,科目对照收入!$C13)&amp;""</f>
        <v>应收账款</v>
      </c>
      <c r="F1377" s="48" t="str">
        <f aca="false">IF(AND(ROUND($G1377,2)&lt;0,科目对照收入!$L13&lt;&gt;""),科目对照收入!$M13,科目对照收入!$D13)&amp;""</f>
        <v>银联</v>
      </c>
      <c r="G1377" s="49" t="n">
        <f aca="false">IF(COUNTIFS(输入平台!$A:$A,助手收入!$X64,输入平台!$B:$B,科目对照收入!$B13)&gt;0,ROUND(SUMIFS(输入平台!$C:$C,输入平台!$A:$A,助手收入!$X64,输入平台!$B:$B,科目对照收入!$B13),2),ROUND(海典汇总!$V$65,2))</f>
        <v>0</v>
      </c>
      <c r="H1377" s="49" t="str">
        <f aca="false">IF(ROUND($G1377,2)&gt;0,ROUND($G1377,2),"")</f>
        <v/>
      </c>
      <c r="I1377" s="49" t="str">
        <f aca="false">IF(ROUND($G1377,2)&lt;0,-ROUND($G1377,2),"")</f>
        <v/>
      </c>
      <c r="J1377" s="20" t="n">
        <f aca="false">IF(ROUND($G1377,2)=0,0,1)</f>
        <v>0</v>
      </c>
      <c r="K1377" s="20" t="str">
        <f aca="false">IF($J1377=0,"",SUM($J$1366:$J1377))</f>
        <v/>
      </c>
      <c r="L1377" s="20" t="str">
        <f aca="false">IF($K1377="","",$A1377*100+$K1377)</f>
        <v/>
      </c>
      <c r="M1377" s="48" t="str">
        <f aca="false">参数!$B$3</f>
        <v>7月收入</v>
      </c>
    </row>
    <row r="1378" customFormat="false" ht="13.5" hidden="false" customHeight="false" outlineLevel="0" collapsed="false">
      <c r="A1378" s="47" t="n">
        <v>63</v>
      </c>
      <c r="B1378" s="38" t="str">
        <f aca="false">助手收入!$B64</f>
        <v/>
      </c>
      <c r="C1378" s="48" t="str">
        <f aca="false">助手收入!$C64</f>
        <v>备用18</v>
      </c>
      <c r="D1378" s="48" t="str">
        <f aca="false">科目对照收入!$B14&amp;""</f>
        <v>小镇外卖</v>
      </c>
      <c r="E1378" s="48" t="str">
        <f aca="false">IF(AND(ROUND($G1378,2)&lt;0,科目对照收入!$L14&lt;&gt;""),科目对照收入!$L14,科目对照收入!$C14)&amp;""</f>
        <v>应收账款</v>
      </c>
      <c r="F1378" s="48" t="str">
        <f aca="false">IF(AND(ROUND($G1378,2)&lt;0,科目对照收入!$L14&lt;&gt;""),科目对照收入!$M14,科目对照收入!$D14)&amp;""</f>
        <v>小镇外卖</v>
      </c>
      <c r="G1378" s="49" t="n">
        <f aca="false">IF(COUNTIFS(输入平台!$A:$A,助手收入!$X64,输入平台!$B:$B,科目对照收入!$B14)&gt;0,ROUND(SUMIFS(输入平台!$C:$C,输入平台!$A:$A,助手收入!$X64,输入平台!$B:$B,科目对照收入!$B14),2),ROUND(海典汇总!$AC$65,2))</f>
        <v>0</v>
      </c>
      <c r="H1378" s="49" t="str">
        <f aca="false">IF(ROUND($G1378,2)&gt;0,ROUND($G1378,2),"")</f>
        <v/>
      </c>
      <c r="I1378" s="49" t="str">
        <f aca="false">IF(ROUND($G1378,2)&lt;0,-ROUND($G1378,2),"")</f>
        <v/>
      </c>
      <c r="J1378" s="20" t="n">
        <f aca="false">IF(ROUND($G1378,2)=0,0,1)</f>
        <v>0</v>
      </c>
      <c r="K1378" s="20" t="str">
        <f aca="false">IF($J1378=0,"",SUM($J$1366:$J1378))</f>
        <v/>
      </c>
      <c r="L1378" s="20" t="str">
        <f aca="false">IF($K1378="","",$A1378*100+$K1378)</f>
        <v/>
      </c>
      <c r="M1378" s="48" t="str">
        <f aca="false">参数!$B$3</f>
        <v>7月收入</v>
      </c>
    </row>
    <row r="1379" customFormat="false" ht="13.5" hidden="false" customHeight="false" outlineLevel="0" collapsed="false">
      <c r="A1379" s="47" t="n">
        <v>63</v>
      </c>
      <c r="B1379" s="38" t="str">
        <f aca="false">助手收入!$B64</f>
        <v/>
      </c>
      <c r="C1379" s="48" t="str">
        <f aca="false">助手收入!$C64</f>
        <v>备用18</v>
      </c>
      <c r="D1379" s="48" t="str">
        <f aca="false">科目对照收入!$B15&amp;""</f>
        <v>OMS线上支付</v>
      </c>
      <c r="E1379" s="48" t="str">
        <f aca="false">IF(AND(ROUND($G1379,2)&lt;0,科目对照收入!$L15&lt;&gt;""),科目对照收入!$L15,科目对照收入!$C15)&amp;""</f>
        <v>应收账款</v>
      </c>
      <c r="F1379" s="48" t="str">
        <f aca="false">IF(AND(ROUND($G1379,2)&lt;0,科目对照收入!$L15&lt;&gt;""),科目对照收入!$M15,科目对照收入!$D15)&amp;""</f>
        <v>OMS线上</v>
      </c>
      <c r="G1379" s="49" t="n">
        <f aca="false">IF(COUNTIFS(输入平台!$A:$A,助手收入!$X64,输入平台!$B:$B,科目对照收入!$B15)&gt;0,ROUND(SUMIFS(输入平台!$C:$C,输入平台!$A:$A,助手收入!$X64,输入平台!$B:$B,科目对照收入!$B15),2),ROUND(海典汇总!$L$65,2))</f>
        <v>0</v>
      </c>
      <c r="H1379" s="49" t="str">
        <f aca="false">IF(ROUND($G1379,2)&gt;0,ROUND($G1379,2),"")</f>
        <v/>
      </c>
      <c r="I1379" s="49" t="str">
        <f aca="false">IF(ROUND($G1379,2)&lt;0,-ROUND($G1379,2),"")</f>
        <v/>
      </c>
      <c r="J1379" s="20" t="n">
        <f aca="false">IF(ROUND($G1379,2)=0,0,1)</f>
        <v>0</v>
      </c>
      <c r="K1379" s="20" t="str">
        <f aca="false">IF($J1379=0,"",SUM($J$1366:$J1379))</f>
        <v/>
      </c>
      <c r="L1379" s="20" t="str">
        <f aca="false">IF($K1379="","",$A1379*100+$K1379)</f>
        <v/>
      </c>
      <c r="M1379" s="48" t="str">
        <f aca="false">参数!$B$3</f>
        <v>7月收入</v>
      </c>
    </row>
    <row r="1380" customFormat="false" ht="13.5" hidden="false" customHeight="false" outlineLevel="0" collapsed="false">
      <c r="A1380" s="47" t="n">
        <v>63</v>
      </c>
      <c r="B1380" s="38" t="str">
        <f aca="false">助手收入!$B64</f>
        <v/>
      </c>
      <c r="C1380" s="48" t="str">
        <f aca="false">助手收入!$C64</f>
        <v>备用18</v>
      </c>
      <c r="D1380" s="48" t="str">
        <f aca="false">科目对照收入!$B16&amp;""</f>
        <v>平安药卡</v>
      </c>
      <c r="E1380" s="48" t="str">
        <f aca="false">IF(AND(ROUND($G1380,2)&lt;0,科目对照收入!$L16&lt;&gt;""),科目对照收入!$L16,科目对照收入!$C16)&amp;""</f>
        <v>应收账款</v>
      </c>
      <c r="F1380" s="48" t="str">
        <f aca="false">IF(AND(ROUND($G1380,2)&lt;0,科目对照收入!$L16&lt;&gt;""),科目对照收入!$M16,科目对照收入!$D16)&amp;""</f>
        <v>平安</v>
      </c>
      <c r="G1380" s="49" t="n">
        <f aca="false">IF(COUNTIFS(输入平台!$A:$A,助手收入!$X64,输入平台!$B:$B,科目对照收入!$B16)&gt;0,ROUND(SUMIFS(输入平台!$C:$C,输入平台!$A:$A,助手收入!$X64,输入平台!$B:$B,科目对照收入!$B16),2),ROUND(海典汇总!$AB$65,2))</f>
        <v>0</v>
      </c>
      <c r="H1380" s="49" t="str">
        <f aca="false">IF(ROUND($G1380,2)&gt;0,ROUND($G1380,2),"")</f>
        <v/>
      </c>
      <c r="I1380" s="49" t="str">
        <f aca="false">IF(ROUND($G1380,2)&lt;0,-ROUND($G1380,2),"")</f>
        <v/>
      </c>
      <c r="J1380" s="20" t="n">
        <f aca="false">IF(ROUND($G1380,2)=0,0,1)</f>
        <v>0</v>
      </c>
      <c r="K1380" s="20" t="str">
        <f aca="false">IF($J1380=0,"",SUM($J$1366:$J1380))</f>
        <v/>
      </c>
      <c r="L1380" s="20" t="str">
        <f aca="false">IF($K1380="","",$A1380*100+$K1380)</f>
        <v/>
      </c>
      <c r="M1380" s="48" t="str">
        <f aca="false">参数!$B$3</f>
        <v>7月收入</v>
      </c>
    </row>
    <row r="1381" customFormat="false" ht="13.5" hidden="false" customHeight="false" outlineLevel="0" collapsed="false">
      <c r="A1381" s="47" t="n">
        <v>63</v>
      </c>
      <c r="B1381" s="38" t="str">
        <f aca="false">助手收入!$B64</f>
        <v/>
      </c>
      <c r="C1381" s="48" t="str">
        <f aca="false">助手收入!$C64</f>
        <v>备用18</v>
      </c>
      <c r="D1381" s="48" t="str">
        <f aca="false">科目对照收入!$B17&amp;""</f>
        <v>储值卡</v>
      </c>
      <c r="E1381" s="48" t="str">
        <f aca="false">IF(AND(ROUND($G1381,2)&lt;0,科目对照收入!$L17&lt;&gt;""),科目对照收入!$L17,科目对照收入!$C17)&amp;""</f>
        <v>其他应收款</v>
      </c>
      <c r="F1381" s="48" t="str">
        <f aca="false">IF(AND(ROUND($G1381,2)&lt;0,科目对照收入!$L17&lt;&gt;""),科目对照收入!$M17,科目对照收入!$D17)&amp;""</f>
        <v>储值卡</v>
      </c>
      <c r="G1381" s="49" t="n">
        <f aca="false">ROUND(海典汇总!$Q$65,2)</f>
        <v>0</v>
      </c>
      <c r="H1381" s="49" t="str">
        <f aca="false">IF(ROUND($G1381,2)&gt;0,ROUND($G1381,2),"")</f>
        <v/>
      </c>
      <c r="I1381" s="49" t="str">
        <f aca="false">IF(ROUND($G1381,2)&lt;0,-ROUND($G1381,2),"")</f>
        <v/>
      </c>
      <c r="J1381" s="20" t="n">
        <f aca="false">IF(ROUND($G1381,2)=0,0,1)</f>
        <v>0</v>
      </c>
      <c r="K1381" s="20" t="str">
        <f aca="false">IF($J1381=0,"",SUM($J$1366:$J1381))</f>
        <v/>
      </c>
      <c r="L1381" s="20" t="str">
        <f aca="false">IF($K1381="","",$A1381*100+$K1381)</f>
        <v/>
      </c>
      <c r="M1381" s="48" t="str">
        <f aca="false">参数!$B$3</f>
        <v>7月收入</v>
      </c>
    </row>
    <row r="1382" customFormat="false" ht="13.5" hidden="false" customHeight="false" outlineLevel="0" collapsed="false">
      <c r="A1382" s="47" t="n">
        <v>63</v>
      </c>
      <c r="B1382" s="38" t="str">
        <f aca="false">助手收入!$B64</f>
        <v/>
      </c>
      <c r="C1382" s="48" t="str">
        <f aca="false">助手收入!$C64</f>
        <v>备用18</v>
      </c>
      <c r="D1382" s="48" t="str">
        <f aca="false">科目对照收入!$B18&amp;""</f>
        <v>会员零钱包</v>
      </c>
      <c r="E1382" s="48" t="str">
        <f aca="false">IF(AND(ROUND($G1382,2)&lt;0,科目对照收入!$L18&lt;&gt;""),科目对照收入!$L18,科目对照收入!$C18)&amp;""</f>
        <v>其他应收款</v>
      </c>
      <c r="F1382" s="48" t="str">
        <f aca="false">IF(AND(ROUND($G1382,2)&lt;0,科目对照收入!$L18&lt;&gt;""),科目对照收入!$M18,科目对照收入!$D18)&amp;""</f>
        <v>会员零钱包</v>
      </c>
      <c r="G1382" s="49" t="n">
        <f aca="false">ROUND(海典汇总!$P$65,2)</f>
        <v>0</v>
      </c>
      <c r="H1382" s="49" t="str">
        <f aca="false">IF(ROUND($G1382,2)&gt;0,ROUND($G1382,2),"")</f>
        <v/>
      </c>
      <c r="I1382" s="49" t="str">
        <f aca="false">IF(ROUND($G1382,2)&lt;0,-ROUND($G1382,2),"")</f>
        <v/>
      </c>
      <c r="J1382" s="20" t="n">
        <f aca="false">IF(ROUND($G1382,2)=0,0,1)</f>
        <v>0</v>
      </c>
      <c r="K1382" s="20" t="str">
        <f aca="false">IF($J1382=0,"",SUM($J$1366:$J1382))</f>
        <v/>
      </c>
      <c r="L1382" s="20" t="str">
        <f aca="false">IF($K1382="","",$A1382*100+$K1382)</f>
        <v/>
      </c>
      <c r="M1382" s="48" t="str">
        <f aca="false">参数!$B$3</f>
        <v>7月收入</v>
      </c>
    </row>
    <row r="1383" customFormat="false" ht="13.5" hidden="false" customHeight="false" outlineLevel="0" collapsed="false">
      <c r="A1383" s="47" t="n">
        <v>63</v>
      </c>
      <c r="B1383" s="38" t="str">
        <f aca="false">助手收入!$B64</f>
        <v/>
      </c>
      <c r="C1383" s="48" t="str">
        <f aca="false">助手收入!$C64</f>
        <v>备用18</v>
      </c>
      <c r="D1383" s="48" t="str">
        <f aca="false">科目对照收入!$B19&amp;""</f>
        <v>促销费</v>
      </c>
      <c r="E1383" s="48" t="str">
        <f aca="false">IF(AND(ROUND($G1383,2)&lt;0,科目对照收入!$L19&lt;&gt;""),科目对照收入!$L19,科目对照收入!$C19)&amp;""</f>
        <v>销售费用</v>
      </c>
      <c r="F1383" s="48" t="str">
        <f aca="false">IF(AND(ROUND($G1383,2)&lt;0,科目对照收入!$L19&lt;&gt;""),科目对照收入!$M19,科目对照收入!$D19)&amp;""</f>
        <v>促销费</v>
      </c>
      <c r="G1383" s="49" t="n">
        <f aca="false">ROUND(海典汇总!$U$65+海典汇总!$T$65+海典汇总!$S$65,2)</f>
        <v>0</v>
      </c>
      <c r="H1383" s="49" t="str">
        <f aca="false">IF(ROUND($G1383,2)&gt;0,ROUND($G1383,2),"")</f>
        <v/>
      </c>
      <c r="I1383" s="49" t="str">
        <f aca="false">IF(ROUND($G1383,2)&lt;0,-ROUND($G1383,2),"")</f>
        <v/>
      </c>
      <c r="J1383" s="20" t="n">
        <f aca="false">IF(ROUND($G1383,2)=0,0,1)</f>
        <v>0</v>
      </c>
      <c r="K1383" s="20" t="str">
        <f aca="false">IF($J1383=0,"",SUM($J$1366:$J1383))</f>
        <v/>
      </c>
      <c r="L1383" s="20" t="str">
        <f aca="false">IF($K1383="","",$A1383*100+$K1383)</f>
        <v/>
      </c>
      <c r="M1383" s="48" t="str">
        <f aca="false">参数!$B$3</f>
        <v>7月收入</v>
      </c>
    </row>
    <row r="1384" customFormat="false" ht="13.5" hidden="false" customHeight="false" outlineLevel="0" collapsed="false">
      <c r="A1384" s="47" t="n">
        <v>63</v>
      </c>
      <c r="B1384" s="38" t="str">
        <f aca="false">助手收入!$B64</f>
        <v/>
      </c>
      <c r="C1384" s="48" t="str">
        <f aca="false">助手收入!$C64</f>
        <v>备用18</v>
      </c>
      <c r="D1384" s="48" t="str">
        <f aca="false">科目对照收入!$B20&amp;""</f>
        <v>积分</v>
      </c>
      <c r="E1384" s="48" t="str">
        <f aca="false">IF(AND(ROUND($G1384,2)&lt;0,科目对照收入!$L20&lt;&gt;""),科目对照收入!$L20,科目对照收入!$C20)&amp;""</f>
        <v>销售费用</v>
      </c>
      <c r="F1384" s="48" t="str">
        <f aca="false">IF(AND(ROUND($G1384,2)&lt;0,科目对照收入!$L20&lt;&gt;""),科目对照收入!$M20,科目对照收入!$D20)&amp;""</f>
        <v>积分</v>
      </c>
      <c r="G1384" s="49" t="n">
        <f aca="false">ROUND(海典汇总!$R$65,2)</f>
        <v>0</v>
      </c>
      <c r="H1384" s="49" t="str">
        <f aca="false">IF(ROUND($G1384,2)&gt;0,ROUND($G1384,2),"")</f>
        <v/>
      </c>
      <c r="I1384" s="49" t="str">
        <f aca="false">IF(ROUND($G1384,2)&lt;0,-ROUND($G1384,2),"")</f>
        <v/>
      </c>
      <c r="J1384" s="20" t="n">
        <f aca="false">IF(ROUND($G1384,2)=0,0,1)</f>
        <v>0</v>
      </c>
      <c r="K1384" s="20" t="str">
        <f aca="false">IF($J1384=0,"",SUM($J$1366:$J1384))</f>
        <v/>
      </c>
      <c r="L1384" s="20" t="str">
        <f aca="false">IF($K1384="","",$A1384*100+$K1384)</f>
        <v/>
      </c>
      <c r="M1384" s="48" t="str">
        <f aca="false">参数!$B$3</f>
        <v>7月收入</v>
      </c>
    </row>
    <row r="1385" customFormat="false" ht="13.5" hidden="false" customHeight="false" outlineLevel="0" collapsed="false">
      <c r="A1385" s="47" t="n">
        <v>63</v>
      </c>
      <c r="B1385" s="38" t="str">
        <f aca="false">助手收入!$B64</f>
        <v/>
      </c>
      <c r="C1385" s="48" t="str">
        <f aca="false">助手收入!$C64</f>
        <v>备用18</v>
      </c>
      <c r="D1385" s="48" t="str">
        <f aca="false">科目对照收入!$B21&amp;""</f>
        <v>手续费</v>
      </c>
      <c r="E1385" s="48" t="str">
        <f aca="false">IF(AND(ROUND($G1385,2)&lt;0,科目对照收入!$L21&lt;&gt;""),科目对照收入!$L21,科目对照收入!$C21)&amp;""</f>
        <v>财务费用</v>
      </c>
      <c r="F1385" s="48" t="str">
        <f aca="false">IF(AND(ROUND($G1385,2)&lt;0,科目对照收入!$L21&lt;&gt;""),科目对照收入!$M21,科目对照收入!$D21)&amp;""</f>
        <v>手续费</v>
      </c>
      <c r="G1385" s="49" t="n">
        <f aca="false">ROUND(SUMIFS(输入聚合!$D:$D,输入聚合!$A:$A,助手收入!$X64),2)</f>
        <v>0</v>
      </c>
      <c r="H1385" s="49" t="str">
        <f aca="false">IF(ROUND($G1385,2)&gt;0,ROUND($G1385,2),"")</f>
        <v/>
      </c>
      <c r="I1385" s="49" t="str">
        <f aca="false">IF(ROUND($G1385,2)&lt;0,-ROUND($G1385,2),"")</f>
        <v/>
      </c>
      <c r="J1385" s="20" t="n">
        <f aca="false">IF(ROUND($G1385,2)=0,0,1)</f>
        <v>0</v>
      </c>
      <c r="K1385" s="20" t="str">
        <f aca="false">IF($J1385=0,"",SUM($J$1366:$J1385))</f>
        <v/>
      </c>
      <c r="L1385" s="20" t="str">
        <f aca="false">IF($K1385="","",$A1385*100+$K1385)</f>
        <v/>
      </c>
      <c r="M1385" s="48" t="str">
        <f aca="false">参数!$B$3</f>
        <v>7月收入</v>
      </c>
    </row>
    <row r="1386" customFormat="false" ht="13.5" hidden="false" customHeight="false" outlineLevel="0" collapsed="false">
      <c r="A1386" s="47" t="n">
        <v>63</v>
      </c>
      <c r="B1386" s="38" t="str">
        <f aca="false">助手收入!$B64</f>
        <v/>
      </c>
      <c r="C1386" s="48" t="str">
        <f aca="false">助手收入!$C64</f>
        <v>备用18</v>
      </c>
      <c r="D1386" s="48" t="str">
        <f aca="false">科目对照收入!$B22&amp;""</f>
        <v>主营业务收入</v>
      </c>
      <c r="E1386" s="48" t="str">
        <f aca="false">IF(AND(ROUND($G1386,2)&lt;0,科目对照收入!$L22&lt;&gt;""),科目对照收入!$L22,科目对照收入!$C22)&amp;""</f>
        <v>主营业务收入</v>
      </c>
      <c r="F1386" s="48" t="str">
        <f aca="false">IF(AND(ROUND($G1386,2)&lt;0,科目对照收入!$L22&lt;&gt;""),科目对照收入!$M22,科目对照收入!$D22)&amp;""</f>
        <v/>
      </c>
      <c r="G1386" s="49" t="n">
        <f aca="false">-ROUND(助手收入!$G64,2)</f>
        <v>-0</v>
      </c>
      <c r="H1386" s="49" t="str">
        <f aca="false">IF(ROUND($G1386,2)&gt;0,ROUND($G1386,2),"")</f>
        <v/>
      </c>
      <c r="I1386" s="49" t="str">
        <f aca="false">IF(ROUND($G1386,2)&lt;0,-ROUND($G1386,2),"")</f>
        <v/>
      </c>
      <c r="J1386" s="20" t="n">
        <f aca="false">IF(ROUND($G1386,2)=0,0,1)</f>
        <v>0</v>
      </c>
      <c r="K1386" s="20" t="str">
        <f aca="false">IF($J1386=0,"",SUM($J$1366:$J1386))</f>
        <v/>
      </c>
      <c r="L1386" s="20" t="str">
        <f aca="false">IF($K1386="","",$A1386*100+$K1386)</f>
        <v/>
      </c>
      <c r="M1386" s="48" t="str">
        <f aca="false">参数!$B$3</f>
        <v>7月收入</v>
      </c>
    </row>
    <row r="1387" customFormat="false" ht="13.5" hidden="false" customHeight="false" outlineLevel="0" collapsed="false">
      <c r="A1387" s="47" t="n">
        <v>63</v>
      </c>
      <c r="B1387" s="38" t="str">
        <f aca="false">助手收入!$B64</f>
        <v/>
      </c>
      <c r="C1387" s="48" t="str">
        <f aca="false">助手收入!$C64</f>
        <v>备用18</v>
      </c>
      <c r="D1387" s="48" t="str">
        <f aca="false">科目对照收入!$B23&amp;""</f>
        <v>营业外收入</v>
      </c>
      <c r="E1387" s="48" t="str">
        <f aca="false">IF(AND(ROUND($G1387,2)&lt;0,科目对照收入!$L23&lt;&gt;""),科目对照收入!$L23,科目对照收入!$C23)&amp;""</f>
        <v>营业外收入</v>
      </c>
      <c r="F1387" s="48" t="str">
        <f aca="false">IF(AND(ROUND($G1387,2)&lt;0,科目对照收入!$L23&lt;&gt;""),科目对照收入!$M23,科目对照收入!$D23)&amp;""</f>
        <v/>
      </c>
      <c r="G1387" s="49" t="n">
        <f aca="false">-ROUND(助手收入!$J64,2)</f>
        <v>-0</v>
      </c>
      <c r="H1387" s="49" t="str">
        <f aca="false">IF(ROUND($G1387,2)&gt;0,ROUND($G1387,2),"")</f>
        <v/>
      </c>
      <c r="I1387" s="49" t="str">
        <f aca="false">IF(ROUND($G1387,2)&lt;0,-ROUND($G1387,2),"")</f>
        <v/>
      </c>
      <c r="J1387" s="20" t="n">
        <f aca="false">IF(ROUND($G1387,2)=0,0,1)</f>
        <v>0</v>
      </c>
      <c r="K1387" s="20" t="str">
        <f aca="false">IF($J1387=0,"",SUM($J$1366:$J1387))</f>
        <v/>
      </c>
      <c r="L1387" s="20" t="str">
        <f aca="false">IF($K1387="","",$A1387*100+$K1387)</f>
        <v/>
      </c>
      <c r="M1387" s="48" t="str">
        <f aca="false">参数!$B$3</f>
        <v>7月收入</v>
      </c>
    </row>
    <row r="1388" customFormat="false" ht="13.5" hidden="false" customHeight="false" outlineLevel="0" collapsed="false">
      <c r="A1388" s="47" t="n">
        <v>64</v>
      </c>
      <c r="B1388" s="38" t="str">
        <f aca="false">助手收入!$B65</f>
        <v/>
      </c>
      <c r="C1388" s="48" t="str">
        <f aca="false">助手收入!$C65</f>
        <v>备用19</v>
      </c>
      <c r="D1388" s="48" t="str">
        <f aca="false">科目对照收入!$B2&amp;""</f>
        <v>库存现金</v>
      </c>
      <c r="E1388" s="48" t="str">
        <f aca="false">IF(AND(ROUND($G1388,2)&lt;0,科目对照收入!$L2&lt;&gt;""),科目对照收入!$L2,科目对照收入!$C2)&amp;""</f>
        <v>库存现金</v>
      </c>
      <c r="F1388" s="48" t="str">
        <f aca="false">IF(AND(ROUND($G1388,2)&lt;0,科目对照收入!$L2&lt;&gt;""),科目对照收入!$M2,科目对照收入!$D2)&amp;""</f>
        <v/>
      </c>
      <c r="G1388" s="49" t="n">
        <f aca="false">助手收入!$I65</f>
        <v>0</v>
      </c>
      <c r="H1388" s="49" t="str">
        <f aca="false">IF(ROUND($G1388,2)&gt;0,ROUND($G1388,2),"")</f>
        <v/>
      </c>
      <c r="I1388" s="49" t="str">
        <f aca="false">IF(ROUND($G1388,2)&lt;0,-ROUND($G1388,2),"")</f>
        <v/>
      </c>
      <c r="J1388" s="20" t="n">
        <f aca="false">IF(ROUND($G1388,2)=0,0,1)</f>
        <v>0</v>
      </c>
      <c r="K1388" s="20" t="str">
        <f aca="false">IF($J1388=0,"",SUM($J$1388:$J1388))</f>
        <v/>
      </c>
      <c r="L1388" s="20" t="str">
        <f aca="false">IF($K1388="","",$A1388*100+$K1388)</f>
        <v/>
      </c>
      <c r="M1388" s="48" t="str">
        <f aca="false">参数!$B$3</f>
        <v>7月收入</v>
      </c>
    </row>
    <row r="1389" customFormat="false" ht="13.5" hidden="false" customHeight="false" outlineLevel="0" collapsed="false">
      <c r="A1389" s="47" t="n">
        <v>64</v>
      </c>
      <c r="B1389" s="38" t="str">
        <f aca="false">助手收入!$B65</f>
        <v/>
      </c>
      <c r="C1389" s="48" t="str">
        <f aca="false">助手收入!$C65</f>
        <v>备用19</v>
      </c>
      <c r="D1389" s="48" t="str">
        <f aca="false">科目对照收入!$B3&amp;""</f>
        <v>聚合支付</v>
      </c>
      <c r="E1389" s="48" t="str">
        <f aca="false">IF(AND(ROUND($G1389,2)&lt;0,科目对照收入!$L3&lt;&gt;""),科目对照收入!$L3,科目对照收入!$C3)&amp;""</f>
        <v>应收账款</v>
      </c>
      <c r="F1389" s="48" t="str">
        <f aca="false">IF(AND(ROUND($G1389,2)&lt;0,科目对照收入!$L3&lt;&gt;""),科目对照收入!$M3,科目对照收入!$D3)&amp;""</f>
        <v>聚合支付</v>
      </c>
      <c r="G1389" s="49" t="n">
        <f aca="false">ROUND(SUMIFS(输入聚合!$C:$C,输入聚合!$A:$A,助手收入!$X65)-SUMIFS(输入聚合!$D:$D,输入聚合!$A:$A,助手收入!$X65),2)</f>
        <v>0</v>
      </c>
      <c r="H1389" s="49" t="str">
        <f aca="false">IF(ROUND($G1389,2)&gt;0,ROUND($G1389,2),"")</f>
        <v/>
      </c>
      <c r="I1389" s="49" t="str">
        <f aca="false">IF(ROUND($G1389,2)&lt;0,-ROUND($G1389,2),"")</f>
        <v/>
      </c>
      <c r="J1389" s="20" t="n">
        <f aca="false">IF(ROUND($G1389,2)=0,0,1)</f>
        <v>0</v>
      </c>
      <c r="K1389" s="20" t="str">
        <f aca="false">IF($J1389=0,"",SUM($J$1388:$J1389))</f>
        <v/>
      </c>
      <c r="L1389" s="20" t="str">
        <f aca="false">IF($K1389="","",$A1389*100+$K1389)</f>
        <v/>
      </c>
      <c r="M1389" s="48" t="str">
        <f aca="false">参数!$B$3</f>
        <v>7月收入</v>
      </c>
    </row>
    <row r="1390" customFormat="false" ht="13.5" hidden="false" customHeight="false" outlineLevel="0" collapsed="false">
      <c r="A1390" s="47" t="n">
        <v>64</v>
      </c>
      <c r="B1390" s="38" t="str">
        <f aca="false">助手收入!$B65</f>
        <v/>
      </c>
      <c r="C1390" s="48" t="str">
        <f aca="false">助手收入!$C65</f>
        <v>备用19</v>
      </c>
      <c r="D1390" s="48" t="str">
        <f aca="false">科目对照收入!$B4&amp;""</f>
        <v>医保</v>
      </c>
      <c r="E1390" s="48" t="str">
        <f aca="false">IF(AND(ROUND($G1390,2)&lt;0,科目对照收入!$L4&lt;&gt;""),科目对照收入!$L4,科目对照收入!$C4)&amp;""</f>
        <v>应收账款</v>
      </c>
      <c r="F1390" s="48" t="str">
        <f aca="false">IF(AND(ROUND($G1390,2)&lt;0,科目对照收入!$L4&lt;&gt;""),科目对照收入!$M4,科目对照收入!$D4)&amp;""</f>
        <v>医保</v>
      </c>
      <c r="G1390" s="49" t="n">
        <f aca="false">IF(COUNTIFS(输入平台!$A:$A,助手收入!$X65,输入平台!$B:$B,科目对照收入!$B4)&gt;0,ROUND(SUMIFS(输入平台!$C:$C,输入平台!$A:$A,助手收入!$X65,输入平台!$B:$B,科目对照收入!$B4),2),ROUND(海典汇总!$F$66+海典汇总!$G$66,2))</f>
        <v>0</v>
      </c>
      <c r="H1390" s="49" t="str">
        <f aca="false">IF(ROUND($G1390,2)&gt;0,ROUND($G1390,2),"")</f>
        <v/>
      </c>
      <c r="I1390" s="49" t="str">
        <f aca="false">IF(ROUND($G1390,2)&lt;0,-ROUND($G1390,2),"")</f>
        <v/>
      </c>
      <c r="J1390" s="20" t="n">
        <f aca="false">IF(ROUND($G1390,2)=0,0,1)</f>
        <v>0</v>
      </c>
      <c r="K1390" s="20" t="str">
        <f aca="false">IF($J1390=0,"",SUM($J$1388:$J1390))</f>
        <v/>
      </c>
      <c r="L1390" s="20" t="str">
        <f aca="false">IF($K1390="","",$A1390*100+$K1390)</f>
        <v/>
      </c>
      <c r="M1390" s="48" t="str">
        <f aca="false">参数!$B$3</f>
        <v>7月收入</v>
      </c>
    </row>
    <row r="1391" customFormat="false" ht="13.5" hidden="false" customHeight="false" outlineLevel="0" collapsed="false">
      <c r="A1391" s="47" t="n">
        <v>64</v>
      </c>
      <c r="B1391" s="38" t="str">
        <f aca="false">助手收入!$B65</f>
        <v/>
      </c>
      <c r="C1391" s="48" t="str">
        <f aca="false">助手收入!$C65</f>
        <v>备用19</v>
      </c>
      <c r="D1391" s="48" t="str">
        <f aca="false">科目对照收入!$B5&amp;""</f>
        <v>健e卡</v>
      </c>
      <c r="E1391" s="48" t="str">
        <f aca="false">IF(AND(ROUND($G1391,2)&lt;0,科目对照收入!$L5&lt;&gt;""),科目对照收入!$L5,科目对照收入!$C5)&amp;""</f>
        <v>应收账款</v>
      </c>
      <c r="F1391" s="48" t="str">
        <f aca="false">IF(AND(ROUND($G1391,2)&lt;0,科目对照收入!$L5&lt;&gt;""),科目对照收入!$M5,科目对照收入!$D5)&amp;""</f>
        <v>健e卡</v>
      </c>
      <c r="G1391" s="49" t="n">
        <f aca="false">IF(COUNTIFS(输入平台!$A:$A,助手收入!$X65,输入平台!$B:$B,科目对照收入!$B5)&gt;0,ROUND(SUMIFS(输入平台!$C:$C,输入平台!$A:$A,助手收入!$X65,输入平台!$B:$B,科目对照收入!$B5),2),ROUND(海典汇总!$H$66,2))</f>
        <v>0</v>
      </c>
      <c r="H1391" s="49" t="str">
        <f aca="false">IF(ROUND($G1391,2)&gt;0,ROUND($G1391,2),"")</f>
        <v/>
      </c>
      <c r="I1391" s="49" t="str">
        <f aca="false">IF(ROUND($G1391,2)&lt;0,-ROUND($G1391,2),"")</f>
        <v/>
      </c>
      <c r="J1391" s="20" t="n">
        <f aca="false">IF(ROUND($G1391,2)=0,0,1)</f>
        <v>0</v>
      </c>
      <c r="K1391" s="20" t="str">
        <f aca="false">IF($J1391=0,"",SUM($J$1388:$J1391))</f>
        <v/>
      </c>
      <c r="L1391" s="20" t="str">
        <f aca="false">IF($K1391="","",$A1391*100+$K1391)</f>
        <v/>
      </c>
      <c r="M1391" s="48" t="str">
        <f aca="false">参数!$B$3</f>
        <v>7月收入</v>
      </c>
    </row>
    <row r="1392" customFormat="false" ht="13.5" hidden="false" customHeight="false" outlineLevel="0" collapsed="false">
      <c r="A1392" s="47" t="n">
        <v>64</v>
      </c>
      <c r="B1392" s="38" t="str">
        <f aca="false">助手收入!$B65</f>
        <v/>
      </c>
      <c r="C1392" s="48" t="str">
        <f aca="false">助手收入!$C65</f>
        <v>备用19</v>
      </c>
      <c r="D1392" s="48" t="str">
        <f aca="false">科目对照收入!$B6&amp;""</f>
        <v>医卡通</v>
      </c>
      <c r="E1392" s="48" t="str">
        <f aca="false">IF(AND(ROUND($G1392,2)&lt;0,科目对照收入!$L6&lt;&gt;""),科目对照收入!$L6,科目对照收入!$C6)&amp;""</f>
        <v>应收账款</v>
      </c>
      <c r="F1392" s="48" t="str">
        <f aca="false">IF(AND(ROUND($G1392,2)&lt;0,科目对照收入!$L6&lt;&gt;""),科目对照收入!$M6,科目对照收入!$D6)&amp;""</f>
        <v>医卡通</v>
      </c>
      <c r="G1392" s="49" t="n">
        <f aca="false">IF(COUNTIFS(输入平台!$A:$A,助手收入!$X65,输入平台!$B:$B,科目对照收入!$B6)&gt;0,ROUND(SUMIFS(输入平台!$C:$C,输入平台!$A:$A,助手收入!$X65,输入平台!$B:$B,科目对照收入!$B6),2),ROUND(海典汇总!$I$66,2))</f>
        <v>0</v>
      </c>
      <c r="H1392" s="49" t="str">
        <f aca="false">IF(ROUND($G1392,2)&gt;0,ROUND($G1392,2),"")</f>
        <v/>
      </c>
      <c r="I1392" s="49" t="str">
        <f aca="false">IF(ROUND($G1392,2)&lt;0,-ROUND($G1392,2),"")</f>
        <v/>
      </c>
      <c r="J1392" s="20" t="n">
        <f aca="false">IF(ROUND($G1392,2)=0,0,1)</f>
        <v>0</v>
      </c>
      <c r="K1392" s="20" t="str">
        <f aca="false">IF($J1392=0,"",SUM($J$1388:$J1392))</f>
        <v/>
      </c>
      <c r="L1392" s="20" t="str">
        <f aca="false">IF($K1392="","",$A1392*100+$K1392)</f>
        <v/>
      </c>
      <c r="M1392" s="48" t="str">
        <f aca="false">参数!$B$3</f>
        <v>7月收入</v>
      </c>
    </row>
    <row r="1393" customFormat="false" ht="13.5" hidden="false" customHeight="false" outlineLevel="0" collapsed="false">
      <c r="A1393" s="47" t="n">
        <v>64</v>
      </c>
      <c r="B1393" s="38" t="str">
        <f aca="false">助手收入!$B65</f>
        <v/>
      </c>
      <c r="C1393" s="48" t="str">
        <f aca="false">助手收入!$C65</f>
        <v>备用19</v>
      </c>
      <c r="D1393" s="48" t="str">
        <f aca="false">科目对照收入!$B7&amp;""</f>
        <v>企健网</v>
      </c>
      <c r="E1393" s="48" t="str">
        <f aca="false">IF(AND(ROUND($G1393,2)&lt;0,科目对照收入!$L7&lt;&gt;""),科目对照收入!$L7,科目对照收入!$C7)&amp;""</f>
        <v>应收账款</v>
      </c>
      <c r="F1393" s="48" t="str">
        <f aca="false">IF(AND(ROUND($G1393,2)&lt;0,科目对照收入!$L7&lt;&gt;""),科目对照收入!$M7,科目对照收入!$D7)&amp;""</f>
        <v>企健网</v>
      </c>
      <c r="G1393" s="49" t="n">
        <f aca="false">IF(COUNTIFS(输入平台!$A:$A,助手收入!$X65,输入平台!$B:$B,科目对照收入!$B7)&gt;0,ROUND(SUMIFS(输入平台!$C:$C,输入平台!$A:$A,助手收入!$X65,输入平台!$B:$B,科目对照收入!$B7),2),ROUND(海典汇总!$J$66,2))</f>
        <v>0</v>
      </c>
      <c r="H1393" s="49" t="str">
        <f aca="false">IF(ROUND($G1393,2)&gt;0,ROUND($G1393,2),"")</f>
        <v/>
      </c>
      <c r="I1393" s="49" t="str">
        <f aca="false">IF(ROUND($G1393,2)&lt;0,-ROUND($G1393,2),"")</f>
        <v/>
      </c>
      <c r="J1393" s="20" t="n">
        <f aca="false">IF(ROUND($G1393,2)=0,0,1)</f>
        <v>0</v>
      </c>
      <c r="K1393" s="20" t="str">
        <f aca="false">IF($J1393=0,"",SUM($J$1388:$J1393))</f>
        <v/>
      </c>
      <c r="L1393" s="20" t="str">
        <f aca="false">IF($K1393="","",$A1393*100+$K1393)</f>
        <v/>
      </c>
      <c r="M1393" s="48" t="str">
        <f aca="false">参数!$B$3</f>
        <v>7月收入</v>
      </c>
    </row>
    <row r="1394" customFormat="false" ht="13.5" hidden="false" customHeight="false" outlineLevel="0" collapsed="false">
      <c r="A1394" s="47" t="n">
        <v>64</v>
      </c>
      <c r="B1394" s="38" t="str">
        <f aca="false">助手收入!$B65</f>
        <v/>
      </c>
      <c r="C1394" s="48" t="str">
        <f aca="false">助手收入!$C65</f>
        <v>备用19</v>
      </c>
      <c r="D1394" s="48" t="str">
        <f aca="false">科目对照收入!$B8&amp;""</f>
        <v>亲情卡</v>
      </c>
      <c r="E1394" s="48" t="str">
        <f aca="false">IF(AND(ROUND($G1394,2)&lt;0,科目对照收入!$L8&lt;&gt;""),科目对照收入!$L8,科目对照收入!$C8)&amp;""</f>
        <v>应收账款</v>
      </c>
      <c r="F1394" s="48" t="str">
        <f aca="false">IF(AND(ROUND($G1394,2)&lt;0,科目对照收入!$L8&lt;&gt;""),科目对照收入!$M8,科目对照收入!$D8)&amp;""</f>
        <v>亲情卡</v>
      </c>
      <c r="G1394" s="49" t="n">
        <f aca="false">IF(COUNTIFS(输入平台!$A:$A,助手收入!$X65,输入平台!$B:$B,科目对照收入!$B8)&gt;0,ROUND(SUMIFS(输入平台!$C:$C,输入平台!$A:$A,助手收入!$X65,输入平台!$B:$B,科目对照收入!$B8),2),ROUND(海典汇总!$Z$66,2))</f>
        <v>0</v>
      </c>
      <c r="H1394" s="49" t="str">
        <f aca="false">IF(ROUND($G1394,2)&gt;0,ROUND($G1394,2),"")</f>
        <v/>
      </c>
      <c r="I1394" s="49" t="str">
        <f aca="false">IF(ROUND($G1394,2)&lt;0,-ROUND($G1394,2),"")</f>
        <v/>
      </c>
      <c r="J1394" s="20" t="n">
        <f aca="false">IF(ROUND($G1394,2)=0,0,1)</f>
        <v>0</v>
      </c>
      <c r="K1394" s="20" t="str">
        <f aca="false">IF($J1394=0,"",SUM($J$1388:$J1394))</f>
        <v/>
      </c>
      <c r="L1394" s="20" t="str">
        <f aca="false">IF($K1394="","",$A1394*100+$K1394)</f>
        <v/>
      </c>
      <c r="M1394" s="48" t="str">
        <f aca="false">参数!$B$3</f>
        <v>7月收入</v>
      </c>
    </row>
    <row r="1395" customFormat="false" ht="13.5" hidden="false" customHeight="false" outlineLevel="0" collapsed="false">
      <c r="A1395" s="47" t="n">
        <v>64</v>
      </c>
      <c r="B1395" s="38" t="str">
        <f aca="false">助手收入!$B65</f>
        <v/>
      </c>
      <c r="C1395" s="48" t="str">
        <f aca="false">助手收入!$C65</f>
        <v>备用19</v>
      </c>
      <c r="D1395" s="48" t="str">
        <f aca="false">科目对照收入!$B9&amp;""</f>
        <v>24小时</v>
      </c>
      <c r="E1395" s="48" t="str">
        <f aca="false">IF(AND(ROUND($G1395,2)&lt;0,科目对照收入!$L9&lt;&gt;""),科目对照收入!$L9,科目对照收入!$C9)&amp;""</f>
        <v>应收账款</v>
      </c>
      <c r="F1395" s="48" t="str">
        <f aca="false">IF(AND(ROUND($G1395,2)&lt;0,科目对照收入!$L9&lt;&gt;""),科目对照收入!$M9,科目对照收入!$D9)&amp;""</f>
        <v>24小时</v>
      </c>
      <c r="G1395" s="49" t="n">
        <f aca="false">IF(COUNTIFS(输入平台!$A:$A,助手收入!$X65,输入平台!$B:$B,科目对照收入!$B9)&gt;0,ROUND(SUMIFS(输入平台!$C:$C,输入平台!$A:$A,助手收入!$X65,输入平台!$B:$B,科目对照收入!$B9),2),ROUND(海典汇总!$K$66,2))</f>
        <v>0</v>
      </c>
      <c r="H1395" s="49" t="str">
        <f aca="false">IF(ROUND($G1395,2)&gt;0,ROUND($G1395,2),"")</f>
        <v/>
      </c>
      <c r="I1395" s="49" t="str">
        <f aca="false">IF(ROUND($G1395,2)&lt;0,-ROUND($G1395,2),"")</f>
        <v/>
      </c>
      <c r="J1395" s="20" t="n">
        <f aca="false">IF(ROUND($G1395,2)=0,0,1)</f>
        <v>0</v>
      </c>
      <c r="K1395" s="20" t="str">
        <f aca="false">IF($J1395=0,"",SUM($J$1388:$J1395))</f>
        <v/>
      </c>
      <c r="L1395" s="20" t="str">
        <f aca="false">IF($K1395="","",$A1395*100+$K1395)</f>
        <v/>
      </c>
      <c r="M1395" s="48" t="str">
        <f aca="false">参数!$B$3</f>
        <v>7月收入</v>
      </c>
    </row>
    <row r="1396" customFormat="false" ht="13.5" hidden="false" customHeight="false" outlineLevel="0" collapsed="false">
      <c r="A1396" s="47" t="n">
        <v>64</v>
      </c>
      <c r="B1396" s="38" t="str">
        <f aca="false">助手收入!$B65</f>
        <v/>
      </c>
      <c r="C1396" s="48" t="str">
        <f aca="false">助手收入!$C65</f>
        <v>备用19</v>
      </c>
      <c r="D1396" s="48" t="str">
        <f aca="false">科目对照收入!$B10&amp;""</f>
        <v>美团</v>
      </c>
      <c r="E1396" s="48" t="str">
        <f aca="false">IF(AND(ROUND($G1396,2)&lt;0,科目对照收入!$L10&lt;&gt;""),科目对照收入!$L10,科目对照收入!$C10)&amp;""</f>
        <v>应收账款</v>
      </c>
      <c r="F1396" s="48" t="str">
        <f aca="false">IF(AND(ROUND($G1396,2)&lt;0,科目对照收入!$L10&lt;&gt;""),科目对照收入!$M10,科目对照收入!$D10)&amp;""</f>
        <v>美团</v>
      </c>
      <c r="G1396" s="49" t="n">
        <f aca="false">IF(COUNTIFS(输入平台!$A:$A,助手收入!$X65,输入平台!$B:$B,科目对照收入!$B10)&gt;0,ROUND(SUMIFS(输入平台!$C:$C,输入平台!$A:$A,助手收入!$X65,输入平台!$B:$B,科目对照收入!$B10),2),ROUND(海典汇总!$M$66,2))</f>
        <v>0</v>
      </c>
      <c r="H1396" s="49" t="str">
        <f aca="false">IF(ROUND($G1396,2)&gt;0,ROUND($G1396,2),"")</f>
        <v/>
      </c>
      <c r="I1396" s="49" t="str">
        <f aca="false">IF(ROUND($G1396,2)&lt;0,-ROUND($G1396,2),"")</f>
        <v/>
      </c>
      <c r="J1396" s="20" t="n">
        <f aca="false">IF(ROUND($G1396,2)=0,0,1)</f>
        <v>0</v>
      </c>
      <c r="K1396" s="20" t="str">
        <f aca="false">IF($J1396=0,"",SUM($J$1388:$J1396))</f>
        <v/>
      </c>
      <c r="L1396" s="20" t="str">
        <f aca="false">IF($K1396="","",$A1396*100+$K1396)</f>
        <v/>
      </c>
      <c r="M1396" s="48" t="str">
        <f aca="false">参数!$B$3</f>
        <v>7月收入</v>
      </c>
    </row>
    <row r="1397" customFormat="false" ht="13.5" hidden="false" customHeight="false" outlineLevel="0" collapsed="false">
      <c r="A1397" s="47" t="n">
        <v>64</v>
      </c>
      <c r="B1397" s="38" t="str">
        <f aca="false">助手收入!$B65</f>
        <v/>
      </c>
      <c r="C1397" s="48" t="str">
        <f aca="false">助手收入!$C65</f>
        <v>备用19</v>
      </c>
      <c r="D1397" s="48" t="str">
        <f aca="false">科目对照收入!$B11&amp;""</f>
        <v>饿了么</v>
      </c>
      <c r="E1397" s="48" t="str">
        <f aca="false">IF(AND(ROUND($G1397,2)&lt;0,科目对照收入!$L11&lt;&gt;""),科目对照收入!$L11,科目对照收入!$C11)&amp;""</f>
        <v>应收账款</v>
      </c>
      <c r="F1397" s="48" t="str">
        <f aca="false">IF(AND(ROUND($G1397,2)&lt;0,科目对照收入!$L11&lt;&gt;""),科目对照收入!$M11,科目对照收入!$D11)&amp;""</f>
        <v>饿了么</v>
      </c>
      <c r="G1397" s="49" t="n">
        <f aca="false">IF(COUNTIFS(输入平台!$A:$A,助手收入!$X65,输入平台!$B:$B,科目对照收入!$B11)&gt;0,ROUND(SUMIFS(输入平台!$C:$C,输入平台!$A:$A,助手收入!$X65,输入平台!$B:$B,科目对照收入!$B11),2),ROUND(海典汇总!$N$66,2))</f>
        <v>0</v>
      </c>
      <c r="H1397" s="49" t="str">
        <f aca="false">IF(ROUND($G1397,2)&gt;0,ROUND($G1397,2),"")</f>
        <v/>
      </c>
      <c r="I1397" s="49" t="str">
        <f aca="false">IF(ROUND($G1397,2)&lt;0,-ROUND($G1397,2),"")</f>
        <v/>
      </c>
      <c r="J1397" s="20" t="n">
        <f aca="false">IF(ROUND($G1397,2)=0,0,1)</f>
        <v>0</v>
      </c>
      <c r="K1397" s="20" t="str">
        <f aca="false">IF($J1397=0,"",SUM($J$1388:$J1397))</f>
        <v/>
      </c>
      <c r="L1397" s="20" t="str">
        <f aca="false">IF($K1397="","",$A1397*100+$K1397)</f>
        <v/>
      </c>
      <c r="M1397" s="48" t="str">
        <f aca="false">参数!$B$3</f>
        <v>7月收入</v>
      </c>
    </row>
    <row r="1398" customFormat="false" ht="13.5" hidden="false" customHeight="false" outlineLevel="0" collapsed="false">
      <c r="A1398" s="47" t="n">
        <v>64</v>
      </c>
      <c r="B1398" s="38" t="str">
        <f aca="false">助手收入!$B65</f>
        <v/>
      </c>
      <c r="C1398" s="48" t="str">
        <f aca="false">助手收入!$C65</f>
        <v>备用19</v>
      </c>
      <c r="D1398" s="48" t="str">
        <f aca="false">科目对照收入!$B12&amp;""</f>
        <v>京东秒送</v>
      </c>
      <c r="E1398" s="48" t="str">
        <f aca="false">IF(AND(ROUND($G1398,2)&lt;0,科目对照收入!$L12&lt;&gt;""),科目对照收入!$L12,科目对照收入!$C12)&amp;""</f>
        <v>应收账款</v>
      </c>
      <c r="F1398" s="48" t="str">
        <f aca="false">IF(AND(ROUND($G1398,2)&lt;0,科目对照收入!$L12&lt;&gt;""),科目对照收入!$M12,科目对照收入!$D12)&amp;""</f>
        <v>京东秒送</v>
      </c>
      <c r="G1398" s="49" t="n">
        <f aca="false">IF(COUNTIFS(输入平台!$A:$A,助手收入!$X65,输入平台!$B:$B,科目对照收入!$B12)&gt;0,ROUND(SUMIFS(输入平台!$C:$C,输入平台!$A:$A,助手收入!$X65,输入平台!$B:$B,科目对照收入!$B12),2),ROUND(海典汇总!$O$66,2))</f>
        <v>0</v>
      </c>
      <c r="H1398" s="49" t="str">
        <f aca="false">IF(ROUND($G1398,2)&gt;0,ROUND($G1398,2),"")</f>
        <v/>
      </c>
      <c r="I1398" s="49" t="str">
        <f aca="false">IF(ROUND($G1398,2)&lt;0,-ROUND($G1398,2),"")</f>
        <v/>
      </c>
      <c r="J1398" s="20" t="n">
        <f aca="false">IF(ROUND($G1398,2)=0,0,1)</f>
        <v>0</v>
      </c>
      <c r="K1398" s="20" t="str">
        <f aca="false">IF($J1398=0,"",SUM($J$1388:$J1398))</f>
        <v/>
      </c>
      <c r="L1398" s="20" t="str">
        <f aca="false">IF($K1398="","",$A1398*100+$K1398)</f>
        <v/>
      </c>
      <c r="M1398" s="48" t="str">
        <f aca="false">参数!$B$3</f>
        <v>7月收入</v>
      </c>
    </row>
    <row r="1399" customFormat="false" ht="13.5" hidden="false" customHeight="false" outlineLevel="0" collapsed="false">
      <c r="A1399" s="47" t="n">
        <v>64</v>
      </c>
      <c r="B1399" s="38" t="str">
        <f aca="false">助手收入!$B65</f>
        <v/>
      </c>
      <c r="C1399" s="48" t="str">
        <f aca="false">助手收入!$C65</f>
        <v>备用19</v>
      </c>
      <c r="D1399" s="48" t="str">
        <f aca="false">科目对照收入!$B13&amp;""</f>
        <v>银联</v>
      </c>
      <c r="E1399" s="48" t="str">
        <f aca="false">IF(AND(ROUND($G1399,2)&lt;0,科目对照收入!$L13&lt;&gt;""),科目对照收入!$L13,科目对照收入!$C13)&amp;""</f>
        <v>应收账款</v>
      </c>
      <c r="F1399" s="48" t="str">
        <f aca="false">IF(AND(ROUND($G1399,2)&lt;0,科目对照收入!$L13&lt;&gt;""),科目对照收入!$M13,科目对照收入!$D13)&amp;""</f>
        <v>银联</v>
      </c>
      <c r="G1399" s="49" t="n">
        <f aca="false">IF(COUNTIFS(输入平台!$A:$A,助手收入!$X65,输入平台!$B:$B,科目对照收入!$B13)&gt;0,ROUND(SUMIFS(输入平台!$C:$C,输入平台!$A:$A,助手收入!$X65,输入平台!$B:$B,科目对照收入!$B13),2),ROUND(海典汇总!$V$66,2))</f>
        <v>0</v>
      </c>
      <c r="H1399" s="49" t="str">
        <f aca="false">IF(ROUND($G1399,2)&gt;0,ROUND($G1399,2),"")</f>
        <v/>
      </c>
      <c r="I1399" s="49" t="str">
        <f aca="false">IF(ROUND($G1399,2)&lt;0,-ROUND($G1399,2),"")</f>
        <v/>
      </c>
      <c r="J1399" s="20" t="n">
        <f aca="false">IF(ROUND($G1399,2)=0,0,1)</f>
        <v>0</v>
      </c>
      <c r="K1399" s="20" t="str">
        <f aca="false">IF($J1399=0,"",SUM($J$1388:$J1399))</f>
        <v/>
      </c>
      <c r="L1399" s="20" t="str">
        <f aca="false">IF($K1399="","",$A1399*100+$K1399)</f>
        <v/>
      </c>
      <c r="M1399" s="48" t="str">
        <f aca="false">参数!$B$3</f>
        <v>7月收入</v>
      </c>
    </row>
    <row r="1400" customFormat="false" ht="13.5" hidden="false" customHeight="false" outlineLevel="0" collapsed="false">
      <c r="A1400" s="47" t="n">
        <v>64</v>
      </c>
      <c r="B1400" s="38" t="str">
        <f aca="false">助手收入!$B65</f>
        <v/>
      </c>
      <c r="C1400" s="48" t="str">
        <f aca="false">助手收入!$C65</f>
        <v>备用19</v>
      </c>
      <c r="D1400" s="48" t="str">
        <f aca="false">科目对照收入!$B14&amp;""</f>
        <v>小镇外卖</v>
      </c>
      <c r="E1400" s="48" t="str">
        <f aca="false">IF(AND(ROUND($G1400,2)&lt;0,科目对照收入!$L14&lt;&gt;""),科目对照收入!$L14,科目对照收入!$C14)&amp;""</f>
        <v>应收账款</v>
      </c>
      <c r="F1400" s="48" t="str">
        <f aca="false">IF(AND(ROUND($G1400,2)&lt;0,科目对照收入!$L14&lt;&gt;""),科目对照收入!$M14,科目对照收入!$D14)&amp;""</f>
        <v>小镇外卖</v>
      </c>
      <c r="G1400" s="49" t="n">
        <f aca="false">IF(COUNTIFS(输入平台!$A:$A,助手收入!$X65,输入平台!$B:$B,科目对照收入!$B14)&gt;0,ROUND(SUMIFS(输入平台!$C:$C,输入平台!$A:$A,助手收入!$X65,输入平台!$B:$B,科目对照收入!$B14),2),ROUND(海典汇总!$AC$66,2))</f>
        <v>0</v>
      </c>
      <c r="H1400" s="49" t="str">
        <f aca="false">IF(ROUND($G1400,2)&gt;0,ROUND($G1400,2),"")</f>
        <v/>
      </c>
      <c r="I1400" s="49" t="str">
        <f aca="false">IF(ROUND($G1400,2)&lt;0,-ROUND($G1400,2),"")</f>
        <v/>
      </c>
      <c r="J1400" s="20" t="n">
        <f aca="false">IF(ROUND($G1400,2)=0,0,1)</f>
        <v>0</v>
      </c>
      <c r="K1400" s="20" t="str">
        <f aca="false">IF($J1400=0,"",SUM($J$1388:$J1400))</f>
        <v/>
      </c>
      <c r="L1400" s="20" t="str">
        <f aca="false">IF($K1400="","",$A1400*100+$K1400)</f>
        <v/>
      </c>
      <c r="M1400" s="48" t="str">
        <f aca="false">参数!$B$3</f>
        <v>7月收入</v>
      </c>
    </row>
    <row r="1401" customFormat="false" ht="13.5" hidden="false" customHeight="false" outlineLevel="0" collapsed="false">
      <c r="A1401" s="47" t="n">
        <v>64</v>
      </c>
      <c r="B1401" s="38" t="str">
        <f aca="false">助手收入!$B65</f>
        <v/>
      </c>
      <c r="C1401" s="48" t="str">
        <f aca="false">助手收入!$C65</f>
        <v>备用19</v>
      </c>
      <c r="D1401" s="48" t="str">
        <f aca="false">科目对照收入!$B15&amp;""</f>
        <v>OMS线上支付</v>
      </c>
      <c r="E1401" s="48" t="str">
        <f aca="false">IF(AND(ROUND($G1401,2)&lt;0,科目对照收入!$L15&lt;&gt;""),科目对照收入!$L15,科目对照收入!$C15)&amp;""</f>
        <v>应收账款</v>
      </c>
      <c r="F1401" s="48" t="str">
        <f aca="false">IF(AND(ROUND($G1401,2)&lt;0,科目对照收入!$L15&lt;&gt;""),科目对照收入!$M15,科目对照收入!$D15)&amp;""</f>
        <v>OMS线上</v>
      </c>
      <c r="G1401" s="49" t="n">
        <f aca="false">IF(COUNTIFS(输入平台!$A:$A,助手收入!$X65,输入平台!$B:$B,科目对照收入!$B15)&gt;0,ROUND(SUMIFS(输入平台!$C:$C,输入平台!$A:$A,助手收入!$X65,输入平台!$B:$B,科目对照收入!$B15),2),ROUND(海典汇总!$L$66,2))</f>
        <v>0</v>
      </c>
      <c r="H1401" s="49" t="str">
        <f aca="false">IF(ROUND($G1401,2)&gt;0,ROUND($G1401,2),"")</f>
        <v/>
      </c>
      <c r="I1401" s="49" t="str">
        <f aca="false">IF(ROUND($G1401,2)&lt;0,-ROUND($G1401,2),"")</f>
        <v/>
      </c>
      <c r="J1401" s="20" t="n">
        <f aca="false">IF(ROUND($G1401,2)=0,0,1)</f>
        <v>0</v>
      </c>
      <c r="K1401" s="20" t="str">
        <f aca="false">IF($J1401=0,"",SUM($J$1388:$J1401))</f>
        <v/>
      </c>
      <c r="L1401" s="20" t="str">
        <f aca="false">IF($K1401="","",$A1401*100+$K1401)</f>
        <v/>
      </c>
      <c r="M1401" s="48" t="str">
        <f aca="false">参数!$B$3</f>
        <v>7月收入</v>
      </c>
    </row>
    <row r="1402" customFormat="false" ht="13.5" hidden="false" customHeight="false" outlineLevel="0" collapsed="false">
      <c r="A1402" s="47" t="n">
        <v>64</v>
      </c>
      <c r="B1402" s="38" t="str">
        <f aca="false">助手收入!$B65</f>
        <v/>
      </c>
      <c r="C1402" s="48" t="str">
        <f aca="false">助手收入!$C65</f>
        <v>备用19</v>
      </c>
      <c r="D1402" s="48" t="str">
        <f aca="false">科目对照收入!$B16&amp;""</f>
        <v>平安药卡</v>
      </c>
      <c r="E1402" s="48" t="str">
        <f aca="false">IF(AND(ROUND($G1402,2)&lt;0,科目对照收入!$L16&lt;&gt;""),科目对照收入!$L16,科目对照收入!$C16)&amp;""</f>
        <v>应收账款</v>
      </c>
      <c r="F1402" s="48" t="str">
        <f aca="false">IF(AND(ROUND($G1402,2)&lt;0,科目对照收入!$L16&lt;&gt;""),科目对照收入!$M16,科目对照收入!$D16)&amp;""</f>
        <v>平安</v>
      </c>
      <c r="G1402" s="49" t="n">
        <f aca="false">IF(COUNTIFS(输入平台!$A:$A,助手收入!$X65,输入平台!$B:$B,科目对照收入!$B16)&gt;0,ROUND(SUMIFS(输入平台!$C:$C,输入平台!$A:$A,助手收入!$X65,输入平台!$B:$B,科目对照收入!$B16),2),ROUND(海典汇总!$AB$66,2))</f>
        <v>0</v>
      </c>
      <c r="H1402" s="49" t="str">
        <f aca="false">IF(ROUND($G1402,2)&gt;0,ROUND($G1402,2),"")</f>
        <v/>
      </c>
      <c r="I1402" s="49" t="str">
        <f aca="false">IF(ROUND($G1402,2)&lt;0,-ROUND($G1402,2),"")</f>
        <v/>
      </c>
      <c r="J1402" s="20" t="n">
        <f aca="false">IF(ROUND($G1402,2)=0,0,1)</f>
        <v>0</v>
      </c>
      <c r="K1402" s="20" t="str">
        <f aca="false">IF($J1402=0,"",SUM($J$1388:$J1402))</f>
        <v/>
      </c>
      <c r="L1402" s="20" t="str">
        <f aca="false">IF($K1402="","",$A1402*100+$K1402)</f>
        <v/>
      </c>
      <c r="M1402" s="48" t="str">
        <f aca="false">参数!$B$3</f>
        <v>7月收入</v>
      </c>
    </row>
    <row r="1403" customFormat="false" ht="13.5" hidden="false" customHeight="false" outlineLevel="0" collapsed="false">
      <c r="A1403" s="47" t="n">
        <v>64</v>
      </c>
      <c r="B1403" s="38" t="str">
        <f aca="false">助手收入!$B65</f>
        <v/>
      </c>
      <c r="C1403" s="48" t="str">
        <f aca="false">助手收入!$C65</f>
        <v>备用19</v>
      </c>
      <c r="D1403" s="48" t="str">
        <f aca="false">科目对照收入!$B17&amp;""</f>
        <v>储值卡</v>
      </c>
      <c r="E1403" s="48" t="str">
        <f aca="false">IF(AND(ROUND($G1403,2)&lt;0,科目对照收入!$L17&lt;&gt;""),科目对照收入!$L17,科目对照收入!$C17)&amp;""</f>
        <v>其他应收款</v>
      </c>
      <c r="F1403" s="48" t="str">
        <f aca="false">IF(AND(ROUND($G1403,2)&lt;0,科目对照收入!$L17&lt;&gt;""),科目对照收入!$M17,科目对照收入!$D17)&amp;""</f>
        <v>储值卡</v>
      </c>
      <c r="G1403" s="49" t="n">
        <f aca="false">ROUND(海典汇总!$Q$66,2)</f>
        <v>0</v>
      </c>
      <c r="H1403" s="49" t="str">
        <f aca="false">IF(ROUND($G1403,2)&gt;0,ROUND($G1403,2),"")</f>
        <v/>
      </c>
      <c r="I1403" s="49" t="str">
        <f aca="false">IF(ROUND($G1403,2)&lt;0,-ROUND($G1403,2),"")</f>
        <v/>
      </c>
      <c r="J1403" s="20" t="n">
        <f aca="false">IF(ROUND($G1403,2)=0,0,1)</f>
        <v>0</v>
      </c>
      <c r="K1403" s="20" t="str">
        <f aca="false">IF($J1403=0,"",SUM($J$1388:$J1403))</f>
        <v/>
      </c>
      <c r="L1403" s="20" t="str">
        <f aca="false">IF($K1403="","",$A1403*100+$K1403)</f>
        <v/>
      </c>
      <c r="M1403" s="48" t="str">
        <f aca="false">参数!$B$3</f>
        <v>7月收入</v>
      </c>
    </row>
    <row r="1404" customFormat="false" ht="13.5" hidden="false" customHeight="false" outlineLevel="0" collapsed="false">
      <c r="A1404" s="47" t="n">
        <v>64</v>
      </c>
      <c r="B1404" s="38" t="str">
        <f aca="false">助手收入!$B65</f>
        <v/>
      </c>
      <c r="C1404" s="48" t="str">
        <f aca="false">助手收入!$C65</f>
        <v>备用19</v>
      </c>
      <c r="D1404" s="48" t="str">
        <f aca="false">科目对照收入!$B18&amp;""</f>
        <v>会员零钱包</v>
      </c>
      <c r="E1404" s="48" t="str">
        <f aca="false">IF(AND(ROUND($G1404,2)&lt;0,科目对照收入!$L18&lt;&gt;""),科目对照收入!$L18,科目对照收入!$C18)&amp;""</f>
        <v>其他应收款</v>
      </c>
      <c r="F1404" s="48" t="str">
        <f aca="false">IF(AND(ROUND($G1404,2)&lt;0,科目对照收入!$L18&lt;&gt;""),科目对照收入!$M18,科目对照收入!$D18)&amp;""</f>
        <v>会员零钱包</v>
      </c>
      <c r="G1404" s="49" t="n">
        <f aca="false">ROUND(海典汇总!$P$66,2)</f>
        <v>0</v>
      </c>
      <c r="H1404" s="49" t="str">
        <f aca="false">IF(ROUND($G1404,2)&gt;0,ROUND($G1404,2),"")</f>
        <v/>
      </c>
      <c r="I1404" s="49" t="str">
        <f aca="false">IF(ROUND($G1404,2)&lt;0,-ROUND($G1404,2),"")</f>
        <v/>
      </c>
      <c r="J1404" s="20" t="n">
        <f aca="false">IF(ROUND($G1404,2)=0,0,1)</f>
        <v>0</v>
      </c>
      <c r="K1404" s="20" t="str">
        <f aca="false">IF($J1404=0,"",SUM($J$1388:$J1404))</f>
        <v/>
      </c>
      <c r="L1404" s="20" t="str">
        <f aca="false">IF($K1404="","",$A1404*100+$K1404)</f>
        <v/>
      </c>
      <c r="M1404" s="48" t="str">
        <f aca="false">参数!$B$3</f>
        <v>7月收入</v>
      </c>
    </row>
    <row r="1405" customFormat="false" ht="13.5" hidden="false" customHeight="false" outlineLevel="0" collapsed="false">
      <c r="A1405" s="47" t="n">
        <v>64</v>
      </c>
      <c r="B1405" s="38" t="str">
        <f aca="false">助手收入!$B65</f>
        <v/>
      </c>
      <c r="C1405" s="48" t="str">
        <f aca="false">助手收入!$C65</f>
        <v>备用19</v>
      </c>
      <c r="D1405" s="48" t="str">
        <f aca="false">科目对照收入!$B19&amp;""</f>
        <v>促销费</v>
      </c>
      <c r="E1405" s="48" t="str">
        <f aca="false">IF(AND(ROUND($G1405,2)&lt;0,科目对照收入!$L19&lt;&gt;""),科目对照收入!$L19,科目对照收入!$C19)&amp;""</f>
        <v>销售费用</v>
      </c>
      <c r="F1405" s="48" t="str">
        <f aca="false">IF(AND(ROUND($G1405,2)&lt;0,科目对照收入!$L19&lt;&gt;""),科目对照收入!$M19,科目对照收入!$D19)&amp;""</f>
        <v>促销费</v>
      </c>
      <c r="G1405" s="49" t="n">
        <f aca="false">ROUND(海典汇总!$U$66+海典汇总!$T$66+海典汇总!$S$66,2)</f>
        <v>0</v>
      </c>
      <c r="H1405" s="49" t="str">
        <f aca="false">IF(ROUND($G1405,2)&gt;0,ROUND($G1405,2),"")</f>
        <v/>
      </c>
      <c r="I1405" s="49" t="str">
        <f aca="false">IF(ROUND($G1405,2)&lt;0,-ROUND($G1405,2),"")</f>
        <v/>
      </c>
      <c r="J1405" s="20" t="n">
        <f aca="false">IF(ROUND($G1405,2)=0,0,1)</f>
        <v>0</v>
      </c>
      <c r="K1405" s="20" t="str">
        <f aca="false">IF($J1405=0,"",SUM($J$1388:$J1405))</f>
        <v/>
      </c>
      <c r="L1405" s="20" t="str">
        <f aca="false">IF($K1405="","",$A1405*100+$K1405)</f>
        <v/>
      </c>
      <c r="M1405" s="48" t="str">
        <f aca="false">参数!$B$3</f>
        <v>7月收入</v>
      </c>
    </row>
    <row r="1406" customFormat="false" ht="13.5" hidden="false" customHeight="false" outlineLevel="0" collapsed="false">
      <c r="A1406" s="47" t="n">
        <v>64</v>
      </c>
      <c r="B1406" s="38" t="str">
        <f aca="false">助手收入!$B65</f>
        <v/>
      </c>
      <c r="C1406" s="48" t="str">
        <f aca="false">助手收入!$C65</f>
        <v>备用19</v>
      </c>
      <c r="D1406" s="48" t="str">
        <f aca="false">科目对照收入!$B20&amp;""</f>
        <v>积分</v>
      </c>
      <c r="E1406" s="48" t="str">
        <f aca="false">IF(AND(ROUND($G1406,2)&lt;0,科目对照收入!$L20&lt;&gt;""),科目对照收入!$L20,科目对照收入!$C20)&amp;""</f>
        <v>销售费用</v>
      </c>
      <c r="F1406" s="48" t="str">
        <f aca="false">IF(AND(ROUND($G1406,2)&lt;0,科目对照收入!$L20&lt;&gt;""),科目对照收入!$M20,科目对照收入!$D20)&amp;""</f>
        <v>积分</v>
      </c>
      <c r="G1406" s="49" t="n">
        <f aca="false">ROUND(海典汇总!$R$66,2)</f>
        <v>0</v>
      </c>
      <c r="H1406" s="49" t="str">
        <f aca="false">IF(ROUND($G1406,2)&gt;0,ROUND($G1406,2),"")</f>
        <v/>
      </c>
      <c r="I1406" s="49" t="str">
        <f aca="false">IF(ROUND($G1406,2)&lt;0,-ROUND($G1406,2),"")</f>
        <v/>
      </c>
      <c r="J1406" s="20" t="n">
        <f aca="false">IF(ROUND($G1406,2)=0,0,1)</f>
        <v>0</v>
      </c>
      <c r="K1406" s="20" t="str">
        <f aca="false">IF($J1406=0,"",SUM($J$1388:$J1406))</f>
        <v/>
      </c>
      <c r="L1406" s="20" t="str">
        <f aca="false">IF($K1406="","",$A1406*100+$K1406)</f>
        <v/>
      </c>
      <c r="M1406" s="48" t="str">
        <f aca="false">参数!$B$3</f>
        <v>7月收入</v>
      </c>
    </row>
    <row r="1407" customFormat="false" ht="13.5" hidden="false" customHeight="false" outlineLevel="0" collapsed="false">
      <c r="A1407" s="47" t="n">
        <v>64</v>
      </c>
      <c r="B1407" s="38" t="str">
        <f aca="false">助手收入!$B65</f>
        <v/>
      </c>
      <c r="C1407" s="48" t="str">
        <f aca="false">助手收入!$C65</f>
        <v>备用19</v>
      </c>
      <c r="D1407" s="48" t="str">
        <f aca="false">科目对照收入!$B21&amp;""</f>
        <v>手续费</v>
      </c>
      <c r="E1407" s="48" t="str">
        <f aca="false">IF(AND(ROUND($G1407,2)&lt;0,科目对照收入!$L21&lt;&gt;""),科目对照收入!$L21,科目对照收入!$C21)&amp;""</f>
        <v>财务费用</v>
      </c>
      <c r="F1407" s="48" t="str">
        <f aca="false">IF(AND(ROUND($G1407,2)&lt;0,科目对照收入!$L21&lt;&gt;""),科目对照收入!$M21,科目对照收入!$D21)&amp;""</f>
        <v>手续费</v>
      </c>
      <c r="G1407" s="49" t="n">
        <f aca="false">ROUND(SUMIFS(输入聚合!$D:$D,输入聚合!$A:$A,助手收入!$X65),2)</f>
        <v>0</v>
      </c>
      <c r="H1407" s="49" t="str">
        <f aca="false">IF(ROUND($G1407,2)&gt;0,ROUND($G1407,2),"")</f>
        <v/>
      </c>
      <c r="I1407" s="49" t="str">
        <f aca="false">IF(ROUND($G1407,2)&lt;0,-ROUND($G1407,2),"")</f>
        <v/>
      </c>
      <c r="J1407" s="20" t="n">
        <f aca="false">IF(ROUND($G1407,2)=0,0,1)</f>
        <v>0</v>
      </c>
      <c r="K1407" s="20" t="str">
        <f aca="false">IF($J1407=0,"",SUM($J$1388:$J1407))</f>
        <v/>
      </c>
      <c r="L1407" s="20" t="str">
        <f aca="false">IF($K1407="","",$A1407*100+$K1407)</f>
        <v/>
      </c>
      <c r="M1407" s="48" t="str">
        <f aca="false">参数!$B$3</f>
        <v>7月收入</v>
      </c>
    </row>
    <row r="1408" customFormat="false" ht="13.5" hidden="false" customHeight="false" outlineLevel="0" collapsed="false">
      <c r="A1408" s="47" t="n">
        <v>64</v>
      </c>
      <c r="B1408" s="38" t="str">
        <f aca="false">助手收入!$B65</f>
        <v/>
      </c>
      <c r="C1408" s="48" t="str">
        <f aca="false">助手收入!$C65</f>
        <v>备用19</v>
      </c>
      <c r="D1408" s="48" t="str">
        <f aca="false">科目对照收入!$B22&amp;""</f>
        <v>主营业务收入</v>
      </c>
      <c r="E1408" s="48" t="str">
        <f aca="false">IF(AND(ROUND($G1408,2)&lt;0,科目对照收入!$L22&lt;&gt;""),科目对照收入!$L22,科目对照收入!$C22)&amp;""</f>
        <v>主营业务收入</v>
      </c>
      <c r="F1408" s="48" t="str">
        <f aca="false">IF(AND(ROUND($G1408,2)&lt;0,科目对照收入!$L22&lt;&gt;""),科目对照收入!$M22,科目对照收入!$D22)&amp;""</f>
        <v/>
      </c>
      <c r="G1408" s="49" t="n">
        <f aca="false">-ROUND(助手收入!$G65,2)</f>
        <v>-0</v>
      </c>
      <c r="H1408" s="49" t="str">
        <f aca="false">IF(ROUND($G1408,2)&gt;0,ROUND($G1408,2),"")</f>
        <v/>
      </c>
      <c r="I1408" s="49" t="str">
        <f aca="false">IF(ROUND($G1408,2)&lt;0,-ROUND($G1408,2),"")</f>
        <v/>
      </c>
      <c r="J1408" s="20" t="n">
        <f aca="false">IF(ROUND($G1408,2)=0,0,1)</f>
        <v>0</v>
      </c>
      <c r="K1408" s="20" t="str">
        <f aca="false">IF($J1408=0,"",SUM($J$1388:$J1408))</f>
        <v/>
      </c>
      <c r="L1408" s="20" t="str">
        <f aca="false">IF($K1408="","",$A1408*100+$K1408)</f>
        <v/>
      </c>
      <c r="M1408" s="48" t="str">
        <f aca="false">参数!$B$3</f>
        <v>7月收入</v>
      </c>
    </row>
    <row r="1409" customFormat="false" ht="13.5" hidden="false" customHeight="false" outlineLevel="0" collapsed="false">
      <c r="A1409" s="47" t="n">
        <v>64</v>
      </c>
      <c r="B1409" s="38" t="str">
        <f aca="false">助手收入!$B65</f>
        <v/>
      </c>
      <c r="C1409" s="48" t="str">
        <f aca="false">助手收入!$C65</f>
        <v>备用19</v>
      </c>
      <c r="D1409" s="48" t="str">
        <f aca="false">科目对照收入!$B23&amp;""</f>
        <v>营业外收入</v>
      </c>
      <c r="E1409" s="48" t="str">
        <f aca="false">IF(AND(ROUND($G1409,2)&lt;0,科目对照收入!$L23&lt;&gt;""),科目对照收入!$L23,科目对照收入!$C23)&amp;""</f>
        <v>营业外收入</v>
      </c>
      <c r="F1409" s="48" t="str">
        <f aca="false">IF(AND(ROUND($G1409,2)&lt;0,科目对照收入!$L23&lt;&gt;""),科目对照收入!$M23,科目对照收入!$D23)&amp;""</f>
        <v/>
      </c>
      <c r="G1409" s="49" t="n">
        <f aca="false">-ROUND(助手收入!$J65,2)</f>
        <v>-0</v>
      </c>
      <c r="H1409" s="49" t="str">
        <f aca="false">IF(ROUND($G1409,2)&gt;0,ROUND($G1409,2),"")</f>
        <v/>
      </c>
      <c r="I1409" s="49" t="str">
        <f aca="false">IF(ROUND($G1409,2)&lt;0,-ROUND($G1409,2),"")</f>
        <v/>
      </c>
      <c r="J1409" s="20" t="n">
        <f aca="false">IF(ROUND($G1409,2)=0,0,1)</f>
        <v>0</v>
      </c>
      <c r="K1409" s="20" t="str">
        <f aca="false">IF($J1409=0,"",SUM($J$1388:$J1409))</f>
        <v/>
      </c>
      <c r="L1409" s="20" t="str">
        <f aca="false">IF($K1409="","",$A1409*100+$K1409)</f>
        <v/>
      </c>
      <c r="M1409" s="48" t="str">
        <f aca="false">参数!$B$3</f>
        <v>7月收入</v>
      </c>
    </row>
    <row r="1410" customFormat="false" ht="13.5" hidden="false" customHeight="false" outlineLevel="0" collapsed="false">
      <c r="A1410" s="47" t="n">
        <v>65</v>
      </c>
      <c r="B1410" s="38" t="str">
        <f aca="false">助手收入!$B66</f>
        <v/>
      </c>
      <c r="C1410" s="48" t="str">
        <f aca="false">助手收入!$C66</f>
        <v>备用20</v>
      </c>
      <c r="D1410" s="48" t="str">
        <f aca="false">科目对照收入!$B2&amp;""</f>
        <v>库存现金</v>
      </c>
      <c r="E1410" s="48" t="str">
        <f aca="false">IF(AND(ROUND($G1410,2)&lt;0,科目对照收入!$L2&lt;&gt;""),科目对照收入!$L2,科目对照收入!$C2)&amp;""</f>
        <v>库存现金</v>
      </c>
      <c r="F1410" s="48" t="str">
        <f aca="false">IF(AND(ROUND($G1410,2)&lt;0,科目对照收入!$L2&lt;&gt;""),科目对照收入!$M2,科目对照收入!$D2)&amp;""</f>
        <v/>
      </c>
      <c r="G1410" s="49" t="n">
        <f aca="false">助手收入!$I66</f>
        <v>0</v>
      </c>
      <c r="H1410" s="49" t="str">
        <f aca="false">IF(ROUND($G1410,2)&gt;0,ROUND($G1410,2),"")</f>
        <v/>
      </c>
      <c r="I1410" s="49" t="str">
        <f aca="false">IF(ROUND($G1410,2)&lt;0,-ROUND($G1410,2),"")</f>
        <v/>
      </c>
      <c r="J1410" s="20" t="n">
        <f aca="false">IF(ROUND($G1410,2)=0,0,1)</f>
        <v>0</v>
      </c>
      <c r="K1410" s="20" t="str">
        <f aca="false">IF($J1410=0,"",SUM($J$1410:$J1410))</f>
        <v/>
      </c>
      <c r="L1410" s="20" t="str">
        <f aca="false">IF($K1410="","",$A1410*100+$K1410)</f>
        <v/>
      </c>
      <c r="M1410" s="48" t="str">
        <f aca="false">参数!$B$3</f>
        <v>7月收入</v>
      </c>
    </row>
    <row r="1411" customFormat="false" ht="13.5" hidden="false" customHeight="false" outlineLevel="0" collapsed="false">
      <c r="A1411" s="47" t="n">
        <v>65</v>
      </c>
      <c r="B1411" s="38" t="str">
        <f aca="false">助手收入!$B66</f>
        <v/>
      </c>
      <c r="C1411" s="48" t="str">
        <f aca="false">助手收入!$C66</f>
        <v>备用20</v>
      </c>
      <c r="D1411" s="48" t="str">
        <f aca="false">科目对照收入!$B3&amp;""</f>
        <v>聚合支付</v>
      </c>
      <c r="E1411" s="48" t="str">
        <f aca="false">IF(AND(ROUND($G1411,2)&lt;0,科目对照收入!$L3&lt;&gt;""),科目对照收入!$L3,科目对照收入!$C3)&amp;""</f>
        <v>应收账款</v>
      </c>
      <c r="F1411" s="48" t="str">
        <f aca="false">IF(AND(ROUND($G1411,2)&lt;0,科目对照收入!$L3&lt;&gt;""),科目对照收入!$M3,科目对照收入!$D3)&amp;""</f>
        <v>聚合支付</v>
      </c>
      <c r="G1411" s="49" t="n">
        <f aca="false">ROUND(SUMIFS(输入聚合!$C:$C,输入聚合!$A:$A,助手收入!$X66)-SUMIFS(输入聚合!$D:$D,输入聚合!$A:$A,助手收入!$X66),2)</f>
        <v>0</v>
      </c>
      <c r="H1411" s="49" t="str">
        <f aca="false">IF(ROUND($G1411,2)&gt;0,ROUND($G1411,2),"")</f>
        <v/>
      </c>
      <c r="I1411" s="49" t="str">
        <f aca="false">IF(ROUND($G1411,2)&lt;0,-ROUND($G1411,2),"")</f>
        <v/>
      </c>
      <c r="J1411" s="20" t="n">
        <f aca="false">IF(ROUND($G1411,2)=0,0,1)</f>
        <v>0</v>
      </c>
      <c r="K1411" s="20" t="str">
        <f aca="false">IF($J1411=0,"",SUM($J$1410:$J1411))</f>
        <v/>
      </c>
      <c r="L1411" s="20" t="str">
        <f aca="false">IF($K1411="","",$A1411*100+$K1411)</f>
        <v/>
      </c>
      <c r="M1411" s="48" t="str">
        <f aca="false">参数!$B$3</f>
        <v>7月收入</v>
      </c>
    </row>
    <row r="1412" customFormat="false" ht="13.5" hidden="false" customHeight="false" outlineLevel="0" collapsed="false">
      <c r="A1412" s="47" t="n">
        <v>65</v>
      </c>
      <c r="B1412" s="38" t="str">
        <f aca="false">助手收入!$B66</f>
        <v/>
      </c>
      <c r="C1412" s="48" t="str">
        <f aca="false">助手收入!$C66</f>
        <v>备用20</v>
      </c>
      <c r="D1412" s="48" t="str">
        <f aca="false">科目对照收入!$B4&amp;""</f>
        <v>医保</v>
      </c>
      <c r="E1412" s="48" t="str">
        <f aca="false">IF(AND(ROUND($G1412,2)&lt;0,科目对照收入!$L4&lt;&gt;""),科目对照收入!$L4,科目对照收入!$C4)&amp;""</f>
        <v>应收账款</v>
      </c>
      <c r="F1412" s="48" t="str">
        <f aca="false">IF(AND(ROUND($G1412,2)&lt;0,科目对照收入!$L4&lt;&gt;""),科目对照收入!$M4,科目对照收入!$D4)&amp;""</f>
        <v>医保</v>
      </c>
      <c r="G1412" s="49" t="n">
        <f aca="false">IF(COUNTIFS(输入平台!$A:$A,助手收入!$X66,输入平台!$B:$B,科目对照收入!$B4)&gt;0,ROUND(SUMIFS(输入平台!$C:$C,输入平台!$A:$A,助手收入!$X66,输入平台!$B:$B,科目对照收入!$B4),2),ROUND(海典汇总!$F$67+海典汇总!$G$67,2))</f>
        <v>0</v>
      </c>
      <c r="H1412" s="49" t="str">
        <f aca="false">IF(ROUND($G1412,2)&gt;0,ROUND($G1412,2),"")</f>
        <v/>
      </c>
      <c r="I1412" s="49" t="str">
        <f aca="false">IF(ROUND($G1412,2)&lt;0,-ROUND($G1412,2),"")</f>
        <v/>
      </c>
      <c r="J1412" s="20" t="n">
        <f aca="false">IF(ROUND($G1412,2)=0,0,1)</f>
        <v>0</v>
      </c>
      <c r="K1412" s="20" t="str">
        <f aca="false">IF($J1412=0,"",SUM($J$1410:$J1412))</f>
        <v/>
      </c>
      <c r="L1412" s="20" t="str">
        <f aca="false">IF($K1412="","",$A1412*100+$K1412)</f>
        <v/>
      </c>
      <c r="M1412" s="48" t="str">
        <f aca="false">参数!$B$3</f>
        <v>7月收入</v>
      </c>
    </row>
    <row r="1413" customFormat="false" ht="13.5" hidden="false" customHeight="false" outlineLevel="0" collapsed="false">
      <c r="A1413" s="47" t="n">
        <v>65</v>
      </c>
      <c r="B1413" s="38" t="str">
        <f aca="false">助手收入!$B66</f>
        <v/>
      </c>
      <c r="C1413" s="48" t="str">
        <f aca="false">助手收入!$C66</f>
        <v>备用20</v>
      </c>
      <c r="D1413" s="48" t="str">
        <f aca="false">科目对照收入!$B5&amp;""</f>
        <v>健e卡</v>
      </c>
      <c r="E1413" s="48" t="str">
        <f aca="false">IF(AND(ROUND($G1413,2)&lt;0,科目对照收入!$L5&lt;&gt;""),科目对照收入!$L5,科目对照收入!$C5)&amp;""</f>
        <v>应收账款</v>
      </c>
      <c r="F1413" s="48" t="str">
        <f aca="false">IF(AND(ROUND($G1413,2)&lt;0,科目对照收入!$L5&lt;&gt;""),科目对照收入!$M5,科目对照收入!$D5)&amp;""</f>
        <v>健e卡</v>
      </c>
      <c r="G1413" s="49" t="n">
        <f aca="false">IF(COUNTIFS(输入平台!$A:$A,助手收入!$X66,输入平台!$B:$B,科目对照收入!$B5)&gt;0,ROUND(SUMIFS(输入平台!$C:$C,输入平台!$A:$A,助手收入!$X66,输入平台!$B:$B,科目对照收入!$B5),2),ROUND(海典汇总!$H$67,2))</f>
        <v>0</v>
      </c>
      <c r="H1413" s="49" t="str">
        <f aca="false">IF(ROUND($G1413,2)&gt;0,ROUND($G1413,2),"")</f>
        <v/>
      </c>
      <c r="I1413" s="49" t="str">
        <f aca="false">IF(ROUND($G1413,2)&lt;0,-ROUND($G1413,2),"")</f>
        <v/>
      </c>
      <c r="J1413" s="20" t="n">
        <f aca="false">IF(ROUND($G1413,2)=0,0,1)</f>
        <v>0</v>
      </c>
      <c r="K1413" s="20" t="str">
        <f aca="false">IF($J1413=0,"",SUM($J$1410:$J1413))</f>
        <v/>
      </c>
      <c r="L1413" s="20" t="str">
        <f aca="false">IF($K1413="","",$A1413*100+$K1413)</f>
        <v/>
      </c>
      <c r="M1413" s="48" t="str">
        <f aca="false">参数!$B$3</f>
        <v>7月收入</v>
      </c>
    </row>
    <row r="1414" customFormat="false" ht="13.5" hidden="false" customHeight="false" outlineLevel="0" collapsed="false">
      <c r="A1414" s="47" t="n">
        <v>65</v>
      </c>
      <c r="B1414" s="38" t="str">
        <f aca="false">助手收入!$B66</f>
        <v/>
      </c>
      <c r="C1414" s="48" t="str">
        <f aca="false">助手收入!$C66</f>
        <v>备用20</v>
      </c>
      <c r="D1414" s="48" t="str">
        <f aca="false">科目对照收入!$B6&amp;""</f>
        <v>医卡通</v>
      </c>
      <c r="E1414" s="48" t="str">
        <f aca="false">IF(AND(ROUND($G1414,2)&lt;0,科目对照收入!$L6&lt;&gt;""),科目对照收入!$L6,科目对照收入!$C6)&amp;""</f>
        <v>应收账款</v>
      </c>
      <c r="F1414" s="48" t="str">
        <f aca="false">IF(AND(ROUND($G1414,2)&lt;0,科目对照收入!$L6&lt;&gt;""),科目对照收入!$M6,科目对照收入!$D6)&amp;""</f>
        <v>医卡通</v>
      </c>
      <c r="G1414" s="49" t="n">
        <f aca="false">IF(COUNTIFS(输入平台!$A:$A,助手收入!$X66,输入平台!$B:$B,科目对照收入!$B6)&gt;0,ROUND(SUMIFS(输入平台!$C:$C,输入平台!$A:$A,助手收入!$X66,输入平台!$B:$B,科目对照收入!$B6),2),ROUND(海典汇总!$I$67,2))</f>
        <v>0</v>
      </c>
      <c r="H1414" s="49" t="str">
        <f aca="false">IF(ROUND($G1414,2)&gt;0,ROUND($G1414,2),"")</f>
        <v/>
      </c>
      <c r="I1414" s="49" t="str">
        <f aca="false">IF(ROUND($G1414,2)&lt;0,-ROUND($G1414,2),"")</f>
        <v/>
      </c>
      <c r="J1414" s="20" t="n">
        <f aca="false">IF(ROUND($G1414,2)=0,0,1)</f>
        <v>0</v>
      </c>
      <c r="K1414" s="20" t="str">
        <f aca="false">IF($J1414=0,"",SUM($J$1410:$J1414))</f>
        <v/>
      </c>
      <c r="L1414" s="20" t="str">
        <f aca="false">IF($K1414="","",$A1414*100+$K1414)</f>
        <v/>
      </c>
      <c r="M1414" s="48" t="str">
        <f aca="false">参数!$B$3</f>
        <v>7月收入</v>
      </c>
    </row>
    <row r="1415" customFormat="false" ht="13.5" hidden="false" customHeight="false" outlineLevel="0" collapsed="false">
      <c r="A1415" s="47" t="n">
        <v>65</v>
      </c>
      <c r="B1415" s="38" t="str">
        <f aca="false">助手收入!$B66</f>
        <v/>
      </c>
      <c r="C1415" s="48" t="str">
        <f aca="false">助手收入!$C66</f>
        <v>备用20</v>
      </c>
      <c r="D1415" s="48" t="str">
        <f aca="false">科目对照收入!$B7&amp;""</f>
        <v>企健网</v>
      </c>
      <c r="E1415" s="48" t="str">
        <f aca="false">IF(AND(ROUND($G1415,2)&lt;0,科目对照收入!$L7&lt;&gt;""),科目对照收入!$L7,科目对照收入!$C7)&amp;""</f>
        <v>应收账款</v>
      </c>
      <c r="F1415" s="48" t="str">
        <f aca="false">IF(AND(ROUND($G1415,2)&lt;0,科目对照收入!$L7&lt;&gt;""),科目对照收入!$M7,科目对照收入!$D7)&amp;""</f>
        <v>企健网</v>
      </c>
      <c r="G1415" s="49" t="n">
        <f aca="false">IF(COUNTIFS(输入平台!$A:$A,助手收入!$X66,输入平台!$B:$B,科目对照收入!$B7)&gt;0,ROUND(SUMIFS(输入平台!$C:$C,输入平台!$A:$A,助手收入!$X66,输入平台!$B:$B,科目对照收入!$B7),2),ROUND(海典汇总!$J$67,2))</f>
        <v>0</v>
      </c>
      <c r="H1415" s="49" t="str">
        <f aca="false">IF(ROUND($G1415,2)&gt;0,ROUND($G1415,2),"")</f>
        <v/>
      </c>
      <c r="I1415" s="49" t="str">
        <f aca="false">IF(ROUND($G1415,2)&lt;0,-ROUND($G1415,2),"")</f>
        <v/>
      </c>
      <c r="J1415" s="20" t="n">
        <f aca="false">IF(ROUND($G1415,2)=0,0,1)</f>
        <v>0</v>
      </c>
      <c r="K1415" s="20" t="str">
        <f aca="false">IF($J1415=0,"",SUM($J$1410:$J1415))</f>
        <v/>
      </c>
      <c r="L1415" s="20" t="str">
        <f aca="false">IF($K1415="","",$A1415*100+$K1415)</f>
        <v/>
      </c>
      <c r="M1415" s="48" t="str">
        <f aca="false">参数!$B$3</f>
        <v>7月收入</v>
      </c>
    </row>
    <row r="1416" customFormat="false" ht="13.5" hidden="false" customHeight="false" outlineLevel="0" collapsed="false">
      <c r="A1416" s="47" t="n">
        <v>65</v>
      </c>
      <c r="B1416" s="38" t="str">
        <f aca="false">助手收入!$B66</f>
        <v/>
      </c>
      <c r="C1416" s="48" t="str">
        <f aca="false">助手收入!$C66</f>
        <v>备用20</v>
      </c>
      <c r="D1416" s="48" t="str">
        <f aca="false">科目对照收入!$B8&amp;""</f>
        <v>亲情卡</v>
      </c>
      <c r="E1416" s="48" t="str">
        <f aca="false">IF(AND(ROUND($G1416,2)&lt;0,科目对照收入!$L8&lt;&gt;""),科目对照收入!$L8,科目对照收入!$C8)&amp;""</f>
        <v>应收账款</v>
      </c>
      <c r="F1416" s="48" t="str">
        <f aca="false">IF(AND(ROUND($G1416,2)&lt;0,科目对照收入!$L8&lt;&gt;""),科目对照收入!$M8,科目对照收入!$D8)&amp;""</f>
        <v>亲情卡</v>
      </c>
      <c r="G1416" s="49" t="n">
        <f aca="false">IF(COUNTIFS(输入平台!$A:$A,助手收入!$X66,输入平台!$B:$B,科目对照收入!$B8)&gt;0,ROUND(SUMIFS(输入平台!$C:$C,输入平台!$A:$A,助手收入!$X66,输入平台!$B:$B,科目对照收入!$B8),2),ROUND(海典汇总!$Z$67,2))</f>
        <v>0</v>
      </c>
      <c r="H1416" s="49" t="str">
        <f aca="false">IF(ROUND($G1416,2)&gt;0,ROUND($G1416,2),"")</f>
        <v/>
      </c>
      <c r="I1416" s="49" t="str">
        <f aca="false">IF(ROUND($G1416,2)&lt;0,-ROUND($G1416,2),"")</f>
        <v/>
      </c>
      <c r="J1416" s="20" t="n">
        <f aca="false">IF(ROUND($G1416,2)=0,0,1)</f>
        <v>0</v>
      </c>
      <c r="K1416" s="20" t="str">
        <f aca="false">IF($J1416=0,"",SUM($J$1410:$J1416))</f>
        <v/>
      </c>
      <c r="L1416" s="20" t="str">
        <f aca="false">IF($K1416="","",$A1416*100+$K1416)</f>
        <v/>
      </c>
      <c r="M1416" s="48" t="str">
        <f aca="false">参数!$B$3</f>
        <v>7月收入</v>
      </c>
    </row>
    <row r="1417" customFormat="false" ht="13.5" hidden="false" customHeight="false" outlineLevel="0" collapsed="false">
      <c r="A1417" s="47" t="n">
        <v>65</v>
      </c>
      <c r="B1417" s="38" t="str">
        <f aca="false">助手收入!$B66</f>
        <v/>
      </c>
      <c r="C1417" s="48" t="str">
        <f aca="false">助手收入!$C66</f>
        <v>备用20</v>
      </c>
      <c r="D1417" s="48" t="str">
        <f aca="false">科目对照收入!$B9&amp;""</f>
        <v>24小时</v>
      </c>
      <c r="E1417" s="48" t="str">
        <f aca="false">IF(AND(ROUND($G1417,2)&lt;0,科目对照收入!$L9&lt;&gt;""),科目对照收入!$L9,科目对照收入!$C9)&amp;""</f>
        <v>应收账款</v>
      </c>
      <c r="F1417" s="48" t="str">
        <f aca="false">IF(AND(ROUND($G1417,2)&lt;0,科目对照收入!$L9&lt;&gt;""),科目对照收入!$M9,科目对照收入!$D9)&amp;""</f>
        <v>24小时</v>
      </c>
      <c r="G1417" s="49" t="n">
        <f aca="false">IF(COUNTIFS(输入平台!$A:$A,助手收入!$X66,输入平台!$B:$B,科目对照收入!$B9)&gt;0,ROUND(SUMIFS(输入平台!$C:$C,输入平台!$A:$A,助手收入!$X66,输入平台!$B:$B,科目对照收入!$B9),2),ROUND(海典汇总!$K$67,2))</f>
        <v>0</v>
      </c>
      <c r="H1417" s="49" t="str">
        <f aca="false">IF(ROUND($G1417,2)&gt;0,ROUND($G1417,2),"")</f>
        <v/>
      </c>
      <c r="I1417" s="49" t="str">
        <f aca="false">IF(ROUND($G1417,2)&lt;0,-ROUND($G1417,2),"")</f>
        <v/>
      </c>
      <c r="J1417" s="20" t="n">
        <f aca="false">IF(ROUND($G1417,2)=0,0,1)</f>
        <v>0</v>
      </c>
      <c r="K1417" s="20" t="str">
        <f aca="false">IF($J1417=0,"",SUM($J$1410:$J1417))</f>
        <v/>
      </c>
      <c r="L1417" s="20" t="str">
        <f aca="false">IF($K1417="","",$A1417*100+$K1417)</f>
        <v/>
      </c>
      <c r="M1417" s="48" t="str">
        <f aca="false">参数!$B$3</f>
        <v>7月收入</v>
      </c>
    </row>
    <row r="1418" customFormat="false" ht="13.5" hidden="false" customHeight="false" outlineLevel="0" collapsed="false">
      <c r="A1418" s="47" t="n">
        <v>65</v>
      </c>
      <c r="B1418" s="38" t="str">
        <f aca="false">助手收入!$B66</f>
        <v/>
      </c>
      <c r="C1418" s="48" t="str">
        <f aca="false">助手收入!$C66</f>
        <v>备用20</v>
      </c>
      <c r="D1418" s="48" t="str">
        <f aca="false">科目对照收入!$B10&amp;""</f>
        <v>美团</v>
      </c>
      <c r="E1418" s="48" t="str">
        <f aca="false">IF(AND(ROUND($G1418,2)&lt;0,科目对照收入!$L10&lt;&gt;""),科目对照收入!$L10,科目对照收入!$C10)&amp;""</f>
        <v>应收账款</v>
      </c>
      <c r="F1418" s="48" t="str">
        <f aca="false">IF(AND(ROUND($G1418,2)&lt;0,科目对照收入!$L10&lt;&gt;""),科目对照收入!$M10,科目对照收入!$D10)&amp;""</f>
        <v>美团</v>
      </c>
      <c r="G1418" s="49" t="n">
        <f aca="false">IF(COUNTIFS(输入平台!$A:$A,助手收入!$X66,输入平台!$B:$B,科目对照收入!$B10)&gt;0,ROUND(SUMIFS(输入平台!$C:$C,输入平台!$A:$A,助手收入!$X66,输入平台!$B:$B,科目对照收入!$B10),2),ROUND(海典汇总!$M$67,2))</f>
        <v>0</v>
      </c>
      <c r="H1418" s="49" t="str">
        <f aca="false">IF(ROUND($G1418,2)&gt;0,ROUND($G1418,2),"")</f>
        <v/>
      </c>
      <c r="I1418" s="49" t="str">
        <f aca="false">IF(ROUND($G1418,2)&lt;0,-ROUND($G1418,2),"")</f>
        <v/>
      </c>
      <c r="J1418" s="20" t="n">
        <f aca="false">IF(ROUND($G1418,2)=0,0,1)</f>
        <v>0</v>
      </c>
      <c r="K1418" s="20" t="str">
        <f aca="false">IF($J1418=0,"",SUM($J$1410:$J1418))</f>
        <v/>
      </c>
      <c r="L1418" s="20" t="str">
        <f aca="false">IF($K1418="","",$A1418*100+$K1418)</f>
        <v/>
      </c>
      <c r="M1418" s="48" t="str">
        <f aca="false">参数!$B$3</f>
        <v>7月收入</v>
      </c>
    </row>
    <row r="1419" customFormat="false" ht="13.5" hidden="false" customHeight="false" outlineLevel="0" collapsed="false">
      <c r="A1419" s="47" t="n">
        <v>65</v>
      </c>
      <c r="B1419" s="38" t="str">
        <f aca="false">助手收入!$B66</f>
        <v/>
      </c>
      <c r="C1419" s="48" t="str">
        <f aca="false">助手收入!$C66</f>
        <v>备用20</v>
      </c>
      <c r="D1419" s="48" t="str">
        <f aca="false">科目对照收入!$B11&amp;""</f>
        <v>饿了么</v>
      </c>
      <c r="E1419" s="48" t="str">
        <f aca="false">IF(AND(ROUND($G1419,2)&lt;0,科目对照收入!$L11&lt;&gt;""),科目对照收入!$L11,科目对照收入!$C11)&amp;""</f>
        <v>应收账款</v>
      </c>
      <c r="F1419" s="48" t="str">
        <f aca="false">IF(AND(ROUND($G1419,2)&lt;0,科目对照收入!$L11&lt;&gt;""),科目对照收入!$M11,科目对照收入!$D11)&amp;""</f>
        <v>饿了么</v>
      </c>
      <c r="G1419" s="49" t="n">
        <f aca="false">IF(COUNTIFS(输入平台!$A:$A,助手收入!$X66,输入平台!$B:$B,科目对照收入!$B11)&gt;0,ROUND(SUMIFS(输入平台!$C:$C,输入平台!$A:$A,助手收入!$X66,输入平台!$B:$B,科目对照收入!$B11),2),ROUND(海典汇总!$N$67,2))</f>
        <v>0</v>
      </c>
      <c r="H1419" s="49" t="str">
        <f aca="false">IF(ROUND($G1419,2)&gt;0,ROUND($G1419,2),"")</f>
        <v/>
      </c>
      <c r="I1419" s="49" t="str">
        <f aca="false">IF(ROUND($G1419,2)&lt;0,-ROUND($G1419,2),"")</f>
        <v/>
      </c>
      <c r="J1419" s="20" t="n">
        <f aca="false">IF(ROUND($G1419,2)=0,0,1)</f>
        <v>0</v>
      </c>
      <c r="K1419" s="20" t="str">
        <f aca="false">IF($J1419=0,"",SUM($J$1410:$J1419))</f>
        <v/>
      </c>
      <c r="L1419" s="20" t="str">
        <f aca="false">IF($K1419="","",$A1419*100+$K1419)</f>
        <v/>
      </c>
      <c r="M1419" s="48" t="str">
        <f aca="false">参数!$B$3</f>
        <v>7月收入</v>
      </c>
    </row>
    <row r="1420" customFormat="false" ht="13.5" hidden="false" customHeight="false" outlineLevel="0" collapsed="false">
      <c r="A1420" s="47" t="n">
        <v>65</v>
      </c>
      <c r="B1420" s="38" t="str">
        <f aca="false">助手收入!$B66</f>
        <v/>
      </c>
      <c r="C1420" s="48" t="str">
        <f aca="false">助手收入!$C66</f>
        <v>备用20</v>
      </c>
      <c r="D1420" s="48" t="str">
        <f aca="false">科目对照收入!$B12&amp;""</f>
        <v>京东秒送</v>
      </c>
      <c r="E1420" s="48" t="str">
        <f aca="false">IF(AND(ROUND($G1420,2)&lt;0,科目对照收入!$L12&lt;&gt;""),科目对照收入!$L12,科目对照收入!$C12)&amp;""</f>
        <v>应收账款</v>
      </c>
      <c r="F1420" s="48" t="str">
        <f aca="false">IF(AND(ROUND($G1420,2)&lt;0,科目对照收入!$L12&lt;&gt;""),科目对照收入!$M12,科目对照收入!$D12)&amp;""</f>
        <v>京东秒送</v>
      </c>
      <c r="G1420" s="49" t="n">
        <f aca="false">IF(COUNTIFS(输入平台!$A:$A,助手收入!$X66,输入平台!$B:$B,科目对照收入!$B12)&gt;0,ROUND(SUMIFS(输入平台!$C:$C,输入平台!$A:$A,助手收入!$X66,输入平台!$B:$B,科目对照收入!$B12),2),ROUND(海典汇总!$O$67,2))</f>
        <v>0</v>
      </c>
      <c r="H1420" s="49" t="str">
        <f aca="false">IF(ROUND($G1420,2)&gt;0,ROUND($G1420,2),"")</f>
        <v/>
      </c>
      <c r="I1420" s="49" t="str">
        <f aca="false">IF(ROUND($G1420,2)&lt;0,-ROUND($G1420,2),"")</f>
        <v/>
      </c>
      <c r="J1420" s="20" t="n">
        <f aca="false">IF(ROUND($G1420,2)=0,0,1)</f>
        <v>0</v>
      </c>
      <c r="K1420" s="20" t="str">
        <f aca="false">IF($J1420=0,"",SUM($J$1410:$J1420))</f>
        <v/>
      </c>
      <c r="L1420" s="20" t="str">
        <f aca="false">IF($K1420="","",$A1420*100+$K1420)</f>
        <v/>
      </c>
      <c r="M1420" s="48" t="str">
        <f aca="false">参数!$B$3</f>
        <v>7月收入</v>
      </c>
    </row>
    <row r="1421" customFormat="false" ht="13.5" hidden="false" customHeight="false" outlineLevel="0" collapsed="false">
      <c r="A1421" s="47" t="n">
        <v>65</v>
      </c>
      <c r="B1421" s="38" t="str">
        <f aca="false">助手收入!$B66</f>
        <v/>
      </c>
      <c r="C1421" s="48" t="str">
        <f aca="false">助手收入!$C66</f>
        <v>备用20</v>
      </c>
      <c r="D1421" s="48" t="str">
        <f aca="false">科目对照收入!$B13&amp;""</f>
        <v>银联</v>
      </c>
      <c r="E1421" s="48" t="str">
        <f aca="false">IF(AND(ROUND($G1421,2)&lt;0,科目对照收入!$L13&lt;&gt;""),科目对照收入!$L13,科目对照收入!$C13)&amp;""</f>
        <v>应收账款</v>
      </c>
      <c r="F1421" s="48" t="str">
        <f aca="false">IF(AND(ROUND($G1421,2)&lt;0,科目对照收入!$L13&lt;&gt;""),科目对照收入!$M13,科目对照收入!$D13)&amp;""</f>
        <v>银联</v>
      </c>
      <c r="G1421" s="49" t="n">
        <f aca="false">IF(COUNTIFS(输入平台!$A:$A,助手收入!$X66,输入平台!$B:$B,科目对照收入!$B13)&gt;0,ROUND(SUMIFS(输入平台!$C:$C,输入平台!$A:$A,助手收入!$X66,输入平台!$B:$B,科目对照收入!$B13),2),ROUND(海典汇总!$V$67,2))</f>
        <v>0</v>
      </c>
      <c r="H1421" s="49" t="str">
        <f aca="false">IF(ROUND($G1421,2)&gt;0,ROUND($G1421,2),"")</f>
        <v/>
      </c>
      <c r="I1421" s="49" t="str">
        <f aca="false">IF(ROUND($G1421,2)&lt;0,-ROUND($G1421,2),"")</f>
        <v/>
      </c>
      <c r="J1421" s="20" t="n">
        <f aca="false">IF(ROUND($G1421,2)=0,0,1)</f>
        <v>0</v>
      </c>
      <c r="K1421" s="20" t="str">
        <f aca="false">IF($J1421=0,"",SUM($J$1410:$J1421))</f>
        <v/>
      </c>
      <c r="L1421" s="20" t="str">
        <f aca="false">IF($K1421="","",$A1421*100+$K1421)</f>
        <v/>
      </c>
      <c r="M1421" s="48" t="str">
        <f aca="false">参数!$B$3</f>
        <v>7月收入</v>
      </c>
    </row>
    <row r="1422" customFormat="false" ht="13.5" hidden="false" customHeight="false" outlineLevel="0" collapsed="false">
      <c r="A1422" s="47" t="n">
        <v>65</v>
      </c>
      <c r="B1422" s="38" t="str">
        <f aca="false">助手收入!$B66</f>
        <v/>
      </c>
      <c r="C1422" s="48" t="str">
        <f aca="false">助手收入!$C66</f>
        <v>备用20</v>
      </c>
      <c r="D1422" s="48" t="str">
        <f aca="false">科目对照收入!$B14&amp;""</f>
        <v>小镇外卖</v>
      </c>
      <c r="E1422" s="48" t="str">
        <f aca="false">IF(AND(ROUND($G1422,2)&lt;0,科目对照收入!$L14&lt;&gt;""),科目对照收入!$L14,科目对照收入!$C14)&amp;""</f>
        <v>应收账款</v>
      </c>
      <c r="F1422" s="48" t="str">
        <f aca="false">IF(AND(ROUND($G1422,2)&lt;0,科目对照收入!$L14&lt;&gt;""),科目对照收入!$M14,科目对照收入!$D14)&amp;""</f>
        <v>小镇外卖</v>
      </c>
      <c r="G1422" s="49" t="n">
        <f aca="false">IF(COUNTIFS(输入平台!$A:$A,助手收入!$X66,输入平台!$B:$B,科目对照收入!$B14)&gt;0,ROUND(SUMIFS(输入平台!$C:$C,输入平台!$A:$A,助手收入!$X66,输入平台!$B:$B,科目对照收入!$B14),2),ROUND(海典汇总!$AC$67,2))</f>
        <v>0</v>
      </c>
      <c r="H1422" s="49" t="str">
        <f aca="false">IF(ROUND($G1422,2)&gt;0,ROUND($G1422,2),"")</f>
        <v/>
      </c>
      <c r="I1422" s="49" t="str">
        <f aca="false">IF(ROUND($G1422,2)&lt;0,-ROUND($G1422,2),"")</f>
        <v/>
      </c>
      <c r="J1422" s="20" t="n">
        <f aca="false">IF(ROUND($G1422,2)=0,0,1)</f>
        <v>0</v>
      </c>
      <c r="K1422" s="20" t="str">
        <f aca="false">IF($J1422=0,"",SUM($J$1410:$J1422))</f>
        <v/>
      </c>
      <c r="L1422" s="20" t="str">
        <f aca="false">IF($K1422="","",$A1422*100+$K1422)</f>
        <v/>
      </c>
      <c r="M1422" s="48" t="str">
        <f aca="false">参数!$B$3</f>
        <v>7月收入</v>
      </c>
    </row>
    <row r="1423" customFormat="false" ht="13.5" hidden="false" customHeight="false" outlineLevel="0" collapsed="false">
      <c r="A1423" s="47" t="n">
        <v>65</v>
      </c>
      <c r="B1423" s="38" t="str">
        <f aca="false">助手收入!$B66</f>
        <v/>
      </c>
      <c r="C1423" s="48" t="str">
        <f aca="false">助手收入!$C66</f>
        <v>备用20</v>
      </c>
      <c r="D1423" s="48" t="str">
        <f aca="false">科目对照收入!$B15&amp;""</f>
        <v>OMS线上支付</v>
      </c>
      <c r="E1423" s="48" t="str">
        <f aca="false">IF(AND(ROUND($G1423,2)&lt;0,科目对照收入!$L15&lt;&gt;""),科目对照收入!$L15,科目对照收入!$C15)&amp;""</f>
        <v>应收账款</v>
      </c>
      <c r="F1423" s="48" t="str">
        <f aca="false">IF(AND(ROUND($G1423,2)&lt;0,科目对照收入!$L15&lt;&gt;""),科目对照收入!$M15,科目对照收入!$D15)&amp;""</f>
        <v>OMS线上</v>
      </c>
      <c r="G1423" s="49" t="n">
        <f aca="false">IF(COUNTIFS(输入平台!$A:$A,助手收入!$X66,输入平台!$B:$B,科目对照收入!$B15)&gt;0,ROUND(SUMIFS(输入平台!$C:$C,输入平台!$A:$A,助手收入!$X66,输入平台!$B:$B,科目对照收入!$B15),2),ROUND(海典汇总!$L$67,2))</f>
        <v>0</v>
      </c>
      <c r="H1423" s="49" t="str">
        <f aca="false">IF(ROUND($G1423,2)&gt;0,ROUND($G1423,2),"")</f>
        <v/>
      </c>
      <c r="I1423" s="49" t="str">
        <f aca="false">IF(ROUND($G1423,2)&lt;0,-ROUND($G1423,2),"")</f>
        <v/>
      </c>
      <c r="J1423" s="20" t="n">
        <f aca="false">IF(ROUND($G1423,2)=0,0,1)</f>
        <v>0</v>
      </c>
      <c r="K1423" s="20" t="str">
        <f aca="false">IF($J1423=0,"",SUM($J$1410:$J1423))</f>
        <v/>
      </c>
      <c r="L1423" s="20" t="str">
        <f aca="false">IF($K1423="","",$A1423*100+$K1423)</f>
        <v/>
      </c>
      <c r="M1423" s="48" t="str">
        <f aca="false">参数!$B$3</f>
        <v>7月收入</v>
      </c>
    </row>
    <row r="1424" customFormat="false" ht="13.5" hidden="false" customHeight="false" outlineLevel="0" collapsed="false">
      <c r="A1424" s="47" t="n">
        <v>65</v>
      </c>
      <c r="B1424" s="38" t="str">
        <f aca="false">助手收入!$B66</f>
        <v/>
      </c>
      <c r="C1424" s="48" t="str">
        <f aca="false">助手收入!$C66</f>
        <v>备用20</v>
      </c>
      <c r="D1424" s="48" t="str">
        <f aca="false">科目对照收入!$B16&amp;""</f>
        <v>平安药卡</v>
      </c>
      <c r="E1424" s="48" t="str">
        <f aca="false">IF(AND(ROUND($G1424,2)&lt;0,科目对照收入!$L16&lt;&gt;""),科目对照收入!$L16,科目对照收入!$C16)&amp;""</f>
        <v>应收账款</v>
      </c>
      <c r="F1424" s="48" t="str">
        <f aca="false">IF(AND(ROUND($G1424,2)&lt;0,科目对照收入!$L16&lt;&gt;""),科目对照收入!$M16,科目对照收入!$D16)&amp;""</f>
        <v>平安</v>
      </c>
      <c r="G1424" s="49" t="n">
        <f aca="false">IF(COUNTIFS(输入平台!$A:$A,助手收入!$X66,输入平台!$B:$B,科目对照收入!$B16)&gt;0,ROUND(SUMIFS(输入平台!$C:$C,输入平台!$A:$A,助手收入!$X66,输入平台!$B:$B,科目对照收入!$B16),2),ROUND(海典汇总!$AB$67,2))</f>
        <v>0</v>
      </c>
      <c r="H1424" s="49" t="str">
        <f aca="false">IF(ROUND($G1424,2)&gt;0,ROUND($G1424,2),"")</f>
        <v/>
      </c>
      <c r="I1424" s="49" t="str">
        <f aca="false">IF(ROUND($G1424,2)&lt;0,-ROUND($G1424,2),"")</f>
        <v/>
      </c>
      <c r="J1424" s="20" t="n">
        <f aca="false">IF(ROUND($G1424,2)=0,0,1)</f>
        <v>0</v>
      </c>
      <c r="K1424" s="20" t="str">
        <f aca="false">IF($J1424=0,"",SUM($J$1410:$J1424))</f>
        <v/>
      </c>
      <c r="L1424" s="20" t="str">
        <f aca="false">IF($K1424="","",$A1424*100+$K1424)</f>
        <v/>
      </c>
      <c r="M1424" s="48" t="str">
        <f aca="false">参数!$B$3</f>
        <v>7月收入</v>
      </c>
    </row>
    <row r="1425" customFormat="false" ht="13.5" hidden="false" customHeight="false" outlineLevel="0" collapsed="false">
      <c r="A1425" s="47" t="n">
        <v>65</v>
      </c>
      <c r="B1425" s="38" t="str">
        <f aca="false">助手收入!$B66</f>
        <v/>
      </c>
      <c r="C1425" s="48" t="str">
        <f aca="false">助手收入!$C66</f>
        <v>备用20</v>
      </c>
      <c r="D1425" s="48" t="str">
        <f aca="false">科目对照收入!$B17&amp;""</f>
        <v>储值卡</v>
      </c>
      <c r="E1425" s="48" t="str">
        <f aca="false">IF(AND(ROUND($G1425,2)&lt;0,科目对照收入!$L17&lt;&gt;""),科目对照收入!$L17,科目对照收入!$C17)&amp;""</f>
        <v>其他应收款</v>
      </c>
      <c r="F1425" s="48" t="str">
        <f aca="false">IF(AND(ROUND($G1425,2)&lt;0,科目对照收入!$L17&lt;&gt;""),科目对照收入!$M17,科目对照收入!$D17)&amp;""</f>
        <v>储值卡</v>
      </c>
      <c r="G1425" s="49" t="n">
        <f aca="false">ROUND(海典汇总!$Q$67,2)</f>
        <v>0</v>
      </c>
      <c r="H1425" s="49" t="str">
        <f aca="false">IF(ROUND($G1425,2)&gt;0,ROUND($G1425,2),"")</f>
        <v/>
      </c>
      <c r="I1425" s="49" t="str">
        <f aca="false">IF(ROUND($G1425,2)&lt;0,-ROUND($G1425,2),"")</f>
        <v/>
      </c>
      <c r="J1425" s="20" t="n">
        <f aca="false">IF(ROUND($G1425,2)=0,0,1)</f>
        <v>0</v>
      </c>
      <c r="K1425" s="20" t="str">
        <f aca="false">IF($J1425=0,"",SUM($J$1410:$J1425))</f>
        <v/>
      </c>
      <c r="L1425" s="20" t="str">
        <f aca="false">IF($K1425="","",$A1425*100+$K1425)</f>
        <v/>
      </c>
      <c r="M1425" s="48" t="str">
        <f aca="false">参数!$B$3</f>
        <v>7月收入</v>
      </c>
    </row>
    <row r="1426" customFormat="false" ht="13.5" hidden="false" customHeight="false" outlineLevel="0" collapsed="false">
      <c r="A1426" s="47" t="n">
        <v>65</v>
      </c>
      <c r="B1426" s="38" t="str">
        <f aca="false">助手收入!$B66</f>
        <v/>
      </c>
      <c r="C1426" s="48" t="str">
        <f aca="false">助手收入!$C66</f>
        <v>备用20</v>
      </c>
      <c r="D1426" s="48" t="str">
        <f aca="false">科目对照收入!$B18&amp;""</f>
        <v>会员零钱包</v>
      </c>
      <c r="E1426" s="48" t="str">
        <f aca="false">IF(AND(ROUND($G1426,2)&lt;0,科目对照收入!$L18&lt;&gt;""),科目对照收入!$L18,科目对照收入!$C18)&amp;""</f>
        <v>其他应收款</v>
      </c>
      <c r="F1426" s="48" t="str">
        <f aca="false">IF(AND(ROUND($G1426,2)&lt;0,科目对照收入!$L18&lt;&gt;""),科目对照收入!$M18,科目对照收入!$D18)&amp;""</f>
        <v>会员零钱包</v>
      </c>
      <c r="G1426" s="49" t="n">
        <f aca="false">ROUND(海典汇总!$P$67,2)</f>
        <v>0</v>
      </c>
      <c r="H1426" s="49" t="str">
        <f aca="false">IF(ROUND($G1426,2)&gt;0,ROUND($G1426,2),"")</f>
        <v/>
      </c>
      <c r="I1426" s="49" t="str">
        <f aca="false">IF(ROUND($G1426,2)&lt;0,-ROUND($G1426,2),"")</f>
        <v/>
      </c>
      <c r="J1426" s="20" t="n">
        <f aca="false">IF(ROUND($G1426,2)=0,0,1)</f>
        <v>0</v>
      </c>
      <c r="K1426" s="20" t="str">
        <f aca="false">IF($J1426=0,"",SUM($J$1410:$J1426))</f>
        <v/>
      </c>
      <c r="L1426" s="20" t="str">
        <f aca="false">IF($K1426="","",$A1426*100+$K1426)</f>
        <v/>
      </c>
      <c r="M1426" s="48" t="str">
        <f aca="false">参数!$B$3</f>
        <v>7月收入</v>
      </c>
    </row>
    <row r="1427" customFormat="false" ht="13.5" hidden="false" customHeight="false" outlineLevel="0" collapsed="false">
      <c r="A1427" s="47" t="n">
        <v>65</v>
      </c>
      <c r="B1427" s="38" t="str">
        <f aca="false">助手收入!$B66</f>
        <v/>
      </c>
      <c r="C1427" s="48" t="str">
        <f aca="false">助手收入!$C66</f>
        <v>备用20</v>
      </c>
      <c r="D1427" s="48" t="str">
        <f aca="false">科目对照收入!$B19&amp;""</f>
        <v>促销费</v>
      </c>
      <c r="E1427" s="48" t="str">
        <f aca="false">IF(AND(ROUND($G1427,2)&lt;0,科目对照收入!$L19&lt;&gt;""),科目对照收入!$L19,科目对照收入!$C19)&amp;""</f>
        <v>销售费用</v>
      </c>
      <c r="F1427" s="48" t="str">
        <f aca="false">IF(AND(ROUND($G1427,2)&lt;0,科目对照收入!$L19&lt;&gt;""),科目对照收入!$M19,科目对照收入!$D19)&amp;""</f>
        <v>促销费</v>
      </c>
      <c r="G1427" s="49" t="n">
        <f aca="false">ROUND(海典汇总!$U$67+海典汇总!$T$67+海典汇总!$S$67,2)</f>
        <v>0</v>
      </c>
      <c r="H1427" s="49" t="str">
        <f aca="false">IF(ROUND($G1427,2)&gt;0,ROUND($G1427,2),"")</f>
        <v/>
      </c>
      <c r="I1427" s="49" t="str">
        <f aca="false">IF(ROUND($G1427,2)&lt;0,-ROUND($G1427,2),"")</f>
        <v/>
      </c>
      <c r="J1427" s="20" t="n">
        <f aca="false">IF(ROUND($G1427,2)=0,0,1)</f>
        <v>0</v>
      </c>
      <c r="K1427" s="20" t="str">
        <f aca="false">IF($J1427=0,"",SUM($J$1410:$J1427))</f>
        <v/>
      </c>
      <c r="L1427" s="20" t="str">
        <f aca="false">IF($K1427="","",$A1427*100+$K1427)</f>
        <v/>
      </c>
      <c r="M1427" s="48" t="str">
        <f aca="false">参数!$B$3</f>
        <v>7月收入</v>
      </c>
    </row>
    <row r="1428" customFormat="false" ht="13.5" hidden="false" customHeight="false" outlineLevel="0" collapsed="false">
      <c r="A1428" s="47" t="n">
        <v>65</v>
      </c>
      <c r="B1428" s="38" t="str">
        <f aca="false">助手收入!$B66</f>
        <v/>
      </c>
      <c r="C1428" s="48" t="str">
        <f aca="false">助手收入!$C66</f>
        <v>备用20</v>
      </c>
      <c r="D1428" s="48" t="str">
        <f aca="false">科目对照收入!$B20&amp;""</f>
        <v>积分</v>
      </c>
      <c r="E1428" s="48" t="str">
        <f aca="false">IF(AND(ROUND($G1428,2)&lt;0,科目对照收入!$L20&lt;&gt;""),科目对照收入!$L20,科目对照收入!$C20)&amp;""</f>
        <v>销售费用</v>
      </c>
      <c r="F1428" s="48" t="str">
        <f aca="false">IF(AND(ROUND($G1428,2)&lt;0,科目对照收入!$L20&lt;&gt;""),科目对照收入!$M20,科目对照收入!$D20)&amp;""</f>
        <v>积分</v>
      </c>
      <c r="G1428" s="49" t="n">
        <f aca="false">ROUND(海典汇总!$R$67,2)</f>
        <v>0</v>
      </c>
      <c r="H1428" s="49" t="str">
        <f aca="false">IF(ROUND($G1428,2)&gt;0,ROUND($G1428,2),"")</f>
        <v/>
      </c>
      <c r="I1428" s="49" t="str">
        <f aca="false">IF(ROUND($G1428,2)&lt;0,-ROUND($G1428,2),"")</f>
        <v/>
      </c>
      <c r="J1428" s="20" t="n">
        <f aca="false">IF(ROUND($G1428,2)=0,0,1)</f>
        <v>0</v>
      </c>
      <c r="K1428" s="20" t="str">
        <f aca="false">IF($J1428=0,"",SUM($J$1410:$J1428))</f>
        <v/>
      </c>
      <c r="L1428" s="20" t="str">
        <f aca="false">IF($K1428="","",$A1428*100+$K1428)</f>
        <v/>
      </c>
      <c r="M1428" s="48" t="str">
        <f aca="false">参数!$B$3</f>
        <v>7月收入</v>
      </c>
    </row>
    <row r="1429" customFormat="false" ht="13.5" hidden="false" customHeight="false" outlineLevel="0" collapsed="false">
      <c r="A1429" s="47" t="n">
        <v>65</v>
      </c>
      <c r="B1429" s="38" t="str">
        <f aca="false">助手收入!$B66</f>
        <v/>
      </c>
      <c r="C1429" s="48" t="str">
        <f aca="false">助手收入!$C66</f>
        <v>备用20</v>
      </c>
      <c r="D1429" s="48" t="str">
        <f aca="false">科目对照收入!$B21&amp;""</f>
        <v>手续费</v>
      </c>
      <c r="E1429" s="48" t="str">
        <f aca="false">IF(AND(ROUND($G1429,2)&lt;0,科目对照收入!$L21&lt;&gt;""),科目对照收入!$L21,科目对照收入!$C21)&amp;""</f>
        <v>财务费用</v>
      </c>
      <c r="F1429" s="48" t="str">
        <f aca="false">IF(AND(ROUND($G1429,2)&lt;0,科目对照收入!$L21&lt;&gt;""),科目对照收入!$M21,科目对照收入!$D21)&amp;""</f>
        <v>手续费</v>
      </c>
      <c r="G1429" s="49" t="n">
        <f aca="false">ROUND(SUMIFS(输入聚合!$D:$D,输入聚合!$A:$A,助手收入!$X66),2)</f>
        <v>0</v>
      </c>
      <c r="H1429" s="49" t="str">
        <f aca="false">IF(ROUND($G1429,2)&gt;0,ROUND($G1429,2),"")</f>
        <v/>
      </c>
      <c r="I1429" s="49" t="str">
        <f aca="false">IF(ROUND($G1429,2)&lt;0,-ROUND($G1429,2),"")</f>
        <v/>
      </c>
      <c r="J1429" s="20" t="n">
        <f aca="false">IF(ROUND($G1429,2)=0,0,1)</f>
        <v>0</v>
      </c>
      <c r="K1429" s="20" t="str">
        <f aca="false">IF($J1429=0,"",SUM($J$1410:$J1429))</f>
        <v/>
      </c>
      <c r="L1429" s="20" t="str">
        <f aca="false">IF($K1429="","",$A1429*100+$K1429)</f>
        <v/>
      </c>
      <c r="M1429" s="48" t="str">
        <f aca="false">参数!$B$3</f>
        <v>7月收入</v>
      </c>
    </row>
    <row r="1430" customFormat="false" ht="13.5" hidden="false" customHeight="false" outlineLevel="0" collapsed="false">
      <c r="A1430" s="47" t="n">
        <v>65</v>
      </c>
      <c r="B1430" s="38" t="str">
        <f aca="false">助手收入!$B66</f>
        <v/>
      </c>
      <c r="C1430" s="48" t="str">
        <f aca="false">助手收入!$C66</f>
        <v>备用20</v>
      </c>
      <c r="D1430" s="48" t="str">
        <f aca="false">科目对照收入!$B22&amp;""</f>
        <v>主营业务收入</v>
      </c>
      <c r="E1430" s="48" t="str">
        <f aca="false">IF(AND(ROUND($G1430,2)&lt;0,科目对照收入!$L22&lt;&gt;""),科目对照收入!$L22,科目对照收入!$C22)&amp;""</f>
        <v>主营业务收入</v>
      </c>
      <c r="F1430" s="48" t="str">
        <f aca="false">IF(AND(ROUND($G1430,2)&lt;0,科目对照收入!$L22&lt;&gt;""),科目对照收入!$M22,科目对照收入!$D22)&amp;""</f>
        <v/>
      </c>
      <c r="G1430" s="49" t="n">
        <f aca="false">-ROUND(助手收入!$G66,2)</f>
        <v>-0</v>
      </c>
      <c r="H1430" s="49" t="str">
        <f aca="false">IF(ROUND($G1430,2)&gt;0,ROUND($G1430,2),"")</f>
        <v/>
      </c>
      <c r="I1430" s="49" t="str">
        <f aca="false">IF(ROUND($G1430,2)&lt;0,-ROUND($G1430,2),"")</f>
        <v/>
      </c>
      <c r="J1430" s="20" t="n">
        <f aca="false">IF(ROUND($G1430,2)=0,0,1)</f>
        <v>0</v>
      </c>
      <c r="K1430" s="20" t="str">
        <f aca="false">IF($J1430=0,"",SUM($J$1410:$J1430))</f>
        <v/>
      </c>
      <c r="L1430" s="20" t="str">
        <f aca="false">IF($K1430="","",$A1430*100+$K1430)</f>
        <v/>
      </c>
      <c r="M1430" s="48" t="str">
        <f aca="false">参数!$B$3</f>
        <v>7月收入</v>
      </c>
    </row>
    <row r="1431" customFormat="false" ht="13.5" hidden="false" customHeight="false" outlineLevel="0" collapsed="false">
      <c r="A1431" s="47" t="n">
        <v>65</v>
      </c>
      <c r="B1431" s="38" t="str">
        <f aca="false">助手收入!$B66</f>
        <v/>
      </c>
      <c r="C1431" s="48" t="str">
        <f aca="false">助手收入!$C66</f>
        <v>备用20</v>
      </c>
      <c r="D1431" s="48" t="str">
        <f aca="false">科目对照收入!$B23&amp;""</f>
        <v>营业外收入</v>
      </c>
      <c r="E1431" s="48" t="str">
        <f aca="false">IF(AND(ROUND($G1431,2)&lt;0,科目对照收入!$L23&lt;&gt;""),科目对照收入!$L23,科目对照收入!$C23)&amp;""</f>
        <v>营业外收入</v>
      </c>
      <c r="F1431" s="48" t="str">
        <f aca="false">IF(AND(ROUND($G1431,2)&lt;0,科目对照收入!$L23&lt;&gt;""),科目对照收入!$M23,科目对照收入!$D23)&amp;""</f>
        <v/>
      </c>
      <c r="G1431" s="49" t="n">
        <f aca="false">-ROUND(助手收入!$J66,2)</f>
        <v>-0</v>
      </c>
      <c r="H1431" s="49" t="str">
        <f aca="false">IF(ROUND($G1431,2)&gt;0,ROUND($G1431,2),"")</f>
        <v/>
      </c>
      <c r="I1431" s="49" t="str">
        <f aca="false">IF(ROUND($G1431,2)&lt;0,-ROUND($G1431,2),"")</f>
        <v/>
      </c>
      <c r="J1431" s="20" t="n">
        <f aca="false">IF(ROUND($G1431,2)=0,0,1)</f>
        <v>0</v>
      </c>
      <c r="K1431" s="20" t="str">
        <f aca="false">IF($J1431=0,"",SUM($J$1410:$J1431))</f>
        <v/>
      </c>
      <c r="L1431" s="20" t="str">
        <f aca="false">IF($K1431="","",$A1431*100+$K1431)</f>
        <v/>
      </c>
      <c r="M1431" s="48" t="str">
        <f aca="false">参数!$B$3</f>
        <v>7月收入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1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20" min="16" style="0" width="8"/>
    <col collapsed="false" customWidth="true" hidden="false" outlineLevel="0" max="23" min="23" style="0" width="7"/>
    <col collapsed="false" customWidth="true" hidden="false" outlineLevel="0" max="24" min="24" style="0" width="12"/>
  </cols>
  <sheetData>
    <row r="1" customFormat="false" ht="14.9" hidden="false" customHeight="false" outlineLevel="0" collapsed="false">
      <c r="A1" s="17" t="s">
        <v>448</v>
      </c>
      <c r="B1" s="17" t="s">
        <v>88</v>
      </c>
      <c r="C1" s="17" t="s">
        <v>412</v>
      </c>
      <c r="D1" s="17" t="s">
        <v>411</v>
      </c>
      <c r="E1" s="17" t="s">
        <v>455</v>
      </c>
      <c r="F1" s="17" t="s">
        <v>456</v>
      </c>
      <c r="G1" s="17" t="s">
        <v>457</v>
      </c>
      <c r="H1" s="17" t="s">
        <v>270</v>
      </c>
      <c r="I1" s="17" t="s">
        <v>68</v>
      </c>
      <c r="J1" s="17" t="s">
        <v>269</v>
      </c>
      <c r="K1" s="17" t="s">
        <v>458</v>
      </c>
      <c r="L1" s="17" t="s">
        <v>459</v>
      </c>
      <c r="M1" s="17" t="s">
        <v>460</v>
      </c>
      <c r="N1" s="17" t="s">
        <v>461</v>
      </c>
      <c r="O1" s="17" t="s">
        <v>462</v>
      </c>
      <c r="P1" s="50" t="s">
        <v>463</v>
      </c>
      <c r="Q1" s="50" t="s">
        <v>464</v>
      </c>
      <c r="R1" s="50" t="s">
        <v>465</v>
      </c>
      <c r="S1" s="50" t="s">
        <v>466</v>
      </c>
      <c r="T1" s="50" t="s">
        <v>467</v>
      </c>
      <c r="U1" s="51" t="s">
        <v>468</v>
      </c>
      <c r="V1" s="52" t="n">
        <f aca="false">SUM($L$2:$L$66)</f>
        <v>78</v>
      </c>
      <c r="W1" s="50" t="s">
        <v>469</v>
      </c>
      <c r="X1" s="50" t="s">
        <v>470</v>
      </c>
    </row>
    <row r="2" customFormat="false" ht="13.5" hidden="false" customHeight="false" outlineLevel="0" collapsed="false">
      <c r="A2" s="47" t="n">
        <v>1</v>
      </c>
      <c r="B2" s="25" t="n">
        <f aca="false">IF(门店对照!$A2="","",门店对照!$A2)</f>
        <v>2001</v>
      </c>
      <c r="C2" s="26" t="str">
        <f aca="false">门店对照!$C2&amp;""</f>
        <v>柏人商城店</v>
      </c>
      <c r="D2" s="14" t="n">
        <f aca="false">参数!$B$2</f>
        <v>46234</v>
      </c>
      <c r="E2" s="15" t="n">
        <f aca="false">ROUND(SUMIFS(输入现金!$B:$B,输入现金!$A:$A,$X2),2)</f>
        <v>6428.43</v>
      </c>
      <c r="F2" s="15" t="n">
        <f aca="false">ROUND(SUM(分录收入!$G$3:$G$21),2)</f>
        <v>29981.08</v>
      </c>
      <c r="G2" s="15" t="n">
        <f aca="false">ROUND(海典汇总!$AE$3,2)</f>
        <v>36409.51</v>
      </c>
      <c r="H2" s="15" t="n">
        <f aca="false">ROUND($E2+$F2-$G2,2)</f>
        <v>0</v>
      </c>
      <c r="I2" s="15" t="n">
        <f aca="false">ROUND($E2+MAX(0,-$H2),2)</f>
        <v>6428.43</v>
      </c>
      <c r="J2" s="15" t="n">
        <f aca="false">ROUND(MAX(0,$H2),2)</f>
        <v>0</v>
      </c>
      <c r="K2" s="20" t="n">
        <f aca="false">SUM(分录收入!$J$2:$J$23)</f>
        <v>7</v>
      </c>
      <c r="L2" s="20" t="n">
        <f aca="false">IF(OR($K2=0,$W2=0),0,ROUNDUP($K2/6,0))</f>
        <v>2</v>
      </c>
      <c r="M2" s="20" t="n">
        <f aca="false">SUM($L$2:$L2)</f>
        <v>2</v>
      </c>
      <c r="N2" s="15" t="n">
        <f aca="false">ROUND(SUM(分录收入!$H$2:$H$23),2)</f>
        <v>36409.51</v>
      </c>
      <c r="O2" s="15" t="n">
        <f aca="false">ROUND(SUM(分录收入!$I$2:$I$23),2)</f>
        <v>36409.51</v>
      </c>
      <c r="P2" s="20" t="n">
        <f aca="false">IF($L2=0,"",COUNTIF($L$2:$L2,"&gt;0"))</f>
        <v>1</v>
      </c>
      <c r="Q2" s="47" t="n">
        <v>1</v>
      </c>
      <c r="R2" s="20" t="n">
        <f aca="false">IF(1&gt;$V$1,"",COUNTIF($M$2:$M$66,"&lt;"&amp;1)+1)</f>
        <v>1</v>
      </c>
      <c r="S2" s="20" t="n">
        <f aca="false">IF($R2="","",1-IF($R2=1,0,INDEX($M$2:$M$66,$R2-1)))</f>
        <v>1</v>
      </c>
      <c r="T2" s="20" t="n">
        <f aca="false">IF($R2="",0,IF($S2=INDEX($L$2:$L$66,$R2),1,0))</f>
        <v>0</v>
      </c>
      <c r="W2" s="20" t="n">
        <f aca="false">门店对照!$D2</f>
        <v>1</v>
      </c>
      <c r="X2" s="38" t="n">
        <f aca="false">IF($W2=1,$B2,"#未启用#")</f>
        <v>2001</v>
      </c>
    </row>
    <row r="3" customFormat="false" ht="13.5" hidden="false" customHeight="false" outlineLevel="0" collapsed="false">
      <c r="A3" s="47" t="n">
        <v>2</v>
      </c>
      <c r="B3" s="25" t="n">
        <f aca="false">IF(门店对照!$A3="","",门店对照!$A3)</f>
        <v>2002</v>
      </c>
      <c r="C3" s="26" t="str">
        <f aca="false">门店对照!$C3&amp;""</f>
        <v>新隆店</v>
      </c>
      <c r="D3" s="14" t="n">
        <f aca="false">参数!$B$2</f>
        <v>46234</v>
      </c>
      <c r="E3" s="15" t="n">
        <f aca="false">ROUND(SUMIFS(输入现金!$B:$B,输入现金!$A:$A,$X3),2)</f>
        <v>290970.85</v>
      </c>
      <c r="F3" s="15" t="n">
        <f aca="false">ROUND(SUM(分录收入!$G$25:$G$43),2)</f>
        <v>153150.6</v>
      </c>
      <c r="G3" s="15" t="n">
        <f aca="false">ROUND(海典汇总!$AE$4,2)</f>
        <v>444121.45</v>
      </c>
      <c r="H3" s="15" t="n">
        <f aca="false">ROUND($E3+$F3-$G3,2)</f>
        <v>0</v>
      </c>
      <c r="I3" s="15" t="n">
        <f aca="false">ROUND($E3+MAX(0,-$H3),2)</f>
        <v>290970.85</v>
      </c>
      <c r="J3" s="15" t="n">
        <f aca="false">ROUND(MAX(0,$H3),2)</f>
        <v>0</v>
      </c>
      <c r="K3" s="20" t="n">
        <f aca="false">SUM(分录收入!$J$24:$J$45)</f>
        <v>7</v>
      </c>
      <c r="L3" s="20" t="n">
        <f aca="false">IF(OR($K3=0,$W3=0),0,ROUNDUP($K3/6,0))</f>
        <v>2</v>
      </c>
      <c r="M3" s="20" t="n">
        <f aca="false">SUM($L$2:$L3)</f>
        <v>4</v>
      </c>
      <c r="N3" s="15" t="n">
        <f aca="false">ROUND(SUM(分录收入!$H$24:$H$45),2)</f>
        <v>444121.45</v>
      </c>
      <c r="O3" s="15" t="n">
        <f aca="false">ROUND(SUM(分录收入!$I$24:$I$45),2)</f>
        <v>444121.45</v>
      </c>
      <c r="P3" s="20" t="n">
        <f aca="false">IF($L3=0,"",COUNTIF($L$2:$L3,"&gt;0"))</f>
        <v>2</v>
      </c>
      <c r="Q3" s="47" t="n">
        <v>2</v>
      </c>
      <c r="R3" s="20" t="n">
        <f aca="false">IF(2&gt;$V$1,"",COUNTIF($M$2:$M$66,"&lt;"&amp;2)+1)</f>
        <v>1</v>
      </c>
      <c r="S3" s="20" t="n">
        <f aca="false">IF($R3="","",2-IF($R3=1,0,INDEX($M$2:$M$66,$R3-1)))</f>
        <v>2</v>
      </c>
      <c r="T3" s="20" t="n">
        <f aca="false">IF($R3="",0,IF($S3=INDEX($L$2:$L$66,$R3),1,0))</f>
        <v>1</v>
      </c>
      <c r="W3" s="20" t="n">
        <f aca="false">门店对照!$D3</f>
        <v>1</v>
      </c>
      <c r="X3" s="38" t="n">
        <f aca="false">IF($W3=1,$B3,"#未启用#")</f>
        <v>2002</v>
      </c>
    </row>
    <row r="4" customFormat="false" ht="13.5" hidden="false" customHeight="false" outlineLevel="0" collapsed="false">
      <c r="A4" s="47" t="n">
        <v>3</v>
      </c>
      <c r="B4" s="25" t="n">
        <f aca="false">IF(门店对照!$A4="","",门店对照!$A4)</f>
        <v>2003</v>
      </c>
      <c r="C4" s="26" t="str">
        <f aca="false">门店对照!$C4&amp;""</f>
        <v>康庄路店</v>
      </c>
      <c r="D4" s="14" t="n">
        <f aca="false">参数!$B$2</f>
        <v>46234</v>
      </c>
      <c r="E4" s="15" t="n">
        <f aca="false">ROUND(SUMIFS(输入现金!$B:$B,输入现金!$A:$A,$X4),2)</f>
        <v>50121.42</v>
      </c>
      <c r="F4" s="15" t="n">
        <f aca="false">ROUND(SUM(分录收入!$G$47:$G$65),2)</f>
        <v>78256.54</v>
      </c>
      <c r="G4" s="15" t="n">
        <f aca="false">ROUND(海典汇总!$AE$5,2)</f>
        <v>128377.96</v>
      </c>
      <c r="H4" s="15" t="n">
        <f aca="false">ROUND($E4+$F4-$G4,2)</f>
        <v>0</v>
      </c>
      <c r="I4" s="15" t="n">
        <f aca="false">ROUND($E4+MAX(0,-$H4),2)</f>
        <v>50121.42</v>
      </c>
      <c r="J4" s="15" t="n">
        <f aca="false">ROUND(MAX(0,$H4),2)</f>
        <v>0</v>
      </c>
      <c r="K4" s="20" t="n">
        <f aca="false">SUM(分录收入!$J$46:$J$67)</f>
        <v>10</v>
      </c>
      <c r="L4" s="20" t="n">
        <f aca="false">IF(OR($K4=0,$W4=0),0,ROUNDUP($K4/6,0))</f>
        <v>2</v>
      </c>
      <c r="M4" s="20" t="n">
        <f aca="false">SUM($L$2:$L4)</f>
        <v>6</v>
      </c>
      <c r="N4" s="15" t="n">
        <f aca="false">ROUND(SUM(分录收入!$H$46:$H$67),2)</f>
        <v>128377.96</v>
      </c>
      <c r="O4" s="15" t="n">
        <f aca="false">ROUND(SUM(分录收入!$I$46:$I$67),2)</f>
        <v>128377.96</v>
      </c>
      <c r="P4" s="20" t="n">
        <f aca="false">IF($L4=0,"",COUNTIF($L$2:$L4,"&gt;0"))</f>
        <v>3</v>
      </c>
      <c r="Q4" s="47" t="n">
        <v>3</v>
      </c>
      <c r="R4" s="20" t="n">
        <f aca="false">IF(3&gt;$V$1,"",COUNTIF($M$2:$M$66,"&lt;"&amp;3)+1)</f>
        <v>2</v>
      </c>
      <c r="S4" s="20" t="n">
        <f aca="false">IF($R4="","",3-IF($R4=1,0,INDEX($M$2:$M$66,$R4-1)))</f>
        <v>1</v>
      </c>
      <c r="T4" s="20" t="n">
        <f aca="false">IF($R4="",0,IF($S4=INDEX($L$2:$L$66,$R4),1,0))</f>
        <v>0</v>
      </c>
      <c r="W4" s="20" t="n">
        <f aca="false">门店对照!$D4</f>
        <v>1</v>
      </c>
      <c r="X4" s="38" t="n">
        <f aca="false">IF($W4=1,$B4,"#未启用#")</f>
        <v>2003</v>
      </c>
    </row>
    <row r="5" customFormat="false" ht="13.5" hidden="false" customHeight="false" outlineLevel="0" collapsed="false">
      <c r="A5" s="47" t="n">
        <v>4</v>
      </c>
      <c r="B5" s="25" t="n">
        <f aca="false">IF(门店对照!$A5="","",门店对照!$A5)</f>
        <v>2004</v>
      </c>
      <c r="C5" s="26" t="str">
        <f aca="false">门店对照!$C5&amp;""</f>
        <v>东关店</v>
      </c>
      <c r="D5" s="14" t="n">
        <f aca="false">参数!$B$2</f>
        <v>46234</v>
      </c>
      <c r="E5" s="15" t="n">
        <f aca="false">ROUND(SUMIFS(输入现金!$B:$B,输入现金!$A:$A,$X5),2)</f>
        <v>67171.51</v>
      </c>
      <c r="F5" s="15" t="n">
        <f aca="false">ROUND(SUM(分录收入!$G$69:$G$87),2)</f>
        <v>40869.53</v>
      </c>
      <c r="G5" s="15" t="n">
        <f aca="false">ROUND(海典汇总!$AE$6,2)</f>
        <v>108041.04</v>
      </c>
      <c r="H5" s="15" t="n">
        <f aca="false">ROUND($E5+$F5-$G5,2)</f>
        <v>0</v>
      </c>
      <c r="I5" s="15" t="n">
        <f aca="false">ROUND($E5+MAX(0,-$H5),2)</f>
        <v>67171.51</v>
      </c>
      <c r="J5" s="15" t="n">
        <f aca="false">ROUND(MAX(0,$H5),2)</f>
        <v>0</v>
      </c>
      <c r="K5" s="20" t="n">
        <f aca="false">SUM(分录收入!$J$68:$J$89)</f>
        <v>10</v>
      </c>
      <c r="L5" s="20" t="n">
        <f aca="false">IF(OR($K5=0,$W5=0),0,ROUNDUP($K5/6,0))</f>
        <v>2</v>
      </c>
      <c r="M5" s="20" t="n">
        <f aca="false">SUM($L$2:$L5)</f>
        <v>8</v>
      </c>
      <c r="N5" s="15" t="n">
        <f aca="false">ROUND(SUM(分录收入!$H$68:$H$89),2)</f>
        <v>108041.04</v>
      </c>
      <c r="O5" s="15" t="n">
        <f aca="false">ROUND(SUM(分录收入!$I$68:$I$89),2)</f>
        <v>108041.04</v>
      </c>
      <c r="P5" s="20" t="n">
        <f aca="false">IF($L5=0,"",COUNTIF($L$2:$L5,"&gt;0"))</f>
        <v>4</v>
      </c>
      <c r="Q5" s="47" t="n">
        <v>4</v>
      </c>
      <c r="R5" s="20" t="n">
        <f aca="false">IF(4&gt;$V$1,"",COUNTIF($M$2:$M$66,"&lt;"&amp;4)+1)</f>
        <v>2</v>
      </c>
      <c r="S5" s="20" t="n">
        <f aca="false">IF($R5="","",4-IF($R5=1,0,INDEX($M$2:$M$66,$R5-1)))</f>
        <v>2</v>
      </c>
      <c r="T5" s="20" t="n">
        <f aca="false">IF($R5="",0,IF($S5=INDEX($L$2:$L$66,$R5),1,0))</f>
        <v>1</v>
      </c>
      <c r="W5" s="20" t="n">
        <f aca="false">门店对照!$D5</f>
        <v>1</v>
      </c>
      <c r="X5" s="38" t="n">
        <f aca="false">IF($W5=1,$B5,"#未启用#")</f>
        <v>2004</v>
      </c>
    </row>
    <row r="6" customFormat="false" ht="13.5" hidden="false" customHeight="false" outlineLevel="0" collapsed="false">
      <c r="A6" s="47" t="n">
        <v>5</v>
      </c>
      <c r="B6" s="25" t="n">
        <f aca="false">IF(门店对照!$A6="","",门店对照!$A6)</f>
        <v>2005</v>
      </c>
      <c r="C6" s="26" t="str">
        <f aca="false">门店对照!$C6&amp;""</f>
        <v>象城街店</v>
      </c>
      <c r="D6" s="14" t="n">
        <f aca="false">参数!$B$2</f>
        <v>46234</v>
      </c>
      <c r="E6" s="15" t="n">
        <f aca="false">ROUND(SUMIFS(输入现金!$B:$B,输入现金!$A:$A,$X6),2)</f>
        <v>63058.21</v>
      </c>
      <c r="F6" s="15" t="n">
        <f aca="false">ROUND(SUM(分录收入!$G$91:$G$109),2)</f>
        <v>53599.69</v>
      </c>
      <c r="G6" s="15" t="n">
        <f aca="false">ROUND(海典汇总!$AE$7,2)</f>
        <v>116657.9</v>
      </c>
      <c r="H6" s="15" t="n">
        <f aca="false">ROUND($E6+$F6-$G6,2)</f>
        <v>0</v>
      </c>
      <c r="I6" s="15" t="n">
        <f aca="false">ROUND($E6+MAX(0,-$H6),2)</f>
        <v>63058.21</v>
      </c>
      <c r="J6" s="15" t="n">
        <f aca="false">ROUND(MAX(0,$H6),2)</f>
        <v>0</v>
      </c>
      <c r="K6" s="20" t="n">
        <f aca="false">SUM(分录收入!$J$90:$J$111)</f>
        <v>9</v>
      </c>
      <c r="L6" s="20" t="n">
        <f aca="false">IF(OR($K6=0,$W6=0),0,ROUNDUP($K6/6,0))</f>
        <v>2</v>
      </c>
      <c r="M6" s="20" t="n">
        <f aca="false">SUM($L$2:$L6)</f>
        <v>10</v>
      </c>
      <c r="N6" s="15" t="n">
        <f aca="false">ROUND(SUM(分录收入!$H$90:$H$111),2)</f>
        <v>116657.9</v>
      </c>
      <c r="O6" s="15" t="n">
        <f aca="false">ROUND(SUM(分录收入!$I$90:$I$111),2)</f>
        <v>116657.9</v>
      </c>
      <c r="P6" s="20" t="n">
        <f aca="false">IF($L6=0,"",COUNTIF($L$2:$L6,"&gt;0"))</f>
        <v>5</v>
      </c>
      <c r="Q6" s="47" t="n">
        <v>5</v>
      </c>
      <c r="R6" s="20" t="n">
        <f aca="false">IF(5&gt;$V$1,"",COUNTIF($M$2:$M$66,"&lt;"&amp;5)+1)</f>
        <v>3</v>
      </c>
      <c r="S6" s="20" t="n">
        <f aca="false">IF($R6="","",5-IF($R6=1,0,INDEX($M$2:$M$66,$R6-1)))</f>
        <v>1</v>
      </c>
      <c r="T6" s="20" t="n">
        <f aca="false">IF($R6="",0,IF($S6=INDEX($L$2:$L$66,$R6),1,0))</f>
        <v>0</v>
      </c>
      <c r="W6" s="20" t="n">
        <f aca="false">门店对照!$D6</f>
        <v>1</v>
      </c>
      <c r="X6" s="38" t="n">
        <f aca="false">IF($W6=1,$B6,"#未启用#")</f>
        <v>2005</v>
      </c>
    </row>
    <row r="7" customFormat="false" ht="13.5" hidden="false" customHeight="false" outlineLevel="0" collapsed="false">
      <c r="A7" s="47" t="n">
        <v>6</v>
      </c>
      <c r="B7" s="25" t="n">
        <f aca="false">IF(门店对照!$A7="","",门店对照!$A7)</f>
        <v>2006</v>
      </c>
      <c r="C7" s="26" t="str">
        <f aca="false">门店对照!$C7&amp;""</f>
        <v>博荣店</v>
      </c>
      <c r="D7" s="14" t="n">
        <f aca="false">参数!$B$2</f>
        <v>46234</v>
      </c>
      <c r="E7" s="15" t="n">
        <f aca="false">ROUND(SUMIFS(输入现金!$B:$B,输入现金!$A:$A,$X7),2)</f>
        <v>4575.05</v>
      </c>
      <c r="F7" s="15" t="n">
        <f aca="false">ROUND(SUM(分录收入!$G$113:$G$131),2)</f>
        <v>60778.57</v>
      </c>
      <c r="G7" s="15" t="n">
        <f aca="false">ROUND(海典汇总!$AE$8,2)</f>
        <v>65353.62</v>
      </c>
      <c r="H7" s="15" t="n">
        <f aca="false">ROUND($E7+$F7-$G7,2)</f>
        <v>0</v>
      </c>
      <c r="I7" s="15" t="n">
        <f aca="false">ROUND($E7+MAX(0,-$H7),2)</f>
        <v>4575.05</v>
      </c>
      <c r="J7" s="15" t="n">
        <f aca="false">ROUND(MAX(0,$H7),2)</f>
        <v>0</v>
      </c>
      <c r="K7" s="20" t="n">
        <f aca="false">SUM(分录收入!$J$112:$J$133)</f>
        <v>9</v>
      </c>
      <c r="L7" s="20" t="n">
        <f aca="false">IF(OR($K7=0,$W7=0),0,ROUNDUP($K7/6,0))</f>
        <v>2</v>
      </c>
      <c r="M7" s="20" t="n">
        <f aca="false">SUM($L$2:$L7)</f>
        <v>12</v>
      </c>
      <c r="N7" s="15" t="n">
        <f aca="false">ROUND(SUM(分录收入!$H$112:$H$133),2)</f>
        <v>65353.62</v>
      </c>
      <c r="O7" s="15" t="n">
        <f aca="false">ROUND(SUM(分录收入!$I$112:$I$133),2)</f>
        <v>65353.62</v>
      </c>
      <c r="P7" s="20" t="n">
        <f aca="false">IF($L7=0,"",COUNTIF($L$2:$L7,"&gt;0"))</f>
        <v>6</v>
      </c>
      <c r="Q7" s="47" t="n">
        <v>6</v>
      </c>
      <c r="R7" s="20" t="n">
        <f aca="false">IF(6&gt;$V$1,"",COUNTIF($M$2:$M$66,"&lt;"&amp;6)+1)</f>
        <v>3</v>
      </c>
      <c r="S7" s="20" t="n">
        <f aca="false">IF($R7="","",6-IF($R7=1,0,INDEX($M$2:$M$66,$R7-1)))</f>
        <v>2</v>
      </c>
      <c r="T7" s="20" t="n">
        <f aca="false">IF($R7="",0,IF($S7=INDEX($L$2:$L$66,$R7),1,0))</f>
        <v>1</v>
      </c>
      <c r="W7" s="20" t="n">
        <f aca="false">门店对照!$D7</f>
        <v>1</v>
      </c>
      <c r="X7" s="38" t="n">
        <f aca="false">IF($W7=1,$B7,"#未启用#")</f>
        <v>2006</v>
      </c>
    </row>
    <row r="8" customFormat="false" ht="13.5" hidden="false" customHeight="false" outlineLevel="0" collapsed="false">
      <c r="A8" s="47" t="n">
        <v>7</v>
      </c>
      <c r="B8" s="25" t="n">
        <f aca="false">IF(门店对照!$A8="","",门店对照!$A8)</f>
        <v>2007</v>
      </c>
      <c r="C8" s="26" t="str">
        <f aca="false">门店对照!$C8&amp;""</f>
        <v>华鑫店</v>
      </c>
      <c r="D8" s="14" t="n">
        <f aca="false">参数!$B$2</f>
        <v>46234</v>
      </c>
      <c r="E8" s="15" t="n">
        <f aca="false">ROUND(SUMIFS(输入现金!$B:$B,输入现金!$A:$A,$X8),2)</f>
        <v>12722.01</v>
      </c>
      <c r="F8" s="15" t="n">
        <f aca="false">ROUND(SUM(分录收入!$G$135:$G$153),2)</f>
        <v>51621.01</v>
      </c>
      <c r="G8" s="15" t="n">
        <f aca="false">ROUND(海典汇总!$AE$9,2)</f>
        <v>64343.02</v>
      </c>
      <c r="H8" s="15" t="n">
        <f aca="false">ROUND($E8+$F8-$G8,2)</f>
        <v>0</v>
      </c>
      <c r="I8" s="15" t="n">
        <f aca="false">ROUND($E8+MAX(0,-$H8),2)</f>
        <v>12722.01</v>
      </c>
      <c r="J8" s="15" t="n">
        <f aca="false">ROUND(MAX(0,$H8),2)</f>
        <v>0</v>
      </c>
      <c r="K8" s="20" t="n">
        <f aca="false">SUM(分录收入!$J$134:$J$155)</f>
        <v>10</v>
      </c>
      <c r="L8" s="20" t="n">
        <f aca="false">IF(OR($K8=0,$W8=0),0,ROUNDUP($K8/6,0))</f>
        <v>2</v>
      </c>
      <c r="M8" s="20" t="n">
        <f aca="false">SUM($L$2:$L8)</f>
        <v>14</v>
      </c>
      <c r="N8" s="15" t="n">
        <f aca="false">ROUND(SUM(分录收入!$H$134:$H$155),2)</f>
        <v>64343.02</v>
      </c>
      <c r="O8" s="15" t="n">
        <f aca="false">ROUND(SUM(分录收入!$I$134:$I$155),2)</f>
        <v>64343.02</v>
      </c>
      <c r="P8" s="20" t="n">
        <f aca="false">IF($L8=0,"",COUNTIF($L$2:$L8,"&gt;0"))</f>
        <v>7</v>
      </c>
      <c r="Q8" s="47" t="n">
        <v>7</v>
      </c>
      <c r="R8" s="20" t="n">
        <f aca="false">IF(7&gt;$V$1,"",COUNTIF($M$2:$M$66,"&lt;"&amp;7)+1)</f>
        <v>4</v>
      </c>
      <c r="S8" s="20" t="n">
        <f aca="false">IF($R8="","",7-IF($R8=1,0,INDEX($M$2:$M$66,$R8-1)))</f>
        <v>1</v>
      </c>
      <c r="T8" s="20" t="n">
        <f aca="false">IF($R8="",0,IF($S8=INDEX($L$2:$L$66,$R8),1,0))</f>
        <v>0</v>
      </c>
      <c r="W8" s="20" t="n">
        <f aca="false">门店对照!$D8</f>
        <v>1</v>
      </c>
      <c r="X8" s="38" t="n">
        <f aca="false">IF($W8=1,$B8,"#未启用#")</f>
        <v>2007</v>
      </c>
    </row>
    <row r="9" customFormat="false" ht="13.5" hidden="false" customHeight="false" outlineLevel="0" collapsed="false">
      <c r="A9" s="47" t="n">
        <v>8</v>
      </c>
      <c r="B9" s="25" t="n">
        <f aca="false">IF(门店对照!$A9="","",门店对照!$A9)</f>
        <v>2008</v>
      </c>
      <c r="C9" s="26" t="str">
        <f aca="false">门店对照!$C9&amp;""</f>
        <v>博昭店</v>
      </c>
      <c r="D9" s="14" t="n">
        <f aca="false">参数!$B$2</f>
        <v>46234</v>
      </c>
      <c r="E9" s="15" t="n">
        <f aca="false">ROUND(SUMIFS(输入现金!$B:$B,输入现金!$A:$A,$X9),2)</f>
        <v>8028.82</v>
      </c>
      <c r="F9" s="15" t="n">
        <f aca="false">ROUND(SUM(分录收入!$G$157:$G$175),2)</f>
        <v>67914.32</v>
      </c>
      <c r="G9" s="15" t="n">
        <f aca="false">ROUND(海典汇总!$AE$10,2)</f>
        <v>75943.14</v>
      </c>
      <c r="H9" s="15" t="n">
        <f aca="false">ROUND($E9+$F9-$G9,2)</f>
        <v>0</v>
      </c>
      <c r="I9" s="15" t="n">
        <f aca="false">ROUND($E9+MAX(0,-$H9),2)</f>
        <v>8028.82</v>
      </c>
      <c r="J9" s="15" t="n">
        <f aca="false">ROUND(MAX(0,$H9),2)</f>
        <v>0</v>
      </c>
      <c r="K9" s="20" t="n">
        <f aca="false">SUM(分录收入!$J$156:$J$177)</f>
        <v>8</v>
      </c>
      <c r="L9" s="20" t="n">
        <f aca="false">IF(OR($K9=0,$W9=0),0,ROUNDUP($K9/6,0))</f>
        <v>2</v>
      </c>
      <c r="M9" s="20" t="n">
        <f aca="false">SUM($L$2:$L9)</f>
        <v>16</v>
      </c>
      <c r="N9" s="15" t="n">
        <f aca="false">ROUND(SUM(分录收入!$H$156:$H$177),2)</f>
        <v>75943.14</v>
      </c>
      <c r="O9" s="15" t="n">
        <f aca="false">ROUND(SUM(分录收入!$I$156:$I$177),2)</f>
        <v>75943.14</v>
      </c>
      <c r="P9" s="20" t="n">
        <f aca="false">IF($L9=0,"",COUNTIF($L$2:$L9,"&gt;0"))</f>
        <v>8</v>
      </c>
      <c r="Q9" s="47" t="n">
        <v>8</v>
      </c>
      <c r="R9" s="20" t="n">
        <f aca="false">IF(8&gt;$V$1,"",COUNTIF($M$2:$M$66,"&lt;"&amp;8)+1)</f>
        <v>4</v>
      </c>
      <c r="S9" s="20" t="n">
        <f aca="false">IF($R9="","",8-IF($R9=1,0,INDEX($M$2:$M$66,$R9-1)))</f>
        <v>2</v>
      </c>
      <c r="T9" s="20" t="n">
        <f aca="false">IF($R9="",0,IF($S9=INDEX($L$2:$L$66,$R9),1,0))</f>
        <v>1</v>
      </c>
      <c r="W9" s="20" t="n">
        <f aca="false">门店对照!$D9</f>
        <v>1</v>
      </c>
      <c r="X9" s="38" t="n">
        <f aca="false">IF($W9=1,$B9,"#未启用#")</f>
        <v>2008</v>
      </c>
    </row>
    <row r="10" customFormat="false" ht="13.5" hidden="false" customHeight="false" outlineLevel="0" collapsed="false">
      <c r="A10" s="47" t="n">
        <v>9</v>
      </c>
      <c r="B10" s="25" t="n">
        <f aca="false">IF(门店对照!$A10="","",门店对照!$A10)</f>
        <v>2009</v>
      </c>
      <c r="C10" s="26" t="str">
        <f aca="false">门店对照!$C10&amp;""</f>
        <v>大霍店</v>
      </c>
      <c r="D10" s="14" t="n">
        <f aca="false">参数!$B$2</f>
        <v>46234</v>
      </c>
      <c r="E10" s="15" t="n">
        <f aca="false">ROUND(SUMIFS(输入现金!$B:$B,输入现金!$A:$A,$X10),2)</f>
        <v>9880.5</v>
      </c>
      <c r="F10" s="15" t="n">
        <f aca="false">ROUND(SUM(分录收入!$G$179:$G$197),2)</f>
        <v>26739.2</v>
      </c>
      <c r="G10" s="15" t="n">
        <f aca="false">ROUND(海典汇总!$AE$11,2)</f>
        <v>36619.7</v>
      </c>
      <c r="H10" s="15" t="n">
        <f aca="false">ROUND($E10+$F10-$G10,2)</f>
        <v>0</v>
      </c>
      <c r="I10" s="15" t="n">
        <f aca="false">ROUND($E10+MAX(0,-$H10),2)</f>
        <v>9880.5</v>
      </c>
      <c r="J10" s="15" t="n">
        <f aca="false">ROUND(MAX(0,$H10),2)</f>
        <v>0</v>
      </c>
      <c r="K10" s="20" t="n">
        <f aca="false">SUM(分录收入!$J$178:$J$199)</f>
        <v>7</v>
      </c>
      <c r="L10" s="20" t="n">
        <f aca="false">IF(OR($K10=0,$W10=0),0,ROUNDUP($K10/6,0))</f>
        <v>2</v>
      </c>
      <c r="M10" s="20" t="n">
        <f aca="false">SUM($L$2:$L10)</f>
        <v>18</v>
      </c>
      <c r="N10" s="15" t="n">
        <f aca="false">ROUND(SUM(分录收入!$H$178:$H$199),2)</f>
        <v>36619.7</v>
      </c>
      <c r="O10" s="15" t="n">
        <f aca="false">ROUND(SUM(分录收入!$I$178:$I$199),2)</f>
        <v>36619.7</v>
      </c>
      <c r="P10" s="20" t="n">
        <f aca="false">IF($L10=0,"",COUNTIF($L$2:$L10,"&gt;0"))</f>
        <v>9</v>
      </c>
      <c r="Q10" s="47" t="n">
        <v>9</v>
      </c>
      <c r="R10" s="20" t="n">
        <f aca="false">IF(9&gt;$V$1,"",COUNTIF($M$2:$M$66,"&lt;"&amp;9)+1)</f>
        <v>5</v>
      </c>
      <c r="S10" s="20" t="n">
        <f aca="false">IF($R10="","",9-IF($R10=1,0,INDEX($M$2:$M$66,$R10-1)))</f>
        <v>1</v>
      </c>
      <c r="T10" s="20" t="n">
        <f aca="false">IF($R10="",0,IF($S10=INDEX($L$2:$L$66,$R10),1,0))</f>
        <v>0</v>
      </c>
      <c r="W10" s="20" t="n">
        <f aca="false">门店对照!$D10</f>
        <v>1</v>
      </c>
      <c r="X10" s="38" t="n">
        <f aca="false">IF($W10=1,$B10,"#未启用#")</f>
        <v>2009</v>
      </c>
    </row>
    <row r="11" customFormat="false" ht="13.5" hidden="false" customHeight="false" outlineLevel="0" collapsed="false">
      <c r="A11" s="47" t="n">
        <v>10</v>
      </c>
      <c r="B11" s="25" t="n">
        <f aca="false">IF(门店对照!$A11="","",门店对照!$A11)</f>
        <v>2010</v>
      </c>
      <c r="C11" s="26" t="str">
        <f aca="false">门店对照!$C11&amp;""</f>
        <v>莲子镇店</v>
      </c>
      <c r="D11" s="14" t="n">
        <f aca="false">参数!$B$2</f>
        <v>46234</v>
      </c>
      <c r="E11" s="15" t="n">
        <f aca="false">ROUND(SUMIFS(输入现金!$B:$B,输入现金!$A:$A,$X11),2)</f>
        <v>23656.79</v>
      </c>
      <c r="F11" s="15" t="n">
        <f aca="false">ROUND(SUM(分录收入!$G$201:$G$219),2)</f>
        <v>83623.41</v>
      </c>
      <c r="G11" s="15" t="n">
        <f aca="false">ROUND(海典汇总!$AE$12,2)</f>
        <v>107280.2</v>
      </c>
      <c r="H11" s="15" t="n">
        <f aca="false">ROUND($E11+$F11-$G11,2)</f>
        <v>0</v>
      </c>
      <c r="I11" s="15" t="n">
        <f aca="false">ROUND($E11+MAX(0,-$H11),2)</f>
        <v>23656.79</v>
      </c>
      <c r="J11" s="15" t="n">
        <f aca="false">ROUND(MAX(0,$H11),2)</f>
        <v>0</v>
      </c>
      <c r="K11" s="20" t="n">
        <f aca="false">SUM(分录收入!$J$200:$J$221)</f>
        <v>7</v>
      </c>
      <c r="L11" s="20" t="n">
        <f aca="false">IF(OR($K11=0,$W11=0),0,ROUNDUP($K11/6,0))</f>
        <v>2</v>
      </c>
      <c r="M11" s="20" t="n">
        <f aca="false">SUM($L$2:$L11)</f>
        <v>20</v>
      </c>
      <c r="N11" s="15" t="n">
        <f aca="false">ROUND(SUM(分录收入!$H$200:$H$221),2)</f>
        <v>107280.2</v>
      </c>
      <c r="O11" s="15" t="n">
        <f aca="false">ROUND(SUM(分录收入!$I$200:$I$221),2)</f>
        <v>107280.2</v>
      </c>
      <c r="P11" s="20" t="n">
        <f aca="false">IF($L11=0,"",COUNTIF($L$2:$L11,"&gt;0"))</f>
        <v>10</v>
      </c>
      <c r="Q11" s="47" t="n">
        <v>10</v>
      </c>
      <c r="R11" s="20" t="n">
        <f aca="false">IF(10&gt;$V$1,"",COUNTIF($M$2:$M$66,"&lt;"&amp;10)+1)</f>
        <v>5</v>
      </c>
      <c r="S11" s="20" t="n">
        <f aca="false">IF($R11="","",10-IF($R11=1,0,INDEX($M$2:$M$66,$R11-1)))</f>
        <v>2</v>
      </c>
      <c r="T11" s="20" t="n">
        <f aca="false">IF($R11="",0,IF($S11=INDEX($L$2:$L$66,$R11),1,0))</f>
        <v>1</v>
      </c>
      <c r="W11" s="20" t="n">
        <f aca="false">门店对照!$D11</f>
        <v>1</v>
      </c>
      <c r="X11" s="38" t="n">
        <f aca="false">IF($W11=1,$B11,"#未启用#")</f>
        <v>2010</v>
      </c>
    </row>
    <row r="12" customFormat="false" ht="13.5" hidden="false" customHeight="false" outlineLevel="0" collapsed="false">
      <c r="A12" s="47" t="n">
        <v>11</v>
      </c>
      <c r="B12" s="25" t="n">
        <f aca="false">IF(门店对照!$A12="","",门店对照!$A12)</f>
        <v>2011</v>
      </c>
      <c r="C12" s="26" t="str">
        <f aca="false">门店对照!$C12&amp;""</f>
        <v>毛尔寨店</v>
      </c>
      <c r="D12" s="14" t="n">
        <f aca="false">参数!$B$2</f>
        <v>46234</v>
      </c>
      <c r="E12" s="15" t="n">
        <f aca="false">ROUND(SUMIFS(输入现金!$B:$B,输入现金!$A:$A,$X12),2)</f>
        <v>24370.58</v>
      </c>
      <c r="F12" s="15" t="n">
        <f aca="false">ROUND(SUM(分录收入!$G$223:$G$241),2)</f>
        <v>18452.78</v>
      </c>
      <c r="G12" s="15" t="n">
        <f aca="false">ROUND(海典汇总!$AE$13,2)</f>
        <v>42823.36</v>
      </c>
      <c r="H12" s="15" t="n">
        <f aca="false">ROUND($E12+$F12-$G12,2)</f>
        <v>0</v>
      </c>
      <c r="I12" s="15" t="n">
        <f aca="false">ROUND($E12+MAX(0,-$H12),2)</f>
        <v>24370.58</v>
      </c>
      <c r="J12" s="15" t="n">
        <f aca="false">ROUND(MAX(0,$H12),2)</f>
        <v>0</v>
      </c>
      <c r="K12" s="20" t="n">
        <f aca="false">SUM(分录收入!$J$222:$J$243)</f>
        <v>7</v>
      </c>
      <c r="L12" s="20" t="n">
        <f aca="false">IF(OR($K12=0,$W12=0),0,ROUNDUP($K12/6,0))</f>
        <v>2</v>
      </c>
      <c r="M12" s="20" t="n">
        <f aca="false">SUM($L$2:$L12)</f>
        <v>22</v>
      </c>
      <c r="N12" s="15" t="n">
        <f aca="false">ROUND(SUM(分录收入!$H$222:$H$243),2)</f>
        <v>42823.36</v>
      </c>
      <c r="O12" s="15" t="n">
        <f aca="false">ROUND(SUM(分录收入!$I$222:$I$243),2)</f>
        <v>42823.36</v>
      </c>
      <c r="P12" s="20" t="n">
        <f aca="false">IF($L12=0,"",COUNTIF($L$2:$L12,"&gt;0"))</f>
        <v>11</v>
      </c>
      <c r="Q12" s="47" t="n">
        <v>11</v>
      </c>
      <c r="R12" s="20" t="n">
        <f aca="false">IF(11&gt;$V$1,"",COUNTIF($M$2:$M$66,"&lt;"&amp;11)+1)</f>
        <v>6</v>
      </c>
      <c r="S12" s="20" t="n">
        <f aca="false">IF($R12="","",11-IF($R12=1,0,INDEX($M$2:$M$66,$R12-1)))</f>
        <v>1</v>
      </c>
      <c r="T12" s="20" t="n">
        <f aca="false">IF($R12="",0,IF($S12=INDEX($L$2:$L$66,$R12),1,0))</f>
        <v>0</v>
      </c>
      <c r="W12" s="20" t="n">
        <f aca="false">门店对照!$D12</f>
        <v>1</v>
      </c>
      <c r="X12" s="38" t="n">
        <f aca="false">IF($W12=1,$B12,"#未启用#")</f>
        <v>2011</v>
      </c>
    </row>
    <row r="13" customFormat="false" ht="13.5" hidden="false" customHeight="false" outlineLevel="0" collapsed="false">
      <c r="A13" s="47" t="n">
        <v>12</v>
      </c>
      <c r="B13" s="25" t="n">
        <f aca="false">IF(门店对照!$A13="","",门店对照!$A13)</f>
        <v>2012</v>
      </c>
      <c r="C13" s="26" t="str">
        <f aca="false">门店对照!$C13&amp;""</f>
        <v>泽畔店</v>
      </c>
      <c r="D13" s="14" t="n">
        <f aca="false">参数!$B$2</f>
        <v>46234</v>
      </c>
      <c r="E13" s="15" t="n">
        <f aca="false">ROUND(SUMIFS(输入现金!$B:$B,输入现金!$A:$A,$X13),2)</f>
        <v>25649.6</v>
      </c>
      <c r="F13" s="15" t="n">
        <f aca="false">ROUND(SUM(分录收入!$G$245:$G$263),2)</f>
        <v>24949.27</v>
      </c>
      <c r="G13" s="15" t="n">
        <f aca="false">ROUND(海典汇总!$AE$14,2)</f>
        <v>50656.25</v>
      </c>
      <c r="H13" s="15" t="n">
        <f aca="false">ROUND($E13+$F13-$G13,2)</f>
        <v>-57.38</v>
      </c>
      <c r="I13" s="15" t="n">
        <f aca="false">ROUND($E13+MAX(0,-$H13),2)</f>
        <v>25706.98</v>
      </c>
      <c r="J13" s="15" t="n">
        <f aca="false">ROUND(MAX(0,$H13),2)</f>
        <v>0</v>
      </c>
      <c r="K13" s="20" t="n">
        <f aca="false">SUM(分录收入!$J$244:$J$265)</f>
        <v>7</v>
      </c>
      <c r="L13" s="20" t="n">
        <f aca="false">IF(OR($K13=0,$W13=0),0,ROUNDUP($K13/6,0))</f>
        <v>2</v>
      </c>
      <c r="M13" s="20" t="n">
        <f aca="false">SUM($L$2:$L13)</f>
        <v>24</v>
      </c>
      <c r="N13" s="15" t="n">
        <f aca="false">ROUND(SUM(分录收入!$H$244:$H$265),2)</f>
        <v>50656.25</v>
      </c>
      <c r="O13" s="15" t="n">
        <f aca="false">ROUND(SUM(分录收入!$I$244:$I$265),2)</f>
        <v>50656.25</v>
      </c>
      <c r="P13" s="20" t="n">
        <f aca="false">IF($L13=0,"",COUNTIF($L$2:$L13,"&gt;0"))</f>
        <v>12</v>
      </c>
      <c r="Q13" s="47" t="n">
        <v>12</v>
      </c>
      <c r="R13" s="20" t="n">
        <f aca="false">IF(12&gt;$V$1,"",COUNTIF($M$2:$M$66,"&lt;"&amp;12)+1)</f>
        <v>6</v>
      </c>
      <c r="S13" s="20" t="n">
        <f aca="false">IF($R13="","",12-IF($R13=1,0,INDEX($M$2:$M$66,$R13-1)))</f>
        <v>2</v>
      </c>
      <c r="T13" s="20" t="n">
        <f aca="false">IF($R13="",0,IF($S13=INDEX($L$2:$L$66,$R13),1,0))</f>
        <v>1</v>
      </c>
      <c r="W13" s="20" t="n">
        <f aca="false">门店对照!$D13</f>
        <v>1</v>
      </c>
      <c r="X13" s="38" t="n">
        <f aca="false">IF($W13=1,$B13,"#未启用#")</f>
        <v>2012</v>
      </c>
    </row>
    <row r="14" customFormat="false" ht="13.5" hidden="false" customHeight="false" outlineLevel="0" collapsed="false">
      <c r="A14" s="47" t="n">
        <v>13</v>
      </c>
      <c r="B14" s="25" t="n">
        <f aca="false">IF(门店对照!$A14="","",门店对照!$A14)</f>
        <v>2014</v>
      </c>
      <c r="C14" s="26" t="str">
        <f aca="false">门店对照!$C14&amp;""</f>
        <v>博桥店</v>
      </c>
      <c r="D14" s="14" t="n">
        <f aca="false">参数!$B$2</f>
        <v>46234</v>
      </c>
      <c r="E14" s="15" t="n">
        <f aca="false">ROUND(SUMIFS(输入现金!$B:$B,输入现金!$A:$A,$X14),2)</f>
        <v>21123.98</v>
      </c>
      <c r="F14" s="15" t="n">
        <f aca="false">ROUND(SUM(分录收入!$G$267:$G$285),2)</f>
        <v>48304.83</v>
      </c>
      <c r="G14" s="15" t="n">
        <f aca="false">ROUND(海典汇总!$AE$15,2)</f>
        <v>69428.81</v>
      </c>
      <c r="H14" s="15" t="n">
        <f aca="false">ROUND($E14+$F14-$G14,2)</f>
        <v>0</v>
      </c>
      <c r="I14" s="15" t="n">
        <f aca="false">ROUND($E14+MAX(0,-$H14),2)</f>
        <v>21123.98</v>
      </c>
      <c r="J14" s="15" t="n">
        <f aca="false">ROUND(MAX(0,$H14),2)</f>
        <v>0</v>
      </c>
      <c r="K14" s="20" t="n">
        <f aca="false">SUM(分录收入!$J$266:$J$287)</f>
        <v>7</v>
      </c>
      <c r="L14" s="20" t="n">
        <f aca="false">IF(OR($K14=0,$W14=0),0,ROUNDUP($K14/6,0))</f>
        <v>2</v>
      </c>
      <c r="M14" s="20" t="n">
        <f aca="false">SUM($L$2:$L14)</f>
        <v>26</v>
      </c>
      <c r="N14" s="15" t="n">
        <f aca="false">ROUND(SUM(分录收入!$H$266:$H$287),2)</f>
        <v>69430.99</v>
      </c>
      <c r="O14" s="15" t="n">
        <f aca="false">ROUND(SUM(分录收入!$I$266:$I$287),2)</f>
        <v>69430.99</v>
      </c>
      <c r="P14" s="20" t="n">
        <f aca="false">IF($L14=0,"",COUNTIF($L$2:$L14,"&gt;0"))</f>
        <v>13</v>
      </c>
      <c r="Q14" s="47" t="n">
        <v>13</v>
      </c>
      <c r="R14" s="20" t="n">
        <f aca="false">IF(13&gt;$V$1,"",COUNTIF($M$2:$M$66,"&lt;"&amp;13)+1)</f>
        <v>7</v>
      </c>
      <c r="S14" s="20" t="n">
        <f aca="false">IF($R14="","",13-IF($R14=1,0,INDEX($M$2:$M$66,$R14-1)))</f>
        <v>1</v>
      </c>
      <c r="T14" s="20" t="n">
        <f aca="false">IF($R14="",0,IF($S14=INDEX($L$2:$L$66,$R14),1,0))</f>
        <v>0</v>
      </c>
      <c r="W14" s="20" t="n">
        <f aca="false">门店对照!$D14</f>
        <v>1</v>
      </c>
      <c r="X14" s="38" t="n">
        <f aca="false">IF($W14=1,$B14,"#未启用#")</f>
        <v>2014</v>
      </c>
    </row>
    <row r="15" customFormat="false" ht="13.5" hidden="false" customHeight="false" outlineLevel="0" collapsed="false">
      <c r="A15" s="47" t="n">
        <v>14</v>
      </c>
      <c r="B15" s="25" t="n">
        <f aca="false">IF(门店对照!$A15="","",门店对照!$A15)</f>
        <v>2015</v>
      </c>
      <c r="C15" s="26" t="str">
        <f aca="false">门店对照!$C15&amp;""</f>
        <v>齐村店</v>
      </c>
      <c r="D15" s="14" t="n">
        <f aca="false">参数!$B$2</f>
        <v>46234</v>
      </c>
      <c r="E15" s="15" t="n">
        <f aca="false">ROUND(SUMIFS(输入现金!$B:$B,输入现金!$A:$A,$X15),2)</f>
        <v>28193.19</v>
      </c>
      <c r="F15" s="15" t="n">
        <f aca="false">ROUND(SUM(分录收入!$G$289:$G$307),2)</f>
        <v>0</v>
      </c>
      <c r="G15" s="15" t="n">
        <f aca="false">ROUND(海典汇总!$AE$16,2)</f>
        <v>28193.19</v>
      </c>
      <c r="H15" s="15" t="n">
        <f aca="false">ROUND($E15+$F15-$G15,2)</f>
        <v>0</v>
      </c>
      <c r="I15" s="15" t="n">
        <f aca="false">ROUND($E15+MAX(0,-$H15),2)</f>
        <v>28193.19</v>
      </c>
      <c r="J15" s="15" t="n">
        <f aca="false">ROUND(MAX(0,$H15),2)</f>
        <v>0</v>
      </c>
      <c r="K15" s="20" t="n">
        <f aca="false">SUM(分录收入!$J$288:$J$309)</f>
        <v>2</v>
      </c>
      <c r="L15" s="20" t="n">
        <f aca="false">IF(OR($K15=0,$W15=0),0,ROUNDUP($K15/6,0))</f>
        <v>1</v>
      </c>
      <c r="M15" s="20" t="n">
        <f aca="false">SUM($L$2:$L15)</f>
        <v>27</v>
      </c>
      <c r="N15" s="15" t="n">
        <f aca="false">ROUND(SUM(分录收入!$H$288:$H$309),2)</f>
        <v>28193.19</v>
      </c>
      <c r="O15" s="15" t="n">
        <f aca="false">ROUND(SUM(分录收入!$I$288:$I$309),2)</f>
        <v>28193.19</v>
      </c>
      <c r="P15" s="20" t="n">
        <f aca="false">IF($L15=0,"",COUNTIF($L$2:$L15,"&gt;0"))</f>
        <v>14</v>
      </c>
      <c r="Q15" s="47" t="n">
        <v>14</v>
      </c>
      <c r="R15" s="20" t="n">
        <f aca="false">IF(14&gt;$V$1,"",COUNTIF($M$2:$M$66,"&lt;"&amp;14)+1)</f>
        <v>7</v>
      </c>
      <c r="S15" s="20" t="n">
        <f aca="false">IF($R15="","",14-IF($R15=1,0,INDEX($M$2:$M$66,$R15-1)))</f>
        <v>2</v>
      </c>
      <c r="T15" s="20" t="n">
        <f aca="false">IF($R15="",0,IF($S15=INDEX($L$2:$L$66,$R15),1,0))</f>
        <v>1</v>
      </c>
      <c r="W15" s="20" t="n">
        <f aca="false">门店对照!$D15</f>
        <v>1</v>
      </c>
      <c r="X15" s="38" t="n">
        <f aca="false">IF($W15=1,$B15,"#未启用#")</f>
        <v>2015</v>
      </c>
    </row>
    <row r="16" customFormat="false" ht="13.5" hidden="false" customHeight="false" outlineLevel="0" collapsed="false">
      <c r="A16" s="47" t="n">
        <v>15</v>
      </c>
      <c r="B16" s="25" t="n">
        <f aca="false">IF(门店对照!$A16="","",门店对照!$A16)</f>
        <v>2017</v>
      </c>
      <c r="C16" s="26" t="str">
        <f aca="false">门店对照!$C16&amp;""</f>
        <v>博天店</v>
      </c>
      <c r="D16" s="14" t="n">
        <f aca="false">参数!$B$2</f>
        <v>46234</v>
      </c>
      <c r="E16" s="15" t="n">
        <f aca="false">ROUND(SUMIFS(输入现金!$B:$B,输入现金!$A:$A,$X16),2)</f>
        <v>2922.7</v>
      </c>
      <c r="F16" s="15" t="n">
        <f aca="false">ROUND(SUM(分录收入!$G$311:$G$329),2)</f>
        <v>7073.13</v>
      </c>
      <c r="G16" s="15" t="n">
        <f aca="false">ROUND(海典汇总!$AE$17,2)</f>
        <v>9995.83</v>
      </c>
      <c r="H16" s="15" t="n">
        <f aca="false">ROUND($E16+$F16-$G16,2)</f>
        <v>0</v>
      </c>
      <c r="I16" s="15" t="n">
        <f aca="false">ROUND($E16+MAX(0,-$H16),2)</f>
        <v>2922.7</v>
      </c>
      <c r="J16" s="15" t="n">
        <f aca="false">ROUND(MAX(0,$H16),2)</f>
        <v>0</v>
      </c>
      <c r="K16" s="20" t="n">
        <f aca="false">SUM(分录收入!$J$310:$J$331)</f>
        <v>6</v>
      </c>
      <c r="L16" s="20" t="n">
        <f aca="false">IF(OR($K16=0,$W16=0),0,ROUNDUP($K16/6,0))</f>
        <v>1</v>
      </c>
      <c r="M16" s="20" t="n">
        <f aca="false">SUM($L$2:$L16)</f>
        <v>28</v>
      </c>
      <c r="N16" s="15" t="n">
        <f aca="false">ROUND(SUM(分录收入!$H$310:$H$331),2)</f>
        <v>9995.83</v>
      </c>
      <c r="O16" s="15" t="n">
        <f aca="false">ROUND(SUM(分录收入!$I$310:$I$331),2)</f>
        <v>9995.83</v>
      </c>
      <c r="P16" s="20" t="n">
        <f aca="false">IF($L16=0,"",COUNTIF($L$2:$L16,"&gt;0"))</f>
        <v>15</v>
      </c>
      <c r="Q16" s="47" t="n">
        <v>15</v>
      </c>
      <c r="R16" s="20" t="n">
        <f aca="false">IF(15&gt;$V$1,"",COUNTIF($M$2:$M$66,"&lt;"&amp;15)+1)</f>
        <v>8</v>
      </c>
      <c r="S16" s="20" t="n">
        <f aca="false">IF($R16="","",15-IF($R16=1,0,INDEX($M$2:$M$66,$R16-1)))</f>
        <v>1</v>
      </c>
      <c r="T16" s="20" t="n">
        <f aca="false">IF($R16="",0,IF($S16=INDEX($L$2:$L$66,$R16),1,0))</f>
        <v>0</v>
      </c>
      <c r="W16" s="20" t="n">
        <f aca="false">门店对照!$D16</f>
        <v>1</v>
      </c>
      <c r="X16" s="38" t="n">
        <f aca="false">IF($W16=1,$B16,"#未启用#")</f>
        <v>2017</v>
      </c>
    </row>
    <row r="17" customFormat="false" ht="13.5" hidden="false" customHeight="false" outlineLevel="0" collapsed="false">
      <c r="A17" s="47" t="n">
        <v>16</v>
      </c>
      <c r="B17" s="25" t="n">
        <f aca="false">IF(门店对照!$A17="","",门店对照!$A17)</f>
        <v>2018</v>
      </c>
      <c r="C17" s="26" t="str">
        <f aca="false">门店对照!$C17&amp;""</f>
        <v>魏家庄店</v>
      </c>
      <c r="D17" s="14" t="n">
        <f aca="false">参数!$B$2</f>
        <v>46234</v>
      </c>
      <c r="E17" s="15" t="n">
        <f aca="false">ROUND(SUMIFS(输入现金!$B:$B,输入现金!$A:$A,$X17),2)</f>
        <v>10466.07</v>
      </c>
      <c r="F17" s="15" t="n">
        <f aca="false">ROUND(SUM(分录收入!$G$333:$G$351),2)</f>
        <v>27923.84</v>
      </c>
      <c r="G17" s="15" t="n">
        <f aca="false">ROUND(海典汇总!$AE$18,2)</f>
        <v>38389.91</v>
      </c>
      <c r="H17" s="15" t="n">
        <f aca="false">ROUND($E17+$F17-$G17,2)</f>
        <v>0</v>
      </c>
      <c r="I17" s="15" t="n">
        <f aca="false">ROUND($E17+MAX(0,-$H17),2)</f>
        <v>10466.07</v>
      </c>
      <c r="J17" s="15" t="n">
        <f aca="false">ROUND(MAX(0,$H17),2)</f>
        <v>0</v>
      </c>
      <c r="K17" s="20" t="n">
        <f aca="false">SUM(分录收入!$J$332:$J$353)</f>
        <v>6</v>
      </c>
      <c r="L17" s="20" t="n">
        <f aca="false">IF(OR($K17=0,$W17=0),0,ROUNDUP($K17/6,0))</f>
        <v>1</v>
      </c>
      <c r="M17" s="20" t="n">
        <f aca="false">SUM($L$2:$L17)</f>
        <v>29</v>
      </c>
      <c r="N17" s="15" t="n">
        <f aca="false">ROUND(SUM(分录收入!$H$332:$H$353),2)</f>
        <v>38389.91</v>
      </c>
      <c r="O17" s="15" t="n">
        <f aca="false">ROUND(SUM(分录收入!$I$332:$I$353),2)</f>
        <v>38389.91</v>
      </c>
      <c r="P17" s="20" t="n">
        <f aca="false">IF($L17=0,"",COUNTIF($L$2:$L17,"&gt;0"))</f>
        <v>16</v>
      </c>
      <c r="Q17" s="47" t="n">
        <v>16</v>
      </c>
      <c r="R17" s="20" t="n">
        <f aca="false">IF(16&gt;$V$1,"",COUNTIF($M$2:$M$66,"&lt;"&amp;16)+1)</f>
        <v>8</v>
      </c>
      <c r="S17" s="20" t="n">
        <f aca="false">IF($R17="","",16-IF($R17=1,0,INDEX($M$2:$M$66,$R17-1)))</f>
        <v>2</v>
      </c>
      <c r="T17" s="20" t="n">
        <f aca="false">IF($R17="",0,IF($S17=INDEX($L$2:$L$66,$R17),1,0))</f>
        <v>1</v>
      </c>
      <c r="W17" s="20" t="n">
        <f aca="false">门店对照!$D17</f>
        <v>1</v>
      </c>
      <c r="X17" s="38" t="n">
        <f aca="false">IF($W17=1,$B17,"#未启用#")</f>
        <v>2018</v>
      </c>
    </row>
    <row r="18" customFormat="false" ht="13.5" hidden="false" customHeight="false" outlineLevel="0" collapsed="false">
      <c r="A18" s="47" t="n">
        <v>17</v>
      </c>
      <c r="B18" s="25" t="n">
        <f aca="false">IF(门店对照!$A18="","",门店对照!$A18)</f>
        <v>2022</v>
      </c>
      <c r="C18" s="26" t="str">
        <f aca="false">门店对照!$C18&amp;""</f>
        <v>北楼店</v>
      </c>
      <c r="D18" s="14" t="n">
        <f aca="false">参数!$B$2</f>
        <v>46234</v>
      </c>
      <c r="E18" s="15" t="n">
        <f aca="false">ROUND(SUMIFS(输入现金!$B:$B,输入现金!$A:$A,$X18),2)</f>
        <v>14368.55</v>
      </c>
      <c r="F18" s="15" t="n">
        <f aca="false">ROUND(SUM(分录收入!$G$355:$G$373),2)</f>
        <v>56350.4</v>
      </c>
      <c r="G18" s="15" t="n">
        <f aca="false">ROUND(海典汇总!$AE$19,2)</f>
        <v>70718.95</v>
      </c>
      <c r="H18" s="15" t="n">
        <f aca="false">ROUND($E18+$F18-$G18,2)</f>
        <v>0</v>
      </c>
      <c r="I18" s="15" t="n">
        <f aca="false">ROUND($E18+MAX(0,-$H18),2)</f>
        <v>14368.55</v>
      </c>
      <c r="J18" s="15" t="n">
        <f aca="false">ROUND(MAX(0,$H18),2)</f>
        <v>0</v>
      </c>
      <c r="K18" s="20" t="n">
        <f aca="false">SUM(分录收入!$J$354:$J$375)</f>
        <v>7</v>
      </c>
      <c r="L18" s="20" t="n">
        <f aca="false">IF(OR($K18=0,$W18=0),0,ROUNDUP($K18/6,0))</f>
        <v>2</v>
      </c>
      <c r="M18" s="20" t="n">
        <f aca="false">SUM($L$2:$L18)</f>
        <v>31</v>
      </c>
      <c r="N18" s="15" t="n">
        <f aca="false">ROUND(SUM(分录收入!$H$354:$H$375),2)</f>
        <v>70718.95</v>
      </c>
      <c r="O18" s="15" t="n">
        <f aca="false">ROUND(SUM(分录收入!$I$354:$I$375),2)</f>
        <v>70718.95</v>
      </c>
      <c r="P18" s="20" t="n">
        <f aca="false">IF($L18=0,"",COUNTIF($L$2:$L18,"&gt;0"))</f>
        <v>17</v>
      </c>
      <c r="Q18" s="47" t="n">
        <v>17</v>
      </c>
      <c r="R18" s="20" t="n">
        <f aca="false">IF(17&gt;$V$1,"",COUNTIF($M$2:$M$66,"&lt;"&amp;17)+1)</f>
        <v>9</v>
      </c>
      <c r="S18" s="20" t="n">
        <f aca="false">IF($R18="","",17-IF($R18=1,0,INDEX($M$2:$M$66,$R18-1)))</f>
        <v>1</v>
      </c>
      <c r="T18" s="20" t="n">
        <f aca="false">IF($R18="",0,IF($S18=INDEX($L$2:$L$66,$R18),1,0))</f>
        <v>0</v>
      </c>
      <c r="W18" s="20" t="n">
        <f aca="false">门店对照!$D18</f>
        <v>1</v>
      </c>
      <c r="X18" s="38" t="n">
        <f aca="false">IF($W18=1,$B18,"#未启用#")</f>
        <v>2022</v>
      </c>
    </row>
    <row r="19" customFormat="false" ht="13.5" hidden="false" customHeight="false" outlineLevel="0" collapsed="false">
      <c r="A19" s="47" t="n">
        <v>18</v>
      </c>
      <c r="B19" s="25" t="n">
        <f aca="false">IF(门店对照!$A19="","",门店对照!$A19)</f>
        <v>2023</v>
      </c>
      <c r="C19" s="26" t="str">
        <f aca="false">门店对照!$C19&amp;""</f>
        <v>尹村店</v>
      </c>
      <c r="D19" s="14" t="n">
        <f aca="false">参数!$B$2</f>
        <v>46234</v>
      </c>
      <c r="E19" s="15" t="n">
        <f aca="false">ROUND(SUMIFS(输入现金!$B:$B,输入现金!$A:$A,$X19),2)</f>
        <v>10365.03</v>
      </c>
      <c r="F19" s="15" t="n">
        <f aca="false">ROUND(SUM(分录收入!$G$377:$G$395),2)</f>
        <v>42104.09</v>
      </c>
      <c r="G19" s="15" t="n">
        <f aca="false">ROUND(海典汇总!$AE$20,2)</f>
        <v>52469.12</v>
      </c>
      <c r="H19" s="15" t="n">
        <f aca="false">ROUND($E19+$F19-$G19,2)</f>
        <v>0</v>
      </c>
      <c r="I19" s="15" t="n">
        <f aca="false">ROUND($E19+MAX(0,-$H19),2)</f>
        <v>10365.03</v>
      </c>
      <c r="J19" s="15" t="n">
        <f aca="false">ROUND(MAX(0,$H19),2)</f>
        <v>0</v>
      </c>
      <c r="K19" s="20" t="n">
        <f aca="false">SUM(分录收入!$J$376:$J$397)</f>
        <v>7</v>
      </c>
      <c r="L19" s="20" t="n">
        <f aca="false">IF(OR($K19=0,$W19=0),0,ROUNDUP($K19/6,0))</f>
        <v>2</v>
      </c>
      <c r="M19" s="20" t="n">
        <f aca="false">SUM($L$2:$L19)</f>
        <v>33</v>
      </c>
      <c r="N19" s="15" t="n">
        <f aca="false">ROUND(SUM(分录收入!$H$376:$H$397),2)</f>
        <v>52469.12</v>
      </c>
      <c r="O19" s="15" t="n">
        <f aca="false">ROUND(SUM(分录收入!$I$376:$I$397),2)</f>
        <v>52469.12</v>
      </c>
      <c r="P19" s="20" t="n">
        <f aca="false">IF($L19=0,"",COUNTIF($L$2:$L19,"&gt;0"))</f>
        <v>18</v>
      </c>
      <c r="Q19" s="47" t="n">
        <v>18</v>
      </c>
      <c r="R19" s="20" t="n">
        <f aca="false">IF(18&gt;$V$1,"",COUNTIF($M$2:$M$66,"&lt;"&amp;18)+1)</f>
        <v>9</v>
      </c>
      <c r="S19" s="20" t="n">
        <f aca="false">IF($R19="","",18-IF($R19=1,0,INDEX($M$2:$M$66,$R19-1)))</f>
        <v>2</v>
      </c>
      <c r="T19" s="20" t="n">
        <f aca="false">IF($R19="",0,IF($S19=INDEX($L$2:$L$66,$R19),1,0))</f>
        <v>1</v>
      </c>
      <c r="W19" s="20" t="n">
        <f aca="false">门店对照!$D19</f>
        <v>1</v>
      </c>
      <c r="X19" s="38" t="n">
        <f aca="false">IF($W19=1,$B19,"#未启用#")</f>
        <v>2023</v>
      </c>
    </row>
    <row r="20" customFormat="false" ht="13.5" hidden="false" customHeight="false" outlineLevel="0" collapsed="false">
      <c r="A20" s="47" t="n">
        <v>19</v>
      </c>
      <c r="B20" s="25" t="n">
        <f aca="false">IF(门店对照!$A20="","",门店对照!$A20)</f>
        <v>2024</v>
      </c>
      <c r="C20" s="26" t="str">
        <f aca="false">门店对照!$C20&amp;""</f>
        <v>高村店</v>
      </c>
      <c r="D20" s="14" t="n">
        <f aca="false">参数!$B$2</f>
        <v>46234</v>
      </c>
      <c r="E20" s="15" t="n">
        <f aca="false">ROUND(SUMIFS(输入现金!$B:$B,输入现金!$A:$A,$X20),2)</f>
        <v>38459.74</v>
      </c>
      <c r="F20" s="15" t="n">
        <f aca="false">ROUND(SUM(分录收入!$G$399:$G$417),2)</f>
        <v>63418.18</v>
      </c>
      <c r="G20" s="15" t="n">
        <f aca="false">ROUND(海典汇总!$AE$21,2)</f>
        <v>101877.92</v>
      </c>
      <c r="H20" s="15" t="n">
        <f aca="false">ROUND($E20+$F20-$G20,2)</f>
        <v>0</v>
      </c>
      <c r="I20" s="15" t="n">
        <f aca="false">ROUND($E20+MAX(0,-$H20),2)</f>
        <v>38459.74</v>
      </c>
      <c r="J20" s="15" t="n">
        <f aca="false">ROUND(MAX(0,$H20),2)</f>
        <v>0</v>
      </c>
      <c r="K20" s="20" t="n">
        <f aca="false">SUM(分录收入!$J$398:$J$419)</f>
        <v>7</v>
      </c>
      <c r="L20" s="20" t="n">
        <f aca="false">IF(OR($K20=0,$W20=0),0,ROUNDUP($K20/6,0))</f>
        <v>2</v>
      </c>
      <c r="M20" s="20" t="n">
        <f aca="false">SUM($L$2:$L20)</f>
        <v>35</v>
      </c>
      <c r="N20" s="15" t="n">
        <f aca="false">ROUND(SUM(分录收入!$H$398:$H$419),2)</f>
        <v>101877.92</v>
      </c>
      <c r="O20" s="15" t="n">
        <f aca="false">ROUND(SUM(分录收入!$I$398:$I$419),2)</f>
        <v>101877.92</v>
      </c>
      <c r="P20" s="20" t="n">
        <f aca="false">IF($L20=0,"",COUNTIF($L$2:$L20,"&gt;0"))</f>
        <v>19</v>
      </c>
      <c r="Q20" s="47" t="n">
        <v>19</v>
      </c>
      <c r="R20" s="20" t="n">
        <f aca="false">IF(19&gt;$V$1,"",COUNTIF($M$2:$M$66,"&lt;"&amp;19)+1)</f>
        <v>10</v>
      </c>
      <c r="S20" s="20" t="n">
        <f aca="false">IF($R20="","",19-IF($R20=1,0,INDEX($M$2:$M$66,$R20-1)))</f>
        <v>1</v>
      </c>
      <c r="T20" s="20" t="n">
        <f aca="false">IF($R20="",0,IF($S20=INDEX($L$2:$L$66,$R20),1,0))</f>
        <v>0</v>
      </c>
      <c r="W20" s="20" t="n">
        <f aca="false">门店对照!$D20</f>
        <v>1</v>
      </c>
      <c r="X20" s="38" t="n">
        <f aca="false">IF($W20=1,$B20,"#未启用#")</f>
        <v>2024</v>
      </c>
    </row>
    <row r="21" customFormat="false" ht="13.5" hidden="false" customHeight="false" outlineLevel="0" collapsed="false">
      <c r="A21" s="47" t="n">
        <v>20</v>
      </c>
      <c r="B21" s="25" t="n">
        <f aca="false">IF(门店对照!$A21="","",门店对照!$A21)</f>
        <v>2026</v>
      </c>
      <c r="C21" s="26" t="str">
        <f aca="false">门店对照!$C21&amp;""</f>
        <v>彭村店</v>
      </c>
      <c r="D21" s="14" t="n">
        <f aca="false">参数!$B$2</f>
        <v>46234</v>
      </c>
      <c r="E21" s="15" t="n">
        <f aca="false">ROUND(SUMIFS(输入现金!$B:$B,输入现金!$A:$A,$X21),2)</f>
        <v>7900.28</v>
      </c>
      <c r="F21" s="15" t="n">
        <f aca="false">ROUND(SUM(分录收入!$G$421:$G$439),2)</f>
        <v>27345.42</v>
      </c>
      <c r="G21" s="15" t="n">
        <f aca="false">ROUND(海典汇总!$AE$22,2)</f>
        <v>35245.7</v>
      </c>
      <c r="H21" s="15" t="n">
        <f aca="false">ROUND($E21+$F21-$G21,2)</f>
        <v>0</v>
      </c>
      <c r="I21" s="15" t="n">
        <f aca="false">ROUND($E21+MAX(0,-$H21),2)</f>
        <v>7900.28</v>
      </c>
      <c r="J21" s="15" t="n">
        <f aca="false">ROUND(MAX(0,$H21),2)</f>
        <v>0</v>
      </c>
      <c r="K21" s="20" t="n">
        <f aca="false">SUM(分录收入!$J$420:$J$441)</f>
        <v>7</v>
      </c>
      <c r="L21" s="20" t="n">
        <f aca="false">IF(OR($K21=0,$W21=0),0,ROUNDUP($K21/6,0))</f>
        <v>2</v>
      </c>
      <c r="M21" s="20" t="n">
        <f aca="false">SUM($L$2:$L21)</f>
        <v>37</v>
      </c>
      <c r="N21" s="15" t="n">
        <f aca="false">ROUND(SUM(分录收入!$H$420:$H$441),2)</f>
        <v>35245.9</v>
      </c>
      <c r="O21" s="15" t="n">
        <f aca="false">ROUND(SUM(分录收入!$I$420:$I$441),2)</f>
        <v>35245.9</v>
      </c>
      <c r="P21" s="20" t="n">
        <f aca="false">IF($L21=0,"",COUNTIF($L$2:$L21,"&gt;0"))</f>
        <v>20</v>
      </c>
      <c r="Q21" s="47" t="n">
        <v>20</v>
      </c>
      <c r="R21" s="20" t="n">
        <f aca="false">IF(20&gt;$V$1,"",COUNTIF($M$2:$M$66,"&lt;"&amp;20)+1)</f>
        <v>10</v>
      </c>
      <c r="S21" s="20" t="n">
        <f aca="false">IF($R21="","",20-IF($R21=1,0,INDEX($M$2:$M$66,$R21-1)))</f>
        <v>2</v>
      </c>
      <c r="T21" s="20" t="n">
        <f aca="false">IF($R21="",0,IF($S21=INDEX($L$2:$L$66,$R21),1,0))</f>
        <v>1</v>
      </c>
      <c r="W21" s="20" t="n">
        <f aca="false">门店对照!$D21</f>
        <v>1</v>
      </c>
      <c r="X21" s="38" t="n">
        <f aca="false">IF($W21=1,$B21,"#未启用#")</f>
        <v>2026</v>
      </c>
    </row>
    <row r="22" customFormat="false" ht="13.5" hidden="false" customHeight="false" outlineLevel="0" collapsed="false">
      <c r="A22" s="47" t="n">
        <v>21</v>
      </c>
      <c r="B22" s="25" t="n">
        <f aca="false">IF(门店对照!$A22="","",门店对照!$A22)</f>
        <v>2030</v>
      </c>
      <c r="C22" s="26" t="str">
        <f aca="false">门店对照!$C22&amp;""</f>
        <v>南位店</v>
      </c>
      <c r="D22" s="14" t="n">
        <f aca="false">参数!$B$2</f>
        <v>46234</v>
      </c>
      <c r="E22" s="15" t="n">
        <f aca="false">ROUND(SUMIFS(输入现金!$B:$B,输入现金!$A:$A,$X22),2)</f>
        <v>10577.51</v>
      </c>
      <c r="F22" s="15" t="n">
        <f aca="false">ROUND(SUM(分录收入!$G$443:$G$461),2)</f>
        <v>21300.54</v>
      </c>
      <c r="G22" s="15" t="n">
        <f aca="false">ROUND(海典汇总!$AE$23,2)</f>
        <v>31878.05</v>
      </c>
      <c r="H22" s="15" t="n">
        <f aca="false">ROUND($E22+$F22-$G22,2)</f>
        <v>0</v>
      </c>
      <c r="I22" s="15" t="n">
        <f aca="false">ROUND($E22+MAX(0,-$H22),2)</f>
        <v>10577.51</v>
      </c>
      <c r="J22" s="15" t="n">
        <f aca="false">ROUND(MAX(0,$H22),2)</f>
        <v>0</v>
      </c>
      <c r="K22" s="20" t="n">
        <f aca="false">SUM(分录收入!$J$442:$J$463)</f>
        <v>8</v>
      </c>
      <c r="L22" s="20" t="n">
        <f aca="false">IF(OR($K22=0,$W22=0),0,ROUNDUP($K22/6,0))</f>
        <v>2</v>
      </c>
      <c r="M22" s="20" t="n">
        <f aca="false">SUM($L$2:$L22)</f>
        <v>39</v>
      </c>
      <c r="N22" s="15" t="n">
        <f aca="false">ROUND(SUM(分录收入!$H$442:$H$463),2)</f>
        <v>31878.75</v>
      </c>
      <c r="O22" s="15" t="n">
        <f aca="false">ROUND(SUM(分录收入!$I$442:$I$463),2)</f>
        <v>31878.75</v>
      </c>
      <c r="P22" s="20" t="n">
        <f aca="false">IF($L22=0,"",COUNTIF($L$2:$L22,"&gt;0"))</f>
        <v>21</v>
      </c>
      <c r="Q22" s="47" t="n">
        <v>21</v>
      </c>
      <c r="R22" s="20" t="n">
        <f aca="false">IF(21&gt;$V$1,"",COUNTIF($M$2:$M$66,"&lt;"&amp;21)+1)</f>
        <v>11</v>
      </c>
      <c r="S22" s="20" t="n">
        <f aca="false">IF($R22="","",21-IF($R22=1,0,INDEX($M$2:$M$66,$R22-1)))</f>
        <v>1</v>
      </c>
      <c r="T22" s="20" t="n">
        <f aca="false">IF($R22="",0,IF($S22=INDEX($L$2:$L$66,$R22),1,0))</f>
        <v>0</v>
      </c>
      <c r="W22" s="20" t="n">
        <f aca="false">门店对照!$D22</f>
        <v>1</v>
      </c>
      <c r="X22" s="38" t="n">
        <f aca="false">IF($W22=1,$B22,"#未启用#")</f>
        <v>2030</v>
      </c>
    </row>
    <row r="23" customFormat="false" ht="13.5" hidden="false" customHeight="false" outlineLevel="0" collapsed="false">
      <c r="A23" s="47" t="n">
        <v>22</v>
      </c>
      <c r="B23" s="25" t="n">
        <f aca="false">IF(门店对照!$A23="","",门店对照!$A23)</f>
        <v>2032</v>
      </c>
      <c r="C23" s="26" t="str">
        <f aca="false">门店对照!$C23&amp;""</f>
        <v>博园店</v>
      </c>
      <c r="D23" s="14" t="n">
        <f aca="false">参数!$B$2</f>
        <v>46234</v>
      </c>
      <c r="E23" s="15" t="n">
        <f aca="false">ROUND(SUMIFS(输入现金!$B:$B,输入现金!$A:$A,$X23),2)</f>
        <v>8260.86</v>
      </c>
      <c r="F23" s="15" t="n">
        <f aca="false">ROUND(SUM(分录收入!$G$465:$G$483),2)</f>
        <v>35441.65</v>
      </c>
      <c r="G23" s="15" t="n">
        <f aca="false">ROUND(海典汇总!$AE$24,2)</f>
        <v>43702.51</v>
      </c>
      <c r="H23" s="15" t="n">
        <f aca="false">ROUND($E23+$F23-$G23,2)</f>
        <v>0</v>
      </c>
      <c r="I23" s="15" t="n">
        <f aca="false">ROUND($E23+MAX(0,-$H23),2)</f>
        <v>8260.86</v>
      </c>
      <c r="J23" s="15" t="n">
        <f aca="false">ROUND(MAX(0,$H23),2)</f>
        <v>0</v>
      </c>
      <c r="K23" s="20" t="n">
        <f aca="false">SUM(分录收入!$J$464:$J$485)</f>
        <v>7</v>
      </c>
      <c r="L23" s="20" t="n">
        <f aca="false">IF(OR($K23=0,$W23=0),0,ROUNDUP($K23/6,0))</f>
        <v>2</v>
      </c>
      <c r="M23" s="20" t="n">
        <f aca="false">SUM($L$2:$L23)</f>
        <v>41</v>
      </c>
      <c r="N23" s="15" t="n">
        <f aca="false">ROUND(SUM(分录收入!$H$464:$H$485),2)</f>
        <v>43702.51</v>
      </c>
      <c r="O23" s="15" t="n">
        <f aca="false">ROUND(SUM(分录收入!$I$464:$I$485),2)</f>
        <v>43702.51</v>
      </c>
      <c r="P23" s="20" t="n">
        <f aca="false">IF($L23=0,"",COUNTIF($L$2:$L23,"&gt;0"))</f>
        <v>22</v>
      </c>
      <c r="Q23" s="47" t="n">
        <v>22</v>
      </c>
      <c r="R23" s="20" t="n">
        <f aca="false">IF(22&gt;$V$1,"",COUNTIF($M$2:$M$66,"&lt;"&amp;22)+1)</f>
        <v>11</v>
      </c>
      <c r="S23" s="20" t="n">
        <f aca="false">IF($R23="","",22-IF($R23=1,0,INDEX($M$2:$M$66,$R23-1)))</f>
        <v>2</v>
      </c>
      <c r="T23" s="20" t="n">
        <f aca="false">IF($R23="",0,IF($S23=INDEX($L$2:$L$66,$R23),1,0))</f>
        <v>1</v>
      </c>
      <c r="W23" s="20" t="n">
        <f aca="false">门店对照!$D23</f>
        <v>1</v>
      </c>
      <c r="X23" s="38" t="n">
        <f aca="false">IF($W23=1,$B23,"#未启用#")</f>
        <v>2032</v>
      </c>
    </row>
    <row r="24" customFormat="false" ht="13.5" hidden="false" customHeight="false" outlineLevel="0" collapsed="false">
      <c r="A24" s="47" t="n">
        <v>23</v>
      </c>
      <c r="B24" s="25" t="n">
        <f aca="false">IF(门店对照!$A24="","",门店对照!$A24)</f>
        <v>2036</v>
      </c>
      <c r="C24" s="26" t="str">
        <f aca="false">门店对照!$C24&amp;""</f>
        <v>黑城店</v>
      </c>
      <c r="D24" s="14" t="n">
        <f aca="false">参数!$B$2</f>
        <v>46234</v>
      </c>
      <c r="E24" s="15" t="n">
        <f aca="false">ROUND(SUMIFS(输入现金!$B:$B,输入现金!$A:$A,$X24),2)</f>
        <v>0</v>
      </c>
      <c r="F24" s="15" t="n">
        <f aca="false">ROUND(SUM(分录收入!$G$487:$G$505),2)</f>
        <v>0</v>
      </c>
      <c r="G24" s="15" t="n">
        <f aca="false">ROUND(海典汇总!$AE$25,2)</f>
        <v>0</v>
      </c>
      <c r="H24" s="15" t="n">
        <f aca="false">ROUND($E24+$F24-$G24,2)</f>
        <v>0</v>
      </c>
      <c r="I24" s="15" t="n">
        <f aca="false">ROUND($E24+MAX(0,-$H24),2)</f>
        <v>0</v>
      </c>
      <c r="J24" s="15" t="n">
        <f aca="false">ROUND(MAX(0,$H24),2)</f>
        <v>0</v>
      </c>
      <c r="K24" s="20" t="n">
        <f aca="false">SUM(分录收入!$J$486:$J$507)</f>
        <v>0</v>
      </c>
      <c r="L24" s="20" t="n">
        <f aca="false">IF(OR($K24=0,$W24=0),0,ROUNDUP($K24/6,0))</f>
        <v>0</v>
      </c>
      <c r="M24" s="20" t="n">
        <f aca="false">SUM($L$2:$L24)</f>
        <v>41</v>
      </c>
      <c r="N24" s="15" t="n">
        <f aca="false">ROUND(SUM(分录收入!$H$486:$H$507),2)</f>
        <v>0</v>
      </c>
      <c r="O24" s="15" t="n">
        <f aca="false">ROUND(SUM(分录收入!$I$486:$I$507),2)</f>
        <v>0</v>
      </c>
      <c r="P24" s="20" t="str">
        <f aca="false">IF($L24=0,"",COUNTIF($L$2:$L24,"&gt;0"))</f>
        <v/>
      </c>
      <c r="Q24" s="47" t="n">
        <v>23</v>
      </c>
      <c r="R24" s="20" t="n">
        <f aca="false">IF(23&gt;$V$1,"",COUNTIF($M$2:$M$66,"&lt;"&amp;23)+1)</f>
        <v>12</v>
      </c>
      <c r="S24" s="20" t="n">
        <f aca="false">IF($R24="","",23-IF($R24=1,0,INDEX($M$2:$M$66,$R24-1)))</f>
        <v>1</v>
      </c>
      <c r="T24" s="20" t="n">
        <f aca="false">IF($R24="",0,IF($S24=INDEX($L$2:$L$66,$R24),1,0))</f>
        <v>0</v>
      </c>
      <c r="W24" s="20" t="n">
        <f aca="false">门店对照!$D24</f>
        <v>1</v>
      </c>
      <c r="X24" s="38" t="n">
        <f aca="false">IF($W24=1,$B24,"#未启用#")</f>
        <v>2036</v>
      </c>
    </row>
    <row r="25" customFormat="false" ht="13.5" hidden="false" customHeight="false" outlineLevel="0" collapsed="false">
      <c r="A25" s="47" t="n">
        <v>24</v>
      </c>
      <c r="B25" s="25" t="n">
        <f aca="false">IF(门店对照!$A25="","",门店对照!$A25)</f>
        <v>2037</v>
      </c>
      <c r="C25" s="26" t="str">
        <f aca="false">门店对照!$C25&amp;""</f>
        <v>新华路店</v>
      </c>
      <c r="D25" s="14" t="n">
        <f aca="false">参数!$B$2</f>
        <v>46234</v>
      </c>
      <c r="E25" s="15" t="n">
        <f aca="false">ROUND(SUMIFS(输入现金!$B:$B,输入现金!$A:$A,$X25),2)</f>
        <v>9545.13</v>
      </c>
      <c r="F25" s="15" t="n">
        <f aca="false">ROUND(SUM(分录收入!$G$509:$G$527),2)</f>
        <v>47574.63</v>
      </c>
      <c r="G25" s="15" t="n">
        <f aca="false">ROUND(海典汇总!$AE$26,2)</f>
        <v>57119.76</v>
      </c>
      <c r="H25" s="15" t="n">
        <f aca="false">ROUND($E25+$F25-$G25,2)</f>
        <v>0</v>
      </c>
      <c r="I25" s="15" t="n">
        <f aca="false">ROUND($E25+MAX(0,-$H25),2)</f>
        <v>9545.13</v>
      </c>
      <c r="J25" s="15" t="n">
        <f aca="false">ROUND(MAX(0,$H25),2)</f>
        <v>0</v>
      </c>
      <c r="K25" s="20" t="n">
        <f aca="false">SUM(分录收入!$J$508:$J$529)</f>
        <v>12</v>
      </c>
      <c r="L25" s="20" t="n">
        <f aca="false">IF(OR($K25=0,$W25=0),0,ROUNDUP($K25/6,0))</f>
        <v>2</v>
      </c>
      <c r="M25" s="20" t="n">
        <f aca="false">SUM($L$2:$L25)</f>
        <v>43</v>
      </c>
      <c r="N25" s="15" t="n">
        <f aca="false">ROUND(SUM(分录收入!$H$508:$H$529),2)</f>
        <v>57119.76</v>
      </c>
      <c r="O25" s="15" t="n">
        <f aca="false">ROUND(SUM(分录收入!$I$508:$I$529),2)</f>
        <v>57119.76</v>
      </c>
      <c r="P25" s="20" t="n">
        <f aca="false">IF($L25=0,"",COUNTIF($L$2:$L25,"&gt;0"))</f>
        <v>23</v>
      </c>
      <c r="Q25" s="47" t="n">
        <v>24</v>
      </c>
      <c r="R25" s="20" t="n">
        <f aca="false">IF(24&gt;$V$1,"",COUNTIF($M$2:$M$66,"&lt;"&amp;24)+1)</f>
        <v>12</v>
      </c>
      <c r="S25" s="20" t="n">
        <f aca="false">IF($R25="","",24-IF($R25=1,0,INDEX($M$2:$M$66,$R25-1)))</f>
        <v>2</v>
      </c>
      <c r="T25" s="20" t="n">
        <f aca="false">IF($R25="",0,IF($S25=INDEX($L$2:$L$66,$R25),1,0))</f>
        <v>1</v>
      </c>
      <c r="W25" s="20" t="n">
        <f aca="false">门店对照!$D25</f>
        <v>1</v>
      </c>
      <c r="X25" s="38" t="n">
        <f aca="false">IF($W25=1,$B25,"#未启用#")</f>
        <v>2037</v>
      </c>
    </row>
    <row r="26" customFormat="false" ht="13.5" hidden="false" customHeight="false" outlineLevel="0" collapsed="false">
      <c r="A26" s="47" t="n">
        <v>25</v>
      </c>
      <c r="B26" s="25" t="n">
        <f aca="false">IF(门店对照!$A26="","",门店对照!$A26)</f>
        <v>2038</v>
      </c>
      <c r="C26" s="26" t="str">
        <f aca="false">门店对照!$C26&amp;""</f>
        <v>杨村王街店</v>
      </c>
      <c r="D26" s="14" t="n">
        <f aca="false">参数!$B$2</f>
        <v>46234</v>
      </c>
      <c r="E26" s="15" t="n">
        <f aca="false">ROUND(SUMIFS(输入现金!$B:$B,输入现金!$A:$A,$X26),2)</f>
        <v>9460.39</v>
      </c>
      <c r="F26" s="15" t="n">
        <f aca="false">ROUND(SUM(分录收入!$G$531:$G$549),2)</f>
        <v>27522.01</v>
      </c>
      <c r="G26" s="15" t="n">
        <f aca="false">ROUND(海典汇总!$AE$27,2)</f>
        <v>36982.4</v>
      </c>
      <c r="H26" s="15" t="n">
        <f aca="false">ROUND($E26+$F26-$G26,2)</f>
        <v>0</v>
      </c>
      <c r="I26" s="15" t="n">
        <f aca="false">ROUND($E26+MAX(0,-$H26),2)</f>
        <v>9460.39</v>
      </c>
      <c r="J26" s="15" t="n">
        <f aca="false">ROUND(MAX(0,$H26),2)</f>
        <v>0</v>
      </c>
      <c r="K26" s="20" t="n">
        <f aca="false">SUM(分录收入!$J$530:$J$551)</f>
        <v>7</v>
      </c>
      <c r="L26" s="20" t="n">
        <f aca="false">IF(OR($K26=0,$W26=0),0,ROUNDUP($K26/6,0))</f>
        <v>2</v>
      </c>
      <c r="M26" s="20" t="n">
        <f aca="false">SUM($L$2:$L26)</f>
        <v>45</v>
      </c>
      <c r="N26" s="15" t="n">
        <f aca="false">ROUND(SUM(分录收入!$H$530:$H$551),2)</f>
        <v>36982.4</v>
      </c>
      <c r="O26" s="15" t="n">
        <f aca="false">ROUND(SUM(分录收入!$I$530:$I$551),2)</f>
        <v>36982.4</v>
      </c>
      <c r="P26" s="20" t="n">
        <f aca="false">IF($L26=0,"",COUNTIF($L$2:$L26,"&gt;0"))</f>
        <v>24</v>
      </c>
      <c r="Q26" s="47" t="n">
        <v>25</v>
      </c>
      <c r="R26" s="20" t="n">
        <f aca="false">IF(25&gt;$V$1,"",COUNTIF($M$2:$M$66,"&lt;"&amp;25)+1)</f>
        <v>13</v>
      </c>
      <c r="S26" s="20" t="n">
        <f aca="false">IF($R26="","",25-IF($R26=1,0,INDEX($M$2:$M$66,$R26-1)))</f>
        <v>1</v>
      </c>
      <c r="T26" s="20" t="n">
        <f aca="false">IF($R26="",0,IF($S26=INDEX($L$2:$L$66,$R26),1,0))</f>
        <v>0</v>
      </c>
      <c r="W26" s="20" t="n">
        <f aca="false">门店对照!$D26</f>
        <v>1</v>
      </c>
      <c r="X26" s="38" t="n">
        <f aca="false">IF($W26=1,$B26,"#未启用#")</f>
        <v>2038</v>
      </c>
    </row>
    <row r="27" customFormat="false" ht="13.5" hidden="false" customHeight="false" outlineLevel="0" collapsed="false">
      <c r="A27" s="47" t="n">
        <v>26</v>
      </c>
      <c r="B27" s="25" t="n">
        <f aca="false">IF(门店对照!$A27="","",门店对照!$A27)</f>
        <v>2039</v>
      </c>
      <c r="C27" s="26" t="str">
        <f aca="false">门店对照!$C27&amp;""</f>
        <v>千户营店</v>
      </c>
      <c r="D27" s="14" t="n">
        <f aca="false">参数!$B$2</f>
        <v>46234</v>
      </c>
      <c r="E27" s="15" t="n">
        <f aca="false">ROUND(SUMIFS(输入现金!$B:$B,输入现金!$A:$A,$X27),2)</f>
        <v>27210.58</v>
      </c>
      <c r="F27" s="15" t="n">
        <f aca="false">ROUND(SUM(分录收入!$G$553:$G$571),2)</f>
        <v>46706.84</v>
      </c>
      <c r="G27" s="15" t="n">
        <f aca="false">ROUND(海典汇总!$AE$28,2)</f>
        <v>73917.42</v>
      </c>
      <c r="H27" s="15" t="n">
        <f aca="false">ROUND($E27+$F27-$G27,2)</f>
        <v>0</v>
      </c>
      <c r="I27" s="15" t="n">
        <f aca="false">ROUND($E27+MAX(0,-$H27),2)</f>
        <v>27210.58</v>
      </c>
      <c r="J27" s="15" t="n">
        <f aca="false">ROUND(MAX(0,$H27),2)</f>
        <v>0</v>
      </c>
      <c r="K27" s="20" t="n">
        <f aca="false">SUM(分录收入!$J$552:$J$573)</f>
        <v>7</v>
      </c>
      <c r="L27" s="20" t="n">
        <f aca="false">IF(OR($K27=0,$W27=0),0,ROUNDUP($K27/6,0))</f>
        <v>2</v>
      </c>
      <c r="M27" s="20" t="n">
        <f aca="false">SUM($L$2:$L27)</f>
        <v>47</v>
      </c>
      <c r="N27" s="15" t="n">
        <f aca="false">ROUND(SUM(分录收入!$H$552:$H$573),2)</f>
        <v>73917.68</v>
      </c>
      <c r="O27" s="15" t="n">
        <f aca="false">ROUND(SUM(分录收入!$I$552:$I$573),2)</f>
        <v>73917.68</v>
      </c>
      <c r="P27" s="20" t="n">
        <f aca="false">IF($L27=0,"",COUNTIF($L$2:$L27,"&gt;0"))</f>
        <v>25</v>
      </c>
      <c r="Q27" s="47" t="n">
        <v>26</v>
      </c>
      <c r="R27" s="20" t="n">
        <f aca="false">IF(26&gt;$V$1,"",COUNTIF($M$2:$M$66,"&lt;"&amp;26)+1)</f>
        <v>13</v>
      </c>
      <c r="S27" s="20" t="n">
        <f aca="false">IF($R27="","",26-IF($R27=1,0,INDEX($M$2:$M$66,$R27-1)))</f>
        <v>2</v>
      </c>
      <c r="T27" s="20" t="n">
        <f aca="false">IF($R27="",0,IF($S27=INDEX($L$2:$L$66,$R27),1,0))</f>
        <v>1</v>
      </c>
      <c r="W27" s="20" t="n">
        <f aca="false">门店对照!$D27</f>
        <v>1</v>
      </c>
      <c r="X27" s="38" t="n">
        <f aca="false">IF($W27=1,$B27,"#未启用#")</f>
        <v>2039</v>
      </c>
    </row>
    <row r="28" customFormat="false" ht="13.5" hidden="false" customHeight="false" outlineLevel="0" collapsed="false">
      <c r="A28" s="47" t="n">
        <v>27</v>
      </c>
      <c r="B28" s="25" t="n">
        <f aca="false">IF(门店对照!$A28="","",门店对照!$A28)</f>
        <v>2040</v>
      </c>
      <c r="C28" s="26" t="str">
        <f aca="false">门店对照!$C28&amp;""</f>
        <v>大张庄店</v>
      </c>
      <c r="D28" s="14" t="n">
        <f aca="false">参数!$B$2</f>
        <v>46234</v>
      </c>
      <c r="E28" s="15" t="n">
        <f aca="false">ROUND(SUMIFS(输入现金!$B:$B,输入现金!$A:$A,$X28),2)</f>
        <v>24616.18</v>
      </c>
      <c r="F28" s="15" t="n">
        <f aca="false">ROUND(SUM(分录收入!$G$575:$G$593),2)</f>
        <v>67734.33</v>
      </c>
      <c r="G28" s="15" t="n">
        <f aca="false">ROUND(海典汇总!$AE$29,2)</f>
        <v>92350.51</v>
      </c>
      <c r="H28" s="15" t="n">
        <f aca="false">ROUND($E28+$F28-$G28,2)</f>
        <v>0</v>
      </c>
      <c r="I28" s="15" t="n">
        <f aca="false">ROUND($E28+MAX(0,-$H28),2)</f>
        <v>24616.18</v>
      </c>
      <c r="J28" s="15" t="n">
        <f aca="false">ROUND(MAX(0,$H28),2)</f>
        <v>0</v>
      </c>
      <c r="K28" s="20" t="n">
        <f aca="false">SUM(分录收入!$J$574:$J$595)</f>
        <v>8</v>
      </c>
      <c r="L28" s="20" t="n">
        <f aca="false">IF(OR($K28=0,$W28=0),0,ROUNDUP($K28/6,0))</f>
        <v>2</v>
      </c>
      <c r="M28" s="20" t="n">
        <f aca="false">SUM($L$2:$L28)</f>
        <v>49</v>
      </c>
      <c r="N28" s="15" t="n">
        <f aca="false">ROUND(SUM(分录收入!$H$574:$H$595),2)</f>
        <v>92351.66</v>
      </c>
      <c r="O28" s="15" t="n">
        <f aca="false">ROUND(SUM(分录收入!$I$574:$I$595),2)</f>
        <v>92351.66</v>
      </c>
      <c r="P28" s="20" t="n">
        <f aca="false">IF($L28=0,"",COUNTIF($L$2:$L28,"&gt;0"))</f>
        <v>26</v>
      </c>
      <c r="Q28" s="47" t="n">
        <v>27</v>
      </c>
      <c r="R28" s="20" t="n">
        <f aca="false">IF(27&gt;$V$1,"",COUNTIF($M$2:$M$66,"&lt;"&amp;27)+1)</f>
        <v>14</v>
      </c>
      <c r="S28" s="20" t="n">
        <f aca="false">IF($R28="","",27-IF($R28=1,0,INDEX($M$2:$M$66,$R28-1)))</f>
        <v>1</v>
      </c>
      <c r="T28" s="20" t="n">
        <f aca="false">IF($R28="",0,IF($S28=INDEX($L$2:$L$66,$R28),1,0))</f>
        <v>1</v>
      </c>
      <c r="W28" s="20" t="n">
        <f aca="false">门店对照!$D28</f>
        <v>1</v>
      </c>
      <c r="X28" s="38" t="n">
        <f aca="false">IF($W28=1,$B28,"#未启用#")</f>
        <v>2040</v>
      </c>
    </row>
    <row r="29" customFormat="false" ht="13.5" hidden="false" customHeight="false" outlineLevel="0" collapsed="false">
      <c r="A29" s="47" t="n">
        <v>28</v>
      </c>
      <c r="B29" s="25" t="n">
        <f aca="false">IF(门店对照!$A29="","",门店对照!$A29)</f>
        <v>2041</v>
      </c>
      <c r="C29" s="26" t="str">
        <f aca="false">门店对照!$C29&amp;""</f>
        <v>郝庄店</v>
      </c>
      <c r="D29" s="14" t="n">
        <f aca="false">参数!$B$2</f>
        <v>46234</v>
      </c>
      <c r="E29" s="15" t="n">
        <f aca="false">ROUND(SUMIFS(输入现金!$B:$B,输入现金!$A:$A,$X29),2)</f>
        <v>14774.25</v>
      </c>
      <c r="F29" s="15" t="n">
        <f aca="false">ROUND(SUM(分录收入!$G$597:$G$615),2)</f>
        <v>38859.27</v>
      </c>
      <c r="G29" s="15" t="n">
        <f aca="false">ROUND(海典汇总!$AE$30,2)</f>
        <v>53633.52</v>
      </c>
      <c r="H29" s="15" t="n">
        <f aca="false">ROUND($E29+$F29-$G29,2)</f>
        <v>0</v>
      </c>
      <c r="I29" s="15" t="n">
        <f aca="false">ROUND($E29+MAX(0,-$H29),2)</f>
        <v>14774.25</v>
      </c>
      <c r="J29" s="15" t="n">
        <f aca="false">ROUND(MAX(0,$H29),2)</f>
        <v>0</v>
      </c>
      <c r="K29" s="20" t="n">
        <f aca="false">SUM(分录收入!$J$596:$J$617)</f>
        <v>7</v>
      </c>
      <c r="L29" s="20" t="n">
        <f aca="false">IF(OR($K29=0,$W29=0),0,ROUNDUP($K29/6,0))</f>
        <v>2</v>
      </c>
      <c r="M29" s="20" t="n">
        <f aca="false">SUM($L$2:$L29)</f>
        <v>51</v>
      </c>
      <c r="N29" s="15" t="n">
        <f aca="false">ROUND(SUM(分录收入!$H$596:$H$617),2)</f>
        <v>53642.88</v>
      </c>
      <c r="O29" s="15" t="n">
        <f aca="false">ROUND(SUM(分录收入!$I$596:$I$617),2)</f>
        <v>53642.88</v>
      </c>
      <c r="P29" s="20" t="n">
        <f aca="false">IF($L29=0,"",COUNTIF($L$2:$L29,"&gt;0"))</f>
        <v>27</v>
      </c>
      <c r="Q29" s="47" t="n">
        <v>28</v>
      </c>
      <c r="R29" s="20" t="n">
        <f aca="false">IF(28&gt;$V$1,"",COUNTIF($M$2:$M$66,"&lt;"&amp;28)+1)</f>
        <v>15</v>
      </c>
      <c r="S29" s="20" t="n">
        <f aca="false">IF($R29="","",28-IF($R29=1,0,INDEX($M$2:$M$66,$R29-1)))</f>
        <v>1</v>
      </c>
      <c r="T29" s="20" t="n">
        <f aca="false">IF($R29="",0,IF($S29=INDEX($L$2:$L$66,$R29),1,0))</f>
        <v>1</v>
      </c>
      <c r="W29" s="20" t="n">
        <f aca="false">门店对照!$D29</f>
        <v>1</v>
      </c>
      <c r="X29" s="38" t="n">
        <f aca="false">IF($W29=1,$B29,"#未启用#")</f>
        <v>2041</v>
      </c>
    </row>
    <row r="30" customFormat="false" ht="13.5" hidden="false" customHeight="false" outlineLevel="0" collapsed="false">
      <c r="A30" s="47" t="n">
        <v>29</v>
      </c>
      <c r="B30" s="25" t="n">
        <f aca="false">IF(门店对照!$A30="","",门店对照!$A30)</f>
        <v>2042</v>
      </c>
      <c r="C30" s="26" t="str">
        <f aca="false">门店对照!$C30&amp;""</f>
        <v>白家寨店</v>
      </c>
      <c r="D30" s="14" t="n">
        <f aca="false">参数!$B$2</f>
        <v>46234</v>
      </c>
      <c r="E30" s="15" t="n">
        <f aca="false">ROUND(SUMIFS(输入现金!$B:$B,输入现金!$A:$A,$X30),2)</f>
        <v>14901.93</v>
      </c>
      <c r="F30" s="15" t="n">
        <f aca="false">ROUND(SUM(分录收入!$G$619:$G$637),2)</f>
        <v>34756.07</v>
      </c>
      <c r="G30" s="15" t="n">
        <f aca="false">ROUND(海典汇总!$AE$31,2)</f>
        <v>49658</v>
      </c>
      <c r="H30" s="15" t="n">
        <f aca="false">ROUND($E30+$F30-$G30,2)</f>
        <v>0</v>
      </c>
      <c r="I30" s="15" t="n">
        <f aca="false">ROUND($E30+MAX(0,-$H30),2)</f>
        <v>14901.93</v>
      </c>
      <c r="J30" s="15" t="n">
        <f aca="false">ROUND(MAX(0,$H30),2)</f>
        <v>0</v>
      </c>
      <c r="K30" s="20" t="n">
        <f aca="false">SUM(分录收入!$J$618:$J$639)</f>
        <v>7</v>
      </c>
      <c r="L30" s="20" t="n">
        <f aca="false">IF(OR($K30=0,$W30=0),0,ROUNDUP($K30/6,0))</f>
        <v>2</v>
      </c>
      <c r="M30" s="20" t="n">
        <f aca="false">SUM($L$2:$L30)</f>
        <v>53</v>
      </c>
      <c r="N30" s="15" t="n">
        <f aca="false">ROUND(SUM(分录收入!$H$618:$H$639),2)</f>
        <v>49658</v>
      </c>
      <c r="O30" s="15" t="n">
        <f aca="false">ROUND(SUM(分录收入!$I$618:$I$639),2)</f>
        <v>49658</v>
      </c>
      <c r="P30" s="20" t="n">
        <f aca="false">IF($L30=0,"",COUNTIF($L$2:$L30,"&gt;0"))</f>
        <v>28</v>
      </c>
      <c r="Q30" s="47" t="n">
        <v>29</v>
      </c>
      <c r="R30" s="20" t="n">
        <f aca="false">IF(29&gt;$V$1,"",COUNTIF($M$2:$M$66,"&lt;"&amp;29)+1)</f>
        <v>16</v>
      </c>
      <c r="S30" s="20" t="n">
        <f aca="false">IF($R30="","",29-IF($R30=1,0,INDEX($M$2:$M$66,$R30-1)))</f>
        <v>1</v>
      </c>
      <c r="T30" s="20" t="n">
        <f aca="false">IF($R30="",0,IF($S30=INDEX($L$2:$L$66,$R30),1,0))</f>
        <v>1</v>
      </c>
      <c r="W30" s="20" t="n">
        <f aca="false">门店对照!$D30</f>
        <v>1</v>
      </c>
      <c r="X30" s="38" t="n">
        <f aca="false">IF($W30=1,$B30,"#未启用#")</f>
        <v>2042</v>
      </c>
    </row>
    <row r="31" customFormat="false" ht="13.5" hidden="false" customHeight="false" outlineLevel="0" collapsed="false">
      <c r="A31" s="47" t="n">
        <v>30</v>
      </c>
      <c r="B31" s="25" t="n">
        <f aca="false">IF(门店对照!$A31="","",门店对照!$A31)</f>
        <v>2043</v>
      </c>
      <c r="C31" s="26" t="str">
        <f aca="false">门店对照!$C31&amp;""</f>
        <v>博福店</v>
      </c>
      <c r="D31" s="14" t="n">
        <f aca="false">参数!$B$2</f>
        <v>46234</v>
      </c>
      <c r="E31" s="15" t="n">
        <f aca="false">ROUND(SUMIFS(输入现金!$B:$B,输入现金!$A:$A,$X31),2)</f>
        <v>5461.07</v>
      </c>
      <c r="F31" s="15" t="n">
        <f aca="false">ROUND(SUM(分录收入!$G$641:$G$659),2)</f>
        <v>64744.68</v>
      </c>
      <c r="G31" s="15" t="n">
        <f aca="false">ROUND(海典汇总!$AE$32,2)</f>
        <v>70205.75</v>
      </c>
      <c r="H31" s="15" t="n">
        <f aca="false">ROUND($E31+$F31-$G31,2)</f>
        <v>0</v>
      </c>
      <c r="I31" s="15" t="n">
        <f aca="false">ROUND($E31+MAX(0,-$H31),2)</f>
        <v>5461.07</v>
      </c>
      <c r="J31" s="15" t="n">
        <f aca="false">ROUND(MAX(0,$H31),2)</f>
        <v>0</v>
      </c>
      <c r="K31" s="20" t="n">
        <f aca="false">SUM(分录收入!$J$640:$J$661)</f>
        <v>10</v>
      </c>
      <c r="L31" s="20" t="n">
        <f aca="false">IF(OR($K31=0,$W31=0),0,ROUNDUP($K31/6,0))</f>
        <v>2</v>
      </c>
      <c r="M31" s="20" t="n">
        <f aca="false">SUM($L$2:$L31)</f>
        <v>55</v>
      </c>
      <c r="N31" s="15" t="n">
        <f aca="false">ROUND(SUM(分录收入!$H$640:$H$661),2)</f>
        <v>70205.75</v>
      </c>
      <c r="O31" s="15" t="n">
        <f aca="false">ROUND(SUM(分录收入!$I$640:$I$661),2)</f>
        <v>70205.75</v>
      </c>
      <c r="P31" s="20" t="n">
        <f aca="false">IF($L31=0,"",COUNTIF($L$2:$L31,"&gt;0"))</f>
        <v>29</v>
      </c>
      <c r="Q31" s="47" t="n">
        <v>30</v>
      </c>
      <c r="R31" s="20" t="n">
        <f aca="false">IF(30&gt;$V$1,"",COUNTIF($M$2:$M$66,"&lt;"&amp;30)+1)</f>
        <v>17</v>
      </c>
      <c r="S31" s="20" t="n">
        <f aca="false">IF($R31="","",30-IF($R31=1,0,INDEX($M$2:$M$66,$R31-1)))</f>
        <v>1</v>
      </c>
      <c r="T31" s="20" t="n">
        <f aca="false">IF($R31="",0,IF($S31=INDEX($L$2:$L$66,$R31),1,0))</f>
        <v>0</v>
      </c>
      <c r="W31" s="20" t="n">
        <f aca="false">门店对照!$D31</f>
        <v>1</v>
      </c>
      <c r="X31" s="38" t="n">
        <f aca="false">IF($W31=1,$B31,"#未启用#")</f>
        <v>2043</v>
      </c>
    </row>
    <row r="32" customFormat="false" ht="13.5" hidden="false" customHeight="false" outlineLevel="0" collapsed="false">
      <c r="A32" s="47" t="n">
        <v>31</v>
      </c>
      <c r="B32" s="25" t="n">
        <f aca="false">IF(门店对照!$A32="","",门店对照!$A32)</f>
        <v>2044</v>
      </c>
      <c r="C32" s="26" t="str">
        <f aca="false">门店对照!$C32&amp;""</f>
        <v>博营店</v>
      </c>
      <c r="D32" s="14" t="n">
        <f aca="false">参数!$B$2</f>
        <v>46234</v>
      </c>
      <c r="E32" s="15" t="n">
        <f aca="false">ROUND(SUMIFS(输入现金!$B:$B,输入现金!$A:$A,$X32),2)</f>
        <v>14656.89</v>
      </c>
      <c r="F32" s="15" t="n">
        <f aca="false">ROUND(SUM(分录收入!$G$663:$G$681),2)</f>
        <v>22686.02</v>
      </c>
      <c r="G32" s="15" t="n">
        <f aca="false">ROUND(海典汇总!$AE$33,2)</f>
        <v>37342.91</v>
      </c>
      <c r="H32" s="15" t="n">
        <f aca="false">ROUND($E32+$F32-$G32,2)</f>
        <v>0</v>
      </c>
      <c r="I32" s="15" t="n">
        <f aca="false">ROUND($E32+MAX(0,-$H32),2)</f>
        <v>14656.89</v>
      </c>
      <c r="J32" s="15" t="n">
        <f aca="false">ROUND(MAX(0,$H32),2)</f>
        <v>0</v>
      </c>
      <c r="K32" s="20" t="n">
        <f aca="false">SUM(分录收入!$J$662:$J$683)</f>
        <v>6</v>
      </c>
      <c r="L32" s="20" t="n">
        <f aca="false">IF(OR($K32=0,$W32=0),0,ROUNDUP($K32/6,0))</f>
        <v>1</v>
      </c>
      <c r="M32" s="20" t="n">
        <f aca="false">SUM($L$2:$L32)</f>
        <v>56</v>
      </c>
      <c r="N32" s="15" t="n">
        <f aca="false">ROUND(SUM(分录收入!$H$662:$H$683),2)</f>
        <v>37342.91</v>
      </c>
      <c r="O32" s="15" t="n">
        <f aca="false">ROUND(SUM(分录收入!$I$662:$I$683),2)</f>
        <v>37342.91</v>
      </c>
      <c r="P32" s="20" t="n">
        <f aca="false">IF($L32=0,"",COUNTIF($L$2:$L32,"&gt;0"))</f>
        <v>30</v>
      </c>
      <c r="Q32" s="47" t="n">
        <v>31</v>
      </c>
      <c r="R32" s="20" t="n">
        <f aca="false">IF(31&gt;$V$1,"",COUNTIF($M$2:$M$66,"&lt;"&amp;31)+1)</f>
        <v>17</v>
      </c>
      <c r="S32" s="20" t="n">
        <f aca="false">IF($R32="","",31-IF($R32=1,0,INDEX($M$2:$M$66,$R32-1)))</f>
        <v>2</v>
      </c>
      <c r="T32" s="20" t="n">
        <f aca="false">IF($R32="",0,IF($S32=INDEX($L$2:$L$66,$R32),1,0))</f>
        <v>1</v>
      </c>
      <c r="W32" s="20" t="n">
        <f aca="false">门店对照!$D32</f>
        <v>1</v>
      </c>
      <c r="X32" s="38" t="n">
        <f aca="false">IF($W32=1,$B32,"#未启用#")</f>
        <v>2044</v>
      </c>
    </row>
    <row r="33" customFormat="false" ht="13.5" hidden="false" customHeight="false" outlineLevel="0" collapsed="false">
      <c r="A33" s="47" t="n">
        <v>32</v>
      </c>
      <c r="B33" s="25" t="n">
        <f aca="false">IF(门店对照!$A33="","",门店对照!$A33)</f>
        <v>2046</v>
      </c>
      <c r="C33" s="26" t="str">
        <f aca="false">门店对照!$C33&amp;""</f>
        <v>博康店</v>
      </c>
      <c r="D33" s="14" t="n">
        <f aca="false">参数!$B$2</f>
        <v>46234</v>
      </c>
      <c r="E33" s="15" t="n">
        <f aca="false">ROUND(SUMIFS(输入现金!$B:$B,输入现金!$A:$A,$X33),2)</f>
        <v>5048.45</v>
      </c>
      <c r="F33" s="15" t="n">
        <f aca="false">ROUND(SUM(分录收入!$G$685:$G$703),2)</f>
        <v>20380.25</v>
      </c>
      <c r="G33" s="15" t="n">
        <f aca="false">ROUND(海典汇总!$AE$34,2)</f>
        <v>25428.7</v>
      </c>
      <c r="H33" s="15" t="n">
        <f aca="false">ROUND($E33+$F33-$G33,2)</f>
        <v>0</v>
      </c>
      <c r="I33" s="15" t="n">
        <f aca="false">ROUND($E33+MAX(0,-$H33),2)</f>
        <v>5048.45</v>
      </c>
      <c r="J33" s="15" t="n">
        <f aca="false">ROUND(MAX(0,$H33),2)</f>
        <v>0</v>
      </c>
      <c r="K33" s="20" t="n">
        <f aca="false">SUM(分录收入!$J$684:$J$705)</f>
        <v>8</v>
      </c>
      <c r="L33" s="20" t="n">
        <f aca="false">IF(OR($K33=0,$W33=0),0,ROUNDUP($K33/6,0))</f>
        <v>2</v>
      </c>
      <c r="M33" s="20" t="n">
        <f aca="false">SUM($L$2:$L33)</f>
        <v>58</v>
      </c>
      <c r="N33" s="15" t="n">
        <f aca="false">ROUND(SUM(分录收入!$H$684:$H$705),2)</f>
        <v>25428.7</v>
      </c>
      <c r="O33" s="15" t="n">
        <f aca="false">ROUND(SUM(分录收入!$I$684:$I$705),2)</f>
        <v>25428.7</v>
      </c>
      <c r="P33" s="20" t="n">
        <f aca="false">IF($L33=0,"",COUNTIF($L$2:$L33,"&gt;0"))</f>
        <v>31</v>
      </c>
      <c r="Q33" s="47" t="n">
        <v>32</v>
      </c>
      <c r="R33" s="20" t="n">
        <f aca="false">IF(32&gt;$V$1,"",COUNTIF($M$2:$M$66,"&lt;"&amp;32)+1)</f>
        <v>18</v>
      </c>
      <c r="S33" s="20" t="n">
        <f aca="false">IF($R33="","",32-IF($R33=1,0,INDEX($M$2:$M$66,$R33-1)))</f>
        <v>1</v>
      </c>
      <c r="T33" s="20" t="n">
        <f aca="false">IF($R33="",0,IF($S33=INDEX($L$2:$L$66,$R33),1,0))</f>
        <v>0</v>
      </c>
      <c r="W33" s="20" t="n">
        <f aca="false">门店对照!$D33</f>
        <v>1</v>
      </c>
      <c r="X33" s="38" t="n">
        <f aca="false">IF($W33=1,$B33,"#未启用#")</f>
        <v>2046</v>
      </c>
    </row>
    <row r="34" customFormat="false" ht="13.5" hidden="false" customHeight="false" outlineLevel="0" collapsed="false">
      <c r="A34" s="47" t="n">
        <v>33</v>
      </c>
      <c r="B34" s="25" t="n">
        <f aca="false">IF(门店对照!$A34="","",门店对照!$A34)</f>
        <v>2047</v>
      </c>
      <c r="C34" s="26" t="str">
        <f aca="false">门店对照!$C34&amp;""</f>
        <v>博联店</v>
      </c>
      <c r="D34" s="14" t="n">
        <f aca="false">参数!$B$2</f>
        <v>46234</v>
      </c>
      <c r="E34" s="15" t="n">
        <f aca="false">ROUND(SUMIFS(输入现金!$B:$B,输入现金!$A:$A,$X34),2)</f>
        <v>2872.93</v>
      </c>
      <c r="F34" s="15" t="n">
        <f aca="false">ROUND(SUM(分录收入!$G$707:$G$725),2)</f>
        <v>18049.74</v>
      </c>
      <c r="G34" s="15" t="n">
        <f aca="false">ROUND(海典汇总!$AE$35,2)</f>
        <v>20922.67</v>
      </c>
      <c r="H34" s="15" t="n">
        <f aca="false">ROUND($E34+$F34-$G34,2)</f>
        <v>0</v>
      </c>
      <c r="I34" s="15" t="n">
        <f aca="false">ROUND($E34+MAX(0,-$H34),2)</f>
        <v>2872.93</v>
      </c>
      <c r="J34" s="15" t="n">
        <f aca="false">ROUND(MAX(0,$H34),2)</f>
        <v>0</v>
      </c>
      <c r="K34" s="20" t="n">
        <f aca="false">SUM(分录收入!$J$706:$J$727)</f>
        <v>6</v>
      </c>
      <c r="L34" s="20" t="n">
        <f aca="false">IF(OR($K34=0,$W34=0),0,ROUNDUP($K34/6,0))</f>
        <v>1</v>
      </c>
      <c r="M34" s="20" t="n">
        <f aca="false">SUM($L$2:$L34)</f>
        <v>59</v>
      </c>
      <c r="N34" s="15" t="n">
        <f aca="false">ROUND(SUM(分录收入!$H$706:$H$727),2)</f>
        <v>20922.67</v>
      </c>
      <c r="O34" s="15" t="n">
        <f aca="false">ROUND(SUM(分录收入!$I$706:$I$727),2)</f>
        <v>20922.67</v>
      </c>
      <c r="P34" s="20" t="n">
        <f aca="false">IF($L34=0,"",COUNTIF($L$2:$L34,"&gt;0"))</f>
        <v>32</v>
      </c>
      <c r="Q34" s="47" t="n">
        <v>33</v>
      </c>
      <c r="R34" s="20" t="n">
        <f aca="false">IF(33&gt;$V$1,"",COUNTIF($M$2:$M$66,"&lt;"&amp;33)+1)</f>
        <v>18</v>
      </c>
      <c r="S34" s="20" t="n">
        <f aca="false">IF($R34="","",33-IF($R34=1,0,INDEX($M$2:$M$66,$R34-1)))</f>
        <v>2</v>
      </c>
      <c r="T34" s="20" t="n">
        <f aca="false">IF($R34="",0,IF($S34=INDEX($L$2:$L$66,$R34),1,0))</f>
        <v>1</v>
      </c>
      <c r="W34" s="20" t="n">
        <f aca="false">门店对照!$D34</f>
        <v>1</v>
      </c>
      <c r="X34" s="38" t="n">
        <f aca="false">IF($W34=1,$B34,"#未启用#")</f>
        <v>2047</v>
      </c>
    </row>
    <row r="35" customFormat="false" ht="13.5" hidden="false" customHeight="false" outlineLevel="0" collapsed="false">
      <c r="A35" s="47" t="n">
        <v>34</v>
      </c>
      <c r="B35" s="25" t="n">
        <f aca="false">IF(门店对照!$A35="","",门店对照!$A35)</f>
        <v>2050</v>
      </c>
      <c r="C35" s="26" t="str">
        <f aca="false">门店对照!$C35&amp;""</f>
        <v>博尚店</v>
      </c>
      <c r="D35" s="14" t="n">
        <f aca="false">参数!$B$2</f>
        <v>46234</v>
      </c>
      <c r="E35" s="15" t="n">
        <f aca="false">ROUND(SUMIFS(输入现金!$B:$B,输入现金!$A:$A,$X35),2)</f>
        <v>4767.69</v>
      </c>
      <c r="F35" s="15" t="n">
        <f aca="false">ROUND(SUM(分录收入!$G$729:$G$747),2)</f>
        <v>27112.08</v>
      </c>
      <c r="G35" s="15" t="n">
        <f aca="false">ROUND(海典汇总!$AE$36,2)</f>
        <v>31879.77</v>
      </c>
      <c r="H35" s="15" t="n">
        <f aca="false">ROUND($E35+$F35-$G35,2)</f>
        <v>0</v>
      </c>
      <c r="I35" s="15" t="n">
        <f aca="false">ROUND($E35+MAX(0,-$H35),2)</f>
        <v>4767.69</v>
      </c>
      <c r="J35" s="15" t="n">
        <f aca="false">ROUND(MAX(0,$H35),2)</f>
        <v>0</v>
      </c>
      <c r="K35" s="20" t="n">
        <f aca="false">SUM(分录收入!$J$728:$J$749)</f>
        <v>9</v>
      </c>
      <c r="L35" s="20" t="n">
        <f aca="false">IF(OR($K35=0,$W35=0),0,ROUNDUP($K35/6,0))</f>
        <v>2</v>
      </c>
      <c r="M35" s="20" t="n">
        <f aca="false">SUM($L$2:$L35)</f>
        <v>61</v>
      </c>
      <c r="N35" s="15" t="n">
        <f aca="false">ROUND(SUM(分录收入!$H$728:$H$749),2)</f>
        <v>31879.77</v>
      </c>
      <c r="O35" s="15" t="n">
        <f aca="false">ROUND(SUM(分录收入!$I$728:$I$749),2)</f>
        <v>31879.77</v>
      </c>
      <c r="P35" s="20" t="n">
        <f aca="false">IF($L35=0,"",COUNTIF($L$2:$L35,"&gt;0"))</f>
        <v>33</v>
      </c>
      <c r="Q35" s="47" t="n">
        <v>34</v>
      </c>
      <c r="R35" s="20" t="n">
        <f aca="false">IF(34&gt;$V$1,"",COUNTIF($M$2:$M$66,"&lt;"&amp;34)+1)</f>
        <v>19</v>
      </c>
      <c r="S35" s="20" t="n">
        <f aca="false">IF($R35="","",34-IF($R35=1,0,INDEX($M$2:$M$66,$R35-1)))</f>
        <v>1</v>
      </c>
      <c r="T35" s="20" t="n">
        <f aca="false">IF($R35="",0,IF($S35=INDEX($L$2:$L$66,$R35),1,0))</f>
        <v>0</v>
      </c>
      <c r="W35" s="20" t="n">
        <f aca="false">门店对照!$D35</f>
        <v>1</v>
      </c>
      <c r="X35" s="38" t="n">
        <f aca="false">IF($W35=1,$B35,"#未启用#")</f>
        <v>2050</v>
      </c>
    </row>
    <row r="36" customFormat="false" ht="13.5" hidden="false" customHeight="false" outlineLevel="0" collapsed="false">
      <c r="A36" s="47" t="n">
        <v>35</v>
      </c>
      <c r="B36" s="25" t="n">
        <f aca="false">IF(门店对照!$A36="","",门店对照!$A36)</f>
        <v>2053</v>
      </c>
      <c r="C36" s="26" t="str">
        <f aca="false">门店对照!$C36&amp;""</f>
        <v>博鑫店</v>
      </c>
      <c r="D36" s="14" t="n">
        <f aca="false">参数!$B$2</f>
        <v>46234</v>
      </c>
      <c r="E36" s="15" t="n">
        <f aca="false">ROUND(SUMIFS(输入现金!$B:$B,输入现金!$A:$A,$X36),2)</f>
        <v>6527.6</v>
      </c>
      <c r="F36" s="15" t="n">
        <f aca="false">ROUND(SUM(分录收入!$G$751:$G$769),2)</f>
        <v>34704.99</v>
      </c>
      <c r="G36" s="15" t="n">
        <f aca="false">ROUND(海典汇总!$AE$37,2)</f>
        <v>41232.59</v>
      </c>
      <c r="H36" s="15" t="n">
        <f aca="false">ROUND($E36+$F36-$G36,2)</f>
        <v>0</v>
      </c>
      <c r="I36" s="15" t="n">
        <f aca="false">ROUND($E36+MAX(0,-$H36),2)</f>
        <v>6527.6</v>
      </c>
      <c r="J36" s="15" t="n">
        <f aca="false">ROUND(MAX(0,$H36),2)</f>
        <v>0</v>
      </c>
      <c r="K36" s="20" t="n">
        <f aca="false">SUM(分录收入!$J$750:$J$771)</f>
        <v>9</v>
      </c>
      <c r="L36" s="20" t="n">
        <f aca="false">IF(OR($K36=0,$W36=0),0,ROUNDUP($K36/6,0))</f>
        <v>2</v>
      </c>
      <c r="M36" s="20" t="n">
        <f aca="false">SUM($L$2:$L36)</f>
        <v>63</v>
      </c>
      <c r="N36" s="15" t="n">
        <f aca="false">ROUND(SUM(分录收入!$H$750:$H$771),2)</f>
        <v>41233.43</v>
      </c>
      <c r="O36" s="15" t="n">
        <f aca="false">ROUND(SUM(分录收入!$I$750:$I$771),2)</f>
        <v>41233.43</v>
      </c>
      <c r="P36" s="20" t="n">
        <f aca="false">IF($L36=0,"",COUNTIF($L$2:$L36,"&gt;0"))</f>
        <v>34</v>
      </c>
      <c r="Q36" s="47" t="n">
        <v>35</v>
      </c>
      <c r="R36" s="20" t="n">
        <f aca="false">IF(35&gt;$V$1,"",COUNTIF($M$2:$M$66,"&lt;"&amp;35)+1)</f>
        <v>19</v>
      </c>
      <c r="S36" s="20" t="n">
        <f aca="false">IF($R36="","",35-IF($R36=1,0,INDEX($M$2:$M$66,$R36-1)))</f>
        <v>2</v>
      </c>
      <c r="T36" s="20" t="n">
        <f aca="false">IF($R36="",0,IF($S36=INDEX($L$2:$L$66,$R36),1,0))</f>
        <v>1</v>
      </c>
      <c r="W36" s="20" t="n">
        <f aca="false">门店对照!$D36</f>
        <v>1</v>
      </c>
      <c r="X36" s="38" t="n">
        <f aca="false">IF($W36=1,$B36,"#未启用#")</f>
        <v>2053</v>
      </c>
    </row>
    <row r="37" customFormat="false" ht="13.5" hidden="false" customHeight="false" outlineLevel="0" collapsed="false">
      <c r="A37" s="47" t="n">
        <v>36</v>
      </c>
      <c r="B37" s="25" t="n">
        <f aca="false">IF(门店对照!$A37="","",门店对照!$A37)</f>
        <v>2055</v>
      </c>
      <c r="C37" s="26" t="str">
        <f aca="false">门店对照!$C37&amp;""</f>
        <v>博魏店</v>
      </c>
      <c r="D37" s="14" t="n">
        <f aca="false">参数!$B$2</f>
        <v>46234</v>
      </c>
      <c r="E37" s="15" t="n">
        <f aca="false">ROUND(SUMIFS(输入现金!$B:$B,输入现金!$A:$A,$X37),2)</f>
        <v>10010.43</v>
      </c>
      <c r="F37" s="15" t="n">
        <f aca="false">ROUND(SUM(分录收入!$G$773:$G$791),2)</f>
        <v>25702.02</v>
      </c>
      <c r="G37" s="15" t="n">
        <f aca="false">ROUND(海典汇总!$AE$38,2)</f>
        <v>35712.45</v>
      </c>
      <c r="H37" s="15" t="n">
        <f aca="false">ROUND($E37+$F37-$G37,2)</f>
        <v>0</v>
      </c>
      <c r="I37" s="15" t="n">
        <f aca="false">ROUND($E37+MAX(0,-$H37),2)</f>
        <v>10010.43</v>
      </c>
      <c r="J37" s="15" t="n">
        <f aca="false">ROUND(MAX(0,$H37),2)</f>
        <v>0</v>
      </c>
      <c r="K37" s="20" t="n">
        <f aca="false">SUM(分录收入!$J$772:$J$793)</f>
        <v>6</v>
      </c>
      <c r="L37" s="20" t="n">
        <f aca="false">IF(OR($K37=0,$W37=0),0,ROUNDUP($K37/6,0))</f>
        <v>1</v>
      </c>
      <c r="M37" s="20" t="n">
        <f aca="false">SUM($L$2:$L37)</f>
        <v>64</v>
      </c>
      <c r="N37" s="15" t="n">
        <f aca="false">ROUND(SUM(分录收入!$H$772:$H$793),2)</f>
        <v>35712.45</v>
      </c>
      <c r="O37" s="15" t="n">
        <f aca="false">ROUND(SUM(分录收入!$I$772:$I$793),2)</f>
        <v>35712.45</v>
      </c>
      <c r="P37" s="20" t="n">
        <f aca="false">IF($L37=0,"",COUNTIF($L$2:$L37,"&gt;0"))</f>
        <v>35</v>
      </c>
      <c r="Q37" s="47" t="n">
        <v>36</v>
      </c>
      <c r="R37" s="20" t="n">
        <f aca="false">IF(36&gt;$V$1,"",COUNTIF($M$2:$M$66,"&lt;"&amp;36)+1)</f>
        <v>20</v>
      </c>
      <c r="S37" s="20" t="n">
        <f aca="false">IF($R37="","",36-IF($R37=1,0,INDEX($M$2:$M$66,$R37-1)))</f>
        <v>1</v>
      </c>
      <c r="T37" s="20" t="n">
        <f aca="false">IF($R37="",0,IF($S37=INDEX($L$2:$L$66,$R37),1,0))</f>
        <v>0</v>
      </c>
      <c r="W37" s="20" t="n">
        <f aca="false">门店对照!$D37</f>
        <v>1</v>
      </c>
      <c r="X37" s="38" t="n">
        <f aca="false">IF($W37=1,$B37,"#未启用#")</f>
        <v>2055</v>
      </c>
    </row>
    <row r="38" customFormat="false" ht="13.5" hidden="false" customHeight="false" outlineLevel="0" collapsed="false">
      <c r="A38" s="47" t="n">
        <v>37</v>
      </c>
      <c r="B38" s="25" t="n">
        <f aca="false">IF(门店对照!$A38="","",门店对照!$A38)</f>
        <v>2057</v>
      </c>
      <c r="C38" s="26" t="str">
        <f aca="false">门店对照!$C38&amp;""</f>
        <v>博城店</v>
      </c>
      <c r="D38" s="14" t="n">
        <f aca="false">参数!$B$2</f>
        <v>46234</v>
      </c>
      <c r="E38" s="15" t="n">
        <f aca="false">ROUND(SUMIFS(输入现金!$B:$B,输入现金!$A:$A,$X38),2)</f>
        <v>35773.47</v>
      </c>
      <c r="F38" s="15" t="n">
        <f aca="false">ROUND(SUM(分录收入!$G$795:$G$813),2)</f>
        <v>16052.29</v>
      </c>
      <c r="G38" s="15" t="n">
        <f aca="false">ROUND(海典汇总!$AE$39,2)</f>
        <v>51825.76</v>
      </c>
      <c r="H38" s="15" t="n">
        <f aca="false">ROUND($E38+$F38-$G38,2)</f>
        <v>0</v>
      </c>
      <c r="I38" s="15" t="n">
        <f aca="false">ROUND($E38+MAX(0,-$H38),2)</f>
        <v>35773.47</v>
      </c>
      <c r="J38" s="15" t="n">
        <f aca="false">ROUND(MAX(0,$H38),2)</f>
        <v>0</v>
      </c>
      <c r="K38" s="20" t="n">
        <f aca="false">SUM(分录收入!$J$794:$J$815)</f>
        <v>6</v>
      </c>
      <c r="L38" s="20" t="n">
        <f aca="false">IF(OR($K38=0,$W38=0),0,ROUNDUP($K38/6,0))</f>
        <v>1</v>
      </c>
      <c r="M38" s="20" t="n">
        <f aca="false">SUM($L$2:$L38)</f>
        <v>65</v>
      </c>
      <c r="N38" s="15" t="n">
        <f aca="false">ROUND(SUM(分录收入!$H$794:$H$815),2)</f>
        <v>51826.76</v>
      </c>
      <c r="O38" s="15" t="n">
        <f aca="false">ROUND(SUM(分录收入!$I$794:$I$815),2)</f>
        <v>51826.76</v>
      </c>
      <c r="P38" s="20" t="n">
        <f aca="false">IF($L38=0,"",COUNTIF($L$2:$L38,"&gt;0"))</f>
        <v>36</v>
      </c>
      <c r="Q38" s="47" t="n">
        <v>37</v>
      </c>
      <c r="R38" s="20" t="n">
        <f aca="false">IF(37&gt;$V$1,"",COUNTIF($M$2:$M$66,"&lt;"&amp;37)+1)</f>
        <v>20</v>
      </c>
      <c r="S38" s="20" t="n">
        <f aca="false">IF($R38="","",37-IF($R38=1,0,INDEX($M$2:$M$66,$R38-1)))</f>
        <v>2</v>
      </c>
      <c r="T38" s="20" t="n">
        <f aca="false">IF($R38="",0,IF($S38=INDEX($L$2:$L$66,$R38),1,0))</f>
        <v>1</v>
      </c>
      <c r="W38" s="20" t="n">
        <f aca="false">门店对照!$D38</f>
        <v>1</v>
      </c>
      <c r="X38" s="38" t="n">
        <f aca="false">IF($W38=1,$B38,"#未启用#")</f>
        <v>2057</v>
      </c>
    </row>
    <row r="39" customFormat="false" ht="13.5" hidden="false" customHeight="false" outlineLevel="0" collapsed="false">
      <c r="A39" s="47" t="n">
        <v>38</v>
      </c>
      <c r="B39" s="25" t="n">
        <f aca="false">IF(门店对照!$A39="","",门店对照!$A39)</f>
        <v>2060</v>
      </c>
      <c r="C39" s="26" t="str">
        <f aca="false">门店对照!$C39&amp;""</f>
        <v>博景店</v>
      </c>
      <c r="D39" s="14" t="n">
        <f aca="false">参数!$B$2</f>
        <v>46234</v>
      </c>
      <c r="E39" s="15" t="n">
        <f aca="false">ROUND(SUMIFS(输入现金!$B:$B,输入现金!$A:$A,$X39),2)</f>
        <v>4964.48</v>
      </c>
      <c r="F39" s="15" t="n">
        <f aca="false">ROUND(SUM(分录收入!$G$817:$G$835),2)</f>
        <v>31543.33</v>
      </c>
      <c r="G39" s="15" t="n">
        <f aca="false">ROUND(海典汇总!$AE$40,2)</f>
        <v>36507.81</v>
      </c>
      <c r="H39" s="15" t="n">
        <f aca="false">ROUND($E39+$F39-$G39,2)</f>
        <v>0</v>
      </c>
      <c r="I39" s="15" t="n">
        <f aca="false">ROUND($E39+MAX(0,-$H39),2)</f>
        <v>4964.48</v>
      </c>
      <c r="J39" s="15" t="n">
        <f aca="false">ROUND(MAX(0,$H39),2)</f>
        <v>0</v>
      </c>
      <c r="K39" s="20" t="n">
        <f aca="false">SUM(分录收入!$J$816:$J$837)</f>
        <v>9</v>
      </c>
      <c r="L39" s="20" t="n">
        <f aca="false">IF(OR($K39=0,$W39=0),0,ROUNDUP($K39/6,0))</f>
        <v>2</v>
      </c>
      <c r="M39" s="20" t="n">
        <f aca="false">SUM($L$2:$L39)</f>
        <v>67</v>
      </c>
      <c r="N39" s="15" t="n">
        <f aca="false">ROUND(SUM(分录收入!$H$816:$H$837),2)</f>
        <v>36507.81</v>
      </c>
      <c r="O39" s="15" t="n">
        <f aca="false">ROUND(SUM(分录收入!$I$816:$I$837),2)</f>
        <v>36507.81</v>
      </c>
      <c r="P39" s="20" t="n">
        <f aca="false">IF($L39=0,"",COUNTIF($L$2:$L39,"&gt;0"))</f>
        <v>37</v>
      </c>
      <c r="Q39" s="47" t="n">
        <v>38</v>
      </c>
      <c r="R39" s="20" t="n">
        <f aca="false">IF(38&gt;$V$1,"",COUNTIF($M$2:$M$66,"&lt;"&amp;38)+1)</f>
        <v>21</v>
      </c>
      <c r="S39" s="20" t="n">
        <f aca="false">IF($R39="","",38-IF($R39=1,0,INDEX($M$2:$M$66,$R39-1)))</f>
        <v>1</v>
      </c>
      <c r="T39" s="20" t="n">
        <f aca="false">IF($R39="",0,IF($S39=INDEX($L$2:$L$66,$R39),1,0))</f>
        <v>0</v>
      </c>
      <c r="W39" s="20" t="n">
        <f aca="false">门店对照!$D39</f>
        <v>1</v>
      </c>
      <c r="X39" s="38" t="n">
        <f aca="false">IF($W39=1,$B39,"#未启用#")</f>
        <v>2060</v>
      </c>
    </row>
    <row r="40" customFormat="false" ht="13.5" hidden="false" customHeight="false" outlineLevel="0" collapsed="false">
      <c r="A40" s="47" t="n">
        <v>39</v>
      </c>
      <c r="B40" s="25" t="n">
        <f aca="false">IF(门店对照!$A40="","",门店对照!$A40)</f>
        <v>2062</v>
      </c>
      <c r="C40" s="26" t="str">
        <f aca="false">门店对照!$C40&amp;""</f>
        <v>西范村店</v>
      </c>
      <c r="D40" s="14" t="n">
        <f aca="false">参数!$B$2</f>
        <v>46234</v>
      </c>
      <c r="E40" s="15" t="n">
        <f aca="false">ROUND(SUMIFS(输入现金!$B:$B,输入现金!$A:$A,$X40),2)</f>
        <v>6528.35</v>
      </c>
      <c r="F40" s="15" t="n">
        <f aca="false">ROUND(SUM(分录收入!$G$839:$G$857),2)</f>
        <v>63376.1</v>
      </c>
      <c r="G40" s="15" t="n">
        <f aca="false">ROUND(海典汇总!$AE$41,2)</f>
        <v>69904.45</v>
      </c>
      <c r="H40" s="15" t="n">
        <f aca="false">ROUND($E40+$F40-$G40,2)</f>
        <v>0</v>
      </c>
      <c r="I40" s="15" t="n">
        <f aca="false">ROUND($E40+MAX(0,-$H40),2)</f>
        <v>6528.35</v>
      </c>
      <c r="J40" s="15" t="n">
        <f aca="false">ROUND(MAX(0,$H40),2)</f>
        <v>0</v>
      </c>
      <c r="K40" s="20" t="n">
        <f aca="false">SUM(分录收入!$J$838:$J$859)</f>
        <v>7</v>
      </c>
      <c r="L40" s="20" t="n">
        <f aca="false">IF(OR($K40=0,$W40=0),0,ROUNDUP($K40/6,0))</f>
        <v>2</v>
      </c>
      <c r="M40" s="20" t="n">
        <f aca="false">SUM($L$2:$L40)</f>
        <v>69</v>
      </c>
      <c r="N40" s="15" t="n">
        <f aca="false">ROUND(SUM(分录收入!$H$838:$H$859),2)</f>
        <v>69904.45</v>
      </c>
      <c r="O40" s="15" t="n">
        <f aca="false">ROUND(SUM(分录收入!$I$838:$I$859),2)</f>
        <v>69904.45</v>
      </c>
      <c r="P40" s="20" t="n">
        <f aca="false">IF($L40=0,"",COUNTIF($L$2:$L40,"&gt;0"))</f>
        <v>38</v>
      </c>
      <c r="Q40" s="47" t="n">
        <v>39</v>
      </c>
      <c r="R40" s="20" t="n">
        <f aca="false">IF(39&gt;$V$1,"",COUNTIF($M$2:$M$66,"&lt;"&amp;39)+1)</f>
        <v>21</v>
      </c>
      <c r="S40" s="20" t="n">
        <f aca="false">IF($R40="","",39-IF($R40=1,0,INDEX($M$2:$M$66,$R40-1)))</f>
        <v>2</v>
      </c>
      <c r="T40" s="20" t="n">
        <f aca="false">IF($R40="",0,IF($S40=INDEX($L$2:$L$66,$R40),1,0))</f>
        <v>1</v>
      </c>
      <c r="W40" s="20" t="n">
        <f aca="false">门店对照!$D40</f>
        <v>1</v>
      </c>
      <c r="X40" s="38" t="n">
        <f aca="false">IF($W40=1,$B40,"#未启用#")</f>
        <v>2062</v>
      </c>
    </row>
    <row r="41" customFormat="false" ht="13.5" hidden="false" customHeight="false" outlineLevel="0" collapsed="false">
      <c r="A41" s="47" t="n">
        <v>40</v>
      </c>
      <c r="B41" s="25" t="n">
        <f aca="false">IF(门店对照!$A41="","",门店对照!$A41)</f>
        <v>2063</v>
      </c>
      <c r="C41" s="26" t="str">
        <f aca="false">门店对照!$C41&amp;""</f>
        <v>博医店</v>
      </c>
      <c r="D41" s="14" t="n">
        <f aca="false">参数!$B$2</f>
        <v>46234</v>
      </c>
      <c r="E41" s="15" t="n">
        <f aca="false">ROUND(SUMIFS(输入现金!$B:$B,输入现金!$A:$A,$X41),2)</f>
        <v>46487.34</v>
      </c>
      <c r="F41" s="15" t="n">
        <f aca="false">ROUND(SUM(分录收入!$G$861:$G$879),2)</f>
        <v>72056.55</v>
      </c>
      <c r="G41" s="15" t="n">
        <f aca="false">ROUND(海典汇总!$AE$42,2)</f>
        <v>118543.89</v>
      </c>
      <c r="H41" s="15" t="n">
        <f aca="false">ROUND($E41+$F41-$G41,2)</f>
        <v>0</v>
      </c>
      <c r="I41" s="15" t="n">
        <f aca="false">ROUND($E41+MAX(0,-$H41),2)</f>
        <v>46487.34</v>
      </c>
      <c r="J41" s="15" t="n">
        <f aca="false">ROUND(MAX(0,$H41),2)</f>
        <v>0</v>
      </c>
      <c r="K41" s="20" t="n">
        <f aca="false">SUM(分录收入!$J$860:$J$881)</f>
        <v>10</v>
      </c>
      <c r="L41" s="20" t="n">
        <f aca="false">IF(OR($K41=0,$W41=0),0,ROUNDUP($K41/6,0))</f>
        <v>2</v>
      </c>
      <c r="M41" s="20" t="n">
        <f aca="false">SUM($L$2:$L41)</f>
        <v>71</v>
      </c>
      <c r="N41" s="15" t="n">
        <f aca="false">ROUND(SUM(分录收入!$H$860:$H$881),2)</f>
        <v>118543.89</v>
      </c>
      <c r="O41" s="15" t="n">
        <f aca="false">ROUND(SUM(分录收入!$I$860:$I$881),2)</f>
        <v>118543.89</v>
      </c>
      <c r="P41" s="20" t="n">
        <f aca="false">IF($L41=0,"",COUNTIF($L$2:$L41,"&gt;0"))</f>
        <v>39</v>
      </c>
      <c r="Q41" s="47" t="n">
        <v>40</v>
      </c>
      <c r="R41" s="20" t="n">
        <f aca="false">IF(40&gt;$V$1,"",COUNTIF($M$2:$M$66,"&lt;"&amp;40)+1)</f>
        <v>22</v>
      </c>
      <c r="S41" s="20" t="n">
        <f aca="false">IF($R41="","",40-IF($R41=1,0,INDEX($M$2:$M$66,$R41-1)))</f>
        <v>1</v>
      </c>
      <c r="T41" s="20" t="n">
        <f aca="false">IF($R41="",0,IF($S41=INDEX($L$2:$L$66,$R41),1,0))</f>
        <v>0</v>
      </c>
      <c r="W41" s="20" t="n">
        <f aca="false">门店对照!$D41</f>
        <v>1</v>
      </c>
      <c r="X41" s="38" t="n">
        <f aca="false">IF($W41=1,$B41,"#未启用#")</f>
        <v>2063</v>
      </c>
    </row>
    <row r="42" customFormat="false" ht="13.5" hidden="false" customHeight="false" outlineLevel="0" collapsed="false">
      <c r="A42" s="47" t="n">
        <v>41</v>
      </c>
      <c r="B42" s="25" t="n">
        <f aca="false">IF(门店对照!$A42="","",门店对照!$A42)</f>
        <v>2064</v>
      </c>
      <c r="C42" s="26" t="str">
        <f aca="false">门店对照!$C42&amp;""</f>
        <v>旗舰店</v>
      </c>
      <c r="D42" s="14" t="n">
        <f aca="false">参数!$B$2</f>
        <v>46234</v>
      </c>
      <c r="E42" s="15" t="n">
        <f aca="false">ROUND(SUMIFS(输入现金!$B:$B,输入现金!$A:$A,$X42),2)</f>
        <v>699.75</v>
      </c>
      <c r="F42" s="15" t="n">
        <f aca="false">ROUND(SUM(分录收入!$G$883:$G$901),2)</f>
        <v>0</v>
      </c>
      <c r="G42" s="15" t="n">
        <f aca="false">ROUND(海典汇总!$AE$43,2)</f>
        <v>699.75</v>
      </c>
      <c r="H42" s="15" t="n">
        <f aca="false">ROUND($E42+$F42-$G42,2)</f>
        <v>0</v>
      </c>
      <c r="I42" s="15" t="n">
        <f aca="false">ROUND($E42+MAX(0,-$H42),2)</f>
        <v>699.75</v>
      </c>
      <c r="J42" s="15" t="n">
        <f aca="false">ROUND(MAX(0,$H42),2)</f>
        <v>0</v>
      </c>
      <c r="K42" s="20" t="n">
        <f aca="false">SUM(分录收入!$J$882:$J$903)</f>
        <v>2</v>
      </c>
      <c r="L42" s="20" t="n">
        <f aca="false">IF(OR($K42=0,$W42=0),0,ROUNDUP($K42/6,0))</f>
        <v>1</v>
      </c>
      <c r="M42" s="20" t="n">
        <f aca="false">SUM($L$2:$L42)</f>
        <v>72</v>
      </c>
      <c r="N42" s="15" t="n">
        <f aca="false">ROUND(SUM(分录收入!$H$882:$H$903),2)</f>
        <v>699.75</v>
      </c>
      <c r="O42" s="15" t="n">
        <f aca="false">ROUND(SUM(分录收入!$I$882:$I$903),2)</f>
        <v>699.75</v>
      </c>
      <c r="P42" s="20" t="n">
        <f aca="false">IF($L42=0,"",COUNTIF($L$2:$L42,"&gt;0"))</f>
        <v>40</v>
      </c>
      <c r="Q42" s="47" t="n">
        <v>41</v>
      </c>
      <c r="R42" s="20" t="n">
        <f aca="false">IF(41&gt;$V$1,"",COUNTIF($M$2:$M$66,"&lt;"&amp;41)+1)</f>
        <v>22</v>
      </c>
      <c r="S42" s="20" t="n">
        <f aca="false">IF($R42="","",41-IF($R42=1,0,INDEX($M$2:$M$66,$R42-1)))</f>
        <v>2</v>
      </c>
      <c r="T42" s="20" t="n">
        <f aca="false">IF($R42="",0,IF($S42=INDEX($L$2:$L$66,$R42),1,0))</f>
        <v>1</v>
      </c>
      <c r="W42" s="20" t="n">
        <f aca="false">门店对照!$D42</f>
        <v>1</v>
      </c>
      <c r="X42" s="38" t="n">
        <f aca="false">IF($W42=1,$B42,"#未启用#")</f>
        <v>2064</v>
      </c>
    </row>
    <row r="43" customFormat="false" ht="13.5" hidden="false" customHeight="false" outlineLevel="0" collapsed="false">
      <c r="A43" s="47" t="n">
        <v>42</v>
      </c>
      <c r="B43" s="25" t="n">
        <f aca="false">IF(门店对照!$A43="","",门店对照!$A43)</f>
        <v>2066</v>
      </c>
      <c r="C43" s="26" t="str">
        <f aca="false">门店对照!$C43&amp;""</f>
        <v>博实店</v>
      </c>
      <c r="D43" s="14" t="n">
        <f aca="false">参数!$B$2</f>
        <v>46234</v>
      </c>
      <c r="E43" s="15" t="n">
        <f aca="false">ROUND(SUMIFS(输入现金!$B:$B,输入现金!$A:$A,$X43),2)</f>
        <v>14896.88</v>
      </c>
      <c r="F43" s="15" t="n">
        <f aca="false">ROUND(SUM(分录收入!$G$905:$G$923),2)</f>
        <v>48823.05</v>
      </c>
      <c r="G43" s="15" t="n">
        <f aca="false">ROUND(海典汇总!$AE$44,2)</f>
        <v>63719.93</v>
      </c>
      <c r="H43" s="15" t="n">
        <f aca="false">ROUND($E43+$F43-$G43,2)</f>
        <v>0</v>
      </c>
      <c r="I43" s="15" t="n">
        <f aca="false">ROUND($E43+MAX(0,-$H43),2)</f>
        <v>14896.88</v>
      </c>
      <c r="J43" s="15" t="n">
        <f aca="false">ROUND(MAX(0,$H43),2)</f>
        <v>0</v>
      </c>
      <c r="K43" s="20" t="n">
        <f aca="false">SUM(分录收入!$J$904:$J$925)</f>
        <v>9</v>
      </c>
      <c r="L43" s="20" t="n">
        <f aca="false">IF(OR($K43=0,$W43=0),0,ROUNDUP($K43/6,0))</f>
        <v>2</v>
      </c>
      <c r="M43" s="20" t="n">
        <f aca="false">SUM($L$2:$L43)</f>
        <v>74</v>
      </c>
      <c r="N43" s="15" t="n">
        <f aca="false">ROUND(SUM(分录收入!$H$904:$H$925),2)</f>
        <v>63719.93</v>
      </c>
      <c r="O43" s="15" t="n">
        <f aca="false">ROUND(SUM(分录收入!$I$904:$I$925),2)</f>
        <v>63719.93</v>
      </c>
      <c r="P43" s="20" t="n">
        <f aca="false">IF($L43=0,"",COUNTIF($L$2:$L43,"&gt;0"))</f>
        <v>41</v>
      </c>
      <c r="Q43" s="47" t="n">
        <v>42</v>
      </c>
      <c r="R43" s="20" t="n">
        <f aca="false">IF(42&gt;$V$1,"",COUNTIF($M$2:$M$66,"&lt;"&amp;42)+1)</f>
        <v>24</v>
      </c>
      <c r="S43" s="20" t="n">
        <f aca="false">IF($R43="","",42-IF($R43=1,0,INDEX($M$2:$M$66,$R43-1)))</f>
        <v>1</v>
      </c>
      <c r="T43" s="20" t="n">
        <f aca="false">IF($R43="",0,IF($S43=INDEX($L$2:$L$66,$R43),1,0))</f>
        <v>0</v>
      </c>
      <c r="W43" s="20" t="n">
        <f aca="false">门店对照!$D43</f>
        <v>1</v>
      </c>
      <c r="X43" s="38" t="n">
        <f aca="false">IF($W43=1,$B43,"#未启用#")</f>
        <v>2066</v>
      </c>
    </row>
    <row r="44" customFormat="false" ht="13.5" hidden="false" customHeight="false" outlineLevel="0" collapsed="false">
      <c r="A44" s="47" t="n">
        <v>43</v>
      </c>
      <c r="B44" s="25" t="n">
        <f aca="false">IF(门店对照!$A44="","",门店对照!$A44)</f>
        <v>2067</v>
      </c>
      <c r="C44" s="26" t="str">
        <f aca="false">门店对照!$C44&amp;""</f>
        <v>博亮店</v>
      </c>
      <c r="D44" s="14" t="n">
        <f aca="false">参数!$B$2</f>
        <v>46234</v>
      </c>
      <c r="E44" s="15" t="n">
        <f aca="false">ROUND(SUMIFS(输入现金!$B:$B,输入现金!$A:$A,$X44),2)</f>
        <v>3632.88</v>
      </c>
      <c r="F44" s="15" t="n">
        <f aca="false">ROUND(SUM(分录收入!$G$927:$G$945),2)</f>
        <v>25470.21</v>
      </c>
      <c r="G44" s="15" t="n">
        <f aca="false">ROUND(海典汇总!$AE$45,2)</f>
        <v>29103.09</v>
      </c>
      <c r="H44" s="15" t="n">
        <f aca="false">ROUND($E44+$F44-$G44,2)</f>
        <v>0</v>
      </c>
      <c r="I44" s="15" t="n">
        <f aca="false">ROUND($E44+MAX(0,-$H44),2)</f>
        <v>3632.88</v>
      </c>
      <c r="J44" s="15" t="n">
        <f aca="false">ROUND(MAX(0,$H44),2)</f>
        <v>0</v>
      </c>
      <c r="K44" s="20" t="n">
        <f aca="false">SUM(分录收入!$J$926:$J$947)</f>
        <v>7</v>
      </c>
      <c r="L44" s="20" t="n">
        <f aca="false">IF(OR($K44=0,$W44=0),0,ROUNDUP($K44/6,0))</f>
        <v>2</v>
      </c>
      <c r="M44" s="20" t="n">
        <f aca="false">SUM($L$2:$L44)</f>
        <v>76</v>
      </c>
      <c r="N44" s="15" t="n">
        <f aca="false">ROUND(SUM(分录收入!$H$926:$H$947),2)</f>
        <v>29103.09</v>
      </c>
      <c r="O44" s="15" t="n">
        <f aca="false">ROUND(SUM(分录收入!$I$926:$I$947),2)</f>
        <v>29103.09</v>
      </c>
      <c r="P44" s="20" t="n">
        <f aca="false">IF($L44=0,"",COUNTIF($L$2:$L44,"&gt;0"))</f>
        <v>42</v>
      </c>
      <c r="Q44" s="47" t="n">
        <v>43</v>
      </c>
      <c r="R44" s="20" t="n">
        <f aca="false">IF(43&gt;$V$1,"",COUNTIF($M$2:$M$66,"&lt;"&amp;43)+1)</f>
        <v>24</v>
      </c>
      <c r="S44" s="20" t="n">
        <f aca="false">IF($R44="","",43-IF($R44=1,0,INDEX($M$2:$M$66,$R44-1)))</f>
        <v>2</v>
      </c>
      <c r="T44" s="20" t="n">
        <f aca="false">IF($R44="",0,IF($S44=INDEX($L$2:$L$66,$R44),1,0))</f>
        <v>1</v>
      </c>
      <c r="W44" s="20" t="n">
        <f aca="false">门店对照!$D44</f>
        <v>1</v>
      </c>
      <c r="X44" s="38" t="n">
        <f aca="false">IF($W44=1,$B44,"#未启用#")</f>
        <v>2067</v>
      </c>
    </row>
    <row r="45" customFormat="false" ht="13.5" hidden="false" customHeight="false" outlineLevel="0" collapsed="false">
      <c r="A45" s="47" t="n">
        <v>44</v>
      </c>
      <c r="B45" s="25" t="n">
        <f aca="false">IF(门店对照!$A45="","",门店对照!$A45)</f>
        <v>2068</v>
      </c>
      <c r="C45" s="26" t="str">
        <f aca="false">门店对照!$C45&amp;""</f>
        <v>博山店</v>
      </c>
      <c r="D45" s="14" t="n">
        <f aca="false">参数!$B$2</f>
        <v>46234</v>
      </c>
      <c r="E45" s="15" t="n">
        <f aca="false">ROUND(SUMIFS(输入现金!$B:$B,输入现金!$A:$A,$X45),2)</f>
        <v>9684.9</v>
      </c>
      <c r="F45" s="15" t="n">
        <f aca="false">ROUND(SUM(分录收入!$G$949:$G$967),2)</f>
        <v>53473.46</v>
      </c>
      <c r="G45" s="15" t="n">
        <f aca="false">ROUND(海典汇总!$AE$46,2)</f>
        <v>63158.36</v>
      </c>
      <c r="H45" s="15" t="n">
        <f aca="false">ROUND($E45+$F45-$G45,2)</f>
        <v>0</v>
      </c>
      <c r="I45" s="15" t="n">
        <f aca="false">ROUND($E45+MAX(0,-$H45),2)</f>
        <v>9684.9</v>
      </c>
      <c r="J45" s="15" t="n">
        <f aca="false">ROUND(MAX(0,$H45),2)</f>
        <v>0</v>
      </c>
      <c r="K45" s="20" t="n">
        <f aca="false">SUM(分录收入!$J$948:$J$969)</f>
        <v>8</v>
      </c>
      <c r="L45" s="20" t="n">
        <f aca="false">IF(OR($K45=0,$W45=0),0,ROUNDUP($K45/6,0))</f>
        <v>2</v>
      </c>
      <c r="M45" s="20" t="n">
        <f aca="false">SUM($L$2:$L45)</f>
        <v>78</v>
      </c>
      <c r="N45" s="15" t="n">
        <f aca="false">ROUND(SUM(分录收入!$H$948:$H$969),2)</f>
        <v>63158.46</v>
      </c>
      <c r="O45" s="15" t="n">
        <f aca="false">ROUND(SUM(分录收入!$I$948:$I$969),2)</f>
        <v>63158.46</v>
      </c>
      <c r="P45" s="20" t="n">
        <f aca="false">IF($L45=0,"",COUNTIF($L$2:$L45,"&gt;0"))</f>
        <v>43</v>
      </c>
      <c r="Q45" s="47" t="n">
        <v>44</v>
      </c>
      <c r="R45" s="20" t="n">
        <f aca="false">IF(44&gt;$V$1,"",COUNTIF($M$2:$M$66,"&lt;"&amp;44)+1)</f>
        <v>25</v>
      </c>
      <c r="S45" s="20" t="n">
        <f aca="false">IF($R45="","",44-IF($R45=1,0,INDEX($M$2:$M$66,$R45-1)))</f>
        <v>1</v>
      </c>
      <c r="T45" s="20" t="n">
        <f aca="false">IF($R45="",0,IF($S45=INDEX($L$2:$L$66,$R45),1,0))</f>
        <v>0</v>
      </c>
      <c r="W45" s="20" t="n">
        <f aca="false">门店对照!$D45</f>
        <v>1</v>
      </c>
      <c r="X45" s="38" t="n">
        <f aca="false">IF($W45=1,$B45,"#未启用#")</f>
        <v>2068</v>
      </c>
    </row>
    <row r="46" customFormat="false" ht="13.5" hidden="false" customHeight="false" outlineLevel="0" collapsed="false">
      <c r="A46" s="47" t="n">
        <v>45</v>
      </c>
      <c r="B46" s="25" t="n">
        <f aca="false">IF(门店对照!$A46="","",门店对照!$A46)</f>
        <v>2069</v>
      </c>
      <c r="C46" s="26" t="str">
        <f aca="false">门店对照!$C46&amp;""</f>
        <v>博东店</v>
      </c>
      <c r="D46" s="14" t="n">
        <f aca="false">参数!$B$2</f>
        <v>46234</v>
      </c>
      <c r="E46" s="15" t="n">
        <f aca="false">ROUND(SUMIFS(输入现金!$B:$B,输入现金!$A:$A,$X46),2)</f>
        <v>0</v>
      </c>
      <c r="F46" s="15" t="n">
        <f aca="false">ROUND(SUM(分录收入!$G$971:$G$989),2)</f>
        <v>0</v>
      </c>
      <c r="G46" s="15" t="n">
        <f aca="false">ROUND(海典汇总!$AE$47,2)</f>
        <v>0</v>
      </c>
      <c r="H46" s="15" t="n">
        <f aca="false">ROUND($E46+$F46-$G46,2)</f>
        <v>0</v>
      </c>
      <c r="I46" s="15" t="n">
        <f aca="false">ROUND($E46+MAX(0,-$H46),2)</f>
        <v>0</v>
      </c>
      <c r="J46" s="15" t="n">
        <f aca="false">ROUND(MAX(0,$H46),2)</f>
        <v>0</v>
      </c>
      <c r="K46" s="20" t="n">
        <f aca="false">SUM(分录收入!$J$970:$J$991)</f>
        <v>0</v>
      </c>
      <c r="L46" s="20" t="n">
        <f aca="false">IF(OR($K46=0,$W46=0),0,ROUNDUP($K46/6,0))</f>
        <v>0</v>
      </c>
      <c r="M46" s="20" t="n">
        <f aca="false">SUM($L$2:$L46)</f>
        <v>78</v>
      </c>
      <c r="N46" s="15" t="n">
        <f aca="false">ROUND(SUM(分录收入!$H$970:$H$991),2)</f>
        <v>0</v>
      </c>
      <c r="O46" s="15" t="n">
        <f aca="false">ROUND(SUM(分录收入!$I$970:$I$991),2)</f>
        <v>0</v>
      </c>
      <c r="P46" s="20" t="str">
        <f aca="false">IF($L46=0,"",COUNTIF($L$2:$L46,"&gt;0"))</f>
        <v/>
      </c>
      <c r="Q46" s="47" t="n">
        <v>45</v>
      </c>
      <c r="R46" s="20" t="n">
        <f aca="false">IF(45&gt;$V$1,"",COUNTIF($M$2:$M$66,"&lt;"&amp;45)+1)</f>
        <v>25</v>
      </c>
      <c r="S46" s="20" t="n">
        <f aca="false">IF($R46="","",45-IF($R46=1,0,INDEX($M$2:$M$66,$R46-1)))</f>
        <v>2</v>
      </c>
      <c r="T46" s="20" t="n">
        <f aca="false">IF($R46="",0,IF($S46=INDEX($L$2:$L$66,$R46),1,0))</f>
        <v>1</v>
      </c>
      <c r="W46" s="20" t="n">
        <f aca="false">门店对照!$D46</f>
        <v>1</v>
      </c>
      <c r="X46" s="38" t="n">
        <f aca="false">IF($W46=1,$B46,"#未启用#")</f>
        <v>2069</v>
      </c>
    </row>
    <row r="47" customFormat="false" ht="14.9" hidden="false" customHeight="false" outlineLevel="0" collapsed="false">
      <c r="A47" s="47" t="n">
        <v>46</v>
      </c>
      <c r="B47" s="25" t="str">
        <f aca="false">IF(门店对照!$A47="","",门店对照!$A47)</f>
        <v/>
      </c>
      <c r="C47" s="26" t="str">
        <f aca="false">门店对照!$C47&amp;""</f>
        <v>备用1</v>
      </c>
      <c r="D47" s="14" t="n">
        <f aca="false">参数!$B$2</f>
        <v>46234</v>
      </c>
      <c r="E47" s="15" t="n">
        <f aca="false">ROUND(SUMIFS(输入现金!$B:$B,输入现金!$A:$A,$X47),2)</f>
        <v>0</v>
      </c>
      <c r="F47" s="15" t="n">
        <f aca="false">ROUND(SUM(分录收入!$G$993:$G$1011),2)</f>
        <v>0</v>
      </c>
      <c r="G47" s="15" t="n">
        <f aca="false">ROUND(海典汇总!$AE$48,2)</f>
        <v>0</v>
      </c>
      <c r="H47" s="15" t="n">
        <f aca="false">ROUND($E47+$F47-$G47,2)</f>
        <v>0</v>
      </c>
      <c r="I47" s="15" t="n">
        <f aca="false">ROUND($E47+MAX(0,-$H47),2)</f>
        <v>0</v>
      </c>
      <c r="J47" s="15" t="n">
        <f aca="false">ROUND(MAX(0,$H47),2)</f>
        <v>0</v>
      </c>
      <c r="K47" s="20" t="n">
        <f aca="false">SUM(分录收入!$J$992:$J$1013)</f>
        <v>0</v>
      </c>
      <c r="L47" s="20" t="n">
        <f aca="false">IF(OR($K47=0,$W47=0),0,ROUNDUP($K47/6,0))</f>
        <v>0</v>
      </c>
      <c r="M47" s="20" t="n">
        <f aca="false">SUM($L$2:$L47)</f>
        <v>78</v>
      </c>
      <c r="N47" s="15" t="n">
        <f aca="false">ROUND(SUM(分录收入!$H$992:$H$1013),2)</f>
        <v>0</v>
      </c>
      <c r="O47" s="15" t="n">
        <f aca="false">ROUND(SUM(分录收入!$I$992:$I$1013),2)</f>
        <v>0</v>
      </c>
      <c r="P47" s="20" t="str">
        <f aca="false">IF($L47=0,"",COUNTIF($L$2:$L47,"&gt;0"))</f>
        <v/>
      </c>
      <c r="Q47" s="47" t="n">
        <v>46</v>
      </c>
      <c r="R47" s="20" t="n">
        <f aca="false">IF(46&gt;$V$1,"",COUNTIF($M$2:$M$66,"&lt;"&amp;46)+1)</f>
        <v>26</v>
      </c>
      <c r="S47" s="20" t="n">
        <f aca="false">IF($R47="","",46-IF($R47=1,0,INDEX($M$2:$M$66,$R47-1)))</f>
        <v>1</v>
      </c>
      <c r="T47" s="20" t="n">
        <f aca="false">IF($R47="",0,IF($S47=INDEX($L$2:$L$66,$R47),1,0))</f>
        <v>0</v>
      </c>
      <c r="W47" s="20" t="n">
        <f aca="false">门店对照!$D47</f>
        <v>0</v>
      </c>
      <c r="X47" s="38" t="str">
        <f aca="false">IF($W47=1,$B47,"#未启用#")</f>
        <v>#未启用#</v>
      </c>
    </row>
    <row r="48" customFormat="false" ht="14.9" hidden="false" customHeight="false" outlineLevel="0" collapsed="false">
      <c r="A48" s="47" t="n">
        <v>47</v>
      </c>
      <c r="B48" s="25" t="str">
        <f aca="false">IF(门店对照!$A48="","",门店对照!$A48)</f>
        <v/>
      </c>
      <c r="C48" s="26" t="str">
        <f aca="false">门店对照!$C48&amp;""</f>
        <v>备用2</v>
      </c>
      <c r="D48" s="14" t="n">
        <f aca="false">参数!$B$2</f>
        <v>46234</v>
      </c>
      <c r="E48" s="15" t="n">
        <f aca="false">ROUND(SUMIFS(输入现金!$B:$B,输入现金!$A:$A,$X48),2)</f>
        <v>0</v>
      </c>
      <c r="F48" s="15" t="n">
        <f aca="false">ROUND(SUM(分录收入!$G$1015:$G$1033),2)</f>
        <v>0</v>
      </c>
      <c r="G48" s="15" t="n">
        <f aca="false">ROUND(海典汇总!$AE$49,2)</f>
        <v>0</v>
      </c>
      <c r="H48" s="15" t="n">
        <f aca="false">ROUND($E48+$F48-$G48,2)</f>
        <v>0</v>
      </c>
      <c r="I48" s="15" t="n">
        <f aca="false">ROUND($E48+MAX(0,-$H48),2)</f>
        <v>0</v>
      </c>
      <c r="J48" s="15" t="n">
        <f aca="false">ROUND(MAX(0,$H48),2)</f>
        <v>0</v>
      </c>
      <c r="K48" s="20" t="n">
        <f aca="false">SUM(分录收入!$J$1014:$J$1035)</f>
        <v>0</v>
      </c>
      <c r="L48" s="20" t="n">
        <f aca="false">IF(OR($K48=0,$W48=0),0,ROUNDUP($K48/6,0))</f>
        <v>0</v>
      </c>
      <c r="M48" s="20" t="n">
        <f aca="false">SUM($L$2:$L48)</f>
        <v>78</v>
      </c>
      <c r="N48" s="15" t="n">
        <f aca="false">ROUND(SUM(分录收入!$H$1014:$H$1035),2)</f>
        <v>0</v>
      </c>
      <c r="O48" s="15" t="n">
        <f aca="false">ROUND(SUM(分录收入!$I$1014:$I$1035),2)</f>
        <v>0</v>
      </c>
      <c r="P48" s="20" t="str">
        <f aca="false">IF($L48=0,"",COUNTIF($L$2:$L48,"&gt;0"))</f>
        <v/>
      </c>
      <c r="Q48" s="47" t="n">
        <v>47</v>
      </c>
      <c r="R48" s="20" t="n">
        <f aca="false">IF(47&gt;$V$1,"",COUNTIF($M$2:$M$66,"&lt;"&amp;47)+1)</f>
        <v>26</v>
      </c>
      <c r="S48" s="20" t="n">
        <f aca="false">IF($R48="","",47-IF($R48=1,0,INDEX($M$2:$M$66,$R48-1)))</f>
        <v>2</v>
      </c>
      <c r="T48" s="20" t="n">
        <f aca="false">IF($R48="",0,IF($S48=INDEX($L$2:$L$66,$R48),1,0))</f>
        <v>1</v>
      </c>
      <c r="W48" s="20" t="n">
        <f aca="false">门店对照!$D48</f>
        <v>0</v>
      </c>
      <c r="X48" s="38" t="str">
        <f aca="false">IF($W48=1,$B48,"#未启用#")</f>
        <v>#未启用#</v>
      </c>
    </row>
    <row r="49" customFormat="false" ht="14.9" hidden="false" customHeight="false" outlineLevel="0" collapsed="false">
      <c r="A49" s="47" t="n">
        <v>48</v>
      </c>
      <c r="B49" s="25" t="str">
        <f aca="false">IF(门店对照!$A49="","",门店对照!$A49)</f>
        <v/>
      </c>
      <c r="C49" s="26" t="str">
        <f aca="false">门店对照!$C49&amp;""</f>
        <v>备用3</v>
      </c>
      <c r="D49" s="14" t="n">
        <f aca="false">参数!$B$2</f>
        <v>46234</v>
      </c>
      <c r="E49" s="15" t="n">
        <f aca="false">ROUND(SUMIFS(输入现金!$B:$B,输入现金!$A:$A,$X49),2)</f>
        <v>0</v>
      </c>
      <c r="F49" s="15" t="n">
        <f aca="false">ROUND(SUM(分录收入!$G$1037:$G$1055),2)</f>
        <v>0</v>
      </c>
      <c r="G49" s="15" t="n">
        <f aca="false">ROUND(海典汇总!$AE$50,2)</f>
        <v>0</v>
      </c>
      <c r="H49" s="15" t="n">
        <f aca="false">ROUND($E49+$F49-$G49,2)</f>
        <v>0</v>
      </c>
      <c r="I49" s="15" t="n">
        <f aca="false">ROUND($E49+MAX(0,-$H49),2)</f>
        <v>0</v>
      </c>
      <c r="J49" s="15" t="n">
        <f aca="false">ROUND(MAX(0,$H49),2)</f>
        <v>0</v>
      </c>
      <c r="K49" s="20" t="n">
        <f aca="false">SUM(分录收入!$J$1036:$J$1057)</f>
        <v>0</v>
      </c>
      <c r="L49" s="20" t="n">
        <f aca="false">IF(OR($K49=0,$W49=0),0,ROUNDUP($K49/6,0))</f>
        <v>0</v>
      </c>
      <c r="M49" s="20" t="n">
        <f aca="false">SUM($L$2:$L49)</f>
        <v>78</v>
      </c>
      <c r="N49" s="15" t="n">
        <f aca="false">ROUND(SUM(分录收入!$H$1036:$H$1057),2)</f>
        <v>0</v>
      </c>
      <c r="O49" s="15" t="n">
        <f aca="false">ROUND(SUM(分录收入!$I$1036:$I$1057),2)</f>
        <v>0</v>
      </c>
      <c r="P49" s="20" t="str">
        <f aca="false">IF($L49=0,"",COUNTIF($L$2:$L49,"&gt;0"))</f>
        <v/>
      </c>
      <c r="Q49" s="47" t="n">
        <v>48</v>
      </c>
      <c r="R49" s="20" t="n">
        <f aca="false">IF(48&gt;$V$1,"",COUNTIF($M$2:$M$66,"&lt;"&amp;48)+1)</f>
        <v>27</v>
      </c>
      <c r="S49" s="20" t="n">
        <f aca="false">IF($R49="","",48-IF($R49=1,0,INDEX($M$2:$M$66,$R49-1)))</f>
        <v>1</v>
      </c>
      <c r="T49" s="20" t="n">
        <f aca="false">IF($R49="",0,IF($S49=INDEX($L$2:$L$66,$R49),1,0))</f>
        <v>0</v>
      </c>
      <c r="W49" s="20" t="n">
        <f aca="false">门店对照!$D49</f>
        <v>0</v>
      </c>
      <c r="X49" s="38" t="str">
        <f aca="false">IF($W49=1,$B49,"#未启用#")</f>
        <v>#未启用#</v>
      </c>
    </row>
    <row r="50" customFormat="false" ht="14.9" hidden="false" customHeight="false" outlineLevel="0" collapsed="false">
      <c r="A50" s="47" t="n">
        <v>49</v>
      </c>
      <c r="B50" s="25" t="str">
        <f aca="false">IF(门店对照!$A50="","",门店对照!$A50)</f>
        <v/>
      </c>
      <c r="C50" s="26" t="str">
        <f aca="false">门店对照!$C50&amp;""</f>
        <v>备用4</v>
      </c>
      <c r="D50" s="14" t="n">
        <f aca="false">参数!$B$2</f>
        <v>46234</v>
      </c>
      <c r="E50" s="15" t="n">
        <f aca="false">ROUND(SUMIFS(输入现金!$B:$B,输入现金!$A:$A,$X50),2)</f>
        <v>0</v>
      </c>
      <c r="F50" s="15" t="n">
        <f aca="false">ROUND(SUM(分录收入!$G$1059:$G$1077),2)</f>
        <v>0</v>
      </c>
      <c r="G50" s="15" t="n">
        <f aca="false">ROUND(海典汇总!$AE$51,2)</f>
        <v>0</v>
      </c>
      <c r="H50" s="15" t="n">
        <f aca="false">ROUND($E50+$F50-$G50,2)</f>
        <v>0</v>
      </c>
      <c r="I50" s="15" t="n">
        <f aca="false">ROUND($E50+MAX(0,-$H50),2)</f>
        <v>0</v>
      </c>
      <c r="J50" s="15" t="n">
        <f aca="false">ROUND(MAX(0,$H50),2)</f>
        <v>0</v>
      </c>
      <c r="K50" s="20" t="n">
        <f aca="false">SUM(分录收入!$J$1058:$J$1079)</f>
        <v>0</v>
      </c>
      <c r="L50" s="20" t="n">
        <f aca="false">IF(OR($K50=0,$W50=0),0,ROUNDUP($K50/6,0))</f>
        <v>0</v>
      </c>
      <c r="M50" s="20" t="n">
        <f aca="false">SUM($L$2:$L50)</f>
        <v>78</v>
      </c>
      <c r="N50" s="15" t="n">
        <f aca="false">ROUND(SUM(分录收入!$H$1058:$H$1079),2)</f>
        <v>0</v>
      </c>
      <c r="O50" s="15" t="n">
        <f aca="false">ROUND(SUM(分录收入!$I$1058:$I$1079),2)</f>
        <v>0</v>
      </c>
      <c r="P50" s="20" t="str">
        <f aca="false">IF($L50=0,"",COUNTIF($L$2:$L50,"&gt;0"))</f>
        <v/>
      </c>
      <c r="Q50" s="47" t="n">
        <v>49</v>
      </c>
      <c r="R50" s="20" t="n">
        <f aca="false">IF(49&gt;$V$1,"",COUNTIF($M$2:$M$66,"&lt;"&amp;49)+1)</f>
        <v>27</v>
      </c>
      <c r="S50" s="20" t="n">
        <f aca="false">IF($R50="","",49-IF($R50=1,0,INDEX($M$2:$M$66,$R50-1)))</f>
        <v>2</v>
      </c>
      <c r="T50" s="20" t="n">
        <f aca="false">IF($R50="",0,IF($S50=INDEX($L$2:$L$66,$R50),1,0))</f>
        <v>1</v>
      </c>
      <c r="W50" s="20" t="n">
        <f aca="false">门店对照!$D50</f>
        <v>0</v>
      </c>
      <c r="X50" s="38" t="str">
        <f aca="false">IF($W50=1,$B50,"#未启用#")</f>
        <v>#未启用#</v>
      </c>
    </row>
    <row r="51" customFormat="false" ht="14.9" hidden="false" customHeight="false" outlineLevel="0" collapsed="false">
      <c r="A51" s="47" t="n">
        <v>50</v>
      </c>
      <c r="B51" s="25" t="str">
        <f aca="false">IF(门店对照!$A51="","",门店对照!$A51)</f>
        <v/>
      </c>
      <c r="C51" s="26" t="str">
        <f aca="false">门店对照!$C51&amp;""</f>
        <v>备用5</v>
      </c>
      <c r="D51" s="14" t="n">
        <f aca="false">参数!$B$2</f>
        <v>46234</v>
      </c>
      <c r="E51" s="15" t="n">
        <f aca="false">ROUND(SUMIFS(输入现金!$B:$B,输入现金!$A:$A,$X51),2)</f>
        <v>0</v>
      </c>
      <c r="F51" s="15" t="n">
        <f aca="false">ROUND(SUM(分录收入!$G$1081:$G$1099),2)</f>
        <v>0</v>
      </c>
      <c r="G51" s="15" t="n">
        <f aca="false">ROUND(海典汇总!$AE$52,2)</f>
        <v>0</v>
      </c>
      <c r="H51" s="15" t="n">
        <f aca="false">ROUND($E51+$F51-$G51,2)</f>
        <v>0</v>
      </c>
      <c r="I51" s="15" t="n">
        <f aca="false">ROUND($E51+MAX(0,-$H51),2)</f>
        <v>0</v>
      </c>
      <c r="J51" s="15" t="n">
        <f aca="false">ROUND(MAX(0,$H51),2)</f>
        <v>0</v>
      </c>
      <c r="K51" s="20" t="n">
        <f aca="false">SUM(分录收入!$J$1080:$J$1101)</f>
        <v>0</v>
      </c>
      <c r="L51" s="20" t="n">
        <f aca="false">IF(OR($K51=0,$W51=0),0,ROUNDUP($K51/6,0))</f>
        <v>0</v>
      </c>
      <c r="M51" s="20" t="n">
        <f aca="false">SUM($L$2:$L51)</f>
        <v>78</v>
      </c>
      <c r="N51" s="15" t="n">
        <f aca="false">ROUND(SUM(分录收入!$H$1080:$H$1101),2)</f>
        <v>0</v>
      </c>
      <c r="O51" s="15" t="n">
        <f aca="false">ROUND(SUM(分录收入!$I$1080:$I$1101),2)</f>
        <v>0</v>
      </c>
      <c r="P51" s="20" t="str">
        <f aca="false">IF($L51=0,"",COUNTIF($L$2:$L51,"&gt;0"))</f>
        <v/>
      </c>
      <c r="Q51" s="47" t="n">
        <v>50</v>
      </c>
      <c r="R51" s="20" t="n">
        <f aca="false">IF(50&gt;$V$1,"",COUNTIF($M$2:$M$66,"&lt;"&amp;50)+1)</f>
        <v>28</v>
      </c>
      <c r="S51" s="20" t="n">
        <f aca="false">IF($R51="","",50-IF($R51=1,0,INDEX($M$2:$M$66,$R51-1)))</f>
        <v>1</v>
      </c>
      <c r="T51" s="20" t="n">
        <f aca="false">IF($R51="",0,IF($S51=INDEX($L$2:$L$66,$R51),1,0))</f>
        <v>0</v>
      </c>
      <c r="W51" s="20" t="n">
        <f aca="false">门店对照!$D51</f>
        <v>0</v>
      </c>
      <c r="X51" s="38" t="str">
        <f aca="false">IF($W51=1,$B51,"#未启用#")</f>
        <v>#未启用#</v>
      </c>
    </row>
    <row r="52" customFormat="false" ht="14.9" hidden="false" customHeight="false" outlineLevel="0" collapsed="false">
      <c r="A52" s="47" t="n">
        <v>51</v>
      </c>
      <c r="B52" s="25" t="str">
        <f aca="false">IF(门店对照!$A52="","",门店对照!$A52)</f>
        <v/>
      </c>
      <c r="C52" s="26" t="str">
        <f aca="false">门店对照!$C52&amp;""</f>
        <v>备用6</v>
      </c>
      <c r="D52" s="14" t="n">
        <f aca="false">参数!$B$2</f>
        <v>46234</v>
      </c>
      <c r="E52" s="15" t="n">
        <f aca="false">ROUND(SUMIFS(输入现金!$B:$B,输入现金!$A:$A,$X52),2)</f>
        <v>0</v>
      </c>
      <c r="F52" s="15" t="n">
        <f aca="false">ROUND(SUM(分录收入!$G$1103:$G$1121),2)</f>
        <v>0</v>
      </c>
      <c r="G52" s="15" t="n">
        <f aca="false">ROUND(海典汇总!$AE$53,2)</f>
        <v>0</v>
      </c>
      <c r="H52" s="15" t="n">
        <f aca="false">ROUND($E52+$F52-$G52,2)</f>
        <v>0</v>
      </c>
      <c r="I52" s="15" t="n">
        <f aca="false">ROUND($E52+MAX(0,-$H52),2)</f>
        <v>0</v>
      </c>
      <c r="J52" s="15" t="n">
        <f aca="false">ROUND(MAX(0,$H52),2)</f>
        <v>0</v>
      </c>
      <c r="K52" s="20" t="n">
        <f aca="false">SUM(分录收入!$J$1102:$J$1123)</f>
        <v>0</v>
      </c>
      <c r="L52" s="20" t="n">
        <f aca="false">IF(OR($K52=0,$W52=0),0,ROUNDUP($K52/6,0))</f>
        <v>0</v>
      </c>
      <c r="M52" s="20" t="n">
        <f aca="false">SUM($L$2:$L52)</f>
        <v>78</v>
      </c>
      <c r="N52" s="15" t="n">
        <f aca="false">ROUND(SUM(分录收入!$H$1102:$H$1123),2)</f>
        <v>0</v>
      </c>
      <c r="O52" s="15" t="n">
        <f aca="false">ROUND(SUM(分录收入!$I$1102:$I$1123),2)</f>
        <v>0</v>
      </c>
      <c r="P52" s="20" t="str">
        <f aca="false">IF($L52=0,"",COUNTIF($L$2:$L52,"&gt;0"))</f>
        <v/>
      </c>
      <c r="Q52" s="47" t="n">
        <v>51</v>
      </c>
      <c r="R52" s="20" t="n">
        <f aca="false">IF(51&gt;$V$1,"",COUNTIF($M$2:$M$66,"&lt;"&amp;51)+1)</f>
        <v>28</v>
      </c>
      <c r="S52" s="20" t="n">
        <f aca="false">IF($R52="","",51-IF($R52=1,0,INDEX($M$2:$M$66,$R52-1)))</f>
        <v>2</v>
      </c>
      <c r="T52" s="20" t="n">
        <f aca="false">IF($R52="",0,IF($S52=INDEX($L$2:$L$66,$R52),1,0))</f>
        <v>1</v>
      </c>
      <c r="W52" s="20" t="n">
        <f aca="false">门店对照!$D52</f>
        <v>0</v>
      </c>
      <c r="X52" s="38" t="str">
        <f aca="false">IF($W52=1,$B52,"#未启用#")</f>
        <v>#未启用#</v>
      </c>
    </row>
    <row r="53" customFormat="false" ht="14.9" hidden="false" customHeight="false" outlineLevel="0" collapsed="false">
      <c r="A53" s="47" t="n">
        <v>52</v>
      </c>
      <c r="B53" s="25" t="str">
        <f aca="false">IF(门店对照!$A53="","",门店对照!$A53)</f>
        <v/>
      </c>
      <c r="C53" s="26" t="str">
        <f aca="false">门店对照!$C53&amp;""</f>
        <v>备用7</v>
      </c>
      <c r="D53" s="14" t="n">
        <f aca="false">参数!$B$2</f>
        <v>46234</v>
      </c>
      <c r="E53" s="15" t="n">
        <f aca="false">ROUND(SUMIFS(输入现金!$B:$B,输入现金!$A:$A,$X53),2)</f>
        <v>0</v>
      </c>
      <c r="F53" s="15" t="n">
        <f aca="false">ROUND(SUM(分录收入!$G$1125:$G$1143),2)</f>
        <v>0</v>
      </c>
      <c r="G53" s="15" t="n">
        <f aca="false">ROUND(海典汇总!$AE$54,2)</f>
        <v>0</v>
      </c>
      <c r="H53" s="15" t="n">
        <f aca="false">ROUND($E53+$F53-$G53,2)</f>
        <v>0</v>
      </c>
      <c r="I53" s="15" t="n">
        <f aca="false">ROUND($E53+MAX(0,-$H53),2)</f>
        <v>0</v>
      </c>
      <c r="J53" s="15" t="n">
        <f aca="false">ROUND(MAX(0,$H53),2)</f>
        <v>0</v>
      </c>
      <c r="K53" s="20" t="n">
        <f aca="false">SUM(分录收入!$J$1124:$J$1145)</f>
        <v>0</v>
      </c>
      <c r="L53" s="20" t="n">
        <f aca="false">IF(OR($K53=0,$W53=0),0,ROUNDUP($K53/6,0))</f>
        <v>0</v>
      </c>
      <c r="M53" s="20" t="n">
        <f aca="false">SUM($L$2:$L53)</f>
        <v>78</v>
      </c>
      <c r="N53" s="15" t="n">
        <f aca="false">ROUND(SUM(分录收入!$H$1124:$H$1145),2)</f>
        <v>0</v>
      </c>
      <c r="O53" s="15" t="n">
        <f aca="false">ROUND(SUM(分录收入!$I$1124:$I$1145),2)</f>
        <v>0</v>
      </c>
      <c r="P53" s="20" t="str">
        <f aca="false">IF($L53=0,"",COUNTIF($L$2:$L53,"&gt;0"))</f>
        <v/>
      </c>
      <c r="Q53" s="47" t="n">
        <v>52</v>
      </c>
      <c r="R53" s="20" t="n">
        <f aca="false">IF(52&gt;$V$1,"",COUNTIF($M$2:$M$66,"&lt;"&amp;52)+1)</f>
        <v>29</v>
      </c>
      <c r="S53" s="20" t="n">
        <f aca="false">IF($R53="","",52-IF($R53=1,0,INDEX($M$2:$M$66,$R53-1)))</f>
        <v>1</v>
      </c>
      <c r="T53" s="20" t="n">
        <f aca="false">IF($R53="",0,IF($S53=INDEX($L$2:$L$66,$R53),1,0))</f>
        <v>0</v>
      </c>
      <c r="W53" s="20" t="n">
        <f aca="false">门店对照!$D53</f>
        <v>0</v>
      </c>
      <c r="X53" s="38" t="str">
        <f aca="false">IF($W53=1,$B53,"#未启用#")</f>
        <v>#未启用#</v>
      </c>
    </row>
    <row r="54" customFormat="false" ht="14.9" hidden="false" customHeight="false" outlineLevel="0" collapsed="false">
      <c r="A54" s="47" t="n">
        <v>53</v>
      </c>
      <c r="B54" s="25" t="str">
        <f aca="false">IF(门店对照!$A54="","",门店对照!$A54)</f>
        <v/>
      </c>
      <c r="C54" s="26" t="str">
        <f aca="false">门店对照!$C54&amp;""</f>
        <v>备用8</v>
      </c>
      <c r="D54" s="14" t="n">
        <f aca="false">参数!$B$2</f>
        <v>46234</v>
      </c>
      <c r="E54" s="15" t="n">
        <f aca="false">ROUND(SUMIFS(输入现金!$B:$B,输入现金!$A:$A,$X54),2)</f>
        <v>0</v>
      </c>
      <c r="F54" s="15" t="n">
        <f aca="false">ROUND(SUM(分录收入!$G$1147:$G$1165),2)</f>
        <v>0</v>
      </c>
      <c r="G54" s="15" t="n">
        <f aca="false">ROUND(海典汇总!$AE$55,2)</f>
        <v>0</v>
      </c>
      <c r="H54" s="15" t="n">
        <f aca="false">ROUND($E54+$F54-$G54,2)</f>
        <v>0</v>
      </c>
      <c r="I54" s="15" t="n">
        <f aca="false">ROUND($E54+MAX(0,-$H54),2)</f>
        <v>0</v>
      </c>
      <c r="J54" s="15" t="n">
        <f aca="false">ROUND(MAX(0,$H54),2)</f>
        <v>0</v>
      </c>
      <c r="K54" s="20" t="n">
        <f aca="false">SUM(分录收入!$J$1146:$J$1167)</f>
        <v>0</v>
      </c>
      <c r="L54" s="20" t="n">
        <f aca="false">IF(OR($K54=0,$W54=0),0,ROUNDUP($K54/6,0))</f>
        <v>0</v>
      </c>
      <c r="M54" s="20" t="n">
        <f aca="false">SUM($L$2:$L54)</f>
        <v>78</v>
      </c>
      <c r="N54" s="15" t="n">
        <f aca="false">ROUND(SUM(分录收入!$H$1146:$H$1167),2)</f>
        <v>0</v>
      </c>
      <c r="O54" s="15" t="n">
        <f aca="false">ROUND(SUM(分录收入!$I$1146:$I$1167),2)</f>
        <v>0</v>
      </c>
      <c r="P54" s="20" t="str">
        <f aca="false">IF($L54=0,"",COUNTIF($L$2:$L54,"&gt;0"))</f>
        <v/>
      </c>
      <c r="Q54" s="47" t="n">
        <v>53</v>
      </c>
      <c r="R54" s="20" t="n">
        <f aca="false">IF(53&gt;$V$1,"",COUNTIF($M$2:$M$66,"&lt;"&amp;53)+1)</f>
        <v>29</v>
      </c>
      <c r="S54" s="20" t="n">
        <f aca="false">IF($R54="","",53-IF($R54=1,0,INDEX($M$2:$M$66,$R54-1)))</f>
        <v>2</v>
      </c>
      <c r="T54" s="20" t="n">
        <f aca="false">IF($R54="",0,IF($S54=INDEX($L$2:$L$66,$R54),1,0))</f>
        <v>1</v>
      </c>
      <c r="W54" s="20" t="n">
        <f aca="false">门店对照!$D54</f>
        <v>0</v>
      </c>
      <c r="X54" s="38" t="str">
        <f aca="false">IF($W54=1,$B54,"#未启用#")</f>
        <v>#未启用#</v>
      </c>
    </row>
    <row r="55" customFormat="false" ht="14.9" hidden="false" customHeight="false" outlineLevel="0" collapsed="false">
      <c r="A55" s="47" t="n">
        <v>54</v>
      </c>
      <c r="B55" s="25" t="str">
        <f aca="false">IF(门店对照!$A55="","",门店对照!$A55)</f>
        <v/>
      </c>
      <c r="C55" s="26" t="str">
        <f aca="false">门店对照!$C55&amp;""</f>
        <v>备用9</v>
      </c>
      <c r="D55" s="14" t="n">
        <f aca="false">参数!$B$2</f>
        <v>46234</v>
      </c>
      <c r="E55" s="15" t="n">
        <f aca="false">ROUND(SUMIFS(输入现金!$B:$B,输入现金!$A:$A,$X55),2)</f>
        <v>0</v>
      </c>
      <c r="F55" s="15" t="n">
        <f aca="false">ROUND(SUM(分录收入!$G$1169:$G$1187),2)</f>
        <v>0</v>
      </c>
      <c r="G55" s="15" t="n">
        <f aca="false">ROUND(海典汇总!$AE$56,2)</f>
        <v>0</v>
      </c>
      <c r="H55" s="15" t="n">
        <f aca="false">ROUND($E55+$F55-$G55,2)</f>
        <v>0</v>
      </c>
      <c r="I55" s="15" t="n">
        <f aca="false">ROUND($E55+MAX(0,-$H55),2)</f>
        <v>0</v>
      </c>
      <c r="J55" s="15" t="n">
        <f aca="false">ROUND(MAX(0,$H55),2)</f>
        <v>0</v>
      </c>
      <c r="K55" s="20" t="n">
        <f aca="false">SUM(分录收入!$J$1168:$J$1189)</f>
        <v>0</v>
      </c>
      <c r="L55" s="20" t="n">
        <f aca="false">IF(OR($K55=0,$W55=0),0,ROUNDUP($K55/6,0))</f>
        <v>0</v>
      </c>
      <c r="M55" s="20" t="n">
        <f aca="false">SUM($L$2:$L55)</f>
        <v>78</v>
      </c>
      <c r="N55" s="15" t="n">
        <f aca="false">ROUND(SUM(分录收入!$H$1168:$H$1189),2)</f>
        <v>0</v>
      </c>
      <c r="O55" s="15" t="n">
        <f aca="false">ROUND(SUM(分录收入!$I$1168:$I$1189),2)</f>
        <v>0</v>
      </c>
      <c r="P55" s="20" t="str">
        <f aca="false">IF($L55=0,"",COUNTIF($L$2:$L55,"&gt;0"))</f>
        <v/>
      </c>
      <c r="Q55" s="47" t="n">
        <v>54</v>
      </c>
      <c r="R55" s="20" t="n">
        <f aca="false">IF(54&gt;$V$1,"",COUNTIF($M$2:$M$66,"&lt;"&amp;54)+1)</f>
        <v>30</v>
      </c>
      <c r="S55" s="20" t="n">
        <f aca="false">IF($R55="","",54-IF($R55=1,0,INDEX($M$2:$M$66,$R55-1)))</f>
        <v>1</v>
      </c>
      <c r="T55" s="20" t="n">
        <f aca="false">IF($R55="",0,IF($S55=INDEX($L$2:$L$66,$R55),1,0))</f>
        <v>0</v>
      </c>
      <c r="W55" s="20" t="n">
        <f aca="false">门店对照!$D55</f>
        <v>0</v>
      </c>
      <c r="X55" s="38" t="str">
        <f aca="false">IF($W55=1,$B55,"#未启用#")</f>
        <v>#未启用#</v>
      </c>
    </row>
    <row r="56" customFormat="false" ht="14.9" hidden="false" customHeight="false" outlineLevel="0" collapsed="false">
      <c r="A56" s="47" t="n">
        <v>55</v>
      </c>
      <c r="B56" s="25" t="str">
        <f aca="false">IF(门店对照!$A56="","",门店对照!$A56)</f>
        <v/>
      </c>
      <c r="C56" s="26" t="str">
        <f aca="false">门店对照!$C56&amp;""</f>
        <v>备用10</v>
      </c>
      <c r="D56" s="14" t="n">
        <f aca="false">参数!$B$2</f>
        <v>46234</v>
      </c>
      <c r="E56" s="15" t="n">
        <f aca="false">ROUND(SUMIFS(输入现金!$B:$B,输入现金!$A:$A,$X56),2)</f>
        <v>0</v>
      </c>
      <c r="F56" s="15" t="n">
        <f aca="false">ROUND(SUM(分录收入!$G$1191:$G$1209),2)</f>
        <v>0</v>
      </c>
      <c r="G56" s="15" t="n">
        <f aca="false">ROUND(海典汇总!$AE$57,2)</f>
        <v>0</v>
      </c>
      <c r="H56" s="15" t="n">
        <f aca="false">ROUND($E56+$F56-$G56,2)</f>
        <v>0</v>
      </c>
      <c r="I56" s="15" t="n">
        <f aca="false">ROUND($E56+MAX(0,-$H56),2)</f>
        <v>0</v>
      </c>
      <c r="J56" s="15" t="n">
        <f aca="false">ROUND(MAX(0,$H56),2)</f>
        <v>0</v>
      </c>
      <c r="K56" s="20" t="n">
        <f aca="false">SUM(分录收入!$J$1190:$J$1211)</f>
        <v>0</v>
      </c>
      <c r="L56" s="20" t="n">
        <f aca="false">IF(OR($K56=0,$W56=0),0,ROUNDUP($K56/6,0))</f>
        <v>0</v>
      </c>
      <c r="M56" s="20" t="n">
        <f aca="false">SUM($L$2:$L56)</f>
        <v>78</v>
      </c>
      <c r="N56" s="15" t="n">
        <f aca="false">ROUND(SUM(分录收入!$H$1190:$H$1211),2)</f>
        <v>0</v>
      </c>
      <c r="O56" s="15" t="n">
        <f aca="false">ROUND(SUM(分录收入!$I$1190:$I$1211),2)</f>
        <v>0</v>
      </c>
      <c r="P56" s="20" t="str">
        <f aca="false">IF($L56=0,"",COUNTIF($L$2:$L56,"&gt;0"))</f>
        <v/>
      </c>
      <c r="Q56" s="47" t="n">
        <v>55</v>
      </c>
      <c r="R56" s="20" t="n">
        <f aca="false">IF(55&gt;$V$1,"",COUNTIF($M$2:$M$66,"&lt;"&amp;55)+1)</f>
        <v>30</v>
      </c>
      <c r="S56" s="20" t="n">
        <f aca="false">IF($R56="","",55-IF($R56=1,0,INDEX($M$2:$M$66,$R56-1)))</f>
        <v>2</v>
      </c>
      <c r="T56" s="20" t="n">
        <f aca="false">IF($R56="",0,IF($S56=INDEX($L$2:$L$66,$R56),1,0))</f>
        <v>1</v>
      </c>
      <c r="W56" s="20" t="n">
        <f aca="false">门店对照!$D56</f>
        <v>0</v>
      </c>
      <c r="X56" s="38" t="str">
        <f aca="false">IF($W56=1,$B56,"#未启用#")</f>
        <v>#未启用#</v>
      </c>
    </row>
    <row r="57" customFormat="false" ht="14.9" hidden="false" customHeight="false" outlineLevel="0" collapsed="false">
      <c r="A57" s="47" t="n">
        <v>56</v>
      </c>
      <c r="B57" s="25" t="str">
        <f aca="false">IF(门店对照!$A57="","",门店对照!$A57)</f>
        <v/>
      </c>
      <c r="C57" s="26" t="str">
        <f aca="false">门店对照!$C57&amp;""</f>
        <v>备用11</v>
      </c>
      <c r="D57" s="14" t="n">
        <f aca="false">参数!$B$2</f>
        <v>46234</v>
      </c>
      <c r="E57" s="15" t="n">
        <f aca="false">ROUND(SUMIFS(输入现金!$B:$B,输入现金!$A:$A,$X57),2)</f>
        <v>0</v>
      </c>
      <c r="F57" s="15" t="n">
        <f aca="false">ROUND(SUM(分录收入!$G$1213:$G$1231),2)</f>
        <v>0</v>
      </c>
      <c r="G57" s="15" t="n">
        <f aca="false">ROUND(海典汇总!$AE$58,2)</f>
        <v>0</v>
      </c>
      <c r="H57" s="15" t="n">
        <f aca="false">ROUND($E57+$F57-$G57,2)</f>
        <v>0</v>
      </c>
      <c r="I57" s="15" t="n">
        <f aca="false">ROUND($E57+MAX(0,-$H57),2)</f>
        <v>0</v>
      </c>
      <c r="J57" s="15" t="n">
        <f aca="false">ROUND(MAX(0,$H57),2)</f>
        <v>0</v>
      </c>
      <c r="K57" s="20" t="n">
        <f aca="false">SUM(分录收入!$J$1212:$J$1233)</f>
        <v>0</v>
      </c>
      <c r="L57" s="20" t="n">
        <f aca="false">IF(OR($K57=0,$W57=0),0,ROUNDUP($K57/6,0))</f>
        <v>0</v>
      </c>
      <c r="M57" s="20" t="n">
        <f aca="false">SUM($L$2:$L57)</f>
        <v>78</v>
      </c>
      <c r="N57" s="15" t="n">
        <f aca="false">ROUND(SUM(分录收入!$H$1212:$H$1233),2)</f>
        <v>0</v>
      </c>
      <c r="O57" s="15" t="n">
        <f aca="false">ROUND(SUM(分录收入!$I$1212:$I$1233),2)</f>
        <v>0</v>
      </c>
      <c r="P57" s="20" t="str">
        <f aca="false">IF($L57=0,"",COUNTIF($L$2:$L57,"&gt;0"))</f>
        <v/>
      </c>
      <c r="Q57" s="47" t="n">
        <v>56</v>
      </c>
      <c r="R57" s="20" t="n">
        <f aca="false">IF(56&gt;$V$1,"",COUNTIF($M$2:$M$66,"&lt;"&amp;56)+1)</f>
        <v>31</v>
      </c>
      <c r="S57" s="20" t="n">
        <f aca="false">IF($R57="","",56-IF($R57=1,0,INDEX($M$2:$M$66,$R57-1)))</f>
        <v>1</v>
      </c>
      <c r="T57" s="20" t="n">
        <f aca="false">IF($R57="",0,IF($S57=INDEX($L$2:$L$66,$R57),1,0))</f>
        <v>1</v>
      </c>
      <c r="W57" s="20" t="n">
        <f aca="false">门店对照!$D57</f>
        <v>0</v>
      </c>
      <c r="X57" s="38" t="str">
        <f aca="false">IF($W57=1,$B57,"#未启用#")</f>
        <v>#未启用#</v>
      </c>
    </row>
    <row r="58" customFormat="false" ht="14.9" hidden="false" customHeight="false" outlineLevel="0" collapsed="false">
      <c r="A58" s="47" t="n">
        <v>57</v>
      </c>
      <c r="B58" s="25" t="str">
        <f aca="false">IF(门店对照!$A58="","",门店对照!$A58)</f>
        <v/>
      </c>
      <c r="C58" s="26" t="str">
        <f aca="false">门店对照!$C58&amp;""</f>
        <v>备用12</v>
      </c>
      <c r="D58" s="14" t="n">
        <f aca="false">参数!$B$2</f>
        <v>46234</v>
      </c>
      <c r="E58" s="15" t="n">
        <f aca="false">ROUND(SUMIFS(输入现金!$B:$B,输入现金!$A:$A,$X58),2)</f>
        <v>0</v>
      </c>
      <c r="F58" s="15" t="n">
        <f aca="false">ROUND(SUM(分录收入!$G$1235:$G$1253),2)</f>
        <v>0</v>
      </c>
      <c r="G58" s="15" t="n">
        <f aca="false">ROUND(海典汇总!$AE$59,2)</f>
        <v>0</v>
      </c>
      <c r="H58" s="15" t="n">
        <f aca="false">ROUND($E58+$F58-$G58,2)</f>
        <v>0</v>
      </c>
      <c r="I58" s="15" t="n">
        <f aca="false">ROUND($E58+MAX(0,-$H58),2)</f>
        <v>0</v>
      </c>
      <c r="J58" s="15" t="n">
        <f aca="false">ROUND(MAX(0,$H58),2)</f>
        <v>0</v>
      </c>
      <c r="K58" s="20" t="n">
        <f aca="false">SUM(分录收入!$J$1234:$J$1255)</f>
        <v>0</v>
      </c>
      <c r="L58" s="20" t="n">
        <f aca="false">IF(OR($K58=0,$W58=0),0,ROUNDUP($K58/6,0))</f>
        <v>0</v>
      </c>
      <c r="M58" s="20" t="n">
        <f aca="false">SUM($L$2:$L58)</f>
        <v>78</v>
      </c>
      <c r="N58" s="15" t="n">
        <f aca="false">ROUND(SUM(分录收入!$H$1234:$H$1255),2)</f>
        <v>0</v>
      </c>
      <c r="O58" s="15" t="n">
        <f aca="false">ROUND(SUM(分录收入!$I$1234:$I$1255),2)</f>
        <v>0</v>
      </c>
      <c r="P58" s="20" t="str">
        <f aca="false">IF($L58=0,"",COUNTIF($L$2:$L58,"&gt;0"))</f>
        <v/>
      </c>
      <c r="Q58" s="47" t="n">
        <v>57</v>
      </c>
      <c r="R58" s="20" t="n">
        <f aca="false">IF(57&gt;$V$1,"",COUNTIF($M$2:$M$66,"&lt;"&amp;57)+1)</f>
        <v>32</v>
      </c>
      <c r="S58" s="20" t="n">
        <f aca="false">IF($R58="","",57-IF($R58=1,0,INDEX($M$2:$M$66,$R58-1)))</f>
        <v>1</v>
      </c>
      <c r="T58" s="20" t="n">
        <f aca="false">IF($R58="",0,IF($S58=INDEX($L$2:$L$66,$R58),1,0))</f>
        <v>0</v>
      </c>
      <c r="W58" s="20" t="n">
        <f aca="false">门店对照!$D58</f>
        <v>0</v>
      </c>
      <c r="X58" s="38" t="str">
        <f aca="false">IF($W58=1,$B58,"#未启用#")</f>
        <v>#未启用#</v>
      </c>
    </row>
    <row r="59" customFormat="false" ht="14.9" hidden="false" customHeight="false" outlineLevel="0" collapsed="false">
      <c r="A59" s="47" t="n">
        <v>58</v>
      </c>
      <c r="B59" s="25" t="str">
        <f aca="false">IF(门店对照!$A59="","",门店对照!$A59)</f>
        <v/>
      </c>
      <c r="C59" s="26" t="str">
        <f aca="false">门店对照!$C59&amp;""</f>
        <v>备用13</v>
      </c>
      <c r="D59" s="14" t="n">
        <f aca="false">参数!$B$2</f>
        <v>46234</v>
      </c>
      <c r="E59" s="15" t="n">
        <f aca="false">ROUND(SUMIFS(输入现金!$B:$B,输入现金!$A:$A,$X59),2)</f>
        <v>0</v>
      </c>
      <c r="F59" s="15" t="n">
        <f aca="false">ROUND(SUM(分录收入!$G$1257:$G$1275),2)</f>
        <v>0</v>
      </c>
      <c r="G59" s="15" t="n">
        <f aca="false">ROUND(海典汇总!$AE$60,2)</f>
        <v>0</v>
      </c>
      <c r="H59" s="15" t="n">
        <f aca="false">ROUND($E59+$F59-$G59,2)</f>
        <v>0</v>
      </c>
      <c r="I59" s="15" t="n">
        <f aca="false">ROUND($E59+MAX(0,-$H59),2)</f>
        <v>0</v>
      </c>
      <c r="J59" s="15" t="n">
        <f aca="false">ROUND(MAX(0,$H59),2)</f>
        <v>0</v>
      </c>
      <c r="K59" s="20" t="n">
        <f aca="false">SUM(分录收入!$J$1256:$J$1277)</f>
        <v>0</v>
      </c>
      <c r="L59" s="20" t="n">
        <f aca="false">IF(OR($K59=0,$W59=0),0,ROUNDUP($K59/6,0))</f>
        <v>0</v>
      </c>
      <c r="M59" s="20" t="n">
        <f aca="false">SUM($L$2:$L59)</f>
        <v>78</v>
      </c>
      <c r="N59" s="15" t="n">
        <f aca="false">ROUND(SUM(分录收入!$H$1256:$H$1277),2)</f>
        <v>0</v>
      </c>
      <c r="O59" s="15" t="n">
        <f aca="false">ROUND(SUM(分录收入!$I$1256:$I$1277),2)</f>
        <v>0</v>
      </c>
      <c r="P59" s="20" t="str">
        <f aca="false">IF($L59=0,"",COUNTIF($L$2:$L59,"&gt;0"))</f>
        <v/>
      </c>
      <c r="Q59" s="47" t="n">
        <v>58</v>
      </c>
      <c r="R59" s="20" t="n">
        <f aca="false">IF(58&gt;$V$1,"",COUNTIF($M$2:$M$66,"&lt;"&amp;58)+1)</f>
        <v>32</v>
      </c>
      <c r="S59" s="20" t="n">
        <f aca="false">IF($R59="","",58-IF($R59=1,0,INDEX($M$2:$M$66,$R59-1)))</f>
        <v>2</v>
      </c>
      <c r="T59" s="20" t="n">
        <f aca="false">IF($R59="",0,IF($S59=INDEX($L$2:$L$66,$R59),1,0))</f>
        <v>1</v>
      </c>
      <c r="W59" s="20" t="n">
        <f aca="false">门店对照!$D59</f>
        <v>0</v>
      </c>
      <c r="X59" s="38" t="str">
        <f aca="false">IF($W59=1,$B59,"#未启用#")</f>
        <v>#未启用#</v>
      </c>
    </row>
    <row r="60" customFormat="false" ht="14.9" hidden="false" customHeight="false" outlineLevel="0" collapsed="false">
      <c r="A60" s="47" t="n">
        <v>59</v>
      </c>
      <c r="B60" s="25" t="str">
        <f aca="false">IF(门店对照!$A60="","",门店对照!$A60)</f>
        <v/>
      </c>
      <c r="C60" s="26" t="str">
        <f aca="false">门店对照!$C60&amp;""</f>
        <v>备用14</v>
      </c>
      <c r="D60" s="14" t="n">
        <f aca="false">参数!$B$2</f>
        <v>46234</v>
      </c>
      <c r="E60" s="15" t="n">
        <f aca="false">ROUND(SUMIFS(输入现金!$B:$B,输入现金!$A:$A,$X60),2)</f>
        <v>0</v>
      </c>
      <c r="F60" s="15" t="n">
        <f aca="false">ROUND(SUM(分录收入!$G$1279:$G$1297),2)</f>
        <v>0</v>
      </c>
      <c r="G60" s="15" t="n">
        <f aca="false">ROUND(海典汇总!$AE$61,2)</f>
        <v>0</v>
      </c>
      <c r="H60" s="15" t="n">
        <f aca="false">ROUND($E60+$F60-$G60,2)</f>
        <v>0</v>
      </c>
      <c r="I60" s="15" t="n">
        <f aca="false">ROUND($E60+MAX(0,-$H60),2)</f>
        <v>0</v>
      </c>
      <c r="J60" s="15" t="n">
        <f aca="false">ROUND(MAX(0,$H60),2)</f>
        <v>0</v>
      </c>
      <c r="K60" s="20" t="n">
        <f aca="false">SUM(分录收入!$J$1278:$J$1299)</f>
        <v>0</v>
      </c>
      <c r="L60" s="20" t="n">
        <f aca="false">IF(OR($K60=0,$W60=0),0,ROUNDUP($K60/6,0))</f>
        <v>0</v>
      </c>
      <c r="M60" s="20" t="n">
        <f aca="false">SUM($L$2:$L60)</f>
        <v>78</v>
      </c>
      <c r="N60" s="15" t="n">
        <f aca="false">ROUND(SUM(分录收入!$H$1278:$H$1299),2)</f>
        <v>0</v>
      </c>
      <c r="O60" s="15" t="n">
        <f aca="false">ROUND(SUM(分录收入!$I$1278:$I$1299),2)</f>
        <v>0</v>
      </c>
      <c r="P60" s="20" t="str">
        <f aca="false">IF($L60=0,"",COUNTIF($L$2:$L60,"&gt;0"))</f>
        <v/>
      </c>
      <c r="Q60" s="47" t="n">
        <v>59</v>
      </c>
      <c r="R60" s="20" t="n">
        <f aca="false">IF(59&gt;$V$1,"",COUNTIF($M$2:$M$66,"&lt;"&amp;59)+1)</f>
        <v>33</v>
      </c>
      <c r="S60" s="20" t="n">
        <f aca="false">IF($R60="","",59-IF($R60=1,0,INDEX($M$2:$M$66,$R60-1)))</f>
        <v>1</v>
      </c>
      <c r="T60" s="20" t="n">
        <f aca="false">IF($R60="",0,IF($S60=INDEX($L$2:$L$66,$R60),1,0))</f>
        <v>1</v>
      </c>
      <c r="W60" s="20" t="n">
        <f aca="false">门店对照!$D60</f>
        <v>0</v>
      </c>
      <c r="X60" s="38" t="str">
        <f aca="false">IF($W60=1,$B60,"#未启用#")</f>
        <v>#未启用#</v>
      </c>
    </row>
    <row r="61" customFormat="false" ht="14.9" hidden="false" customHeight="false" outlineLevel="0" collapsed="false">
      <c r="A61" s="47" t="n">
        <v>60</v>
      </c>
      <c r="B61" s="25" t="str">
        <f aca="false">IF(门店对照!$A61="","",门店对照!$A61)</f>
        <v/>
      </c>
      <c r="C61" s="26" t="str">
        <f aca="false">门店对照!$C61&amp;""</f>
        <v>备用15</v>
      </c>
      <c r="D61" s="14" t="n">
        <f aca="false">参数!$B$2</f>
        <v>46234</v>
      </c>
      <c r="E61" s="15" t="n">
        <f aca="false">ROUND(SUMIFS(输入现金!$B:$B,输入现金!$A:$A,$X61),2)</f>
        <v>0</v>
      </c>
      <c r="F61" s="15" t="n">
        <f aca="false">ROUND(SUM(分录收入!$G$1301:$G$1319),2)</f>
        <v>0</v>
      </c>
      <c r="G61" s="15" t="n">
        <f aca="false">ROUND(海典汇总!$AE$62,2)</f>
        <v>0</v>
      </c>
      <c r="H61" s="15" t="n">
        <f aca="false">ROUND($E61+$F61-$G61,2)</f>
        <v>0</v>
      </c>
      <c r="I61" s="15" t="n">
        <f aca="false">ROUND($E61+MAX(0,-$H61),2)</f>
        <v>0</v>
      </c>
      <c r="J61" s="15" t="n">
        <f aca="false">ROUND(MAX(0,$H61),2)</f>
        <v>0</v>
      </c>
      <c r="K61" s="20" t="n">
        <f aca="false">SUM(分录收入!$J$1300:$J$1321)</f>
        <v>0</v>
      </c>
      <c r="L61" s="20" t="n">
        <f aca="false">IF(OR($K61=0,$W61=0),0,ROUNDUP($K61/6,0))</f>
        <v>0</v>
      </c>
      <c r="M61" s="20" t="n">
        <f aca="false">SUM($L$2:$L61)</f>
        <v>78</v>
      </c>
      <c r="N61" s="15" t="n">
        <f aca="false">ROUND(SUM(分录收入!$H$1300:$H$1321),2)</f>
        <v>0</v>
      </c>
      <c r="O61" s="15" t="n">
        <f aca="false">ROUND(SUM(分录收入!$I$1300:$I$1321),2)</f>
        <v>0</v>
      </c>
      <c r="P61" s="20" t="str">
        <f aca="false">IF($L61=0,"",COUNTIF($L$2:$L61,"&gt;0"))</f>
        <v/>
      </c>
      <c r="Q61" s="47" t="n">
        <v>60</v>
      </c>
      <c r="R61" s="20" t="n">
        <f aca="false">IF(60&gt;$V$1,"",COUNTIF($M$2:$M$66,"&lt;"&amp;60)+1)</f>
        <v>34</v>
      </c>
      <c r="S61" s="20" t="n">
        <f aca="false">IF($R61="","",60-IF($R61=1,0,INDEX($M$2:$M$66,$R61-1)))</f>
        <v>1</v>
      </c>
      <c r="T61" s="20" t="n">
        <f aca="false">IF($R61="",0,IF($S61=INDEX($L$2:$L$66,$R61),1,0))</f>
        <v>0</v>
      </c>
      <c r="W61" s="20" t="n">
        <f aca="false">门店对照!$D61</f>
        <v>0</v>
      </c>
      <c r="X61" s="38" t="str">
        <f aca="false">IF($W61=1,$B61,"#未启用#")</f>
        <v>#未启用#</v>
      </c>
    </row>
    <row r="62" customFormat="false" ht="14.9" hidden="false" customHeight="false" outlineLevel="0" collapsed="false">
      <c r="A62" s="47" t="n">
        <v>61</v>
      </c>
      <c r="B62" s="25" t="str">
        <f aca="false">IF(门店对照!$A62="","",门店对照!$A62)</f>
        <v/>
      </c>
      <c r="C62" s="26" t="str">
        <f aca="false">门店对照!$C62&amp;""</f>
        <v>备用16</v>
      </c>
      <c r="D62" s="14" t="n">
        <f aca="false">参数!$B$2</f>
        <v>46234</v>
      </c>
      <c r="E62" s="15" t="n">
        <f aca="false">ROUND(SUMIFS(输入现金!$B:$B,输入现金!$A:$A,$X62),2)</f>
        <v>0</v>
      </c>
      <c r="F62" s="15" t="n">
        <f aca="false">ROUND(SUM(分录收入!$G$1323:$G$1341),2)</f>
        <v>0</v>
      </c>
      <c r="G62" s="15" t="n">
        <f aca="false">ROUND(海典汇总!$AE$63,2)</f>
        <v>0</v>
      </c>
      <c r="H62" s="15" t="n">
        <f aca="false">ROUND($E62+$F62-$G62,2)</f>
        <v>0</v>
      </c>
      <c r="I62" s="15" t="n">
        <f aca="false">ROUND($E62+MAX(0,-$H62),2)</f>
        <v>0</v>
      </c>
      <c r="J62" s="15" t="n">
        <f aca="false">ROUND(MAX(0,$H62),2)</f>
        <v>0</v>
      </c>
      <c r="K62" s="20" t="n">
        <f aca="false">SUM(分录收入!$J$1322:$J$1343)</f>
        <v>0</v>
      </c>
      <c r="L62" s="20" t="n">
        <f aca="false">IF(OR($K62=0,$W62=0),0,ROUNDUP($K62/6,0))</f>
        <v>0</v>
      </c>
      <c r="M62" s="20" t="n">
        <f aca="false">SUM($L$2:$L62)</f>
        <v>78</v>
      </c>
      <c r="N62" s="15" t="n">
        <f aca="false">ROUND(SUM(分录收入!$H$1322:$H$1343),2)</f>
        <v>0</v>
      </c>
      <c r="O62" s="15" t="n">
        <f aca="false">ROUND(SUM(分录收入!$I$1322:$I$1343),2)</f>
        <v>0</v>
      </c>
      <c r="P62" s="20" t="str">
        <f aca="false">IF($L62=0,"",COUNTIF($L$2:$L62,"&gt;0"))</f>
        <v/>
      </c>
      <c r="Q62" s="47" t="n">
        <v>61</v>
      </c>
      <c r="R62" s="20" t="n">
        <f aca="false">IF(61&gt;$V$1,"",COUNTIF($M$2:$M$66,"&lt;"&amp;61)+1)</f>
        <v>34</v>
      </c>
      <c r="S62" s="20" t="n">
        <f aca="false">IF($R62="","",61-IF($R62=1,0,INDEX($M$2:$M$66,$R62-1)))</f>
        <v>2</v>
      </c>
      <c r="T62" s="20" t="n">
        <f aca="false">IF($R62="",0,IF($S62=INDEX($L$2:$L$66,$R62),1,0))</f>
        <v>1</v>
      </c>
      <c r="W62" s="20" t="n">
        <f aca="false">门店对照!$D62</f>
        <v>0</v>
      </c>
      <c r="X62" s="38" t="str">
        <f aca="false">IF($W62=1,$B62,"#未启用#")</f>
        <v>#未启用#</v>
      </c>
    </row>
    <row r="63" customFormat="false" ht="14.9" hidden="false" customHeight="false" outlineLevel="0" collapsed="false">
      <c r="A63" s="47" t="n">
        <v>62</v>
      </c>
      <c r="B63" s="25" t="str">
        <f aca="false">IF(门店对照!$A63="","",门店对照!$A63)</f>
        <v/>
      </c>
      <c r="C63" s="26" t="str">
        <f aca="false">门店对照!$C63&amp;""</f>
        <v>备用17</v>
      </c>
      <c r="D63" s="14" t="n">
        <f aca="false">参数!$B$2</f>
        <v>46234</v>
      </c>
      <c r="E63" s="15" t="n">
        <f aca="false">ROUND(SUMIFS(输入现金!$B:$B,输入现金!$A:$A,$X63),2)</f>
        <v>0</v>
      </c>
      <c r="F63" s="15" t="n">
        <f aca="false">ROUND(SUM(分录收入!$G$1345:$G$1363),2)</f>
        <v>0</v>
      </c>
      <c r="G63" s="15" t="n">
        <f aca="false">ROUND(海典汇总!$AE$64,2)</f>
        <v>0</v>
      </c>
      <c r="H63" s="15" t="n">
        <f aca="false">ROUND($E63+$F63-$G63,2)</f>
        <v>0</v>
      </c>
      <c r="I63" s="15" t="n">
        <f aca="false">ROUND($E63+MAX(0,-$H63),2)</f>
        <v>0</v>
      </c>
      <c r="J63" s="15" t="n">
        <f aca="false">ROUND(MAX(0,$H63),2)</f>
        <v>0</v>
      </c>
      <c r="K63" s="20" t="n">
        <f aca="false">SUM(分录收入!$J$1344:$J$1365)</f>
        <v>0</v>
      </c>
      <c r="L63" s="20" t="n">
        <f aca="false">IF(OR($K63=0,$W63=0),0,ROUNDUP($K63/6,0))</f>
        <v>0</v>
      </c>
      <c r="M63" s="20" t="n">
        <f aca="false">SUM($L$2:$L63)</f>
        <v>78</v>
      </c>
      <c r="N63" s="15" t="n">
        <f aca="false">ROUND(SUM(分录收入!$H$1344:$H$1365),2)</f>
        <v>0</v>
      </c>
      <c r="O63" s="15" t="n">
        <f aca="false">ROUND(SUM(分录收入!$I$1344:$I$1365),2)</f>
        <v>0</v>
      </c>
      <c r="P63" s="20" t="str">
        <f aca="false">IF($L63=0,"",COUNTIF($L$2:$L63,"&gt;0"))</f>
        <v/>
      </c>
      <c r="Q63" s="47" t="n">
        <v>62</v>
      </c>
      <c r="R63" s="20" t="n">
        <f aca="false">IF(62&gt;$V$1,"",COUNTIF($M$2:$M$66,"&lt;"&amp;62)+1)</f>
        <v>35</v>
      </c>
      <c r="S63" s="20" t="n">
        <f aca="false">IF($R63="","",62-IF($R63=1,0,INDEX($M$2:$M$66,$R63-1)))</f>
        <v>1</v>
      </c>
      <c r="T63" s="20" t="n">
        <f aca="false">IF($R63="",0,IF($S63=INDEX($L$2:$L$66,$R63),1,0))</f>
        <v>0</v>
      </c>
      <c r="W63" s="20" t="n">
        <f aca="false">门店对照!$D63</f>
        <v>0</v>
      </c>
      <c r="X63" s="38" t="str">
        <f aca="false">IF($W63=1,$B63,"#未启用#")</f>
        <v>#未启用#</v>
      </c>
    </row>
    <row r="64" customFormat="false" ht="14.9" hidden="false" customHeight="false" outlineLevel="0" collapsed="false">
      <c r="A64" s="47" t="n">
        <v>63</v>
      </c>
      <c r="B64" s="25" t="str">
        <f aca="false">IF(门店对照!$A64="","",门店对照!$A64)</f>
        <v/>
      </c>
      <c r="C64" s="26" t="str">
        <f aca="false">门店对照!$C64&amp;""</f>
        <v>备用18</v>
      </c>
      <c r="D64" s="14" t="n">
        <f aca="false">参数!$B$2</f>
        <v>46234</v>
      </c>
      <c r="E64" s="15" t="n">
        <f aca="false">ROUND(SUMIFS(输入现金!$B:$B,输入现金!$A:$A,$X64),2)</f>
        <v>0</v>
      </c>
      <c r="F64" s="15" t="n">
        <f aca="false">ROUND(SUM(分录收入!$G$1367:$G$1385),2)</f>
        <v>0</v>
      </c>
      <c r="G64" s="15" t="n">
        <f aca="false">ROUND(海典汇总!$AE$65,2)</f>
        <v>0</v>
      </c>
      <c r="H64" s="15" t="n">
        <f aca="false">ROUND($E64+$F64-$G64,2)</f>
        <v>0</v>
      </c>
      <c r="I64" s="15" t="n">
        <f aca="false">ROUND($E64+MAX(0,-$H64),2)</f>
        <v>0</v>
      </c>
      <c r="J64" s="15" t="n">
        <f aca="false">ROUND(MAX(0,$H64),2)</f>
        <v>0</v>
      </c>
      <c r="K64" s="20" t="n">
        <f aca="false">SUM(分录收入!$J$1366:$J$1387)</f>
        <v>0</v>
      </c>
      <c r="L64" s="20" t="n">
        <f aca="false">IF(OR($K64=0,$W64=0),0,ROUNDUP($K64/6,0))</f>
        <v>0</v>
      </c>
      <c r="M64" s="20" t="n">
        <f aca="false">SUM($L$2:$L64)</f>
        <v>78</v>
      </c>
      <c r="N64" s="15" t="n">
        <f aca="false">ROUND(SUM(分录收入!$H$1366:$H$1387),2)</f>
        <v>0</v>
      </c>
      <c r="O64" s="15" t="n">
        <f aca="false">ROUND(SUM(分录收入!$I$1366:$I$1387),2)</f>
        <v>0</v>
      </c>
      <c r="P64" s="20" t="str">
        <f aca="false">IF($L64=0,"",COUNTIF($L$2:$L64,"&gt;0"))</f>
        <v/>
      </c>
      <c r="Q64" s="47" t="n">
        <v>63</v>
      </c>
      <c r="R64" s="20" t="n">
        <f aca="false">IF(63&gt;$V$1,"",COUNTIF($M$2:$M$66,"&lt;"&amp;63)+1)</f>
        <v>35</v>
      </c>
      <c r="S64" s="20" t="n">
        <f aca="false">IF($R64="","",63-IF($R64=1,0,INDEX($M$2:$M$66,$R64-1)))</f>
        <v>2</v>
      </c>
      <c r="T64" s="20" t="n">
        <f aca="false">IF($R64="",0,IF($S64=INDEX($L$2:$L$66,$R64),1,0))</f>
        <v>1</v>
      </c>
      <c r="W64" s="20" t="n">
        <f aca="false">门店对照!$D64</f>
        <v>0</v>
      </c>
      <c r="X64" s="38" t="str">
        <f aca="false">IF($W64=1,$B64,"#未启用#")</f>
        <v>#未启用#</v>
      </c>
    </row>
    <row r="65" customFormat="false" ht="14.9" hidden="false" customHeight="false" outlineLevel="0" collapsed="false">
      <c r="A65" s="47" t="n">
        <v>64</v>
      </c>
      <c r="B65" s="25" t="str">
        <f aca="false">IF(门店对照!$A65="","",门店对照!$A65)</f>
        <v/>
      </c>
      <c r="C65" s="26" t="str">
        <f aca="false">门店对照!$C65&amp;""</f>
        <v>备用19</v>
      </c>
      <c r="D65" s="14" t="n">
        <f aca="false">参数!$B$2</f>
        <v>46234</v>
      </c>
      <c r="E65" s="15" t="n">
        <f aca="false">ROUND(SUMIFS(输入现金!$B:$B,输入现金!$A:$A,$X65),2)</f>
        <v>0</v>
      </c>
      <c r="F65" s="15" t="n">
        <f aca="false">ROUND(SUM(分录收入!$G$1389:$G$1407),2)</f>
        <v>0</v>
      </c>
      <c r="G65" s="15" t="n">
        <f aca="false">ROUND(海典汇总!$AE$66,2)</f>
        <v>0</v>
      </c>
      <c r="H65" s="15" t="n">
        <f aca="false">ROUND($E65+$F65-$G65,2)</f>
        <v>0</v>
      </c>
      <c r="I65" s="15" t="n">
        <f aca="false">ROUND($E65+MAX(0,-$H65),2)</f>
        <v>0</v>
      </c>
      <c r="J65" s="15" t="n">
        <f aca="false">ROUND(MAX(0,$H65),2)</f>
        <v>0</v>
      </c>
      <c r="K65" s="20" t="n">
        <f aca="false">SUM(分录收入!$J$1388:$J$1409)</f>
        <v>0</v>
      </c>
      <c r="L65" s="20" t="n">
        <f aca="false">IF(OR($K65=0,$W65=0),0,ROUNDUP($K65/6,0))</f>
        <v>0</v>
      </c>
      <c r="M65" s="20" t="n">
        <f aca="false">SUM($L$2:$L65)</f>
        <v>78</v>
      </c>
      <c r="N65" s="15" t="n">
        <f aca="false">ROUND(SUM(分录收入!$H$1388:$H$1409),2)</f>
        <v>0</v>
      </c>
      <c r="O65" s="15" t="n">
        <f aca="false">ROUND(SUM(分录收入!$I$1388:$I$1409),2)</f>
        <v>0</v>
      </c>
      <c r="P65" s="20" t="str">
        <f aca="false">IF($L65=0,"",COUNTIF($L$2:$L65,"&gt;0"))</f>
        <v/>
      </c>
      <c r="Q65" s="47" t="n">
        <v>64</v>
      </c>
      <c r="R65" s="20" t="n">
        <f aca="false">IF(64&gt;$V$1,"",COUNTIF($M$2:$M$66,"&lt;"&amp;64)+1)</f>
        <v>36</v>
      </c>
      <c r="S65" s="20" t="n">
        <f aca="false">IF($R65="","",64-IF($R65=1,0,INDEX($M$2:$M$66,$R65-1)))</f>
        <v>1</v>
      </c>
      <c r="T65" s="20" t="n">
        <f aca="false">IF($R65="",0,IF($S65=INDEX($L$2:$L$66,$R65),1,0))</f>
        <v>1</v>
      </c>
      <c r="W65" s="20" t="n">
        <f aca="false">门店对照!$D65</f>
        <v>0</v>
      </c>
      <c r="X65" s="38" t="str">
        <f aca="false">IF($W65=1,$B65,"#未启用#")</f>
        <v>#未启用#</v>
      </c>
    </row>
    <row r="66" customFormat="false" ht="14.9" hidden="false" customHeight="false" outlineLevel="0" collapsed="false">
      <c r="A66" s="47" t="n">
        <v>65</v>
      </c>
      <c r="B66" s="25" t="str">
        <f aca="false">IF(门店对照!$A66="","",门店对照!$A66)</f>
        <v/>
      </c>
      <c r="C66" s="26" t="str">
        <f aca="false">门店对照!$C66&amp;""</f>
        <v>备用20</v>
      </c>
      <c r="D66" s="14" t="n">
        <f aca="false">参数!$B$2</f>
        <v>46234</v>
      </c>
      <c r="E66" s="15" t="n">
        <f aca="false">ROUND(SUMIFS(输入现金!$B:$B,输入现金!$A:$A,$X66),2)</f>
        <v>0</v>
      </c>
      <c r="F66" s="15" t="n">
        <f aca="false">ROUND(SUM(分录收入!$G$1411:$G$1429),2)</f>
        <v>0</v>
      </c>
      <c r="G66" s="15" t="n">
        <f aca="false">ROUND(海典汇总!$AE$67,2)</f>
        <v>0</v>
      </c>
      <c r="H66" s="15" t="n">
        <f aca="false">ROUND($E66+$F66-$G66,2)</f>
        <v>0</v>
      </c>
      <c r="I66" s="15" t="n">
        <f aca="false">ROUND($E66+MAX(0,-$H66),2)</f>
        <v>0</v>
      </c>
      <c r="J66" s="15" t="n">
        <f aca="false">ROUND(MAX(0,$H66),2)</f>
        <v>0</v>
      </c>
      <c r="K66" s="20" t="n">
        <f aca="false">SUM(分录收入!$J$1410:$J$1431)</f>
        <v>0</v>
      </c>
      <c r="L66" s="20" t="n">
        <f aca="false">IF(OR($K66=0,$W66=0),0,ROUNDUP($K66/6,0))</f>
        <v>0</v>
      </c>
      <c r="M66" s="20" t="n">
        <f aca="false">SUM($L$2:$L66)</f>
        <v>78</v>
      </c>
      <c r="N66" s="15" t="n">
        <f aca="false">ROUND(SUM(分录收入!$H$1410:$H$1431),2)</f>
        <v>0</v>
      </c>
      <c r="O66" s="15" t="n">
        <f aca="false">ROUND(SUM(分录收入!$I$1410:$I$1431),2)</f>
        <v>0</v>
      </c>
      <c r="P66" s="20" t="str">
        <f aca="false">IF($L66=0,"",COUNTIF($L$2:$L66,"&gt;0"))</f>
        <v/>
      </c>
      <c r="Q66" s="47" t="n">
        <v>65</v>
      </c>
      <c r="R66" s="20" t="n">
        <f aca="false">IF(65&gt;$V$1,"",COUNTIF($M$2:$M$66,"&lt;"&amp;65)+1)</f>
        <v>37</v>
      </c>
      <c r="S66" s="20" t="n">
        <f aca="false">IF($R66="","",65-IF($R66=1,0,INDEX($M$2:$M$66,$R66-1)))</f>
        <v>1</v>
      </c>
      <c r="T66" s="20" t="n">
        <f aca="false">IF($R66="",0,IF($S66=INDEX($L$2:$L$66,$R66),1,0))</f>
        <v>1</v>
      </c>
      <c r="W66" s="20" t="n">
        <f aca="false">门店对照!$D66</f>
        <v>0</v>
      </c>
      <c r="X66" s="38" t="str">
        <f aca="false">IF($W66=1,$B66,"#未启用#")</f>
        <v>#未启用#</v>
      </c>
    </row>
    <row r="67" customFormat="false" ht="13.5" hidden="false" customHeight="false" outlineLevel="0" collapsed="false">
      <c r="Q67" s="47" t="n">
        <v>66</v>
      </c>
      <c r="R67" s="20" t="n">
        <f aca="false">IF(66&gt;$V$1,"",COUNTIF($M$2:$M$66,"&lt;"&amp;66)+1)</f>
        <v>38</v>
      </c>
      <c r="S67" s="20" t="n">
        <f aca="false">IF($R67="","",66-IF($R67=1,0,INDEX($M$2:$M$66,$R67-1)))</f>
        <v>1</v>
      </c>
      <c r="T67" s="20" t="n">
        <f aca="false">IF($R67="",0,IF($S67=INDEX($L$2:$L$66,$R67),1,0))</f>
        <v>0</v>
      </c>
    </row>
    <row r="68" customFormat="false" ht="13.5" hidden="false" customHeight="false" outlineLevel="0" collapsed="false">
      <c r="Q68" s="47" t="n">
        <v>67</v>
      </c>
      <c r="R68" s="20" t="n">
        <f aca="false">IF(67&gt;$V$1,"",COUNTIF($M$2:$M$66,"&lt;"&amp;67)+1)</f>
        <v>38</v>
      </c>
      <c r="S68" s="20" t="n">
        <f aca="false">IF($R68="","",67-IF($R68=1,0,INDEX($M$2:$M$66,$R68-1)))</f>
        <v>2</v>
      </c>
      <c r="T68" s="20" t="n">
        <f aca="false">IF($R68="",0,IF($S68=INDEX($L$2:$L$66,$R68),1,0))</f>
        <v>1</v>
      </c>
    </row>
    <row r="69" customFormat="false" ht="13.5" hidden="false" customHeight="false" outlineLevel="0" collapsed="false">
      <c r="Q69" s="47" t="n">
        <v>68</v>
      </c>
      <c r="R69" s="20" t="n">
        <f aca="false">IF(68&gt;$V$1,"",COUNTIF($M$2:$M$66,"&lt;"&amp;68)+1)</f>
        <v>39</v>
      </c>
      <c r="S69" s="20" t="n">
        <f aca="false">IF($R69="","",68-IF($R69=1,0,INDEX($M$2:$M$66,$R69-1)))</f>
        <v>1</v>
      </c>
      <c r="T69" s="20" t="n">
        <f aca="false">IF($R69="",0,IF($S69=INDEX($L$2:$L$66,$R69),1,0))</f>
        <v>0</v>
      </c>
    </row>
    <row r="70" customFormat="false" ht="13.5" hidden="false" customHeight="false" outlineLevel="0" collapsed="false">
      <c r="Q70" s="47" t="n">
        <v>69</v>
      </c>
      <c r="R70" s="20" t="n">
        <f aca="false">IF(69&gt;$V$1,"",COUNTIF($M$2:$M$66,"&lt;"&amp;69)+1)</f>
        <v>39</v>
      </c>
      <c r="S70" s="20" t="n">
        <f aca="false">IF($R70="","",69-IF($R70=1,0,INDEX($M$2:$M$66,$R70-1)))</f>
        <v>2</v>
      </c>
      <c r="T70" s="20" t="n">
        <f aca="false">IF($R70="",0,IF($S70=INDEX($L$2:$L$66,$R70),1,0))</f>
        <v>1</v>
      </c>
    </row>
    <row r="71" customFormat="false" ht="13.5" hidden="false" customHeight="false" outlineLevel="0" collapsed="false">
      <c r="Q71" s="47" t="n">
        <v>70</v>
      </c>
      <c r="R71" s="20" t="n">
        <f aca="false">IF(70&gt;$V$1,"",COUNTIF($M$2:$M$66,"&lt;"&amp;70)+1)</f>
        <v>40</v>
      </c>
      <c r="S71" s="20" t="n">
        <f aca="false">IF($R71="","",70-IF($R71=1,0,INDEX($M$2:$M$66,$R71-1)))</f>
        <v>1</v>
      </c>
      <c r="T71" s="20" t="n">
        <f aca="false">IF($R71="",0,IF($S71=INDEX($L$2:$L$66,$R71),1,0))</f>
        <v>0</v>
      </c>
    </row>
    <row r="72" customFormat="false" ht="13.5" hidden="false" customHeight="false" outlineLevel="0" collapsed="false">
      <c r="Q72" s="47" t="n">
        <v>71</v>
      </c>
      <c r="R72" s="20" t="n">
        <f aca="false">IF(71&gt;$V$1,"",COUNTIF($M$2:$M$66,"&lt;"&amp;71)+1)</f>
        <v>40</v>
      </c>
      <c r="S72" s="20" t="n">
        <f aca="false">IF($R72="","",71-IF($R72=1,0,INDEX($M$2:$M$66,$R72-1)))</f>
        <v>2</v>
      </c>
      <c r="T72" s="20" t="n">
        <f aca="false">IF($R72="",0,IF($S72=INDEX($L$2:$L$66,$R72),1,0))</f>
        <v>1</v>
      </c>
    </row>
    <row r="73" customFormat="false" ht="13.5" hidden="false" customHeight="false" outlineLevel="0" collapsed="false">
      <c r="Q73" s="47" t="n">
        <v>72</v>
      </c>
      <c r="R73" s="20" t="n">
        <f aca="false">IF(72&gt;$V$1,"",COUNTIF($M$2:$M$66,"&lt;"&amp;72)+1)</f>
        <v>41</v>
      </c>
      <c r="S73" s="20" t="n">
        <f aca="false">IF($R73="","",72-IF($R73=1,0,INDEX($M$2:$M$66,$R73-1)))</f>
        <v>1</v>
      </c>
      <c r="T73" s="20" t="n">
        <f aca="false">IF($R73="",0,IF($S73=INDEX($L$2:$L$66,$R73),1,0))</f>
        <v>1</v>
      </c>
    </row>
    <row r="74" customFormat="false" ht="13.5" hidden="false" customHeight="false" outlineLevel="0" collapsed="false">
      <c r="Q74" s="47" t="n">
        <v>73</v>
      </c>
      <c r="R74" s="20" t="n">
        <f aca="false">IF(73&gt;$V$1,"",COUNTIF($M$2:$M$66,"&lt;"&amp;73)+1)</f>
        <v>42</v>
      </c>
      <c r="S74" s="20" t="n">
        <f aca="false">IF($R74="","",73-IF($R74=1,0,INDEX($M$2:$M$66,$R74-1)))</f>
        <v>1</v>
      </c>
      <c r="T74" s="20" t="n">
        <f aca="false">IF($R74="",0,IF($S74=INDEX($L$2:$L$66,$R74),1,0))</f>
        <v>0</v>
      </c>
    </row>
    <row r="75" customFormat="false" ht="13.5" hidden="false" customHeight="false" outlineLevel="0" collapsed="false">
      <c r="Q75" s="47" t="n">
        <v>74</v>
      </c>
      <c r="R75" s="20" t="n">
        <f aca="false">IF(74&gt;$V$1,"",COUNTIF($M$2:$M$66,"&lt;"&amp;74)+1)</f>
        <v>42</v>
      </c>
      <c r="S75" s="20" t="n">
        <f aca="false">IF($R75="","",74-IF($R75=1,0,INDEX($M$2:$M$66,$R75-1)))</f>
        <v>2</v>
      </c>
      <c r="T75" s="20" t="n">
        <f aca="false">IF($R75="",0,IF($S75=INDEX($L$2:$L$66,$R75),1,0))</f>
        <v>1</v>
      </c>
    </row>
    <row r="76" customFormat="false" ht="13.5" hidden="false" customHeight="false" outlineLevel="0" collapsed="false">
      <c r="Q76" s="47" t="n">
        <v>75</v>
      </c>
      <c r="R76" s="20" t="n">
        <f aca="false">IF(75&gt;$V$1,"",COUNTIF($M$2:$M$66,"&lt;"&amp;75)+1)</f>
        <v>43</v>
      </c>
      <c r="S76" s="20" t="n">
        <f aca="false">IF($R76="","",75-IF($R76=1,0,INDEX($M$2:$M$66,$R76-1)))</f>
        <v>1</v>
      </c>
      <c r="T76" s="20" t="n">
        <f aca="false">IF($R76="",0,IF($S76=INDEX($L$2:$L$66,$R76),1,0))</f>
        <v>0</v>
      </c>
    </row>
    <row r="77" customFormat="false" ht="13.5" hidden="false" customHeight="false" outlineLevel="0" collapsed="false">
      <c r="Q77" s="47" t="n">
        <v>76</v>
      </c>
      <c r="R77" s="20" t="n">
        <f aca="false">IF(76&gt;$V$1,"",COUNTIF($M$2:$M$66,"&lt;"&amp;76)+1)</f>
        <v>43</v>
      </c>
      <c r="S77" s="20" t="n">
        <f aca="false">IF($R77="","",76-IF($R77=1,0,INDEX($M$2:$M$66,$R77-1)))</f>
        <v>2</v>
      </c>
      <c r="T77" s="20" t="n">
        <f aca="false">IF($R77="",0,IF($S77=INDEX($L$2:$L$66,$R77),1,0))</f>
        <v>1</v>
      </c>
    </row>
    <row r="78" customFormat="false" ht="13.5" hidden="false" customHeight="false" outlineLevel="0" collapsed="false">
      <c r="Q78" s="47" t="n">
        <v>77</v>
      </c>
      <c r="R78" s="20" t="n">
        <f aca="false">IF(77&gt;$V$1,"",COUNTIF($M$2:$M$66,"&lt;"&amp;77)+1)</f>
        <v>44</v>
      </c>
      <c r="S78" s="20" t="n">
        <f aca="false">IF($R78="","",77-IF($R78=1,0,INDEX($M$2:$M$66,$R78-1)))</f>
        <v>1</v>
      </c>
      <c r="T78" s="20" t="n">
        <f aca="false">IF($R78="",0,IF($S78=INDEX($L$2:$L$66,$R78),1,0))</f>
        <v>0</v>
      </c>
    </row>
    <row r="79" customFormat="false" ht="13.5" hidden="false" customHeight="false" outlineLevel="0" collapsed="false">
      <c r="Q79" s="47" t="n">
        <v>78</v>
      </c>
      <c r="R79" s="20" t="n">
        <f aca="false">IF(78&gt;$V$1,"",COUNTIF($M$2:$M$66,"&lt;"&amp;78)+1)</f>
        <v>44</v>
      </c>
      <c r="S79" s="20" t="n">
        <f aca="false">IF($R79="","",78-IF($R79=1,0,INDEX($M$2:$M$66,$R79-1)))</f>
        <v>2</v>
      </c>
      <c r="T79" s="20" t="n">
        <f aca="false">IF($R79="",0,IF($S79=INDEX($L$2:$L$66,$R79),1,0))</f>
        <v>1</v>
      </c>
    </row>
    <row r="80" customFormat="false" ht="13.5" hidden="false" customHeight="false" outlineLevel="0" collapsed="false">
      <c r="Q80" s="47" t="n">
        <v>79</v>
      </c>
      <c r="R80" s="20" t="str">
        <f aca="false">IF(79&gt;$V$1,"",COUNTIF($M$2:$M$66,"&lt;"&amp;79)+1)</f>
        <v/>
      </c>
      <c r="S80" s="20" t="str">
        <f aca="false">IF($R80="","",79-IF($R80=1,0,INDEX($M$2:$M$66,$R80-1)))</f>
        <v/>
      </c>
      <c r="T80" s="20" t="n">
        <f aca="false">IF($R80="",0,IF($S80=INDEX($L$2:$L$66,$R80),1,0))</f>
        <v>0</v>
      </c>
    </row>
    <row r="81" customFormat="false" ht="13.5" hidden="false" customHeight="false" outlineLevel="0" collapsed="false">
      <c r="Q81" s="47" t="n">
        <v>80</v>
      </c>
      <c r="R81" s="20" t="str">
        <f aca="false">IF(80&gt;$V$1,"",COUNTIF($M$2:$M$66,"&lt;"&amp;80)+1)</f>
        <v/>
      </c>
      <c r="S81" s="20" t="str">
        <f aca="false">IF($R81="","",80-IF($R81=1,0,INDEX($M$2:$M$66,$R81-1)))</f>
        <v/>
      </c>
      <c r="T81" s="20" t="n">
        <f aca="false">IF($R81="",0,IF($S81=INDEX($L$2:$L$66,$R81),1,0))</f>
        <v>0</v>
      </c>
    </row>
    <row r="82" customFormat="false" ht="13.5" hidden="false" customHeight="false" outlineLevel="0" collapsed="false">
      <c r="Q82" s="47" t="n">
        <v>81</v>
      </c>
      <c r="R82" s="20" t="str">
        <f aca="false">IF(81&gt;$V$1,"",COUNTIF($M$2:$M$66,"&lt;"&amp;81)+1)</f>
        <v/>
      </c>
      <c r="S82" s="20" t="str">
        <f aca="false">IF($R82="","",81-IF($R82=1,0,INDEX($M$2:$M$66,$R82-1)))</f>
        <v/>
      </c>
      <c r="T82" s="20" t="n">
        <f aca="false">IF($R82="",0,IF($S82=INDEX($L$2:$L$66,$R82),1,0))</f>
        <v>0</v>
      </c>
    </row>
    <row r="83" customFormat="false" ht="13.5" hidden="false" customHeight="false" outlineLevel="0" collapsed="false">
      <c r="Q83" s="47" t="n">
        <v>82</v>
      </c>
      <c r="R83" s="20" t="str">
        <f aca="false">IF(82&gt;$V$1,"",COUNTIF($M$2:$M$66,"&lt;"&amp;82)+1)</f>
        <v/>
      </c>
      <c r="S83" s="20" t="str">
        <f aca="false">IF($R83="","",82-IF($R83=1,0,INDEX($M$2:$M$66,$R83-1)))</f>
        <v/>
      </c>
      <c r="T83" s="20" t="n">
        <f aca="false">IF($R83="",0,IF($S83=INDEX($L$2:$L$66,$R83),1,0))</f>
        <v>0</v>
      </c>
    </row>
    <row r="84" customFormat="false" ht="13.5" hidden="false" customHeight="false" outlineLevel="0" collapsed="false">
      <c r="Q84" s="47" t="n">
        <v>83</v>
      </c>
      <c r="R84" s="20" t="str">
        <f aca="false">IF(83&gt;$V$1,"",COUNTIF($M$2:$M$66,"&lt;"&amp;83)+1)</f>
        <v/>
      </c>
      <c r="S84" s="20" t="str">
        <f aca="false">IF($R84="","",83-IF($R84=1,0,INDEX($M$2:$M$66,$R84-1)))</f>
        <v/>
      </c>
      <c r="T84" s="20" t="n">
        <f aca="false">IF($R84="",0,IF($S84=INDEX($L$2:$L$66,$R84),1,0))</f>
        <v>0</v>
      </c>
    </row>
    <row r="85" customFormat="false" ht="13.5" hidden="false" customHeight="false" outlineLevel="0" collapsed="false">
      <c r="Q85" s="47" t="n">
        <v>84</v>
      </c>
      <c r="R85" s="20" t="str">
        <f aca="false">IF(84&gt;$V$1,"",COUNTIF($M$2:$M$66,"&lt;"&amp;84)+1)</f>
        <v/>
      </c>
      <c r="S85" s="20" t="str">
        <f aca="false">IF($R85="","",84-IF($R85=1,0,INDEX($M$2:$M$66,$R85-1)))</f>
        <v/>
      </c>
      <c r="T85" s="20" t="n">
        <f aca="false">IF($R85="",0,IF($S85=INDEX($L$2:$L$66,$R85),1,0))</f>
        <v>0</v>
      </c>
    </row>
    <row r="86" customFormat="false" ht="13.5" hidden="false" customHeight="false" outlineLevel="0" collapsed="false">
      <c r="Q86" s="47" t="n">
        <v>85</v>
      </c>
      <c r="R86" s="20" t="str">
        <f aca="false">IF(85&gt;$V$1,"",COUNTIF($M$2:$M$66,"&lt;"&amp;85)+1)</f>
        <v/>
      </c>
      <c r="S86" s="20" t="str">
        <f aca="false">IF($R86="","",85-IF($R86=1,0,INDEX($M$2:$M$66,$R86-1)))</f>
        <v/>
      </c>
      <c r="T86" s="20" t="n">
        <f aca="false">IF($R86="",0,IF($S86=INDEX($L$2:$L$66,$R86),1,0))</f>
        <v>0</v>
      </c>
    </row>
    <row r="87" customFormat="false" ht="13.5" hidden="false" customHeight="false" outlineLevel="0" collapsed="false">
      <c r="Q87" s="47" t="n">
        <v>86</v>
      </c>
      <c r="R87" s="20" t="str">
        <f aca="false">IF(86&gt;$V$1,"",COUNTIF($M$2:$M$66,"&lt;"&amp;86)+1)</f>
        <v/>
      </c>
      <c r="S87" s="20" t="str">
        <f aca="false">IF($R87="","",86-IF($R87=1,0,INDEX($M$2:$M$66,$R87-1)))</f>
        <v/>
      </c>
      <c r="T87" s="20" t="n">
        <f aca="false">IF($R87="",0,IF($S87=INDEX($L$2:$L$66,$R87),1,0))</f>
        <v>0</v>
      </c>
    </row>
    <row r="88" customFormat="false" ht="13.5" hidden="false" customHeight="false" outlineLevel="0" collapsed="false">
      <c r="Q88" s="47" t="n">
        <v>87</v>
      </c>
      <c r="R88" s="20" t="str">
        <f aca="false">IF(87&gt;$V$1,"",COUNTIF($M$2:$M$66,"&lt;"&amp;87)+1)</f>
        <v/>
      </c>
      <c r="S88" s="20" t="str">
        <f aca="false">IF($R88="","",87-IF($R88=1,0,INDEX($M$2:$M$66,$R88-1)))</f>
        <v/>
      </c>
      <c r="T88" s="20" t="n">
        <f aca="false">IF($R88="",0,IF($S88=INDEX($L$2:$L$66,$R88),1,0))</f>
        <v>0</v>
      </c>
    </row>
    <row r="89" customFormat="false" ht="13.5" hidden="false" customHeight="false" outlineLevel="0" collapsed="false">
      <c r="Q89" s="47" t="n">
        <v>88</v>
      </c>
      <c r="R89" s="20" t="str">
        <f aca="false">IF(88&gt;$V$1,"",COUNTIF($M$2:$M$66,"&lt;"&amp;88)+1)</f>
        <v/>
      </c>
      <c r="S89" s="20" t="str">
        <f aca="false">IF($R89="","",88-IF($R89=1,0,INDEX($M$2:$M$66,$R89-1)))</f>
        <v/>
      </c>
      <c r="T89" s="20" t="n">
        <f aca="false">IF($R89="",0,IF($S89=INDEX($L$2:$L$66,$R89),1,0))</f>
        <v>0</v>
      </c>
    </row>
    <row r="90" customFormat="false" ht="13.5" hidden="false" customHeight="false" outlineLevel="0" collapsed="false">
      <c r="Q90" s="47" t="n">
        <v>89</v>
      </c>
      <c r="R90" s="20" t="str">
        <f aca="false">IF(89&gt;$V$1,"",COUNTIF($M$2:$M$66,"&lt;"&amp;89)+1)</f>
        <v/>
      </c>
      <c r="S90" s="20" t="str">
        <f aca="false">IF($R90="","",89-IF($R90=1,0,INDEX($M$2:$M$66,$R90-1)))</f>
        <v/>
      </c>
      <c r="T90" s="20" t="n">
        <f aca="false">IF($R90="",0,IF($S90=INDEX($L$2:$L$66,$R90),1,0))</f>
        <v>0</v>
      </c>
    </row>
    <row r="91" customFormat="false" ht="13.5" hidden="false" customHeight="false" outlineLevel="0" collapsed="false">
      <c r="Q91" s="47" t="n">
        <v>90</v>
      </c>
      <c r="R91" s="20" t="str">
        <f aca="false">IF(90&gt;$V$1,"",COUNTIF($M$2:$M$66,"&lt;"&amp;90)+1)</f>
        <v/>
      </c>
      <c r="S91" s="20" t="str">
        <f aca="false">IF($R91="","",90-IF($R91=1,0,INDEX($M$2:$M$66,$R91-1)))</f>
        <v/>
      </c>
      <c r="T91" s="20" t="n">
        <f aca="false">IF($R91="",0,IF($S91=INDEX($L$2:$L$66,$R91),1,0))</f>
        <v>0</v>
      </c>
    </row>
    <row r="92" customFormat="false" ht="13.5" hidden="false" customHeight="false" outlineLevel="0" collapsed="false">
      <c r="Q92" s="47" t="n">
        <v>91</v>
      </c>
      <c r="R92" s="20" t="str">
        <f aca="false">IF(91&gt;$V$1,"",COUNTIF($M$2:$M$66,"&lt;"&amp;91)+1)</f>
        <v/>
      </c>
      <c r="S92" s="20" t="str">
        <f aca="false">IF($R92="","",91-IF($R92=1,0,INDEX($M$2:$M$66,$R92-1)))</f>
        <v/>
      </c>
      <c r="T92" s="20" t="n">
        <f aca="false">IF($R92="",0,IF($S92=INDEX($L$2:$L$66,$R92),1,0))</f>
        <v>0</v>
      </c>
    </row>
    <row r="93" customFormat="false" ht="13.5" hidden="false" customHeight="false" outlineLevel="0" collapsed="false">
      <c r="Q93" s="47" t="n">
        <v>92</v>
      </c>
      <c r="R93" s="20" t="str">
        <f aca="false">IF(92&gt;$V$1,"",COUNTIF($M$2:$M$66,"&lt;"&amp;92)+1)</f>
        <v/>
      </c>
      <c r="S93" s="20" t="str">
        <f aca="false">IF($R93="","",92-IF($R93=1,0,INDEX($M$2:$M$66,$R93-1)))</f>
        <v/>
      </c>
      <c r="T93" s="20" t="n">
        <f aca="false">IF($R93="",0,IF($S93=INDEX($L$2:$L$66,$R93),1,0))</f>
        <v>0</v>
      </c>
    </row>
    <row r="94" customFormat="false" ht="13.5" hidden="false" customHeight="false" outlineLevel="0" collapsed="false">
      <c r="Q94" s="47" t="n">
        <v>93</v>
      </c>
      <c r="R94" s="20" t="str">
        <f aca="false">IF(93&gt;$V$1,"",COUNTIF($M$2:$M$66,"&lt;"&amp;93)+1)</f>
        <v/>
      </c>
      <c r="S94" s="20" t="str">
        <f aca="false">IF($R94="","",93-IF($R94=1,0,INDEX($M$2:$M$66,$R94-1)))</f>
        <v/>
      </c>
      <c r="T94" s="20" t="n">
        <f aca="false">IF($R94="",0,IF($S94=INDEX($L$2:$L$66,$R94),1,0))</f>
        <v>0</v>
      </c>
    </row>
    <row r="95" customFormat="false" ht="13.5" hidden="false" customHeight="false" outlineLevel="0" collapsed="false">
      <c r="Q95" s="47" t="n">
        <v>94</v>
      </c>
      <c r="R95" s="20" t="str">
        <f aca="false">IF(94&gt;$V$1,"",COUNTIF($M$2:$M$66,"&lt;"&amp;94)+1)</f>
        <v/>
      </c>
      <c r="S95" s="20" t="str">
        <f aca="false">IF($R95="","",94-IF($R95=1,0,INDEX($M$2:$M$66,$R95-1)))</f>
        <v/>
      </c>
      <c r="T95" s="20" t="n">
        <f aca="false">IF($R95="",0,IF($S95=INDEX($L$2:$L$66,$R95),1,0))</f>
        <v>0</v>
      </c>
    </row>
    <row r="96" customFormat="false" ht="13.5" hidden="false" customHeight="false" outlineLevel="0" collapsed="false">
      <c r="Q96" s="47" t="n">
        <v>95</v>
      </c>
      <c r="R96" s="20" t="str">
        <f aca="false">IF(95&gt;$V$1,"",COUNTIF($M$2:$M$66,"&lt;"&amp;95)+1)</f>
        <v/>
      </c>
      <c r="S96" s="20" t="str">
        <f aca="false">IF($R96="","",95-IF($R96=1,0,INDEX($M$2:$M$66,$R96-1)))</f>
        <v/>
      </c>
      <c r="T96" s="20" t="n">
        <f aca="false">IF($R96="",0,IF($S96=INDEX($L$2:$L$66,$R96),1,0))</f>
        <v>0</v>
      </c>
    </row>
    <row r="97" customFormat="false" ht="13.5" hidden="false" customHeight="false" outlineLevel="0" collapsed="false">
      <c r="Q97" s="47" t="n">
        <v>96</v>
      </c>
      <c r="R97" s="20" t="str">
        <f aca="false">IF(96&gt;$V$1,"",COUNTIF($M$2:$M$66,"&lt;"&amp;96)+1)</f>
        <v/>
      </c>
      <c r="S97" s="20" t="str">
        <f aca="false">IF($R97="","",96-IF($R97=1,0,INDEX($M$2:$M$66,$R97-1)))</f>
        <v/>
      </c>
      <c r="T97" s="20" t="n">
        <f aca="false">IF($R97="",0,IF($S97=INDEX($L$2:$L$66,$R97),1,0))</f>
        <v>0</v>
      </c>
    </row>
    <row r="98" customFormat="false" ht="13.5" hidden="false" customHeight="false" outlineLevel="0" collapsed="false">
      <c r="Q98" s="47" t="n">
        <v>97</v>
      </c>
      <c r="R98" s="20" t="str">
        <f aca="false">IF(97&gt;$V$1,"",COUNTIF($M$2:$M$66,"&lt;"&amp;97)+1)</f>
        <v/>
      </c>
      <c r="S98" s="20" t="str">
        <f aca="false">IF($R98="","",97-IF($R98=1,0,INDEX($M$2:$M$66,$R98-1)))</f>
        <v/>
      </c>
      <c r="T98" s="20" t="n">
        <f aca="false">IF($R98="",0,IF($S98=INDEX($L$2:$L$66,$R98),1,0))</f>
        <v>0</v>
      </c>
    </row>
    <row r="99" customFormat="false" ht="13.5" hidden="false" customHeight="false" outlineLevel="0" collapsed="false">
      <c r="Q99" s="47" t="n">
        <v>98</v>
      </c>
      <c r="R99" s="20" t="str">
        <f aca="false">IF(98&gt;$V$1,"",COUNTIF($M$2:$M$66,"&lt;"&amp;98)+1)</f>
        <v/>
      </c>
      <c r="S99" s="20" t="str">
        <f aca="false">IF($R99="","",98-IF($R99=1,0,INDEX($M$2:$M$66,$R99-1)))</f>
        <v/>
      </c>
      <c r="T99" s="20" t="n">
        <f aca="false">IF($R99="",0,IF($S99=INDEX($L$2:$L$66,$R99),1,0))</f>
        <v>0</v>
      </c>
    </row>
    <row r="100" customFormat="false" ht="13.5" hidden="false" customHeight="false" outlineLevel="0" collapsed="false">
      <c r="Q100" s="47" t="n">
        <v>99</v>
      </c>
      <c r="R100" s="20" t="str">
        <f aca="false">IF(99&gt;$V$1,"",COUNTIF($M$2:$M$66,"&lt;"&amp;99)+1)</f>
        <v/>
      </c>
      <c r="S100" s="20" t="str">
        <f aca="false">IF($R100="","",99-IF($R100=1,0,INDEX($M$2:$M$66,$R100-1)))</f>
        <v/>
      </c>
      <c r="T100" s="20" t="n">
        <f aca="false">IF($R100="",0,IF($S100=INDEX($L$2:$L$66,$R100),1,0))</f>
        <v>0</v>
      </c>
    </row>
    <row r="101" customFormat="false" ht="13.5" hidden="false" customHeight="false" outlineLevel="0" collapsed="false">
      <c r="Q101" s="47" t="n">
        <v>100</v>
      </c>
      <c r="R101" s="20" t="str">
        <f aca="false">IF(100&gt;$V$1,"",COUNTIF($M$2:$M$66,"&lt;"&amp;100)+1)</f>
        <v/>
      </c>
      <c r="S101" s="20" t="str">
        <f aca="false">IF($R101="","",100-IF($R101=1,0,INDEX($M$2:$M$66,$R101-1)))</f>
        <v/>
      </c>
      <c r="T101" s="20" t="n">
        <f aca="false">IF($R101="",0,IF($S101=INDEX($L$2:$L$66,$R101),1,0))</f>
        <v>0</v>
      </c>
    </row>
    <row r="102" customFormat="false" ht="13.5" hidden="false" customHeight="false" outlineLevel="0" collapsed="false">
      <c r="Q102" s="47" t="n">
        <v>101</v>
      </c>
      <c r="R102" s="20" t="str">
        <f aca="false">IF(101&gt;$V$1,"",COUNTIF($M$2:$M$66,"&lt;"&amp;101)+1)</f>
        <v/>
      </c>
      <c r="S102" s="20" t="str">
        <f aca="false">IF($R102="","",101-IF($R102=1,0,INDEX($M$2:$M$66,$R102-1)))</f>
        <v/>
      </c>
      <c r="T102" s="20" t="n">
        <f aca="false">IF($R102="",0,IF($S102=INDEX($L$2:$L$66,$R102),1,0))</f>
        <v>0</v>
      </c>
    </row>
    <row r="103" customFormat="false" ht="13.5" hidden="false" customHeight="false" outlineLevel="0" collapsed="false">
      <c r="Q103" s="47" t="n">
        <v>102</v>
      </c>
      <c r="R103" s="20" t="str">
        <f aca="false">IF(102&gt;$V$1,"",COUNTIF($M$2:$M$66,"&lt;"&amp;102)+1)</f>
        <v/>
      </c>
      <c r="S103" s="20" t="str">
        <f aca="false">IF($R103="","",102-IF($R103=1,0,INDEX($M$2:$M$66,$R103-1)))</f>
        <v/>
      </c>
      <c r="T103" s="20" t="n">
        <f aca="false">IF($R103="",0,IF($S103=INDEX($L$2:$L$66,$R103),1,0))</f>
        <v>0</v>
      </c>
    </row>
    <row r="104" customFormat="false" ht="13.5" hidden="false" customHeight="false" outlineLevel="0" collapsed="false">
      <c r="Q104" s="47" t="n">
        <v>103</v>
      </c>
      <c r="R104" s="20" t="str">
        <f aca="false">IF(103&gt;$V$1,"",COUNTIF($M$2:$M$66,"&lt;"&amp;103)+1)</f>
        <v/>
      </c>
      <c r="S104" s="20" t="str">
        <f aca="false">IF($R104="","",103-IF($R104=1,0,INDEX($M$2:$M$66,$R104-1)))</f>
        <v/>
      </c>
      <c r="T104" s="20" t="n">
        <f aca="false">IF($R104="",0,IF($S104=INDEX($L$2:$L$66,$R104),1,0))</f>
        <v>0</v>
      </c>
    </row>
    <row r="105" customFormat="false" ht="13.5" hidden="false" customHeight="false" outlineLevel="0" collapsed="false">
      <c r="Q105" s="47" t="n">
        <v>104</v>
      </c>
      <c r="R105" s="20" t="str">
        <f aca="false">IF(104&gt;$V$1,"",COUNTIF($M$2:$M$66,"&lt;"&amp;104)+1)</f>
        <v/>
      </c>
      <c r="S105" s="20" t="str">
        <f aca="false">IF($R105="","",104-IF($R105=1,0,INDEX($M$2:$M$66,$R105-1)))</f>
        <v/>
      </c>
      <c r="T105" s="20" t="n">
        <f aca="false">IF($R105="",0,IF($S105=INDEX($L$2:$L$66,$R105),1,0))</f>
        <v>0</v>
      </c>
    </row>
    <row r="106" customFormat="false" ht="13.5" hidden="false" customHeight="false" outlineLevel="0" collapsed="false">
      <c r="Q106" s="47" t="n">
        <v>105</v>
      </c>
      <c r="R106" s="20" t="str">
        <f aca="false">IF(105&gt;$V$1,"",COUNTIF($M$2:$M$66,"&lt;"&amp;105)+1)</f>
        <v/>
      </c>
      <c r="S106" s="20" t="str">
        <f aca="false">IF($R106="","",105-IF($R106=1,0,INDEX($M$2:$M$66,$R106-1)))</f>
        <v/>
      </c>
      <c r="T106" s="20" t="n">
        <f aca="false">IF($R106="",0,IF($S106=INDEX($L$2:$L$66,$R106),1,0))</f>
        <v>0</v>
      </c>
    </row>
    <row r="107" customFormat="false" ht="13.5" hidden="false" customHeight="false" outlineLevel="0" collapsed="false">
      <c r="Q107" s="47" t="n">
        <v>106</v>
      </c>
      <c r="R107" s="20" t="str">
        <f aca="false">IF(106&gt;$V$1,"",COUNTIF($M$2:$M$66,"&lt;"&amp;106)+1)</f>
        <v/>
      </c>
      <c r="S107" s="20" t="str">
        <f aca="false">IF($R107="","",106-IF($R107=1,0,INDEX($M$2:$M$66,$R107-1)))</f>
        <v/>
      </c>
      <c r="T107" s="20" t="n">
        <f aca="false">IF($R107="",0,IF($S107=INDEX($L$2:$L$66,$R107),1,0))</f>
        <v>0</v>
      </c>
    </row>
    <row r="108" customFormat="false" ht="13.5" hidden="false" customHeight="false" outlineLevel="0" collapsed="false">
      <c r="Q108" s="47" t="n">
        <v>107</v>
      </c>
      <c r="R108" s="20" t="str">
        <f aca="false">IF(107&gt;$V$1,"",COUNTIF($M$2:$M$66,"&lt;"&amp;107)+1)</f>
        <v/>
      </c>
      <c r="S108" s="20" t="str">
        <f aca="false">IF($R108="","",107-IF($R108=1,0,INDEX($M$2:$M$66,$R108-1)))</f>
        <v/>
      </c>
      <c r="T108" s="20" t="n">
        <f aca="false">IF($R108="",0,IF($S108=INDEX($L$2:$L$66,$R108),1,0))</f>
        <v>0</v>
      </c>
    </row>
    <row r="109" customFormat="false" ht="13.5" hidden="false" customHeight="false" outlineLevel="0" collapsed="false">
      <c r="Q109" s="47" t="n">
        <v>108</v>
      </c>
      <c r="R109" s="20" t="str">
        <f aca="false">IF(108&gt;$V$1,"",COUNTIF($M$2:$M$66,"&lt;"&amp;108)+1)</f>
        <v/>
      </c>
      <c r="S109" s="20" t="str">
        <f aca="false">IF($R109="","",108-IF($R109=1,0,INDEX($M$2:$M$66,$R109-1)))</f>
        <v/>
      </c>
      <c r="T109" s="20" t="n">
        <f aca="false">IF($R109="",0,IF($S109=INDEX($L$2:$L$66,$R109),1,0))</f>
        <v>0</v>
      </c>
    </row>
    <row r="110" customFormat="false" ht="13.5" hidden="false" customHeight="false" outlineLevel="0" collapsed="false">
      <c r="Q110" s="47" t="n">
        <v>109</v>
      </c>
      <c r="R110" s="20" t="str">
        <f aca="false">IF(109&gt;$V$1,"",COUNTIF($M$2:$M$66,"&lt;"&amp;109)+1)</f>
        <v/>
      </c>
      <c r="S110" s="20" t="str">
        <f aca="false">IF($R110="","",109-IF($R110=1,0,INDEX($M$2:$M$66,$R110-1)))</f>
        <v/>
      </c>
      <c r="T110" s="20" t="n">
        <f aca="false">IF($R110="",0,IF($S110=INDEX($L$2:$L$66,$R110),1,0))</f>
        <v>0</v>
      </c>
    </row>
    <row r="111" customFormat="false" ht="13.5" hidden="false" customHeight="false" outlineLevel="0" collapsed="false">
      <c r="Q111" s="47" t="n">
        <v>110</v>
      </c>
      <c r="R111" s="20" t="str">
        <f aca="false">IF(110&gt;$V$1,"",COUNTIF($M$2:$M$66,"&lt;"&amp;110)+1)</f>
        <v/>
      </c>
      <c r="S111" s="20" t="str">
        <f aca="false">IF($R111="","",110-IF($R111=1,0,INDEX($M$2:$M$66,$R111-1)))</f>
        <v/>
      </c>
      <c r="T111" s="20" t="n">
        <f aca="false">IF($R111="",0,IF($S111=INDEX($L$2:$L$66,$R111),1,0))</f>
        <v>0</v>
      </c>
    </row>
    <row r="112" customFormat="false" ht="13.5" hidden="false" customHeight="false" outlineLevel="0" collapsed="false">
      <c r="Q112" s="47" t="n">
        <v>111</v>
      </c>
      <c r="R112" s="20" t="str">
        <f aca="false">IF(111&gt;$V$1,"",COUNTIF($M$2:$M$66,"&lt;"&amp;111)+1)</f>
        <v/>
      </c>
      <c r="S112" s="20" t="str">
        <f aca="false">IF($R112="","",111-IF($R112=1,0,INDEX($M$2:$M$66,$R112-1)))</f>
        <v/>
      </c>
      <c r="T112" s="20" t="n">
        <f aca="false">IF($R112="",0,IF($S112=INDEX($L$2:$L$66,$R112),1,0))</f>
        <v>0</v>
      </c>
    </row>
    <row r="113" customFormat="false" ht="13.5" hidden="false" customHeight="false" outlineLevel="0" collapsed="false">
      <c r="Q113" s="47" t="n">
        <v>112</v>
      </c>
      <c r="R113" s="20" t="str">
        <f aca="false">IF(112&gt;$V$1,"",COUNTIF($M$2:$M$66,"&lt;"&amp;112)+1)</f>
        <v/>
      </c>
      <c r="S113" s="20" t="str">
        <f aca="false">IF($R113="","",112-IF($R113=1,0,INDEX($M$2:$M$66,$R113-1)))</f>
        <v/>
      </c>
      <c r="T113" s="20" t="n">
        <f aca="false">IF($R113="",0,IF($S113=INDEX($L$2:$L$66,$R113),1,0))</f>
        <v>0</v>
      </c>
    </row>
    <row r="114" customFormat="false" ht="13.5" hidden="false" customHeight="false" outlineLevel="0" collapsed="false">
      <c r="Q114" s="47" t="n">
        <v>113</v>
      </c>
      <c r="R114" s="20" t="str">
        <f aca="false">IF(113&gt;$V$1,"",COUNTIF($M$2:$M$66,"&lt;"&amp;113)+1)</f>
        <v/>
      </c>
      <c r="S114" s="20" t="str">
        <f aca="false">IF($R114="","",113-IF($R114=1,0,INDEX($M$2:$M$66,$R114-1)))</f>
        <v/>
      </c>
      <c r="T114" s="20" t="n">
        <f aca="false">IF($R114="",0,IF($S114=INDEX($L$2:$L$66,$R114),1,0))</f>
        <v>0</v>
      </c>
    </row>
    <row r="115" customFormat="false" ht="13.5" hidden="false" customHeight="false" outlineLevel="0" collapsed="false">
      <c r="Q115" s="47" t="n">
        <v>114</v>
      </c>
      <c r="R115" s="20" t="str">
        <f aca="false">IF(114&gt;$V$1,"",COUNTIF($M$2:$M$66,"&lt;"&amp;114)+1)</f>
        <v/>
      </c>
      <c r="S115" s="20" t="str">
        <f aca="false">IF($R115="","",114-IF($R115=1,0,INDEX($M$2:$M$66,$R115-1)))</f>
        <v/>
      </c>
      <c r="T115" s="20" t="n">
        <f aca="false">IF($R115="",0,IF($S115=INDEX($L$2:$L$66,$R115),1,0))</f>
        <v>0</v>
      </c>
    </row>
    <row r="116" customFormat="false" ht="13.5" hidden="false" customHeight="false" outlineLevel="0" collapsed="false">
      <c r="Q116" s="47" t="n">
        <v>115</v>
      </c>
      <c r="R116" s="20" t="str">
        <f aca="false">IF(115&gt;$V$1,"",COUNTIF($M$2:$M$66,"&lt;"&amp;115)+1)</f>
        <v/>
      </c>
      <c r="S116" s="20" t="str">
        <f aca="false">IF($R116="","",115-IF($R116=1,0,INDEX($M$2:$M$66,$R116-1)))</f>
        <v/>
      </c>
      <c r="T116" s="20" t="n">
        <f aca="false">IF($R116="",0,IF($S116=INDEX($L$2:$L$66,$R116),1,0))</f>
        <v>0</v>
      </c>
    </row>
    <row r="117" customFormat="false" ht="13.5" hidden="false" customHeight="false" outlineLevel="0" collapsed="false">
      <c r="Q117" s="47" t="n">
        <v>116</v>
      </c>
      <c r="R117" s="20" t="str">
        <f aca="false">IF(116&gt;$V$1,"",COUNTIF($M$2:$M$66,"&lt;"&amp;116)+1)</f>
        <v/>
      </c>
      <c r="S117" s="20" t="str">
        <f aca="false">IF($R117="","",116-IF($R117=1,0,INDEX($M$2:$M$66,$R117-1)))</f>
        <v/>
      </c>
      <c r="T117" s="20" t="n">
        <f aca="false">IF($R117="",0,IF($S117=INDEX($L$2:$L$66,$R117),1,0))</f>
        <v>0</v>
      </c>
    </row>
    <row r="118" customFormat="false" ht="13.5" hidden="false" customHeight="false" outlineLevel="0" collapsed="false">
      <c r="Q118" s="47" t="n">
        <v>117</v>
      </c>
      <c r="R118" s="20" t="str">
        <f aca="false">IF(117&gt;$V$1,"",COUNTIF($M$2:$M$66,"&lt;"&amp;117)+1)</f>
        <v/>
      </c>
      <c r="S118" s="20" t="str">
        <f aca="false">IF($R118="","",117-IF($R118=1,0,INDEX($M$2:$M$66,$R118-1)))</f>
        <v/>
      </c>
      <c r="T118" s="20" t="n">
        <f aca="false">IF($R118="",0,IF($S118=INDEX($L$2:$L$66,$R118),1,0))</f>
        <v>0</v>
      </c>
    </row>
    <row r="119" customFormat="false" ht="13.5" hidden="false" customHeight="false" outlineLevel="0" collapsed="false">
      <c r="Q119" s="47" t="n">
        <v>118</v>
      </c>
      <c r="R119" s="20" t="str">
        <f aca="false">IF(118&gt;$V$1,"",COUNTIF($M$2:$M$66,"&lt;"&amp;118)+1)</f>
        <v/>
      </c>
      <c r="S119" s="20" t="str">
        <f aca="false">IF($R119="","",118-IF($R119=1,0,INDEX($M$2:$M$66,$R119-1)))</f>
        <v/>
      </c>
      <c r="T119" s="20" t="n">
        <f aca="false">IF($R119="",0,IF($S119=INDEX($L$2:$L$66,$R119),1,0))</f>
        <v>0</v>
      </c>
    </row>
    <row r="120" customFormat="false" ht="13.5" hidden="false" customHeight="false" outlineLevel="0" collapsed="false">
      <c r="Q120" s="47" t="n">
        <v>119</v>
      </c>
      <c r="R120" s="20" t="str">
        <f aca="false">IF(119&gt;$V$1,"",COUNTIF($M$2:$M$66,"&lt;"&amp;119)+1)</f>
        <v/>
      </c>
      <c r="S120" s="20" t="str">
        <f aca="false">IF($R120="","",119-IF($R120=1,0,INDEX($M$2:$M$66,$R120-1)))</f>
        <v/>
      </c>
      <c r="T120" s="20" t="n">
        <f aca="false">IF($R120="",0,IF($S120=INDEX($L$2:$L$66,$R120),1,0))</f>
        <v>0</v>
      </c>
    </row>
    <row r="121" customFormat="false" ht="13.5" hidden="false" customHeight="false" outlineLevel="0" collapsed="false">
      <c r="Q121" s="47" t="n">
        <v>120</v>
      </c>
      <c r="R121" s="20" t="str">
        <f aca="false">IF(120&gt;$V$1,"",COUNTIF($M$2:$M$66,"&lt;"&amp;120)+1)</f>
        <v/>
      </c>
      <c r="S121" s="20" t="str">
        <f aca="false">IF($R121="","",120-IF($R121=1,0,INDEX($M$2:$M$66,$R121-1)))</f>
        <v/>
      </c>
      <c r="T121" s="20" t="n">
        <f aca="false">IF($R121="",0,IF($S121=INDEX($L$2:$L$66,$R121),1,0))</f>
        <v>0</v>
      </c>
    </row>
    <row r="122" customFormat="false" ht="13.5" hidden="false" customHeight="false" outlineLevel="0" collapsed="false">
      <c r="Q122" s="47" t="n">
        <v>121</v>
      </c>
      <c r="R122" s="20" t="str">
        <f aca="false">IF(121&gt;$V$1,"",COUNTIF($M$2:$M$66,"&lt;"&amp;121)+1)</f>
        <v/>
      </c>
      <c r="S122" s="20" t="str">
        <f aca="false">IF($R122="","",121-IF($R122=1,0,INDEX($M$2:$M$66,$R122-1)))</f>
        <v/>
      </c>
      <c r="T122" s="20" t="n">
        <f aca="false">IF($R122="",0,IF($S122=INDEX($L$2:$L$66,$R122),1,0))</f>
        <v>0</v>
      </c>
    </row>
    <row r="123" customFormat="false" ht="13.5" hidden="false" customHeight="false" outlineLevel="0" collapsed="false">
      <c r="Q123" s="47" t="n">
        <v>122</v>
      </c>
      <c r="R123" s="20" t="str">
        <f aca="false">IF(122&gt;$V$1,"",COUNTIF($M$2:$M$66,"&lt;"&amp;122)+1)</f>
        <v/>
      </c>
      <c r="S123" s="20" t="str">
        <f aca="false">IF($R123="","",122-IF($R123=1,0,INDEX($M$2:$M$66,$R123-1)))</f>
        <v/>
      </c>
      <c r="T123" s="20" t="n">
        <f aca="false">IF($R123="",0,IF($S123=INDEX($L$2:$L$66,$R123),1,0))</f>
        <v>0</v>
      </c>
    </row>
    <row r="124" customFormat="false" ht="13.5" hidden="false" customHeight="false" outlineLevel="0" collapsed="false">
      <c r="Q124" s="47" t="n">
        <v>123</v>
      </c>
      <c r="R124" s="20" t="str">
        <f aca="false">IF(123&gt;$V$1,"",COUNTIF($M$2:$M$66,"&lt;"&amp;123)+1)</f>
        <v/>
      </c>
      <c r="S124" s="20" t="str">
        <f aca="false">IF($R124="","",123-IF($R124=1,0,INDEX($M$2:$M$66,$R124-1)))</f>
        <v/>
      </c>
      <c r="T124" s="20" t="n">
        <f aca="false">IF($R124="",0,IF($S124=INDEX($L$2:$L$66,$R124),1,0))</f>
        <v>0</v>
      </c>
    </row>
    <row r="125" customFormat="false" ht="13.5" hidden="false" customHeight="false" outlineLevel="0" collapsed="false">
      <c r="Q125" s="47" t="n">
        <v>124</v>
      </c>
      <c r="R125" s="20" t="str">
        <f aca="false">IF(124&gt;$V$1,"",COUNTIF($M$2:$M$66,"&lt;"&amp;124)+1)</f>
        <v/>
      </c>
      <c r="S125" s="20" t="str">
        <f aca="false">IF($R125="","",124-IF($R125=1,0,INDEX($M$2:$M$66,$R125-1)))</f>
        <v/>
      </c>
      <c r="T125" s="20" t="n">
        <f aca="false">IF($R125="",0,IF($S125=INDEX($L$2:$L$66,$R125),1,0))</f>
        <v>0</v>
      </c>
    </row>
    <row r="126" customFormat="false" ht="13.5" hidden="false" customHeight="false" outlineLevel="0" collapsed="false">
      <c r="Q126" s="47" t="n">
        <v>125</v>
      </c>
      <c r="R126" s="20" t="str">
        <f aca="false">IF(125&gt;$V$1,"",COUNTIF($M$2:$M$66,"&lt;"&amp;125)+1)</f>
        <v/>
      </c>
      <c r="S126" s="20" t="str">
        <f aca="false">IF($R126="","",125-IF($R126=1,0,INDEX($M$2:$M$66,$R126-1)))</f>
        <v/>
      </c>
      <c r="T126" s="20" t="n">
        <f aca="false">IF($R126="",0,IF($S126=INDEX($L$2:$L$66,$R126),1,0))</f>
        <v>0</v>
      </c>
    </row>
    <row r="127" customFormat="false" ht="13.5" hidden="false" customHeight="false" outlineLevel="0" collapsed="false">
      <c r="Q127" s="47" t="n">
        <v>126</v>
      </c>
      <c r="R127" s="20" t="str">
        <f aca="false">IF(126&gt;$V$1,"",COUNTIF($M$2:$M$66,"&lt;"&amp;126)+1)</f>
        <v/>
      </c>
      <c r="S127" s="20" t="str">
        <f aca="false">IF($R127="","",126-IF($R127=1,0,INDEX($M$2:$M$66,$R127-1)))</f>
        <v/>
      </c>
      <c r="T127" s="20" t="n">
        <f aca="false">IF($R127="",0,IF($S127=INDEX($L$2:$L$66,$R127),1,0))</f>
        <v>0</v>
      </c>
    </row>
    <row r="128" customFormat="false" ht="13.5" hidden="false" customHeight="false" outlineLevel="0" collapsed="false">
      <c r="Q128" s="47" t="n">
        <v>127</v>
      </c>
      <c r="R128" s="20" t="str">
        <f aca="false">IF(127&gt;$V$1,"",COUNTIF($M$2:$M$66,"&lt;"&amp;127)+1)</f>
        <v/>
      </c>
      <c r="S128" s="20" t="str">
        <f aca="false">IF($R128="","",127-IF($R128=1,0,INDEX($M$2:$M$66,$R128-1)))</f>
        <v/>
      </c>
      <c r="T128" s="20" t="n">
        <f aca="false">IF($R128="",0,IF($S128=INDEX($L$2:$L$66,$R128),1,0))</f>
        <v>0</v>
      </c>
    </row>
    <row r="129" customFormat="false" ht="13.5" hidden="false" customHeight="false" outlineLevel="0" collapsed="false">
      <c r="Q129" s="47" t="n">
        <v>128</v>
      </c>
      <c r="R129" s="20" t="str">
        <f aca="false">IF(128&gt;$V$1,"",COUNTIF($M$2:$M$66,"&lt;"&amp;128)+1)</f>
        <v/>
      </c>
      <c r="S129" s="20" t="str">
        <f aca="false">IF($R129="","",128-IF($R129=1,0,INDEX($M$2:$M$66,$R129-1)))</f>
        <v/>
      </c>
      <c r="T129" s="20" t="n">
        <f aca="false">IF($R129="",0,IF($S129=INDEX($L$2:$L$66,$R129),1,0))</f>
        <v>0</v>
      </c>
    </row>
    <row r="130" customFormat="false" ht="13.5" hidden="false" customHeight="false" outlineLevel="0" collapsed="false">
      <c r="Q130" s="47" t="n">
        <v>129</v>
      </c>
      <c r="R130" s="20" t="str">
        <f aca="false">IF(129&gt;$V$1,"",COUNTIF($M$2:$M$66,"&lt;"&amp;129)+1)</f>
        <v/>
      </c>
      <c r="S130" s="20" t="str">
        <f aca="false">IF($R130="","",129-IF($R130=1,0,INDEX($M$2:$M$66,$R130-1)))</f>
        <v/>
      </c>
      <c r="T130" s="20" t="n">
        <f aca="false">IF($R130="",0,IF($S130=INDEX($L$2:$L$66,$R130),1,0))</f>
        <v>0</v>
      </c>
    </row>
    <row r="131" customFormat="false" ht="13.5" hidden="false" customHeight="false" outlineLevel="0" collapsed="false">
      <c r="Q131" s="47" t="n">
        <v>130</v>
      </c>
      <c r="R131" s="20" t="str">
        <f aca="false">IF(130&gt;$V$1,"",COUNTIF($M$2:$M$66,"&lt;"&amp;130)+1)</f>
        <v/>
      </c>
      <c r="S131" s="20" t="str">
        <f aca="false">IF($R131="","",130-IF($R131=1,0,INDEX($M$2:$M$66,$R131-1)))</f>
        <v/>
      </c>
      <c r="T131" s="20" t="n">
        <f aca="false">IF($R131="",0,IF($S131=INDEX($L$2:$L$66,$R131),1,0))</f>
        <v>0</v>
      </c>
    </row>
    <row r="132" customFormat="false" ht="13.5" hidden="false" customHeight="false" outlineLevel="0" collapsed="false">
      <c r="Q132" s="47" t="n">
        <v>131</v>
      </c>
      <c r="R132" s="20" t="str">
        <f aca="false">IF(131&gt;$V$1,"",COUNTIF($M$2:$M$66,"&lt;"&amp;131)+1)</f>
        <v/>
      </c>
      <c r="S132" s="20" t="str">
        <f aca="false">IF($R132="","",131-IF($R132=1,0,INDEX($M$2:$M$66,$R132-1)))</f>
        <v/>
      </c>
      <c r="T132" s="20" t="n">
        <f aca="false">IF($R132="",0,IF($S132=INDEX($L$2:$L$66,$R132),1,0))</f>
        <v>0</v>
      </c>
    </row>
    <row r="133" customFormat="false" ht="13.5" hidden="false" customHeight="false" outlineLevel="0" collapsed="false">
      <c r="Q133" s="47" t="n">
        <v>132</v>
      </c>
      <c r="R133" s="20" t="str">
        <f aca="false">IF(132&gt;$V$1,"",COUNTIF($M$2:$M$66,"&lt;"&amp;132)+1)</f>
        <v/>
      </c>
      <c r="S133" s="20" t="str">
        <f aca="false">IF($R133="","",132-IF($R133=1,0,INDEX($M$2:$M$66,$R133-1)))</f>
        <v/>
      </c>
      <c r="T133" s="20" t="n">
        <f aca="false">IF($R133="",0,IF($S133=INDEX($L$2:$L$66,$R133),1,0))</f>
        <v>0</v>
      </c>
    </row>
    <row r="134" customFormat="false" ht="13.5" hidden="false" customHeight="false" outlineLevel="0" collapsed="false">
      <c r="Q134" s="47" t="n">
        <v>133</v>
      </c>
      <c r="R134" s="20" t="str">
        <f aca="false">IF(133&gt;$V$1,"",COUNTIF($M$2:$M$66,"&lt;"&amp;133)+1)</f>
        <v/>
      </c>
      <c r="S134" s="20" t="str">
        <f aca="false">IF($R134="","",133-IF($R134=1,0,INDEX($M$2:$M$66,$R134-1)))</f>
        <v/>
      </c>
      <c r="T134" s="20" t="n">
        <f aca="false">IF($R134="",0,IF($S134=INDEX($L$2:$L$66,$R134),1,0))</f>
        <v>0</v>
      </c>
    </row>
    <row r="135" customFormat="false" ht="13.5" hidden="false" customHeight="false" outlineLevel="0" collapsed="false">
      <c r="Q135" s="47" t="n">
        <v>134</v>
      </c>
      <c r="R135" s="20" t="str">
        <f aca="false">IF(134&gt;$V$1,"",COUNTIF($M$2:$M$66,"&lt;"&amp;134)+1)</f>
        <v/>
      </c>
      <c r="S135" s="20" t="str">
        <f aca="false">IF($R135="","",134-IF($R135=1,0,INDEX($M$2:$M$66,$R135-1)))</f>
        <v/>
      </c>
      <c r="T135" s="20" t="n">
        <f aca="false">IF($R135="",0,IF($S135=INDEX($L$2:$L$66,$R135),1,0))</f>
        <v>0</v>
      </c>
    </row>
    <row r="136" customFormat="false" ht="13.5" hidden="false" customHeight="false" outlineLevel="0" collapsed="false">
      <c r="Q136" s="47" t="n">
        <v>135</v>
      </c>
      <c r="R136" s="20" t="str">
        <f aca="false">IF(135&gt;$V$1,"",COUNTIF($M$2:$M$66,"&lt;"&amp;135)+1)</f>
        <v/>
      </c>
      <c r="S136" s="20" t="str">
        <f aca="false">IF($R136="","",135-IF($R136=1,0,INDEX($M$2:$M$66,$R136-1)))</f>
        <v/>
      </c>
      <c r="T136" s="20" t="n">
        <f aca="false">IF($R136="",0,IF($S136=INDEX($L$2:$L$66,$R136),1,0))</f>
        <v>0</v>
      </c>
    </row>
    <row r="137" customFormat="false" ht="13.5" hidden="false" customHeight="false" outlineLevel="0" collapsed="false">
      <c r="Q137" s="47" t="n">
        <v>136</v>
      </c>
      <c r="R137" s="20" t="str">
        <f aca="false">IF(136&gt;$V$1,"",COUNTIF($M$2:$M$66,"&lt;"&amp;136)+1)</f>
        <v/>
      </c>
      <c r="S137" s="20" t="str">
        <f aca="false">IF($R137="","",136-IF($R137=1,0,INDEX($M$2:$M$66,$R137-1)))</f>
        <v/>
      </c>
      <c r="T137" s="20" t="n">
        <f aca="false">IF($R137="",0,IF($S137=INDEX($L$2:$L$66,$R137),1,0))</f>
        <v>0</v>
      </c>
    </row>
    <row r="138" customFormat="false" ht="13.5" hidden="false" customHeight="false" outlineLevel="0" collapsed="false">
      <c r="Q138" s="47" t="n">
        <v>137</v>
      </c>
      <c r="R138" s="20" t="str">
        <f aca="false">IF(137&gt;$V$1,"",COUNTIF($M$2:$M$66,"&lt;"&amp;137)+1)</f>
        <v/>
      </c>
      <c r="S138" s="20" t="str">
        <f aca="false">IF($R138="","",137-IF($R138=1,0,INDEX($M$2:$M$66,$R138-1)))</f>
        <v/>
      </c>
      <c r="T138" s="20" t="n">
        <f aca="false">IF($R138="",0,IF($S138=INDEX($L$2:$L$66,$R138),1,0))</f>
        <v>0</v>
      </c>
    </row>
    <row r="139" customFormat="false" ht="13.5" hidden="false" customHeight="false" outlineLevel="0" collapsed="false">
      <c r="Q139" s="47" t="n">
        <v>138</v>
      </c>
      <c r="R139" s="20" t="str">
        <f aca="false">IF(138&gt;$V$1,"",COUNTIF($M$2:$M$66,"&lt;"&amp;138)+1)</f>
        <v/>
      </c>
      <c r="S139" s="20" t="str">
        <f aca="false">IF($R139="","",138-IF($R139=1,0,INDEX($M$2:$M$66,$R139-1)))</f>
        <v/>
      </c>
      <c r="T139" s="20" t="n">
        <f aca="false">IF($R139="",0,IF($S139=INDEX($L$2:$L$66,$R139),1,0))</f>
        <v>0</v>
      </c>
    </row>
    <row r="140" customFormat="false" ht="13.5" hidden="false" customHeight="false" outlineLevel="0" collapsed="false">
      <c r="Q140" s="47" t="n">
        <v>139</v>
      </c>
      <c r="R140" s="20" t="str">
        <f aca="false">IF(139&gt;$V$1,"",COUNTIF($M$2:$M$66,"&lt;"&amp;139)+1)</f>
        <v/>
      </c>
      <c r="S140" s="20" t="str">
        <f aca="false">IF($R140="","",139-IF($R140=1,0,INDEX($M$2:$M$66,$R140-1)))</f>
        <v/>
      </c>
      <c r="T140" s="20" t="n">
        <f aca="false">IF($R140="",0,IF($S140=INDEX($L$2:$L$66,$R140),1,0))</f>
        <v>0</v>
      </c>
    </row>
    <row r="141" customFormat="false" ht="13.5" hidden="false" customHeight="false" outlineLevel="0" collapsed="false">
      <c r="Q141" s="47" t="n">
        <v>140</v>
      </c>
      <c r="R141" s="20" t="str">
        <f aca="false">IF(140&gt;$V$1,"",COUNTIF($M$2:$M$66,"&lt;"&amp;140)+1)</f>
        <v/>
      </c>
      <c r="S141" s="20" t="str">
        <f aca="false">IF($R141="","",140-IF($R141=1,0,INDEX($M$2:$M$66,$R141-1)))</f>
        <v/>
      </c>
      <c r="T141" s="20" t="n">
        <f aca="false">IF($R141="",0,IF($S141=INDEX($L$2:$L$66,$R141),1,0))</f>
        <v>0</v>
      </c>
    </row>
    <row r="142" customFormat="false" ht="13.5" hidden="false" customHeight="false" outlineLevel="0" collapsed="false">
      <c r="Q142" s="47" t="n">
        <v>141</v>
      </c>
      <c r="R142" s="20" t="str">
        <f aca="false">IF(141&gt;$V$1,"",COUNTIF($M$2:$M$66,"&lt;"&amp;141)+1)</f>
        <v/>
      </c>
      <c r="S142" s="20" t="str">
        <f aca="false">IF($R142="","",141-IF($R142=1,0,INDEX($M$2:$M$66,$R142-1)))</f>
        <v/>
      </c>
      <c r="T142" s="20" t="n">
        <f aca="false">IF($R142="",0,IF($S142=INDEX($L$2:$L$66,$R142),1,0))</f>
        <v>0</v>
      </c>
    </row>
    <row r="143" customFormat="false" ht="13.5" hidden="false" customHeight="false" outlineLevel="0" collapsed="false">
      <c r="Q143" s="47" t="n">
        <v>142</v>
      </c>
      <c r="R143" s="20" t="str">
        <f aca="false">IF(142&gt;$V$1,"",COUNTIF($M$2:$M$66,"&lt;"&amp;142)+1)</f>
        <v/>
      </c>
      <c r="S143" s="20" t="str">
        <f aca="false">IF($R143="","",142-IF($R143=1,0,INDEX($M$2:$M$66,$R143-1)))</f>
        <v/>
      </c>
      <c r="T143" s="20" t="n">
        <f aca="false">IF($R143="",0,IF($S143=INDEX($L$2:$L$66,$R143),1,0))</f>
        <v>0</v>
      </c>
    </row>
    <row r="144" customFormat="false" ht="13.5" hidden="false" customHeight="false" outlineLevel="0" collapsed="false">
      <c r="Q144" s="47" t="n">
        <v>143</v>
      </c>
      <c r="R144" s="20" t="str">
        <f aca="false">IF(143&gt;$V$1,"",COUNTIF($M$2:$M$66,"&lt;"&amp;143)+1)</f>
        <v/>
      </c>
      <c r="S144" s="20" t="str">
        <f aca="false">IF($R144="","",143-IF($R144=1,0,INDEX($M$2:$M$66,$R144-1)))</f>
        <v/>
      </c>
      <c r="T144" s="20" t="n">
        <f aca="false">IF($R144="",0,IF($S144=INDEX($L$2:$L$66,$R144),1,0))</f>
        <v>0</v>
      </c>
    </row>
    <row r="145" customFormat="false" ht="13.5" hidden="false" customHeight="false" outlineLevel="0" collapsed="false">
      <c r="Q145" s="47" t="n">
        <v>144</v>
      </c>
      <c r="R145" s="20" t="str">
        <f aca="false">IF(144&gt;$V$1,"",COUNTIF($M$2:$M$66,"&lt;"&amp;144)+1)</f>
        <v/>
      </c>
      <c r="S145" s="20" t="str">
        <f aca="false">IF($R145="","",144-IF($R145=1,0,INDEX($M$2:$M$66,$R145-1)))</f>
        <v/>
      </c>
      <c r="T145" s="20" t="n">
        <f aca="false">IF($R145="",0,IF($S145=INDEX($L$2:$L$66,$R145),1,0))</f>
        <v>0</v>
      </c>
    </row>
    <row r="146" customFormat="false" ht="13.5" hidden="false" customHeight="false" outlineLevel="0" collapsed="false">
      <c r="Q146" s="47" t="n">
        <v>145</v>
      </c>
      <c r="R146" s="20" t="str">
        <f aca="false">IF(145&gt;$V$1,"",COUNTIF($M$2:$M$66,"&lt;"&amp;145)+1)</f>
        <v/>
      </c>
      <c r="S146" s="20" t="str">
        <f aca="false">IF($R146="","",145-IF($R146=1,0,INDEX($M$2:$M$66,$R146-1)))</f>
        <v/>
      </c>
      <c r="T146" s="20" t="n">
        <f aca="false">IF($R146="",0,IF($S146=INDEX($L$2:$L$66,$R146),1,0))</f>
        <v>0</v>
      </c>
    </row>
    <row r="147" customFormat="false" ht="13.5" hidden="false" customHeight="false" outlineLevel="0" collapsed="false">
      <c r="Q147" s="47" t="n">
        <v>146</v>
      </c>
      <c r="R147" s="20" t="str">
        <f aca="false">IF(146&gt;$V$1,"",COUNTIF($M$2:$M$66,"&lt;"&amp;146)+1)</f>
        <v/>
      </c>
      <c r="S147" s="20" t="str">
        <f aca="false">IF($R147="","",146-IF($R147=1,0,INDEX($M$2:$M$66,$R147-1)))</f>
        <v/>
      </c>
      <c r="T147" s="20" t="n">
        <f aca="false">IF($R147="",0,IF($S147=INDEX($L$2:$L$66,$R147),1,0))</f>
        <v>0</v>
      </c>
    </row>
    <row r="148" customFormat="false" ht="13.5" hidden="false" customHeight="false" outlineLevel="0" collapsed="false">
      <c r="Q148" s="47" t="n">
        <v>147</v>
      </c>
      <c r="R148" s="20" t="str">
        <f aca="false">IF(147&gt;$V$1,"",COUNTIF($M$2:$M$66,"&lt;"&amp;147)+1)</f>
        <v/>
      </c>
      <c r="S148" s="20" t="str">
        <f aca="false">IF($R148="","",147-IF($R148=1,0,INDEX($M$2:$M$66,$R148-1)))</f>
        <v/>
      </c>
      <c r="T148" s="20" t="n">
        <f aca="false">IF($R148="",0,IF($S148=INDEX($L$2:$L$66,$R148),1,0))</f>
        <v>0</v>
      </c>
    </row>
    <row r="149" customFormat="false" ht="13.5" hidden="false" customHeight="false" outlineLevel="0" collapsed="false">
      <c r="Q149" s="47" t="n">
        <v>148</v>
      </c>
      <c r="R149" s="20" t="str">
        <f aca="false">IF(148&gt;$V$1,"",COUNTIF($M$2:$M$66,"&lt;"&amp;148)+1)</f>
        <v/>
      </c>
      <c r="S149" s="20" t="str">
        <f aca="false">IF($R149="","",148-IF($R149=1,0,INDEX($M$2:$M$66,$R149-1)))</f>
        <v/>
      </c>
      <c r="T149" s="20" t="n">
        <f aca="false">IF($R149="",0,IF($S149=INDEX($L$2:$L$66,$R149),1,0))</f>
        <v>0</v>
      </c>
    </row>
    <row r="150" customFormat="false" ht="13.5" hidden="false" customHeight="false" outlineLevel="0" collapsed="false">
      <c r="Q150" s="47" t="n">
        <v>149</v>
      </c>
      <c r="R150" s="20" t="str">
        <f aca="false">IF(149&gt;$V$1,"",COUNTIF($M$2:$M$66,"&lt;"&amp;149)+1)</f>
        <v/>
      </c>
      <c r="S150" s="20" t="str">
        <f aca="false">IF($R150="","",149-IF($R150=1,0,INDEX($M$2:$M$66,$R150-1)))</f>
        <v/>
      </c>
      <c r="T150" s="20" t="n">
        <f aca="false">IF($R150="",0,IF($S150=INDEX($L$2:$L$66,$R150),1,0))</f>
        <v>0</v>
      </c>
    </row>
    <row r="151" customFormat="false" ht="13.5" hidden="false" customHeight="false" outlineLevel="0" collapsed="false">
      <c r="Q151" s="47" t="n">
        <v>150</v>
      </c>
      <c r="R151" s="20" t="str">
        <f aca="false">IF(150&gt;$V$1,"",COUNTIF($M$2:$M$66,"&lt;"&amp;150)+1)</f>
        <v/>
      </c>
      <c r="S151" s="20" t="str">
        <f aca="false">IF($R151="","",150-IF($R151=1,0,INDEX($M$2:$M$66,$R151-1)))</f>
        <v/>
      </c>
      <c r="T151" s="20" t="n">
        <f aca="false">IF($R151="",0,IF($S151=INDEX($L$2:$L$66,$R151),1,0))</f>
        <v>0</v>
      </c>
    </row>
    <row r="152" customFormat="false" ht="13.5" hidden="false" customHeight="false" outlineLevel="0" collapsed="false">
      <c r="Q152" s="47" t="n">
        <v>151</v>
      </c>
      <c r="R152" s="20" t="str">
        <f aca="false">IF(151&gt;$V$1,"",COUNTIF($M$2:$M$66,"&lt;"&amp;151)+1)</f>
        <v/>
      </c>
      <c r="S152" s="20" t="str">
        <f aca="false">IF($R152="","",151-IF($R152=1,0,INDEX($M$2:$M$66,$R152-1)))</f>
        <v/>
      </c>
      <c r="T152" s="20" t="n">
        <f aca="false">IF($R152="",0,IF($S152=INDEX($L$2:$L$66,$R152),1,0))</f>
        <v>0</v>
      </c>
    </row>
    <row r="153" customFormat="false" ht="13.5" hidden="false" customHeight="false" outlineLevel="0" collapsed="false">
      <c r="Q153" s="47" t="n">
        <v>152</v>
      </c>
      <c r="R153" s="20" t="str">
        <f aca="false">IF(152&gt;$V$1,"",COUNTIF($M$2:$M$66,"&lt;"&amp;152)+1)</f>
        <v/>
      </c>
      <c r="S153" s="20" t="str">
        <f aca="false">IF($R153="","",152-IF($R153=1,0,INDEX($M$2:$M$66,$R153-1)))</f>
        <v/>
      </c>
      <c r="T153" s="20" t="n">
        <f aca="false">IF($R153="",0,IF($S153=INDEX($L$2:$L$66,$R153),1,0))</f>
        <v>0</v>
      </c>
    </row>
    <row r="154" customFormat="false" ht="13.5" hidden="false" customHeight="false" outlineLevel="0" collapsed="false">
      <c r="Q154" s="47" t="n">
        <v>153</v>
      </c>
      <c r="R154" s="20" t="str">
        <f aca="false">IF(153&gt;$V$1,"",COUNTIF($M$2:$M$66,"&lt;"&amp;153)+1)</f>
        <v/>
      </c>
      <c r="S154" s="20" t="str">
        <f aca="false">IF($R154="","",153-IF($R154=1,0,INDEX($M$2:$M$66,$R154-1)))</f>
        <v/>
      </c>
      <c r="T154" s="20" t="n">
        <f aca="false">IF($R154="",0,IF($S154=INDEX($L$2:$L$66,$R154),1,0))</f>
        <v>0</v>
      </c>
    </row>
    <row r="155" customFormat="false" ht="13.5" hidden="false" customHeight="false" outlineLevel="0" collapsed="false">
      <c r="Q155" s="47" t="n">
        <v>154</v>
      </c>
      <c r="R155" s="20" t="str">
        <f aca="false">IF(154&gt;$V$1,"",COUNTIF($M$2:$M$66,"&lt;"&amp;154)+1)</f>
        <v/>
      </c>
      <c r="S155" s="20" t="str">
        <f aca="false">IF($R155="","",154-IF($R155=1,0,INDEX($M$2:$M$66,$R155-1)))</f>
        <v/>
      </c>
      <c r="T155" s="20" t="n">
        <f aca="false">IF($R155="",0,IF($S155=INDEX($L$2:$L$66,$R155),1,0))</f>
        <v>0</v>
      </c>
    </row>
    <row r="156" customFormat="false" ht="13.5" hidden="false" customHeight="false" outlineLevel="0" collapsed="false">
      <c r="Q156" s="47" t="n">
        <v>155</v>
      </c>
      <c r="R156" s="20" t="str">
        <f aca="false">IF(155&gt;$V$1,"",COUNTIF($M$2:$M$66,"&lt;"&amp;155)+1)</f>
        <v/>
      </c>
      <c r="S156" s="20" t="str">
        <f aca="false">IF($R156="","",155-IF($R156=1,0,INDEX($M$2:$M$66,$R156-1)))</f>
        <v/>
      </c>
      <c r="T156" s="20" t="n">
        <f aca="false">IF($R156="",0,IF($S156=INDEX($L$2:$L$66,$R156),1,0))</f>
        <v>0</v>
      </c>
    </row>
    <row r="157" customFormat="false" ht="13.5" hidden="false" customHeight="false" outlineLevel="0" collapsed="false">
      <c r="Q157" s="47" t="n">
        <v>156</v>
      </c>
      <c r="R157" s="20" t="str">
        <f aca="false">IF(156&gt;$V$1,"",COUNTIF($M$2:$M$66,"&lt;"&amp;156)+1)</f>
        <v/>
      </c>
      <c r="S157" s="20" t="str">
        <f aca="false">IF($R157="","",156-IF($R157=1,0,INDEX($M$2:$M$66,$R157-1)))</f>
        <v/>
      </c>
      <c r="T157" s="20" t="n">
        <f aca="false">IF($R157="",0,IF($S157=INDEX($L$2:$L$66,$R157),1,0))</f>
        <v>0</v>
      </c>
    </row>
    <row r="158" customFormat="false" ht="13.5" hidden="false" customHeight="false" outlineLevel="0" collapsed="false">
      <c r="Q158" s="47" t="n">
        <v>157</v>
      </c>
      <c r="R158" s="20" t="str">
        <f aca="false">IF(157&gt;$V$1,"",COUNTIF($M$2:$M$66,"&lt;"&amp;157)+1)</f>
        <v/>
      </c>
      <c r="S158" s="20" t="str">
        <f aca="false">IF($R158="","",157-IF($R158=1,0,INDEX($M$2:$M$66,$R158-1)))</f>
        <v/>
      </c>
      <c r="T158" s="20" t="n">
        <f aca="false">IF($R158="",0,IF($S158=INDEX($L$2:$L$66,$R158),1,0))</f>
        <v>0</v>
      </c>
    </row>
    <row r="159" customFormat="false" ht="13.5" hidden="false" customHeight="false" outlineLevel="0" collapsed="false">
      <c r="Q159" s="47" t="n">
        <v>158</v>
      </c>
      <c r="R159" s="20" t="str">
        <f aca="false">IF(158&gt;$V$1,"",COUNTIF($M$2:$M$66,"&lt;"&amp;158)+1)</f>
        <v/>
      </c>
      <c r="S159" s="20" t="str">
        <f aca="false">IF($R159="","",158-IF($R159=1,0,INDEX($M$2:$M$66,$R159-1)))</f>
        <v/>
      </c>
      <c r="T159" s="20" t="n">
        <f aca="false">IF($R159="",0,IF($S159=INDEX($L$2:$L$66,$R159),1,0))</f>
        <v>0</v>
      </c>
    </row>
    <row r="160" customFormat="false" ht="13.5" hidden="false" customHeight="false" outlineLevel="0" collapsed="false">
      <c r="Q160" s="47" t="n">
        <v>159</v>
      </c>
      <c r="R160" s="20" t="str">
        <f aca="false">IF(159&gt;$V$1,"",COUNTIF($M$2:$M$66,"&lt;"&amp;159)+1)</f>
        <v/>
      </c>
      <c r="S160" s="20" t="str">
        <f aca="false">IF($R160="","",159-IF($R160=1,0,INDEX($M$2:$M$66,$R160-1)))</f>
        <v/>
      </c>
      <c r="T160" s="20" t="n">
        <f aca="false">IF($R160="",0,IF($S160=INDEX($L$2:$L$66,$R160),1,0))</f>
        <v>0</v>
      </c>
    </row>
    <row r="161" customFormat="false" ht="13.5" hidden="false" customHeight="false" outlineLevel="0" collapsed="false">
      <c r="Q161" s="47" t="n">
        <v>160</v>
      </c>
      <c r="R161" s="20" t="str">
        <f aca="false">IF(160&gt;$V$1,"",COUNTIF($M$2:$M$66,"&lt;"&amp;160)+1)</f>
        <v/>
      </c>
      <c r="S161" s="20" t="str">
        <f aca="false">IF($R161="","",160-IF($R161=1,0,INDEX($M$2:$M$66,$R161-1)))</f>
        <v/>
      </c>
      <c r="T161" s="20" t="n">
        <f aca="false">IF($R161="",0,IF($S161=INDEX($L$2:$L$66,$R161),1,0))</f>
        <v>0</v>
      </c>
    </row>
    <row r="162" customFormat="false" ht="13.5" hidden="false" customHeight="false" outlineLevel="0" collapsed="false">
      <c r="Q162" s="47" t="n">
        <v>161</v>
      </c>
      <c r="R162" s="20" t="str">
        <f aca="false">IF(161&gt;$V$1,"",COUNTIF($M$2:$M$66,"&lt;"&amp;161)+1)</f>
        <v/>
      </c>
      <c r="S162" s="20" t="str">
        <f aca="false">IF($R162="","",161-IF($R162=1,0,INDEX($M$2:$M$66,$R162-1)))</f>
        <v/>
      </c>
      <c r="T162" s="20" t="n">
        <f aca="false">IF($R162="",0,IF($S162=INDEX($L$2:$L$66,$R162),1,0))</f>
        <v>0</v>
      </c>
    </row>
    <row r="163" customFormat="false" ht="13.5" hidden="false" customHeight="false" outlineLevel="0" collapsed="false">
      <c r="Q163" s="47" t="n">
        <v>162</v>
      </c>
      <c r="R163" s="20" t="str">
        <f aca="false">IF(162&gt;$V$1,"",COUNTIF($M$2:$M$66,"&lt;"&amp;162)+1)</f>
        <v/>
      </c>
      <c r="S163" s="20" t="str">
        <f aca="false">IF($R163="","",162-IF($R163=1,0,INDEX($M$2:$M$66,$R163-1)))</f>
        <v/>
      </c>
      <c r="T163" s="20" t="n">
        <f aca="false">IF($R163="",0,IF($S163=INDEX($L$2:$L$66,$R163),1,0))</f>
        <v>0</v>
      </c>
    </row>
    <row r="164" customFormat="false" ht="13.5" hidden="false" customHeight="false" outlineLevel="0" collapsed="false">
      <c r="Q164" s="47" t="n">
        <v>163</v>
      </c>
      <c r="R164" s="20" t="str">
        <f aca="false">IF(163&gt;$V$1,"",COUNTIF($M$2:$M$66,"&lt;"&amp;163)+1)</f>
        <v/>
      </c>
      <c r="S164" s="20" t="str">
        <f aca="false">IF($R164="","",163-IF($R164=1,0,INDEX($M$2:$M$66,$R164-1)))</f>
        <v/>
      </c>
      <c r="T164" s="20" t="n">
        <f aca="false">IF($R164="",0,IF($S164=INDEX($L$2:$L$66,$R164),1,0))</f>
        <v>0</v>
      </c>
    </row>
    <row r="165" customFormat="false" ht="13.5" hidden="false" customHeight="false" outlineLevel="0" collapsed="false">
      <c r="Q165" s="47" t="n">
        <v>164</v>
      </c>
      <c r="R165" s="20" t="str">
        <f aca="false">IF(164&gt;$V$1,"",COUNTIF($M$2:$M$66,"&lt;"&amp;164)+1)</f>
        <v/>
      </c>
      <c r="S165" s="20" t="str">
        <f aca="false">IF($R165="","",164-IF($R165=1,0,INDEX($M$2:$M$66,$R165-1)))</f>
        <v/>
      </c>
      <c r="T165" s="20" t="n">
        <f aca="false">IF($R165="",0,IF($S165=INDEX($L$2:$L$66,$R165),1,0))</f>
        <v>0</v>
      </c>
    </row>
    <row r="166" customFormat="false" ht="13.5" hidden="false" customHeight="false" outlineLevel="0" collapsed="false">
      <c r="Q166" s="47" t="n">
        <v>165</v>
      </c>
      <c r="R166" s="20" t="str">
        <f aca="false">IF(165&gt;$V$1,"",COUNTIF($M$2:$M$66,"&lt;"&amp;165)+1)</f>
        <v/>
      </c>
      <c r="S166" s="20" t="str">
        <f aca="false">IF($R166="","",165-IF($R166=1,0,INDEX($M$2:$M$66,$R166-1)))</f>
        <v/>
      </c>
      <c r="T166" s="20" t="n">
        <f aca="false">IF($R166="",0,IF($S166=INDEX($L$2:$L$66,$R166),1,0))</f>
        <v>0</v>
      </c>
    </row>
    <row r="167" customFormat="false" ht="13.5" hidden="false" customHeight="false" outlineLevel="0" collapsed="false">
      <c r="Q167" s="47" t="n">
        <v>166</v>
      </c>
      <c r="R167" s="20" t="str">
        <f aca="false">IF(166&gt;$V$1,"",COUNTIF($M$2:$M$66,"&lt;"&amp;166)+1)</f>
        <v/>
      </c>
      <c r="S167" s="20" t="str">
        <f aca="false">IF($R167="","",166-IF($R167=1,0,INDEX($M$2:$M$66,$R167-1)))</f>
        <v/>
      </c>
      <c r="T167" s="20" t="n">
        <f aca="false">IF($R167="",0,IF($S167=INDEX($L$2:$L$66,$R167),1,0))</f>
        <v>0</v>
      </c>
    </row>
    <row r="168" customFormat="false" ht="13.5" hidden="false" customHeight="false" outlineLevel="0" collapsed="false">
      <c r="Q168" s="47" t="n">
        <v>167</v>
      </c>
      <c r="R168" s="20" t="str">
        <f aca="false">IF(167&gt;$V$1,"",COUNTIF($M$2:$M$66,"&lt;"&amp;167)+1)</f>
        <v/>
      </c>
      <c r="S168" s="20" t="str">
        <f aca="false">IF($R168="","",167-IF($R168=1,0,INDEX($M$2:$M$66,$R168-1)))</f>
        <v/>
      </c>
      <c r="T168" s="20" t="n">
        <f aca="false">IF($R168="",0,IF($S168=INDEX($L$2:$L$66,$R168),1,0))</f>
        <v>0</v>
      </c>
    </row>
    <row r="169" customFormat="false" ht="13.5" hidden="false" customHeight="false" outlineLevel="0" collapsed="false">
      <c r="Q169" s="47" t="n">
        <v>168</v>
      </c>
      <c r="R169" s="20" t="str">
        <f aca="false">IF(168&gt;$V$1,"",COUNTIF($M$2:$M$66,"&lt;"&amp;168)+1)</f>
        <v/>
      </c>
      <c r="S169" s="20" t="str">
        <f aca="false">IF($R169="","",168-IF($R169=1,0,INDEX($M$2:$M$66,$R169-1)))</f>
        <v/>
      </c>
      <c r="T169" s="20" t="n">
        <f aca="false">IF($R169="",0,IF($S169=INDEX($L$2:$L$66,$R169),1,0))</f>
        <v>0</v>
      </c>
    </row>
    <row r="170" customFormat="false" ht="13.5" hidden="false" customHeight="false" outlineLevel="0" collapsed="false">
      <c r="Q170" s="47" t="n">
        <v>169</v>
      </c>
      <c r="R170" s="20" t="str">
        <f aca="false">IF(169&gt;$V$1,"",COUNTIF($M$2:$M$66,"&lt;"&amp;169)+1)</f>
        <v/>
      </c>
      <c r="S170" s="20" t="str">
        <f aca="false">IF($R170="","",169-IF($R170=1,0,INDEX($M$2:$M$66,$R170-1)))</f>
        <v/>
      </c>
      <c r="T170" s="20" t="n">
        <f aca="false">IF($R170="",0,IF($S170=INDEX($L$2:$L$66,$R170),1,0))</f>
        <v>0</v>
      </c>
    </row>
    <row r="171" customFormat="false" ht="13.5" hidden="false" customHeight="false" outlineLevel="0" collapsed="false">
      <c r="Q171" s="47" t="n">
        <v>170</v>
      </c>
      <c r="R171" s="20" t="str">
        <f aca="false">IF(170&gt;$V$1,"",COUNTIF($M$2:$M$66,"&lt;"&amp;170)+1)</f>
        <v/>
      </c>
      <c r="S171" s="20" t="str">
        <f aca="false">IF($R171="","",170-IF($R171=1,0,INDEX($M$2:$M$66,$R171-1)))</f>
        <v/>
      </c>
      <c r="T171" s="20" t="n">
        <f aca="false">IF($R171="",0,IF($S171=INDEX($L$2:$L$66,$R171),1,0))</f>
        <v>0</v>
      </c>
    </row>
    <row r="172" customFormat="false" ht="13.5" hidden="false" customHeight="false" outlineLevel="0" collapsed="false">
      <c r="Q172" s="47" t="n">
        <v>171</v>
      </c>
      <c r="R172" s="20" t="str">
        <f aca="false">IF(171&gt;$V$1,"",COUNTIF($M$2:$M$66,"&lt;"&amp;171)+1)</f>
        <v/>
      </c>
      <c r="S172" s="20" t="str">
        <f aca="false">IF($R172="","",171-IF($R172=1,0,INDEX($M$2:$M$66,$R172-1)))</f>
        <v/>
      </c>
      <c r="T172" s="20" t="n">
        <f aca="false">IF($R172="",0,IF($S172=INDEX($L$2:$L$66,$R172),1,0))</f>
        <v>0</v>
      </c>
    </row>
    <row r="173" customFormat="false" ht="13.5" hidden="false" customHeight="false" outlineLevel="0" collapsed="false">
      <c r="Q173" s="47" t="n">
        <v>172</v>
      </c>
      <c r="R173" s="20" t="str">
        <f aca="false">IF(172&gt;$V$1,"",COUNTIF($M$2:$M$66,"&lt;"&amp;172)+1)</f>
        <v/>
      </c>
      <c r="S173" s="20" t="str">
        <f aca="false">IF($R173="","",172-IF($R173=1,0,INDEX($M$2:$M$66,$R173-1)))</f>
        <v/>
      </c>
      <c r="T173" s="20" t="n">
        <f aca="false">IF($R173="",0,IF($S173=INDEX($L$2:$L$66,$R173),1,0))</f>
        <v>0</v>
      </c>
    </row>
    <row r="174" customFormat="false" ht="13.5" hidden="false" customHeight="false" outlineLevel="0" collapsed="false">
      <c r="Q174" s="47" t="n">
        <v>173</v>
      </c>
      <c r="R174" s="20" t="str">
        <f aca="false">IF(173&gt;$V$1,"",COUNTIF($M$2:$M$66,"&lt;"&amp;173)+1)</f>
        <v/>
      </c>
      <c r="S174" s="20" t="str">
        <f aca="false">IF($R174="","",173-IF($R174=1,0,INDEX($M$2:$M$66,$R174-1)))</f>
        <v/>
      </c>
      <c r="T174" s="20" t="n">
        <f aca="false">IF($R174="",0,IF($S174=INDEX($L$2:$L$66,$R174),1,0))</f>
        <v>0</v>
      </c>
    </row>
    <row r="175" customFormat="false" ht="13.5" hidden="false" customHeight="false" outlineLevel="0" collapsed="false">
      <c r="Q175" s="47" t="n">
        <v>174</v>
      </c>
      <c r="R175" s="20" t="str">
        <f aca="false">IF(174&gt;$V$1,"",COUNTIF($M$2:$M$66,"&lt;"&amp;174)+1)</f>
        <v/>
      </c>
      <c r="S175" s="20" t="str">
        <f aca="false">IF($R175="","",174-IF($R175=1,0,INDEX($M$2:$M$66,$R175-1)))</f>
        <v/>
      </c>
      <c r="T175" s="20" t="n">
        <f aca="false">IF($R175="",0,IF($S175=INDEX($L$2:$L$66,$R175),1,0))</f>
        <v>0</v>
      </c>
    </row>
    <row r="176" customFormat="false" ht="13.5" hidden="false" customHeight="false" outlineLevel="0" collapsed="false">
      <c r="Q176" s="47" t="n">
        <v>175</v>
      </c>
      <c r="R176" s="20" t="str">
        <f aca="false">IF(175&gt;$V$1,"",COUNTIF($M$2:$M$66,"&lt;"&amp;175)+1)</f>
        <v/>
      </c>
      <c r="S176" s="20" t="str">
        <f aca="false">IF($R176="","",175-IF($R176=1,0,INDEX($M$2:$M$66,$R176-1)))</f>
        <v/>
      </c>
      <c r="T176" s="20" t="n">
        <f aca="false">IF($R176="",0,IF($S176=INDEX($L$2:$L$66,$R176),1,0))</f>
        <v>0</v>
      </c>
    </row>
    <row r="177" customFormat="false" ht="13.5" hidden="false" customHeight="false" outlineLevel="0" collapsed="false">
      <c r="Q177" s="47" t="n">
        <v>176</v>
      </c>
      <c r="R177" s="20" t="str">
        <f aca="false">IF(176&gt;$V$1,"",COUNTIF($M$2:$M$66,"&lt;"&amp;176)+1)</f>
        <v/>
      </c>
      <c r="S177" s="20" t="str">
        <f aca="false">IF($R177="","",176-IF($R177=1,0,INDEX($M$2:$M$66,$R177-1)))</f>
        <v/>
      </c>
      <c r="T177" s="20" t="n">
        <f aca="false">IF($R177="",0,IF($S177=INDEX($L$2:$L$66,$R177),1,0))</f>
        <v>0</v>
      </c>
    </row>
    <row r="178" customFormat="false" ht="13.5" hidden="false" customHeight="false" outlineLevel="0" collapsed="false">
      <c r="Q178" s="47" t="n">
        <v>177</v>
      </c>
      <c r="R178" s="20" t="str">
        <f aca="false">IF(177&gt;$V$1,"",COUNTIF($M$2:$M$66,"&lt;"&amp;177)+1)</f>
        <v/>
      </c>
      <c r="S178" s="20" t="str">
        <f aca="false">IF($R178="","",177-IF($R178=1,0,INDEX($M$2:$M$66,$R178-1)))</f>
        <v/>
      </c>
      <c r="T178" s="20" t="n">
        <f aca="false">IF($R178="",0,IF($S178=INDEX($L$2:$L$66,$R178),1,0))</f>
        <v>0</v>
      </c>
    </row>
    <row r="179" customFormat="false" ht="13.5" hidden="false" customHeight="false" outlineLevel="0" collapsed="false">
      <c r="Q179" s="47" t="n">
        <v>178</v>
      </c>
      <c r="R179" s="20" t="str">
        <f aca="false">IF(178&gt;$V$1,"",COUNTIF($M$2:$M$66,"&lt;"&amp;178)+1)</f>
        <v/>
      </c>
      <c r="S179" s="20" t="str">
        <f aca="false">IF($R179="","",178-IF($R179=1,0,INDEX($M$2:$M$66,$R179-1)))</f>
        <v/>
      </c>
      <c r="T179" s="20" t="n">
        <f aca="false">IF($R179="",0,IF($S179=INDEX($L$2:$L$66,$R179),1,0))</f>
        <v>0</v>
      </c>
    </row>
    <row r="180" customFormat="false" ht="13.5" hidden="false" customHeight="false" outlineLevel="0" collapsed="false">
      <c r="Q180" s="47" t="n">
        <v>179</v>
      </c>
      <c r="R180" s="20" t="str">
        <f aca="false">IF(179&gt;$V$1,"",COUNTIF($M$2:$M$66,"&lt;"&amp;179)+1)</f>
        <v/>
      </c>
      <c r="S180" s="20" t="str">
        <f aca="false">IF($R180="","",179-IF($R180=1,0,INDEX($M$2:$M$66,$R180-1)))</f>
        <v/>
      </c>
      <c r="T180" s="20" t="n">
        <f aca="false">IF($R180="",0,IF($S180=INDEX($L$2:$L$66,$R180),1,0))</f>
        <v>0</v>
      </c>
    </row>
    <row r="181" customFormat="false" ht="13.5" hidden="false" customHeight="false" outlineLevel="0" collapsed="false">
      <c r="Q181" s="47" t="n">
        <v>180</v>
      </c>
      <c r="R181" s="20" t="str">
        <f aca="false">IF(180&gt;$V$1,"",COUNTIF($M$2:$M$66,"&lt;"&amp;180)+1)</f>
        <v/>
      </c>
      <c r="S181" s="20" t="str">
        <f aca="false">IF($R181="","",180-IF($R181=1,0,INDEX($M$2:$M$66,$R181-1)))</f>
        <v/>
      </c>
      <c r="T181" s="20" t="n">
        <f aca="false">IF($R181="",0,IF($S181=INDEX($L$2:$L$66,$R181),1,0))</f>
        <v>0</v>
      </c>
    </row>
    <row r="182" customFormat="false" ht="13.5" hidden="false" customHeight="false" outlineLevel="0" collapsed="false">
      <c r="Q182" s="47" t="n">
        <v>181</v>
      </c>
      <c r="R182" s="20" t="str">
        <f aca="false">IF(181&gt;$V$1,"",COUNTIF($M$2:$M$66,"&lt;"&amp;181)+1)</f>
        <v/>
      </c>
      <c r="S182" s="20" t="str">
        <f aca="false">IF($R182="","",181-IF($R182=1,0,INDEX($M$2:$M$66,$R182-1)))</f>
        <v/>
      </c>
      <c r="T182" s="20" t="n">
        <f aca="false">IF($R182="",0,IF($S182=INDEX($L$2:$L$66,$R182),1,0))</f>
        <v>0</v>
      </c>
    </row>
    <row r="183" customFormat="false" ht="13.5" hidden="false" customHeight="false" outlineLevel="0" collapsed="false">
      <c r="Q183" s="47" t="n">
        <v>182</v>
      </c>
      <c r="R183" s="20" t="str">
        <f aca="false">IF(182&gt;$V$1,"",COUNTIF($M$2:$M$66,"&lt;"&amp;182)+1)</f>
        <v/>
      </c>
      <c r="S183" s="20" t="str">
        <f aca="false">IF($R183="","",182-IF($R183=1,0,INDEX($M$2:$M$66,$R183-1)))</f>
        <v/>
      </c>
      <c r="T183" s="20" t="n">
        <f aca="false">IF($R183="",0,IF($S183=INDEX($L$2:$L$66,$R183),1,0))</f>
        <v>0</v>
      </c>
    </row>
    <row r="184" customFormat="false" ht="13.5" hidden="false" customHeight="false" outlineLevel="0" collapsed="false">
      <c r="Q184" s="47" t="n">
        <v>183</v>
      </c>
      <c r="R184" s="20" t="str">
        <f aca="false">IF(183&gt;$V$1,"",COUNTIF($M$2:$M$66,"&lt;"&amp;183)+1)</f>
        <v/>
      </c>
      <c r="S184" s="20" t="str">
        <f aca="false">IF($R184="","",183-IF($R184=1,0,INDEX($M$2:$M$66,$R184-1)))</f>
        <v/>
      </c>
      <c r="T184" s="20" t="n">
        <f aca="false">IF($R184="",0,IF($S184=INDEX($L$2:$L$66,$R184),1,0))</f>
        <v>0</v>
      </c>
    </row>
    <row r="185" customFormat="false" ht="13.5" hidden="false" customHeight="false" outlineLevel="0" collapsed="false">
      <c r="Q185" s="47" t="n">
        <v>184</v>
      </c>
      <c r="R185" s="20" t="str">
        <f aca="false">IF(184&gt;$V$1,"",COUNTIF($M$2:$M$66,"&lt;"&amp;184)+1)</f>
        <v/>
      </c>
      <c r="S185" s="20" t="str">
        <f aca="false">IF($R185="","",184-IF($R185=1,0,INDEX($M$2:$M$66,$R185-1)))</f>
        <v/>
      </c>
      <c r="T185" s="20" t="n">
        <f aca="false">IF($R185="",0,IF($S185=INDEX($L$2:$L$66,$R185),1,0))</f>
        <v>0</v>
      </c>
    </row>
    <row r="186" customFormat="false" ht="13.5" hidden="false" customHeight="false" outlineLevel="0" collapsed="false">
      <c r="Q186" s="47" t="n">
        <v>185</v>
      </c>
      <c r="R186" s="20" t="str">
        <f aca="false">IF(185&gt;$V$1,"",COUNTIF($M$2:$M$66,"&lt;"&amp;185)+1)</f>
        <v/>
      </c>
      <c r="S186" s="20" t="str">
        <f aca="false">IF($R186="","",185-IF($R186=1,0,INDEX($M$2:$M$66,$R186-1)))</f>
        <v/>
      </c>
      <c r="T186" s="20" t="n">
        <f aca="false">IF($R186="",0,IF($S186=INDEX($L$2:$L$66,$R186),1,0))</f>
        <v>0</v>
      </c>
    </row>
    <row r="187" customFormat="false" ht="13.5" hidden="false" customHeight="false" outlineLevel="0" collapsed="false">
      <c r="Q187" s="47" t="n">
        <v>186</v>
      </c>
      <c r="R187" s="20" t="str">
        <f aca="false">IF(186&gt;$V$1,"",COUNTIF($M$2:$M$66,"&lt;"&amp;186)+1)</f>
        <v/>
      </c>
      <c r="S187" s="20" t="str">
        <f aca="false">IF($R187="","",186-IF($R187=1,0,INDEX($M$2:$M$66,$R187-1)))</f>
        <v/>
      </c>
      <c r="T187" s="20" t="n">
        <f aca="false">IF($R187="",0,IF($S187=INDEX($L$2:$L$66,$R187),1,0))</f>
        <v>0</v>
      </c>
    </row>
    <row r="188" customFormat="false" ht="13.5" hidden="false" customHeight="false" outlineLevel="0" collapsed="false">
      <c r="Q188" s="47" t="n">
        <v>187</v>
      </c>
      <c r="R188" s="20" t="str">
        <f aca="false">IF(187&gt;$V$1,"",COUNTIF($M$2:$M$66,"&lt;"&amp;187)+1)</f>
        <v/>
      </c>
      <c r="S188" s="20" t="str">
        <f aca="false">IF($R188="","",187-IF($R188=1,0,INDEX($M$2:$M$66,$R188-1)))</f>
        <v/>
      </c>
      <c r="T188" s="20" t="n">
        <f aca="false">IF($R188="",0,IF($S188=INDEX($L$2:$L$66,$R188),1,0))</f>
        <v>0</v>
      </c>
    </row>
    <row r="189" customFormat="false" ht="13.5" hidden="false" customHeight="false" outlineLevel="0" collapsed="false">
      <c r="Q189" s="47" t="n">
        <v>188</v>
      </c>
      <c r="R189" s="20" t="str">
        <f aca="false">IF(188&gt;$V$1,"",COUNTIF($M$2:$M$66,"&lt;"&amp;188)+1)</f>
        <v/>
      </c>
      <c r="S189" s="20" t="str">
        <f aca="false">IF($R189="","",188-IF($R189=1,0,INDEX($M$2:$M$66,$R189-1)))</f>
        <v/>
      </c>
      <c r="T189" s="20" t="n">
        <f aca="false">IF($R189="",0,IF($S189=INDEX($L$2:$L$66,$R189),1,0))</f>
        <v>0</v>
      </c>
    </row>
    <row r="190" customFormat="false" ht="13.5" hidden="false" customHeight="false" outlineLevel="0" collapsed="false">
      <c r="Q190" s="47" t="n">
        <v>189</v>
      </c>
      <c r="R190" s="20" t="str">
        <f aca="false">IF(189&gt;$V$1,"",COUNTIF($M$2:$M$66,"&lt;"&amp;189)+1)</f>
        <v/>
      </c>
      <c r="S190" s="20" t="str">
        <f aca="false">IF($R190="","",189-IF($R190=1,0,INDEX($M$2:$M$66,$R190-1)))</f>
        <v/>
      </c>
      <c r="T190" s="20" t="n">
        <f aca="false">IF($R190="",0,IF($S190=INDEX($L$2:$L$66,$R190),1,0))</f>
        <v>0</v>
      </c>
    </row>
    <row r="191" customFormat="false" ht="13.5" hidden="false" customHeight="false" outlineLevel="0" collapsed="false">
      <c r="Q191" s="47" t="n">
        <v>190</v>
      </c>
      <c r="R191" s="20" t="str">
        <f aca="false">IF(190&gt;$V$1,"",COUNTIF($M$2:$M$66,"&lt;"&amp;190)+1)</f>
        <v/>
      </c>
      <c r="S191" s="20" t="str">
        <f aca="false">IF($R191="","",190-IF($R191=1,0,INDEX($M$2:$M$66,$R191-1)))</f>
        <v/>
      </c>
      <c r="T191" s="20" t="n">
        <f aca="false">IF($R191="",0,IF($S191=INDEX($L$2:$L$66,$R191),1,0))</f>
        <v>0</v>
      </c>
    </row>
    <row r="192" customFormat="false" ht="13.5" hidden="false" customHeight="false" outlineLevel="0" collapsed="false">
      <c r="Q192" s="47" t="n">
        <v>191</v>
      </c>
      <c r="R192" s="20" t="str">
        <f aca="false">IF(191&gt;$V$1,"",COUNTIF($M$2:$M$66,"&lt;"&amp;191)+1)</f>
        <v/>
      </c>
      <c r="S192" s="20" t="str">
        <f aca="false">IF($R192="","",191-IF($R192=1,0,INDEX($M$2:$M$66,$R192-1)))</f>
        <v/>
      </c>
      <c r="T192" s="20" t="n">
        <f aca="false">IF($R192="",0,IF($S192=INDEX($L$2:$L$66,$R192),1,0))</f>
        <v>0</v>
      </c>
    </row>
    <row r="193" customFormat="false" ht="13.5" hidden="false" customHeight="false" outlineLevel="0" collapsed="false">
      <c r="Q193" s="47" t="n">
        <v>192</v>
      </c>
      <c r="R193" s="20" t="str">
        <f aca="false">IF(192&gt;$V$1,"",COUNTIF($M$2:$M$66,"&lt;"&amp;192)+1)</f>
        <v/>
      </c>
      <c r="S193" s="20" t="str">
        <f aca="false">IF($R193="","",192-IF($R193=1,0,INDEX($M$2:$M$66,$R193-1)))</f>
        <v/>
      </c>
      <c r="T193" s="20" t="n">
        <f aca="false">IF($R193="",0,IF($S193=INDEX($L$2:$L$66,$R193),1,0))</f>
        <v>0</v>
      </c>
    </row>
    <row r="194" customFormat="false" ht="13.5" hidden="false" customHeight="false" outlineLevel="0" collapsed="false">
      <c r="Q194" s="47" t="n">
        <v>193</v>
      </c>
      <c r="R194" s="20" t="str">
        <f aca="false">IF(193&gt;$V$1,"",COUNTIF($M$2:$M$66,"&lt;"&amp;193)+1)</f>
        <v/>
      </c>
      <c r="S194" s="20" t="str">
        <f aca="false">IF($R194="","",193-IF($R194=1,0,INDEX($M$2:$M$66,$R194-1)))</f>
        <v/>
      </c>
      <c r="T194" s="20" t="n">
        <f aca="false">IF($R194="",0,IF($S194=INDEX($L$2:$L$66,$R194),1,0))</f>
        <v>0</v>
      </c>
    </row>
    <row r="195" customFormat="false" ht="13.5" hidden="false" customHeight="false" outlineLevel="0" collapsed="false">
      <c r="Q195" s="47" t="n">
        <v>194</v>
      </c>
      <c r="R195" s="20" t="str">
        <f aca="false">IF(194&gt;$V$1,"",COUNTIF($M$2:$M$66,"&lt;"&amp;194)+1)</f>
        <v/>
      </c>
      <c r="S195" s="20" t="str">
        <f aca="false">IF($R195="","",194-IF($R195=1,0,INDEX($M$2:$M$66,$R195-1)))</f>
        <v/>
      </c>
      <c r="T195" s="20" t="n">
        <f aca="false">IF($R195="",0,IF($S195=INDEX($L$2:$L$66,$R195),1,0))</f>
        <v>0</v>
      </c>
    </row>
    <row r="196" customFormat="false" ht="13.5" hidden="false" customHeight="false" outlineLevel="0" collapsed="false">
      <c r="Q196" s="47" t="n">
        <v>195</v>
      </c>
      <c r="R196" s="20" t="str">
        <f aca="false">IF(195&gt;$V$1,"",COUNTIF($M$2:$M$66,"&lt;"&amp;195)+1)</f>
        <v/>
      </c>
      <c r="S196" s="20" t="str">
        <f aca="false">IF($R196="","",195-IF($R196=1,0,INDEX($M$2:$M$66,$R196-1)))</f>
        <v/>
      </c>
      <c r="T196" s="20" t="n">
        <f aca="false">IF($R196="",0,IF($S196=INDEX($L$2:$L$66,$R196),1,0))</f>
        <v>0</v>
      </c>
    </row>
    <row r="197" customFormat="false" ht="13.5" hidden="false" customHeight="false" outlineLevel="0" collapsed="false">
      <c r="Q197" s="47" t="n">
        <v>196</v>
      </c>
      <c r="R197" s="20" t="str">
        <f aca="false">IF(196&gt;$V$1,"",COUNTIF($M$2:$M$66,"&lt;"&amp;196)+1)</f>
        <v/>
      </c>
      <c r="S197" s="20" t="str">
        <f aca="false">IF($R197="","",196-IF($R197=1,0,INDEX($M$2:$M$66,$R197-1)))</f>
        <v/>
      </c>
      <c r="T197" s="20" t="n">
        <f aca="false">IF($R197="",0,IF($S197=INDEX($L$2:$L$66,$R197),1,0))</f>
        <v>0</v>
      </c>
    </row>
    <row r="198" customFormat="false" ht="13.5" hidden="false" customHeight="false" outlineLevel="0" collapsed="false">
      <c r="Q198" s="47" t="n">
        <v>197</v>
      </c>
      <c r="R198" s="20" t="str">
        <f aca="false">IF(197&gt;$V$1,"",COUNTIF($M$2:$M$66,"&lt;"&amp;197)+1)</f>
        <v/>
      </c>
      <c r="S198" s="20" t="str">
        <f aca="false">IF($R198="","",197-IF($R198=1,0,INDEX($M$2:$M$66,$R198-1)))</f>
        <v/>
      </c>
      <c r="T198" s="20" t="n">
        <f aca="false">IF($R198="",0,IF($S198=INDEX($L$2:$L$66,$R198),1,0))</f>
        <v>0</v>
      </c>
    </row>
    <row r="199" customFormat="false" ht="13.5" hidden="false" customHeight="false" outlineLevel="0" collapsed="false">
      <c r="Q199" s="47" t="n">
        <v>198</v>
      </c>
      <c r="R199" s="20" t="str">
        <f aca="false">IF(198&gt;$V$1,"",COUNTIF($M$2:$M$66,"&lt;"&amp;198)+1)</f>
        <v/>
      </c>
      <c r="S199" s="20" t="str">
        <f aca="false">IF($R199="","",198-IF($R199=1,0,INDEX($M$2:$M$66,$R199-1)))</f>
        <v/>
      </c>
      <c r="T199" s="20" t="n">
        <f aca="false">IF($R199="",0,IF($S199=INDEX($L$2:$L$66,$R199),1,0))</f>
        <v>0</v>
      </c>
    </row>
    <row r="200" customFormat="false" ht="13.5" hidden="false" customHeight="false" outlineLevel="0" collapsed="false">
      <c r="Q200" s="47" t="n">
        <v>199</v>
      </c>
      <c r="R200" s="20" t="str">
        <f aca="false">IF(199&gt;$V$1,"",COUNTIF($M$2:$M$66,"&lt;"&amp;199)+1)</f>
        <v/>
      </c>
      <c r="S200" s="20" t="str">
        <f aca="false">IF($R200="","",199-IF($R200=1,0,INDEX($M$2:$M$66,$R200-1)))</f>
        <v/>
      </c>
      <c r="T200" s="20" t="n">
        <f aca="false">IF($R200="",0,IF($S200=INDEX($L$2:$L$66,$R200),1,0))</f>
        <v>0</v>
      </c>
    </row>
    <row r="201" customFormat="false" ht="13.5" hidden="false" customHeight="false" outlineLevel="0" collapsed="false">
      <c r="Q201" s="47" t="n">
        <v>200</v>
      </c>
      <c r="R201" s="20" t="str">
        <f aca="false">IF(200&gt;$V$1,"",COUNTIF($M$2:$M$66,"&lt;"&amp;200)+1)</f>
        <v/>
      </c>
      <c r="S201" s="20" t="str">
        <f aca="false">IF($R201="","",200-IF($R201=1,0,INDEX($M$2:$M$66,$R201-1)))</f>
        <v/>
      </c>
      <c r="T201" s="20" t="n">
        <f aca="false">IF($R201="",0,IF($S201=INDEX($L$2:$L$66,$R201),1,0))</f>
        <v>0</v>
      </c>
    </row>
    <row r="202" customFormat="false" ht="13.5" hidden="false" customHeight="false" outlineLevel="0" collapsed="false">
      <c r="Q202" s="47" t="n">
        <v>201</v>
      </c>
      <c r="R202" s="20" t="str">
        <f aca="false">IF(201&gt;$V$1,"",COUNTIF($M$2:$M$66,"&lt;"&amp;201)+1)</f>
        <v/>
      </c>
      <c r="S202" s="20" t="str">
        <f aca="false">IF($R202="","",201-IF($R202=1,0,INDEX($M$2:$M$66,$R202-1)))</f>
        <v/>
      </c>
      <c r="T202" s="20" t="n">
        <f aca="false">IF($R202="",0,IF($S202=INDEX($L$2:$L$66,$R202),1,0))</f>
        <v>0</v>
      </c>
    </row>
    <row r="203" customFormat="false" ht="13.5" hidden="false" customHeight="false" outlineLevel="0" collapsed="false">
      <c r="Q203" s="47" t="n">
        <v>202</v>
      </c>
      <c r="R203" s="20" t="str">
        <f aca="false">IF(202&gt;$V$1,"",COUNTIF($M$2:$M$66,"&lt;"&amp;202)+1)</f>
        <v/>
      </c>
      <c r="S203" s="20" t="str">
        <f aca="false">IF($R203="","",202-IF($R203=1,0,INDEX($M$2:$M$66,$R203-1)))</f>
        <v/>
      </c>
      <c r="T203" s="20" t="n">
        <f aca="false">IF($R203="",0,IF($S203=INDEX($L$2:$L$66,$R203),1,0))</f>
        <v>0</v>
      </c>
    </row>
    <row r="204" customFormat="false" ht="13.5" hidden="false" customHeight="false" outlineLevel="0" collapsed="false">
      <c r="Q204" s="47" t="n">
        <v>203</v>
      </c>
      <c r="R204" s="20" t="str">
        <f aca="false">IF(203&gt;$V$1,"",COUNTIF($M$2:$M$66,"&lt;"&amp;203)+1)</f>
        <v/>
      </c>
      <c r="S204" s="20" t="str">
        <f aca="false">IF($R204="","",203-IF($R204=1,0,INDEX($M$2:$M$66,$R204-1)))</f>
        <v/>
      </c>
      <c r="T204" s="20" t="n">
        <f aca="false">IF($R204="",0,IF($S204=INDEX($L$2:$L$66,$R204),1,0))</f>
        <v>0</v>
      </c>
    </row>
    <row r="205" customFormat="false" ht="13.5" hidden="false" customHeight="false" outlineLevel="0" collapsed="false">
      <c r="Q205" s="47" t="n">
        <v>204</v>
      </c>
      <c r="R205" s="20" t="str">
        <f aca="false">IF(204&gt;$V$1,"",COUNTIF($M$2:$M$66,"&lt;"&amp;204)+1)</f>
        <v/>
      </c>
      <c r="S205" s="20" t="str">
        <f aca="false">IF($R205="","",204-IF($R205=1,0,INDEX($M$2:$M$66,$R205-1)))</f>
        <v/>
      </c>
      <c r="T205" s="20" t="n">
        <f aca="false">IF($R205="",0,IF($S205=INDEX($L$2:$L$66,$R205),1,0))</f>
        <v>0</v>
      </c>
    </row>
    <row r="206" customFormat="false" ht="13.5" hidden="false" customHeight="false" outlineLevel="0" collapsed="false">
      <c r="Q206" s="47" t="n">
        <v>205</v>
      </c>
      <c r="R206" s="20" t="str">
        <f aca="false">IF(205&gt;$V$1,"",COUNTIF($M$2:$M$66,"&lt;"&amp;205)+1)</f>
        <v/>
      </c>
      <c r="S206" s="20" t="str">
        <f aca="false">IF($R206="","",205-IF($R206=1,0,INDEX($M$2:$M$66,$R206-1)))</f>
        <v/>
      </c>
      <c r="T206" s="20" t="n">
        <f aca="false">IF($R206="",0,IF($S206=INDEX($L$2:$L$66,$R206),1,0))</f>
        <v>0</v>
      </c>
    </row>
    <row r="207" customFormat="false" ht="13.5" hidden="false" customHeight="false" outlineLevel="0" collapsed="false">
      <c r="Q207" s="47" t="n">
        <v>206</v>
      </c>
      <c r="R207" s="20" t="str">
        <f aca="false">IF(206&gt;$V$1,"",COUNTIF($M$2:$M$66,"&lt;"&amp;206)+1)</f>
        <v/>
      </c>
      <c r="S207" s="20" t="str">
        <f aca="false">IF($R207="","",206-IF($R207=1,0,INDEX($M$2:$M$66,$R207-1)))</f>
        <v/>
      </c>
      <c r="T207" s="20" t="n">
        <f aca="false">IF($R207="",0,IF($S207=INDEX($L$2:$L$66,$R207),1,0))</f>
        <v>0</v>
      </c>
    </row>
    <row r="208" customFormat="false" ht="13.5" hidden="false" customHeight="false" outlineLevel="0" collapsed="false">
      <c r="Q208" s="47" t="n">
        <v>207</v>
      </c>
      <c r="R208" s="20" t="str">
        <f aca="false">IF(207&gt;$V$1,"",COUNTIF($M$2:$M$66,"&lt;"&amp;207)+1)</f>
        <v/>
      </c>
      <c r="S208" s="20" t="str">
        <f aca="false">IF($R208="","",207-IF($R208=1,0,INDEX($M$2:$M$66,$R208-1)))</f>
        <v/>
      </c>
      <c r="T208" s="20" t="n">
        <f aca="false">IF($R208="",0,IF($S208=INDEX($L$2:$L$66,$R208),1,0))</f>
        <v>0</v>
      </c>
    </row>
    <row r="209" customFormat="false" ht="13.5" hidden="false" customHeight="false" outlineLevel="0" collapsed="false">
      <c r="Q209" s="47" t="n">
        <v>208</v>
      </c>
      <c r="R209" s="20" t="str">
        <f aca="false">IF(208&gt;$V$1,"",COUNTIF($M$2:$M$66,"&lt;"&amp;208)+1)</f>
        <v/>
      </c>
      <c r="S209" s="20" t="str">
        <f aca="false">IF($R209="","",208-IF($R209=1,0,INDEX($M$2:$M$66,$R209-1)))</f>
        <v/>
      </c>
      <c r="T209" s="20" t="n">
        <f aca="false">IF($R209="",0,IF($S209=INDEX($L$2:$L$66,$R209),1,0))</f>
        <v>0</v>
      </c>
    </row>
    <row r="210" customFormat="false" ht="13.5" hidden="false" customHeight="false" outlineLevel="0" collapsed="false">
      <c r="Q210" s="47" t="n">
        <v>209</v>
      </c>
      <c r="R210" s="20" t="str">
        <f aca="false">IF(209&gt;$V$1,"",COUNTIF($M$2:$M$66,"&lt;"&amp;209)+1)</f>
        <v/>
      </c>
      <c r="S210" s="20" t="str">
        <f aca="false">IF($R210="","",209-IF($R210=1,0,INDEX($M$2:$M$66,$R210-1)))</f>
        <v/>
      </c>
      <c r="T210" s="20" t="n">
        <f aca="false">IF($R210="",0,IF($S210=INDEX($L$2:$L$66,$R210),1,0))</f>
        <v>0</v>
      </c>
    </row>
    <row r="211" customFormat="false" ht="13.5" hidden="false" customHeight="false" outlineLevel="0" collapsed="false">
      <c r="Q211" s="47" t="n">
        <v>210</v>
      </c>
      <c r="R211" s="20" t="str">
        <f aca="false">IF(210&gt;$V$1,"",COUNTIF($M$2:$M$66,"&lt;"&amp;210)+1)</f>
        <v/>
      </c>
      <c r="S211" s="20" t="str">
        <f aca="false">IF($R211="","",210-IF($R211=1,0,INDEX($M$2:$M$66,$R211-1)))</f>
        <v/>
      </c>
      <c r="T211" s="20" t="n">
        <f aca="false">IF($R211="",0,IF($S211=INDEX($L$2:$L$66,$R211),1,0))</f>
        <v>0</v>
      </c>
    </row>
    <row r="212" customFormat="false" ht="13.5" hidden="false" customHeight="false" outlineLevel="0" collapsed="false">
      <c r="Q212" s="47" t="n">
        <v>211</v>
      </c>
      <c r="R212" s="20" t="str">
        <f aca="false">IF(211&gt;$V$1,"",COUNTIF($M$2:$M$66,"&lt;"&amp;211)+1)</f>
        <v/>
      </c>
      <c r="S212" s="20" t="str">
        <f aca="false">IF($R212="","",211-IF($R212=1,0,INDEX($M$2:$M$66,$R212-1)))</f>
        <v/>
      </c>
      <c r="T212" s="20" t="n">
        <f aca="false">IF($R212="",0,IF($S212=INDEX($L$2:$L$66,$R212),1,0))</f>
        <v>0</v>
      </c>
    </row>
    <row r="213" customFormat="false" ht="13.5" hidden="false" customHeight="false" outlineLevel="0" collapsed="false">
      <c r="Q213" s="47" t="n">
        <v>212</v>
      </c>
      <c r="R213" s="20" t="str">
        <f aca="false">IF(212&gt;$V$1,"",COUNTIF($M$2:$M$66,"&lt;"&amp;212)+1)</f>
        <v/>
      </c>
      <c r="S213" s="20" t="str">
        <f aca="false">IF($R213="","",212-IF($R213=1,0,INDEX($M$2:$M$66,$R213-1)))</f>
        <v/>
      </c>
      <c r="T213" s="20" t="n">
        <f aca="false">IF($R213="",0,IF($S213=INDEX($L$2:$L$66,$R213),1,0))</f>
        <v>0</v>
      </c>
    </row>
    <row r="214" customFormat="false" ht="13.5" hidden="false" customHeight="false" outlineLevel="0" collapsed="false">
      <c r="Q214" s="47" t="n">
        <v>213</v>
      </c>
      <c r="R214" s="20" t="str">
        <f aca="false">IF(213&gt;$V$1,"",COUNTIF($M$2:$M$66,"&lt;"&amp;213)+1)</f>
        <v/>
      </c>
      <c r="S214" s="20" t="str">
        <f aca="false">IF($R214="","",213-IF($R214=1,0,INDEX($M$2:$M$66,$R214-1)))</f>
        <v/>
      </c>
      <c r="T214" s="20" t="n">
        <f aca="false">IF($R214="",0,IF($S214=INDEX($L$2:$L$66,$R214),1,0))</f>
        <v>0</v>
      </c>
    </row>
    <row r="215" customFormat="false" ht="13.5" hidden="false" customHeight="false" outlineLevel="0" collapsed="false">
      <c r="Q215" s="47" t="n">
        <v>214</v>
      </c>
      <c r="R215" s="20" t="str">
        <f aca="false">IF(214&gt;$V$1,"",COUNTIF($M$2:$M$66,"&lt;"&amp;214)+1)</f>
        <v/>
      </c>
      <c r="S215" s="20" t="str">
        <f aca="false">IF($R215="","",214-IF($R215=1,0,INDEX($M$2:$M$66,$R215-1)))</f>
        <v/>
      </c>
      <c r="T215" s="20" t="n">
        <f aca="false">IF($R215="",0,IF($S215=INDEX($L$2:$L$66,$R215),1,0))</f>
        <v>0</v>
      </c>
    </row>
    <row r="216" customFormat="false" ht="13.5" hidden="false" customHeight="false" outlineLevel="0" collapsed="false">
      <c r="Q216" s="47" t="n">
        <v>215</v>
      </c>
      <c r="R216" s="20" t="str">
        <f aca="false">IF(215&gt;$V$1,"",COUNTIF($M$2:$M$66,"&lt;"&amp;215)+1)</f>
        <v/>
      </c>
      <c r="S216" s="20" t="str">
        <f aca="false">IF($R216="","",215-IF($R216=1,0,INDEX($M$2:$M$66,$R216-1)))</f>
        <v/>
      </c>
      <c r="T216" s="20" t="n">
        <f aca="false">IF($R216="",0,IF($S216=INDEX($L$2:$L$66,$R216),1,0))</f>
        <v>0</v>
      </c>
    </row>
    <row r="217" customFormat="false" ht="13.5" hidden="false" customHeight="false" outlineLevel="0" collapsed="false">
      <c r="Q217" s="47" t="n">
        <v>216</v>
      </c>
      <c r="R217" s="20" t="str">
        <f aca="false">IF(216&gt;$V$1,"",COUNTIF($M$2:$M$66,"&lt;"&amp;216)+1)</f>
        <v/>
      </c>
      <c r="S217" s="20" t="str">
        <f aca="false">IF($R217="","",216-IF($R217=1,0,INDEX($M$2:$M$66,$R217-1)))</f>
        <v/>
      </c>
      <c r="T217" s="20" t="n">
        <f aca="false">IF($R217="",0,IF($S217=INDEX($L$2:$L$66,$R217),1,0))</f>
        <v>0</v>
      </c>
    </row>
    <row r="218" customFormat="false" ht="13.5" hidden="false" customHeight="false" outlineLevel="0" collapsed="false">
      <c r="Q218" s="47" t="n">
        <v>217</v>
      </c>
      <c r="R218" s="20" t="str">
        <f aca="false">IF(217&gt;$V$1,"",COUNTIF($M$2:$M$66,"&lt;"&amp;217)+1)</f>
        <v/>
      </c>
      <c r="S218" s="20" t="str">
        <f aca="false">IF($R218="","",217-IF($R218=1,0,INDEX($M$2:$M$66,$R218-1)))</f>
        <v/>
      </c>
      <c r="T218" s="20" t="n">
        <f aca="false">IF($R218="",0,IF($S218=INDEX($L$2:$L$66,$R218),1,0))</f>
        <v>0</v>
      </c>
    </row>
    <row r="219" customFormat="false" ht="13.5" hidden="false" customHeight="false" outlineLevel="0" collapsed="false">
      <c r="Q219" s="47" t="n">
        <v>218</v>
      </c>
      <c r="R219" s="20" t="str">
        <f aca="false">IF(218&gt;$V$1,"",COUNTIF($M$2:$M$66,"&lt;"&amp;218)+1)</f>
        <v/>
      </c>
      <c r="S219" s="20" t="str">
        <f aca="false">IF($R219="","",218-IF($R219=1,0,INDEX($M$2:$M$66,$R219-1)))</f>
        <v/>
      </c>
      <c r="T219" s="20" t="n">
        <f aca="false">IF($R219="",0,IF($S219=INDEX($L$2:$L$66,$R219),1,0))</f>
        <v>0</v>
      </c>
    </row>
    <row r="220" customFormat="false" ht="13.5" hidden="false" customHeight="false" outlineLevel="0" collapsed="false">
      <c r="Q220" s="47" t="n">
        <v>219</v>
      </c>
      <c r="R220" s="20" t="str">
        <f aca="false">IF(219&gt;$V$1,"",COUNTIF($M$2:$M$66,"&lt;"&amp;219)+1)</f>
        <v/>
      </c>
      <c r="S220" s="20" t="str">
        <f aca="false">IF($R220="","",219-IF($R220=1,0,INDEX($M$2:$M$66,$R220-1)))</f>
        <v/>
      </c>
      <c r="T220" s="20" t="n">
        <f aca="false">IF($R220="",0,IF($S220=INDEX($L$2:$L$66,$R220),1,0))</f>
        <v>0</v>
      </c>
    </row>
    <row r="221" customFormat="false" ht="13.5" hidden="false" customHeight="false" outlineLevel="0" collapsed="false">
      <c r="Q221" s="47" t="n">
        <v>220</v>
      </c>
      <c r="R221" s="20" t="str">
        <f aca="false">IF(220&gt;$V$1,"",COUNTIF($M$2:$M$66,"&lt;"&amp;220)+1)</f>
        <v/>
      </c>
      <c r="S221" s="20" t="str">
        <f aca="false">IF($R221="","",220-IF($R221=1,0,INDEX($M$2:$M$66,$R221-1)))</f>
        <v/>
      </c>
      <c r="T221" s="20" t="n">
        <f aca="false">IF($R221="",0,IF($S221=INDEX($L$2:$L$66,$R221),1,0))</f>
        <v>0</v>
      </c>
    </row>
    <row r="222" customFormat="false" ht="13.5" hidden="false" customHeight="false" outlineLevel="0" collapsed="false">
      <c r="Q222" s="47" t="n">
        <v>221</v>
      </c>
      <c r="R222" s="20" t="str">
        <f aca="false">IF(221&gt;$V$1,"",COUNTIF($M$2:$M$66,"&lt;"&amp;221)+1)</f>
        <v/>
      </c>
      <c r="S222" s="20" t="str">
        <f aca="false">IF($R222="","",221-IF($R222=1,0,INDEX($M$2:$M$66,$R222-1)))</f>
        <v/>
      </c>
      <c r="T222" s="20" t="n">
        <f aca="false">IF($R222="",0,IF($S222=INDEX($L$2:$L$66,$R222),1,0))</f>
        <v>0</v>
      </c>
    </row>
    <row r="223" customFormat="false" ht="13.5" hidden="false" customHeight="false" outlineLevel="0" collapsed="false">
      <c r="Q223" s="47" t="n">
        <v>222</v>
      </c>
      <c r="R223" s="20" t="str">
        <f aca="false">IF(222&gt;$V$1,"",COUNTIF($M$2:$M$66,"&lt;"&amp;222)+1)</f>
        <v/>
      </c>
      <c r="S223" s="20" t="str">
        <f aca="false">IF($R223="","",222-IF($R223=1,0,INDEX($M$2:$M$66,$R223-1)))</f>
        <v/>
      </c>
      <c r="T223" s="20" t="n">
        <f aca="false">IF($R223="",0,IF($S223=INDEX($L$2:$L$66,$R223),1,0))</f>
        <v>0</v>
      </c>
    </row>
    <row r="224" customFormat="false" ht="13.5" hidden="false" customHeight="false" outlineLevel="0" collapsed="false">
      <c r="Q224" s="47" t="n">
        <v>223</v>
      </c>
      <c r="R224" s="20" t="str">
        <f aca="false">IF(223&gt;$V$1,"",COUNTIF($M$2:$M$66,"&lt;"&amp;223)+1)</f>
        <v/>
      </c>
      <c r="S224" s="20" t="str">
        <f aca="false">IF($R224="","",223-IF($R224=1,0,INDEX($M$2:$M$66,$R224-1)))</f>
        <v/>
      </c>
      <c r="T224" s="20" t="n">
        <f aca="false">IF($R224="",0,IF($S224=INDEX($L$2:$L$66,$R224),1,0))</f>
        <v>0</v>
      </c>
    </row>
    <row r="225" customFormat="false" ht="13.5" hidden="false" customHeight="false" outlineLevel="0" collapsed="false">
      <c r="Q225" s="47" t="n">
        <v>224</v>
      </c>
      <c r="R225" s="20" t="str">
        <f aca="false">IF(224&gt;$V$1,"",COUNTIF($M$2:$M$66,"&lt;"&amp;224)+1)</f>
        <v/>
      </c>
      <c r="S225" s="20" t="str">
        <f aca="false">IF($R225="","",224-IF($R225=1,0,INDEX($M$2:$M$66,$R225-1)))</f>
        <v/>
      </c>
      <c r="T225" s="20" t="n">
        <f aca="false">IF($R225="",0,IF($S225=INDEX($L$2:$L$66,$R225),1,0))</f>
        <v>0</v>
      </c>
    </row>
    <row r="226" customFormat="false" ht="13.5" hidden="false" customHeight="false" outlineLevel="0" collapsed="false">
      <c r="Q226" s="47" t="n">
        <v>225</v>
      </c>
      <c r="R226" s="20" t="str">
        <f aca="false">IF(225&gt;$V$1,"",COUNTIF($M$2:$M$66,"&lt;"&amp;225)+1)</f>
        <v/>
      </c>
      <c r="S226" s="20" t="str">
        <f aca="false">IF($R226="","",225-IF($R226=1,0,INDEX($M$2:$M$66,$R226-1)))</f>
        <v/>
      </c>
      <c r="T226" s="20" t="n">
        <f aca="false">IF($R226="",0,IF($S226=INDEX($L$2:$L$66,$R226),1,0))</f>
        <v>0</v>
      </c>
    </row>
    <row r="227" customFormat="false" ht="13.5" hidden="false" customHeight="false" outlineLevel="0" collapsed="false">
      <c r="Q227" s="47" t="n">
        <v>226</v>
      </c>
      <c r="R227" s="20" t="str">
        <f aca="false">IF(226&gt;$V$1,"",COUNTIF($M$2:$M$66,"&lt;"&amp;226)+1)</f>
        <v/>
      </c>
      <c r="S227" s="20" t="str">
        <f aca="false">IF($R227="","",226-IF($R227=1,0,INDEX($M$2:$M$66,$R227-1)))</f>
        <v/>
      </c>
      <c r="T227" s="20" t="n">
        <f aca="false">IF($R227="",0,IF($S227=INDEX($L$2:$L$66,$R227),1,0))</f>
        <v>0</v>
      </c>
    </row>
    <row r="228" customFormat="false" ht="13.5" hidden="false" customHeight="false" outlineLevel="0" collapsed="false">
      <c r="Q228" s="47" t="n">
        <v>227</v>
      </c>
      <c r="R228" s="20" t="str">
        <f aca="false">IF(227&gt;$V$1,"",COUNTIF($M$2:$M$66,"&lt;"&amp;227)+1)</f>
        <v/>
      </c>
      <c r="S228" s="20" t="str">
        <f aca="false">IF($R228="","",227-IF($R228=1,0,INDEX($M$2:$M$66,$R228-1)))</f>
        <v/>
      </c>
      <c r="T228" s="20" t="n">
        <f aca="false">IF($R228="",0,IF($S228=INDEX($L$2:$L$66,$R228),1,0))</f>
        <v>0</v>
      </c>
    </row>
    <row r="229" customFormat="false" ht="13.5" hidden="false" customHeight="false" outlineLevel="0" collapsed="false">
      <c r="Q229" s="47" t="n">
        <v>228</v>
      </c>
      <c r="R229" s="20" t="str">
        <f aca="false">IF(228&gt;$V$1,"",COUNTIF($M$2:$M$66,"&lt;"&amp;228)+1)</f>
        <v/>
      </c>
      <c r="S229" s="20" t="str">
        <f aca="false">IF($R229="","",228-IF($R229=1,0,INDEX($M$2:$M$66,$R229-1)))</f>
        <v/>
      </c>
      <c r="T229" s="20" t="n">
        <f aca="false">IF($R229="",0,IF($S229=INDEX($L$2:$L$66,$R229),1,0))</f>
        <v>0</v>
      </c>
    </row>
    <row r="230" customFormat="false" ht="13.5" hidden="false" customHeight="false" outlineLevel="0" collapsed="false">
      <c r="Q230" s="47" t="n">
        <v>229</v>
      </c>
      <c r="R230" s="20" t="str">
        <f aca="false">IF(229&gt;$V$1,"",COUNTIF($M$2:$M$66,"&lt;"&amp;229)+1)</f>
        <v/>
      </c>
      <c r="S230" s="20" t="str">
        <f aca="false">IF($R230="","",229-IF($R230=1,0,INDEX($M$2:$M$66,$R230-1)))</f>
        <v/>
      </c>
      <c r="T230" s="20" t="n">
        <f aca="false">IF($R230="",0,IF($S230=INDEX($L$2:$L$66,$R230),1,0))</f>
        <v>0</v>
      </c>
    </row>
    <row r="231" customFormat="false" ht="13.5" hidden="false" customHeight="false" outlineLevel="0" collapsed="false">
      <c r="Q231" s="47" t="n">
        <v>230</v>
      </c>
      <c r="R231" s="20" t="str">
        <f aca="false">IF(230&gt;$V$1,"",COUNTIF($M$2:$M$66,"&lt;"&amp;230)+1)</f>
        <v/>
      </c>
      <c r="S231" s="20" t="str">
        <f aca="false">IF($R231="","",230-IF($R231=1,0,INDEX($M$2:$M$66,$R231-1)))</f>
        <v/>
      </c>
      <c r="T231" s="20" t="n">
        <f aca="false">IF($R231="",0,IF($S231=INDEX($L$2:$L$66,$R231),1,0))</f>
        <v>0</v>
      </c>
    </row>
    <row r="232" customFormat="false" ht="13.5" hidden="false" customHeight="false" outlineLevel="0" collapsed="false">
      <c r="Q232" s="47" t="n">
        <v>231</v>
      </c>
      <c r="R232" s="20" t="str">
        <f aca="false">IF(231&gt;$V$1,"",COUNTIF($M$2:$M$66,"&lt;"&amp;231)+1)</f>
        <v/>
      </c>
      <c r="S232" s="20" t="str">
        <f aca="false">IF($R232="","",231-IF($R232=1,0,INDEX($M$2:$M$66,$R232-1)))</f>
        <v/>
      </c>
      <c r="T232" s="20" t="n">
        <f aca="false">IF($R232="",0,IF($S232=INDEX($L$2:$L$66,$R232),1,0))</f>
        <v>0</v>
      </c>
    </row>
    <row r="233" customFormat="false" ht="13.5" hidden="false" customHeight="false" outlineLevel="0" collapsed="false">
      <c r="Q233" s="47" t="n">
        <v>232</v>
      </c>
      <c r="R233" s="20" t="str">
        <f aca="false">IF(232&gt;$V$1,"",COUNTIF($M$2:$M$66,"&lt;"&amp;232)+1)</f>
        <v/>
      </c>
      <c r="S233" s="20" t="str">
        <f aca="false">IF($R233="","",232-IF($R233=1,0,INDEX($M$2:$M$66,$R233-1)))</f>
        <v/>
      </c>
      <c r="T233" s="20" t="n">
        <f aca="false">IF($R233="",0,IF($S233=INDEX($L$2:$L$66,$R233),1,0))</f>
        <v>0</v>
      </c>
    </row>
    <row r="234" customFormat="false" ht="13.5" hidden="false" customHeight="false" outlineLevel="0" collapsed="false">
      <c r="Q234" s="47" t="n">
        <v>233</v>
      </c>
      <c r="R234" s="20" t="str">
        <f aca="false">IF(233&gt;$V$1,"",COUNTIF($M$2:$M$66,"&lt;"&amp;233)+1)</f>
        <v/>
      </c>
      <c r="S234" s="20" t="str">
        <f aca="false">IF($R234="","",233-IF($R234=1,0,INDEX($M$2:$M$66,$R234-1)))</f>
        <v/>
      </c>
      <c r="T234" s="20" t="n">
        <f aca="false">IF($R234="",0,IF($S234=INDEX($L$2:$L$66,$R234),1,0))</f>
        <v>0</v>
      </c>
    </row>
    <row r="235" customFormat="false" ht="13.5" hidden="false" customHeight="false" outlineLevel="0" collapsed="false">
      <c r="Q235" s="47" t="n">
        <v>234</v>
      </c>
      <c r="R235" s="20" t="str">
        <f aca="false">IF(234&gt;$V$1,"",COUNTIF($M$2:$M$66,"&lt;"&amp;234)+1)</f>
        <v/>
      </c>
      <c r="S235" s="20" t="str">
        <f aca="false">IF($R235="","",234-IF($R235=1,0,INDEX($M$2:$M$66,$R235-1)))</f>
        <v/>
      </c>
      <c r="T235" s="20" t="n">
        <f aca="false">IF($R235="",0,IF($S235=INDEX($L$2:$L$66,$R235),1,0))</f>
        <v>0</v>
      </c>
    </row>
    <row r="236" customFormat="false" ht="13.5" hidden="false" customHeight="false" outlineLevel="0" collapsed="false">
      <c r="Q236" s="47" t="n">
        <v>235</v>
      </c>
      <c r="R236" s="20" t="str">
        <f aca="false">IF(235&gt;$V$1,"",COUNTIF($M$2:$M$66,"&lt;"&amp;235)+1)</f>
        <v/>
      </c>
      <c r="S236" s="20" t="str">
        <f aca="false">IF($R236="","",235-IF($R236=1,0,INDEX($M$2:$M$66,$R236-1)))</f>
        <v/>
      </c>
      <c r="T236" s="20" t="n">
        <f aca="false">IF($R236="",0,IF($S236=INDEX($L$2:$L$66,$R236),1,0))</f>
        <v>0</v>
      </c>
    </row>
    <row r="237" customFormat="false" ht="13.5" hidden="false" customHeight="false" outlineLevel="0" collapsed="false">
      <c r="Q237" s="47" t="n">
        <v>236</v>
      </c>
      <c r="R237" s="20" t="str">
        <f aca="false">IF(236&gt;$V$1,"",COUNTIF($M$2:$M$66,"&lt;"&amp;236)+1)</f>
        <v/>
      </c>
      <c r="S237" s="20" t="str">
        <f aca="false">IF($R237="","",236-IF($R237=1,0,INDEX($M$2:$M$66,$R237-1)))</f>
        <v/>
      </c>
      <c r="T237" s="20" t="n">
        <f aca="false">IF($R237="",0,IF($S237=INDEX($L$2:$L$66,$R237),1,0))</f>
        <v>0</v>
      </c>
    </row>
    <row r="238" customFormat="false" ht="13.5" hidden="false" customHeight="false" outlineLevel="0" collapsed="false">
      <c r="Q238" s="47" t="n">
        <v>237</v>
      </c>
      <c r="R238" s="20" t="str">
        <f aca="false">IF(237&gt;$V$1,"",COUNTIF($M$2:$M$66,"&lt;"&amp;237)+1)</f>
        <v/>
      </c>
      <c r="S238" s="20" t="str">
        <f aca="false">IF($R238="","",237-IF($R238=1,0,INDEX($M$2:$M$66,$R238-1)))</f>
        <v/>
      </c>
      <c r="T238" s="20" t="n">
        <f aca="false">IF($R238="",0,IF($S238=INDEX($L$2:$L$66,$R238),1,0))</f>
        <v>0</v>
      </c>
    </row>
    <row r="239" customFormat="false" ht="13.5" hidden="false" customHeight="false" outlineLevel="0" collapsed="false">
      <c r="Q239" s="47" t="n">
        <v>238</v>
      </c>
      <c r="R239" s="20" t="str">
        <f aca="false">IF(238&gt;$V$1,"",COUNTIF($M$2:$M$66,"&lt;"&amp;238)+1)</f>
        <v/>
      </c>
      <c r="S239" s="20" t="str">
        <f aca="false">IF($R239="","",238-IF($R239=1,0,INDEX($M$2:$M$66,$R239-1)))</f>
        <v/>
      </c>
      <c r="T239" s="20" t="n">
        <f aca="false">IF($R239="",0,IF($S239=INDEX($L$2:$L$66,$R239),1,0))</f>
        <v>0</v>
      </c>
    </row>
    <row r="240" customFormat="false" ht="13.5" hidden="false" customHeight="false" outlineLevel="0" collapsed="false">
      <c r="Q240" s="47" t="n">
        <v>239</v>
      </c>
      <c r="R240" s="20" t="str">
        <f aca="false">IF(239&gt;$V$1,"",COUNTIF($M$2:$M$66,"&lt;"&amp;239)+1)</f>
        <v/>
      </c>
      <c r="S240" s="20" t="str">
        <f aca="false">IF($R240="","",239-IF($R240=1,0,INDEX($M$2:$M$66,$R240-1)))</f>
        <v/>
      </c>
      <c r="T240" s="20" t="n">
        <f aca="false">IF($R240="",0,IF($S240=INDEX($L$2:$L$66,$R240),1,0))</f>
        <v>0</v>
      </c>
    </row>
    <row r="241" customFormat="false" ht="13.5" hidden="false" customHeight="false" outlineLevel="0" collapsed="false">
      <c r="Q241" s="47" t="n">
        <v>240</v>
      </c>
      <c r="R241" s="20" t="str">
        <f aca="false">IF(240&gt;$V$1,"",COUNTIF($M$2:$M$66,"&lt;"&amp;240)+1)</f>
        <v/>
      </c>
      <c r="S241" s="20" t="str">
        <f aca="false">IF($R241="","",240-IF($R241=1,0,INDEX($M$2:$M$66,$R241-1)))</f>
        <v/>
      </c>
      <c r="T241" s="20" t="n">
        <f aca="false">IF($R241="",0,IF($S241=INDEX($L$2:$L$66,$R241),1,0))</f>
        <v>0</v>
      </c>
    </row>
    <row r="242" customFormat="false" ht="13.5" hidden="false" customHeight="false" outlineLevel="0" collapsed="false">
      <c r="Q242" s="47" t="n">
        <v>241</v>
      </c>
      <c r="R242" s="20" t="str">
        <f aca="false">IF(241&gt;$V$1,"",COUNTIF($M$2:$M$66,"&lt;"&amp;241)+1)</f>
        <v/>
      </c>
      <c r="S242" s="20" t="str">
        <f aca="false">IF($R242="","",241-IF($R242=1,0,INDEX($M$2:$M$66,$R242-1)))</f>
        <v/>
      </c>
      <c r="T242" s="20" t="n">
        <f aca="false">IF($R242="",0,IF($S242=INDEX($L$2:$L$66,$R242),1,0))</f>
        <v>0</v>
      </c>
    </row>
    <row r="243" customFormat="false" ht="13.5" hidden="false" customHeight="false" outlineLevel="0" collapsed="false">
      <c r="Q243" s="47" t="n">
        <v>242</v>
      </c>
      <c r="R243" s="20" t="str">
        <f aca="false">IF(242&gt;$V$1,"",COUNTIF($M$2:$M$66,"&lt;"&amp;242)+1)</f>
        <v/>
      </c>
      <c r="S243" s="20" t="str">
        <f aca="false">IF($R243="","",242-IF($R243=1,0,INDEX($M$2:$M$66,$R243-1)))</f>
        <v/>
      </c>
      <c r="T243" s="20" t="n">
        <f aca="false">IF($R243="",0,IF($S243=INDEX($L$2:$L$66,$R243),1,0))</f>
        <v>0</v>
      </c>
    </row>
    <row r="244" customFormat="false" ht="13.5" hidden="false" customHeight="false" outlineLevel="0" collapsed="false">
      <c r="Q244" s="47" t="n">
        <v>243</v>
      </c>
      <c r="R244" s="20" t="str">
        <f aca="false">IF(243&gt;$V$1,"",COUNTIF($M$2:$M$66,"&lt;"&amp;243)+1)</f>
        <v/>
      </c>
      <c r="S244" s="20" t="str">
        <f aca="false">IF($R244="","",243-IF($R244=1,0,INDEX($M$2:$M$66,$R244-1)))</f>
        <v/>
      </c>
      <c r="T244" s="20" t="n">
        <f aca="false">IF($R244="",0,IF($S244=INDEX($L$2:$L$66,$R244),1,0))</f>
        <v>0</v>
      </c>
    </row>
    <row r="245" customFormat="false" ht="13.5" hidden="false" customHeight="false" outlineLevel="0" collapsed="false">
      <c r="Q245" s="47" t="n">
        <v>244</v>
      </c>
      <c r="R245" s="20" t="str">
        <f aca="false">IF(244&gt;$V$1,"",COUNTIF($M$2:$M$66,"&lt;"&amp;244)+1)</f>
        <v/>
      </c>
      <c r="S245" s="20" t="str">
        <f aca="false">IF($R245="","",244-IF($R245=1,0,INDEX($M$2:$M$66,$R245-1)))</f>
        <v/>
      </c>
      <c r="T245" s="20" t="n">
        <f aca="false">IF($R245="",0,IF($S245=INDEX($L$2:$L$66,$R245),1,0))</f>
        <v>0</v>
      </c>
    </row>
    <row r="246" customFormat="false" ht="13.5" hidden="false" customHeight="false" outlineLevel="0" collapsed="false">
      <c r="Q246" s="47" t="n">
        <v>245</v>
      </c>
      <c r="R246" s="20" t="str">
        <f aca="false">IF(245&gt;$V$1,"",COUNTIF($M$2:$M$66,"&lt;"&amp;245)+1)</f>
        <v/>
      </c>
      <c r="S246" s="20" t="str">
        <f aca="false">IF($R246="","",245-IF($R246=1,0,INDEX($M$2:$M$66,$R246-1)))</f>
        <v/>
      </c>
      <c r="T246" s="20" t="n">
        <f aca="false">IF($R246="",0,IF($S246=INDEX($L$2:$L$66,$R246),1,0))</f>
        <v>0</v>
      </c>
    </row>
    <row r="247" customFormat="false" ht="13.5" hidden="false" customHeight="false" outlineLevel="0" collapsed="false">
      <c r="Q247" s="47" t="n">
        <v>246</v>
      </c>
      <c r="R247" s="20" t="str">
        <f aca="false">IF(246&gt;$V$1,"",COUNTIF($M$2:$M$66,"&lt;"&amp;246)+1)</f>
        <v/>
      </c>
      <c r="S247" s="20" t="str">
        <f aca="false">IF($R247="","",246-IF($R247=1,0,INDEX($M$2:$M$66,$R247-1)))</f>
        <v/>
      </c>
      <c r="T247" s="20" t="n">
        <f aca="false">IF($R247="",0,IF($S247=INDEX($L$2:$L$66,$R247),1,0))</f>
        <v>0</v>
      </c>
    </row>
    <row r="248" customFormat="false" ht="13.5" hidden="false" customHeight="false" outlineLevel="0" collapsed="false">
      <c r="Q248" s="47" t="n">
        <v>247</v>
      </c>
      <c r="R248" s="20" t="str">
        <f aca="false">IF(247&gt;$V$1,"",COUNTIF($M$2:$M$66,"&lt;"&amp;247)+1)</f>
        <v/>
      </c>
      <c r="S248" s="20" t="str">
        <f aca="false">IF($R248="","",247-IF($R248=1,0,INDEX($M$2:$M$66,$R248-1)))</f>
        <v/>
      </c>
      <c r="T248" s="20" t="n">
        <f aca="false">IF($R248="",0,IF($S248=INDEX($L$2:$L$66,$R248),1,0))</f>
        <v>0</v>
      </c>
    </row>
    <row r="249" customFormat="false" ht="13.5" hidden="false" customHeight="false" outlineLevel="0" collapsed="false">
      <c r="Q249" s="47" t="n">
        <v>248</v>
      </c>
      <c r="R249" s="20" t="str">
        <f aca="false">IF(248&gt;$V$1,"",COUNTIF($M$2:$M$66,"&lt;"&amp;248)+1)</f>
        <v/>
      </c>
      <c r="S249" s="20" t="str">
        <f aca="false">IF($R249="","",248-IF($R249=1,0,INDEX($M$2:$M$66,$R249-1)))</f>
        <v/>
      </c>
      <c r="T249" s="20" t="n">
        <f aca="false">IF($R249="",0,IF($S249=INDEX($L$2:$L$66,$R249),1,0))</f>
        <v>0</v>
      </c>
    </row>
    <row r="250" customFormat="false" ht="13.5" hidden="false" customHeight="false" outlineLevel="0" collapsed="false">
      <c r="Q250" s="47" t="n">
        <v>249</v>
      </c>
      <c r="R250" s="20" t="str">
        <f aca="false">IF(249&gt;$V$1,"",COUNTIF($M$2:$M$66,"&lt;"&amp;249)+1)</f>
        <v/>
      </c>
      <c r="S250" s="20" t="str">
        <f aca="false">IF($R250="","",249-IF($R250=1,0,INDEX($M$2:$M$66,$R250-1)))</f>
        <v/>
      </c>
      <c r="T250" s="20" t="n">
        <f aca="false">IF($R250="",0,IF($S250=INDEX($L$2:$L$66,$R250),1,0))</f>
        <v>0</v>
      </c>
    </row>
    <row r="251" customFormat="false" ht="13.5" hidden="false" customHeight="false" outlineLevel="0" collapsed="false">
      <c r="Q251" s="47" t="n">
        <v>250</v>
      </c>
      <c r="R251" s="20" t="str">
        <f aca="false">IF(250&gt;$V$1,"",COUNTIF($M$2:$M$66,"&lt;"&amp;250)+1)</f>
        <v/>
      </c>
      <c r="S251" s="20" t="str">
        <f aca="false">IF($R251="","",250-IF($R251=1,0,INDEX($M$2:$M$66,$R251-1)))</f>
        <v/>
      </c>
      <c r="T251" s="20" t="n">
        <f aca="false">IF($R251="",0,IF($S251=INDEX($L$2:$L$66,$R251),1,0))</f>
        <v>0</v>
      </c>
    </row>
    <row r="252" customFormat="false" ht="13.5" hidden="false" customHeight="false" outlineLevel="0" collapsed="false">
      <c r="Q252" s="47" t="n">
        <v>251</v>
      </c>
      <c r="R252" s="20" t="str">
        <f aca="false">IF(251&gt;$V$1,"",COUNTIF($M$2:$M$66,"&lt;"&amp;251)+1)</f>
        <v/>
      </c>
      <c r="S252" s="20" t="str">
        <f aca="false">IF($R252="","",251-IF($R252=1,0,INDEX($M$2:$M$66,$R252-1)))</f>
        <v/>
      </c>
      <c r="T252" s="20" t="n">
        <f aca="false">IF($R252="",0,IF($S252=INDEX($L$2:$L$66,$R252),1,0))</f>
        <v>0</v>
      </c>
    </row>
    <row r="253" customFormat="false" ht="13.5" hidden="false" customHeight="false" outlineLevel="0" collapsed="false">
      <c r="Q253" s="47" t="n">
        <v>252</v>
      </c>
      <c r="R253" s="20" t="str">
        <f aca="false">IF(252&gt;$V$1,"",COUNTIF($M$2:$M$66,"&lt;"&amp;252)+1)</f>
        <v/>
      </c>
      <c r="S253" s="20" t="str">
        <f aca="false">IF($R253="","",252-IF($R253=1,0,INDEX($M$2:$M$66,$R253-1)))</f>
        <v/>
      </c>
      <c r="T253" s="20" t="n">
        <f aca="false">IF($R253="",0,IF($S253=INDEX($L$2:$L$66,$R253),1,0))</f>
        <v>0</v>
      </c>
    </row>
    <row r="254" customFormat="false" ht="13.5" hidden="false" customHeight="false" outlineLevel="0" collapsed="false">
      <c r="Q254" s="47" t="n">
        <v>253</v>
      </c>
      <c r="R254" s="20" t="str">
        <f aca="false">IF(253&gt;$V$1,"",COUNTIF($M$2:$M$66,"&lt;"&amp;253)+1)</f>
        <v/>
      </c>
      <c r="S254" s="20" t="str">
        <f aca="false">IF($R254="","",253-IF($R254=1,0,INDEX($M$2:$M$66,$R254-1)))</f>
        <v/>
      </c>
      <c r="T254" s="20" t="n">
        <f aca="false">IF($R254="",0,IF($S254=INDEX($L$2:$L$66,$R254),1,0))</f>
        <v>0</v>
      </c>
    </row>
    <row r="255" customFormat="false" ht="13.5" hidden="false" customHeight="false" outlineLevel="0" collapsed="false">
      <c r="Q255" s="47" t="n">
        <v>254</v>
      </c>
      <c r="R255" s="20" t="str">
        <f aca="false">IF(254&gt;$V$1,"",COUNTIF($M$2:$M$66,"&lt;"&amp;254)+1)</f>
        <v/>
      </c>
      <c r="S255" s="20" t="str">
        <f aca="false">IF($R255="","",254-IF($R255=1,0,INDEX($M$2:$M$66,$R255-1)))</f>
        <v/>
      </c>
      <c r="T255" s="20" t="n">
        <f aca="false">IF($R255="",0,IF($S255=INDEX($L$2:$L$66,$R255),1,0))</f>
        <v>0</v>
      </c>
    </row>
    <row r="256" customFormat="false" ht="13.5" hidden="false" customHeight="false" outlineLevel="0" collapsed="false">
      <c r="Q256" s="47" t="n">
        <v>255</v>
      </c>
      <c r="R256" s="20" t="str">
        <f aca="false">IF(255&gt;$V$1,"",COUNTIF($M$2:$M$66,"&lt;"&amp;255)+1)</f>
        <v/>
      </c>
      <c r="S256" s="20" t="str">
        <f aca="false">IF($R256="","",255-IF($R256=1,0,INDEX($M$2:$M$66,$R256-1)))</f>
        <v/>
      </c>
      <c r="T256" s="20" t="n">
        <f aca="false">IF($R256="",0,IF($S256=INDEX($L$2:$L$66,$R256),1,0))</f>
        <v>0</v>
      </c>
    </row>
    <row r="257" customFormat="false" ht="13.5" hidden="false" customHeight="false" outlineLevel="0" collapsed="false">
      <c r="Q257" s="47" t="n">
        <v>256</v>
      </c>
      <c r="R257" s="20" t="str">
        <f aca="false">IF(256&gt;$V$1,"",COUNTIF($M$2:$M$66,"&lt;"&amp;256)+1)</f>
        <v/>
      </c>
      <c r="S257" s="20" t="str">
        <f aca="false">IF($R257="","",256-IF($R257=1,0,INDEX($M$2:$M$66,$R257-1)))</f>
        <v/>
      </c>
      <c r="T257" s="20" t="n">
        <f aca="false">IF($R257="",0,IF($S257=INDEX($L$2:$L$66,$R257),1,0))</f>
        <v>0</v>
      </c>
    </row>
    <row r="258" customFormat="false" ht="13.5" hidden="false" customHeight="false" outlineLevel="0" collapsed="false">
      <c r="Q258" s="47" t="n">
        <v>257</v>
      </c>
      <c r="R258" s="20" t="str">
        <f aca="false">IF(257&gt;$V$1,"",COUNTIF($M$2:$M$66,"&lt;"&amp;257)+1)</f>
        <v/>
      </c>
      <c r="S258" s="20" t="str">
        <f aca="false">IF($R258="","",257-IF($R258=1,0,INDEX($M$2:$M$66,$R258-1)))</f>
        <v/>
      </c>
      <c r="T258" s="20" t="n">
        <f aca="false">IF($R258="",0,IF($S258=INDEX($L$2:$L$66,$R258),1,0))</f>
        <v>0</v>
      </c>
    </row>
    <row r="259" customFormat="false" ht="13.5" hidden="false" customHeight="false" outlineLevel="0" collapsed="false">
      <c r="Q259" s="47" t="n">
        <v>258</v>
      </c>
      <c r="R259" s="20" t="str">
        <f aca="false">IF(258&gt;$V$1,"",COUNTIF($M$2:$M$66,"&lt;"&amp;258)+1)</f>
        <v/>
      </c>
      <c r="S259" s="20" t="str">
        <f aca="false">IF($R259="","",258-IF($R259=1,0,INDEX($M$2:$M$66,$R259-1)))</f>
        <v/>
      </c>
      <c r="T259" s="20" t="n">
        <f aca="false">IF($R259="",0,IF($S259=INDEX($L$2:$L$66,$R259),1,0))</f>
        <v>0</v>
      </c>
    </row>
    <row r="260" customFormat="false" ht="13.5" hidden="false" customHeight="false" outlineLevel="0" collapsed="false">
      <c r="Q260" s="47" t="n">
        <v>259</v>
      </c>
      <c r="R260" s="20" t="str">
        <f aca="false">IF(259&gt;$V$1,"",COUNTIF($M$2:$M$66,"&lt;"&amp;259)+1)</f>
        <v/>
      </c>
      <c r="S260" s="20" t="str">
        <f aca="false">IF($R260="","",259-IF($R260=1,0,INDEX($M$2:$M$66,$R260-1)))</f>
        <v/>
      </c>
      <c r="T260" s="20" t="n">
        <f aca="false">IF($R260="",0,IF($S260=INDEX($L$2:$L$66,$R260),1,0))</f>
        <v>0</v>
      </c>
    </row>
    <row r="261" customFormat="false" ht="13.5" hidden="false" customHeight="false" outlineLevel="0" collapsed="false">
      <c r="Q261" s="47" t="n">
        <v>260</v>
      </c>
      <c r="R261" s="20" t="str">
        <f aca="false">IF(260&gt;$V$1,"",COUNTIF($M$2:$M$66,"&lt;"&amp;260)+1)</f>
        <v/>
      </c>
      <c r="S261" s="20" t="str">
        <f aca="false">IF($R261="","",260-IF($R261=1,0,INDEX($M$2:$M$66,$R261-1)))</f>
        <v/>
      </c>
      <c r="T261" s="20" t="n">
        <f aca="false">IF($R261="",0,IF($S261=INDEX($L$2:$L$66,$R261),1,0))</f>
        <v>0</v>
      </c>
    </row>
    <row r="262" customFormat="false" ht="13.5" hidden="false" customHeight="false" outlineLevel="0" collapsed="false">
      <c r="Q262" s="47" t="n">
        <v>261</v>
      </c>
      <c r="R262" s="20" t="str">
        <f aca="false">IF(261&gt;$V$1,"",COUNTIF($M$2:$M$66,"&lt;"&amp;261)+1)</f>
        <v/>
      </c>
      <c r="S262" s="20" t="str">
        <f aca="false">IF($R262="","",261-IF($R262=1,0,INDEX($M$2:$M$66,$R262-1)))</f>
        <v/>
      </c>
      <c r="T262" s="20" t="n">
        <f aca="false">IF($R262="",0,IF($S262=INDEX($L$2:$L$66,$R262),1,0))</f>
        <v>0</v>
      </c>
    </row>
    <row r="263" customFormat="false" ht="13.5" hidden="false" customHeight="false" outlineLevel="0" collapsed="false">
      <c r="Q263" s="47" t="n">
        <v>262</v>
      </c>
      <c r="R263" s="20" t="str">
        <f aca="false">IF(262&gt;$V$1,"",COUNTIF($M$2:$M$66,"&lt;"&amp;262)+1)</f>
        <v/>
      </c>
      <c r="S263" s="20" t="str">
        <f aca="false">IF($R263="","",262-IF($R263=1,0,INDEX($M$2:$M$66,$R263-1)))</f>
        <v/>
      </c>
      <c r="T263" s="20" t="n">
        <f aca="false">IF($R263="",0,IF($S263=INDEX($L$2:$L$66,$R263),1,0))</f>
        <v>0</v>
      </c>
    </row>
    <row r="264" customFormat="false" ht="13.5" hidden="false" customHeight="false" outlineLevel="0" collapsed="false">
      <c r="Q264" s="47" t="n">
        <v>263</v>
      </c>
      <c r="R264" s="20" t="str">
        <f aca="false">IF(263&gt;$V$1,"",COUNTIF($M$2:$M$66,"&lt;"&amp;263)+1)</f>
        <v/>
      </c>
      <c r="S264" s="20" t="str">
        <f aca="false">IF($R264="","",263-IF($R264=1,0,INDEX($M$2:$M$66,$R264-1)))</f>
        <v/>
      </c>
      <c r="T264" s="20" t="n">
        <f aca="false">IF($R264="",0,IF($S264=INDEX($L$2:$L$66,$R264),1,0))</f>
        <v>0</v>
      </c>
    </row>
    <row r="265" customFormat="false" ht="13.5" hidden="false" customHeight="false" outlineLevel="0" collapsed="false">
      <c r="Q265" s="47" t="n">
        <v>264</v>
      </c>
      <c r="R265" s="20" t="str">
        <f aca="false">IF(264&gt;$V$1,"",COUNTIF($M$2:$M$66,"&lt;"&amp;264)+1)</f>
        <v/>
      </c>
      <c r="S265" s="20" t="str">
        <f aca="false">IF($R265="","",264-IF($R265=1,0,INDEX($M$2:$M$66,$R265-1)))</f>
        <v/>
      </c>
      <c r="T265" s="20" t="n">
        <f aca="false">IF($R265="",0,IF($S265=INDEX($L$2:$L$66,$R265),1,0))</f>
        <v>0</v>
      </c>
    </row>
    <row r="266" customFormat="false" ht="13.5" hidden="false" customHeight="false" outlineLevel="0" collapsed="false">
      <c r="Q266" s="47" t="n">
        <v>265</v>
      </c>
      <c r="R266" s="20" t="str">
        <f aca="false">IF(265&gt;$V$1,"",COUNTIF($M$2:$M$66,"&lt;"&amp;265)+1)</f>
        <v/>
      </c>
      <c r="S266" s="20" t="str">
        <f aca="false">IF($R266="","",265-IF($R266=1,0,INDEX($M$2:$M$66,$R266-1)))</f>
        <v/>
      </c>
      <c r="T266" s="20" t="n">
        <f aca="false">IF($R266="",0,IF($S266=INDEX($L$2:$L$66,$R266),1,0))</f>
        <v>0</v>
      </c>
    </row>
    <row r="267" customFormat="false" ht="13.5" hidden="false" customHeight="false" outlineLevel="0" collapsed="false">
      <c r="Q267" s="47" t="n">
        <v>266</v>
      </c>
      <c r="R267" s="20" t="str">
        <f aca="false">IF(266&gt;$V$1,"",COUNTIF($M$2:$M$66,"&lt;"&amp;266)+1)</f>
        <v/>
      </c>
      <c r="S267" s="20" t="str">
        <f aca="false">IF($R267="","",266-IF($R267=1,0,INDEX($M$2:$M$66,$R267-1)))</f>
        <v/>
      </c>
      <c r="T267" s="20" t="n">
        <f aca="false">IF($R267="",0,IF($S267=INDEX($L$2:$L$66,$R267),1,0))</f>
        <v>0</v>
      </c>
    </row>
    <row r="268" customFormat="false" ht="13.5" hidden="false" customHeight="false" outlineLevel="0" collapsed="false">
      <c r="Q268" s="47" t="n">
        <v>267</v>
      </c>
      <c r="R268" s="20" t="str">
        <f aca="false">IF(267&gt;$V$1,"",COUNTIF($M$2:$M$66,"&lt;"&amp;267)+1)</f>
        <v/>
      </c>
      <c r="S268" s="20" t="str">
        <f aca="false">IF($R268="","",267-IF($R268=1,0,INDEX($M$2:$M$66,$R268-1)))</f>
        <v/>
      </c>
      <c r="T268" s="20" t="n">
        <f aca="false">IF($R268="",0,IF($S268=INDEX($L$2:$L$66,$R268),1,0))</f>
        <v>0</v>
      </c>
    </row>
    <row r="269" customFormat="false" ht="13.5" hidden="false" customHeight="false" outlineLevel="0" collapsed="false">
      <c r="Q269" s="47" t="n">
        <v>268</v>
      </c>
      <c r="R269" s="20" t="str">
        <f aca="false">IF(268&gt;$V$1,"",COUNTIF($M$2:$M$66,"&lt;"&amp;268)+1)</f>
        <v/>
      </c>
      <c r="S269" s="20" t="str">
        <f aca="false">IF($R269="","",268-IF($R269=1,0,INDEX($M$2:$M$66,$R269-1)))</f>
        <v/>
      </c>
      <c r="T269" s="20" t="n">
        <f aca="false">IF($R269="",0,IF($S269=INDEX($L$2:$L$66,$R269),1,0))</f>
        <v>0</v>
      </c>
    </row>
    <row r="270" customFormat="false" ht="13.5" hidden="false" customHeight="false" outlineLevel="0" collapsed="false">
      <c r="Q270" s="47" t="n">
        <v>269</v>
      </c>
      <c r="R270" s="20" t="str">
        <f aca="false">IF(269&gt;$V$1,"",COUNTIF($M$2:$M$66,"&lt;"&amp;269)+1)</f>
        <v/>
      </c>
      <c r="S270" s="20" t="str">
        <f aca="false">IF($R270="","",269-IF($R270=1,0,INDEX($M$2:$M$66,$R270-1)))</f>
        <v/>
      </c>
      <c r="T270" s="20" t="n">
        <f aca="false">IF($R270="",0,IF($S270=INDEX($L$2:$L$66,$R270),1,0))</f>
        <v>0</v>
      </c>
    </row>
    <row r="271" customFormat="false" ht="13.5" hidden="false" customHeight="false" outlineLevel="0" collapsed="false">
      <c r="Q271" s="47" t="n">
        <v>270</v>
      </c>
      <c r="R271" s="20" t="str">
        <f aca="false">IF(270&gt;$V$1,"",COUNTIF($M$2:$M$66,"&lt;"&amp;270)+1)</f>
        <v/>
      </c>
      <c r="S271" s="20" t="str">
        <f aca="false">IF($R271="","",270-IF($R271=1,0,INDEX($M$2:$M$66,$R271-1)))</f>
        <v/>
      </c>
      <c r="T271" s="20" t="n">
        <f aca="false">IF($R271="",0,IF($S271=INDEX($L$2:$L$66,$R271),1,0))</f>
        <v>0</v>
      </c>
    </row>
    <row r="272" customFormat="false" ht="13.5" hidden="false" customHeight="false" outlineLevel="0" collapsed="false">
      <c r="Q272" s="47" t="n">
        <v>271</v>
      </c>
      <c r="R272" s="20" t="str">
        <f aca="false">IF(271&gt;$V$1,"",COUNTIF($M$2:$M$66,"&lt;"&amp;271)+1)</f>
        <v/>
      </c>
      <c r="S272" s="20" t="str">
        <f aca="false">IF($R272="","",271-IF($R272=1,0,INDEX($M$2:$M$66,$R272-1)))</f>
        <v/>
      </c>
      <c r="T272" s="20" t="n">
        <f aca="false">IF($R272="",0,IF($S272=INDEX($L$2:$L$66,$R272),1,0))</f>
        <v>0</v>
      </c>
    </row>
    <row r="273" customFormat="false" ht="13.5" hidden="false" customHeight="false" outlineLevel="0" collapsed="false">
      <c r="Q273" s="47" t="n">
        <v>272</v>
      </c>
      <c r="R273" s="20" t="str">
        <f aca="false">IF(272&gt;$V$1,"",COUNTIF($M$2:$M$66,"&lt;"&amp;272)+1)</f>
        <v/>
      </c>
      <c r="S273" s="20" t="str">
        <f aca="false">IF($R273="","",272-IF($R273=1,0,INDEX($M$2:$M$66,$R273-1)))</f>
        <v/>
      </c>
      <c r="T273" s="20" t="n">
        <f aca="false">IF($R273="",0,IF($S273=INDEX($L$2:$L$66,$R273),1,0))</f>
        <v>0</v>
      </c>
    </row>
    <row r="274" customFormat="false" ht="13.5" hidden="false" customHeight="false" outlineLevel="0" collapsed="false">
      <c r="Q274" s="47" t="n">
        <v>273</v>
      </c>
      <c r="R274" s="20" t="str">
        <f aca="false">IF(273&gt;$V$1,"",COUNTIF($M$2:$M$66,"&lt;"&amp;273)+1)</f>
        <v/>
      </c>
      <c r="S274" s="20" t="str">
        <f aca="false">IF($R274="","",273-IF($R274=1,0,INDEX($M$2:$M$66,$R274-1)))</f>
        <v/>
      </c>
      <c r="T274" s="20" t="n">
        <f aca="false">IF($R274="",0,IF($S274=INDEX($L$2:$L$66,$R274),1,0))</f>
        <v>0</v>
      </c>
    </row>
    <row r="275" customFormat="false" ht="13.5" hidden="false" customHeight="false" outlineLevel="0" collapsed="false">
      <c r="Q275" s="47" t="n">
        <v>274</v>
      </c>
      <c r="R275" s="20" t="str">
        <f aca="false">IF(274&gt;$V$1,"",COUNTIF($M$2:$M$66,"&lt;"&amp;274)+1)</f>
        <v/>
      </c>
      <c r="S275" s="20" t="str">
        <f aca="false">IF($R275="","",274-IF($R275=1,0,INDEX($M$2:$M$66,$R275-1)))</f>
        <v/>
      </c>
      <c r="T275" s="20" t="n">
        <f aca="false">IF($R275="",0,IF($S275=INDEX($L$2:$L$66,$R275),1,0))</f>
        <v>0</v>
      </c>
    </row>
    <row r="276" customFormat="false" ht="13.5" hidden="false" customHeight="false" outlineLevel="0" collapsed="false">
      <c r="Q276" s="47" t="n">
        <v>275</v>
      </c>
      <c r="R276" s="20" t="str">
        <f aca="false">IF(275&gt;$V$1,"",COUNTIF($M$2:$M$66,"&lt;"&amp;275)+1)</f>
        <v/>
      </c>
      <c r="S276" s="20" t="str">
        <f aca="false">IF($R276="","",275-IF($R276=1,0,INDEX($M$2:$M$66,$R276-1)))</f>
        <v/>
      </c>
      <c r="T276" s="20" t="n">
        <f aca="false">IF($R276="",0,IF($S276=INDEX($L$2:$L$66,$R276),1,0))</f>
        <v>0</v>
      </c>
    </row>
    <row r="277" customFormat="false" ht="13.5" hidden="false" customHeight="false" outlineLevel="0" collapsed="false">
      <c r="Q277" s="47" t="n">
        <v>276</v>
      </c>
      <c r="R277" s="20" t="str">
        <f aca="false">IF(276&gt;$V$1,"",COUNTIF($M$2:$M$66,"&lt;"&amp;276)+1)</f>
        <v/>
      </c>
      <c r="S277" s="20" t="str">
        <f aca="false">IF($R277="","",276-IF($R277=1,0,INDEX($M$2:$M$66,$R277-1)))</f>
        <v/>
      </c>
      <c r="T277" s="20" t="n">
        <f aca="false">IF($R277="",0,IF($S277=INDEX($L$2:$L$66,$R277),1,0))</f>
        <v>0</v>
      </c>
    </row>
    <row r="278" customFormat="false" ht="13.5" hidden="false" customHeight="false" outlineLevel="0" collapsed="false">
      <c r="Q278" s="47" t="n">
        <v>277</v>
      </c>
      <c r="R278" s="20" t="str">
        <f aca="false">IF(277&gt;$V$1,"",COUNTIF($M$2:$M$66,"&lt;"&amp;277)+1)</f>
        <v/>
      </c>
      <c r="S278" s="20" t="str">
        <f aca="false">IF($R278="","",277-IF($R278=1,0,INDEX($M$2:$M$66,$R278-1)))</f>
        <v/>
      </c>
      <c r="T278" s="20" t="n">
        <f aca="false">IF($R278="",0,IF($S278=INDEX($L$2:$L$66,$R278),1,0))</f>
        <v>0</v>
      </c>
    </row>
    <row r="279" customFormat="false" ht="13.5" hidden="false" customHeight="false" outlineLevel="0" collapsed="false">
      <c r="Q279" s="47" t="n">
        <v>278</v>
      </c>
      <c r="R279" s="20" t="str">
        <f aca="false">IF(278&gt;$V$1,"",COUNTIF($M$2:$M$66,"&lt;"&amp;278)+1)</f>
        <v/>
      </c>
      <c r="S279" s="20" t="str">
        <f aca="false">IF($R279="","",278-IF($R279=1,0,INDEX($M$2:$M$66,$R279-1)))</f>
        <v/>
      </c>
      <c r="T279" s="20" t="n">
        <f aca="false">IF($R279="",0,IF($S279=INDEX($L$2:$L$66,$R279),1,0))</f>
        <v>0</v>
      </c>
    </row>
    <row r="280" customFormat="false" ht="13.5" hidden="false" customHeight="false" outlineLevel="0" collapsed="false">
      <c r="Q280" s="47" t="n">
        <v>279</v>
      </c>
      <c r="R280" s="20" t="str">
        <f aca="false">IF(279&gt;$V$1,"",COUNTIF($M$2:$M$66,"&lt;"&amp;279)+1)</f>
        <v/>
      </c>
      <c r="S280" s="20" t="str">
        <f aca="false">IF($R280="","",279-IF($R280=1,0,INDEX($M$2:$M$66,$R280-1)))</f>
        <v/>
      </c>
      <c r="T280" s="20" t="n">
        <f aca="false">IF($R280="",0,IF($S280=INDEX($L$2:$L$66,$R280),1,0))</f>
        <v>0</v>
      </c>
    </row>
    <row r="281" customFormat="false" ht="13.5" hidden="false" customHeight="false" outlineLevel="0" collapsed="false">
      <c r="Q281" s="47" t="n">
        <v>280</v>
      </c>
      <c r="R281" s="20" t="str">
        <f aca="false">IF(280&gt;$V$1,"",COUNTIF($M$2:$M$66,"&lt;"&amp;280)+1)</f>
        <v/>
      </c>
      <c r="S281" s="20" t="str">
        <f aca="false">IF($R281="","",280-IF($R281=1,0,INDEX($M$2:$M$66,$R281-1)))</f>
        <v/>
      </c>
      <c r="T281" s="20" t="n">
        <f aca="false">IF($R281="",0,IF($S281=INDEX($L$2:$L$66,$R281),1,0))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4200"/>
  <sheetViews>
    <sheetView showFormulas="false" showGridLines="false" showRowColHeaders="true" showZeros="true" rightToLeft="false" showOutlineSymbols="true" defaultGridColor="true" view="normal" topLeftCell="A1150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7"/>
    <col collapsed="false" customWidth="true" hidden="false" outlineLevel="0" max="3" min="3" style="0" width="33.76"/>
    <col collapsed="false" customWidth="true" hidden="false" outlineLevel="0" max="7" min="4" style="0" width="13.5"/>
    <col collapsed="false" customWidth="true" hidden="false" outlineLevel="0" max="8" min="8" style="0" width="3.4"/>
    <col collapsed="false" customWidth="true" hidden="false" outlineLevel="0" max="9" min="9" style="0" width="7.5"/>
    <col collapsed="false" customWidth="true" hidden="true" outlineLevel="0" max="12" min="12" style="0" width="10"/>
    <col collapsed="false" customWidth="true" hidden="false" outlineLevel="0" max="13" min="13" style="0" width="11"/>
    <col collapsed="false" customWidth="true" hidden="false" outlineLevel="0" max="15" min="15" style="0" width="34"/>
    <col collapsed="false" customWidth="true" hidden="false" outlineLevel="0" max="16" min="16" style="0" width="46"/>
  </cols>
  <sheetData>
    <row r="1" customFormat="false" ht="19.5" hidden="false" customHeight="true" outlineLevel="0" collapsed="false">
      <c r="B1" s="53" t="str">
        <f aca="false">IF(助手收入!$R$2&lt;&gt;"","记  账  凭  证","")</f>
        <v>记  账  凭  证</v>
      </c>
      <c r="C1" s="53"/>
      <c r="D1" s="53"/>
      <c r="E1" s="53"/>
      <c r="F1" s="53"/>
      <c r="G1" s="53"/>
      <c r="H1" s="53"/>
      <c r="I1" s="53"/>
      <c r="M1" s="54" t="s">
        <v>471</v>
      </c>
      <c r="N1" s="54" t="s">
        <v>463</v>
      </c>
      <c r="O1" s="54" t="s">
        <v>472</v>
      </c>
      <c r="P1" s="55" t="s">
        <v>473</v>
      </c>
    </row>
    <row r="2" customFormat="false" ht="3" hidden="false" customHeight="true" outlineLevel="0" collapsed="false"/>
    <row r="3" customFormat="false" ht="15" hidden="false" customHeight="true" outlineLevel="0" collapsed="false">
      <c r="C3" s="56" t="n">
        <f aca="false">IF(助手收入!$R$2&lt;&gt;"",INDEX(助手收入!$B$2:$B$66,助手收入!$R$2),"")</f>
        <v>2001</v>
      </c>
      <c r="D3" s="57" t="n">
        <f aca="false">IF(助手收入!$R$2&lt;&gt;"",参数!$B$2,"")</f>
        <v>46234</v>
      </c>
      <c r="E3" s="57"/>
      <c r="F3" s="58" t="str">
        <f aca="false">IF(助手收入!$R$2&lt;&gt;"",INDEX(助手收入!$C$2:$C$66,助手收入!$R$2)&amp;"  字第 "&amp;IF(参数!$B$9="是",INDEX(助手收入!$P$2:$P$66,助手收入!$R$2),"　　　　")&amp;" 号"&amp;IF(INDEX(助手收入!$L$2:$L$66,助手收入!$R$2)&gt;1,"  (共"&amp;INDEX(助手收入!$L$2:$L$66,助手收入!$R$2)&amp;"页 第"&amp;助手收入!$S$2&amp;"页)",""),"")</f>
        <v>柏人商城店  字第 　　　　 号  (共2页 第1页)</v>
      </c>
      <c r="G3" s="58"/>
      <c r="H3" s="58"/>
      <c r="I3" s="58"/>
      <c r="M3" s="59" t="n">
        <f aca="false">IF(助手收入!$R$2="","",助手收入!$Q$2)</f>
        <v>1</v>
      </c>
      <c r="N3" s="60" t="n">
        <f aca="false">IF(助手收入!$R$2="","",INDEX(助手收入!$P$2:$P$66,助手收入!$R$2))</f>
        <v>1</v>
      </c>
      <c r="O3" s="55" t="str">
        <f aca="false">IF(助手收入!$R$2="","",INDEX(助手收入!$C$2:$C$66,助手收入!$R$2)&amp;"  字第 "&amp;INDEX(助手收入!$P$2:$P$66,助手收入!$R$2)&amp;" 号"&amp;IF(INDEX(助手收入!$L$2:$L$66,助手收入!$R$2)&gt;1,"  (共"&amp;INDEX(助手收入!$L$2:$L$66,助手收入!$R$2)&amp;"页 第"&amp;助手收入!$S$2&amp;"页)",""))</f>
        <v>柏人商城店  字第 1 号  (共2页 第1页)</v>
      </c>
    </row>
    <row r="4" customFormat="false" ht="12.75" hidden="false" customHeight="true" outlineLevel="0" collapsed="false">
      <c r="B4" s="61" t="str">
        <f aca="false">IF(助手收入!$R$2&lt;&gt;"","摘　　要","")</f>
        <v>摘　　要</v>
      </c>
      <c r="C4" s="61"/>
      <c r="D4" s="62" t="str">
        <f aca="false">IF(助手收入!$R$2&lt;&gt;"","科　　　　目","")</f>
        <v>科　　　　目</v>
      </c>
      <c r="E4" s="62"/>
      <c r="F4" s="61" t="str">
        <f aca="false">IF(助手收入!$R$2&lt;&gt;"","借 方 金 额","")</f>
        <v>借 方 金 额</v>
      </c>
      <c r="G4" s="62" t="str">
        <f aca="false">IF(助手收入!$R$2&lt;&gt;"","贷 方 金 额","")</f>
        <v>贷 方 金 额</v>
      </c>
      <c r="H4" s="63" t="str">
        <f aca="false">IF(助手收入!$R$2&lt;&gt;"","√","")</f>
        <v>√</v>
      </c>
      <c r="I4" s="64" t="str">
        <f aca="false">IF(助手收入!$R$2&lt;&gt;"","附单据  张","")</f>
        <v>附单据  张</v>
      </c>
    </row>
    <row r="5" customFormat="false" ht="12.75" hidden="false" customHeight="true" outlineLevel="0" collapsed="false">
      <c r="B5" s="61"/>
      <c r="C5" s="61"/>
      <c r="D5" s="23" t="str">
        <f aca="false">IF(助手收入!$R$2&lt;&gt;"","总 账 科 目","")</f>
        <v>总 账 科 目</v>
      </c>
      <c r="E5" s="23" t="str">
        <f aca="false">IF(助手收入!$R$2&lt;&gt;"","明 细 科 目","")</f>
        <v>明 细 科 目</v>
      </c>
      <c r="F5" s="65"/>
      <c r="G5" s="66"/>
      <c r="H5" s="63"/>
      <c r="I5" s="64"/>
    </row>
    <row r="6" customFormat="false" ht="23.25" hidden="false" customHeight="true" outlineLevel="0" collapsed="false">
      <c r="B6" s="67" t="str">
        <f aca="false">IFERROR(INDEX(分录收入!$M:$M,MATCH($L6,分录收入!$L:$L,0)),"")</f>
        <v>7月收入</v>
      </c>
      <c r="C6" s="67"/>
      <c r="D6" s="23" t="str">
        <f aca="false">IFERROR(INDEX(分录收入!$E:$E,MATCH($L6,分录收入!$L:$L,0)),"")</f>
        <v>库存现金</v>
      </c>
      <c r="E6" s="23" t="str">
        <f aca="false">IFERROR(INDEX(分录收入!$F:$F,MATCH($L6,分录收入!$L:$L,0)),"")</f>
        <v/>
      </c>
      <c r="F6" s="68" t="n">
        <f aca="false">IFERROR(INDEX(分录收入!$H:$H,MATCH($L6,分录收入!$L:$L,0)),"")</f>
        <v>6428.43</v>
      </c>
      <c r="G6" s="69" t="str">
        <f aca="false">IFERROR(INDEX(分录收入!$I:$I,MATCH($L6,分录收入!$L:$L,0)),"")</f>
        <v/>
      </c>
      <c r="H6" s="23"/>
      <c r="I6" s="70"/>
      <c r="L6" s="71" t="n">
        <f aca="false">IF(助手收入!$R$2="",-1,助手收入!$R$2*100+(助手收入!$S$2-1)*6+1)</f>
        <v>101</v>
      </c>
    </row>
    <row r="7" customFormat="false" ht="23.25" hidden="false" customHeight="true" outlineLevel="0" collapsed="false">
      <c r="B7" s="67" t="str">
        <f aca="false">""</f>
        <v/>
      </c>
      <c r="C7" s="67"/>
      <c r="D7" s="23" t="str">
        <f aca="false">IFERROR(INDEX(分录收入!$E:$E,MATCH($L7,分录收入!$L:$L,0)),"")</f>
        <v>应收账款</v>
      </c>
      <c r="E7" s="23" t="str">
        <f aca="false">IFERROR(INDEX(分录收入!$F:$F,MATCH($L7,分录收入!$L:$L,0)),"")</f>
        <v>聚合支付</v>
      </c>
      <c r="F7" s="68" t="n">
        <f aca="false">IFERROR(INDEX(分录收入!$H:$H,MATCH($L7,分录收入!$L:$L,0)),"")</f>
        <v>22707.04</v>
      </c>
      <c r="G7" s="69" t="str">
        <f aca="false">IFERROR(INDEX(分录收入!$I:$I,MATCH($L7,分录收入!$L:$L,0)),"")</f>
        <v/>
      </c>
      <c r="H7" s="23"/>
      <c r="I7" s="70"/>
      <c r="L7" s="71" t="n">
        <f aca="false">IF(助手收入!$R$2="",-1,助手收入!$R$2*100+(助手收入!$S$2-1)*6+2)</f>
        <v>102</v>
      </c>
    </row>
    <row r="8" customFormat="false" ht="23.25" hidden="false" customHeight="true" outlineLevel="0" collapsed="false">
      <c r="B8" s="67" t="str">
        <f aca="false">""</f>
        <v/>
      </c>
      <c r="C8" s="67"/>
      <c r="D8" s="23" t="str">
        <f aca="false">IFERROR(INDEX(分录收入!$E:$E,MATCH($L8,分录收入!$L:$L,0)),"")</f>
        <v>应收账款</v>
      </c>
      <c r="E8" s="23" t="str">
        <f aca="false">IFERROR(INDEX(分录收入!$F:$F,MATCH($L8,分录收入!$L:$L,0)),"")</f>
        <v>医保</v>
      </c>
      <c r="F8" s="68" t="n">
        <f aca="false">IFERROR(INDEX(分录收入!$H:$H,MATCH($L8,分录收入!$L:$L,0)),"")</f>
        <v>6716.34</v>
      </c>
      <c r="G8" s="69" t="str">
        <f aca="false">IFERROR(INDEX(分录收入!$I:$I,MATCH($L8,分录收入!$L:$L,0)),"")</f>
        <v/>
      </c>
      <c r="H8" s="23"/>
      <c r="I8" s="70"/>
      <c r="L8" s="71" t="n">
        <f aca="false">IF(助手收入!$R$2="",-1,助手收入!$R$2*100+(助手收入!$S$2-1)*6+3)</f>
        <v>103</v>
      </c>
    </row>
    <row r="9" customFormat="false" ht="23.25" hidden="false" customHeight="true" outlineLevel="0" collapsed="false">
      <c r="B9" s="67" t="str">
        <f aca="false">""</f>
        <v/>
      </c>
      <c r="C9" s="67"/>
      <c r="D9" s="23" t="str">
        <f aca="false">IFERROR(INDEX(分录收入!$E:$E,MATCH($L9,分录收入!$L:$L,0)),"")</f>
        <v>应收账款</v>
      </c>
      <c r="E9" s="23" t="str">
        <f aca="false">IFERROR(INDEX(分录收入!$F:$F,MATCH($L9,分录收入!$L:$L,0)),"")</f>
        <v>美团</v>
      </c>
      <c r="F9" s="68" t="n">
        <f aca="false">IFERROR(INDEX(分录收入!$H:$H,MATCH($L9,分录收入!$L:$L,0)),"")</f>
        <v>47.5</v>
      </c>
      <c r="G9" s="69" t="str">
        <f aca="false">IFERROR(INDEX(分录收入!$I:$I,MATCH($L9,分录收入!$L:$L,0)),"")</f>
        <v/>
      </c>
      <c r="H9" s="23"/>
      <c r="I9" s="70"/>
      <c r="L9" s="71" t="n">
        <f aca="false">IF(助手收入!$R$2="",-1,助手收入!$R$2*100+(助手收入!$S$2-1)*6+4)</f>
        <v>104</v>
      </c>
    </row>
    <row r="10" customFormat="false" ht="23.25" hidden="false" customHeight="true" outlineLevel="0" collapsed="false">
      <c r="B10" s="67" t="str">
        <f aca="false">""</f>
        <v/>
      </c>
      <c r="C10" s="67"/>
      <c r="D10" s="23" t="str">
        <f aca="false">IFERROR(INDEX(分录收入!$E:$E,MATCH($L10,分录收入!$L:$L,0)),"")</f>
        <v>销售费用</v>
      </c>
      <c r="E10" s="23" t="str">
        <f aca="false">IFERROR(INDEX(分录收入!$F:$F,MATCH($L10,分录收入!$L:$L,0)),"")</f>
        <v>促销费</v>
      </c>
      <c r="F10" s="68" t="n">
        <f aca="false">IFERROR(INDEX(分录收入!$H:$H,MATCH($L10,分录收入!$L:$L,0)),"")</f>
        <v>448.72</v>
      </c>
      <c r="G10" s="69" t="str">
        <f aca="false">IFERROR(INDEX(分录收入!$I:$I,MATCH($L10,分录收入!$L:$L,0)),"")</f>
        <v/>
      </c>
      <c r="H10" s="23"/>
      <c r="I10" s="70"/>
      <c r="L10" s="71" t="n">
        <f aca="false">IF(助手收入!$R$2="",-1,助手收入!$R$2*100+(助手收入!$S$2-1)*6+5)</f>
        <v>105</v>
      </c>
    </row>
    <row r="11" customFormat="false" ht="23.25" hidden="false" customHeight="true" outlineLevel="0" collapsed="false">
      <c r="B11" s="67" t="str">
        <f aca="false">""</f>
        <v/>
      </c>
      <c r="C11" s="67"/>
      <c r="D11" s="23" t="str">
        <f aca="false">IFERROR(INDEX(分录收入!$E:$E,MATCH($L11,分录收入!$L:$L,0)),"")</f>
        <v>财务费用</v>
      </c>
      <c r="E11" s="23" t="str">
        <f aca="false">IFERROR(INDEX(分录收入!$F:$F,MATCH($L11,分录收入!$L:$L,0)),"")</f>
        <v>手续费</v>
      </c>
      <c r="F11" s="68" t="n">
        <f aca="false">IFERROR(INDEX(分录收入!$H:$H,MATCH($L11,分录收入!$L:$L,0)),"")</f>
        <v>61.48</v>
      </c>
      <c r="G11" s="69" t="str">
        <f aca="false">IFERROR(INDEX(分录收入!$I:$I,MATCH($L11,分录收入!$L:$L,0)),"")</f>
        <v/>
      </c>
      <c r="H11" s="23"/>
      <c r="I11" s="70"/>
      <c r="L11" s="71" t="n">
        <f aca="false">IF(助手收入!$R$2="",-1,助手收入!$R$2*100+(助手收入!$S$2-1)*6+6)</f>
        <v>106</v>
      </c>
    </row>
    <row r="12" customFormat="false" ht="23.25" hidden="false" customHeight="true" outlineLevel="0" collapsed="false">
      <c r="B12" s="72" t="str">
        <f aca="false">IF(助手收入!$T$2=1,"合计：","")</f>
        <v/>
      </c>
      <c r="C12" s="73" t="str">
        <f aca="false">IF(助手收入!$T$2=1,$F12,"")</f>
        <v/>
      </c>
      <c r="D12" s="74"/>
      <c r="E12" s="74"/>
      <c r="F12" s="75" t="str">
        <f aca="false">IF(助手收入!$T$2=1,INDEX(助手收入!$N$2:$N$66,助手收入!$R$2),"")</f>
        <v/>
      </c>
      <c r="G12" s="76" t="str">
        <f aca="false">IF(助手收入!$T$2=1,INDEX(助手收入!$O$2:$O$66,助手收入!$R$2),"")</f>
        <v/>
      </c>
      <c r="H12" s="74"/>
      <c r="I12" s="77"/>
    </row>
    <row r="13" customFormat="false" ht="6" hidden="false" customHeight="true" outlineLevel="0" collapsed="false"/>
    <row r="14" customFormat="false" ht="13.5" hidden="false" customHeight="false" outlineLevel="0" collapsed="false">
      <c r="B14" s="78" t="str">
        <f aca="false">IF(助手收入!$R$2&lt;&gt;"","会计主管：","")</f>
        <v>会计主管：</v>
      </c>
      <c r="D14" s="78" t="str">
        <f aca="false">IF(助手收入!$R$2&lt;&gt;"","会计：","")</f>
        <v>会计：</v>
      </c>
      <c r="E14" s="78" t="str">
        <f aca="false">IF(助手收入!$R$2&lt;&gt;"","出纳：","")</f>
        <v>出纳：</v>
      </c>
      <c r="F14" s="78" t="str">
        <f aca="false">IF(助手收入!$R$2&lt;&gt;"","复核：","")</f>
        <v>复核：</v>
      </c>
      <c r="G14" s="78" t="str">
        <f aca="false">IF(助手收入!$R$2&lt;&gt;"","制单：","")</f>
        <v>制单：</v>
      </c>
    </row>
    <row r="15" customFormat="false" ht="3" hidden="false" customHeight="true" outlineLevel="0" collapsed="false"/>
    <row r="16" customFormat="false" ht="19.5" hidden="false" customHeight="true" outlineLevel="0" collapsed="false">
      <c r="B16" s="53" t="str">
        <f aca="false">IF(助手收入!$R$3&lt;&gt;"","记  账  凭  证","")</f>
        <v>记  账  凭  证</v>
      </c>
      <c r="C16" s="53"/>
      <c r="D16" s="53"/>
      <c r="E16" s="53"/>
      <c r="F16" s="53"/>
      <c r="G16" s="53"/>
      <c r="H16" s="53"/>
      <c r="I16" s="53"/>
    </row>
    <row r="17" customFormat="false" ht="3" hidden="false" customHeight="true" outlineLevel="0" collapsed="false"/>
    <row r="18" customFormat="false" ht="15" hidden="false" customHeight="true" outlineLevel="0" collapsed="false">
      <c r="C18" s="56" t="n">
        <f aca="false">IF(助手收入!$R$3&lt;&gt;"",INDEX(助手收入!$B$2:$B$66,助手收入!$R$3),"")</f>
        <v>2001</v>
      </c>
      <c r="D18" s="57" t="n">
        <f aca="false">IF(助手收入!$R$3&lt;&gt;"",参数!$B$2,"")</f>
        <v>46234</v>
      </c>
      <c r="E18" s="57"/>
      <c r="F18" s="58" t="str">
        <f aca="false">IF(助手收入!$R$3&lt;&gt;"",INDEX(助手收入!$C$2:$C$66,助手收入!$R$3)&amp;"  字第 "&amp;IF(参数!$B$9="是",INDEX(助手收入!$P$2:$P$66,助手收入!$R$3),"　　　　")&amp;" 号"&amp;IF(INDEX(助手收入!$L$2:$L$66,助手收入!$R$3)&gt;1,"  (共"&amp;INDEX(助手收入!$L$2:$L$66,助手收入!$R$3)&amp;"页 第"&amp;助手收入!$S$3&amp;"页)",""),"")</f>
        <v>柏人商城店  字第 　　　　 号  (共2页 第2页)</v>
      </c>
      <c r="G18" s="58"/>
      <c r="H18" s="58"/>
      <c r="I18" s="58"/>
      <c r="M18" s="59" t="n">
        <f aca="false">IF(助手收入!$R$3="","",助手收入!$Q$3)</f>
        <v>2</v>
      </c>
      <c r="N18" s="60" t="n">
        <f aca="false">IF(助手收入!$R$3="","",INDEX(助手收入!$P$2:$P$66,助手收入!$R$3))</f>
        <v>1</v>
      </c>
      <c r="O18" s="55" t="str">
        <f aca="false">IF(助手收入!$R$3="","",INDEX(助手收入!$C$2:$C$66,助手收入!$R$3)&amp;"  字第 "&amp;INDEX(助手收入!$P$2:$P$66,助手收入!$R$3)&amp;" 号"&amp;IF(INDEX(助手收入!$L$2:$L$66,助手收入!$R$3)&gt;1,"  (共"&amp;INDEX(助手收入!$L$2:$L$66,助手收入!$R$3)&amp;"页 第"&amp;助手收入!$S$3&amp;"页)",""))</f>
        <v>柏人商城店  字第 1 号  (共2页 第2页)</v>
      </c>
    </row>
    <row r="19" customFormat="false" ht="12.75" hidden="false" customHeight="true" outlineLevel="0" collapsed="false">
      <c r="B19" s="61" t="str">
        <f aca="false">IF(助手收入!$R$3&lt;&gt;"","摘　　要","")</f>
        <v>摘　　要</v>
      </c>
      <c r="C19" s="61"/>
      <c r="D19" s="62" t="str">
        <f aca="false">IF(助手收入!$R$3&lt;&gt;"","科　　　　目","")</f>
        <v>科　　　　目</v>
      </c>
      <c r="E19" s="62"/>
      <c r="F19" s="61" t="str">
        <f aca="false">IF(助手收入!$R$3&lt;&gt;"","借 方 金 额","")</f>
        <v>借 方 金 额</v>
      </c>
      <c r="G19" s="62" t="str">
        <f aca="false">IF(助手收入!$R$3&lt;&gt;"","贷 方 金 额","")</f>
        <v>贷 方 金 额</v>
      </c>
      <c r="H19" s="63" t="str">
        <f aca="false">IF(助手收入!$R$3&lt;&gt;"","√","")</f>
        <v>√</v>
      </c>
      <c r="I19" s="64" t="str">
        <f aca="false">IF(助手收入!$R$3&lt;&gt;"","附单据  张","")</f>
        <v>附单据  张</v>
      </c>
    </row>
    <row r="20" customFormat="false" ht="12.75" hidden="false" customHeight="true" outlineLevel="0" collapsed="false">
      <c r="B20" s="61"/>
      <c r="C20" s="61"/>
      <c r="D20" s="23" t="str">
        <f aca="false">IF(助手收入!$R$3&lt;&gt;"","总 账 科 目","")</f>
        <v>总 账 科 目</v>
      </c>
      <c r="E20" s="23" t="str">
        <f aca="false">IF(助手收入!$R$3&lt;&gt;"","明 细 科 目","")</f>
        <v>明 细 科 目</v>
      </c>
      <c r="F20" s="65"/>
      <c r="G20" s="66"/>
      <c r="H20" s="63"/>
      <c r="I20" s="64"/>
    </row>
    <row r="21" customFormat="false" ht="23.25" hidden="false" customHeight="true" outlineLevel="0" collapsed="false">
      <c r="B21" s="67" t="str">
        <f aca="false">IFERROR(INDEX(分录收入!$M:$M,MATCH($L21,分录收入!$L:$L,0)),"")</f>
        <v>7月收入</v>
      </c>
      <c r="C21" s="67"/>
      <c r="D21" s="23" t="str">
        <f aca="false">IFERROR(INDEX(分录收入!$E:$E,MATCH($L21,分录收入!$L:$L,0)),"")</f>
        <v>主营业务收入</v>
      </c>
      <c r="E21" s="23" t="str">
        <f aca="false">IFERROR(INDEX(分录收入!$F:$F,MATCH($L21,分录收入!$L:$L,0)),"")</f>
        <v/>
      </c>
      <c r="F21" s="68" t="str">
        <f aca="false">IFERROR(INDEX(分录收入!$H:$H,MATCH($L21,分录收入!$L:$L,0)),"")</f>
        <v/>
      </c>
      <c r="G21" s="69" t="n">
        <f aca="false">IFERROR(INDEX(分录收入!$I:$I,MATCH($L21,分录收入!$L:$L,0)),"")</f>
        <v>36409.51</v>
      </c>
      <c r="H21" s="23"/>
      <c r="I21" s="70"/>
      <c r="L21" s="71" t="n">
        <f aca="false">IF(助手收入!$R$3="",-1,助手收入!$R$3*100+(助手收入!$S$3-1)*6+1)</f>
        <v>107</v>
      </c>
    </row>
    <row r="22" customFormat="false" ht="23.25" hidden="false" customHeight="true" outlineLevel="0" collapsed="false">
      <c r="B22" s="67" t="str">
        <f aca="false">""</f>
        <v/>
      </c>
      <c r="C22" s="67"/>
      <c r="D22" s="23" t="str">
        <f aca="false">IFERROR(INDEX(分录收入!$E:$E,MATCH($L22,分录收入!$L:$L,0)),"")</f>
        <v/>
      </c>
      <c r="E22" s="23" t="str">
        <f aca="false">IFERROR(INDEX(分录收入!$F:$F,MATCH($L22,分录收入!$L:$L,0)),"")</f>
        <v/>
      </c>
      <c r="F22" s="68" t="str">
        <f aca="false">IFERROR(INDEX(分录收入!$H:$H,MATCH($L22,分录收入!$L:$L,0)),"")</f>
        <v/>
      </c>
      <c r="G22" s="69" t="str">
        <f aca="false">IFERROR(INDEX(分录收入!$I:$I,MATCH($L22,分录收入!$L:$L,0)),"")</f>
        <v/>
      </c>
      <c r="H22" s="23"/>
      <c r="I22" s="70"/>
      <c r="L22" s="71" t="n">
        <f aca="false">IF(助手收入!$R$3="",-1,助手收入!$R$3*100+(助手收入!$S$3-1)*6+2)</f>
        <v>108</v>
      </c>
    </row>
    <row r="23" customFormat="false" ht="23.25" hidden="false" customHeight="true" outlineLevel="0" collapsed="false">
      <c r="B23" s="67" t="str">
        <f aca="false">""</f>
        <v/>
      </c>
      <c r="C23" s="67"/>
      <c r="D23" s="23" t="str">
        <f aca="false">IFERROR(INDEX(分录收入!$E:$E,MATCH($L23,分录收入!$L:$L,0)),"")</f>
        <v/>
      </c>
      <c r="E23" s="23" t="str">
        <f aca="false">IFERROR(INDEX(分录收入!$F:$F,MATCH($L23,分录收入!$L:$L,0)),"")</f>
        <v/>
      </c>
      <c r="F23" s="68" t="str">
        <f aca="false">IFERROR(INDEX(分录收入!$H:$H,MATCH($L23,分录收入!$L:$L,0)),"")</f>
        <v/>
      </c>
      <c r="G23" s="69" t="str">
        <f aca="false">IFERROR(INDEX(分录收入!$I:$I,MATCH($L23,分录收入!$L:$L,0)),"")</f>
        <v/>
      </c>
      <c r="H23" s="23"/>
      <c r="I23" s="70"/>
      <c r="L23" s="71" t="n">
        <f aca="false">IF(助手收入!$R$3="",-1,助手收入!$R$3*100+(助手收入!$S$3-1)*6+3)</f>
        <v>109</v>
      </c>
    </row>
    <row r="24" customFormat="false" ht="23.25" hidden="false" customHeight="true" outlineLevel="0" collapsed="false">
      <c r="B24" s="67" t="str">
        <f aca="false">""</f>
        <v/>
      </c>
      <c r="C24" s="67"/>
      <c r="D24" s="23" t="str">
        <f aca="false">IFERROR(INDEX(分录收入!$E:$E,MATCH($L24,分录收入!$L:$L,0)),"")</f>
        <v/>
      </c>
      <c r="E24" s="23" t="str">
        <f aca="false">IFERROR(INDEX(分录收入!$F:$F,MATCH($L24,分录收入!$L:$L,0)),"")</f>
        <v/>
      </c>
      <c r="F24" s="68" t="str">
        <f aca="false">IFERROR(INDEX(分录收入!$H:$H,MATCH($L24,分录收入!$L:$L,0)),"")</f>
        <v/>
      </c>
      <c r="G24" s="69" t="str">
        <f aca="false">IFERROR(INDEX(分录收入!$I:$I,MATCH($L24,分录收入!$L:$L,0)),"")</f>
        <v/>
      </c>
      <c r="H24" s="23"/>
      <c r="I24" s="70"/>
      <c r="L24" s="71" t="n">
        <f aca="false">IF(助手收入!$R$3="",-1,助手收入!$R$3*100+(助手收入!$S$3-1)*6+4)</f>
        <v>110</v>
      </c>
    </row>
    <row r="25" customFormat="false" ht="23.25" hidden="false" customHeight="true" outlineLevel="0" collapsed="false">
      <c r="B25" s="67" t="str">
        <f aca="false">""</f>
        <v/>
      </c>
      <c r="C25" s="67"/>
      <c r="D25" s="23" t="str">
        <f aca="false">IFERROR(INDEX(分录收入!$E:$E,MATCH($L25,分录收入!$L:$L,0)),"")</f>
        <v/>
      </c>
      <c r="E25" s="23" t="str">
        <f aca="false">IFERROR(INDEX(分录收入!$F:$F,MATCH($L25,分录收入!$L:$L,0)),"")</f>
        <v/>
      </c>
      <c r="F25" s="68" t="str">
        <f aca="false">IFERROR(INDEX(分录收入!$H:$H,MATCH($L25,分录收入!$L:$L,0)),"")</f>
        <v/>
      </c>
      <c r="G25" s="69" t="str">
        <f aca="false">IFERROR(INDEX(分录收入!$I:$I,MATCH($L25,分录收入!$L:$L,0)),"")</f>
        <v/>
      </c>
      <c r="H25" s="23"/>
      <c r="I25" s="70"/>
      <c r="L25" s="71" t="n">
        <f aca="false">IF(助手收入!$R$3="",-1,助手收入!$R$3*100+(助手收入!$S$3-1)*6+5)</f>
        <v>111</v>
      </c>
    </row>
    <row r="26" customFormat="false" ht="23.25" hidden="false" customHeight="true" outlineLevel="0" collapsed="false">
      <c r="B26" s="67" t="str">
        <f aca="false">""</f>
        <v/>
      </c>
      <c r="C26" s="67"/>
      <c r="D26" s="23" t="str">
        <f aca="false">IFERROR(INDEX(分录收入!$E:$E,MATCH($L26,分录收入!$L:$L,0)),"")</f>
        <v/>
      </c>
      <c r="E26" s="23" t="str">
        <f aca="false">IFERROR(INDEX(分录收入!$F:$F,MATCH($L26,分录收入!$L:$L,0)),"")</f>
        <v/>
      </c>
      <c r="F26" s="68" t="str">
        <f aca="false">IFERROR(INDEX(分录收入!$H:$H,MATCH($L26,分录收入!$L:$L,0)),"")</f>
        <v/>
      </c>
      <c r="G26" s="69" t="str">
        <f aca="false">IFERROR(INDEX(分录收入!$I:$I,MATCH($L26,分录收入!$L:$L,0)),"")</f>
        <v/>
      </c>
      <c r="H26" s="23"/>
      <c r="I26" s="70"/>
      <c r="L26" s="71" t="n">
        <f aca="false">IF(助手收入!$R$3="",-1,助手收入!$R$3*100+(助手收入!$S$3-1)*6+6)</f>
        <v>112</v>
      </c>
    </row>
    <row r="27" customFormat="false" ht="23.25" hidden="false" customHeight="true" outlineLevel="0" collapsed="false">
      <c r="B27" s="72" t="str">
        <f aca="false">IF(助手收入!$T$3=1,"合计：","")</f>
        <v>合计：</v>
      </c>
      <c r="C27" s="73" t="n">
        <f aca="false">IF(助手收入!$T$3=1,$F27,"")</f>
        <v>36409.51</v>
      </c>
      <c r="D27" s="74"/>
      <c r="E27" s="74"/>
      <c r="F27" s="75" t="n">
        <f aca="false">IF(助手收入!$T$3=1,INDEX(助手收入!$N$2:$N$66,助手收入!$R$3),"")</f>
        <v>36409.51</v>
      </c>
      <c r="G27" s="76" t="n">
        <f aca="false">IF(助手收入!$T$3=1,INDEX(助手收入!$O$2:$O$66,助手收入!$R$3),"")</f>
        <v>36409.51</v>
      </c>
      <c r="H27" s="74"/>
      <c r="I27" s="77"/>
    </row>
    <row r="28" customFormat="false" ht="6" hidden="false" customHeight="true" outlineLevel="0" collapsed="false"/>
    <row r="29" customFormat="false" ht="13.5" hidden="false" customHeight="false" outlineLevel="0" collapsed="false">
      <c r="B29" s="78" t="str">
        <f aca="false">IF(助手收入!$R$3&lt;&gt;"","会计主管：","")</f>
        <v>会计主管：</v>
      </c>
      <c r="D29" s="78" t="str">
        <f aca="false">IF(助手收入!$R$3&lt;&gt;"","会计：","")</f>
        <v>会计：</v>
      </c>
      <c r="E29" s="78" t="str">
        <f aca="false">IF(助手收入!$R$3&lt;&gt;"","出纳：","")</f>
        <v>出纳：</v>
      </c>
      <c r="F29" s="78" t="str">
        <f aca="false">IF(助手收入!$R$3&lt;&gt;"","复核：","")</f>
        <v>复核：</v>
      </c>
      <c r="G29" s="78" t="str">
        <f aca="false">IF(助手收入!$R$3&lt;&gt;"","制单：","")</f>
        <v>制单：</v>
      </c>
    </row>
    <row r="30" customFormat="false" ht="3" hidden="false" customHeight="true" outlineLevel="0" collapsed="false"/>
    <row r="31" customFormat="false" ht="19.5" hidden="false" customHeight="true" outlineLevel="0" collapsed="false">
      <c r="B31" s="53" t="str">
        <f aca="false">IF(助手收入!$R$4&lt;&gt;"","记  账  凭  证","")</f>
        <v>记  账  凭  证</v>
      </c>
      <c r="C31" s="53"/>
      <c r="D31" s="53"/>
      <c r="E31" s="53"/>
      <c r="F31" s="53"/>
      <c r="G31" s="53"/>
      <c r="H31" s="53"/>
      <c r="I31" s="53"/>
    </row>
    <row r="32" customFormat="false" ht="3" hidden="false" customHeight="true" outlineLevel="0" collapsed="false"/>
    <row r="33" customFormat="false" ht="15" hidden="false" customHeight="true" outlineLevel="0" collapsed="false">
      <c r="C33" s="56" t="n">
        <f aca="false">IF(助手收入!$R$4&lt;&gt;"",INDEX(助手收入!$B$2:$B$66,助手收入!$R$4),"")</f>
        <v>2002</v>
      </c>
      <c r="D33" s="57" t="n">
        <f aca="false">IF(助手收入!$R$4&lt;&gt;"",参数!$B$2,"")</f>
        <v>46234</v>
      </c>
      <c r="E33" s="57"/>
      <c r="F33" s="58" t="str">
        <f aca="false">IF(助手收入!$R$4&lt;&gt;"",INDEX(助手收入!$C$2:$C$66,助手收入!$R$4)&amp;"  字第 "&amp;IF(参数!$B$9="是",INDEX(助手收入!$P$2:$P$66,助手收入!$R$4),"　　　　")&amp;" 号"&amp;IF(INDEX(助手收入!$L$2:$L$66,助手收入!$R$4)&gt;1,"  (共"&amp;INDEX(助手收入!$L$2:$L$66,助手收入!$R$4)&amp;"页 第"&amp;助手收入!$S$4&amp;"页)",""),"")</f>
        <v>新隆店  字第 　　　　 号  (共2页 第1页)</v>
      </c>
      <c r="G33" s="58"/>
      <c r="H33" s="58"/>
      <c r="I33" s="58"/>
      <c r="M33" s="59" t="n">
        <f aca="false">IF(助手收入!$R$4="","",助手收入!$Q$4)</f>
        <v>3</v>
      </c>
      <c r="N33" s="60" t="n">
        <f aca="false">IF(助手收入!$R$4="","",INDEX(助手收入!$P$2:$P$66,助手收入!$R$4))</f>
        <v>2</v>
      </c>
      <c r="O33" s="55" t="str">
        <f aca="false">IF(助手收入!$R$4="","",INDEX(助手收入!$C$2:$C$66,助手收入!$R$4)&amp;"  字第 "&amp;INDEX(助手收入!$P$2:$P$66,助手收入!$R$4)&amp;" 号"&amp;IF(INDEX(助手收入!$L$2:$L$66,助手收入!$R$4)&gt;1,"  (共"&amp;INDEX(助手收入!$L$2:$L$66,助手收入!$R$4)&amp;"页 第"&amp;助手收入!$S$4&amp;"页)",""))</f>
        <v>新隆店  字第 2 号  (共2页 第1页)</v>
      </c>
    </row>
    <row r="34" customFormat="false" ht="12.75" hidden="false" customHeight="true" outlineLevel="0" collapsed="false">
      <c r="B34" s="61" t="str">
        <f aca="false">IF(助手收入!$R$4&lt;&gt;"","摘　　要","")</f>
        <v>摘　　要</v>
      </c>
      <c r="C34" s="61"/>
      <c r="D34" s="62" t="str">
        <f aca="false">IF(助手收入!$R$4&lt;&gt;"","科　　　　目","")</f>
        <v>科　　　　目</v>
      </c>
      <c r="E34" s="62"/>
      <c r="F34" s="61" t="str">
        <f aca="false">IF(助手收入!$R$4&lt;&gt;"","借 方 金 额","")</f>
        <v>借 方 金 额</v>
      </c>
      <c r="G34" s="62" t="str">
        <f aca="false">IF(助手收入!$R$4&lt;&gt;"","贷 方 金 额","")</f>
        <v>贷 方 金 额</v>
      </c>
      <c r="H34" s="63" t="str">
        <f aca="false">IF(助手收入!$R$4&lt;&gt;"","√","")</f>
        <v>√</v>
      </c>
      <c r="I34" s="64" t="str">
        <f aca="false">IF(助手收入!$R$4&lt;&gt;"","附单据  张","")</f>
        <v>附单据  张</v>
      </c>
    </row>
    <row r="35" customFormat="false" ht="12.75" hidden="false" customHeight="true" outlineLevel="0" collapsed="false">
      <c r="B35" s="61"/>
      <c r="C35" s="61"/>
      <c r="D35" s="23" t="str">
        <f aca="false">IF(助手收入!$R$4&lt;&gt;"","总 账 科 目","")</f>
        <v>总 账 科 目</v>
      </c>
      <c r="E35" s="23" t="str">
        <f aca="false">IF(助手收入!$R$4&lt;&gt;"","明 细 科 目","")</f>
        <v>明 细 科 目</v>
      </c>
      <c r="F35" s="65"/>
      <c r="G35" s="66"/>
      <c r="H35" s="63"/>
      <c r="I35" s="64"/>
    </row>
    <row r="36" customFormat="false" ht="23.25" hidden="false" customHeight="true" outlineLevel="0" collapsed="false">
      <c r="B36" s="67" t="str">
        <f aca="false">IFERROR(INDEX(分录收入!$M:$M,MATCH($L36,分录收入!$L:$L,0)),"")</f>
        <v>7月收入</v>
      </c>
      <c r="C36" s="67"/>
      <c r="D36" s="23" t="str">
        <f aca="false">IFERROR(INDEX(分录收入!$E:$E,MATCH($L36,分录收入!$L:$L,0)),"")</f>
        <v>库存现金</v>
      </c>
      <c r="E36" s="23" t="str">
        <f aca="false">IFERROR(INDEX(分录收入!$F:$F,MATCH($L36,分录收入!$L:$L,0)),"")</f>
        <v/>
      </c>
      <c r="F36" s="68" t="n">
        <f aca="false">IFERROR(INDEX(分录收入!$H:$H,MATCH($L36,分录收入!$L:$L,0)),"")</f>
        <v>290970.85</v>
      </c>
      <c r="G36" s="69" t="str">
        <f aca="false">IFERROR(INDEX(分录收入!$I:$I,MATCH($L36,分录收入!$L:$L,0)),"")</f>
        <v/>
      </c>
      <c r="H36" s="23"/>
      <c r="I36" s="70"/>
      <c r="L36" s="71" t="n">
        <f aca="false">IF(助手收入!$R$4="",-1,助手收入!$R$4*100+(助手收入!$S$4-1)*6+1)</f>
        <v>201</v>
      </c>
    </row>
    <row r="37" customFormat="false" ht="23.25" hidden="false" customHeight="true" outlineLevel="0" collapsed="false">
      <c r="B37" s="67" t="str">
        <f aca="false">""</f>
        <v/>
      </c>
      <c r="C37" s="67"/>
      <c r="D37" s="23" t="str">
        <f aca="false">IFERROR(INDEX(分录收入!$E:$E,MATCH($L37,分录收入!$L:$L,0)),"")</f>
        <v>应收账款</v>
      </c>
      <c r="E37" s="23" t="str">
        <f aca="false">IFERROR(INDEX(分录收入!$F:$F,MATCH($L37,分录收入!$L:$L,0)),"")</f>
        <v>聚合支付</v>
      </c>
      <c r="F37" s="68" t="n">
        <f aca="false">IFERROR(INDEX(分录收入!$H:$H,MATCH($L37,分录收入!$L:$L,0)),"")</f>
        <v>102925.1</v>
      </c>
      <c r="G37" s="69" t="str">
        <f aca="false">IFERROR(INDEX(分录收入!$I:$I,MATCH($L37,分录收入!$L:$L,0)),"")</f>
        <v/>
      </c>
      <c r="H37" s="23"/>
      <c r="I37" s="70"/>
      <c r="L37" s="71" t="n">
        <f aca="false">IF(助手收入!$R$4="",-1,助手收入!$R$4*100+(助手收入!$S$4-1)*6+2)</f>
        <v>202</v>
      </c>
    </row>
    <row r="38" customFormat="false" ht="23.25" hidden="false" customHeight="true" outlineLevel="0" collapsed="false">
      <c r="B38" s="67" t="str">
        <f aca="false">""</f>
        <v/>
      </c>
      <c r="C38" s="67"/>
      <c r="D38" s="23" t="str">
        <f aca="false">IFERROR(INDEX(分录收入!$E:$E,MATCH($L38,分录收入!$L:$L,0)),"")</f>
        <v>应收账款</v>
      </c>
      <c r="E38" s="23" t="str">
        <f aca="false">IFERROR(INDEX(分录收入!$F:$F,MATCH($L38,分录收入!$L:$L,0)),"")</f>
        <v>医保</v>
      </c>
      <c r="F38" s="68" t="n">
        <f aca="false">IFERROR(INDEX(分录收入!$H:$H,MATCH($L38,分录收入!$L:$L,0)),"")</f>
        <v>45021.37</v>
      </c>
      <c r="G38" s="69" t="str">
        <f aca="false">IFERROR(INDEX(分录收入!$I:$I,MATCH($L38,分录收入!$L:$L,0)),"")</f>
        <v/>
      </c>
      <c r="H38" s="23"/>
      <c r="I38" s="70"/>
      <c r="L38" s="71" t="n">
        <f aca="false">IF(助手收入!$R$4="",-1,助手收入!$R$4*100+(助手收入!$S$4-1)*6+3)</f>
        <v>203</v>
      </c>
    </row>
    <row r="39" customFormat="false" ht="23.25" hidden="false" customHeight="true" outlineLevel="0" collapsed="false">
      <c r="B39" s="67" t="str">
        <f aca="false">""</f>
        <v/>
      </c>
      <c r="C39" s="67"/>
      <c r="D39" s="23" t="str">
        <f aca="false">IFERROR(INDEX(分录收入!$E:$E,MATCH($L39,分录收入!$L:$L,0)),"")</f>
        <v>其他应收款</v>
      </c>
      <c r="E39" s="23" t="str">
        <f aca="false">IFERROR(INDEX(分录收入!$F:$F,MATCH($L39,分录收入!$L:$L,0)),"")</f>
        <v>储值卡</v>
      </c>
      <c r="F39" s="68" t="n">
        <f aca="false">IFERROR(INDEX(分录收入!$H:$H,MATCH($L39,分录收入!$L:$L,0)),"")</f>
        <v>2656.85</v>
      </c>
      <c r="G39" s="69" t="str">
        <f aca="false">IFERROR(INDEX(分录收入!$I:$I,MATCH($L39,分录收入!$L:$L,0)),"")</f>
        <v/>
      </c>
      <c r="H39" s="23"/>
      <c r="I39" s="70"/>
      <c r="L39" s="71" t="n">
        <f aca="false">IF(助手收入!$R$4="",-1,助手收入!$R$4*100+(助手收入!$S$4-1)*6+4)</f>
        <v>204</v>
      </c>
    </row>
    <row r="40" customFormat="false" ht="23.25" hidden="false" customHeight="true" outlineLevel="0" collapsed="false">
      <c r="B40" s="67" t="str">
        <f aca="false">""</f>
        <v/>
      </c>
      <c r="C40" s="67"/>
      <c r="D40" s="23" t="str">
        <f aca="false">IFERROR(INDEX(分录收入!$E:$E,MATCH($L40,分录收入!$L:$L,0)),"")</f>
        <v>销售费用</v>
      </c>
      <c r="E40" s="23" t="str">
        <f aca="false">IFERROR(INDEX(分录收入!$F:$F,MATCH($L40,分录收入!$L:$L,0)),"")</f>
        <v>促销费</v>
      </c>
      <c r="F40" s="68" t="n">
        <f aca="false">IFERROR(INDEX(分录收入!$H:$H,MATCH($L40,分录收入!$L:$L,0)),"")</f>
        <v>2268.63</v>
      </c>
      <c r="G40" s="69" t="str">
        <f aca="false">IFERROR(INDEX(分录收入!$I:$I,MATCH($L40,分录收入!$L:$L,0)),"")</f>
        <v/>
      </c>
      <c r="H40" s="23"/>
      <c r="I40" s="70"/>
      <c r="L40" s="71" t="n">
        <f aca="false">IF(助手收入!$R$4="",-1,助手收入!$R$4*100+(助手收入!$S$4-1)*6+5)</f>
        <v>205</v>
      </c>
    </row>
    <row r="41" customFormat="false" ht="23.25" hidden="false" customHeight="true" outlineLevel="0" collapsed="false">
      <c r="B41" s="67" t="str">
        <f aca="false">""</f>
        <v/>
      </c>
      <c r="C41" s="67"/>
      <c r="D41" s="23" t="str">
        <f aca="false">IFERROR(INDEX(分录收入!$E:$E,MATCH($L41,分录收入!$L:$L,0)),"")</f>
        <v>财务费用</v>
      </c>
      <c r="E41" s="23" t="str">
        <f aca="false">IFERROR(INDEX(分录收入!$F:$F,MATCH($L41,分录收入!$L:$L,0)),"")</f>
        <v>手续费</v>
      </c>
      <c r="F41" s="68" t="n">
        <f aca="false">IFERROR(INDEX(分录收入!$H:$H,MATCH($L41,分录收入!$L:$L,0)),"")</f>
        <v>278.65</v>
      </c>
      <c r="G41" s="69" t="str">
        <f aca="false">IFERROR(INDEX(分录收入!$I:$I,MATCH($L41,分录收入!$L:$L,0)),"")</f>
        <v/>
      </c>
      <c r="H41" s="23"/>
      <c r="I41" s="70"/>
      <c r="L41" s="71" t="n">
        <f aca="false">IF(助手收入!$R$4="",-1,助手收入!$R$4*100+(助手收入!$S$4-1)*6+6)</f>
        <v>206</v>
      </c>
    </row>
    <row r="42" customFormat="false" ht="23.25" hidden="false" customHeight="true" outlineLevel="0" collapsed="false">
      <c r="B42" s="72" t="str">
        <f aca="false">IF(助手收入!$T$4=1,"合计：","")</f>
        <v/>
      </c>
      <c r="C42" s="73" t="str">
        <f aca="false">IF(助手收入!$T$4=1,$F42,"")</f>
        <v/>
      </c>
      <c r="D42" s="74"/>
      <c r="E42" s="74"/>
      <c r="F42" s="75" t="str">
        <f aca="false">IF(助手收入!$T$4=1,INDEX(助手收入!$N$2:$N$66,助手收入!$R$4),"")</f>
        <v/>
      </c>
      <c r="G42" s="76" t="str">
        <f aca="false">IF(助手收入!$T$4=1,INDEX(助手收入!$O$2:$O$66,助手收入!$R$4),"")</f>
        <v/>
      </c>
      <c r="H42" s="74"/>
      <c r="I42" s="77"/>
    </row>
    <row r="43" customFormat="false" ht="6" hidden="false" customHeight="true" outlineLevel="0" collapsed="false"/>
    <row r="44" customFormat="false" ht="13.5" hidden="false" customHeight="false" outlineLevel="0" collapsed="false">
      <c r="B44" s="78" t="str">
        <f aca="false">IF(助手收入!$R$4&lt;&gt;"","会计主管：","")</f>
        <v>会计主管：</v>
      </c>
      <c r="D44" s="78" t="str">
        <f aca="false">IF(助手收入!$R$4&lt;&gt;"","会计：","")</f>
        <v>会计：</v>
      </c>
      <c r="E44" s="78" t="str">
        <f aca="false">IF(助手收入!$R$4&lt;&gt;"","出纳：","")</f>
        <v>出纳：</v>
      </c>
      <c r="F44" s="78" t="str">
        <f aca="false">IF(助手收入!$R$4&lt;&gt;"","复核：","")</f>
        <v>复核：</v>
      </c>
      <c r="G44" s="78" t="str">
        <f aca="false">IF(助手收入!$R$4&lt;&gt;"","制单：","")</f>
        <v>制单：</v>
      </c>
    </row>
    <row r="45" customFormat="false" ht="3" hidden="false" customHeight="true" outlineLevel="0" collapsed="false"/>
    <row r="46" customFormat="false" ht="19.5" hidden="false" customHeight="true" outlineLevel="0" collapsed="false">
      <c r="B46" s="53" t="str">
        <f aca="false">IF(助手收入!$R$5&lt;&gt;"","记  账  凭  证","")</f>
        <v>记  账  凭  证</v>
      </c>
      <c r="C46" s="53"/>
      <c r="D46" s="53"/>
      <c r="E46" s="53"/>
      <c r="F46" s="53"/>
      <c r="G46" s="53"/>
      <c r="H46" s="53"/>
      <c r="I46" s="53"/>
    </row>
    <row r="47" customFormat="false" ht="3" hidden="false" customHeight="true" outlineLevel="0" collapsed="false"/>
    <row r="48" customFormat="false" ht="15" hidden="false" customHeight="true" outlineLevel="0" collapsed="false">
      <c r="C48" s="56" t="n">
        <f aca="false">IF(助手收入!$R$5&lt;&gt;"",INDEX(助手收入!$B$2:$B$66,助手收入!$R$5),"")</f>
        <v>2002</v>
      </c>
      <c r="D48" s="57" t="n">
        <f aca="false">IF(助手收入!$R$5&lt;&gt;"",参数!$B$2,"")</f>
        <v>46234</v>
      </c>
      <c r="E48" s="57"/>
      <c r="F48" s="58" t="str">
        <f aca="false">IF(助手收入!$R$5&lt;&gt;"",INDEX(助手收入!$C$2:$C$66,助手收入!$R$5)&amp;"  字第 "&amp;IF(参数!$B$9="是",INDEX(助手收入!$P$2:$P$66,助手收入!$R$5),"　　　　")&amp;" 号"&amp;IF(INDEX(助手收入!$L$2:$L$66,助手收入!$R$5)&gt;1,"  (共"&amp;INDEX(助手收入!$L$2:$L$66,助手收入!$R$5)&amp;"页 第"&amp;助手收入!$S$5&amp;"页)",""),"")</f>
        <v>新隆店  字第 　　　　 号  (共2页 第2页)</v>
      </c>
      <c r="G48" s="58"/>
      <c r="H48" s="58"/>
      <c r="I48" s="58"/>
      <c r="M48" s="59" t="n">
        <f aca="false">IF(助手收入!$R$5="","",助手收入!$Q$5)</f>
        <v>4</v>
      </c>
      <c r="N48" s="60" t="n">
        <f aca="false">IF(助手收入!$R$5="","",INDEX(助手收入!$P$2:$P$66,助手收入!$R$5))</f>
        <v>2</v>
      </c>
      <c r="O48" s="55" t="str">
        <f aca="false">IF(助手收入!$R$5="","",INDEX(助手收入!$C$2:$C$66,助手收入!$R$5)&amp;"  字第 "&amp;INDEX(助手收入!$P$2:$P$66,助手收入!$R$5)&amp;" 号"&amp;IF(INDEX(助手收入!$L$2:$L$66,助手收入!$R$5)&gt;1,"  (共"&amp;INDEX(助手收入!$L$2:$L$66,助手收入!$R$5)&amp;"页 第"&amp;助手收入!$S$5&amp;"页)",""))</f>
        <v>新隆店  字第 2 号  (共2页 第2页)</v>
      </c>
    </row>
    <row r="49" customFormat="false" ht="12.75" hidden="false" customHeight="true" outlineLevel="0" collapsed="false">
      <c r="B49" s="61" t="str">
        <f aca="false">IF(助手收入!$R$5&lt;&gt;"","摘　　要","")</f>
        <v>摘　　要</v>
      </c>
      <c r="C49" s="61"/>
      <c r="D49" s="62" t="str">
        <f aca="false">IF(助手收入!$R$5&lt;&gt;"","科　　　　目","")</f>
        <v>科　　　　目</v>
      </c>
      <c r="E49" s="62"/>
      <c r="F49" s="61" t="str">
        <f aca="false">IF(助手收入!$R$5&lt;&gt;"","借 方 金 额","")</f>
        <v>借 方 金 额</v>
      </c>
      <c r="G49" s="62" t="str">
        <f aca="false">IF(助手收入!$R$5&lt;&gt;"","贷 方 金 额","")</f>
        <v>贷 方 金 额</v>
      </c>
      <c r="H49" s="63" t="str">
        <f aca="false">IF(助手收入!$R$5&lt;&gt;"","√","")</f>
        <v>√</v>
      </c>
      <c r="I49" s="64" t="str">
        <f aca="false">IF(助手收入!$R$5&lt;&gt;"","附单据  张","")</f>
        <v>附单据  张</v>
      </c>
    </row>
    <row r="50" customFormat="false" ht="12.75" hidden="false" customHeight="true" outlineLevel="0" collapsed="false">
      <c r="B50" s="61"/>
      <c r="C50" s="61"/>
      <c r="D50" s="23" t="str">
        <f aca="false">IF(助手收入!$R$5&lt;&gt;"","总 账 科 目","")</f>
        <v>总 账 科 目</v>
      </c>
      <c r="E50" s="23" t="str">
        <f aca="false">IF(助手收入!$R$5&lt;&gt;"","明 细 科 目","")</f>
        <v>明 细 科 目</v>
      </c>
      <c r="F50" s="65"/>
      <c r="G50" s="66"/>
      <c r="H50" s="63"/>
      <c r="I50" s="64"/>
    </row>
    <row r="51" customFormat="false" ht="23.25" hidden="false" customHeight="true" outlineLevel="0" collapsed="false">
      <c r="B51" s="67" t="str">
        <f aca="false">IFERROR(INDEX(分录收入!$M:$M,MATCH($L51,分录收入!$L:$L,0)),"")</f>
        <v>7月收入</v>
      </c>
      <c r="C51" s="67"/>
      <c r="D51" s="23" t="str">
        <f aca="false">IFERROR(INDEX(分录收入!$E:$E,MATCH($L51,分录收入!$L:$L,0)),"")</f>
        <v>主营业务收入</v>
      </c>
      <c r="E51" s="23" t="str">
        <f aca="false">IFERROR(INDEX(分录收入!$F:$F,MATCH($L51,分录收入!$L:$L,0)),"")</f>
        <v/>
      </c>
      <c r="F51" s="68" t="str">
        <f aca="false">IFERROR(INDEX(分录收入!$H:$H,MATCH($L51,分录收入!$L:$L,0)),"")</f>
        <v/>
      </c>
      <c r="G51" s="69" t="n">
        <f aca="false">IFERROR(INDEX(分录收入!$I:$I,MATCH($L51,分录收入!$L:$L,0)),"")</f>
        <v>444121.45</v>
      </c>
      <c r="H51" s="23"/>
      <c r="I51" s="70"/>
      <c r="L51" s="71" t="n">
        <f aca="false">IF(助手收入!$R$5="",-1,助手收入!$R$5*100+(助手收入!$S$5-1)*6+1)</f>
        <v>207</v>
      </c>
    </row>
    <row r="52" customFormat="false" ht="23.25" hidden="false" customHeight="true" outlineLevel="0" collapsed="false">
      <c r="B52" s="67" t="str">
        <f aca="false">""</f>
        <v/>
      </c>
      <c r="C52" s="67"/>
      <c r="D52" s="23" t="str">
        <f aca="false">IFERROR(INDEX(分录收入!$E:$E,MATCH($L52,分录收入!$L:$L,0)),"")</f>
        <v/>
      </c>
      <c r="E52" s="23" t="str">
        <f aca="false">IFERROR(INDEX(分录收入!$F:$F,MATCH($L52,分录收入!$L:$L,0)),"")</f>
        <v/>
      </c>
      <c r="F52" s="68" t="str">
        <f aca="false">IFERROR(INDEX(分录收入!$H:$H,MATCH($L52,分录收入!$L:$L,0)),"")</f>
        <v/>
      </c>
      <c r="G52" s="69" t="str">
        <f aca="false">IFERROR(INDEX(分录收入!$I:$I,MATCH($L52,分录收入!$L:$L,0)),"")</f>
        <v/>
      </c>
      <c r="H52" s="23"/>
      <c r="I52" s="70"/>
      <c r="L52" s="71" t="n">
        <f aca="false">IF(助手收入!$R$5="",-1,助手收入!$R$5*100+(助手收入!$S$5-1)*6+2)</f>
        <v>208</v>
      </c>
    </row>
    <row r="53" customFormat="false" ht="23.25" hidden="false" customHeight="true" outlineLevel="0" collapsed="false">
      <c r="B53" s="67" t="str">
        <f aca="false">""</f>
        <v/>
      </c>
      <c r="C53" s="67"/>
      <c r="D53" s="23" t="str">
        <f aca="false">IFERROR(INDEX(分录收入!$E:$E,MATCH($L53,分录收入!$L:$L,0)),"")</f>
        <v/>
      </c>
      <c r="E53" s="23" t="str">
        <f aca="false">IFERROR(INDEX(分录收入!$F:$F,MATCH($L53,分录收入!$L:$L,0)),"")</f>
        <v/>
      </c>
      <c r="F53" s="68" t="str">
        <f aca="false">IFERROR(INDEX(分录收入!$H:$H,MATCH($L53,分录收入!$L:$L,0)),"")</f>
        <v/>
      </c>
      <c r="G53" s="69" t="str">
        <f aca="false">IFERROR(INDEX(分录收入!$I:$I,MATCH($L53,分录收入!$L:$L,0)),"")</f>
        <v/>
      </c>
      <c r="H53" s="23"/>
      <c r="I53" s="70"/>
      <c r="L53" s="71" t="n">
        <f aca="false">IF(助手收入!$R$5="",-1,助手收入!$R$5*100+(助手收入!$S$5-1)*6+3)</f>
        <v>209</v>
      </c>
    </row>
    <row r="54" customFormat="false" ht="23.25" hidden="false" customHeight="true" outlineLevel="0" collapsed="false">
      <c r="B54" s="67" t="str">
        <f aca="false">""</f>
        <v/>
      </c>
      <c r="C54" s="67"/>
      <c r="D54" s="23" t="str">
        <f aca="false">IFERROR(INDEX(分录收入!$E:$E,MATCH($L54,分录收入!$L:$L,0)),"")</f>
        <v/>
      </c>
      <c r="E54" s="23" t="str">
        <f aca="false">IFERROR(INDEX(分录收入!$F:$F,MATCH($L54,分录收入!$L:$L,0)),"")</f>
        <v/>
      </c>
      <c r="F54" s="68" t="str">
        <f aca="false">IFERROR(INDEX(分录收入!$H:$H,MATCH($L54,分录收入!$L:$L,0)),"")</f>
        <v/>
      </c>
      <c r="G54" s="69" t="str">
        <f aca="false">IFERROR(INDEX(分录收入!$I:$I,MATCH($L54,分录收入!$L:$L,0)),"")</f>
        <v/>
      </c>
      <c r="H54" s="23"/>
      <c r="I54" s="70"/>
      <c r="L54" s="71" t="n">
        <f aca="false">IF(助手收入!$R$5="",-1,助手收入!$R$5*100+(助手收入!$S$5-1)*6+4)</f>
        <v>210</v>
      </c>
    </row>
    <row r="55" customFormat="false" ht="23.25" hidden="false" customHeight="true" outlineLevel="0" collapsed="false">
      <c r="B55" s="67" t="str">
        <f aca="false">""</f>
        <v/>
      </c>
      <c r="C55" s="67"/>
      <c r="D55" s="23" t="str">
        <f aca="false">IFERROR(INDEX(分录收入!$E:$E,MATCH($L55,分录收入!$L:$L,0)),"")</f>
        <v/>
      </c>
      <c r="E55" s="23" t="str">
        <f aca="false">IFERROR(INDEX(分录收入!$F:$F,MATCH($L55,分录收入!$L:$L,0)),"")</f>
        <v/>
      </c>
      <c r="F55" s="68" t="str">
        <f aca="false">IFERROR(INDEX(分录收入!$H:$H,MATCH($L55,分录收入!$L:$L,0)),"")</f>
        <v/>
      </c>
      <c r="G55" s="69" t="str">
        <f aca="false">IFERROR(INDEX(分录收入!$I:$I,MATCH($L55,分录收入!$L:$L,0)),"")</f>
        <v/>
      </c>
      <c r="H55" s="23"/>
      <c r="I55" s="70"/>
      <c r="L55" s="71" t="n">
        <f aca="false">IF(助手收入!$R$5="",-1,助手收入!$R$5*100+(助手收入!$S$5-1)*6+5)</f>
        <v>211</v>
      </c>
    </row>
    <row r="56" customFormat="false" ht="23.25" hidden="false" customHeight="true" outlineLevel="0" collapsed="false">
      <c r="B56" s="67" t="str">
        <f aca="false">""</f>
        <v/>
      </c>
      <c r="C56" s="67"/>
      <c r="D56" s="23" t="str">
        <f aca="false">IFERROR(INDEX(分录收入!$E:$E,MATCH($L56,分录收入!$L:$L,0)),"")</f>
        <v/>
      </c>
      <c r="E56" s="23" t="str">
        <f aca="false">IFERROR(INDEX(分录收入!$F:$F,MATCH($L56,分录收入!$L:$L,0)),"")</f>
        <v/>
      </c>
      <c r="F56" s="68" t="str">
        <f aca="false">IFERROR(INDEX(分录收入!$H:$H,MATCH($L56,分录收入!$L:$L,0)),"")</f>
        <v/>
      </c>
      <c r="G56" s="69" t="str">
        <f aca="false">IFERROR(INDEX(分录收入!$I:$I,MATCH($L56,分录收入!$L:$L,0)),"")</f>
        <v/>
      </c>
      <c r="H56" s="23"/>
      <c r="I56" s="70"/>
      <c r="L56" s="71" t="n">
        <f aca="false">IF(助手收入!$R$5="",-1,助手收入!$R$5*100+(助手收入!$S$5-1)*6+6)</f>
        <v>212</v>
      </c>
    </row>
    <row r="57" customFormat="false" ht="23.25" hidden="false" customHeight="true" outlineLevel="0" collapsed="false">
      <c r="B57" s="72" t="str">
        <f aca="false">IF(助手收入!$T$5=1,"合计：","")</f>
        <v>合计：</v>
      </c>
      <c r="C57" s="73" t="n">
        <f aca="false">IF(助手收入!$T$5=1,$F57,"")</f>
        <v>444121.45</v>
      </c>
      <c r="D57" s="74"/>
      <c r="E57" s="74"/>
      <c r="F57" s="75" t="n">
        <f aca="false">IF(助手收入!$T$5=1,INDEX(助手收入!$N$2:$N$66,助手收入!$R$5),"")</f>
        <v>444121.45</v>
      </c>
      <c r="G57" s="76" t="n">
        <f aca="false">IF(助手收入!$T$5=1,INDEX(助手收入!$O$2:$O$66,助手收入!$R$5),"")</f>
        <v>444121.45</v>
      </c>
      <c r="H57" s="74"/>
      <c r="I57" s="77"/>
    </row>
    <row r="58" customFormat="false" ht="6" hidden="false" customHeight="true" outlineLevel="0" collapsed="false"/>
    <row r="59" customFormat="false" ht="13.5" hidden="false" customHeight="false" outlineLevel="0" collapsed="false">
      <c r="B59" s="78" t="str">
        <f aca="false">IF(助手收入!$R$5&lt;&gt;"","会计主管：","")</f>
        <v>会计主管：</v>
      </c>
      <c r="D59" s="78" t="str">
        <f aca="false">IF(助手收入!$R$5&lt;&gt;"","会计：","")</f>
        <v>会计：</v>
      </c>
      <c r="E59" s="78" t="str">
        <f aca="false">IF(助手收入!$R$5&lt;&gt;"","出纳：","")</f>
        <v>出纳：</v>
      </c>
      <c r="F59" s="78" t="str">
        <f aca="false">IF(助手收入!$R$5&lt;&gt;"","复核：","")</f>
        <v>复核：</v>
      </c>
      <c r="G59" s="78" t="str">
        <f aca="false">IF(助手收入!$R$5&lt;&gt;"","制单：","")</f>
        <v>制单：</v>
      </c>
    </row>
    <row r="60" customFormat="false" ht="3" hidden="false" customHeight="true" outlineLevel="0" collapsed="false"/>
    <row r="61" customFormat="false" ht="19.5" hidden="false" customHeight="true" outlineLevel="0" collapsed="false">
      <c r="B61" s="53" t="str">
        <f aca="false">IF(助手收入!$R$6&lt;&gt;"","记  账  凭  证","")</f>
        <v>记  账  凭  证</v>
      </c>
      <c r="C61" s="53"/>
      <c r="D61" s="53"/>
      <c r="E61" s="53"/>
      <c r="F61" s="53"/>
      <c r="G61" s="53"/>
      <c r="H61" s="53"/>
      <c r="I61" s="53"/>
    </row>
    <row r="62" customFormat="false" ht="3" hidden="false" customHeight="true" outlineLevel="0" collapsed="false"/>
    <row r="63" customFormat="false" ht="15" hidden="false" customHeight="true" outlineLevel="0" collapsed="false">
      <c r="C63" s="56" t="n">
        <f aca="false">IF(助手收入!$R$6&lt;&gt;"",INDEX(助手收入!$B$2:$B$66,助手收入!$R$6),"")</f>
        <v>2003</v>
      </c>
      <c r="D63" s="57" t="n">
        <f aca="false">IF(助手收入!$R$6&lt;&gt;"",参数!$B$2,"")</f>
        <v>46234</v>
      </c>
      <c r="E63" s="57"/>
      <c r="F63" s="58" t="str">
        <f aca="false">IF(助手收入!$R$6&lt;&gt;"",INDEX(助手收入!$C$2:$C$66,助手收入!$R$6)&amp;"  字第 "&amp;IF(参数!$B$9="是",INDEX(助手收入!$P$2:$P$66,助手收入!$R$6),"　　　　")&amp;" 号"&amp;IF(INDEX(助手收入!$L$2:$L$66,助手收入!$R$6)&gt;1,"  (共"&amp;INDEX(助手收入!$L$2:$L$66,助手收入!$R$6)&amp;"页 第"&amp;助手收入!$S$6&amp;"页)",""),"")</f>
        <v>康庄路店  字第 　　　　 号  (共2页 第1页)</v>
      </c>
      <c r="G63" s="58"/>
      <c r="H63" s="58"/>
      <c r="I63" s="58"/>
      <c r="M63" s="59" t="n">
        <f aca="false">IF(助手收入!$R$6="","",助手收入!$Q$6)</f>
        <v>5</v>
      </c>
      <c r="N63" s="60" t="n">
        <f aca="false">IF(助手收入!$R$6="","",INDEX(助手收入!$P$2:$P$66,助手收入!$R$6))</f>
        <v>3</v>
      </c>
      <c r="O63" s="55" t="str">
        <f aca="false">IF(助手收入!$R$6="","",INDEX(助手收入!$C$2:$C$66,助手收入!$R$6)&amp;"  字第 "&amp;INDEX(助手收入!$P$2:$P$66,助手收入!$R$6)&amp;" 号"&amp;IF(INDEX(助手收入!$L$2:$L$66,助手收入!$R$6)&gt;1,"  (共"&amp;INDEX(助手收入!$L$2:$L$66,助手收入!$R$6)&amp;"页 第"&amp;助手收入!$S$6&amp;"页)",""))</f>
        <v>康庄路店  字第 3 号  (共2页 第1页)</v>
      </c>
    </row>
    <row r="64" customFormat="false" ht="12.75" hidden="false" customHeight="true" outlineLevel="0" collapsed="false">
      <c r="B64" s="61" t="str">
        <f aca="false">IF(助手收入!$R$6&lt;&gt;"","摘　　要","")</f>
        <v>摘　　要</v>
      </c>
      <c r="C64" s="61"/>
      <c r="D64" s="62" t="str">
        <f aca="false">IF(助手收入!$R$6&lt;&gt;"","科　　　　目","")</f>
        <v>科　　　　目</v>
      </c>
      <c r="E64" s="62"/>
      <c r="F64" s="61" t="str">
        <f aca="false">IF(助手收入!$R$6&lt;&gt;"","借 方 金 额","")</f>
        <v>借 方 金 额</v>
      </c>
      <c r="G64" s="62" t="str">
        <f aca="false">IF(助手收入!$R$6&lt;&gt;"","贷 方 金 额","")</f>
        <v>贷 方 金 额</v>
      </c>
      <c r="H64" s="63" t="str">
        <f aca="false">IF(助手收入!$R$6&lt;&gt;"","√","")</f>
        <v>√</v>
      </c>
      <c r="I64" s="64" t="str">
        <f aca="false">IF(助手收入!$R$6&lt;&gt;"","附单据  张","")</f>
        <v>附单据  张</v>
      </c>
    </row>
    <row r="65" customFormat="false" ht="12.75" hidden="false" customHeight="true" outlineLevel="0" collapsed="false">
      <c r="B65" s="61"/>
      <c r="C65" s="61"/>
      <c r="D65" s="23" t="str">
        <f aca="false">IF(助手收入!$R$6&lt;&gt;"","总 账 科 目","")</f>
        <v>总 账 科 目</v>
      </c>
      <c r="E65" s="23" t="str">
        <f aca="false">IF(助手收入!$R$6&lt;&gt;"","明 细 科 目","")</f>
        <v>明 细 科 目</v>
      </c>
      <c r="F65" s="65"/>
      <c r="G65" s="66"/>
      <c r="H65" s="63"/>
      <c r="I65" s="64"/>
    </row>
    <row r="66" customFormat="false" ht="23.25" hidden="false" customHeight="true" outlineLevel="0" collapsed="false">
      <c r="B66" s="67" t="str">
        <f aca="false">IFERROR(INDEX(分录收入!$M:$M,MATCH($L66,分录收入!$L:$L,0)),"")</f>
        <v>7月收入</v>
      </c>
      <c r="C66" s="67"/>
      <c r="D66" s="23" t="str">
        <f aca="false">IFERROR(INDEX(分录收入!$E:$E,MATCH($L66,分录收入!$L:$L,0)),"")</f>
        <v>库存现金</v>
      </c>
      <c r="E66" s="23" t="str">
        <f aca="false">IFERROR(INDEX(分录收入!$F:$F,MATCH($L66,分录收入!$L:$L,0)),"")</f>
        <v/>
      </c>
      <c r="F66" s="68" t="n">
        <f aca="false">IFERROR(INDEX(分录收入!$H:$H,MATCH($L66,分录收入!$L:$L,0)),"")</f>
        <v>50121.42</v>
      </c>
      <c r="G66" s="69" t="str">
        <f aca="false">IFERROR(INDEX(分录收入!$I:$I,MATCH($L66,分录收入!$L:$L,0)),"")</f>
        <v/>
      </c>
      <c r="H66" s="23"/>
      <c r="I66" s="70"/>
      <c r="L66" s="71" t="n">
        <f aca="false">IF(助手收入!$R$6="",-1,助手收入!$R$6*100+(助手收入!$S$6-1)*6+1)</f>
        <v>301</v>
      </c>
    </row>
    <row r="67" customFormat="false" ht="23.25" hidden="false" customHeight="true" outlineLevel="0" collapsed="false">
      <c r="B67" s="67" t="str">
        <f aca="false">""</f>
        <v/>
      </c>
      <c r="C67" s="67"/>
      <c r="D67" s="23" t="str">
        <f aca="false">IFERROR(INDEX(分录收入!$E:$E,MATCH($L67,分录收入!$L:$L,0)),"")</f>
        <v>应收账款</v>
      </c>
      <c r="E67" s="23" t="str">
        <f aca="false">IFERROR(INDEX(分录收入!$F:$F,MATCH($L67,分录收入!$L:$L,0)),"")</f>
        <v>聚合支付</v>
      </c>
      <c r="F67" s="68" t="n">
        <f aca="false">IFERROR(INDEX(分录收入!$H:$H,MATCH($L67,分录收入!$L:$L,0)),"")</f>
        <v>9782.31</v>
      </c>
      <c r="G67" s="69" t="str">
        <f aca="false">IFERROR(INDEX(分录收入!$I:$I,MATCH($L67,分录收入!$L:$L,0)),"")</f>
        <v/>
      </c>
      <c r="H67" s="23"/>
      <c r="I67" s="70"/>
      <c r="L67" s="71" t="n">
        <f aca="false">IF(助手收入!$R$6="",-1,助手收入!$R$6*100+(助手收入!$S$6-1)*6+2)</f>
        <v>302</v>
      </c>
    </row>
    <row r="68" customFormat="false" ht="23.25" hidden="false" customHeight="true" outlineLevel="0" collapsed="false">
      <c r="B68" s="67" t="str">
        <f aca="false">""</f>
        <v/>
      </c>
      <c r="C68" s="67"/>
      <c r="D68" s="23" t="str">
        <f aca="false">IFERROR(INDEX(分录收入!$E:$E,MATCH($L68,分录收入!$L:$L,0)),"")</f>
        <v>应收账款</v>
      </c>
      <c r="E68" s="23" t="str">
        <f aca="false">IFERROR(INDEX(分录收入!$F:$F,MATCH($L68,分录收入!$L:$L,0)),"")</f>
        <v>医保</v>
      </c>
      <c r="F68" s="68" t="n">
        <f aca="false">IFERROR(INDEX(分录收入!$H:$H,MATCH($L68,分录收入!$L:$L,0)),"")</f>
        <v>30850.84</v>
      </c>
      <c r="G68" s="69" t="str">
        <f aca="false">IFERROR(INDEX(分录收入!$I:$I,MATCH($L68,分录收入!$L:$L,0)),"")</f>
        <v/>
      </c>
      <c r="H68" s="23"/>
      <c r="I68" s="70"/>
      <c r="L68" s="71" t="n">
        <f aca="false">IF(助手收入!$R$6="",-1,助手收入!$R$6*100+(助手收入!$S$6-1)*6+3)</f>
        <v>303</v>
      </c>
    </row>
    <row r="69" customFormat="false" ht="23.25" hidden="false" customHeight="true" outlineLevel="0" collapsed="false">
      <c r="B69" s="67" t="str">
        <f aca="false">""</f>
        <v/>
      </c>
      <c r="C69" s="67"/>
      <c r="D69" s="23" t="str">
        <f aca="false">IFERROR(INDEX(分录收入!$E:$E,MATCH($L69,分录收入!$L:$L,0)),"")</f>
        <v>应收账款</v>
      </c>
      <c r="E69" s="23" t="str">
        <f aca="false">IFERROR(INDEX(分录收入!$F:$F,MATCH($L69,分录收入!$L:$L,0)),"")</f>
        <v>健e卡</v>
      </c>
      <c r="F69" s="68" t="n">
        <f aca="false">IFERROR(INDEX(分录收入!$H:$H,MATCH($L69,分录收入!$L:$L,0)),"")</f>
        <v>30700.31</v>
      </c>
      <c r="G69" s="69" t="str">
        <f aca="false">IFERROR(INDEX(分录收入!$I:$I,MATCH($L69,分录收入!$L:$L,0)),"")</f>
        <v/>
      </c>
      <c r="H69" s="23"/>
      <c r="I69" s="70"/>
      <c r="L69" s="71" t="n">
        <f aca="false">IF(助手收入!$R$6="",-1,助手收入!$R$6*100+(助手收入!$S$6-1)*6+4)</f>
        <v>304</v>
      </c>
    </row>
    <row r="70" customFormat="false" ht="23.25" hidden="false" customHeight="true" outlineLevel="0" collapsed="false">
      <c r="B70" s="67" t="str">
        <f aca="false">""</f>
        <v/>
      </c>
      <c r="C70" s="67"/>
      <c r="D70" s="23" t="str">
        <f aca="false">IFERROR(INDEX(分录收入!$E:$E,MATCH($L70,分录收入!$L:$L,0)),"")</f>
        <v>应收账款</v>
      </c>
      <c r="E70" s="23" t="str">
        <f aca="false">IFERROR(INDEX(分录收入!$F:$F,MATCH($L70,分录收入!$L:$L,0)),"")</f>
        <v>医卡通</v>
      </c>
      <c r="F70" s="68" t="n">
        <f aca="false">IFERROR(INDEX(分录收入!$H:$H,MATCH($L70,分录收入!$L:$L,0)),"")</f>
        <v>586.28</v>
      </c>
      <c r="G70" s="69" t="str">
        <f aca="false">IFERROR(INDEX(分录收入!$I:$I,MATCH($L70,分录收入!$L:$L,0)),"")</f>
        <v/>
      </c>
      <c r="H70" s="23"/>
      <c r="I70" s="70"/>
      <c r="L70" s="71" t="n">
        <f aca="false">IF(助手收入!$R$6="",-1,助手收入!$R$6*100+(助手收入!$S$6-1)*6+5)</f>
        <v>305</v>
      </c>
    </row>
    <row r="71" customFormat="false" ht="23.25" hidden="false" customHeight="true" outlineLevel="0" collapsed="false">
      <c r="B71" s="67" t="str">
        <f aca="false">""</f>
        <v/>
      </c>
      <c r="C71" s="67"/>
      <c r="D71" s="23" t="str">
        <f aca="false">IFERROR(INDEX(分录收入!$E:$E,MATCH($L71,分录收入!$L:$L,0)),"")</f>
        <v>应收账款</v>
      </c>
      <c r="E71" s="23" t="str">
        <f aca="false">IFERROR(INDEX(分录收入!$F:$F,MATCH($L71,分录收入!$L:$L,0)),"")</f>
        <v>美团</v>
      </c>
      <c r="F71" s="68" t="n">
        <f aca="false">IFERROR(INDEX(分录收入!$H:$H,MATCH($L71,分录收入!$L:$L,0)),"")</f>
        <v>92.2</v>
      </c>
      <c r="G71" s="69" t="str">
        <f aca="false">IFERROR(INDEX(分录收入!$I:$I,MATCH($L71,分录收入!$L:$L,0)),"")</f>
        <v/>
      </c>
      <c r="H71" s="23"/>
      <c r="I71" s="70"/>
      <c r="L71" s="71" t="n">
        <f aca="false">IF(助手收入!$R$6="",-1,助手收入!$R$6*100+(助手收入!$S$6-1)*6+6)</f>
        <v>306</v>
      </c>
    </row>
    <row r="72" customFormat="false" ht="23.25" hidden="false" customHeight="true" outlineLevel="0" collapsed="false">
      <c r="B72" s="72" t="str">
        <f aca="false">IF(助手收入!$T$6=1,"合计：","")</f>
        <v/>
      </c>
      <c r="C72" s="73" t="str">
        <f aca="false">IF(助手收入!$T$6=1,$F72,"")</f>
        <v/>
      </c>
      <c r="D72" s="74"/>
      <c r="E72" s="74"/>
      <c r="F72" s="75" t="str">
        <f aca="false">IF(助手收入!$T$6=1,INDEX(助手收入!$N$2:$N$66,助手收入!$R$6),"")</f>
        <v/>
      </c>
      <c r="G72" s="76" t="str">
        <f aca="false">IF(助手收入!$T$6=1,INDEX(助手收入!$O$2:$O$66,助手收入!$R$6),"")</f>
        <v/>
      </c>
      <c r="H72" s="74"/>
      <c r="I72" s="77"/>
    </row>
    <row r="73" customFormat="false" ht="6" hidden="false" customHeight="true" outlineLevel="0" collapsed="false"/>
    <row r="74" customFormat="false" ht="13.5" hidden="false" customHeight="false" outlineLevel="0" collapsed="false">
      <c r="B74" s="78" t="str">
        <f aca="false">IF(助手收入!$R$6&lt;&gt;"","会计主管：","")</f>
        <v>会计主管：</v>
      </c>
      <c r="D74" s="78" t="str">
        <f aca="false">IF(助手收入!$R$6&lt;&gt;"","会计：","")</f>
        <v>会计：</v>
      </c>
      <c r="E74" s="78" t="str">
        <f aca="false">IF(助手收入!$R$6&lt;&gt;"","出纳：","")</f>
        <v>出纳：</v>
      </c>
      <c r="F74" s="78" t="str">
        <f aca="false">IF(助手收入!$R$6&lt;&gt;"","复核：","")</f>
        <v>复核：</v>
      </c>
      <c r="G74" s="78" t="str">
        <f aca="false">IF(助手收入!$R$6&lt;&gt;"","制单：","")</f>
        <v>制单：</v>
      </c>
    </row>
    <row r="75" customFormat="false" ht="3" hidden="false" customHeight="true" outlineLevel="0" collapsed="false"/>
    <row r="76" customFormat="false" ht="19.5" hidden="false" customHeight="true" outlineLevel="0" collapsed="false">
      <c r="B76" s="53" t="str">
        <f aca="false">IF(助手收入!$R$7&lt;&gt;"","记  账  凭  证","")</f>
        <v>记  账  凭  证</v>
      </c>
      <c r="C76" s="53"/>
      <c r="D76" s="53"/>
      <c r="E76" s="53"/>
      <c r="F76" s="53"/>
      <c r="G76" s="53"/>
      <c r="H76" s="53"/>
      <c r="I76" s="53"/>
    </row>
    <row r="77" customFormat="false" ht="3" hidden="false" customHeight="true" outlineLevel="0" collapsed="false"/>
    <row r="78" customFormat="false" ht="15" hidden="false" customHeight="true" outlineLevel="0" collapsed="false">
      <c r="C78" s="56" t="n">
        <f aca="false">IF(助手收入!$R$7&lt;&gt;"",INDEX(助手收入!$B$2:$B$66,助手收入!$R$7),"")</f>
        <v>2003</v>
      </c>
      <c r="D78" s="57" t="n">
        <f aca="false">IF(助手收入!$R$7&lt;&gt;"",参数!$B$2,"")</f>
        <v>46234</v>
      </c>
      <c r="E78" s="57"/>
      <c r="F78" s="58" t="str">
        <f aca="false">IF(助手收入!$R$7&lt;&gt;"",INDEX(助手收入!$C$2:$C$66,助手收入!$R$7)&amp;"  字第 "&amp;IF(参数!$B$9="是",INDEX(助手收入!$P$2:$P$66,助手收入!$R$7),"　　　　")&amp;" 号"&amp;IF(INDEX(助手收入!$L$2:$L$66,助手收入!$R$7)&gt;1,"  (共"&amp;INDEX(助手收入!$L$2:$L$66,助手收入!$R$7)&amp;"页 第"&amp;助手收入!$S$7&amp;"页)",""),"")</f>
        <v>康庄路店  字第 　　　　 号  (共2页 第2页)</v>
      </c>
      <c r="G78" s="58"/>
      <c r="H78" s="58"/>
      <c r="I78" s="58"/>
      <c r="M78" s="59" t="n">
        <f aca="false">IF(助手收入!$R$7="","",助手收入!$Q$7)</f>
        <v>6</v>
      </c>
      <c r="N78" s="60" t="n">
        <f aca="false">IF(助手收入!$R$7="","",INDEX(助手收入!$P$2:$P$66,助手收入!$R$7))</f>
        <v>3</v>
      </c>
      <c r="O78" s="55" t="str">
        <f aca="false">IF(助手收入!$R$7="","",INDEX(助手收入!$C$2:$C$66,助手收入!$R$7)&amp;"  字第 "&amp;INDEX(助手收入!$P$2:$P$66,助手收入!$R$7)&amp;" 号"&amp;IF(INDEX(助手收入!$L$2:$L$66,助手收入!$R$7)&gt;1,"  (共"&amp;INDEX(助手收入!$L$2:$L$66,助手收入!$R$7)&amp;"页 第"&amp;助手收入!$S$7&amp;"页)",""))</f>
        <v>康庄路店  字第 3 号  (共2页 第2页)</v>
      </c>
    </row>
    <row r="79" customFormat="false" ht="12.75" hidden="false" customHeight="true" outlineLevel="0" collapsed="false">
      <c r="B79" s="61" t="str">
        <f aca="false">IF(助手收入!$R$7&lt;&gt;"","摘　　要","")</f>
        <v>摘　　要</v>
      </c>
      <c r="C79" s="61"/>
      <c r="D79" s="62" t="str">
        <f aca="false">IF(助手收入!$R$7&lt;&gt;"","科　　　　目","")</f>
        <v>科　　　　目</v>
      </c>
      <c r="E79" s="62"/>
      <c r="F79" s="61" t="str">
        <f aca="false">IF(助手收入!$R$7&lt;&gt;"","借 方 金 额","")</f>
        <v>借 方 金 额</v>
      </c>
      <c r="G79" s="62" t="str">
        <f aca="false">IF(助手收入!$R$7&lt;&gt;"","贷 方 金 额","")</f>
        <v>贷 方 金 额</v>
      </c>
      <c r="H79" s="63" t="str">
        <f aca="false">IF(助手收入!$R$7&lt;&gt;"","√","")</f>
        <v>√</v>
      </c>
      <c r="I79" s="64" t="str">
        <f aca="false">IF(助手收入!$R$7&lt;&gt;"","附单据  张","")</f>
        <v>附单据  张</v>
      </c>
    </row>
    <row r="80" customFormat="false" ht="12.75" hidden="false" customHeight="true" outlineLevel="0" collapsed="false">
      <c r="B80" s="61"/>
      <c r="C80" s="61"/>
      <c r="D80" s="23" t="str">
        <f aca="false">IF(助手收入!$R$7&lt;&gt;"","总 账 科 目","")</f>
        <v>总 账 科 目</v>
      </c>
      <c r="E80" s="23" t="str">
        <f aca="false">IF(助手收入!$R$7&lt;&gt;"","明 细 科 目","")</f>
        <v>明 细 科 目</v>
      </c>
      <c r="F80" s="65"/>
      <c r="G80" s="66"/>
      <c r="H80" s="63"/>
      <c r="I80" s="64"/>
    </row>
    <row r="81" customFormat="false" ht="23.25" hidden="false" customHeight="true" outlineLevel="0" collapsed="false">
      <c r="B81" s="67" t="str">
        <f aca="false">IFERROR(INDEX(分录收入!$M:$M,MATCH($L81,分录收入!$L:$L,0)),"")</f>
        <v>7月收入</v>
      </c>
      <c r="C81" s="67"/>
      <c r="D81" s="23" t="str">
        <f aca="false">IFERROR(INDEX(分录收入!$E:$E,MATCH($L81,分录收入!$L:$L,0)),"")</f>
        <v>其他应收款</v>
      </c>
      <c r="E81" s="23" t="str">
        <f aca="false">IFERROR(INDEX(分录收入!$F:$F,MATCH($L81,分录收入!$L:$L,0)),"")</f>
        <v>储值卡</v>
      </c>
      <c r="F81" s="68" t="n">
        <f aca="false">IFERROR(INDEX(分录收入!$H:$H,MATCH($L81,分录收入!$L:$L,0)),"")</f>
        <v>4183.84</v>
      </c>
      <c r="G81" s="69" t="str">
        <f aca="false">IFERROR(INDEX(分录收入!$I:$I,MATCH($L81,分录收入!$L:$L,0)),"")</f>
        <v/>
      </c>
      <c r="H81" s="23"/>
      <c r="I81" s="70"/>
      <c r="L81" s="71" t="n">
        <f aca="false">IF(助手收入!$R$7="",-1,助手收入!$R$7*100+(助手收入!$S$7-1)*6+1)</f>
        <v>307</v>
      </c>
    </row>
    <row r="82" customFormat="false" ht="23.25" hidden="false" customHeight="true" outlineLevel="0" collapsed="false">
      <c r="B82" s="67" t="str">
        <f aca="false">""</f>
        <v/>
      </c>
      <c r="C82" s="67"/>
      <c r="D82" s="23" t="str">
        <f aca="false">IFERROR(INDEX(分录收入!$E:$E,MATCH($L82,分录收入!$L:$L,0)),"")</f>
        <v>销售费用</v>
      </c>
      <c r="E82" s="23" t="str">
        <f aca="false">IFERROR(INDEX(分录收入!$F:$F,MATCH($L82,分录收入!$L:$L,0)),"")</f>
        <v>促销费</v>
      </c>
      <c r="F82" s="68" t="n">
        <f aca="false">IFERROR(INDEX(分录收入!$H:$H,MATCH($L82,分录收入!$L:$L,0)),"")</f>
        <v>2034.28</v>
      </c>
      <c r="G82" s="69" t="str">
        <f aca="false">IFERROR(INDEX(分录收入!$I:$I,MATCH($L82,分录收入!$L:$L,0)),"")</f>
        <v/>
      </c>
      <c r="H82" s="23"/>
      <c r="I82" s="70"/>
      <c r="L82" s="71" t="n">
        <f aca="false">IF(助手收入!$R$7="",-1,助手收入!$R$7*100+(助手收入!$S$7-1)*6+2)</f>
        <v>308</v>
      </c>
    </row>
    <row r="83" customFormat="false" ht="23.25" hidden="false" customHeight="true" outlineLevel="0" collapsed="false">
      <c r="B83" s="67" t="str">
        <f aca="false">""</f>
        <v/>
      </c>
      <c r="C83" s="67"/>
      <c r="D83" s="23" t="str">
        <f aca="false">IFERROR(INDEX(分录收入!$E:$E,MATCH($L83,分录收入!$L:$L,0)),"")</f>
        <v>财务费用</v>
      </c>
      <c r="E83" s="23" t="str">
        <f aca="false">IFERROR(INDEX(分录收入!$F:$F,MATCH($L83,分录收入!$L:$L,0)),"")</f>
        <v>手续费</v>
      </c>
      <c r="F83" s="68" t="n">
        <f aca="false">IFERROR(INDEX(分录收入!$H:$H,MATCH($L83,分录收入!$L:$L,0)),"")</f>
        <v>26.48</v>
      </c>
      <c r="G83" s="69" t="str">
        <f aca="false">IFERROR(INDEX(分录收入!$I:$I,MATCH($L83,分录收入!$L:$L,0)),"")</f>
        <v/>
      </c>
      <c r="H83" s="23"/>
      <c r="I83" s="70"/>
      <c r="L83" s="71" t="n">
        <f aca="false">IF(助手收入!$R$7="",-1,助手收入!$R$7*100+(助手收入!$S$7-1)*6+3)</f>
        <v>309</v>
      </c>
    </row>
    <row r="84" customFormat="false" ht="23.25" hidden="false" customHeight="true" outlineLevel="0" collapsed="false">
      <c r="B84" s="67" t="str">
        <f aca="false">""</f>
        <v/>
      </c>
      <c r="C84" s="67"/>
      <c r="D84" s="23" t="str">
        <f aca="false">IFERROR(INDEX(分录收入!$E:$E,MATCH($L84,分录收入!$L:$L,0)),"")</f>
        <v>主营业务收入</v>
      </c>
      <c r="E84" s="23" t="str">
        <f aca="false">IFERROR(INDEX(分录收入!$F:$F,MATCH($L84,分录收入!$L:$L,0)),"")</f>
        <v/>
      </c>
      <c r="F84" s="68" t="str">
        <f aca="false">IFERROR(INDEX(分录收入!$H:$H,MATCH($L84,分录收入!$L:$L,0)),"")</f>
        <v/>
      </c>
      <c r="G84" s="69" t="n">
        <f aca="false">IFERROR(INDEX(分录收入!$I:$I,MATCH($L84,分录收入!$L:$L,0)),"")</f>
        <v>128377.96</v>
      </c>
      <c r="H84" s="23"/>
      <c r="I84" s="70"/>
      <c r="L84" s="71" t="n">
        <f aca="false">IF(助手收入!$R$7="",-1,助手收入!$R$7*100+(助手收入!$S$7-1)*6+4)</f>
        <v>310</v>
      </c>
    </row>
    <row r="85" customFormat="false" ht="23.25" hidden="false" customHeight="true" outlineLevel="0" collapsed="false">
      <c r="B85" s="67" t="str">
        <f aca="false">""</f>
        <v/>
      </c>
      <c r="C85" s="67"/>
      <c r="D85" s="23" t="str">
        <f aca="false">IFERROR(INDEX(分录收入!$E:$E,MATCH($L85,分录收入!$L:$L,0)),"")</f>
        <v/>
      </c>
      <c r="E85" s="23" t="str">
        <f aca="false">IFERROR(INDEX(分录收入!$F:$F,MATCH($L85,分录收入!$L:$L,0)),"")</f>
        <v/>
      </c>
      <c r="F85" s="68" t="str">
        <f aca="false">IFERROR(INDEX(分录收入!$H:$H,MATCH($L85,分录收入!$L:$L,0)),"")</f>
        <v/>
      </c>
      <c r="G85" s="69" t="str">
        <f aca="false">IFERROR(INDEX(分录收入!$I:$I,MATCH($L85,分录收入!$L:$L,0)),"")</f>
        <v/>
      </c>
      <c r="H85" s="23"/>
      <c r="I85" s="70"/>
      <c r="L85" s="71" t="n">
        <f aca="false">IF(助手收入!$R$7="",-1,助手收入!$R$7*100+(助手收入!$S$7-1)*6+5)</f>
        <v>311</v>
      </c>
    </row>
    <row r="86" customFormat="false" ht="23.25" hidden="false" customHeight="true" outlineLevel="0" collapsed="false">
      <c r="B86" s="67" t="str">
        <f aca="false">""</f>
        <v/>
      </c>
      <c r="C86" s="67"/>
      <c r="D86" s="23" t="str">
        <f aca="false">IFERROR(INDEX(分录收入!$E:$E,MATCH($L86,分录收入!$L:$L,0)),"")</f>
        <v/>
      </c>
      <c r="E86" s="23" t="str">
        <f aca="false">IFERROR(INDEX(分录收入!$F:$F,MATCH($L86,分录收入!$L:$L,0)),"")</f>
        <v/>
      </c>
      <c r="F86" s="68" t="str">
        <f aca="false">IFERROR(INDEX(分录收入!$H:$H,MATCH($L86,分录收入!$L:$L,0)),"")</f>
        <v/>
      </c>
      <c r="G86" s="69" t="str">
        <f aca="false">IFERROR(INDEX(分录收入!$I:$I,MATCH($L86,分录收入!$L:$L,0)),"")</f>
        <v/>
      </c>
      <c r="H86" s="23"/>
      <c r="I86" s="70"/>
      <c r="L86" s="71" t="n">
        <f aca="false">IF(助手收入!$R$7="",-1,助手收入!$R$7*100+(助手收入!$S$7-1)*6+6)</f>
        <v>312</v>
      </c>
    </row>
    <row r="87" customFormat="false" ht="23.25" hidden="false" customHeight="true" outlineLevel="0" collapsed="false">
      <c r="B87" s="72" t="str">
        <f aca="false">IF(助手收入!$T$7=1,"合计：","")</f>
        <v>合计：</v>
      </c>
      <c r="C87" s="73" t="n">
        <f aca="false">IF(助手收入!$T$7=1,$F87,"")</f>
        <v>128377.96</v>
      </c>
      <c r="D87" s="74"/>
      <c r="E87" s="74"/>
      <c r="F87" s="75" t="n">
        <f aca="false">IF(助手收入!$T$7=1,INDEX(助手收入!$N$2:$N$66,助手收入!$R$7),"")</f>
        <v>128377.96</v>
      </c>
      <c r="G87" s="76" t="n">
        <f aca="false">IF(助手收入!$T$7=1,INDEX(助手收入!$O$2:$O$66,助手收入!$R$7),"")</f>
        <v>128377.96</v>
      </c>
      <c r="H87" s="74"/>
      <c r="I87" s="77"/>
    </row>
    <row r="88" customFormat="false" ht="6" hidden="false" customHeight="true" outlineLevel="0" collapsed="false"/>
    <row r="89" customFormat="false" ht="13.5" hidden="false" customHeight="false" outlineLevel="0" collapsed="false">
      <c r="B89" s="78" t="str">
        <f aca="false">IF(助手收入!$R$7&lt;&gt;"","会计主管：","")</f>
        <v>会计主管：</v>
      </c>
      <c r="D89" s="78" t="str">
        <f aca="false">IF(助手收入!$R$7&lt;&gt;"","会计：","")</f>
        <v>会计：</v>
      </c>
      <c r="E89" s="78" t="str">
        <f aca="false">IF(助手收入!$R$7&lt;&gt;"","出纳：","")</f>
        <v>出纳：</v>
      </c>
      <c r="F89" s="78" t="str">
        <f aca="false">IF(助手收入!$R$7&lt;&gt;"","复核：","")</f>
        <v>复核：</v>
      </c>
      <c r="G89" s="78" t="str">
        <f aca="false">IF(助手收入!$R$7&lt;&gt;"","制单：","")</f>
        <v>制单：</v>
      </c>
    </row>
    <row r="90" customFormat="false" ht="3" hidden="false" customHeight="true" outlineLevel="0" collapsed="false"/>
    <row r="91" customFormat="false" ht="19.5" hidden="false" customHeight="true" outlineLevel="0" collapsed="false">
      <c r="B91" s="53" t="str">
        <f aca="false">IF(助手收入!$R$8&lt;&gt;"","记  账  凭  证","")</f>
        <v>记  账  凭  证</v>
      </c>
      <c r="C91" s="53"/>
      <c r="D91" s="53"/>
      <c r="E91" s="53"/>
      <c r="F91" s="53"/>
      <c r="G91" s="53"/>
      <c r="H91" s="53"/>
      <c r="I91" s="53"/>
    </row>
    <row r="92" customFormat="false" ht="3" hidden="false" customHeight="true" outlineLevel="0" collapsed="false"/>
    <row r="93" customFormat="false" ht="15" hidden="false" customHeight="true" outlineLevel="0" collapsed="false">
      <c r="C93" s="56" t="n">
        <f aca="false">IF(助手收入!$R$8&lt;&gt;"",INDEX(助手收入!$B$2:$B$66,助手收入!$R$8),"")</f>
        <v>2004</v>
      </c>
      <c r="D93" s="57" t="n">
        <f aca="false">IF(助手收入!$R$8&lt;&gt;"",参数!$B$2,"")</f>
        <v>46234</v>
      </c>
      <c r="E93" s="57"/>
      <c r="F93" s="58" t="str">
        <f aca="false">IF(助手收入!$R$8&lt;&gt;"",INDEX(助手收入!$C$2:$C$66,助手收入!$R$8)&amp;"  字第 "&amp;IF(参数!$B$9="是",INDEX(助手收入!$P$2:$P$66,助手收入!$R$8),"　　　　")&amp;" 号"&amp;IF(INDEX(助手收入!$L$2:$L$66,助手收入!$R$8)&gt;1,"  (共"&amp;INDEX(助手收入!$L$2:$L$66,助手收入!$R$8)&amp;"页 第"&amp;助手收入!$S$8&amp;"页)",""),"")</f>
        <v>东关店  字第 　　　　 号  (共2页 第1页)</v>
      </c>
      <c r="G93" s="58"/>
      <c r="H93" s="58"/>
      <c r="I93" s="58"/>
      <c r="M93" s="59" t="n">
        <f aca="false">IF(助手收入!$R$8="","",助手收入!$Q$8)</f>
        <v>7</v>
      </c>
      <c r="N93" s="60" t="n">
        <f aca="false">IF(助手收入!$R$8="","",INDEX(助手收入!$P$2:$P$66,助手收入!$R$8))</f>
        <v>4</v>
      </c>
      <c r="O93" s="55" t="str">
        <f aca="false">IF(助手收入!$R$8="","",INDEX(助手收入!$C$2:$C$66,助手收入!$R$8)&amp;"  字第 "&amp;INDEX(助手收入!$P$2:$P$66,助手收入!$R$8)&amp;" 号"&amp;IF(INDEX(助手收入!$L$2:$L$66,助手收入!$R$8)&gt;1,"  (共"&amp;INDEX(助手收入!$L$2:$L$66,助手收入!$R$8)&amp;"页 第"&amp;助手收入!$S$8&amp;"页)",""))</f>
        <v>东关店  字第 4 号  (共2页 第1页)</v>
      </c>
    </row>
    <row r="94" customFormat="false" ht="12.75" hidden="false" customHeight="true" outlineLevel="0" collapsed="false">
      <c r="B94" s="61" t="str">
        <f aca="false">IF(助手收入!$R$8&lt;&gt;"","摘　　要","")</f>
        <v>摘　　要</v>
      </c>
      <c r="C94" s="61"/>
      <c r="D94" s="62" t="str">
        <f aca="false">IF(助手收入!$R$8&lt;&gt;"","科　　　　目","")</f>
        <v>科　　　　目</v>
      </c>
      <c r="E94" s="62"/>
      <c r="F94" s="61" t="str">
        <f aca="false">IF(助手收入!$R$8&lt;&gt;"","借 方 金 额","")</f>
        <v>借 方 金 额</v>
      </c>
      <c r="G94" s="62" t="str">
        <f aca="false">IF(助手收入!$R$8&lt;&gt;"","贷 方 金 额","")</f>
        <v>贷 方 金 额</v>
      </c>
      <c r="H94" s="63" t="str">
        <f aca="false">IF(助手收入!$R$8&lt;&gt;"","√","")</f>
        <v>√</v>
      </c>
      <c r="I94" s="64" t="str">
        <f aca="false">IF(助手收入!$R$8&lt;&gt;"","附单据  张","")</f>
        <v>附单据  张</v>
      </c>
    </row>
    <row r="95" customFormat="false" ht="12.75" hidden="false" customHeight="true" outlineLevel="0" collapsed="false">
      <c r="B95" s="61"/>
      <c r="C95" s="61"/>
      <c r="D95" s="23" t="str">
        <f aca="false">IF(助手收入!$R$8&lt;&gt;"","总 账 科 目","")</f>
        <v>总 账 科 目</v>
      </c>
      <c r="E95" s="23" t="str">
        <f aca="false">IF(助手收入!$R$8&lt;&gt;"","明 细 科 目","")</f>
        <v>明 细 科 目</v>
      </c>
      <c r="F95" s="65"/>
      <c r="G95" s="66"/>
      <c r="H95" s="63"/>
      <c r="I95" s="64"/>
    </row>
    <row r="96" customFormat="false" ht="23.25" hidden="false" customHeight="true" outlineLevel="0" collapsed="false">
      <c r="B96" s="67" t="str">
        <f aca="false">IFERROR(INDEX(分录收入!$M:$M,MATCH($L96,分录收入!$L:$L,0)),"")</f>
        <v>7月收入</v>
      </c>
      <c r="C96" s="67"/>
      <c r="D96" s="23" t="str">
        <f aca="false">IFERROR(INDEX(分录收入!$E:$E,MATCH($L96,分录收入!$L:$L,0)),"")</f>
        <v>库存现金</v>
      </c>
      <c r="E96" s="23" t="str">
        <f aca="false">IFERROR(INDEX(分录收入!$F:$F,MATCH($L96,分录收入!$L:$L,0)),"")</f>
        <v/>
      </c>
      <c r="F96" s="68" t="n">
        <f aca="false">IFERROR(INDEX(分录收入!$H:$H,MATCH($L96,分录收入!$L:$L,0)),"")</f>
        <v>67171.51</v>
      </c>
      <c r="G96" s="69" t="str">
        <f aca="false">IFERROR(INDEX(分录收入!$I:$I,MATCH($L96,分录收入!$L:$L,0)),"")</f>
        <v/>
      </c>
      <c r="H96" s="23"/>
      <c r="I96" s="70"/>
      <c r="L96" s="71" t="n">
        <f aca="false">IF(助手收入!$R$8="",-1,助手收入!$R$8*100+(助手收入!$S$8-1)*6+1)</f>
        <v>401</v>
      </c>
    </row>
    <row r="97" customFormat="false" ht="23.25" hidden="false" customHeight="true" outlineLevel="0" collapsed="false">
      <c r="B97" s="67" t="str">
        <f aca="false">""</f>
        <v/>
      </c>
      <c r="C97" s="67"/>
      <c r="D97" s="23" t="str">
        <f aca="false">IFERROR(INDEX(分录收入!$E:$E,MATCH($L97,分录收入!$L:$L,0)),"")</f>
        <v>应收账款</v>
      </c>
      <c r="E97" s="23" t="str">
        <f aca="false">IFERROR(INDEX(分录收入!$F:$F,MATCH($L97,分录收入!$L:$L,0)),"")</f>
        <v>聚合支付</v>
      </c>
      <c r="F97" s="68" t="n">
        <f aca="false">IFERROR(INDEX(分录收入!$H:$H,MATCH($L97,分录收入!$L:$L,0)),"")</f>
        <v>4991.09</v>
      </c>
      <c r="G97" s="69" t="str">
        <f aca="false">IFERROR(INDEX(分录收入!$I:$I,MATCH($L97,分录收入!$L:$L,0)),"")</f>
        <v/>
      </c>
      <c r="H97" s="23"/>
      <c r="I97" s="70"/>
      <c r="L97" s="71" t="n">
        <f aca="false">IF(助手收入!$R$8="",-1,助手收入!$R$8*100+(助手收入!$S$8-1)*6+2)</f>
        <v>402</v>
      </c>
    </row>
    <row r="98" customFormat="false" ht="23.25" hidden="false" customHeight="true" outlineLevel="0" collapsed="false">
      <c r="B98" s="67" t="str">
        <f aca="false">""</f>
        <v/>
      </c>
      <c r="C98" s="67"/>
      <c r="D98" s="23" t="str">
        <f aca="false">IFERROR(INDEX(分录收入!$E:$E,MATCH($L98,分录收入!$L:$L,0)),"")</f>
        <v>应收账款</v>
      </c>
      <c r="E98" s="23" t="str">
        <f aca="false">IFERROR(INDEX(分录收入!$F:$F,MATCH($L98,分录收入!$L:$L,0)),"")</f>
        <v>医保</v>
      </c>
      <c r="F98" s="68" t="n">
        <f aca="false">IFERROR(INDEX(分录收入!$H:$H,MATCH($L98,分录收入!$L:$L,0)),"")</f>
        <v>21335.84</v>
      </c>
      <c r="G98" s="69" t="str">
        <f aca="false">IFERROR(INDEX(分录收入!$I:$I,MATCH($L98,分录收入!$L:$L,0)),"")</f>
        <v/>
      </c>
      <c r="H98" s="23"/>
      <c r="I98" s="70"/>
      <c r="L98" s="71" t="n">
        <f aca="false">IF(助手收入!$R$8="",-1,助手收入!$R$8*100+(助手收入!$S$8-1)*6+3)</f>
        <v>403</v>
      </c>
    </row>
    <row r="99" customFormat="false" ht="23.25" hidden="false" customHeight="true" outlineLevel="0" collapsed="false">
      <c r="B99" s="67" t="str">
        <f aca="false">""</f>
        <v/>
      </c>
      <c r="C99" s="67"/>
      <c r="D99" s="23" t="str">
        <f aca="false">IFERROR(INDEX(分录收入!$E:$E,MATCH($L99,分录收入!$L:$L,0)),"")</f>
        <v>应收账款</v>
      </c>
      <c r="E99" s="23" t="str">
        <f aca="false">IFERROR(INDEX(分录收入!$F:$F,MATCH($L99,分录收入!$L:$L,0)),"")</f>
        <v>健e卡</v>
      </c>
      <c r="F99" s="68" t="n">
        <f aca="false">IFERROR(INDEX(分录收入!$H:$H,MATCH($L99,分录收入!$L:$L,0)),"")</f>
        <v>4415.97</v>
      </c>
      <c r="G99" s="69" t="str">
        <f aca="false">IFERROR(INDEX(分录收入!$I:$I,MATCH($L99,分录收入!$L:$L,0)),"")</f>
        <v/>
      </c>
      <c r="H99" s="23"/>
      <c r="I99" s="70"/>
      <c r="L99" s="71" t="n">
        <f aca="false">IF(助手收入!$R$8="",-1,助手收入!$R$8*100+(助手收入!$S$8-1)*6+4)</f>
        <v>404</v>
      </c>
    </row>
    <row r="100" customFormat="false" ht="23.25" hidden="false" customHeight="true" outlineLevel="0" collapsed="false">
      <c r="B100" s="67" t="str">
        <f aca="false">""</f>
        <v/>
      </c>
      <c r="C100" s="67"/>
      <c r="D100" s="23" t="str">
        <f aca="false">IFERROR(INDEX(分录收入!$E:$E,MATCH($L100,分录收入!$L:$L,0)),"")</f>
        <v>应收账款</v>
      </c>
      <c r="E100" s="23" t="str">
        <f aca="false">IFERROR(INDEX(分录收入!$F:$F,MATCH($L100,分录收入!$L:$L,0)),"")</f>
        <v>美团</v>
      </c>
      <c r="F100" s="68" t="n">
        <f aca="false">IFERROR(INDEX(分录收入!$H:$H,MATCH($L100,分录收入!$L:$L,0)),"")</f>
        <v>716</v>
      </c>
      <c r="G100" s="69" t="str">
        <f aca="false">IFERROR(INDEX(分录收入!$I:$I,MATCH($L100,分录收入!$L:$L,0)),"")</f>
        <v/>
      </c>
      <c r="H100" s="23"/>
      <c r="I100" s="70"/>
      <c r="L100" s="71" t="n">
        <f aca="false">IF(助手收入!$R$8="",-1,助手收入!$R$8*100+(助手收入!$S$8-1)*6+5)</f>
        <v>405</v>
      </c>
    </row>
    <row r="101" customFormat="false" ht="23.25" hidden="false" customHeight="true" outlineLevel="0" collapsed="false">
      <c r="B101" s="67" t="str">
        <f aca="false">""</f>
        <v/>
      </c>
      <c r="C101" s="67"/>
      <c r="D101" s="23" t="str">
        <f aca="false">IFERROR(INDEX(分录收入!$E:$E,MATCH($L101,分录收入!$L:$L,0)),"")</f>
        <v>应收账款</v>
      </c>
      <c r="E101" s="23" t="str">
        <f aca="false">IFERROR(INDEX(分录收入!$F:$F,MATCH($L101,分录收入!$L:$L,0)),"")</f>
        <v>饿了么</v>
      </c>
      <c r="F101" s="68" t="n">
        <f aca="false">IFERROR(INDEX(分录收入!$H:$H,MATCH($L101,分录收入!$L:$L,0)),"")</f>
        <v>34.7</v>
      </c>
      <c r="G101" s="69" t="str">
        <f aca="false">IFERROR(INDEX(分录收入!$I:$I,MATCH($L101,分录收入!$L:$L,0)),"")</f>
        <v/>
      </c>
      <c r="H101" s="23"/>
      <c r="I101" s="70"/>
      <c r="L101" s="71" t="n">
        <f aca="false">IF(助手收入!$R$8="",-1,助手收入!$R$8*100+(助手收入!$S$8-1)*6+6)</f>
        <v>406</v>
      </c>
    </row>
    <row r="102" customFormat="false" ht="23.25" hidden="false" customHeight="true" outlineLevel="0" collapsed="false">
      <c r="B102" s="72" t="str">
        <f aca="false">IF(助手收入!$T$8=1,"合计：","")</f>
        <v/>
      </c>
      <c r="C102" s="73" t="str">
        <f aca="false">IF(助手收入!$T$8=1,$F102,"")</f>
        <v/>
      </c>
      <c r="D102" s="74"/>
      <c r="E102" s="74"/>
      <c r="F102" s="75" t="str">
        <f aca="false">IF(助手收入!$T$8=1,INDEX(助手收入!$N$2:$N$66,助手收入!$R$8),"")</f>
        <v/>
      </c>
      <c r="G102" s="76" t="str">
        <f aca="false">IF(助手收入!$T$8=1,INDEX(助手收入!$O$2:$O$66,助手收入!$R$8),"")</f>
        <v/>
      </c>
      <c r="H102" s="74"/>
      <c r="I102" s="77"/>
    </row>
    <row r="103" customFormat="false" ht="6" hidden="false" customHeight="true" outlineLevel="0" collapsed="false"/>
    <row r="104" customFormat="false" ht="13.5" hidden="false" customHeight="false" outlineLevel="0" collapsed="false">
      <c r="B104" s="78" t="str">
        <f aca="false">IF(助手收入!$R$8&lt;&gt;"","会计主管：","")</f>
        <v>会计主管：</v>
      </c>
      <c r="D104" s="78" t="str">
        <f aca="false">IF(助手收入!$R$8&lt;&gt;"","会计：","")</f>
        <v>会计：</v>
      </c>
      <c r="E104" s="78" t="str">
        <f aca="false">IF(助手收入!$R$8&lt;&gt;"","出纳：","")</f>
        <v>出纳：</v>
      </c>
      <c r="F104" s="78" t="str">
        <f aca="false">IF(助手收入!$R$8&lt;&gt;"","复核：","")</f>
        <v>复核：</v>
      </c>
      <c r="G104" s="78" t="str">
        <f aca="false">IF(助手收入!$R$8&lt;&gt;"","制单：","")</f>
        <v>制单：</v>
      </c>
    </row>
    <row r="105" customFormat="false" ht="3" hidden="false" customHeight="true" outlineLevel="0" collapsed="false"/>
    <row r="106" customFormat="false" ht="19.5" hidden="false" customHeight="true" outlineLevel="0" collapsed="false">
      <c r="B106" s="53" t="str">
        <f aca="false">IF(助手收入!$R$9&lt;&gt;"","记  账  凭  证","")</f>
        <v>记  账  凭  证</v>
      </c>
      <c r="C106" s="53"/>
      <c r="D106" s="53"/>
      <c r="E106" s="53"/>
      <c r="F106" s="53"/>
      <c r="G106" s="53"/>
      <c r="H106" s="53"/>
      <c r="I106" s="53"/>
    </row>
    <row r="107" customFormat="false" ht="3" hidden="false" customHeight="true" outlineLevel="0" collapsed="false"/>
    <row r="108" customFormat="false" ht="15" hidden="false" customHeight="true" outlineLevel="0" collapsed="false">
      <c r="C108" s="56" t="n">
        <f aca="false">IF(助手收入!$R$9&lt;&gt;"",INDEX(助手收入!$B$2:$B$66,助手收入!$R$9),"")</f>
        <v>2004</v>
      </c>
      <c r="D108" s="57" t="n">
        <f aca="false">IF(助手收入!$R$9&lt;&gt;"",参数!$B$2,"")</f>
        <v>46234</v>
      </c>
      <c r="E108" s="57"/>
      <c r="F108" s="58" t="str">
        <f aca="false">IF(助手收入!$R$9&lt;&gt;"",INDEX(助手收入!$C$2:$C$66,助手收入!$R$9)&amp;"  字第 "&amp;IF(参数!$B$9="是",INDEX(助手收入!$P$2:$P$66,助手收入!$R$9),"　　　　")&amp;" 号"&amp;IF(INDEX(助手收入!$L$2:$L$66,助手收入!$R$9)&gt;1,"  (共"&amp;INDEX(助手收入!$L$2:$L$66,助手收入!$R$9)&amp;"页 第"&amp;助手收入!$S$9&amp;"页)",""),"")</f>
        <v>东关店  字第 　　　　 号  (共2页 第2页)</v>
      </c>
      <c r="G108" s="58"/>
      <c r="H108" s="58"/>
      <c r="I108" s="58"/>
      <c r="M108" s="59" t="n">
        <f aca="false">IF(助手收入!$R$9="","",助手收入!$Q$9)</f>
        <v>8</v>
      </c>
      <c r="N108" s="60" t="n">
        <f aca="false">IF(助手收入!$R$9="","",INDEX(助手收入!$P$2:$P$66,助手收入!$R$9))</f>
        <v>4</v>
      </c>
      <c r="O108" s="55" t="str">
        <f aca="false">IF(助手收入!$R$9="","",INDEX(助手收入!$C$2:$C$66,助手收入!$R$9)&amp;"  字第 "&amp;INDEX(助手收入!$P$2:$P$66,助手收入!$R$9)&amp;" 号"&amp;IF(INDEX(助手收入!$L$2:$L$66,助手收入!$R$9)&gt;1,"  (共"&amp;INDEX(助手收入!$L$2:$L$66,助手收入!$R$9)&amp;"页 第"&amp;助手收入!$S$9&amp;"页)",""))</f>
        <v>东关店  字第 4 号  (共2页 第2页)</v>
      </c>
    </row>
    <row r="109" customFormat="false" ht="12.75" hidden="false" customHeight="true" outlineLevel="0" collapsed="false">
      <c r="B109" s="61" t="str">
        <f aca="false">IF(助手收入!$R$9&lt;&gt;"","摘　　要","")</f>
        <v>摘　　要</v>
      </c>
      <c r="C109" s="61"/>
      <c r="D109" s="62" t="str">
        <f aca="false">IF(助手收入!$R$9&lt;&gt;"","科　　　　目","")</f>
        <v>科　　　　目</v>
      </c>
      <c r="E109" s="62"/>
      <c r="F109" s="61" t="str">
        <f aca="false">IF(助手收入!$R$9&lt;&gt;"","借 方 金 额","")</f>
        <v>借 方 金 额</v>
      </c>
      <c r="G109" s="62" t="str">
        <f aca="false">IF(助手收入!$R$9&lt;&gt;"","贷 方 金 额","")</f>
        <v>贷 方 金 额</v>
      </c>
      <c r="H109" s="63" t="str">
        <f aca="false">IF(助手收入!$R$9&lt;&gt;"","√","")</f>
        <v>√</v>
      </c>
      <c r="I109" s="64" t="str">
        <f aca="false">IF(助手收入!$R$9&lt;&gt;"","附单据  张","")</f>
        <v>附单据  张</v>
      </c>
    </row>
    <row r="110" customFormat="false" ht="12.75" hidden="false" customHeight="true" outlineLevel="0" collapsed="false">
      <c r="B110" s="61"/>
      <c r="C110" s="61"/>
      <c r="D110" s="23" t="str">
        <f aca="false">IF(助手收入!$R$9&lt;&gt;"","总 账 科 目","")</f>
        <v>总 账 科 目</v>
      </c>
      <c r="E110" s="23" t="str">
        <f aca="false">IF(助手收入!$R$9&lt;&gt;"","明 细 科 目","")</f>
        <v>明 细 科 目</v>
      </c>
      <c r="F110" s="65"/>
      <c r="G110" s="66"/>
      <c r="H110" s="63"/>
      <c r="I110" s="64"/>
    </row>
    <row r="111" customFormat="false" ht="23.25" hidden="false" customHeight="true" outlineLevel="0" collapsed="false">
      <c r="B111" s="67" t="str">
        <f aca="false">IFERROR(INDEX(分录收入!$M:$M,MATCH($L111,分录收入!$L:$L,0)),"")</f>
        <v>7月收入</v>
      </c>
      <c r="C111" s="67"/>
      <c r="D111" s="23" t="str">
        <f aca="false">IFERROR(INDEX(分录收入!$E:$E,MATCH($L111,分录收入!$L:$L,0)),"")</f>
        <v>其他应收款</v>
      </c>
      <c r="E111" s="23" t="str">
        <f aca="false">IFERROR(INDEX(分录收入!$F:$F,MATCH($L111,分录收入!$L:$L,0)),"")</f>
        <v>储值卡</v>
      </c>
      <c r="F111" s="68" t="n">
        <f aca="false">IFERROR(INDEX(分录收入!$H:$H,MATCH($L111,分录收入!$L:$L,0)),"")</f>
        <v>8394.24</v>
      </c>
      <c r="G111" s="69" t="str">
        <f aca="false">IFERROR(INDEX(分录收入!$I:$I,MATCH($L111,分录收入!$L:$L,0)),"")</f>
        <v/>
      </c>
      <c r="H111" s="23"/>
      <c r="I111" s="70"/>
      <c r="L111" s="71" t="n">
        <f aca="false">IF(助手收入!$R$9="",-1,助手收入!$R$9*100+(助手收入!$S$9-1)*6+1)</f>
        <v>407</v>
      </c>
    </row>
    <row r="112" customFormat="false" ht="23.25" hidden="false" customHeight="true" outlineLevel="0" collapsed="false">
      <c r="B112" s="67" t="str">
        <f aca="false">""</f>
        <v/>
      </c>
      <c r="C112" s="67"/>
      <c r="D112" s="23" t="str">
        <f aca="false">IFERROR(INDEX(分录收入!$E:$E,MATCH($L112,分录收入!$L:$L,0)),"")</f>
        <v>销售费用</v>
      </c>
      <c r="E112" s="23" t="str">
        <f aca="false">IFERROR(INDEX(分录收入!$F:$F,MATCH($L112,分录收入!$L:$L,0)),"")</f>
        <v>促销费</v>
      </c>
      <c r="F112" s="68" t="n">
        <f aca="false">IFERROR(INDEX(分录收入!$H:$H,MATCH($L112,分录收入!$L:$L,0)),"")</f>
        <v>968.18</v>
      </c>
      <c r="G112" s="69" t="str">
        <f aca="false">IFERROR(INDEX(分录收入!$I:$I,MATCH($L112,分录收入!$L:$L,0)),"")</f>
        <v/>
      </c>
      <c r="H112" s="23"/>
      <c r="I112" s="70"/>
      <c r="L112" s="71" t="n">
        <f aca="false">IF(助手收入!$R$9="",-1,助手收入!$R$9*100+(助手收入!$S$9-1)*6+2)</f>
        <v>408</v>
      </c>
    </row>
    <row r="113" customFormat="false" ht="23.25" hidden="false" customHeight="true" outlineLevel="0" collapsed="false">
      <c r="B113" s="67" t="str">
        <f aca="false">""</f>
        <v/>
      </c>
      <c r="C113" s="67"/>
      <c r="D113" s="23" t="str">
        <f aca="false">IFERROR(INDEX(分录收入!$E:$E,MATCH($L113,分录收入!$L:$L,0)),"")</f>
        <v>财务费用</v>
      </c>
      <c r="E113" s="23" t="str">
        <f aca="false">IFERROR(INDEX(分录收入!$F:$F,MATCH($L113,分录收入!$L:$L,0)),"")</f>
        <v>手续费</v>
      </c>
      <c r="F113" s="68" t="n">
        <f aca="false">IFERROR(INDEX(分录收入!$H:$H,MATCH($L113,分录收入!$L:$L,0)),"")</f>
        <v>13.51</v>
      </c>
      <c r="G113" s="69" t="str">
        <f aca="false">IFERROR(INDEX(分录收入!$I:$I,MATCH($L113,分录收入!$L:$L,0)),"")</f>
        <v/>
      </c>
      <c r="H113" s="23"/>
      <c r="I113" s="70"/>
      <c r="L113" s="71" t="n">
        <f aca="false">IF(助手收入!$R$9="",-1,助手收入!$R$9*100+(助手收入!$S$9-1)*6+3)</f>
        <v>409</v>
      </c>
    </row>
    <row r="114" customFormat="false" ht="23.25" hidden="false" customHeight="true" outlineLevel="0" collapsed="false">
      <c r="B114" s="67" t="str">
        <f aca="false">""</f>
        <v/>
      </c>
      <c r="C114" s="67"/>
      <c r="D114" s="23" t="str">
        <f aca="false">IFERROR(INDEX(分录收入!$E:$E,MATCH($L114,分录收入!$L:$L,0)),"")</f>
        <v>主营业务收入</v>
      </c>
      <c r="E114" s="23" t="str">
        <f aca="false">IFERROR(INDEX(分录收入!$F:$F,MATCH($L114,分录收入!$L:$L,0)),"")</f>
        <v/>
      </c>
      <c r="F114" s="68" t="str">
        <f aca="false">IFERROR(INDEX(分录收入!$H:$H,MATCH($L114,分录收入!$L:$L,0)),"")</f>
        <v/>
      </c>
      <c r="G114" s="69" t="n">
        <f aca="false">IFERROR(INDEX(分录收入!$I:$I,MATCH($L114,分录收入!$L:$L,0)),"")</f>
        <v>108041.04</v>
      </c>
      <c r="H114" s="23"/>
      <c r="I114" s="70"/>
      <c r="L114" s="71" t="n">
        <f aca="false">IF(助手收入!$R$9="",-1,助手收入!$R$9*100+(助手收入!$S$9-1)*6+4)</f>
        <v>410</v>
      </c>
    </row>
    <row r="115" customFormat="false" ht="23.25" hidden="false" customHeight="true" outlineLevel="0" collapsed="false">
      <c r="B115" s="67" t="str">
        <f aca="false">""</f>
        <v/>
      </c>
      <c r="C115" s="67"/>
      <c r="D115" s="23" t="str">
        <f aca="false">IFERROR(INDEX(分录收入!$E:$E,MATCH($L115,分录收入!$L:$L,0)),"")</f>
        <v/>
      </c>
      <c r="E115" s="23" t="str">
        <f aca="false">IFERROR(INDEX(分录收入!$F:$F,MATCH($L115,分录收入!$L:$L,0)),"")</f>
        <v/>
      </c>
      <c r="F115" s="68" t="str">
        <f aca="false">IFERROR(INDEX(分录收入!$H:$H,MATCH($L115,分录收入!$L:$L,0)),"")</f>
        <v/>
      </c>
      <c r="G115" s="69" t="str">
        <f aca="false">IFERROR(INDEX(分录收入!$I:$I,MATCH($L115,分录收入!$L:$L,0)),"")</f>
        <v/>
      </c>
      <c r="H115" s="23"/>
      <c r="I115" s="70"/>
      <c r="L115" s="71" t="n">
        <f aca="false">IF(助手收入!$R$9="",-1,助手收入!$R$9*100+(助手收入!$S$9-1)*6+5)</f>
        <v>411</v>
      </c>
    </row>
    <row r="116" customFormat="false" ht="23.25" hidden="false" customHeight="true" outlineLevel="0" collapsed="false">
      <c r="B116" s="67" t="str">
        <f aca="false">""</f>
        <v/>
      </c>
      <c r="C116" s="67"/>
      <c r="D116" s="23" t="str">
        <f aca="false">IFERROR(INDEX(分录收入!$E:$E,MATCH($L116,分录收入!$L:$L,0)),"")</f>
        <v/>
      </c>
      <c r="E116" s="23" t="str">
        <f aca="false">IFERROR(INDEX(分录收入!$F:$F,MATCH($L116,分录收入!$L:$L,0)),"")</f>
        <v/>
      </c>
      <c r="F116" s="68" t="str">
        <f aca="false">IFERROR(INDEX(分录收入!$H:$H,MATCH($L116,分录收入!$L:$L,0)),"")</f>
        <v/>
      </c>
      <c r="G116" s="69" t="str">
        <f aca="false">IFERROR(INDEX(分录收入!$I:$I,MATCH($L116,分录收入!$L:$L,0)),"")</f>
        <v/>
      </c>
      <c r="H116" s="23"/>
      <c r="I116" s="70"/>
      <c r="L116" s="71" t="n">
        <f aca="false">IF(助手收入!$R$9="",-1,助手收入!$R$9*100+(助手收入!$S$9-1)*6+6)</f>
        <v>412</v>
      </c>
    </row>
    <row r="117" customFormat="false" ht="23.25" hidden="false" customHeight="true" outlineLevel="0" collapsed="false">
      <c r="B117" s="72" t="str">
        <f aca="false">IF(助手收入!$T$9=1,"合计：","")</f>
        <v>合计：</v>
      </c>
      <c r="C117" s="73" t="n">
        <f aca="false">IF(助手收入!$T$9=1,$F117,"")</f>
        <v>108041.04</v>
      </c>
      <c r="D117" s="74"/>
      <c r="E117" s="74"/>
      <c r="F117" s="75" t="n">
        <f aca="false">IF(助手收入!$T$9=1,INDEX(助手收入!$N$2:$N$66,助手收入!$R$9),"")</f>
        <v>108041.04</v>
      </c>
      <c r="G117" s="76" t="n">
        <f aca="false">IF(助手收入!$T$9=1,INDEX(助手收入!$O$2:$O$66,助手收入!$R$9),"")</f>
        <v>108041.04</v>
      </c>
      <c r="H117" s="74"/>
      <c r="I117" s="77"/>
    </row>
    <row r="118" customFormat="false" ht="6" hidden="false" customHeight="true" outlineLevel="0" collapsed="false"/>
    <row r="119" customFormat="false" ht="13.5" hidden="false" customHeight="false" outlineLevel="0" collapsed="false">
      <c r="B119" s="78" t="str">
        <f aca="false">IF(助手收入!$R$9&lt;&gt;"","会计主管：","")</f>
        <v>会计主管：</v>
      </c>
      <c r="D119" s="78" t="str">
        <f aca="false">IF(助手收入!$R$9&lt;&gt;"","会计：","")</f>
        <v>会计：</v>
      </c>
      <c r="E119" s="78" t="str">
        <f aca="false">IF(助手收入!$R$9&lt;&gt;"","出纳：","")</f>
        <v>出纳：</v>
      </c>
      <c r="F119" s="78" t="str">
        <f aca="false">IF(助手收入!$R$9&lt;&gt;"","复核：","")</f>
        <v>复核：</v>
      </c>
      <c r="G119" s="78" t="str">
        <f aca="false">IF(助手收入!$R$9&lt;&gt;"","制单：","")</f>
        <v>制单：</v>
      </c>
    </row>
    <row r="120" customFormat="false" ht="3" hidden="false" customHeight="true" outlineLevel="0" collapsed="false"/>
    <row r="121" customFormat="false" ht="19.5" hidden="false" customHeight="true" outlineLevel="0" collapsed="false">
      <c r="B121" s="53" t="str">
        <f aca="false">IF(助手收入!$R$10&lt;&gt;"","记  账  凭  证","")</f>
        <v>记  账  凭  证</v>
      </c>
      <c r="C121" s="53"/>
      <c r="D121" s="53"/>
      <c r="E121" s="53"/>
      <c r="F121" s="53"/>
      <c r="G121" s="53"/>
      <c r="H121" s="53"/>
      <c r="I121" s="53"/>
    </row>
    <row r="122" customFormat="false" ht="3" hidden="false" customHeight="true" outlineLevel="0" collapsed="false"/>
    <row r="123" customFormat="false" ht="15" hidden="false" customHeight="true" outlineLevel="0" collapsed="false">
      <c r="C123" s="56" t="n">
        <f aca="false">IF(助手收入!$R$10&lt;&gt;"",INDEX(助手收入!$B$2:$B$66,助手收入!$R$10),"")</f>
        <v>2005</v>
      </c>
      <c r="D123" s="57" t="n">
        <f aca="false">IF(助手收入!$R$10&lt;&gt;"",参数!$B$2,"")</f>
        <v>46234</v>
      </c>
      <c r="E123" s="57"/>
      <c r="F123" s="58" t="str">
        <f aca="false">IF(助手收入!$R$10&lt;&gt;"",INDEX(助手收入!$C$2:$C$66,助手收入!$R$10)&amp;"  字第 "&amp;IF(参数!$B$9="是",INDEX(助手收入!$P$2:$P$66,助手收入!$R$10),"　　　　")&amp;" 号"&amp;IF(INDEX(助手收入!$L$2:$L$66,助手收入!$R$10)&gt;1,"  (共"&amp;INDEX(助手收入!$L$2:$L$66,助手收入!$R$10)&amp;"页 第"&amp;助手收入!$S$10&amp;"页)",""),"")</f>
        <v>象城街店  字第 　　　　 号  (共2页 第1页)</v>
      </c>
      <c r="G123" s="58"/>
      <c r="H123" s="58"/>
      <c r="I123" s="58"/>
      <c r="M123" s="59" t="n">
        <f aca="false">IF(助手收入!$R$10="","",助手收入!$Q$10)</f>
        <v>9</v>
      </c>
      <c r="N123" s="60" t="n">
        <f aca="false">IF(助手收入!$R$10="","",INDEX(助手收入!$P$2:$P$66,助手收入!$R$10))</f>
        <v>5</v>
      </c>
      <c r="O123" s="55" t="str">
        <f aca="false">IF(助手收入!$R$10="","",INDEX(助手收入!$C$2:$C$66,助手收入!$R$10)&amp;"  字第 "&amp;INDEX(助手收入!$P$2:$P$66,助手收入!$R$10)&amp;" 号"&amp;IF(INDEX(助手收入!$L$2:$L$66,助手收入!$R$10)&gt;1,"  (共"&amp;INDEX(助手收入!$L$2:$L$66,助手收入!$R$10)&amp;"页 第"&amp;助手收入!$S$10&amp;"页)",""))</f>
        <v>象城街店  字第 5 号  (共2页 第1页)</v>
      </c>
    </row>
    <row r="124" customFormat="false" ht="12.75" hidden="false" customHeight="true" outlineLevel="0" collapsed="false">
      <c r="B124" s="61" t="str">
        <f aca="false">IF(助手收入!$R$10&lt;&gt;"","摘　　要","")</f>
        <v>摘　　要</v>
      </c>
      <c r="C124" s="61"/>
      <c r="D124" s="62" t="str">
        <f aca="false">IF(助手收入!$R$10&lt;&gt;"","科　　　　目","")</f>
        <v>科　　　　目</v>
      </c>
      <c r="E124" s="62"/>
      <c r="F124" s="61" t="str">
        <f aca="false">IF(助手收入!$R$10&lt;&gt;"","借 方 金 额","")</f>
        <v>借 方 金 额</v>
      </c>
      <c r="G124" s="62" t="str">
        <f aca="false">IF(助手收入!$R$10&lt;&gt;"","贷 方 金 额","")</f>
        <v>贷 方 金 额</v>
      </c>
      <c r="H124" s="63" t="str">
        <f aca="false">IF(助手收入!$R$10&lt;&gt;"","√","")</f>
        <v>√</v>
      </c>
      <c r="I124" s="64" t="str">
        <f aca="false">IF(助手收入!$R$10&lt;&gt;"","附单据  张","")</f>
        <v>附单据  张</v>
      </c>
    </row>
    <row r="125" customFormat="false" ht="12.75" hidden="false" customHeight="true" outlineLevel="0" collapsed="false">
      <c r="B125" s="61"/>
      <c r="C125" s="61"/>
      <c r="D125" s="23" t="str">
        <f aca="false">IF(助手收入!$R$10&lt;&gt;"","总 账 科 目","")</f>
        <v>总 账 科 目</v>
      </c>
      <c r="E125" s="23" t="str">
        <f aca="false">IF(助手收入!$R$10&lt;&gt;"","明 细 科 目","")</f>
        <v>明 细 科 目</v>
      </c>
      <c r="F125" s="65"/>
      <c r="G125" s="66"/>
      <c r="H125" s="63"/>
      <c r="I125" s="64"/>
    </row>
    <row r="126" customFormat="false" ht="23.25" hidden="false" customHeight="true" outlineLevel="0" collapsed="false">
      <c r="B126" s="67" t="str">
        <f aca="false">IFERROR(INDEX(分录收入!$M:$M,MATCH($L126,分录收入!$L:$L,0)),"")</f>
        <v>7月收入</v>
      </c>
      <c r="C126" s="67"/>
      <c r="D126" s="23" t="str">
        <f aca="false">IFERROR(INDEX(分录收入!$E:$E,MATCH($L126,分录收入!$L:$L,0)),"")</f>
        <v>库存现金</v>
      </c>
      <c r="E126" s="23" t="str">
        <f aca="false">IFERROR(INDEX(分录收入!$F:$F,MATCH($L126,分录收入!$L:$L,0)),"")</f>
        <v/>
      </c>
      <c r="F126" s="68" t="n">
        <f aca="false">IFERROR(INDEX(分录收入!$H:$H,MATCH($L126,分录收入!$L:$L,0)),"")</f>
        <v>63058.21</v>
      </c>
      <c r="G126" s="69" t="str">
        <f aca="false">IFERROR(INDEX(分录收入!$I:$I,MATCH($L126,分录收入!$L:$L,0)),"")</f>
        <v/>
      </c>
      <c r="H126" s="23"/>
      <c r="I126" s="70"/>
      <c r="L126" s="71" t="n">
        <f aca="false">IF(助手收入!$R$10="",-1,助手收入!$R$10*100+(助手收入!$S$10-1)*6+1)</f>
        <v>501</v>
      </c>
    </row>
    <row r="127" customFormat="false" ht="23.25" hidden="false" customHeight="true" outlineLevel="0" collapsed="false">
      <c r="B127" s="67" t="str">
        <f aca="false">""</f>
        <v/>
      </c>
      <c r="C127" s="67"/>
      <c r="D127" s="23" t="str">
        <f aca="false">IFERROR(INDEX(分录收入!$E:$E,MATCH($L127,分录收入!$L:$L,0)),"")</f>
        <v>应收账款</v>
      </c>
      <c r="E127" s="23" t="str">
        <f aca="false">IFERROR(INDEX(分录收入!$F:$F,MATCH($L127,分录收入!$L:$L,0)),"")</f>
        <v>聚合支付</v>
      </c>
      <c r="F127" s="68" t="n">
        <f aca="false">IFERROR(INDEX(分录收入!$H:$H,MATCH($L127,分录收入!$L:$L,0)),"")</f>
        <v>17988.2</v>
      </c>
      <c r="G127" s="69" t="str">
        <f aca="false">IFERROR(INDEX(分录收入!$I:$I,MATCH($L127,分录收入!$L:$L,0)),"")</f>
        <v/>
      </c>
      <c r="H127" s="23"/>
      <c r="I127" s="70"/>
      <c r="L127" s="71" t="n">
        <f aca="false">IF(助手收入!$R$10="",-1,助手收入!$R$10*100+(助手收入!$S$10-1)*6+2)</f>
        <v>502</v>
      </c>
    </row>
    <row r="128" customFormat="false" ht="23.25" hidden="false" customHeight="true" outlineLevel="0" collapsed="false">
      <c r="B128" s="67" t="str">
        <f aca="false">""</f>
        <v/>
      </c>
      <c r="C128" s="67"/>
      <c r="D128" s="23" t="str">
        <f aca="false">IFERROR(INDEX(分录收入!$E:$E,MATCH($L128,分录收入!$L:$L,0)),"")</f>
        <v>应收账款</v>
      </c>
      <c r="E128" s="23" t="str">
        <f aca="false">IFERROR(INDEX(分录收入!$F:$F,MATCH($L128,分录收入!$L:$L,0)),"")</f>
        <v>医保</v>
      </c>
      <c r="F128" s="68" t="n">
        <f aca="false">IFERROR(INDEX(分录收入!$H:$H,MATCH($L128,分录收入!$L:$L,0)),"")</f>
        <v>28845.65</v>
      </c>
      <c r="G128" s="69" t="str">
        <f aca="false">IFERROR(INDEX(分录收入!$I:$I,MATCH($L128,分录收入!$L:$L,0)),"")</f>
        <v/>
      </c>
      <c r="H128" s="23"/>
      <c r="I128" s="70"/>
      <c r="L128" s="71" t="n">
        <f aca="false">IF(助手收入!$R$10="",-1,助手收入!$R$10*100+(助手收入!$S$10-1)*6+3)</f>
        <v>503</v>
      </c>
    </row>
    <row r="129" customFormat="false" ht="23.25" hidden="false" customHeight="true" outlineLevel="0" collapsed="false">
      <c r="B129" s="67" t="str">
        <f aca="false">""</f>
        <v/>
      </c>
      <c r="C129" s="67"/>
      <c r="D129" s="23" t="str">
        <f aca="false">IFERROR(INDEX(分录收入!$E:$E,MATCH($L129,分录收入!$L:$L,0)),"")</f>
        <v>应收账款</v>
      </c>
      <c r="E129" s="23" t="str">
        <f aca="false">IFERROR(INDEX(分录收入!$F:$F,MATCH($L129,分录收入!$L:$L,0)),"")</f>
        <v>医卡通</v>
      </c>
      <c r="F129" s="68" t="n">
        <f aca="false">IFERROR(INDEX(分录收入!$H:$H,MATCH($L129,分录收入!$L:$L,0)),"")</f>
        <v>2583.12</v>
      </c>
      <c r="G129" s="69" t="str">
        <f aca="false">IFERROR(INDEX(分录收入!$I:$I,MATCH($L129,分录收入!$L:$L,0)),"")</f>
        <v/>
      </c>
      <c r="H129" s="23"/>
      <c r="I129" s="70"/>
      <c r="L129" s="71" t="n">
        <f aca="false">IF(助手收入!$R$10="",-1,助手收入!$R$10*100+(助手收入!$S$10-1)*6+4)</f>
        <v>504</v>
      </c>
    </row>
    <row r="130" customFormat="false" ht="23.25" hidden="false" customHeight="true" outlineLevel="0" collapsed="false">
      <c r="B130" s="67" t="str">
        <f aca="false">""</f>
        <v/>
      </c>
      <c r="C130" s="67"/>
      <c r="D130" s="23" t="str">
        <f aca="false">IFERROR(INDEX(分录收入!$E:$E,MATCH($L130,分录收入!$L:$L,0)),"")</f>
        <v>应收账款</v>
      </c>
      <c r="E130" s="23" t="str">
        <f aca="false">IFERROR(INDEX(分录收入!$F:$F,MATCH($L130,分录收入!$L:$L,0)),"")</f>
        <v>美团</v>
      </c>
      <c r="F130" s="68" t="n">
        <f aca="false">IFERROR(INDEX(分录收入!$H:$H,MATCH($L130,分录收入!$L:$L,0)),"")</f>
        <v>192.6</v>
      </c>
      <c r="G130" s="69" t="str">
        <f aca="false">IFERROR(INDEX(分录收入!$I:$I,MATCH($L130,分录收入!$L:$L,0)),"")</f>
        <v/>
      </c>
      <c r="H130" s="23"/>
      <c r="I130" s="70"/>
      <c r="L130" s="71" t="n">
        <f aca="false">IF(助手收入!$R$10="",-1,助手收入!$R$10*100+(助手收入!$S$10-1)*6+5)</f>
        <v>505</v>
      </c>
    </row>
    <row r="131" customFormat="false" ht="23.25" hidden="false" customHeight="true" outlineLevel="0" collapsed="false">
      <c r="B131" s="67" t="str">
        <f aca="false">""</f>
        <v/>
      </c>
      <c r="C131" s="67"/>
      <c r="D131" s="23" t="str">
        <f aca="false">IFERROR(INDEX(分录收入!$E:$E,MATCH($L131,分录收入!$L:$L,0)),"")</f>
        <v>其他应收款</v>
      </c>
      <c r="E131" s="23" t="str">
        <f aca="false">IFERROR(INDEX(分录收入!$F:$F,MATCH($L131,分录收入!$L:$L,0)),"")</f>
        <v>储值卡</v>
      </c>
      <c r="F131" s="68" t="n">
        <f aca="false">IFERROR(INDEX(分录收入!$H:$H,MATCH($L131,分录收入!$L:$L,0)),"")</f>
        <v>626.84</v>
      </c>
      <c r="G131" s="69" t="str">
        <f aca="false">IFERROR(INDEX(分录收入!$I:$I,MATCH($L131,分录收入!$L:$L,0)),"")</f>
        <v/>
      </c>
      <c r="H131" s="23"/>
      <c r="I131" s="70"/>
      <c r="L131" s="71" t="n">
        <f aca="false">IF(助手收入!$R$10="",-1,助手收入!$R$10*100+(助手收入!$S$10-1)*6+6)</f>
        <v>506</v>
      </c>
    </row>
    <row r="132" customFormat="false" ht="23.25" hidden="false" customHeight="true" outlineLevel="0" collapsed="false">
      <c r="B132" s="72" t="str">
        <f aca="false">IF(助手收入!$T$10=1,"合计：","")</f>
        <v/>
      </c>
      <c r="C132" s="73" t="str">
        <f aca="false">IF(助手收入!$T$10=1,$F132,"")</f>
        <v/>
      </c>
      <c r="D132" s="74"/>
      <c r="E132" s="74"/>
      <c r="F132" s="75" t="str">
        <f aca="false">IF(助手收入!$T$10=1,INDEX(助手收入!$N$2:$N$66,助手收入!$R$10),"")</f>
        <v/>
      </c>
      <c r="G132" s="76" t="str">
        <f aca="false">IF(助手收入!$T$10=1,INDEX(助手收入!$O$2:$O$66,助手收入!$R$10),"")</f>
        <v/>
      </c>
      <c r="H132" s="74"/>
      <c r="I132" s="77"/>
    </row>
    <row r="133" customFormat="false" ht="6" hidden="false" customHeight="true" outlineLevel="0" collapsed="false"/>
    <row r="134" customFormat="false" ht="13.5" hidden="false" customHeight="false" outlineLevel="0" collapsed="false">
      <c r="B134" s="78" t="str">
        <f aca="false">IF(助手收入!$R$10&lt;&gt;"","会计主管：","")</f>
        <v>会计主管：</v>
      </c>
      <c r="D134" s="78" t="str">
        <f aca="false">IF(助手收入!$R$10&lt;&gt;"","会计：","")</f>
        <v>会计：</v>
      </c>
      <c r="E134" s="78" t="str">
        <f aca="false">IF(助手收入!$R$10&lt;&gt;"","出纳：","")</f>
        <v>出纳：</v>
      </c>
      <c r="F134" s="78" t="str">
        <f aca="false">IF(助手收入!$R$10&lt;&gt;"","复核：","")</f>
        <v>复核：</v>
      </c>
      <c r="G134" s="78" t="str">
        <f aca="false">IF(助手收入!$R$10&lt;&gt;"","制单：","")</f>
        <v>制单：</v>
      </c>
    </row>
    <row r="135" customFormat="false" ht="3" hidden="false" customHeight="true" outlineLevel="0" collapsed="false"/>
    <row r="136" customFormat="false" ht="19.5" hidden="false" customHeight="true" outlineLevel="0" collapsed="false">
      <c r="B136" s="53" t="str">
        <f aca="false">IF(助手收入!$R$11&lt;&gt;"","记  账  凭  证","")</f>
        <v>记  账  凭  证</v>
      </c>
      <c r="C136" s="53"/>
      <c r="D136" s="53"/>
      <c r="E136" s="53"/>
      <c r="F136" s="53"/>
      <c r="G136" s="53"/>
      <c r="H136" s="53"/>
      <c r="I136" s="53"/>
    </row>
    <row r="137" customFormat="false" ht="3" hidden="false" customHeight="true" outlineLevel="0" collapsed="false"/>
    <row r="138" customFormat="false" ht="15" hidden="false" customHeight="true" outlineLevel="0" collapsed="false">
      <c r="C138" s="56" t="n">
        <f aca="false">IF(助手收入!$R$11&lt;&gt;"",INDEX(助手收入!$B$2:$B$66,助手收入!$R$11),"")</f>
        <v>2005</v>
      </c>
      <c r="D138" s="57" t="n">
        <f aca="false">IF(助手收入!$R$11&lt;&gt;"",参数!$B$2,"")</f>
        <v>46234</v>
      </c>
      <c r="E138" s="57"/>
      <c r="F138" s="58" t="str">
        <f aca="false">IF(助手收入!$R$11&lt;&gt;"",INDEX(助手收入!$C$2:$C$66,助手收入!$R$11)&amp;"  字第 "&amp;IF(参数!$B$9="是",INDEX(助手收入!$P$2:$P$66,助手收入!$R$11),"　　　　")&amp;" 号"&amp;IF(INDEX(助手收入!$L$2:$L$66,助手收入!$R$11)&gt;1,"  (共"&amp;INDEX(助手收入!$L$2:$L$66,助手收入!$R$11)&amp;"页 第"&amp;助手收入!$S$11&amp;"页)",""),"")</f>
        <v>象城街店  字第 　　　　 号  (共2页 第2页)</v>
      </c>
      <c r="G138" s="58"/>
      <c r="H138" s="58"/>
      <c r="I138" s="58"/>
      <c r="M138" s="59" t="n">
        <f aca="false">IF(助手收入!$R$11="","",助手收入!$Q$11)</f>
        <v>10</v>
      </c>
      <c r="N138" s="60" t="n">
        <f aca="false">IF(助手收入!$R$11="","",INDEX(助手收入!$P$2:$P$66,助手收入!$R$11))</f>
        <v>5</v>
      </c>
      <c r="O138" s="55" t="str">
        <f aca="false">IF(助手收入!$R$11="","",INDEX(助手收入!$C$2:$C$66,助手收入!$R$11)&amp;"  字第 "&amp;INDEX(助手收入!$P$2:$P$66,助手收入!$R$11)&amp;" 号"&amp;IF(INDEX(助手收入!$L$2:$L$66,助手收入!$R$11)&gt;1,"  (共"&amp;INDEX(助手收入!$L$2:$L$66,助手收入!$R$11)&amp;"页 第"&amp;助手收入!$S$11&amp;"页)",""))</f>
        <v>象城街店  字第 5 号  (共2页 第2页)</v>
      </c>
    </row>
    <row r="139" customFormat="false" ht="12.75" hidden="false" customHeight="true" outlineLevel="0" collapsed="false">
      <c r="B139" s="61" t="str">
        <f aca="false">IF(助手收入!$R$11&lt;&gt;"","摘　　要","")</f>
        <v>摘　　要</v>
      </c>
      <c r="C139" s="61"/>
      <c r="D139" s="62" t="str">
        <f aca="false">IF(助手收入!$R$11&lt;&gt;"","科　　　　目","")</f>
        <v>科　　　　目</v>
      </c>
      <c r="E139" s="62"/>
      <c r="F139" s="61" t="str">
        <f aca="false">IF(助手收入!$R$11&lt;&gt;"","借 方 金 额","")</f>
        <v>借 方 金 额</v>
      </c>
      <c r="G139" s="62" t="str">
        <f aca="false">IF(助手收入!$R$11&lt;&gt;"","贷 方 金 额","")</f>
        <v>贷 方 金 额</v>
      </c>
      <c r="H139" s="63" t="str">
        <f aca="false">IF(助手收入!$R$11&lt;&gt;"","√","")</f>
        <v>√</v>
      </c>
      <c r="I139" s="64" t="str">
        <f aca="false">IF(助手收入!$R$11&lt;&gt;"","附单据  张","")</f>
        <v>附单据  张</v>
      </c>
    </row>
    <row r="140" customFormat="false" ht="12.75" hidden="false" customHeight="true" outlineLevel="0" collapsed="false">
      <c r="B140" s="61"/>
      <c r="C140" s="61"/>
      <c r="D140" s="23" t="str">
        <f aca="false">IF(助手收入!$R$11&lt;&gt;"","总 账 科 目","")</f>
        <v>总 账 科 目</v>
      </c>
      <c r="E140" s="23" t="str">
        <f aca="false">IF(助手收入!$R$11&lt;&gt;"","明 细 科 目","")</f>
        <v>明 细 科 目</v>
      </c>
      <c r="F140" s="65"/>
      <c r="G140" s="66"/>
      <c r="H140" s="63"/>
      <c r="I140" s="64"/>
    </row>
    <row r="141" customFormat="false" ht="23.25" hidden="false" customHeight="true" outlineLevel="0" collapsed="false">
      <c r="B141" s="67" t="str">
        <f aca="false">IFERROR(INDEX(分录收入!$M:$M,MATCH($L141,分录收入!$L:$L,0)),"")</f>
        <v>7月收入</v>
      </c>
      <c r="C141" s="67"/>
      <c r="D141" s="23" t="str">
        <f aca="false">IFERROR(INDEX(分录收入!$E:$E,MATCH($L141,分录收入!$L:$L,0)),"")</f>
        <v>销售费用</v>
      </c>
      <c r="E141" s="23" t="str">
        <f aca="false">IFERROR(INDEX(分录收入!$F:$F,MATCH($L141,分录收入!$L:$L,0)),"")</f>
        <v>促销费</v>
      </c>
      <c r="F141" s="68" t="n">
        <f aca="false">IFERROR(INDEX(分录收入!$H:$H,MATCH($L141,分录收入!$L:$L,0)),"")</f>
        <v>3314.58</v>
      </c>
      <c r="G141" s="69" t="str">
        <f aca="false">IFERROR(INDEX(分录收入!$I:$I,MATCH($L141,分录收入!$L:$L,0)),"")</f>
        <v/>
      </c>
      <c r="H141" s="23"/>
      <c r="I141" s="70"/>
      <c r="L141" s="71" t="n">
        <f aca="false">IF(助手收入!$R$11="",-1,助手收入!$R$11*100+(助手收入!$S$11-1)*6+1)</f>
        <v>507</v>
      </c>
    </row>
    <row r="142" customFormat="false" ht="23.25" hidden="false" customHeight="true" outlineLevel="0" collapsed="false">
      <c r="B142" s="67" t="str">
        <f aca="false">""</f>
        <v/>
      </c>
      <c r="C142" s="67"/>
      <c r="D142" s="23" t="str">
        <f aca="false">IFERROR(INDEX(分录收入!$E:$E,MATCH($L142,分录收入!$L:$L,0)),"")</f>
        <v>财务费用</v>
      </c>
      <c r="E142" s="23" t="str">
        <f aca="false">IFERROR(INDEX(分录收入!$F:$F,MATCH($L142,分录收入!$L:$L,0)),"")</f>
        <v>手续费</v>
      </c>
      <c r="F142" s="68" t="n">
        <f aca="false">IFERROR(INDEX(分录收入!$H:$H,MATCH($L142,分录收入!$L:$L,0)),"")</f>
        <v>48.7</v>
      </c>
      <c r="G142" s="69" t="str">
        <f aca="false">IFERROR(INDEX(分录收入!$I:$I,MATCH($L142,分录收入!$L:$L,0)),"")</f>
        <v/>
      </c>
      <c r="H142" s="23"/>
      <c r="I142" s="70"/>
      <c r="L142" s="71" t="n">
        <f aca="false">IF(助手收入!$R$11="",-1,助手收入!$R$11*100+(助手收入!$S$11-1)*6+2)</f>
        <v>508</v>
      </c>
    </row>
    <row r="143" customFormat="false" ht="23.25" hidden="false" customHeight="true" outlineLevel="0" collapsed="false">
      <c r="B143" s="67" t="str">
        <f aca="false">""</f>
        <v/>
      </c>
      <c r="C143" s="67"/>
      <c r="D143" s="23" t="str">
        <f aca="false">IFERROR(INDEX(分录收入!$E:$E,MATCH($L143,分录收入!$L:$L,0)),"")</f>
        <v>主营业务收入</v>
      </c>
      <c r="E143" s="23" t="str">
        <f aca="false">IFERROR(INDEX(分录收入!$F:$F,MATCH($L143,分录收入!$L:$L,0)),"")</f>
        <v/>
      </c>
      <c r="F143" s="68" t="str">
        <f aca="false">IFERROR(INDEX(分录收入!$H:$H,MATCH($L143,分录收入!$L:$L,0)),"")</f>
        <v/>
      </c>
      <c r="G143" s="69" t="n">
        <f aca="false">IFERROR(INDEX(分录收入!$I:$I,MATCH($L143,分录收入!$L:$L,0)),"")</f>
        <v>116657.9</v>
      </c>
      <c r="H143" s="23"/>
      <c r="I143" s="70"/>
      <c r="L143" s="71" t="n">
        <f aca="false">IF(助手收入!$R$11="",-1,助手收入!$R$11*100+(助手收入!$S$11-1)*6+3)</f>
        <v>509</v>
      </c>
    </row>
    <row r="144" customFormat="false" ht="23.25" hidden="false" customHeight="true" outlineLevel="0" collapsed="false">
      <c r="B144" s="67" t="str">
        <f aca="false">""</f>
        <v/>
      </c>
      <c r="C144" s="67"/>
      <c r="D144" s="23" t="str">
        <f aca="false">IFERROR(INDEX(分录收入!$E:$E,MATCH($L144,分录收入!$L:$L,0)),"")</f>
        <v/>
      </c>
      <c r="E144" s="23" t="str">
        <f aca="false">IFERROR(INDEX(分录收入!$F:$F,MATCH($L144,分录收入!$L:$L,0)),"")</f>
        <v/>
      </c>
      <c r="F144" s="68" t="str">
        <f aca="false">IFERROR(INDEX(分录收入!$H:$H,MATCH($L144,分录收入!$L:$L,0)),"")</f>
        <v/>
      </c>
      <c r="G144" s="69" t="str">
        <f aca="false">IFERROR(INDEX(分录收入!$I:$I,MATCH($L144,分录收入!$L:$L,0)),"")</f>
        <v/>
      </c>
      <c r="H144" s="23"/>
      <c r="I144" s="70"/>
      <c r="L144" s="71" t="n">
        <f aca="false">IF(助手收入!$R$11="",-1,助手收入!$R$11*100+(助手收入!$S$11-1)*6+4)</f>
        <v>510</v>
      </c>
    </row>
    <row r="145" customFormat="false" ht="23.25" hidden="false" customHeight="true" outlineLevel="0" collapsed="false">
      <c r="B145" s="67" t="str">
        <f aca="false">""</f>
        <v/>
      </c>
      <c r="C145" s="67"/>
      <c r="D145" s="23" t="str">
        <f aca="false">IFERROR(INDEX(分录收入!$E:$E,MATCH($L145,分录收入!$L:$L,0)),"")</f>
        <v/>
      </c>
      <c r="E145" s="23" t="str">
        <f aca="false">IFERROR(INDEX(分录收入!$F:$F,MATCH($L145,分录收入!$L:$L,0)),"")</f>
        <v/>
      </c>
      <c r="F145" s="68" t="str">
        <f aca="false">IFERROR(INDEX(分录收入!$H:$H,MATCH($L145,分录收入!$L:$L,0)),"")</f>
        <v/>
      </c>
      <c r="G145" s="69" t="str">
        <f aca="false">IFERROR(INDEX(分录收入!$I:$I,MATCH($L145,分录收入!$L:$L,0)),"")</f>
        <v/>
      </c>
      <c r="H145" s="23"/>
      <c r="I145" s="70"/>
      <c r="L145" s="71" t="n">
        <f aca="false">IF(助手收入!$R$11="",-1,助手收入!$R$11*100+(助手收入!$S$11-1)*6+5)</f>
        <v>511</v>
      </c>
    </row>
    <row r="146" customFormat="false" ht="23.25" hidden="false" customHeight="true" outlineLevel="0" collapsed="false">
      <c r="B146" s="67" t="str">
        <f aca="false">""</f>
        <v/>
      </c>
      <c r="C146" s="67"/>
      <c r="D146" s="23" t="str">
        <f aca="false">IFERROR(INDEX(分录收入!$E:$E,MATCH($L146,分录收入!$L:$L,0)),"")</f>
        <v/>
      </c>
      <c r="E146" s="23" t="str">
        <f aca="false">IFERROR(INDEX(分录收入!$F:$F,MATCH($L146,分录收入!$L:$L,0)),"")</f>
        <v/>
      </c>
      <c r="F146" s="68" t="str">
        <f aca="false">IFERROR(INDEX(分录收入!$H:$H,MATCH($L146,分录收入!$L:$L,0)),"")</f>
        <v/>
      </c>
      <c r="G146" s="69" t="str">
        <f aca="false">IFERROR(INDEX(分录收入!$I:$I,MATCH($L146,分录收入!$L:$L,0)),"")</f>
        <v/>
      </c>
      <c r="H146" s="23"/>
      <c r="I146" s="70"/>
      <c r="L146" s="71" t="n">
        <f aca="false">IF(助手收入!$R$11="",-1,助手收入!$R$11*100+(助手收入!$S$11-1)*6+6)</f>
        <v>512</v>
      </c>
    </row>
    <row r="147" customFormat="false" ht="23.25" hidden="false" customHeight="true" outlineLevel="0" collapsed="false">
      <c r="B147" s="72" t="str">
        <f aca="false">IF(助手收入!$T$11=1,"合计：","")</f>
        <v>合计：</v>
      </c>
      <c r="C147" s="73" t="n">
        <f aca="false">IF(助手收入!$T$11=1,$F147,"")</f>
        <v>116657.9</v>
      </c>
      <c r="D147" s="74"/>
      <c r="E147" s="74"/>
      <c r="F147" s="75" t="n">
        <f aca="false">IF(助手收入!$T$11=1,INDEX(助手收入!$N$2:$N$66,助手收入!$R$11),"")</f>
        <v>116657.9</v>
      </c>
      <c r="G147" s="76" t="n">
        <f aca="false">IF(助手收入!$T$11=1,INDEX(助手收入!$O$2:$O$66,助手收入!$R$11),"")</f>
        <v>116657.9</v>
      </c>
      <c r="H147" s="74"/>
      <c r="I147" s="77"/>
    </row>
    <row r="148" customFormat="false" ht="6" hidden="false" customHeight="true" outlineLevel="0" collapsed="false"/>
    <row r="149" customFormat="false" ht="13.5" hidden="false" customHeight="false" outlineLevel="0" collapsed="false">
      <c r="B149" s="78" t="str">
        <f aca="false">IF(助手收入!$R$11&lt;&gt;"","会计主管：","")</f>
        <v>会计主管：</v>
      </c>
      <c r="D149" s="78" t="str">
        <f aca="false">IF(助手收入!$R$11&lt;&gt;"","会计：","")</f>
        <v>会计：</v>
      </c>
      <c r="E149" s="78" t="str">
        <f aca="false">IF(助手收入!$R$11&lt;&gt;"","出纳：","")</f>
        <v>出纳：</v>
      </c>
      <c r="F149" s="78" t="str">
        <f aca="false">IF(助手收入!$R$11&lt;&gt;"","复核：","")</f>
        <v>复核：</v>
      </c>
      <c r="G149" s="78" t="str">
        <f aca="false">IF(助手收入!$R$11&lt;&gt;"","制单：","")</f>
        <v>制单：</v>
      </c>
    </row>
    <row r="150" customFormat="false" ht="3" hidden="false" customHeight="true" outlineLevel="0" collapsed="false"/>
    <row r="151" customFormat="false" ht="19.5" hidden="false" customHeight="true" outlineLevel="0" collapsed="false">
      <c r="B151" s="53" t="str">
        <f aca="false">IF(助手收入!$R$12&lt;&gt;"","记  账  凭  证","")</f>
        <v>记  账  凭  证</v>
      </c>
      <c r="C151" s="53"/>
      <c r="D151" s="53"/>
      <c r="E151" s="53"/>
      <c r="F151" s="53"/>
      <c r="G151" s="53"/>
      <c r="H151" s="53"/>
      <c r="I151" s="53"/>
    </row>
    <row r="152" customFormat="false" ht="3" hidden="false" customHeight="true" outlineLevel="0" collapsed="false"/>
    <row r="153" customFormat="false" ht="15" hidden="false" customHeight="true" outlineLevel="0" collapsed="false">
      <c r="C153" s="56" t="n">
        <f aca="false">IF(助手收入!$R$12&lt;&gt;"",INDEX(助手收入!$B$2:$B$66,助手收入!$R$12),"")</f>
        <v>2006</v>
      </c>
      <c r="D153" s="57" t="n">
        <f aca="false">IF(助手收入!$R$12&lt;&gt;"",参数!$B$2,"")</f>
        <v>46234</v>
      </c>
      <c r="E153" s="57"/>
      <c r="F153" s="58" t="str">
        <f aca="false">IF(助手收入!$R$12&lt;&gt;"",INDEX(助手收入!$C$2:$C$66,助手收入!$R$12)&amp;"  字第 "&amp;IF(参数!$B$9="是",INDEX(助手收入!$P$2:$P$66,助手收入!$R$12),"　　　　")&amp;" 号"&amp;IF(INDEX(助手收入!$L$2:$L$66,助手收入!$R$12)&gt;1,"  (共"&amp;INDEX(助手收入!$L$2:$L$66,助手收入!$R$12)&amp;"页 第"&amp;助手收入!$S$12&amp;"页)",""),"")</f>
        <v>博荣店  字第 　　　　 号  (共2页 第1页)</v>
      </c>
      <c r="G153" s="58"/>
      <c r="H153" s="58"/>
      <c r="I153" s="58"/>
      <c r="M153" s="59" t="n">
        <f aca="false">IF(助手收入!$R$12="","",助手收入!$Q$12)</f>
        <v>11</v>
      </c>
      <c r="N153" s="60" t="n">
        <f aca="false">IF(助手收入!$R$12="","",INDEX(助手收入!$P$2:$P$66,助手收入!$R$12))</f>
        <v>6</v>
      </c>
      <c r="O153" s="55" t="str">
        <f aca="false">IF(助手收入!$R$12="","",INDEX(助手收入!$C$2:$C$66,助手收入!$R$12)&amp;"  字第 "&amp;INDEX(助手收入!$P$2:$P$66,助手收入!$R$12)&amp;" 号"&amp;IF(INDEX(助手收入!$L$2:$L$66,助手收入!$R$12)&gt;1,"  (共"&amp;INDEX(助手收入!$L$2:$L$66,助手收入!$R$12)&amp;"页 第"&amp;助手收入!$S$12&amp;"页)",""))</f>
        <v>博荣店  字第 6 号  (共2页 第1页)</v>
      </c>
    </row>
    <row r="154" customFormat="false" ht="12.75" hidden="false" customHeight="true" outlineLevel="0" collapsed="false">
      <c r="B154" s="61" t="str">
        <f aca="false">IF(助手收入!$R$12&lt;&gt;"","摘　　要","")</f>
        <v>摘　　要</v>
      </c>
      <c r="C154" s="61"/>
      <c r="D154" s="62" t="str">
        <f aca="false">IF(助手收入!$R$12&lt;&gt;"","科　　　　目","")</f>
        <v>科　　　　目</v>
      </c>
      <c r="E154" s="62"/>
      <c r="F154" s="61" t="str">
        <f aca="false">IF(助手收入!$R$12&lt;&gt;"","借 方 金 额","")</f>
        <v>借 方 金 额</v>
      </c>
      <c r="G154" s="62" t="str">
        <f aca="false">IF(助手收入!$R$12&lt;&gt;"","贷 方 金 额","")</f>
        <v>贷 方 金 额</v>
      </c>
      <c r="H154" s="63" t="str">
        <f aca="false">IF(助手收入!$R$12&lt;&gt;"","√","")</f>
        <v>√</v>
      </c>
      <c r="I154" s="64" t="str">
        <f aca="false">IF(助手收入!$R$12&lt;&gt;"","附单据  张","")</f>
        <v>附单据  张</v>
      </c>
    </row>
    <row r="155" customFormat="false" ht="12.75" hidden="false" customHeight="true" outlineLevel="0" collapsed="false">
      <c r="B155" s="61"/>
      <c r="C155" s="61"/>
      <c r="D155" s="23" t="str">
        <f aca="false">IF(助手收入!$R$12&lt;&gt;"","总 账 科 目","")</f>
        <v>总 账 科 目</v>
      </c>
      <c r="E155" s="23" t="str">
        <f aca="false">IF(助手收入!$R$12&lt;&gt;"","明 细 科 目","")</f>
        <v>明 细 科 目</v>
      </c>
      <c r="F155" s="65"/>
      <c r="G155" s="66"/>
      <c r="H155" s="63"/>
      <c r="I155" s="64"/>
    </row>
    <row r="156" customFormat="false" ht="23.25" hidden="false" customHeight="true" outlineLevel="0" collapsed="false">
      <c r="B156" s="67" t="str">
        <f aca="false">IFERROR(INDEX(分录收入!$M:$M,MATCH($L156,分录收入!$L:$L,0)),"")</f>
        <v>7月收入</v>
      </c>
      <c r="C156" s="67"/>
      <c r="D156" s="23" t="str">
        <f aca="false">IFERROR(INDEX(分录收入!$E:$E,MATCH($L156,分录收入!$L:$L,0)),"")</f>
        <v>库存现金</v>
      </c>
      <c r="E156" s="23" t="str">
        <f aca="false">IFERROR(INDEX(分录收入!$F:$F,MATCH($L156,分录收入!$L:$L,0)),"")</f>
        <v/>
      </c>
      <c r="F156" s="68" t="n">
        <f aca="false">IFERROR(INDEX(分录收入!$H:$H,MATCH($L156,分录收入!$L:$L,0)),"")</f>
        <v>4575.05</v>
      </c>
      <c r="G156" s="69" t="str">
        <f aca="false">IFERROR(INDEX(分录收入!$I:$I,MATCH($L156,分录收入!$L:$L,0)),"")</f>
        <v/>
      </c>
      <c r="H156" s="23"/>
      <c r="I156" s="70"/>
      <c r="L156" s="71" t="n">
        <f aca="false">IF(助手收入!$R$12="",-1,助手收入!$R$12*100+(助手收入!$S$12-1)*6+1)</f>
        <v>601</v>
      </c>
    </row>
    <row r="157" customFormat="false" ht="23.25" hidden="false" customHeight="true" outlineLevel="0" collapsed="false">
      <c r="B157" s="67" t="str">
        <f aca="false">""</f>
        <v/>
      </c>
      <c r="C157" s="67"/>
      <c r="D157" s="23" t="str">
        <f aca="false">IFERROR(INDEX(分录收入!$E:$E,MATCH($L157,分录收入!$L:$L,0)),"")</f>
        <v>应收账款</v>
      </c>
      <c r="E157" s="23" t="str">
        <f aca="false">IFERROR(INDEX(分录收入!$F:$F,MATCH($L157,分录收入!$L:$L,0)),"")</f>
        <v>聚合支付</v>
      </c>
      <c r="F157" s="68" t="n">
        <f aca="false">IFERROR(INDEX(分录收入!$H:$H,MATCH($L157,分录收入!$L:$L,0)),"")</f>
        <v>33338.04</v>
      </c>
      <c r="G157" s="69" t="str">
        <f aca="false">IFERROR(INDEX(分录收入!$I:$I,MATCH($L157,分录收入!$L:$L,0)),"")</f>
        <v/>
      </c>
      <c r="H157" s="23"/>
      <c r="I157" s="70"/>
      <c r="L157" s="71" t="n">
        <f aca="false">IF(助手收入!$R$12="",-1,助手收入!$R$12*100+(助手收入!$S$12-1)*6+2)</f>
        <v>602</v>
      </c>
    </row>
    <row r="158" customFormat="false" ht="23.25" hidden="false" customHeight="true" outlineLevel="0" collapsed="false">
      <c r="B158" s="67" t="str">
        <f aca="false">""</f>
        <v/>
      </c>
      <c r="C158" s="67"/>
      <c r="D158" s="23" t="str">
        <f aca="false">IFERROR(INDEX(分录收入!$E:$E,MATCH($L158,分录收入!$L:$L,0)),"")</f>
        <v>应收账款</v>
      </c>
      <c r="E158" s="23" t="str">
        <f aca="false">IFERROR(INDEX(分录收入!$F:$F,MATCH($L158,分录收入!$L:$L,0)),"")</f>
        <v>医保</v>
      </c>
      <c r="F158" s="68" t="n">
        <f aca="false">IFERROR(INDEX(分录收入!$H:$H,MATCH($L158,分录收入!$L:$L,0)),"")</f>
        <v>22062.09</v>
      </c>
      <c r="G158" s="69" t="str">
        <f aca="false">IFERROR(INDEX(分录收入!$I:$I,MATCH($L158,分录收入!$L:$L,0)),"")</f>
        <v/>
      </c>
      <c r="H158" s="23"/>
      <c r="I158" s="70"/>
      <c r="L158" s="71" t="n">
        <f aca="false">IF(助手收入!$R$12="",-1,助手收入!$R$12*100+(助手收入!$S$12-1)*6+3)</f>
        <v>603</v>
      </c>
    </row>
    <row r="159" customFormat="false" ht="23.25" hidden="false" customHeight="true" outlineLevel="0" collapsed="false">
      <c r="B159" s="67" t="str">
        <f aca="false">""</f>
        <v/>
      </c>
      <c r="C159" s="67"/>
      <c r="D159" s="23" t="str">
        <f aca="false">IFERROR(INDEX(分录收入!$E:$E,MATCH($L159,分录收入!$L:$L,0)),"")</f>
        <v>应收账款</v>
      </c>
      <c r="E159" s="23" t="str">
        <f aca="false">IFERROR(INDEX(分录收入!$F:$F,MATCH($L159,分录收入!$L:$L,0)),"")</f>
        <v>健e卡</v>
      </c>
      <c r="F159" s="68" t="n">
        <f aca="false">IFERROR(INDEX(分录收入!$H:$H,MATCH($L159,分录收入!$L:$L,0)),"")</f>
        <v>3402.37</v>
      </c>
      <c r="G159" s="69" t="str">
        <f aca="false">IFERROR(INDEX(分录收入!$I:$I,MATCH($L159,分录收入!$L:$L,0)),"")</f>
        <v/>
      </c>
      <c r="H159" s="23"/>
      <c r="I159" s="70"/>
      <c r="L159" s="71" t="n">
        <f aca="false">IF(助手收入!$R$12="",-1,助手收入!$R$12*100+(助手收入!$S$12-1)*6+4)</f>
        <v>604</v>
      </c>
    </row>
    <row r="160" customFormat="false" ht="23.25" hidden="false" customHeight="true" outlineLevel="0" collapsed="false">
      <c r="B160" s="67" t="str">
        <f aca="false">""</f>
        <v/>
      </c>
      <c r="C160" s="67"/>
      <c r="D160" s="23" t="str">
        <f aca="false">IFERROR(INDEX(分录收入!$E:$E,MATCH($L160,分录收入!$L:$L,0)),"")</f>
        <v>应收账款</v>
      </c>
      <c r="E160" s="23" t="str">
        <f aca="false">IFERROR(INDEX(分录收入!$F:$F,MATCH($L160,分录收入!$L:$L,0)),"")</f>
        <v>美团</v>
      </c>
      <c r="F160" s="68" t="n">
        <f aca="false">IFERROR(INDEX(分录收入!$H:$H,MATCH($L160,分录收入!$L:$L,0)),"")</f>
        <v>209.2</v>
      </c>
      <c r="G160" s="69" t="str">
        <f aca="false">IFERROR(INDEX(分录收入!$I:$I,MATCH($L160,分录收入!$L:$L,0)),"")</f>
        <v/>
      </c>
      <c r="H160" s="23"/>
      <c r="I160" s="70"/>
      <c r="L160" s="71" t="n">
        <f aca="false">IF(助手收入!$R$12="",-1,助手收入!$R$12*100+(助手收入!$S$12-1)*6+5)</f>
        <v>605</v>
      </c>
    </row>
    <row r="161" customFormat="false" ht="23.25" hidden="false" customHeight="true" outlineLevel="0" collapsed="false">
      <c r="B161" s="67" t="str">
        <f aca="false">""</f>
        <v/>
      </c>
      <c r="C161" s="67"/>
      <c r="D161" s="23" t="str">
        <f aca="false">IFERROR(INDEX(分录收入!$E:$E,MATCH($L161,分录收入!$L:$L,0)),"")</f>
        <v>其他应收款</v>
      </c>
      <c r="E161" s="23" t="str">
        <f aca="false">IFERROR(INDEX(分录收入!$F:$F,MATCH($L161,分录收入!$L:$L,0)),"")</f>
        <v>储值卡</v>
      </c>
      <c r="F161" s="68" t="n">
        <f aca="false">IFERROR(INDEX(分录收入!$H:$H,MATCH($L161,分录收入!$L:$L,0)),"")</f>
        <v>534.7</v>
      </c>
      <c r="G161" s="69" t="str">
        <f aca="false">IFERROR(INDEX(分录收入!$I:$I,MATCH($L161,分录收入!$L:$L,0)),"")</f>
        <v/>
      </c>
      <c r="H161" s="23"/>
      <c r="I161" s="70"/>
      <c r="L161" s="71" t="n">
        <f aca="false">IF(助手收入!$R$12="",-1,助手收入!$R$12*100+(助手收入!$S$12-1)*6+6)</f>
        <v>606</v>
      </c>
    </row>
    <row r="162" customFormat="false" ht="23.25" hidden="false" customHeight="true" outlineLevel="0" collapsed="false">
      <c r="B162" s="72" t="str">
        <f aca="false">IF(助手收入!$T$12=1,"合计：","")</f>
        <v/>
      </c>
      <c r="C162" s="73" t="str">
        <f aca="false">IF(助手收入!$T$12=1,$F162,"")</f>
        <v/>
      </c>
      <c r="D162" s="74"/>
      <c r="E162" s="74"/>
      <c r="F162" s="75" t="str">
        <f aca="false">IF(助手收入!$T$12=1,INDEX(助手收入!$N$2:$N$66,助手收入!$R$12),"")</f>
        <v/>
      </c>
      <c r="G162" s="76" t="str">
        <f aca="false">IF(助手收入!$T$12=1,INDEX(助手收入!$O$2:$O$66,助手收入!$R$12),"")</f>
        <v/>
      </c>
      <c r="H162" s="74"/>
      <c r="I162" s="77"/>
    </row>
    <row r="163" customFormat="false" ht="6" hidden="false" customHeight="true" outlineLevel="0" collapsed="false"/>
    <row r="164" customFormat="false" ht="13.5" hidden="false" customHeight="false" outlineLevel="0" collapsed="false">
      <c r="B164" s="78" t="str">
        <f aca="false">IF(助手收入!$R$12&lt;&gt;"","会计主管：","")</f>
        <v>会计主管：</v>
      </c>
      <c r="D164" s="78" t="str">
        <f aca="false">IF(助手收入!$R$12&lt;&gt;"","会计：","")</f>
        <v>会计：</v>
      </c>
      <c r="E164" s="78" t="str">
        <f aca="false">IF(助手收入!$R$12&lt;&gt;"","出纳：","")</f>
        <v>出纳：</v>
      </c>
      <c r="F164" s="78" t="str">
        <f aca="false">IF(助手收入!$R$12&lt;&gt;"","复核：","")</f>
        <v>复核：</v>
      </c>
      <c r="G164" s="78" t="str">
        <f aca="false">IF(助手收入!$R$12&lt;&gt;"","制单：","")</f>
        <v>制单：</v>
      </c>
    </row>
    <row r="165" customFormat="false" ht="3" hidden="false" customHeight="true" outlineLevel="0" collapsed="false"/>
    <row r="166" customFormat="false" ht="19.5" hidden="false" customHeight="true" outlineLevel="0" collapsed="false">
      <c r="B166" s="53" t="str">
        <f aca="false">IF(助手收入!$R$13&lt;&gt;"","记  账  凭  证","")</f>
        <v>记  账  凭  证</v>
      </c>
      <c r="C166" s="53"/>
      <c r="D166" s="53"/>
      <c r="E166" s="53"/>
      <c r="F166" s="53"/>
      <c r="G166" s="53"/>
      <c r="H166" s="53"/>
      <c r="I166" s="53"/>
    </row>
    <row r="167" customFormat="false" ht="3" hidden="false" customHeight="true" outlineLevel="0" collapsed="false"/>
    <row r="168" customFormat="false" ht="15" hidden="false" customHeight="true" outlineLevel="0" collapsed="false">
      <c r="C168" s="56" t="n">
        <f aca="false">IF(助手收入!$R$13&lt;&gt;"",INDEX(助手收入!$B$2:$B$66,助手收入!$R$13),"")</f>
        <v>2006</v>
      </c>
      <c r="D168" s="57" t="n">
        <f aca="false">IF(助手收入!$R$13&lt;&gt;"",参数!$B$2,"")</f>
        <v>46234</v>
      </c>
      <c r="E168" s="57"/>
      <c r="F168" s="58" t="str">
        <f aca="false">IF(助手收入!$R$13&lt;&gt;"",INDEX(助手收入!$C$2:$C$66,助手收入!$R$13)&amp;"  字第 "&amp;IF(参数!$B$9="是",INDEX(助手收入!$P$2:$P$66,助手收入!$R$13),"　　　　")&amp;" 号"&amp;IF(INDEX(助手收入!$L$2:$L$66,助手收入!$R$13)&gt;1,"  (共"&amp;INDEX(助手收入!$L$2:$L$66,助手收入!$R$13)&amp;"页 第"&amp;助手收入!$S$13&amp;"页)",""),"")</f>
        <v>博荣店  字第 　　　　 号  (共2页 第2页)</v>
      </c>
      <c r="G168" s="58"/>
      <c r="H168" s="58"/>
      <c r="I168" s="58"/>
      <c r="M168" s="59" t="n">
        <f aca="false">IF(助手收入!$R$13="","",助手收入!$Q$13)</f>
        <v>12</v>
      </c>
      <c r="N168" s="60" t="n">
        <f aca="false">IF(助手收入!$R$13="","",INDEX(助手收入!$P$2:$P$66,助手收入!$R$13))</f>
        <v>6</v>
      </c>
      <c r="O168" s="55" t="str">
        <f aca="false">IF(助手收入!$R$13="","",INDEX(助手收入!$C$2:$C$66,助手收入!$R$13)&amp;"  字第 "&amp;INDEX(助手收入!$P$2:$P$66,助手收入!$R$13)&amp;" 号"&amp;IF(INDEX(助手收入!$L$2:$L$66,助手收入!$R$13)&gt;1,"  (共"&amp;INDEX(助手收入!$L$2:$L$66,助手收入!$R$13)&amp;"页 第"&amp;助手收入!$S$13&amp;"页)",""))</f>
        <v>博荣店  字第 6 号  (共2页 第2页)</v>
      </c>
    </row>
    <row r="169" customFormat="false" ht="12.75" hidden="false" customHeight="true" outlineLevel="0" collapsed="false">
      <c r="B169" s="61" t="str">
        <f aca="false">IF(助手收入!$R$13&lt;&gt;"","摘　　要","")</f>
        <v>摘　　要</v>
      </c>
      <c r="C169" s="61"/>
      <c r="D169" s="62" t="str">
        <f aca="false">IF(助手收入!$R$13&lt;&gt;"","科　　　　目","")</f>
        <v>科　　　　目</v>
      </c>
      <c r="E169" s="62"/>
      <c r="F169" s="61" t="str">
        <f aca="false">IF(助手收入!$R$13&lt;&gt;"","借 方 金 额","")</f>
        <v>借 方 金 额</v>
      </c>
      <c r="G169" s="62" t="str">
        <f aca="false">IF(助手收入!$R$13&lt;&gt;"","贷 方 金 额","")</f>
        <v>贷 方 金 额</v>
      </c>
      <c r="H169" s="63" t="str">
        <f aca="false">IF(助手收入!$R$13&lt;&gt;"","√","")</f>
        <v>√</v>
      </c>
      <c r="I169" s="64" t="str">
        <f aca="false">IF(助手收入!$R$13&lt;&gt;"","附单据  张","")</f>
        <v>附单据  张</v>
      </c>
    </row>
    <row r="170" customFormat="false" ht="12.75" hidden="false" customHeight="true" outlineLevel="0" collapsed="false">
      <c r="B170" s="61"/>
      <c r="C170" s="61"/>
      <c r="D170" s="23" t="str">
        <f aca="false">IF(助手收入!$R$13&lt;&gt;"","总 账 科 目","")</f>
        <v>总 账 科 目</v>
      </c>
      <c r="E170" s="23" t="str">
        <f aca="false">IF(助手收入!$R$13&lt;&gt;"","明 细 科 目","")</f>
        <v>明 细 科 目</v>
      </c>
      <c r="F170" s="65"/>
      <c r="G170" s="66"/>
      <c r="H170" s="63"/>
      <c r="I170" s="64"/>
    </row>
    <row r="171" customFormat="false" ht="23.25" hidden="false" customHeight="true" outlineLevel="0" collapsed="false">
      <c r="B171" s="67" t="str">
        <f aca="false">IFERROR(INDEX(分录收入!$M:$M,MATCH($L171,分录收入!$L:$L,0)),"")</f>
        <v>7月收入</v>
      </c>
      <c r="C171" s="67"/>
      <c r="D171" s="23" t="str">
        <f aca="false">IFERROR(INDEX(分录收入!$E:$E,MATCH($L171,分录收入!$L:$L,0)),"")</f>
        <v>销售费用</v>
      </c>
      <c r="E171" s="23" t="str">
        <f aca="false">IFERROR(INDEX(分录收入!$F:$F,MATCH($L171,分录收入!$L:$L,0)),"")</f>
        <v>促销费</v>
      </c>
      <c r="F171" s="68" t="n">
        <f aca="false">IFERROR(INDEX(分录收入!$H:$H,MATCH($L171,分录收入!$L:$L,0)),"")</f>
        <v>1141.91</v>
      </c>
      <c r="G171" s="69" t="str">
        <f aca="false">IFERROR(INDEX(分录收入!$I:$I,MATCH($L171,分录收入!$L:$L,0)),"")</f>
        <v/>
      </c>
      <c r="H171" s="23"/>
      <c r="I171" s="70"/>
      <c r="L171" s="71" t="n">
        <f aca="false">IF(助手收入!$R$13="",-1,助手收入!$R$13*100+(助手收入!$S$13-1)*6+1)</f>
        <v>607</v>
      </c>
    </row>
    <row r="172" customFormat="false" ht="23.25" hidden="false" customHeight="true" outlineLevel="0" collapsed="false">
      <c r="B172" s="67" t="str">
        <f aca="false">""</f>
        <v/>
      </c>
      <c r="C172" s="67"/>
      <c r="D172" s="23" t="str">
        <f aca="false">IFERROR(INDEX(分录收入!$E:$E,MATCH($L172,分录收入!$L:$L,0)),"")</f>
        <v>财务费用</v>
      </c>
      <c r="E172" s="23" t="str">
        <f aca="false">IFERROR(INDEX(分录收入!$F:$F,MATCH($L172,分录收入!$L:$L,0)),"")</f>
        <v>手续费</v>
      </c>
      <c r="F172" s="68" t="n">
        <f aca="false">IFERROR(INDEX(分录收入!$H:$H,MATCH($L172,分录收入!$L:$L,0)),"")</f>
        <v>90.26</v>
      </c>
      <c r="G172" s="69" t="str">
        <f aca="false">IFERROR(INDEX(分录收入!$I:$I,MATCH($L172,分录收入!$L:$L,0)),"")</f>
        <v/>
      </c>
      <c r="H172" s="23"/>
      <c r="I172" s="70"/>
      <c r="L172" s="71" t="n">
        <f aca="false">IF(助手收入!$R$13="",-1,助手收入!$R$13*100+(助手收入!$S$13-1)*6+2)</f>
        <v>608</v>
      </c>
    </row>
    <row r="173" customFormat="false" ht="23.25" hidden="false" customHeight="true" outlineLevel="0" collapsed="false">
      <c r="B173" s="67" t="str">
        <f aca="false">""</f>
        <v/>
      </c>
      <c r="C173" s="67"/>
      <c r="D173" s="23" t="str">
        <f aca="false">IFERROR(INDEX(分录收入!$E:$E,MATCH($L173,分录收入!$L:$L,0)),"")</f>
        <v>主营业务收入</v>
      </c>
      <c r="E173" s="23" t="str">
        <f aca="false">IFERROR(INDEX(分录收入!$F:$F,MATCH($L173,分录收入!$L:$L,0)),"")</f>
        <v/>
      </c>
      <c r="F173" s="68" t="str">
        <f aca="false">IFERROR(INDEX(分录收入!$H:$H,MATCH($L173,分录收入!$L:$L,0)),"")</f>
        <v/>
      </c>
      <c r="G173" s="69" t="n">
        <f aca="false">IFERROR(INDEX(分录收入!$I:$I,MATCH($L173,分录收入!$L:$L,0)),"")</f>
        <v>65353.62</v>
      </c>
      <c r="H173" s="23"/>
      <c r="I173" s="70"/>
      <c r="L173" s="71" t="n">
        <f aca="false">IF(助手收入!$R$13="",-1,助手收入!$R$13*100+(助手收入!$S$13-1)*6+3)</f>
        <v>609</v>
      </c>
    </row>
    <row r="174" customFormat="false" ht="23.25" hidden="false" customHeight="true" outlineLevel="0" collapsed="false">
      <c r="B174" s="67" t="str">
        <f aca="false">""</f>
        <v/>
      </c>
      <c r="C174" s="67"/>
      <c r="D174" s="23" t="str">
        <f aca="false">IFERROR(INDEX(分录收入!$E:$E,MATCH($L174,分录收入!$L:$L,0)),"")</f>
        <v/>
      </c>
      <c r="E174" s="23" t="str">
        <f aca="false">IFERROR(INDEX(分录收入!$F:$F,MATCH($L174,分录收入!$L:$L,0)),"")</f>
        <v/>
      </c>
      <c r="F174" s="68" t="str">
        <f aca="false">IFERROR(INDEX(分录收入!$H:$H,MATCH($L174,分录收入!$L:$L,0)),"")</f>
        <v/>
      </c>
      <c r="G174" s="69" t="str">
        <f aca="false">IFERROR(INDEX(分录收入!$I:$I,MATCH($L174,分录收入!$L:$L,0)),"")</f>
        <v/>
      </c>
      <c r="H174" s="23"/>
      <c r="I174" s="70"/>
      <c r="L174" s="71" t="n">
        <f aca="false">IF(助手收入!$R$13="",-1,助手收入!$R$13*100+(助手收入!$S$13-1)*6+4)</f>
        <v>610</v>
      </c>
    </row>
    <row r="175" customFormat="false" ht="23.25" hidden="false" customHeight="true" outlineLevel="0" collapsed="false">
      <c r="B175" s="67" t="str">
        <f aca="false">""</f>
        <v/>
      </c>
      <c r="C175" s="67"/>
      <c r="D175" s="23" t="str">
        <f aca="false">IFERROR(INDEX(分录收入!$E:$E,MATCH($L175,分录收入!$L:$L,0)),"")</f>
        <v/>
      </c>
      <c r="E175" s="23" t="str">
        <f aca="false">IFERROR(INDEX(分录收入!$F:$F,MATCH($L175,分录收入!$L:$L,0)),"")</f>
        <v/>
      </c>
      <c r="F175" s="68" t="str">
        <f aca="false">IFERROR(INDEX(分录收入!$H:$H,MATCH($L175,分录收入!$L:$L,0)),"")</f>
        <v/>
      </c>
      <c r="G175" s="69" t="str">
        <f aca="false">IFERROR(INDEX(分录收入!$I:$I,MATCH($L175,分录收入!$L:$L,0)),"")</f>
        <v/>
      </c>
      <c r="H175" s="23"/>
      <c r="I175" s="70"/>
      <c r="L175" s="71" t="n">
        <f aca="false">IF(助手收入!$R$13="",-1,助手收入!$R$13*100+(助手收入!$S$13-1)*6+5)</f>
        <v>611</v>
      </c>
    </row>
    <row r="176" customFormat="false" ht="23.25" hidden="false" customHeight="true" outlineLevel="0" collapsed="false">
      <c r="B176" s="67" t="str">
        <f aca="false">""</f>
        <v/>
      </c>
      <c r="C176" s="67"/>
      <c r="D176" s="23" t="str">
        <f aca="false">IFERROR(INDEX(分录收入!$E:$E,MATCH($L176,分录收入!$L:$L,0)),"")</f>
        <v/>
      </c>
      <c r="E176" s="23" t="str">
        <f aca="false">IFERROR(INDEX(分录收入!$F:$F,MATCH($L176,分录收入!$L:$L,0)),"")</f>
        <v/>
      </c>
      <c r="F176" s="68" t="str">
        <f aca="false">IFERROR(INDEX(分录收入!$H:$H,MATCH($L176,分录收入!$L:$L,0)),"")</f>
        <v/>
      </c>
      <c r="G176" s="69" t="str">
        <f aca="false">IFERROR(INDEX(分录收入!$I:$I,MATCH($L176,分录收入!$L:$L,0)),"")</f>
        <v/>
      </c>
      <c r="H176" s="23"/>
      <c r="I176" s="70"/>
      <c r="L176" s="71" t="n">
        <f aca="false">IF(助手收入!$R$13="",-1,助手收入!$R$13*100+(助手收入!$S$13-1)*6+6)</f>
        <v>612</v>
      </c>
    </row>
    <row r="177" customFormat="false" ht="23.25" hidden="false" customHeight="true" outlineLevel="0" collapsed="false">
      <c r="B177" s="72" t="str">
        <f aca="false">IF(助手收入!$T$13=1,"合计：","")</f>
        <v>合计：</v>
      </c>
      <c r="C177" s="73" t="n">
        <f aca="false">IF(助手收入!$T$13=1,$F177,"")</f>
        <v>65353.62</v>
      </c>
      <c r="D177" s="74"/>
      <c r="E177" s="74"/>
      <c r="F177" s="75" t="n">
        <f aca="false">IF(助手收入!$T$13=1,INDEX(助手收入!$N$2:$N$66,助手收入!$R$13),"")</f>
        <v>65353.62</v>
      </c>
      <c r="G177" s="76" t="n">
        <f aca="false">IF(助手收入!$T$13=1,INDEX(助手收入!$O$2:$O$66,助手收入!$R$13),"")</f>
        <v>65353.62</v>
      </c>
      <c r="H177" s="74"/>
      <c r="I177" s="77"/>
    </row>
    <row r="178" customFormat="false" ht="6" hidden="false" customHeight="true" outlineLevel="0" collapsed="false"/>
    <row r="179" customFormat="false" ht="13.5" hidden="false" customHeight="false" outlineLevel="0" collapsed="false">
      <c r="B179" s="78" t="str">
        <f aca="false">IF(助手收入!$R$13&lt;&gt;"","会计主管：","")</f>
        <v>会计主管：</v>
      </c>
      <c r="D179" s="78" t="str">
        <f aca="false">IF(助手收入!$R$13&lt;&gt;"","会计：","")</f>
        <v>会计：</v>
      </c>
      <c r="E179" s="78" t="str">
        <f aca="false">IF(助手收入!$R$13&lt;&gt;"","出纳：","")</f>
        <v>出纳：</v>
      </c>
      <c r="F179" s="78" t="str">
        <f aca="false">IF(助手收入!$R$13&lt;&gt;"","复核：","")</f>
        <v>复核：</v>
      </c>
      <c r="G179" s="78" t="str">
        <f aca="false">IF(助手收入!$R$13&lt;&gt;"","制单：","")</f>
        <v>制单：</v>
      </c>
    </row>
    <row r="180" customFormat="false" ht="3" hidden="false" customHeight="true" outlineLevel="0" collapsed="false"/>
    <row r="181" customFormat="false" ht="19.5" hidden="false" customHeight="true" outlineLevel="0" collapsed="false">
      <c r="B181" s="53" t="str">
        <f aca="false">IF(助手收入!$R$14&lt;&gt;"","记  账  凭  证","")</f>
        <v>记  账  凭  证</v>
      </c>
      <c r="C181" s="53"/>
      <c r="D181" s="53"/>
      <c r="E181" s="53"/>
      <c r="F181" s="53"/>
      <c r="G181" s="53"/>
      <c r="H181" s="53"/>
      <c r="I181" s="53"/>
    </row>
    <row r="182" customFormat="false" ht="3" hidden="false" customHeight="true" outlineLevel="0" collapsed="false"/>
    <row r="183" customFormat="false" ht="15" hidden="false" customHeight="true" outlineLevel="0" collapsed="false">
      <c r="C183" s="56" t="n">
        <f aca="false">IF(助手收入!$R$14&lt;&gt;"",INDEX(助手收入!$B$2:$B$66,助手收入!$R$14),"")</f>
        <v>2007</v>
      </c>
      <c r="D183" s="57" t="n">
        <f aca="false">IF(助手收入!$R$14&lt;&gt;"",参数!$B$2,"")</f>
        <v>46234</v>
      </c>
      <c r="E183" s="57"/>
      <c r="F183" s="58" t="str">
        <f aca="false">IF(助手收入!$R$14&lt;&gt;"",INDEX(助手收入!$C$2:$C$66,助手收入!$R$14)&amp;"  字第 "&amp;IF(参数!$B$9="是",INDEX(助手收入!$P$2:$P$66,助手收入!$R$14),"　　　　")&amp;" 号"&amp;IF(INDEX(助手收入!$L$2:$L$66,助手收入!$R$14)&gt;1,"  (共"&amp;INDEX(助手收入!$L$2:$L$66,助手收入!$R$14)&amp;"页 第"&amp;助手收入!$S$14&amp;"页)",""),"")</f>
        <v>华鑫店  字第 　　　　 号  (共2页 第1页)</v>
      </c>
      <c r="G183" s="58"/>
      <c r="H183" s="58"/>
      <c r="I183" s="58"/>
      <c r="M183" s="59" t="n">
        <f aca="false">IF(助手收入!$R$14="","",助手收入!$Q$14)</f>
        <v>13</v>
      </c>
      <c r="N183" s="60" t="n">
        <f aca="false">IF(助手收入!$R$14="","",INDEX(助手收入!$P$2:$P$66,助手收入!$R$14))</f>
        <v>7</v>
      </c>
      <c r="O183" s="55" t="str">
        <f aca="false">IF(助手收入!$R$14="","",INDEX(助手收入!$C$2:$C$66,助手收入!$R$14)&amp;"  字第 "&amp;INDEX(助手收入!$P$2:$P$66,助手收入!$R$14)&amp;" 号"&amp;IF(INDEX(助手收入!$L$2:$L$66,助手收入!$R$14)&gt;1,"  (共"&amp;INDEX(助手收入!$L$2:$L$66,助手收入!$R$14)&amp;"页 第"&amp;助手收入!$S$14&amp;"页)",""))</f>
        <v>华鑫店  字第 7 号  (共2页 第1页)</v>
      </c>
    </row>
    <row r="184" customFormat="false" ht="12.75" hidden="false" customHeight="true" outlineLevel="0" collapsed="false">
      <c r="B184" s="61" t="str">
        <f aca="false">IF(助手收入!$R$14&lt;&gt;"","摘　　要","")</f>
        <v>摘　　要</v>
      </c>
      <c r="C184" s="61"/>
      <c r="D184" s="62" t="str">
        <f aca="false">IF(助手收入!$R$14&lt;&gt;"","科　　　　目","")</f>
        <v>科　　　　目</v>
      </c>
      <c r="E184" s="62"/>
      <c r="F184" s="61" t="str">
        <f aca="false">IF(助手收入!$R$14&lt;&gt;"","借 方 金 额","")</f>
        <v>借 方 金 额</v>
      </c>
      <c r="G184" s="62" t="str">
        <f aca="false">IF(助手收入!$R$14&lt;&gt;"","贷 方 金 额","")</f>
        <v>贷 方 金 额</v>
      </c>
      <c r="H184" s="63" t="str">
        <f aca="false">IF(助手收入!$R$14&lt;&gt;"","√","")</f>
        <v>√</v>
      </c>
      <c r="I184" s="64" t="str">
        <f aca="false">IF(助手收入!$R$14&lt;&gt;"","附单据  张","")</f>
        <v>附单据  张</v>
      </c>
    </row>
    <row r="185" customFormat="false" ht="12.75" hidden="false" customHeight="true" outlineLevel="0" collapsed="false">
      <c r="B185" s="61"/>
      <c r="C185" s="61"/>
      <c r="D185" s="23" t="str">
        <f aca="false">IF(助手收入!$R$14&lt;&gt;"","总 账 科 目","")</f>
        <v>总 账 科 目</v>
      </c>
      <c r="E185" s="23" t="str">
        <f aca="false">IF(助手收入!$R$14&lt;&gt;"","明 细 科 目","")</f>
        <v>明 细 科 目</v>
      </c>
      <c r="F185" s="65"/>
      <c r="G185" s="66"/>
      <c r="H185" s="63"/>
      <c r="I185" s="64"/>
    </row>
    <row r="186" customFormat="false" ht="23.25" hidden="false" customHeight="true" outlineLevel="0" collapsed="false">
      <c r="B186" s="67" t="str">
        <f aca="false">IFERROR(INDEX(分录收入!$M:$M,MATCH($L186,分录收入!$L:$L,0)),"")</f>
        <v>7月收入</v>
      </c>
      <c r="C186" s="67"/>
      <c r="D186" s="23" t="str">
        <f aca="false">IFERROR(INDEX(分录收入!$E:$E,MATCH($L186,分录收入!$L:$L,0)),"")</f>
        <v>库存现金</v>
      </c>
      <c r="E186" s="23" t="str">
        <f aca="false">IFERROR(INDEX(分录收入!$F:$F,MATCH($L186,分录收入!$L:$L,0)),"")</f>
        <v/>
      </c>
      <c r="F186" s="68" t="n">
        <f aca="false">IFERROR(INDEX(分录收入!$H:$H,MATCH($L186,分录收入!$L:$L,0)),"")</f>
        <v>12722.01</v>
      </c>
      <c r="G186" s="69" t="str">
        <f aca="false">IFERROR(INDEX(分录收入!$I:$I,MATCH($L186,分录收入!$L:$L,0)),"")</f>
        <v/>
      </c>
      <c r="H186" s="23"/>
      <c r="I186" s="70"/>
      <c r="L186" s="71" t="n">
        <f aca="false">IF(助手收入!$R$14="",-1,助手收入!$R$14*100+(助手收入!$S$14-1)*6+1)</f>
        <v>701</v>
      </c>
    </row>
    <row r="187" customFormat="false" ht="23.25" hidden="false" customHeight="true" outlineLevel="0" collapsed="false">
      <c r="B187" s="67" t="str">
        <f aca="false">""</f>
        <v/>
      </c>
      <c r="C187" s="67"/>
      <c r="D187" s="23" t="str">
        <f aca="false">IFERROR(INDEX(分录收入!$E:$E,MATCH($L187,分录收入!$L:$L,0)),"")</f>
        <v>应收账款</v>
      </c>
      <c r="E187" s="23" t="str">
        <f aca="false">IFERROR(INDEX(分录收入!$F:$F,MATCH($L187,分录收入!$L:$L,0)),"")</f>
        <v>聚合支付</v>
      </c>
      <c r="F187" s="68" t="n">
        <f aca="false">IFERROR(INDEX(分录收入!$H:$H,MATCH($L187,分录收入!$L:$L,0)),"")</f>
        <v>33720.14</v>
      </c>
      <c r="G187" s="69" t="str">
        <f aca="false">IFERROR(INDEX(分录收入!$I:$I,MATCH($L187,分录收入!$L:$L,0)),"")</f>
        <v/>
      </c>
      <c r="H187" s="23"/>
      <c r="I187" s="70"/>
      <c r="L187" s="71" t="n">
        <f aca="false">IF(助手收入!$R$14="",-1,助手收入!$R$14*100+(助手收入!$S$14-1)*6+2)</f>
        <v>702</v>
      </c>
    </row>
    <row r="188" customFormat="false" ht="23.25" hidden="false" customHeight="true" outlineLevel="0" collapsed="false">
      <c r="B188" s="67" t="str">
        <f aca="false">""</f>
        <v/>
      </c>
      <c r="C188" s="67"/>
      <c r="D188" s="23" t="str">
        <f aca="false">IFERROR(INDEX(分录收入!$E:$E,MATCH($L188,分录收入!$L:$L,0)),"")</f>
        <v>应收账款</v>
      </c>
      <c r="E188" s="23" t="str">
        <f aca="false">IFERROR(INDEX(分录收入!$F:$F,MATCH($L188,分录收入!$L:$L,0)),"")</f>
        <v>医保</v>
      </c>
      <c r="F188" s="68" t="n">
        <f aca="false">IFERROR(INDEX(分录收入!$H:$H,MATCH($L188,分录收入!$L:$L,0)),"")</f>
        <v>11838.8</v>
      </c>
      <c r="G188" s="69" t="str">
        <f aca="false">IFERROR(INDEX(分录收入!$I:$I,MATCH($L188,分录收入!$L:$L,0)),"")</f>
        <v/>
      </c>
      <c r="H188" s="23"/>
      <c r="I188" s="70"/>
      <c r="L188" s="71" t="n">
        <f aca="false">IF(助手收入!$R$14="",-1,助手收入!$R$14*100+(助手收入!$S$14-1)*6+3)</f>
        <v>703</v>
      </c>
    </row>
    <row r="189" customFormat="false" ht="23.25" hidden="false" customHeight="true" outlineLevel="0" collapsed="false">
      <c r="B189" s="67" t="str">
        <f aca="false">""</f>
        <v/>
      </c>
      <c r="C189" s="67"/>
      <c r="D189" s="23" t="str">
        <f aca="false">IFERROR(INDEX(分录收入!$E:$E,MATCH($L189,分录收入!$L:$L,0)),"")</f>
        <v>应收账款</v>
      </c>
      <c r="E189" s="23" t="str">
        <f aca="false">IFERROR(INDEX(分录收入!$F:$F,MATCH($L189,分录收入!$L:$L,0)),"")</f>
        <v>企健网</v>
      </c>
      <c r="F189" s="68" t="n">
        <f aca="false">IFERROR(INDEX(分录收入!$H:$H,MATCH($L189,分录收入!$L:$L,0)),"")</f>
        <v>2189.3</v>
      </c>
      <c r="G189" s="69" t="str">
        <f aca="false">IFERROR(INDEX(分录收入!$I:$I,MATCH($L189,分录收入!$L:$L,0)),"")</f>
        <v/>
      </c>
      <c r="H189" s="23"/>
      <c r="I189" s="70"/>
      <c r="L189" s="71" t="n">
        <f aca="false">IF(助手收入!$R$14="",-1,助手收入!$R$14*100+(助手收入!$S$14-1)*6+4)</f>
        <v>704</v>
      </c>
    </row>
    <row r="190" customFormat="false" ht="23.25" hidden="false" customHeight="true" outlineLevel="0" collapsed="false">
      <c r="B190" s="67" t="str">
        <f aca="false">""</f>
        <v/>
      </c>
      <c r="C190" s="67"/>
      <c r="D190" s="23" t="str">
        <f aca="false">IFERROR(INDEX(分录收入!$E:$E,MATCH($L190,分录收入!$L:$L,0)),"")</f>
        <v>应收账款</v>
      </c>
      <c r="E190" s="23" t="str">
        <f aca="false">IFERROR(INDEX(分录收入!$F:$F,MATCH($L190,分录收入!$L:$L,0)),"")</f>
        <v>美团</v>
      </c>
      <c r="F190" s="68" t="n">
        <f aca="false">IFERROR(INDEX(分录收入!$H:$H,MATCH($L190,分录收入!$L:$L,0)),"")</f>
        <v>213.9</v>
      </c>
      <c r="G190" s="69" t="str">
        <f aca="false">IFERROR(INDEX(分录收入!$I:$I,MATCH($L190,分录收入!$L:$L,0)),"")</f>
        <v/>
      </c>
      <c r="H190" s="23"/>
      <c r="I190" s="70"/>
      <c r="L190" s="71" t="n">
        <f aca="false">IF(助手收入!$R$14="",-1,助手收入!$R$14*100+(助手收入!$S$14-1)*6+5)</f>
        <v>705</v>
      </c>
    </row>
    <row r="191" customFormat="false" ht="23.25" hidden="false" customHeight="true" outlineLevel="0" collapsed="false">
      <c r="B191" s="67" t="str">
        <f aca="false">""</f>
        <v/>
      </c>
      <c r="C191" s="67"/>
      <c r="D191" s="23" t="str">
        <f aca="false">IFERROR(INDEX(分录收入!$E:$E,MATCH($L191,分录收入!$L:$L,0)),"")</f>
        <v>应收账款</v>
      </c>
      <c r="E191" s="23" t="str">
        <f aca="false">IFERROR(INDEX(分录收入!$F:$F,MATCH($L191,分录收入!$L:$L,0)),"")</f>
        <v>饿了么</v>
      </c>
      <c r="F191" s="68" t="n">
        <f aca="false">IFERROR(INDEX(分录收入!$H:$H,MATCH($L191,分录收入!$L:$L,0)),"")</f>
        <v>236.5</v>
      </c>
      <c r="G191" s="69" t="str">
        <f aca="false">IFERROR(INDEX(分录收入!$I:$I,MATCH($L191,分录收入!$L:$L,0)),"")</f>
        <v/>
      </c>
      <c r="H191" s="23"/>
      <c r="I191" s="70"/>
      <c r="L191" s="71" t="n">
        <f aca="false">IF(助手收入!$R$14="",-1,助手收入!$R$14*100+(助手收入!$S$14-1)*6+6)</f>
        <v>706</v>
      </c>
    </row>
    <row r="192" customFormat="false" ht="23.25" hidden="false" customHeight="true" outlineLevel="0" collapsed="false">
      <c r="B192" s="72" t="str">
        <f aca="false">IF(助手收入!$T$14=1,"合计：","")</f>
        <v/>
      </c>
      <c r="C192" s="73" t="str">
        <f aca="false">IF(助手收入!$T$14=1,$F192,"")</f>
        <v/>
      </c>
      <c r="D192" s="74"/>
      <c r="E192" s="74"/>
      <c r="F192" s="75" t="str">
        <f aca="false">IF(助手收入!$T$14=1,INDEX(助手收入!$N$2:$N$66,助手收入!$R$14),"")</f>
        <v/>
      </c>
      <c r="G192" s="76" t="str">
        <f aca="false">IF(助手收入!$T$14=1,INDEX(助手收入!$O$2:$O$66,助手收入!$R$14),"")</f>
        <v/>
      </c>
      <c r="H192" s="74"/>
      <c r="I192" s="77"/>
    </row>
    <row r="193" customFormat="false" ht="6" hidden="false" customHeight="true" outlineLevel="0" collapsed="false"/>
    <row r="194" customFormat="false" ht="13.5" hidden="false" customHeight="false" outlineLevel="0" collapsed="false">
      <c r="B194" s="78" t="str">
        <f aca="false">IF(助手收入!$R$14&lt;&gt;"","会计主管：","")</f>
        <v>会计主管：</v>
      </c>
      <c r="D194" s="78" t="str">
        <f aca="false">IF(助手收入!$R$14&lt;&gt;"","会计：","")</f>
        <v>会计：</v>
      </c>
      <c r="E194" s="78" t="str">
        <f aca="false">IF(助手收入!$R$14&lt;&gt;"","出纳：","")</f>
        <v>出纳：</v>
      </c>
      <c r="F194" s="78" t="str">
        <f aca="false">IF(助手收入!$R$14&lt;&gt;"","复核：","")</f>
        <v>复核：</v>
      </c>
      <c r="G194" s="78" t="str">
        <f aca="false">IF(助手收入!$R$14&lt;&gt;"","制单：","")</f>
        <v>制单：</v>
      </c>
    </row>
    <row r="195" customFormat="false" ht="3" hidden="false" customHeight="true" outlineLevel="0" collapsed="false"/>
    <row r="196" customFormat="false" ht="19.5" hidden="false" customHeight="true" outlineLevel="0" collapsed="false">
      <c r="B196" s="53" t="str">
        <f aca="false">IF(助手收入!$R$15&lt;&gt;"","记  账  凭  证","")</f>
        <v>记  账  凭  证</v>
      </c>
      <c r="C196" s="53"/>
      <c r="D196" s="53"/>
      <c r="E196" s="53"/>
      <c r="F196" s="53"/>
      <c r="G196" s="53"/>
      <c r="H196" s="53"/>
      <c r="I196" s="53"/>
    </row>
    <row r="197" customFormat="false" ht="3" hidden="false" customHeight="true" outlineLevel="0" collapsed="false"/>
    <row r="198" customFormat="false" ht="15" hidden="false" customHeight="true" outlineLevel="0" collapsed="false">
      <c r="C198" s="56" t="n">
        <f aca="false">IF(助手收入!$R$15&lt;&gt;"",INDEX(助手收入!$B$2:$B$66,助手收入!$R$15),"")</f>
        <v>2007</v>
      </c>
      <c r="D198" s="57" t="n">
        <f aca="false">IF(助手收入!$R$15&lt;&gt;"",参数!$B$2,"")</f>
        <v>46234</v>
      </c>
      <c r="E198" s="57"/>
      <c r="F198" s="58" t="str">
        <f aca="false">IF(助手收入!$R$15&lt;&gt;"",INDEX(助手收入!$C$2:$C$66,助手收入!$R$15)&amp;"  字第 "&amp;IF(参数!$B$9="是",INDEX(助手收入!$P$2:$P$66,助手收入!$R$15),"　　　　")&amp;" 号"&amp;IF(INDEX(助手收入!$L$2:$L$66,助手收入!$R$15)&gt;1,"  (共"&amp;INDEX(助手收入!$L$2:$L$66,助手收入!$R$15)&amp;"页 第"&amp;助手收入!$S$15&amp;"页)",""),"")</f>
        <v>华鑫店  字第 　　　　 号  (共2页 第2页)</v>
      </c>
      <c r="G198" s="58"/>
      <c r="H198" s="58"/>
      <c r="I198" s="58"/>
      <c r="M198" s="59" t="n">
        <f aca="false">IF(助手收入!$R$15="","",助手收入!$Q$15)</f>
        <v>14</v>
      </c>
      <c r="N198" s="60" t="n">
        <f aca="false">IF(助手收入!$R$15="","",INDEX(助手收入!$P$2:$P$66,助手收入!$R$15))</f>
        <v>7</v>
      </c>
      <c r="O198" s="55" t="str">
        <f aca="false">IF(助手收入!$R$15="","",INDEX(助手收入!$C$2:$C$66,助手收入!$R$15)&amp;"  字第 "&amp;INDEX(助手收入!$P$2:$P$66,助手收入!$R$15)&amp;" 号"&amp;IF(INDEX(助手收入!$L$2:$L$66,助手收入!$R$15)&gt;1,"  (共"&amp;INDEX(助手收入!$L$2:$L$66,助手收入!$R$15)&amp;"页 第"&amp;助手收入!$S$15&amp;"页)",""))</f>
        <v>华鑫店  字第 7 号  (共2页 第2页)</v>
      </c>
    </row>
    <row r="199" customFormat="false" ht="12.75" hidden="false" customHeight="true" outlineLevel="0" collapsed="false">
      <c r="B199" s="61" t="str">
        <f aca="false">IF(助手收入!$R$15&lt;&gt;"","摘　　要","")</f>
        <v>摘　　要</v>
      </c>
      <c r="C199" s="61"/>
      <c r="D199" s="62" t="str">
        <f aca="false">IF(助手收入!$R$15&lt;&gt;"","科　　　　目","")</f>
        <v>科　　　　目</v>
      </c>
      <c r="E199" s="62"/>
      <c r="F199" s="61" t="str">
        <f aca="false">IF(助手收入!$R$15&lt;&gt;"","借 方 金 额","")</f>
        <v>借 方 金 额</v>
      </c>
      <c r="G199" s="62" t="str">
        <f aca="false">IF(助手收入!$R$15&lt;&gt;"","贷 方 金 额","")</f>
        <v>贷 方 金 额</v>
      </c>
      <c r="H199" s="63" t="str">
        <f aca="false">IF(助手收入!$R$15&lt;&gt;"","√","")</f>
        <v>√</v>
      </c>
      <c r="I199" s="64" t="str">
        <f aca="false">IF(助手收入!$R$15&lt;&gt;"","附单据  张","")</f>
        <v>附单据  张</v>
      </c>
    </row>
    <row r="200" customFormat="false" ht="12.75" hidden="false" customHeight="true" outlineLevel="0" collapsed="false">
      <c r="B200" s="61"/>
      <c r="C200" s="61"/>
      <c r="D200" s="23" t="str">
        <f aca="false">IF(助手收入!$R$15&lt;&gt;"","总 账 科 目","")</f>
        <v>总 账 科 目</v>
      </c>
      <c r="E200" s="23" t="str">
        <f aca="false">IF(助手收入!$R$15&lt;&gt;"","明 细 科 目","")</f>
        <v>明 细 科 目</v>
      </c>
      <c r="F200" s="65"/>
      <c r="G200" s="66"/>
      <c r="H200" s="63"/>
      <c r="I200" s="64"/>
    </row>
    <row r="201" customFormat="false" ht="23.25" hidden="false" customHeight="true" outlineLevel="0" collapsed="false">
      <c r="B201" s="67" t="str">
        <f aca="false">IFERROR(INDEX(分录收入!$M:$M,MATCH($L201,分录收入!$L:$L,0)),"")</f>
        <v>7月收入</v>
      </c>
      <c r="C201" s="67"/>
      <c r="D201" s="23" t="str">
        <f aca="false">IFERROR(INDEX(分录收入!$E:$E,MATCH($L201,分录收入!$L:$L,0)),"")</f>
        <v>其他应收款</v>
      </c>
      <c r="E201" s="23" t="str">
        <f aca="false">IFERROR(INDEX(分录收入!$F:$F,MATCH($L201,分录收入!$L:$L,0)),"")</f>
        <v>储值卡</v>
      </c>
      <c r="F201" s="68" t="n">
        <f aca="false">IFERROR(INDEX(分录收入!$H:$H,MATCH($L201,分录收入!$L:$L,0)),"")</f>
        <v>679.48</v>
      </c>
      <c r="G201" s="69" t="str">
        <f aca="false">IFERROR(INDEX(分录收入!$I:$I,MATCH($L201,分录收入!$L:$L,0)),"")</f>
        <v/>
      </c>
      <c r="H201" s="23"/>
      <c r="I201" s="70"/>
      <c r="L201" s="71" t="n">
        <f aca="false">IF(助手收入!$R$15="",-1,助手收入!$R$15*100+(助手收入!$S$15-1)*6+1)</f>
        <v>707</v>
      </c>
    </row>
    <row r="202" customFormat="false" ht="23.25" hidden="false" customHeight="true" outlineLevel="0" collapsed="false">
      <c r="B202" s="67" t="str">
        <f aca="false">""</f>
        <v/>
      </c>
      <c r="C202" s="67"/>
      <c r="D202" s="23" t="str">
        <f aca="false">IFERROR(INDEX(分录收入!$E:$E,MATCH($L202,分录收入!$L:$L,0)),"")</f>
        <v>销售费用</v>
      </c>
      <c r="E202" s="23" t="str">
        <f aca="false">IFERROR(INDEX(分录收入!$F:$F,MATCH($L202,分录收入!$L:$L,0)),"")</f>
        <v>促销费</v>
      </c>
      <c r="F202" s="68" t="n">
        <f aca="false">IFERROR(INDEX(分录收入!$H:$H,MATCH($L202,分录收入!$L:$L,0)),"")</f>
        <v>2651.6</v>
      </c>
      <c r="G202" s="69" t="str">
        <f aca="false">IFERROR(INDEX(分录收入!$I:$I,MATCH($L202,分录收入!$L:$L,0)),"")</f>
        <v/>
      </c>
      <c r="H202" s="23"/>
      <c r="I202" s="70"/>
      <c r="L202" s="71" t="n">
        <f aca="false">IF(助手收入!$R$15="",-1,助手收入!$R$15*100+(助手收入!$S$15-1)*6+2)</f>
        <v>708</v>
      </c>
    </row>
    <row r="203" customFormat="false" ht="23.25" hidden="false" customHeight="true" outlineLevel="0" collapsed="false">
      <c r="B203" s="67" t="str">
        <f aca="false">""</f>
        <v/>
      </c>
      <c r="C203" s="67"/>
      <c r="D203" s="23" t="str">
        <f aca="false">IFERROR(INDEX(分录收入!$E:$E,MATCH($L203,分录收入!$L:$L,0)),"")</f>
        <v>财务费用</v>
      </c>
      <c r="E203" s="23" t="str">
        <f aca="false">IFERROR(INDEX(分录收入!$F:$F,MATCH($L203,分录收入!$L:$L,0)),"")</f>
        <v>手续费</v>
      </c>
      <c r="F203" s="68" t="n">
        <f aca="false">IFERROR(INDEX(分录收入!$H:$H,MATCH($L203,分录收入!$L:$L,0)),"")</f>
        <v>91.29</v>
      </c>
      <c r="G203" s="69" t="str">
        <f aca="false">IFERROR(INDEX(分录收入!$I:$I,MATCH($L203,分录收入!$L:$L,0)),"")</f>
        <v/>
      </c>
      <c r="H203" s="23"/>
      <c r="I203" s="70"/>
      <c r="L203" s="71" t="n">
        <f aca="false">IF(助手收入!$R$15="",-1,助手收入!$R$15*100+(助手收入!$S$15-1)*6+3)</f>
        <v>709</v>
      </c>
    </row>
    <row r="204" customFormat="false" ht="23.25" hidden="false" customHeight="true" outlineLevel="0" collapsed="false">
      <c r="B204" s="67" t="str">
        <f aca="false">""</f>
        <v/>
      </c>
      <c r="C204" s="67"/>
      <c r="D204" s="23" t="str">
        <f aca="false">IFERROR(INDEX(分录收入!$E:$E,MATCH($L204,分录收入!$L:$L,0)),"")</f>
        <v>主营业务收入</v>
      </c>
      <c r="E204" s="23" t="str">
        <f aca="false">IFERROR(INDEX(分录收入!$F:$F,MATCH($L204,分录收入!$L:$L,0)),"")</f>
        <v/>
      </c>
      <c r="F204" s="68" t="str">
        <f aca="false">IFERROR(INDEX(分录收入!$H:$H,MATCH($L204,分录收入!$L:$L,0)),"")</f>
        <v/>
      </c>
      <c r="G204" s="69" t="n">
        <f aca="false">IFERROR(INDEX(分录收入!$I:$I,MATCH($L204,分录收入!$L:$L,0)),"")</f>
        <v>64343.02</v>
      </c>
      <c r="H204" s="23"/>
      <c r="I204" s="70"/>
      <c r="L204" s="71" t="n">
        <f aca="false">IF(助手收入!$R$15="",-1,助手收入!$R$15*100+(助手收入!$S$15-1)*6+4)</f>
        <v>710</v>
      </c>
    </row>
    <row r="205" customFormat="false" ht="23.25" hidden="false" customHeight="true" outlineLevel="0" collapsed="false">
      <c r="B205" s="67" t="str">
        <f aca="false">""</f>
        <v/>
      </c>
      <c r="C205" s="67"/>
      <c r="D205" s="23" t="str">
        <f aca="false">IFERROR(INDEX(分录收入!$E:$E,MATCH($L205,分录收入!$L:$L,0)),"")</f>
        <v/>
      </c>
      <c r="E205" s="23" t="str">
        <f aca="false">IFERROR(INDEX(分录收入!$F:$F,MATCH($L205,分录收入!$L:$L,0)),"")</f>
        <v/>
      </c>
      <c r="F205" s="68" t="str">
        <f aca="false">IFERROR(INDEX(分录收入!$H:$H,MATCH($L205,分录收入!$L:$L,0)),"")</f>
        <v/>
      </c>
      <c r="G205" s="69" t="str">
        <f aca="false">IFERROR(INDEX(分录收入!$I:$I,MATCH($L205,分录收入!$L:$L,0)),"")</f>
        <v/>
      </c>
      <c r="H205" s="23"/>
      <c r="I205" s="70"/>
      <c r="L205" s="71" t="n">
        <f aca="false">IF(助手收入!$R$15="",-1,助手收入!$R$15*100+(助手收入!$S$15-1)*6+5)</f>
        <v>711</v>
      </c>
    </row>
    <row r="206" customFormat="false" ht="23.25" hidden="false" customHeight="true" outlineLevel="0" collapsed="false">
      <c r="B206" s="67" t="str">
        <f aca="false">""</f>
        <v/>
      </c>
      <c r="C206" s="67"/>
      <c r="D206" s="23" t="str">
        <f aca="false">IFERROR(INDEX(分录收入!$E:$E,MATCH($L206,分录收入!$L:$L,0)),"")</f>
        <v/>
      </c>
      <c r="E206" s="23" t="str">
        <f aca="false">IFERROR(INDEX(分录收入!$F:$F,MATCH($L206,分录收入!$L:$L,0)),"")</f>
        <v/>
      </c>
      <c r="F206" s="68" t="str">
        <f aca="false">IFERROR(INDEX(分录收入!$H:$H,MATCH($L206,分录收入!$L:$L,0)),"")</f>
        <v/>
      </c>
      <c r="G206" s="69" t="str">
        <f aca="false">IFERROR(INDEX(分录收入!$I:$I,MATCH($L206,分录收入!$L:$L,0)),"")</f>
        <v/>
      </c>
      <c r="H206" s="23"/>
      <c r="I206" s="70"/>
      <c r="L206" s="71" t="n">
        <f aca="false">IF(助手收入!$R$15="",-1,助手收入!$R$15*100+(助手收入!$S$15-1)*6+6)</f>
        <v>712</v>
      </c>
    </row>
    <row r="207" customFormat="false" ht="23.25" hidden="false" customHeight="true" outlineLevel="0" collapsed="false">
      <c r="B207" s="72" t="str">
        <f aca="false">IF(助手收入!$T$15=1,"合计：","")</f>
        <v>合计：</v>
      </c>
      <c r="C207" s="73" t="n">
        <f aca="false">IF(助手收入!$T$15=1,$F207,"")</f>
        <v>64343.02</v>
      </c>
      <c r="D207" s="74"/>
      <c r="E207" s="74"/>
      <c r="F207" s="75" t="n">
        <f aca="false">IF(助手收入!$T$15=1,INDEX(助手收入!$N$2:$N$66,助手收入!$R$15),"")</f>
        <v>64343.02</v>
      </c>
      <c r="G207" s="76" t="n">
        <f aca="false">IF(助手收入!$T$15=1,INDEX(助手收入!$O$2:$O$66,助手收入!$R$15),"")</f>
        <v>64343.02</v>
      </c>
      <c r="H207" s="74"/>
      <c r="I207" s="77"/>
    </row>
    <row r="208" customFormat="false" ht="6" hidden="false" customHeight="true" outlineLevel="0" collapsed="false"/>
    <row r="209" customFormat="false" ht="13.5" hidden="false" customHeight="false" outlineLevel="0" collapsed="false">
      <c r="B209" s="78" t="str">
        <f aca="false">IF(助手收入!$R$15&lt;&gt;"","会计主管：","")</f>
        <v>会计主管：</v>
      </c>
      <c r="D209" s="78" t="str">
        <f aca="false">IF(助手收入!$R$15&lt;&gt;"","会计：","")</f>
        <v>会计：</v>
      </c>
      <c r="E209" s="78" t="str">
        <f aca="false">IF(助手收入!$R$15&lt;&gt;"","出纳：","")</f>
        <v>出纳：</v>
      </c>
      <c r="F209" s="78" t="str">
        <f aca="false">IF(助手收入!$R$15&lt;&gt;"","复核：","")</f>
        <v>复核：</v>
      </c>
      <c r="G209" s="78" t="str">
        <f aca="false">IF(助手收入!$R$15&lt;&gt;"","制单：","")</f>
        <v>制单：</v>
      </c>
    </row>
    <row r="210" customFormat="false" ht="3" hidden="false" customHeight="true" outlineLevel="0" collapsed="false"/>
    <row r="211" customFormat="false" ht="19.5" hidden="false" customHeight="true" outlineLevel="0" collapsed="false">
      <c r="B211" s="53" t="str">
        <f aca="false">IF(助手收入!$R$16&lt;&gt;"","记  账  凭  证","")</f>
        <v>记  账  凭  证</v>
      </c>
      <c r="C211" s="53"/>
      <c r="D211" s="53"/>
      <c r="E211" s="53"/>
      <c r="F211" s="53"/>
      <c r="G211" s="53"/>
      <c r="H211" s="53"/>
      <c r="I211" s="53"/>
    </row>
    <row r="212" customFormat="false" ht="3" hidden="false" customHeight="true" outlineLevel="0" collapsed="false"/>
    <row r="213" customFormat="false" ht="15" hidden="false" customHeight="true" outlineLevel="0" collapsed="false">
      <c r="C213" s="56" t="n">
        <f aca="false">IF(助手收入!$R$16&lt;&gt;"",INDEX(助手收入!$B$2:$B$66,助手收入!$R$16),"")</f>
        <v>2008</v>
      </c>
      <c r="D213" s="57" t="n">
        <f aca="false">IF(助手收入!$R$16&lt;&gt;"",参数!$B$2,"")</f>
        <v>46234</v>
      </c>
      <c r="E213" s="57"/>
      <c r="F213" s="58" t="str">
        <f aca="false">IF(助手收入!$R$16&lt;&gt;"",INDEX(助手收入!$C$2:$C$66,助手收入!$R$16)&amp;"  字第 "&amp;IF(参数!$B$9="是",INDEX(助手收入!$P$2:$P$66,助手收入!$R$16),"　　　　")&amp;" 号"&amp;IF(INDEX(助手收入!$L$2:$L$66,助手收入!$R$16)&gt;1,"  (共"&amp;INDEX(助手收入!$L$2:$L$66,助手收入!$R$16)&amp;"页 第"&amp;助手收入!$S$16&amp;"页)",""),"")</f>
        <v>博昭店  字第 　　　　 号  (共2页 第1页)</v>
      </c>
      <c r="G213" s="58"/>
      <c r="H213" s="58"/>
      <c r="I213" s="58"/>
      <c r="M213" s="59" t="n">
        <f aca="false">IF(助手收入!$R$16="","",助手收入!$Q$16)</f>
        <v>15</v>
      </c>
      <c r="N213" s="60" t="n">
        <f aca="false">IF(助手收入!$R$16="","",INDEX(助手收入!$P$2:$P$66,助手收入!$R$16))</f>
        <v>8</v>
      </c>
      <c r="O213" s="55" t="str">
        <f aca="false">IF(助手收入!$R$16="","",INDEX(助手收入!$C$2:$C$66,助手收入!$R$16)&amp;"  字第 "&amp;INDEX(助手收入!$P$2:$P$66,助手收入!$R$16)&amp;" 号"&amp;IF(INDEX(助手收入!$L$2:$L$66,助手收入!$R$16)&gt;1,"  (共"&amp;INDEX(助手收入!$L$2:$L$66,助手收入!$R$16)&amp;"页 第"&amp;助手收入!$S$16&amp;"页)",""))</f>
        <v>博昭店  字第 8 号  (共2页 第1页)</v>
      </c>
    </row>
    <row r="214" customFormat="false" ht="12.75" hidden="false" customHeight="true" outlineLevel="0" collapsed="false">
      <c r="B214" s="61" t="str">
        <f aca="false">IF(助手收入!$R$16&lt;&gt;"","摘　　要","")</f>
        <v>摘　　要</v>
      </c>
      <c r="C214" s="61"/>
      <c r="D214" s="62" t="str">
        <f aca="false">IF(助手收入!$R$16&lt;&gt;"","科　　　　目","")</f>
        <v>科　　　　目</v>
      </c>
      <c r="E214" s="62"/>
      <c r="F214" s="61" t="str">
        <f aca="false">IF(助手收入!$R$16&lt;&gt;"","借 方 金 额","")</f>
        <v>借 方 金 额</v>
      </c>
      <c r="G214" s="62" t="str">
        <f aca="false">IF(助手收入!$R$16&lt;&gt;"","贷 方 金 额","")</f>
        <v>贷 方 金 额</v>
      </c>
      <c r="H214" s="63" t="str">
        <f aca="false">IF(助手收入!$R$16&lt;&gt;"","√","")</f>
        <v>√</v>
      </c>
      <c r="I214" s="64" t="str">
        <f aca="false">IF(助手收入!$R$16&lt;&gt;"","附单据  张","")</f>
        <v>附单据  张</v>
      </c>
    </row>
    <row r="215" customFormat="false" ht="12.75" hidden="false" customHeight="true" outlineLevel="0" collapsed="false">
      <c r="B215" s="61"/>
      <c r="C215" s="61"/>
      <c r="D215" s="23" t="str">
        <f aca="false">IF(助手收入!$R$16&lt;&gt;"","总 账 科 目","")</f>
        <v>总 账 科 目</v>
      </c>
      <c r="E215" s="23" t="str">
        <f aca="false">IF(助手收入!$R$16&lt;&gt;"","明 细 科 目","")</f>
        <v>明 细 科 目</v>
      </c>
      <c r="F215" s="65"/>
      <c r="G215" s="66"/>
      <c r="H215" s="63"/>
      <c r="I215" s="64"/>
    </row>
    <row r="216" customFormat="false" ht="23.25" hidden="false" customHeight="true" outlineLevel="0" collapsed="false">
      <c r="B216" s="67" t="str">
        <f aca="false">IFERROR(INDEX(分录收入!$M:$M,MATCH($L216,分录收入!$L:$L,0)),"")</f>
        <v>7月收入</v>
      </c>
      <c r="C216" s="67"/>
      <c r="D216" s="23" t="str">
        <f aca="false">IFERROR(INDEX(分录收入!$E:$E,MATCH($L216,分录收入!$L:$L,0)),"")</f>
        <v>库存现金</v>
      </c>
      <c r="E216" s="23" t="str">
        <f aca="false">IFERROR(INDEX(分录收入!$F:$F,MATCH($L216,分录收入!$L:$L,0)),"")</f>
        <v/>
      </c>
      <c r="F216" s="68" t="n">
        <f aca="false">IFERROR(INDEX(分录收入!$H:$H,MATCH($L216,分录收入!$L:$L,0)),"")</f>
        <v>8028.82</v>
      </c>
      <c r="G216" s="69" t="str">
        <f aca="false">IFERROR(INDEX(分录收入!$I:$I,MATCH($L216,分录收入!$L:$L,0)),"")</f>
        <v/>
      </c>
      <c r="H216" s="23"/>
      <c r="I216" s="70"/>
      <c r="L216" s="71" t="n">
        <f aca="false">IF(助手收入!$R$16="",-1,助手收入!$R$16*100+(助手收入!$S$16-1)*6+1)</f>
        <v>801</v>
      </c>
    </row>
    <row r="217" customFormat="false" ht="23.25" hidden="false" customHeight="true" outlineLevel="0" collapsed="false">
      <c r="B217" s="67" t="str">
        <f aca="false">""</f>
        <v/>
      </c>
      <c r="C217" s="67"/>
      <c r="D217" s="23" t="str">
        <f aca="false">IFERROR(INDEX(分录收入!$E:$E,MATCH($L217,分录收入!$L:$L,0)),"")</f>
        <v>应收账款</v>
      </c>
      <c r="E217" s="23" t="str">
        <f aca="false">IFERROR(INDEX(分录收入!$F:$F,MATCH($L217,分录收入!$L:$L,0)),"")</f>
        <v>聚合支付</v>
      </c>
      <c r="F217" s="68" t="n">
        <f aca="false">IFERROR(INDEX(分录收入!$H:$H,MATCH($L217,分录收入!$L:$L,0)),"")</f>
        <v>52975.22</v>
      </c>
      <c r="G217" s="69" t="str">
        <f aca="false">IFERROR(INDEX(分录收入!$I:$I,MATCH($L217,分录收入!$L:$L,0)),"")</f>
        <v/>
      </c>
      <c r="H217" s="23"/>
      <c r="I217" s="70"/>
      <c r="L217" s="71" t="n">
        <f aca="false">IF(助手收入!$R$16="",-1,助手收入!$R$16*100+(助手收入!$S$16-1)*6+2)</f>
        <v>802</v>
      </c>
    </row>
    <row r="218" customFormat="false" ht="23.25" hidden="false" customHeight="true" outlineLevel="0" collapsed="false">
      <c r="B218" s="67" t="str">
        <f aca="false">""</f>
        <v/>
      </c>
      <c r="C218" s="67"/>
      <c r="D218" s="23" t="str">
        <f aca="false">IFERROR(INDEX(分录收入!$E:$E,MATCH($L218,分录收入!$L:$L,0)),"")</f>
        <v>应收账款</v>
      </c>
      <c r="E218" s="23" t="str">
        <f aca="false">IFERROR(INDEX(分录收入!$F:$F,MATCH($L218,分录收入!$L:$L,0)),"")</f>
        <v>医保</v>
      </c>
      <c r="F218" s="68" t="n">
        <f aca="false">IFERROR(INDEX(分录收入!$H:$H,MATCH($L218,分录收入!$L:$L,0)),"")</f>
        <v>10758.32</v>
      </c>
      <c r="G218" s="69" t="str">
        <f aca="false">IFERROR(INDEX(分录收入!$I:$I,MATCH($L218,分录收入!$L:$L,0)),"")</f>
        <v/>
      </c>
      <c r="H218" s="23"/>
      <c r="I218" s="70"/>
      <c r="L218" s="71" t="n">
        <f aca="false">IF(助手收入!$R$16="",-1,助手收入!$R$16*100+(助手收入!$S$16-1)*6+3)</f>
        <v>803</v>
      </c>
    </row>
    <row r="219" customFormat="false" ht="23.25" hidden="false" customHeight="true" outlineLevel="0" collapsed="false">
      <c r="B219" s="67" t="str">
        <f aca="false">""</f>
        <v/>
      </c>
      <c r="C219" s="67"/>
      <c r="D219" s="23" t="str">
        <f aca="false">IFERROR(INDEX(分录收入!$E:$E,MATCH($L219,分录收入!$L:$L,0)),"")</f>
        <v>其他应收款</v>
      </c>
      <c r="E219" s="23" t="str">
        <f aca="false">IFERROR(INDEX(分录收入!$F:$F,MATCH($L219,分录收入!$L:$L,0)),"")</f>
        <v>储值卡</v>
      </c>
      <c r="F219" s="68" t="n">
        <f aca="false">IFERROR(INDEX(分录收入!$H:$H,MATCH($L219,分录收入!$L:$L,0)),"")</f>
        <v>203.15</v>
      </c>
      <c r="G219" s="69" t="str">
        <f aca="false">IFERROR(INDEX(分录收入!$I:$I,MATCH($L219,分录收入!$L:$L,0)),"")</f>
        <v/>
      </c>
      <c r="H219" s="23"/>
      <c r="I219" s="70"/>
      <c r="L219" s="71" t="n">
        <f aca="false">IF(助手收入!$R$16="",-1,助手收入!$R$16*100+(助手收入!$S$16-1)*6+4)</f>
        <v>804</v>
      </c>
    </row>
    <row r="220" customFormat="false" ht="23.25" hidden="false" customHeight="true" outlineLevel="0" collapsed="false">
      <c r="B220" s="67" t="str">
        <f aca="false">""</f>
        <v/>
      </c>
      <c r="C220" s="67"/>
      <c r="D220" s="23" t="str">
        <f aca="false">IFERROR(INDEX(分录收入!$E:$E,MATCH($L220,分录收入!$L:$L,0)),"")</f>
        <v>其他应收款</v>
      </c>
      <c r="E220" s="23" t="str">
        <f aca="false">IFERROR(INDEX(分录收入!$F:$F,MATCH($L220,分录收入!$L:$L,0)),"")</f>
        <v>会员零钱包</v>
      </c>
      <c r="F220" s="68" t="n">
        <f aca="false">IFERROR(INDEX(分录收入!$H:$H,MATCH($L220,分录收入!$L:$L,0)),"")</f>
        <v>0.3</v>
      </c>
      <c r="G220" s="69" t="str">
        <f aca="false">IFERROR(INDEX(分录收入!$I:$I,MATCH($L220,分录收入!$L:$L,0)),"")</f>
        <v/>
      </c>
      <c r="H220" s="23"/>
      <c r="I220" s="70"/>
      <c r="L220" s="71" t="n">
        <f aca="false">IF(助手收入!$R$16="",-1,助手收入!$R$16*100+(助手收入!$S$16-1)*6+5)</f>
        <v>805</v>
      </c>
    </row>
    <row r="221" customFormat="false" ht="23.25" hidden="false" customHeight="true" outlineLevel="0" collapsed="false">
      <c r="B221" s="67" t="str">
        <f aca="false">""</f>
        <v/>
      </c>
      <c r="C221" s="67"/>
      <c r="D221" s="23" t="str">
        <f aca="false">IFERROR(INDEX(分录收入!$E:$E,MATCH($L221,分录收入!$L:$L,0)),"")</f>
        <v>销售费用</v>
      </c>
      <c r="E221" s="23" t="str">
        <f aca="false">IFERROR(INDEX(分录收入!$F:$F,MATCH($L221,分录收入!$L:$L,0)),"")</f>
        <v>促销费</v>
      </c>
      <c r="F221" s="68" t="n">
        <f aca="false">IFERROR(INDEX(分录收入!$H:$H,MATCH($L221,分录收入!$L:$L,0)),"")</f>
        <v>3833.91</v>
      </c>
      <c r="G221" s="69" t="str">
        <f aca="false">IFERROR(INDEX(分录收入!$I:$I,MATCH($L221,分录收入!$L:$L,0)),"")</f>
        <v/>
      </c>
      <c r="H221" s="23"/>
      <c r="I221" s="70"/>
      <c r="L221" s="71" t="n">
        <f aca="false">IF(助手收入!$R$16="",-1,助手收入!$R$16*100+(助手收入!$S$16-1)*6+6)</f>
        <v>806</v>
      </c>
    </row>
    <row r="222" customFormat="false" ht="23.25" hidden="false" customHeight="true" outlineLevel="0" collapsed="false">
      <c r="B222" s="72" t="str">
        <f aca="false">IF(助手收入!$T$16=1,"合计：","")</f>
        <v/>
      </c>
      <c r="C222" s="73" t="str">
        <f aca="false">IF(助手收入!$T$16=1,$F222,"")</f>
        <v/>
      </c>
      <c r="D222" s="74"/>
      <c r="E222" s="74"/>
      <c r="F222" s="75" t="str">
        <f aca="false">IF(助手收入!$T$16=1,INDEX(助手收入!$N$2:$N$66,助手收入!$R$16),"")</f>
        <v/>
      </c>
      <c r="G222" s="76" t="str">
        <f aca="false">IF(助手收入!$T$16=1,INDEX(助手收入!$O$2:$O$66,助手收入!$R$16),"")</f>
        <v/>
      </c>
      <c r="H222" s="74"/>
      <c r="I222" s="77"/>
    </row>
    <row r="223" customFormat="false" ht="6" hidden="false" customHeight="true" outlineLevel="0" collapsed="false"/>
    <row r="224" customFormat="false" ht="13.5" hidden="false" customHeight="false" outlineLevel="0" collapsed="false">
      <c r="B224" s="78" t="str">
        <f aca="false">IF(助手收入!$R$16&lt;&gt;"","会计主管：","")</f>
        <v>会计主管：</v>
      </c>
      <c r="D224" s="78" t="str">
        <f aca="false">IF(助手收入!$R$16&lt;&gt;"","会计：","")</f>
        <v>会计：</v>
      </c>
      <c r="E224" s="78" t="str">
        <f aca="false">IF(助手收入!$R$16&lt;&gt;"","出纳：","")</f>
        <v>出纳：</v>
      </c>
      <c r="F224" s="78" t="str">
        <f aca="false">IF(助手收入!$R$16&lt;&gt;"","复核：","")</f>
        <v>复核：</v>
      </c>
      <c r="G224" s="78" t="str">
        <f aca="false">IF(助手收入!$R$16&lt;&gt;"","制单：","")</f>
        <v>制单：</v>
      </c>
    </row>
    <row r="225" customFormat="false" ht="3" hidden="false" customHeight="true" outlineLevel="0" collapsed="false"/>
    <row r="226" customFormat="false" ht="19.5" hidden="false" customHeight="true" outlineLevel="0" collapsed="false">
      <c r="B226" s="53" t="str">
        <f aca="false">IF(助手收入!$R$17&lt;&gt;"","记  账  凭  证","")</f>
        <v>记  账  凭  证</v>
      </c>
      <c r="C226" s="53"/>
      <c r="D226" s="53"/>
      <c r="E226" s="53"/>
      <c r="F226" s="53"/>
      <c r="G226" s="53"/>
      <c r="H226" s="53"/>
      <c r="I226" s="53"/>
    </row>
    <row r="227" customFormat="false" ht="3" hidden="false" customHeight="true" outlineLevel="0" collapsed="false"/>
    <row r="228" customFormat="false" ht="15" hidden="false" customHeight="true" outlineLevel="0" collapsed="false">
      <c r="C228" s="56" t="n">
        <f aca="false">IF(助手收入!$R$17&lt;&gt;"",INDEX(助手收入!$B$2:$B$66,助手收入!$R$17),"")</f>
        <v>2008</v>
      </c>
      <c r="D228" s="57" t="n">
        <f aca="false">IF(助手收入!$R$17&lt;&gt;"",参数!$B$2,"")</f>
        <v>46234</v>
      </c>
      <c r="E228" s="57"/>
      <c r="F228" s="58" t="str">
        <f aca="false">IF(助手收入!$R$17&lt;&gt;"",INDEX(助手收入!$C$2:$C$66,助手收入!$R$17)&amp;"  字第 "&amp;IF(参数!$B$9="是",INDEX(助手收入!$P$2:$P$66,助手收入!$R$17),"　　　　")&amp;" 号"&amp;IF(INDEX(助手收入!$L$2:$L$66,助手收入!$R$17)&gt;1,"  (共"&amp;INDEX(助手收入!$L$2:$L$66,助手收入!$R$17)&amp;"页 第"&amp;助手收入!$S$17&amp;"页)",""),"")</f>
        <v>博昭店  字第 　　　　 号  (共2页 第2页)</v>
      </c>
      <c r="G228" s="58"/>
      <c r="H228" s="58"/>
      <c r="I228" s="58"/>
      <c r="M228" s="59" t="n">
        <f aca="false">IF(助手收入!$R$17="","",助手收入!$Q$17)</f>
        <v>16</v>
      </c>
      <c r="N228" s="60" t="n">
        <f aca="false">IF(助手收入!$R$17="","",INDEX(助手收入!$P$2:$P$66,助手收入!$R$17))</f>
        <v>8</v>
      </c>
      <c r="O228" s="55" t="str">
        <f aca="false">IF(助手收入!$R$17="","",INDEX(助手收入!$C$2:$C$66,助手收入!$R$17)&amp;"  字第 "&amp;INDEX(助手收入!$P$2:$P$66,助手收入!$R$17)&amp;" 号"&amp;IF(INDEX(助手收入!$L$2:$L$66,助手收入!$R$17)&gt;1,"  (共"&amp;INDEX(助手收入!$L$2:$L$66,助手收入!$R$17)&amp;"页 第"&amp;助手收入!$S$17&amp;"页)",""))</f>
        <v>博昭店  字第 8 号  (共2页 第2页)</v>
      </c>
    </row>
    <row r="229" customFormat="false" ht="12.75" hidden="false" customHeight="true" outlineLevel="0" collapsed="false">
      <c r="B229" s="61" t="str">
        <f aca="false">IF(助手收入!$R$17&lt;&gt;"","摘　　要","")</f>
        <v>摘　　要</v>
      </c>
      <c r="C229" s="61"/>
      <c r="D229" s="62" t="str">
        <f aca="false">IF(助手收入!$R$17&lt;&gt;"","科　　　　目","")</f>
        <v>科　　　　目</v>
      </c>
      <c r="E229" s="62"/>
      <c r="F229" s="61" t="str">
        <f aca="false">IF(助手收入!$R$17&lt;&gt;"","借 方 金 额","")</f>
        <v>借 方 金 额</v>
      </c>
      <c r="G229" s="62" t="str">
        <f aca="false">IF(助手收入!$R$17&lt;&gt;"","贷 方 金 额","")</f>
        <v>贷 方 金 额</v>
      </c>
      <c r="H229" s="63" t="str">
        <f aca="false">IF(助手收入!$R$17&lt;&gt;"","√","")</f>
        <v>√</v>
      </c>
      <c r="I229" s="64" t="str">
        <f aca="false">IF(助手收入!$R$17&lt;&gt;"","附单据  张","")</f>
        <v>附单据  张</v>
      </c>
    </row>
    <row r="230" customFormat="false" ht="12.75" hidden="false" customHeight="true" outlineLevel="0" collapsed="false">
      <c r="B230" s="61"/>
      <c r="C230" s="61"/>
      <c r="D230" s="23" t="str">
        <f aca="false">IF(助手收入!$R$17&lt;&gt;"","总 账 科 目","")</f>
        <v>总 账 科 目</v>
      </c>
      <c r="E230" s="23" t="str">
        <f aca="false">IF(助手收入!$R$17&lt;&gt;"","明 细 科 目","")</f>
        <v>明 细 科 目</v>
      </c>
      <c r="F230" s="65"/>
      <c r="G230" s="66"/>
      <c r="H230" s="63"/>
      <c r="I230" s="64"/>
    </row>
    <row r="231" customFormat="false" ht="23.25" hidden="false" customHeight="true" outlineLevel="0" collapsed="false">
      <c r="B231" s="67" t="str">
        <f aca="false">IFERROR(INDEX(分录收入!$M:$M,MATCH($L231,分录收入!$L:$L,0)),"")</f>
        <v>7月收入</v>
      </c>
      <c r="C231" s="67"/>
      <c r="D231" s="23" t="str">
        <f aca="false">IFERROR(INDEX(分录收入!$E:$E,MATCH($L231,分录收入!$L:$L,0)),"")</f>
        <v>财务费用</v>
      </c>
      <c r="E231" s="23" t="str">
        <f aca="false">IFERROR(INDEX(分录收入!$F:$F,MATCH($L231,分录收入!$L:$L,0)),"")</f>
        <v>手续费</v>
      </c>
      <c r="F231" s="68" t="n">
        <f aca="false">IFERROR(INDEX(分录收入!$H:$H,MATCH($L231,分录收入!$L:$L,0)),"")</f>
        <v>143.42</v>
      </c>
      <c r="G231" s="69" t="str">
        <f aca="false">IFERROR(INDEX(分录收入!$I:$I,MATCH($L231,分录收入!$L:$L,0)),"")</f>
        <v/>
      </c>
      <c r="H231" s="23"/>
      <c r="I231" s="70"/>
      <c r="L231" s="71" t="n">
        <f aca="false">IF(助手收入!$R$17="",-1,助手收入!$R$17*100+(助手收入!$S$17-1)*6+1)</f>
        <v>807</v>
      </c>
    </row>
    <row r="232" customFormat="false" ht="23.25" hidden="false" customHeight="true" outlineLevel="0" collapsed="false">
      <c r="B232" s="67" t="str">
        <f aca="false">""</f>
        <v/>
      </c>
      <c r="C232" s="67"/>
      <c r="D232" s="23" t="str">
        <f aca="false">IFERROR(INDEX(分录收入!$E:$E,MATCH($L232,分录收入!$L:$L,0)),"")</f>
        <v>主营业务收入</v>
      </c>
      <c r="E232" s="23" t="str">
        <f aca="false">IFERROR(INDEX(分录收入!$F:$F,MATCH($L232,分录收入!$L:$L,0)),"")</f>
        <v/>
      </c>
      <c r="F232" s="68" t="str">
        <f aca="false">IFERROR(INDEX(分录收入!$H:$H,MATCH($L232,分录收入!$L:$L,0)),"")</f>
        <v/>
      </c>
      <c r="G232" s="69" t="n">
        <f aca="false">IFERROR(INDEX(分录收入!$I:$I,MATCH($L232,分录收入!$L:$L,0)),"")</f>
        <v>75943.14</v>
      </c>
      <c r="H232" s="23"/>
      <c r="I232" s="70"/>
      <c r="L232" s="71" t="n">
        <f aca="false">IF(助手收入!$R$17="",-1,助手收入!$R$17*100+(助手收入!$S$17-1)*6+2)</f>
        <v>808</v>
      </c>
    </row>
    <row r="233" customFormat="false" ht="23.25" hidden="false" customHeight="true" outlineLevel="0" collapsed="false">
      <c r="B233" s="67" t="str">
        <f aca="false">""</f>
        <v/>
      </c>
      <c r="C233" s="67"/>
      <c r="D233" s="23" t="str">
        <f aca="false">IFERROR(INDEX(分录收入!$E:$E,MATCH($L233,分录收入!$L:$L,0)),"")</f>
        <v/>
      </c>
      <c r="E233" s="23" t="str">
        <f aca="false">IFERROR(INDEX(分录收入!$F:$F,MATCH($L233,分录收入!$L:$L,0)),"")</f>
        <v/>
      </c>
      <c r="F233" s="68" t="str">
        <f aca="false">IFERROR(INDEX(分录收入!$H:$H,MATCH($L233,分录收入!$L:$L,0)),"")</f>
        <v/>
      </c>
      <c r="G233" s="69" t="str">
        <f aca="false">IFERROR(INDEX(分录收入!$I:$I,MATCH($L233,分录收入!$L:$L,0)),"")</f>
        <v/>
      </c>
      <c r="H233" s="23"/>
      <c r="I233" s="70"/>
      <c r="L233" s="71" t="n">
        <f aca="false">IF(助手收入!$R$17="",-1,助手收入!$R$17*100+(助手收入!$S$17-1)*6+3)</f>
        <v>809</v>
      </c>
    </row>
    <row r="234" customFormat="false" ht="23.25" hidden="false" customHeight="true" outlineLevel="0" collapsed="false">
      <c r="B234" s="67" t="str">
        <f aca="false">""</f>
        <v/>
      </c>
      <c r="C234" s="67"/>
      <c r="D234" s="23" t="str">
        <f aca="false">IFERROR(INDEX(分录收入!$E:$E,MATCH($L234,分录收入!$L:$L,0)),"")</f>
        <v/>
      </c>
      <c r="E234" s="23" t="str">
        <f aca="false">IFERROR(INDEX(分录收入!$F:$F,MATCH($L234,分录收入!$L:$L,0)),"")</f>
        <v/>
      </c>
      <c r="F234" s="68" t="str">
        <f aca="false">IFERROR(INDEX(分录收入!$H:$H,MATCH($L234,分录收入!$L:$L,0)),"")</f>
        <v/>
      </c>
      <c r="G234" s="69" t="str">
        <f aca="false">IFERROR(INDEX(分录收入!$I:$I,MATCH($L234,分录收入!$L:$L,0)),"")</f>
        <v/>
      </c>
      <c r="H234" s="23"/>
      <c r="I234" s="70"/>
      <c r="L234" s="71" t="n">
        <f aca="false">IF(助手收入!$R$17="",-1,助手收入!$R$17*100+(助手收入!$S$17-1)*6+4)</f>
        <v>810</v>
      </c>
    </row>
    <row r="235" customFormat="false" ht="23.25" hidden="false" customHeight="true" outlineLevel="0" collapsed="false">
      <c r="B235" s="67" t="str">
        <f aca="false">""</f>
        <v/>
      </c>
      <c r="C235" s="67"/>
      <c r="D235" s="23" t="str">
        <f aca="false">IFERROR(INDEX(分录收入!$E:$E,MATCH($L235,分录收入!$L:$L,0)),"")</f>
        <v/>
      </c>
      <c r="E235" s="23" t="str">
        <f aca="false">IFERROR(INDEX(分录收入!$F:$F,MATCH($L235,分录收入!$L:$L,0)),"")</f>
        <v/>
      </c>
      <c r="F235" s="68" t="str">
        <f aca="false">IFERROR(INDEX(分录收入!$H:$H,MATCH($L235,分录收入!$L:$L,0)),"")</f>
        <v/>
      </c>
      <c r="G235" s="69" t="str">
        <f aca="false">IFERROR(INDEX(分录收入!$I:$I,MATCH($L235,分录收入!$L:$L,0)),"")</f>
        <v/>
      </c>
      <c r="H235" s="23"/>
      <c r="I235" s="70"/>
      <c r="L235" s="71" t="n">
        <f aca="false">IF(助手收入!$R$17="",-1,助手收入!$R$17*100+(助手收入!$S$17-1)*6+5)</f>
        <v>811</v>
      </c>
    </row>
    <row r="236" customFormat="false" ht="23.25" hidden="false" customHeight="true" outlineLevel="0" collapsed="false">
      <c r="B236" s="67" t="str">
        <f aca="false">""</f>
        <v/>
      </c>
      <c r="C236" s="67"/>
      <c r="D236" s="23" t="str">
        <f aca="false">IFERROR(INDEX(分录收入!$E:$E,MATCH($L236,分录收入!$L:$L,0)),"")</f>
        <v/>
      </c>
      <c r="E236" s="23" t="str">
        <f aca="false">IFERROR(INDEX(分录收入!$F:$F,MATCH($L236,分录收入!$L:$L,0)),"")</f>
        <v/>
      </c>
      <c r="F236" s="68" t="str">
        <f aca="false">IFERROR(INDEX(分录收入!$H:$H,MATCH($L236,分录收入!$L:$L,0)),"")</f>
        <v/>
      </c>
      <c r="G236" s="69" t="str">
        <f aca="false">IFERROR(INDEX(分录收入!$I:$I,MATCH($L236,分录收入!$L:$L,0)),"")</f>
        <v/>
      </c>
      <c r="H236" s="23"/>
      <c r="I236" s="70"/>
      <c r="L236" s="71" t="n">
        <f aca="false">IF(助手收入!$R$17="",-1,助手收入!$R$17*100+(助手收入!$S$17-1)*6+6)</f>
        <v>812</v>
      </c>
    </row>
    <row r="237" customFormat="false" ht="23.25" hidden="false" customHeight="true" outlineLevel="0" collapsed="false">
      <c r="B237" s="72" t="str">
        <f aca="false">IF(助手收入!$T$17=1,"合计：","")</f>
        <v>合计：</v>
      </c>
      <c r="C237" s="73" t="n">
        <f aca="false">IF(助手收入!$T$17=1,$F237,"")</f>
        <v>75943.14</v>
      </c>
      <c r="D237" s="74"/>
      <c r="E237" s="74"/>
      <c r="F237" s="75" t="n">
        <f aca="false">IF(助手收入!$T$17=1,INDEX(助手收入!$N$2:$N$66,助手收入!$R$17),"")</f>
        <v>75943.14</v>
      </c>
      <c r="G237" s="76" t="n">
        <f aca="false">IF(助手收入!$T$17=1,INDEX(助手收入!$O$2:$O$66,助手收入!$R$17),"")</f>
        <v>75943.14</v>
      </c>
      <c r="H237" s="74"/>
      <c r="I237" s="77"/>
    </row>
    <row r="238" customFormat="false" ht="6" hidden="false" customHeight="true" outlineLevel="0" collapsed="false"/>
    <row r="239" customFormat="false" ht="13.5" hidden="false" customHeight="false" outlineLevel="0" collapsed="false">
      <c r="B239" s="78" t="str">
        <f aca="false">IF(助手收入!$R$17&lt;&gt;"","会计主管：","")</f>
        <v>会计主管：</v>
      </c>
      <c r="D239" s="78" t="str">
        <f aca="false">IF(助手收入!$R$17&lt;&gt;"","会计：","")</f>
        <v>会计：</v>
      </c>
      <c r="E239" s="78" t="str">
        <f aca="false">IF(助手收入!$R$17&lt;&gt;"","出纳：","")</f>
        <v>出纳：</v>
      </c>
      <c r="F239" s="78" t="str">
        <f aca="false">IF(助手收入!$R$17&lt;&gt;"","复核：","")</f>
        <v>复核：</v>
      </c>
      <c r="G239" s="78" t="str">
        <f aca="false">IF(助手收入!$R$17&lt;&gt;"","制单：","")</f>
        <v>制单：</v>
      </c>
    </row>
    <row r="240" customFormat="false" ht="3" hidden="false" customHeight="true" outlineLevel="0" collapsed="false"/>
    <row r="241" customFormat="false" ht="19.5" hidden="false" customHeight="true" outlineLevel="0" collapsed="false">
      <c r="B241" s="53" t="str">
        <f aca="false">IF(助手收入!$R$18&lt;&gt;"","记  账  凭  证","")</f>
        <v>记  账  凭  证</v>
      </c>
      <c r="C241" s="53"/>
      <c r="D241" s="53"/>
      <c r="E241" s="53"/>
      <c r="F241" s="53"/>
      <c r="G241" s="53"/>
      <c r="H241" s="53"/>
      <c r="I241" s="53"/>
    </row>
    <row r="242" customFormat="false" ht="3" hidden="false" customHeight="true" outlineLevel="0" collapsed="false"/>
    <row r="243" customFormat="false" ht="15" hidden="false" customHeight="true" outlineLevel="0" collapsed="false">
      <c r="C243" s="56" t="n">
        <f aca="false">IF(助手收入!$R$18&lt;&gt;"",INDEX(助手收入!$B$2:$B$66,助手收入!$R$18),"")</f>
        <v>2009</v>
      </c>
      <c r="D243" s="57" t="n">
        <f aca="false">IF(助手收入!$R$18&lt;&gt;"",参数!$B$2,"")</f>
        <v>46234</v>
      </c>
      <c r="E243" s="57"/>
      <c r="F243" s="58" t="str">
        <f aca="false">IF(助手收入!$R$18&lt;&gt;"",INDEX(助手收入!$C$2:$C$66,助手收入!$R$18)&amp;"  字第 "&amp;IF(参数!$B$9="是",INDEX(助手收入!$P$2:$P$66,助手收入!$R$18),"　　　　")&amp;" 号"&amp;IF(INDEX(助手收入!$L$2:$L$66,助手收入!$R$18)&gt;1,"  (共"&amp;INDEX(助手收入!$L$2:$L$66,助手收入!$R$18)&amp;"页 第"&amp;助手收入!$S$18&amp;"页)",""),"")</f>
        <v>大霍店  字第 　　　　 号  (共2页 第1页)</v>
      </c>
      <c r="G243" s="58"/>
      <c r="H243" s="58"/>
      <c r="I243" s="58"/>
      <c r="M243" s="59" t="n">
        <f aca="false">IF(助手收入!$R$18="","",助手收入!$Q$18)</f>
        <v>17</v>
      </c>
      <c r="N243" s="60" t="n">
        <f aca="false">IF(助手收入!$R$18="","",INDEX(助手收入!$P$2:$P$66,助手收入!$R$18))</f>
        <v>9</v>
      </c>
      <c r="O243" s="55" t="str">
        <f aca="false">IF(助手收入!$R$18="","",INDEX(助手收入!$C$2:$C$66,助手收入!$R$18)&amp;"  字第 "&amp;INDEX(助手收入!$P$2:$P$66,助手收入!$R$18)&amp;" 号"&amp;IF(INDEX(助手收入!$L$2:$L$66,助手收入!$R$18)&gt;1,"  (共"&amp;INDEX(助手收入!$L$2:$L$66,助手收入!$R$18)&amp;"页 第"&amp;助手收入!$S$18&amp;"页)",""))</f>
        <v>大霍店  字第 9 号  (共2页 第1页)</v>
      </c>
    </row>
    <row r="244" customFormat="false" ht="12.75" hidden="false" customHeight="true" outlineLevel="0" collapsed="false">
      <c r="B244" s="61" t="str">
        <f aca="false">IF(助手收入!$R$18&lt;&gt;"","摘　　要","")</f>
        <v>摘　　要</v>
      </c>
      <c r="C244" s="61"/>
      <c r="D244" s="62" t="str">
        <f aca="false">IF(助手收入!$R$18&lt;&gt;"","科　　　　目","")</f>
        <v>科　　　　目</v>
      </c>
      <c r="E244" s="62"/>
      <c r="F244" s="61" t="str">
        <f aca="false">IF(助手收入!$R$18&lt;&gt;"","借 方 金 额","")</f>
        <v>借 方 金 额</v>
      </c>
      <c r="G244" s="62" t="str">
        <f aca="false">IF(助手收入!$R$18&lt;&gt;"","贷 方 金 额","")</f>
        <v>贷 方 金 额</v>
      </c>
      <c r="H244" s="63" t="str">
        <f aca="false">IF(助手收入!$R$18&lt;&gt;"","√","")</f>
        <v>√</v>
      </c>
      <c r="I244" s="64" t="str">
        <f aca="false">IF(助手收入!$R$18&lt;&gt;"","附单据  张","")</f>
        <v>附单据  张</v>
      </c>
    </row>
    <row r="245" customFormat="false" ht="12.75" hidden="false" customHeight="true" outlineLevel="0" collapsed="false">
      <c r="B245" s="61"/>
      <c r="C245" s="61"/>
      <c r="D245" s="23" t="str">
        <f aca="false">IF(助手收入!$R$18&lt;&gt;"","总 账 科 目","")</f>
        <v>总 账 科 目</v>
      </c>
      <c r="E245" s="23" t="str">
        <f aca="false">IF(助手收入!$R$18&lt;&gt;"","明 细 科 目","")</f>
        <v>明 细 科 目</v>
      </c>
      <c r="F245" s="65"/>
      <c r="G245" s="66"/>
      <c r="H245" s="63"/>
      <c r="I245" s="64"/>
    </row>
    <row r="246" customFormat="false" ht="23.25" hidden="false" customHeight="true" outlineLevel="0" collapsed="false">
      <c r="B246" s="67" t="str">
        <f aca="false">IFERROR(INDEX(分录收入!$M:$M,MATCH($L246,分录收入!$L:$L,0)),"")</f>
        <v>7月收入</v>
      </c>
      <c r="C246" s="67"/>
      <c r="D246" s="23" t="str">
        <f aca="false">IFERROR(INDEX(分录收入!$E:$E,MATCH($L246,分录收入!$L:$L,0)),"")</f>
        <v>库存现金</v>
      </c>
      <c r="E246" s="23" t="str">
        <f aca="false">IFERROR(INDEX(分录收入!$F:$F,MATCH($L246,分录收入!$L:$L,0)),"")</f>
        <v/>
      </c>
      <c r="F246" s="68" t="n">
        <f aca="false">IFERROR(INDEX(分录收入!$H:$H,MATCH($L246,分录收入!$L:$L,0)),"")</f>
        <v>9880.5</v>
      </c>
      <c r="G246" s="69" t="str">
        <f aca="false">IFERROR(INDEX(分录收入!$I:$I,MATCH($L246,分录收入!$L:$L,0)),"")</f>
        <v/>
      </c>
      <c r="H246" s="23"/>
      <c r="I246" s="70"/>
      <c r="L246" s="71" t="n">
        <f aca="false">IF(助手收入!$R$18="",-1,助手收入!$R$18*100+(助手收入!$S$18-1)*6+1)</f>
        <v>901</v>
      </c>
    </row>
    <row r="247" customFormat="false" ht="23.25" hidden="false" customHeight="true" outlineLevel="0" collapsed="false">
      <c r="B247" s="67" t="str">
        <f aca="false">""</f>
        <v/>
      </c>
      <c r="C247" s="67"/>
      <c r="D247" s="23" t="str">
        <f aca="false">IFERROR(INDEX(分录收入!$E:$E,MATCH($L247,分录收入!$L:$L,0)),"")</f>
        <v>应收账款</v>
      </c>
      <c r="E247" s="23" t="str">
        <f aca="false">IFERROR(INDEX(分录收入!$F:$F,MATCH($L247,分录收入!$L:$L,0)),"")</f>
        <v>聚合支付</v>
      </c>
      <c r="F247" s="68" t="n">
        <f aca="false">IFERROR(INDEX(分录收入!$H:$H,MATCH($L247,分录收入!$L:$L,0)),"")</f>
        <v>22349.67</v>
      </c>
      <c r="G247" s="69" t="str">
        <f aca="false">IFERROR(INDEX(分录收入!$I:$I,MATCH($L247,分录收入!$L:$L,0)),"")</f>
        <v/>
      </c>
      <c r="H247" s="23"/>
      <c r="I247" s="70"/>
      <c r="L247" s="71" t="n">
        <f aca="false">IF(助手收入!$R$18="",-1,助手收入!$R$18*100+(助手收入!$S$18-1)*6+2)</f>
        <v>902</v>
      </c>
    </row>
    <row r="248" customFormat="false" ht="23.25" hidden="false" customHeight="true" outlineLevel="0" collapsed="false">
      <c r="B248" s="67" t="str">
        <f aca="false">""</f>
        <v/>
      </c>
      <c r="C248" s="67"/>
      <c r="D248" s="23" t="str">
        <f aca="false">IFERROR(INDEX(分录收入!$E:$E,MATCH($L248,分录收入!$L:$L,0)),"")</f>
        <v>应收账款</v>
      </c>
      <c r="E248" s="23" t="str">
        <f aca="false">IFERROR(INDEX(分录收入!$F:$F,MATCH($L248,分录收入!$L:$L,0)),"")</f>
        <v>医保</v>
      </c>
      <c r="F248" s="68" t="n">
        <f aca="false">IFERROR(INDEX(分录收入!$H:$H,MATCH($L248,分录收入!$L:$L,0)),"")</f>
        <v>3361.43</v>
      </c>
      <c r="G248" s="69" t="str">
        <f aca="false">IFERROR(INDEX(分录收入!$I:$I,MATCH($L248,分录收入!$L:$L,0)),"")</f>
        <v/>
      </c>
      <c r="H248" s="23"/>
      <c r="I248" s="70"/>
      <c r="L248" s="71" t="n">
        <f aca="false">IF(助手收入!$R$18="",-1,助手收入!$R$18*100+(助手收入!$S$18-1)*6+3)</f>
        <v>903</v>
      </c>
    </row>
    <row r="249" customFormat="false" ht="23.25" hidden="false" customHeight="true" outlineLevel="0" collapsed="false">
      <c r="B249" s="67" t="str">
        <f aca="false">""</f>
        <v/>
      </c>
      <c r="C249" s="67"/>
      <c r="D249" s="23" t="str">
        <f aca="false">IFERROR(INDEX(分录收入!$E:$E,MATCH($L249,分录收入!$L:$L,0)),"")</f>
        <v>其他应收款</v>
      </c>
      <c r="E249" s="23" t="str">
        <f aca="false">IFERROR(INDEX(分录收入!$F:$F,MATCH($L249,分录收入!$L:$L,0)),"")</f>
        <v>储值卡</v>
      </c>
      <c r="F249" s="68" t="n">
        <f aca="false">IFERROR(INDEX(分录收入!$H:$H,MATCH($L249,分录收入!$L:$L,0)),"")</f>
        <v>417.65</v>
      </c>
      <c r="G249" s="69" t="str">
        <f aca="false">IFERROR(INDEX(分录收入!$I:$I,MATCH($L249,分录收入!$L:$L,0)),"")</f>
        <v/>
      </c>
      <c r="H249" s="23"/>
      <c r="I249" s="70"/>
      <c r="L249" s="71" t="n">
        <f aca="false">IF(助手收入!$R$18="",-1,助手收入!$R$18*100+(助手收入!$S$18-1)*6+4)</f>
        <v>904</v>
      </c>
    </row>
    <row r="250" customFormat="false" ht="23.25" hidden="false" customHeight="true" outlineLevel="0" collapsed="false">
      <c r="B250" s="67" t="str">
        <f aca="false">""</f>
        <v/>
      </c>
      <c r="C250" s="67"/>
      <c r="D250" s="23" t="str">
        <f aca="false">IFERROR(INDEX(分录收入!$E:$E,MATCH($L250,分录收入!$L:$L,0)),"")</f>
        <v>销售费用</v>
      </c>
      <c r="E250" s="23" t="str">
        <f aca="false">IFERROR(INDEX(分录收入!$F:$F,MATCH($L250,分录收入!$L:$L,0)),"")</f>
        <v>促销费</v>
      </c>
      <c r="F250" s="68" t="n">
        <f aca="false">IFERROR(INDEX(分录收入!$H:$H,MATCH($L250,分录收入!$L:$L,0)),"")</f>
        <v>549.94</v>
      </c>
      <c r="G250" s="69" t="str">
        <f aca="false">IFERROR(INDEX(分录收入!$I:$I,MATCH($L250,分录收入!$L:$L,0)),"")</f>
        <v/>
      </c>
      <c r="H250" s="23"/>
      <c r="I250" s="70"/>
      <c r="L250" s="71" t="n">
        <f aca="false">IF(助手收入!$R$18="",-1,助手收入!$R$18*100+(助手收入!$S$18-1)*6+5)</f>
        <v>905</v>
      </c>
    </row>
    <row r="251" customFormat="false" ht="23.25" hidden="false" customHeight="true" outlineLevel="0" collapsed="false">
      <c r="B251" s="67" t="str">
        <f aca="false">""</f>
        <v/>
      </c>
      <c r="C251" s="67"/>
      <c r="D251" s="23" t="str">
        <f aca="false">IFERROR(INDEX(分录收入!$E:$E,MATCH($L251,分录收入!$L:$L,0)),"")</f>
        <v>财务费用</v>
      </c>
      <c r="E251" s="23" t="str">
        <f aca="false">IFERROR(INDEX(分录收入!$F:$F,MATCH($L251,分录收入!$L:$L,0)),"")</f>
        <v>手续费</v>
      </c>
      <c r="F251" s="68" t="n">
        <f aca="false">IFERROR(INDEX(分录收入!$H:$H,MATCH($L251,分录收入!$L:$L,0)),"")</f>
        <v>60.51</v>
      </c>
      <c r="G251" s="69" t="str">
        <f aca="false">IFERROR(INDEX(分录收入!$I:$I,MATCH($L251,分录收入!$L:$L,0)),"")</f>
        <v/>
      </c>
      <c r="H251" s="23"/>
      <c r="I251" s="70"/>
      <c r="L251" s="71" t="n">
        <f aca="false">IF(助手收入!$R$18="",-1,助手收入!$R$18*100+(助手收入!$S$18-1)*6+6)</f>
        <v>906</v>
      </c>
    </row>
    <row r="252" customFormat="false" ht="23.25" hidden="false" customHeight="true" outlineLevel="0" collapsed="false">
      <c r="B252" s="72" t="str">
        <f aca="false">IF(助手收入!$T$18=1,"合计：","")</f>
        <v/>
      </c>
      <c r="C252" s="73" t="str">
        <f aca="false">IF(助手收入!$T$18=1,$F252,"")</f>
        <v/>
      </c>
      <c r="D252" s="74"/>
      <c r="E252" s="74"/>
      <c r="F252" s="75" t="str">
        <f aca="false">IF(助手收入!$T$18=1,INDEX(助手收入!$N$2:$N$66,助手收入!$R$18),"")</f>
        <v/>
      </c>
      <c r="G252" s="76" t="str">
        <f aca="false">IF(助手收入!$T$18=1,INDEX(助手收入!$O$2:$O$66,助手收入!$R$18),"")</f>
        <v/>
      </c>
      <c r="H252" s="74"/>
      <c r="I252" s="77"/>
    </row>
    <row r="253" customFormat="false" ht="6" hidden="false" customHeight="true" outlineLevel="0" collapsed="false"/>
    <row r="254" customFormat="false" ht="13.5" hidden="false" customHeight="false" outlineLevel="0" collapsed="false">
      <c r="B254" s="78" t="str">
        <f aca="false">IF(助手收入!$R$18&lt;&gt;"","会计主管：","")</f>
        <v>会计主管：</v>
      </c>
      <c r="D254" s="78" t="str">
        <f aca="false">IF(助手收入!$R$18&lt;&gt;"","会计：","")</f>
        <v>会计：</v>
      </c>
      <c r="E254" s="78" t="str">
        <f aca="false">IF(助手收入!$R$18&lt;&gt;"","出纳：","")</f>
        <v>出纳：</v>
      </c>
      <c r="F254" s="78" t="str">
        <f aca="false">IF(助手收入!$R$18&lt;&gt;"","复核：","")</f>
        <v>复核：</v>
      </c>
      <c r="G254" s="78" t="str">
        <f aca="false">IF(助手收入!$R$18&lt;&gt;"","制单：","")</f>
        <v>制单：</v>
      </c>
    </row>
    <row r="255" customFormat="false" ht="3" hidden="false" customHeight="true" outlineLevel="0" collapsed="false"/>
    <row r="256" customFormat="false" ht="19.5" hidden="false" customHeight="true" outlineLevel="0" collapsed="false">
      <c r="B256" s="53" t="str">
        <f aca="false">IF(助手收入!$R$19&lt;&gt;"","记  账  凭  证","")</f>
        <v>记  账  凭  证</v>
      </c>
      <c r="C256" s="53"/>
      <c r="D256" s="53"/>
      <c r="E256" s="53"/>
      <c r="F256" s="53"/>
      <c r="G256" s="53"/>
      <c r="H256" s="53"/>
      <c r="I256" s="53"/>
    </row>
    <row r="257" customFormat="false" ht="3" hidden="false" customHeight="true" outlineLevel="0" collapsed="false"/>
    <row r="258" customFormat="false" ht="15" hidden="false" customHeight="true" outlineLevel="0" collapsed="false">
      <c r="C258" s="56" t="n">
        <f aca="false">IF(助手收入!$R$19&lt;&gt;"",INDEX(助手收入!$B$2:$B$66,助手收入!$R$19),"")</f>
        <v>2009</v>
      </c>
      <c r="D258" s="57" t="n">
        <f aca="false">IF(助手收入!$R$19&lt;&gt;"",参数!$B$2,"")</f>
        <v>46234</v>
      </c>
      <c r="E258" s="57"/>
      <c r="F258" s="58" t="str">
        <f aca="false">IF(助手收入!$R$19&lt;&gt;"",INDEX(助手收入!$C$2:$C$66,助手收入!$R$19)&amp;"  字第 "&amp;IF(参数!$B$9="是",INDEX(助手收入!$P$2:$P$66,助手收入!$R$19),"　　　　")&amp;" 号"&amp;IF(INDEX(助手收入!$L$2:$L$66,助手收入!$R$19)&gt;1,"  (共"&amp;INDEX(助手收入!$L$2:$L$66,助手收入!$R$19)&amp;"页 第"&amp;助手收入!$S$19&amp;"页)",""),"")</f>
        <v>大霍店  字第 　　　　 号  (共2页 第2页)</v>
      </c>
      <c r="G258" s="58"/>
      <c r="H258" s="58"/>
      <c r="I258" s="58"/>
      <c r="M258" s="59" t="n">
        <f aca="false">IF(助手收入!$R$19="","",助手收入!$Q$19)</f>
        <v>18</v>
      </c>
      <c r="N258" s="60" t="n">
        <f aca="false">IF(助手收入!$R$19="","",INDEX(助手收入!$P$2:$P$66,助手收入!$R$19))</f>
        <v>9</v>
      </c>
      <c r="O258" s="55" t="str">
        <f aca="false">IF(助手收入!$R$19="","",INDEX(助手收入!$C$2:$C$66,助手收入!$R$19)&amp;"  字第 "&amp;INDEX(助手收入!$P$2:$P$66,助手收入!$R$19)&amp;" 号"&amp;IF(INDEX(助手收入!$L$2:$L$66,助手收入!$R$19)&gt;1,"  (共"&amp;INDEX(助手收入!$L$2:$L$66,助手收入!$R$19)&amp;"页 第"&amp;助手收入!$S$19&amp;"页)",""))</f>
        <v>大霍店  字第 9 号  (共2页 第2页)</v>
      </c>
    </row>
    <row r="259" customFormat="false" ht="12.75" hidden="false" customHeight="true" outlineLevel="0" collapsed="false">
      <c r="B259" s="61" t="str">
        <f aca="false">IF(助手收入!$R$19&lt;&gt;"","摘　　要","")</f>
        <v>摘　　要</v>
      </c>
      <c r="C259" s="61"/>
      <c r="D259" s="62" t="str">
        <f aca="false">IF(助手收入!$R$19&lt;&gt;"","科　　　　目","")</f>
        <v>科　　　　目</v>
      </c>
      <c r="E259" s="62"/>
      <c r="F259" s="61" t="str">
        <f aca="false">IF(助手收入!$R$19&lt;&gt;"","借 方 金 额","")</f>
        <v>借 方 金 额</v>
      </c>
      <c r="G259" s="62" t="str">
        <f aca="false">IF(助手收入!$R$19&lt;&gt;"","贷 方 金 额","")</f>
        <v>贷 方 金 额</v>
      </c>
      <c r="H259" s="63" t="str">
        <f aca="false">IF(助手收入!$R$19&lt;&gt;"","√","")</f>
        <v>√</v>
      </c>
      <c r="I259" s="64" t="str">
        <f aca="false">IF(助手收入!$R$19&lt;&gt;"","附单据  张","")</f>
        <v>附单据  张</v>
      </c>
    </row>
    <row r="260" customFormat="false" ht="12.75" hidden="false" customHeight="true" outlineLevel="0" collapsed="false">
      <c r="B260" s="61"/>
      <c r="C260" s="61"/>
      <c r="D260" s="23" t="str">
        <f aca="false">IF(助手收入!$R$19&lt;&gt;"","总 账 科 目","")</f>
        <v>总 账 科 目</v>
      </c>
      <c r="E260" s="23" t="str">
        <f aca="false">IF(助手收入!$R$19&lt;&gt;"","明 细 科 目","")</f>
        <v>明 细 科 目</v>
      </c>
      <c r="F260" s="65"/>
      <c r="G260" s="66"/>
      <c r="H260" s="63"/>
      <c r="I260" s="64"/>
    </row>
    <row r="261" customFormat="false" ht="23.25" hidden="false" customHeight="true" outlineLevel="0" collapsed="false">
      <c r="B261" s="67" t="str">
        <f aca="false">IFERROR(INDEX(分录收入!$M:$M,MATCH($L261,分录收入!$L:$L,0)),"")</f>
        <v>7月收入</v>
      </c>
      <c r="C261" s="67"/>
      <c r="D261" s="23" t="str">
        <f aca="false">IFERROR(INDEX(分录收入!$E:$E,MATCH($L261,分录收入!$L:$L,0)),"")</f>
        <v>主营业务收入</v>
      </c>
      <c r="E261" s="23" t="str">
        <f aca="false">IFERROR(INDEX(分录收入!$F:$F,MATCH($L261,分录收入!$L:$L,0)),"")</f>
        <v/>
      </c>
      <c r="F261" s="68" t="str">
        <f aca="false">IFERROR(INDEX(分录收入!$H:$H,MATCH($L261,分录收入!$L:$L,0)),"")</f>
        <v/>
      </c>
      <c r="G261" s="69" t="n">
        <f aca="false">IFERROR(INDEX(分录收入!$I:$I,MATCH($L261,分录收入!$L:$L,0)),"")</f>
        <v>36619.7</v>
      </c>
      <c r="H261" s="23"/>
      <c r="I261" s="70"/>
      <c r="L261" s="71" t="n">
        <f aca="false">IF(助手收入!$R$19="",-1,助手收入!$R$19*100+(助手收入!$S$19-1)*6+1)</f>
        <v>907</v>
      </c>
    </row>
    <row r="262" customFormat="false" ht="23.25" hidden="false" customHeight="true" outlineLevel="0" collapsed="false">
      <c r="B262" s="67" t="str">
        <f aca="false">""</f>
        <v/>
      </c>
      <c r="C262" s="67"/>
      <c r="D262" s="23" t="str">
        <f aca="false">IFERROR(INDEX(分录收入!$E:$E,MATCH($L262,分录收入!$L:$L,0)),"")</f>
        <v/>
      </c>
      <c r="E262" s="23" t="str">
        <f aca="false">IFERROR(INDEX(分录收入!$F:$F,MATCH($L262,分录收入!$L:$L,0)),"")</f>
        <v/>
      </c>
      <c r="F262" s="68" t="str">
        <f aca="false">IFERROR(INDEX(分录收入!$H:$H,MATCH($L262,分录收入!$L:$L,0)),"")</f>
        <v/>
      </c>
      <c r="G262" s="69" t="str">
        <f aca="false">IFERROR(INDEX(分录收入!$I:$I,MATCH($L262,分录收入!$L:$L,0)),"")</f>
        <v/>
      </c>
      <c r="H262" s="23"/>
      <c r="I262" s="70"/>
      <c r="L262" s="71" t="n">
        <f aca="false">IF(助手收入!$R$19="",-1,助手收入!$R$19*100+(助手收入!$S$19-1)*6+2)</f>
        <v>908</v>
      </c>
    </row>
    <row r="263" customFormat="false" ht="23.25" hidden="false" customHeight="true" outlineLevel="0" collapsed="false">
      <c r="B263" s="67" t="str">
        <f aca="false">""</f>
        <v/>
      </c>
      <c r="C263" s="67"/>
      <c r="D263" s="23" t="str">
        <f aca="false">IFERROR(INDEX(分录收入!$E:$E,MATCH($L263,分录收入!$L:$L,0)),"")</f>
        <v/>
      </c>
      <c r="E263" s="23" t="str">
        <f aca="false">IFERROR(INDEX(分录收入!$F:$F,MATCH($L263,分录收入!$L:$L,0)),"")</f>
        <v/>
      </c>
      <c r="F263" s="68" t="str">
        <f aca="false">IFERROR(INDEX(分录收入!$H:$H,MATCH($L263,分录收入!$L:$L,0)),"")</f>
        <v/>
      </c>
      <c r="G263" s="69" t="str">
        <f aca="false">IFERROR(INDEX(分录收入!$I:$I,MATCH($L263,分录收入!$L:$L,0)),"")</f>
        <v/>
      </c>
      <c r="H263" s="23"/>
      <c r="I263" s="70"/>
      <c r="L263" s="71" t="n">
        <f aca="false">IF(助手收入!$R$19="",-1,助手收入!$R$19*100+(助手收入!$S$19-1)*6+3)</f>
        <v>909</v>
      </c>
    </row>
    <row r="264" customFormat="false" ht="23.25" hidden="false" customHeight="true" outlineLevel="0" collapsed="false">
      <c r="B264" s="67" t="str">
        <f aca="false">""</f>
        <v/>
      </c>
      <c r="C264" s="67"/>
      <c r="D264" s="23" t="str">
        <f aca="false">IFERROR(INDEX(分录收入!$E:$E,MATCH($L264,分录收入!$L:$L,0)),"")</f>
        <v/>
      </c>
      <c r="E264" s="23" t="str">
        <f aca="false">IFERROR(INDEX(分录收入!$F:$F,MATCH($L264,分录收入!$L:$L,0)),"")</f>
        <v/>
      </c>
      <c r="F264" s="68" t="str">
        <f aca="false">IFERROR(INDEX(分录收入!$H:$H,MATCH($L264,分录收入!$L:$L,0)),"")</f>
        <v/>
      </c>
      <c r="G264" s="69" t="str">
        <f aca="false">IFERROR(INDEX(分录收入!$I:$I,MATCH($L264,分录收入!$L:$L,0)),"")</f>
        <v/>
      </c>
      <c r="H264" s="23"/>
      <c r="I264" s="70"/>
      <c r="L264" s="71" t="n">
        <f aca="false">IF(助手收入!$R$19="",-1,助手收入!$R$19*100+(助手收入!$S$19-1)*6+4)</f>
        <v>910</v>
      </c>
    </row>
    <row r="265" customFormat="false" ht="23.25" hidden="false" customHeight="true" outlineLevel="0" collapsed="false">
      <c r="B265" s="67" t="str">
        <f aca="false">""</f>
        <v/>
      </c>
      <c r="C265" s="67"/>
      <c r="D265" s="23" t="str">
        <f aca="false">IFERROR(INDEX(分录收入!$E:$E,MATCH($L265,分录收入!$L:$L,0)),"")</f>
        <v/>
      </c>
      <c r="E265" s="23" t="str">
        <f aca="false">IFERROR(INDEX(分录收入!$F:$F,MATCH($L265,分录收入!$L:$L,0)),"")</f>
        <v/>
      </c>
      <c r="F265" s="68" t="str">
        <f aca="false">IFERROR(INDEX(分录收入!$H:$H,MATCH($L265,分录收入!$L:$L,0)),"")</f>
        <v/>
      </c>
      <c r="G265" s="69" t="str">
        <f aca="false">IFERROR(INDEX(分录收入!$I:$I,MATCH($L265,分录收入!$L:$L,0)),"")</f>
        <v/>
      </c>
      <c r="H265" s="23"/>
      <c r="I265" s="70"/>
      <c r="L265" s="71" t="n">
        <f aca="false">IF(助手收入!$R$19="",-1,助手收入!$R$19*100+(助手收入!$S$19-1)*6+5)</f>
        <v>911</v>
      </c>
    </row>
    <row r="266" customFormat="false" ht="23.25" hidden="false" customHeight="true" outlineLevel="0" collapsed="false">
      <c r="B266" s="67" t="str">
        <f aca="false">""</f>
        <v/>
      </c>
      <c r="C266" s="67"/>
      <c r="D266" s="23" t="str">
        <f aca="false">IFERROR(INDEX(分录收入!$E:$E,MATCH($L266,分录收入!$L:$L,0)),"")</f>
        <v/>
      </c>
      <c r="E266" s="23" t="str">
        <f aca="false">IFERROR(INDEX(分录收入!$F:$F,MATCH($L266,分录收入!$L:$L,0)),"")</f>
        <v/>
      </c>
      <c r="F266" s="68" t="str">
        <f aca="false">IFERROR(INDEX(分录收入!$H:$H,MATCH($L266,分录收入!$L:$L,0)),"")</f>
        <v/>
      </c>
      <c r="G266" s="69" t="str">
        <f aca="false">IFERROR(INDEX(分录收入!$I:$I,MATCH($L266,分录收入!$L:$L,0)),"")</f>
        <v/>
      </c>
      <c r="H266" s="23"/>
      <c r="I266" s="70"/>
      <c r="L266" s="71" t="n">
        <f aca="false">IF(助手收入!$R$19="",-1,助手收入!$R$19*100+(助手收入!$S$19-1)*6+6)</f>
        <v>912</v>
      </c>
    </row>
    <row r="267" customFormat="false" ht="23.25" hidden="false" customHeight="true" outlineLevel="0" collapsed="false">
      <c r="B267" s="72" t="str">
        <f aca="false">IF(助手收入!$T$19=1,"合计：","")</f>
        <v>合计：</v>
      </c>
      <c r="C267" s="73" t="n">
        <f aca="false">IF(助手收入!$T$19=1,$F267,"")</f>
        <v>36619.7</v>
      </c>
      <c r="D267" s="74"/>
      <c r="E267" s="74"/>
      <c r="F267" s="75" t="n">
        <f aca="false">IF(助手收入!$T$19=1,INDEX(助手收入!$N$2:$N$66,助手收入!$R$19),"")</f>
        <v>36619.7</v>
      </c>
      <c r="G267" s="76" t="n">
        <f aca="false">IF(助手收入!$T$19=1,INDEX(助手收入!$O$2:$O$66,助手收入!$R$19),"")</f>
        <v>36619.7</v>
      </c>
      <c r="H267" s="74"/>
      <c r="I267" s="77"/>
    </row>
    <row r="268" customFormat="false" ht="6" hidden="false" customHeight="true" outlineLevel="0" collapsed="false"/>
    <row r="269" customFormat="false" ht="13.5" hidden="false" customHeight="false" outlineLevel="0" collapsed="false">
      <c r="B269" s="78" t="str">
        <f aca="false">IF(助手收入!$R$19&lt;&gt;"","会计主管：","")</f>
        <v>会计主管：</v>
      </c>
      <c r="D269" s="78" t="str">
        <f aca="false">IF(助手收入!$R$19&lt;&gt;"","会计：","")</f>
        <v>会计：</v>
      </c>
      <c r="E269" s="78" t="str">
        <f aca="false">IF(助手收入!$R$19&lt;&gt;"","出纳：","")</f>
        <v>出纳：</v>
      </c>
      <c r="F269" s="78" t="str">
        <f aca="false">IF(助手收入!$R$19&lt;&gt;"","复核：","")</f>
        <v>复核：</v>
      </c>
      <c r="G269" s="78" t="str">
        <f aca="false">IF(助手收入!$R$19&lt;&gt;"","制单：","")</f>
        <v>制单：</v>
      </c>
    </row>
    <row r="270" customFormat="false" ht="3" hidden="false" customHeight="true" outlineLevel="0" collapsed="false"/>
    <row r="271" customFormat="false" ht="19.5" hidden="false" customHeight="true" outlineLevel="0" collapsed="false">
      <c r="B271" s="53" t="str">
        <f aca="false">IF(助手收入!$R$20&lt;&gt;"","记  账  凭  证","")</f>
        <v>记  账  凭  证</v>
      </c>
      <c r="C271" s="53"/>
      <c r="D271" s="53"/>
      <c r="E271" s="53"/>
      <c r="F271" s="53"/>
      <c r="G271" s="53"/>
      <c r="H271" s="53"/>
      <c r="I271" s="53"/>
    </row>
    <row r="272" customFormat="false" ht="3" hidden="false" customHeight="true" outlineLevel="0" collapsed="false"/>
    <row r="273" customFormat="false" ht="15" hidden="false" customHeight="true" outlineLevel="0" collapsed="false">
      <c r="C273" s="56" t="n">
        <f aca="false">IF(助手收入!$R$20&lt;&gt;"",INDEX(助手收入!$B$2:$B$66,助手收入!$R$20),"")</f>
        <v>2010</v>
      </c>
      <c r="D273" s="57" t="n">
        <f aca="false">IF(助手收入!$R$20&lt;&gt;"",参数!$B$2,"")</f>
        <v>46234</v>
      </c>
      <c r="E273" s="57"/>
      <c r="F273" s="58" t="str">
        <f aca="false">IF(助手收入!$R$20&lt;&gt;"",INDEX(助手收入!$C$2:$C$66,助手收入!$R$20)&amp;"  字第 "&amp;IF(参数!$B$9="是",INDEX(助手收入!$P$2:$P$66,助手收入!$R$20),"　　　　")&amp;" 号"&amp;IF(INDEX(助手收入!$L$2:$L$66,助手收入!$R$20)&gt;1,"  (共"&amp;INDEX(助手收入!$L$2:$L$66,助手收入!$R$20)&amp;"页 第"&amp;助手收入!$S$20&amp;"页)",""),"")</f>
        <v>莲子镇店  字第 　　　　 号  (共2页 第1页)</v>
      </c>
      <c r="G273" s="58"/>
      <c r="H273" s="58"/>
      <c r="I273" s="58"/>
      <c r="M273" s="59" t="n">
        <f aca="false">IF(助手收入!$R$20="","",助手收入!$Q$20)</f>
        <v>19</v>
      </c>
      <c r="N273" s="60" t="n">
        <f aca="false">IF(助手收入!$R$20="","",INDEX(助手收入!$P$2:$P$66,助手收入!$R$20))</f>
        <v>10</v>
      </c>
      <c r="O273" s="55" t="str">
        <f aca="false">IF(助手收入!$R$20="","",INDEX(助手收入!$C$2:$C$66,助手收入!$R$20)&amp;"  字第 "&amp;INDEX(助手收入!$P$2:$P$66,助手收入!$R$20)&amp;" 号"&amp;IF(INDEX(助手收入!$L$2:$L$66,助手收入!$R$20)&gt;1,"  (共"&amp;INDEX(助手收入!$L$2:$L$66,助手收入!$R$20)&amp;"页 第"&amp;助手收入!$S$20&amp;"页)",""))</f>
        <v>莲子镇店  字第 10 号  (共2页 第1页)</v>
      </c>
    </row>
    <row r="274" customFormat="false" ht="12.75" hidden="false" customHeight="true" outlineLevel="0" collapsed="false">
      <c r="B274" s="61" t="str">
        <f aca="false">IF(助手收入!$R$20&lt;&gt;"","摘　　要","")</f>
        <v>摘　　要</v>
      </c>
      <c r="C274" s="61"/>
      <c r="D274" s="62" t="str">
        <f aca="false">IF(助手收入!$R$20&lt;&gt;"","科　　　　目","")</f>
        <v>科　　　　目</v>
      </c>
      <c r="E274" s="62"/>
      <c r="F274" s="61" t="str">
        <f aca="false">IF(助手收入!$R$20&lt;&gt;"","借 方 金 额","")</f>
        <v>借 方 金 额</v>
      </c>
      <c r="G274" s="62" t="str">
        <f aca="false">IF(助手收入!$R$20&lt;&gt;"","贷 方 金 额","")</f>
        <v>贷 方 金 额</v>
      </c>
      <c r="H274" s="63" t="str">
        <f aca="false">IF(助手收入!$R$20&lt;&gt;"","√","")</f>
        <v>√</v>
      </c>
      <c r="I274" s="64" t="str">
        <f aca="false">IF(助手收入!$R$20&lt;&gt;"","附单据  张","")</f>
        <v>附单据  张</v>
      </c>
    </row>
    <row r="275" customFormat="false" ht="12.75" hidden="false" customHeight="true" outlineLevel="0" collapsed="false">
      <c r="B275" s="61"/>
      <c r="C275" s="61"/>
      <c r="D275" s="23" t="str">
        <f aca="false">IF(助手收入!$R$20&lt;&gt;"","总 账 科 目","")</f>
        <v>总 账 科 目</v>
      </c>
      <c r="E275" s="23" t="str">
        <f aca="false">IF(助手收入!$R$20&lt;&gt;"","明 细 科 目","")</f>
        <v>明 细 科 目</v>
      </c>
      <c r="F275" s="65"/>
      <c r="G275" s="66"/>
      <c r="H275" s="63"/>
      <c r="I275" s="64"/>
    </row>
    <row r="276" customFormat="false" ht="23.25" hidden="false" customHeight="true" outlineLevel="0" collapsed="false">
      <c r="B276" s="67" t="str">
        <f aca="false">IFERROR(INDEX(分录收入!$M:$M,MATCH($L276,分录收入!$L:$L,0)),"")</f>
        <v>7月收入</v>
      </c>
      <c r="C276" s="67"/>
      <c r="D276" s="23" t="str">
        <f aca="false">IFERROR(INDEX(分录收入!$E:$E,MATCH($L276,分录收入!$L:$L,0)),"")</f>
        <v>库存现金</v>
      </c>
      <c r="E276" s="23" t="str">
        <f aca="false">IFERROR(INDEX(分录收入!$F:$F,MATCH($L276,分录收入!$L:$L,0)),"")</f>
        <v/>
      </c>
      <c r="F276" s="68" t="n">
        <f aca="false">IFERROR(INDEX(分录收入!$H:$H,MATCH($L276,分录收入!$L:$L,0)),"")</f>
        <v>23656.79</v>
      </c>
      <c r="G276" s="69" t="str">
        <f aca="false">IFERROR(INDEX(分录收入!$I:$I,MATCH($L276,分录收入!$L:$L,0)),"")</f>
        <v/>
      </c>
      <c r="H276" s="23"/>
      <c r="I276" s="70"/>
      <c r="L276" s="71" t="n">
        <f aca="false">IF(助手收入!$R$20="",-1,助手收入!$R$20*100+(助手收入!$S$20-1)*6+1)</f>
        <v>1001</v>
      </c>
    </row>
    <row r="277" customFormat="false" ht="23.25" hidden="false" customHeight="true" outlineLevel="0" collapsed="false">
      <c r="B277" s="67" t="str">
        <f aca="false">""</f>
        <v/>
      </c>
      <c r="C277" s="67"/>
      <c r="D277" s="23" t="str">
        <f aca="false">IFERROR(INDEX(分录收入!$E:$E,MATCH($L277,分录收入!$L:$L,0)),"")</f>
        <v>应收账款</v>
      </c>
      <c r="E277" s="23" t="str">
        <f aca="false">IFERROR(INDEX(分录收入!$F:$F,MATCH($L277,分录收入!$L:$L,0)),"")</f>
        <v>聚合支付</v>
      </c>
      <c r="F277" s="68" t="n">
        <f aca="false">IFERROR(INDEX(分录收入!$H:$H,MATCH($L277,分录收入!$L:$L,0)),"")</f>
        <v>67364.97</v>
      </c>
      <c r="G277" s="69" t="str">
        <f aca="false">IFERROR(INDEX(分录收入!$I:$I,MATCH($L277,分录收入!$L:$L,0)),"")</f>
        <v/>
      </c>
      <c r="H277" s="23"/>
      <c r="I277" s="70"/>
      <c r="L277" s="71" t="n">
        <f aca="false">IF(助手收入!$R$20="",-1,助手收入!$R$20*100+(助手收入!$S$20-1)*6+2)</f>
        <v>1002</v>
      </c>
    </row>
    <row r="278" customFormat="false" ht="23.25" hidden="false" customHeight="true" outlineLevel="0" collapsed="false">
      <c r="B278" s="67" t="str">
        <f aca="false">""</f>
        <v/>
      </c>
      <c r="C278" s="67"/>
      <c r="D278" s="23" t="str">
        <f aca="false">IFERROR(INDEX(分录收入!$E:$E,MATCH($L278,分录收入!$L:$L,0)),"")</f>
        <v>应收账款</v>
      </c>
      <c r="E278" s="23" t="str">
        <f aca="false">IFERROR(INDEX(分录收入!$F:$F,MATCH($L278,分录收入!$L:$L,0)),"")</f>
        <v>医保</v>
      </c>
      <c r="F278" s="68" t="n">
        <f aca="false">IFERROR(INDEX(分录收入!$H:$H,MATCH($L278,分录收入!$L:$L,0)),"")</f>
        <v>14875.36</v>
      </c>
      <c r="G278" s="69" t="str">
        <f aca="false">IFERROR(INDEX(分录收入!$I:$I,MATCH($L278,分录收入!$L:$L,0)),"")</f>
        <v/>
      </c>
      <c r="H278" s="23"/>
      <c r="I278" s="70"/>
      <c r="L278" s="71" t="n">
        <f aca="false">IF(助手收入!$R$20="",-1,助手收入!$R$20*100+(助手收入!$S$20-1)*6+3)</f>
        <v>1003</v>
      </c>
    </row>
    <row r="279" customFormat="false" ht="23.25" hidden="false" customHeight="true" outlineLevel="0" collapsed="false">
      <c r="B279" s="67" t="str">
        <f aca="false">""</f>
        <v/>
      </c>
      <c r="C279" s="67"/>
      <c r="D279" s="23" t="str">
        <f aca="false">IFERROR(INDEX(分录收入!$E:$E,MATCH($L279,分录收入!$L:$L,0)),"")</f>
        <v>其他应收款</v>
      </c>
      <c r="E279" s="23" t="str">
        <f aca="false">IFERROR(INDEX(分录收入!$F:$F,MATCH($L279,分录收入!$L:$L,0)),"")</f>
        <v>储值卡</v>
      </c>
      <c r="F279" s="68" t="n">
        <f aca="false">IFERROR(INDEX(分录收入!$H:$H,MATCH($L279,分录收入!$L:$L,0)),"")</f>
        <v>206.9</v>
      </c>
      <c r="G279" s="69" t="str">
        <f aca="false">IFERROR(INDEX(分录收入!$I:$I,MATCH($L279,分录收入!$L:$L,0)),"")</f>
        <v/>
      </c>
      <c r="H279" s="23"/>
      <c r="I279" s="70"/>
      <c r="L279" s="71" t="n">
        <f aca="false">IF(助手收入!$R$20="",-1,助手收入!$R$20*100+(助手收入!$S$20-1)*6+4)</f>
        <v>1004</v>
      </c>
    </row>
    <row r="280" customFormat="false" ht="23.25" hidden="false" customHeight="true" outlineLevel="0" collapsed="false">
      <c r="B280" s="67" t="str">
        <f aca="false">""</f>
        <v/>
      </c>
      <c r="C280" s="67"/>
      <c r="D280" s="23" t="str">
        <f aca="false">IFERROR(INDEX(分录收入!$E:$E,MATCH($L280,分录收入!$L:$L,0)),"")</f>
        <v>销售费用</v>
      </c>
      <c r="E280" s="23" t="str">
        <f aca="false">IFERROR(INDEX(分录收入!$F:$F,MATCH($L280,分录收入!$L:$L,0)),"")</f>
        <v>促销费</v>
      </c>
      <c r="F280" s="68" t="n">
        <f aca="false">IFERROR(INDEX(分录收入!$H:$H,MATCH($L280,分录收入!$L:$L,0)),"")</f>
        <v>993.8</v>
      </c>
      <c r="G280" s="69" t="str">
        <f aca="false">IFERROR(INDEX(分录收入!$I:$I,MATCH($L280,分录收入!$L:$L,0)),"")</f>
        <v/>
      </c>
      <c r="H280" s="23"/>
      <c r="I280" s="70"/>
      <c r="L280" s="71" t="n">
        <f aca="false">IF(助手收入!$R$20="",-1,助手收入!$R$20*100+(助手收入!$S$20-1)*6+5)</f>
        <v>1005</v>
      </c>
    </row>
    <row r="281" customFormat="false" ht="23.25" hidden="false" customHeight="true" outlineLevel="0" collapsed="false">
      <c r="B281" s="67" t="str">
        <f aca="false">""</f>
        <v/>
      </c>
      <c r="C281" s="67"/>
      <c r="D281" s="23" t="str">
        <f aca="false">IFERROR(INDEX(分录收入!$E:$E,MATCH($L281,分录收入!$L:$L,0)),"")</f>
        <v>财务费用</v>
      </c>
      <c r="E281" s="23" t="str">
        <f aca="false">IFERROR(INDEX(分录收入!$F:$F,MATCH($L281,分录收入!$L:$L,0)),"")</f>
        <v>手续费</v>
      </c>
      <c r="F281" s="68" t="n">
        <f aca="false">IFERROR(INDEX(分录收入!$H:$H,MATCH($L281,分录收入!$L:$L,0)),"")</f>
        <v>182.38</v>
      </c>
      <c r="G281" s="69" t="str">
        <f aca="false">IFERROR(INDEX(分录收入!$I:$I,MATCH($L281,分录收入!$L:$L,0)),"")</f>
        <v/>
      </c>
      <c r="H281" s="23"/>
      <c r="I281" s="70"/>
      <c r="L281" s="71" t="n">
        <f aca="false">IF(助手收入!$R$20="",-1,助手收入!$R$20*100+(助手收入!$S$20-1)*6+6)</f>
        <v>1006</v>
      </c>
    </row>
    <row r="282" customFormat="false" ht="23.25" hidden="false" customHeight="true" outlineLevel="0" collapsed="false">
      <c r="B282" s="72" t="str">
        <f aca="false">IF(助手收入!$T$20=1,"合计：","")</f>
        <v/>
      </c>
      <c r="C282" s="73" t="str">
        <f aca="false">IF(助手收入!$T$20=1,$F282,"")</f>
        <v/>
      </c>
      <c r="D282" s="74"/>
      <c r="E282" s="74"/>
      <c r="F282" s="75" t="str">
        <f aca="false">IF(助手收入!$T$20=1,INDEX(助手收入!$N$2:$N$66,助手收入!$R$20),"")</f>
        <v/>
      </c>
      <c r="G282" s="76" t="str">
        <f aca="false">IF(助手收入!$T$20=1,INDEX(助手收入!$O$2:$O$66,助手收入!$R$20),"")</f>
        <v/>
      </c>
      <c r="H282" s="74"/>
      <c r="I282" s="77"/>
    </row>
    <row r="283" customFormat="false" ht="6" hidden="false" customHeight="true" outlineLevel="0" collapsed="false"/>
    <row r="284" customFormat="false" ht="13.5" hidden="false" customHeight="false" outlineLevel="0" collapsed="false">
      <c r="B284" s="78" t="str">
        <f aca="false">IF(助手收入!$R$20&lt;&gt;"","会计主管：","")</f>
        <v>会计主管：</v>
      </c>
      <c r="D284" s="78" t="str">
        <f aca="false">IF(助手收入!$R$20&lt;&gt;"","会计：","")</f>
        <v>会计：</v>
      </c>
      <c r="E284" s="78" t="str">
        <f aca="false">IF(助手收入!$R$20&lt;&gt;"","出纳：","")</f>
        <v>出纳：</v>
      </c>
      <c r="F284" s="78" t="str">
        <f aca="false">IF(助手收入!$R$20&lt;&gt;"","复核：","")</f>
        <v>复核：</v>
      </c>
      <c r="G284" s="78" t="str">
        <f aca="false">IF(助手收入!$R$20&lt;&gt;"","制单：","")</f>
        <v>制单：</v>
      </c>
    </row>
    <row r="285" customFormat="false" ht="3" hidden="false" customHeight="true" outlineLevel="0" collapsed="false"/>
    <row r="286" customFormat="false" ht="19.5" hidden="false" customHeight="true" outlineLevel="0" collapsed="false">
      <c r="B286" s="53" t="str">
        <f aca="false">IF(助手收入!$R$21&lt;&gt;"","记  账  凭  证","")</f>
        <v>记  账  凭  证</v>
      </c>
      <c r="C286" s="53"/>
      <c r="D286" s="53"/>
      <c r="E286" s="53"/>
      <c r="F286" s="53"/>
      <c r="G286" s="53"/>
      <c r="H286" s="53"/>
      <c r="I286" s="53"/>
    </row>
    <row r="287" customFormat="false" ht="3" hidden="false" customHeight="true" outlineLevel="0" collapsed="false"/>
    <row r="288" customFormat="false" ht="15" hidden="false" customHeight="true" outlineLevel="0" collapsed="false">
      <c r="C288" s="56" t="n">
        <f aca="false">IF(助手收入!$R$21&lt;&gt;"",INDEX(助手收入!$B$2:$B$66,助手收入!$R$21),"")</f>
        <v>2010</v>
      </c>
      <c r="D288" s="57" t="n">
        <f aca="false">IF(助手收入!$R$21&lt;&gt;"",参数!$B$2,"")</f>
        <v>46234</v>
      </c>
      <c r="E288" s="57"/>
      <c r="F288" s="58" t="str">
        <f aca="false">IF(助手收入!$R$21&lt;&gt;"",INDEX(助手收入!$C$2:$C$66,助手收入!$R$21)&amp;"  字第 "&amp;IF(参数!$B$9="是",INDEX(助手收入!$P$2:$P$66,助手收入!$R$21),"　　　　")&amp;" 号"&amp;IF(INDEX(助手收入!$L$2:$L$66,助手收入!$R$21)&gt;1,"  (共"&amp;INDEX(助手收入!$L$2:$L$66,助手收入!$R$21)&amp;"页 第"&amp;助手收入!$S$21&amp;"页)",""),"")</f>
        <v>莲子镇店  字第 　　　　 号  (共2页 第2页)</v>
      </c>
      <c r="G288" s="58"/>
      <c r="H288" s="58"/>
      <c r="I288" s="58"/>
      <c r="M288" s="59" t="n">
        <f aca="false">IF(助手收入!$R$21="","",助手收入!$Q$21)</f>
        <v>20</v>
      </c>
      <c r="N288" s="60" t="n">
        <f aca="false">IF(助手收入!$R$21="","",INDEX(助手收入!$P$2:$P$66,助手收入!$R$21))</f>
        <v>10</v>
      </c>
      <c r="O288" s="55" t="str">
        <f aca="false">IF(助手收入!$R$21="","",INDEX(助手收入!$C$2:$C$66,助手收入!$R$21)&amp;"  字第 "&amp;INDEX(助手收入!$P$2:$P$66,助手收入!$R$21)&amp;" 号"&amp;IF(INDEX(助手收入!$L$2:$L$66,助手收入!$R$21)&gt;1,"  (共"&amp;INDEX(助手收入!$L$2:$L$66,助手收入!$R$21)&amp;"页 第"&amp;助手收入!$S$21&amp;"页)",""))</f>
        <v>莲子镇店  字第 10 号  (共2页 第2页)</v>
      </c>
    </row>
    <row r="289" customFormat="false" ht="12.75" hidden="false" customHeight="true" outlineLevel="0" collapsed="false">
      <c r="B289" s="61" t="str">
        <f aca="false">IF(助手收入!$R$21&lt;&gt;"","摘　　要","")</f>
        <v>摘　　要</v>
      </c>
      <c r="C289" s="61"/>
      <c r="D289" s="62" t="str">
        <f aca="false">IF(助手收入!$R$21&lt;&gt;"","科　　　　目","")</f>
        <v>科　　　　目</v>
      </c>
      <c r="E289" s="62"/>
      <c r="F289" s="61" t="str">
        <f aca="false">IF(助手收入!$R$21&lt;&gt;"","借 方 金 额","")</f>
        <v>借 方 金 额</v>
      </c>
      <c r="G289" s="62" t="str">
        <f aca="false">IF(助手收入!$R$21&lt;&gt;"","贷 方 金 额","")</f>
        <v>贷 方 金 额</v>
      </c>
      <c r="H289" s="63" t="str">
        <f aca="false">IF(助手收入!$R$21&lt;&gt;"","√","")</f>
        <v>√</v>
      </c>
      <c r="I289" s="64" t="str">
        <f aca="false">IF(助手收入!$R$21&lt;&gt;"","附单据  张","")</f>
        <v>附单据  张</v>
      </c>
    </row>
    <row r="290" customFormat="false" ht="12.75" hidden="false" customHeight="true" outlineLevel="0" collapsed="false">
      <c r="B290" s="61"/>
      <c r="C290" s="61"/>
      <c r="D290" s="23" t="str">
        <f aca="false">IF(助手收入!$R$21&lt;&gt;"","总 账 科 目","")</f>
        <v>总 账 科 目</v>
      </c>
      <c r="E290" s="23" t="str">
        <f aca="false">IF(助手收入!$R$21&lt;&gt;"","明 细 科 目","")</f>
        <v>明 细 科 目</v>
      </c>
      <c r="F290" s="65"/>
      <c r="G290" s="66"/>
      <c r="H290" s="63"/>
      <c r="I290" s="64"/>
    </row>
    <row r="291" customFormat="false" ht="23.25" hidden="false" customHeight="true" outlineLevel="0" collapsed="false">
      <c r="B291" s="67" t="str">
        <f aca="false">IFERROR(INDEX(分录收入!$M:$M,MATCH($L291,分录收入!$L:$L,0)),"")</f>
        <v>7月收入</v>
      </c>
      <c r="C291" s="67"/>
      <c r="D291" s="23" t="str">
        <f aca="false">IFERROR(INDEX(分录收入!$E:$E,MATCH($L291,分录收入!$L:$L,0)),"")</f>
        <v>主营业务收入</v>
      </c>
      <c r="E291" s="23" t="str">
        <f aca="false">IFERROR(INDEX(分录收入!$F:$F,MATCH($L291,分录收入!$L:$L,0)),"")</f>
        <v/>
      </c>
      <c r="F291" s="68" t="str">
        <f aca="false">IFERROR(INDEX(分录收入!$H:$H,MATCH($L291,分录收入!$L:$L,0)),"")</f>
        <v/>
      </c>
      <c r="G291" s="69" t="n">
        <f aca="false">IFERROR(INDEX(分录收入!$I:$I,MATCH($L291,分录收入!$L:$L,0)),"")</f>
        <v>107280.2</v>
      </c>
      <c r="H291" s="23"/>
      <c r="I291" s="70"/>
      <c r="L291" s="71" t="n">
        <f aca="false">IF(助手收入!$R$21="",-1,助手收入!$R$21*100+(助手收入!$S$21-1)*6+1)</f>
        <v>1007</v>
      </c>
    </row>
    <row r="292" customFormat="false" ht="23.25" hidden="false" customHeight="true" outlineLevel="0" collapsed="false">
      <c r="B292" s="67" t="str">
        <f aca="false">""</f>
        <v/>
      </c>
      <c r="C292" s="67"/>
      <c r="D292" s="23" t="str">
        <f aca="false">IFERROR(INDEX(分录收入!$E:$E,MATCH($L292,分录收入!$L:$L,0)),"")</f>
        <v/>
      </c>
      <c r="E292" s="23" t="str">
        <f aca="false">IFERROR(INDEX(分录收入!$F:$F,MATCH($L292,分录收入!$L:$L,0)),"")</f>
        <v/>
      </c>
      <c r="F292" s="68" t="str">
        <f aca="false">IFERROR(INDEX(分录收入!$H:$H,MATCH($L292,分录收入!$L:$L,0)),"")</f>
        <v/>
      </c>
      <c r="G292" s="69" t="str">
        <f aca="false">IFERROR(INDEX(分录收入!$I:$I,MATCH($L292,分录收入!$L:$L,0)),"")</f>
        <v/>
      </c>
      <c r="H292" s="23"/>
      <c r="I292" s="70"/>
      <c r="L292" s="71" t="n">
        <f aca="false">IF(助手收入!$R$21="",-1,助手收入!$R$21*100+(助手收入!$S$21-1)*6+2)</f>
        <v>1008</v>
      </c>
    </row>
    <row r="293" customFormat="false" ht="23.25" hidden="false" customHeight="true" outlineLevel="0" collapsed="false">
      <c r="B293" s="67" t="str">
        <f aca="false">""</f>
        <v/>
      </c>
      <c r="C293" s="67"/>
      <c r="D293" s="23" t="str">
        <f aca="false">IFERROR(INDEX(分录收入!$E:$E,MATCH($L293,分录收入!$L:$L,0)),"")</f>
        <v/>
      </c>
      <c r="E293" s="23" t="str">
        <f aca="false">IFERROR(INDEX(分录收入!$F:$F,MATCH($L293,分录收入!$L:$L,0)),"")</f>
        <v/>
      </c>
      <c r="F293" s="68" t="str">
        <f aca="false">IFERROR(INDEX(分录收入!$H:$H,MATCH($L293,分录收入!$L:$L,0)),"")</f>
        <v/>
      </c>
      <c r="G293" s="69" t="str">
        <f aca="false">IFERROR(INDEX(分录收入!$I:$I,MATCH($L293,分录收入!$L:$L,0)),"")</f>
        <v/>
      </c>
      <c r="H293" s="23"/>
      <c r="I293" s="70"/>
      <c r="L293" s="71" t="n">
        <f aca="false">IF(助手收入!$R$21="",-1,助手收入!$R$21*100+(助手收入!$S$21-1)*6+3)</f>
        <v>1009</v>
      </c>
    </row>
    <row r="294" customFormat="false" ht="23.25" hidden="false" customHeight="true" outlineLevel="0" collapsed="false">
      <c r="B294" s="67" t="str">
        <f aca="false">""</f>
        <v/>
      </c>
      <c r="C294" s="67"/>
      <c r="D294" s="23" t="str">
        <f aca="false">IFERROR(INDEX(分录收入!$E:$E,MATCH($L294,分录收入!$L:$L,0)),"")</f>
        <v/>
      </c>
      <c r="E294" s="23" t="str">
        <f aca="false">IFERROR(INDEX(分录收入!$F:$F,MATCH($L294,分录收入!$L:$L,0)),"")</f>
        <v/>
      </c>
      <c r="F294" s="68" t="str">
        <f aca="false">IFERROR(INDEX(分录收入!$H:$H,MATCH($L294,分录收入!$L:$L,0)),"")</f>
        <v/>
      </c>
      <c r="G294" s="69" t="str">
        <f aca="false">IFERROR(INDEX(分录收入!$I:$I,MATCH($L294,分录收入!$L:$L,0)),"")</f>
        <v/>
      </c>
      <c r="H294" s="23"/>
      <c r="I294" s="70"/>
      <c r="L294" s="71" t="n">
        <f aca="false">IF(助手收入!$R$21="",-1,助手收入!$R$21*100+(助手收入!$S$21-1)*6+4)</f>
        <v>1010</v>
      </c>
    </row>
    <row r="295" customFormat="false" ht="23.25" hidden="false" customHeight="true" outlineLevel="0" collapsed="false">
      <c r="B295" s="67" t="str">
        <f aca="false">""</f>
        <v/>
      </c>
      <c r="C295" s="67"/>
      <c r="D295" s="23" t="str">
        <f aca="false">IFERROR(INDEX(分录收入!$E:$E,MATCH($L295,分录收入!$L:$L,0)),"")</f>
        <v/>
      </c>
      <c r="E295" s="23" t="str">
        <f aca="false">IFERROR(INDEX(分录收入!$F:$F,MATCH($L295,分录收入!$L:$L,0)),"")</f>
        <v/>
      </c>
      <c r="F295" s="68" t="str">
        <f aca="false">IFERROR(INDEX(分录收入!$H:$H,MATCH($L295,分录收入!$L:$L,0)),"")</f>
        <v/>
      </c>
      <c r="G295" s="69" t="str">
        <f aca="false">IFERROR(INDEX(分录收入!$I:$I,MATCH($L295,分录收入!$L:$L,0)),"")</f>
        <v/>
      </c>
      <c r="H295" s="23"/>
      <c r="I295" s="70"/>
      <c r="L295" s="71" t="n">
        <f aca="false">IF(助手收入!$R$21="",-1,助手收入!$R$21*100+(助手收入!$S$21-1)*6+5)</f>
        <v>1011</v>
      </c>
    </row>
    <row r="296" customFormat="false" ht="23.25" hidden="false" customHeight="true" outlineLevel="0" collapsed="false">
      <c r="B296" s="67" t="str">
        <f aca="false">""</f>
        <v/>
      </c>
      <c r="C296" s="67"/>
      <c r="D296" s="23" t="str">
        <f aca="false">IFERROR(INDEX(分录收入!$E:$E,MATCH($L296,分录收入!$L:$L,0)),"")</f>
        <v/>
      </c>
      <c r="E296" s="23" t="str">
        <f aca="false">IFERROR(INDEX(分录收入!$F:$F,MATCH($L296,分录收入!$L:$L,0)),"")</f>
        <v/>
      </c>
      <c r="F296" s="68" t="str">
        <f aca="false">IFERROR(INDEX(分录收入!$H:$H,MATCH($L296,分录收入!$L:$L,0)),"")</f>
        <v/>
      </c>
      <c r="G296" s="69" t="str">
        <f aca="false">IFERROR(INDEX(分录收入!$I:$I,MATCH($L296,分录收入!$L:$L,0)),"")</f>
        <v/>
      </c>
      <c r="H296" s="23"/>
      <c r="I296" s="70"/>
      <c r="L296" s="71" t="n">
        <f aca="false">IF(助手收入!$R$21="",-1,助手收入!$R$21*100+(助手收入!$S$21-1)*6+6)</f>
        <v>1012</v>
      </c>
    </row>
    <row r="297" customFormat="false" ht="23.25" hidden="false" customHeight="true" outlineLevel="0" collapsed="false">
      <c r="B297" s="72" t="str">
        <f aca="false">IF(助手收入!$T$21=1,"合计：","")</f>
        <v>合计：</v>
      </c>
      <c r="C297" s="73" t="n">
        <f aca="false">IF(助手收入!$T$21=1,$F297,"")</f>
        <v>107280.2</v>
      </c>
      <c r="D297" s="74"/>
      <c r="E297" s="74"/>
      <c r="F297" s="75" t="n">
        <f aca="false">IF(助手收入!$T$21=1,INDEX(助手收入!$N$2:$N$66,助手收入!$R$21),"")</f>
        <v>107280.2</v>
      </c>
      <c r="G297" s="76" t="n">
        <f aca="false">IF(助手收入!$T$21=1,INDEX(助手收入!$O$2:$O$66,助手收入!$R$21),"")</f>
        <v>107280.2</v>
      </c>
      <c r="H297" s="74"/>
      <c r="I297" s="77"/>
    </row>
    <row r="298" customFormat="false" ht="6" hidden="false" customHeight="true" outlineLevel="0" collapsed="false"/>
    <row r="299" customFormat="false" ht="13.5" hidden="false" customHeight="false" outlineLevel="0" collapsed="false">
      <c r="B299" s="78" t="str">
        <f aca="false">IF(助手收入!$R$21&lt;&gt;"","会计主管：","")</f>
        <v>会计主管：</v>
      </c>
      <c r="D299" s="78" t="str">
        <f aca="false">IF(助手收入!$R$21&lt;&gt;"","会计：","")</f>
        <v>会计：</v>
      </c>
      <c r="E299" s="78" t="str">
        <f aca="false">IF(助手收入!$R$21&lt;&gt;"","出纳：","")</f>
        <v>出纳：</v>
      </c>
      <c r="F299" s="78" t="str">
        <f aca="false">IF(助手收入!$R$21&lt;&gt;"","复核：","")</f>
        <v>复核：</v>
      </c>
      <c r="G299" s="78" t="str">
        <f aca="false">IF(助手收入!$R$21&lt;&gt;"","制单：","")</f>
        <v>制单：</v>
      </c>
    </row>
    <row r="300" customFormat="false" ht="3" hidden="false" customHeight="true" outlineLevel="0" collapsed="false"/>
    <row r="301" customFormat="false" ht="19.5" hidden="false" customHeight="true" outlineLevel="0" collapsed="false">
      <c r="B301" s="53" t="str">
        <f aca="false">IF(助手收入!$R$22&lt;&gt;"","记  账  凭  证","")</f>
        <v>记  账  凭  证</v>
      </c>
      <c r="C301" s="53"/>
      <c r="D301" s="53"/>
      <c r="E301" s="53"/>
      <c r="F301" s="53"/>
      <c r="G301" s="53"/>
      <c r="H301" s="53"/>
      <c r="I301" s="53"/>
    </row>
    <row r="302" customFormat="false" ht="3" hidden="false" customHeight="true" outlineLevel="0" collapsed="false"/>
    <row r="303" customFormat="false" ht="15" hidden="false" customHeight="true" outlineLevel="0" collapsed="false">
      <c r="C303" s="56" t="n">
        <f aca="false">IF(助手收入!$R$22&lt;&gt;"",INDEX(助手收入!$B$2:$B$66,助手收入!$R$22),"")</f>
        <v>2011</v>
      </c>
      <c r="D303" s="57" t="n">
        <f aca="false">IF(助手收入!$R$22&lt;&gt;"",参数!$B$2,"")</f>
        <v>46234</v>
      </c>
      <c r="E303" s="57"/>
      <c r="F303" s="58" t="str">
        <f aca="false">IF(助手收入!$R$22&lt;&gt;"",INDEX(助手收入!$C$2:$C$66,助手收入!$R$22)&amp;"  字第 "&amp;IF(参数!$B$9="是",INDEX(助手收入!$P$2:$P$66,助手收入!$R$22),"　　　　")&amp;" 号"&amp;IF(INDEX(助手收入!$L$2:$L$66,助手收入!$R$22)&gt;1,"  (共"&amp;INDEX(助手收入!$L$2:$L$66,助手收入!$R$22)&amp;"页 第"&amp;助手收入!$S$22&amp;"页)",""),"")</f>
        <v>毛尔寨店  字第 　　　　 号  (共2页 第1页)</v>
      </c>
      <c r="G303" s="58"/>
      <c r="H303" s="58"/>
      <c r="I303" s="58"/>
      <c r="M303" s="59" t="n">
        <f aca="false">IF(助手收入!$R$22="","",助手收入!$Q$22)</f>
        <v>21</v>
      </c>
      <c r="N303" s="60" t="n">
        <f aca="false">IF(助手收入!$R$22="","",INDEX(助手收入!$P$2:$P$66,助手收入!$R$22))</f>
        <v>11</v>
      </c>
      <c r="O303" s="55" t="str">
        <f aca="false">IF(助手收入!$R$22="","",INDEX(助手收入!$C$2:$C$66,助手收入!$R$22)&amp;"  字第 "&amp;INDEX(助手收入!$P$2:$P$66,助手收入!$R$22)&amp;" 号"&amp;IF(INDEX(助手收入!$L$2:$L$66,助手收入!$R$22)&gt;1,"  (共"&amp;INDEX(助手收入!$L$2:$L$66,助手收入!$R$22)&amp;"页 第"&amp;助手收入!$S$22&amp;"页)",""))</f>
        <v>毛尔寨店  字第 11 号  (共2页 第1页)</v>
      </c>
    </row>
    <row r="304" customFormat="false" ht="12.75" hidden="false" customHeight="true" outlineLevel="0" collapsed="false">
      <c r="B304" s="61" t="str">
        <f aca="false">IF(助手收入!$R$22&lt;&gt;"","摘　　要","")</f>
        <v>摘　　要</v>
      </c>
      <c r="C304" s="61"/>
      <c r="D304" s="62" t="str">
        <f aca="false">IF(助手收入!$R$22&lt;&gt;"","科　　　　目","")</f>
        <v>科　　　　目</v>
      </c>
      <c r="E304" s="62"/>
      <c r="F304" s="61" t="str">
        <f aca="false">IF(助手收入!$R$22&lt;&gt;"","借 方 金 额","")</f>
        <v>借 方 金 额</v>
      </c>
      <c r="G304" s="62" t="str">
        <f aca="false">IF(助手收入!$R$22&lt;&gt;"","贷 方 金 额","")</f>
        <v>贷 方 金 额</v>
      </c>
      <c r="H304" s="63" t="str">
        <f aca="false">IF(助手收入!$R$22&lt;&gt;"","√","")</f>
        <v>√</v>
      </c>
      <c r="I304" s="64" t="str">
        <f aca="false">IF(助手收入!$R$22&lt;&gt;"","附单据  张","")</f>
        <v>附单据  张</v>
      </c>
    </row>
    <row r="305" customFormat="false" ht="12.75" hidden="false" customHeight="true" outlineLevel="0" collapsed="false">
      <c r="B305" s="61"/>
      <c r="C305" s="61"/>
      <c r="D305" s="23" t="str">
        <f aca="false">IF(助手收入!$R$22&lt;&gt;"","总 账 科 目","")</f>
        <v>总 账 科 目</v>
      </c>
      <c r="E305" s="23" t="str">
        <f aca="false">IF(助手收入!$R$22&lt;&gt;"","明 细 科 目","")</f>
        <v>明 细 科 目</v>
      </c>
      <c r="F305" s="65"/>
      <c r="G305" s="66"/>
      <c r="H305" s="63"/>
      <c r="I305" s="64"/>
    </row>
    <row r="306" customFormat="false" ht="23.25" hidden="false" customHeight="true" outlineLevel="0" collapsed="false">
      <c r="B306" s="67" t="str">
        <f aca="false">IFERROR(INDEX(分录收入!$M:$M,MATCH($L306,分录收入!$L:$L,0)),"")</f>
        <v>7月收入</v>
      </c>
      <c r="C306" s="67"/>
      <c r="D306" s="23" t="str">
        <f aca="false">IFERROR(INDEX(分录收入!$E:$E,MATCH($L306,分录收入!$L:$L,0)),"")</f>
        <v>库存现金</v>
      </c>
      <c r="E306" s="23" t="str">
        <f aca="false">IFERROR(INDEX(分录收入!$F:$F,MATCH($L306,分录收入!$L:$L,0)),"")</f>
        <v/>
      </c>
      <c r="F306" s="68" t="n">
        <f aca="false">IFERROR(INDEX(分录收入!$H:$H,MATCH($L306,分录收入!$L:$L,0)),"")</f>
        <v>24370.58</v>
      </c>
      <c r="G306" s="69" t="str">
        <f aca="false">IFERROR(INDEX(分录收入!$I:$I,MATCH($L306,分录收入!$L:$L,0)),"")</f>
        <v/>
      </c>
      <c r="H306" s="23"/>
      <c r="I306" s="70"/>
      <c r="L306" s="71" t="n">
        <f aca="false">IF(助手收入!$R$22="",-1,助手收入!$R$22*100+(助手收入!$S$22-1)*6+1)</f>
        <v>1101</v>
      </c>
    </row>
    <row r="307" customFormat="false" ht="23.25" hidden="false" customHeight="true" outlineLevel="0" collapsed="false">
      <c r="B307" s="67" t="str">
        <f aca="false">""</f>
        <v/>
      </c>
      <c r="C307" s="67"/>
      <c r="D307" s="23" t="str">
        <f aca="false">IFERROR(INDEX(分录收入!$E:$E,MATCH($L307,分录收入!$L:$L,0)),"")</f>
        <v>应收账款</v>
      </c>
      <c r="E307" s="23" t="str">
        <f aca="false">IFERROR(INDEX(分录收入!$F:$F,MATCH($L307,分录收入!$L:$L,0)),"")</f>
        <v>聚合支付</v>
      </c>
      <c r="F307" s="68" t="n">
        <f aca="false">IFERROR(INDEX(分录收入!$H:$H,MATCH($L307,分录收入!$L:$L,0)),"")</f>
        <v>14154.7</v>
      </c>
      <c r="G307" s="69" t="str">
        <f aca="false">IFERROR(INDEX(分录收入!$I:$I,MATCH($L307,分录收入!$L:$L,0)),"")</f>
        <v/>
      </c>
      <c r="H307" s="23"/>
      <c r="I307" s="70"/>
      <c r="L307" s="71" t="n">
        <f aca="false">IF(助手收入!$R$22="",-1,助手收入!$R$22*100+(助手收入!$S$22-1)*6+2)</f>
        <v>1102</v>
      </c>
    </row>
    <row r="308" customFormat="false" ht="23.25" hidden="false" customHeight="true" outlineLevel="0" collapsed="false">
      <c r="B308" s="67" t="str">
        <f aca="false">""</f>
        <v/>
      </c>
      <c r="C308" s="67"/>
      <c r="D308" s="23" t="str">
        <f aca="false">IFERROR(INDEX(分录收入!$E:$E,MATCH($L308,分录收入!$L:$L,0)),"")</f>
        <v>应收账款</v>
      </c>
      <c r="E308" s="23" t="str">
        <f aca="false">IFERROR(INDEX(分录收入!$F:$F,MATCH($L308,分录收入!$L:$L,0)),"")</f>
        <v>医保</v>
      </c>
      <c r="F308" s="68" t="n">
        <f aca="false">IFERROR(INDEX(分录收入!$H:$H,MATCH($L308,分录收入!$L:$L,0)),"")</f>
        <v>2921.49</v>
      </c>
      <c r="G308" s="69" t="str">
        <f aca="false">IFERROR(INDEX(分录收入!$I:$I,MATCH($L308,分录收入!$L:$L,0)),"")</f>
        <v/>
      </c>
      <c r="H308" s="23"/>
      <c r="I308" s="70"/>
      <c r="L308" s="71" t="n">
        <f aca="false">IF(助手收入!$R$22="",-1,助手收入!$R$22*100+(助手收入!$S$22-1)*6+3)</f>
        <v>1103</v>
      </c>
    </row>
    <row r="309" customFormat="false" ht="23.25" hidden="false" customHeight="true" outlineLevel="0" collapsed="false">
      <c r="B309" s="67" t="str">
        <f aca="false">""</f>
        <v/>
      </c>
      <c r="C309" s="67"/>
      <c r="D309" s="23" t="str">
        <f aca="false">IFERROR(INDEX(分录收入!$E:$E,MATCH($L309,分录收入!$L:$L,0)),"")</f>
        <v>其他应收款</v>
      </c>
      <c r="E309" s="23" t="str">
        <f aca="false">IFERROR(INDEX(分录收入!$F:$F,MATCH($L309,分录收入!$L:$L,0)),"")</f>
        <v>会员零钱包</v>
      </c>
      <c r="F309" s="68" t="n">
        <f aca="false">IFERROR(INDEX(分录收入!$H:$H,MATCH($L309,分录收入!$L:$L,0)),"")</f>
        <v>2.63</v>
      </c>
      <c r="G309" s="69" t="str">
        <f aca="false">IFERROR(INDEX(分录收入!$I:$I,MATCH($L309,分录收入!$L:$L,0)),"")</f>
        <v/>
      </c>
      <c r="H309" s="23"/>
      <c r="I309" s="70"/>
      <c r="L309" s="71" t="n">
        <f aca="false">IF(助手收入!$R$22="",-1,助手收入!$R$22*100+(助手收入!$S$22-1)*6+4)</f>
        <v>1104</v>
      </c>
    </row>
    <row r="310" customFormat="false" ht="23.25" hidden="false" customHeight="true" outlineLevel="0" collapsed="false">
      <c r="B310" s="67" t="str">
        <f aca="false">""</f>
        <v/>
      </c>
      <c r="C310" s="67"/>
      <c r="D310" s="23" t="str">
        <f aca="false">IFERROR(INDEX(分录收入!$E:$E,MATCH($L310,分录收入!$L:$L,0)),"")</f>
        <v>销售费用</v>
      </c>
      <c r="E310" s="23" t="str">
        <f aca="false">IFERROR(INDEX(分录收入!$F:$F,MATCH($L310,分录收入!$L:$L,0)),"")</f>
        <v>促销费</v>
      </c>
      <c r="F310" s="68" t="n">
        <f aca="false">IFERROR(INDEX(分录收入!$H:$H,MATCH($L310,分录收入!$L:$L,0)),"")</f>
        <v>1335.64</v>
      </c>
      <c r="G310" s="69" t="str">
        <f aca="false">IFERROR(INDEX(分录收入!$I:$I,MATCH($L310,分录收入!$L:$L,0)),"")</f>
        <v/>
      </c>
      <c r="H310" s="23"/>
      <c r="I310" s="70"/>
      <c r="L310" s="71" t="n">
        <f aca="false">IF(助手收入!$R$22="",-1,助手收入!$R$22*100+(助手收入!$S$22-1)*6+5)</f>
        <v>1105</v>
      </c>
    </row>
    <row r="311" customFormat="false" ht="23.25" hidden="false" customHeight="true" outlineLevel="0" collapsed="false">
      <c r="B311" s="67" t="str">
        <f aca="false">""</f>
        <v/>
      </c>
      <c r="C311" s="67"/>
      <c r="D311" s="23" t="str">
        <f aca="false">IFERROR(INDEX(分录收入!$E:$E,MATCH($L311,分录收入!$L:$L,0)),"")</f>
        <v>财务费用</v>
      </c>
      <c r="E311" s="23" t="str">
        <f aca="false">IFERROR(INDEX(分录收入!$F:$F,MATCH($L311,分录收入!$L:$L,0)),"")</f>
        <v>手续费</v>
      </c>
      <c r="F311" s="68" t="n">
        <f aca="false">IFERROR(INDEX(分录收入!$H:$H,MATCH($L311,分录收入!$L:$L,0)),"")</f>
        <v>38.32</v>
      </c>
      <c r="G311" s="69" t="str">
        <f aca="false">IFERROR(INDEX(分录收入!$I:$I,MATCH($L311,分录收入!$L:$L,0)),"")</f>
        <v/>
      </c>
      <c r="H311" s="23"/>
      <c r="I311" s="70"/>
      <c r="L311" s="71" t="n">
        <f aca="false">IF(助手收入!$R$22="",-1,助手收入!$R$22*100+(助手收入!$S$22-1)*6+6)</f>
        <v>1106</v>
      </c>
    </row>
    <row r="312" customFormat="false" ht="23.25" hidden="false" customHeight="true" outlineLevel="0" collapsed="false">
      <c r="B312" s="72" t="str">
        <f aca="false">IF(助手收入!$T$22=1,"合计：","")</f>
        <v/>
      </c>
      <c r="C312" s="73" t="str">
        <f aca="false">IF(助手收入!$T$22=1,$F312,"")</f>
        <v/>
      </c>
      <c r="D312" s="74"/>
      <c r="E312" s="74"/>
      <c r="F312" s="75" t="str">
        <f aca="false">IF(助手收入!$T$22=1,INDEX(助手收入!$N$2:$N$66,助手收入!$R$22),"")</f>
        <v/>
      </c>
      <c r="G312" s="76" t="str">
        <f aca="false">IF(助手收入!$T$22=1,INDEX(助手收入!$O$2:$O$66,助手收入!$R$22),"")</f>
        <v/>
      </c>
      <c r="H312" s="74"/>
      <c r="I312" s="77"/>
    </row>
    <row r="313" customFormat="false" ht="6" hidden="false" customHeight="true" outlineLevel="0" collapsed="false"/>
    <row r="314" customFormat="false" ht="13.5" hidden="false" customHeight="false" outlineLevel="0" collapsed="false">
      <c r="B314" s="78" t="str">
        <f aca="false">IF(助手收入!$R$22&lt;&gt;"","会计主管：","")</f>
        <v>会计主管：</v>
      </c>
      <c r="D314" s="78" t="str">
        <f aca="false">IF(助手收入!$R$22&lt;&gt;"","会计：","")</f>
        <v>会计：</v>
      </c>
      <c r="E314" s="78" t="str">
        <f aca="false">IF(助手收入!$R$22&lt;&gt;"","出纳：","")</f>
        <v>出纳：</v>
      </c>
      <c r="F314" s="78" t="str">
        <f aca="false">IF(助手收入!$R$22&lt;&gt;"","复核：","")</f>
        <v>复核：</v>
      </c>
      <c r="G314" s="78" t="str">
        <f aca="false">IF(助手收入!$R$22&lt;&gt;"","制单：","")</f>
        <v>制单：</v>
      </c>
    </row>
    <row r="315" customFormat="false" ht="3" hidden="false" customHeight="true" outlineLevel="0" collapsed="false"/>
    <row r="316" customFormat="false" ht="19.5" hidden="false" customHeight="true" outlineLevel="0" collapsed="false">
      <c r="B316" s="53" t="str">
        <f aca="false">IF(助手收入!$R$23&lt;&gt;"","记  账  凭  证","")</f>
        <v>记  账  凭  证</v>
      </c>
      <c r="C316" s="53"/>
      <c r="D316" s="53"/>
      <c r="E316" s="53"/>
      <c r="F316" s="53"/>
      <c r="G316" s="53"/>
      <c r="H316" s="53"/>
      <c r="I316" s="53"/>
    </row>
    <row r="317" customFormat="false" ht="3" hidden="false" customHeight="true" outlineLevel="0" collapsed="false"/>
    <row r="318" customFormat="false" ht="15" hidden="false" customHeight="true" outlineLevel="0" collapsed="false">
      <c r="C318" s="56" t="n">
        <f aca="false">IF(助手收入!$R$23&lt;&gt;"",INDEX(助手收入!$B$2:$B$66,助手收入!$R$23),"")</f>
        <v>2011</v>
      </c>
      <c r="D318" s="57" t="n">
        <f aca="false">IF(助手收入!$R$23&lt;&gt;"",参数!$B$2,"")</f>
        <v>46234</v>
      </c>
      <c r="E318" s="57"/>
      <c r="F318" s="58" t="str">
        <f aca="false">IF(助手收入!$R$23&lt;&gt;"",INDEX(助手收入!$C$2:$C$66,助手收入!$R$23)&amp;"  字第 "&amp;IF(参数!$B$9="是",INDEX(助手收入!$P$2:$P$66,助手收入!$R$23),"　　　　")&amp;" 号"&amp;IF(INDEX(助手收入!$L$2:$L$66,助手收入!$R$23)&gt;1,"  (共"&amp;INDEX(助手收入!$L$2:$L$66,助手收入!$R$23)&amp;"页 第"&amp;助手收入!$S$23&amp;"页)",""),"")</f>
        <v>毛尔寨店  字第 　　　　 号  (共2页 第2页)</v>
      </c>
      <c r="G318" s="58"/>
      <c r="H318" s="58"/>
      <c r="I318" s="58"/>
      <c r="M318" s="59" t="n">
        <f aca="false">IF(助手收入!$R$23="","",助手收入!$Q$23)</f>
        <v>22</v>
      </c>
      <c r="N318" s="60" t="n">
        <f aca="false">IF(助手收入!$R$23="","",INDEX(助手收入!$P$2:$P$66,助手收入!$R$23))</f>
        <v>11</v>
      </c>
      <c r="O318" s="55" t="str">
        <f aca="false">IF(助手收入!$R$23="","",INDEX(助手收入!$C$2:$C$66,助手收入!$R$23)&amp;"  字第 "&amp;INDEX(助手收入!$P$2:$P$66,助手收入!$R$23)&amp;" 号"&amp;IF(INDEX(助手收入!$L$2:$L$66,助手收入!$R$23)&gt;1,"  (共"&amp;INDEX(助手收入!$L$2:$L$66,助手收入!$R$23)&amp;"页 第"&amp;助手收入!$S$23&amp;"页)",""))</f>
        <v>毛尔寨店  字第 11 号  (共2页 第2页)</v>
      </c>
    </row>
    <row r="319" customFormat="false" ht="12.75" hidden="false" customHeight="true" outlineLevel="0" collapsed="false">
      <c r="B319" s="61" t="str">
        <f aca="false">IF(助手收入!$R$23&lt;&gt;"","摘　　要","")</f>
        <v>摘　　要</v>
      </c>
      <c r="C319" s="61"/>
      <c r="D319" s="62" t="str">
        <f aca="false">IF(助手收入!$R$23&lt;&gt;"","科　　　　目","")</f>
        <v>科　　　　目</v>
      </c>
      <c r="E319" s="62"/>
      <c r="F319" s="61" t="str">
        <f aca="false">IF(助手收入!$R$23&lt;&gt;"","借 方 金 额","")</f>
        <v>借 方 金 额</v>
      </c>
      <c r="G319" s="62" t="str">
        <f aca="false">IF(助手收入!$R$23&lt;&gt;"","贷 方 金 额","")</f>
        <v>贷 方 金 额</v>
      </c>
      <c r="H319" s="63" t="str">
        <f aca="false">IF(助手收入!$R$23&lt;&gt;"","√","")</f>
        <v>√</v>
      </c>
      <c r="I319" s="64" t="str">
        <f aca="false">IF(助手收入!$R$23&lt;&gt;"","附单据  张","")</f>
        <v>附单据  张</v>
      </c>
    </row>
    <row r="320" customFormat="false" ht="12.75" hidden="false" customHeight="true" outlineLevel="0" collapsed="false">
      <c r="B320" s="61"/>
      <c r="C320" s="61"/>
      <c r="D320" s="23" t="str">
        <f aca="false">IF(助手收入!$R$23&lt;&gt;"","总 账 科 目","")</f>
        <v>总 账 科 目</v>
      </c>
      <c r="E320" s="23" t="str">
        <f aca="false">IF(助手收入!$R$23&lt;&gt;"","明 细 科 目","")</f>
        <v>明 细 科 目</v>
      </c>
      <c r="F320" s="65"/>
      <c r="G320" s="66"/>
      <c r="H320" s="63"/>
      <c r="I320" s="64"/>
    </row>
    <row r="321" customFormat="false" ht="23.25" hidden="false" customHeight="true" outlineLevel="0" collapsed="false">
      <c r="B321" s="67" t="str">
        <f aca="false">IFERROR(INDEX(分录收入!$M:$M,MATCH($L321,分录收入!$L:$L,0)),"")</f>
        <v>7月收入</v>
      </c>
      <c r="C321" s="67"/>
      <c r="D321" s="23" t="str">
        <f aca="false">IFERROR(INDEX(分录收入!$E:$E,MATCH($L321,分录收入!$L:$L,0)),"")</f>
        <v>主营业务收入</v>
      </c>
      <c r="E321" s="23" t="str">
        <f aca="false">IFERROR(INDEX(分录收入!$F:$F,MATCH($L321,分录收入!$L:$L,0)),"")</f>
        <v/>
      </c>
      <c r="F321" s="68" t="str">
        <f aca="false">IFERROR(INDEX(分录收入!$H:$H,MATCH($L321,分录收入!$L:$L,0)),"")</f>
        <v/>
      </c>
      <c r="G321" s="69" t="n">
        <f aca="false">IFERROR(INDEX(分录收入!$I:$I,MATCH($L321,分录收入!$L:$L,0)),"")</f>
        <v>42823.36</v>
      </c>
      <c r="H321" s="23"/>
      <c r="I321" s="70"/>
      <c r="L321" s="71" t="n">
        <f aca="false">IF(助手收入!$R$23="",-1,助手收入!$R$23*100+(助手收入!$S$23-1)*6+1)</f>
        <v>1107</v>
      </c>
    </row>
    <row r="322" customFormat="false" ht="23.25" hidden="false" customHeight="true" outlineLevel="0" collapsed="false">
      <c r="B322" s="67" t="str">
        <f aca="false">""</f>
        <v/>
      </c>
      <c r="C322" s="67"/>
      <c r="D322" s="23" t="str">
        <f aca="false">IFERROR(INDEX(分录收入!$E:$E,MATCH($L322,分录收入!$L:$L,0)),"")</f>
        <v/>
      </c>
      <c r="E322" s="23" t="str">
        <f aca="false">IFERROR(INDEX(分录收入!$F:$F,MATCH($L322,分录收入!$L:$L,0)),"")</f>
        <v/>
      </c>
      <c r="F322" s="68" t="str">
        <f aca="false">IFERROR(INDEX(分录收入!$H:$H,MATCH($L322,分录收入!$L:$L,0)),"")</f>
        <v/>
      </c>
      <c r="G322" s="69" t="str">
        <f aca="false">IFERROR(INDEX(分录收入!$I:$I,MATCH($L322,分录收入!$L:$L,0)),"")</f>
        <v/>
      </c>
      <c r="H322" s="23"/>
      <c r="I322" s="70"/>
      <c r="L322" s="71" t="n">
        <f aca="false">IF(助手收入!$R$23="",-1,助手收入!$R$23*100+(助手收入!$S$23-1)*6+2)</f>
        <v>1108</v>
      </c>
    </row>
    <row r="323" customFormat="false" ht="23.25" hidden="false" customHeight="true" outlineLevel="0" collapsed="false">
      <c r="B323" s="67" t="str">
        <f aca="false">""</f>
        <v/>
      </c>
      <c r="C323" s="67"/>
      <c r="D323" s="23" t="str">
        <f aca="false">IFERROR(INDEX(分录收入!$E:$E,MATCH($L323,分录收入!$L:$L,0)),"")</f>
        <v/>
      </c>
      <c r="E323" s="23" t="str">
        <f aca="false">IFERROR(INDEX(分录收入!$F:$F,MATCH($L323,分录收入!$L:$L,0)),"")</f>
        <v/>
      </c>
      <c r="F323" s="68" t="str">
        <f aca="false">IFERROR(INDEX(分录收入!$H:$H,MATCH($L323,分录收入!$L:$L,0)),"")</f>
        <v/>
      </c>
      <c r="G323" s="69" t="str">
        <f aca="false">IFERROR(INDEX(分录收入!$I:$I,MATCH($L323,分录收入!$L:$L,0)),"")</f>
        <v/>
      </c>
      <c r="H323" s="23"/>
      <c r="I323" s="70"/>
      <c r="L323" s="71" t="n">
        <f aca="false">IF(助手收入!$R$23="",-1,助手收入!$R$23*100+(助手收入!$S$23-1)*6+3)</f>
        <v>1109</v>
      </c>
    </row>
    <row r="324" customFormat="false" ht="23.25" hidden="false" customHeight="true" outlineLevel="0" collapsed="false">
      <c r="B324" s="67" t="str">
        <f aca="false">""</f>
        <v/>
      </c>
      <c r="C324" s="67"/>
      <c r="D324" s="23" t="str">
        <f aca="false">IFERROR(INDEX(分录收入!$E:$E,MATCH($L324,分录收入!$L:$L,0)),"")</f>
        <v/>
      </c>
      <c r="E324" s="23" t="str">
        <f aca="false">IFERROR(INDEX(分录收入!$F:$F,MATCH($L324,分录收入!$L:$L,0)),"")</f>
        <v/>
      </c>
      <c r="F324" s="68" t="str">
        <f aca="false">IFERROR(INDEX(分录收入!$H:$H,MATCH($L324,分录收入!$L:$L,0)),"")</f>
        <v/>
      </c>
      <c r="G324" s="69" t="str">
        <f aca="false">IFERROR(INDEX(分录收入!$I:$I,MATCH($L324,分录收入!$L:$L,0)),"")</f>
        <v/>
      </c>
      <c r="H324" s="23"/>
      <c r="I324" s="70"/>
      <c r="L324" s="71" t="n">
        <f aca="false">IF(助手收入!$R$23="",-1,助手收入!$R$23*100+(助手收入!$S$23-1)*6+4)</f>
        <v>1110</v>
      </c>
    </row>
    <row r="325" customFormat="false" ht="23.25" hidden="false" customHeight="true" outlineLevel="0" collapsed="false">
      <c r="B325" s="67" t="str">
        <f aca="false">""</f>
        <v/>
      </c>
      <c r="C325" s="67"/>
      <c r="D325" s="23" t="str">
        <f aca="false">IFERROR(INDEX(分录收入!$E:$E,MATCH($L325,分录收入!$L:$L,0)),"")</f>
        <v/>
      </c>
      <c r="E325" s="23" t="str">
        <f aca="false">IFERROR(INDEX(分录收入!$F:$F,MATCH($L325,分录收入!$L:$L,0)),"")</f>
        <v/>
      </c>
      <c r="F325" s="68" t="str">
        <f aca="false">IFERROR(INDEX(分录收入!$H:$H,MATCH($L325,分录收入!$L:$L,0)),"")</f>
        <v/>
      </c>
      <c r="G325" s="69" t="str">
        <f aca="false">IFERROR(INDEX(分录收入!$I:$I,MATCH($L325,分录收入!$L:$L,0)),"")</f>
        <v/>
      </c>
      <c r="H325" s="23"/>
      <c r="I325" s="70"/>
      <c r="L325" s="71" t="n">
        <f aca="false">IF(助手收入!$R$23="",-1,助手收入!$R$23*100+(助手收入!$S$23-1)*6+5)</f>
        <v>1111</v>
      </c>
    </row>
    <row r="326" customFormat="false" ht="23.25" hidden="false" customHeight="true" outlineLevel="0" collapsed="false">
      <c r="B326" s="67" t="str">
        <f aca="false">""</f>
        <v/>
      </c>
      <c r="C326" s="67"/>
      <c r="D326" s="23" t="str">
        <f aca="false">IFERROR(INDEX(分录收入!$E:$E,MATCH($L326,分录收入!$L:$L,0)),"")</f>
        <v/>
      </c>
      <c r="E326" s="23" t="str">
        <f aca="false">IFERROR(INDEX(分录收入!$F:$F,MATCH($L326,分录收入!$L:$L,0)),"")</f>
        <v/>
      </c>
      <c r="F326" s="68" t="str">
        <f aca="false">IFERROR(INDEX(分录收入!$H:$H,MATCH($L326,分录收入!$L:$L,0)),"")</f>
        <v/>
      </c>
      <c r="G326" s="69" t="str">
        <f aca="false">IFERROR(INDEX(分录收入!$I:$I,MATCH($L326,分录收入!$L:$L,0)),"")</f>
        <v/>
      </c>
      <c r="H326" s="23"/>
      <c r="I326" s="70"/>
      <c r="L326" s="71" t="n">
        <f aca="false">IF(助手收入!$R$23="",-1,助手收入!$R$23*100+(助手收入!$S$23-1)*6+6)</f>
        <v>1112</v>
      </c>
    </row>
    <row r="327" customFormat="false" ht="23.25" hidden="false" customHeight="true" outlineLevel="0" collapsed="false">
      <c r="B327" s="72" t="str">
        <f aca="false">IF(助手收入!$T$23=1,"合计：","")</f>
        <v>合计：</v>
      </c>
      <c r="C327" s="73" t="n">
        <f aca="false">IF(助手收入!$T$23=1,$F327,"")</f>
        <v>42823.36</v>
      </c>
      <c r="D327" s="74"/>
      <c r="E327" s="74"/>
      <c r="F327" s="75" t="n">
        <f aca="false">IF(助手收入!$T$23=1,INDEX(助手收入!$N$2:$N$66,助手收入!$R$23),"")</f>
        <v>42823.36</v>
      </c>
      <c r="G327" s="76" t="n">
        <f aca="false">IF(助手收入!$T$23=1,INDEX(助手收入!$O$2:$O$66,助手收入!$R$23),"")</f>
        <v>42823.36</v>
      </c>
      <c r="H327" s="74"/>
      <c r="I327" s="77"/>
    </row>
    <row r="328" customFormat="false" ht="6" hidden="false" customHeight="true" outlineLevel="0" collapsed="false"/>
    <row r="329" customFormat="false" ht="13.5" hidden="false" customHeight="false" outlineLevel="0" collapsed="false">
      <c r="B329" s="78" t="str">
        <f aca="false">IF(助手收入!$R$23&lt;&gt;"","会计主管：","")</f>
        <v>会计主管：</v>
      </c>
      <c r="D329" s="78" t="str">
        <f aca="false">IF(助手收入!$R$23&lt;&gt;"","会计：","")</f>
        <v>会计：</v>
      </c>
      <c r="E329" s="78" t="str">
        <f aca="false">IF(助手收入!$R$23&lt;&gt;"","出纳：","")</f>
        <v>出纳：</v>
      </c>
      <c r="F329" s="78" t="str">
        <f aca="false">IF(助手收入!$R$23&lt;&gt;"","复核：","")</f>
        <v>复核：</v>
      </c>
      <c r="G329" s="78" t="str">
        <f aca="false">IF(助手收入!$R$23&lt;&gt;"","制单：","")</f>
        <v>制单：</v>
      </c>
    </row>
    <row r="330" customFormat="false" ht="3" hidden="false" customHeight="true" outlineLevel="0" collapsed="false"/>
    <row r="331" customFormat="false" ht="19.5" hidden="false" customHeight="true" outlineLevel="0" collapsed="false">
      <c r="B331" s="53" t="str">
        <f aca="false">IF(助手收入!$R$24&lt;&gt;"","记  账  凭  证","")</f>
        <v>记  账  凭  证</v>
      </c>
      <c r="C331" s="53"/>
      <c r="D331" s="53"/>
      <c r="E331" s="53"/>
      <c r="F331" s="53"/>
      <c r="G331" s="53"/>
      <c r="H331" s="53"/>
      <c r="I331" s="53"/>
    </row>
    <row r="332" customFormat="false" ht="3" hidden="false" customHeight="true" outlineLevel="0" collapsed="false"/>
    <row r="333" customFormat="false" ht="15" hidden="false" customHeight="true" outlineLevel="0" collapsed="false">
      <c r="C333" s="56" t="n">
        <f aca="false">IF(助手收入!$R$24&lt;&gt;"",INDEX(助手收入!$B$2:$B$66,助手收入!$R$24),"")</f>
        <v>2012</v>
      </c>
      <c r="D333" s="57" t="n">
        <f aca="false">IF(助手收入!$R$24&lt;&gt;"",参数!$B$2,"")</f>
        <v>46234</v>
      </c>
      <c r="E333" s="57"/>
      <c r="F333" s="58" t="str">
        <f aca="false">IF(助手收入!$R$24&lt;&gt;"",INDEX(助手收入!$C$2:$C$66,助手收入!$R$24)&amp;"  字第 "&amp;IF(参数!$B$9="是",INDEX(助手收入!$P$2:$P$66,助手收入!$R$24),"　　　　")&amp;" 号"&amp;IF(INDEX(助手收入!$L$2:$L$66,助手收入!$R$24)&gt;1,"  (共"&amp;INDEX(助手收入!$L$2:$L$66,助手收入!$R$24)&amp;"页 第"&amp;助手收入!$S$24&amp;"页)",""),"")</f>
        <v>泽畔店  字第 　　　　 号  (共2页 第1页)</v>
      </c>
      <c r="G333" s="58"/>
      <c r="H333" s="58"/>
      <c r="I333" s="58"/>
      <c r="M333" s="59" t="n">
        <f aca="false">IF(助手收入!$R$24="","",助手收入!$Q$24)</f>
        <v>23</v>
      </c>
      <c r="N333" s="60" t="n">
        <f aca="false">IF(助手收入!$R$24="","",INDEX(助手收入!$P$2:$P$66,助手收入!$R$24))</f>
        <v>12</v>
      </c>
      <c r="O333" s="55" t="str">
        <f aca="false">IF(助手收入!$R$24="","",INDEX(助手收入!$C$2:$C$66,助手收入!$R$24)&amp;"  字第 "&amp;INDEX(助手收入!$P$2:$P$66,助手收入!$R$24)&amp;" 号"&amp;IF(INDEX(助手收入!$L$2:$L$66,助手收入!$R$24)&gt;1,"  (共"&amp;INDEX(助手收入!$L$2:$L$66,助手收入!$R$24)&amp;"页 第"&amp;助手收入!$S$24&amp;"页)",""))</f>
        <v>泽畔店  字第 12 号  (共2页 第1页)</v>
      </c>
    </row>
    <row r="334" customFormat="false" ht="12.75" hidden="false" customHeight="true" outlineLevel="0" collapsed="false">
      <c r="B334" s="61" t="str">
        <f aca="false">IF(助手收入!$R$24&lt;&gt;"","摘　　要","")</f>
        <v>摘　　要</v>
      </c>
      <c r="C334" s="61"/>
      <c r="D334" s="62" t="str">
        <f aca="false">IF(助手收入!$R$24&lt;&gt;"","科　　　　目","")</f>
        <v>科　　　　目</v>
      </c>
      <c r="E334" s="62"/>
      <c r="F334" s="61" t="str">
        <f aca="false">IF(助手收入!$R$24&lt;&gt;"","借 方 金 额","")</f>
        <v>借 方 金 额</v>
      </c>
      <c r="G334" s="62" t="str">
        <f aca="false">IF(助手收入!$R$24&lt;&gt;"","贷 方 金 额","")</f>
        <v>贷 方 金 额</v>
      </c>
      <c r="H334" s="63" t="str">
        <f aca="false">IF(助手收入!$R$24&lt;&gt;"","√","")</f>
        <v>√</v>
      </c>
      <c r="I334" s="64" t="str">
        <f aca="false">IF(助手收入!$R$24&lt;&gt;"","附单据  张","")</f>
        <v>附单据  张</v>
      </c>
    </row>
    <row r="335" customFormat="false" ht="12.75" hidden="false" customHeight="true" outlineLevel="0" collapsed="false">
      <c r="B335" s="61"/>
      <c r="C335" s="61"/>
      <c r="D335" s="23" t="str">
        <f aca="false">IF(助手收入!$R$24&lt;&gt;"","总 账 科 目","")</f>
        <v>总 账 科 目</v>
      </c>
      <c r="E335" s="23" t="str">
        <f aca="false">IF(助手收入!$R$24&lt;&gt;"","明 细 科 目","")</f>
        <v>明 细 科 目</v>
      </c>
      <c r="F335" s="65"/>
      <c r="G335" s="66"/>
      <c r="H335" s="63"/>
      <c r="I335" s="64"/>
    </row>
    <row r="336" customFormat="false" ht="23.25" hidden="false" customHeight="true" outlineLevel="0" collapsed="false">
      <c r="B336" s="67" t="str">
        <f aca="false">IFERROR(INDEX(分录收入!$M:$M,MATCH($L336,分录收入!$L:$L,0)),"")</f>
        <v>7月收入</v>
      </c>
      <c r="C336" s="67"/>
      <c r="D336" s="23" t="str">
        <f aca="false">IFERROR(INDEX(分录收入!$E:$E,MATCH($L336,分录收入!$L:$L,0)),"")</f>
        <v>库存现金</v>
      </c>
      <c r="E336" s="23" t="str">
        <f aca="false">IFERROR(INDEX(分录收入!$F:$F,MATCH($L336,分录收入!$L:$L,0)),"")</f>
        <v/>
      </c>
      <c r="F336" s="68" t="n">
        <f aca="false">IFERROR(INDEX(分录收入!$H:$H,MATCH($L336,分录收入!$L:$L,0)),"")</f>
        <v>25706.98</v>
      </c>
      <c r="G336" s="69" t="str">
        <f aca="false">IFERROR(INDEX(分录收入!$I:$I,MATCH($L336,分录收入!$L:$L,0)),"")</f>
        <v/>
      </c>
      <c r="H336" s="23"/>
      <c r="I336" s="70"/>
      <c r="L336" s="71" t="n">
        <f aca="false">IF(助手收入!$R$24="",-1,助手收入!$R$24*100+(助手收入!$S$24-1)*6+1)</f>
        <v>1201</v>
      </c>
    </row>
    <row r="337" customFormat="false" ht="23.25" hidden="false" customHeight="true" outlineLevel="0" collapsed="false">
      <c r="B337" s="67" t="str">
        <f aca="false">""</f>
        <v/>
      </c>
      <c r="C337" s="67"/>
      <c r="D337" s="23" t="str">
        <f aca="false">IFERROR(INDEX(分录收入!$E:$E,MATCH($L337,分录收入!$L:$L,0)),"")</f>
        <v>应收账款</v>
      </c>
      <c r="E337" s="23" t="str">
        <f aca="false">IFERROR(INDEX(分录收入!$F:$F,MATCH($L337,分录收入!$L:$L,0)),"")</f>
        <v>聚合支付</v>
      </c>
      <c r="F337" s="68" t="n">
        <f aca="false">IFERROR(INDEX(分录收入!$H:$H,MATCH($L337,分录收入!$L:$L,0)),"")</f>
        <v>20288.9</v>
      </c>
      <c r="G337" s="69" t="str">
        <f aca="false">IFERROR(INDEX(分录收入!$I:$I,MATCH($L337,分录收入!$L:$L,0)),"")</f>
        <v/>
      </c>
      <c r="H337" s="23"/>
      <c r="I337" s="70"/>
      <c r="L337" s="71" t="n">
        <f aca="false">IF(助手收入!$R$24="",-1,助手收入!$R$24*100+(助手收入!$S$24-1)*6+2)</f>
        <v>1202</v>
      </c>
    </row>
    <row r="338" customFormat="false" ht="23.25" hidden="false" customHeight="true" outlineLevel="0" collapsed="false">
      <c r="B338" s="67" t="str">
        <f aca="false">""</f>
        <v/>
      </c>
      <c r="C338" s="67"/>
      <c r="D338" s="23" t="str">
        <f aca="false">IFERROR(INDEX(分录收入!$E:$E,MATCH($L338,分录收入!$L:$L,0)),"")</f>
        <v>应收账款</v>
      </c>
      <c r="E338" s="23" t="str">
        <f aca="false">IFERROR(INDEX(分录收入!$F:$F,MATCH($L338,分录收入!$L:$L,0)),"")</f>
        <v>医保</v>
      </c>
      <c r="F338" s="68" t="n">
        <f aca="false">IFERROR(INDEX(分录收入!$H:$H,MATCH($L338,分录收入!$L:$L,0)),"")</f>
        <v>3187.38</v>
      </c>
      <c r="G338" s="69" t="str">
        <f aca="false">IFERROR(INDEX(分录收入!$I:$I,MATCH($L338,分录收入!$L:$L,0)),"")</f>
        <v/>
      </c>
      <c r="H338" s="23"/>
      <c r="I338" s="70"/>
      <c r="L338" s="71" t="n">
        <f aca="false">IF(助手收入!$R$24="",-1,助手收入!$R$24*100+(助手收入!$S$24-1)*6+3)</f>
        <v>1203</v>
      </c>
    </row>
    <row r="339" customFormat="false" ht="23.25" hidden="false" customHeight="true" outlineLevel="0" collapsed="false">
      <c r="B339" s="67" t="str">
        <f aca="false">""</f>
        <v/>
      </c>
      <c r="C339" s="67"/>
      <c r="D339" s="23" t="str">
        <f aca="false">IFERROR(INDEX(分录收入!$E:$E,MATCH($L339,分录收入!$L:$L,0)),"")</f>
        <v>其他应收款</v>
      </c>
      <c r="E339" s="23" t="str">
        <f aca="false">IFERROR(INDEX(分录收入!$F:$F,MATCH($L339,分录收入!$L:$L,0)),"")</f>
        <v>储值卡</v>
      </c>
      <c r="F339" s="68" t="n">
        <f aca="false">IFERROR(INDEX(分录收入!$H:$H,MATCH($L339,分录收入!$L:$L,0)),"")</f>
        <v>19.8</v>
      </c>
      <c r="G339" s="69" t="str">
        <f aca="false">IFERROR(INDEX(分录收入!$I:$I,MATCH($L339,分录收入!$L:$L,0)),"")</f>
        <v/>
      </c>
      <c r="H339" s="23"/>
      <c r="I339" s="70"/>
      <c r="L339" s="71" t="n">
        <f aca="false">IF(助手收入!$R$24="",-1,助手收入!$R$24*100+(助手收入!$S$24-1)*6+4)</f>
        <v>1204</v>
      </c>
    </row>
    <row r="340" customFormat="false" ht="23.25" hidden="false" customHeight="true" outlineLevel="0" collapsed="false">
      <c r="B340" s="67" t="str">
        <f aca="false">""</f>
        <v/>
      </c>
      <c r="C340" s="67"/>
      <c r="D340" s="23" t="str">
        <f aca="false">IFERROR(INDEX(分录收入!$E:$E,MATCH($L340,分录收入!$L:$L,0)),"")</f>
        <v>销售费用</v>
      </c>
      <c r="E340" s="23" t="str">
        <f aca="false">IFERROR(INDEX(分录收入!$F:$F,MATCH($L340,分录收入!$L:$L,0)),"")</f>
        <v>促销费</v>
      </c>
      <c r="F340" s="68" t="n">
        <f aca="false">IFERROR(INDEX(分录收入!$H:$H,MATCH($L340,分录收入!$L:$L,0)),"")</f>
        <v>1398.26</v>
      </c>
      <c r="G340" s="69" t="str">
        <f aca="false">IFERROR(INDEX(分录收入!$I:$I,MATCH($L340,分录收入!$L:$L,0)),"")</f>
        <v/>
      </c>
      <c r="H340" s="23"/>
      <c r="I340" s="70"/>
      <c r="L340" s="71" t="n">
        <f aca="false">IF(助手收入!$R$24="",-1,助手收入!$R$24*100+(助手收入!$S$24-1)*6+5)</f>
        <v>1205</v>
      </c>
    </row>
    <row r="341" customFormat="false" ht="23.25" hidden="false" customHeight="true" outlineLevel="0" collapsed="false">
      <c r="B341" s="67" t="str">
        <f aca="false">""</f>
        <v/>
      </c>
      <c r="C341" s="67"/>
      <c r="D341" s="23" t="str">
        <f aca="false">IFERROR(INDEX(分录收入!$E:$E,MATCH($L341,分录收入!$L:$L,0)),"")</f>
        <v>财务费用</v>
      </c>
      <c r="E341" s="23" t="str">
        <f aca="false">IFERROR(INDEX(分录收入!$F:$F,MATCH($L341,分录收入!$L:$L,0)),"")</f>
        <v>手续费</v>
      </c>
      <c r="F341" s="68" t="n">
        <f aca="false">IFERROR(INDEX(分录收入!$H:$H,MATCH($L341,分录收入!$L:$L,0)),"")</f>
        <v>54.93</v>
      </c>
      <c r="G341" s="69" t="str">
        <f aca="false">IFERROR(INDEX(分录收入!$I:$I,MATCH($L341,分录收入!$L:$L,0)),"")</f>
        <v/>
      </c>
      <c r="H341" s="23"/>
      <c r="I341" s="70"/>
      <c r="L341" s="71" t="n">
        <f aca="false">IF(助手收入!$R$24="",-1,助手收入!$R$24*100+(助手收入!$S$24-1)*6+6)</f>
        <v>1206</v>
      </c>
    </row>
    <row r="342" customFormat="false" ht="23.25" hidden="false" customHeight="true" outlineLevel="0" collapsed="false">
      <c r="B342" s="72" t="str">
        <f aca="false">IF(助手收入!$T$24=1,"合计：","")</f>
        <v/>
      </c>
      <c r="C342" s="73" t="str">
        <f aca="false">IF(助手收入!$T$24=1,$F342,"")</f>
        <v/>
      </c>
      <c r="D342" s="74"/>
      <c r="E342" s="74"/>
      <c r="F342" s="75" t="str">
        <f aca="false">IF(助手收入!$T$24=1,INDEX(助手收入!$N$2:$N$66,助手收入!$R$24),"")</f>
        <v/>
      </c>
      <c r="G342" s="76" t="str">
        <f aca="false">IF(助手收入!$T$24=1,INDEX(助手收入!$O$2:$O$66,助手收入!$R$24),"")</f>
        <v/>
      </c>
      <c r="H342" s="74"/>
      <c r="I342" s="77"/>
    </row>
    <row r="343" customFormat="false" ht="6" hidden="false" customHeight="true" outlineLevel="0" collapsed="false"/>
    <row r="344" customFormat="false" ht="13.5" hidden="false" customHeight="false" outlineLevel="0" collapsed="false">
      <c r="B344" s="78" t="str">
        <f aca="false">IF(助手收入!$R$24&lt;&gt;"","会计主管：","")</f>
        <v>会计主管：</v>
      </c>
      <c r="D344" s="78" t="str">
        <f aca="false">IF(助手收入!$R$24&lt;&gt;"","会计：","")</f>
        <v>会计：</v>
      </c>
      <c r="E344" s="78" t="str">
        <f aca="false">IF(助手收入!$R$24&lt;&gt;"","出纳：","")</f>
        <v>出纳：</v>
      </c>
      <c r="F344" s="78" t="str">
        <f aca="false">IF(助手收入!$R$24&lt;&gt;"","复核：","")</f>
        <v>复核：</v>
      </c>
      <c r="G344" s="78" t="str">
        <f aca="false">IF(助手收入!$R$24&lt;&gt;"","制单：","")</f>
        <v>制单：</v>
      </c>
    </row>
    <row r="345" customFormat="false" ht="3" hidden="false" customHeight="true" outlineLevel="0" collapsed="false"/>
    <row r="346" customFormat="false" ht="19.5" hidden="false" customHeight="true" outlineLevel="0" collapsed="false">
      <c r="B346" s="53" t="str">
        <f aca="false">IF(助手收入!$R$25&lt;&gt;"","记  账  凭  证","")</f>
        <v>记  账  凭  证</v>
      </c>
      <c r="C346" s="53"/>
      <c r="D346" s="53"/>
      <c r="E346" s="53"/>
      <c r="F346" s="53"/>
      <c r="G346" s="53"/>
      <c r="H346" s="53"/>
      <c r="I346" s="53"/>
    </row>
    <row r="347" customFormat="false" ht="3" hidden="false" customHeight="true" outlineLevel="0" collapsed="false"/>
    <row r="348" customFormat="false" ht="15" hidden="false" customHeight="true" outlineLevel="0" collapsed="false">
      <c r="C348" s="56" t="n">
        <f aca="false">IF(助手收入!$R$25&lt;&gt;"",INDEX(助手收入!$B$2:$B$66,助手收入!$R$25),"")</f>
        <v>2012</v>
      </c>
      <c r="D348" s="57" t="n">
        <f aca="false">IF(助手收入!$R$25&lt;&gt;"",参数!$B$2,"")</f>
        <v>46234</v>
      </c>
      <c r="E348" s="57"/>
      <c r="F348" s="58" t="str">
        <f aca="false">IF(助手收入!$R$25&lt;&gt;"",INDEX(助手收入!$C$2:$C$66,助手收入!$R$25)&amp;"  字第 "&amp;IF(参数!$B$9="是",INDEX(助手收入!$P$2:$P$66,助手收入!$R$25),"　　　　")&amp;" 号"&amp;IF(INDEX(助手收入!$L$2:$L$66,助手收入!$R$25)&gt;1,"  (共"&amp;INDEX(助手收入!$L$2:$L$66,助手收入!$R$25)&amp;"页 第"&amp;助手收入!$S$25&amp;"页)",""),"")</f>
        <v>泽畔店  字第 　　　　 号  (共2页 第2页)</v>
      </c>
      <c r="G348" s="58"/>
      <c r="H348" s="58"/>
      <c r="I348" s="58"/>
      <c r="M348" s="59" t="n">
        <f aca="false">IF(助手收入!$R$25="","",助手收入!$Q$25)</f>
        <v>24</v>
      </c>
      <c r="N348" s="60" t="n">
        <f aca="false">IF(助手收入!$R$25="","",INDEX(助手收入!$P$2:$P$66,助手收入!$R$25))</f>
        <v>12</v>
      </c>
      <c r="O348" s="55" t="str">
        <f aca="false">IF(助手收入!$R$25="","",INDEX(助手收入!$C$2:$C$66,助手收入!$R$25)&amp;"  字第 "&amp;INDEX(助手收入!$P$2:$P$66,助手收入!$R$25)&amp;" 号"&amp;IF(INDEX(助手收入!$L$2:$L$66,助手收入!$R$25)&gt;1,"  (共"&amp;INDEX(助手收入!$L$2:$L$66,助手收入!$R$25)&amp;"页 第"&amp;助手收入!$S$25&amp;"页)",""))</f>
        <v>泽畔店  字第 12 号  (共2页 第2页)</v>
      </c>
    </row>
    <row r="349" customFormat="false" ht="12.75" hidden="false" customHeight="true" outlineLevel="0" collapsed="false">
      <c r="B349" s="61" t="str">
        <f aca="false">IF(助手收入!$R$25&lt;&gt;"","摘　　要","")</f>
        <v>摘　　要</v>
      </c>
      <c r="C349" s="61"/>
      <c r="D349" s="62" t="str">
        <f aca="false">IF(助手收入!$R$25&lt;&gt;"","科　　　　目","")</f>
        <v>科　　　　目</v>
      </c>
      <c r="E349" s="62"/>
      <c r="F349" s="61" t="str">
        <f aca="false">IF(助手收入!$R$25&lt;&gt;"","借 方 金 额","")</f>
        <v>借 方 金 额</v>
      </c>
      <c r="G349" s="62" t="str">
        <f aca="false">IF(助手收入!$R$25&lt;&gt;"","贷 方 金 额","")</f>
        <v>贷 方 金 额</v>
      </c>
      <c r="H349" s="63" t="str">
        <f aca="false">IF(助手收入!$R$25&lt;&gt;"","√","")</f>
        <v>√</v>
      </c>
      <c r="I349" s="64" t="str">
        <f aca="false">IF(助手收入!$R$25&lt;&gt;"","附单据  张","")</f>
        <v>附单据  张</v>
      </c>
    </row>
    <row r="350" customFormat="false" ht="12.75" hidden="false" customHeight="true" outlineLevel="0" collapsed="false">
      <c r="B350" s="61"/>
      <c r="C350" s="61"/>
      <c r="D350" s="23" t="str">
        <f aca="false">IF(助手收入!$R$25&lt;&gt;"","总 账 科 目","")</f>
        <v>总 账 科 目</v>
      </c>
      <c r="E350" s="23" t="str">
        <f aca="false">IF(助手收入!$R$25&lt;&gt;"","明 细 科 目","")</f>
        <v>明 细 科 目</v>
      </c>
      <c r="F350" s="65"/>
      <c r="G350" s="66"/>
      <c r="H350" s="63"/>
      <c r="I350" s="64"/>
    </row>
    <row r="351" customFormat="false" ht="23.25" hidden="false" customHeight="true" outlineLevel="0" collapsed="false">
      <c r="B351" s="67" t="str">
        <f aca="false">IFERROR(INDEX(分录收入!$M:$M,MATCH($L351,分录收入!$L:$L,0)),"")</f>
        <v>7月收入</v>
      </c>
      <c r="C351" s="67"/>
      <c r="D351" s="23" t="str">
        <f aca="false">IFERROR(INDEX(分录收入!$E:$E,MATCH($L351,分录收入!$L:$L,0)),"")</f>
        <v>主营业务收入</v>
      </c>
      <c r="E351" s="23" t="str">
        <f aca="false">IFERROR(INDEX(分录收入!$F:$F,MATCH($L351,分录收入!$L:$L,0)),"")</f>
        <v/>
      </c>
      <c r="F351" s="68" t="str">
        <f aca="false">IFERROR(INDEX(分录收入!$H:$H,MATCH($L351,分录收入!$L:$L,0)),"")</f>
        <v/>
      </c>
      <c r="G351" s="69" t="n">
        <f aca="false">IFERROR(INDEX(分录收入!$I:$I,MATCH($L351,分录收入!$L:$L,0)),"")</f>
        <v>50656.25</v>
      </c>
      <c r="H351" s="23"/>
      <c r="I351" s="70"/>
      <c r="L351" s="71" t="n">
        <f aca="false">IF(助手收入!$R$25="",-1,助手收入!$R$25*100+(助手收入!$S$25-1)*6+1)</f>
        <v>1207</v>
      </c>
    </row>
    <row r="352" customFormat="false" ht="23.25" hidden="false" customHeight="true" outlineLevel="0" collapsed="false">
      <c r="B352" s="67" t="str">
        <f aca="false">""</f>
        <v/>
      </c>
      <c r="C352" s="67"/>
      <c r="D352" s="23" t="str">
        <f aca="false">IFERROR(INDEX(分录收入!$E:$E,MATCH($L352,分录收入!$L:$L,0)),"")</f>
        <v/>
      </c>
      <c r="E352" s="23" t="str">
        <f aca="false">IFERROR(INDEX(分录收入!$F:$F,MATCH($L352,分录收入!$L:$L,0)),"")</f>
        <v/>
      </c>
      <c r="F352" s="68" t="str">
        <f aca="false">IFERROR(INDEX(分录收入!$H:$H,MATCH($L352,分录收入!$L:$L,0)),"")</f>
        <v/>
      </c>
      <c r="G352" s="69" t="str">
        <f aca="false">IFERROR(INDEX(分录收入!$I:$I,MATCH($L352,分录收入!$L:$L,0)),"")</f>
        <v/>
      </c>
      <c r="H352" s="23"/>
      <c r="I352" s="70"/>
      <c r="L352" s="71" t="n">
        <f aca="false">IF(助手收入!$R$25="",-1,助手收入!$R$25*100+(助手收入!$S$25-1)*6+2)</f>
        <v>1208</v>
      </c>
    </row>
    <row r="353" customFormat="false" ht="23.25" hidden="false" customHeight="true" outlineLevel="0" collapsed="false">
      <c r="B353" s="67" t="str">
        <f aca="false">""</f>
        <v/>
      </c>
      <c r="C353" s="67"/>
      <c r="D353" s="23" t="str">
        <f aca="false">IFERROR(INDEX(分录收入!$E:$E,MATCH($L353,分录收入!$L:$L,0)),"")</f>
        <v/>
      </c>
      <c r="E353" s="23" t="str">
        <f aca="false">IFERROR(INDEX(分录收入!$F:$F,MATCH($L353,分录收入!$L:$L,0)),"")</f>
        <v/>
      </c>
      <c r="F353" s="68" t="str">
        <f aca="false">IFERROR(INDEX(分录收入!$H:$H,MATCH($L353,分录收入!$L:$L,0)),"")</f>
        <v/>
      </c>
      <c r="G353" s="69" t="str">
        <f aca="false">IFERROR(INDEX(分录收入!$I:$I,MATCH($L353,分录收入!$L:$L,0)),"")</f>
        <v/>
      </c>
      <c r="H353" s="23"/>
      <c r="I353" s="70"/>
      <c r="L353" s="71" t="n">
        <f aca="false">IF(助手收入!$R$25="",-1,助手收入!$R$25*100+(助手收入!$S$25-1)*6+3)</f>
        <v>1209</v>
      </c>
    </row>
    <row r="354" customFormat="false" ht="23.25" hidden="false" customHeight="true" outlineLevel="0" collapsed="false">
      <c r="B354" s="67" t="str">
        <f aca="false">""</f>
        <v/>
      </c>
      <c r="C354" s="67"/>
      <c r="D354" s="23" t="str">
        <f aca="false">IFERROR(INDEX(分录收入!$E:$E,MATCH($L354,分录收入!$L:$L,0)),"")</f>
        <v/>
      </c>
      <c r="E354" s="23" t="str">
        <f aca="false">IFERROR(INDEX(分录收入!$F:$F,MATCH($L354,分录收入!$L:$L,0)),"")</f>
        <v/>
      </c>
      <c r="F354" s="68" t="str">
        <f aca="false">IFERROR(INDEX(分录收入!$H:$H,MATCH($L354,分录收入!$L:$L,0)),"")</f>
        <v/>
      </c>
      <c r="G354" s="69" t="str">
        <f aca="false">IFERROR(INDEX(分录收入!$I:$I,MATCH($L354,分录收入!$L:$L,0)),"")</f>
        <v/>
      </c>
      <c r="H354" s="23"/>
      <c r="I354" s="70"/>
      <c r="L354" s="71" t="n">
        <f aca="false">IF(助手收入!$R$25="",-1,助手收入!$R$25*100+(助手收入!$S$25-1)*6+4)</f>
        <v>1210</v>
      </c>
    </row>
    <row r="355" customFormat="false" ht="23.25" hidden="false" customHeight="true" outlineLevel="0" collapsed="false">
      <c r="B355" s="67" t="str">
        <f aca="false">""</f>
        <v/>
      </c>
      <c r="C355" s="67"/>
      <c r="D355" s="23" t="str">
        <f aca="false">IFERROR(INDEX(分录收入!$E:$E,MATCH($L355,分录收入!$L:$L,0)),"")</f>
        <v/>
      </c>
      <c r="E355" s="23" t="str">
        <f aca="false">IFERROR(INDEX(分录收入!$F:$F,MATCH($L355,分录收入!$L:$L,0)),"")</f>
        <v/>
      </c>
      <c r="F355" s="68" t="str">
        <f aca="false">IFERROR(INDEX(分录收入!$H:$H,MATCH($L355,分录收入!$L:$L,0)),"")</f>
        <v/>
      </c>
      <c r="G355" s="69" t="str">
        <f aca="false">IFERROR(INDEX(分录收入!$I:$I,MATCH($L355,分录收入!$L:$L,0)),"")</f>
        <v/>
      </c>
      <c r="H355" s="23"/>
      <c r="I355" s="70"/>
      <c r="L355" s="71" t="n">
        <f aca="false">IF(助手收入!$R$25="",-1,助手收入!$R$25*100+(助手收入!$S$25-1)*6+5)</f>
        <v>1211</v>
      </c>
    </row>
    <row r="356" customFormat="false" ht="23.25" hidden="false" customHeight="true" outlineLevel="0" collapsed="false">
      <c r="B356" s="67" t="str">
        <f aca="false">""</f>
        <v/>
      </c>
      <c r="C356" s="67"/>
      <c r="D356" s="23" t="str">
        <f aca="false">IFERROR(INDEX(分录收入!$E:$E,MATCH($L356,分录收入!$L:$L,0)),"")</f>
        <v/>
      </c>
      <c r="E356" s="23" t="str">
        <f aca="false">IFERROR(INDEX(分录收入!$F:$F,MATCH($L356,分录收入!$L:$L,0)),"")</f>
        <v/>
      </c>
      <c r="F356" s="68" t="str">
        <f aca="false">IFERROR(INDEX(分录收入!$H:$H,MATCH($L356,分录收入!$L:$L,0)),"")</f>
        <v/>
      </c>
      <c r="G356" s="69" t="str">
        <f aca="false">IFERROR(INDEX(分录收入!$I:$I,MATCH($L356,分录收入!$L:$L,0)),"")</f>
        <v/>
      </c>
      <c r="H356" s="23"/>
      <c r="I356" s="70"/>
      <c r="L356" s="71" t="n">
        <f aca="false">IF(助手收入!$R$25="",-1,助手收入!$R$25*100+(助手收入!$S$25-1)*6+6)</f>
        <v>1212</v>
      </c>
    </row>
    <row r="357" customFormat="false" ht="23.25" hidden="false" customHeight="true" outlineLevel="0" collapsed="false">
      <c r="B357" s="72" t="str">
        <f aca="false">IF(助手收入!$T$25=1,"合计：","")</f>
        <v>合计：</v>
      </c>
      <c r="C357" s="73" t="n">
        <f aca="false">IF(助手收入!$T$25=1,$F357,"")</f>
        <v>50656.25</v>
      </c>
      <c r="D357" s="74"/>
      <c r="E357" s="74"/>
      <c r="F357" s="75" t="n">
        <f aca="false">IF(助手收入!$T$25=1,INDEX(助手收入!$N$2:$N$66,助手收入!$R$25),"")</f>
        <v>50656.25</v>
      </c>
      <c r="G357" s="76" t="n">
        <f aca="false">IF(助手收入!$T$25=1,INDEX(助手收入!$O$2:$O$66,助手收入!$R$25),"")</f>
        <v>50656.25</v>
      </c>
      <c r="H357" s="74"/>
      <c r="I357" s="77"/>
    </row>
    <row r="358" customFormat="false" ht="6" hidden="false" customHeight="true" outlineLevel="0" collapsed="false"/>
    <row r="359" customFormat="false" ht="13.5" hidden="false" customHeight="false" outlineLevel="0" collapsed="false">
      <c r="B359" s="78" t="str">
        <f aca="false">IF(助手收入!$R$25&lt;&gt;"","会计主管：","")</f>
        <v>会计主管：</v>
      </c>
      <c r="D359" s="78" t="str">
        <f aca="false">IF(助手收入!$R$25&lt;&gt;"","会计：","")</f>
        <v>会计：</v>
      </c>
      <c r="E359" s="78" t="str">
        <f aca="false">IF(助手收入!$R$25&lt;&gt;"","出纳：","")</f>
        <v>出纳：</v>
      </c>
      <c r="F359" s="78" t="str">
        <f aca="false">IF(助手收入!$R$25&lt;&gt;"","复核：","")</f>
        <v>复核：</v>
      </c>
      <c r="G359" s="78" t="str">
        <f aca="false">IF(助手收入!$R$25&lt;&gt;"","制单：","")</f>
        <v>制单：</v>
      </c>
    </row>
    <row r="360" customFormat="false" ht="3" hidden="false" customHeight="true" outlineLevel="0" collapsed="false"/>
    <row r="361" customFormat="false" ht="19.5" hidden="false" customHeight="true" outlineLevel="0" collapsed="false">
      <c r="B361" s="53" t="str">
        <f aca="false">IF(助手收入!$R$26&lt;&gt;"","记  账  凭  证","")</f>
        <v>记  账  凭  证</v>
      </c>
      <c r="C361" s="53"/>
      <c r="D361" s="53"/>
      <c r="E361" s="53"/>
      <c r="F361" s="53"/>
      <c r="G361" s="53"/>
      <c r="H361" s="53"/>
      <c r="I361" s="53"/>
    </row>
    <row r="362" customFormat="false" ht="3" hidden="false" customHeight="true" outlineLevel="0" collapsed="false"/>
    <row r="363" customFormat="false" ht="15" hidden="false" customHeight="true" outlineLevel="0" collapsed="false">
      <c r="C363" s="56" t="n">
        <f aca="false">IF(助手收入!$R$26&lt;&gt;"",INDEX(助手收入!$B$2:$B$66,助手收入!$R$26),"")</f>
        <v>2014</v>
      </c>
      <c r="D363" s="57" t="n">
        <f aca="false">IF(助手收入!$R$26&lt;&gt;"",参数!$B$2,"")</f>
        <v>46234</v>
      </c>
      <c r="E363" s="57"/>
      <c r="F363" s="58" t="str">
        <f aca="false">IF(助手收入!$R$26&lt;&gt;"",INDEX(助手收入!$C$2:$C$66,助手收入!$R$26)&amp;"  字第 "&amp;IF(参数!$B$9="是",INDEX(助手收入!$P$2:$P$66,助手收入!$R$26),"　　　　")&amp;" 号"&amp;IF(INDEX(助手收入!$L$2:$L$66,助手收入!$R$26)&gt;1,"  (共"&amp;INDEX(助手收入!$L$2:$L$66,助手收入!$R$26)&amp;"页 第"&amp;助手收入!$S$26&amp;"页)",""),"")</f>
        <v>博桥店  字第 　　　　 号  (共2页 第1页)</v>
      </c>
      <c r="G363" s="58"/>
      <c r="H363" s="58"/>
      <c r="I363" s="58"/>
      <c r="M363" s="59" t="n">
        <f aca="false">IF(助手收入!$R$26="","",助手收入!$Q$26)</f>
        <v>25</v>
      </c>
      <c r="N363" s="60" t="n">
        <f aca="false">IF(助手收入!$R$26="","",INDEX(助手收入!$P$2:$P$66,助手收入!$R$26))</f>
        <v>13</v>
      </c>
      <c r="O363" s="55" t="str">
        <f aca="false">IF(助手收入!$R$26="","",INDEX(助手收入!$C$2:$C$66,助手收入!$R$26)&amp;"  字第 "&amp;INDEX(助手收入!$P$2:$P$66,助手收入!$R$26)&amp;" 号"&amp;IF(INDEX(助手收入!$L$2:$L$66,助手收入!$R$26)&gt;1,"  (共"&amp;INDEX(助手收入!$L$2:$L$66,助手收入!$R$26)&amp;"页 第"&amp;助手收入!$S$26&amp;"页)",""))</f>
        <v>博桥店  字第 13 号  (共2页 第1页)</v>
      </c>
    </row>
    <row r="364" customFormat="false" ht="12.75" hidden="false" customHeight="true" outlineLevel="0" collapsed="false">
      <c r="B364" s="61" t="str">
        <f aca="false">IF(助手收入!$R$26&lt;&gt;"","摘　　要","")</f>
        <v>摘　　要</v>
      </c>
      <c r="C364" s="61"/>
      <c r="D364" s="62" t="str">
        <f aca="false">IF(助手收入!$R$26&lt;&gt;"","科　　　　目","")</f>
        <v>科　　　　目</v>
      </c>
      <c r="E364" s="62"/>
      <c r="F364" s="61" t="str">
        <f aca="false">IF(助手收入!$R$26&lt;&gt;"","借 方 金 额","")</f>
        <v>借 方 金 额</v>
      </c>
      <c r="G364" s="62" t="str">
        <f aca="false">IF(助手收入!$R$26&lt;&gt;"","贷 方 金 额","")</f>
        <v>贷 方 金 额</v>
      </c>
      <c r="H364" s="63" t="str">
        <f aca="false">IF(助手收入!$R$26&lt;&gt;"","√","")</f>
        <v>√</v>
      </c>
      <c r="I364" s="64" t="str">
        <f aca="false">IF(助手收入!$R$26&lt;&gt;"","附单据  张","")</f>
        <v>附单据  张</v>
      </c>
    </row>
    <row r="365" customFormat="false" ht="12.75" hidden="false" customHeight="true" outlineLevel="0" collapsed="false">
      <c r="B365" s="61"/>
      <c r="C365" s="61"/>
      <c r="D365" s="23" t="str">
        <f aca="false">IF(助手收入!$R$26&lt;&gt;"","总 账 科 目","")</f>
        <v>总 账 科 目</v>
      </c>
      <c r="E365" s="23" t="str">
        <f aca="false">IF(助手收入!$R$26&lt;&gt;"","明 细 科 目","")</f>
        <v>明 细 科 目</v>
      </c>
      <c r="F365" s="65"/>
      <c r="G365" s="66"/>
      <c r="H365" s="63"/>
      <c r="I365" s="64"/>
    </row>
    <row r="366" customFormat="false" ht="23.25" hidden="false" customHeight="true" outlineLevel="0" collapsed="false">
      <c r="B366" s="67" t="str">
        <f aca="false">IFERROR(INDEX(分录收入!$M:$M,MATCH($L366,分录收入!$L:$L,0)),"")</f>
        <v>7月收入</v>
      </c>
      <c r="C366" s="67"/>
      <c r="D366" s="23" t="str">
        <f aca="false">IFERROR(INDEX(分录收入!$E:$E,MATCH($L366,分录收入!$L:$L,0)),"")</f>
        <v>库存现金</v>
      </c>
      <c r="E366" s="23" t="str">
        <f aca="false">IFERROR(INDEX(分录收入!$F:$F,MATCH($L366,分录收入!$L:$L,0)),"")</f>
        <v/>
      </c>
      <c r="F366" s="68" t="n">
        <f aca="false">IFERROR(INDEX(分录收入!$H:$H,MATCH($L366,分录收入!$L:$L,0)),"")</f>
        <v>21123.98</v>
      </c>
      <c r="G366" s="69" t="str">
        <f aca="false">IFERROR(INDEX(分录收入!$I:$I,MATCH($L366,分录收入!$L:$L,0)),"")</f>
        <v/>
      </c>
      <c r="H366" s="23"/>
      <c r="I366" s="70"/>
      <c r="L366" s="71" t="n">
        <f aca="false">IF(助手收入!$R$26="",-1,助手收入!$R$26*100+(助手收入!$S$26-1)*6+1)</f>
        <v>1301</v>
      </c>
    </row>
    <row r="367" customFormat="false" ht="23.25" hidden="false" customHeight="true" outlineLevel="0" collapsed="false">
      <c r="B367" s="67" t="str">
        <f aca="false">""</f>
        <v/>
      </c>
      <c r="C367" s="67"/>
      <c r="D367" s="23" t="str">
        <f aca="false">IFERROR(INDEX(分录收入!$E:$E,MATCH($L367,分录收入!$L:$L,0)),"")</f>
        <v>应收账款</v>
      </c>
      <c r="E367" s="23" t="str">
        <f aca="false">IFERROR(INDEX(分录收入!$F:$F,MATCH($L367,分录收入!$L:$L,0)),"")</f>
        <v>聚合支付</v>
      </c>
      <c r="F367" s="68" t="n">
        <f aca="false">IFERROR(INDEX(分录收入!$H:$H,MATCH($L367,分录收入!$L:$L,0)),"")</f>
        <v>37086.38</v>
      </c>
      <c r="G367" s="69" t="str">
        <f aca="false">IFERROR(INDEX(分录收入!$I:$I,MATCH($L367,分录收入!$L:$L,0)),"")</f>
        <v/>
      </c>
      <c r="H367" s="23"/>
      <c r="I367" s="70"/>
      <c r="L367" s="71" t="n">
        <f aca="false">IF(助手收入!$R$26="",-1,助手收入!$R$26*100+(助手收入!$S$26-1)*6+2)</f>
        <v>1302</v>
      </c>
    </row>
    <row r="368" customFormat="false" ht="23.25" hidden="false" customHeight="true" outlineLevel="0" collapsed="false">
      <c r="B368" s="67" t="str">
        <f aca="false">""</f>
        <v/>
      </c>
      <c r="C368" s="67"/>
      <c r="D368" s="23" t="str">
        <f aca="false">IFERROR(INDEX(分录收入!$E:$E,MATCH($L368,分录收入!$L:$L,0)),"")</f>
        <v>应收账款</v>
      </c>
      <c r="E368" s="23" t="str">
        <f aca="false">IFERROR(INDEX(分录收入!$F:$F,MATCH($L368,分录收入!$L:$L,0)),"")</f>
        <v>医保</v>
      </c>
      <c r="F368" s="68" t="n">
        <f aca="false">IFERROR(INDEX(分录收入!$H:$H,MATCH($L368,分录收入!$L:$L,0)),"")</f>
        <v>8906.05</v>
      </c>
      <c r="G368" s="69" t="str">
        <f aca="false">IFERROR(INDEX(分录收入!$I:$I,MATCH($L368,分录收入!$L:$L,0)),"")</f>
        <v/>
      </c>
      <c r="H368" s="23"/>
      <c r="I368" s="70"/>
      <c r="L368" s="71" t="n">
        <f aca="false">IF(助手收入!$R$26="",-1,助手收入!$R$26*100+(助手收入!$S$26-1)*6+3)</f>
        <v>1303</v>
      </c>
    </row>
    <row r="369" customFormat="false" ht="23.25" hidden="false" customHeight="true" outlineLevel="0" collapsed="false">
      <c r="B369" s="67" t="str">
        <f aca="false">""</f>
        <v/>
      </c>
      <c r="C369" s="67"/>
      <c r="D369" s="23" t="str">
        <f aca="false">IFERROR(INDEX(分录收入!$E:$E,MATCH($L369,分录收入!$L:$L,0)),"")</f>
        <v>其他应付款</v>
      </c>
      <c r="E369" s="23" t="str">
        <f aca="false">IFERROR(INDEX(分录收入!$F:$F,MATCH($L369,分录收入!$L:$L,0)),"")</f>
        <v>会员零钱包</v>
      </c>
      <c r="F369" s="68" t="str">
        <f aca="false">IFERROR(INDEX(分录收入!$H:$H,MATCH($L369,分录收入!$L:$L,0)),"")</f>
        <v/>
      </c>
      <c r="G369" s="69" t="n">
        <f aca="false">IFERROR(INDEX(分录收入!$I:$I,MATCH($L369,分录收入!$L:$L,0)),"")</f>
        <v>2.18</v>
      </c>
      <c r="H369" s="23"/>
      <c r="I369" s="70"/>
      <c r="L369" s="71" t="n">
        <f aca="false">IF(助手收入!$R$26="",-1,助手收入!$R$26*100+(助手收入!$S$26-1)*6+4)</f>
        <v>1304</v>
      </c>
    </row>
    <row r="370" customFormat="false" ht="23.25" hidden="false" customHeight="true" outlineLevel="0" collapsed="false">
      <c r="B370" s="67" t="str">
        <f aca="false">""</f>
        <v/>
      </c>
      <c r="C370" s="67"/>
      <c r="D370" s="23" t="str">
        <f aca="false">IFERROR(INDEX(分录收入!$E:$E,MATCH($L370,分录收入!$L:$L,0)),"")</f>
        <v>销售费用</v>
      </c>
      <c r="E370" s="23" t="str">
        <f aca="false">IFERROR(INDEX(分录收入!$F:$F,MATCH($L370,分录收入!$L:$L,0)),"")</f>
        <v>促销费</v>
      </c>
      <c r="F370" s="68" t="n">
        <f aca="false">IFERROR(INDEX(分录收入!$H:$H,MATCH($L370,分录收入!$L:$L,0)),"")</f>
        <v>2214.18</v>
      </c>
      <c r="G370" s="69" t="str">
        <f aca="false">IFERROR(INDEX(分录收入!$I:$I,MATCH($L370,分录收入!$L:$L,0)),"")</f>
        <v/>
      </c>
      <c r="H370" s="23"/>
      <c r="I370" s="70"/>
      <c r="L370" s="71" t="n">
        <f aca="false">IF(助手收入!$R$26="",-1,助手收入!$R$26*100+(助手收入!$S$26-1)*6+5)</f>
        <v>1305</v>
      </c>
    </row>
    <row r="371" customFormat="false" ht="23.25" hidden="false" customHeight="true" outlineLevel="0" collapsed="false">
      <c r="B371" s="67" t="str">
        <f aca="false">""</f>
        <v/>
      </c>
      <c r="C371" s="67"/>
      <c r="D371" s="23" t="str">
        <f aca="false">IFERROR(INDEX(分录收入!$E:$E,MATCH($L371,分录收入!$L:$L,0)),"")</f>
        <v>财务费用</v>
      </c>
      <c r="E371" s="23" t="str">
        <f aca="false">IFERROR(INDEX(分录收入!$F:$F,MATCH($L371,分录收入!$L:$L,0)),"")</f>
        <v>手续费</v>
      </c>
      <c r="F371" s="68" t="n">
        <f aca="false">IFERROR(INDEX(分录收入!$H:$H,MATCH($L371,分录收入!$L:$L,0)),"")</f>
        <v>100.4</v>
      </c>
      <c r="G371" s="69" t="str">
        <f aca="false">IFERROR(INDEX(分录收入!$I:$I,MATCH($L371,分录收入!$L:$L,0)),"")</f>
        <v/>
      </c>
      <c r="H371" s="23"/>
      <c r="I371" s="70"/>
      <c r="L371" s="71" t="n">
        <f aca="false">IF(助手收入!$R$26="",-1,助手收入!$R$26*100+(助手收入!$S$26-1)*6+6)</f>
        <v>1306</v>
      </c>
    </row>
    <row r="372" customFormat="false" ht="23.25" hidden="false" customHeight="true" outlineLevel="0" collapsed="false">
      <c r="B372" s="72" t="str">
        <f aca="false">IF(助手收入!$T$26=1,"合计：","")</f>
        <v/>
      </c>
      <c r="C372" s="73" t="str">
        <f aca="false">IF(助手收入!$T$26=1,$F372,"")</f>
        <v/>
      </c>
      <c r="D372" s="74"/>
      <c r="E372" s="74"/>
      <c r="F372" s="75" t="str">
        <f aca="false">IF(助手收入!$T$26=1,INDEX(助手收入!$N$2:$N$66,助手收入!$R$26),"")</f>
        <v/>
      </c>
      <c r="G372" s="76" t="str">
        <f aca="false">IF(助手收入!$T$26=1,INDEX(助手收入!$O$2:$O$66,助手收入!$R$26),"")</f>
        <v/>
      </c>
      <c r="H372" s="74"/>
      <c r="I372" s="77"/>
    </row>
    <row r="373" customFormat="false" ht="6" hidden="false" customHeight="true" outlineLevel="0" collapsed="false"/>
    <row r="374" customFormat="false" ht="13.5" hidden="false" customHeight="false" outlineLevel="0" collapsed="false">
      <c r="B374" s="78" t="str">
        <f aca="false">IF(助手收入!$R$26&lt;&gt;"","会计主管：","")</f>
        <v>会计主管：</v>
      </c>
      <c r="D374" s="78" t="str">
        <f aca="false">IF(助手收入!$R$26&lt;&gt;"","会计：","")</f>
        <v>会计：</v>
      </c>
      <c r="E374" s="78" t="str">
        <f aca="false">IF(助手收入!$R$26&lt;&gt;"","出纳：","")</f>
        <v>出纳：</v>
      </c>
      <c r="F374" s="78" t="str">
        <f aca="false">IF(助手收入!$R$26&lt;&gt;"","复核：","")</f>
        <v>复核：</v>
      </c>
      <c r="G374" s="78" t="str">
        <f aca="false">IF(助手收入!$R$26&lt;&gt;"","制单：","")</f>
        <v>制单：</v>
      </c>
    </row>
    <row r="375" customFormat="false" ht="3" hidden="false" customHeight="true" outlineLevel="0" collapsed="false"/>
    <row r="376" customFormat="false" ht="19.5" hidden="false" customHeight="true" outlineLevel="0" collapsed="false">
      <c r="B376" s="53" t="str">
        <f aca="false">IF(助手收入!$R$27&lt;&gt;"","记  账  凭  证","")</f>
        <v>记  账  凭  证</v>
      </c>
      <c r="C376" s="53"/>
      <c r="D376" s="53"/>
      <c r="E376" s="53"/>
      <c r="F376" s="53"/>
      <c r="G376" s="53"/>
      <c r="H376" s="53"/>
      <c r="I376" s="53"/>
    </row>
    <row r="377" customFormat="false" ht="3" hidden="false" customHeight="true" outlineLevel="0" collapsed="false"/>
    <row r="378" customFormat="false" ht="15" hidden="false" customHeight="true" outlineLevel="0" collapsed="false">
      <c r="C378" s="56" t="n">
        <f aca="false">IF(助手收入!$R$27&lt;&gt;"",INDEX(助手收入!$B$2:$B$66,助手收入!$R$27),"")</f>
        <v>2014</v>
      </c>
      <c r="D378" s="57" t="n">
        <f aca="false">IF(助手收入!$R$27&lt;&gt;"",参数!$B$2,"")</f>
        <v>46234</v>
      </c>
      <c r="E378" s="57"/>
      <c r="F378" s="58" t="str">
        <f aca="false">IF(助手收入!$R$27&lt;&gt;"",INDEX(助手收入!$C$2:$C$66,助手收入!$R$27)&amp;"  字第 "&amp;IF(参数!$B$9="是",INDEX(助手收入!$P$2:$P$66,助手收入!$R$27),"　　　　")&amp;" 号"&amp;IF(INDEX(助手收入!$L$2:$L$66,助手收入!$R$27)&gt;1,"  (共"&amp;INDEX(助手收入!$L$2:$L$66,助手收入!$R$27)&amp;"页 第"&amp;助手收入!$S$27&amp;"页)",""),"")</f>
        <v>博桥店  字第 　　　　 号  (共2页 第2页)</v>
      </c>
      <c r="G378" s="58"/>
      <c r="H378" s="58"/>
      <c r="I378" s="58"/>
      <c r="M378" s="59" t="n">
        <f aca="false">IF(助手收入!$R$27="","",助手收入!$Q$27)</f>
        <v>26</v>
      </c>
      <c r="N378" s="60" t="n">
        <f aca="false">IF(助手收入!$R$27="","",INDEX(助手收入!$P$2:$P$66,助手收入!$R$27))</f>
        <v>13</v>
      </c>
      <c r="O378" s="55" t="str">
        <f aca="false">IF(助手收入!$R$27="","",INDEX(助手收入!$C$2:$C$66,助手收入!$R$27)&amp;"  字第 "&amp;INDEX(助手收入!$P$2:$P$66,助手收入!$R$27)&amp;" 号"&amp;IF(INDEX(助手收入!$L$2:$L$66,助手收入!$R$27)&gt;1,"  (共"&amp;INDEX(助手收入!$L$2:$L$66,助手收入!$R$27)&amp;"页 第"&amp;助手收入!$S$27&amp;"页)",""))</f>
        <v>博桥店  字第 13 号  (共2页 第2页)</v>
      </c>
    </row>
    <row r="379" customFormat="false" ht="12.75" hidden="false" customHeight="true" outlineLevel="0" collapsed="false">
      <c r="B379" s="61" t="str">
        <f aca="false">IF(助手收入!$R$27&lt;&gt;"","摘　　要","")</f>
        <v>摘　　要</v>
      </c>
      <c r="C379" s="61"/>
      <c r="D379" s="62" t="str">
        <f aca="false">IF(助手收入!$R$27&lt;&gt;"","科　　　　目","")</f>
        <v>科　　　　目</v>
      </c>
      <c r="E379" s="62"/>
      <c r="F379" s="61" t="str">
        <f aca="false">IF(助手收入!$R$27&lt;&gt;"","借 方 金 额","")</f>
        <v>借 方 金 额</v>
      </c>
      <c r="G379" s="62" t="str">
        <f aca="false">IF(助手收入!$R$27&lt;&gt;"","贷 方 金 额","")</f>
        <v>贷 方 金 额</v>
      </c>
      <c r="H379" s="63" t="str">
        <f aca="false">IF(助手收入!$R$27&lt;&gt;"","√","")</f>
        <v>√</v>
      </c>
      <c r="I379" s="64" t="str">
        <f aca="false">IF(助手收入!$R$27&lt;&gt;"","附单据  张","")</f>
        <v>附单据  张</v>
      </c>
    </row>
    <row r="380" customFormat="false" ht="12.75" hidden="false" customHeight="true" outlineLevel="0" collapsed="false">
      <c r="B380" s="61"/>
      <c r="C380" s="61"/>
      <c r="D380" s="23" t="str">
        <f aca="false">IF(助手收入!$R$27&lt;&gt;"","总 账 科 目","")</f>
        <v>总 账 科 目</v>
      </c>
      <c r="E380" s="23" t="str">
        <f aca="false">IF(助手收入!$R$27&lt;&gt;"","明 细 科 目","")</f>
        <v>明 细 科 目</v>
      </c>
      <c r="F380" s="65"/>
      <c r="G380" s="66"/>
      <c r="H380" s="63"/>
      <c r="I380" s="64"/>
    </row>
    <row r="381" customFormat="false" ht="23.25" hidden="false" customHeight="true" outlineLevel="0" collapsed="false">
      <c r="B381" s="67" t="str">
        <f aca="false">IFERROR(INDEX(分录收入!$M:$M,MATCH($L381,分录收入!$L:$L,0)),"")</f>
        <v>7月收入</v>
      </c>
      <c r="C381" s="67"/>
      <c r="D381" s="23" t="str">
        <f aca="false">IFERROR(INDEX(分录收入!$E:$E,MATCH($L381,分录收入!$L:$L,0)),"")</f>
        <v>主营业务收入</v>
      </c>
      <c r="E381" s="23" t="str">
        <f aca="false">IFERROR(INDEX(分录收入!$F:$F,MATCH($L381,分录收入!$L:$L,0)),"")</f>
        <v/>
      </c>
      <c r="F381" s="68" t="str">
        <f aca="false">IFERROR(INDEX(分录收入!$H:$H,MATCH($L381,分录收入!$L:$L,0)),"")</f>
        <v/>
      </c>
      <c r="G381" s="69" t="n">
        <f aca="false">IFERROR(INDEX(分录收入!$I:$I,MATCH($L381,分录收入!$L:$L,0)),"")</f>
        <v>69428.81</v>
      </c>
      <c r="H381" s="23"/>
      <c r="I381" s="70"/>
      <c r="L381" s="71" t="n">
        <f aca="false">IF(助手收入!$R$27="",-1,助手收入!$R$27*100+(助手收入!$S$27-1)*6+1)</f>
        <v>1307</v>
      </c>
    </row>
    <row r="382" customFormat="false" ht="23.25" hidden="false" customHeight="true" outlineLevel="0" collapsed="false">
      <c r="B382" s="67" t="str">
        <f aca="false">""</f>
        <v/>
      </c>
      <c r="C382" s="67"/>
      <c r="D382" s="23" t="str">
        <f aca="false">IFERROR(INDEX(分录收入!$E:$E,MATCH($L382,分录收入!$L:$L,0)),"")</f>
        <v/>
      </c>
      <c r="E382" s="23" t="str">
        <f aca="false">IFERROR(INDEX(分录收入!$F:$F,MATCH($L382,分录收入!$L:$L,0)),"")</f>
        <v/>
      </c>
      <c r="F382" s="68" t="str">
        <f aca="false">IFERROR(INDEX(分录收入!$H:$H,MATCH($L382,分录收入!$L:$L,0)),"")</f>
        <v/>
      </c>
      <c r="G382" s="69" t="str">
        <f aca="false">IFERROR(INDEX(分录收入!$I:$I,MATCH($L382,分录收入!$L:$L,0)),"")</f>
        <v/>
      </c>
      <c r="H382" s="23"/>
      <c r="I382" s="70"/>
      <c r="L382" s="71" t="n">
        <f aca="false">IF(助手收入!$R$27="",-1,助手收入!$R$27*100+(助手收入!$S$27-1)*6+2)</f>
        <v>1308</v>
      </c>
    </row>
    <row r="383" customFormat="false" ht="23.25" hidden="false" customHeight="true" outlineLevel="0" collapsed="false">
      <c r="B383" s="67" t="str">
        <f aca="false">""</f>
        <v/>
      </c>
      <c r="C383" s="67"/>
      <c r="D383" s="23" t="str">
        <f aca="false">IFERROR(INDEX(分录收入!$E:$E,MATCH($L383,分录收入!$L:$L,0)),"")</f>
        <v/>
      </c>
      <c r="E383" s="23" t="str">
        <f aca="false">IFERROR(INDEX(分录收入!$F:$F,MATCH($L383,分录收入!$L:$L,0)),"")</f>
        <v/>
      </c>
      <c r="F383" s="68" t="str">
        <f aca="false">IFERROR(INDEX(分录收入!$H:$H,MATCH($L383,分录收入!$L:$L,0)),"")</f>
        <v/>
      </c>
      <c r="G383" s="69" t="str">
        <f aca="false">IFERROR(INDEX(分录收入!$I:$I,MATCH($L383,分录收入!$L:$L,0)),"")</f>
        <v/>
      </c>
      <c r="H383" s="23"/>
      <c r="I383" s="70"/>
      <c r="L383" s="71" t="n">
        <f aca="false">IF(助手收入!$R$27="",-1,助手收入!$R$27*100+(助手收入!$S$27-1)*6+3)</f>
        <v>1309</v>
      </c>
    </row>
    <row r="384" customFormat="false" ht="23.25" hidden="false" customHeight="true" outlineLevel="0" collapsed="false">
      <c r="B384" s="67" t="str">
        <f aca="false">""</f>
        <v/>
      </c>
      <c r="C384" s="67"/>
      <c r="D384" s="23" t="str">
        <f aca="false">IFERROR(INDEX(分录收入!$E:$E,MATCH($L384,分录收入!$L:$L,0)),"")</f>
        <v/>
      </c>
      <c r="E384" s="23" t="str">
        <f aca="false">IFERROR(INDEX(分录收入!$F:$F,MATCH($L384,分录收入!$L:$L,0)),"")</f>
        <v/>
      </c>
      <c r="F384" s="68" t="str">
        <f aca="false">IFERROR(INDEX(分录收入!$H:$H,MATCH($L384,分录收入!$L:$L,0)),"")</f>
        <v/>
      </c>
      <c r="G384" s="69" t="str">
        <f aca="false">IFERROR(INDEX(分录收入!$I:$I,MATCH($L384,分录收入!$L:$L,0)),"")</f>
        <v/>
      </c>
      <c r="H384" s="23"/>
      <c r="I384" s="70"/>
      <c r="L384" s="71" t="n">
        <f aca="false">IF(助手收入!$R$27="",-1,助手收入!$R$27*100+(助手收入!$S$27-1)*6+4)</f>
        <v>1310</v>
      </c>
    </row>
    <row r="385" customFormat="false" ht="23.25" hidden="false" customHeight="true" outlineLevel="0" collapsed="false">
      <c r="B385" s="67" t="str">
        <f aca="false">""</f>
        <v/>
      </c>
      <c r="C385" s="67"/>
      <c r="D385" s="23" t="str">
        <f aca="false">IFERROR(INDEX(分录收入!$E:$E,MATCH($L385,分录收入!$L:$L,0)),"")</f>
        <v/>
      </c>
      <c r="E385" s="23" t="str">
        <f aca="false">IFERROR(INDEX(分录收入!$F:$F,MATCH($L385,分录收入!$L:$L,0)),"")</f>
        <v/>
      </c>
      <c r="F385" s="68" t="str">
        <f aca="false">IFERROR(INDEX(分录收入!$H:$H,MATCH($L385,分录收入!$L:$L,0)),"")</f>
        <v/>
      </c>
      <c r="G385" s="69" t="str">
        <f aca="false">IFERROR(INDEX(分录收入!$I:$I,MATCH($L385,分录收入!$L:$L,0)),"")</f>
        <v/>
      </c>
      <c r="H385" s="23"/>
      <c r="I385" s="70"/>
      <c r="L385" s="71" t="n">
        <f aca="false">IF(助手收入!$R$27="",-1,助手收入!$R$27*100+(助手收入!$S$27-1)*6+5)</f>
        <v>1311</v>
      </c>
    </row>
    <row r="386" customFormat="false" ht="23.25" hidden="false" customHeight="true" outlineLevel="0" collapsed="false">
      <c r="B386" s="67" t="str">
        <f aca="false">""</f>
        <v/>
      </c>
      <c r="C386" s="67"/>
      <c r="D386" s="23" t="str">
        <f aca="false">IFERROR(INDEX(分录收入!$E:$E,MATCH($L386,分录收入!$L:$L,0)),"")</f>
        <v/>
      </c>
      <c r="E386" s="23" t="str">
        <f aca="false">IFERROR(INDEX(分录收入!$F:$F,MATCH($L386,分录收入!$L:$L,0)),"")</f>
        <v/>
      </c>
      <c r="F386" s="68" t="str">
        <f aca="false">IFERROR(INDEX(分录收入!$H:$H,MATCH($L386,分录收入!$L:$L,0)),"")</f>
        <v/>
      </c>
      <c r="G386" s="69" t="str">
        <f aca="false">IFERROR(INDEX(分录收入!$I:$I,MATCH($L386,分录收入!$L:$L,0)),"")</f>
        <v/>
      </c>
      <c r="H386" s="23"/>
      <c r="I386" s="70"/>
      <c r="L386" s="71" t="n">
        <f aca="false">IF(助手收入!$R$27="",-1,助手收入!$R$27*100+(助手收入!$S$27-1)*6+6)</f>
        <v>1312</v>
      </c>
    </row>
    <row r="387" customFormat="false" ht="23.25" hidden="false" customHeight="true" outlineLevel="0" collapsed="false">
      <c r="B387" s="72" t="str">
        <f aca="false">IF(助手收入!$T$27=1,"合计：","")</f>
        <v>合计：</v>
      </c>
      <c r="C387" s="73" t="n">
        <f aca="false">IF(助手收入!$T$27=1,$F387,"")</f>
        <v>69430.99</v>
      </c>
      <c r="D387" s="74"/>
      <c r="E387" s="74"/>
      <c r="F387" s="75" t="n">
        <f aca="false">IF(助手收入!$T$27=1,INDEX(助手收入!$N$2:$N$66,助手收入!$R$27),"")</f>
        <v>69430.99</v>
      </c>
      <c r="G387" s="76" t="n">
        <f aca="false">IF(助手收入!$T$27=1,INDEX(助手收入!$O$2:$O$66,助手收入!$R$27),"")</f>
        <v>69430.99</v>
      </c>
      <c r="H387" s="74"/>
      <c r="I387" s="77"/>
    </row>
    <row r="388" customFormat="false" ht="6" hidden="false" customHeight="true" outlineLevel="0" collapsed="false"/>
    <row r="389" customFormat="false" ht="13.5" hidden="false" customHeight="false" outlineLevel="0" collapsed="false">
      <c r="B389" s="78" t="str">
        <f aca="false">IF(助手收入!$R$27&lt;&gt;"","会计主管：","")</f>
        <v>会计主管：</v>
      </c>
      <c r="D389" s="78" t="str">
        <f aca="false">IF(助手收入!$R$27&lt;&gt;"","会计：","")</f>
        <v>会计：</v>
      </c>
      <c r="E389" s="78" t="str">
        <f aca="false">IF(助手收入!$R$27&lt;&gt;"","出纳：","")</f>
        <v>出纳：</v>
      </c>
      <c r="F389" s="78" t="str">
        <f aca="false">IF(助手收入!$R$27&lt;&gt;"","复核：","")</f>
        <v>复核：</v>
      </c>
      <c r="G389" s="78" t="str">
        <f aca="false">IF(助手收入!$R$27&lt;&gt;"","制单：","")</f>
        <v>制单：</v>
      </c>
    </row>
    <row r="390" customFormat="false" ht="3" hidden="false" customHeight="true" outlineLevel="0" collapsed="false"/>
    <row r="391" customFormat="false" ht="19.5" hidden="false" customHeight="true" outlineLevel="0" collapsed="false">
      <c r="B391" s="53" t="str">
        <f aca="false">IF(助手收入!$R$28&lt;&gt;"","记  账  凭  证","")</f>
        <v>记  账  凭  证</v>
      </c>
      <c r="C391" s="53"/>
      <c r="D391" s="53"/>
      <c r="E391" s="53"/>
      <c r="F391" s="53"/>
      <c r="G391" s="53"/>
      <c r="H391" s="53"/>
      <c r="I391" s="53"/>
    </row>
    <row r="392" customFormat="false" ht="3" hidden="false" customHeight="true" outlineLevel="0" collapsed="false"/>
    <row r="393" customFormat="false" ht="15" hidden="false" customHeight="true" outlineLevel="0" collapsed="false">
      <c r="C393" s="56" t="n">
        <f aca="false">IF(助手收入!$R$28&lt;&gt;"",INDEX(助手收入!$B$2:$B$66,助手收入!$R$28),"")</f>
        <v>2015</v>
      </c>
      <c r="D393" s="57" t="n">
        <f aca="false">IF(助手收入!$R$28&lt;&gt;"",参数!$B$2,"")</f>
        <v>46234</v>
      </c>
      <c r="E393" s="57"/>
      <c r="F393" s="58" t="str">
        <f aca="false">IF(助手收入!$R$28&lt;&gt;"",INDEX(助手收入!$C$2:$C$66,助手收入!$R$28)&amp;"  字第 "&amp;IF(参数!$B$9="是",INDEX(助手收入!$P$2:$P$66,助手收入!$R$28),"　　　　")&amp;" 号"&amp;IF(INDEX(助手收入!$L$2:$L$66,助手收入!$R$28)&gt;1,"  (共"&amp;INDEX(助手收入!$L$2:$L$66,助手收入!$R$28)&amp;"页 第"&amp;助手收入!$S$28&amp;"页)",""),"")</f>
        <v>齐村店  字第 　　　　 号</v>
      </c>
      <c r="G393" s="58"/>
      <c r="H393" s="58"/>
      <c r="I393" s="58"/>
      <c r="M393" s="59" t="n">
        <f aca="false">IF(助手收入!$R$28="","",助手收入!$Q$28)</f>
        <v>27</v>
      </c>
      <c r="N393" s="60" t="n">
        <f aca="false">IF(助手收入!$R$28="","",INDEX(助手收入!$P$2:$P$66,助手收入!$R$28))</f>
        <v>14</v>
      </c>
      <c r="O393" s="55" t="str">
        <f aca="false">IF(助手收入!$R$28="","",INDEX(助手收入!$C$2:$C$66,助手收入!$R$28)&amp;"  字第 "&amp;INDEX(助手收入!$P$2:$P$66,助手收入!$R$28)&amp;" 号"&amp;IF(INDEX(助手收入!$L$2:$L$66,助手收入!$R$28)&gt;1,"  (共"&amp;INDEX(助手收入!$L$2:$L$66,助手收入!$R$28)&amp;"页 第"&amp;助手收入!$S$28&amp;"页)",""))</f>
        <v>齐村店  字第 14 号</v>
      </c>
    </row>
    <row r="394" customFormat="false" ht="12.75" hidden="false" customHeight="true" outlineLevel="0" collapsed="false">
      <c r="B394" s="61" t="str">
        <f aca="false">IF(助手收入!$R$28&lt;&gt;"","摘　　要","")</f>
        <v>摘　　要</v>
      </c>
      <c r="C394" s="61"/>
      <c r="D394" s="62" t="str">
        <f aca="false">IF(助手收入!$R$28&lt;&gt;"","科　　　　目","")</f>
        <v>科　　　　目</v>
      </c>
      <c r="E394" s="62"/>
      <c r="F394" s="61" t="str">
        <f aca="false">IF(助手收入!$R$28&lt;&gt;"","借 方 金 额","")</f>
        <v>借 方 金 额</v>
      </c>
      <c r="G394" s="62" t="str">
        <f aca="false">IF(助手收入!$R$28&lt;&gt;"","贷 方 金 额","")</f>
        <v>贷 方 金 额</v>
      </c>
      <c r="H394" s="63" t="str">
        <f aca="false">IF(助手收入!$R$28&lt;&gt;"","√","")</f>
        <v>√</v>
      </c>
      <c r="I394" s="64" t="str">
        <f aca="false">IF(助手收入!$R$28&lt;&gt;"","附单据  张","")</f>
        <v>附单据  张</v>
      </c>
    </row>
    <row r="395" customFormat="false" ht="12.75" hidden="false" customHeight="true" outlineLevel="0" collapsed="false">
      <c r="B395" s="61"/>
      <c r="C395" s="61"/>
      <c r="D395" s="23" t="str">
        <f aca="false">IF(助手收入!$R$28&lt;&gt;"","总 账 科 目","")</f>
        <v>总 账 科 目</v>
      </c>
      <c r="E395" s="23" t="str">
        <f aca="false">IF(助手收入!$R$28&lt;&gt;"","明 细 科 目","")</f>
        <v>明 细 科 目</v>
      </c>
      <c r="F395" s="65"/>
      <c r="G395" s="66"/>
      <c r="H395" s="63"/>
      <c r="I395" s="64"/>
    </row>
    <row r="396" customFormat="false" ht="23.25" hidden="false" customHeight="true" outlineLevel="0" collapsed="false">
      <c r="B396" s="67" t="str">
        <f aca="false">IFERROR(INDEX(分录收入!$M:$M,MATCH($L396,分录收入!$L:$L,0)),"")</f>
        <v>7月收入</v>
      </c>
      <c r="C396" s="67"/>
      <c r="D396" s="23" t="str">
        <f aca="false">IFERROR(INDEX(分录收入!$E:$E,MATCH($L396,分录收入!$L:$L,0)),"")</f>
        <v>库存现金</v>
      </c>
      <c r="E396" s="23" t="str">
        <f aca="false">IFERROR(INDEX(分录收入!$F:$F,MATCH($L396,分录收入!$L:$L,0)),"")</f>
        <v/>
      </c>
      <c r="F396" s="68" t="n">
        <f aca="false">IFERROR(INDEX(分录收入!$H:$H,MATCH($L396,分录收入!$L:$L,0)),"")</f>
        <v>28193.19</v>
      </c>
      <c r="G396" s="69" t="str">
        <f aca="false">IFERROR(INDEX(分录收入!$I:$I,MATCH($L396,分录收入!$L:$L,0)),"")</f>
        <v/>
      </c>
      <c r="H396" s="23"/>
      <c r="I396" s="70"/>
      <c r="L396" s="71" t="n">
        <f aca="false">IF(助手收入!$R$28="",-1,助手收入!$R$28*100+(助手收入!$S$28-1)*6+1)</f>
        <v>1401</v>
      </c>
    </row>
    <row r="397" customFormat="false" ht="23.25" hidden="false" customHeight="true" outlineLevel="0" collapsed="false">
      <c r="B397" s="67" t="str">
        <f aca="false">""</f>
        <v/>
      </c>
      <c r="C397" s="67"/>
      <c r="D397" s="23" t="str">
        <f aca="false">IFERROR(INDEX(分录收入!$E:$E,MATCH($L397,分录收入!$L:$L,0)),"")</f>
        <v>主营业务收入</v>
      </c>
      <c r="E397" s="23" t="str">
        <f aca="false">IFERROR(INDEX(分录收入!$F:$F,MATCH($L397,分录收入!$L:$L,0)),"")</f>
        <v/>
      </c>
      <c r="F397" s="68" t="str">
        <f aca="false">IFERROR(INDEX(分录收入!$H:$H,MATCH($L397,分录收入!$L:$L,0)),"")</f>
        <v/>
      </c>
      <c r="G397" s="69" t="n">
        <f aca="false">IFERROR(INDEX(分录收入!$I:$I,MATCH($L397,分录收入!$L:$L,0)),"")</f>
        <v>28193.19</v>
      </c>
      <c r="H397" s="23"/>
      <c r="I397" s="70"/>
      <c r="L397" s="71" t="n">
        <f aca="false">IF(助手收入!$R$28="",-1,助手收入!$R$28*100+(助手收入!$S$28-1)*6+2)</f>
        <v>1402</v>
      </c>
    </row>
    <row r="398" customFormat="false" ht="23.25" hidden="false" customHeight="true" outlineLevel="0" collapsed="false">
      <c r="B398" s="67" t="str">
        <f aca="false">""</f>
        <v/>
      </c>
      <c r="C398" s="67"/>
      <c r="D398" s="23" t="str">
        <f aca="false">IFERROR(INDEX(分录收入!$E:$E,MATCH($L398,分录收入!$L:$L,0)),"")</f>
        <v/>
      </c>
      <c r="E398" s="23" t="str">
        <f aca="false">IFERROR(INDEX(分录收入!$F:$F,MATCH($L398,分录收入!$L:$L,0)),"")</f>
        <v/>
      </c>
      <c r="F398" s="68" t="str">
        <f aca="false">IFERROR(INDEX(分录收入!$H:$H,MATCH($L398,分录收入!$L:$L,0)),"")</f>
        <v/>
      </c>
      <c r="G398" s="69" t="str">
        <f aca="false">IFERROR(INDEX(分录收入!$I:$I,MATCH($L398,分录收入!$L:$L,0)),"")</f>
        <v/>
      </c>
      <c r="H398" s="23"/>
      <c r="I398" s="70"/>
      <c r="L398" s="71" t="n">
        <f aca="false">IF(助手收入!$R$28="",-1,助手收入!$R$28*100+(助手收入!$S$28-1)*6+3)</f>
        <v>1403</v>
      </c>
    </row>
    <row r="399" customFormat="false" ht="23.25" hidden="false" customHeight="true" outlineLevel="0" collapsed="false">
      <c r="B399" s="67" t="str">
        <f aca="false">""</f>
        <v/>
      </c>
      <c r="C399" s="67"/>
      <c r="D399" s="23" t="str">
        <f aca="false">IFERROR(INDEX(分录收入!$E:$E,MATCH($L399,分录收入!$L:$L,0)),"")</f>
        <v/>
      </c>
      <c r="E399" s="23" t="str">
        <f aca="false">IFERROR(INDEX(分录收入!$F:$F,MATCH($L399,分录收入!$L:$L,0)),"")</f>
        <v/>
      </c>
      <c r="F399" s="68" t="str">
        <f aca="false">IFERROR(INDEX(分录收入!$H:$H,MATCH($L399,分录收入!$L:$L,0)),"")</f>
        <v/>
      </c>
      <c r="G399" s="69" t="str">
        <f aca="false">IFERROR(INDEX(分录收入!$I:$I,MATCH($L399,分录收入!$L:$L,0)),"")</f>
        <v/>
      </c>
      <c r="H399" s="23"/>
      <c r="I399" s="70"/>
      <c r="L399" s="71" t="n">
        <f aca="false">IF(助手收入!$R$28="",-1,助手收入!$R$28*100+(助手收入!$S$28-1)*6+4)</f>
        <v>1404</v>
      </c>
    </row>
    <row r="400" customFormat="false" ht="23.25" hidden="false" customHeight="true" outlineLevel="0" collapsed="false">
      <c r="B400" s="67" t="str">
        <f aca="false">""</f>
        <v/>
      </c>
      <c r="C400" s="67"/>
      <c r="D400" s="23" t="str">
        <f aca="false">IFERROR(INDEX(分录收入!$E:$E,MATCH($L400,分录收入!$L:$L,0)),"")</f>
        <v/>
      </c>
      <c r="E400" s="23" t="str">
        <f aca="false">IFERROR(INDEX(分录收入!$F:$F,MATCH($L400,分录收入!$L:$L,0)),"")</f>
        <v/>
      </c>
      <c r="F400" s="68" t="str">
        <f aca="false">IFERROR(INDEX(分录收入!$H:$H,MATCH($L400,分录收入!$L:$L,0)),"")</f>
        <v/>
      </c>
      <c r="G400" s="69" t="str">
        <f aca="false">IFERROR(INDEX(分录收入!$I:$I,MATCH($L400,分录收入!$L:$L,0)),"")</f>
        <v/>
      </c>
      <c r="H400" s="23"/>
      <c r="I400" s="70"/>
      <c r="L400" s="71" t="n">
        <f aca="false">IF(助手收入!$R$28="",-1,助手收入!$R$28*100+(助手收入!$S$28-1)*6+5)</f>
        <v>1405</v>
      </c>
    </row>
    <row r="401" customFormat="false" ht="23.25" hidden="false" customHeight="true" outlineLevel="0" collapsed="false">
      <c r="B401" s="67" t="str">
        <f aca="false">""</f>
        <v/>
      </c>
      <c r="C401" s="67"/>
      <c r="D401" s="23" t="str">
        <f aca="false">IFERROR(INDEX(分录收入!$E:$E,MATCH($L401,分录收入!$L:$L,0)),"")</f>
        <v/>
      </c>
      <c r="E401" s="23" t="str">
        <f aca="false">IFERROR(INDEX(分录收入!$F:$F,MATCH($L401,分录收入!$L:$L,0)),"")</f>
        <v/>
      </c>
      <c r="F401" s="68" t="str">
        <f aca="false">IFERROR(INDEX(分录收入!$H:$H,MATCH($L401,分录收入!$L:$L,0)),"")</f>
        <v/>
      </c>
      <c r="G401" s="69" t="str">
        <f aca="false">IFERROR(INDEX(分录收入!$I:$I,MATCH($L401,分录收入!$L:$L,0)),"")</f>
        <v/>
      </c>
      <c r="H401" s="23"/>
      <c r="I401" s="70"/>
      <c r="L401" s="71" t="n">
        <f aca="false">IF(助手收入!$R$28="",-1,助手收入!$R$28*100+(助手收入!$S$28-1)*6+6)</f>
        <v>1406</v>
      </c>
    </row>
    <row r="402" customFormat="false" ht="23.25" hidden="false" customHeight="true" outlineLevel="0" collapsed="false">
      <c r="B402" s="72" t="str">
        <f aca="false">IF(助手收入!$T$28=1,"合计：","")</f>
        <v>合计：</v>
      </c>
      <c r="C402" s="73" t="n">
        <f aca="false">IF(助手收入!$T$28=1,$F402,"")</f>
        <v>28193.19</v>
      </c>
      <c r="D402" s="74"/>
      <c r="E402" s="74"/>
      <c r="F402" s="75" t="n">
        <f aca="false">IF(助手收入!$T$28=1,INDEX(助手收入!$N$2:$N$66,助手收入!$R$28),"")</f>
        <v>28193.19</v>
      </c>
      <c r="G402" s="76" t="n">
        <f aca="false">IF(助手收入!$T$28=1,INDEX(助手收入!$O$2:$O$66,助手收入!$R$28),"")</f>
        <v>28193.19</v>
      </c>
      <c r="H402" s="74"/>
      <c r="I402" s="77"/>
    </row>
    <row r="403" customFormat="false" ht="6" hidden="false" customHeight="true" outlineLevel="0" collapsed="false"/>
    <row r="404" customFormat="false" ht="13.5" hidden="false" customHeight="false" outlineLevel="0" collapsed="false">
      <c r="B404" s="78" t="str">
        <f aca="false">IF(助手收入!$R$28&lt;&gt;"","会计主管：","")</f>
        <v>会计主管：</v>
      </c>
      <c r="D404" s="78" t="str">
        <f aca="false">IF(助手收入!$R$28&lt;&gt;"","会计：","")</f>
        <v>会计：</v>
      </c>
      <c r="E404" s="78" t="str">
        <f aca="false">IF(助手收入!$R$28&lt;&gt;"","出纳：","")</f>
        <v>出纳：</v>
      </c>
      <c r="F404" s="78" t="str">
        <f aca="false">IF(助手收入!$R$28&lt;&gt;"","复核：","")</f>
        <v>复核：</v>
      </c>
      <c r="G404" s="78" t="str">
        <f aca="false">IF(助手收入!$R$28&lt;&gt;"","制单：","")</f>
        <v>制单：</v>
      </c>
    </row>
    <row r="405" customFormat="false" ht="3" hidden="false" customHeight="true" outlineLevel="0" collapsed="false"/>
    <row r="406" customFormat="false" ht="19.5" hidden="false" customHeight="true" outlineLevel="0" collapsed="false">
      <c r="B406" s="53" t="str">
        <f aca="false">IF(助手收入!$R$29&lt;&gt;"","记  账  凭  证","")</f>
        <v>记  账  凭  证</v>
      </c>
      <c r="C406" s="53"/>
      <c r="D406" s="53"/>
      <c r="E406" s="53"/>
      <c r="F406" s="53"/>
      <c r="G406" s="53"/>
      <c r="H406" s="53"/>
      <c r="I406" s="53"/>
    </row>
    <row r="407" customFormat="false" ht="3" hidden="false" customHeight="true" outlineLevel="0" collapsed="false"/>
    <row r="408" customFormat="false" ht="15" hidden="false" customHeight="true" outlineLevel="0" collapsed="false">
      <c r="C408" s="56" t="n">
        <f aca="false">IF(助手收入!$R$29&lt;&gt;"",INDEX(助手收入!$B$2:$B$66,助手收入!$R$29),"")</f>
        <v>2017</v>
      </c>
      <c r="D408" s="57" t="n">
        <f aca="false">IF(助手收入!$R$29&lt;&gt;"",参数!$B$2,"")</f>
        <v>46234</v>
      </c>
      <c r="E408" s="57"/>
      <c r="F408" s="58" t="str">
        <f aca="false">IF(助手收入!$R$29&lt;&gt;"",INDEX(助手收入!$C$2:$C$66,助手收入!$R$29)&amp;"  字第 "&amp;IF(参数!$B$9="是",INDEX(助手收入!$P$2:$P$66,助手收入!$R$29),"　　　　")&amp;" 号"&amp;IF(INDEX(助手收入!$L$2:$L$66,助手收入!$R$29)&gt;1,"  (共"&amp;INDEX(助手收入!$L$2:$L$66,助手收入!$R$29)&amp;"页 第"&amp;助手收入!$S$29&amp;"页)",""),"")</f>
        <v>博天店  字第 　　　　 号</v>
      </c>
      <c r="G408" s="58"/>
      <c r="H408" s="58"/>
      <c r="I408" s="58"/>
      <c r="M408" s="59" t="n">
        <f aca="false">IF(助手收入!$R$29="","",助手收入!$Q$29)</f>
        <v>28</v>
      </c>
      <c r="N408" s="60" t="n">
        <f aca="false">IF(助手收入!$R$29="","",INDEX(助手收入!$P$2:$P$66,助手收入!$R$29))</f>
        <v>15</v>
      </c>
      <c r="O408" s="55" t="str">
        <f aca="false">IF(助手收入!$R$29="","",INDEX(助手收入!$C$2:$C$66,助手收入!$R$29)&amp;"  字第 "&amp;INDEX(助手收入!$P$2:$P$66,助手收入!$R$29)&amp;" 号"&amp;IF(INDEX(助手收入!$L$2:$L$66,助手收入!$R$29)&gt;1,"  (共"&amp;INDEX(助手收入!$L$2:$L$66,助手收入!$R$29)&amp;"页 第"&amp;助手收入!$S$29&amp;"页)",""))</f>
        <v>博天店  字第 15 号</v>
      </c>
    </row>
    <row r="409" customFormat="false" ht="12.75" hidden="false" customHeight="true" outlineLevel="0" collapsed="false">
      <c r="B409" s="61" t="str">
        <f aca="false">IF(助手收入!$R$29&lt;&gt;"","摘　　要","")</f>
        <v>摘　　要</v>
      </c>
      <c r="C409" s="61"/>
      <c r="D409" s="62" t="str">
        <f aca="false">IF(助手收入!$R$29&lt;&gt;"","科　　　　目","")</f>
        <v>科　　　　目</v>
      </c>
      <c r="E409" s="62"/>
      <c r="F409" s="61" t="str">
        <f aca="false">IF(助手收入!$R$29&lt;&gt;"","借 方 金 额","")</f>
        <v>借 方 金 额</v>
      </c>
      <c r="G409" s="62" t="str">
        <f aca="false">IF(助手收入!$R$29&lt;&gt;"","贷 方 金 额","")</f>
        <v>贷 方 金 额</v>
      </c>
      <c r="H409" s="63" t="str">
        <f aca="false">IF(助手收入!$R$29&lt;&gt;"","√","")</f>
        <v>√</v>
      </c>
      <c r="I409" s="64" t="str">
        <f aca="false">IF(助手收入!$R$29&lt;&gt;"","附单据  张","")</f>
        <v>附单据  张</v>
      </c>
    </row>
    <row r="410" customFormat="false" ht="12.75" hidden="false" customHeight="true" outlineLevel="0" collapsed="false">
      <c r="B410" s="61"/>
      <c r="C410" s="61"/>
      <c r="D410" s="23" t="str">
        <f aca="false">IF(助手收入!$R$29&lt;&gt;"","总 账 科 目","")</f>
        <v>总 账 科 目</v>
      </c>
      <c r="E410" s="23" t="str">
        <f aca="false">IF(助手收入!$R$29&lt;&gt;"","明 细 科 目","")</f>
        <v>明 细 科 目</v>
      </c>
      <c r="F410" s="65"/>
      <c r="G410" s="66"/>
      <c r="H410" s="63"/>
      <c r="I410" s="64"/>
    </row>
    <row r="411" customFormat="false" ht="23.25" hidden="false" customHeight="true" outlineLevel="0" collapsed="false">
      <c r="B411" s="67" t="str">
        <f aca="false">IFERROR(INDEX(分录收入!$M:$M,MATCH($L411,分录收入!$L:$L,0)),"")</f>
        <v>7月收入</v>
      </c>
      <c r="C411" s="67"/>
      <c r="D411" s="23" t="str">
        <f aca="false">IFERROR(INDEX(分录收入!$E:$E,MATCH($L411,分录收入!$L:$L,0)),"")</f>
        <v>库存现金</v>
      </c>
      <c r="E411" s="23" t="str">
        <f aca="false">IFERROR(INDEX(分录收入!$F:$F,MATCH($L411,分录收入!$L:$L,0)),"")</f>
        <v/>
      </c>
      <c r="F411" s="68" t="n">
        <f aca="false">IFERROR(INDEX(分录收入!$H:$H,MATCH($L411,分录收入!$L:$L,0)),"")</f>
        <v>2922.7</v>
      </c>
      <c r="G411" s="69" t="str">
        <f aca="false">IFERROR(INDEX(分录收入!$I:$I,MATCH($L411,分录收入!$L:$L,0)),"")</f>
        <v/>
      </c>
      <c r="H411" s="23"/>
      <c r="I411" s="70"/>
      <c r="L411" s="71" t="n">
        <f aca="false">IF(助手收入!$R$29="",-1,助手收入!$R$29*100+(助手收入!$S$29-1)*6+1)</f>
        <v>1501</v>
      </c>
    </row>
    <row r="412" customFormat="false" ht="23.25" hidden="false" customHeight="true" outlineLevel="0" collapsed="false">
      <c r="B412" s="67" t="str">
        <f aca="false">""</f>
        <v/>
      </c>
      <c r="C412" s="67"/>
      <c r="D412" s="23" t="str">
        <f aca="false">IFERROR(INDEX(分录收入!$E:$E,MATCH($L412,分录收入!$L:$L,0)),"")</f>
        <v>应收账款</v>
      </c>
      <c r="E412" s="23" t="str">
        <f aca="false">IFERROR(INDEX(分录收入!$F:$F,MATCH($L412,分录收入!$L:$L,0)),"")</f>
        <v>聚合支付</v>
      </c>
      <c r="F412" s="68" t="n">
        <f aca="false">IFERROR(INDEX(分录收入!$H:$H,MATCH($L412,分录收入!$L:$L,0)),"")</f>
        <v>5251.37</v>
      </c>
      <c r="G412" s="69" t="str">
        <f aca="false">IFERROR(INDEX(分录收入!$I:$I,MATCH($L412,分录收入!$L:$L,0)),"")</f>
        <v/>
      </c>
      <c r="H412" s="23"/>
      <c r="I412" s="70"/>
      <c r="L412" s="71" t="n">
        <f aca="false">IF(助手收入!$R$29="",-1,助手收入!$R$29*100+(助手收入!$S$29-1)*6+2)</f>
        <v>1502</v>
      </c>
    </row>
    <row r="413" customFormat="false" ht="23.25" hidden="false" customHeight="true" outlineLevel="0" collapsed="false">
      <c r="B413" s="67" t="str">
        <f aca="false">""</f>
        <v/>
      </c>
      <c r="C413" s="67"/>
      <c r="D413" s="23" t="str">
        <f aca="false">IFERROR(INDEX(分录收入!$E:$E,MATCH($L413,分录收入!$L:$L,0)),"")</f>
        <v>应收账款</v>
      </c>
      <c r="E413" s="23" t="str">
        <f aca="false">IFERROR(INDEX(分录收入!$F:$F,MATCH($L413,分录收入!$L:$L,0)),"")</f>
        <v>医保</v>
      </c>
      <c r="F413" s="68" t="n">
        <f aca="false">IFERROR(INDEX(分录收入!$H:$H,MATCH($L413,分录收入!$L:$L,0)),"")</f>
        <v>968.02</v>
      </c>
      <c r="G413" s="69" t="str">
        <f aca="false">IFERROR(INDEX(分录收入!$I:$I,MATCH($L413,分录收入!$L:$L,0)),"")</f>
        <v/>
      </c>
      <c r="H413" s="23"/>
      <c r="I413" s="70"/>
      <c r="L413" s="71" t="n">
        <f aca="false">IF(助手收入!$R$29="",-1,助手收入!$R$29*100+(助手收入!$S$29-1)*6+3)</f>
        <v>1503</v>
      </c>
    </row>
    <row r="414" customFormat="false" ht="23.25" hidden="false" customHeight="true" outlineLevel="0" collapsed="false">
      <c r="B414" s="67" t="str">
        <f aca="false">""</f>
        <v/>
      </c>
      <c r="C414" s="67"/>
      <c r="D414" s="23" t="str">
        <f aca="false">IFERROR(INDEX(分录收入!$E:$E,MATCH($L414,分录收入!$L:$L,0)),"")</f>
        <v>销售费用</v>
      </c>
      <c r="E414" s="23" t="str">
        <f aca="false">IFERROR(INDEX(分录收入!$F:$F,MATCH($L414,分录收入!$L:$L,0)),"")</f>
        <v>促销费</v>
      </c>
      <c r="F414" s="68" t="n">
        <f aca="false">IFERROR(INDEX(分录收入!$H:$H,MATCH($L414,分录收入!$L:$L,0)),"")</f>
        <v>839.52</v>
      </c>
      <c r="G414" s="69" t="str">
        <f aca="false">IFERROR(INDEX(分录收入!$I:$I,MATCH($L414,分录收入!$L:$L,0)),"")</f>
        <v/>
      </c>
      <c r="H414" s="23"/>
      <c r="I414" s="70"/>
      <c r="L414" s="71" t="n">
        <f aca="false">IF(助手收入!$R$29="",-1,助手收入!$R$29*100+(助手收入!$S$29-1)*6+4)</f>
        <v>1504</v>
      </c>
    </row>
    <row r="415" customFormat="false" ht="23.25" hidden="false" customHeight="true" outlineLevel="0" collapsed="false">
      <c r="B415" s="67" t="str">
        <f aca="false">""</f>
        <v/>
      </c>
      <c r="C415" s="67"/>
      <c r="D415" s="23" t="str">
        <f aca="false">IFERROR(INDEX(分录收入!$E:$E,MATCH($L415,分录收入!$L:$L,0)),"")</f>
        <v>财务费用</v>
      </c>
      <c r="E415" s="23" t="str">
        <f aca="false">IFERROR(INDEX(分录收入!$F:$F,MATCH($L415,分录收入!$L:$L,0)),"")</f>
        <v>手续费</v>
      </c>
      <c r="F415" s="68" t="n">
        <f aca="false">IFERROR(INDEX(分录收入!$H:$H,MATCH($L415,分录收入!$L:$L,0)),"")</f>
        <v>14.22</v>
      </c>
      <c r="G415" s="69" t="str">
        <f aca="false">IFERROR(INDEX(分录收入!$I:$I,MATCH($L415,分录收入!$L:$L,0)),"")</f>
        <v/>
      </c>
      <c r="H415" s="23"/>
      <c r="I415" s="70"/>
      <c r="L415" s="71" t="n">
        <f aca="false">IF(助手收入!$R$29="",-1,助手收入!$R$29*100+(助手收入!$S$29-1)*6+5)</f>
        <v>1505</v>
      </c>
    </row>
    <row r="416" customFormat="false" ht="23.25" hidden="false" customHeight="true" outlineLevel="0" collapsed="false">
      <c r="B416" s="67" t="str">
        <f aca="false">""</f>
        <v/>
      </c>
      <c r="C416" s="67"/>
      <c r="D416" s="23" t="str">
        <f aca="false">IFERROR(INDEX(分录收入!$E:$E,MATCH($L416,分录收入!$L:$L,0)),"")</f>
        <v>主营业务收入</v>
      </c>
      <c r="E416" s="23" t="str">
        <f aca="false">IFERROR(INDEX(分录收入!$F:$F,MATCH($L416,分录收入!$L:$L,0)),"")</f>
        <v/>
      </c>
      <c r="F416" s="68" t="str">
        <f aca="false">IFERROR(INDEX(分录收入!$H:$H,MATCH($L416,分录收入!$L:$L,0)),"")</f>
        <v/>
      </c>
      <c r="G416" s="69" t="n">
        <f aca="false">IFERROR(INDEX(分录收入!$I:$I,MATCH($L416,分录收入!$L:$L,0)),"")</f>
        <v>9995.83</v>
      </c>
      <c r="H416" s="23"/>
      <c r="I416" s="70"/>
      <c r="L416" s="71" t="n">
        <f aca="false">IF(助手收入!$R$29="",-1,助手收入!$R$29*100+(助手收入!$S$29-1)*6+6)</f>
        <v>1506</v>
      </c>
    </row>
    <row r="417" customFormat="false" ht="23.25" hidden="false" customHeight="true" outlineLevel="0" collapsed="false">
      <c r="B417" s="72" t="str">
        <f aca="false">IF(助手收入!$T$29=1,"合计：","")</f>
        <v>合计：</v>
      </c>
      <c r="C417" s="73" t="n">
        <f aca="false">IF(助手收入!$T$29=1,$F417,"")</f>
        <v>9995.83</v>
      </c>
      <c r="D417" s="74"/>
      <c r="E417" s="74"/>
      <c r="F417" s="75" t="n">
        <f aca="false">IF(助手收入!$T$29=1,INDEX(助手收入!$N$2:$N$66,助手收入!$R$29),"")</f>
        <v>9995.83</v>
      </c>
      <c r="G417" s="76" t="n">
        <f aca="false">IF(助手收入!$T$29=1,INDEX(助手收入!$O$2:$O$66,助手收入!$R$29),"")</f>
        <v>9995.83</v>
      </c>
      <c r="H417" s="74"/>
      <c r="I417" s="77"/>
    </row>
    <row r="418" customFormat="false" ht="6" hidden="false" customHeight="true" outlineLevel="0" collapsed="false"/>
    <row r="419" customFormat="false" ht="13.5" hidden="false" customHeight="false" outlineLevel="0" collapsed="false">
      <c r="B419" s="78" t="str">
        <f aca="false">IF(助手收入!$R$29&lt;&gt;"","会计主管：","")</f>
        <v>会计主管：</v>
      </c>
      <c r="D419" s="78" t="str">
        <f aca="false">IF(助手收入!$R$29&lt;&gt;"","会计：","")</f>
        <v>会计：</v>
      </c>
      <c r="E419" s="78" t="str">
        <f aca="false">IF(助手收入!$R$29&lt;&gt;"","出纳：","")</f>
        <v>出纳：</v>
      </c>
      <c r="F419" s="78" t="str">
        <f aca="false">IF(助手收入!$R$29&lt;&gt;"","复核：","")</f>
        <v>复核：</v>
      </c>
      <c r="G419" s="78" t="str">
        <f aca="false">IF(助手收入!$R$29&lt;&gt;"","制单：","")</f>
        <v>制单：</v>
      </c>
    </row>
    <row r="420" customFormat="false" ht="3" hidden="false" customHeight="true" outlineLevel="0" collapsed="false"/>
    <row r="421" customFormat="false" ht="19.5" hidden="false" customHeight="true" outlineLevel="0" collapsed="false">
      <c r="B421" s="53" t="str">
        <f aca="false">IF(助手收入!$R$30&lt;&gt;"","记  账  凭  证","")</f>
        <v>记  账  凭  证</v>
      </c>
      <c r="C421" s="53"/>
      <c r="D421" s="53"/>
      <c r="E421" s="53"/>
      <c r="F421" s="53"/>
      <c r="G421" s="53"/>
      <c r="H421" s="53"/>
      <c r="I421" s="53"/>
    </row>
    <row r="422" customFormat="false" ht="3" hidden="false" customHeight="true" outlineLevel="0" collapsed="false"/>
    <row r="423" customFormat="false" ht="15" hidden="false" customHeight="true" outlineLevel="0" collapsed="false">
      <c r="C423" s="56" t="n">
        <f aca="false">IF(助手收入!$R$30&lt;&gt;"",INDEX(助手收入!$B$2:$B$66,助手收入!$R$30),"")</f>
        <v>2018</v>
      </c>
      <c r="D423" s="57" t="n">
        <f aca="false">IF(助手收入!$R$30&lt;&gt;"",参数!$B$2,"")</f>
        <v>46234</v>
      </c>
      <c r="E423" s="57"/>
      <c r="F423" s="58" t="str">
        <f aca="false">IF(助手收入!$R$30&lt;&gt;"",INDEX(助手收入!$C$2:$C$66,助手收入!$R$30)&amp;"  字第 "&amp;IF(参数!$B$9="是",INDEX(助手收入!$P$2:$P$66,助手收入!$R$30),"　　　　")&amp;" 号"&amp;IF(INDEX(助手收入!$L$2:$L$66,助手收入!$R$30)&gt;1,"  (共"&amp;INDEX(助手收入!$L$2:$L$66,助手收入!$R$30)&amp;"页 第"&amp;助手收入!$S$30&amp;"页)",""),"")</f>
        <v>魏家庄店  字第 　　　　 号</v>
      </c>
      <c r="G423" s="58"/>
      <c r="H423" s="58"/>
      <c r="I423" s="58"/>
      <c r="M423" s="59" t="n">
        <f aca="false">IF(助手收入!$R$30="","",助手收入!$Q$30)</f>
        <v>29</v>
      </c>
      <c r="N423" s="60" t="n">
        <f aca="false">IF(助手收入!$R$30="","",INDEX(助手收入!$P$2:$P$66,助手收入!$R$30))</f>
        <v>16</v>
      </c>
      <c r="O423" s="55" t="str">
        <f aca="false">IF(助手收入!$R$30="","",INDEX(助手收入!$C$2:$C$66,助手收入!$R$30)&amp;"  字第 "&amp;INDEX(助手收入!$P$2:$P$66,助手收入!$R$30)&amp;" 号"&amp;IF(INDEX(助手收入!$L$2:$L$66,助手收入!$R$30)&gt;1,"  (共"&amp;INDEX(助手收入!$L$2:$L$66,助手收入!$R$30)&amp;"页 第"&amp;助手收入!$S$30&amp;"页)",""))</f>
        <v>魏家庄店  字第 16 号</v>
      </c>
    </row>
    <row r="424" customFormat="false" ht="12.75" hidden="false" customHeight="true" outlineLevel="0" collapsed="false">
      <c r="B424" s="61" t="str">
        <f aca="false">IF(助手收入!$R$30&lt;&gt;"","摘　　要","")</f>
        <v>摘　　要</v>
      </c>
      <c r="C424" s="61"/>
      <c r="D424" s="62" t="str">
        <f aca="false">IF(助手收入!$R$30&lt;&gt;"","科　　　　目","")</f>
        <v>科　　　　目</v>
      </c>
      <c r="E424" s="62"/>
      <c r="F424" s="61" t="str">
        <f aca="false">IF(助手收入!$R$30&lt;&gt;"","借 方 金 额","")</f>
        <v>借 方 金 额</v>
      </c>
      <c r="G424" s="62" t="str">
        <f aca="false">IF(助手收入!$R$30&lt;&gt;"","贷 方 金 额","")</f>
        <v>贷 方 金 额</v>
      </c>
      <c r="H424" s="63" t="str">
        <f aca="false">IF(助手收入!$R$30&lt;&gt;"","√","")</f>
        <v>√</v>
      </c>
      <c r="I424" s="64" t="str">
        <f aca="false">IF(助手收入!$R$30&lt;&gt;"","附单据  张","")</f>
        <v>附单据  张</v>
      </c>
    </row>
    <row r="425" customFormat="false" ht="12.75" hidden="false" customHeight="true" outlineLevel="0" collapsed="false">
      <c r="B425" s="61"/>
      <c r="C425" s="61"/>
      <c r="D425" s="23" t="str">
        <f aca="false">IF(助手收入!$R$30&lt;&gt;"","总 账 科 目","")</f>
        <v>总 账 科 目</v>
      </c>
      <c r="E425" s="23" t="str">
        <f aca="false">IF(助手收入!$R$30&lt;&gt;"","明 细 科 目","")</f>
        <v>明 细 科 目</v>
      </c>
      <c r="F425" s="65"/>
      <c r="G425" s="66"/>
      <c r="H425" s="63"/>
      <c r="I425" s="64"/>
    </row>
    <row r="426" customFormat="false" ht="23.25" hidden="false" customHeight="true" outlineLevel="0" collapsed="false">
      <c r="B426" s="67" t="str">
        <f aca="false">IFERROR(INDEX(分录收入!$M:$M,MATCH($L426,分录收入!$L:$L,0)),"")</f>
        <v>7月收入</v>
      </c>
      <c r="C426" s="67"/>
      <c r="D426" s="23" t="str">
        <f aca="false">IFERROR(INDEX(分录收入!$E:$E,MATCH($L426,分录收入!$L:$L,0)),"")</f>
        <v>库存现金</v>
      </c>
      <c r="E426" s="23" t="str">
        <f aca="false">IFERROR(INDEX(分录收入!$F:$F,MATCH($L426,分录收入!$L:$L,0)),"")</f>
        <v/>
      </c>
      <c r="F426" s="68" t="n">
        <f aca="false">IFERROR(INDEX(分录收入!$H:$H,MATCH($L426,分录收入!$L:$L,0)),"")</f>
        <v>10466.07</v>
      </c>
      <c r="G426" s="69" t="str">
        <f aca="false">IFERROR(INDEX(分录收入!$I:$I,MATCH($L426,分录收入!$L:$L,0)),"")</f>
        <v/>
      </c>
      <c r="H426" s="23"/>
      <c r="I426" s="70"/>
      <c r="L426" s="71" t="n">
        <f aca="false">IF(助手收入!$R$30="",-1,助手收入!$R$30*100+(助手收入!$S$30-1)*6+1)</f>
        <v>1601</v>
      </c>
    </row>
    <row r="427" customFormat="false" ht="23.25" hidden="false" customHeight="true" outlineLevel="0" collapsed="false">
      <c r="B427" s="67" t="str">
        <f aca="false">""</f>
        <v/>
      </c>
      <c r="C427" s="67"/>
      <c r="D427" s="23" t="str">
        <f aca="false">IFERROR(INDEX(分录收入!$E:$E,MATCH($L427,分录收入!$L:$L,0)),"")</f>
        <v>应收账款</v>
      </c>
      <c r="E427" s="23" t="str">
        <f aca="false">IFERROR(INDEX(分录收入!$F:$F,MATCH($L427,分录收入!$L:$L,0)),"")</f>
        <v>聚合支付</v>
      </c>
      <c r="F427" s="68" t="n">
        <f aca="false">IFERROR(INDEX(分录收入!$H:$H,MATCH($L427,分录收入!$L:$L,0)),"")</f>
        <v>23770.04</v>
      </c>
      <c r="G427" s="69" t="str">
        <f aca="false">IFERROR(INDEX(分录收入!$I:$I,MATCH($L427,分录收入!$L:$L,0)),"")</f>
        <v/>
      </c>
      <c r="H427" s="23"/>
      <c r="I427" s="70"/>
      <c r="L427" s="71" t="n">
        <f aca="false">IF(助手收入!$R$30="",-1,助手收入!$R$30*100+(助手收入!$S$30-1)*6+2)</f>
        <v>1602</v>
      </c>
    </row>
    <row r="428" customFormat="false" ht="23.25" hidden="false" customHeight="true" outlineLevel="0" collapsed="false">
      <c r="B428" s="67" t="str">
        <f aca="false">""</f>
        <v/>
      </c>
      <c r="C428" s="67"/>
      <c r="D428" s="23" t="str">
        <f aca="false">IFERROR(INDEX(分录收入!$E:$E,MATCH($L428,分录收入!$L:$L,0)),"")</f>
        <v>应收账款</v>
      </c>
      <c r="E428" s="23" t="str">
        <f aca="false">IFERROR(INDEX(分录收入!$F:$F,MATCH($L428,分录收入!$L:$L,0)),"")</f>
        <v>医保</v>
      </c>
      <c r="F428" s="68" t="n">
        <f aca="false">IFERROR(INDEX(分录收入!$H:$H,MATCH($L428,分录收入!$L:$L,0)),"")</f>
        <v>3799.09</v>
      </c>
      <c r="G428" s="69" t="str">
        <f aca="false">IFERROR(INDEX(分录收入!$I:$I,MATCH($L428,分录收入!$L:$L,0)),"")</f>
        <v/>
      </c>
      <c r="H428" s="23"/>
      <c r="I428" s="70"/>
      <c r="L428" s="71" t="n">
        <f aca="false">IF(助手收入!$R$30="",-1,助手收入!$R$30*100+(助手收入!$S$30-1)*6+3)</f>
        <v>1603</v>
      </c>
    </row>
    <row r="429" customFormat="false" ht="23.25" hidden="false" customHeight="true" outlineLevel="0" collapsed="false">
      <c r="B429" s="67" t="str">
        <f aca="false">""</f>
        <v/>
      </c>
      <c r="C429" s="67"/>
      <c r="D429" s="23" t="str">
        <f aca="false">IFERROR(INDEX(分录收入!$E:$E,MATCH($L429,分录收入!$L:$L,0)),"")</f>
        <v>销售费用</v>
      </c>
      <c r="E429" s="23" t="str">
        <f aca="false">IFERROR(INDEX(分录收入!$F:$F,MATCH($L429,分录收入!$L:$L,0)),"")</f>
        <v>促销费</v>
      </c>
      <c r="F429" s="68" t="n">
        <f aca="false">IFERROR(INDEX(分录收入!$H:$H,MATCH($L429,分录收入!$L:$L,0)),"")</f>
        <v>290.36</v>
      </c>
      <c r="G429" s="69" t="str">
        <f aca="false">IFERROR(INDEX(分录收入!$I:$I,MATCH($L429,分录收入!$L:$L,0)),"")</f>
        <v/>
      </c>
      <c r="H429" s="23"/>
      <c r="I429" s="70"/>
      <c r="L429" s="71" t="n">
        <f aca="false">IF(助手收入!$R$30="",-1,助手收入!$R$30*100+(助手收入!$S$30-1)*6+4)</f>
        <v>1604</v>
      </c>
    </row>
    <row r="430" customFormat="false" ht="23.25" hidden="false" customHeight="true" outlineLevel="0" collapsed="false">
      <c r="B430" s="67" t="str">
        <f aca="false">""</f>
        <v/>
      </c>
      <c r="C430" s="67"/>
      <c r="D430" s="23" t="str">
        <f aca="false">IFERROR(INDEX(分录收入!$E:$E,MATCH($L430,分录收入!$L:$L,0)),"")</f>
        <v>财务费用</v>
      </c>
      <c r="E430" s="23" t="str">
        <f aca="false">IFERROR(INDEX(分录收入!$F:$F,MATCH($L430,分录收入!$L:$L,0)),"")</f>
        <v>手续费</v>
      </c>
      <c r="F430" s="68" t="n">
        <f aca="false">IFERROR(INDEX(分录收入!$H:$H,MATCH($L430,分录收入!$L:$L,0)),"")</f>
        <v>64.35</v>
      </c>
      <c r="G430" s="69" t="str">
        <f aca="false">IFERROR(INDEX(分录收入!$I:$I,MATCH($L430,分录收入!$L:$L,0)),"")</f>
        <v/>
      </c>
      <c r="H430" s="23"/>
      <c r="I430" s="70"/>
      <c r="L430" s="71" t="n">
        <f aca="false">IF(助手收入!$R$30="",-1,助手收入!$R$30*100+(助手收入!$S$30-1)*6+5)</f>
        <v>1605</v>
      </c>
    </row>
    <row r="431" customFormat="false" ht="23.25" hidden="false" customHeight="true" outlineLevel="0" collapsed="false">
      <c r="B431" s="67" t="str">
        <f aca="false">""</f>
        <v/>
      </c>
      <c r="C431" s="67"/>
      <c r="D431" s="23" t="str">
        <f aca="false">IFERROR(INDEX(分录收入!$E:$E,MATCH($L431,分录收入!$L:$L,0)),"")</f>
        <v>主营业务收入</v>
      </c>
      <c r="E431" s="23" t="str">
        <f aca="false">IFERROR(INDEX(分录收入!$F:$F,MATCH($L431,分录收入!$L:$L,0)),"")</f>
        <v/>
      </c>
      <c r="F431" s="68" t="str">
        <f aca="false">IFERROR(INDEX(分录收入!$H:$H,MATCH($L431,分录收入!$L:$L,0)),"")</f>
        <v/>
      </c>
      <c r="G431" s="69" t="n">
        <f aca="false">IFERROR(INDEX(分录收入!$I:$I,MATCH($L431,分录收入!$L:$L,0)),"")</f>
        <v>38389.91</v>
      </c>
      <c r="H431" s="23"/>
      <c r="I431" s="70"/>
      <c r="L431" s="71" t="n">
        <f aca="false">IF(助手收入!$R$30="",-1,助手收入!$R$30*100+(助手收入!$S$30-1)*6+6)</f>
        <v>1606</v>
      </c>
    </row>
    <row r="432" customFormat="false" ht="23.25" hidden="false" customHeight="true" outlineLevel="0" collapsed="false">
      <c r="B432" s="72" t="str">
        <f aca="false">IF(助手收入!$T$30=1,"合计：","")</f>
        <v>合计：</v>
      </c>
      <c r="C432" s="73" t="n">
        <f aca="false">IF(助手收入!$T$30=1,$F432,"")</f>
        <v>38389.91</v>
      </c>
      <c r="D432" s="74"/>
      <c r="E432" s="74"/>
      <c r="F432" s="75" t="n">
        <f aca="false">IF(助手收入!$T$30=1,INDEX(助手收入!$N$2:$N$66,助手收入!$R$30),"")</f>
        <v>38389.91</v>
      </c>
      <c r="G432" s="76" t="n">
        <f aca="false">IF(助手收入!$T$30=1,INDEX(助手收入!$O$2:$O$66,助手收入!$R$30),"")</f>
        <v>38389.91</v>
      </c>
      <c r="H432" s="74"/>
      <c r="I432" s="77"/>
    </row>
    <row r="433" customFormat="false" ht="6" hidden="false" customHeight="true" outlineLevel="0" collapsed="false"/>
    <row r="434" customFormat="false" ht="13.5" hidden="false" customHeight="false" outlineLevel="0" collapsed="false">
      <c r="B434" s="78" t="str">
        <f aca="false">IF(助手收入!$R$30&lt;&gt;"","会计主管：","")</f>
        <v>会计主管：</v>
      </c>
      <c r="D434" s="78" t="str">
        <f aca="false">IF(助手收入!$R$30&lt;&gt;"","会计：","")</f>
        <v>会计：</v>
      </c>
      <c r="E434" s="78" t="str">
        <f aca="false">IF(助手收入!$R$30&lt;&gt;"","出纳：","")</f>
        <v>出纳：</v>
      </c>
      <c r="F434" s="78" t="str">
        <f aca="false">IF(助手收入!$R$30&lt;&gt;"","复核：","")</f>
        <v>复核：</v>
      </c>
      <c r="G434" s="78" t="str">
        <f aca="false">IF(助手收入!$R$30&lt;&gt;"","制单：","")</f>
        <v>制单：</v>
      </c>
    </row>
    <row r="435" customFormat="false" ht="3" hidden="false" customHeight="true" outlineLevel="0" collapsed="false"/>
    <row r="436" customFormat="false" ht="19.5" hidden="false" customHeight="true" outlineLevel="0" collapsed="false">
      <c r="B436" s="53" t="str">
        <f aca="false">IF(助手收入!$R$31&lt;&gt;"","记  账  凭  证","")</f>
        <v>记  账  凭  证</v>
      </c>
      <c r="C436" s="53"/>
      <c r="D436" s="53"/>
      <c r="E436" s="53"/>
      <c r="F436" s="53"/>
      <c r="G436" s="53"/>
      <c r="H436" s="53"/>
      <c r="I436" s="53"/>
    </row>
    <row r="437" customFormat="false" ht="3" hidden="false" customHeight="true" outlineLevel="0" collapsed="false"/>
    <row r="438" customFormat="false" ht="15" hidden="false" customHeight="true" outlineLevel="0" collapsed="false">
      <c r="C438" s="56" t="n">
        <f aca="false">IF(助手收入!$R$31&lt;&gt;"",INDEX(助手收入!$B$2:$B$66,助手收入!$R$31),"")</f>
        <v>2022</v>
      </c>
      <c r="D438" s="57" t="n">
        <f aca="false">IF(助手收入!$R$31&lt;&gt;"",参数!$B$2,"")</f>
        <v>46234</v>
      </c>
      <c r="E438" s="57"/>
      <c r="F438" s="58" t="str">
        <f aca="false">IF(助手收入!$R$31&lt;&gt;"",INDEX(助手收入!$C$2:$C$66,助手收入!$R$31)&amp;"  字第 "&amp;IF(参数!$B$9="是",INDEX(助手收入!$P$2:$P$66,助手收入!$R$31),"　　　　")&amp;" 号"&amp;IF(INDEX(助手收入!$L$2:$L$66,助手收入!$R$31)&gt;1,"  (共"&amp;INDEX(助手收入!$L$2:$L$66,助手收入!$R$31)&amp;"页 第"&amp;助手收入!$S$31&amp;"页)",""),"")</f>
        <v>北楼店  字第 　　　　 号  (共2页 第1页)</v>
      </c>
      <c r="G438" s="58"/>
      <c r="H438" s="58"/>
      <c r="I438" s="58"/>
      <c r="M438" s="59" t="n">
        <f aca="false">IF(助手收入!$R$31="","",助手收入!$Q$31)</f>
        <v>30</v>
      </c>
      <c r="N438" s="60" t="n">
        <f aca="false">IF(助手收入!$R$31="","",INDEX(助手收入!$P$2:$P$66,助手收入!$R$31))</f>
        <v>17</v>
      </c>
      <c r="O438" s="55" t="str">
        <f aca="false">IF(助手收入!$R$31="","",INDEX(助手收入!$C$2:$C$66,助手收入!$R$31)&amp;"  字第 "&amp;INDEX(助手收入!$P$2:$P$66,助手收入!$R$31)&amp;" 号"&amp;IF(INDEX(助手收入!$L$2:$L$66,助手收入!$R$31)&gt;1,"  (共"&amp;INDEX(助手收入!$L$2:$L$66,助手收入!$R$31)&amp;"页 第"&amp;助手收入!$S$31&amp;"页)",""))</f>
        <v>北楼店  字第 17 号  (共2页 第1页)</v>
      </c>
    </row>
    <row r="439" customFormat="false" ht="12.75" hidden="false" customHeight="true" outlineLevel="0" collapsed="false">
      <c r="B439" s="61" t="str">
        <f aca="false">IF(助手收入!$R$31&lt;&gt;"","摘　　要","")</f>
        <v>摘　　要</v>
      </c>
      <c r="C439" s="61"/>
      <c r="D439" s="62" t="str">
        <f aca="false">IF(助手收入!$R$31&lt;&gt;"","科　　　　目","")</f>
        <v>科　　　　目</v>
      </c>
      <c r="E439" s="62"/>
      <c r="F439" s="61" t="str">
        <f aca="false">IF(助手收入!$R$31&lt;&gt;"","借 方 金 额","")</f>
        <v>借 方 金 额</v>
      </c>
      <c r="G439" s="62" t="str">
        <f aca="false">IF(助手收入!$R$31&lt;&gt;"","贷 方 金 额","")</f>
        <v>贷 方 金 额</v>
      </c>
      <c r="H439" s="63" t="str">
        <f aca="false">IF(助手收入!$R$31&lt;&gt;"","√","")</f>
        <v>√</v>
      </c>
      <c r="I439" s="64" t="str">
        <f aca="false">IF(助手收入!$R$31&lt;&gt;"","附单据  张","")</f>
        <v>附单据  张</v>
      </c>
    </row>
    <row r="440" customFormat="false" ht="12.75" hidden="false" customHeight="true" outlineLevel="0" collapsed="false">
      <c r="B440" s="61"/>
      <c r="C440" s="61"/>
      <c r="D440" s="23" t="str">
        <f aca="false">IF(助手收入!$R$31&lt;&gt;"","总 账 科 目","")</f>
        <v>总 账 科 目</v>
      </c>
      <c r="E440" s="23" t="str">
        <f aca="false">IF(助手收入!$R$31&lt;&gt;"","明 细 科 目","")</f>
        <v>明 细 科 目</v>
      </c>
      <c r="F440" s="65"/>
      <c r="G440" s="66"/>
      <c r="H440" s="63"/>
      <c r="I440" s="64"/>
    </row>
    <row r="441" customFormat="false" ht="23.25" hidden="false" customHeight="true" outlineLevel="0" collapsed="false">
      <c r="B441" s="67" t="str">
        <f aca="false">IFERROR(INDEX(分录收入!$M:$M,MATCH($L441,分录收入!$L:$L,0)),"")</f>
        <v>7月收入</v>
      </c>
      <c r="C441" s="67"/>
      <c r="D441" s="23" t="str">
        <f aca="false">IFERROR(INDEX(分录收入!$E:$E,MATCH($L441,分录收入!$L:$L,0)),"")</f>
        <v>库存现金</v>
      </c>
      <c r="E441" s="23" t="str">
        <f aca="false">IFERROR(INDEX(分录收入!$F:$F,MATCH($L441,分录收入!$L:$L,0)),"")</f>
        <v/>
      </c>
      <c r="F441" s="68" t="n">
        <f aca="false">IFERROR(INDEX(分录收入!$H:$H,MATCH($L441,分录收入!$L:$L,0)),"")</f>
        <v>14368.55</v>
      </c>
      <c r="G441" s="69" t="str">
        <f aca="false">IFERROR(INDEX(分录收入!$I:$I,MATCH($L441,分录收入!$L:$L,0)),"")</f>
        <v/>
      </c>
      <c r="H441" s="23"/>
      <c r="I441" s="70"/>
      <c r="L441" s="71" t="n">
        <f aca="false">IF(助手收入!$R$31="",-1,助手收入!$R$31*100+(助手收入!$S$31-1)*6+1)</f>
        <v>1701</v>
      </c>
    </row>
    <row r="442" customFormat="false" ht="23.25" hidden="false" customHeight="true" outlineLevel="0" collapsed="false">
      <c r="B442" s="67" t="str">
        <f aca="false">""</f>
        <v/>
      </c>
      <c r="C442" s="67"/>
      <c r="D442" s="23" t="str">
        <f aca="false">IFERROR(INDEX(分录收入!$E:$E,MATCH($L442,分录收入!$L:$L,0)),"")</f>
        <v>应收账款</v>
      </c>
      <c r="E442" s="23" t="str">
        <f aca="false">IFERROR(INDEX(分录收入!$F:$F,MATCH($L442,分录收入!$L:$L,0)),"")</f>
        <v>聚合支付</v>
      </c>
      <c r="F442" s="68" t="n">
        <f aca="false">IFERROR(INDEX(分录收入!$H:$H,MATCH($L442,分录收入!$L:$L,0)),"")</f>
        <v>47846.35</v>
      </c>
      <c r="G442" s="69" t="str">
        <f aca="false">IFERROR(INDEX(分录收入!$I:$I,MATCH($L442,分录收入!$L:$L,0)),"")</f>
        <v/>
      </c>
      <c r="H442" s="23"/>
      <c r="I442" s="70"/>
      <c r="L442" s="71" t="n">
        <f aca="false">IF(助手收入!$R$31="",-1,助手收入!$R$31*100+(助手收入!$S$31-1)*6+2)</f>
        <v>1702</v>
      </c>
    </row>
    <row r="443" customFormat="false" ht="23.25" hidden="false" customHeight="true" outlineLevel="0" collapsed="false">
      <c r="B443" s="67" t="str">
        <f aca="false">""</f>
        <v/>
      </c>
      <c r="C443" s="67"/>
      <c r="D443" s="23" t="str">
        <f aca="false">IFERROR(INDEX(分录收入!$E:$E,MATCH($L443,分录收入!$L:$L,0)),"")</f>
        <v>应收账款</v>
      </c>
      <c r="E443" s="23" t="str">
        <f aca="false">IFERROR(INDEX(分录收入!$F:$F,MATCH($L443,分录收入!$L:$L,0)),"")</f>
        <v>医保</v>
      </c>
      <c r="F443" s="68" t="n">
        <f aca="false">IFERROR(INDEX(分录收入!$H:$H,MATCH($L443,分录收入!$L:$L,0)),"")</f>
        <v>7948.42</v>
      </c>
      <c r="G443" s="69" t="str">
        <f aca="false">IFERROR(INDEX(分录收入!$I:$I,MATCH($L443,分录收入!$L:$L,0)),"")</f>
        <v/>
      </c>
      <c r="H443" s="23"/>
      <c r="I443" s="70"/>
      <c r="L443" s="71" t="n">
        <f aca="false">IF(助手收入!$R$31="",-1,助手收入!$R$31*100+(助手收入!$S$31-1)*6+3)</f>
        <v>1703</v>
      </c>
    </row>
    <row r="444" customFormat="false" ht="23.25" hidden="false" customHeight="true" outlineLevel="0" collapsed="false">
      <c r="B444" s="67" t="str">
        <f aca="false">""</f>
        <v/>
      </c>
      <c r="C444" s="67"/>
      <c r="D444" s="23" t="str">
        <f aca="false">IFERROR(INDEX(分录收入!$E:$E,MATCH($L444,分录收入!$L:$L,0)),"")</f>
        <v>其他应收款</v>
      </c>
      <c r="E444" s="23" t="str">
        <f aca="false">IFERROR(INDEX(分录收入!$F:$F,MATCH($L444,分录收入!$L:$L,0)),"")</f>
        <v>储值卡</v>
      </c>
      <c r="F444" s="68" t="n">
        <f aca="false">IFERROR(INDEX(分录收入!$H:$H,MATCH($L444,分录收入!$L:$L,0)),"")</f>
        <v>51</v>
      </c>
      <c r="G444" s="69" t="str">
        <f aca="false">IFERROR(INDEX(分录收入!$I:$I,MATCH($L444,分录收入!$L:$L,0)),"")</f>
        <v/>
      </c>
      <c r="H444" s="23"/>
      <c r="I444" s="70"/>
      <c r="L444" s="71" t="n">
        <f aca="false">IF(助手收入!$R$31="",-1,助手收入!$R$31*100+(助手收入!$S$31-1)*6+4)</f>
        <v>1704</v>
      </c>
    </row>
    <row r="445" customFormat="false" ht="23.25" hidden="false" customHeight="true" outlineLevel="0" collapsed="false">
      <c r="B445" s="67" t="str">
        <f aca="false">""</f>
        <v/>
      </c>
      <c r="C445" s="67"/>
      <c r="D445" s="23" t="str">
        <f aca="false">IFERROR(INDEX(分录收入!$E:$E,MATCH($L445,分录收入!$L:$L,0)),"")</f>
        <v>销售费用</v>
      </c>
      <c r="E445" s="23" t="str">
        <f aca="false">IFERROR(INDEX(分录收入!$F:$F,MATCH($L445,分录收入!$L:$L,0)),"")</f>
        <v>促销费</v>
      </c>
      <c r="F445" s="68" t="n">
        <f aca="false">IFERROR(INDEX(分录收入!$H:$H,MATCH($L445,分录收入!$L:$L,0)),"")</f>
        <v>375.1</v>
      </c>
      <c r="G445" s="69" t="str">
        <f aca="false">IFERROR(INDEX(分录收入!$I:$I,MATCH($L445,分录收入!$L:$L,0)),"")</f>
        <v/>
      </c>
      <c r="H445" s="23"/>
      <c r="I445" s="70"/>
      <c r="L445" s="71" t="n">
        <f aca="false">IF(助手收入!$R$31="",-1,助手收入!$R$31*100+(助手收入!$S$31-1)*6+5)</f>
        <v>1705</v>
      </c>
    </row>
    <row r="446" customFormat="false" ht="23.25" hidden="false" customHeight="true" outlineLevel="0" collapsed="false">
      <c r="B446" s="67" t="str">
        <f aca="false">""</f>
        <v/>
      </c>
      <c r="C446" s="67"/>
      <c r="D446" s="23" t="str">
        <f aca="false">IFERROR(INDEX(分录收入!$E:$E,MATCH($L446,分录收入!$L:$L,0)),"")</f>
        <v>财务费用</v>
      </c>
      <c r="E446" s="23" t="str">
        <f aca="false">IFERROR(INDEX(分录收入!$F:$F,MATCH($L446,分录收入!$L:$L,0)),"")</f>
        <v>手续费</v>
      </c>
      <c r="F446" s="68" t="n">
        <f aca="false">IFERROR(INDEX(分录收入!$H:$H,MATCH($L446,分录收入!$L:$L,0)),"")</f>
        <v>129.53</v>
      </c>
      <c r="G446" s="69" t="str">
        <f aca="false">IFERROR(INDEX(分录收入!$I:$I,MATCH($L446,分录收入!$L:$L,0)),"")</f>
        <v/>
      </c>
      <c r="H446" s="23"/>
      <c r="I446" s="70"/>
      <c r="L446" s="71" t="n">
        <f aca="false">IF(助手收入!$R$31="",-1,助手收入!$R$31*100+(助手收入!$S$31-1)*6+6)</f>
        <v>1706</v>
      </c>
    </row>
    <row r="447" customFormat="false" ht="23.25" hidden="false" customHeight="true" outlineLevel="0" collapsed="false">
      <c r="B447" s="72" t="str">
        <f aca="false">IF(助手收入!$T$31=1,"合计：","")</f>
        <v/>
      </c>
      <c r="C447" s="73" t="str">
        <f aca="false">IF(助手收入!$T$31=1,$F447,"")</f>
        <v/>
      </c>
      <c r="D447" s="74"/>
      <c r="E447" s="74"/>
      <c r="F447" s="75" t="str">
        <f aca="false">IF(助手收入!$T$31=1,INDEX(助手收入!$N$2:$N$66,助手收入!$R$31),"")</f>
        <v/>
      </c>
      <c r="G447" s="76" t="str">
        <f aca="false">IF(助手收入!$T$31=1,INDEX(助手收入!$O$2:$O$66,助手收入!$R$31),"")</f>
        <v/>
      </c>
      <c r="H447" s="74"/>
      <c r="I447" s="77"/>
    </row>
    <row r="448" customFormat="false" ht="6" hidden="false" customHeight="true" outlineLevel="0" collapsed="false"/>
    <row r="449" customFormat="false" ht="13.5" hidden="false" customHeight="false" outlineLevel="0" collapsed="false">
      <c r="B449" s="78" t="str">
        <f aca="false">IF(助手收入!$R$31&lt;&gt;"","会计主管：","")</f>
        <v>会计主管：</v>
      </c>
      <c r="D449" s="78" t="str">
        <f aca="false">IF(助手收入!$R$31&lt;&gt;"","会计：","")</f>
        <v>会计：</v>
      </c>
      <c r="E449" s="78" t="str">
        <f aca="false">IF(助手收入!$R$31&lt;&gt;"","出纳：","")</f>
        <v>出纳：</v>
      </c>
      <c r="F449" s="78" t="str">
        <f aca="false">IF(助手收入!$R$31&lt;&gt;"","复核：","")</f>
        <v>复核：</v>
      </c>
      <c r="G449" s="78" t="str">
        <f aca="false">IF(助手收入!$R$31&lt;&gt;"","制单：","")</f>
        <v>制单：</v>
      </c>
    </row>
    <row r="450" customFormat="false" ht="3" hidden="false" customHeight="true" outlineLevel="0" collapsed="false"/>
    <row r="451" customFormat="false" ht="19.5" hidden="false" customHeight="true" outlineLevel="0" collapsed="false">
      <c r="B451" s="53" t="str">
        <f aca="false">IF(助手收入!$R$32&lt;&gt;"","记  账  凭  证","")</f>
        <v>记  账  凭  证</v>
      </c>
      <c r="C451" s="53"/>
      <c r="D451" s="53"/>
      <c r="E451" s="53"/>
      <c r="F451" s="53"/>
      <c r="G451" s="53"/>
      <c r="H451" s="53"/>
      <c r="I451" s="53"/>
    </row>
    <row r="452" customFormat="false" ht="3" hidden="false" customHeight="true" outlineLevel="0" collapsed="false"/>
    <row r="453" customFormat="false" ht="15" hidden="false" customHeight="true" outlineLevel="0" collapsed="false">
      <c r="C453" s="56" t="n">
        <f aca="false">IF(助手收入!$R$32&lt;&gt;"",INDEX(助手收入!$B$2:$B$66,助手收入!$R$32),"")</f>
        <v>2022</v>
      </c>
      <c r="D453" s="57" t="n">
        <f aca="false">IF(助手收入!$R$32&lt;&gt;"",参数!$B$2,"")</f>
        <v>46234</v>
      </c>
      <c r="E453" s="57"/>
      <c r="F453" s="58" t="str">
        <f aca="false">IF(助手收入!$R$32&lt;&gt;"",INDEX(助手收入!$C$2:$C$66,助手收入!$R$32)&amp;"  字第 "&amp;IF(参数!$B$9="是",INDEX(助手收入!$P$2:$P$66,助手收入!$R$32),"　　　　")&amp;" 号"&amp;IF(INDEX(助手收入!$L$2:$L$66,助手收入!$R$32)&gt;1,"  (共"&amp;INDEX(助手收入!$L$2:$L$66,助手收入!$R$32)&amp;"页 第"&amp;助手收入!$S$32&amp;"页)",""),"")</f>
        <v>北楼店  字第 　　　　 号  (共2页 第2页)</v>
      </c>
      <c r="G453" s="58"/>
      <c r="H453" s="58"/>
      <c r="I453" s="58"/>
      <c r="M453" s="59" t="n">
        <f aca="false">IF(助手收入!$R$32="","",助手收入!$Q$32)</f>
        <v>31</v>
      </c>
      <c r="N453" s="60" t="n">
        <f aca="false">IF(助手收入!$R$32="","",INDEX(助手收入!$P$2:$P$66,助手收入!$R$32))</f>
        <v>17</v>
      </c>
      <c r="O453" s="55" t="str">
        <f aca="false">IF(助手收入!$R$32="","",INDEX(助手收入!$C$2:$C$66,助手收入!$R$32)&amp;"  字第 "&amp;INDEX(助手收入!$P$2:$P$66,助手收入!$R$32)&amp;" 号"&amp;IF(INDEX(助手收入!$L$2:$L$66,助手收入!$R$32)&gt;1,"  (共"&amp;INDEX(助手收入!$L$2:$L$66,助手收入!$R$32)&amp;"页 第"&amp;助手收入!$S$32&amp;"页)",""))</f>
        <v>北楼店  字第 17 号  (共2页 第2页)</v>
      </c>
    </row>
    <row r="454" customFormat="false" ht="12.75" hidden="false" customHeight="true" outlineLevel="0" collapsed="false">
      <c r="B454" s="61" t="str">
        <f aca="false">IF(助手收入!$R$32&lt;&gt;"","摘　　要","")</f>
        <v>摘　　要</v>
      </c>
      <c r="C454" s="61"/>
      <c r="D454" s="62" t="str">
        <f aca="false">IF(助手收入!$R$32&lt;&gt;"","科　　　　目","")</f>
        <v>科　　　　目</v>
      </c>
      <c r="E454" s="62"/>
      <c r="F454" s="61" t="str">
        <f aca="false">IF(助手收入!$R$32&lt;&gt;"","借 方 金 额","")</f>
        <v>借 方 金 额</v>
      </c>
      <c r="G454" s="62" t="str">
        <f aca="false">IF(助手收入!$R$32&lt;&gt;"","贷 方 金 额","")</f>
        <v>贷 方 金 额</v>
      </c>
      <c r="H454" s="63" t="str">
        <f aca="false">IF(助手收入!$R$32&lt;&gt;"","√","")</f>
        <v>√</v>
      </c>
      <c r="I454" s="64" t="str">
        <f aca="false">IF(助手收入!$R$32&lt;&gt;"","附单据  张","")</f>
        <v>附单据  张</v>
      </c>
    </row>
    <row r="455" customFormat="false" ht="12.75" hidden="false" customHeight="true" outlineLevel="0" collapsed="false">
      <c r="B455" s="61"/>
      <c r="C455" s="61"/>
      <c r="D455" s="23" t="str">
        <f aca="false">IF(助手收入!$R$32&lt;&gt;"","总 账 科 目","")</f>
        <v>总 账 科 目</v>
      </c>
      <c r="E455" s="23" t="str">
        <f aca="false">IF(助手收入!$R$32&lt;&gt;"","明 细 科 目","")</f>
        <v>明 细 科 目</v>
      </c>
      <c r="F455" s="65"/>
      <c r="G455" s="66"/>
      <c r="H455" s="63"/>
      <c r="I455" s="64"/>
    </row>
    <row r="456" customFormat="false" ht="23.25" hidden="false" customHeight="true" outlineLevel="0" collapsed="false">
      <c r="B456" s="67" t="str">
        <f aca="false">IFERROR(INDEX(分录收入!$M:$M,MATCH($L456,分录收入!$L:$L,0)),"")</f>
        <v>7月收入</v>
      </c>
      <c r="C456" s="67"/>
      <c r="D456" s="23" t="str">
        <f aca="false">IFERROR(INDEX(分录收入!$E:$E,MATCH($L456,分录收入!$L:$L,0)),"")</f>
        <v>主营业务收入</v>
      </c>
      <c r="E456" s="23" t="str">
        <f aca="false">IFERROR(INDEX(分录收入!$F:$F,MATCH($L456,分录收入!$L:$L,0)),"")</f>
        <v/>
      </c>
      <c r="F456" s="68" t="str">
        <f aca="false">IFERROR(INDEX(分录收入!$H:$H,MATCH($L456,分录收入!$L:$L,0)),"")</f>
        <v/>
      </c>
      <c r="G456" s="69" t="n">
        <f aca="false">IFERROR(INDEX(分录收入!$I:$I,MATCH($L456,分录收入!$L:$L,0)),"")</f>
        <v>70718.95</v>
      </c>
      <c r="H456" s="23"/>
      <c r="I456" s="70"/>
      <c r="L456" s="71" t="n">
        <f aca="false">IF(助手收入!$R$32="",-1,助手收入!$R$32*100+(助手收入!$S$32-1)*6+1)</f>
        <v>1707</v>
      </c>
    </row>
    <row r="457" customFormat="false" ht="23.25" hidden="false" customHeight="true" outlineLevel="0" collapsed="false">
      <c r="B457" s="67" t="str">
        <f aca="false">""</f>
        <v/>
      </c>
      <c r="C457" s="67"/>
      <c r="D457" s="23" t="str">
        <f aca="false">IFERROR(INDEX(分录收入!$E:$E,MATCH($L457,分录收入!$L:$L,0)),"")</f>
        <v/>
      </c>
      <c r="E457" s="23" t="str">
        <f aca="false">IFERROR(INDEX(分录收入!$F:$F,MATCH($L457,分录收入!$L:$L,0)),"")</f>
        <v/>
      </c>
      <c r="F457" s="68" t="str">
        <f aca="false">IFERROR(INDEX(分录收入!$H:$H,MATCH($L457,分录收入!$L:$L,0)),"")</f>
        <v/>
      </c>
      <c r="G457" s="69" t="str">
        <f aca="false">IFERROR(INDEX(分录收入!$I:$I,MATCH($L457,分录收入!$L:$L,0)),"")</f>
        <v/>
      </c>
      <c r="H457" s="23"/>
      <c r="I457" s="70"/>
      <c r="L457" s="71" t="n">
        <f aca="false">IF(助手收入!$R$32="",-1,助手收入!$R$32*100+(助手收入!$S$32-1)*6+2)</f>
        <v>1708</v>
      </c>
    </row>
    <row r="458" customFormat="false" ht="23.25" hidden="false" customHeight="true" outlineLevel="0" collapsed="false">
      <c r="B458" s="67" t="str">
        <f aca="false">""</f>
        <v/>
      </c>
      <c r="C458" s="67"/>
      <c r="D458" s="23" t="str">
        <f aca="false">IFERROR(INDEX(分录收入!$E:$E,MATCH($L458,分录收入!$L:$L,0)),"")</f>
        <v/>
      </c>
      <c r="E458" s="23" t="str">
        <f aca="false">IFERROR(INDEX(分录收入!$F:$F,MATCH($L458,分录收入!$L:$L,0)),"")</f>
        <v/>
      </c>
      <c r="F458" s="68" t="str">
        <f aca="false">IFERROR(INDEX(分录收入!$H:$H,MATCH($L458,分录收入!$L:$L,0)),"")</f>
        <v/>
      </c>
      <c r="G458" s="69" t="str">
        <f aca="false">IFERROR(INDEX(分录收入!$I:$I,MATCH($L458,分录收入!$L:$L,0)),"")</f>
        <v/>
      </c>
      <c r="H458" s="23"/>
      <c r="I458" s="70"/>
      <c r="L458" s="71" t="n">
        <f aca="false">IF(助手收入!$R$32="",-1,助手收入!$R$32*100+(助手收入!$S$32-1)*6+3)</f>
        <v>1709</v>
      </c>
    </row>
    <row r="459" customFormat="false" ht="23.25" hidden="false" customHeight="true" outlineLevel="0" collapsed="false">
      <c r="B459" s="67" t="str">
        <f aca="false">""</f>
        <v/>
      </c>
      <c r="C459" s="67"/>
      <c r="D459" s="23" t="str">
        <f aca="false">IFERROR(INDEX(分录收入!$E:$E,MATCH($L459,分录收入!$L:$L,0)),"")</f>
        <v/>
      </c>
      <c r="E459" s="23" t="str">
        <f aca="false">IFERROR(INDEX(分录收入!$F:$F,MATCH($L459,分录收入!$L:$L,0)),"")</f>
        <v/>
      </c>
      <c r="F459" s="68" t="str">
        <f aca="false">IFERROR(INDEX(分录收入!$H:$H,MATCH($L459,分录收入!$L:$L,0)),"")</f>
        <v/>
      </c>
      <c r="G459" s="69" t="str">
        <f aca="false">IFERROR(INDEX(分录收入!$I:$I,MATCH($L459,分录收入!$L:$L,0)),"")</f>
        <v/>
      </c>
      <c r="H459" s="23"/>
      <c r="I459" s="70"/>
      <c r="L459" s="71" t="n">
        <f aca="false">IF(助手收入!$R$32="",-1,助手收入!$R$32*100+(助手收入!$S$32-1)*6+4)</f>
        <v>1710</v>
      </c>
    </row>
    <row r="460" customFormat="false" ht="23.25" hidden="false" customHeight="true" outlineLevel="0" collapsed="false">
      <c r="B460" s="67" t="str">
        <f aca="false">""</f>
        <v/>
      </c>
      <c r="C460" s="67"/>
      <c r="D460" s="23" t="str">
        <f aca="false">IFERROR(INDEX(分录收入!$E:$E,MATCH($L460,分录收入!$L:$L,0)),"")</f>
        <v/>
      </c>
      <c r="E460" s="23" t="str">
        <f aca="false">IFERROR(INDEX(分录收入!$F:$F,MATCH($L460,分录收入!$L:$L,0)),"")</f>
        <v/>
      </c>
      <c r="F460" s="68" t="str">
        <f aca="false">IFERROR(INDEX(分录收入!$H:$H,MATCH($L460,分录收入!$L:$L,0)),"")</f>
        <v/>
      </c>
      <c r="G460" s="69" t="str">
        <f aca="false">IFERROR(INDEX(分录收入!$I:$I,MATCH($L460,分录收入!$L:$L,0)),"")</f>
        <v/>
      </c>
      <c r="H460" s="23"/>
      <c r="I460" s="70"/>
      <c r="L460" s="71" t="n">
        <f aca="false">IF(助手收入!$R$32="",-1,助手收入!$R$32*100+(助手收入!$S$32-1)*6+5)</f>
        <v>1711</v>
      </c>
    </row>
    <row r="461" customFormat="false" ht="23.25" hidden="false" customHeight="true" outlineLevel="0" collapsed="false">
      <c r="B461" s="67" t="str">
        <f aca="false">""</f>
        <v/>
      </c>
      <c r="C461" s="67"/>
      <c r="D461" s="23" t="str">
        <f aca="false">IFERROR(INDEX(分录收入!$E:$E,MATCH($L461,分录收入!$L:$L,0)),"")</f>
        <v/>
      </c>
      <c r="E461" s="23" t="str">
        <f aca="false">IFERROR(INDEX(分录收入!$F:$F,MATCH($L461,分录收入!$L:$L,0)),"")</f>
        <v/>
      </c>
      <c r="F461" s="68" t="str">
        <f aca="false">IFERROR(INDEX(分录收入!$H:$H,MATCH($L461,分录收入!$L:$L,0)),"")</f>
        <v/>
      </c>
      <c r="G461" s="69" t="str">
        <f aca="false">IFERROR(INDEX(分录收入!$I:$I,MATCH($L461,分录收入!$L:$L,0)),"")</f>
        <v/>
      </c>
      <c r="H461" s="23"/>
      <c r="I461" s="70"/>
      <c r="L461" s="71" t="n">
        <f aca="false">IF(助手收入!$R$32="",-1,助手收入!$R$32*100+(助手收入!$S$32-1)*6+6)</f>
        <v>1712</v>
      </c>
    </row>
    <row r="462" customFormat="false" ht="23.25" hidden="false" customHeight="true" outlineLevel="0" collapsed="false">
      <c r="B462" s="72" t="str">
        <f aca="false">IF(助手收入!$T$32=1,"合计：","")</f>
        <v>合计：</v>
      </c>
      <c r="C462" s="73" t="n">
        <f aca="false">IF(助手收入!$T$32=1,$F462,"")</f>
        <v>70718.95</v>
      </c>
      <c r="D462" s="74"/>
      <c r="E462" s="74"/>
      <c r="F462" s="75" t="n">
        <f aca="false">IF(助手收入!$T$32=1,INDEX(助手收入!$N$2:$N$66,助手收入!$R$32),"")</f>
        <v>70718.95</v>
      </c>
      <c r="G462" s="76" t="n">
        <f aca="false">IF(助手收入!$T$32=1,INDEX(助手收入!$O$2:$O$66,助手收入!$R$32),"")</f>
        <v>70718.95</v>
      </c>
      <c r="H462" s="74"/>
      <c r="I462" s="77"/>
    </row>
    <row r="463" customFormat="false" ht="6" hidden="false" customHeight="true" outlineLevel="0" collapsed="false"/>
    <row r="464" customFormat="false" ht="13.5" hidden="false" customHeight="false" outlineLevel="0" collapsed="false">
      <c r="B464" s="78" t="str">
        <f aca="false">IF(助手收入!$R$32&lt;&gt;"","会计主管：","")</f>
        <v>会计主管：</v>
      </c>
      <c r="D464" s="78" t="str">
        <f aca="false">IF(助手收入!$R$32&lt;&gt;"","会计：","")</f>
        <v>会计：</v>
      </c>
      <c r="E464" s="78" t="str">
        <f aca="false">IF(助手收入!$R$32&lt;&gt;"","出纳：","")</f>
        <v>出纳：</v>
      </c>
      <c r="F464" s="78" t="str">
        <f aca="false">IF(助手收入!$R$32&lt;&gt;"","复核：","")</f>
        <v>复核：</v>
      </c>
      <c r="G464" s="78" t="str">
        <f aca="false">IF(助手收入!$R$32&lt;&gt;"","制单：","")</f>
        <v>制单：</v>
      </c>
    </row>
    <row r="465" customFormat="false" ht="3" hidden="false" customHeight="true" outlineLevel="0" collapsed="false"/>
    <row r="466" customFormat="false" ht="19.5" hidden="false" customHeight="true" outlineLevel="0" collapsed="false">
      <c r="B466" s="53" t="str">
        <f aca="false">IF(助手收入!$R$33&lt;&gt;"","记  账  凭  证","")</f>
        <v>记  账  凭  证</v>
      </c>
      <c r="C466" s="53"/>
      <c r="D466" s="53"/>
      <c r="E466" s="53"/>
      <c r="F466" s="53"/>
      <c r="G466" s="53"/>
      <c r="H466" s="53"/>
      <c r="I466" s="53"/>
    </row>
    <row r="467" customFormat="false" ht="3" hidden="false" customHeight="true" outlineLevel="0" collapsed="false"/>
    <row r="468" customFormat="false" ht="15" hidden="false" customHeight="true" outlineLevel="0" collapsed="false">
      <c r="C468" s="56" t="n">
        <f aca="false">IF(助手收入!$R$33&lt;&gt;"",INDEX(助手收入!$B$2:$B$66,助手收入!$R$33),"")</f>
        <v>2023</v>
      </c>
      <c r="D468" s="57" t="n">
        <f aca="false">IF(助手收入!$R$33&lt;&gt;"",参数!$B$2,"")</f>
        <v>46234</v>
      </c>
      <c r="E468" s="57"/>
      <c r="F468" s="58" t="str">
        <f aca="false">IF(助手收入!$R$33&lt;&gt;"",INDEX(助手收入!$C$2:$C$66,助手收入!$R$33)&amp;"  字第 "&amp;IF(参数!$B$9="是",INDEX(助手收入!$P$2:$P$66,助手收入!$R$33),"　　　　")&amp;" 号"&amp;IF(INDEX(助手收入!$L$2:$L$66,助手收入!$R$33)&gt;1,"  (共"&amp;INDEX(助手收入!$L$2:$L$66,助手收入!$R$33)&amp;"页 第"&amp;助手收入!$S$33&amp;"页)",""),"")</f>
        <v>尹村店  字第 　　　　 号  (共2页 第1页)</v>
      </c>
      <c r="G468" s="58"/>
      <c r="H468" s="58"/>
      <c r="I468" s="58"/>
      <c r="M468" s="59" t="n">
        <f aca="false">IF(助手收入!$R$33="","",助手收入!$Q$33)</f>
        <v>32</v>
      </c>
      <c r="N468" s="60" t="n">
        <f aca="false">IF(助手收入!$R$33="","",INDEX(助手收入!$P$2:$P$66,助手收入!$R$33))</f>
        <v>18</v>
      </c>
      <c r="O468" s="55" t="str">
        <f aca="false">IF(助手收入!$R$33="","",INDEX(助手收入!$C$2:$C$66,助手收入!$R$33)&amp;"  字第 "&amp;INDEX(助手收入!$P$2:$P$66,助手收入!$R$33)&amp;" 号"&amp;IF(INDEX(助手收入!$L$2:$L$66,助手收入!$R$33)&gt;1,"  (共"&amp;INDEX(助手收入!$L$2:$L$66,助手收入!$R$33)&amp;"页 第"&amp;助手收入!$S$33&amp;"页)",""))</f>
        <v>尹村店  字第 18 号  (共2页 第1页)</v>
      </c>
    </row>
    <row r="469" customFormat="false" ht="12.75" hidden="false" customHeight="true" outlineLevel="0" collapsed="false">
      <c r="B469" s="61" t="str">
        <f aca="false">IF(助手收入!$R$33&lt;&gt;"","摘　　要","")</f>
        <v>摘　　要</v>
      </c>
      <c r="C469" s="61"/>
      <c r="D469" s="62" t="str">
        <f aca="false">IF(助手收入!$R$33&lt;&gt;"","科　　　　目","")</f>
        <v>科　　　　目</v>
      </c>
      <c r="E469" s="62"/>
      <c r="F469" s="61" t="str">
        <f aca="false">IF(助手收入!$R$33&lt;&gt;"","借 方 金 额","")</f>
        <v>借 方 金 额</v>
      </c>
      <c r="G469" s="62" t="str">
        <f aca="false">IF(助手收入!$R$33&lt;&gt;"","贷 方 金 额","")</f>
        <v>贷 方 金 额</v>
      </c>
      <c r="H469" s="63" t="str">
        <f aca="false">IF(助手收入!$R$33&lt;&gt;"","√","")</f>
        <v>√</v>
      </c>
      <c r="I469" s="64" t="str">
        <f aca="false">IF(助手收入!$R$33&lt;&gt;"","附单据  张","")</f>
        <v>附单据  张</v>
      </c>
    </row>
    <row r="470" customFormat="false" ht="12.75" hidden="false" customHeight="true" outlineLevel="0" collapsed="false">
      <c r="B470" s="61"/>
      <c r="C470" s="61"/>
      <c r="D470" s="23" t="str">
        <f aca="false">IF(助手收入!$R$33&lt;&gt;"","总 账 科 目","")</f>
        <v>总 账 科 目</v>
      </c>
      <c r="E470" s="23" t="str">
        <f aca="false">IF(助手收入!$R$33&lt;&gt;"","明 细 科 目","")</f>
        <v>明 细 科 目</v>
      </c>
      <c r="F470" s="65"/>
      <c r="G470" s="66"/>
      <c r="H470" s="63"/>
      <c r="I470" s="64"/>
    </row>
    <row r="471" customFormat="false" ht="23.25" hidden="false" customHeight="true" outlineLevel="0" collapsed="false">
      <c r="B471" s="67" t="str">
        <f aca="false">IFERROR(INDEX(分录收入!$M:$M,MATCH($L471,分录收入!$L:$L,0)),"")</f>
        <v>7月收入</v>
      </c>
      <c r="C471" s="67"/>
      <c r="D471" s="23" t="str">
        <f aca="false">IFERROR(INDEX(分录收入!$E:$E,MATCH($L471,分录收入!$L:$L,0)),"")</f>
        <v>库存现金</v>
      </c>
      <c r="E471" s="23" t="str">
        <f aca="false">IFERROR(INDEX(分录收入!$F:$F,MATCH($L471,分录收入!$L:$L,0)),"")</f>
        <v/>
      </c>
      <c r="F471" s="68" t="n">
        <f aca="false">IFERROR(INDEX(分录收入!$H:$H,MATCH($L471,分录收入!$L:$L,0)),"")</f>
        <v>10365.03</v>
      </c>
      <c r="G471" s="69" t="str">
        <f aca="false">IFERROR(INDEX(分录收入!$I:$I,MATCH($L471,分录收入!$L:$L,0)),"")</f>
        <v/>
      </c>
      <c r="H471" s="23"/>
      <c r="I471" s="70"/>
      <c r="L471" s="71" t="n">
        <f aca="false">IF(助手收入!$R$33="",-1,助手收入!$R$33*100+(助手收入!$S$33-1)*6+1)</f>
        <v>1801</v>
      </c>
    </row>
    <row r="472" customFormat="false" ht="23.25" hidden="false" customHeight="true" outlineLevel="0" collapsed="false">
      <c r="B472" s="67" t="str">
        <f aca="false">""</f>
        <v/>
      </c>
      <c r="C472" s="67"/>
      <c r="D472" s="23" t="str">
        <f aca="false">IFERROR(INDEX(分录收入!$E:$E,MATCH($L472,分录收入!$L:$L,0)),"")</f>
        <v>应收账款</v>
      </c>
      <c r="E472" s="23" t="str">
        <f aca="false">IFERROR(INDEX(分录收入!$F:$F,MATCH($L472,分录收入!$L:$L,0)),"")</f>
        <v>聚合支付</v>
      </c>
      <c r="F472" s="68" t="n">
        <f aca="false">IFERROR(INDEX(分录收入!$H:$H,MATCH($L472,分录收入!$L:$L,0)),"")</f>
        <v>31705.7</v>
      </c>
      <c r="G472" s="69" t="str">
        <f aca="false">IFERROR(INDEX(分录收入!$I:$I,MATCH($L472,分录收入!$L:$L,0)),"")</f>
        <v/>
      </c>
      <c r="H472" s="23"/>
      <c r="I472" s="70"/>
      <c r="L472" s="71" t="n">
        <f aca="false">IF(助手收入!$R$33="",-1,助手收入!$R$33*100+(助手收入!$S$33-1)*6+2)</f>
        <v>1802</v>
      </c>
    </row>
    <row r="473" customFormat="false" ht="23.25" hidden="false" customHeight="true" outlineLevel="0" collapsed="false">
      <c r="B473" s="67" t="str">
        <f aca="false">""</f>
        <v/>
      </c>
      <c r="C473" s="67"/>
      <c r="D473" s="23" t="str">
        <f aca="false">IFERROR(INDEX(分录收入!$E:$E,MATCH($L473,分录收入!$L:$L,0)),"")</f>
        <v>应收账款</v>
      </c>
      <c r="E473" s="23" t="str">
        <f aca="false">IFERROR(INDEX(分录收入!$F:$F,MATCH($L473,分录收入!$L:$L,0)),"")</f>
        <v>医保</v>
      </c>
      <c r="F473" s="68" t="n">
        <f aca="false">IFERROR(INDEX(分录收入!$H:$H,MATCH($L473,分录收入!$L:$L,0)),"")</f>
        <v>8446.29</v>
      </c>
      <c r="G473" s="69" t="str">
        <f aca="false">IFERROR(INDEX(分录收入!$I:$I,MATCH($L473,分录收入!$L:$L,0)),"")</f>
        <v/>
      </c>
      <c r="H473" s="23"/>
      <c r="I473" s="70"/>
      <c r="L473" s="71" t="n">
        <f aca="false">IF(助手收入!$R$33="",-1,助手收入!$R$33*100+(助手收入!$S$33-1)*6+3)</f>
        <v>1803</v>
      </c>
    </row>
    <row r="474" customFormat="false" ht="23.25" hidden="false" customHeight="true" outlineLevel="0" collapsed="false">
      <c r="B474" s="67" t="str">
        <f aca="false">""</f>
        <v/>
      </c>
      <c r="C474" s="67"/>
      <c r="D474" s="23" t="str">
        <f aca="false">IFERROR(INDEX(分录收入!$E:$E,MATCH($L474,分录收入!$L:$L,0)),"")</f>
        <v>其他应收款</v>
      </c>
      <c r="E474" s="23" t="str">
        <f aca="false">IFERROR(INDEX(分录收入!$F:$F,MATCH($L474,分录收入!$L:$L,0)),"")</f>
        <v>储值卡</v>
      </c>
      <c r="F474" s="68" t="n">
        <f aca="false">IFERROR(INDEX(分录收入!$H:$H,MATCH($L474,分录收入!$L:$L,0)),"")</f>
        <v>64.4</v>
      </c>
      <c r="G474" s="69" t="str">
        <f aca="false">IFERROR(INDEX(分录收入!$I:$I,MATCH($L474,分录收入!$L:$L,0)),"")</f>
        <v/>
      </c>
      <c r="H474" s="23"/>
      <c r="I474" s="70"/>
      <c r="L474" s="71" t="n">
        <f aca="false">IF(助手收入!$R$33="",-1,助手收入!$R$33*100+(助手收入!$S$33-1)*6+4)</f>
        <v>1804</v>
      </c>
    </row>
    <row r="475" customFormat="false" ht="23.25" hidden="false" customHeight="true" outlineLevel="0" collapsed="false">
      <c r="B475" s="67" t="str">
        <f aca="false">""</f>
        <v/>
      </c>
      <c r="C475" s="67"/>
      <c r="D475" s="23" t="str">
        <f aca="false">IFERROR(INDEX(分录收入!$E:$E,MATCH($L475,分录收入!$L:$L,0)),"")</f>
        <v>销售费用</v>
      </c>
      <c r="E475" s="23" t="str">
        <f aca="false">IFERROR(INDEX(分录收入!$F:$F,MATCH($L475,分录收入!$L:$L,0)),"")</f>
        <v>促销费</v>
      </c>
      <c r="F475" s="68" t="n">
        <f aca="false">IFERROR(INDEX(分录收入!$H:$H,MATCH($L475,分录收入!$L:$L,0)),"")</f>
        <v>1801.86</v>
      </c>
      <c r="G475" s="69" t="str">
        <f aca="false">IFERROR(INDEX(分录收入!$I:$I,MATCH($L475,分录收入!$L:$L,0)),"")</f>
        <v/>
      </c>
      <c r="H475" s="23"/>
      <c r="I475" s="70"/>
      <c r="L475" s="71" t="n">
        <f aca="false">IF(助手收入!$R$33="",-1,助手收入!$R$33*100+(助手收入!$S$33-1)*6+5)</f>
        <v>1805</v>
      </c>
    </row>
    <row r="476" customFormat="false" ht="23.25" hidden="false" customHeight="true" outlineLevel="0" collapsed="false">
      <c r="B476" s="67" t="str">
        <f aca="false">""</f>
        <v/>
      </c>
      <c r="C476" s="67"/>
      <c r="D476" s="23" t="str">
        <f aca="false">IFERROR(INDEX(分录收入!$E:$E,MATCH($L476,分录收入!$L:$L,0)),"")</f>
        <v>财务费用</v>
      </c>
      <c r="E476" s="23" t="str">
        <f aca="false">IFERROR(INDEX(分录收入!$F:$F,MATCH($L476,分录收入!$L:$L,0)),"")</f>
        <v>手续费</v>
      </c>
      <c r="F476" s="68" t="n">
        <f aca="false">IFERROR(INDEX(分录收入!$H:$H,MATCH($L476,分录收入!$L:$L,0)),"")</f>
        <v>85.84</v>
      </c>
      <c r="G476" s="69" t="str">
        <f aca="false">IFERROR(INDEX(分录收入!$I:$I,MATCH($L476,分录收入!$L:$L,0)),"")</f>
        <v/>
      </c>
      <c r="H476" s="23"/>
      <c r="I476" s="70"/>
      <c r="L476" s="71" t="n">
        <f aca="false">IF(助手收入!$R$33="",-1,助手收入!$R$33*100+(助手收入!$S$33-1)*6+6)</f>
        <v>1806</v>
      </c>
    </row>
    <row r="477" customFormat="false" ht="23.25" hidden="false" customHeight="true" outlineLevel="0" collapsed="false">
      <c r="B477" s="72" t="str">
        <f aca="false">IF(助手收入!$T$33=1,"合计：","")</f>
        <v/>
      </c>
      <c r="C477" s="73" t="str">
        <f aca="false">IF(助手收入!$T$33=1,$F477,"")</f>
        <v/>
      </c>
      <c r="D477" s="74"/>
      <c r="E477" s="74"/>
      <c r="F477" s="75" t="str">
        <f aca="false">IF(助手收入!$T$33=1,INDEX(助手收入!$N$2:$N$66,助手收入!$R$33),"")</f>
        <v/>
      </c>
      <c r="G477" s="76" t="str">
        <f aca="false">IF(助手收入!$T$33=1,INDEX(助手收入!$O$2:$O$66,助手收入!$R$33),"")</f>
        <v/>
      </c>
      <c r="H477" s="74"/>
      <c r="I477" s="77"/>
    </row>
    <row r="478" customFormat="false" ht="6" hidden="false" customHeight="true" outlineLevel="0" collapsed="false"/>
    <row r="479" customFormat="false" ht="13.5" hidden="false" customHeight="false" outlineLevel="0" collapsed="false">
      <c r="B479" s="78" t="str">
        <f aca="false">IF(助手收入!$R$33&lt;&gt;"","会计主管：","")</f>
        <v>会计主管：</v>
      </c>
      <c r="D479" s="78" t="str">
        <f aca="false">IF(助手收入!$R$33&lt;&gt;"","会计：","")</f>
        <v>会计：</v>
      </c>
      <c r="E479" s="78" t="str">
        <f aca="false">IF(助手收入!$R$33&lt;&gt;"","出纳：","")</f>
        <v>出纳：</v>
      </c>
      <c r="F479" s="78" t="str">
        <f aca="false">IF(助手收入!$R$33&lt;&gt;"","复核：","")</f>
        <v>复核：</v>
      </c>
      <c r="G479" s="78" t="str">
        <f aca="false">IF(助手收入!$R$33&lt;&gt;"","制单：","")</f>
        <v>制单：</v>
      </c>
    </row>
    <row r="480" customFormat="false" ht="3" hidden="false" customHeight="true" outlineLevel="0" collapsed="false"/>
    <row r="481" customFormat="false" ht="19.5" hidden="false" customHeight="true" outlineLevel="0" collapsed="false">
      <c r="B481" s="53" t="str">
        <f aca="false">IF(助手收入!$R$34&lt;&gt;"","记  账  凭  证","")</f>
        <v>记  账  凭  证</v>
      </c>
      <c r="C481" s="53"/>
      <c r="D481" s="53"/>
      <c r="E481" s="53"/>
      <c r="F481" s="53"/>
      <c r="G481" s="53"/>
      <c r="H481" s="53"/>
      <c r="I481" s="53"/>
    </row>
    <row r="482" customFormat="false" ht="3" hidden="false" customHeight="true" outlineLevel="0" collapsed="false"/>
    <row r="483" customFormat="false" ht="15" hidden="false" customHeight="true" outlineLevel="0" collapsed="false">
      <c r="C483" s="56" t="n">
        <f aca="false">IF(助手收入!$R$34&lt;&gt;"",INDEX(助手收入!$B$2:$B$66,助手收入!$R$34),"")</f>
        <v>2023</v>
      </c>
      <c r="D483" s="57" t="n">
        <f aca="false">IF(助手收入!$R$34&lt;&gt;"",参数!$B$2,"")</f>
        <v>46234</v>
      </c>
      <c r="E483" s="57"/>
      <c r="F483" s="58" t="str">
        <f aca="false">IF(助手收入!$R$34&lt;&gt;"",INDEX(助手收入!$C$2:$C$66,助手收入!$R$34)&amp;"  字第 "&amp;IF(参数!$B$9="是",INDEX(助手收入!$P$2:$P$66,助手收入!$R$34),"　　　　")&amp;" 号"&amp;IF(INDEX(助手收入!$L$2:$L$66,助手收入!$R$34)&gt;1,"  (共"&amp;INDEX(助手收入!$L$2:$L$66,助手收入!$R$34)&amp;"页 第"&amp;助手收入!$S$34&amp;"页)",""),"")</f>
        <v>尹村店  字第 　　　　 号  (共2页 第2页)</v>
      </c>
      <c r="G483" s="58"/>
      <c r="H483" s="58"/>
      <c r="I483" s="58"/>
      <c r="M483" s="59" t="n">
        <f aca="false">IF(助手收入!$R$34="","",助手收入!$Q$34)</f>
        <v>33</v>
      </c>
      <c r="N483" s="60" t="n">
        <f aca="false">IF(助手收入!$R$34="","",INDEX(助手收入!$P$2:$P$66,助手收入!$R$34))</f>
        <v>18</v>
      </c>
      <c r="O483" s="55" t="str">
        <f aca="false">IF(助手收入!$R$34="","",INDEX(助手收入!$C$2:$C$66,助手收入!$R$34)&amp;"  字第 "&amp;INDEX(助手收入!$P$2:$P$66,助手收入!$R$34)&amp;" 号"&amp;IF(INDEX(助手收入!$L$2:$L$66,助手收入!$R$34)&gt;1,"  (共"&amp;INDEX(助手收入!$L$2:$L$66,助手收入!$R$34)&amp;"页 第"&amp;助手收入!$S$34&amp;"页)",""))</f>
        <v>尹村店  字第 18 号  (共2页 第2页)</v>
      </c>
    </row>
    <row r="484" customFormat="false" ht="12.75" hidden="false" customHeight="true" outlineLevel="0" collapsed="false">
      <c r="B484" s="61" t="str">
        <f aca="false">IF(助手收入!$R$34&lt;&gt;"","摘　　要","")</f>
        <v>摘　　要</v>
      </c>
      <c r="C484" s="61"/>
      <c r="D484" s="62" t="str">
        <f aca="false">IF(助手收入!$R$34&lt;&gt;"","科　　　　目","")</f>
        <v>科　　　　目</v>
      </c>
      <c r="E484" s="62"/>
      <c r="F484" s="61" t="str">
        <f aca="false">IF(助手收入!$R$34&lt;&gt;"","借 方 金 额","")</f>
        <v>借 方 金 额</v>
      </c>
      <c r="G484" s="62" t="str">
        <f aca="false">IF(助手收入!$R$34&lt;&gt;"","贷 方 金 额","")</f>
        <v>贷 方 金 额</v>
      </c>
      <c r="H484" s="63" t="str">
        <f aca="false">IF(助手收入!$R$34&lt;&gt;"","√","")</f>
        <v>√</v>
      </c>
      <c r="I484" s="64" t="str">
        <f aca="false">IF(助手收入!$R$34&lt;&gt;"","附单据  张","")</f>
        <v>附单据  张</v>
      </c>
    </row>
    <row r="485" customFormat="false" ht="12.75" hidden="false" customHeight="true" outlineLevel="0" collapsed="false">
      <c r="B485" s="61"/>
      <c r="C485" s="61"/>
      <c r="D485" s="23" t="str">
        <f aca="false">IF(助手收入!$R$34&lt;&gt;"","总 账 科 目","")</f>
        <v>总 账 科 目</v>
      </c>
      <c r="E485" s="23" t="str">
        <f aca="false">IF(助手收入!$R$34&lt;&gt;"","明 细 科 目","")</f>
        <v>明 细 科 目</v>
      </c>
      <c r="F485" s="65"/>
      <c r="G485" s="66"/>
      <c r="H485" s="63"/>
      <c r="I485" s="64"/>
    </row>
    <row r="486" customFormat="false" ht="23.25" hidden="false" customHeight="true" outlineLevel="0" collapsed="false">
      <c r="B486" s="67" t="str">
        <f aca="false">IFERROR(INDEX(分录收入!$M:$M,MATCH($L486,分录收入!$L:$L,0)),"")</f>
        <v>7月收入</v>
      </c>
      <c r="C486" s="67"/>
      <c r="D486" s="23" t="str">
        <f aca="false">IFERROR(INDEX(分录收入!$E:$E,MATCH($L486,分录收入!$L:$L,0)),"")</f>
        <v>主营业务收入</v>
      </c>
      <c r="E486" s="23" t="str">
        <f aca="false">IFERROR(INDEX(分录收入!$F:$F,MATCH($L486,分录收入!$L:$L,0)),"")</f>
        <v/>
      </c>
      <c r="F486" s="68" t="str">
        <f aca="false">IFERROR(INDEX(分录收入!$H:$H,MATCH($L486,分录收入!$L:$L,0)),"")</f>
        <v/>
      </c>
      <c r="G486" s="69" t="n">
        <f aca="false">IFERROR(INDEX(分录收入!$I:$I,MATCH($L486,分录收入!$L:$L,0)),"")</f>
        <v>52469.12</v>
      </c>
      <c r="H486" s="23"/>
      <c r="I486" s="70"/>
      <c r="L486" s="71" t="n">
        <f aca="false">IF(助手收入!$R$34="",-1,助手收入!$R$34*100+(助手收入!$S$34-1)*6+1)</f>
        <v>1807</v>
      </c>
    </row>
    <row r="487" customFormat="false" ht="23.25" hidden="false" customHeight="true" outlineLevel="0" collapsed="false">
      <c r="B487" s="67" t="str">
        <f aca="false">""</f>
        <v/>
      </c>
      <c r="C487" s="67"/>
      <c r="D487" s="23" t="str">
        <f aca="false">IFERROR(INDEX(分录收入!$E:$E,MATCH($L487,分录收入!$L:$L,0)),"")</f>
        <v/>
      </c>
      <c r="E487" s="23" t="str">
        <f aca="false">IFERROR(INDEX(分录收入!$F:$F,MATCH($L487,分录收入!$L:$L,0)),"")</f>
        <v/>
      </c>
      <c r="F487" s="68" t="str">
        <f aca="false">IFERROR(INDEX(分录收入!$H:$H,MATCH($L487,分录收入!$L:$L,0)),"")</f>
        <v/>
      </c>
      <c r="G487" s="69" t="str">
        <f aca="false">IFERROR(INDEX(分录收入!$I:$I,MATCH($L487,分录收入!$L:$L,0)),"")</f>
        <v/>
      </c>
      <c r="H487" s="23"/>
      <c r="I487" s="70"/>
      <c r="L487" s="71" t="n">
        <f aca="false">IF(助手收入!$R$34="",-1,助手收入!$R$34*100+(助手收入!$S$34-1)*6+2)</f>
        <v>1808</v>
      </c>
    </row>
    <row r="488" customFormat="false" ht="23.25" hidden="false" customHeight="true" outlineLevel="0" collapsed="false">
      <c r="B488" s="67" t="str">
        <f aca="false">""</f>
        <v/>
      </c>
      <c r="C488" s="67"/>
      <c r="D488" s="23" t="str">
        <f aca="false">IFERROR(INDEX(分录收入!$E:$E,MATCH($L488,分录收入!$L:$L,0)),"")</f>
        <v/>
      </c>
      <c r="E488" s="23" t="str">
        <f aca="false">IFERROR(INDEX(分录收入!$F:$F,MATCH($L488,分录收入!$L:$L,0)),"")</f>
        <v/>
      </c>
      <c r="F488" s="68" t="str">
        <f aca="false">IFERROR(INDEX(分录收入!$H:$H,MATCH($L488,分录收入!$L:$L,0)),"")</f>
        <v/>
      </c>
      <c r="G488" s="69" t="str">
        <f aca="false">IFERROR(INDEX(分录收入!$I:$I,MATCH($L488,分录收入!$L:$L,0)),"")</f>
        <v/>
      </c>
      <c r="H488" s="23"/>
      <c r="I488" s="70"/>
      <c r="L488" s="71" t="n">
        <f aca="false">IF(助手收入!$R$34="",-1,助手收入!$R$34*100+(助手收入!$S$34-1)*6+3)</f>
        <v>1809</v>
      </c>
    </row>
    <row r="489" customFormat="false" ht="23.25" hidden="false" customHeight="true" outlineLevel="0" collapsed="false">
      <c r="B489" s="67" t="str">
        <f aca="false">""</f>
        <v/>
      </c>
      <c r="C489" s="67"/>
      <c r="D489" s="23" t="str">
        <f aca="false">IFERROR(INDEX(分录收入!$E:$E,MATCH($L489,分录收入!$L:$L,0)),"")</f>
        <v/>
      </c>
      <c r="E489" s="23" t="str">
        <f aca="false">IFERROR(INDEX(分录收入!$F:$F,MATCH($L489,分录收入!$L:$L,0)),"")</f>
        <v/>
      </c>
      <c r="F489" s="68" t="str">
        <f aca="false">IFERROR(INDEX(分录收入!$H:$H,MATCH($L489,分录收入!$L:$L,0)),"")</f>
        <v/>
      </c>
      <c r="G489" s="69" t="str">
        <f aca="false">IFERROR(INDEX(分录收入!$I:$I,MATCH($L489,分录收入!$L:$L,0)),"")</f>
        <v/>
      </c>
      <c r="H489" s="23"/>
      <c r="I489" s="70"/>
      <c r="L489" s="71" t="n">
        <f aca="false">IF(助手收入!$R$34="",-1,助手收入!$R$34*100+(助手收入!$S$34-1)*6+4)</f>
        <v>1810</v>
      </c>
    </row>
    <row r="490" customFormat="false" ht="23.25" hidden="false" customHeight="true" outlineLevel="0" collapsed="false">
      <c r="B490" s="67" t="str">
        <f aca="false">""</f>
        <v/>
      </c>
      <c r="C490" s="67"/>
      <c r="D490" s="23" t="str">
        <f aca="false">IFERROR(INDEX(分录收入!$E:$E,MATCH($L490,分录收入!$L:$L,0)),"")</f>
        <v/>
      </c>
      <c r="E490" s="23" t="str">
        <f aca="false">IFERROR(INDEX(分录收入!$F:$F,MATCH($L490,分录收入!$L:$L,0)),"")</f>
        <v/>
      </c>
      <c r="F490" s="68" t="str">
        <f aca="false">IFERROR(INDEX(分录收入!$H:$H,MATCH($L490,分录收入!$L:$L,0)),"")</f>
        <v/>
      </c>
      <c r="G490" s="69" t="str">
        <f aca="false">IFERROR(INDEX(分录收入!$I:$I,MATCH($L490,分录收入!$L:$L,0)),"")</f>
        <v/>
      </c>
      <c r="H490" s="23"/>
      <c r="I490" s="70"/>
      <c r="L490" s="71" t="n">
        <f aca="false">IF(助手收入!$R$34="",-1,助手收入!$R$34*100+(助手收入!$S$34-1)*6+5)</f>
        <v>1811</v>
      </c>
    </row>
    <row r="491" customFormat="false" ht="23.25" hidden="false" customHeight="true" outlineLevel="0" collapsed="false">
      <c r="B491" s="67" t="str">
        <f aca="false">""</f>
        <v/>
      </c>
      <c r="C491" s="67"/>
      <c r="D491" s="23" t="str">
        <f aca="false">IFERROR(INDEX(分录收入!$E:$E,MATCH($L491,分录收入!$L:$L,0)),"")</f>
        <v/>
      </c>
      <c r="E491" s="23" t="str">
        <f aca="false">IFERROR(INDEX(分录收入!$F:$F,MATCH($L491,分录收入!$L:$L,0)),"")</f>
        <v/>
      </c>
      <c r="F491" s="68" t="str">
        <f aca="false">IFERROR(INDEX(分录收入!$H:$H,MATCH($L491,分录收入!$L:$L,0)),"")</f>
        <v/>
      </c>
      <c r="G491" s="69" t="str">
        <f aca="false">IFERROR(INDEX(分录收入!$I:$I,MATCH($L491,分录收入!$L:$L,0)),"")</f>
        <v/>
      </c>
      <c r="H491" s="23"/>
      <c r="I491" s="70"/>
      <c r="L491" s="71" t="n">
        <f aca="false">IF(助手收入!$R$34="",-1,助手收入!$R$34*100+(助手收入!$S$34-1)*6+6)</f>
        <v>1812</v>
      </c>
    </row>
    <row r="492" customFormat="false" ht="23.25" hidden="false" customHeight="true" outlineLevel="0" collapsed="false">
      <c r="B492" s="72" t="str">
        <f aca="false">IF(助手收入!$T$34=1,"合计：","")</f>
        <v>合计：</v>
      </c>
      <c r="C492" s="73" t="n">
        <f aca="false">IF(助手收入!$T$34=1,$F492,"")</f>
        <v>52469.12</v>
      </c>
      <c r="D492" s="74"/>
      <c r="E492" s="74"/>
      <c r="F492" s="75" t="n">
        <f aca="false">IF(助手收入!$T$34=1,INDEX(助手收入!$N$2:$N$66,助手收入!$R$34),"")</f>
        <v>52469.12</v>
      </c>
      <c r="G492" s="76" t="n">
        <f aca="false">IF(助手收入!$T$34=1,INDEX(助手收入!$O$2:$O$66,助手收入!$R$34),"")</f>
        <v>52469.12</v>
      </c>
      <c r="H492" s="74"/>
      <c r="I492" s="77"/>
    </row>
    <row r="493" customFormat="false" ht="6" hidden="false" customHeight="true" outlineLevel="0" collapsed="false"/>
    <row r="494" customFormat="false" ht="13.5" hidden="false" customHeight="false" outlineLevel="0" collapsed="false">
      <c r="B494" s="78" t="str">
        <f aca="false">IF(助手收入!$R$34&lt;&gt;"","会计主管：","")</f>
        <v>会计主管：</v>
      </c>
      <c r="D494" s="78" t="str">
        <f aca="false">IF(助手收入!$R$34&lt;&gt;"","会计：","")</f>
        <v>会计：</v>
      </c>
      <c r="E494" s="78" t="str">
        <f aca="false">IF(助手收入!$R$34&lt;&gt;"","出纳：","")</f>
        <v>出纳：</v>
      </c>
      <c r="F494" s="78" t="str">
        <f aca="false">IF(助手收入!$R$34&lt;&gt;"","复核：","")</f>
        <v>复核：</v>
      </c>
      <c r="G494" s="78" t="str">
        <f aca="false">IF(助手收入!$R$34&lt;&gt;"","制单：","")</f>
        <v>制单：</v>
      </c>
    </row>
    <row r="495" customFormat="false" ht="3" hidden="false" customHeight="true" outlineLevel="0" collapsed="false"/>
    <row r="496" customFormat="false" ht="19.5" hidden="false" customHeight="true" outlineLevel="0" collapsed="false">
      <c r="B496" s="53" t="str">
        <f aca="false">IF(助手收入!$R$35&lt;&gt;"","记  账  凭  证","")</f>
        <v>记  账  凭  证</v>
      </c>
      <c r="C496" s="53"/>
      <c r="D496" s="53"/>
      <c r="E496" s="53"/>
      <c r="F496" s="53"/>
      <c r="G496" s="53"/>
      <c r="H496" s="53"/>
      <c r="I496" s="53"/>
    </row>
    <row r="497" customFormat="false" ht="3" hidden="false" customHeight="true" outlineLevel="0" collapsed="false"/>
    <row r="498" customFormat="false" ht="15" hidden="false" customHeight="true" outlineLevel="0" collapsed="false">
      <c r="C498" s="56" t="n">
        <f aca="false">IF(助手收入!$R$35&lt;&gt;"",INDEX(助手收入!$B$2:$B$66,助手收入!$R$35),"")</f>
        <v>2024</v>
      </c>
      <c r="D498" s="57" t="n">
        <f aca="false">IF(助手收入!$R$35&lt;&gt;"",参数!$B$2,"")</f>
        <v>46234</v>
      </c>
      <c r="E498" s="57"/>
      <c r="F498" s="58" t="str">
        <f aca="false">IF(助手收入!$R$35&lt;&gt;"",INDEX(助手收入!$C$2:$C$66,助手收入!$R$35)&amp;"  字第 "&amp;IF(参数!$B$9="是",INDEX(助手收入!$P$2:$P$66,助手收入!$R$35),"　　　　")&amp;" 号"&amp;IF(INDEX(助手收入!$L$2:$L$66,助手收入!$R$35)&gt;1,"  (共"&amp;INDEX(助手收入!$L$2:$L$66,助手收入!$R$35)&amp;"页 第"&amp;助手收入!$S$35&amp;"页)",""),"")</f>
        <v>高村店  字第 　　　　 号  (共2页 第1页)</v>
      </c>
      <c r="G498" s="58"/>
      <c r="H498" s="58"/>
      <c r="I498" s="58"/>
      <c r="M498" s="59" t="n">
        <f aca="false">IF(助手收入!$R$35="","",助手收入!$Q$35)</f>
        <v>34</v>
      </c>
      <c r="N498" s="60" t="n">
        <f aca="false">IF(助手收入!$R$35="","",INDEX(助手收入!$P$2:$P$66,助手收入!$R$35))</f>
        <v>19</v>
      </c>
      <c r="O498" s="55" t="str">
        <f aca="false">IF(助手收入!$R$35="","",INDEX(助手收入!$C$2:$C$66,助手收入!$R$35)&amp;"  字第 "&amp;INDEX(助手收入!$P$2:$P$66,助手收入!$R$35)&amp;" 号"&amp;IF(INDEX(助手收入!$L$2:$L$66,助手收入!$R$35)&gt;1,"  (共"&amp;INDEX(助手收入!$L$2:$L$66,助手收入!$R$35)&amp;"页 第"&amp;助手收入!$S$35&amp;"页)",""))</f>
        <v>高村店  字第 19 号  (共2页 第1页)</v>
      </c>
    </row>
    <row r="499" customFormat="false" ht="12.75" hidden="false" customHeight="true" outlineLevel="0" collapsed="false">
      <c r="B499" s="61" t="str">
        <f aca="false">IF(助手收入!$R$35&lt;&gt;"","摘　　要","")</f>
        <v>摘　　要</v>
      </c>
      <c r="C499" s="61"/>
      <c r="D499" s="62" t="str">
        <f aca="false">IF(助手收入!$R$35&lt;&gt;"","科　　　　目","")</f>
        <v>科　　　　目</v>
      </c>
      <c r="E499" s="62"/>
      <c r="F499" s="61" t="str">
        <f aca="false">IF(助手收入!$R$35&lt;&gt;"","借 方 金 额","")</f>
        <v>借 方 金 额</v>
      </c>
      <c r="G499" s="62" t="str">
        <f aca="false">IF(助手收入!$R$35&lt;&gt;"","贷 方 金 额","")</f>
        <v>贷 方 金 额</v>
      </c>
      <c r="H499" s="63" t="str">
        <f aca="false">IF(助手收入!$R$35&lt;&gt;"","√","")</f>
        <v>√</v>
      </c>
      <c r="I499" s="64" t="str">
        <f aca="false">IF(助手收入!$R$35&lt;&gt;"","附单据  张","")</f>
        <v>附单据  张</v>
      </c>
    </row>
    <row r="500" customFormat="false" ht="12.75" hidden="false" customHeight="true" outlineLevel="0" collapsed="false">
      <c r="B500" s="61"/>
      <c r="C500" s="61"/>
      <c r="D500" s="23" t="str">
        <f aca="false">IF(助手收入!$R$35&lt;&gt;"","总 账 科 目","")</f>
        <v>总 账 科 目</v>
      </c>
      <c r="E500" s="23" t="str">
        <f aca="false">IF(助手收入!$R$35&lt;&gt;"","明 细 科 目","")</f>
        <v>明 细 科 目</v>
      </c>
      <c r="F500" s="65"/>
      <c r="G500" s="66"/>
      <c r="H500" s="63"/>
      <c r="I500" s="64"/>
    </row>
    <row r="501" customFormat="false" ht="23.25" hidden="false" customHeight="true" outlineLevel="0" collapsed="false">
      <c r="B501" s="67" t="str">
        <f aca="false">IFERROR(INDEX(分录收入!$M:$M,MATCH($L501,分录收入!$L:$L,0)),"")</f>
        <v>7月收入</v>
      </c>
      <c r="C501" s="67"/>
      <c r="D501" s="23" t="str">
        <f aca="false">IFERROR(INDEX(分录收入!$E:$E,MATCH($L501,分录收入!$L:$L,0)),"")</f>
        <v>库存现金</v>
      </c>
      <c r="E501" s="23" t="str">
        <f aca="false">IFERROR(INDEX(分录收入!$F:$F,MATCH($L501,分录收入!$L:$L,0)),"")</f>
        <v/>
      </c>
      <c r="F501" s="68" t="n">
        <f aca="false">IFERROR(INDEX(分录收入!$H:$H,MATCH($L501,分录收入!$L:$L,0)),"")</f>
        <v>38459.74</v>
      </c>
      <c r="G501" s="69" t="str">
        <f aca="false">IFERROR(INDEX(分录收入!$I:$I,MATCH($L501,分录收入!$L:$L,0)),"")</f>
        <v/>
      </c>
      <c r="H501" s="23"/>
      <c r="I501" s="70"/>
      <c r="L501" s="71" t="n">
        <f aca="false">IF(助手收入!$R$35="",-1,助手收入!$R$35*100+(助手收入!$S$35-1)*6+1)</f>
        <v>1901</v>
      </c>
    </row>
    <row r="502" customFormat="false" ht="23.25" hidden="false" customHeight="true" outlineLevel="0" collapsed="false">
      <c r="B502" s="67" t="str">
        <f aca="false">""</f>
        <v/>
      </c>
      <c r="C502" s="67"/>
      <c r="D502" s="23" t="str">
        <f aca="false">IFERROR(INDEX(分录收入!$E:$E,MATCH($L502,分录收入!$L:$L,0)),"")</f>
        <v>应收账款</v>
      </c>
      <c r="E502" s="23" t="str">
        <f aca="false">IFERROR(INDEX(分录收入!$F:$F,MATCH($L502,分录收入!$L:$L,0)),"")</f>
        <v>聚合支付</v>
      </c>
      <c r="F502" s="68" t="n">
        <f aca="false">IFERROR(INDEX(分录收入!$H:$H,MATCH($L502,分录收入!$L:$L,0)),"")</f>
        <v>47758.2</v>
      </c>
      <c r="G502" s="69" t="str">
        <f aca="false">IFERROR(INDEX(分录收入!$I:$I,MATCH($L502,分录收入!$L:$L,0)),"")</f>
        <v/>
      </c>
      <c r="H502" s="23"/>
      <c r="I502" s="70"/>
      <c r="L502" s="71" t="n">
        <f aca="false">IF(助手收入!$R$35="",-1,助手收入!$R$35*100+(助手收入!$S$35-1)*6+2)</f>
        <v>1902</v>
      </c>
    </row>
    <row r="503" customFormat="false" ht="23.25" hidden="false" customHeight="true" outlineLevel="0" collapsed="false">
      <c r="B503" s="67" t="str">
        <f aca="false">""</f>
        <v/>
      </c>
      <c r="C503" s="67"/>
      <c r="D503" s="23" t="str">
        <f aca="false">IFERROR(INDEX(分录收入!$E:$E,MATCH($L503,分录收入!$L:$L,0)),"")</f>
        <v>应收账款</v>
      </c>
      <c r="E503" s="23" t="str">
        <f aca="false">IFERROR(INDEX(分录收入!$F:$F,MATCH($L503,分录收入!$L:$L,0)),"")</f>
        <v>医保</v>
      </c>
      <c r="F503" s="68" t="n">
        <f aca="false">IFERROR(INDEX(分录收入!$H:$H,MATCH($L503,分录收入!$L:$L,0)),"")</f>
        <v>14787.59</v>
      </c>
      <c r="G503" s="69" t="str">
        <f aca="false">IFERROR(INDEX(分录收入!$I:$I,MATCH($L503,分录收入!$L:$L,0)),"")</f>
        <v/>
      </c>
      <c r="H503" s="23"/>
      <c r="I503" s="70"/>
      <c r="L503" s="71" t="n">
        <f aca="false">IF(助手收入!$R$35="",-1,助手收入!$R$35*100+(助手收入!$S$35-1)*6+3)</f>
        <v>1903</v>
      </c>
    </row>
    <row r="504" customFormat="false" ht="23.25" hidden="false" customHeight="true" outlineLevel="0" collapsed="false">
      <c r="B504" s="67" t="str">
        <f aca="false">""</f>
        <v/>
      </c>
      <c r="C504" s="67"/>
      <c r="D504" s="23" t="str">
        <f aca="false">IFERROR(INDEX(分录收入!$E:$E,MATCH($L504,分录收入!$L:$L,0)),"")</f>
        <v>其他应收款</v>
      </c>
      <c r="E504" s="23" t="str">
        <f aca="false">IFERROR(INDEX(分录收入!$F:$F,MATCH($L504,分录收入!$L:$L,0)),"")</f>
        <v>储值卡</v>
      </c>
      <c r="F504" s="68" t="n">
        <f aca="false">IFERROR(INDEX(分录收入!$H:$H,MATCH($L504,分录收入!$L:$L,0)),"")</f>
        <v>177</v>
      </c>
      <c r="G504" s="69" t="str">
        <f aca="false">IFERROR(INDEX(分录收入!$I:$I,MATCH($L504,分录收入!$L:$L,0)),"")</f>
        <v/>
      </c>
      <c r="H504" s="23"/>
      <c r="I504" s="70"/>
      <c r="L504" s="71" t="n">
        <f aca="false">IF(助手收入!$R$35="",-1,助手收入!$R$35*100+(助手收入!$S$35-1)*6+4)</f>
        <v>1904</v>
      </c>
    </row>
    <row r="505" customFormat="false" ht="23.25" hidden="false" customHeight="true" outlineLevel="0" collapsed="false">
      <c r="B505" s="67" t="str">
        <f aca="false">""</f>
        <v/>
      </c>
      <c r="C505" s="67"/>
      <c r="D505" s="23" t="str">
        <f aca="false">IFERROR(INDEX(分录收入!$E:$E,MATCH($L505,分录收入!$L:$L,0)),"")</f>
        <v>销售费用</v>
      </c>
      <c r="E505" s="23" t="str">
        <f aca="false">IFERROR(INDEX(分录收入!$F:$F,MATCH($L505,分录收入!$L:$L,0)),"")</f>
        <v>促销费</v>
      </c>
      <c r="F505" s="68" t="n">
        <f aca="false">IFERROR(INDEX(分录收入!$H:$H,MATCH($L505,分录收入!$L:$L,0)),"")</f>
        <v>566.09</v>
      </c>
      <c r="G505" s="69" t="str">
        <f aca="false">IFERROR(INDEX(分录收入!$I:$I,MATCH($L505,分录收入!$L:$L,0)),"")</f>
        <v/>
      </c>
      <c r="H505" s="23"/>
      <c r="I505" s="70"/>
      <c r="L505" s="71" t="n">
        <f aca="false">IF(助手收入!$R$35="",-1,助手收入!$R$35*100+(助手收入!$S$35-1)*6+5)</f>
        <v>1905</v>
      </c>
    </row>
    <row r="506" customFormat="false" ht="23.25" hidden="false" customHeight="true" outlineLevel="0" collapsed="false">
      <c r="B506" s="67" t="str">
        <f aca="false">""</f>
        <v/>
      </c>
      <c r="C506" s="67"/>
      <c r="D506" s="23" t="str">
        <f aca="false">IFERROR(INDEX(分录收入!$E:$E,MATCH($L506,分录收入!$L:$L,0)),"")</f>
        <v>财务费用</v>
      </c>
      <c r="E506" s="23" t="str">
        <f aca="false">IFERROR(INDEX(分录收入!$F:$F,MATCH($L506,分录收入!$L:$L,0)),"")</f>
        <v>手续费</v>
      </c>
      <c r="F506" s="68" t="n">
        <f aca="false">IFERROR(INDEX(分录收入!$H:$H,MATCH($L506,分录收入!$L:$L,0)),"")</f>
        <v>129.3</v>
      </c>
      <c r="G506" s="69" t="str">
        <f aca="false">IFERROR(INDEX(分录收入!$I:$I,MATCH($L506,分录收入!$L:$L,0)),"")</f>
        <v/>
      </c>
      <c r="H506" s="23"/>
      <c r="I506" s="70"/>
      <c r="L506" s="71" t="n">
        <f aca="false">IF(助手收入!$R$35="",-1,助手收入!$R$35*100+(助手收入!$S$35-1)*6+6)</f>
        <v>1906</v>
      </c>
    </row>
    <row r="507" customFormat="false" ht="23.25" hidden="false" customHeight="true" outlineLevel="0" collapsed="false">
      <c r="B507" s="72" t="str">
        <f aca="false">IF(助手收入!$T$35=1,"合计：","")</f>
        <v/>
      </c>
      <c r="C507" s="73" t="str">
        <f aca="false">IF(助手收入!$T$35=1,$F507,"")</f>
        <v/>
      </c>
      <c r="D507" s="74"/>
      <c r="E507" s="74"/>
      <c r="F507" s="75" t="str">
        <f aca="false">IF(助手收入!$T$35=1,INDEX(助手收入!$N$2:$N$66,助手收入!$R$35),"")</f>
        <v/>
      </c>
      <c r="G507" s="76" t="str">
        <f aca="false">IF(助手收入!$T$35=1,INDEX(助手收入!$O$2:$O$66,助手收入!$R$35),"")</f>
        <v/>
      </c>
      <c r="H507" s="74"/>
      <c r="I507" s="77"/>
    </row>
    <row r="508" customFormat="false" ht="6" hidden="false" customHeight="true" outlineLevel="0" collapsed="false"/>
    <row r="509" customFormat="false" ht="13.5" hidden="false" customHeight="false" outlineLevel="0" collapsed="false">
      <c r="B509" s="78" t="str">
        <f aca="false">IF(助手收入!$R$35&lt;&gt;"","会计主管：","")</f>
        <v>会计主管：</v>
      </c>
      <c r="D509" s="78" t="str">
        <f aca="false">IF(助手收入!$R$35&lt;&gt;"","会计：","")</f>
        <v>会计：</v>
      </c>
      <c r="E509" s="78" t="str">
        <f aca="false">IF(助手收入!$R$35&lt;&gt;"","出纳：","")</f>
        <v>出纳：</v>
      </c>
      <c r="F509" s="78" t="str">
        <f aca="false">IF(助手收入!$R$35&lt;&gt;"","复核：","")</f>
        <v>复核：</v>
      </c>
      <c r="G509" s="78" t="str">
        <f aca="false">IF(助手收入!$R$35&lt;&gt;"","制单：","")</f>
        <v>制单：</v>
      </c>
    </row>
    <row r="510" customFormat="false" ht="3" hidden="false" customHeight="true" outlineLevel="0" collapsed="false"/>
    <row r="511" customFormat="false" ht="19.5" hidden="false" customHeight="true" outlineLevel="0" collapsed="false">
      <c r="B511" s="53" t="str">
        <f aca="false">IF(助手收入!$R$36&lt;&gt;"","记  账  凭  证","")</f>
        <v>记  账  凭  证</v>
      </c>
      <c r="C511" s="53"/>
      <c r="D511" s="53"/>
      <c r="E511" s="53"/>
      <c r="F511" s="53"/>
      <c r="G511" s="53"/>
      <c r="H511" s="53"/>
      <c r="I511" s="53"/>
    </row>
    <row r="512" customFormat="false" ht="3" hidden="false" customHeight="true" outlineLevel="0" collapsed="false"/>
    <row r="513" customFormat="false" ht="15" hidden="false" customHeight="true" outlineLevel="0" collapsed="false">
      <c r="C513" s="56" t="n">
        <f aca="false">IF(助手收入!$R$36&lt;&gt;"",INDEX(助手收入!$B$2:$B$66,助手收入!$R$36),"")</f>
        <v>2024</v>
      </c>
      <c r="D513" s="57" t="n">
        <f aca="false">IF(助手收入!$R$36&lt;&gt;"",参数!$B$2,"")</f>
        <v>46234</v>
      </c>
      <c r="E513" s="57"/>
      <c r="F513" s="58" t="str">
        <f aca="false">IF(助手收入!$R$36&lt;&gt;"",INDEX(助手收入!$C$2:$C$66,助手收入!$R$36)&amp;"  字第 "&amp;IF(参数!$B$9="是",INDEX(助手收入!$P$2:$P$66,助手收入!$R$36),"　　　　")&amp;" 号"&amp;IF(INDEX(助手收入!$L$2:$L$66,助手收入!$R$36)&gt;1,"  (共"&amp;INDEX(助手收入!$L$2:$L$66,助手收入!$R$36)&amp;"页 第"&amp;助手收入!$S$36&amp;"页)",""),"")</f>
        <v>高村店  字第 　　　　 号  (共2页 第2页)</v>
      </c>
      <c r="G513" s="58"/>
      <c r="H513" s="58"/>
      <c r="I513" s="58"/>
      <c r="M513" s="59" t="n">
        <f aca="false">IF(助手收入!$R$36="","",助手收入!$Q$36)</f>
        <v>35</v>
      </c>
      <c r="N513" s="60" t="n">
        <f aca="false">IF(助手收入!$R$36="","",INDEX(助手收入!$P$2:$P$66,助手收入!$R$36))</f>
        <v>19</v>
      </c>
      <c r="O513" s="55" t="str">
        <f aca="false">IF(助手收入!$R$36="","",INDEX(助手收入!$C$2:$C$66,助手收入!$R$36)&amp;"  字第 "&amp;INDEX(助手收入!$P$2:$P$66,助手收入!$R$36)&amp;" 号"&amp;IF(INDEX(助手收入!$L$2:$L$66,助手收入!$R$36)&gt;1,"  (共"&amp;INDEX(助手收入!$L$2:$L$66,助手收入!$R$36)&amp;"页 第"&amp;助手收入!$S$36&amp;"页)",""))</f>
        <v>高村店  字第 19 号  (共2页 第2页)</v>
      </c>
    </row>
    <row r="514" customFormat="false" ht="12.75" hidden="false" customHeight="true" outlineLevel="0" collapsed="false">
      <c r="B514" s="61" t="str">
        <f aca="false">IF(助手收入!$R$36&lt;&gt;"","摘　　要","")</f>
        <v>摘　　要</v>
      </c>
      <c r="C514" s="61"/>
      <c r="D514" s="62" t="str">
        <f aca="false">IF(助手收入!$R$36&lt;&gt;"","科　　　　目","")</f>
        <v>科　　　　目</v>
      </c>
      <c r="E514" s="62"/>
      <c r="F514" s="61" t="str">
        <f aca="false">IF(助手收入!$R$36&lt;&gt;"","借 方 金 额","")</f>
        <v>借 方 金 额</v>
      </c>
      <c r="G514" s="62" t="str">
        <f aca="false">IF(助手收入!$R$36&lt;&gt;"","贷 方 金 额","")</f>
        <v>贷 方 金 额</v>
      </c>
      <c r="H514" s="63" t="str">
        <f aca="false">IF(助手收入!$R$36&lt;&gt;"","√","")</f>
        <v>√</v>
      </c>
      <c r="I514" s="64" t="str">
        <f aca="false">IF(助手收入!$R$36&lt;&gt;"","附单据  张","")</f>
        <v>附单据  张</v>
      </c>
    </row>
    <row r="515" customFormat="false" ht="12.75" hidden="false" customHeight="true" outlineLevel="0" collapsed="false">
      <c r="B515" s="61"/>
      <c r="C515" s="61"/>
      <c r="D515" s="23" t="str">
        <f aca="false">IF(助手收入!$R$36&lt;&gt;"","总 账 科 目","")</f>
        <v>总 账 科 目</v>
      </c>
      <c r="E515" s="23" t="str">
        <f aca="false">IF(助手收入!$R$36&lt;&gt;"","明 细 科 目","")</f>
        <v>明 细 科 目</v>
      </c>
      <c r="F515" s="65"/>
      <c r="G515" s="66"/>
      <c r="H515" s="63"/>
      <c r="I515" s="64"/>
    </row>
    <row r="516" customFormat="false" ht="23.25" hidden="false" customHeight="true" outlineLevel="0" collapsed="false">
      <c r="B516" s="67" t="str">
        <f aca="false">IFERROR(INDEX(分录收入!$M:$M,MATCH($L516,分录收入!$L:$L,0)),"")</f>
        <v>7月收入</v>
      </c>
      <c r="C516" s="67"/>
      <c r="D516" s="23" t="str">
        <f aca="false">IFERROR(INDEX(分录收入!$E:$E,MATCH($L516,分录收入!$L:$L,0)),"")</f>
        <v>主营业务收入</v>
      </c>
      <c r="E516" s="23" t="str">
        <f aca="false">IFERROR(INDEX(分录收入!$F:$F,MATCH($L516,分录收入!$L:$L,0)),"")</f>
        <v/>
      </c>
      <c r="F516" s="68" t="str">
        <f aca="false">IFERROR(INDEX(分录收入!$H:$H,MATCH($L516,分录收入!$L:$L,0)),"")</f>
        <v/>
      </c>
      <c r="G516" s="69" t="n">
        <f aca="false">IFERROR(INDEX(分录收入!$I:$I,MATCH($L516,分录收入!$L:$L,0)),"")</f>
        <v>101877.92</v>
      </c>
      <c r="H516" s="23"/>
      <c r="I516" s="70"/>
      <c r="L516" s="71" t="n">
        <f aca="false">IF(助手收入!$R$36="",-1,助手收入!$R$36*100+(助手收入!$S$36-1)*6+1)</f>
        <v>1907</v>
      </c>
    </row>
    <row r="517" customFormat="false" ht="23.25" hidden="false" customHeight="true" outlineLevel="0" collapsed="false">
      <c r="B517" s="67" t="str">
        <f aca="false">""</f>
        <v/>
      </c>
      <c r="C517" s="67"/>
      <c r="D517" s="23" t="str">
        <f aca="false">IFERROR(INDEX(分录收入!$E:$E,MATCH($L517,分录收入!$L:$L,0)),"")</f>
        <v/>
      </c>
      <c r="E517" s="23" t="str">
        <f aca="false">IFERROR(INDEX(分录收入!$F:$F,MATCH($L517,分录收入!$L:$L,0)),"")</f>
        <v/>
      </c>
      <c r="F517" s="68" t="str">
        <f aca="false">IFERROR(INDEX(分录收入!$H:$H,MATCH($L517,分录收入!$L:$L,0)),"")</f>
        <v/>
      </c>
      <c r="G517" s="69" t="str">
        <f aca="false">IFERROR(INDEX(分录收入!$I:$I,MATCH($L517,分录收入!$L:$L,0)),"")</f>
        <v/>
      </c>
      <c r="H517" s="23"/>
      <c r="I517" s="70"/>
      <c r="L517" s="71" t="n">
        <f aca="false">IF(助手收入!$R$36="",-1,助手收入!$R$36*100+(助手收入!$S$36-1)*6+2)</f>
        <v>1908</v>
      </c>
    </row>
    <row r="518" customFormat="false" ht="23.25" hidden="false" customHeight="true" outlineLevel="0" collapsed="false">
      <c r="B518" s="67" t="str">
        <f aca="false">""</f>
        <v/>
      </c>
      <c r="C518" s="67"/>
      <c r="D518" s="23" t="str">
        <f aca="false">IFERROR(INDEX(分录收入!$E:$E,MATCH($L518,分录收入!$L:$L,0)),"")</f>
        <v/>
      </c>
      <c r="E518" s="23" t="str">
        <f aca="false">IFERROR(INDEX(分录收入!$F:$F,MATCH($L518,分录收入!$L:$L,0)),"")</f>
        <v/>
      </c>
      <c r="F518" s="68" t="str">
        <f aca="false">IFERROR(INDEX(分录收入!$H:$H,MATCH($L518,分录收入!$L:$L,0)),"")</f>
        <v/>
      </c>
      <c r="G518" s="69" t="str">
        <f aca="false">IFERROR(INDEX(分录收入!$I:$I,MATCH($L518,分录收入!$L:$L,0)),"")</f>
        <v/>
      </c>
      <c r="H518" s="23"/>
      <c r="I518" s="70"/>
      <c r="L518" s="71" t="n">
        <f aca="false">IF(助手收入!$R$36="",-1,助手收入!$R$36*100+(助手收入!$S$36-1)*6+3)</f>
        <v>1909</v>
      </c>
    </row>
    <row r="519" customFormat="false" ht="23.25" hidden="false" customHeight="true" outlineLevel="0" collapsed="false">
      <c r="B519" s="67" t="str">
        <f aca="false">""</f>
        <v/>
      </c>
      <c r="C519" s="67"/>
      <c r="D519" s="23" t="str">
        <f aca="false">IFERROR(INDEX(分录收入!$E:$E,MATCH($L519,分录收入!$L:$L,0)),"")</f>
        <v/>
      </c>
      <c r="E519" s="23" t="str">
        <f aca="false">IFERROR(INDEX(分录收入!$F:$F,MATCH($L519,分录收入!$L:$L,0)),"")</f>
        <v/>
      </c>
      <c r="F519" s="68" t="str">
        <f aca="false">IFERROR(INDEX(分录收入!$H:$H,MATCH($L519,分录收入!$L:$L,0)),"")</f>
        <v/>
      </c>
      <c r="G519" s="69" t="str">
        <f aca="false">IFERROR(INDEX(分录收入!$I:$I,MATCH($L519,分录收入!$L:$L,0)),"")</f>
        <v/>
      </c>
      <c r="H519" s="23"/>
      <c r="I519" s="70"/>
      <c r="L519" s="71" t="n">
        <f aca="false">IF(助手收入!$R$36="",-1,助手收入!$R$36*100+(助手收入!$S$36-1)*6+4)</f>
        <v>1910</v>
      </c>
    </row>
    <row r="520" customFormat="false" ht="23.25" hidden="false" customHeight="true" outlineLevel="0" collapsed="false">
      <c r="B520" s="67" t="str">
        <f aca="false">""</f>
        <v/>
      </c>
      <c r="C520" s="67"/>
      <c r="D520" s="23" t="str">
        <f aca="false">IFERROR(INDEX(分录收入!$E:$E,MATCH($L520,分录收入!$L:$L,0)),"")</f>
        <v/>
      </c>
      <c r="E520" s="23" t="str">
        <f aca="false">IFERROR(INDEX(分录收入!$F:$F,MATCH($L520,分录收入!$L:$L,0)),"")</f>
        <v/>
      </c>
      <c r="F520" s="68" t="str">
        <f aca="false">IFERROR(INDEX(分录收入!$H:$H,MATCH($L520,分录收入!$L:$L,0)),"")</f>
        <v/>
      </c>
      <c r="G520" s="69" t="str">
        <f aca="false">IFERROR(INDEX(分录收入!$I:$I,MATCH($L520,分录收入!$L:$L,0)),"")</f>
        <v/>
      </c>
      <c r="H520" s="23"/>
      <c r="I520" s="70"/>
      <c r="L520" s="71" t="n">
        <f aca="false">IF(助手收入!$R$36="",-1,助手收入!$R$36*100+(助手收入!$S$36-1)*6+5)</f>
        <v>1911</v>
      </c>
    </row>
    <row r="521" customFormat="false" ht="23.25" hidden="false" customHeight="true" outlineLevel="0" collapsed="false">
      <c r="B521" s="67" t="str">
        <f aca="false">""</f>
        <v/>
      </c>
      <c r="C521" s="67"/>
      <c r="D521" s="23" t="str">
        <f aca="false">IFERROR(INDEX(分录收入!$E:$E,MATCH($L521,分录收入!$L:$L,0)),"")</f>
        <v/>
      </c>
      <c r="E521" s="23" t="str">
        <f aca="false">IFERROR(INDEX(分录收入!$F:$F,MATCH($L521,分录收入!$L:$L,0)),"")</f>
        <v/>
      </c>
      <c r="F521" s="68" t="str">
        <f aca="false">IFERROR(INDEX(分录收入!$H:$H,MATCH($L521,分录收入!$L:$L,0)),"")</f>
        <v/>
      </c>
      <c r="G521" s="69" t="str">
        <f aca="false">IFERROR(INDEX(分录收入!$I:$I,MATCH($L521,分录收入!$L:$L,0)),"")</f>
        <v/>
      </c>
      <c r="H521" s="23"/>
      <c r="I521" s="70"/>
      <c r="L521" s="71" t="n">
        <f aca="false">IF(助手收入!$R$36="",-1,助手收入!$R$36*100+(助手收入!$S$36-1)*6+6)</f>
        <v>1912</v>
      </c>
    </row>
    <row r="522" customFormat="false" ht="23.25" hidden="false" customHeight="true" outlineLevel="0" collapsed="false">
      <c r="B522" s="72" t="str">
        <f aca="false">IF(助手收入!$T$36=1,"合计：","")</f>
        <v>合计：</v>
      </c>
      <c r="C522" s="73" t="n">
        <f aca="false">IF(助手收入!$T$36=1,$F522,"")</f>
        <v>101877.92</v>
      </c>
      <c r="D522" s="74"/>
      <c r="E522" s="74"/>
      <c r="F522" s="75" t="n">
        <f aca="false">IF(助手收入!$T$36=1,INDEX(助手收入!$N$2:$N$66,助手收入!$R$36),"")</f>
        <v>101877.92</v>
      </c>
      <c r="G522" s="76" t="n">
        <f aca="false">IF(助手收入!$T$36=1,INDEX(助手收入!$O$2:$O$66,助手收入!$R$36),"")</f>
        <v>101877.92</v>
      </c>
      <c r="H522" s="74"/>
      <c r="I522" s="77"/>
    </row>
    <row r="523" customFormat="false" ht="6" hidden="false" customHeight="true" outlineLevel="0" collapsed="false"/>
    <row r="524" customFormat="false" ht="13.5" hidden="false" customHeight="false" outlineLevel="0" collapsed="false">
      <c r="B524" s="78" t="str">
        <f aca="false">IF(助手收入!$R$36&lt;&gt;"","会计主管：","")</f>
        <v>会计主管：</v>
      </c>
      <c r="D524" s="78" t="str">
        <f aca="false">IF(助手收入!$R$36&lt;&gt;"","会计：","")</f>
        <v>会计：</v>
      </c>
      <c r="E524" s="78" t="str">
        <f aca="false">IF(助手收入!$R$36&lt;&gt;"","出纳：","")</f>
        <v>出纳：</v>
      </c>
      <c r="F524" s="78" t="str">
        <f aca="false">IF(助手收入!$R$36&lt;&gt;"","复核：","")</f>
        <v>复核：</v>
      </c>
      <c r="G524" s="78" t="str">
        <f aca="false">IF(助手收入!$R$36&lt;&gt;"","制单：","")</f>
        <v>制单：</v>
      </c>
    </row>
    <row r="525" customFormat="false" ht="3" hidden="false" customHeight="true" outlineLevel="0" collapsed="false"/>
    <row r="526" customFormat="false" ht="19.5" hidden="false" customHeight="true" outlineLevel="0" collapsed="false">
      <c r="B526" s="53" t="str">
        <f aca="false">IF(助手收入!$R$37&lt;&gt;"","记  账  凭  证","")</f>
        <v>记  账  凭  证</v>
      </c>
      <c r="C526" s="53"/>
      <c r="D526" s="53"/>
      <c r="E526" s="53"/>
      <c r="F526" s="53"/>
      <c r="G526" s="53"/>
      <c r="H526" s="53"/>
      <c r="I526" s="53"/>
    </row>
    <row r="527" customFormat="false" ht="3" hidden="false" customHeight="true" outlineLevel="0" collapsed="false"/>
    <row r="528" customFormat="false" ht="15" hidden="false" customHeight="true" outlineLevel="0" collapsed="false">
      <c r="C528" s="56" t="n">
        <f aca="false">IF(助手收入!$R$37&lt;&gt;"",INDEX(助手收入!$B$2:$B$66,助手收入!$R$37),"")</f>
        <v>2026</v>
      </c>
      <c r="D528" s="57" t="n">
        <f aca="false">IF(助手收入!$R$37&lt;&gt;"",参数!$B$2,"")</f>
        <v>46234</v>
      </c>
      <c r="E528" s="57"/>
      <c r="F528" s="58" t="str">
        <f aca="false">IF(助手收入!$R$37&lt;&gt;"",INDEX(助手收入!$C$2:$C$66,助手收入!$R$37)&amp;"  字第 "&amp;IF(参数!$B$9="是",INDEX(助手收入!$P$2:$P$66,助手收入!$R$37),"　　　　")&amp;" 号"&amp;IF(INDEX(助手收入!$L$2:$L$66,助手收入!$R$37)&gt;1,"  (共"&amp;INDEX(助手收入!$L$2:$L$66,助手收入!$R$37)&amp;"页 第"&amp;助手收入!$S$37&amp;"页)",""),"")</f>
        <v>彭村店  字第 　　　　 号  (共2页 第1页)</v>
      </c>
      <c r="G528" s="58"/>
      <c r="H528" s="58"/>
      <c r="I528" s="58"/>
      <c r="M528" s="59" t="n">
        <f aca="false">IF(助手收入!$R$37="","",助手收入!$Q$37)</f>
        <v>36</v>
      </c>
      <c r="N528" s="60" t="n">
        <f aca="false">IF(助手收入!$R$37="","",INDEX(助手收入!$P$2:$P$66,助手收入!$R$37))</f>
        <v>20</v>
      </c>
      <c r="O528" s="55" t="str">
        <f aca="false">IF(助手收入!$R$37="","",INDEX(助手收入!$C$2:$C$66,助手收入!$R$37)&amp;"  字第 "&amp;INDEX(助手收入!$P$2:$P$66,助手收入!$R$37)&amp;" 号"&amp;IF(INDEX(助手收入!$L$2:$L$66,助手收入!$R$37)&gt;1,"  (共"&amp;INDEX(助手收入!$L$2:$L$66,助手收入!$R$37)&amp;"页 第"&amp;助手收入!$S$37&amp;"页)",""))</f>
        <v>彭村店  字第 20 号  (共2页 第1页)</v>
      </c>
    </row>
    <row r="529" customFormat="false" ht="12.75" hidden="false" customHeight="true" outlineLevel="0" collapsed="false">
      <c r="B529" s="61" t="str">
        <f aca="false">IF(助手收入!$R$37&lt;&gt;"","摘　　要","")</f>
        <v>摘　　要</v>
      </c>
      <c r="C529" s="61"/>
      <c r="D529" s="62" t="str">
        <f aca="false">IF(助手收入!$R$37&lt;&gt;"","科　　　　目","")</f>
        <v>科　　　　目</v>
      </c>
      <c r="E529" s="62"/>
      <c r="F529" s="61" t="str">
        <f aca="false">IF(助手收入!$R$37&lt;&gt;"","借 方 金 额","")</f>
        <v>借 方 金 额</v>
      </c>
      <c r="G529" s="62" t="str">
        <f aca="false">IF(助手收入!$R$37&lt;&gt;"","贷 方 金 额","")</f>
        <v>贷 方 金 额</v>
      </c>
      <c r="H529" s="63" t="str">
        <f aca="false">IF(助手收入!$R$37&lt;&gt;"","√","")</f>
        <v>√</v>
      </c>
      <c r="I529" s="64" t="str">
        <f aca="false">IF(助手收入!$R$37&lt;&gt;"","附单据  张","")</f>
        <v>附单据  张</v>
      </c>
    </row>
    <row r="530" customFormat="false" ht="12.75" hidden="false" customHeight="true" outlineLevel="0" collapsed="false">
      <c r="B530" s="61"/>
      <c r="C530" s="61"/>
      <c r="D530" s="23" t="str">
        <f aca="false">IF(助手收入!$R$37&lt;&gt;"","总 账 科 目","")</f>
        <v>总 账 科 目</v>
      </c>
      <c r="E530" s="23" t="str">
        <f aca="false">IF(助手收入!$R$37&lt;&gt;"","明 细 科 目","")</f>
        <v>明 细 科 目</v>
      </c>
      <c r="F530" s="65"/>
      <c r="G530" s="66"/>
      <c r="H530" s="63"/>
      <c r="I530" s="64"/>
    </row>
    <row r="531" customFormat="false" ht="23.25" hidden="false" customHeight="true" outlineLevel="0" collapsed="false">
      <c r="B531" s="67" t="str">
        <f aca="false">IFERROR(INDEX(分录收入!$M:$M,MATCH($L531,分录收入!$L:$L,0)),"")</f>
        <v>7月收入</v>
      </c>
      <c r="C531" s="67"/>
      <c r="D531" s="23" t="str">
        <f aca="false">IFERROR(INDEX(分录收入!$E:$E,MATCH($L531,分录收入!$L:$L,0)),"")</f>
        <v>库存现金</v>
      </c>
      <c r="E531" s="23" t="str">
        <f aca="false">IFERROR(INDEX(分录收入!$F:$F,MATCH($L531,分录收入!$L:$L,0)),"")</f>
        <v/>
      </c>
      <c r="F531" s="68" t="n">
        <f aca="false">IFERROR(INDEX(分录收入!$H:$H,MATCH($L531,分录收入!$L:$L,0)),"")</f>
        <v>7900.28</v>
      </c>
      <c r="G531" s="69" t="str">
        <f aca="false">IFERROR(INDEX(分录收入!$I:$I,MATCH($L531,分录收入!$L:$L,0)),"")</f>
        <v/>
      </c>
      <c r="H531" s="23"/>
      <c r="I531" s="70"/>
      <c r="L531" s="71" t="n">
        <f aca="false">IF(助手收入!$R$37="",-1,助手收入!$R$37*100+(助手收入!$S$37-1)*6+1)</f>
        <v>2001</v>
      </c>
    </row>
    <row r="532" customFormat="false" ht="23.25" hidden="false" customHeight="true" outlineLevel="0" collapsed="false">
      <c r="B532" s="67" t="str">
        <f aca="false">""</f>
        <v/>
      </c>
      <c r="C532" s="67"/>
      <c r="D532" s="23" t="str">
        <f aca="false">IFERROR(INDEX(分录收入!$E:$E,MATCH($L532,分录收入!$L:$L,0)),"")</f>
        <v>应收账款</v>
      </c>
      <c r="E532" s="23" t="str">
        <f aca="false">IFERROR(INDEX(分录收入!$F:$F,MATCH($L532,分录收入!$L:$L,0)),"")</f>
        <v>聚合支付</v>
      </c>
      <c r="F532" s="68" t="n">
        <f aca="false">IFERROR(INDEX(分录收入!$H:$H,MATCH($L532,分录收入!$L:$L,0)),"")</f>
        <v>25175.8</v>
      </c>
      <c r="G532" s="69" t="str">
        <f aca="false">IFERROR(INDEX(分录收入!$I:$I,MATCH($L532,分录收入!$L:$L,0)),"")</f>
        <v/>
      </c>
      <c r="H532" s="23"/>
      <c r="I532" s="70"/>
      <c r="L532" s="71" t="n">
        <f aca="false">IF(助手收入!$R$37="",-1,助手收入!$R$37*100+(助手收入!$S$37-1)*6+2)</f>
        <v>2002</v>
      </c>
    </row>
    <row r="533" customFormat="false" ht="23.25" hidden="false" customHeight="true" outlineLevel="0" collapsed="false">
      <c r="B533" s="67" t="str">
        <f aca="false">""</f>
        <v/>
      </c>
      <c r="C533" s="67"/>
      <c r="D533" s="23" t="str">
        <f aca="false">IFERROR(INDEX(分录收入!$E:$E,MATCH($L533,分录收入!$L:$L,0)),"")</f>
        <v>应收账款</v>
      </c>
      <c r="E533" s="23" t="str">
        <f aca="false">IFERROR(INDEX(分录收入!$F:$F,MATCH($L533,分录收入!$L:$L,0)),"")</f>
        <v>医保</v>
      </c>
      <c r="F533" s="68" t="n">
        <f aca="false">IFERROR(INDEX(分录收入!$H:$H,MATCH($L533,分录收入!$L:$L,0)),"")</f>
        <v>1260.36</v>
      </c>
      <c r="G533" s="69" t="str">
        <f aca="false">IFERROR(INDEX(分录收入!$I:$I,MATCH($L533,分录收入!$L:$L,0)),"")</f>
        <v/>
      </c>
      <c r="H533" s="23"/>
      <c r="I533" s="70"/>
      <c r="L533" s="71" t="n">
        <f aca="false">IF(助手收入!$R$37="",-1,助手收入!$R$37*100+(助手收入!$S$37-1)*6+3)</f>
        <v>2003</v>
      </c>
    </row>
    <row r="534" customFormat="false" ht="23.25" hidden="false" customHeight="true" outlineLevel="0" collapsed="false">
      <c r="B534" s="67" t="str">
        <f aca="false">""</f>
        <v/>
      </c>
      <c r="C534" s="67"/>
      <c r="D534" s="23" t="str">
        <f aca="false">IFERROR(INDEX(分录收入!$E:$E,MATCH($L534,分录收入!$L:$L,0)),"")</f>
        <v>其他应付款</v>
      </c>
      <c r="E534" s="23" t="str">
        <f aca="false">IFERROR(INDEX(分录收入!$F:$F,MATCH($L534,分录收入!$L:$L,0)),"")</f>
        <v>会员零钱包</v>
      </c>
      <c r="F534" s="68" t="str">
        <f aca="false">IFERROR(INDEX(分录收入!$H:$H,MATCH($L534,分录收入!$L:$L,0)),"")</f>
        <v/>
      </c>
      <c r="G534" s="69" t="n">
        <f aca="false">IFERROR(INDEX(分录收入!$I:$I,MATCH($L534,分录收入!$L:$L,0)),"")</f>
        <v>0.2</v>
      </c>
      <c r="H534" s="23"/>
      <c r="I534" s="70"/>
      <c r="L534" s="71" t="n">
        <f aca="false">IF(助手收入!$R$37="",-1,助手收入!$R$37*100+(助手收入!$S$37-1)*6+4)</f>
        <v>2004</v>
      </c>
    </row>
    <row r="535" customFormat="false" ht="23.25" hidden="false" customHeight="true" outlineLevel="0" collapsed="false">
      <c r="B535" s="67" t="str">
        <f aca="false">""</f>
        <v/>
      </c>
      <c r="C535" s="67"/>
      <c r="D535" s="23" t="str">
        <f aca="false">IFERROR(INDEX(分录收入!$E:$E,MATCH($L535,分录收入!$L:$L,0)),"")</f>
        <v>销售费用</v>
      </c>
      <c r="E535" s="23" t="str">
        <f aca="false">IFERROR(INDEX(分录收入!$F:$F,MATCH($L535,分录收入!$L:$L,0)),"")</f>
        <v>促销费</v>
      </c>
      <c r="F535" s="68" t="n">
        <f aca="false">IFERROR(INDEX(分录收入!$H:$H,MATCH($L535,分录收入!$L:$L,0)),"")</f>
        <v>841.3</v>
      </c>
      <c r="G535" s="69" t="str">
        <f aca="false">IFERROR(INDEX(分录收入!$I:$I,MATCH($L535,分录收入!$L:$L,0)),"")</f>
        <v/>
      </c>
      <c r="H535" s="23"/>
      <c r="I535" s="70"/>
      <c r="L535" s="71" t="n">
        <f aca="false">IF(助手收入!$R$37="",-1,助手收入!$R$37*100+(助手收入!$S$37-1)*6+5)</f>
        <v>2005</v>
      </c>
    </row>
    <row r="536" customFormat="false" ht="23.25" hidden="false" customHeight="true" outlineLevel="0" collapsed="false">
      <c r="B536" s="67" t="str">
        <f aca="false">""</f>
        <v/>
      </c>
      <c r="C536" s="67"/>
      <c r="D536" s="23" t="str">
        <f aca="false">IFERROR(INDEX(分录收入!$E:$E,MATCH($L536,分录收入!$L:$L,0)),"")</f>
        <v>财务费用</v>
      </c>
      <c r="E536" s="23" t="str">
        <f aca="false">IFERROR(INDEX(分录收入!$F:$F,MATCH($L536,分录收入!$L:$L,0)),"")</f>
        <v>手续费</v>
      </c>
      <c r="F536" s="68" t="n">
        <f aca="false">IFERROR(INDEX(分录收入!$H:$H,MATCH($L536,分录收入!$L:$L,0)),"")</f>
        <v>68.16</v>
      </c>
      <c r="G536" s="69" t="str">
        <f aca="false">IFERROR(INDEX(分录收入!$I:$I,MATCH($L536,分录收入!$L:$L,0)),"")</f>
        <v/>
      </c>
      <c r="H536" s="23"/>
      <c r="I536" s="70"/>
      <c r="L536" s="71" t="n">
        <f aca="false">IF(助手收入!$R$37="",-1,助手收入!$R$37*100+(助手收入!$S$37-1)*6+6)</f>
        <v>2006</v>
      </c>
    </row>
    <row r="537" customFormat="false" ht="23.25" hidden="false" customHeight="true" outlineLevel="0" collapsed="false">
      <c r="B537" s="72" t="str">
        <f aca="false">IF(助手收入!$T$37=1,"合计：","")</f>
        <v/>
      </c>
      <c r="C537" s="73" t="str">
        <f aca="false">IF(助手收入!$T$37=1,$F537,"")</f>
        <v/>
      </c>
      <c r="D537" s="74"/>
      <c r="E537" s="74"/>
      <c r="F537" s="75" t="str">
        <f aca="false">IF(助手收入!$T$37=1,INDEX(助手收入!$N$2:$N$66,助手收入!$R$37),"")</f>
        <v/>
      </c>
      <c r="G537" s="76" t="str">
        <f aca="false">IF(助手收入!$T$37=1,INDEX(助手收入!$O$2:$O$66,助手收入!$R$37),"")</f>
        <v/>
      </c>
      <c r="H537" s="74"/>
      <c r="I537" s="77"/>
    </row>
    <row r="538" customFormat="false" ht="6" hidden="false" customHeight="true" outlineLevel="0" collapsed="false"/>
    <row r="539" customFormat="false" ht="13.5" hidden="false" customHeight="false" outlineLevel="0" collapsed="false">
      <c r="B539" s="78" t="str">
        <f aca="false">IF(助手收入!$R$37&lt;&gt;"","会计主管：","")</f>
        <v>会计主管：</v>
      </c>
      <c r="D539" s="78" t="str">
        <f aca="false">IF(助手收入!$R$37&lt;&gt;"","会计：","")</f>
        <v>会计：</v>
      </c>
      <c r="E539" s="78" t="str">
        <f aca="false">IF(助手收入!$R$37&lt;&gt;"","出纳：","")</f>
        <v>出纳：</v>
      </c>
      <c r="F539" s="78" t="str">
        <f aca="false">IF(助手收入!$R$37&lt;&gt;"","复核：","")</f>
        <v>复核：</v>
      </c>
      <c r="G539" s="78" t="str">
        <f aca="false">IF(助手收入!$R$37&lt;&gt;"","制单：","")</f>
        <v>制单：</v>
      </c>
    </row>
    <row r="540" customFormat="false" ht="3" hidden="false" customHeight="true" outlineLevel="0" collapsed="false"/>
    <row r="541" customFormat="false" ht="19.5" hidden="false" customHeight="true" outlineLevel="0" collapsed="false">
      <c r="B541" s="53" t="str">
        <f aca="false">IF(助手收入!$R$38&lt;&gt;"","记  账  凭  证","")</f>
        <v>记  账  凭  证</v>
      </c>
      <c r="C541" s="53"/>
      <c r="D541" s="53"/>
      <c r="E541" s="53"/>
      <c r="F541" s="53"/>
      <c r="G541" s="53"/>
      <c r="H541" s="53"/>
      <c r="I541" s="53"/>
    </row>
    <row r="542" customFormat="false" ht="3" hidden="false" customHeight="true" outlineLevel="0" collapsed="false"/>
    <row r="543" customFormat="false" ht="15" hidden="false" customHeight="true" outlineLevel="0" collapsed="false">
      <c r="C543" s="56" t="n">
        <f aca="false">IF(助手收入!$R$38&lt;&gt;"",INDEX(助手收入!$B$2:$B$66,助手收入!$R$38),"")</f>
        <v>2026</v>
      </c>
      <c r="D543" s="57" t="n">
        <f aca="false">IF(助手收入!$R$38&lt;&gt;"",参数!$B$2,"")</f>
        <v>46234</v>
      </c>
      <c r="E543" s="57"/>
      <c r="F543" s="58" t="str">
        <f aca="false">IF(助手收入!$R$38&lt;&gt;"",INDEX(助手收入!$C$2:$C$66,助手收入!$R$38)&amp;"  字第 "&amp;IF(参数!$B$9="是",INDEX(助手收入!$P$2:$P$66,助手收入!$R$38),"　　　　")&amp;" 号"&amp;IF(INDEX(助手收入!$L$2:$L$66,助手收入!$R$38)&gt;1,"  (共"&amp;INDEX(助手收入!$L$2:$L$66,助手收入!$R$38)&amp;"页 第"&amp;助手收入!$S$38&amp;"页)",""),"")</f>
        <v>彭村店  字第 　　　　 号  (共2页 第2页)</v>
      </c>
      <c r="G543" s="58"/>
      <c r="H543" s="58"/>
      <c r="I543" s="58"/>
      <c r="M543" s="59" t="n">
        <f aca="false">IF(助手收入!$R$38="","",助手收入!$Q$38)</f>
        <v>37</v>
      </c>
      <c r="N543" s="60" t="n">
        <f aca="false">IF(助手收入!$R$38="","",INDEX(助手收入!$P$2:$P$66,助手收入!$R$38))</f>
        <v>20</v>
      </c>
      <c r="O543" s="55" t="str">
        <f aca="false">IF(助手收入!$R$38="","",INDEX(助手收入!$C$2:$C$66,助手收入!$R$38)&amp;"  字第 "&amp;INDEX(助手收入!$P$2:$P$66,助手收入!$R$38)&amp;" 号"&amp;IF(INDEX(助手收入!$L$2:$L$66,助手收入!$R$38)&gt;1,"  (共"&amp;INDEX(助手收入!$L$2:$L$66,助手收入!$R$38)&amp;"页 第"&amp;助手收入!$S$38&amp;"页)",""))</f>
        <v>彭村店  字第 20 号  (共2页 第2页)</v>
      </c>
    </row>
    <row r="544" customFormat="false" ht="12.75" hidden="false" customHeight="true" outlineLevel="0" collapsed="false">
      <c r="B544" s="61" t="str">
        <f aca="false">IF(助手收入!$R$38&lt;&gt;"","摘　　要","")</f>
        <v>摘　　要</v>
      </c>
      <c r="C544" s="61"/>
      <c r="D544" s="62" t="str">
        <f aca="false">IF(助手收入!$R$38&lt;&gt;"","科　　　　目","")</f>
        <v>科　　　　目</v>
      </c>
      <c r="E544" s="62"/>
      <c r="F544" s="61" t="str">
        <f aca="false">IF(助手收入!$R$38&lt;&gt;"","借 方 金 额","")</f>
        <v>借 方 金 额</v>
      </c>
      <c r="G544" s="62" t="str">
        <f aca="false">IF(助手收入!$R$38&lt;&gt;"","贷 方 金 额","")</f>
        <v>贷 方 金 额</v>
      </c>
      <c r="H544" s="63" t="str">
        <f aca="false">IF(助手收入!$R$38&lt;&gt;"","√","")</f>
        <v>√</v>
      </c>
      <c r="I544" s="64" t="str">
        <f aca="false">IF(助手收入!$R$38&lt;&gt;"","附单据  张","")</f>
        <v>附单据  张</v>
      </c>
    </row>
    <row r="545" customFormat="false" ht="12.75" hidden="false" customHeight="true" outlineLevel="0" collapsed="false">
      <c r="B545" s="61"/>
      <c r="C545" s="61"/>
      <c r="D545" s="23" t="str">
        <f aca="false">IF(助手收入!$R$38&lt;&gt;"","总 账 科 目","")</f>
        <v>总 账 科 目</v>
      </c>
      <c r="E545" s="23" t="str">
        <f aca="false">IF(助手收入!$R$38&lt;&gt;"","明 细 科 目","")</f>
        <v>明 细 科 目</v>
      </c>
      <c r="F545" s="65"/>
      <c r="G545" s="66"/>
      <c r="H545" s="63"/>
      <c r="I545" s="64"/>
    </row>
    <row r="546" customFormat="false" ht="23.25" hidden="false" customHeight="true" outlineLevel="0" collapsed="false">
      <c r="B546" s="67" t="str">
        <f aca="false">IFERROR(INDEX(分录收入!$M:$M,MATCH($L546,分录收入!$L:$L,0)),"")</f>
        <v>7月收入</v>
      </c>
      <c r="C546" s="67"/>
      <c r="D546" s="23" t="str">
        <f aca="false">IFERROR(INDEX(分录收入!$E:$E,MATCH($L546,分录收入!$L:$L,0)),"")</f>
        <v>主营业务收入</v>
      </c>
      <c r="E546" s="23" t="str">
        <f aca="false">IFERROR(INDEX(分录收入!$F:$F,MATCH($L546,分录收入!$L:$L,0)),"")</f>
        <v/>
      </c>
      <c r="F546" s="68" t="str">
        <f aca="false">IFERROR(INDEX(分录收入!$H:$H,MATCH($L546,分录收入!$L:$L,0)),"")</f>
        <v/>
      </c>
      <c r="G546" s="69" t="n">
        <f aca="false">IFERROR(INDEX(分录收入!$I:$I,MATCH($L546,分录收入!$L:$L,0)),"")</f>
        <v>35245.7</v>
      </c>
      <c r="H546" s="23"/>
      <c r="I546" s="70"/>
      <c r="L546" s="71" t="n">
        <f aca="false">IF(助手收入!$R$38="",-1,助手收入!$R$38*100+(助手收入!$S$38-1)*6+1)</f>
        <v>2007</v>
      </c>
    </row>
    <row r="547" customFormat="false" ht="23.25" hidden="false" customHeight="true" outlineLevel="0" collapsed="false">
      <c r="B547" s="67" t="str">
        <f aca="false">""</f>
        <v/>
      </c>
      <c r="C547" s="67"/>
      <c r="D547" s="23" t="str">
        <f aca="false">IFERROR(INDEX(分录收入!$E:$E,MATCH($L547,分录收入!$L:$L,0)),"")</f>
        <v/>
      </c>
      <c r="E547" s="23" t="str">
        <f aca="false">IFERROR(INDEX(分录收入!$F:$F,MATCH($L547,分录收入!$L:$L,0)),"")</f>
        <v/>
      </c>
      <c r="F547" s="68" t="str">
        <f aca="false">IFERROR(INDEX(分录收入!$H:$H,MATCH($L547,分录收入!$L:$L,0)),"")</f>
        <v/>
      </c>
      <c r="G547" s="69" t="str">
        <f aca="false">IFERROR(INDEX(分录收入!$I:$I,MATCH($L547,分录收入!$L:$L,0)),"")</f>
        <v/>
      </c>
      <c r="H547" s="23"/>
      <c r="I547" s="70"/>
      <c r="L547" s="71" t="n">
        <f aca="false">IF(助手收入!$R$38="",-1,助手收入!$R$38*100+(助手收入!$S$38-1)*6+2)</f>
        <v>2008</v>
      </c>
    </row>
    <row r="548" customFormat="false" ht="23.25" hidden="false" customHeight="true" outlineLevel="0" collapsed="false">
      <c r="B548" s="67" t="str">
        <f aca="false">""</f>
        <v/>
      </c>
      <c r="C548" s="67"/>
      <c r="D548" s="23" t="str">
        <f aca="false">IFERROR(INDEX(分录收入!$E:$E,MATCH($L548,分录收入!$L:$L,0)),"")</f>
        <v/>
      </c>
      <c r="E548" s="23" t="str">
        <f aca="false">IFERROR(INDEX(分录收入!$F:$F,MATCH($L548,分录收入!$L:$L,0)),"")</f>
        <v/>
      </c>
      <c r="F548" s="68" t="str">
        <f aca="false">IFERROR(INDEX(分录收入!$H:$H,MATCH($L548,分录收入!$L:$L,0)),"")</f>
        <v/>
      </c>
      <c r="G548" s="69" t="str">
        <f aca="false">IFERROR(INDEX(分录收入!$I:$I,MATCH($L548,分录收入!$L:$L,0)),"")</f>
        <v/>
      </c>
      <c r="H548" s="23"/>
      <c r="I548" s="70"/>
      <c r="L548" s="71" t="n">
        <f aca="false">IF(助手收入!$R$38="",-1,助手收入!$R$38*100+(助手收入!$S$38-1)*6+3)</f>
        <v>2009</v>
      </c>
    </row>
    <row r="549" customFormat="false" ht="23.25" hidden="false" customHeight="true" outlineLevel="0" collapsed="false">
      <c r="B549" s="67" t="str">
        <f aca="false">""</f>
        <v/>
      </c>
      <c r="C549" s="67"/>
      <c r="D549" s="23" t="str">
        <f aca="false">IFERROR(INDEX(分录收入!$E:$E,MATCH($L549,分录收入!$L:$L,0)),"")</f>
        <v/>
      </c>
      <c r="E549" s="23" t="str">
        <f aca="false">IFERROR(INDEX(分录收入!$F:$F,MATCH($L549,分录收入!$L:$L,0)),"")</f>
        <v/>
      </c>
      <c r="F549" s="68" t="str">
        <f aca="false">IFERROR(INDEX(分录收入!$H:$H,MATCH($L549,分录收入!$L:$L,0)),"")</f>
        <v/>
      </c>
      <c r="G549" s="69" t="str">
        <f aca="false">IFERROR(INDEX(分录收入!$I:$I,MATCH($L549,分录收入!$L:$L,0)),"")</f>
        <v/>
      </c>
      <c r="H549" s="23"/>
      <c r="I549" s="70"/>
      <c r="L549" s="71" t="n">
        <f aca="false">IF(助手收入!$R$38="",-1,助手收入!$R$38*100+(助手收入!$S$38-1)*6+4)</f>
        <v>2010</v>
      </c>
    </row>
    <row r="550" customFormat="false" ht="23.25" hidden="false" customHeight="true" outlineLevel="0" collapsed="false">
      <c r="B550" s="67" t="str">
        <f aca="false">""</f>
        <v/>
      </c>
      <c r="C550" s="67"/>
      <c r="D550" s="23" t="str">
        <f aca="false">IFERROR(INDEX(分录收入!$E:$E,MATCH($L550,分录收入!$L:$L,0)),"")</f>
        <v/>
      </c>
      <c r="E550" s="23" t="str">
        <f aca="false">IFERROR(INDEX(分录收入!$F:$F,MATCH($L550,分录收入!$L:$L,0)),"")</f>
        <v/>
      </c>
      <c r="F550" s="68" t="str">
        <f aca="false">IFERROR(INDEX(分录收入!$H:$H,MATCH($L550,分录收入!$L:$L,0)),"")</f>
        <v/>
      </c>
      <c r="G550" s="69" t="str">
        <f aca="false">IFERROR(INDEX(分录收入!$I:$I,MATCH($L550,分录收入!$L:$L,0)),"")</f>
        <v/>
      </c>
      <c r="H550" s="23"/>
      <c r="I550" s="70"/>
      <c r="L550" s="71" t="n">
        <f aca="false">IF(助手收入!$R$38="",-1,助手收入!$R$38*100+(助手收入!$S$38-1)*6+5)</f>
        <v>2011</v>
      </c>
    </row>
    <row r="551" customFormat="false" ht="23.25" hidden="false" customHeight="true" outlineLevel="0" collapsed="false">
      <c r="B551" s="67" t="str">
        <f aca="false">""</f>
        <v/>
      </c>
      <c r="C551" s="67"/>
      <c r="D551" s="23" t="str">
        <f aca="false">IFERROR(INDEX(分录收入!$E:$E,MATCH($L551,分录收入!$L:$L,0)),"")</f>
        <v/>
      </c>
      <c r="E551" s="23" t="str">
        <f aca="false">IFERROR(INDEX(分录收入!$F:$F,MATCH($L551,分录收入!$L:$L,0)),"")</f>
        <v/>
      </c>
      <c r="F551" s="68" t="str">
        <f aca="false">IFERROR(INDEX(分录收入!$H:$H,MATCH($L551,分录收入!$L:$L,0)),"")</f>
        <v/>
      </c>
      <c r="G551" s="69" t="str">
        <f aca="false">IFERROR(INDEX(分录收入!$I:$I,MATCH($L551,分录收入!$L:$L,0)),"")</f>
        <v/>
      </c>
      <c r="H551" s="23"/>
      <c r="I551" s="70"/>
      <c r="L551" s="71" t="n">
        <f aca="false">IF(助手收入!$R$38="",-1,助手收入!$R$38*100+(助手收入!$S$38-1)*6+6)</f>
        <v>2012</v>
      </c>
    </row>
    <row r="552" customFormat="false" ht="23.25" hidden="false" customHeight="true" outlineLevel="0" collapsed="false">
      <c r="B552" s="72" t="str">
        <f aca="false">IF(助手收入!$T$38=1,"合计：","")</f>
        <v>合计：</v>
      </c>
      <c r="C552" s="73" t="n">
        <f aca="false">IF(助手收入!$T$38=1,$F552,"")</f>
        <v>35245.9</v>
      </c>
      <c r="D552" s="74"/>
      <c r="E552" s="74"/>
      <c r="F552" s="75" t="n">
        <f aca="false">IF(助手收入!$T$38=1,INDEX(助手收入!$N$2:$N$66,助手收入!$R$38),"")</f>
        <v>35245.9</v>
      </c>
      <c r="G552" s="76" t="n">
        <f aca="false">IF(助手收入!$T$38=1,INDEX(助手收入!$O$2:$O$66,助手收入!$R$38),"")</f>
        <v>35245.9</v>
      </c>
      <c r="H552" s="74"/>
      <c r="I552" s="77"/>
    </row>
    <row r="553" customFormat="false" ht="6" hidden="false" customHeight="true" outlineLevel="0" collapsed="false"/>
    <row r="554" customFormat="false" ht="13.5" hidden="false" customHeight="false" outlineLevel="0" collapsed="false">
      <c r="B554" s="78" t="str">
        <f aca="false">IF(助手收入!$R$38&lt;&gt;"","会计主管：","")</f>
        <v>会计主管：</v>
      </c>
      <c r="D554" s="78" t="str">
        <f aca="false">IF(助手收入!$R$38&lt;&gt;"","会计：","")</f>
        <v>会计：</v>
      </c>
      <c r="E554" s="78" t="str">
        <f aca="false">IF(助手收入!$R$38&lt;&gt;"","出纳：","")</f>
        <v>出纳：</v>
      </c>
      <c r="F554" s="78" t="str">
        <f aca="false">IF(助手收入!$R$38&lt;&gt;"","复核：","")</f>
        <v>复核：</v>
      </c>
      <c r="G554" s="78" t="str">
        <f aca="false">IF(助手收入!$R$38&lt;&gt;"","制单：","")</f>
        <v>制单：</v>
      </c>
    </row>
    <row r="555" customFormat="false" ht="3" hidden="false" customHeight="true" outlineLevel="0" collapsed="false"/>
    <row r="556" customFormat="false" ht="19.5" hidden="false" customHeight="true" outlineLevel="0" collapsed="false">
      <c r="B556" s="53" t="str">
        <f aca="false">IF(助手收入!$R$39&lt;&gt;"","记  账  凭  证","")</f>
        <v>记  账  凭  证</v>
      </c>
      <c r="C556" s="53"/>
      <c r="D556" s="53"/>
      <c r="E556" s="53"/>
      <c r="F556" s="53"/>
      <c r="G556" s="53"/>
      <c r="H556" s="53"/>
      <c r="I556" s="53"/>
    </row>
    <row r="557" customFormat="false" ht="3" hidden="false" customHeight="true" outlineLevel="0" collapsed="false"/>
    <row r="558" customFormat="false" ht="15" hidden="false" customHeight="true" outlineLevel="0" collapsed="false">
      <c r="C558" s="56" t="n">
        <f aca="false">IF(助手收入!$R$39&lt;&gt;"",INDEX(助手收入!$B$2:$B$66,助手收入!$R$39),"")</f>
        <v>2030</v>
      </c>
      <c r="D558" s="57" t="n">
        <f aca="false">IF(助手收入!$R$39&lt;&gt;"",参数!$B$2,"")</f>
        <v>46234</v>
      </c>
      <c r="E558" s="57"/>
      <c r="F558" s="58" t="str">
        <f aca="false">IF(助手收入!$R$39&lt;&gt;"",INDEX(助手收入!$C$2:$C$66,助手收入!$R$39)&amp;"  字第 "&amp;IF(参数!$B$9="是",INDEX(助手收入!$P$2:$P$66,助手收入!$R$39),"　　　　")&amp;" 号"&amp;IF(INDEX(助手收入!$L$2:$L$66,助手收入!$R$39)&gt;1,"  (共"&amp;INDEX(助手收入!$L$2:$L$66,助手收入!$R$39)&amp;"页 第"&amp;助手收入!$S$39&amp;"页)",""),"")</f>
        <v>南位店  字第 　　　　 号  (共2页 第1页)</v>
      </c>
      <c r="G558" s="58"/>
      <c r="H558" s="58"/>
      <c r="I558" s="58"/>
      <c r="M558" s="59" t="n">
        <f aca="false">IF(助手收入!$R$39="","",助手收入!$Q$39)</f>
        <v>38</v>
      </c>
      <c r="N558" s="60" t="n">
        <f aca="false">IF(助手收入!$R$39="","",INDEX(助手收入!$P$2:$P$66,助手收入!$R$39))</f>
        <v>21</v>
      </c>
      <c r="O558" s="55" t="str">
        <f aca="false">IF(助手收入!$R$39="","",INDEX(助手收入!$C$2:$C$66,助手收入!$R$39)&amp;"  字第 "&amp;INDEX(助手收入!$P$2:$P$66,助手收入!$R$39)&amp;" 号"&amp;IF(INDEX(助手收入!$L$2:$L$66,助手收入!$R$39)&gt;1,"  (共"&amp;INDEX(助手收入!$L$2:$L$66,助手收入!$R$39)&amp;"页 第"&amp;助手收入!$S$39&amp;"页)",""))</f>
        <v>南位店  字第 21 号  (共2页 第1页)</v>
      </c>
    </row>
    <row r="559" customFormat="false" ht="12.75" hidden="false" customHeight="true" outlineLevel="0" collapsed="false">
      <c r="B559" s="61" t="str">
        <f aca="false">IF(助手收入!$R$39&lt;&gt;"","摘　　要","")</f>
        <v>摘　　要</v>
      </c>
      <c r="C559" s="61"/>
      <c r="D559" s="62" t="str">
        <f aca="false">IF(助手收入!$R$39&lt;&gt;"","科　　　　目","")</f>
        <v>科　　　　目</v>
      </c>
      <c r="E559" s="62"/>
      <c r="F559" s="61" t="str">
        <f aca="false">IF(助手收入!$R$39&lt;&gt;"","借 方 金 额","")</f>
        <v>借 方 金 额</v>
      </c>
      <c r="G559" s="62" t="str">
        <f aca="false">IF(助手收入!$R$39&lt;&gt;"","贷 方 金 额","")</f>
        <v>贷 方 金 额</v>
      </c>
      <c r="H559" s="63" t="str">
        <f aca="false">IF(助手收入!$R$39&lt;&gt;"","√","")</f>
        <v>√</v>
      </c>
      <c r="I559" s="64" t="str">
        <f aca="false">IF(助手收入!$R$39&lt;&gt;"","附单据  张","")</f>
        <v>附单据  张</v>
      </c>
    </row>
    <row r="560" customFormat="false" ht="12.75" hidden="false" customHeight="true" outlineLevel="0" collapsed="false">
      <c r="B560" s="61"/>
      <c r="C560" s="61"/>
      <c r="D560" s="23" t="str">
        <f aca="false">IF(助手收入!$R$39&lt;&gt;"","总 账 科 目","")</f>
        <v>总 账 科 目</v>
      </c>
      <c r="E560" s="23" t="str">
        <f aca="false">IF(助手收入!$R$39&lt;&gt;"","明 细 科 目","")</f>
        <v>明 细 科 目</v>
      </c>
      <c r="F560" s="65"/>
      <c r="G560" s="66"/>
      <c r="H560" s="63"/>
      <c r="I560" s="64"/>
    </row>
    <row r="561" customFormat="false" ht="23.25" hidden="false" customHeight="true" outlineLevel="0" collapsed="false">
      <c r="B561" s="67" t="str">
        <f aca="false">IFERROR(INDEX(分录收入!$M:$M,MATCH($L561,分录收入!$L:$L,0)),"")</f>
        <v>7月收入</v>
      </c>
      <c r="C561" s="67"/>
      <c r="D561" s="23" t="str">
        <f aca="false">IFERROR(INDEX(分录收入!$E:$E,MATCH($L561,分录收入!$L:$L,0)),"")</f>
        <v>库存现金</v>
      </c>
      <c r="E561" s="23" t="str">
        <f aca="false">IFERROR(INDEX(分录收入!$F:$F,MATCH($L561,分录收入!$L:$L,0)),"")</f>
        <v/>
      </c>
      <c r="F561" s="68" t="n">
        <f aca="false">IFERROR(INDEX(分录收入!$H:$H,MATCH($L561,分录收入!$L:$L,0)),"")</f>
        <v>10577.51</v>
      </c>
      <c r="G561" s="69" t="str">
        <f aca="false">IFERROR(INDEX(分录收入!$I:$I,MATCH($L561,分录收入!$L:$L,0)),"")</f>
        <v/>
      </c>
      <c r="H561" s="23"/>
      <c r="I561" s="70"/>
      <c r="L561" s="71" t="n">
        <f aca="false">IF(助手收入!$R$39="",-1,助手收入!$R$39*100+(助手收入!$S$39-1)*6+1)</f>
        <v>2101</v>
      </c>
    </row>
    <row r="562" customFormat="false" ht="23.25" hidden="false" customHeight="true" outlineLevel="0" collapsed="false">
      <c r="B562" s="67" t="str">
        <f aca="false">""</f>
        <v/>
      </c>
      <c r="C562" s="67"/>
      <c r="D562" s="23" t="str">
        <f aca="false">IFERROR(INDEX(分录收入!$E:$E,MATCH($L562,分录收入!$L:$L,0)),"")</f>
        <v>应收账款</v>
      </c>
      <c r="E562" s="23" t="str">
        <f aca="false">IFERROR(INDEX(分录收入!$F:$F,MATCH($L562,分录收入!$L:$L,0)),"")</f>
        <v>聚合支付</v>
      </c>
      <c r="F562" s="68" t="n">
        <f aca="false">IFERROR(INDEX(分录收入!$H:$H,MATCH($L562,分录收入!$L:$L,0)),"")</f>
        <v>17014.43</v>
      </c>
      <c r="G562" s="69" t="str">
        <f aca="false">IFERROR(INDEX(分录收入!$I:$I,MATCH($L562,分录收入!$L:$L,0)),"")</f>
        <v/>
      </c>
      <c r="H562" s="23"/>
      <c r="I562" s="70"/>
      <c r="L562" s="71" t="n">
        <f aca="false">IF(助手收入!$R$39="",-1,助手收入!$R$39*100+(助手收入!$S$39-1)*6+2)</f>
        <v>2102</v>
      </c>
    </row>
    <row r="563" customFormat="false" ht="23.25" hidden="false" customHeight="true" outlineLevel="0" collapsed="false">
      <c r="B563" s="67" t="str">
        <f aca="false">""</f>
        <v/>
      </c>
      <c r="C563" s="67"/>
      <c r="D563" s="23" t="str">
        <f aca="false">IFERROR(INDEX(分录收入!$E:$E,MATCH($L563,分录收入!$L:$L,0)),"")</f>
        <v>应收账款</v>
      </c>
      <c r="E563" s="23" t="str">
        <f aca="false">IFERROR(INDEX(分录收入!$F:$F,MATCH($L563,分录收入!$L:$L,0)),"")</f>
        <v>医保</v>
      </c>
      <c r="F563" s="68" t="n">
        <f aca="false">IFERROR(INDEX(分录收入!$H:$H,MATCH($L563,分录收入!$L:$L,0)),"")</f>
        <v>3761.34</v>
      </c>
      <c r="G563" s="69" t="str">
        <f aca="false">IFERROR(INDEX(分录收入!$I:$I,MATCH($L563,分录收入!$L:$L,0)),"")</f>
        <v/>
      </c>
      <c r="H563" s="23"/>
      <c r="I563" s="70"/>
      <c r="L563" s="71" t="n">
        <f aca="false">IF(助手收入!$R$39="",-1,助手收入!$R$39*100+(助手收入!$S$39-1)*6+3)</f>
        <v>2103</v>
      </c>
    </row>
    <row r="564" customFormat="false" ht="23.25" hidden="false" customHeight="true" outlineLevel="0" collapsed="false">
      <c r="B564" s="67" t="str">
        <f aca="false">""</f>
        <v/>
      </c>
      <c r="C564" s="67"/>
      <c r="D564" s="23" t="str">
        <f aca="false">IFERROR(INDEX(分录收入!$E:$E,MATCH($L564,分录收入!$L:$L,0)),"")</f>
        <v>其他应收款</v>
      </c>
      <c r="E564" s="23" t="str">
        <f aca="false">IFERROR(INDEX(分录收入!$F:$F,MATCH($L564,分录收入!$L:$L,0)),"")</f>
        <v>储值卡</v>
      </c>
      <c r="F564" s="68" t="n">
        <f aca="false">IFERROR(INDEX(分录收入!$H:$H,MATCH($L564,分录收入!$L:$L,0)),"")</f>
        <v>16.5</v>
      </c>
      <c r="G564" s="69" t="str">
        <f aca="false">IFERROR(INDEX(分录收入!$I:$I,MATCH($L564,分录收入!$L:$L,0)),"")</f>
        <v/>
      </c>
      <c r="H564" s="23"/>
      <c r="I564" s="70"/>
      <c r="L564" s="71" t="n">
        <f aca="false">IF(助手收入!$R$39="",-1,助手收入!$R$39*100+(助手收入!$S$39-1)*6+4)</f>
        <v>2104</v>
      </c>
    </row>
    <row r="565" customFormat="false" ht="23.25" hidden="false" customHeight="true" outlineLevel="0" collapsed="false">
      <c r="B565" s="67" t="str">
        <f aca="false">""</f>
        <v/>
      </c>
      <c r="C565" s="67"/>
      <c r="D565" s="23" t="str">
        <f aca="false">IFERROR(INDEX(分录收入!$E:$E,MATCH($L565,分录收入!$L:$L,0)),"")</f>
        <v>其他应付款</v>
      </c>
      <c r="E565" s="23" t="str">
        <f aca="false">IFERROR(INDEX(分录收入!$F:$F,MATCH($L565,分录收入!$L:$L,0)),"")</f>
        <v>会员零钱包</v>
      </c>
      <c r="F565" s="68" t="str">
        <f aca="false">IFERROR(INDEX(分录收入!$H:$H,MATCH($L565,分录收入!$L:$L,0)),"")</f>
        <v/>
      </c>
      <c r="G565" s="69" t="n">
        <f aca="false">IFERROR(INDEX(分录收入!$I:$I,MATCH($L565,分录收入!$L:$L,0)),"")</f>
        <v>0.7</v>
      </c>
      <c r="H565" s="23"/>
      <c r="I565" s="70"/>
      <c r="L565" s="71" t="n">
        <f aca="false">IF(助手收入!$R$39="",-1,助手收入!$R$39*100+(助手收入!$S$39-1)*6+5)</f>
        <v>2105</v>
      </c>
    </row>
    <row r="566" customFormat="false" ht="23.25" hidden="false" customHeight="true" outlineLevel="0" collapsed="false">
      <c r="B566" s="67" t="str">
        <f aca="false">""</f>
        <v/>
      </c>
      <c r="C566" s="67"/>
      <c r="D566" s="23" t="str">
        <f aca="false">IFERROR(INDEX(分录收入!$E:$E,MATCH($L566,分录收入!$L:$L,0)),"")</f>
        <v>销售费用</v>
      </c>
      <c r="E566" s="23" t="str">
        <f aca="false">IFERROR(INDEX(分录收入!$F:$F,MATCH($L566,分录收入!$L:$L,0)),"")</f>
        <v>促销费</v>
      </c>
      <c r="F566" s="68" t="n">
        <f aca="false">IFERROR(INDEX(分录收入!$H:$H,MATCH($L566,分录收入!$L:$L,0)),"")</f>
        <v>462.91</v>
      </c>
      <c r="G566" s="69" t="str">
        <f aca="false">IFERROR(INDEX(分录收入!$I:$I,MATCH($L566,分录收入!$L:$L,0)),"")</f>
        <v/>
      </c>
      <c r="H566" s="23"/>
      <c r="I566" s="70"/>
      <c r="L566" s="71" t="n">
        <f aca="false">IF(助手收入!$R$39="",-1,助手收入!$R$39*100+(助手收入!$S$39-1)*6+6)</f>
        <v>2106</v>
      </c>
    </row>
    <row r="567" customFormat="false" ht="23.25" hidden="false" customHeight="true" outlineLevel="0" collapsed="false">
      <c r="B567" s="72" t="str">
        <f aca="false">IF(助手收入!$T$39=1,"合计：","")</f>
        <v/>
      </c>
      <c r="C567" s="73" t="str">
        <f aca="false">IF(助手收入!$T$39=1,$F567,"")</f>
        <v/>
      </c>
      <c r="D567" s="74"/>
      <c r="E567" s="74"/>
      <c r="F567" s="75" t="str">
        <f aca="false">IF(助手收入!$T$39=1,INDEX(助手收入!$N$2:$N$66,助手收入!$R$39),"")</f>
        <v/>
      </c>
      <c r="G567" s="76" t="str">
        <f aca="false">IF(助手收入!$T$39=1,INDEX(助手收入!$O$2:$O$66,助手收入!$R$39),"")</f>
        <v/>
      </c>
      <c r="H567" s="74"/>
      <c r="I567" s="77"/>
    </row>
    <row r="568" customFormat="false" ht="6" hidden="false" customHeight="true" outlineLevel="0" collapsed="false"/>
    <row r="569" customFormat="false" ht="13.5" hidden="false" customHeight="false" outlineLevel="0" collapsed="false">
      <c r="B569" s="78" t="str">
        <f aca="false">IF(助手收入!$R$39&lt;&gt;"","会计主管：","")</f>
        <v>会计主管：</v>
      </c>
      <c r="D569" s="78" t="str">
        <f aca="false">IF(助手收入!$R$39&lt;&gt;"","会计：","")</f>
        <v>会计：</v>
      </c>
      <c r="E569" s="78" t="str">
        <f aca="false">IF(助手收入!$R$39&lt;&gt;"","出纳：","")</f>
        <v>出纳：</v>
      </c>
      <c r="F569" s="78" t="str">
        <f aca="false">IF(助手收入!$R$39&lt;&gt;"","复核：","")</f>
        <v>复核：</v>
      </c>
      <c r="G569" s="78" t="str">
        <f aca="false">IF(助手收入!$R$39&lt;&gt;"","制单：","")</f>
        <v>制单：</v>
      </c>
    </row>
    <row r="570" customFormat="false" ht="3" hidden="false" customHeight="true" outlineLevel="0" collapsed="false"/>
    <row r="571" customFormat="false" ht="19.5" hidden="false" customHeight="true" outlineLevel="0" collapsed="false">
      <c r="B571" s="53" t="str">
        <f aca="false">IF(助手收入!$R$40&lt;&gt;"","记  账  凭  证","")</f>
        <v>记  账  凭  证</v>
      </c>
      <c r="C571" s="53"/>
      <c r="D571" s="53"/>
      <c r="E571" s="53"/>
      <c r="F571" s="53"/>
      <c r="G571" s="53"/>
      <c r="H571" s="53"/>
      <c r="I571" s="53"/>
    </row>
    <row r="572" customFormat="false" ht="3" hidden="false" customHeight="true" outlineLevel="0" collapsed="false"/>
    <row r="573" customFormat="false" ht="15" hidden="false" customHeight="true" outlineLevel="0" collapsed="false">
      <c r="C573" s="56" t="n">
        <f aca="false">IF(助手收入!$R$40&lt;&gt;"",INDEX(助手收入!$B$2:$B$66,助手收入!$R$40),"")</f>
        <v>2030</v>
      </c>
      <c r="D573" s="57" t="n">
        <f aca="false">IF(助手收入!$R$40&lt;&gt;"",参数!$B$2,"")</f>
        <v>46234</v>
      </c>
      <c r="E573" s="57"/>
      <c r="F573" s="58" t="str">
        <f aca="false">IF(助手收入!$R$40&lt;&gt;"",INDEX(助手收入!$C$2:$C$66,助手收入!$R$40)&amp;"  字第 "&amp;IF(参数!$B$9="是",INDEX(助手收入!$P$2:$P$66,助手收入!$R$40),"　　　　")&amp;" 号"&amp;IF(INDEX(助手收入!$L$2:$L$66,助手收入!$R$40)&gt;1,"  (共"&amp;INDEX(助手收入!$L$2:$L$66,助手收入!$R$40)&amp;"页 第"&amp;助手收入!$S$40&amp;"页)",""),"")</f>
        <v>南位店  字第 　　　　 号  (共2页 第2页)</v>
      </c>
      <c r="G573" s="58"/>
      <c r="H573" s="58"/>
      <c r="I573" s="58"/>
      <c r="M573" s="59" t="n">
        <f aca="false">IF(助手收入!$R$40="","",助手收入!$Q$40)</f>
        <v>39</v>
      </c>
      <c r="N573" s="60" t="n">
        <f aca="false">IF(助手收入!$R$40="","",INDEX(助手收入!$P$2:$P$66,助手收入!$R$40))</f>
        <v>21</v>
      </c>
      <c r="O573" s="55" t="str">
        <f aca="false">IF(助手收入!$R$40="","",INDEX(助手收入!$C$2:$C$66,助手收入!$R$40)&amp;"  字第 "&amp;INDEX(助手收入!$P$2:$P$66,助手收入!$R$40)&amp;" 号"&amp;IF(INDEX(助手收入!$L$2:$L$66,助手收入!$R$40)&gt;1,"  (共"&amp;INDEX(助手收入!$L$2:$L$66,助手收入!$R$40)&amp;"页 第"&amp;助手收入!$S$40&amp;"页)",""))</f>
        <v>南位店  字第 21 号  (共2页 第2页)</v>
      </c>
    </row>
    <row r="574" customFormat="false" ht="12.75" hidden="false" customHeight="true" outlineLevel="0" collapsed="false">
      <c r="B574" s="61" t="str">
        <f aca="false">IF(助手收入!$R$40&lt;&gt;"","摘　　要","")</f>
        <v>摘　　要</v>
      </c>
      <c r="C574" s="61"/>
      <c r="D574" s="62" t="str">
        <f aca="false">IF(助手收入!$R$40&lt;&gt;"","科　　　　目","")</f>
        <v>科　　　　目</v>
      </c>
      <c r="E574" s="62"/>
      <c r="F574" s="61" t="str">
        <f aca="false">IF(助手收入!$R$40&lt;&gt;"","借 方 金 额","")</f>
        <v>借 方 金 额</v>
      </c>
      <c r="G574" s="62" t="str">
        <f aca="false">IF(助手收入!$R$40&lt;&gt;"","贷 方 金 额","")</f>
        <v>贷 方 金 额</v>
      </c>
      <c r="H574" s="63" t="str">
        <f aca="false">IF(助手收入!$R$40&lt;&gt;"","√","")</f>
        <v>√</v>
      </c>
      <c r="I574" s="64" t="str">
        <f aca="false">IF(助手收入!$R$40&lt;&gt;"","附单据  张","")</f>
        <v>附单据  张</v>
      </c>
    </row>
    <row r="575" customFormat="false" ht="12.75" hidden="false" customHeight="true" outlineLevel="0" collapsed="false">
      <c r="B575" s="61"/>
      <c r="C575" s="61"/>
      <c r="D575" s="23" t="str">
        <f aca="false">IF(助手收入!$R$40&lt;&gt;"","总 账 科 目","")</f>
        <v>总 账 科 目</v>
      </c>
      <c r="E575" s="23" t="str">
        <f aca="false">IF(助手收入!$R$40&lt;&gt;"","明 细 科 目","")</f>
        <v>明 细 科 目</v>
      </c>
      <c r="F575" s="65"/>
      <c r="G575" s="66"/>
      <c r="H575" s="63"/>
      <c r="I575" s="64"/>
    </row>
    <row r="576" customFormat="false" ht="23.25" hidden="false" customHeight="true" outlineLevel="0" collapsed="false">
      <c r="B576" s="67" t="str">
        <f aca="false">IFERROR(INDEX(分录收入!$M:$M,MATCH($L576,分录收入!$L:$L,0)),"")</f>
        <v>7月收入</v>
      </c>
      <c r="C576" s="67"/>
      <c r="D576" s="23" t="str">
        <f aca="false">IFERROR(INDEX(分录收入!$E:$E,MATCH($L576,分录收入!$L:$L,0)),"")</f>
        <v>财务费用</v>
      </c>
      <c r="E576" s="23" t="str">
        <f aca="false">IFERROR(INDEX(分录收入!$F:$F,MATCH($L576,分录收入!$L:$L,0)),"")</f>
        <v>手续费</v>
      </c>
      <c r="F576" s="68" t="n">
        <f aca="false">IFERROR(INDEX(分录收入!$H:$H,MATCH($L576,分录收入!$L:$L,0)),"")</f>
        <v>46.06</v>
      </c>
      <c r="G576" s="69" t="str">
        <f aca="false">IFERROR(INDEX(分录收入!$I:$I,MATCH($L576,分录收入!$L:$L,0)),"")</f>
        <v/>
      </c>
      <c r="H576" s="23"/>
      <c r="I576" s="70"/>
      <c r="L576" s="71" t="n">
        <f aca="false">IF(助手收入!$R$40="",-1,助手收入!$R$40*100+(助手收入!$S$40-1)*6+1)</f>
        <v>2107</v>
      </c>
    </row>
    <row r="577" customFormat="false" ht="23.25" hidden="false" customHeight="true" outlineLevel="0" collapsed="false">
      <c r="B577" s="67" t="str">
        <f aca="false">""</f>
        <v/>
      </c>
      <c r="C577" s="67"/>
      <c r="D577" s="23" t="str">
        <f aca="false">IFERROR(INDEX(分录收入!$E:$E,MATCH($L577,分录收入!$L:$L,0)),"")</f>
        <v>主营业务收入</v>
      </c>
      <c r="E577" s="23" t="str">
        <f aca="false">IFERROR(INDEX(分录收入!$F:$F,MATCH($L577,分录收入!$L:$L,0)),"")</f>
        <v/>
      </c>
      <c r="F577" s="68" t="str">
        <f aca="false">IFERROR(INDEX(分录收入!$H:$H,MATCH($L577,分录收入!$L:$L,0)),"")</f>
        <v/>
      </c>
      <c r="G577" s="69" t="n">
        <f aca="false">IFERROR(INDEX(分录收入!$I:$I,MATCH($L577,分录收入!$L:$L,0)),"")</f>
        <v>31878.05</v>
      </c>
      <c r="H577" s="23"/>
      <c r="I577" s="70"/>
      <c r="L577" s="71" t="n">
        <f aca="false">IF(助手收入!$R$40="",-1,助手收入!$R$40*100+(助手收入!$S$40-1)*6+2)</f>
        <v>2108</v>
      </c>
    </row>
    <row r="578" customFormat="false" ht="23.25" hidden="false" customHeight="true" outlineLevel="0" collapsed="false">
      <c r="B578" s="67" t="str">
        <f aca="false">""</f>
        <v/>
      </c>
      <c r="C578" s="67"/>
      <c r="D578" s="23" t="str">
        <f aca="false">IFERROR(INDEX(分录收入!$E:$E,MATCH($L578,分录收入!$L:$L,0)),"")</f>
        <v/>
      </c>
      <c r="E578" s="23" t="str">
        <f aca="false">IFERROR(INDEX(分录收入!$F:$F,MATCH($L578,分录收入!$L:$L,0)),"")</f>
        <v/>
      </c>
      <c r="F578" s="68" t="str">
        <f aca="false">IFERROR(INDEX(分录收入!$H:$H,MATCH($L578,分录收入!$L:$L,0)),"")</f>
        <v/>
      </c>
      <c r="G578" s="69" t="str">
        <f aca="false">IFERROR(INDEX(分录收入!$I:$I,MATCH($L578,分录收入!$L:$L,0)),"")</f>
        <v/>
      </c>
      <c r="H578" s="23"/>
      <c r="I578" s="70"/>
      <c r="L578" s="71" t="n">
        <f aca="false">IF(助手收入!$R$40="",-1,助手收入!$R$40*100+(助手收入!$S$40-1)*6+3)</f>
        <v>2109</v>
      </c>
    </row>
    <row r="579" customFormat="false" ht="23.25" hidden="false" customHeight="true" outlineLevel="0" collapsed="false">
      <c r="B579" s="67" t="str">
        <f aca="false">""</f>
        <v/>
      </c>
      <c r="C579" s="67"/>
      <c r="D579" s="23" t="str">
        <f aca="false">IFERROR(INDEX(分录收入!$E:$E,MATCH($L579,分录收入!$L:$L,0)),"")</f>
        <v/>
      </c>
      <c r="E579" s="23" t="str">
        <f aca="false">IFERROR(INDEX(分录收入!$F:$F,MATCH($L579,分录收入!$L:$L,0)),"")</f>
        <v/>
      </c>
      <c r="F579" s="68" t="str">
        <f aca="false">IFERROR(INDEX(分录收入!$H:$H,MATCH($L579,分录收入!$L:$L,0)),"")</f>
        <v/>
      </c>
      <c r="G579" s="69" t="str">
        <f aca="false">IFERROR(INDEX(分录收入!$I:$I,MATCH($L579,分录收入!$L:$L,0)),"")</f>
        <v/>
      </c>
      <c r="H579" s="23"/>
      <c r="I579" s="70"/>
      <c r="L579" s="71" t="n">
        <f aca="false">IF(助手收入!$R$40="",-1,助手收入!$R$40*100+(助手收入!$S$40-1)*6+4)</f>
        <v>2110</v>
      </c>
    </row>
    <row r="580" customFormat="false" ht="23.25" hidden="false" customHeight="true" outlineLevel="0" collapsed="false">
      <c r="B580" s="67" t="str">
        <f aca="false">""</f>
        <v/>
      </c>
      <c r="C580" s="67"/>
      <c r="D580" s="23" t="str">
        <f aca="false">IFERROR(INDEX(分录收入!$E:$E,MATCH($L580,分录收入!$L:$L,0)),"")</f>
        <v/>
      </c>
      <c r="E580" s="23" t="str">
        <f aca="false">IFERROR(INDEX(分录收入!$F:$F,MATCH($L580,分录收入!$L:$L,0)),"")</f>
        <v/>
      </c>
      <c r="F580" s="68" t="str">
        <f aca="false">IFERROR(INDEX(分录收入!$H:$H,MATCH($L580,分录收入!$L:$L,0)),"")</f>
        <v/>
      </c>
      <c r="G580" s="69" t="str">
        <f aca="false">IFERROR(INDEX(分录收入!$I:$I,MATCH($L580,分录收入!$L:$L,0)),"")</f>
        <v/>
      </c>
      <c r="H580" s="23"/>
      <c r="I580" s="70"/>
      <c r="L580" s="71" t="n">
        <f aca="false">IF(助手收入!$R$40="",-1,助手收入!$R$40*100+(助手收入!$S$40-1)*6+5)</f>
        <v>2111</v>
      </c>
    </row>
    <row r="581" customFormat="false" ht="23.25" hidden="false" customHeight="true" outlineLevel="0" collapsed="false">
      <c r="B581" s="67" t="str">
        <f aca="false">""</f>
        <v/>
      </c>
      <c r="C581" s="67"/>
      <c r="D581" s="23" t="str">
        <f aca="false">IFERROR(INDEX(分录收入!$E:$E,MATCH($L581,分录收入!$L:$L,0)),"")</f>
        <v/>
      </c>
      <c r="E581" s="23" t="str">
        <f aca="false">IFERROR(INDEX(分录收入!$F:$F,MATCH($L581,分录收入!$L:$L,0)),"")</f>
        <v/>
      </c>
      <c r="F581" s="68" t="str">
        <f aca="false">IFERROR(INDEX(分录收入!$H:$H,MATCH($L581,分录收入!$L:$L,0)),"")</f>
        <v/>
      </c>
      <c r="G581" s="69" t="str">
        <f aca="false">IFERROR(INDEX(分录收入!$I:$I,MATCH($L581,分录收入!$L:$L,0)),"")</f>
        <v/>
      </c>
      <c r="H581" s="23"/>
      <c r="I581" s="70"/>
      <c r="L581" s="71" t="n">
        <f aca="false">IF(助手收入!$R$40="",-1,助手收入!$R$40*100+(助手收入!$S$40-1)*6+6)</f>
        <v>2112</v>
      </c>
    </row>
    <row r="582" customFormat="false" ht="23.25" hidden="false" customHeight="true" outlineLevel="0" collapsed="false">
      <c r="B582" s="72" t="str">
        <f aca="false">IF(助手收入!$T$40=1,"合计：","")</f>
        <v>合计：</v>
      </c>
      <c r="C582" s="73" t="n">
        <f aca="false">IF(助手收入!$T$40=1,$F582,"")</f>
        <v>31878.75</v>
      </c>
      <c r="D582" s="74"/>
      <c r="E582" s="74"/>
      <c r="F582" s="75" t="n">
        <f aca="false">IF(助手收入!$T$40=1,INDEX(助手收入!$N$2:$N$66,助手收入!$R$40),"")</f>
        <v>31878.75</v>
      </c>
      <c r="G582" s="76" t="n">
        <f aca="false">IF(助手收入!$T$40=1,INDEX(助手收入!$O$2:$O$66,助手收入!$R$40),"")</f>
        <v>31878.75</v>
      </c>
      <c r="H582" s="74"/>
      <c r="I582" s="77"/>
    </row>
    <row r="583" customFormat="false" ht="6" hidden="false" customHeight="true" outlineLevel="0" collapsed="false"/>
    <row r="584" customFormat="false" ht="13.5" hidden="false" customHeight="false" outlineLevel="0" collapsed="false">
      <c r="B584" s="78" t="str">
        <f aca="false">IF(助手收入!$R$40&lt;&gt;"","会计主管：","")</f>
        <v>会计主管：</v>
      </c>
      <c r="D584" s="78" t="str">
        <f aca="false">IF(助手收入!$R$40&lt;&gt;"","会计：","")</f>
        <v>会计：</v>
      </c>
      <c r="E584" s="78" t="str">
        <f aca="false">IF(助手收入!$R$40&lt;&gt;"","出纳：","")</f>
        <v>出纳：</v>
      </c>
      <c r="F584" s="78" t="str">
        <f aca="false">IF(助手收入!$R$40&lt;&gt;"","复核：","")</f>
        <v>复核：</v>
      </c>
      <c r="G584" s="78" t="str">
        <f aca="false">IF(助手收入!$R$40&lt;&gt;"","制单：","")</f>
        <v>制单：</v>
      </c>
    </row>
    <row r="585" customFormat="false" ht="3" hidden="false" customHeight="true" outlineLevel="0" collapsed="false"/>
    <row r="586" customFormat="false" ht="19.5" hidden="false" customHeight="true" outlineLevel="0" collapsed="false">
      <c r="B586" s="53" t="str">
        <f aca="false">IF(助手收入!$R$41&lt;&gt;"","记  账  凭  证","")</f>
        <v>记  账  凭  证</v>
      </c>
      <c r="C586" s="53"/>
      <c r="D586" s="53"/>
      <c r="E586" s="53"/>
      <c r="F586" s="53"/>
      <c r="G586" s="53"/>
      <c r="H586" s="53"/>
      <c r="I586" s="53"/>
    </row>
    <row r="587" customFormat="false" ht="3" hidden="false" customHeight="true" outlineLevel="0" collapsed="false"/>
    <row r="588" customFormat="false" ht="15" hidden="false" customHeight="true" outlineLevel="0" collapsed="false">
      <c r="C588" s="56" t="n">
        <f aca="false">IF(助手收入!$R$41&lt;&gt;"",INDEX(助手收入!$B$2:$B$66,助手收入!$R$41),"")</f>
        <v>2032</v>
      </c>
      <c r="D588" s="57" t="n">
        <f aca="false">IF(助手收入!$R$41&lt;&gt;"",参数!$B$2,"")</f>
        <v>46234</v>
      </c>
      <c r="E588" s="57"/>
      <c r="F588" s="58" t="str">
        <f aca="false">IF(助手收入!$R$41&lt;&gt;"",INDEX(助手收入!$C$2:$C$66,助手收入!$R$41)&amp;"  字第 "&amp;IF(参数!$B$9="是",INDEX(助手收入!$P$2:$P$66,助手收入!$R$41),"　　　　")&amp;" 号"&amp;IF(INDEX(助手收入!$L$2:$L$66,助手收入!$R$41)&gt;1,"  (共"&amp;INDEX(助手收入!$L$2:$L$66,助手收入!$R$41)&amp;"页 第"&amp;助手收入!$S$41&amp;"页)",""),"")</f>
        <v>博园店  字第 　　　　 号  (共2页 第1页)</v>
      </c>
      <c r="G588" s="58"/>
      <c r="H588" s="58"/>
      <c r="I588" s="58"/>
      <c r="M588" s="59" t="n">
        <f aca="false">IF(助手收入!$R$41="","",助手收入!$Q$41)</f>
        <v>40</v>
      </c>
      <c r="N588" s="60" t="n">
        <f aca="false">IF(助手收入!$R$41="","",INDEX(助手收入!$P$2:$P$66,助手收入!$R$41))</f>
        <v>22</v>
      </c>
      <c r="O588" s="55" t="str">
        <f aca="false">IF(助手收入!$R$41="","",INDEX(助手收入!$C$2:$C$66,助手收入!$R$41)&amp;"  字第 "&amp;INDEX(助手收入!$P$2:$P$66,助手收入!$R$41)&amp;" 号"&amp;IF(INDEX(助手收入!$L$2:$L$66,助手收入!$R$41)&gt;1,"  (共"&amp;INDEX(助手收入!$L$2:$L$66,助手收入!$R$41)&amp;"页 第"&amp;助手收入!$S$41&amp;"页)",""))</f>
        <v>博园店  字第 22 号  (共2页 第1页)</v>
      </c>
    </row>
    <row r="589" customFormat="false" ht="12.75" hidden="false" customHeight="true" outlineLevel="0" collapsed="false">
      <c r="B589" s="61" t="str">
        <f aca="false">IF(助手收入!$R$41&lt;&gt;"","摘　　要","")</f>
        <v>摘　　要</v>
      </c>
      <c r="C589" s="61"/>
      <c r="D589" s="62" t="str">
        <f aca="false">IF(助手收入!$R$41&lt;&gt;"","科　　　　目","")</f>
        <v>科　　　　目</v>
      </c>
      <c r="E589" s="62"/>
      <c r="F589" s="61" t="str">
        <f aca="false">IF(助手收入!$R$41&lt;&gt;"","借 方 金 额","")</f>
        <v>借 方 金 额</v>
      </c>
      <c r="G589" s="62" t="str">
        <f aca="false">IF(助手收入!$R$41&lt;&gt;"","贷 方 金 额","")</f>
        <v>贷 方 金 额</v>
      </c>
      <c r="H589" s="63" t="str">
        <f aca="false">IF(助手收入!$R$41&lt;&gt;"","√","")</f>
        <v>√</v>
      </c>
      <c r="I589" s="64" t="str">
        <f aca="false">IF(助手收入!$R$41&lt;&gt;"","附单据  张","")</f>
        <v>附单据  张</v>
      </c>
    </row>
    <row r="590" customFormat="false" ht="12.75" hidden="false" customHeight="true" outlineLevel="0" collapsed="false">
      <c r="B590" s="61"/>
      <c r="C590" s="61"/>
      <c r="D590" s="23" t="str">
        <f aca="false">IF(助手收入!$R$41&lt;&gt;"","总 账 科 目","")</f>
        <v>总 账 科 目</v>
      </c>
      <c r="E590" s="23" t="str">
        <f aca="false">IF(助手收入!$R$41&lt;&gt;"","明 细 科 目","")</f>
        <v>明 细 科 目</v>
      </c>
      <c r="F590" s="65"/>
      <c r="G590" s="66"/>
      <c r="H590" s="63"/>
      <c r="I590" s="64"/>
    </row>
    <row r="591" customFormat="false" ht="23.25" hidden="false" customHeight="true" outlineLevel="0" collapsed="false">
      <c r="B591" s="67" t="str">
        <f aca="false">IFERROR(INDEX(分录收入!$M:$M,MATCH($L591,分录收入!$L:$L,0)),"")</f>
        <v>7月收入</v>
      </c>
      <c r="C591" s="67"/>
      <c r="D591" s="23" t="str">
        <f aca="false">IFERROR(INDEX(分录收入!$E:$E,MATCH($L591,分录收入!$L:$L,0)),"")</f>
        <v>库存现金</v>
      </c>
      <c r="E591" s="23" t="str">
        <f aca="false">IFERROR(INDEX(分录收入!$F:$F,MATCH($L591,分录收入!$L:$L,0)),"")</f>
        <v/>
      </c>
      <c r="F591" s="68" t="n">
        <f aca="false">IFERROR(INDEX(分录收入!$H:$H,MATCH($L591,分录收入!$L:$L,0)),"")</f>
        <v>8260.86</v>
      </c>
      <c r="G591" s="69" t="str">
        <f aca="false">IFERROR(INDEX(分录收入!$I:$I,MATCH($L591,分录收入!$L:$L,0)),"")</f>
        <v/>
      </c>
      <c r="H591" s="23"/>
      <c r="I591" s="70"/>
      <c r="L591" s="71" t="n">
        <f aca="false">IF(助手收入!$R$41="",-1,助手收入!$R$41*100+(助手收入!$S$41-1)*6+1)</f>
        <v>2201</v>
      </c>
    </row>
    <row r="592" customFormat="false" ht="23.25" hidden="false" customHeight="true" outlineLevel="0" collapsed="false">
      <c r="B592" s="67" t="str">
        <f aca="false">""</f>
        <v/>
      </c>
      <c r="C592" s="67"/>
      <c r="D592" s="23" t="str">
        <f aca="false">IFERROR(INDEX(分录收入!$E:$E,MATCH($L592,分录收入!$L:$L,0)),"")</f>
        <v>应收账款</v>
      </c>
      <c r="E592" s="23" t="str">
        <f aca="false">IFERROR(INDEX(分录收入!$F:$F,MATCH($L592,分录收入!$L:$L,0)),"")</f>
        <v>聚合支付</v>
      </c>
      <c r="F592" s="68" t="n">
        <f aca="false">IFERROR(INDEX(分录收入!$H:$H,MATCH($L592,分录收入!$L:$L,0)),"")</f>
        <v>21510.04</v>
      </c>
      <c r="G592" s="69" t="str">
        <f aca="false">IFERROR(INDEX(分录收入!$I:$I,MATCH($L592,分录收入!$L:$L,0)),"")</f>
        <v/>
      </c>
      <c r="H592" s="23"/>
      <c r="I592" s="70"/>
      <c r="L592" s="71" t="n">
        <f aca="false">IF(助手收入!$R$41="",-1,助手收入!$R$41*100+(助手收入!$S$41-1)*6+2)</f>
        <v>2202</v>
      </c>
    </row>
    <row r="593" customFormat="false" ht="23.25" hidden="false" customHeight="true" outlineLevel="0" collapsed="false">
      <c r="B593" s="67" t="str">
        <f aca="false">""</f>
        <v/>
      </c>
      <c r="C593" s="67"/>
      <c r="D593" s="23" t="str">
        <f aca="false">IFERROR(INDEX(分录收入!$E:$E,MATCH($L593,分录收入!$L:$L,0)),"")</f>
        <v>应收账款</v>
      </c>
      <c r="E593" s="23" t="str">
        <f aca="false">IFERROR(INDEX(分录收入!$F:$F,MATCH($L593,分录收入!$L:$L,0)),"")</f>
        <v>医保</v>
      </c>
      <c r="F593" s="68" t="n">
        <f aca="false">IFERROR(INDEX(分录收入!$H:$H,MATCH($L593,分录收入!$L:$L,0)),"")</f>
        <v>10314.73</v>
      </c>
      <c r="G593" s="69" t="str">
        <f aca="false">IFERROR(INDEX(分录收入!$I:$I,MATCH($L593,分录收入!$L:$L,0)),"")</f>
        <v/>
      </c>
      <c r="H593" s="23"/>
      <c r="I593" s="70"/>
      <c r="L593" s="71" t="n">
        <f aca="false">IF(助手收入!$R$41="",-1,助手收入!$R$41*100+(助手收入!$S$41-1)*6+3)</f>
        <v>2203</v>
      </c>
    </row>
    <row r="594" customFormat="false" ht="23.25" hidden="false" customHeight="true" outlineLevel="0" collapsed="false">
      <c r="B594" s="67" t="str">
        <f aca="false">""</f>
        <v/>
      </c>
      <c r="C594" s="67"/>
      <c r="D594" s="23" t="str">
        <f aca="false">IFERROR(INDEX(分录收入!$E:$E,MATCH($L594,分录收入!$L:$L,0)),"")</f>
        <v>其他应收款</v>
      </c>
      <c r="E594" s="23" t="str">
        <f aca="false">IFERROR(INDEX(分录收入!$F:$F,MATCH($L594,分录收入!$L:$L,0)),"")</f>
        <v>储值卡</v>
      </c>
      <c r="F594" s="68" t="n">
        <f aca="false">IFERROR(INDEX(分录收入!$H:$H,MATCH($L594,分录收入!$L:$L,0)),"")</f>
        <v>1996.8</v>
      </c>
      <c r="G594" s="69" t="str">
        <f aca="false">IFERROR(INDEX(分录收入!$I:$I,MATCH($L594,分录收入!$L:$L,0)),"")</f>
        <v/>
      </c>
      <c r="H594" s="23"/>
      <c r="I594" s="70"/>
      <c r="L594" s="71" t="n">
        <f aca="false">IF(助手收入!$R$41="",-1,助手收入!$R$41*100+(助手收入!$S$41-1)*6+4)</f>
        <v>2204</v>
      </c>
    </row>
    <row r="595" customFormat="false" ht="23.25" hidden="false" customHeight="true" outlineLevel="0" collapsed="false">
      <c r="B595" s="67" t="str">
        <f aca="false">""</f>
        <v/>
      </c>
      <c r="C595" s="67"/>
      <c r="D595" s="23" t="str">
        <f aca="false">IFERROR(INDEX(分录收入!$E:$E,MATCH($L595,分录收入!$L:$L,0)),"")</f>
        <v>销售费用</v>
      </c>
      <c r="E595" s="23" t="str">
        <f aca="false">IFERROR(INDEX(分录收入!$F:$F,MATCH($L595,分录收入!$L:$L,0)),"")</f>
        <v>促销费</v>
      </c>
      <c r="F595" s="68" t="n">
        <f aca="false">IFERROR(INDEX(分录收入!$H:$H,MATCH($L595,分录收入!$L:$L,0)),"")</f>
        <v>1561.85</v>
      </c>
      <c r="G595" s="69" t="str">
        <f aca="false">IFERROR(INDEX(分录收入!$I:$I,MATCH($L595,分录收入!$L:$L,0)),"")</f>
        <v/>
      </c>
      <c r="H595" s="23"/>
      <c r="I595" s="70"/>
      <c r="L595" s="71" t="n">
        <f aca="false">IF(助手收入!$R$41="",-1,助手收入!$R$41*100+(助手收入!$S$41-1)*6+5)</f>
        <v>2205</v>
      </c>
    </row>
    <row r="596" customFormat="false" ht="23.25" hidden="false" customHeight="true" outlineLevel="0" collapsed="false">
      <c r="B596" s="67" t="str">
        <f aca="false">""</f>
        <v/>
      </c>
      <c r="C596" s="67"/>
      <c r="D596" s="23" t="str">
        <f aca="false">IFERROR(INDEX(分录收入!$E:$E,MATCH($L596,分录收入!$L:$L,0)),"")</f>
        <v>财务费用</v>
      </c>
      <c r="E596" s="23" t="str">
        <f aca="false">IFERROR(INDEX(分录收入!$F:$F,MATCH($L596,分录收入!$L:$L,0)),"")</f>
        <v>手续费</v>
      </c>
      <c r="F596" s="68" t="n">
        <f aca="false">IFERROR(INDEX(分录收入!$H:$H,MATCH($L596,分录收入!$L:$L,0)),"")</f>
        <v>58.23</v>
      </c>
      <c r="G596" s="69" t="str">
        <f aca="false">IFERROR(INDEX(分录收入!$I:$I,MATCH($L596,分录收入!$L:$L,0)),"")</f>
        <v/>
      </c>
      <c r="H596" s="23"/>
      <c r="I596" s="70"/>
      <c r="L596" s="71" t="n">
        <f aca="false">IF(助手收入!$R$41="",-1,助手收入!$R$41*100+(助手收入!$S$41-1)*6+6)</f>
        <v>2206</v>
      </c>
    </row>
    <row r="597" customFormat="false" ht="23.25" hidden="false" customHeight="true" outlineLevel="0" collapsed="false">
      <c r="B597" s="72" t="str">
        <f aca="false">IF(助手收入!$T$41=1,"合计：","")</f>
        <v/>
      </c>
      <c r="C597" s="73" t="str">
        <f aca="false">IF(助手收入!$T$41=1,$F597,"")</f>
        <v/>
      </c>
      <c r="D597" s="74"/>
      <c r="E597" s="74"/>
      <c r="F597" s="75" t="str">
        <f aca="false">IF(助手收入!$T$41=1,INDEX(助手收入!$N$2:$N$66,助手收入!$R$41),"")</f>
        <v/>
      </c>
      <c r="G597" s="76" t="str">
        <f aca="false">IF(助手收入!$T$41=1,INDEX(助手收入!$O$2:$O$66,助手收入!$R$41),"")</f>
        <v/>
      </c>
      <c r="H597" s="74"/>
      <c r="I597" s="77"/>
    </row>
    <row r="598" customFormat="false" ht="6" hidden="false" customHeight="true" outlineLevel="0" collapsed="false"/>
    <row r="599" customFormat="false" ht="13.5" hidden="false" customHeight="false" outlineLevel="0" collapsed="false">
      <c r="B599" s="78" t="str">
        <f aca="false">IF(助手收入!$R$41&lt;&gt;"","会计主管：","")</f>
        <v>会计主管：</v>
      </c>
      <c r="D599" s="78" t="str">
        <f aca="false">IF(助手收入!$R$41&lt;&gt;"","会计：","")</f>
        <v>会计：</v>
      </c>
      <c r="E599" s="78" t="str">
        <f aca="false">IF(助手收入!$R$41&lt;&gt;"","出纳：","")</f>
        <v>出纳：</v>
      </c>
      <c r="F599" s="78" t="str">
        <f aca="false">IF(助手收入!$R$41&lt;&gt;"","复核：","")</f>
        <v>复核：</v>
      </c>
      <c r="G599" s="78" t="str">
        <f aca="false">IF(助手收入!$R$41&lt;&gt;"","制单：","")</f>
        <v>制单：</v>
      </c>
    </row>
    <row r="600" customFormat="false" ht="3" hidden="false" customHeight="true" outlineLevel="0" collapsed="false"/>
    <row r="601" customFormat="false" ht="19.5" hidden="false" customHeight="true" outlineLevel="0" collapsed="false">
      <c r="B601" s="53" t="str">
        <f aca="false">IF(助手收入!$R$42&lt;&gt;"","记  账  凭  证","")</f>
        <v>记  账  凭  证</v>
      </c>
      <c r="C601" s="53"/>
      <c r="D601" s="53"/>
      <c r="E601" s="53"/>
      <c r="F601" s="53"/>
      <c r="G601" s="53"/>
      <c r="H601" s="53"/>
      <c r="I601" s="53"/>
    </row>
    <row r="602" customFormat="false" ht="3" hidden="false" customHeight="true" outlineLevel="0" collapsed="false"/>
    <row r="603" customFormat="false" ht="15" hidden="false" customHeight="true" outlineLevel="0" collapsed="false">
      <c r="C603" s="56" t="n">
        <f aca="false">IF(助手收入!$R$42&lt;&gt;"",INDEX(助手收入!$B$2:$B$66,助手收入!$R$42),"")</f>
        <v>2032</v>
      </c>
      <c r="D603" s="57" t="n">
        <f aca="false">IF(助手收入!$R$42&lt;&gt;"",参数!$B$2,"")</f>
        <v>46234</v>
      </c>
      <c r="E603" s="57"/>
      <c r="F603" s="58" t="str">
        <f aca="false">IF(助手收入!$R$42&lt;&gt;"",INDEX(助手收入!$C$2:$C$66,助手收入!$R$42)&amp;"  字第 "&amp;IF(参数!$B$9="是",INDEX(助手收入!$P$2:$P$66,助手收入!$R$42),"　　　　")&amp;" 号"&amp;IF(INDEX(助手收入!$L$2:$L$66,助手收入!$R$42)&gt;1,"  (共"&amp;INDEX(助手收入!$L$2:$L$66,助手收入!$R$42)&amp;"页 第"&amp;助手收入!$S$42&amp;"页)",""),"")</f>
        <v>博园店  字第 　　　　 号  (共2页 第2页)</v>
      </c>
      <c r="G603" s="58"/>
      <c r="H603" s="58"/>
      <c r="I603" s="58"/>
      <c r="M603" s="59" t="n">
        <f aca="false">IF(助手收入!$R$42="","",助手收入!$Q$42)</f>
        <v>41</v>
      </c>
      <c r="N603" s="60" t="n">
        <f aca="false">IF(助手收入!$R$42="","",INDEX(助手收入!$P$2:$P$66,助手收入!$R$42))</f>
        <v>22</v>
      </c>
      <c r="O603" s="55" t="str">
        <f aca="false">IF(助手收入!$R$42="","",INDEX(助手收入!$C$2:$C$66,助手收入!$R$42)&amp;"  字第 "&amp;INDEX(助手收入!$P$2:$P$66,助手收入!$R$42)&amp;" 号"&amp;IF(INDEX(助手收入!$L$2:$L$66,助手收入!$R$42)&gt;1,"  (共"&amp;INDEX(助手收入!$L$2:$L$66,助手收入!$R$42)&amp;"页 第"&amp;助手收入!$S$42&amp;"页)",""))</f>
        <v>博园店  字第 22 号  (共2页 第2页)</v>
      </c>
    </row>
    <row r="604" customFormat="false" ht="12.75" hidden="false" customHeight="true" outlineLevel="0" collapsed="false">
      <c r="B604" s="61" t="str">
        <f aca="false">IF(助手收入!$R$42&lt;&gt;"","摘　　要","")</f>
        <v>摘　　要</v>
      </c>
      <c r="C604" s="61"/>
      <c r="D604" s="62" t="str">
        <f aca="false">IF(助手收入!$R$42&lt;&gt;"","科　　　　目","")</f>
        <v>科　　　　目</v>
      </c>
      <c r="E604" s="62"/>
      <c r="F604" s="61" t="str">
        <f aca="false">IF(助手收入!$R$42&lt;&gt;"","借 方 金 额","")</f>
        <v>借 方 金 额</v>
      </c>
      <c r="G604" s="62" t="str">
        <f aca="false">IF(助手收入!$R$42&lt;&gt;"","贷 方 金 额","")</f>
        <v>贷 方 金 额</v>
      </c>
      <c r="H604" s="63" t="str">
        <f aca="false">IF(助手收入!$R$42&lt;&gt;"","√","")</f>
        <v>√</v>
      </c>
      <c r="I604" s="64" t="str">
        <f aca="false">IF(助手收入!$R$42&lt;&gt;"","附单据  张","")</f>
        <v>附单据  张</v>
      </c>
    </row>
    <row r="605" customFormat="false" ht="12.75" hidden="false" customHeight="true" outlineLevel="0" collapsed="false">
      <c r="B605" s="61"/>
      <c r="C605" s="61"/>
      <c r="D605" s="23" t="str">
        <f aca="false">IF(助手收入!$R$42&lt;&gt;"","总 账 科 目","")</f>
        <v>总 账 科 目</v>
      </c>
      <c r="E605" s="23" t="str">
        <f aca="false">IF(助手收入!$R$42&lt;&gt;"","明 细 科 目","")</f>
        <v>明 细 科 目</v>
      </c>
      <c r="F605" s="65"/>
      <c r="G605" s="66"/>
      <c r="H605" s="63"/>
      <c r="I605" s="64"/>
    </row>
    <row r="606" customFormat="false" ht="23.25" hidden="false" customHeight="true" outlineLevel="0" collapsed="false">
      <c r="B606" s="67" t="str">
        <f aca="false">IFERROR(INDEX(分录收入!$M:$M,MATCH($L606,分录收入!$L:$L,0)),"")</f>
        <v>7月收入</v>
      </c>
      <c r="C606" s="67"/>
      <c r="D606" s="23" t="str">
        <f aca="false">IFERROR(INDEX(分录收入!$E:$E,MATCH($L606,分录收入!$L:$L,0)),"")</f>
        <v>主营业务收入</v>
      </c>
      <c r="E606" s="23" t="str">
        <f aca="false">IFERROR(INDEX(分录收入!$F:$F,MATCH($L606,分录收入!$L:$L,0)),"")</f>
        <v/>
      </c>
      <c r="F606" s="68" t="str">
        <f aca="false">IFERROR(INDEX(分录收入!$H:$H,MATCH($L606,分录收入!$L:$L,0)),"")</f>
        <v/>
      </c>
      <c r="G606" s="69" t="n">
        <f aca="false">IFERROR(INDEX(分录收入!$I:$I,MATCH($L606,分录收入!$L:$L,0)),"")</f>
        <v>43702.51</v>
      </c>
      <c r="H606" s="23"/>
      <c r="I606" s="70"/>
      <c r="L606" s="71" t="n">
        <f aca="false">IF(助手收入!$R$42="",-1,助手收入!$R$42*100+(助手收入!$S$42-1)*6+1)</f>
        <v>2207</v>
      </c>
    </row>
    <row r="607" customFormat="false" ht="23.25" hidden="false" customHeight="true" outlineLevel="0" collapsed="false">
      <c r="B607" s="67" t="str">
        <f aca="false">""</f>
        <v/>
      </c>
      <c r="C607" s="67"/>
      <c r="D607" s="23" t="str">
        <f aca="false">IFERROR(INDEX(分录收入!$E:$E,MATCH($L607,分录收入!$L:$L,0)),"")</f>
        <v/>
      </c>
      <c r="E607" s="23" t="str">
        <f aca="false">IFERROR(INDEX(分录收入!$F:$F,MATCH($L607,分录收入!$L:$L,0)),"")</f>
        <v/>
      </c>
      <c r="F607" s="68" t="str">
        <f aca="false">IFERROR(INDEX(分录收入!$H:$H,MATCH($L607,分录收入!$L:$L,0)),"")</f>
        <v/>
      </c>
      <c r="G607" s="69" t="str">
        <f aca="false">IFERROR(INDEX(分录收入!$I:$I,MATCH($L607,分录收入!$L:$L,0)),"")</f>
        <v/>
      </c>
      <c r="H607" s="23"/>
      <c r="I607" s="70"/>
      <c r="L607" s="71" t="n">
        <f aca="false">IF(助手收入!$R$42="",-1,助手收入!$R$42*100+(助手收入!$S$42-1)*6+2)</f>
        <v>2208</v>
      </c>
    </row>
    <row r="608" customFormat="false" ht="23.25" hidden="false" customHeight="true" outlineLevel="0" collapsed="false">
      <c r="B608" s="67" t="str">
        <f aca="false">""</f>
        <v/>
      </c>
      <c r="C608" s="67"/>
      <c r="D608" s="23" t="str">
        <f aca="false">IFERROR(INDEX(分录收入!$E:$E,MATCH($L608,分录收入!$L:$L,0)),"")</f>
        <v/>
      </c>
      <c r="E608" s="23" t="str">
        <f aca="false">IFERROR(INDEX(分录收入!$F:$F,MATCH($L608,分录收入!$L:$L,0)),"")</f>
        <v/>
      </c>
      <c r="F608" s="68" t="str">
        <f aca="false">IFERROR(INDEX(分录收入!$H:$H,MATCH($L608,分录收入!$L:$L,0)),"")</f>
        <v/>
      </c>
      <c r="G608" s="69" t="str">
        <f aca="false">IFERROR(INDEX(分录收入!$I:$I,MATCH($L608,分录收入!$L:$L,0)),"")</f>
        <v/>
      </c>
      <c r="H608" s="23"/>
      <c r="I608" s="70"/>
      <c r="L608" s="71" t="n">
        <f aca="false">IF(助手收入!$R$42="",-1,助手收入!$R$42*100+(助手收入!$S$42-1)*6+3)</f>
        <v>2209</v>
      </c>
    </row>
    <row r="609" customFormat="false" ht="23.25" hidden="false" customHeight="true" outlineLevel="0" collapsed="false">
      <c r="B609" s="67" t="str">
        <f aca="false">""</f>
        <v/>
      </c>
      <c r="C609" s="67"/>
      <c r="D609" s="23" t="str">
        <f aca="false">IFERROR(INDEX(分录收入!$E:$E,MATCH($L609,分录收入!$L:$L,0)),"")</f>
        <v/>
      </c>
      <c r="E609" s="23" t="str">
        <f aca="false">IFERROR(INDEX(分录收入!$F:$F,MATCH($L609,分录收入!$L:$L,0)),"")</f>
        <v/>
      </c>
      <c r="F609" s="68" t="str">
        <f aca="false">IFERROR(INDEX(分录收入!$H:$H,MATCH($L609,分录收入!$L:$L,0)),"")</f>
        <v/>
      </c>
      <c r="G609" s="69" t="str">
        <f aca="false">IFERROR(INDEX(分录收入!$I:$I,MATCH($L609,分录收入!$L:$L,0)),"")</f>
        <v/>
      </c>
      <c r="H609" s="23"/>
      <c r="I609" s="70"/>
      <c r="L609" s="71" t="n">
        <f aca="false">IF(助手收入!$R$42="",-1,助手收入!$R$42*100+(助手收入!$S$42-1)*6+4)</f>
        <v>2210</v>
      </c>
    </row>
    <row r="610" customFormat="false" ht="23.25" hidden="false" customHeight="true" outlineLevel="0" collapsed="false">
      <c r="B610" s="67" t="str">
        <f aca="false">""</f>
        <v/>
      </c>
      <c r="C610" s="67"/>
      <c r="D610" s="23" t="str">
        <f aca="false">IFERROR(INDEX(分录收入!$E:$E,MATCH($L610,分录收入!$L:$L,0)),"")</f>
        <v/>
      </c>
      <c r="E610" s="23" t="str">
        <f aca="false">IFERROR(INDEX(分录收入!$F:$F,MATCH($L610,分录收入!$L:$L,0)),"")</f>
        <v/>
      </c>
      <c r="F610" s="68" t="str">
        <f aca="false">IFERROR(INDEX(分录收入!$H:$H,MATCH($L610,分录收入!$L:$L,0)),"")</f>
        <v/>
      </c>
      <c r="G610" s="69" t="str">
        <f aca="false">IFERROR(INDEX(分录收入!$I:$I,MATCH($L610,分录收入!$L:$L,0)),"")</f>
        <v/>
      </c>
      <c r="H610" s="23"/>
      <c r="I610" s="70"/>
      <c r="L610" s="71" t="n">
        <f aca="false">IF(助手收入!$R$42="",-1,助手收入!$R$42*100+(助手收入!$S$42-1)*6+5)</f>
        <v>2211</v>
      </c>
    </row>
    <row r="611" customFormat="false" ht="23.25" hidden="false" customHeight="true" outlineLevel="0" collapsed="false">
      <c r="B611" s="67" t="str">
        <f aca="false">""</f>
        <v/>
      </c>
      <c r="C611" s="67"/>
      <c r="D611" s="23" t="str">
        <f aca="false">IFERROR(INDEX(分录收入!$E:$E,MATCH($L611,分录收入!$L:$L,0)),"")</f>
        <v/>
      </c>
      <c r="E611" s="23" t="str">
        <f aca="false">IFERROR(INDEX(分录收入!$F:$F,MATCH($L611,分录收入!$L:$L,0)),"")</f>
        <v/>
      </c>
      <c r="F611" s="68" t="str">
        <f aca="false">IFERROR(INDEX(分录收入!$H:$H,MATCH($L611,分录收入!$L:$L,0)),"")</f>
        <v/>
      </c>
      <c r="G611" s="69" t="str">
        <f aca="false">IFERROR(INDEX(分录收入!$I:$I,MATCH($L611,分录收入!$L:$L,0)),"")</f>
        <v/>
      </c>
      <c r="H611" s="23"/>
      <c r="I611" s="70"/>
      <c r="L611" s="71" t="n">
        <f aca="false">IF(助手收入!$R$42="",-1,助手收入!$R$42*100+(助手收入!$S$42-1)*6+6)</f>
        <v>2212</v>
      </c>
    </row>
    <row r="612" customFormat="false" ht="23.25" hidden="false" customHeight="true" outlineLevel="0" collapsed="false">
      <c r="B612" s="72" t="str">
        <f aca="false">IF(助手收入!$T$42=1,"合计：","")</f>
        <v>合计：</v>
      </c>
      <c r="C612" s="73" t="n">
        <f aca="false">IF(助手收入!$T$42=1,$F612,"")</f>
        <v>43702.51</v>
      </c>
      <c r="D612" s="74"/>
      <c r="E612" s="74"/>
      <c r="F612" s="75" t="n">
        <f aca="false">IF(助手收入!$T$42=1,INDEX(助手收入!$N$2:$N$66,助手收入!$R$42),"")</f>
        <v>43702.51</v>
      </c>
      <c r="G612" s="76" t="n">
        <f aca="false">IF(助手收入!$T$42=1,INDEX(助手收入!$O$2:$O$66,助手收入!$R$42),"")</f>
        <v>43702.51</v>
      </c>
      <c r="H612" s="74"/>
      <c r="I612" s="77"/>
    </row>
    <row r="613" customFormat="false" ht="6" hidden="false" customHeight="true" outlineLevel="0" collapsed="false"/>
    <row r="614" customFormat="false" ht="13.5" hidden="false" customHeight="false" outlineLevel="0" collapsed="false">
      <c r="B614" s="78" t="str">
        <f aca="false">IF(助手收入!$R$42&lt;&gt;"","会计主管：","")</f>
        <v>会计主管：</v>
      </c>
      <c r="D614" s="78" t="str">
        <f aca="false">IF(助手收入!$R$42&lt;&gt;"","会计：","")</f>
        <v>会计：</v>
      </c>
      <c r="E614" s="78" t="str">
        <f aca="false">IF(助手收入!$R$42&lt;&gt;"","出纳：","")</f>
        <v>出纳：</v>
      </c>
      <c r="F614" s="78" t="str">
        <f aca="false">IF(助手收入!$R$42&lt;&gt;"","复核：","")</f>
        <v>复核：</v>
      </c>
      <c r="G614" s="78" t="str">
        <f aca="false">IF(助手收入!$R$42&lt;&gt;"","制单：","")</f>
        <v>制单：</v>
      </c>
    </row>
    <row r="615" customFormat="false" ht="3" hidden="false" customHeight="true" outlineLevel="0" collapsed="false"/>
    <row r="616" customFormat="false" ht="19.5" hidden="false" customHeight="true" outlineLevel="0" collapsed="false">
      <c r="B616" s="53" t="str">
        <f aca="false">IF(助手收入!$R$43&lt;&gt;"","记  账  凭  证","")</f>
        <v>记  账  凭  证</v>
      </c>
      <c r="C616" s="53"/>
      <c r="D616" s="53"/>
      <c r="E616" s="53"/>
      <c r="F616" s="53"/>
      <c r="G616" s="53"/>
      <c r="H616" s="53"/>
      <c r="I616" s="53"/>
    </row>
    <row r="617" customFormat="false" ht="3" hidden="false" customHeight="true" outlineLevel="0" collapsed="false"/>
    <row r="618" customFormat="false" ht="15" hidden="false" customHeight="true" outlineLevel="0" collapsed="false">
      <c r="C618" s="56" t="n">
        <f aca="false">IF(助手收入!$R$43&lt;&gt;"",INDEX(助手收入!$B$2:$B$66,助手收入!$R$43),"")</f>
        <v>2037</v>
      </c>
      <c r="D618" s="57" t="n">
        <f aca="false">IF(助手收入!$R$43&lt;&gt;"",参数!$B$2,"")</f>
        <v>46234</v>
      </c>
      <c r="E618" s="57"/>
      <c r="F618" s="58" t="str">
        <f aca="false">IF(助手收入!$R$43&lt;&gt;"",INDEX(助手收入!$C$2:$C$66,助手收入!$R$43)&amp;"  字第 "&amp;IF(参数!$B$9="是",INDEX(助手收入!$P$2:$P$66,助手收入!$R$43),"　　　　")&amp;" 号"&amp;IF(INDEX(助手收入!$L$2:$L$66,助手收入!$R$43)&gt;1,"  (共"&amp;INDEX(助手收入!$L$2:$L$66,助手收入!$R$43)&amp;"页 第"&amp;助手收入!$S$43&amp;"页)",""),"")</f>
        <v>新华路店  字第 　　　　 号  (共2页 第1页)</v>
      </c>
      <c r="G618" s="58"/>
      <c r="H618" s="58"/>
      <c r="I618" s="58"/>
      <c r="M618" s="59" t="n">
        <f aca="false">IF(助手收入!$R$43="","",助手收入!$Q$43)</f>
        <v>42</v>
      </c>
      <c r="N618" s="60" t="n">
        <f aca="false">IF(助手收入!$R$43="","",INDEX(助手收入!$P$2:$P$66,助手收入!$R$43))</f>
        <v>23</v>
      </c>
      <c r="O618" s="55" t="str">
        <f aca="false">IF(助手收入!$R$43="","",INDEX(助手收入!$C$2:$C$66,助手收入!$R$43)&amp;"  字第 "&amp;INDEX(助手收入!$P$2:$P$66,助手收入!$R$43)&amp;" 号"&amp;IF(INDEX(助手收入!$L$2:$L$66,助手收入!$R$43)&gt;1,"  (共"&amp;INDEX(助手收入!$L$2:$L$66,助手收入!$R$43)&amp;"页 第"&amp;助手收入!$S$43&amp;"页)",""))</f>
        <v>新华路店  字第 23 号  (共2页 第1页)</v>
      </c>
    </row>
    <row r="619" customFormat="false" ht="12.75" hidden="false" customHeight="true" outlineLevel="0" collapsed="false">
      <c r="B619" s="61" t="str">
        <f aca="false">IF(助手收入!$R$43&lt;&gt;"","摘　　要","")</f>
        <v>摘　　要</v>
      </c>
      <c r="C619" s="61"/>
      <c r="D619" s="62" t="str">
        <f aca="false">IF(助手收入!$R$43&lt;&gt;"","科　　　　目","")</f>
        <v>科　　　　目</v>
      </c>
      <c r="E619" s="62"/>
      <c r="F619" s="61" t="str">
        <f aca="false">IF(助手收入!$R$43&lt;&gt;"","借 方 金 额","")</f>
        <v>借 方 金 额</v>
      </c>
      <c r="G619" s="62" t="str">
        <f aca="false">IF(助手收入!$R$43&lt;&gt;"","贷 方 金 额","")</f>
        <v>贷 方 金 额</v>
      </c>
      <c r="H619" s="63" t="str">
        <f aca="false">IF(助手收入!$R$43&lt;&gt;"","√","")</f>
        <v>√</v>
      </c>
      <c r="I619" s="64" t="str">
        <f aca="false">IF(助手收入!$R$43&lt;&gt;"","附单据  张","")</f>
        <v>附单据  张</v>
      </c>
    </row>
    <row r="620" customFormat="false" ht="12.75" hidden="false" customHeight="true" outlineLevel="0" collapsed="false">
      <c r="B620" s="61"/>
      <c r="C620" s="61"/>
      <c r="D620" s="23" t="str">
        <f aca="false">IF(助手收入!$R$43&lt;&gt;"","总 账 科 目","")</f>
        <v>总 账 科 目</v>
      </c>
      <c r="E620" s="23" t="str">
        <f aca="false">IF(助手收入!$R$43&lt;&gt;"","明 细 科 目","")</f>
        <v>明 细 科 目</v>
      </c>
      <c r="F620" s="65"/>
      <c r="G620" s="66"/>
      <c r="H620" s="63"/>
      <c r="I620" s="64"/>
    </row>
    <row r="621" customFormat="false" ht="23.25" hidden="false" customHeight="true" outlineLevel="0" collapsed="false">
      <c r="B621" s="67" t="str">
        <f aca="false">IFERROR(INDEX(分录收入!$M:$M,MATCH($L621,分录收入!$L:$L,0)),"")</f>
        <v>7月收入</v>
      </c>
      <c r="C621" s="67"/>
      <c r="D621" s="23" t="str">
        <f aca="false">IFERROR(INDEX(分录收入!$E:$E,MATCH($L621,分录收入!$L:$L,0)),"")</f>
        <v>库存现金</v>
      </c>
      <c r="E621" s="23" t="str">
        <f aca="false">IFERROR(INDEX(分录收入!$F:$F,MATCH($L621,分录收入!$L:$L,0)),"")</f>
        <v/>
      </c>
      <c r="F621" s="68" t="n">
        <f aca="false">IFERROR(INDEX(分录收入!$H:$H,MATCH($L621,分录收入!$L:$L,0)),"")</f>
        <v>9545.13</v>
      </c>
      <c r="G621" s="69" t="str">
        <f aca="false">IFERROR(INDEX(分录收入!$I:$I,MATCH($L621,分录收入!$L:$L,0)),"")</f>
        <v/>
      </c>
      <c r="H621" s="23"/>
      <c r="I621" s="70"/>
      <c r="L621" s="71" t="n">
        <f aca="false">IF(助手收入!$R$43="",-1,助手收入!$R$43*100+(助手收入!$S$43-1)*6+1)</f>
        <v>2401</v>
      </c>
    </row>
    <row r="622" customFormat="false" ht="23.25" hidden="false" customHeight="true" outlineLevel="0" collapsed="false">
      <c r="B622" s="67" t="str">
        <f aca="false">""</f>
        <v/>
      </c>
      <c r="C622" s="67"/>
      <c r="D622" s="23" t="str">
        <f aca="false">IFERROR(INDEX(分录收入!$E:$E,MATCH($L622,分录收入!$L:$L,0)),"")</f>
        <v>应收账款</v>
      </c>
      <c r="E622" s="23" t="str">
        <f aca="false">IFERROR(INDEX(分录收入!$F:$F,MATCH($L622,分录收入!$L:$L,0)),"")</f>
        <v>聚合支付</v>
      </c>
      <c r="F622" s="68" t="n">
        <f aca="false">IFERROR(INDEX(分录收入!$H:$H,MATCH($L622,分录收入!$L:$L,0)),"")</f>
        <v>17456.18</v>
      </c>
      <c r="G622" s="69" t="str">
        <f aca="false">IFERROR(INDEX(分录收入!$I:$I,MATCH($L622,分录收入!$L:$L,0)),"")</f>
        <v/>
      </c>
      <c r="H622" s="23"/>
      <c r="I622" s="70"/>
      <c r="L622" s="71" t="n">
        <f aca="false">IF(助手收入!$R$43="",-1,助手收入!$R$43*100+(助手收入!$S$43-1)*6+2)</f>
        <v>2402</v>
      </c>
    </row>
    <row r="623" customFormat="false" ht="23.25" hidden="false" customHeight="true" outlineLevel="0" collapsed="false">
      <c r="B623" s="67" t="str">
        <f aca="false">""</f>
        <v/>
      </c>
      <c r="C623" s="67"/>
      <c r="D623" s="23" t="str">
        <f aca="false">IFERROR(INDEX(分录收入!$E:$E,MATCH($L623,分录收入!$L:$L,0)),"")</f>
        <v>应收账款</v>
      </c>
      <c r="E623" s="23" t="str">
        <f aca="false">IFERROR(INDEX(分录收入!$F:$F,MATCH($L623,分录收入!$L:$L,0)),"")</f>
        <v>医保</v>
      </c>
      <c r="F623" s="68" t="n">
        <f aca="false">IFERROR(INDEX(分录收入!$H:$H,MATCH($L623,分录收入!$L:$L,0)),"")</f>
        <v>10175.12</v>
      </c>
      <c r="G623" s="69" t="str">
        <f aca="false">IFERROR(INDEX(分录收入!$I:$I,MATCH($L623,分录收入!$L:$L,0)),"")</f>
        <v/>
      </c>
      <c r="H623" s="23"/>
      <c r="I623" s="70"/>
      <c r="L623" s="71" t="n">
        <f aca="false">IF(助手收入!$R$43="",-1,助手收入!$R$43*100+(助手收入!$S$43-1)*6+3)</f>
        <v>2403</v>
      </c>
    </row>
    <row r="624" customFormat="false" ht="23.25" hidden="false" customHeight="true" outlineLevel="0" collapsed="false">
      <c r="B624" s="67" t="str">
        <f aca="false">""</f>
        <v/>
      </c>
      <c r="C624" s="67"/>
      <c r="D624" s="23" t="str">
        <f aca="false">IFERROR(INDEX(分录收入!$E:$E,MATCH($L624,分录收入!$L:$L,0)),"")</f>
        <v>应收账款</v>
      </c>
      <c r="E624" s="23" t="str">
        <f aca="false">IFERROR(INDEX(分录收入!$F:$F,MATCH($L624,分录收入!$L:$L,0)),"")</f>
        <v>健e卡</v>
      </c>
      <c r="F624" s="68" t="n">
        <f aca="false">IFERROR(INDEX(分录收入!$H:$H,MATCH($L624,分录收入!$L:$L,0)),"")</f>
        <v>302.86</v>
      </c>
      <c r="G624" s="69" t="str">
        <f aca="false">IFERROR(INDEX(分录收入!$I:$I,MATCH($L624,分录收入!$L:$L,0)),"")</f>
        <v/>
      </c>
      <c r="H624" s="23"/>
      <c r="I624" s="70"/>
      <c r="L624" s="71" t="n">
        <f aca="false">IF(助手收入!$R$43="",-1,助手收入!$R$43*100+(助手收入!$S$43-1)*6+4)</f>
        <v>2404</v>
      </c>
    </row>
    <row r="625" customFormat="false" ht="23.25" hidden="false" customHeight="true" outlineLevel="0" collapsed="false">
      <c r="B625" s="67" t="str">
        <f aca="false">""</f>
        <v/>
      </c>
      <c r="C625" s="67"/>
      <c r="D625" s="23" t="str">
        <f aca="false">IFERROR(INDEX(分录收入!$E:$E,MATCH($L625,分录收入!$L:$L,0)),"")</f>
        <v>应收账款</v>
      </c>
      <c r="E625" s="23" t="str">
        <f aca="false">IFERROR(INDEX(分录收入!$F:$F,MATCH($L625,分录收入!$L:$L,0)),"")</f>
        <v>医卡通</v>
      </c>
      <c r="F625" s="68" t="n">
        <f aca="false">IFERROR(INDEX(分录收入!$H:$H,MATCH($L625,分录收入!$L:$L,0)),"")</f>
        <v>220.9</v>
      </c>
      <c r="G625" s="69" t="str">
        <f aca="false">IFERROR(INDEX(分录收入!$I:$I,MATCH($L625,分录收入!$L:$L,0)),"")</f>
        <v/>
      </c>
      <c r="H625" s="23"/>
      <c r="I625" s="70"/>
      <c r="L625" s="71" t="n">
        <f aca="false">IF(助手收入!$R$43="",-1,助手收入!$R$43*100+(助手收入!$S$43-1)*6+5)</f>
        <v>2405</v>
      </c>
    </row>
    <row r="626" customFormat="false" ht="23.25" hidden="false" customHeight="true" outlineLevel="0" collapsed="false">
      <c r="B626" s="67" t="str">
        <f aca="false">""</f>
        <v/>
      </c>
      <c r="C626" s="67"/>
      <c r="D626" s="23" t="str">
        <f aca="false">IFERROR(INDEX(分录收入!$E:$E,MATCH($L626,分录收入!$L:$L,0)),"")</f>
        <v>应收账款</v>
      </c>
      <c r="E626" s="23" t="str">
        <f aca="false">IFERROR(INDEX(分录收入!$F:$F,MATCH($L626,分录收入!$L:$L,0)),"")</f>
        <v>美团</v>
      </c>
      <c r="F626" s="68" t="n">
        <f aca="false">IFERROR(INDEX(分录收入!$H:$H,MATCH($L626,分录收入!$L:$L,0)),"")</f>
        <v>9448.2</v>
      </c>
      <c r="G626" s="69" t="str">
        <f aca="false">IFERROR(INDEX(分录收入!$I:$I,MATCH($L626,分录收入!$L:$L,0)),"")</f>
        <v/>
      </c>
      <c r="H626" s="23"/>
      <c r="I626" s="70"/>
      <c r="L626" s="71" t="n">
        <f aca="false">IF(助手收入!$R$43="",-1,助手收入!$R$43*100+(助手收入!$S$43-1)*6+6)</f>
        <v>2406</v>
      </c>
    </row>
    <row r="627" customFormat="false" ht="23.25" hidden="false" customHeight="true" outlineLevel="0" collapsed="false">
      <c r="B627" s="72" t="str">
        <f aca="false">IF(助手收入!$T$43=1,"合计：","")</f>
        <v/>
      </c>
      <c r="C627" s="73" t="str">
        <f aca="false">IF(助手收入!$T$43=1,$F627,"")</f>
        <v/>
      </c>
      <c r="D627" s="74"/>
      <c r="E627" s="74"/>
      <c r="F627" s="75" t="str">
        <f aca="false">IF(助手收入!$T$43=1,INDEX(助手收入!$N$2:$N$66,助手收入!$R$43),"")</f>
        <v/>
      </c>
      <c r="G627" s="76" t="str">
        <f aca="false">IF(助手收入!$T$43=1,INDEX(助手收入!$O$2:$O$66,助手收入!$R$43),"")</f>
        <v/>
      </c>
      <c r="H627" s="74"/>
      <c r="I627" s="77"/>
    </row>
    <row r="628" customFormat="false" ht="6" hidden="false" customHeight="true" outlineLevel="0" collapsed="false"/>
    <row r="629" customFormat="false" ht="13.5" hidden="false" customHeight="false" outlineLevel="0" collapsed="false">
      <c r="B629" s="78" t="str">
        <f aca="false">IF(助手收入!$R$43&lt;&gt;"","会计主管：","")</f>
        <v>会计主管：</v>
      </c>
      <c r="D629" s="78" t="str">
        <f aca="false">IF(助手收入!$R$43&lt;&gt;"","会计：","")</f>
        <v>会计：</v>
      </c>
      <c r="E629" s="78" t="str">
        <f aca="false">IF(助手收入!$R$43&lt;&gt;"","出纳：","")</f>
        <v>出纳：</v>
      </c>
      <c r="F629" s="78" t="str">
        <f aca="false">IF(助手收入!$R$43&lt;&gt;"","复核：","")</f>
        <v>复核：</v>
      </c>
      <c r="G629" s="78" t="str">
        <f aca="false">IF(助手收入!$R$43&lt;&gt;"","制单：","")</f>
        <v>制单：</v>
      </c>
    </row>
    <row r="630" customFormat="false" ht="3" hidden="false" customHeight="true" outlineLevel="0" collapsed="false"/>
    <row r="631" customFormat="false" ht="19.5" hidden="false" customHeight="true" outlineLevel="0" collapsed="false">
      <c r="B631" s="53" t="str">
        <f aca="false">IF(助手收入!$R$44&lt;&gt;"","记  账  凭  证","")</f>
        <v>记  账  凭  证</v>
      </c>
      <c r="C631" s="53"/>
      <c r="D631" s="53"/>
      <c r="E631" s="53"/>
      <c r="F631" s="53"/>
      <c r="G631" s="53"/>
      <c r="H631" s="53"/>
      <c r="I631" s="53"/>
    </row>
    <row r="632" customFormat="false" ht="3" hidden="false" customHeight="true" outlineLevel="0" collapsed="false"/>
    <row r="633" customFormat="false" ht="15" hidden="false" customHeight="true" outlineLevel="0" collapsed="false">
      <c r="C633" s="56" t="n">
        <f aca="false">IF(助手收入!$R$44&lt;&gt;"",INDEX(助手收入!$B$2:$B$66,助手收入!$R$44),"")</f>
        <v>2037</v>
      </c>
      <c r="D633" s="57" t="n">
        <f aca="false">IF(助手收入!$R$44&lt;&gt;"",参数!$B$2,"")</f>
        <v>46234</v>
      </c>
      <c r="E633" s="57"/>
      <c r="F633" s="58" t="str">
        <f aca="false">IF(助手收入!$R$44&lt;&gt;"",INDEX(助手收入!$C$2:$C$66,助手收入!$R$44)&amp;"  字第 "&amp;IF(参数!$B$9="是",INDEX(助手收入!$P$2:$P$66,助手收入!$R$44),"　　　　")&amp;" 号"&amp;IF(INDEX(助手收入!$L$2:$L$66,助手收入!$R$44)&gt;1,"  (共"&amp;INDEX(助手收入!$L$2:$L$66,助手收入!$R$44)&amp;"页 第"&amp;助手收入!$S$44&amp;"页)",""),"")</f>
        <v>新华路店  字第 　　　　 号  (共2页 第2页)</v>
      </c>
      <c r="G633" s="58"/>
      <c r="H633" s="58"/>
      <c r="I633" s="58"/>
      <c r="M633" s="59" t="n">
        <f aca="false">IF(助手收入!$R$44="","",助手收入!$Q$44)</f>
        <v>43</v>
      </c>
      <c r="N633" s="60" t="n">
        <f aca="false">IF(助手收入!$R$44="","",INDEX(助手收入!$P$2:$P$66,助手收入!$R$44))</f>
        <v>23</v>
      </c>
      <c r="O633" s="55" t="str">
        <f aca="false">IF(助手收入!$R$44="","",INDEX(助手收入!$C$2:$C$66,助手收入!$R$44)&amp;"  字第 "&amp;INDEX(助手收入!$P$2:$P$66,助手收入!$R$44)&amp;" 号"&amp;IF(INDEX(助手收入!$L$2:$L$66,助手收入!$R$44)&gt;1,"  (共"&amp;INDEX(助手收入!$L$2:$L$66,助手收入!$R$44)&amp;"页 第"&amp;助手收入!$S$44&amp;"页)",""))</f>
        <v>新华路店  字第 23 号  (共2页 第2页)</v>
      </c>
    </row>
    <row r="634" customFormat="false" ht="12.75" hidden="false" customHeight="true" outlineLevel="0" collapsed="false">
      <c r="B634" s="61" t="str">
        <f aca="false">IF(助手收入!$R$44&lt;&gt;"","摘　　要","")</f>
        <v>摘　　要</v>
      </c>
      <c r="C634" s="61"/>
      <c r="D634" s="62" t="str">
        <f aca="false">IF(助手收入!$R$44&lt;&gt;"","科　　　　目","")</f>
        <v>科　　　　目</v>
      </c>
      <c r="E634" s="62"/>
      <c r="F634" s="61" t="str">
        <f aca="false">IF(助手收入!$R$44&lt;&gt;"","借 方 金 额","")</f>
        <v>借 方 金 额</v>
      </c>
      <c r="G634" s="62" t="str">
        <f aca="false">IF(助手收入!$R$44&lt;&gt;"","贷 方 金 额","")</f>
        <v>贷 方 金 额</v>
      </c>
      <c r="H634" s="63" t="str">
        <f aca="false">IF(助手收入!$R$44&lt;&gt;"","√","")</f>
        <v>√</v>
      </c>
      <c r="I634" s="64" t="str">
        <f aca="false">IF(助手收入!$R$44&lt;&gt;"","附单据  张","")</f>
        <v>附单据  张</v>
      </c>
    </row>
    <row r="635" customFormat="false" ht="12.75" hidden="false" customHeight="true" outlineLevel="0" collapsed="false">
      <c r="B635" s="61"/>
      <c r="C635" s="61"/>
      <c r="D635" s="23" t="str">
        <f aca="false">IF(助手收入!$R$44&lt;&gt;"","总 账 科 目","")</f>
        <v>总 账 科 目</v>
      </c>
      <c r="E635" s="23" t="str">
        <f aca="false">IF(助手收入!$R$44&lt;&gt;"","明 细 科 目","")</f>
        <v>明 细 科 目</v>
      </c>
      <c r="F635" s="65"/>
      <c r="G635" s="66"/>
      <c r="H635" s="63"/>
      <c r="I635" s="64"/>
    </row>
    <row r="636" customFormat="false" ht="23.25" hidden="false" customHeight="true" outlineLevel="0" collapsed="false">
      <c r="B636" s="67" t="str">
        <f aca="false">IFERROR(INDEX(分录收入!$M:$M,MATCH($L636,分录收入!$L:$L,0)),"")</f>
        <v>7月收入</v>
      </c>
      <c r="C636" s="67"/>
      <c r="D636" s="23" t="str">
        <f aca="false">IFERROR(INDEX(分录收入!$E:$E,MATCH($L636,分录收入!$L:$L,0)),"")</f>
        <v>应收账款</v>
      </c>
      <c r="E636" s="23" t="str">
        <f aca="false">IFERROR(INDEX(分录收入!$F:$F,MATCH($L636,分录收入!$L:$L,0)),"")</f>
        <v>饿了么</v>
      </c>
      <c r="F636" s="68" t="n">
        <f aca="false">IFERROR(INDEX(分录收入!$H:$H,MATCH($L636,分录收入!$L:$L,0)),"")</f>
        <v>6618.4</v>
      </c>
      <c r="G636" s="69" t="str">
        <f aca="false">IFERROR(INDEX(分录收入!$I:$I,MATCH($L636,分录收入!$L:$L,0)),"")</f>
        <v/>
      </c>
      <c r="H636" s="23"/>
      <c r="I636" s="70"/>
      <c r="L636" s="71" t="n">
        <f aca="false">IF(助手收入!$R$44="",-1,助手收入!$R$44*100+(助手收入!$S$44-1)*6+1)</f>
        <v>2407</v>
      </c>
    </row>
    <row r="637" customFormat="false" ht="23.25" hidden="false" customHeight="true" outlineLevel="0" collapsed="false">
      <c r="B637" s="67" t="str">
        <f aca="false">""</f>
        <v/>
      </c>
      <c r="C637" s="67"/>
      <c r="D637" s="23" t="str">
        <f aca="false">IFERROR(INDEX(分录收入!$E:$E,MATCH($L637,分录收入!$L:$L,0)),"")</f>
        <v>应收账款</v>
      </c>
      <c r="E637" s="23" t="str">
        <f aca="false">IFERROR(INDEX(分录收入!$F:$F,MATCH($L637,分录收入!$L:$L,0)),"")</f>
        <v>京东秒送</v>
      </c>
      <c r="F637" s="68" t="n">
        <f aca="false">IFERROR(INDEX(分录收入!$H:$H,MATCH($L637,分录收入!$L:$L,0)),"")</f>
        <v>75</v>
      </c>
      <c r="G637" s="69" t="str">
        <f aca="false">IFERROR(INDEX(分录收入!$I:$I,MATCH($L637,分录收入!$L:$L,0)),"")</f>
        <v/>
      </c>
      <c r="H637" s="23"/>
      <c r="I637" s="70"/>
      <c r="L637" s="71" t="n">
        <f aca="false">IF(助手收入!$R$44="",-1,助手收入!$R$44*100+(助手收入!$S$44-1)*6+2)</f>
        <v>2408</v>
      </c>
    </row>
    <row r="638" customFormat="false" ht="23.25" hidden="false" customHeight="true" outlineLevel="0" collapsed="false">
      <c r="B638" s="67" t="str">
        <f aca="false">""</f>
        <v/>
      </c>
      <c r="C638" s="67"/>
      <c r="D638" s="23" t="str">
        <f aca="false">IFERROR(INDEX(分录收入!$E:$E,MATCH($L638,分录收入!$L:$L,0)),"")</f>
        <v>其他应收款</v>
      </c>
      <c r="E638" s="23" t="str">
        <f aca="false">IFERROR(INDEX(分录收入!$F:$F,MATCH($L638,分录收入!$L:$L,0)),"")</f>
        <v>储值卡</v>
      </c>
      <c r="F638" s="68" t="n">
        <f aca="false">IFERROR(INDEX(分录收入!$H:$H,MATCH($L638,分录收入!$L:$L,0)),"")</f>
        <v>1783.99</v>
      </c>
      <c r="G638" s="69" t="str">
        <f aca="false">IFERROR(INDEX(分录收入!$I:$I,MATCH($L638,分录收入!$L:$L,0)),"")</f>
        <v/>
      </c>
      <c r="H638" s="23"/>
      <c r="I638" s="70"/>
      <c r="L638" s="71" t="n">
        <f aca="false">IF(助手收入!$R$44="",-1,助手收入!$R$44*100+(助手收入!$S$44-1)*6+3)</f>
        <v>2409</v>
      </c>
    </row>
    <row r="639" customFormat="false" ht="23.25" hidden="false" customHeight="true" outlineLevel="0" collapsed="false">
      <c r="B639" s="67" t="str">
        <f aca="false">""</f>
        <v/>
      </c>
      <c r="C639" s="67"/>
      <c r="D639" s="23" t="str">
        <f aca="false">IFERROR(INDEX(分录收入!$E:$E,MATCH($L639,分录收入!$L:$L,0)),"")</f>
        <v>销售费用</v>
      </c>
      <c r="E639" s="23" t="str">
        <f aca="false">IFERROR(INDEX(分录收入!$F:$F,MATCH($L639,分录收入!$L:$L,0)),"")</f>
        <v>促销费</v>
      </c>
      <c r="F639" s="68" t="n">
        <f aca="false">IFERROR(INDEX(分录收入!$H:$H,MATCH($L639,分录收入!$L:$L,0)),"")</f>
        <v>1446.72</v>
      </c>
      <c r="G639" s="69" t="str">
        <f aca="false">IFERROR(INDEX(分录收入!$I:$I,MATCH($L639,分录收入!$L:$L,0)),"")</f>
        <v/>
      </c>
      <c r="H639" s="23"/>
      <c r="I639" s="70"/>
      <c r="L639" s="71" t="n">
        <f aca="false">IF(助手收入!$R$44="",-1,助手收入!$R$44*100+(助手收入!$S$44-1)*6+4)</f>
        <v>2410</v>
      </c>
    </row>
    <row r="640" customFormat="false" ht="23.25" hidden="false" customHeight="true" outlineLevel="0" collapsed="false">
      <c r="B640" s="67" t="str">
        <f aca="false">""</f>
        <v/>
      </c>
      <c r="C640" s="67"/>
      <c r="D640" s="23" t="str">
        <f aca="false">IFERROR(INDEX(分录收入!$E:$E,MATCH($L640,分录收入!$L:$L,0)),"")</f>
        <v>财务费用</v>
      </c>
      <c r="E640" s="23" t="str">
        <f aca="false">IFERROR(INDEX(分录收入!$F:$F,MATCH($L640,分录收入!$L:$L,0)),"")</f>
        <v>手续费</v>
      </c>
      <c r="F640" s="68" t="n">
        <f aca="false">IFERROR(INDEX(分录收入!$H:$H,MATCH($L640,分录收入!$L:$L,0)),"")</f>
        <v>47.26</v>
      </c>
      <c r="G640" s="69" t="str">
        <f aca="false">IFERROR(INDEX(分录收入!$I:$I,MATCH($L640,分录收入!$L:$L,0)),"")</f>
        <v/>
      </c>
      <c r="H640" s="23"/>
      <c r="I640" s="70"/>
      <c r="L640" s="71" t="n">
        <f aca="false">IF(助手收入!$R$44="",-1,助手收入!$R$44*100+(助手收入!$S$44-1)*6+5)</f>
        <v>2411</v>
      </c>
    </row>
    <row r="641" customFormat="false" ht="23.25" hidden="false" customHeight="true" outlineLevel="0" collapsed="false">
      <c r="B641" s="67" t="str">
        <f aca="false">""</f>
        <v/>
      </c>
      <c r="C641" s="67"/>
      <c r="D641" s="23" t="str">
        <f aca="false">IFERROR(INDEX(分录收入!$E:$E,MATCH($L641,分录收入!$L:$L,0)),"")</f>
        <v>主营业务收入</v>
      </c>
      <c r="E641" s="23" t="str">
        <f aca="false">IFERROR(INDEX(分录收入!$F:$F,MATCH($L641,分录收入!$L:$L,0)),"")</f>
        <v/>
      </c>
      <c r="F641" s="68" t="str">
        <f aca="false">IFERROR(INDEX(分录收入!$H:$H,MATCH($L641,分录收入!$L:$L,0)),"")</f>
        <v/>
      </c>
      <c r="G641" s="69" t="n">
        <f aca="false">IFERROR(INDEX(分录收入!$I:$I,MATCH($L641,分录收入!$L:$L,0)),"")</f>
        <v>57119.76</v>
      </c>
      <c r="H641" s="23"/>
      <c r="I641" s="70"/>
      <c r="L641" s="71" t="n">
        <f aca="false">IF(助手收入!$R$44="",-1,助手收入!$R$44*100+(助手收入!$S$44-1)*6+6)</f>
        <v>2412</v>
      </c>
    </row>
    <row r="642" customFormat="false" ht="23.25" hidden="false" customHeight="true" outlineLevel="0" collapsed="false">
      <c r="B642" s="72" t="str">
        <f aca="false">IF(助手收入!$T$44=1,"合计：","")</f>
        <v>合计：</v>
      </c>
      <c r="C642" s="73" t="n">
        <f aca="false">IF(助手收入!$T$44=1,$F642,"")</f>
        <v>57119.76</v>
      </c>
      <c r="D642" s="74"/>
      <c r="E642" s="74"/>
      <c r="F642" s="75" t="n">
        <f aca="false">IF(助手收入!$T$44=1,INDEX(助手收入!$N$2:$N$66,助手收入!$R$44),"")</f>
        <v>57119.76</v>
      </c>
      <c r="G642" s="76" t="n">
        <f aca="false">IF(助手收入!$T$44=1,INDEX(助手收入!$O$2:$O$66,助手收入!$R$44),"")</f>
        <v>57119.76</v>
      </c>
      <c r="H642" s="74"/>
      <c r="I642" s="77"/>
    </row>
    <row r="643" customFormat="false" ht="6" hidden="false" customHeight="true" outlineLevel="0" collapsed="false"/>
    <row r="644" customFormat="false" ht="13.5" hidden="false" customHeight="false" outlineLevel="0" collapsed="false">
      <c r="B644" s="78" t="str">
        <f aca="false">IF(助手收入!$R$44&lt;&gt;"","会计主管：","")</f>
        <v>会计主管：</v>
      </c>
      <c r="D644" s="78" t="str">
        <f aca="false">IF(助手收入!$R$44&lt;&gt;"","会计：","")</f>
        <v>会计：</v>
      </c>
      <c r="E644" s="78" t="str">
        <f aca="false">IF(助手收入!$R$44&lt;&gt;"","出纳：","")</f>
        <v>出纳：</v>
      </c>
      <c r="F644" s="78" t="str">
        <f aca="false">IF(助手收入!$R$44&lt;&gt;"","复核：","")</f>
        <v>复核：</v>
      </c>
      <c r="G644" s="78" t="str">
        <f aca="false">IF(助手收入!$R$44&lt;&gt;"","制单：","")</f>
        <v>制单：</v>
      </c>
    </row>
    <row r="645" customFormat="false" ht="3" hidden="false" customHeight="true" outlineLevel="0" collapsed="false"/>
    <row r="646" customFormat="false" ht="19.5" hidden="false" customHeight="true" outlineLevel="0" collapsed="false">
      <c r="B646" s="53" t="str">
        <f aca="false">IF(助手收入!$R$45&lt;&gt;"","记  账  凭  证","")</f>
        <v>记  账  凭  证</v>
      </c>
      <c r="C646" s="53"/>
      <c r="D646" s="53"/>
      <c r="E646" s="53"/>
      <c r="F646" s="53"/>
      <c r="G646" s="53"/>
      <c r="H646" s="53"/>
      <c r="I646" s="53"/>
    </row>
    <row r="647" customFormat="false" ht="3" hidden="false" customHeight="true" outlineLevel="0" collapsed="false"/>
    <row r="648" customFormat="false" ht="15" hidden="false" customHeight="true" outlineLevel="0" collapsed="false">
      <c r="C648" s="56" t="n">
        <f aca="false">IF(助手收入!$R$45&lt;&gt;"",INDEX(助手收入!$B$2:$B$66,助手收入!$R$45),"")</f>
        <v>2038</v>
      </c>
      <c r="D648" s="57" t="n">
        <f aca="false">IF(助手收入!$R$45&lt;&gt;"",参数!$B$2,"")</f>
        <v>46234</v>
      </c>
      <c r="E648" s="57"/>
      <c r="F648" s="58" t="str">
        <f aca="false">IF(助手收入!$R$45&lt;&gt;"",INDEX(助手收入!$C$2:$C$66,助手收入!$R$45)&amp;"  字第 "&amp;IF(参数!$B$9="是",INDEX(助手收入!$P$2:$P$66,助手收入!$R$45),"　　　　")&amp;" 号"&amp;IF(INDEX(助手收入!$L$2:$L$66,助手收入!$R$45)&gt;1,"  (共"&amp;INDEX(助手收入!$L$2:$L$66,助手收入!$R$45)&amp;"页 第"&amp;助手收入!$S$45&amp;"页)",""),"")</f>
        <v>杨村王街店  字第 　　　　 号  (共2页 第1页)</v>
      </c>
      <c r="G648" s="58"/>
      <c r="H648" s="58"/>
      <c r="I648" s="58"/>
      <c r="M648" s="59" t="n">
        <f aca="false">IF(助手收入!$R$45="","",助手收入!$Q$45)</f>
        <v>44</v>
      </c>
      <c r="N648" s="60" t="n">
        <f aca="false">IF(助手收入!$R$45="","",INDEX(助手收入!$P$2:$P$66,助手收入!$R$45))</f>
        <v>24</v>
      </c>
      <c r="O648" s="55" t="str">
        <f aca="false">IF(助手收入!$R$45="","",INDEX(助手收入!$C$2:$C$66,助手收入!$R$45)&amp;"  字第 "&amp;INDEX(助手收入!$P$2:$P$66,助手收入!$R$45)&amp;" 号"&amp;IF(INDEX(助手收入!$L$2:$L$66,助手收入!$R$45)&gt;1,"  (共"&amp;INDEX(助手收入!$L$2:$L$66,助手收入!$R$45)&amp;"页 第"&amp;助手收入!$S$45&amp;"页)",""))</f>
        <v>杨村王街店  字第 24 号  (共2页 第1页)</v>
      </c>
    </row>
    <row r="649" customFormat="false" ht="12.75" hidden="false" customHeight="true" outlineLevel="0" collapsed="false">
      <c r="B649" s="61" t="str">
        <f aca="false">IF(助手收入!$R$45&lt;&gt;"","摘　　要","")</f>
        <v>摘　　要</v>
      </c>
      <c r="C649" s="61"/>
      <c r="D649" s="62" t="str">
        <f aca="false">IF(助手收入!$R$45&lt;&gt;"","科　　　　目","")</f>
        <v>科　　　　目</v>
      </c>
      <c r="E649" s="62"/>
      <c r="F649" s="61" t="str">
        <f aca="false">IF(助手收入!$R$45&lt;&gt;"","借 方 金 额","")</f>
        <v>借 方 金 额</v>
      </c>
      <c r="G649" s="62" t="str">
        <f aca="false">IF(助手收入!$R$45&lt;&gt;"","贷 方 金 额","")</f>
        <v>贷 方 金 额</v>
      </c>
      <c r="H649" s="63" t="str">
        <f aca="false">IF(助手收入!$R$45&lt;&gt;"","√","")</f>
        <v>√</v>
      </c>
      <c r="I649" s="64" t="str">
        <f aca="false">IF(助手收入!$R$45&lt;&gt;"","附单据  张","")</f>
        <v>附单据  张</v>
      </c>
    </row>
    <row r="650" customFormat="false" ht="12.75" hidden="false" customHeight="true" outlineLevel="0" collapsed="false">
      <c r="B650" s="61"/>
      <c r="C650" s="61"/>
      <c r="D650" s="23" t="str">
        <f aca="false">IF(助手收入!$R$45&lt;&gt;"","总 账 科 目","")</f>
        <v>总 账 科 目</v>
      </c>
      <c r="E650" s="23" t="str">
        <f aca="false">IF(助手收入!$R$45&lt;&gt;"","明 细 科 目","")</f>
        <v>明 细 科 目</v>
      </c>
      <c r="F650" s="65"/>
      <c r="G650" s="66"/>
      <c r="H650" s="63"/>
      <c r="I650" s="64"/>
    </row>
    <row r="651" customFormat="false" ht="23.25" hidden="false" customHeight="true" outlineLevel="0" collapsed="false">
      <c r="B651" s="67" t="str">
        <f aca="false">IFERROR(INDEX(分录收入!$M:$M,MATCH($L651,分录收入!$L:$L,0)),"")</f>
        <v>7月收入</v>
      </c>
      <c r="C651" s="67"/>
      <c r="D651" s="23" t="str">
        <f aca="false">IFERROR(INDEX(分录收入!$E:$E,MATCH($L651,分录收入!$L:$L,0)),"")</f>
        <v>库存现金</v>
      </c>
      <c r="E651" s="23" t="str">
        <f aca="false">IFERROR(INDEX(分录收入!$F:$F,MATCH($L651,分录收入!$L:$L,0)),"")</f>
        <v/>
      </c>
      <c r="F651" s="68" t="n">
        <f aca="false">IFERROR(INDEX(分录收入!$H:$H,MATCH($L651,分录收入!$L:$L,0)),"")</f>
        <v>9460.39</v>
      </c>
      <c r="G651" s="69" t="str">
        <f aca="false">IFERROR(INDEX(分录收入!$I:$I,MATCH($L651,分录收入!$L:$L,0)),"")</f>
        <v/>
      </c>
      <c r="H651" s="23"/>
      <c r="I651" s="70"/>
      <c r="L651" s="71" t="n">
        <f aca="false">IF(助手收入!$R$45="",-1,助手收入!$R$45*100+(助手收入!$S$45-1)*6+1)</f>
        <v>2501</v>
      </c>
    </row>
    <row r="652" customFormat="false" ht="23.25" hidden="false" customHeight="true" outlineLevel="0" collapsed="false">
      <c r="B652" s="67" t="str">
        <f aca="false">""</f>
        <v/>
      </c>
      <c r="C652" s="67"/>
      <c r="D652" s="23" t="str">
        <f aca="false">IFERROR(INDEX(分录收入!$E:$E,MATCH($L652,分录收入!$L:$L,0)),"")</f>
        <v>应收账款</v>
      </c>
      <c r="E652" s="23" t="str">
        <f aca="false">IFERROR(INDEX(分录收入!$F:$F,MATCH($L652,分录收入!$L:$L,0)),"")</f>
        <v>聚合支付</v>
      </c>
      <c r="F652" s="68" t="n">
        <f aca="false">IFERROR(INDEX(分录收入!$H:$H,MATCH($L652,分录收入!$L:$L,0)),"")</f>
        <v>22584.55</v>
      </c>
      <c r="G652" s="69" t="str">
        <f aca="false">IFERROR(INDEX(分录收入!$I:$I,MATCH($L652,分录收入!$L:$L,0)),"")</f>
        <v/>
      </c>
      <c r="H652" s="23"/>
      <c r="I652" s="70"/>
      <c r="L652" s="71" t="n">
        <f aca="false">IF(助手收入!$R$45="",-1,助手收入!$R$45*100+(助手收入!$S$45-1)*6+2)</f>
        <v>2502</v>
      </c>
    </row>
    <row r="653" customFormat="false" ht="23.25" hidden="false" customHeight="true" outlineLevel="0" collapsed="false">
      <c r="B653" s="67" t="str">
        <f aca="false">""</f>
        <v/>
      </c>
      <c r="C653" s="67"/>
      <c r="D653" s="23" t="str">
        <f aca="false">IFERROR(INDEX(分录收入!$E:$E,MATCH($L653,分录收入!$L:$L,0)),"")</f>
        <v>应收账款</v>
      </c>
      <c r="E653" s="23" t="str">
        <f aca="false">IFERROR(INDEX(分录收入!$F:$F,MATCH($L653,分录收入!$L:$L,0)),"")</f>
        <v>医保</v>
      </c>
      <c r="F653" s="68" t="n">
        <f aca="false">IFERROR(INDEX(分录收入!$H:$H,MATCH($L653,分录收入!$L:$L,0)),"")</f>
        <v>3890.4</v>
      </c>
      <c r="G653" s="69" t="str">
        <f aca="false">IFERROR(INDEX(分录收入!$I:$I,MATCH($L653,分录收入!$L:$L,0)),"")</f>
        <v/>
      </c>
      <c r="H653" s="23"/>
      <c r="I653" s="70"/>
      <c r="L653" s="71" t="n">
        <f aca="false">IF(助手收入!$R$45="",-1,助手收入!$R$45*100+(助手收入!$S$45-1)*6+3)</f>
        <v>2503</v>
      </c>
    </row>
    <row r="654" customFormat="false" ht="23.25" hidden="false" customHeight="true" outlineLevel="0" collapsed="false">
      <c r="B654" s="67" t="str">
        <f aca="false">""</f>
        <v/>
      </c>
      <c r="C654" s="67"/>
      <c r="D654" s="23" t="str">
        <f aca="false">IFERROR(INDEX(分录收入!$E:$E,MATCH($L654,分录收入!$L:$L,0)),"")</f>
        <v>其他应收款</v>
      </c>
      <c r="E654" s="23" t="str">
        <f aca="false">IFERROR(INDEX(分录收入!$F:$F,MATCH($L654,分录收入!$L:$L,0)),"")</f>
        <v>储值卡</v>
      </c>
      <c r="F654" s="68" t="n">
        <f aca="false">IFERROR(INDEX(分录收入!$H:$H,MATCH($L654,分录收入!$L:$L,0)),"")</f>
        <v>390</v>
      </c>
      <c r="G654" s="69" t="str">
        <f aca="false">IFERROR(INDEX(分录收入!$I:$I,MATCH($L654,分录收入!$L:$L,0)),"")</f>
        <v/>
      </c>
      <c r="H654" s="23"/>
      <c r="I654" s="70"/>
      <c r="L654" s="71" t="n">
        <f aca="false">IF(助手收入!$R$45="",-1,助手收入!$R$45*100+(助手收入!$S$45-1)*6+4)</f>
        <v>2504</v>
      </c>
    </row>
    <row r="655" customFormat="false" ht="23.25" hidden="false" customHeight="true" outlineLevel="0" collapsed="false">
      <c r="B655" s="67" t="str">
        <f aca="false">""</f>
        <v/>
      </c>
      <c r="C655" s="67"/>
      <c r="D655" s="23" t="str">
        <f aca="false">IFERROR(INDEX(分录收入!$E:$E,MATCH($L655,分录收入!$L:$L,0)),"")</f>
        <v>销售费用</v>
      </c>
      <c r="E655" s="23" t="str">
        <f aca="false">IFERROR(INDEX(分录收入!$F:$F,MATCH($L655,分录收入!$L:$L,0)),"")</f>
        <v>促销费</v>
      </c>
      <c r="F655" s="68" t="n">
        <f aca="false">IFERROR(INDEX(分录收入!$H:$H,MATCH($L655,分录收入!$L:$L,0)),"")</f>
        <v>595.92</v>
      </c>
      <c r="G655" s="69" t="str">
        <f aca="false">IFERROR(INDEX(分录收入!$I:$I,MATCH($L655,分录收入!$L:$L,0)),"")</f>
        <v/>
      </c>
      <c r="H655" s="23"/>
      <c r="I655" s="70"/>
      <c r="L655" s="71" t="n">
        <f aca="false">IF(助手收入!$R$45="",-1,助手收入!$R$45*100+(助手收入!$S$45-1)*6+5)</f>
        <v>2505</v>
      </c>
    </row>
    <row r="656" customFormat="false" ht="23.25" hidden="false" customHeight="true" outlineLevel="0" collapsed="false">
      <c r="B656" s="67" t="str">
        <f aca="false">""</f>
        <v/>
      </c>
      <c r="C656" s="67"/>
      <c r="D656" s="23" t="str">
        <f aca="false">IFERROR(INDEX(分录收入!$E:$E,MATCH($L656,分录收入!$L:$L,0)),"")</f>
        <v>财务费用</v>
      </c>
      <c r="E656" s="23" t="str">
        <f aca="false">IFERROR(INDEX(分录收入!$F:$F,MATCH($L656,分录收入!$L:$L,0)),"")</f>
        <v>手续费</v>
      </c>
      <c r="F656" s="68" t="n">
        <f aca="false">IFERROR(INDEX(分录收入!$H:$H,MATCH($L656,分录收入!$L:$L,0)),"")</f>
        <v>61.14</v>
      </c>
      <c r="G656" s="69" t="str">
        <f aca="false">IFERROR(INDEX(分录收入!$I:$I,MATCH($L656,分录收入!$L:$L,0)),"")</f>
        <v/>
      </c>
      <c r="H656" s="23"/>
      <c r="I656" s="70"/>
      <c r="L656" s="71" t="n">
        <f aca="false">IF(助手收入!$R$45="",-1,助手收入!$R$45*100+(助手收入!$S$45-1)*6+6)</f>
        <v>2506</v>
      </c>
    </row>
    <row r="657" customFormat="false" ht="23.25" hidden="false" customHeight="true" outlineLevel="0" collapsed="false">
      <c r="B657" s="72" t="str">
        <f aca="false">IF(助手收入!$T$45=1,"合计：","")</f>
        <v/>
      </c>
      <c r="C657" s="73" t="str">
        <f aca="false">IF(助手收入!$T$45=1,$F657,"")</f>
        <v/>
      </c>
      <c r="D657" s="74"/>
      <c r="E657" s="74"/>
      <c r="F657" s="75" t="str">
        <f aca="false">IF(助手收入!$T$45=1,INDEX(助手收入!$N$2:$N$66,助手收入!$R$45),"")</f>
        <v/>
      </c>
      <c r="G657" s="76" t="str">
        <f aca="false">IF(助手收入!$T$45=1,INDEX(助手收入!$O$2:$O$66,助手收入!$R$45),"")</f>
        <v/>
      </c>
      <c r="H657" s="74"/>
      <c r="I657" s="77"/>
    </row>
    <row r="658" customFormat="false" ht="6" hidden="false" customHeight="true" outlineLevel="0" collapsed="false"/>
    <row r="659" customFormat="false" ht="13.5" hidden="false" customHeight="false" outlineLevel="0" collapsed="false">
      <c r="B659" s="78" t="str">
        <f aca="false">IF(助手收入!$R$45&lt;&gt;"","会计主管：","")</f>
        <v>会计主管：</v>
      </c>
      <c r="D659" s="78" t="str">
        <f aca="false">IF(助手收入!$R$45&lt;&gt;"","会计：","")</f>
        <v>会计：</v>
      </c>
      <c r="E659" s="78" t="str">
        <f aca="false">IF(助手收入!$R$45&lt;&gt;"","出纳：","")</f>
        <v>出纳：</v>
      </c>
      <c r="F659" s="78" t="str">
        <f aca="false">IF(助手收入!$R$45&lt;&gt;"","复核：","")</f>
        <v>复核：</v>
      </c>
      <c r="G659" s="78" t="str">
        <f aca="false">IF(助手收入!$R$45&lt;&gt;"","制单：","")</f>
        <v>制单：</v>
      </c>
    </row>
    <row r="660" customFormat="false" ht="3" hidden="false" customHeight="true" outlineLevel="0" collapsed="false"/>
    <row r="661" customFormat="false" ht="19.5" hidden="false" customHeight="true" outlineLevel="0" collapsed="false">
      <c r="B661" s="53" t="str">
        <f aca="false">IF(助手收入!$R$46&lt;&gt;"","记  账  凭  证","")</f>
        <v>记  账  凭  证</v>
      </c>
      <c r="C661" s="53"/>
      <c r="D661" s="53"/>
      <c r="E661" s="53"/>
      <c r="F661" s="53"/>
      <c r="G661" s="53"/>
      <c r="H661" s="53"/>
      <c r="I661" s="53"/>
    </row>
    <row r="662" customFormat="false" ht="3" hidden="false" customHeight="true" outlineLevel="0" collapsed="false"/>
    <row r="663" customFormat="false" ht="15" hidden="false" customHeight="true" outlineLevel="0" collapsed="false">
      <c r="C663" s="56" t="n">
        <f aca="false">IF(助手收入!$R$46&lt;&gt;"",INDEX(助手收入!$B$2:$B$66,助手收入!$R$46),"")</f>
        <v>2038</v>
      </c>
      <c r="D663" s="57" t="n">
        <f aca="false">IF(助手收入!$R$46&lt;&gt;"",参数!$B$2,"")</f>
        <v>46234</v>
      </c>
      <c r="E663" s="57"/>
      <c r="F663" s="58" t="str">
        <f aca="false">IF(助手收入!$R$46&lt;&gt;"",INDEX(助手收入!$C$2:$C$66,助手收入!$R$46)&amp;"  字第 "&amp;IF(参数!$B$9="是",INDEX(助手收入!$P$2:$P$66,助手收入!$R$46),"　　　　")&amp;" 号"&amp;IF(INDEX(助手收入!$L$2:$L$66,助手收入!$R$46)&gt;1,"  (共"&amp;INDEX(助手收入!$L$2:$L$66,助手收入!$R$46)&amp;"页 第"&amp;助手收入!$S$46&amp;"页)",""),"")</f>
        <v>杨村王街店  字第 　　　　 号  (共2页 第2页)</v>
      </c>
      <c r="G663" s="58"/>
      <c r="H663" s="58"/>
      <c r="I663" s="58"/>
      <c r="M663" s="59" t="n">
        <f aca="false">IF(助手收入!$R$46="","",助手收入!$Q$46)</f>
        <v>45</v>
      </c>
      <c r="N663" s="60" t="n">
        <f aca="false">IF(助手收入!$R$46="","",INDEX(助手收入!$P$2:$P$66,助手收入!$R$46))</f>
        <v>24</v>
      </c>
      <c r="O663" s="55" t="str">
        <f aca="false">IF(助手收入!$R$46="","",INDEX(助手收入!$C$2:$C$66,助手收入!$R$46)&amp;"  字第 "&amp;INDEX(助手收入!$P$2:$P$66,助手收入!$R$46)&amp;" 号"&amp;IF(INDEX(助手收入!$L$2:$L$66,助手收入!$R$46)&gt;1,"  (共"&amp;INDEX(助手收入!$L$2:$L$66,助手收入!$R$46)&amp;"页 第"&amp;助手收入!$S$46&amp;"页)",""))</f>
        <v>杨村王街店  字第 24 号  (共2页 第2页)</v>
      </c>
    </row>
    <row r="664" customFormat="false" ht="12.75" hidden="false" customHeight="true" outlineLevel="0" collapsed="false">
      <c r="B664" s="61" t="str">
        <f aca="false">IF(助手收入!$R$46&lt;&gt;"","摘　　要","")</f>
        <v>摘　　要</v>
      </c>
      <c r="C664" s="61"/>
      <c r="D664" s="62" t="str">
        <f aca="false">IF(助手收入!$R$46&lt;&gt;"","科　　　　目","")</f>
        <v>科　　　　目</v>
      </c>
      <c r="E664" s="62"/>
      <c r="F664" s="61" t="str">
        <f aca="false">IF(助手收入!$R$46&lt;&gt;"","借 方 金 额","")</f>
        <v>借 方 金 额</v>
      </c>
      <c r="G664" s="62" t="str">
        <f aca="false">IF(助手收入!$R$46&lt;&gt;"","贷 方 金 额","")</f>
        <v>贷 方 金 额</v>
      </c>
      <c r="H664" s="63" t="str">
        <f aca="false">IF(助手收入!$R$46&lt;&gt;"","√","")</f>
        <v>√</v>
      </c>
      <c r="I664" s="64" t="str">
        <f aca="false">IF(助手收入!$R$46&lt;&gt;"","附单据  张","")</f>
        <v>附单据  张</v>
      </c>
    </row>
    <row r="665" customFormat="false" ht="12.75" hidden="false" customHeight="true" outlineLevel="0" collapsed="false">
      <c r="B665" s="61"/>
      <c r="C665" s="61"/>
      <c r="D665" s="23" t="str">
        <f aca="false">IF(助手收入!$R$46&lt;&gt;"","总 账 科 目","")</f>
        <v>总 账 科 目</v>
      </c>
      <c r="E665" s="23" t="str">
        <f aca="false">IF(助手收入!$R$46&lt;&gt;"","明 细 科 目","")</f>
        <v>明 细 科 目</v>
      </c>
      <c r="F665" s="65"/>
      <c r="G665" s="66"/>
      <c r="H665" s="63"/>
      <c r="I665" s="64"/>
    </row>
    <row r="666" customFormat="false" ht="23.25" hidden="false" customHeight="true" outlineLevel="0" collapsed="false">
      <c r="B666" s="67" t="str">
        <f aca="false">IFERROR(INDEX(分录收入!$M:$M,MATCH($L666,分录收入!$L:$L,0)),"")</f>
        <v>7月收入</v>
      </c>
      <c r="C666" s="67"/>
      <c r="D666" s="23" t="str">
        <f aca="false">IFERROR(INDEX(分录收入!$E:$E,MATCH($L666,分录收入!$L:$L,0)),"")</f>
        <v>主营业务收入</v>
      </c>
      <c r="E666" s="23" t="str">
        <f aca="false">IFERROR(INDEX(分录收入!$F:$F,MATCH($L666,分录收入!$L:$L,0)),"")</f>
        <v/>
      </c>
      <c r="F666" s="68" t="str">
        <f aca="false">IFERROR(INDEX(分录收入!$H:$H,MATCH($L666,分录收入!$L:$L,0)),"")</f>
        <v/>
      </c>
      <c r="G666" s="69" t="n">
        <f aca="false">IFERROR(INDEX(分录收入!$I:$I,MATCH($L666,分录收入!$L:$L,0)),"")</f>
        <v>36982.4</v>
      </c>
      <c r="H666" s="23"/>
      <c r="I666" s="70"/>
      <c r="L666" s="71" t="n">
        <f aca="false">IF(助手收入!$R$46="",-1,助手收入!$R$46*100+(助手收入!$S$46-1)*6+1)</f>
        <v>2507</v>
      </c>
    </row>
    <row r="667" customFormat="false" ht="23.25" hidden="false" customHeight="true" outlineLevel="0" collapsed="false">
      <c r="B667" s="67" t="str">
        <f aca="false">""</f>
        <v/>
      </c>
      <c r="C667" s="67"/>
      <c r="D667" s="23" t="str">
        <f aca="false">IFERROR(INDEX(分录收入!$E:$E,MATCH($L667,分录收入!$L:$L,0)),"")</f>
        <v/>
      </c>
      <c r="E667" s="23" t="str">
        <f aca="false">IFERROR(INDEX(分录收入!$F:$F,MATCH($L667,分录收入!$L:$L,0)),"")</f>
        <v/>
      </c>
      <c r="F667" s="68" t="str">
        <f aca="false">IFERROR(INDEX(分录收入!$H:$H,MATCH($L667,分录收入!$L:$L,0)),"")</f>
        <v/>
      </c>
      <c r="G667" s="69" t="str">
        <f aca="false">IFERROR(INDEX(分录收入!$I:$I,MATCH($L667,分录收入!$L:$L,0)),"")</f>
        <v/>
      </c>
      <c r="H667" s="23"/>
      <c r="I667" s="70"/>
      <c r="L667" s="71" t="n">
        <f aca="false">IF(助手收入!$R$46="",-1,助手收入!$R$46*100+(助手收入!$S$46-1)*6+2)</f>
        <v>2508</v>
      </c>
    </row>
    <row r="668" customFormat="false" ht="23.25" hidden="false" customHeight="true" outlineLevel="0" collapsed="false">
      <c r="B668" s="67" t="str">
        <f aca="false">""</f>
        <v/>
      </c>
      <c r="C668" s="67"/>
      <c r="D668" s="23" t="str">
        <f aca="false">IFERROR(INDEX(分录收入!$E:$E,MATCH($L668,分录收入!$L:$L,0)),"")</f>
        <v/>
      </c>
      <c r="E668" s="23" t="str">
        <f aca="false">IFERROR(INDEX(分录收入!$F:$F,MATCH($L668,分录收入!$L:$L,0)),"")</f>
        <v/>
      </c>
      <c r="F668" s="68" t="str">
        <f aca="false">IFERROR(INDEX(分录收入!$H:$H,MATCH($L668,分录收入!$L:$L,0)),"")</f>
        <v/>
      </c>
      <c r="G668" s="69" t="str">
        <f aca="false">IFERROR(INDEX(分录收入!$I:$I,MATCH($L668,分录收入!$L:$L,0)),"")</f>
        <v/>
      </c>
      <c r="H668" s="23"/>
      <c r="I668" s="70"/>
      <c r="L668" s="71" t="n">
        <f aca="false">IF(助手收入!$R$46="",-1,助手收入!$R$46*100+(助手收入!$S$46-1)*6+3)</f>
        <v>2509</v>
      </c>
    </row>
    <row r="669" customFormat="false" ht="23.25" hidden="false" customHeight="true" outlineLevel="0" collapsed="false">
      <c r="B669" s="67" t="str">
        <f aca="false">""</f>
        <v/>
      </c>
      <c r="C669" s="67"/>
      <c r="D669" s="23" t="str">
        <f aca="false">IFERROR(INDEX(分录收入!$E:$E,MATCH($L669,分录收入!$L:$L,0)),"")</f>
        <v/>
      </c>
      <c r="E669" s="23" t="str">
        <f aca="false">IFERROR(INDEX(分录收入!$F:$F,MATCH($L669,分录收入!$L:$L,0)),"")</f>
        <v/>
      </c>
      <c r="F669" s="68" t="str">
        <f aca="false">IFERROR(INDEX(分录收入!$H:$H,MATCH($L669,分录收入!$L:$L,0)),"")</f>
        <v/>
      </c>
      <c r="G669" s="69" t="str">
        <f aca="false">IFERROR(INDEX(分录收入!$I:$I,MATCH($L669,分录收入!$L:$L,0)),"")</f>
        <v/>
      </c>
      <c r="H669" s="23"/>
      <c r="I669" s="70"/>
      <c r="L669" s="71" t="n">
        <f aca="false">IF(助手收入!$R$46="",-1,助手收入!$R$46*100+(助手收入!$S$46-1)*6+4)</f>
        <v>2510</v>
      </c>
    </row>
    <row r="670" customFormat="false" ht="23.25" hidden="false" customHeight="true" outlineLevel="0" collapsed="false">
      <c r="B670" s="67" t="str">
        <f aca="false">""</f>
        <v/>
      </c>
      <c r="C670" s="67"/>
      <c r="D670" s="23" t="str">
        <f aca="false">IFERROR(INDEX(分录收入!$E:$E,MATCH($L670,分录收入!$L:$L,0)),"")</f>
        <v/>
      </c>
      <c r="E670" s="23" t="str">
        <f aca="false">IFERROR(INDEX(分录收入!$F:$F,MATCH($L670,分录收入!$L:$L,0)),"")</f>
        <v/>
      </c>
      <c r="F670" s="68" t="str">
        <f aca="false">IFERROR(INDEX(分录收入!$H:$H,MATCH($L670,分录收入!$L:$L,0)),"")</f>
        <v/>
      </c>
      <c r="G670" s="69" t="str">
        <f aca="false">IFERROR(INDEX(分录收入!$I:$I,MATCH($L670,分录收入!$L:$L,0)),"")</f>
        <v/>
      </c>
      <c r="H670" s="23"/>
      <c r="I670" s="70"/>
      <c r="L670" s="71" t="n">
        <f aca="false">IF(助手收入!$R$46="",-1,助手收入!$R$46*100+(助手收入!$S$46-1)*6+5)</f>
        <v>2511</v>
      </c>
    </row>
    <row r="671" customFormat="false" ht="23.25" hidden="false" customHeight="true" outlineLevel="0" collapsed="false">
      <c r="B671" s="67" t="str">
        <f aca="false">""</f>
        <v/>
      </c>
      <c r="C671" s="67"/>
      <c r="D671" s="23" t="str">
        <f aca="false">IFERROR(INDEX(分录收入!$E:$E,MATCH($L671,分录收入!$L:$L,0)),"")</f>
        <v/>
      </c>
      <c r="E671" s="23" t="str">
        <f aca="false">IFERROR(INDEX(分录收入!$F:$F,MATCH($L671,分录收入!$L:$L,0)),"")</f>
        <v/>
      </c>
      <c r="F671" s="68" t="str">
        <f aca="false">IFERROR(INDEX(分录收入!$H:$H,MATCH($L671,分录收入!$L:$L,0)),"")</f>
        <v/>
      </c>
      <c r="G671" s="69" t="str">
        <f aca="false">IFERROR(INDEX(分录收入!$I:$I,MATCH($L671,分录收入!$L:$L,0)),"")</f>
        <v/>
      </c>
      <c r="H671" s="23"/>
      <c r="I671" s="70"/>
      <c r="L671" s="71" t="n">
        <f aca="false">IF(助手收入!$R$46="",-1,助手收入!$R$46*100+(助手收入!$S$46-1)*6+6)</f>
        <v>2512</v>
      </c>
    </row>
    <row r="672" customFormat="false" ht="23.25" hidden="false" customHeight="true" outlineLevel="0" collapsed="false">
      <c r="B672" s="72" t="str">
        <f aca="false">IF(助手收入!$T$46=1,"合计：","")</f>
        <v>合计：</v>
      </c>
      <c r="C672" s="73" t="n">
        <f aca="false">IF(助手收入!$T$46=1,$F672,"")</f>
        <v>36982.4</v>
      </c>
      <c r="D672" s="74"/>
      <c r="E672" s="74"/>
      <c r="F672" s="75" t="n">
        <f aca="false">IF(助手收入!$T$46=1,INDEX(助手收入!$N$2:$N$66,助手收入!$R$46),"")</f>
        <v>36982.4</v>
      </c>
      <c r="G672" s="76" t="n">
        <f aca="false">IF(助手收入!$T$46=1,INDEX(助手收入!$O$2:$O$66,助手收入!$R$46),"")</f>
        <v>36982.4</v>
      </c>
      <c r="H672" s="74"/>
      <c r="I672" s="77"/>
    </row>
    <row r="673" customFormat="false" ht="6" hidden="false" customHeight="true" outlineLevel="0" collapsed="false"/>
    <row r="674" customFormat="false" ht="13.5" hidden="false" customHeight="false" outlineLevel="0" collapsed="false">
      <c r="B674" s="78" t="str">
        <f aca="false">IF(助手收入!$R$46&lt;&gt;"","会计主管：","")</f>
        <v>会计主管：</v>
      </c>
      <c r="D674" s="78" t="str">
        <f aca="false">IF(助手收入!$R$46&lt;&gt;"","会计：","")</f>
        <v>会计：</v>
      </c>
      <c r="E674" s="78" t="str">
        <f aca="false">IF(助手收入!$R$46&lt;&gt;"","出纳：","")</f>
        <v>出纳：</v>
      </c>
      <c r="F674" s="78" t="str">
        <f aca="false">IF(助手收入!$R$46&lt;&gt;"","复核：","")</f>
        <v>复核：</v>
      </c>
      <c r="G674" s="78" t="str">
        <f aca="false">IF(助手收入!$R$46&lt;&gt;"","制单：","")</f>
        <v>制单：</v>
      </c>
    </row>
    <row r="675" customFormat="false" ht="3" hidden="false" customHeight="true" outlineLevel="0" collapsed="false"/>
    <row r="676" customFormat="false" ht="19.5" hidden="false" customHeight="true" outlineLevel="0" collapsed="false">
      <c r="B676" s="53" t="str">
        <f aca="false">IF(助手收入!$R$47&lt;&gt;"","记  账  凭  证","")</f>
        <v>记  账  凭  证</v>
      </c>
      <c r="C676" s="53"/>
      <c r="D676" s="53"/>
      <c r="E676" s="53"/>
      <c r="F676" s="53"/>
      <c r="G676" s="53"/>
      <c r="H676" s="53"/>
      <c r="I676" s="53"/>
    </row>
    <row r="677" customFormat="false" ht="3" hidden="false" customHeight="true" outlineLevel="0" collapsed="false"/>
    <row r="678" customFormat="false" ht="15" hidden="false" customHeight="true" outlineLevel="0" collapsed="false">
      <c r="C678" s="56" t="n">
        <f aca="false">IF(助手收入!$R$47&lt;&gt;"",INDEX(助手收入!$B$2:$B$66,助手收入!$R$47),"")</f>
        <v>2039</v>
      </c>
      <c r="D678" s="57" t="n">
        <f aca="false">IF(助手收入!$R$47&lt;&gt;"",参数!$B$2,"")</f>
        <v>46234</v>
      </c>
      <c r="E678" s="57"/>
      <c r="F678" s="58" t="str">
        <f aca="false">IF(助手收入!$R$47&lt;&gt;"",INDEX(助手收入!$C$2:$C$66,助手收入!$R$47)&amp;"  字第 "&amp;IF(参数!$B$9="是",INDEX(助手收入!$P$2:$P$66,助手收入!$R$47),"　　　　")&amp;" 号"&amp;IF(INDEX(助手收入!$L$2:$L$66,助手收入!$R$47)&gt;1,"  (共"&amp;INDEX(助手收入!$L$2:$L$66,助手收入!$R$47)&amp;"页 第"&amp;助手收入!$S$47&amp;"页)",""),"")</f>
        <v>千户营店  字第 　　　　 号  (共2页 第1页)</v>
      </c>
      <c r="G678" s="58"/>
      <c r="H678" s="58"/>
      <c r="I678" s="58"/>
      <c r="M678" s="59" t="n">
        <f aca="false">IF(助手收入!$R$47="","",助手收入!$Q$47)</f>
        <v>46</v>
      </c>
      <c r="N678" s="60" t="n">
        <f aca="false">IF(助手收入!$R$47="","",INDEX(助手收入!$P$2:$P$66,助手收入!$R$47))</f>
        <v>25</v>
      </c>
      <c r="O678" s="55" t="str">
        <f aca="false">IF(助手收入!$R$47="","",INDEX(助手收入!$C$2:$C$66,助手收入!$R$47)&amp;"  字第 "&amp;INDEX(助手收入!$P$2:$P$66,助手收入!$R$47)&amp;" 号"&amp;IF(INDEX(助手收入!$L$2:$L$66,助手收入!$R$47)&gt;1,"  (共"&amp;INDEX(助手收入!$L$2:$L$66,助手收入!$R$47)&amp;"页 第"&amp;助手收入!$S$47&amp;"页)",""))</f>
        <v>千户营店  字第 25 号  (共2页 第1页)</v>
      </c>
    </row>
    <row r="679" customFormat="false" ht="12.75" hidden="false" customHeight="true" outlineLevel="0" collapsed="false">
      <c r="B679" s="61" t="str">
        <f aca="false">IF(助手收入!$R$47&lt;&gt;"","摘　　要","")</f>
        <v>摘　　要</v>
      </c>
      <c r="C679" s="61"/>
      <c r="D679" s="62" t="str">
        <f aca="false">IF(助手收入!$R$47&lt;&gt;"","科　　　　目","")</f>
        <v>科　　　　目</v>
      </c>
      <c r="E679" s="62"/>
      <c r="F679" s="61" t="str">
        <f aca="false">IF(助手收入!$R$47&lt;&gt;"","借 方 金 额","")</f>
        <v>借 方 金 额</v>
      </c>
      <c r="G679" s="62" t="str">
        <f aca="false">IF(助手收入!$R$47&lt;&gt;"","贷 方 金 额","")</f>
        <v>贷 方 金 额</v>
      </c>
      <c r="H679" s="63" t="str">
        <f aca="false">IF(助手收入!$R$47&lt;&gt;"","√","")</f>
        <v>√</v>
      </c>
      <c r="I679" s="64" t="str">
        <f aca="false">IF(助手收入!$R$47&lt;&gt;"","附单据  张","")</f>
        <v>附单据  张</v>
      </c>
    </row>
    <row r="680" customFormat="false" ht="12.75" hidden="false" customHeight="true" outlineLevel="0" collapsed="false">
      <c r="B680" s="61"/>
      <c r="C680" s="61"/>
      <c r="D680" s="23" t="str">
        <f aca="false">IF(助手收入!$R$47&lt;&gt;"","总 账 科 目","")</f>
        <v>总 账 科 目</v>
      </c>
      <c r="E680" s="23" t="str">
        <f aca="false">IF(助手收入!$R$47&lt;&gt;"","明 细 科 目","")</f>
        <v>明 细 科 目</v>
      </c>
      <c r="F680" s="65"/>
      <c r="G680" s="66"/>
      <c r="H680" s="63"/>
      <c r="I680" s="64"/>
    </row>
    <row r="681" customFormat="false" ht="23.25" hidden="false" customHeight="true" outlineLevel="0" collapsed="false">
      <c r="B681" s="67" t="str">
        <f aca="false">IFERROR(INDEX(分录收入!$M:$M,MATCH($L681,分录收入!$L:$L,0)),"")</f>
        <v>7月收入</v>
      </c>
      <c r="C681" s="67"/>
      <c r="D681" s="23" t="str">
        <f aca="false">IFERROR(INDEX(分录收入!$E:$E,MATCH($L681,分录收入!$L:$L,0)),"")</f>
        <v>库存现金</v>
      </c>
      <c r="E681" s="23" t="str">
        <f aca="false">IFERROR(INDEX(分录收入!$F:$F,MATCH($L681,分录收入!$L:$L,0)),"")</f>
        <v/>
      </c>
      <c r="F681" s="68" t="n">
        <f aca="false">IFERROR(INDEX(分录收入!$H:$H,MATCH($L681,分录收入!$L:$L,0)),"")</f>
        <v>27210.58</v>
      </c>
      <c r="G681" s="69" t="str">
        <f aca="false">IFERROR(INDEX(分录收入!$I:$I,MATCH($L681,分录收入!$L:$L,0)),"")</f>
        <v/>
      </c>
      <c r="H681" s="23"/>
      <c r="I681" s="70"/>
      <c r="L681" s="71" t="n">
        <f aca="false">IF(助手收入!$R$47="",-1,助手收入!$R$47*100+(助手收入!$S$47-1)*6+1)</f>
        <v>2601</v>
      </c>
    </row>
    <row r="682" customFormat="false" ht="23.25" hidden="false" customHeight="true" outlineLevel="0" collapsed="false">
      <c r="B682" s="67" t="str">
        <f aca="false">""</f>
        <v/>
      </c>
      <c r="C682" s="67"/>
      <c r="D682" s="23" t="str">
        <f aca="false">IFERROR(INDEX(分录收入!$E:$E,MATCH($L682,分录收入!$L:$L,0)),"")</f>
        <v>应收账款</v>
      </c>
      <c r="E682" s="23" t="str">
        <f aca="false">IFERROR(INDEX(分录收入!$F:$F,MATCH($L682,分录收入!$L:$L,0)),"")</f>
        <v>聚合支付</v>
      </c>
      <c r="F682" s="68" t="n">
        <f aca="false">IFERROR(INDEX(分录收入!$H:$H,MATCH($L682,分录收入!$L:$L,0)),"")</f>
        <v>37935.33</v>
      </c>
      <c r="G682" s="69" t="str">
        <f aca="false">IFERROR(INDEX(分录收入!$I:$I,MATCH($L682,分录收入!$L:$L,0)),"")</f>
        <v/>
      </c>
      <c r="H682" s="23"/>
      <c r="I682" s="70"/>
      <c r="L682" s="71" t="n">
        <f aca="false">IF(助手收入!$R$47="",-1,助手收入!$R$47*100+(助手收入!$S$47-1)*6+2)</f>
        <v>2602</v>
      </c>
    </row>
    <row r="683" customFormat="false" ht="23.25" hidden="false" customHeight="true" outlineLevel="0" collapsed="false">
      <c r="B683" s="67" t="str">
        <f aca="false">""</f>
        <v/>
      </c>
      <c r="C683" s="67"/>
      <c r="D683" s="23" t="str">
        <f aca="false">IFERROR(INDEX(分录收入!$E:$E,MATCH($L683,分录收入!$L:$L,0)),"")</f>
        <v>应收账款</v>
      </c>
      <c r="E683" s="23" t="str">
        <f aca="false">IFERROR(INDEX(分录收入!$F:$F,MATCH($L683,分录收入!$L:$L,0)),"")</f>
        <v>医保</v>
      </c>
      <c r="F683" s="68" t="n">
        <f aca="false">IFERROR(INDEX(分录收入!$H:$H,MATCH($L683,分录收入!$L:$L,0)),"")</f>
        <v>7025.29</v>
      </c>
      <c r="G683" s="69" t="str">
        <f aca="false">IFERROR(INDEX(分录收入!$I:$I,MATCH($L683,分录收入!$L:$L,0)),"")</f>
        <v/>
      </c>
      <c r="H683" s="23"/>
      <c r="I683" s="70"/>
      <c r="L683" s="71" t="n">
        <f aca="false">IF(助手收入!$R$47="",-1,助手收入!$R$47*100+(助手收入!$S$47-1)*6+3)</f>
        <v>2603</v>
      </c>
    </row>
    <row r="684" customFormat="false" ht="23.25" hidden="false" customHeight="true" outlineLevel="0" collapsed="false">
      <c r="B684" s="67" t="str">
        <f aca="false">""</f>
        <v/>
      </c>
      <c r="C684" s="67"/>
      <c r="D684" s="23" t="str">
        <f aca="false">IFERROR(INDEX(分录收入!$E:$E,MATCH($L684,分录收入!$L:$L,0)),"")</f>
        <v>其他应付款</v>
      </c>
      <c r="E684" s="23" t="str">
        <f aca="false">IFERROR(INDEX(分录收入!$F:$F,MATCH($L684,分录收入!$L:$L,0)),"")</f>
        <v>会员零钱包</v>
      </c>
      <c r="F684" s="68" t="str">
        <f aca="false">IFERROR(INDEX(分录收入!$H:$H,MATCH($L684,分录收入!$L:$L,0)),"")</f>
        <v/>
      </c>
      <c r="G684" s="69" t="n">
        <f aca="false">IFERROR(INDEX(分录收入!$I:$I,MATCH($L684,分录收入!$L:$L,0)),"")</f>
        <v>0.26</v>
      </c>
      <c r="H684" s="23"/>
      <c r="I684" s="70"/>
      <c r="L684" s="71" t="n">
        <f aca="false">IF(助手收入!$R$47="",-1,助手收入!$R$47*100+(助手收入!$S$47-1)*6+4)</f>
        <v>2604</v>
      </c>
    </row>
    <row r="685" customFormat="false" ht="23.25" hidden="false" customHeight="true" outlineLevel="0" collapsed="false">
      <c r="B685" s="67" t="str">
        <f aca="false">""</f>
        <v/>
      </c>
      <c r="C685" s="67"/>
      <c r="D685" s="23" t="str">
        <f aca="false">IFERROR(INDEX(分录收入!$E:$E,MATCH($L685,分录收入!$L:$L,0)),"")</f>
        <v>销售费用</v>
      </c>
      <c r="E685" s="23" t="str">
        <f aca="false">IFERROR(INDEX(分录收入!$F:$F,MATCH($L685,分录收入!$L:$L,0)),"")</f>
        <v>促销费</v>
      </c>
      <c r="F685" s="68" t="n">
        <f aca="false">IFERROR(INDEX(分录收入!$H:$H,MATCH($L685,分录收入!$L:$L,0)),"")</f>
        <v>1643.78</v>
      </c>
      <c r="G685" s="69" t="str">
        <f aca="false">IFERROR(INDEX(分录收入!$I:$I,MATCH($L685,分录收入!$L:$L,0)),"")</f>
        <v/>
      </c>
      <c r="H685" s="23"/>
      <c r="I685" s="70"/>
      <c r="L685" s="71" t="n">
        <f aca="false">IF(助手收入!$R$47="",-1,助手收入!$R$47*100+(助手收入!$S$47-1)*6+5)</f>
        <v>2605</v>
      </c>
    </row>
    <row r="686" customFormat="false" ht="23.25" hidden="false" customHeight="true" outlineLevel="0" collapsed="false">
      <c r="B686" s="67" t="str">
        <f aca="false">""</f>
        <v/>
      </c>
      <c r="C686" s="67"/>
      <c r="D686" s="23" t="str">
        <f aca="false">IFERROR(INDEX(分录收入!$E:$E,MATCH($L686,分录收入!$L:$L,0)),"")</f>
        <v>财务费用</v>
      </c>
      <c r="E686" s="23" t="str">
        <f aca="false">IFERROR(INDEX(分录收入!$F:$F,MATCH($L686,分录收入!$L:$L,0)),"")</f>
        <v>手续费</v>
      </c>
      <c r="F686" s="68" t="n">
        <f aca="false">IFERROR(INDEX(分录收入!$H:$H,MATCH($L686,分录收入!$L:$L,0)),"")</f>
        <v>102.7</v>
      </c>
      <c r="G686" s="69" t="str">
        <f aca="false">IFERROR(INDEX(分录收入!$I:$I,MATCH($L686,分录收入!$L:$L,0)),"")</f>
        <v/>
      </c>
      <c r="H686" s="23"/>
      <c r="I686" s="70"/>
      <c r="L686" s="71" t="n">
        <f aca="false">IF(助手收入!$R$47="",-1,助手收入!$R$47*100+(助手收入!$S$47-1)*6+6)</f>
        <v>2606</v>
      </c>
    </row>
    <row r="687" customFormat="false" ht="23.25" hidden="false" customHeight="true" outlineLevel="0" collapsed="false">
      <c r="B687" s="72" t="str">
        <f aca="false">IF(助手收入!$T$47=1,"合计：","")</f>
        <v/>
      </c>
      <c r="C687" s="73" t="str">
        <f aca="false">IF(助手收入!$T$47=1,$F687,"")</f>
        <v/>
      </c>
      <c r="D687" s="74"/>
      <c r="E687" s="74"/>
      <c r="F687" s="75" t="str">
        <f aca="false">IF(助手收入!$T$47=1,INDEX(助手收入!$N$2:$N$66,助手收入!$R$47),"")</f>
        <v/>
      </c>
      <c r="G687" s="76" t="str">
        <f aca="false">IF(助手收入!$T$47=1,INDEX(助手收入!$O$2:$O$66,助手收入!$R$47),"")</f>
        <v/>
      </c>
      <c r="H687" s="74"/>
      <c r="I687" s="77"/>
    </row>
    <row r="688" customFormat="false" ht="6" hidden="false" customHeight="true" outlineLevel="0" collapsed="false"/>
    <row r="689" customFormat="false" ht="13.5" hidden="false" customHeight="false" outlineLevel="0" collapsed="false">
      <c r="B689" s="78" t="str">
        <f aca="false">IF(助手收入!$R$47&lt;&gt;"","会计主管：","")</f>
        <v>会计主管：</v>
      </c>
      <c r="D689" s="78" t="str">
        <f aca="false">IF(助手收入!$R$47&lt;&gt;"","会计：","")</f>
        <v>会计：</v>
      </c>
      <c r="E689" s="78" t="str">
        <f aca="false">IF(助手收入!$R$47&lt;&gt;"","出纳：","")</f>
        <v>出纳：</v>
      </c>
      <c r="F689" s="78" t="str">
        <f aca="false">IF(助手收入!$R$47&lt;&gt;"","复核：","")</f>
        <v>复核：</v>
      </c>
      <c r="G689" s="78" t="str">
        <f aca="false">IF(助手收入!$R$47&lt;&gt;"","制单：","")</f>
        <v>制单：</v>
      </c>
    </row>
    <row r="690" customFormat="false" ht="3" hidden="false" customHeight="true" outlineLevel="0" collapsed="false"/>
    <row r="691" customFormat="false" ht="19.5" hidden="false" customHeight="true" outlineLevel="0" collapsed="false">
      <c r="B691" s="53" t="str">
        <f aca="false">IF(助手收入!$R$48&lt;&gt;"","记  账  凭  证","")</f>
        <v>记  账  凭  证</v>
      </c>
      <c r="C691" s="53"/>
      <c r="D691" s="53"/>
      <c r="E691" s="53"/>
      <c r="F691" s="53"/>
      <c r="G691" s="53"/>
      <c r="H691" s="53"/>
      <c r="I691" s="53"/>
    </row>
    <row r="692" customFormat="false" ht="3" hidden="false" customHeight="true" outlineLevel="0" collapsed="false"/>
    <row r="693" customFormat="false" ht="15" hidden="false" customHeight="true" outlineLevel="0" collapsed="false">
      <c r="C693" s="56" t="n">
        <f aca="false">IF(助手收入!$R$48&lt;&gt;"",INDEX(助手收入!$B$2:$B$66,助手收入!$R$48),"")</f>
        <v>2039</v>
      </c>
      <c r="D693" s="57" t="n">
        <f aca="false">IF(助手收入!$R$48&lt;&gt;"",参数!$B$2,"")</f>
        <v>46234</v>
      </c>
      <c r="E693" s="57"/>
      <c r="F693" s="58" t="str">
        <f aca="false">IF(助手收入!$R$48&lt;&gt;"",INDEX(助手收入!$C$2:$C$66,助手收入!$R$48)&amp;"  字第 "&amp;IF(参数!$B$9="是",INDEX(助手收入!$P$2:$P$66,助手收入!$R$48),"　　　　")&amp;" 号"&amp;IF(INDEX(助手收入!$L$2:$L$66,助手收入!$R$48)&gt;1,"  (共"&amp;INDEX(助手收入!$L$2:$L$66,助手收入!$R$48)&amp;"页 第"&amp;助手收入!$S$48&amp;"页)",""),"")</f>
        <v>千户营店  字第 　　　　 号  (共2页 第2页)</v>
      </c>
      <c r="G693" s="58"/>
      <c r="H693" s="58"/>
      <c r="I693" s="58"/>
      <c r="M693" s="59" t="n">
        <f aca="false">IF(助手收入!$R$48="","",助手收入!$Q$48)</f>
        <v>47</v>
      </c>
      <c r="N693" s="60" t="n">
        <f aca="false">IF(助手收入!$R$48="","",INDEX(助手收入!$P$2:$P$66,助手收入!$R$48))</f>
        <v>25</v>
      </c>
      <c r="O693" s="55" t="str">
        <f aca="false">IF(助手收入!$R$48="","",INDEX(助手收入!$C$2:$C$66,助手收入!$R$48)&amp;"  字第 "&amp;INDEX(助手收入!$P$2:$P$66,助手收入!$R$48)&amp;" 号"&amp;IF(INDEX(助手收入!$L$2:$L$66,助手收入!$R$48)&gt;1,"  (共"&amp;INDEX(助手收入!$L$2:$L$66,助手收入!$R$48)&amp;"页 第"&amp;助手收入!$S$48&amp;"页)",""))</f>
        <v>千户营店  字第 25 号  (共2页 第2页)</v>
      </c>
    </row>
    <row r="694" customFormat="false" ht="12.75" hidden="false" customHeight="true" outlineLevel="0" collapsed="false">
      <c r="B694" s="61" t="str">
        <f aca="false">IF(助手收入!$R$48&lt;&gt;"","摘　　要","")</f>
        <v>摘　　要</v>
      </c>
      <c r="C694" s="61"/>
      <c r="D694" s="62" t="str">
        <f aca="false">IF(助手收入!$R$48&lt;&gt;"","科　　　　目","")</f>
        <v>科　　　　目</v>
      </c>
      <c r="E694" s="62"/>
      <c r="F694" s="61" t="str">
        <f aca="false">IF(助手收入!$R$48&lt;&gt;"","借 方 金 额","")</f>
        <v>借 方 金 额</v>
      </c>
      <c r="G694" s="62" t="str">
        <f aca="false">IF(助手收入!$R$48&lt;&gt;"","贷 方 金 额","")</f>
        <v>贷 方 金 额</v>
      </c>
      <c r="H694" s="63" t="str">
        <f aca="false">IF(助手收入!$R$48&lt;&gt;"","√","")</f>
        <v>√</v>
      </c>
      <c r="I694" s="64" t="str">
        <f aca="false">IF(助手收入!$R$48&lt;&gt;"","附单据  张","")</f>
        <v>附单据  张</v>
      </c>
    </row>
    <row r="695" customFormat="false" ht="12.75" hidden="false" customHeight="true" outlineLevel="0" collapsed="false">
      <c r="B695" s="61"/>
      <c r="C695" s="61"/>
      <c r="D695" s="23" t="str">
        <f aca="false">IF(助手收入!$R$48&lt;&gt;"","总 账 科 目","")</f>
        <v>总 账 科 目</v>
      </c>
      <c r="E695" s="23" t="str">
        <f aca="false">IF(助手收入!$R$48&lt;&gt;"","明 细 科 目","")</f>
        <v>明 细 科 目</v>
      </c>
      <c r="F695" s="65"/>
      <c r="G695" s="66"/>
      <c r="H695" s="63"/>
      <c r="I695" s="64"/>
    </row>
    <row r="696" customFormat="false" ht="23.25" hidden="false" customHeight="true" outlineLevel="0" collapsed="false">
      <c r="B696" s="67" t="str">
        <f aca="false">IFERROR(INDEX(分录收入!$M:$M,MATCH($L696,分录收入!$L:$L,0)),"")</f>
        <v>7月收入</v>
      </c>
      <c r="C696" s="67"/>
      <c r="D696" s="23" t="str">
        <f aca="false">IFERROR(INDEX(分录收入!$E:$E,MATCH($L696,分录收入!$L:$L,0)),"")</f>
        <v>主营业务收入</v>
      </c>
      <c r="E696" s="23" t="str">
        <f aca="false">IFERROR(INDEX(分录收入!$F:$F,MATCH($L696,分录收入!$L:$L,0)),"")</f>
        <v/>
      </c>
      <c r="F696" s="68" t="str">
        <f aca="false">IFERROR(INDEX(分录收入!$H:$H,MATCH($L696,分录收入!$L:$L,0)),"")</f>
        <v/>
      </c>
      <c r="G696" s="69" t="n">
        <f aca="false">IFERROR(INDEX(分录收入!$I:$I,MATCH($L696,分录收入!$L:$L,0)),"")</f>
        <v>73917.42</v>
      </c>
      <c r="H696" s="23"/>
      <c r="I696" s="70"/>
      <c r="L696" s="71" t="n">
        <f aca="false">IF(助手收入!$R$48="",-1,助手收入!$R$48*100+(助手收入!$S$48-1)*6+1)</f>
        <v>2607</v>
      </c>
    </row>
    <row r="697" customFormat="false" ht="23.25" hidden="false" customHeight="true" outlineLevel="0" collapsed="false">
      <c r="B697" s="67" t="str">
        <f aca="false">""</f>
        <v/>
      </c>
      <c r="C697" s="67"/>
      <c r="D697" s="23" t="str">
        <f aca="false">IFERROR(INDEX(分录收入!$E:$E,MATCH($L697,分录收入!$L:$L,0)),"")</f>
        <v/>
      </c>
      <c r="E697" s="23" t="str">
        <f aca="false">IFERROR(INDEX(分录收入!$F:$F,MATCH($L697,分录收入!$L:$L,0)),"")</f>
        <v/>
      </c>
      <c r="F697" s="68" t="str">
        <f aca="false">IFERROR(INDEX(分录收入!$H:$H,MATCH($L697,分录收入!$L:$L,0)),"")</f>
        <v/>
      </c>
      <c r="G697" s="69" t="str">
        <f aca="false">IFERROR(INDEX(分录收入!$I:$I,MATCH($L697,分录收入!$L:$L,0)),"")</f>
        <v/>
      </c>
      <c r="H697" s="23"/>
      <c r="I697" s="70"/>
      <c r="L697" s="71" t="n">
        <f aca="false">IF(助手收入!$R$48="",-1,助手收入!$R$48*100+(助手收入!$S$48-1)*6+2)</f>
        <v>2608</v>
      </c>
    </row>
    <row r="698" customFormat="false" ht="23.25" hidden="false" customHeight="true" outlineLevel="0" collapsed="false">
      <c r="B698" s="67" t="str">
        <f aca="false">""</f>
        <v/>
      </c>
      <c r="C698" s="67"/>
      <c r="D698" s="23" t="str">
        <f aca="false">IFERROR(INDEX(分录收入!$E:$E,MATCH($L698,分录收入!$L:$L,0)),"")</f>
        <v/>
      </c>
      <c r="E698" s="23" t="str">
        <f aca="false">IFERROR(INDEX(分录收入!$F:$F,MATCH($L698,分录收入!$L:$L,0)),"")</f>
        <v/>
      </c>
      <c r="F698" s="68" t="str">
        <f aca="false">IFERROR(INDEX(分录收入!$H:$H,MATCH($L698,分录收入!$L:$L,0)),"")</f>
        <v/>
      </c>
      <c r="G698" s="69" t="str">
        <f aca="false">IFERROR(INDEX(分录收入!$I:$I,MATCH($L698,分录收入!$L:$L,0)),"")</f>
        <v/>
      </c>
      <c r="H698" s="23"/>
      <c r="I698" s="70"/>
      <c r="L698" s="71" t="n">
        <f aca="false">IF(助手收入!$R$48="",-1,助手收入!$R$48*100+(助手收入!$S$48-1)*6+3)</f>
        <v>2609</v>
      </c>
    </row>
    <row r="699" customFormat="false" ht="23.25" hidden="false" customHeight="true" outlineLevel="0" collapsed="false">
      <c r="B699" s="67" t="str">
        <f aca="false">""</f>
        <v/>
      </c>
      <c r="C699" s="67"/>
      <c r="D699" s="23" t="str">
        <f aca="false">IFERROR(INDEX(分录收入!$E:$E,MATCH($L699,分录收入!$L:$L,0)),"")</f>
        <v/>
      </c>
      <c r="E699" s="23" t="str">
        <f aca="false">IFERROR(INDEX(分录收入!$F:$F,MATCH($L699,分录收入!$L:$L,0)),"")</f>
        <v/>
      </c>
      <c r="F699" s="68" t="str">
        <f aca="false">IFERROR(INDEX(分录收入!$H:$H,MATCH($L699,分录收入!$L:$L,0)),"")</f>
        <v/>
      </c>
      <c r="G699" s="69" t="str">
        <f aca="false">IFERROR(INDEX(分录收入!$I:$I,MATCH($L699,分录收入!$L:$L,0)),"")</f>
        <v/>
      </c>
      <c r="H699" s="23"/>
      <c r="I699" s="70"/>
      <c r="L699" s="71" t="n">
        <f aca="false">IF(助手收入!$R$48="",-1,助手收入!$R$48*100+(助手收入!$S$48-1)*6+4)</f>
        <v>2610</v>
      </c>
    </row>
    <row r="700" customFormat="false" ht="23.25" hidden="false" customHeight="true" outlineLevel="0" collapsed="false">
      <c r="B700" s="67" t="str">
        <f aca="false">""</f>
        <v/>
      </c>
      <c r="C700" s="67"/>
      <c r="D700" s="23" t="str">
        <f aca="false">IFERROR(INDEX(分录收入!$E:$E,MATCH($L700,分录收入!$L:$L,0)),"")</f>
        <v/>
      </c>
      <c r="E700" s="23" t="str">
        <f aca="false">IFERROR(INDEX(分录收入!$F:$F,MATCH($L700,分录收入!$L:$L,0)),"")</f>
        <v/>
      </c>
      <c r="F700" s="68" t="str">
        <f aca="false">IFERROR(INDEX(分录收入!$H:$H,MATCH($L700,分录收入!$L:$L,0)),"")</f>
        <v/>
      </c>
      <c r="G700" s="69" t="str">
        <f aca="false">IFERROR(INDEX(分录收入!$I:$I,MATCH($L700,分录收入!$L:$L,0)),"")</f>
        <v/>
      </c>
      <c r="H700" s="23"/>
      <c r="I700" s="70"/>
      <c r="L700" s="71" t="n">
        <f aca="false">IF(助手收入!$R$48="",-1,助手收入!$R$48*100+(助手收入!$S$48-1)*6+5)</f>
        <v>2611</v>
      </c>
    </row>
    <row r="701" customFormat="false" ht="23.25" hidden="false" customHeight="true" outlineLevel="0" collapsed="false">
      <c r="B701" s="67" t="str">
        <f aca="false">""</f>
        <v/>
      </c>
      <c r="C701" s="67"/>
      <c r="D701" s="23" t="str">
        <f aca="false">IFERROR(INDEX(分录收入!$E:$E,MATCH($L701,分录收入!$L:$L,0)),"")</f>
        <v/>
      </c>
      <c r="E701" s="23" t="str">
        <f aca="false">IFERROR(INDEX(分录收入!$F:$F,MATCH($L701,分录收入!$L:$L,0)),"")</f>
        <v/>
      </c>
      <c r="F701" s="68" t="str">
        <f aca="false">IFERROR(INDEX(分录收入!$H:$H,MATCH($L701,分录收入!$L:$L,0)),"")</f>
        <v/>
      </c>
      <c r="G701" s="69" t="str">
        <f aca="false">IFERROR(INDEX(分录收入!$I:$I,MATCH($L701,分录收入!$L:$L,0)),"")</f>
        <v/>
      </c>
      <c r="H701" s="23"/>
      <c r="I701" s="70"/>
      <c r="L701" s="71" t="n">
        <f aca="false">IF(助手收入!$R$48="",-1,助手收入!$R$48*100+(助手收入!$S$48-1)*6+6)</f>
        <v>2612</v>
      </c>
    </row>
    <row r="702" customFormat="false" ht="23.25" hidden="false" customHeight="true" outlineLevel="0" collapsed="false">
      <c r="B702" s="72" t="str">
        <f aca="false">IF(助手收入!$T$48=1,"合计：","")</f>
        <v>合计：</v>
      </c>
      <c r="C702" s="73" t="n">
        <f aca="false">IF(助手收入!$T$48=1,$F702,"")</f>
        <v>73917.68</v>
      </c>
      <c r="D702" s="74"/>
      <c r="E702" s="74"/>
      <c r="F702" s="75" t="n">
        <f aca="false">IF(助手收入!$T$48=1,INDEX(助手收入!$N$2:$N$66,助手收入!$R$48),"")</f>
        <v>73917.68</v>
      </c>
      <c r="G702" s="76" t="n">
        <f aca="false">IF(助手收入!$T$48=1,INDEX(助手收入!$O$2:$O$66,助手收入!$R$48),"")</f>
        <v>73917.68</v>
      </c>
      <c r="H702" s="74"/>
      <c r="I702" s="77"/>
    </row>
    <row r="703" customFormat="false" ht="6" hidden="false" customHeight="true" outlineLevel="0" collapsed="false"/>
    <row r="704" customFormat="false" ht="13.5" hidden="false" customHeight="false" outlineLevel="0" collapsed="false">
      <c r="B704" s="78" t="str">
        <f aca="false">IF(助手收入!$R$48&lt;&gt;"","会计主管：","")</f>
        <v>会计主管：</v>
      </c>
      <c r="D704" s="78" t="str">
        <f aca="false">IF(助手收入!$R$48&lt;&gt;"","会计：","")</f>
        <v>会计：</v>
      </c>
      <c r="E704" s="78" t="str">
        <f aca="false">IF(助手收入!$R$48&lt;&gt;"","出纳：","")</f>
        <v>出纳：</v>
      </c>
      <c r="F704" s="78" t="str">
        <f aca="false">IF(助手收入!$R$48&lt;&gt;"","复核：","")</f>
        <v>复核：</v>
      </c>
      <c r="G704" s="78" t="str">
        <f aca="false">IF(助手收入!$R$48&lt;&gt;"","制单：","")</f>
        <v>制单：</v>
      </c>
    </row>
    <row r="705" customFormat="false" ht="3" hidden="false" customHeight="true" outlineLevel="0" collapsed="false"/>
    <row r="706" customFormat="false" ht="19.5" hidden="false" customHeight="true" outlineLevel="0" collapsed="false">
      <c r="B706" s="53" t="str">
        <f aca="false">IF(助手收入!$R$49&lt;&gt;"","记  账  凭  证","")</f>
        <v>记  账  凭  证</v>
      </c>
      <c r="C706" s="53"/>
      <c r="D706" s="53"/>
      <c r="E706" s="53"/>
      <c r="F706" s="53"/>
      <c r="G706" s="53"/>
      <c r="H706" s="53"/>
      <c r="I706" s="53"/>
    </row>
    <row r="707" customFormat="false" ht="3" hidden="false" customHeight="true" outlineLevel="0" collapsed="false"/>
    <row r="708" customFormat="false" ht="15" hidden="false" customHeight="true" outlineLevel="0" collapsed="false">
      <c r="C708" s="56" t="n">
        <f aca="false">IF(助手收入!$R$49&lt;&gt;"",INDEX(助手收入!$B$2:$B$66,助手收入!$R$49),"")</f>
        <v>2040</v>
      </c>
      <c r="D708" s="57" t="n">
        <f aca="false">IF(助手收入!$R$49&lt;&gt;"",参数!$B$2,"")</f>
        <v>46234</v>
      </c>
      <c r="E708" s="57"/>
      <c r="F708" s="58" t="str">
        <f aca="false">IF(助手收入!$R$49&lt;&gt;"",INDEX(助手收入!$C$2:$C$66,助手收入!$R$49)&amp;"  字第 "&amp;IF(参数!$B$9="是",INDEX(助手收入!$P$2:$P$66,助手收入!$R$49),"　　　　")&amp;" 号"&amp;IF(INDEX(助手收入!$L$2:$L$66,助手收入!$R$49)&gt;1,"  (共"&amp;INDEX(助手收入!$L$2:$L$66,助手收入!$R$49)&amp;"页 第"&amp;助手收入!$S$49&amp;"页)",""),"")</f>
        <v>大张庄店  字第 　　　　 号  (共2页 第1页)</v>
      </c>
      <c r="G708" s="58"/>
      <c r="H708" s="58"/>
      <c r="I708" s="58"/>
      <c r="M708" s="59" t="n">
        <f aca="false">IF(助手收入!$R$49="","",助手收入!$Q$49)</f>
        <v>48</v>
      </c>
      <c r="N708" s="60" t="n">
        <f aca="false">IF(助手收入!$R$49="","",INDEX(助手收入!$P$2:$P$66,助手收入!$R$49))</f>
        <v>26</v>
      </c>
      <c r="O708" s="55" t="str">
        <f aca="false">IF(助手收入!$R$49="","",INDEX(助手收入!$C$2:$C$66,助手收入!$R$49)&amp;"  字第 "&amp;INDEX(助手收入!$P$2:$P$66,助手收入!$R$49)&amp;" 号"&amp;IF(INDEX(助手收入!$L$2:$L$66,助手收入!$R$49)&gt;1,"  (共"&amp;INDEX(助手收入!$L$2:$L$66,助手收入!$R$49)&amp;"页 第"&amp;助手收入!$S$49&amp;"页)",""))</f>
        <v>大张庄店  字第 26 号  (共2页 第1页)</v>
      </c>
    </row>
    <row r="709" customFormat="false" ht="12.75" hidden="false" customHeight="true" outlineLevel="0" collapsed="false">
      <c r="B709" s="61" t="str">
        <f aca="false">IF(助手收入!$R$49&lt;&gt;"","摘　　要","")</f>
        <v>摘　　要</v>
      </c>
      <c r="C709" s="61"/>
      <c r="D709" s="62" t="str">
        <f aca="false">IF(助手收入!$R$49&lt;&gt;"","科　　　　目","")</f>
        <v>科　　　　目</v>
      </c>
      <c r="E709" s="62"/>
      <c r="F709" s="61" t="str">
        <f aca="false">IF(助手收入!$R$49&lt;&gt;"","借 方 金 额","")</f>
        <v>借 方 金 额</v>
      </c>
      <c r="G709" s="62" t="str">
        <f aca="false">IF(助手收入!$R$49&lt;&gt;"","贷 方 金 额","")</f>
        <v>贷 方 金 额</v>
      </c>
      <c r="H709" s="63" t="str">
        <f aca="false">IF(助手收入!$R$49&lt;&gt;"","√","")</f>
        <v>√</v>
      </c>
      <c r="I709" s="64" t="str">
        <f aca="false">IF(助手收入!$R$49&lt;&gt;"","附单据  张","")</f>
        <v>附单据  张</v>
      </c>
    </row>
    <row r="710" customFormat="false" ht="12.75" hidden="false" customHeight="true" outlineLevel="0" collapsed="false">
      <c r="B710" s="61"/>
      <c r="C710" s="61"/>
      <c r="D710" s="23" t="str">
        <f aca="false">IF(助手收入!$R$49&lt;&gt;"","总 账 科 目","")</f>
        <v>总 账 科 目</v>
      </c>
      <c r="E710" s="23" t="str">
        <f aca="false">IF(助手收入!$R$49&lt;&gt;"","明 细 科 目","")</f>
        <v>明 细 科 目</v>
      </c>
      <c r="F710" s="65"/>
      <c r="G710" s="66"/>
      <c r="H710" s="63"/>
      <c r="I710" s="64"/>
    </row>
    <row r="711" customFormat="false" ht="23.25" hidden="false" customHeight="true" outlineLevel="0" collapsed="false">
      <c r="B711" s="67" t="str">
        <f aca="false">IFERROR(INDEX(分录收入!$M:$M,MATCH($L711,分录收入!$L:$L,0)),"")</f>
        <v>7月收入</v>
      </c>
      <c r="C711" s="67"/>
      <c r="D711" s="23" t="str">
        <f aca="false">IFERROR(INDEX(分录收入!$E:$E,MATCH($L711,分录收入!$L:$L,0)),"")</f>
        <v>库存现金</v>
      </c>
      <c r="E711" s="23" t="str">
        <f aca="false">IFERROR(INDEX(分录收入!$F:$F,MATCH($L711,分录收入!$L:$L,0)),"")</f>
        <v/>
      </c>
      <c r="F711" s="68" t="n">
        <f aca="false">IFERROR(INDEX(分录收入!$H:$H,MATCH($L711,分录收入!$L:$L,0)),"")</f>
        <v>24616.18</v>
      </c>
      <c r="G711" s="69" t="str">
        <f aca="false">IFERROR(INDEX(分录收入!$I:$I,MATCH($L711,分录收入!$L:$L,0)),"")</f>
        <v/>
      </c>
      <c r="H711" s="23"/>
      <c r="I711" s="70"/>
      <c r="L711" s="71" t="n">
        <f aca="false">IF(助手收入!$R$49="",-1,助手收入!$R$49*100+(助手收入!$S$49-1)*6+1)</f>
        <v>2701</v>
      </c>
    </row>
    <row r="712" customFormat="false" ht="23.25" hidden="false" customHeight="true" outlineLevel="0" collapsed="false">
      <c r="B712" s="67" t="str">
        <f aca="false">""</f>
        <v/>
      </c>
      <c r="C712" s="67"/>
      <c r="D712" s="23" t="str">
        <f aca="false">IFERROR(INDEX(分录收入!$E:$E,MATCH($L712,分录收入!$L:$L,0)),"")</f>
        <v>应收账款</v>
      </c>
      <c r="E712" s="23" t="str">
        <f aca="false">IFERROR(INDEX(分录收入!$F:$F,MATCH($L712,分录收入!$L:$L,0)),"")</f>
        <v>聚合支付</v>
      </c>
      <c r="F712" s="68" t="n">
        <f aca="false">IFERROR(INDEX(分录收入!$H:$H,MATCH($L712,分录收入!$L:$L,0)),"")</f>
        <v>56001.34</v>
      </c>
      <c r="G712" s="69" t="str">
        <f aca="false">IFERROR(INDEX(分录收入!$I:$I,MATCH($L712,分录收入!$L:$L,0)),"")</f>
        <v/>
      </c>
      <c r="H712" s="23"/>
      <c r="I712" s="70"/>
      <c r="L712" s="71" t="n">
        <f aca="false">IF(助手收入!$R$49="",-1,助手收入!$R$49*100+(助手收入!$S$49-1)*6+2)</f>
        <v>2702</v>
      </c>
    </row>
    <row r="713" customFormat="false" ht="23.25" hidden="false" customHeight="true" outlineLevel="0" collapsed="false">
      <c r="B713" s="67" t="str">
        <f aca="false">""</f>
        <v/>
      </c>
      <c r="C713" s="67"/>
      <c r="D713" s="23" t="str">
        <f aca="false">IFERROR(INDEX(分录收入!$E:$E,MATCH($L713,分录收入!$L:$L,0)),"")</f>
        <v>应收账款</v>
      </c>
      <c r="E713" s="23" t="str">
        <f aca="false">IFERROR(INDEX(分录收入!$F:$F,MATCH($L713,分录收入!$L:$L,0)),"")</f>
        <v>医保</v>
      </c>
      <c r="F713" s="68" t="n">
        <f aca="false">IFERROR(INDEX(分录收入!$H:$H,MATCH($L713,分录收入!$L:$L,0)),"")</f>
        <v>10613.67</v>
      </c>
      <c r="G713" s="69" t="str">
        <f aca="false">IFERROR(INDEX(分录收入!$I:$I,MATCH($L713,分录收入!$L:$L,0)),"")</f>
        <v/>
      </c>
      <c r="H713" s="23"/>
      <c r="I713" s="70"/>
      <c r="L713" s="71" t="n">
        <f aca="false">IF(助手收入!$R$49="",-1,助手收入!$R$49*100+(助手收入!$S$49-1)*6+3)</f>
        <v>2703</v>
      </c>
    </row>
    <row r="714" customFormat="false" ht="23.25" hidden="false" customHeight="true" outlineLevel="0" collapsed="false">
      <c r="B714" s="67" t="str">
        <f aca="false">""</f>
        <v/>
      </c>
      <c r="C714" s="67"/>
      <c r="D714" s="23" t="str">
        <f aca="false">IFERROR(INDEX(分录收入!$E:$E,MATCH($L714,分录收入!$L:$L,0)),"")</f>
        <v>其他应收款</v>
      </c>
      <c r="E714" s="23" t="str">
        <f aca="false">IFERROR(INDEX(分录收入!$F:$F,MATCH($L714,分录收入!$L:$L,0)),"")</f>
        <v>储值卡</v>
      </c>
      <c r="F714" s="68" t="n">
        <f aca="false">IFERROR(INDEX(分录收入!$H:$H,MATCH($L714,分录收入!$L:$L,0)),"")</f>
        <v>177</v>
      </c>
      <c r="G714" s="69" t="str">
        <f aca="false">IFERROR(INDEX(分录收入!$I:$I,MATCH($L714,分录收入!$L:$L,0)),"")</f>
        <v/>
      </c>
      <c r="H714" s="23"/>
      <c r="I714" s="70"/>
      <c r="L714" s="71" t="n">
        <f aca="false">IF(助手收入!$R$49="",-1,助手收入!$R$49*100+(助手收入!$S$49-1)*6+4)</f>
        <v>2704</v>
      </c>
    </row>
    <row r="715" customFormat="false" ht="23.25" hidden="false" customHeight="true" outlineLevel="0" collapsed="false">
      <c r="B715" s="67" t="str">
        <f aca="false">""</f>
        <v/>
      </c>
      <c r="C715" s="67"/>
      <c r="D715" s="23" t="str">
        <f aca="false">IFERROR(INDEX(分录收入!$E:$E,MATCH($L715,分录收入!$L:$L,0)),"")</f>
        <v>其他应付款</v>
      </c>
      <c r="E715" s="23" t="str">
        <f aca="false">IFERROR(INDEX(分录收入!$F:$F,MATCH($L715,分录收入!$L:$L,0)),"")</f>
        <v>会员零钱包</v>
      </c>
      <c r="F715" s="68" t="str">
        <f aca="false">IFERROR(INDEX(分录收入!$H:$H,MATCH($L715,分录收入!$L:$L,0)),"")</f>
        <v/>
      </c>
      <c r="G715" s="69" t="n">
        <f aca="false">IFERROR(INDEX(分录收入!$I:$I,MATCH($L715,分录收入!$L:$L,0)),"")</f>
        <v>1.15</v>
      </c>
      <c r="H715" s="23"/>
      <c r="I715" s="70"/>
      <c r="L715" s="71" t="n">
        <f aca="false">IF(助手收入!$R$49="",-1,助手收入!$R$49*100+(助手收入!$S$49-1)*6+5)</f>
        <v>2705</v>
      </c>
    </row>
    <row r="716" customFormat="false" ht="23.25" hidden="false" customHeight="true" outlineLevel="0" collapsed="false">
      <c r="B716" s="67" t="str">
        <f aca="false">""</f>
        <v/>
      </c>
      <c r="C716" s="67"/>
      <c r="D716" s="23" t="str">
        <f aca="false">IFERROR(INDEX(分录收入!$E:$E,MATCH($L716,分录收入!$L:$L,0)),"")</f>
        <v>销售费用</v>
      </c>
      <c r="E716" s="23" t="str">
        <f aca="false">IFERROR(INDEX(分录收入!$F:$F,MATCH($L716,分录收入!$L:$L,0)),"")</f>
        <v>促销费</v>
      </c>
      <c r="F716" s="68" t="n">
        <f aca="false">IFERROR(INDEX(分录收入!$H:$H,MATCH($L716,分录收入!$L:$L,0)),"")</f>
        <v>791.86</v>
      </c>
      <c r="G716" s="69" t="str">
        <f aca="false">IFERROR(INDEX(分录收入!$I:$I,MATCH($L716,分录收入!$L:$L,0)),"")</f>
        <v/>
      </c>
      <c r="H716" s="23"/>
      <c r="I716" s="70"/>
      <c r="L716" s="71" t="n">
        <f aca="false">IF(助手收入!$R$49="",-1,助手收入!$R$49*100+(助手收入!$S$49-1)*6+6)</f>
        <v>2706</v>
      </c>
    </row>
    <row r="717" customFormat="false" ht="23.25" hidden="false" customHeight="true" outlineLevel="0" collapsed="false">
      <c r="B717" s="72" t="str">
        <f aca="false">IF(助手收入!$T$49=1,"合计：","")</f>
        <v/>
      </c>
      <c r="C717" s="73" t="str">
        <f aca="false">IF(助手收入!$T$49=1,$F717,"")</f>
        <v/>
      </c>
      <c r="D717" s="74"/>
      <c r="E717" s="74"/>
      <c r="F717" s="75" t="str">
        <f aca="false">IF(助手收入!$T$49=1,INDEX(助手收入!$N$2:$N$66,助手收入!$R$49),"")</f>
        <v/>
      </c>
      <c r="G717" s="76" t="str">
        <f aca="false">IF(助手收入!$T$49=1,INDEX(助手收入!$O$2:$O$66,助手收入!$R$49),"")</f>
        <v/>
      </c>
      <c r="H717" s="74"/>
      <c r="I717" s="77"/>
    </row>
    <row r="718" customFormat="false" ht="6" hidden="false" customHeight="true" outlineLevel="0" collapsed="false"/>
    <row r="719" customFormat="false" ht="13.5" hidden="false" customHeight="false" outlineLevel="0" collapsed="false">
      <c r="B719" s="78" t="str">
        <f aca="false">IF(助手收入!$R$49&lt;&gt;"","会计主管：","")</f>
        <v>会计主管：</v>
      </c>
      <c r="D719" s="78" t="str">
        <f aca="false">IF(助手收入!$R$49&lt;&gt;"","会计：","")</f>
        <v>会计：</v>
      </c>
      <c r="E719" s="78" t="str">
        <f aca="false">IF(助手收入!$R$49&lt;&gt;"","出纳：","")</f>
        <v>出纳：</v>
      </c>
      <c r="F719" s="78" t="str">
        <f aca="false">IF(助手收入!$R$49&lt;&gt;"","复核：","")</f>
        <v>复核：</v>
      </c>
      <c r="G719" s="78" t="str">
        <f aca="false">IF(助手收入!$R$49&lt;&gt;"","制单：","")</f>
        <v>制单：</v>
      </c>
    </row>
    <row r="720" customFormat="false" ht="3" hidden="false" customHeight="true" outlineLevel="0" collapsed="false"/>
    <row r="721" customFormat="false" ht="19.5" hidden="false" customHeight="true" outlineLevel="0" collapsed="false">
      <c r="B721" s="53" t="str">
        <f aca="false">IF(助手收入!$R$50&lt;&gt;"","记  账  凭  证","")</f>
        <v>记  账  凭  证</v>
      </c>
      <c r="C721" s="53"/>
      <c r="D721" s="53"/>
      <c r="E721" s="53"/>
      <c r="F721" s="53"/>
      <c r="G721" s="53"/>
      <c r="H721" s="53"/>
      <c r="I721" s="53"/>
    </row>
    <row r="722" customFormat="false" ht="3" hidden="false" customHeight="true" outlineLevel="0" collapsed="false"/>
    <row r="723" customFormat="false" ht="15" hidden="false" customHeight="true" outlineLevel="0" collapsed="false">
      <c r="C723" s="56" t="n">
        <f aca="false">IF(助手收入!$R$50&lt;&gt;"",INDEX(助手收入!$B$2:$B$66,助手收入!$R$50),"")</f>
        <v>2040</v>
      </c>
      <c r="D723" s="57" t="n">
        <f aca="false">IF(助手收入!$R$50&lt;&gt;"",参数!$B$2,"")</f>
        <v>46234</v>
      </c>
      <c r="E723" s="57"/>
      <c r="F723" s="58" t="str">
        <f aca="false">IF(助手收入!$R$50&lt;&gt;"",INDEX(助手收入!$C$2:$C$66,助手收入!$R$50)&amp;"  字第 "&amp;IF(参数!$B$9="是",INDEX(助手收入!$P$2:$P$66,助手收入!$R$50),"　　　　")&amp;" 号"&amp;IF(INDEX(助手收入!$L$2:$L$66,助手收入!$R$50)&gt;1,"  (共"&amp;INDEX(助手收入!$L$2:$L$66,助手收入!$R$50)&amp;"页 第"&amp;助手收入!$S$50&amp;"页)",""),"")</f>
        <v>大张庄店  字第 　　　　 号  (共2页 第2页)</v>
      </c>
      <c r="G723" s="58"/>
      <c r="H723" s="58"/>
      <c r="I723" s="58"/>
      <c r="M723" s="59" t="n">
        <f aca="false">IF(助手收入!$R$50="","",助手收入!$Q$50)</f>
        <v>49</v>
      </c>
      <c r="N723" s="60" t="n">
        <f aca="false">IF(助手收入!$R$50="","",INDEX(助手收入!$P$2:$P$66,助手收入!$R$50))</f>
        <v>26</v>
      </c>
      <c r="O723" s="55" t="str">
        <f aca="false">IF(助手收入!$R$50="","",INDEX(助手收入!$C$2:$C$66,助手收入!$R$50)&amp;"  字第 "&amp;INDEX(助手收入!$P$2:$P$66,助手收入!$R$50)&amp;" 号"&amp;IF(INDEX(助手收入!$L$2:$L$66,助手收入!$R$50)&gt;1,"  (共"&amp;INDEX(助手收入!$L$2:$L$66,助手收入!$R$50)&amp;"页 第"&amp;助手收入!$S$50&amp;"页)",""))</f>
        <v>大张庄店  字第 26 号  (共2页 第2页)</v>
      </c>
    </row>
    <row r="724" customFormat="false" ht="12.75" hidden="false" customHeight="true" outlineLevel="0" collapsed="false">
      <c r="B724" s="61" t="str">
        <f aca="false">IF(助手收入!$R$50&lt;&gt;"","摘　　要","")</f>
        <v>摘　　要</v>
      </c>
      <c r="C724" s="61"/>
      <c r="D724" s="62" t="str">
        <f aca="false">IF(助手收入!$R$50&lt;&gt;"","科　　　　目","")</f>
        <v>科　　　　目</v>
      </c>
      <c r="E724" s="62"/>
      <c r="F724" s="61" t="str">
        <f aca="false">IF(助手收入!$R$50&lt;&gt;"","借 方 金 额","")</f>
        <v>借 方 金 额</v>
      </c>
      <c r="G724" s="62" t="str">
        <f aca="false">IF(助手收入!$R$50&lt;&gt;"","贷 方 金 额","")</f>
        <v>贷 方 金 额</v>
      </c>
      <c r="H724" s="63" t="str">
        <f aca="false">IF(助手收入!$R$50&lt;&gt;"","√","")</f>
        <v>√</v>
      </c>
      <c r="I724" s="64" t="str">
        <f aca="false">IF(助手收入!$R$50&lt;&gt;"","附单据  张","")</f>
        <v>附单据  张</v>
      </c>
    </row>
    <row r="725" customFormat="false" ht="12.75" hidden="false" customHeight="true" outlineLevel="0" collapsed="false">
      <c r="B725" s="61"/>
      <c r="C725" s="61"/>
      <c r="D725" s="23" t="str">
        <f aca="false">IF(助手收入!$R$50&lt;&gt;"","总 账 科 目","")</f>
        <v>总 账 科 目</v>
      </c>
      <c r="E725" s="23" t="str">
        <f aca="false">IF(助手收入!$R$50&lt;&gt;"","明 细 科 目","")</f>
        <v>明 细 科 目</v>
      </c>
      <c r="F725" s="65"/>
      <c r="G725" s="66"/>
      <c r="H725" s="63"/>
      <c r="I725" s="64"/>
    </row>
    <row r="726" customFormat="false" ht="23.25" hidden="false" customHeight="true" outlineLevel="0" collapsed="false">
      <c r="B726" s="67" t="str">
        <f aca="false">IFERROR(INDEX(分录收入!$M:$M,MATCH($L726,分录收入!$L:$L,0)),"")</f>
        <v>7月收入</v>
      </c>
      <c r="C726" s="67"/>
      <c r="D726" s="23" t="str">
        <f aca="false">IFERROR(INDEX(分录收入!$E:$E,MATCH($L726,分录收入!$L:$L,0)),"")</f>
        <v>财务费用</v>
      </c>
      <c r="E726" s="23" t="str">
        <f aca="false">IFERROR(INDEX(分录收入!$F:$F,MATCH($L726,分录收入!$L:$L,0)),"")</f>
        <v>手续费</v>
      </c>
      <c r="F726" s="68" t="n">
        <f aca="false">IFERROR(INDEX(分录收入!$H:$H,MATCH($L726,分录收入!$L:$L,0)),"")</f>
        <v>151.61</v>
      </c>
      <c r="G726" s="69" t="str">
        <f aca="false">IFERROR(INDEX(分录收入!$I:$I,MATCH($L726,分录收入!$L:$L,0)),"")</f>
        <v/>
      </c>
      <c r="H726" s="23"/>
      <c r="I726" s="70"/>
      <c r="L726" s="71" t="n">
        <f aca="false">IF(助手收入!$R$50="",-1,助手收入!$R$50*100+(助手收入!$S$50-1)*6+1)</f>
        <v>2707</v>
      </c>
    </row>
    <row r="727" customFormat="false" ht="23.25" hidden="false" customHeight="true" outlineLevel="0" collapsed="false">
      <c r="B727" s="67" t="str">
        <f aca="false">""</f>
        <v/>
      </c>
      <c r="C727" s="67"/>
      <c r="D727" s="23" t="str">
        <f aca="false">IFERROR(INDEX(分录收入!$E:$E,MATCH($L727,分录收入!$L:$L,0)),"")</f>
        <v>主营业务收入</v>
      </c>
      <c r="E727" s="23" t="str">
        <f aca="false">IFERROR(INDEX(分录收入!$F:$F,MATCH($L727,分录收入!$L:$L,0)),"")</f>
        <v/>
      </c>
      <c r="F727" s="68" t="str">
        <f aca="false">IFERROR(INDEX(分录收入!$H:$H,MATCH($L727,分录收入!$L:$L,0)),"")</f>
        <v/>
      </c>
      <c r="G727" s="69" t="n">
        <f aca="false">IFERROR(INDEX(分录收入!$I:$I,MATCH($L727,分录收入!$L:$L,0)),"")</f>
        <v>92350.51</v>
      </c>
      <c r="H727" s="23"/>
      <c r="I727" s="70"/>
      <c r="L727" s="71" t="n">
        <f aca="false">IF(助手收入!$R$50="",-1,助手收入!$R$50*100+(助手收入!$S$50-1)*6+2)</f>
        <v>2708</v>
      </c>
    </row>
    <row r="728" customFormat="false" ht="23.25" hidden="false" customHeight="true" outlineLevel="0" collapsed="false">
      <c r="B728" s="67" t="str">
        <f aca="false">""</f>
        <v/>
      </c>
      <c r="C728" s="67"/>
      <c r="D728" s="23" t="str">
        <f aca="false">IFERROR(INDEX(分录收入!$E:$E,MATCH($L728,分录收入!$L:$L,0)),"")</f>
        <v/>
      </c>
      <c r="E728" s="23" t="str">
        <f aca="false">IFERROR(INDEX(分录收入!$F:$F,MATCH($L728,分录收入!$L:$L,0)),"")</f>
        <v/>
      </c>
      <c r="F728" s="68" t="str">
        <f aca="false">IFERROR(INDEX(分录收入!$H:$H,MATCH($L728,分录收入!$L:$L,0)),"")</f>
        <v/>
      </c>
      <c r="G728" s="69" t="str">
        <f aca="false">IFERROR(INDEX(分录收入!$I:$I,MATCH($L728,分录收入!$L:$L,0)),"")</f>
        <v/>
      </c>
      <c r="H728" s="23"/>
      <c r="I728" s="70"/>
      <c r="L728" s="71" t="n">
        <f aca="false">IF(助手收入!$R$50="",-1,助手收入!$R$50*100+(助手收入!$S$50-1)*6+3)</f>
        <v>2709</v>
      </c>
    </row>
    <row r="729" customFormat="false" ht="23.25" hidden="false" customHeight="true" outlineLevel="0" collapsed="false">
      <c r="B729" s="67" t="str">
        <f aca="false">""</f>
        <v/>
      </c>
      <c r="C729" s="67"/>
      <c r="D729" s="23" t="str">
        <f aca="false">IFERROR(INDEX(分录收入!$E:$E,MATCH($L729,分录收入!$L:$L,0)),"")</f>
        <v/>
      </c>
      <c r="E729" s="23" t="str">
        <f aca="false">IFERROR(INDEX(分录收入!$F:$F,MATCH($L729,分录收入!$L:$L,0)),"")</f>
        <v/>
      </c>
      <c r="F729" s="68" t="str">
        <f aca="false">IFERROR(INDEX(分录收入!$H:$H,MATCH($L729,分录收入!$L:$L,0)),"")</f>
        <v/>
      </c>
      <c r="G729" s="69" t="str">
        <f aca="false">IFERROR(INDEX(分录收入!$I:$I,MATCH($L729,分录收入!$L:$L,0)),"")</f>
        <v/>
      </c>
      <c r="H729" s="23"/>
      <c r="I729" s="70"/>
      <c r="L729" s="71" t="n">
        <f aca="false">IF(助手收入!$R$50="",-1,助手收入!$R$50*100+(助手收入!$S$50-1)*6+4)</f>
        <v>2710</v>
      </c>
    </row>
    <row r="730" customFormat="false" ht="23.25" hidden="false" customHeight="true" outlineLevel="0" collapsed="false">
      <c r="B730" s="67" t="str">
        <f aca="false">""</f>
        <v/>
      </c>
      <c r="C730" s="67"/>
      <c r="D730" s="23" t="str">
        <f aca="false">IFERROR(INDEX(分录收入!$E:$E,MATCH($L730,分录收入!$L:$L,0)),"")</f>
        <v/>
      </c>
      <c r="E730" s="23" t="str">
        <f aca="false">IFERROR(INDEX(分录收入!$F:$F,MATCH($L730,分录收入!$L:$L,0)),"")</f>
        <v/>
      </c>
      <c r="F730" s="68" t="str">
        <f aca="false">IFERROR(INDEX(分录收入!$H:$H,MATCH($L730,分录收入!$L:$L,0)),"")</f>
        <v/>
      </c>
      <c r="G730" s="69" t="str">
        <f aca="false">IFERROR(INDEX(分录收入!$I:$I,MATCH($L730,分录收入!$L:$L,0)),"")</f>
        <v/>
      </c>
      <c r="H730" s="23"/>
      <c r="I730" s="70"/>
      <c r="L730" s="71" t="n">
        <f aca="false">IF(助手收入!$R$50="",-1,助手收入!$R$50*100+(助手收入!$S$50-1)*6+5)</f>
        <v>2711</v>
      </c>
    </row>
    <row r="731" customFormat="false" ht="23.25" hidden="false" customHeight="true" outlineLevel="0" collapsed="false">
      <c r="B731" s="67" t="str">
        <f aca="false">""</f>
        <v/>
      </c>
      <c r="C731" s="67"/>
      <c r="D731" s="23" t="str">
        <f aca="false">IFERROR(INDEX(分录收入!$E:$E,MATCH($L731,分录收入!$L:$L,0)),"")</f>
        <v/>
      </c>
      <c r="E731" s="23" t="str">
        <f aca="false">IFERROR(INDEX(分录收入!$F:$F,MATCH($L731,分录收入!$L:$L,0)),"")</f>
        <v/>
      </c>
      <c r="F731" s="68" t="str">
        <f aca="false">IFERROR(INDEX(分录收入!$H:$H,MATCH($L731,分录收入!$L:$L,0)),"")</f>
        <v/>
      </c>
      <c r="G731" s="69" t="str">
        <f aca="false">IFERROR(INDEX(分录收入!$I:$I,MATCH($L731,分录收入!$L:$L,0)),"")</f>
        <v/>
      </c>
      <c r="H731" s="23"/>
      <c r="I731" s="70"/>
      <c r="L731" s="71" t="n">
        <f aca="false">IF(助手收入!$R$50="",-1,助手收入!$R$50*100+(助手收入!$S$50-1)*6+6)</f>
        <v>2712</v>
      </c>
    </row>
    <row r="732" customFormat="false" ht="23.25" hidden="false" customHeight="true" outlineLevel="0" collapsed="false">
      <c r="B732" s="72" t="str">
        <f aca="false">IF(助手收入!$T$50=1,"合计：","")</f>
        <v>合计：</v>
      </c>
      <c r="C732" s="73" t="n">
        <f aca="false">IF(助手收入!$T$50=1,$F732,"")</f>
        <v>92351.66</v>
      </c>
      <c r="D732" s="74"/>
      <c r="E732" s="74"/>
      <c r="F732" s="75" t="n">
        <f aca="false">IF(助手收入!$T$50=1,INDEX(助手收入!$N$2:$N$66,助手收入!$R$50),"")</f>
        <v>92351.66</v>
      </c>
      <c r="G732" s="76" t="n">
        <f aca="false">IF(助手收入!$T$50=1,INDEX(助手收入!$O$2:$O$66,助手收入!$R$50),"")</f>
        <v>92351.66</v>
      </c>
      <c r="H732" s="74"/>
      <c r="I732" s="77"/>
    </row>
    <row r="733" customFormat="false" ht="6" hidden="false" customHeight="true" outlineLevel="0" collapsed="false"/>
    <row r="734" customFormat="false" ht="13.5" hidden="false" customHeight="false" outlineLevel="0" collapsed="false">
      <c r="B734" s="78" t="str">
        <f aca="false">IF(助手收入!$R$50&lt;&gt;"","会计主管：","")</f>
        <v>会计主管：</v>
      </c>
      <c r="D734" s="78" t="str">
        <f aca="false">IF(助手收入!$R$50&lt;&gt;"","会计：","")</f>
        <v>会计：</v>
      </c>
      <c r="E734" s="78" t="str">
        <f aca="false">IF(助手收入!$R$50&lt;&gt;"","出纳：","")</f>
        <v>出纳：</v>
      </c>
      <c r="F734" s="78" t="str">
        <f aca="false">IF(助手收入!$R$50&lt;&gt;"","复核：","")</f>
        <v>复核：</v>
      </c>
      <c r="G734" s="78" t="str">
        <f aca="false">IF(助手收入!$R$50&lt;&gt;"","制单：","")</f>
        <v>制单：</v>
      </c>
    </row>
    <row r="735" customFormat="false" ht="3" hidden="false" customHeight="true" outlineLevel="0" collapsed="false"/>
    <row r="736" customFormat="false" ht="19.5" hidden="false" customHeight="true" outlineLevel="0" collapsed="false">
      <c r="B736" s="53" t="str">
        <f aca="false">IF(助手收入!$R$51&lt;&gt;"","记  账  凭  证","")</f>
        <v>记  账  凭  证</v>
      </c>
      <c r="C736" s="53"/>
      <c r="D736" s="53"/>
      <c r="E736" s="53"/>
      <c r="F736" s="53"/>
      <c r="G736" s="53"/>
      <c r="H736" s="53"/>
      <c r="I736" s="53"/>
    </row>
    <row r="737" customFormat="false" ht="3" hidden="false" customHeight="true" outlineLevel="0" collapsed="false"/>
    <row r="738" customFormat="false" ht="15" hidden="false" customHeight="true" outlineLevel="0" collapsed="false">
      <c r="C738" s="56" t="n">
        <f aca="false">IF(助手收入!$R$51&lt;&gt;"",INDEX(助手收入!$B$2:$B$66,助手收入!$R$51),"")</f>
        <v>2041</v>
      </c>
      <c r="D738" s="57" t="n">
        <f aca="false">IF(助手收入!$R$51&lt;&gt;"",参数!$B$2,"")</f>
        <v>46234</v>
      </c>
      <c r="E738" s="57"/>
      <c r="F738" s="58" t="str">
        <f aca="false">IF(助手收入!$R$51&lt;&gt;"",INDEX(助手收入!$C$2:$C$66,助手收入!$R$51)&amp;"  字第 "&amp;IF(参数!$B$9="是",INDEX(助手收入!$P$2:$P$66,助手收入!$R$51),"　　　　")&amp;" 号"&amp;IF(INDEX(助手收入!$L$2:$L$66,助手收入!$R$51)&gt;1,"  (共"&amp;INDEX(助手收入!$L$2:$L$66,助手收入!$R$51)&amp;"页 第"&amp;助手收入!$S$51&amp;"页)",""),"")</f>
        <v>郝庄店  字第 　　　　 号  (共2页 第1页)</v>
      </c>
      <c r="G738" s="58"/>
      <c r="H738" s="58"/>
      <c r="I738" s="58"/>
      <c r="M738" s="59" t="n">
        <f aca="false">IF(助手收入!$R$51="","",助手收入!$Q$51)</f>
        <v>50</v>
      </c>
      <c r="N738" s="60" t="n">
        <f aca="false">IF(助手收入!$R$51="","",INDEX(助手收入!$P$2:$P$66,助手收入!$R$51))</f>
        <v>27</v>
      </c>
      <c r="O738" s="55" t="str">
        <f aca="false">IF(助手收入!$R$51="","",INDEX(助手收入!$C$2:$C$66,助手收入!$R$51)&amp;"  字第 "&amp;INDEX(助手收入!$P$2:$P$66,助手收入!$R$51)&amp;" 号"&amp;IF(INDEX(助手收入!$L$2:$L$66,助手收入!$R$51)&gt;1,"  (共"&amp;INDEX(助手收入!$L$2:$L$66,助手收入!$R$51)&amp;"页 第"&amp;助手收入!$S$51&amp;"页)",""))</f>
        <v>郝庄店  字第 27 号  (共2页 第1页)</v>
      </c>
    </row>
    <row r="739" customFormat="false" ht="12.75" hidden="false" customHeight="true" outlineLevel="0" collapsed="false">
      <c r="B739" s="61" t="str">
        <f aca="false">IF(助手收入!$R$51&lt;&gt;"","摘　　要","")</f>
        <v>摘　　要</v>
      </c>
      <c r="C739" s="61"/>
      <c r="D739" s="62" t="str">
        <f aca="false">IF(助手收入!$R$51&lt;&gt;"","科　　　　目","")</f>
        <v>科　　　　目</v>
      </c>
      <c r="E739" s="62"/>
      <c r="F739" s="61" t="str">
        <f aca="false">IF(助手收入!$R$51&lt;&gt;"","借 方 金 额","")</f>
        <v>借 方 金 额</v>
      </c>
      <c r="G739" s="62" t="str">
        <f aca="false">IF(助手收入!$R$51&lt;&gt;"","贷 方 金 额","")</f>
        <v>贷 方 金 额</v>
      </c>
      <c r="H739" s="63" t="str">
        <f aca="false">IF(助手收入!$R$51&lt;&gt;"","√","")</f>
        <v>√</v>
      </c>
      <c r="I739" s="64" t="str">
        <f aca="false">IF(助手收入!$R$51&lt;&gt;"","附单据  张","")</f>
        <v>附单据  张</v>
      </c>
    </row>
    <row r="740" customFormat="false" ht="12.75" hidden="false" customHeight="true" outlineLevel="0" collapsed="false">
      <c r="B740" s="61"/>
      <c r="C740" s="61"/>
      <c r="D740" s="23" t="str">
        <f aca="false">IF(助手收入!$R$51&lt;&gt;"","总 账 科 目","")</f>
        <v>总 账 科 目</v>
      </c>
      <c r="E740" s="23" t="str">
        <f aca="false">IF(助手收入!$R$51&lt;&gt;"","明 细 科 目","")</f>
        <v>明 细 科 目</v>
      </c>
      <c r="F740" s="65"/>
      <c r="G740" s="66"/>
      <c r="H740" s="63"/>
      <c r="I740" s="64"/>
    </row>
    <row r="741" customFormat="false" ht="23.25" hidden="false" customHeight="true" outlineLevel="0" collapsed="false">
      <c r="B741" s="67" t="str">
        <f aca="false">IFERROR(INDEX(分录收入!$M:$M,MATCH($L741,分录收入!$L:$L,0)),"")</f>
        <v>7月收入</v>
      </c>
      <c r="C741" s="67"/>
      <c r="D741" s="23" t="str">
        <f aca="false">IFERROR(INDEX(分录收入!$E:$E,MATCH($L741,分录收入!$L:$L,0)),"")</f>
        <v>库存现金</v>
      </c>
      <c r="E741" s="23" t="str">
        <f aca="false">IFERROR(INDEX(分录收入!$F:$F,MATCH($L741,分录收入!$L:$L,0)),"")</f>
        <v/>
      </c>
      <c r="F741" s="68" t="n">
        <f aca="false">IFERROR(INDEX(分录收入!$H:$H,MATCH($L741,分录收入!$L:$L,0)),"")</f>
        <v>14774.25</v>
      </c>
      <c r="G741" s="69" t="str">
        <f aca="false">IFERROR(INDEX(分录收入!$I:$I,MATCH($L741,分录收入!$L:$L,0)),"")</f>
        <v/>
      </c>
      <c r="H741" s="23"/>
      <c r="I741" s="70"/>
      <c r="L741" s="71" t="n">
        <f aca="false">IF(助手收入!$R$51="",-1,助手收入!$R$51*100+(助手收入!$S$51-1)*6+1)</f>
        <v>2801</v>
      </c>
    </row>
    <row r="742" customFormat="false" ht="23.25" hidden="false" customHeight="true" outlineLevel="0" collapsed="false">
      <c r="B742" s="67" t="str">
        <f aca="false">""</f>
        <v/>
      </c>
      <c r="C742" s="67"/>
      <c r="D742" s="23" t="str">
        <f aca="false">IFERROR(INDEX(分录收入!$E:$E,MATCH($L742,分录收入!$L:$L,0)),"")</f>
        <v>应收账款</v>
      </c>
      <c r="E742" s="23" t="str">
        <f aca="false">IFERROR(INDEX(分录收入!$F:$F,MATCH($L742,分录收入!$L:$L,0)),"")</f>
        <v>聚合支付</v>
      </c>
      <c r="F742" s="68" t="n">
        <f aca="false">IFERROR(INDEX(分录收入!$H:$H,MATCH($L742,分录收入!$L:$L,0)),"")</f>
        <v>37620.82</v>
      </c>
      <c r="G742" s="69" t="str">
        <f aca="false">IFERROR(INDEX(分录收入!$I:$I,MATCH($L742,分录收入!$L:$L,0)),"")</f>
        <v/>
      </c>
      <c r="H742" s="23"/>
      <c r="I742" s="70"/>
      <c r="L742" s="71" t="n">
        <f aca="false">IF(助手收入!$R$51="",-1,助手收入!$R$51*100+(助手收入!$S$51-1)*6+2)</f>
        <v>2802</v>
      </c>
    </row>
    <row r="743" customFormat="false" ht="23.25" hidden="false" customHeight="true" outlineLevel="0" collapsed="false">
      <c r="B743" s="67" t="str">
        <f aca="false">""</f>
        <v/>
      </c>
      <c r="C743" s="67"/>
      <c r="D743" s="23" t="str">
        <f aca="false">IFERROR(INDEX(分录收入!$E:$E,MATCH($L743,分录收入!$L:$L,0)),"")</f>
        <v>其他应收款</v>
      </c>
      <c r="E743" s="23" t="str">
        <f aca="false">IFERROR(INDEX(分录收入!$F:$F,MATCH($L743,分录收入!$L:$L,0)),"")</f>
        <v>储值卡</v>
      </c>
      <c r="F743" s="68" t="n">
        <f aca="false">IFERROR(INDEX(分录收入!$H:$H,MATCH($L743,分录收入!$L:$L,0)),"")</f>
        <v>138</v>
      </c>
      <c r="G743" s="69" t="str">
        <f aca="false">IFERROR(INDEX(分录收入!$I:$I,MATCH($L743,分录收入!$L:$L,0)),"")</f>
        <v/>
      </c>
      <c r="H743" s="23"/>
      <c r="I743" s="70"/>
      <c r="L743" s="71" t="n">
        <f aca="false">IF(助手收入!$R$51="",-1,助手收入!$R$51*100+(助手收入!$S$51-1)*6+3)</f>
        <v>2803</v>
      </c>
    </row>
    <row r="744" customFormat="false" ht="23.25" hidden="false" customHeight="true" outlineLevel="0" collapsed="false">
      <c r="B744" s="67" t="str">
        <f aca="false">""</f>
        <v/>
      </c>
      <c r="C744" s="67"/>
      <c r="D744" s="23" t="str">
        <f aca="false">IFERROR(INDEX(分录收入!$E:$E,MATCH($L744,分录收入!$L:$L,0)),"")</f>
        <v>其他应付款</v>
      </c>
      <c r="E744" s="23" t="str">
        <f aca="false">IFERROR(INDEX(分录收入!$F:$F,MATCH($L744,分录收入!$L:$L,0)),"")</f>
        <v>会员零钱包</v>
      </c>
      <c r="F744" s="68" t="str">
        <f aca="false">IFERROR(INDEX(分录收入!$H:$H,MATCH($L744,分录收入!$L:$L,0)),"")</f>
        <v/>
      </c>
      <c r="G744" s="69" t="n">
        <f aca="false">IFERROR(INDEX(分录收入!$I:$I,MATCH($L744,分录收入!$L:$L,0)),"")</f>
        <v>9.36</v>
      </c>
      <c r="H744" s="23"/>
      <c r="I744" s="70"/>
      <c r="L744" s="71" t="n">
        <f aca="false">IF(助手收入!$R$51="",-1,助手收入!$R$51*100+(助手收入!$S$51-1)*6+4)</f>
        <v>2804</v>
      </c>
    </row>
    <row r="745" customFormat="false" ht="23.25" hidden="false" customHeight="true" outlineLevel="0" collapsed="false">
      <c r="B745" s="67" t="str">
        <f aca="false">""</f>
        <v/>
      </c>
      <c r="C745" s="67"/>
      <c r="D745" s="23" t="str">
        <f aca="false">IFERROR(INDEX(分录收入!$E:$E,MATCH($L745,分录收入!$L:$L,0)),"")</f>
        <v>销售费用</v>
      </c>
      <c r="E745" s="23" t="str">
        <f aca="false">IFERROR(INDEX(分录收入!$F:$F,MATCH($L745,分录收入!$L:$L,0)),"")</f>
        <v>促销费</v>
      </c>
      <c r="F745" s="68" t="n">
        <f aca="false">IFERROR(INDEX(分录收入!$H:$H,MATCH($L745,分录收入!$L:$L,0)),"")</f>
        <v>1007.96</v>
      </c>
      <c r="G745" s="69" t="str">
        <f aca="false">IFERROR(INDEX(分录收入!$I:$I,MATCH($L745,分录收入!$L:$L,0)),"")</f>
        <v/>
      </c>
      <c r="H745" s="23"/>
      <c r="I745" s="70"/>
      <c r="L745" s="71" t="n">
        <f aca="false">IF(助手收入!$R$51="",-1,助手收入!$R$51*100+(助手收入!$S$51-1)*6+5)</f>
        <v>2805</v>
      </c>
    </row>
    <row r="746" customFormat="false" ht="23.25" hidden="false" customHeight="true" outlineLevel="0" collapsed="false">
      <c r="B746" s="67" t="str">
        <f aca="false">""</f>
        <v/>
      </c>
      <c r="C746" s="67"/>
      <c r="D746" s="23" t="str">
        <f aca="false">IFERROR(INDEX(分录收入!$E:$E,MATCH($L746,分录收入!$L:$L,0)),"")</f>
        <v>财务费用</v>
      </c>
      <c r="E746" s="23" t="str">
        <f aca="false">IFERROR(INDEX(分录收入!$F:$F,MATCH($L746,分录收入!$L:$L,0)),"")</f>
        <v>手续费</v>
      </c>
      <c r="F746" s="68" t="n">
        <f aca="false">IFERROR(INDEX(分录收入!$H:$H,MATCH($L746,分录收入!$L:$L,0)),"")</f>
        <v>101.85</v>
      </c>
      <c r="G746" s="69" t="str">
        <f aca="false">IFERROR(INDEX(分录收入!$I:$I,MATCH($L746,分录收入!$L:$L,0)),"")</f>
        <v/>
      </c>
      <c r="H746" s="23"/>
      <c r="I746" s="70"/>
      <c r="L746" s="71" t="n">
        <f aca="false">IF(助手收入!$R$51="",-1,助手收入!$R$51*100+(助手收入!$S$51-1)*6+6)</f>
        <v>2806</v>
      </c>
    </row>
    <row r="747" customFormat="false" ht="23.25" hidden="false" customHeight="true" outlineLevel="0" collapsed="false">
      <c r="B747" s="72" t="str">
        <f aca="false">IF(助手收入!$T$51=1,"合计：","")</f>
        <v/>
      </c>
      <c r="C747" s="73" t="str">
        <f aca="false">IF(助手收入!$T$51=1,$F747,"")</f>
        <v/>
      </c>
      <c r="D747" s="74"/>
      <c r="E747" s="74"/>
      <c r="F747" s="75" t="str">
        <f aca="false">IF(助手收入!$T$51=1,INDEX(助手收入!$N$2:$N$66,助手收入!$R$51),"")</f>
        <v/>
      </c>
      <c r="G747" s="76" t="str">
        <f aca="false">IF(助手收入!$T$51=1,INDEX(助手收入!$O$2:$O$66,助手收入!$R$51),"")</f>
        <v/>
      </c>
      <c r="H747" s="74"/>
      <c r="I747" s="77"/>
    </row>
    <row r="748" customFormat="false" ht="6" hidden="false" customHeight="true" outlineLevel="0" collapsed="false"/>
    <row r="749" customFormat="false" ht="13.5" hidden="false" customHeight="false" outlineLevel="0" collapsed="false">
      <c r="B749" s="78" t="str">
        <f aca="false">IF(助手收入!$R$51&lt;&gt;"","会计主管：","")</f>
        <v>会计主管：</v>
      </c>
      <c r="D749" s="78" t="str">
        <f aca="false">IF(助手收入!$R$51&lt;&gt;"","会计：","")</f>
        <v>会计：</v>
      </c>
      <c r="E749" s="78" t="str">
        <f aca="false">IF(助手收入!$R$51&lt;&gt;"","出纳：","")</f>
        <v>出纳：</v>
      </c>
      <c r="F749" s="78" t="str">
        <f aca="false">IF(助手收入!$R$51&lt;&gt;"","复核：","")</f>
        <v>复核：</v>
      </c>
      <c r="G749" s="78" t="str">
        <f aca="false">IF(助手收入!$R$51&lt;&gt;"","制单：","")</f>
        <v>制单：</v>
      </c>
    </row>
    <row r="750" customFormat="false" ht="3" hidden="false" customHeight="true" outlineLevel="0" collapsed="false"/>
    <row r="751" customFormat="false" ht="19.5" hidden="false" customHeight="true" outlineLevel="0" collapsed="false">
      <c r="B751" s="53" t="str">
        <f aca="false">IF(助手收入!$R$52&lt;&gt;"","记  账  凭  证","")</f>
        <v>记  账  凭  证</v>
      </c>
      <c r="C751" s="53"/>
      <c r="D751" s="53"/>
      <c r="E751" s="53"/>
      <c r="F751" s="53"/>
      <c r="G751" s="53"/>
      <c r="H751" s="53"/>
      <c r="I751" s="53"/>
    </row>
    <row r="752" customFormat="false" ht="3" hidden="false" customHeight="true" outlineLevel="0" collapsed="false"/>
    <row r="753" customFormat="false" ht="15" hidden="false" customHeight="true" outlineLevel="0" collapsed="false">
      <c r="C753" s="56" t="n">
        <f aca="false">IF(助手收入!$R$52&lt;&gt;"",INDEX(助手收入!$B$2:$B$66,助手收入!$R$52),"")</f>
        <v>2041</v>
      </c>
      <c r="D753" s="57" t="n">
        <f aca="false">IF(助手收入!$R$52&lt;&gt;"",参数!$B$2,"")</f>
        <v>46234</v>
      </c>
      <c r="E753" s="57"/>
      <c r="F753" s="58" t="str">
        <f aca="false">IF(助手收入!$R$52&lt;&gt;"",INDEX(助手收入!$C$2:$C$66,助手收入!$R$52)&amp;"  字第 "&amp;IF(参数!$B$9="是",INDEX(助手收入!$P$2:$P$66,助手收入!$R$52),"　　　　")&amp;" 号"&amp;IF(INDEX(助手收入!$L$2:$L$66,助手收入!$R$52)&gt;1,"  (共"&amp;INDEX(助手收入!$L$2:$L$66,助手收入!$R$52)&amp;"页 第"&amp;助手收入!$S$52&amp;"页)",""),"")</f>
        <v>郝庄店  字第 　　　　 号  (共2页 第2页)</v>
      </c>
      <c r="G753" s="58"/>
      <c r="H753" s="58"/>
      <c r="I753" s="58"/>
      <c r="M753" s="59" t="n">
        <f aca="false">IF(助手收入!$R$52="","",助手收入!$Q$52)</f>
        <v>51</v>
      </c>
      <c r="N753" s="60" t="n">
        <f aca="false">IF(助手收入!$R$52="","",INDEX(助手收入!$P$2:$P$66,助手收入!$R$52))</f>
        <v>27</v>
      </c>
      <c r="O753" s="55" t="str">
        <f aca="false">IF(助手收入!$R$52="","",INDEX(助手收入!$C$2:$C$66,助手收入!$R$52)&amp;"  字第 "&amp;INDEX(助手收入!$P$2:$P$66,助手收入!$R$52)&amp;" 号"&amp;IF(INDEX(助手收入!$L$2:$L$66,助手收入!$R$52)&gt;1,"  (共"&amp;INDEX(助手收入!$L$2:$L$66,助手收入!$R$52)&amp;"页 第"&amp;助手收入!$S$52&amp;"页)",""))</f>
        <v>郝庄店  字第 27 号  (共2页 第2页)</v>
      </c>
    </row>
    <row r="754" customFormat="false" ht="12.75" hidden="false" customHeight="true" outlineLevel="0" collapsed="false">
      <c r="B754" s="61" t="str">
        <f aca="false">IF(助手收入!$R$52&lt;&gt;"","摘　　要","")</f>
        <v>摘　　要</v>
      </c>
      <c r="C754" s="61"/>
      <c r="D754" s="62" t="str">
        <f aca="false">IF(助手收入!$R$52&lt;&gt;"","科　　　　目","")</f>
        <v>科　　　　目</v>
      </c>
      <c r="E754" s="62"/>
      <c r="F754" s="61" t="str">
        <f aca="false">IF(助手收入!$R$52&lt;&gt;"","借 方 金 额","")</f>
        <v>借 方 金 额</v>
      </c>
      <c r="G754" s="62" t="str">
        <f aca="false">IF(助手收入!$R$52&lt;&gt;"","贷 方 金 额","")</f>
        <v>贷 方 金 额</v>
      </c>
      <c r="H754" s="63" t="str">
        <f aca="false">IF(助手收入!$R$52&lt;&gt;"","√","")</f>
        <v>√</v>
      </c>
      <c r="I754" s="64" t="str">
        <f aca="false">IF(助手收入!$R$52&lt;&gt;"","附单据  张","")</f>
        <v>附单据  张</v>
      </c>
    </row>
    <row r="755" customFormat="false" ht="12.75" hidden="false" customHeight="true" outlineLevel="0" collapsed="false">
      <c r="B755" s="61"/>
      <c r="C755" s="61"/>
      <c r="D755" s="23" t="str">
        <f aca="false">IF(助手收入!$R$52&lt;&gt;"","总 账 科 目","")</f>
        <v>总 账 科 目</v>
      </c>
      <c r="E755" s="23" t="str">
        <f aca="false">IF(助手收入!$R$52&lt;&gt;"","明 细 科 目","")</f>
        <v>明 细 科 目</v>
      </c>
      <c r="F755" s="65"/>
      <c r="G755" s="66"/>
      <c r="H755" s="63"/>
      <c r="I755" s="64"/>
    </row>
    <row r="756" customFormat="false" ht="23.25" hidden="false" customHeight="true" outlineLevel="0" collapsed="false">
      <c r="B756" s="67" t="str">
        <f aca="false">IFERROR(INDEX(分录收入!$M:$M,MATCH($L756,分录收入!$L:$L,0)),"")</f>
        <v>7月收入</v>
      </c>
      <c r="C756" s="67"/>
      <c r="D756" s="23" t="str">
        <f aca="false">IFERROR(INDEX(分录收入!$E:$E,MATCH($L756,分录收入!$L:$L,0)),"")</f>
        <v>主营业务收入</v>
      </c>
      <c r="E756" s="23" t="str">
        <f aca="false">IFERROR(INDEX(分录收入!$F:$F,MATCH($L756,分录收入!$L:$L,0)),"")</f>
        <v/>
      </c>
      <c r="F756" s="68" t="str">
        <f aca="false">IFERROR(INDEX(分录收入!$H:$H,MATCH($L756,分录收入!$L:$L,0)),"")</f>
        <v/>
      </c>
      <c r="G756" s="69" t="n">
        <f aca="false">IFERROR(INDEX(分录收入!$I:$I,MATCH($L756,分录收入!$L:$L,0)),"")</f>
        <v>53633.52</v>
      </c>
      <c r="H756" s="23"/>
      <c r="I756" s="70"/>
      <c r="L756" s="71" t="n">
        <f aca="false">IF(助手收入!$R$52="",-1,助手收入!$R$52*100+(助手收入!$S$52-1)*6+1)</f>
        <v>2807</v>
      </c>
    </row>
    <row r="757" customFormat="false" ht="23.25" hidden="false" customHeight="true" outlineLevel="0" collapsed="false">
      <c r="B757" s="67" t="str">
        <f aca="false">""</f>
        <v/>
      </c>
      <c r="C757" s="67"/>
      <c r="D757" s="23" t="str">
        <f aca="false">IFERROR(INDEX(分录收入!$E:$E,MATCH($L757,分录收入!$L:$L,0)),"")</f>
        <v/>
      </c>
      <c r="E757" s="23" t="str">
        <f aca="false">IFERROR(INDEX(分录收入!$F:$F,MATCH($L757,分录收入!$L:$L,0)),"")</f>
        <v/>
      </c>
      <c r="F757" s="68" t="str">
        <f aca="false">IFERROR(INDEX(分录收入!$H:$H,MATCH($L757,分录收入!$L:$L,0)),"")</f>
        <v/>
      </c>
      <c r="G757" s="69" t="str">
        <f aca="false">IFERROR(INDEX(分录收入!$I:$I,MATCH($L757,分录收入!$L:$L,0)),"")</f>
        <v/>
      </c>
      <c r="H757" s="23"/>
      <c r="I757" s="70"/>
      <c r="L757" s="71" t="n">
        <f aca="false">IF(助手收入!$R$52="",-1,助手收入!$R$52*100+(助手收入!$S$52-1)*6+2)</f>
        <v>2808</v>
      </c>
    </row>
    <row r="758" customFormat="false" ht="23.25" hidden="false" customHeight="true" outlineLevel="0" collapsed="false">
      <c r="B758" s="67" t="str">
        <f aca="false">""</f>
        <v/>
      </c>
      <c r="C758" s="67"/>
      <c r="D758" s="23" t="str">
        <f aca="false">IFERROR(INDEX(分录收入!$E:$E,MATCH($L758,分录收入!$L:$L,0)),"")</f>
        <v/>
      </c>
      <c r="E758" s="23" t="str">
        <f aca="false">IFERROR(INDEX(分录收入!$F:$F,MATCH($L758,分录收入!$L:$L,0)),"")</f>
        <v/>
      </c>
      <c r="F758" s="68" t="str">
        <f aca="false">IFERROR(INDEX(分录收入!$H:$H,MATCH($L758,分录收入!$L:$L,0)),"")</f>
        <v/>
      </c>
      <c r="G758" s="69" t="str">
        <f aca="false">IFERROR(INDEX(分录收入!$I:$I,MATCH($L758,分录收入!$L:$L,0)),"")</f>
        <v/>
      </c>
      <c r="H758" s="23"/>
      <c r="I758" s="70"/>
      <c r="L758" s="71" t="n">
        <f aca="false">IF(助手收入!$R$52="",-1,助手收入!$R$52*100+(助手收入!$S$52-1)*6+3)</f>
        <v>2809</v>
      </c>
    </row>
    <row r="759" customFormat="false" ht="23.25" hidden="false" customHeight="true" outlineLevel="0" collapsed="false">
      <c r="B759" s="67" t="str">
        <f aca="false">""</f>
        <v/>
      </c>
      <c r="C759" s="67"/>
      <c r="D759" s="23" t="str">
        <f aca="false">IFERROR(INDEX(分录收入!$E:$E,MATCH($L759,分录收入!$L:$L,0)),"")</f>
        <v/>
      </c>
      <c r="E759" s="23" t="str">
        <f aca="false">IFERROR(INDEX(分录收入!$F:$F,MATCH($L759,分录收入!$L:$L,0)),"")</f>
        <v/>
      </c>
      <c r="F759" s="68" t="str">
        <f aca="false">IFERROR(INDEX(分录收入!$H:$H,MATCH($L759,分录收入!$L:$L,0)),"")</f>
        <v/>
      </c>
      <c r="G759" s="69" t="str">
        <f aca="false">IFERROR(INDEX(分录收入!$I:$I,MATCH($L759,分录收入!$L:$L,0)),"")</f>
        <v/>
      </c>
      <c r="H759" s="23"/>
      <c r="I759" s="70"/>
      <c r="L759" s="71" t="n">
        <f aca="false">IF(助手收入!$R$52="",-1,助手收入!$R$52*100+(助手收入!$S$52-1)*6+4)</f>
        <v>2810</v>
      </c>
    </row>
    <row r="760" customFormat="false" ht="23.25" hidden="false" customHeight="true" outlineLevel="0" collapsed="false">
      <c r="B760" s="67" t="str">
        <f aca="false">""</f>
        <v/>
      </c>
      <c r="C760" s="67"/>
      <c r="D760" s="23" t="str">
        <f aca="false">IFERROR(INDEX(分录收入!$E:$E,MATCH($L760,分录收入!$L:$L,0)),"")</f>
        <v/>
      </c>
      <c r="E760" s="23" t="str">
        <f aca="false">IFERROR(INDEX(分录收入!$F:$F,MATCH($L760,分录收入!$L:$L,0)),"")</f>
        <v/>
      </c>
      <c r="F760" s="68" t="str">
        <f aca="false">IFERROR(INDEX(分录收入!$H:$H,MATCH($L760,分录收入!$L:$L,0)),"")</f>
        <v/>
      </c>
      <c r="G760" s="69" t="str">
        <f aca="false">IFERROR(INDEX(分录收入!$I:$I,MATCH($L760,分录收入!$L:$L,0)),"")</f>
        <v/>
      </c>
      <c r="H760" s="23"/>
      <c r="I760" s="70"/>
      <c r="L760" s="71" t="n">
        <f aca="false">IF(助手收入!$R$52="",-1,助手收入!$R$52*100+(助手收入!$S$52-1)*6+5)</f>
        <v>2811</v>
      </c>
    </row>
    <row r="761" customFormat="false" ht="23.25" hidden="false" customHeight="true" outlineLevel="0" collapsed="false">
      <c r="B761" s="67" t="str">
        <f aca="false">""</f>
        <v/>
      </c>
      <c r="C761" s="67"/>
      <c r="D761" s="23" t="str">
        <f aca="false">IFERROR(INDEX(分录收入!$E:$E,MATCH($L761,分录收入!$L:$L,0)),"")</f>
        <v/>
      </c>
      <c r="E761" s="23" t="str">
        <f aca="false">IFERROR(INDEX(分录收入!$F:$F,MATCH($L761,分录收入!$L:$L,0)),"")</f>
        <v/>
      </c>
      <c r="F761" s="68" t="str">
        <f aca="false">IFERROR(INDEX(分录收入!$H:$H,MATCH($L761,分录收入!$L:$L,0)),"")</f>
        <v/>
      </c>
      <c r="G761" s="69" t="str">
        <f aca="false">IFERROR(INDEX(分录收入!$I:$I,MATCH($L761,分录收入!$L:$L,0)),"")</f>
        <v/>
      </c>
      <c r="H761" s="23"/>
      <c r="I761" s="70"/>
      <c r="L761" s="71" t="n">
        <f aca="false">IF(助手收入!$R$52="",-1,助手收入!$R$52*100+(助手收入!$S$52-1)*6+6)</f>
        <v>2812</v>
      </c>
    </row>
    <row r="762" customFormat="false" ht="23.25" hidden="false" customHeight="true" outlineLevel="0" collapsed="false">
      <c r="B762" s="72" t="str">
        <f aca="false">IF(助手收入!$T$52=1,"合计：","")</f>
        <v>合计：</v>
      </c>
      <c r="C762" s="73" t="n">
        <f aca="false">IF(助手收入!$T$52=1,$F762,"")</f>
        <v>53642.88</v>
      </c>
      <c r="D762" s="74"/>
      <c r="E762" s="74"/>
      <c r="F762" s="75" t="n">
        <f aca="false">IF(助手收入!$T$52=1,INDEX(助手收入!$N$2:$N$66,助手收入!$R$52),"")</f>
        <v>53642.88</v>
      </c>
      <c r="G762" s="76" t="n">
        <f aca="false">IF(助手收入!$T$52=1,INDEX(助手收入!$O$2:$O$66,助手收入!$R$52),"")</f>
        <v>53642.88</v>
      </c>
      <c r="H762" s="74"/>
      <c r="I762" s="77"/>
    </row>
    <row r="763" customFormat="false" ht="6" hidden="false" customHeight="true" outlineLevel="0" collapsed="false"/>
    <row r="764" customFormat="false" ht="13.5" hidden="false" customHeight="false" outlineLevel="0" collapsed="false">
      <c r="B764" s="78" t="str">
        <f aca="false">IF(助手收入!$R$52&lt;&gt;"","会计主管：","")</f>
        <v>会计主管：</v>
      </c>
      <c r="D764" s="78" t="str">
        <f aca="false">IF(助手收入!$R$52&lt;&gt;"","会计：","")</f>
        <v>会计：</v>
      </c>
      <c r="E764" s="78" t="str">
        <f aca="false">IF(助手收入!$R$52&lt;&gt;"","出纳：","")</f>
        <v>出纳：</v>
      </c>
      <c r="F764" s="78" t="str">
        <f aca="false">IF(助手收入!$R$52&lt;&gt;"","复核：","")</f>
        <v>复核：</v>
      </c>
      <c r="G764" s="78" t="str">
        <f aca="false">IF(助手收入!$R$52&lt;&gt;"","制单：","")</f>
        <v>制单：</v>
      </c>
    </row>
    <row r="765" customFormat="false" ht="3" hidden="false" customHeight="true" outlineLevel="0" collapsed="false"/>
    <row r="766" customFormat="false" ht="19.5" hidden="false" customHeight="true" outlineLevel="0" collapsed="false">
      <c r="B766" s="53" t="str">
        <f aca="false">IF(助手收入!$R$53&lt;&gt;"","记  账  凭  证","")</f>
        <v>记  账  凭  证</v>
      </c>
      <c r="C766" s="53"/>
      <c r="D766" s="53"/>
      <c r="E766" s="53"/>
      <c r="F766" s="53"/>
      <c r="G766" s="53"/>
      <c r="H766" s="53"/>
      <c r="I766" s="53"/>
    </row>
    <row r="767" customFormat="false" ht="3" hidden="false" customHeight="true" outlineLevel="0" collapsed="false"/>
    <row r="768" customFormat="false" ht="15" hidden="false" customHeight="true" outlineLevel="0" collapsed="false">
      <c r="C768" s="56" t="n">
        <f aca="false">IF(助手收入!$R$53&lt;&gt;"",INDEX(助手收入!$B$2:$B$66,助手收入!$R$53),"")</f>
        <v>2042</v>
      </c>
      <c r="D768" s="57" t="n">
        <f aca="false">IF(助手收入!$R$53&lt;&gt;"",参数!$B$2,"")</f>
        <v>46234</v>
      </c>
      <c r="E768" s="57"/>
      <c r="F768" s="58" t="str">
        <f aca="false">IF(助手收入!$R$53&lt;&gt;"",INDEX(助手收入!$C$2:$C$66,助手收入!$R$53)&amp;"  字第 "&amp;IF(参数!$B$9="是",INDEX(助手收入!$P$2:$P$66,助手收入!$R$53),"　　　　")&amp;" 号"&amp;IF(INDEX(助手收入!$L$2:$L$66,助手收入!$R$53)&gt;1,"  (共"&amp;INDEX(助手收入!$L$2:$L$66,助手收入!$R$53)&amp;"页 第"&amp;助手收入!$S$53&amp;"页)",""),"")</f>
        <v>白家寨店  字第 　　　　 号  (共2页 第1页)</v>
      </c>
      <c r="G768" s="58"/>
      <c r="H768" s="58"/>
      <c r="I768" s="58"/>
      <c r="M768" s="59" t="n">
        <f aca="false">IF(助手收入!$R$53="","",助手收入!$Q$53)</f>
        <v>52</v>
      </c>
      <c r="N768" s="60" t="n">
        <f aca="false">IF(助手收入!$R$53="","",INDEX(助手收入!$P$2:$P$66,助手收入!$R$53))</f>
        <v>28</v>
      </c>
      <c r="O768" s="55" t="str">
        <f aca="false">IF(助手收入!$R$53="","",INDEX(助手收入!$C$2:$C$66,助手收入!$R$53)&amp;"  字第 "&amp;INDEX(助手收入!$P$2:$P$66,助手收入!$R$53)&amp;" 号"&amp;IF(INDEX(助手收入!$L$2:$L$66,助手收入!$R$53)&gt;1,"  (共"&amp;INDEX(助手收入!$L$2:$L$66,助手收入!$R$53)&amp;"页 第"&amp;助手收入!$S$53&amp;"页)",""))</f>
        <v>白家寨店  字第 28 号  (共2页 第1页)</v>
      </c>
    </row>
    <row r="769" customFormat="false" ht="12.75" hidden="false" customHeight="true" outlineLevel="0" collapsed="false">
      <c r="B769" s="61" t="str">
        <f aca="false">IF(助手收入!$R$53&lt;&gt;"","摘　　要","")</f>
        <v>摘　　要</v>
      </c>
      <c r="C769" s="61"/>
      <c r="D769" s="62" t="str">
        <f aca="false">IF(助手收入!$R$53&lt;&gt;"","科　　　　目","")</f>
        <v>科　　　　目</v>
      </c>
      <c r="E769" s="62"/>
      <c r="F769" s="61" t="str">
        <f aca="false">IF(助手收入!$R$53&lt;&gt;"","借 方 金 额","")</f>
        <v>借 方 金 额</v>
      </c>
      <c r="G769" s="62" t="str">
        <f aca="false">IF(助手收入!$R$53&lt;&gt;"","贷 方 金 额","")</f>
        <v>贷 方 金 额</v>
      </c>
      <c r="H769" s="63" t="str">
        <f aca="false">IF(助手收入!$R$53&lt;&gt;"","√","")</f>
        <v>√</v>
      </c>
      <c r="I769" s="64" t="str">
        <f aca="false">IF(助手收入!$R$53&lt;&gt;"","附单据  张","")</f>
        <v>附单据  张</v>
      </c>
    </row>
    <row r="770" customFormat="false" ht="12.75" hidden="false" customHeight="true" outlineLevel="0" collapsed="false">
      <c r="B770" s="61"/>
      <c r="C770" s="61"/>
      <c r="D770" s="23" t="str">
        <f aca="false">IF(助手收入!$R$53&lt;&gt;"","总 账 科 目","")</f>
        <v>总 账 科 目</v>
      </c>
      <c r="E770" s="23" t="str">
        <f aca="false">IF(助手收入!$R$53&lt;&gt;"","明 细 科 目","")</f>
        <v>明 细 科 目</v>
      </c>
      <c r="F770" s="65"/>
      <c r="G770" s="66"/>
      <c r="H770" s="63"/>
      <c r="I770" s="64"/>
    </row>
    <row r="771" customFormat="false" ht="23.25" hidden="false" customHeight="true" outlineLevel="0" collapsed="false">
      <c r="B771" s="67" t="str">
        <f aca="false">IFERROR(INDEX(分录收入!$M:$M,MATCH($L771,分录收入!$L:$L,0)),"")</f>
        <v>7月收入</v>
      </c>
      <c r="C771" s="67"/>
      <c r="D771" s="23" t="str">
        <f aca="false">IFERROR(INDEX(分录收入!$E:$E,MATCH($L771,分录收入!$L:$L,0)),"")</f>
        <v>库存现金</v>
      </c>
      <c r="E771" s="23" t="str">
        <f aca="false">IFERROR(INDEX(分录收入!$F:$F,MATCH($L771,分录收入!$L:$L,0)),"")</f>
        <v/>
      </c>
      <c r="F771" s="68" t="n">
        <f aca="false">IFERROR(INDEX(分录收入!$H:$H,MATCH($L771,分录收入!$L:$L,0)),"")</f>
        <v>14901.93</v>
      </c>
      <c r="G771" s="69" t="str">
        <f aca="false">IFERROR(INDEX(分录收入!$I:$I,MATCH($L771,分录收入!$L:$L,0)),"")</f>
        <v/>
      </c>
      <c r="H771" s="23"/>
      <c r="I771" s="70"/>
      <c r="L771" s="71" t="n">
        <f aca="false">IF(助手收入!$R$53="",-1,助手收入!$R$53*100+(助手收入!$S$53-1)*6+1)</f>
        <v>2901</v>
      </c>
    </row>
    <row r="772" customFormat="false" ht="23.25" hidden="false" customHeight="true" outlineLevel="0" collapsed="false">
      <c r="B772" s="67" t="str">
        <f aca="false">""</f>
        <v/>
      </c>
      <c r="C772" s="67"/>
      <c r="D772" s="23" t="str">
        <f aca="false">IFERROR(INDEX(分录收入!$E:$E,MATCH($L772,分录收入!$L:$L,0)),"")</f>
        <v>应收账款</v>
      </c>
      <c r="E772" s="23" t="str">
        <f aca="false">IFERROR(INDEX(分录收入!$F:$F,MATCH($L772,分录收入!$L:$L,0)),"")</f>
        <v>聚合支付</v>
      </c>
      <c r="F772" s="68" t="n">
        <f aca="false">IFERROR(INDEX(分录收入!$H:$H,MATCH($L772,分录收入!$L:$L,0)),"")</f>
        <v>27484.56</v>
      </c>
      <c r="G772" s="69" t="str">
        <f aca="false">IFERROR(INDEX(分录收入!$I:$I,MATCH($L772,分录收入!$L:$L,0)),"")</f>
        <v/>
      </c>
      <c r="H772" s="23"/>
      <c r="I772" s="70"/>
      <c r="L772" s="71" t="n">
        <f aca="false">IF(助手收入!$R$53="",-1,助手收入!$R$53*100+(助手收入!$S$53-1)*6+2)</f>
        <v>2902</v>
      </c>
    </row>
    <row r="773" customFormat="false" ht="23.25" hidden="false" customHeight="true" outlineLevel="0" collapsed="false">
      <c r="B773" s="67" t="str">
        <f aca="false">""</f>
        <v/>
      </c>
      <c r="C773" s="67"/>
      <c r="D773" s="23" t="str">
        <f aca="false">IFERROR(INDEX(分录收入!$E:$E,MATCH($L773,分录收入!$L:$L,0)),"")</f>
        <v>应收账款</v>
      </c>
      <c r="E773" s="23" t="str">
        <f aca="false">IFERROR(INDEX(分录收入!$F:$F,MATCH($L773,分录收入!$L:$L,0)),"")</f>
        <v>医保</v>
      </c>
      <c r="F773" s="68" t="n">
        <f aca="false">IFERROR(INDEX(分录收入!$H:$H,MATCH($L773,分录收入!$L:$L,0)),"")</f>
        <v>5297.9</v>
      </c>
      <c r="G773" s="69" t="str">
        <f aca="false">IFERROR(INDEX(分录收入!$I:$I,MATCH($L773,分录收入!$L:$L,0)),"")</f>
        <v/>
      </c>
      <c r="H773" s="23"/>
      <c r="I773" s="70"/>
      <c r="L773" s="71" t="n">
        <f aca="false">IF(助手收入!$R$53="",-1,助手收入!$R$53*100+(助手收入!$S$53-1)*6+3)</f>
        <v>2903</v>
      </c>
    </row>
    <row r="774" customFormat="false" ht="23.25" hidden="false" customHeight="true" outlineLevel="0" collapsed="false">
      <c r="B774" s="67" t="str">
        <f aca="false">""</f>
        <v/>
      </c>
      <c r="C774" s="67"/>
      <c r="D774" s="23" t="str">
        <f aca="false">IFERROR(INDEX(分录收入!$E:$E,MATCH($L774,分录收入!$L:$L,0)),"")</f>
        <v>其他应收款</v>
      </c>
      <c r="E774" s="23" t="str">
        <f aca="false">IFERROR(INDEX(分录收入!$F:$F,MATCH($L774,分录收入!$L:$L,0)),"")</f>
        <v>储值卡</v>
      </c>
      <c r="F774" s="68" t="n">
        <f aca="false">IFERROR(INDEX(分录收入!$H:$H,MATCH($L774,分录收入!$L:$L,0)),"")</f>
        <v>16.2</v>
      </c>
      <c r="G774" s="69" t="str">
        <f aca="false">IFERROR(INDEX(分录收入!$I:$I,MATCH($L774,分录收入!$L:$L,0)),"")</f>
        <v/>
      </c>
      <c r="H774" s="23"/>
      <c r="I774" s="70"/>
      <c r="L774" s="71" t="n">
        <f aca="false">IF(助手收入!$R$53="",-1,助手收入!$R$53*100+(助手收入!$S$53-1)*6+4)</f>
        <v>2904</v>
      </c>
    </row>
    <row r="775" customFormat="false" ht="23.25" hidden="false" customHeight="true" outlineLevel="0" collapsed="false">
      <c r="B775" s="67" t="str">
        <f aca="false">""</f>
        <v/>
      </c>
      <c r="C775" s="67"/>
      <c r="D775" s="23" t="str">
        <f aca="false">IFERROR(INDEX(分录收入!$E:$E,MATCH($L775,分录收入!$L:$L,0)),"")</f>
        <v>销售费用</v>
      </c>
      <c r="E775" s="23" t="str">
        <f aca="false">IFERROR(INDEX(分录收入!$F:$F,MATCH($L775,分录收入!$L:$L,0)),"")</f>
        <v>促销费</v>
      </c>
      <c r="F775" s="68" t="n">
        <f aca="false">IFERROR(INDEX(分录收入!$H:$H,MATCH($L775,分录收入!$L:$L,0)),"")</f>
        <v>1883</v>
      </c>
      <c r="G775" s="69" t="str">
        <f aca="false">IFERROR(INDEX(分录收入!$I:$I,MATCH($L775,分录收入!$L:$L,0)),"")</f>
        <v/>
      </c>
      <c r="H775" s="23"/>
      <c r="I775" s="70"/>
      <c r="L775" s="71" t="n">
        <f aca="false">IF(助手收入!$R$53="",-1,助手收入!$R$53*100+(助手收入!$S$53-1)*6+5)</f>
        <v>2905</v>
      </c>
    </row>
    <row r="776" customFormat="false" ht="23.25" hidden="false" customHeight="true" outlineLevel="0" collapsed="false">
      <c r="B776" s="67" t="str">
        <f aca="false">""</f>
        <v/>
      </c>
      <c r="C776" s="67"/>
      <c r="D776" s="23" t="str">
        <f aca="false">IFERROR(INDEX(分录收入!$E:$E,MATCH($L776,分录收入!$L:$L,0)),"")</f>
        <v>财务费用</v>
      </c>
      <c r="E776" s="23" t="str">
        <f aca="false">IFERROR(INDEX(分录收入!$F:$F,MATCH($L776,分录收入!$L:$L,0)),"")</f>
        <v>手续费</v>
      </c>
      <c r="F776" s="68" t="n">
        <f aca="false">IFERROR(INDEX(分录收入!$H:$H,MATCH($L776,分录收入!$L:$L,0)),"")</f>
        <v>74.41</v>
      </c>
      <c r="G776" s="69" t="str">
        <f aca="false">IFERROR(INDEX(分录收入!$I:$I,MATCH($L776,分录收入!$L:$L,0)),"")</f>
        <v/>
      </c>
      <c r="H776" s="23"/>
      <c r="I776" s="70"/>
      <c r="L776" s="71" t="n">
        <f aca="false">IF(助手收入!$R$53="",-1,助手收入!$R$53*100+(助手收入!$S$53-1)*6+6)</f>
        <v>2906</v>
      </c>
    </row>
    <row r="777" customFormat="false" ht="23.25" hidden="false" customHeight="true" outlineLevel="0" collapsed="false">
      <c r="B777" s="72" t="str">
        <f aca="false">IF(助手收入!$T$53=1,"合计：","")</f>
        <v/>
      </c>
      <c r="C777" s="73" t="str">
        <f aca="false">IF(助手收入!$T$53=1,$F777,"")</f>
        <v/>
      </c>
      <c r="D777" s="74"/>
      <c r="E777" s="74"/>
      <c r="F777" s="75" t="str">
        <f aca="false">IF(助手收入!$T$53=1,INDEX(助手收入!$N$2:$N$66,助手收入!$R$53),"")</f>
        <v/>
      </c>
      <c r="G777" s="76" t="str">
        <f aca="false">IF(助手收入!$T$53=1,INDEX(助手收入!$O$2:$O$66,助手收入!$R$53),"")</f>
        <v/>
      </c>
      <c r="H777" s="74"/>
      <c r="I777" s="77"/>
    </row>
    <row r="778" customFormat="false" ht="6" hidden="false" customHeight="true" outlineLevel="0" collapsed="false"/>
    <row r="779" customFormat="false" ht="13.5" hidden="false" customHeight="false" outlineLevel="0" collapsed="false">
      <c r="B779" s="78" t="str">
        <f aca="false">IF(助手收入!$R$53&lt;&gt;"","会计主管：","")</f>
        <v>会计主管：</v>
      </c>
      <c r="D779" s="78" t="str">
        <f aca="false">IF(助手收入!$R$53&lt;&gt;"","会计：","")</f>
        <v>会计：</v>
      </c>
      <c r="E779" s="78" t="str">
        <f aca="false">IF(助手收入!$R$53&lt;&gt;"","出纳：","")</f>
        <v>出纳：</v>
      </c>
      <c r="F779" s="78" t="str">
        <f aca="false">IF(助手收入!$R$53&lt;&gt;"","复核：","")</f>
        <v>复核：</v>
      </c>
      <c r="G779" s="78" t="str">
        <f aca="false">IF(助手收入!$R$53&lt;&gt;"","制单：","")</f>
        <v>制单：</v>
      </c>
    </row>
    <row r="780" customFormat="false" ht="3" hidden="false" customHeight="true" outlineLevel="0" collapsed="false"/>
    <row r="781" customFormat="false" ht="19.5" hidden="false" customHeight="true" outlineLevel="0" collapsed="false">
      <c r="B781" s="53" t="str">
        <f aca="false">IF(助手收入!$R$54&lt;&gt;"","记  账  凭  证","")</f>
        <v>记  账  凭  证</v>
      </c>
      <c r="C781" s="53"/>
      <c r="D781" s="53"/>
      <c r="E781" s="53"/>
      <c r="F781" s="53"/>
      <c r="G781" s="53"/>
      <c r="H781" s="53"/>
      <c r="I781" s="53"/>
    </row>
    <row r="782" customFormat="false" ht="3" hidden="false" customHeight="true" outlineLevel="0" collapsed="false"/>
    <row r="783" customFormat="false" ht="15" hidden="false" customHeight="true" outlineLevel="0" collapsed="false">
      <c r="C783" s="56" t="n">
        <f aca="false">IF(助手收入!$R$54&lt;&gt;"",INDEX(助手收入!$B$2:$B$66,助手收入!$R$54),"")</f>
        <v>2042</v>
      </c>
      <c r="D783" s="57" t="n">
        <f aca="false">IF(助手收入!$R$54&lt;&gt;"",参数!$B$2,"")</f>
        <v>46234</v>
      </c>
      <c r="E783" s="57"/>
      <c r="F783" s="58" t="str">
        <f aca="false">IF(助手收入!$R$54&lt;&gt;"",INDEX(助手收入!$C$2:$C$66,助手收入!$R$54)&amp;"  字第 "&amp;IF(参数!$B$9="是",INDEX(助手收入!$P$2:$P$66,助手收入!$R$54),"　　　　")&amp;" 号"&amp;IF(INDEX(助手收入!$L$2:$L$66,助手收入!$R$54)&gt;1,"  (共"&amp;INDEX(助手收入!$L$2:$L$66,助手收入!$R$54)&amp;"页 第"&amp;助手收入!$S$54&amp;"页)",""),"")</f>
        <v>白家寨店  字第 　　　　 号  (共2页 第2页)</v>
      </c>
      <c r="G783" s="58"/>
      <c r="H783" s="58"/>
      <c r="I783" s="58"/>
      <c r="M783" s="59" t="n">
        <f aca="false">IF(助手收入!$R$54="","",助手收入!$Q$54)</f>
        <v>53</v>
      </c>
      <c r="N783" s="60" t="n">
        <f aca="false">IF(助手收入!$R$54="","",INDEX(助手收入!$P$2:$P$66,助手收入!$R$54))</f>
        <v>28</v>
      </c>
      <c r="O783" s="55" t="str">
        <f aca="false">IF(助手收入!$R$54="","",INDEX(助手收入!$C$2:$C$66,助手收入!$R$54)&amp;"  字第 "&amp;INDEX(助手收入!$P$2:$P$66,助手收入!$R$54)&amp;" 号"&amp;IF(INDEX(助手收入!$L$2:$L$66,助手收入!$R$54)&gt;1,"  (共"&amp;INDEX(助手收入!$L$2:$L$66,助手收入!$R$54)&amp;"页 第"&amp;助手收入!$S$54&amp;"页)",""))</f>
        <v>白家寨店  字第 28 号  (共2页 第2页)</v>
      </c>
    </row>
    <row r="784" customFormat="false" ht="12.75" hidden="false" customHeight="true" outlineLevel="0" collapsed="false">
      <c r="B784" s="61" t="str">
        <f aca="false">IF(助手收入!$R$54&lt;&gt;"","摘　　要","")</f>
        <v>摘　　要</v>
      </c>
      <c r="C784" s="61"/>
      <c r="D784" s="62" t="str">
        <f aca="false">IF(助手收入!$R$54&lt;&gt;"","科　　　　目","")</f>
        <v>科　　　　目</v>
      </c>
      <c r="E784" s="62"/>
      <c r="F784" s="61" t="str">
        <f aca="false">IF(助手收入!$R$54&lt;&gt;"","借 方 金 额","")</f>
        <v>借 方 金 额</v>
      </c>
      <c r="G784" s="62" t="str">
        <f aca="false">IF(助手收入!$R$54&lt;&gt;"","贷 方 金 额","")</f>
        <v>贷 方 金 额</v>
      </c>
      <c r="H784" s="63" t="str">
        <f aca="false">IF(助手收入!$R$54&lt;&gt;"","√","")</f>
        <v>√</v>
      </c>
      <c r="I784" s="64" t="str">
        <f aca="false">IF(助手收入!$R$54&lt;&gt;"","附单据  张","")</f>
        <v>附单据  张</v>
      </c>
    </row>
    <row r="785" customFormat="false" ht="12.75" hidden="false" customHeight="true" outlineLevel="0" collapsed="false">
      <c r="B785" s="61"/>
      <c r="C785" s="61"/>
      <c r="D785" s="23" t="str">
        <f aca="false">IF(助手收入!$R$54&lt;&gt;"","总 账 科 目","")</f>
        <v>总 账 科 目</v>
      </c>
      <c r="E785" s="23" t="str">
        <f aca="false">IF(助手收入!$R$54&lt;&gt;"","明 细 科 目","")</f>
        <v>明 细 科 目</v>
      </c>
      <c r="F785" s="65"/>
      <c r="G785" s="66"/>
      <c r="H785" s="63"/>
      <c r="I785" s="64"/>
    </row>
    <row r="786" customFormat="false" ht="23.25" hidden="false" customHeight="true" outlineLevel="0" collapsed="false">
      <c r="B786" s="67" t="str">
        <f aca="false">IFERROR(INDEX(分录收入!$M:$M,MATCH($L786,分录收入!$L:$L,0)),"")</f>
        <v>7月收入</v>
      </c>
      <c r="C786" s="67"/>
      <c r="D786" s="23" t="str">
        <f aca="false">IFERROR(INDEX(分录收入!$E:$E,MATCH($L786,分录收入!$L:$L,0)),"")</f>
        <v>主营业务收入</v>
      </c>
      <c r="E786" s="23" t="str">
        <f aca="false">IFERROR(INDEX(分录收入!$F:$F,MATCH($L786,分录收入!$L:$L,0)),"")</f>
        <v/>
      </c>
      <c r="F786" s="68" t="str">
        <f aca="false">IFERROR(INDEX(分录收入!$H:$H,MATCH($L786,分录收入!$L:$L,0)),"")</f>
        <v/>
      </c>
      <c r="G786" s="69" t="n">
        <f aca="false">IFERROR(INDEX(分录收入!$I:$I,MATCH($L786,分录收入!$L:$L,0)),"")</f>
        <v>49658</v>
      </c>
      <c r="H786" s="23"/>
      <c r="I786" s="70"/>
      <c r="L786" s="71" t="n">
        <f aca="false">IF(助手收入!$R$54="",-1,助手收入!$R$54*100+(助手收入!$S$54-1)*6+1)</f>
        <v>2907</v>
      </c>
    </row>
    <row r="787" customFormat="false" ht="23.25" hidden="false" customHeight="true" outlineLevel="0" collapsed="false">
      <c r="B787" s="67" t="str">
        <f aca="false">""</f>
        <v/>
      </c>
      <c r="C787" s="67"/>
      <c r="D787" s="23" t="str">
        <f aca="false">IFERROR(INDEX(分录收入!$E:$E,MATCH($L787,分录收入!$L:$L,0)),"")</f>
        <v/>
      </c>
      <c r="E787" s="23" t="str">
        <f aca="false">IFERROR(INDEX(分录收入!$F:$F,MATCH($L787,分录收入!$L:$L,0)),"")</f>
        <v/>
      </c>
      <c r="F787" s="68" t="str">
        <f aca="false">IFERROR(INDEX(分录收入!$H:$H,MATCH($L787,分录收入!$L:$L,0)),"")</f>
        <v/>
      </c>
      <c r="G787" s="69" t="str">
        <f aca="false">IFERROR(INDEX(分录收入!$I:$I,MATCH($L787,分录收入!$L:$L,0)),"")</f>
        <v/>
      </c>
      <c r="H787" s="23"/>
      <c r="I787" s="70"/>
      <c r="L787" s="71" t="n">
        <f aca="false">IF(助手收入!$R$54="",-1,助手收入!$R$54*100+(助手收入!$S$54-1)*6+2)</f>
        <v>2908</v>
      </c>
    </row>
    <row r="788" customFormat="false" ht="23.25" hidden="false" customHeight="true" outlineLevel="0" collapsed="false">
      <c r="B788" s="67" t="str">
        <f aca="false">""</f>
        <v/>
      </c>
      <c r="C788" s="67"/>
      <c r="D788" s="23" t="str">
        <f aca="false">IFERROR(INDEX(分录收入!$E:$E,MATCH($L788,分录收入!$L:$L,0)),"")</f>
        <v/>
      </c>
      <c r="E788" s="23" t="str">
        <f aca="false">IFERROR(INDEX(分录收入!$F:$F,MATCH($L788,分录收入!$L:$L,0)),"")</f>
        <v/>
      </c>
      <c r="F788" s="68" t="str">
        <f aca="false">IFERROR(INDEX(分录收入!$H:$H,MATCH($L788,分录收入!$L:$L,0)),"")</f>
        <v/>
      </c>
      <c r="G788" s="69" t="str">
        <f aca="false">IFERROR(INDEX(分录收入!$I:$I,MATCH($L788,分录收入!$L:$L,0)),"")</f>
        <v/>
      </c>
      <c r="H788" s="23"/>
      <c r="I788" s="70"/>
      <c r="L788" s="71" t="n">
        <f aca="false">IF(助手收入!$R$54="",-1,助手收入!$R$54*100+(助手收入!$S$54-1)*6+3)</f>
        <v>2909</v>
      </c>
    </row>
    <row r="789" customFormat="false" ht="23.25" hidden="false" customHeight="true" outlineLevel="0" collapsed="false">
      <c r="B789" s="67" t="str">
        <f aca="false">""</f>
        <v/>
      </c>
      <c r="C789" s="67"/>
      <c r="D789" s="23" t="str">
        <f aca="false">IFERROR(INDEX(分录收入!$E:$E,MATCH($L789,分录收入!$L:$L,0)),"")</f>
        <v/>
      </c>
      <c r="E789" s="23" t="str">
        <f aca="false">IFERROR(INDEX(分录收入!$F:$F,MATCH($L789,分录收入!$L:$L,0)),"")</f>
        <v/>
      </c>
      <c r="F789" s="68" t="str">
        <f aca="false">IFERROR(INDEX(分录收入!$H:$H,MATCH($L789,分录收入!$L:$L,0)),"")</f>
        <v/>
      </c>
      <c r="G789" s="69" t="str">
        <f aca="false">IFERROR(INDEX(分录收入!$I:$I,MATCH($L789,分录收入!$L:$L,0)),"")</f>
        <v/>
      </c>
      <c r="H789" s="23"/>
      <c r="I789" s="70"/>
      <c r="L789" s="71" t="n">
        <f aca="false">IF(助手收入!$R$54="",-1,助手收入!$R$54*100+(助手收入!$S$54-1)*6+4)</f>
        <v>2910</v>
      </c>
    </row>
    <row r="790" customFormat="false" ht="23.25" hidden="false" customHeight="true" outlineLevel="0" collapsed="false">
      <c r="B790" s="67" t="str">
        <f aca="false">""</f>
        <v/>
      </c>
      <c r="C790" s="67"/>
      <c r="D790" s="23" t="str">
        <f aca="false">IFERROR(INDEX(分录收入!$E:$E,MATCH($L790,分录收入!$L:$L,0)),"")</f>
        <v/>
      </c>
      <c r="E790" s="23" t="str">
        <f aca="false">IFERROR(INDEX(分录收入!$F:$F,MATCH($L790,分录收入!$L:$L,0)),"")</f>
        <v/>
      </c>
      <c r="F790" s="68" t="str">
        <f aca="false">IFERROR(INDEX(分录收入!$H:$H,MATCH($L790,分录收入!$L:$L,0)),"")</f>
        <v/>
      </c>
      <c r="G790" s="69" t="str">
        <f aca="false">IFERROR(INDEX(分录收入!$I:$I,MATCH($L790,分录收入!$L:$L,0)),"")</f>
        <v/>
      </c>
      <c r="H790" s="23"/>
      <c r="I790" s="70"/>
      <c r="L790" s="71" t="n">
        <f aca="false">IF(助手收入!$R$54="",-1,助手收入!$R$54*100+(助手收入!$S$54-1)*6+5)</f>
        <v>2911</v>
      </c>
    </row>
    <row r="791" customFormat="false" ht="23.25" hidden="false" customHeight="true" outlineLevel="0" collapsed="false">
      <c r="B791" s="67" t="str">
        <f aca="false">""</f>
        <v/>
      </c>
      <c r="C791" s="67"/>
      <c r="D791" s="23" t="str">
        <f aca="false">IFERROR(INDEX(分录收入!$E:$E,MATCH($L791,分录收入!$L:$L,0)),"")</f>
        <v/>
      </c>
      <c r="E791" s="23" t="str">
        <f aca="false">IFERROR(INDEX(分录收入!$F:$F,MATCH($L791,分录收入!$L:$L,0)),"")</f>
        <v/>
      </c>
      <c r="F791" s="68" t="str">
        <f aca="false">IFERROR(INDEX(分录收入!$H:$H,MATCH($L791,分录收入!$L:$L,0)),"")</f>
        <v/>
      </c>
      <c r="G791" s="69" t="str">
        <f aca="false">IFERROR(INDEX(分录收入!$I:$I,MATCH($L791,分录收入!$L:$L,0)),"")</f>
        <v/>
      </c>
      <c r="H791" s="23"/>
      <c r="I791" s="70"/>
      <c r="L791" s="71" t="n">
        <f aca="false">IF(助手收入!$R$54="",-1,助手收入!$R$54*100+(助手收入!$S$54-1)*6+6)</f>
        <v>2912</v>
      </c>
    </row>
    <row r="792" customFormat="false" ht="23.25" hidden="false" customHeight="true" outlineLevel="0" collapsed="false">
      <c r="B792" s="72" t="str">
        <f aca="false">IF(助手收入!$T$54=1,"合计：","")</f>
        <v>合计：</v>
      </c>
      <c r="C792" s="73" t="n">
        <f aca="false">IF(助手收入!$T$54=1,$F792,"")</f>
        <v>49658</v>
      </c>
      <c r="D792" s="74"/>
      <c r="E792" s="74"/>
      <c r="F792" s="75" t="n">
        <f aca="false">IF(助手收入!$T$54=1,INDEX(助手收入!$N$2:$N$66,助手收入!$R$54),"")</f>
        <v>49658</v>
      </c>
      <c r="G792" s="76" t="n">
        <f aca="false">IF(助手收入!$T$54=1,INDEX(助手收入!$O$2:$O$66,助手收入!$R$54),"")</f>
        <v>49658</v>
      </c>
      <c r="H792" s="74"/>
      <c r="I792" s="77"/>
    </row>
    <row r="793" customFormat="false" ht="6" hidden="false" customHeight="true" outlineLevel="0" collapsed="false"/>
    <row r="794" customFormat="false" ht="13.5" hidden="false" customHeight="false" outlineLevel="0" collapsed="false">
      <c r="B794" s="78" t="str">
        <f aca="false">IF(助手收入!$R$54&lt;&gt;"","会计主管：","")</f>
        <v>会计主管：</v>
      </c>
      <c r="D794" s="78" t="str">
        <f aca="false">IF(助手收入!$R$54&lt;&gt;"","会计：","")</f>
        <v>会计：</v>
      </c>
      <c r="E794" s="78" t="str">
        <f aca="false">IF(助手收入!$R$54&lt;&gt;"","出纳：","")</f>
        <v>出纳：</v>
      </c>
      <c r="F794" s="78" t="str">
        <f aca="false">IF(助手收入!$R$54&lt;&gt;"","复核：","")</f>
        <v>复核：</v>
      </c>
      <c r="G794" s="78" t="str">
        <f aca="false">IF(助手收入!$R$54&lt;&gt;"","制单：","")</f>
        <v>制单：</v>
      </c>
    </row>
    <row r="795" customFormat="false" ht="3" hidden="false" customHeight="true" outlineLevel="0" collapsed="false"/>
    <row r="796" customFormat="false" ht="19.5" hidden="false" customHeight="true" outlineLevel="0" collapsed="false">
      <c r="B796" s="53" t="str">
        <f aca="false">IF(助手收入!$R$55&lt;&gt;"","记  账  凭  证","")</f>
        <v>记  账  凭  证</v>
      </c>
      <c r="C796" s="53"/>
      <c r="D796" s="53"/>
      <c r="E796" s="53"/>
      <c r="F796" s="53"/>
      <c r="G796" s="53"/>
      <c r="H796" s="53"/>
      <c r="I796" s="53"/>
    </row>
    <row r="797" customFormat="false" ht="3" hidden="false" customHeight="true" outlineLevel="0" collapsed="false"/>
    <row r="798" customFormat="false" ht="15" hidden="false" customHeight="true" outlineLevel="0" collapsed="false">
      <c r="C798" s="56" t="n">
        <f aca="false">IF(助手收入!$R$55&lt;&gt;"",INDEX(助手收入!$B$2:$B$66,助手收入!$R$55),"")</f>
        <v>2043</v>
      </c>
      <c r="D798" s="57" t="n">
        <f aca="false">IF(助手收入!$R$55&lt;&gt;"",参数!$B$2,"")</f>
        <v>46234</v>
      </c>
      <c r="E798" s="57"/>
      <c r="F798" s="58" t="str">
        <f aca="false">IF(助手收入!$R$55&lt;&gt;"",INDEX(助手收入!$C$2:$C$66,助手收入!$R$55)&amp;"  字第 "&amp;IF(参数!$B$9="是",INDEX(助手收入!$P$2:$P$66,助手收入!$R$55),"　　　　")&amp;" 号"&amp;IF(INDEX(助手收入!$L$2:$L$66,助手收入!$R$55)&gt;1,"  (共"&amp;INDEX(助手收入!$L$2:$L$66,助手收入!$R$55)&amp;"页 第"&amp;助手收入!$S$55&amp;"页)",""),"")</f>
        <v>博福店  字第 　　　　 号  (共2页 第1页)</v>
      </c>
      <c r="G798" s="58"/>
      <c r="H798" s="58"/>
      <c r="I798" s="58"/>
      <c r="M798" s="59" t="n">
        <f aca="false">IF(助手收入!$R$55="","",助手收入!$Q$55)</f>
        <v>54</v>
      </c>
      <c r="N798" s="60" t="n">
        <f aca="false">IF(助手收入!$R$55="","",INDEX(助手收入!$P$2:$P$66,助手收入!$R$55))</f>
        <v>29</v>
      </c>
      <c r="O798" s="55" t="str">
        <f aca="false">IF(助手收入!$R$55="","",INDEX(助手收入!$C$2:$C$66,助手收入!$R$55)&amp;"  字第 "&amp;INDEX(助手收入!$P$2:$P$66,助手收入!$R$55)&amp;" 号"&amp;IF(INDEX(助手收入!$L$2:$L$66,助手收入!$R$55)&gt;1,"  (共"&amp;INDEX(助手收入!$L$2:$L$66,助手收入!$R$55)&amp;"页 第"&amp;助手收入!$S$55&amp;"页)",""))</f>
        <v>博福店  字第 29 号  (共2页 第1页)</v>
      </c>
    </row>
    <row r="799" customFormat="false" ht="12.75" hidden="false" customHeight="true" outlineLevel="0" collapsed="false">
      <c r="B799" s="61" t="str">
        <f aca="false">IF(助手收入!$R$55&lt;&gt;"","摘　　要","")</f>
        <v>摘　　要</v>
      </c>
      <c r="C799" s="61"/>
      <c r="D799" s="62" t="str">
        <f aca="false">IF(助手收入!$R$55&lt;&gt;"","科　　　　目","")</f>
        <v>科　　　　目</v>
      </c>
      <c r="E799" s="62"/>
      <c r="F799" s="61" t="str">
        <f aca="false">IF(助手收入!$R$55&lt;&gt;"","借 方 金 额","")</f>
        <v>借 方 金 额</v>
      </c>
      <c r="G799" s="62" t="str">
        <f aca="false">IF(助手收入!$R$55&lt;&gt;"","贷 方 金 额","")</f>
        <v>贷 方 金 额</v>
      </c>
      <c r="H799" s="63" t="str">
        <f aca="false">IF(助手收入!$R$55&lt;&gt;"","√","")</f>
        <v>√</v>
      </c>
      <c r="I799" s="64" t="str">
        <f aca="false">IF(助手收入!$R$55&lt;&gt;"","附单据  张","")</f>
        <v>附单据  张</v>
      </c>
    </row>
    <row r="800" customFormat="false" ht="12.75" hidden="false" customHeight="true" outlineLevel="0" collapsed="false">
      <c r="B800" s="61"/>
      <c r="C800" s="61"/>
      <c r="D800" s="23" t="str">
        <f aca="false">IF(助手收入!$R$55&lt;&gt;"","总 账 科 目","")</f>
        <v>总 账 科 目</v>
      </c>
      <c r="E800" s="23" t="str">
        <f aca="false">IF(助手收入!$R$55&lt;&gt;"","明 细 科 目","")</f>
        <v>明 细 科 目</v>
      </c>
      <c r="F800" s="65"/>
      <c r="G800" s="66"/>
      <c r="H800" s="63"/>
      <c r="I800" s="64"/>
    </row>
    <row r="801" customFormat="false" ht="23.25" hidden="false" customHeight="true" outlineLevel="0" collapsed="false">
      <c r="B801" s="67" t="str">
        <f aca="false">IFERROR(INDEX(分录收入!$M:$M,MATCH($L801,分录收入!$L:$L,0)),"")</f>
        <v>7月收入</v>
      </c>
      <c r="C801" s="67"/>
      <c r="D801" s="23" t="str">
        <f aca="false">IFERROR(INDEX(分录收入!$E:$E,MATCH($L801,分录收入!$L:$L,0)),"")</f>
        <v>库存现金</v>
      </c>
      <c r="E801" s="23" t="str">
        <f aca="false">IFERROR(INDEX(分录收入!$F:$F,MATCH($L801,分录收入!$L:$L,0)),"")</f>
        <v/>
      </c>
      <c r="F801" s="68" t="n">
        <f aca="false">IFERROR(INDEX(分录收入!$H:$H,MATCH($L801,分录收入!$L:$L,0)),"")</f>
        <v>5461.07</v>
      </c>
      <c r="G801" s="69" t="str">
        <f aca="false">IFERROR(INDEX(分录收入!$I:$I,MATCH($L801,分录收入!$L:$L,0)),"")</f>
        <v/>
      </c>
      <c r="H801" s="23"/>
      <c r="I801" s="70"/>
      <c r="L801" s="71" t="n">
        <f aca="false">IF(助手收入!$R$55="",-1,助手收入!$R$55*100+(助手收入!$S$55-1)*6+1)</f>
        <v>3001</v>
      </c>
    </row>
    <row r="802" customFormat="false" ht="23.25" hidden="false" customHeight="true" outlineLevel="0" collapsed="false">
      <c r="B802" s="67" t="str">
        <f aca="false">""</f>
        <v/>
      </c>
      <c r="C802" s="67"/>
      <c r="D802" s="23" t="str">
        <f aca="false">IFERROR(INDEX(分录收入!$E:$E,MATCH($L802,分录收入!$L:$L,0)),"")</f>
        <v>应收账款</v>
      </c>
      <c r="E802" s="23" t="str">
        <f aca="false">IFERROR(INDEX(分录收入!$F:$F,MATCH($L802,分录收入!$L:$L,0)),"")</f>
        <v>聚合支付</v>
      </c>
      <c r="F802" s="68" t="n">
        <f aca="false">IFERROR(INDEX(分录收入!$H:$H,MATCH($L802,分录收入!$L:$L,0)),"")</f>
        <v>26349.1</v>
      </c>
      <c r="G802" s="69" t="str">
        <f aca="false">IFERROR(INDEX(分录收入!$I:$I,MATCH($L802,分录收入!$L:$L,0)),"")</f>
        <v/>
      </c>
      <c r="H802" s="23"/>
      <c r="I802" s="70"/>
      <c r="L802" s="71" t="n">
        <f aca="false">IF(助手收入!$R$55="",-1,助手收入!$R$55*100+(助手收入!$S$55-1)*6+2)</f>
        <v>3002</v>
      </c>
    </row>
    <row r="803" customFormat="false" ht="23.25" hidden="false" customHeight="true" outlineLevel="0" collapsed="false">
      <c r="B803" s="67" t="str">
        <f aca="false">""</f>
        <v/>
      </c>
      <c r="C803" s="67"/>
      <c r="D803" s="23" t="str">
        <f aca="false">IFERROR(INDEX(分录收入!$E:$E,MATCH($L803,分录收入!$L:$L,0)),"")</f>
        <v>应收账款</v>
      </c>
      <c r="E803" s="23" t="str">
        <f aca="false">IFERROR(INDEX(分录收入!$F:$F,MATCH($L803,分录收入!$L:$L,0)),"")</f>
        <v>医保</v>
      </c>
      <c r="F803" s="68" t="n">
        <f aca="false">IFERROR(INDEX(分录收入!$H:$H,MATCH($L803,分录收入!$L:$L,0)),"")</f>
        <v>10373.25</v>
      </c>
      <c r="G803" s="69" t="str">
        <f aca="false">IFERROR(INDEX(分录收入!$I:$I,MATCH($L803,分录收入!$L:$L,0)),"")</f>
        <v/>
      </c>
      <c r="H803" s="23"/>
      <c r="I803" s="70"/>
      <c r="L803" s="71" t="n">
        <f aca="false">IF(助手收入!$R$55="",-1,助手收入!$R$55*100+(助手收入!$S$55-1)*6+3)</f>
        <v>3003</v>
      </c>
    </row>
    <row r="804" customFormat="false" ht="23.25" hidden="false" customHeight="true" outlineLevel="0" collapsed="false">
      <c r="B804" s="67" t="str">
        <f aca="false">""</f>
        <v/>
      </c>
      <c r="C804" s="67"/>
      <c r="D804" s="23" t="str">
        <f aca="false">IFERROR(INDEX(分录收入!$E:$E,MATCH($L804,分录收入!$L:$L,0)),"")</f>
        <v>应收账款</v>
      </c>
      <c r="E804" s="23" t="str">
        <f aca="false">IFERROR(INDEX(分录收入!$F:$F,MATCH($L804,分录收入!$L:$L,0)),"")</f>
        <v>健e卡</v>
      </c>
      <c r="F804" s="68" t="n">
        <f aca="false">IFERROR(INDEX(分录收入!$H:$H,MATCH($L804,分录收入!$L:$L,0)),"")</f>
        <v>15991.6</v>
      </c>
      <c r="G804" s="69" t="str">
        <f aca="false">IFERROR(INDEX(分录收入!$I:$I,MATCH($L804,分录收入!$L:$L,0)),"")</f>
        <v/>
      </c>
      <c r="H804" s="23"/>
      <c r="I804" s="70"/>
      <c r="L804" s="71" t="n">
        <f aca="false">IF(助手收入!$R$55="",-1,助手收入!$R$55*100+(助手收入!$S$55-1)*6+4)</f>
        <v>3004</v>
      </c>
    </row>
    <row r="805" customFormat="false" ht="23.25" hidden="false" customHeight="true" outlineLevel="0" collapsed="false">
      <c r="B805" s="67" t="str">
        <f aca="false">""</f>
        <v/>
      </c>
      <c r="C805" s="67"/>
      <c r="D805" s="23" t="str">
        <f aca="false">IFERROR(INDEX(分录收入!$E:$E,MATCH($L805,分录收入!$L:$L,0)),"")</f>
        <v>应收账款</v>
      </c>
      <c r="E805" s="23" t="str">
        <f aca="false">IFERROR(INDEX(分录收入!$F:$F,MATCH($L805,分录收入!$L:$L,0)),"")</f>
        <v>24小时</v>
      </c>
      <c r="F805" s="68" t="n">
        <f aca="false">IFERROR(INDEX(分录收入!$H:$H,MATCH($L805,分录收入!$L:$L,0)),"")</f>
        <v>2168.8</v>
      </c>
      <c r="G805" s="69" t="str">
        <f aca="false">IFERROR(INDEX(分录收入!$I:$I,MATCH($L805,分录收入!$L:$L,0)),"")</f>
        <v/>
      </c>
      <c r="H805" s="23"/>
      <c r="I805" s="70"/>
      <c r="L805" s="71" t="n">
        <f aca="false">IF(助手收入!$R$55="",-1,助手收入!$R$55*100+(助手收入!$S$55-1)*6+5)</f>
        <v>3005</v>
      </c>
    </row>
    <row r="806" customFormat="false" ht="23.25" hidden="false" customHeight="true" outlineLevel="0" collapsed="false">
      <c r="B806" s="67" t="str">
        <f aca="false">""</f>
        <v/>
      </c>
      <c r="C806" s="67"/>
      <c r="D806" s="23" t="str">
        <f aca="false">IFERROR(INDEX(分录收入!$E:$E,MATCH($L806,分录收入!$L:$L,0)),"")</f>
        <v>应收账款</v>
      </c>
      <c r="E806" s="23" t="str">
        <f aca="false">IFERROR(INDEX(分录收入!$F:$F,MATCH($L806,分录收入!$L:$L,0)),"")</f>
        <v>美团</v>
      </c>
      <c r="F806" s="68" t="n">
        <f aca="false">IFERROR(INDEX(分录收入!$H:$H,MATCH($L806,分录收入!$L:$L,0)),"")</f>
        <v>206.3</v>
      </c>
      <c r="G806" s="69" t="str">
        <f aca="false">IFERROR(INDEX(分录收入!$I:$I,MATCH($L806,分录收入!$L:$L,0)),"")</f>
        <v/>
      </c>
      <c r="H806" s="23"/>
      <c r="I806" s="70"/>
      <c r="L806" s="71" t="n">
        <f aca="false">IF(助手收入!$R$55="",-1,助手收入!$R$55*100+(助手收入!$S$55-1)*6+6)</f>
        <v>3006</v>
      </c>
    </row>
    <row r="807" customFormat="false" ht="23.25" hidden="false" customHeight="true" outlineLevel="0" collapsed="false">
      <c r="B807" s="72" t="str">
        <f aca="false">IF(助手收入!$T$55=1,"合计：","")</f>
        <v/>
      </c>
      <c r="C807" s="73" t="str">
        <f aca="false">IF(助手收入!$T$55=1,$F807,"")</f>
        <v/>
      </c>
      <c r="D807" s="74"/>
      <c r="E807" s="74"/>
      <c r="F807" s="75" t="str">
        <f aca="false">IF(助手收入!$T$55=1,INDEX(助手收入!$N$2:$N$66,助手收入!$R$55),"")</f>
        <v/>
      </c>
      <c r="G807" s="76" t="str">
        <f aca="false">IF(助手收入!$T$55=1,INDEX(助手收入!$O$2:$O$66,助手收入!$R$55),"")</f>
        <v/>
      </c>
      <c r="H807" s="74"/>
      <c r="I807" s="77"/>
    </row>
    <row r="808" customFormat="false" ht="6" hidden="false" customHeight="true" outlineLevel="0" collapsed="false"/>
    <row r="809" customFormat="false" ht="13.5" hidden="false" customHeight="false" outlineLevel="0" collapsed="false">
      <c r="B809" s="78" t="str">
        <f aca="false">IF(助手收入!$R$55&lt;&gt;"","会计主管：","")</f>
        <v>会计主管：</v>
      </c>
      <c r="D809" s="78" t="str">
        <f aca="false">IF(助手收入!$R$55&lt;&gt;"","会计：","")</f>
        <v>会计：</v>
      </c>
      <c r="E809" s="78" t="str">
        <f aca="false">IF(助手收入!$R$55&lt;&gt;"","出纳：","")</f>
        <v>出纳：</v>
      </c>
      <c r="F809" s="78" t="str">
        <f aca="false">IF(助手收入!$R$55&lt;&gt;"","复核：","")</f>
        <v>复核：</v>
      </c>
      <c r="G809" s="78" t="str">
        <f aca="false">IF(助手收入!$R$55&lt;&gt;"","制单：","")</f>
        <v>制单：</v>
      </c>
    </row>
    <row r="810" customFormat="false" ht="3" hidden="false" customHeight="true" outlineLevel="0" collapsed="false"/>
    <row r="811" customFormat="false" ht="19.5" hidden="false" customHeight="true" outlineLevel="0" collapsed="false">
      <c r="B811" s="53" t="str">
        <f aca="false">IF(助手收入!$R$56&lt;&gt;"","记  账  凭  证","")</f>
        <v>记  账  凭  证</v>
      </c>
      <c r="C811" s="53"/>
      <c r="D811" s="53"/>
      <c r="E811" s="53"/>
      <c r="F811" s="53"/>
      <c r="G811" s="53"/>
      <c r="H811" s="53"/>
      <c r="I811" s="53"/>
    </row>
    <row r="812" customFormat="false" ht="3" hidden="false" customHeight="true" outlineLevel="0" collapsed="false"/>
    <row r="813" customFormat="false" ht="15" hidden="false" customHeight="true" outlineLevel="0" collapsed="false">
      <c r="C813" s="56" t="n">
        <f aca="false">IF(助手收入!$R$56&lt;&gt;"",INDEX(助手收入!$B$2:$B$66,助手收入!$R$56),"")</f>
        <v>2043</v>
      </c>
      <c r="D813" s="57" t="n">
        <f aca="false">IF(助手收入!$R$56&lt;&gt;"",参数!$B$2,"")</f>
        <v>46234</v>
      </c>
      <c r="E813" s="57"/>
      <c r="F813" s="58" t="str">
        <f aca="false">IF(助手收入!$R$56&lt;&gt;"",INDEX(助手收入!$C$2:$C$66,助手收入!$R$56)&amp;"  字第 "&amp;IF(参数!$B$9="是",INDEX(助手收入!$P$2:$P$66,助手收入!$R$56),"　　　　")&amp;" 号"&amp;IF(INDEX(助手收入!$L$2:$L$66,助手收入!$R$56)&gt;1,"  (共"&amp;INDEX(助手收入!$L$2:$L$66,助手收入!$R$56)&amp;"页 第"&amp;助手收入!$S$56&amp;"页)",""),"")</f>
        <v>博福店  字第 　　　　 号  (共2页 第2页)</v>
      </c>
      <c r="G813" s="58"/>
      <c r="H813" s="58"/>
      <c r="I813" s="58"/>
      <c r="M813" s="59" t="n">
        <f aca="false">IF(助手收入!$R$56="","",助手收入!$Q$56)</f>
        <v>55</v>
      </c>
      <c r="N813" s="60" t="n">
        <f aca="false">IF(助手收入!$R$56="","",INDEX(助手收入!$P$2:$P$66,助手收入!$R$56))</f>
        <v>29</v>
      </c>
      <c r="O813" s="55" t="str">
        <f aca="false">IF(助手收入!$R$56="","",INDEX(助手收入!$C$2:$C$66,助手收入!$R$56)&amp;"  字第 "&amp;INDEX(助手收入!$P$2:$P$66,助手收入!$R$56)&amp;" 号"&amp;IF(INDEX(助手收入!$L$2:$L$66,助手收入!$R$56)&gt;1,"  (共"&amp;INDEX(助手收入!$L$2:$L$66,助手收入!$R$56)&amp;"页 第"&amp;助手收入!$S$56&amp;"页)",""))</f>
        <v>博福店  字第 29 号  (共2页 第2页)</v>
      </c>
    </row>
    <row r="814" customFormat="false" ht="12.75" hidden="false" customHeight="true" outlineLevel="0" collapsed="false">
      <c r="B814" s="61" t="str">
        <f aca="false">IF(助手收入!$R$56&lt;&gt;"","摘　　要","")</f>
        <v>摘　　要</v>
      </c>
      <c r="C814" s="61"/>
      <c r="D814" s="62" t="str">
        <f aca="false">IF(助手收入!$R$56&lt;&gt;"","科　　　　目","")</f>
        <v>科　　　　目</v>
      </c>
      <c r="E814" s="62"/>
      <c r="F814" s="61" t="str">
        <f aca="false">IF(助手收入!$R$56&lt;&gt;"","借 方 金 额","")</f>
        <v>借 方 金 额</v>
      </c>
      <c r="G814" s="62" t="str">
        <f aca="false">IF(助手收入!$R$56&lt;&gt;"","贷 方 金 额","")</f>
        <v>贷 方 金 额</v>
      </c>
      <c r="H814" s="63" t="str">
        <f aca="false">IF(助手收入!$R$56&lt;&gt;"","√","")</f>
        <v>√</v>
      </c>
      <c r="I814" s="64" t="str">
        <f aca="false">IF(助手收入!$R$56&lt;&gt;"","附单据  张","")</f>
        <v>附单据  张</v>
      </c>
    </row>
    <row r="815" customFormat="false" ht="12.75" hidden="false" customHeight="true" outlineLevel="0" collapsed="false">
      <c r="B815" s="61"/>
      <c r="C815" s="61"/>
      <c r="D815" s="23" t="str">
        <f aca="false">IF(助手收入!$R$56&lt;&gt;"","总 账 科 目","")</f>
        <v>总 账 科 目</v>
      </c>
      <c r="E815" s="23" t="str">
        <f aca="false">IF(助手收入!$R$56&lt;&gt;"","明 细 科 目","")</f>
        <v>明 细 科 目</v>
      </c>
      <c r="F815" s="65"/>
      <c r="G815" s="66"/>
      <c r="H815" s="63"/>
      <c r="I815" s="64"/>
    </row>
    <row r="816" customFormat="false" ht="23.25" hidden="false" customHeight="true" outlineLevel="0" collapsed="false">
      <c r="B816" s="67" t="str">
        <f aca="false">IFERROR(INDEX(分录收入!$M:$M,MATCH($L816,分录收入!$L:$L,0)),"")</f>
        <v>7月收入</v>
      </c>
      <c r="C816" s="67"/>
      <c r="D816" s="23" t="str">
        <f aca="false">IFERROR(INDEX(分录收入!$E:$E,MATCH($L816,分录收入!$L:$L,0)),"")</f>
        <v>其他应收款</v>
      </c>
      <c r="E816" s="23" t="str">
        <f aca="false">IFERROR(INDEX(分录收入!$F:$F,MATCH($L816,分录收入!$L:$L,0)),"")</f>
        <v>储值卡</v>
      </c>
      <c r="F816" s="68" t="n">
        <f aca="false">IFERROR(INDEX(分录收入!$H:$H,MATCH($L816,分录收入!$L:$L,0)),"")</f>
        <v>8652.19</v>
      </c>
      <c r="G816" s="69" t="str">
        <f aca="false">IFERROR(INDEX(分录收入!$I:$I,MATCH($L816,分录收入!$L:$L,0)),"")</f>
        <v/>
      </c>
      <c r="H816" s="23"/>
      <c r="I816" s="70"/>
      <c r="L816" s="71" t="n">
        <f aca="false">IF(助手收入!$R$56="",-1,助手收入!$R$56*100+(助手收入!$S$56-1)*6+1)</f>
        <v>3007</v>
      </c>
    </row>
    <row r="817" customFormat="false" ht="23.25" hidden="false" customHeight="true" outlineLevel="0" collapsed="false">
      <c r="B817" s="67" t="str">
        <f aca="false">""</f>
        <v/>
      </c>
      <c r="C817" s="67"/>
      <c r="D817" s="23" t="str">
        <f aca="false">IFERROR(INDEX(分录收入!$E:$E,MATCH($L817,分录收入!$L:$L,0)),"")</f>
        <v>销售费用</v>
      </c>
      <c r="E817" s="23" t="str">
        <f aca="false">IFERROR(INDEX(分录收入!$F:$F,MATCH($L817,分录收入!$L:$L,0)),"")</f>
        <v>促销费</v>
      </c>
      <c r="F817" s="68" t="n">
        <f aca="false">IFERROR(INDEX(分录收入!$H:$H,MATCH($L817,分录收入!$L:$L,0)),"")</f>
        <v>932.1</v>
      </c>
      <c r="G817" s="69" t="str">
        <f aca="false">IFERROR(INDEX(分录收入!$I:$I,MATCH($L817,分录收入!$L:$L,0)),"")</f>
        <v/>
      </c>
      <c r="H817" s="23"/>
      <c r="I817" s="70"/>
      <c r="L817" s="71" t="n">
        <f aca="false">IF(助手收入!$R$56="",-1,助手收入!$R$56*100+(助手收入!$S$56-1)*6+2)</f>
        <v>3008</v>
      </c>
    </row>
    <row r="818" customFormat="false" ht="23.25" hidden="false" customHeight="true" outlineLevel="0" collapsed="false">
      <c r="B818" s="67" t="str">
        <f aca="false">""</f>
        <v/>
      </c>
      <c r="C818" s="67"/>
      <c r="D818" s="23" t="str">
        <f aca="false">IFERROR(INDEX(分录收入!$E:$E,MATCH($L818,分录收入!$L:$L,0)),"")</f>
        <v>财务费用</v>
      </c>
      <c r="E818" s="23" t="str">
        <f aca="false">IFERROR(INDEX(分录收入!$F:$F,MATCH($L818,分录收入!$L:$L,0)),"")</f>
        <v>手续费</v>
      </c>
      <c r="F818" s="68" t="n">
        <f aca="false">IFERROR(INDEX(分录收入!$H:$H,MATCH($L818,分录收入!$L:$L,0)),"")</f>
        <v>71.34</v>
      </c>
      <c r="G818" s="69" t="str">
        <f aca="false">IFERROR(INDEX(分录收入!$I:$I,MATCH($L818,分录收入!$L:$L,0)),"")</f>
        <v/>
      </c>
      <c r="H818" s="23"/>
      <c r="I818" s="70"/>
      <c r="L818" s="71" t="n">
        <f aca="false">IF(助手收入!$R$56="",-1,助手收入!$R$56*100+(助手收入!$S$56-1)*6+3)</f>
        <v>3009</v>
      </c>
    </row>
    <row r="819" customFormat="false" ht="23.25" hidden="false" customHeight="true" outlineLevel="0" collapsed="false">
      <c r="B819" s="67" t="str">
        <f aca="false">""</f>
        <v/>
      </c>
      <c r="C819" s="67"/>
      <c r="D819" s="23" t="str">
        <f aca="false">IFERROR(INDEX(分录收入!$E:$E,MATCH($L819,分录收入!$L:$L,0)),"")</f>
        <v>主营业务收入</v>
      </c>
      <c r="E819" s="23" t="str">
        <f aca="false">IFERROR(INDEX(分录收入!$F:$F,MATCH($L819,分录收入!$L:$L,0)),"")</f>
        <v/>
      </c>
      <c r="F819" s="68" t="str">
        <f aca="false">IFERROR(INDEX(分录收入!$H:$H,MATCH($L819,分录收入!$L:$L,0)),"")</f>
        <v/>
      </c>
      <c r="G819" s="69" t="n">
        <f aca="false">IFERROR(INDEX(分录收入!$I:$I,MATCH($L819,分录收入!$L:$L,0)),"")</f>
        <v>70205.75</v>
      </c>
      <c r="H819" s="23"/>
      <c r="I819" s="70"/>
      <c r="L819" s="71" t="n">
        <f aca="false">IF(助手收入!$R$56="",-1,助手收入!$R$56*100+(助手收入!$S$56-1)*6+4)</f>
        <v>3010</v>
      </c>
    </row>
    <row r="820" customFormat="false" ht="23.25" hidden="false" customHeight="true" outlineLevel="0" collapsed="false">
      <c r="B820" s="67" t="str">
        <f aca="false">""</f>
        <v/>
      </c>
      <c r="C820" s="67"/>
      <c r="D820" s="23" t="str">
        <f aca="false">IFERROR(INDEX(分录收入!$E:$E,MATCH($L820,分录收入!$L:$L,0)),"")</f>
        <v/>
      </c>
      <c r="E820" s="23" t="str">
        <f aca="false">IFERROR(INDEX(分录收入!$F:$F,MATCH($L820,分录收入!$L:$L,0)),"")</f>
        <v/>
      </c>
      <c r="F820" s="68" t="str">
        <f aca="false">IFERROR(INDEX(分录收入!$H:$H,MATCH($L820,分录收入!$L:$L,0)),"")</f>
        <v/>
      </c>
      <c r="G820" s="69" t="str">
        <f aca="false">IFERROR(INDEX(分录收入!$I:$I,MATCH($L820,分录收入!$L:$L,0)),"")</f>
        <v/>
      </c>
      <c r="H820" s="23"/>
      <c r="I820" s="70"/>
      <c r="L820" s="71" t="n">
        <f aca="false">IF(助手收入!$R$56="",-1,助手收入!$R$56*100+(助手收入!$S$56-1)*6+5)</f>
        <v>3011</v>
      </c>
    </row>
    <row r="821" customFormat="false" ht="23.25" hidden="false" customHeight="true" outlineLevel="0" collapsed="false">
      <c r="B821" s="67" t="str">
        <f aca="false">""</f>
        <v/>
      </c>
      <c r="C821" s="67"/>
      <c r="D821" s="23" t="str">
        <f aca="false">IFERROR(INDEX(分录收入!$E:$E,MATCH($L821,分录收入!$L:$L,0)),"")</f>
        <v/>
      </c>
      <c r="E821" s="23" t="str">
        <f aca="false">IFERROR(INDEX(分录收入!$F:$F,MATCH($L821,分录收入!$L:$L,0)),"")</f>
        <v/>
      </c>
      <c r="F821" s="68" t="str">
        <f aca="false">IFERROR(INDEX(分录收入!$H:$H,MATCH($L821,分录收入!$L:$L,0)),"")</f>
        <v/>
      </c>
      <c r="G821" s="69" t="str">
        <f aca="false">IFERROR(INDEX(分录收入!$I:$I,MATCH($L821,分录收入!$L:$L,0)),"")</f>
        <v/>
      </c>
      <c r="H821" s="23"/>
      <c r="I821" s="70"/>
      <c r="L821" s="71" t="n">
        <f aca="false">IF(助手收入!$R$56="",-1,助手收入!$R$56*100+(助手收入!$S$56-1)*6+6)</f>
        <v>3012</v>
      </c>
    </row>
    <row r="822" customFormat="false" ht="23.25" hidden="false" customHeight="true" outlineLevel="0" collapsed="false">
      <c r="B822" s="72" t="str">
        <f aca="false">IF(助手收入!$T$56=1,"合计：","")</f>
        <v>合计：</v>
      </c>
      <c r="C822" s="73" t="n">
        <f aca="false">IF(助手收入!$T$56=1,$F822,"")</f>
        <v>70205.75</v>
      </c>
      <c r="D822" s="74"/>
      <c r="E822" s="74"/>
      <c r="F822" s="75" t="n">
        <f aca="false">IF(助手收入!$T$56=1,INDEX(助手收入!$N$2:$N$66,助手收入!$R$56),"")</f>
        <v>70205.75</v>
      </c>
      <c r="G822" s="76" t="n">
        <f aca="false">IF(助手收入!$T$56=1,INDEX(助手收入!$O$2:$O$66,助手收入!$R$56),"")</f>
        <v>70205.75</v>
      </c>
      <c r="H822" s="74"/>
      <c r="I822" s="77"/>
    </row>
    <row r="823" customFormat="false" ht="6" hidden="false" customHeight="true" outlineLevel="0" collapsed="false"/>
    <row r="824" customFormat="false" ht="13.5" hidden="false" customHeight="false" outlineLevel="0" collapsed="false">
      <c r="B824" s="78" t="str">
        <f aca="false">IF(助手收入!$R$56&lt;&gt;"","会计主管：","")</f>
        <v>会计主管：</v>
      </c>
      <c r="D824" s="78" t="str">
        <f aca="false">IF(助手收入!$R$56&lt;&gt;"","会计：","")</f>
        <v>会计：</v>
      </c>
      <c r="E824" s="78" t="str">
        <f aca="false">IF(助手收入!$R$56&lt;&gt;"","出纳：","")</f>
        <v>出纳：</v>
      </c>
      <c r="F824" s="78" t="str">
        <f aca="false">IF(助手收入!$R$56&lt;&gt;"","复核：","")</f>
        <v>复核：</v>
      </c>
      <c r="G824" s="78" t="str">
        <f aca="false">IF(助手收入!$R$56&lt;&gt;"","制单：","")</f>
        <v>制单：</v>
      </c>
    </row>
    <row r="825" customFormat="false" ht="3" hidden="false" customHeight="true" outlineLevel="0" collapsed="false"/>
    <row r="826" customFormat="false" ht="19.5" hidden="false" customHeight="true" outlineLevel="0" collapsed="false">
      <c r="B826" s="53" t="str">
        <f aca="false">IF(助手收入!$R$57&lt;&gt;"","记  账  凭  证","")</f>
        <v>记  账  凭  证</v>
      </c>
      <c r="C826" s="53"/>
      <c r="D826" s="53"/>
      <c r="E826" s="53"/>
      <c r="F826" s="53"/>
      <c r="G826" s="53"/>
      <c r="H826" s="53"/>
      <c r="I826" s="53"/>
    </row>
    <row r="827" customFormat="false" ht="3" hidden="false" customHeight="true" outlineLevel="0" collapsed="false"/>
    <row r="828" customFormat="false" ht="15" hidden="false" customHeight="true" outlineLevel="0" collapsed="false">
      <c r="C828" s="56" t="n">
        <f aca="false">IF(助手收入!$R$57&lt;&gt;"",INDEX(助手收入!$B$2:$B$66,助手收入!$R$57),"")</f>
        <v>2044</v>
      </c>
      <c r="D828" s="57" t="n">
        <f aca="false">IF(助手收入!$R$57&lt;&gt;"",参数!$B$2,"")</f>
        <v>46234</v>
      </c>
      <c r="E828" s="57"/>
      <c r="F828" s="58" t="str">
        <f aca="false">IF(助手收入!$R$57&lt;&gt;"",INDEX(助手收入!$C$2:$C$66,助手收入!$R$57)&amp;"  字第 "&amp;IF(参数!$B$9="是",INDEX(助手收入!$P$2:$P$66,助手收入!$R$57),"　　　　")&amp;" 号"&amp;IF(INDEX(助手收入!$L$2:$L$66,助手收入!$R$57)&gt;1,"  (共"&amp;INDEX(助手收入!$L$2:$L$66,助手收入!$R$57)&amp;"页 第"&amp;助手收入!$S$57&amp;"页)",""),"")</f>
        <v>博营店  字第 　　　　 号</v>
      </c>
      <c r="G828" s="58"/>
      <c r="H828" s="58"/>
      <c r="I828" s="58"/>
      <c r="M828" s="59" t="n">
        <f aca="false">IF(助手收入!$R$57="","",助手收入!$Q$57)</f>
        <v>56</v>
      </c>
      <c r="N828" s="60" t="n">
        <f aca="false">IF(助手收入!$R$57="","",INDEX(助手收入!$P$2:$P$66,助手收入!$R$57))</f>
        <v>30</v>
      </c>
      <c r="O828" s="55" t="str">
        <f aca="false">IF(助手收入!$R$57="","",INDEX(助手收入!$C$2:$C$66,助手收入!$R$57)&amp;"  字第 "&amp;INDEX(助手收入!$P$2:$P$66,助手收入!$R$57)&amp;" 号"&amp;IF(INDEX(助手收入!$L$2:$L$66,助手收入!$R$57)&gt;1,"  (共"&amp;INDEX(助手收入!$L$2:$L$66,助手收入!$R$57)&amp;"页 第"&amp;助手收入!$S$57&amp;"页)",""))</f>
        <v>博营店  字第 30 号</v>
      </c>
    </row>
    <row r="829" customFormat="false" ht="12.75" hidden="false" customHeight="true" outlineLevel="0" collapsed="false">
      <c r="B829" s="61" t="str">
        <f aca="false">IF(助手收入!$R$57&lt;&gt;"","摘　　要","")</f>
        <v>摘　　要</v>
      </c>
      <c r="C829" s="61"/>
      <c r="D829" s="62" t="str">
        <f aca="false">IF(助手收入!$R$57&lt;&gt;"","科　　　　目","")</f>
        <v>科　　　　目</v>
      </c>
      <c r="E829" s="62"/>
      <c r="F829" s="61" t="str">
        <f aca="false">IF(助手收入!$R$57&lt;&gt;"","借 方 金 额","")</f>
        <v>借 方 金 额</v>
      </c>
      <c r="G829" s="62" t="str">
        <f aca="false">IF(助手收入!$R$57&lt;&gt;"","贷 方 金 额","")</f>
        <v>贷 方 金 额</v>
      </c>
      <c r="H829" s="63" t="str">
        <f aca="false">IF(助手收入!$R$57&lt;&gt;"","√","")</f>
        <v>√</v>
      </c>
      <c r="I829" s="64" t="str">
        <f aca="false">IF(助手收入!$R$57&lt;&gt;"","附单据  张","")</f>
        <v>附单据  张</v>
      </c>
    </row>
    <row r="830" customFormat="false" ht="12.75" hidden="false" customHeight="true" outlineLevel="0" collapsed="false">
      <c r="B830" s="61"/>
      <c r="C830" s="61"/>
      <c r="D830" s="23" t="str">
        <f aca="false">IF(助手收入!$R$57&lt;&gt;"","总 账 科 目","")</f>
        <v>总 账 科 目</v>
      </c>
      <c r="E830" s="23" t="str">
        <f aca="false">IF(助手收入!$R$57&lt;&gt;"","明 细 科 目","")</f>
        <v>明 细 科 目</v>
      </c>
      <c r="F830" s="65"/>
      <c r="G830" s="66"/>
      <c r="H830" s="63"/>
      <c r="I830" s="64"/>
    </row>
    <row r="831" customFormat="false" ht="23.25" hidden="false" customHeight="true" outlineLevel="0" collapsed="false">
      <c r="B831" s="67" t="str">
        <f aca="false">IFERROR(INDEX(分录收入!$M:$M,MATCH($L831,分录收入!$L:$L,0)),"")</f>
        <v>7月收入</v>
      </c>
      <c r="C831" s="67"/>
      <c r="D831" s="23" t="str">
        <f aca="false">IFERROR(INDEX(分录收入!$E:$E,MATCH($L831,分录收入!$L:$L,0)),"")</f>
        <v>库存现金</v>
      </c>
      <c r="E831" s="23" t="str">
        <f aca="false">IFERROR(INDEX(分录收入!$F:$F,MATCH($L831,分录收入!$L:$L,0)),"")</f>
        <v/>
      </c>
      <c r="F831" s="68" t="n">
        <f aca="false">IFERROR(INDEX(分录收入!$H:$H,MATCH($L831,分录收入!$L:$L,0)),"")</f>
        <v>14656.89</v>
      </c>
      <c r="G831" s="69" t="str">
        <f aca="false">IFERROR(INDEX(分录收入!$I:$I,MATCH($L831,分录收入!$L:$L,0)),"")</f>
        <v/>
      </c>
      <c r="H831" s="23"/>
      <c r="I831" s="70"/>
      <c r="L831" s="71" t="n">
        <f aca="false">IF(助手收入!$R$57="",-1,助手收入!$R$57*100+(助手收入!$S$57-1)*6+1)</f>
        <v>3101</v>
      </c>
    </row>
    <row r="832" customFormat="false" ht="23.25" hidden="false" customHeight="true" outlineLevel="0" collapsed="false">
      <c r="B832" s="67" t="str">
        <f aca="false">""</f>
        <v/>
      </c>
      <c r="C832" s="67"/>
      <c r="D832" s="23" t="str">
        <f aca="false">IFERROR(INDEX(分录收入!$E:$E,MATCH($L832,分录收入!$L:$L,0)),"")</f>
        <v>应收账款</v>
      </c>
      <c r="E832" s="23" t="str">
        <f aca="false">IFERROR(INDEX(分录收入!$F:$F,MATCH($L832,分录收入!$L:$L,0)),"")</f>
        <v>聚合支付</v>
      </c>
      <c r="F832" s="68" t="n">
        <f aca="false">IFERROR(INDEX(分录收入!$H:$H,MATCH($L832,分录收入!$L:$L,0)),"")</f>
        <v>20989.94</v>
      </c>
      <c r="G832" s="69" t="str">
        <f aca="false">IFERROR(INDEX(分录收入!$I:$I,MATCH($L832,分录收入!$L:$L,0)),"")</f>
        <v/>
      </c>
      <c r="H832" s="23"/>
      <c r="I832" s="70"/>
      <c r="L832" s="71" t="n">
        <f aca="false">IF(助手收入!$R$57="",-1,助手收入!$R$57*100+(助手收入!$S$57-1)*6+2)</f>
        <v>3102</v>
      </c>
    </row>
    <row r="833" customFormat="false" ht="23.25" hidden="false" customHeight="true" outlineLevel="0" collapsed="false">
      <c r="B833" s="67" t="str">
        <f aca="false">""</f>
        <v/>
      </c>
      <c r="C833" s="67"/>
      <c r="D833" s="23" t="str">
        <f aca="false">IFERROR(INDEX(分录收入!$E:$E,MATCH($L833,分录收入!$L:$L,0)),"")</f>
        <v>其他应收款</v>
      </c>
      <c r="E833" s="23" t="str">
        <f aca="false">IFERROR(INDEX(分录收入!$F:$F,MATCH($L833,分录收入!$L:$L,0)),"")</f>
        <v>储值卡</v>
      </c>
      <c r="F833" s="68" t="n">
        <f aca="false">IFERROR(INDEX(分录收入!$H:$H,MATCH($L833,分录收入!$L:$L,0)),"")</f>
        <v>157</v>
      </c>
      <c r="G833" s="69" t="str">
        <f aca="false">IFERROR(INDEX(分录收入!$I:$I,MATCH($L833,分录收入!$L:$L,0)),"")</f>
        <v/>
      </c>
      <c r="H833" s="23"/>
      <c r="I833" s="70"/>
      <c r="L833" s="71" t="n">
        <f aca="false">IF(助手收入!$R$57="",-1,助手收入!$R$57*100+(助手收入!$S$57-1)*6+3)</f>
        <v>3103</v>
      </c>
    </row>
    <row r="834" customFormat="false" ht="23.25" hidden="false" customHeight="true" outlineLevel="0" collapsed="false">
      <c r="B834" s="67" t="str">
        <f aca="false">""</f>
        <v/>
      </c>
      <c r="C834" s="67"/>
      <c r="D834" s="23" t="str">
        <f aca="false">IFERROR(INDEX(分录收入!$E:$E,MATCH($L834,分录收入!$L:$L,0)),"")</f>
        <v>销售费用</v>
      </c>
      <c r="E834" s="23" t="str">
        <f aca="false">IFERROR(INDEX(分录收入!$F:$F,MATCH($L834,分录收入!$L:$L,0)),"")</f>
        <v>促销费</v>
      </c>
      <c r="F834" s="68" t="n">
        <f aca="false">IFERROR(INDEX(分录收入!$H:$H,MATCH($L834,分录收入!$L:$L,0)),"")</f>
        <v>1482.25</v>
      </c>
      <c r="G834" s="69" t="str">
        <f aca="false">IFERROR(INDEX(分录收入!$I:$I,MATCH($L834,分录收入!$L:$L,0)),"")</f>
        <v/>
      </c>
      <c r="H834" s="23"/>
      <c r="I834" s="70"/>
      <c r="L834" s="71" t="n">
        <f aca="false">IF(助手收入!$R$57="",-1,助手收入!$R$57*100+(助手收入!$S$57-1)*6+4)</f>
        <v>3104</v>
      </c>
    </row>
    <row r="835" customFormat="false" ht="23.25" hidden="false" customHeight="true" outlineLevel="0" collapsed="false">
      <c r="B835" s="67" t="str">
        <f aca="false">""</f>
        <v/>
      </c>
      <c r="C835" s="67"/>
      <c r="D835" s="23" t="str">
        <f aca="false">IFERROR(INDEX(分录收入!$E:$E,MATCH($L835,分录收入!$L:$L,0)),"")</f>
        <v>财务费用</v>
      </c>
      <c r="E835" s="23" t="str">
        <f aca="false">IFERROR(INDEX(分录收入!$F:$F,MATCH($L835,分录收入!$L:$L,0)),"")</f>
        <v>手续费</v>
      </c>
      <c r="F835" s="68" t="n">
        <f aca="false">IFERROR(INDEX(分录收入!$H:$H,MATCH($L835,分录收入!$L:$L,0)),"")</f>
        <v>56.83</v>
      </c>
      <c r="G835" s="69" t="str">
        <f aca="false">IFERROR(INDEX(分录收入!$I:$I,MATCH($L835,分录收入!$L:$L,0)),"")</f>
        <v/>
      </c>
      <c r="H835" s="23"/>
      <c r="I835" s="70"/>
      <c r="L835" s="71" t="n">
        <f aca="false">IF(助手收入!$R$57="",-1,助手收入!$R$57*100+(助手收入!$S$57-1)*6+5)</f>
        <v>3105</v>
      </c>
    </row>
    <row r="836" customFormat="false" ht="23.25" hidden="false" customHeight="true" outlineLevel="0" collapsed="false">
      <c r="B836" s="67" t="str">
        <f aca="false">""</f>
        <v/>
      </c>
      <c r="C836" s="67"/>
      <c r="D836" s="23" t="str">
        <f aca="false">IFERROR(INDEX(分录收入!$E:$E,MATCH($L836,分录收入!$L:$L,0)),"")</f>
        <v>主营业务收入</v>
      </c>
      <c r="E836" s="23" t="str">
        <f aca="false">IFERROR(INDEX(分录收入!$F:$F,MATCH($L836,分录收入!$L:$L,0)),"")</f>
        <v/>
      </c>
      <c r="F836" s="68" t="str">
        <f aca="false">IFERROR(INDEX(分录收入!$H:$H,MATCH($L836,分录收入!$L:$L,0)),"")</f>
        <v/>
      </c>
      <c r="G836" s="69" t="n">
        <f aca="false">IFERROR(INDEX(分录收入!$I:$I,MATCH($L836,分录收入!$L:$L,0)),"")</f>
        <v>37342.91</v>
      </c>
      <c r="H836" s="23"/>
      <c r="I836" s="70"/>
      <c r="L836" s="71" t="n">
        <f aca="false">IF(助手收入!$R$57="",-1,助手收入!$R$57*100+(助手收入!$S$57-1)*6+6)</f>
        <v>3106</v>
      </c>
    </row>
    <row r="837" customFormat="false" ht="23.25" hidden="false" customHeight="true" outlineLevel="0" collapsed="false">
      <c r="B837" s="72" t="str">
        <f aca="false">IF(助手收入!$T$57=1,"合计：","")</f>
        <v>合计：</v>
      </c>
      <c r="C837" s="73" t="n">
        <f aca="false">IF(助手收入!$T$57=1,$F837,"")</f>
        <v>37342.91</v>
      </c>
      <c r="D837" s="74"/>
      <c r="E837" s="74"/>
      <c r="F837" s="75" t="n">
        <f aca="false">IF(助手收入!$T$57=1,INDEX(助手收入!$N$2:$N$66,助手收入!$R$57),"")</f>
        <v>37342.91</v>
      </c>
      <c r="G837" s="76" t="n">
        <f aca="false">IF(助手收入!$T$57=1,INDEX(助手收入!$O$2:$O$66,助手收入!$R$57),"")</f>
        <v>37342.91</v>
      </c>
      <c r="H837" s="74"/>
      <c r="I837" s="77"/>
    </row>
    <row r="838" customFormat="false" ht="6" hidden="false" customHeight="true" outlineLevel="0" collapsed="false"/>
    <row r="839" customFormat="false" ht="13.5" hidden="false" customHeight="false" outlineLevel="0" collapsed="false">
      <c r="B839" s="78" t="str">
        <f aca="false">IF(助手收入!$R$57&lt;&gt;"","会计主管：","")</f>
        <v>会计主管：</v>
      </c>
      <c r="D839" s="78" t="str">
        <f aca="false">IF(助手收入!$R$57&lt;&gt;"","会计：","")</f>
        <v>会计：</v>
      </c>
      <c r="E839" s="78" t="str">
        <f aca="false">IF(助手收入!$R$57&lt;&gt;"","出纳：","")</f>
        <v>出纳：</v>
      </c>
      <c r="F839" s="78" t="str">
        <f aca="false">IF(助手收入!$R$57&lt;&gt;"","复核：","")</f>
        <v>复核：</v>
      </c>
      <c r="G839" s="78" t="str">
        <f aca="false">IF(助手收入!$R$57&lt;&gt;"","制单：","")</f>
        <v>制单：</v>
      </c>
    </row>
    <row r="840" customFormat="false" ht="3" hidden="false" customHeight="true" outlineLevel="0" collapsed="false"/>
    <row r="841" customFormat="false" ht="19.5" hidden="false" customHeight="true" outlineLevel="0" collapsed="false">
      <c r="B841" s="53" t="str">
        <f aca="false">IF(助手收入!$R$58&lt;&gt;"","记  账  凭  证","")</f>
        <v>记  账  凭  证</v>
      </c>
      <c r="C841" s="53"/>
      <c r="D841" s="53"/>
      <c r="E841" s="53"/>
      <c r="F841" s="53"/>
      <c r="G841" s="53"/>
      <c r="H841" s="53"/>
      <c r="I841" s="53"/>
    </row>
    <row r="842" customFormat="false" ht="3" hidden="false" customHeight="true" outlineLevel="0" collapsed="false"/>
    <row r="843" customFormat="false" ht="15" hidden="false" customHeight="true" outlineLevel="0" collapsed="false">
      <c r="C843" s="56" t="n">
        <f aca="false">IF(助手收入!$R$58&lt;&gt;"",INDEX(助手收入!$B$2:$B$66,助手收入!$R$58),"")</f>
        <v>2046</v>
      </c>
      <c r="D843" s="57" t="n">
        <f aca="false">IF(助手收入!$R$58&lt;&gt;"",参数!$B$2,"")</f>
        <v>46234</v>
      </c>
      <c r="E843" s="57"/>
      <c r="F843" s="58" t="str">
        <f aca="false">IF(助手收入!$R$58&lt;&gt;"",INDEX(助手收入!$C$2:$C$66,助手收入!$R$58)&amp;"  字第 "&amp;IF(参数!$B$9="是",INDEX(助手收入!$P$2:$P$66,助手收入!$R$58),"　　　　")&amp;" 号"&amp;IF(INDEX(助手收入!$L$2:$L$66,助手收入!$R$58)&gt;1,"  (共"&amp;INDEX(助手收入!$L$2:$L$66,助手收入!$R$58)&amp;"页 第"&amp;助手收入!$S$58&amp;"页)",""),"")</f>
        <v>博康店  字第 　　　　 号  (共2页 第1页)</v>
      </c>
      <c r="G843" s="58"/>
      <c r="H843" s="58"/>
      <c r="I843" s="58"/>
      <c r="M843" s="59" t="n">
        <f aca="false">IF(助手收入!$R$58="","",助手收入!$Q$58)</f>
        <v>57</v>
      </c>
      <c r="N843" s="60" t="n">
        <f aca="false">IF(助手收入!$R$58="","",INDEX(助手收入!$P$2:$P$66,助手收入!$R$58))</f>
        <v>31</v>
      </c>
      <c r="O843" s="55" t="str">
        <f aca="false">IF(助手收入!$R$58="","",INDEX(助手收入!$C$2:$C$66,助手收入!$R$58)&amp;"  字第 "&amp;INDEX(助手收入!$P$2:$P$66,助手收入!$R$58)&amp;" 号"&amp;IF(INDEX(助手收入!$L$2:$L$66,助手收入!$R$58)&gt;1,"  (共"&amp;INDEX(助手收入!$L$2:$L$66,助手收入!$R$58)&amp;"页 第"&amp;助手收入!$S$58&amp;"页)",""))</f>
        <v>博康店  字第 31 号  (共2页 第1页)</v>
      </c>
    </row>
    <row r="844" customFormat="false" ht="12.75" hidden="false" customHeight="true" outlineLevel="0" collapsed="false">
      <c r="B844" s="61" t="str">
        <f aca="false">IF(助手收入!$R$58&lt;&gt;"","摘　　要","")</f>
        <v>摘　　要</v>
      </c>
      <c r="C844" s="61"/>
      <c r="D844" s="62" t="str">
        <f aca="false">IF(助手收入!$R$58&lt;&gt;"","科　　　　目","")</f>
        <v>科　　　　目</v>
      </c>
      <c r="E844" s="62"/>
      <c r="F844" s="61" t="str">
        <f aca="false">IF(助手收入!$R$58&lt;&gt;"","借 方 金 额","")</f>
        <v>借 方 金 额</v>
      </c>
      <c r="G844" s="62" t="str">
        <f aca="false">IF(助手收入!$R$58&lt;&gt;"","贷 方 金 额","")</f>
        <v>贷 方 金 额</v>
      </c>
      <c r="H844" s="63" t="str">
        <f aca="false">IF(助手收入!$R$58&lt;&gt;"","√","")</f>
        <v>√</v>
      </c>
      <c r="I844" s="64" t="str">
        <f aca="false">IF(助手收入!$R$58&lt;&gt;"","附单据  张","")</f>
        <v>附单据  张</v>
      </c>
    </row>
    <row r="845" customFormat="false" ht="12.75" hidden="false" customHeight="true" outlineLevel="0" collapsed="false">
      <c r="B845" s="61"/>
      <c r="C845" s="61"/>
      <c r="D845" s="23" t="str">
        <f aca="false">IF(助手收入!$R$58&lt;&gt;"","总 账 科 目","")</f>
        <v>总 账 科 目</v>
      </c>
      <c r="E845" s="23" t="str">
        <f aca="false">IF(助手收入!$R$58&lt;&gt;"","明 细 科 目","")</f>
        <v>明 细 科 目</v>
      </c>
      <c r="F845" s="65"/>
      <c r="G845" s="66"/>
      <c r="H845" s="63"/>
      <c r="I845" s="64"/>
    </row>
    <row r="846" customFormat="false" ht="23.25" hidden="false" customHeight="true" outlineLevel="0" collapsed="false">
      <c r="B846" s="67" t="str">
        <f aca="false">IFERROR(INDEX(分录收入!$M:$M,MATCH($L846,分录收入!$L:$L,0)),"")</f>
        <v>7月收入</v>
      </c>
      <c r="C846" s="67"/>
      <c r="D846" s="23" t="str">
        <f aca="false">IFERROR(INDEX(分录收入!$E:$E,MATCH($L846,分录收入!$L:$L,0)),"")</f>
        <v>库存现金</v>
      </c>
      <c r="E846" s="23" t="str">
        <f aca="false">IFERROR(INDEX(分录收入!$F:$F,MATCH($L846,分录收入!$L:$L,0)),"")</f>
        <v/>
      </c>
      <c r="F846" s="68" t="n">
        <f aca="false">IFERROR(INDEX(分录收入!$H:$H,MATCH($L846,分录收入!$L:$L,0)),"")</f>
        <v>5048.45</v>
      </c>
      <c r="G846" s="69" t="str">
        <f aca="false">IFERROR(INDEX(分录收入!$I:$I,MATCH($L846,分录收入!$L:$L,0)),"")</f>
        <v/>
      </c>
      <c r="H846" s="23"/>
      <c r="I846" s="70"/>
      <c r="L846" s="71" t="n">
        <f aca="false">IF(助手收入!$R$58="",-1,助手收入!$R$58*100+(助手收入!$S$58-1)*6+1)</f>
        <v>3201</v>
      </c>
    </row>
    <row r="847" customFormat="false" ht="23.25" hidden="false" customHeight="true" outlineLevel="0" collapsed="false">
      <c r="B847" s="67" t="str">
        <f aca="false">""</f>
        <v/>
      </c>
      <c r="C847" s="67"/>
      <c r="D847" s="23" t="str">
        <f aca="false">IFERROR(INDEX(分录收入!$E:$E,MATCH($L847,分录收入!$L:$L,0)),"")</f>
        <v>应收账款</v>
      </c>
      <c r="E847" s="23" t="str">
        <f aca="false">IFERROR(INDEX(分录收入!$F:$F,MATCH($L847,分录收入!$L:$L,0)),"")</f>
        <v>聚合支付</v>
      </c>
      <c r="F847" s="68" t="n">
        <f aca="false">IFERROR(INDEX(分录收入!$H:$H,MATCH($L847,分录收入!$L:$L,0)),"")</f>
        <v>18946.09</v>
      </c>
      <c r="G847" s="69" t="str">
        <f aca="false">IFERROR(INDEX(分录收入!$I:$I,MATCH($L847,分录收入!$L:$L,0)),"")</f>
        <v/>
      </c>
      <c r="H847" s="23"/>
      <c r="I847" s="70"/>
      <c r="L847" s="71" t="n">
        <f aca="false">IF(助手收入!$R$58="",-1,助手收入!$R$58*100+(助手收入!$S$58-1)*6+2)</f>
        <v>3202</v>
      </c>
    </row>
    <row r="848" customFormat="false" ht="23.25" hidden="false" customHeight="true" outlineLevel="0" collapsed="false">
      <c r="B848" s="67" t="str">
        <f aca="false">""</f>
        <v/>
      </c>
      <c r="C848" s="67"/>
      <c r="D848" s="23" t="str">
        <f aca="false">IFERROR(INDEX(分录收入!$E:$E,MATCH($L848,分录收入!$L:$L,0)),"")</f>
        <v>应收账款</v>
      </c>
      <c r="E848" s="23" t="str">
        <f aca="false">IFERROR(INDEX(分录收入!$F:$F,MATCH($L848,分录收入!$L:$L,0)),"")</f>
        <v>医卡通</v>
      </c>
      <c r="F848" s="68" t="n">
        <f aca="false">IFERROR(INDEX(分录收入!$H:$H,MATCH($L848,分录收入!$L:$L,0)),"")</f>
        <v>604.2</v>
      </c>
      <c r="G848" s="69" t="str">
        <f aca="false">IFERROR(INDEX(分录收入!$I:$I,MATCH($L848,分录收入!$L:$L,0)),"")</f>
        <v/>
      </c>
      <c r="H848" s="23"/>
      <c r="I848" s="70"/>
      <c r="L848" s="71" t="n">
        <f aca="false">IF(助手收入!$R$58="",-1,助手收入!$R$58*100+(助手收入!$S$58-1)*6+3)</f>
        <v>3203</v>
      </c>
    </row>
    <row r="849" customFormat="false" ht="23.25" hidden="false" customHeight="true" outlineLevel="0" collapsed="false">
      <c r="B849" s="67" t="str">
        <f aca="false">""</f>
        <v/>
      </c>
      <c r="C849" s="67"/>
      <c r="D849" s="23" t="str">
        <f aca="false">IFERROR(INDEX(分录收入!$E:$E,MATCH($L849,分录收入!$L:$L,0)),"")</f>
        <v>应收账款</v>
      </c>
      <c r="E849" s="23" t="str">
        <f aca="false">IFERROR(INDEX(分录收入!$F:$F,MATCH($L849,分录收入!$L:$L,0)),"")</f>
        <v>美团</v>
      </c>
      <c r="F849" s="68" t="n">
        <f aca="false">IFERROR(INDEX(分录收入!$H:$H,MATCH($L849,分录收入!$L:$L,0)),"")</f>
        <v>40</v>
      </c>
      <c r="G849" s="69" t="str">
        <f aca="false">IFERROR(INDEX(分录收入!$I:$I,MATCH($L849,分录收入!$L:$L,0)),"")</f>
        <v/>
      </c>
      <c r="H849" s="23"/>
      <c r="I849" s="70"/>
      <c r="L849" s="71" t="n">
        <f aca="false">IF(助手收入!$R$58="",-1,助手收入!$R$58*100+(助手收入!$S$58-1)*6+4)</f>
        <v>3204</v>
      </c>
    </row>
    <row r="850" customFormat="false" ht="23.25" hidden="false" customHeight="true" outlineLevel="0" collapsed="false">
      <c r="B850" s="67" t="str">
        <f aca="false">""</f>
        <v/>
      </c>
      <c r="C850" s="67"/>
      <c r="D850" s="23" t="str">
        <f aca="false">IFERROR(INDEX(分录收入!$E:$E,MATCH($L850,分录收入!$L:$L,0)),"")</f>
        <v>其他应收款</v>
      </c>
      <c r="E850" s="23" t="str">
        <f aca="false">IFERROR(INDEX(分录收入!$F:$F,MATCH($L850,分录收入!$L:$L,0)),"")</f>
        <v>储值卡</v>
      </c>
      <c r="F850" s="68" t="n">
        <f aca="false">IFERROR(INDEX(分录收入!$H:$H,MATCH($L850,分录收入!$L:$L,0)),"")</f>
        <v>1.17</v>
      </c>
      <c r="G850" s="69" t="str">
        <f aca="false">IFERROR(INDEX(分录收入!$I:$I,MATCH($L850,分录收入!$L:$L,0)),"")</f>
        <v/>
      </c>
      <c r="H850" s="23"/>
      <c r="I850" s="70"/>
      <c r="L850" s="71" t="n">
        <f aca="false">IF(助手收入!$R$58="",-1,助手收入!$R$58*100+(助手收入!$S$58-1)*6+5)</f>
        <v>3205</v>
      </c>
    </row>
    <row r="851" customFormat="false" ht="23.25" hidden="false" customHeight="true" outlineLevel="0" collapsed="false">
      <c r="B851" s="67" t="str">
        <f aca="false">""</f>
        <v/>
      </c>
      <c r="C851" s="67"/>
      <c r="D851" s="23" t="str">
        <f aca="false">IFERROR(INDEX(分录收入!$E:$E,MATCH($L851,分录收入!$L:$L,0)),"")</f>
        <v>销售费用</v>
      </c>
      <c r="E851" s="23" t="str">
        <f aca="false">IFERROR(INDEX(分录收入!$F:$F,MATCH($L851,分录收入!$L:$L,0)),"")</f>
        <v>促销费</v>
      </c>
      <c r="F851" s="68" t="n">
        <f aca="false">IFERROR(INDEX(分录收入!$H:$H,MATCH($L851,分录收入!$L:$L,0)),"")</f>
        <v>737.5</v>
      </c>
      <c r="G851" s="69" t="str">
        <f aca="false">IFERROR(INDEX(分录收入!$I:$I,MATCH($L851,分录收入!$L:$L,0)),"")</f>
        <v/>
      </c>
      <c r="H851" s="23"/>
      <c r="I851" s="70"/>
      <c r="L851" s="71" t="n">
        <f aca="false">IF(助手收入!$R$58="",-1,助手收入!$R$58*100+(助手收入!$S$58-1)*6+6)</f>
        <v>3206</v>
      </c>
    </row>
    <row r="852" customFormat="false" ht="23.25" hidden="false" customHeight="true" outlineLevel="0" collapsed="false">
      <c r="B852" s="72" t="str">
        <f aca="false">IF(助手收入!$T$58=1,"合计：","")</f>
        <v/>
      </c>
      <c r="C852" s="73" t="str">
        <f aca="false">IF(助手收入!$T$58=1,$F852,"")</f>
        <v/>
      </c>
      <c r="D852" s="74"/>
      <c r="E852" s="74"/>
      <c r="F852" s="75" t="str">
        <f aca="false">IF(助手收入!$T$58=1,INDEX(助手收入!$N$2:$N$66,助手收入!$R$58),"")</f>
        <v/>
      </c>
      <c r="G852" s="76" t="str">
        <f aca="false">IF(助手收入!$T$58=1,INDEX(助手收入!$O$2:$O$66,助手收入!$R$58),"")</f>
        <v/>
      </c>
      <c r="H852" s="74"/>
      <c r="I852" s="77"/>
    </row>
    <row r="853" customFormat="false" ht="6" hidden="false" customHeight="true" outlineLevel="0" collapsed="false"/>
    <row r="854" customFormat="false" ht="13.5" hidden="false" customHeight="false" outlineLevel="0" collapsed="false">
      <c r="B854" s="78" t="str">
        <f aca="false">IF(助手收入!$R$58&lt;&gt;"","会计主管：","")</f>
        <v>会计主管：</v>
      </c>
      <c r="D854" s="78" t="str">
        <f aca="false">IF(助手收入!$R$58&lt;&gt;"","会计：","")</f>
        <v>会计：</v>
      </c>
      <c r="E854" s="78" t="str">
        <f aca="false">IF(助手收入!$R$58&lt;&gt;"","出纳：","")</f>
        <v>出纳：</v>
      </c>
      <c r="F854" s="78" t="str">
        <f aca="false">IF(助手收入!$R$58&lt;&gt;"","复核：","")</f>
        <v>复核：</v>
      </c>
      <c r="G854" s="78" t="str">
        <f aca="false">IF(助手收入!$R$58&lt;&gt;"","制单：","")</f>
        <v>制单：</v>
      </c>
    </row>
    <row r="855" customFormat="false" ht="3" hidden="false" customHeight="true" outlineLevel="0" collapsed="false"/>
    <row r="856" customFormat="false" ht="19.5" hidden="false" customHeight="true" outlineLevel="0" collapsed="false">
      <c r="B856" s="53" t="str">
        <f aca="false">IF(助手收入!$R$59&lt;&gt;"","记  账  凭  证","")</f>
        <v>记  账  凭  证</v>
      </c>
      <c r="C856" s="53"/>
      <c r="D856" s="53"/>
      <c r="E856" s="53"/>
      <c r="F856" s="53"/>
      <c r="G856" s="53"/>
      <c r="H856" s="53"/>
      <c r="I856" s="53"/>
    </row>
    <row r="857" customFormat="false" ht="3" hidden="false" customHeight="true" outlineLevel="0" collapsed="false"/>
    <row r="858" customFormat="false" ht="15" hidden="false" customHeight="true" outlineLevel="0" collapsed="false">
      <c r="C858" s="56" t="n">
        <f aca="false">IF(助手收入!$R$59&lt;&gt;"",INDEX(助手收入!$B$2:$B$66,助手收入!$R$59),"")</f>
        <v>2046</v>
      </c>
      <c r="D858" s="57" t="n">
        <f aca="false">IF(助手收入!$R$59&lt;&gt;"",参数!$B$2,"")</f>
        <v>46234</v>
      </c>
      <c r="E858" s="57"/>
      <c r="F858" s="58" t="str">
        <f aca="false">IF(助手收入!$R$59&lt;&gt;"",INDEX(助手收入!$C$2:$C$66,助手收入!$R$59)&amp;"  字第 "&amp;IF(参数!$B$9="是",INDEX(助手收入!$P$2:$P$66,助手收入!$R$59),"　　　　")&amp;" 号"&amp;IF(INDEX(助手收入!$L$2:$L$66,助手收入!$R$59)&gt;1,"  (共"&amp;INDEX(助手收入!$L$2:$L$66,助手收入!$R$59)&amp;"页 第"&amp;助手收入!$S$59&amp;"页)",""),"")</f>
        <v>博康店  字第 　　　　 号  (共2页 第2页)</v>
      </c>
      <c r="G858" s="58"/>
      <c r="H858" s="58"/>
      <c r="I858" s="58"/>
      <c r="M858" s="59" t="n">
        <f aca="false">IF(助手收入!$R$59="","",助手收入!$Q$59)</f>
        <v>58</v>
      </c>
      <c r="N858" s="60" t="n">
        <f aca="false">IF(助手收入!$R$59="","",INDEX(助手收入!$P$2:$P$66,助手收入!$R$59))</f>
        <v>31</v>
      </c>
      <c r="O858" s="55" t="str">
        <f aca="false">IF(助手收入!$R$59="","",INDEX(助手收入!$C$2:$C$66,助手收入!$R$59)&amp;"  字第 "&amp;INDEX(助手收入!$P$2:$P$66,助手收入!$R$59)&amp;" 号"&amp;IF(INDEX(助手收入!$L$2:$L$66,助手收入!$R$59)&gt;1,"  (共"&amp;INDEX(助手收入!$L$2:$L$66,助手收入!$R$59)&amp;"页 第"&amp;助手收入!$S$59&amp;"页)",""))</f>
        <v>博康店  字第 31 号  (共2页 第2页)</v>
      </c>
    </row>
    <row r="859" customFormat="false" ht="12.75" hidden="false" customHeight="true" outlineLevel="0" collapsed="false">
      <c r="B859" s="61" t="str">
        <f aca="false">IF(助手收入!$R$59&lt;&gt;"","摘　　要","")</f>
        <v>摘　　要</v>
      </c>
      <c r="C859" s="61"/>
      <c r="D859" s="62" t="str">
        <f aca="false">IF(助手收入!$R$59&lt;&gt;"","科　　　　目","")</f>
        <v>科　　　　目</v>
      </c>
      <c r="E859" s="62"/>
      <c r="F859" s="61" t="str">
        <f aca="false">IF(助手收入!$R$59&lt;&gt;"","借 方 金 额","")</f>
        <v>借 方 金 额</v>
      </c>
      <c r="G859" s="62" t="str">
        <f aca="false">IF(助手收入!$R$59&lt;&gt;"","贷 方 金 额","")</f>
        <v>贷 方 金 额</v>
      </c>
      <c r="H859" s="63" t="str">
        <f aca="false">IF(助手收入!$R$59&lt;&gt;"","√","")</f>
        <v>√</v>
      </c>
      <c r="I859" s="64" t="str">
        <f aca="false">IF(助手收入!$R$59&lt;&gt;"","附单据  张","")</f>
        <v>附单据  张</v>
      </c>
    </row>
    <row r="860" customFormat="false" ht="12.75" hidden="false" customHeight="true" outlineLevel="0" collapsed="false">
      <c r="B860" s="61"/>
      <c r="C860" s="61"/>
      <c r="D860" s="23" t="str">
        <f aca="false">IF(助手收入!$R$59&lt;&gt;"","总 账 科 目","")</f>
        <v>总 账 科 目</v>
      </c>
      <c r="E860" s="23" t="str">
        <f aca="false">IF(助手收入!$R$59&lt;&gt;"","明 细 科 目","")</f>
        <v>明 细 科 目</v>
      </c>
      <c r="F860" s="65"/>
      <c r="G860" s="66"/>
      <c r="H860" s="63"/>
      <c r="I860" s="64"/>
    </row>
    <row r="861" customFormat="false" ht="23.25" hidden="false" customHeight="true" outlineLevel="0" collapsed="false">
      <c r="B861" s="67" t="str">
        <f aca="false">IFERROR(INDEX(分录收入!$M:$M,MATCH($L861,分录收入!$L:$L,0)),"")</f>
        <v>7月收入</v>
      </c>
      <c r="C861" s="67"/>
      <c r="D861" s="23" t="str">
        <f aca="false">IFERROR(INDEX(分录收入!$E:$E,MATCH($L861,分录收入!$L:$L,0)),"")</f>
        <v>财务费用</v>
      </c>
      <c r="E861" s="23" t="str">
        <f aca="false">IFERROR(INDEX(分录收入!$F:$F,MATCH($L861,分录收入!$L:$L,0)),"")</f>
        <v>手续费</v>
      </c>
      <c r="F861" s="68" t="n">
        <f aca="false">IFERROR(INDEX(分录收入!$H:$H,MATCH($L861,分录收入!$L:$L,0)),"")</f>
        <v>51.29</v>
      </c>
      <c r="G861" s="69" t="str">
        <f aca="false">IFERROR(INDEX(分录收入!$I:$I,MATCH($L861,分录收入!$L:$L,0)),"")</f>
        <v/>
      </c>
      <c r="H861" s="23"/>
      <c r="I861" s="70"/>
      <c r="L861" s="71" t="n">
        <f aca="false">IF(助手收入!$R$59="",-1,助手收入!$R$59*100+(助手收入!$S$59-1)*6+1)</f>
        <v>3207</v>
      </c>
    </row>
    <row r="862" customFormat="false" ht="23.25" hidden="false" customHeight="true" outlineLevel="0" collapsed="false">
      <c r="B862" s="67" t="str">
        <f aca="false">""</f>
        <v/>
      </c>
      <c r="C862" s="67"/>
      <c r="D862" s="23" t="str">
        <f aca="false">IFERROR(INDEX(分录收入!$E:$E,MATCH($L862,分录收入!$L:$L,0)),"")</f>
        <v>主营业务收入</v>
      </c>
      <c r="E862" s="23" t="str">
        <f aca="false">IFERROR(INDEX(分录收入!$F:$F,MATCH($L862,分录收入!$L:$L,0)),"")</f>
        <v/>
      </c>
      <c r="F862" s="68" t="str">
        <f aca="false">IFERROR(INDEX(分录收入!$H:$H,MATCH($L862,分录收入!$L:$L,0)),"")</f>
        <v/>
      </c>
      <c r="G862" s="69" t="n">
        <f aca="false">IFERROR(INDEX(分录收入!$I:$I,MATCH($L862,分录收入!$L:$L,0)),"")</f>
        <v>25428.7</v>
      </c>
      <c r="H862" s="23"/>
      <c r="I862" s="70"/>
      <c r="L862" s="71" t="n">
        <f aca="false">IF(助手收入!$R$59="",-1,助手收入!$R$59*100+(助手收入!$S$59-1)*6+2)</f>
        <v>3208</v>
      </c>
    </row>
    <row r="863" customFormat="false" ht="23.25" hidden="false" customHeight="true" outlineLevel="0" collapsed="false">
      <c r="B863" s="67" t="str">
        <f aca="false">""</f>
        <v/>
      </c>
      <c r="C863" s="67"/>
      <c r="D863" s="23" t="str">
        <f aca="false">IFERROR(INDEX(分录收入!$E:$E,MATCH($L863,分录收入!$L:$L,0)),"")</f>
        <v/>
      </c>
      <c r="E863" s="23" t="str">
        <f aca="false">IFERROR(INDEX(分录收入!$F:$F,MATCH($L863,分录收入!$L:$L,0)),"")</f>
        <v/>
      </c>
      <c r="F863" s="68" t="str">
        <f aca="false">IFERROR(INDEX(分录收入!$H:$H,MATCH($L863,分录收入!$L:$L,0)),"")</f>
        <v/>
      </c>
      <c r="G863" s="69" t="str">
        <f aca="false">IFERROR(INDEX(分录收入!$I:$I,MATCH($L863,分录收入!$L:$L,0)),"")</f>
        <v/>
      </c>
      <c r="H863" s="23"/>
      <c r="I863" s="70"/>
      <c r="L863" s="71" t="n">
        <f aca="false">IF(助手收入!$R$59="",-1,助手收入!$R$59*100+(助手收入!$S$59-1)*6+3)</f>
        <v>3209</v>
      </c>
    </row>
    <row r="864" customFormat="false" ht="23.25" hidden="false" customHeight="true" outlineLevel="0" collapsed="false">
      <c r="B864" s="67" t="str">
        <f aca="false">""</f>
        <v/>
      </c>
      <c r="C864" s="67"/>
      <c r="D864" s="23" t="str">
        <f aca="false">IFERROR(INDEX(分录收入!$E:$E,MATCH($L864,分录收入!$L:$L,0)),"")</f>
        <v/>
      </c>
      <c r="E864" s="23" t="str">
        <f aca="false">IFERROR(INDEX(分录收入!$F:$F,MATCH($L864,分录收入!$L:$L,0)),"")</f>
        <v/>
      </c>
      <c r="F864" s="68" t="str">
        <f aca="false">IFERROR(INDEX(分录收入!$H:$H,MATCH($L864,分录收入!$L:$L,0)),"")</f>
        <v/>
      </c>
      <c r="G864" s="69" t="str">
        <f aca="false">IFERROR(INDEX(分录收入!$I:$I,MATCH($L864,分录收入!$L:$L,0)),"")</f>
        <v/>
      </c>
      <c r="H864" s="23"/>
      <c r="I864" s="70"/>
      <c r="L864" s="71" t="n">
        <f aca="false">IF(助手收入!$R$59="",-1,助手收入!$R$59*100+(助手收入!$S$59-1)*6+4)</f>
        <v>3210</v>
      </c>
    </row>
    <row r="865" customFormat="false" ht="23.25" hidden="false" customHeight="true" outlineLevel="0" collapsed="false">
      <c r="B865" s="67" t="str">
        <f aca="false">""</f>
        <v/>
      </c>
      <c r="C865" s="67"/>
      <c r="D865" s="23" t="str">
        <f aca="false">IFERROR(INDEX(分录收入!$E:$E,MATCH($L865,分录收入!$L:$L,0)),"")</f>
        <v/>
      </c>
      <c r="E865" s="23" t="str">
        <f aca="false">IFERROR(INDEX(分录收入!$F:$F,MATCH($L865,分录收入!$L:$L,0)),"")</f>
        <v/>
      </c>
      <c r="F865" s="68" t="str">
        <f aca="false">IFERROR(INDEX(分录收入!$H:$H,MATCH($L865,分录收入!$L:$L,0)),"")</f>
        <v/>
      </c>
      <c r="G865" s="69" t="str">
        <f aca="false">IFERROR(INDEX(分录收入!$I:$I,MATCH($L865,分录收入!$L:$L,0)),"")</f>
        <v/>
      </c>
      <c r="H865" s="23"/>
      <c r="I865" s="70"/>
      <c r="L865" s="71" t="n">
        <f aca="false">IF(助手收入!$R$59="",-1,助手收入!$R$59*100+(助手收入!$S$59-1)*6+5)</f>
        <v>3211</v>
      </c>
    </row>
    <row r="866" customFormat="false" ht="23.25" hidden="false" customHeight="true" outlineLevel="0" collapsed="false">
      <c r="B866" s="67" t="str">
        <f aca="false">""</f>
        <v/>
      </c>
      <c r="C866" s="67"/>
      <c r="D866" s="23" t="str">
        <f aca="false">IFERROR(INDEX(分录收入!$E:$E,MATCH($L866,分录收入!$L:$L,0)),"")</f>
        <v/>
      </c>
      <c r="E866" s="23" t="str">
        <f aca="false">IFERROR(INDEX(分录收入!$F:$F,MATCH($L866,分录收入!$L:$L,0)),"")</f>
        <v/>
      </c>
      <c r="F866" s="68" t="str">
        <f aca="false">IFERROR(INDEX(分录收入!$H:$H,MATCH($L866,分录收入!$L:$L,0)),"")</f>
        <v/>
      </c>
      <c r="G866" s="69" t="str">
        <f aca="false">IFERROR(INDEX(分录收入!$I:$I,MATCH($L866,分录收入!$L:$L,0)),"")</f>
        <v/>
      </c>
      <c r="H866" s="23"/>
      <c r="I866" s="70"/>
      <c r="L866" s="71" t="n">
        <f aca="false">IF(助手收入!$R$59="",-1,助手收入!$R$59*100+(助手收入!$S$59-1)*6+6)</f>
        <v>3212</v>
      </c>
    </row>
    <row r="867" customFormat="false" ht="23.25" hidden="false" customHeight="true" outlineLevel="0" collapsed="false">
      <c r="B867" s="72" t="str">
        <f aca="false">IF(助手收入!$T$59=1,"合计：","")</f>
        <v>合计：</v>
      </c>
      <c r="C867" s="73" t="n">
        <f aca="false">IF(助手收入!$T$59=1,$F867,"")</f>
        <v>25428.7</v>
      </c>
      <c r="D867" s="74"/>
      <c r="E867" s="74"/>
      <c r="F867" s="75" t="n">
        <f aca="false">IF(助手收入!$T$59=1,INDEX(助手收入!$N$2:$N$66,助手收入!$R$59),"")</f>
        <v>25428.7</v>
      </c>
      <c r="G867" s="76" t="n">
        <f aca="false">IF(助手收入!$T$59=1,INDEX(助手收入!$O$2:$O$66,助手收入!$R$59),"")</f>
        <v>25428.7</v>
      </c>
      <c r="H867" s="74"/>
      <c r="I867" s="77"/>
    </row>
    <row r="868" customFormat="false" ht="6" hidden="false" customHeight="true" outlineLevel="0" collapsed="false"/>
    <row r="869" customFormat="false" ht="13.5" hidden="false" customHeight="false" outlineLevel="0" collapsed="false">
      <c r="B869" s="78" t="str">
        <f aca="false">IF(助手收入!$R$59&lt;&gt;"","会计主管：","")</f>
        <v>会计主管：</v>
      </c>
      <c r="D869" s="78" t="str">
        <f aca="false">IF(助手收入!$R$59&lt;&gt;"","会计：","")</f>
        <v>会计：</v>
      </c>
      <c r="E869" s="78" t="str">
        <f aca="false">IF(助手收入!$R$59&lt;&gt;"","出纳：","")</f>
        <v>出纳：</v>
      </c>
      <c r="F869" s="78" t="str">
        <f aca="false">IF(助手收入!$R$59&lt;&gt;"","复核：","")</f>
        <v>复核：</v>
      </c>
      <c r="G869" s="78" t="str">
        <f aca="false">IF(助手收入!$R$59&lt;&gt;"","制单：","")</f>
        <v>制单：</v>
      </c>
    </row>
    <row r="870" customFormat="false" ht="3" hidden="false" customHeight="true" outlineLevel="0" collapsed="false"/>
    <row r="871" customFormat="false" ht="19.5" hidden="false" customHeight="true" outlineLevel="0" collapsed="false">
      <c r="B871" s="53" t="str">
        <f aca="false">IF(助手收入!$R$60&lt;&gt;"","记  账  凭  证","")</f>
        <v>记  账  凭  证</v>
      </c>
      <c r="C871" s="53"/>
      <c r="D871" s="53"/>
      <c r="E871" s="53"/>
      <c r="F871" s="53"/>
      <c r="G871" s="53"/>
      <c r="H871" s="53"/>
      <c r="I871" s="53"/>
    </row>
    <row r="872" customFormat="false" ht="3" hidden="false" customHeight="true" outlineLevel="0" collapsed="false"/>
    <row r="873" customFormat="false" ht="15" hidden="false" customHeight="true" outlineLevel="0" collapsed="false">
      <c r="C873" s="56" t="n">
        <f aca="false">IF(助手收入!$R$60&lt;&gt;"",INDEX(助手收入!$B$2:$B$66,助手收入!$R$60),"")</f>
        <v>2047</v>
      </c>
      <c r="D873" s="57" t="n">
        <f aca="false">IF(助手收入!$R$60&lt;&gt;"",参数!$B$2,"")</f>
        <v>46234</v>
      </c>
      <c r="E873" s="57"/>
      <c r="F873" s="58" t="str">
        <f aca="false">IF(助手收入!$R$60&lt;&gt;"",INDEX(助手收入!$C$2:$C$66,助手收入!$R$60)&amp;"  字第 "&amp;IF(参数!$B$9="是",INDEX(助手收入!$P$2:$P$66,助手收入!$R$60),"　　　　")&amp;" 号"&amp;IF(INDEX(助手收入!$L$2:$L$66,助手收入!$R$60)&gt;1,"  (共"&amp;INDEX(助手收入!$L$2:$L$66,助手收入!$R$60)&amp;"页 第"&amp;助手收入!$S$60&amp;"页)",""),"")</f>
        <v>博联店  字第 　　　　 号</v>
      </c>
      <c r="G873" s="58"/>
      <c r="H873" s="58"/>
      <c r="I873" s="58"/>
      <c r="M873" s="59" t="n">
        <f aca="false">IF(助手收入!$R$60="","",助手收入!$Q$60)</f>
        <v>59</v>
      </c>
      <c r="N873" s="60" t="n">
        <f aca="false">IF(助手收入!$R$60="","",INDEX(助手收入!$P$2:$P$66,助手收入!$R$60))</f>
        <v>32</v>
      </c>
      <c r="O873" s="55" t="str">
        <f aca="false">IF(助手收入!$R$60="","",INDEX(助手收入!$C$2:$C$66,助手收入!$R$60)&amp;"  字第 "&amp;INDEX(助手收入!$P$2:$P$66,助手收入!$R$60)&amp;" 号"&amp;IF(INDEX(助手收入!$L$2:$L$66,助手收入!$R$60)&gt;1,"  (共"&amp;INDEX(助手收入!$L$2:$L$66,助手收入!$R$60)&amp;"页 第"&amp;助手收入!$S$60&amp;"页)",""))</f>
        <v>博联店  字第 32 号</v>
      </c>
    </row>
    <row r="874" customFormat="false" ht="12.75" hidden="false" customHeight="true" outlineLevel="0" collapsed="false">
      <c r="B874" s="61" t="str">
        <f aca="false">IF(助手收入!$R$60&lt;&gt;"","摘　　要","")</f>
        <v>摘　　要</v>
      </c>
      <c r="C874" s="61"/>
      <c r="D874" s="62" t="str">
        <f aca="false">IF(助手收入!$R$60&lt;&gt;"","科　　　　目","")</f>
        <v>科　　　　目</v>
      </c>
      <c r="E874" s="62"/>
      <c r="F874" s="61" t="str">
        <f aca="false">IF(助手收入!$R$60&lt;&gt;"","借 方 金 额","")</f>
        <v>借 方 金 额</v>
      </c>
      <c r="G874" s="62" t="str">
        <f aca="false">IF(助手收入!$R$60&lt;&gt;"","贷 方 金 额","")</f>
        <v>贷 方 金 额</v>
      </c>
      <c r="H874" s="63" t="str">
        <f aca="false">IF(助手收入!$R$60&lt;&gt;"","√","")</f>
        <v>√</v>
      </c>
      <c r="I874" s="64" t="str">
        <f aca="false">IF(助手收入!$R$60&lt;&gt;"","附单据  张","")</f>
        <v>附单据  张</v>
      </c>
    </row>
    <row r="875" customFormat="false" ht="12.75" hidden="false" customHeight="true" outlineLevel="0" collapsed="false">
      <c r="B875" s="61"/>
      <c r="C875" s="61"/>
      <c r="D875" s="23" t="str">
        <f aca="false">IF(助手收入!$R$60&lt;&gt;"","总 账 科 目","")</f>
        <v>总 账 科 目</v>
      </c>
      <c r="E875" s="23" t="str">
        <f aca="false">IF(助手收入!$R$60&lt;&gt;"","明 细 科 目","")</f>
        <v>明 细 科 目</v>
      </c>
      <c r="F875" s="65"/>
      <c r="G875" s="66"/>
      <c r="H875" s="63"/>
      <c r="I875" s="64"/>
    </row>
    <row r="876" customFormat="false" ht="23.25" hidden="false" customHeight="true" outlineLevel="0" collapsed="false">
      <c r="B876" s="67" t="str">
        <f aca="false">IFERROR(INDEX(分录收入!$M:$M,MATCH($L876,分录收入!$L:$L,0)),"")</f>
        <v>7月收入</v>
      </c>
      <c r="C876" s="67"/>
      <c r="D876" s="23" t="str">
        <f aca="false">IFERROR(INDEX(分录收入!$E:$E,MATCH($L876,分录收入!$L:$L,0)),"")</f>
        <v>库存现金</v>
      </c>
      <c r="E876" s="23" t="str">
        <f aca="false">IFERROR(INDEX(分录收入!$F:$F,MATCH($L876,分录收入!$L:$L,0)),"")</f>
        <v/>
      </c>
      <c r="F876" s="68" t="n">
        <f aca="false">IFERROR(INDEX(分录收入!$H:$H,MATCH($L876,分录收入!$L:$L,0)),"")</f>
        <v>2872.93</v>
      </c>
      <c r="G876" s="69" t="str">
        <f aca="false">IFERROR(INDEX(分录收入!$I:$I,MATCH($L876,分录收入!$L:$L,0)),"")</f>
        <v/>
      </c>
      <c r="H876" s="23"/>
      <c r="I876" s="70"/>
      <c r="L876" s="71" t="n">
        <f aca="false">IF(助手收入!$R$60="",-1,助手收入!$R$60*100+(助手收入!$S$60-1)*6+1)</f>
        <v>3301</v>
      </c>
    </row>
    <row r="877" customFormat="false" ht="23.25" hidden="false" customHeight="true" outlineLevel="0" collapsed="false">
      <c r="B877" s="67" t="str">
        <f aca="false">""</f>
        <v/>
      </c>
      <c r="C877" s="67"/>
      <c r="D877" s="23" t="str">
        <f aca="false">IFERROR(INDEX(分录收入!$E:$E,MATCH($L877,分录收入!$L:$L,0)),"")</f>
        <v>应收账款</v>
      </c>
      <c r="E877" s="23" t="str">
        <f aca="false">IFERROR(INDEX(分录收入!$F:$F,MATCH($L877,分录收入!$L:$L,0)),"")</f>
        <v>聚合支付</v>
      </c>
      <c r="F877" s="68" t="n">
        <f aca="false">IFERROR(INDEX(分录收入!$H:$H,MATCH($L877,分录收入!$L:$L,0)),"")</f>
        <v>13197.59</v>
      </c>
      <c r="G877" s="69" t="str">
        <f aca="false">IFERROR(INDEX(分录收入!$I:$I,MATCH($L877,分录收入!$L:$L,0)),"")</f>
        <v/>
      </c>
      <c r="H877" s="23"/>
      <c r="I877" s="70"/>
      <c r="L877" s="71" t="n">
        <f aca="false">IF(助手收入!$R$60="",-1,助手收入!$R$60*100+(助手收入!$S$60-1)*6+2)</f>
        <v>3302</v>
      </c>
    </row>
    <row r="878" customFormat="false" ht="23.25" hidden="false" customHeight="true" outlineLevel="0" collapsed="false">
      <c r="B878" s="67" t="str">
        <f aca="false">""</f>
        <v/>
      </c>
      <c r="C878" s="67"/>
      <c r="D878" s="23" t="str">
        <f aca="false">IFERROR(INDEX(分录收入!$E:$E,MATCH($L878,分录收入!$L:$L,0)),"")</f>
        <v>应收账款</v>
      </c>
      <c r="E878" s="23" t="str">
        <f aca="false">IFERROR(INDEX(分录收入!$F:$F,MATCH($L878,分录收入!$L:$L,0)),"")</f>
        <v>医保</v>
      </c>
      <c r="F878" s="68" t="n">
        <f aca="false">IFERROR(INDEX(分录收入!$H:$H,MATCH($L878,分录收入!$L:$L,0)),"")</f>
        <v>4429.41</v>
      </c>
      <c r="G878" s="69" t="str">
        <f aca="false">IFERROR(INDEX(分录收入!$I:$I,MATCH($L878,分录收入!$L:$L,0)),"")</f>
        <v/>
      </c>
      <c r="H878" s="23"/>
      <c r="I878" s="70"/>
      <c r="L878" s="71" t="n">
        <f aca="false">IF(助手收入!$R$60="",-1,助手收入!$R$60*100+(助手收入!$S$60-1)*6+3)</f>
        <v>3303</v>
      </c>
    </row>
    <row r="879" customFormat="false" ht="23.25" hidden="false" customHeight="true" outlineLevel="0" collapsed="false">
      <c r="B879" s="67" t="str">
        <f aca="false">""</f>
        <v/>
      </c>
      <c r="C879" s="67"/>
      <c r="D879" s="23" t="str">
        <f aca="false">IFERROR(INDEX(分录收入!$E:$E,MATCH($L879,分录收入!$L:$L,0)),"")</f>
        <v>销售费用</v>
      </c>
      <c r="E879" s="23" t="str">
        <f aca="false">IFERROR(INDEX(分录收入!$F:$F,MATCH($L879,分录收入!$L:$L,0)),"")</f>
        <v>促销费</v>
      </c>
      <c r="F879" s="68" t="n">
        <f aca="false">IFERROR(INDEX(分录收入!$H:$H,MATCH($L879,分录收入!$L:$L,0)),"")</f>
        <v>387.01</v>
      </c>
      <c r="G879" s="69" t="str">
        <f aca="false">IFERROR(INDEX(分录收入!$I:$I,MATCH($L879,分录收入!$L:$L,0)),"")</f>
        <v/>
      </c>
      <c r="H879" s="23"/>
      <c r="I879" s="70"/>
      <c r="L879" s="71" t="n">
        <f aca="false">IF(助手收入!$R$60="",-1,助手收入!$R$60*100+(助手收入!$S$60-1)*6+4)</f>
        <v>3304</v>
      </c>
    </row>
    <row r="880" customFormat="false" ht="23.25" hidden="false" customHeight="true" outlineLevel="0" collapsed="false">
      <c r="B880" s="67" t="str">
        <f aca="false">""</f>
        <v/>
      </c>
      <c r="C880" s="67"/>
      <c r="D880" s="23" t="str">
        <f aca="false">IFERROR(INDEX(分录收入!$E:$E,MATCH($L880,分录收入!$L:$L,0)),"")</f>
        <v>财务费用</v>
      </c>
      <c r="E880" s="23" t="str">
        <f aca="false">IFERROR(INDEX(分录收入!$F:$F,MATCH($L880,分录收入!$L:$L,0)),"")</f>
        <v>手续费</v>
      </c>
      <c r="F880" s="68" t="n">
        <f aca="false">IFERROR(INDEX(分录收入!$H:$H,MATCH($L880,分录收入!$L:$L,0)),"")</f>
        <v>35.73</v>
      </c>
      <c r="G880" s="69" t="str">
        <f aca="false">IFERROR(INDEX(分录收入!$I:$I,MATCH($L880,分录收入!$L:$L,0)),"")</f>
        <v/>
      </c>
      <c r="H880" s="23"/>
      <c r="I880" s="70"/>
      <c r="L880" s="71" t="n">
        <f aca="false">IF(助手收入!$R$60="",-1,助手收入!$R$60*100+(助手收入!$S$60-1)*6+5)</f>
        <v>3305</v>
      </c>
    </row>
    <row r="881" customFormat="false" ht="23.25" hidden="false" customHeight="true" outlineLevel="0" collapsed="false">
      <c r="B881" s="67" t="str">
        <f aca="false">""</f>
        <v/>
      </c>
      <c r="C881" s="67"/>
      <c r="D881" s="23" t="str">
        <f aca="false">IFERROR(INDEX(分录收入!$E:$E,MATCH($L881,分录收入!$L:$L,0)),"")</f>
        <v>主营业务收入</v>
      </c>
      <c r="E881" s="23" t="str">
        <f aca="false">IFERROR(INDEX(分录收入!$F:$F,MATCH($L881,分录收入!$L:$L,0)),"")</f>
        <v/>
      </c>
      <c r="F881" s="68" t="str">
        <f aca="false">IFERROR(INDEX(分录收入!$H:$H,MATCH($L881,分录收入!$L:$L,0)),"")</f>
        <v/>
      </c>
      <c r="G881" s="69" t="n">
        <f aca="false">IFERROR(INDEX(分录收入!$I:$I,MATCH($L881,分录收入!$L:$L,0)),"")</f>
        <v>20922.67</v>
      </c>
      <c r="H881" s="23"/>
      <c r="I881" s="70"/>
      <c r="L881" s="71" t="n">
        <f aca="false">IF(助手收入!$R$60="",-1,助手收入!$R$60*100+(助手收入!$S$60-1)*6+6)</f>
        <v>3306</v>
      </c>
    </row>
    <row r="882" customFormat="false" ht="23.25" hidden="false" customHeight="true" outlineLevel="0" collapsed="false">
      <c r="B882" s="72" t="str">
        <f aca="false">IF(助手收入!$T$60=1,"合计：","")</f>
        <v>合计：</v>
      </c>
      <c r="C882" s="73" t="n">
        <f aca="false">IF(助手收入!$T$60=1,$F882,"")</f>
        <v>20922.67</v>
      </c>
      <c r="D882" s="74"/>
      <c r="E882" s="74"/>
      <c r="F882" s="75" t="n">
        <f aca="false">IF(助手收入!$T$60=1,INDEX(助手收入!$N$2:$N$66,助手收入!$R$60),"")</f>
        <v>20922.67</v>
      </c>
      <c r="G882" s="76" t="n">
        <f aca="false">IF(助手收入!$T$60=1,INDEX(助手收入!$O$2:$O$66,助手收入!$R$60),"")</f>
        <v>20922.67</v>
      </c>
      <c r="H882" s="74"/>
      <c r="I882" s="77"/>
    </row>
    <row r="883" customFormat="false" ht="6" hidden="false" customHeight="true" outlineLevel="0" collapsed="false"/>
    <row r="884" customFormat="false" ht="13.5" hidden="false" customHeight="false" outlineLevel="0" collapsed="false">
      <c r="B884" s="78" t="str">
        <f aca="false">IF(助手收入!$R$60&lt;&gt;"","会计主管：","")</f>
        <v>会计主管：</v>
      </c>
      <c r="D884" s="78" t="str">
        <f aca="false">IF(助手收入!$R$60&lt;&gt;"","会计：","")</f>
        <v>会计：</v>
      </c>
      <c r="E884" s="78" t="str">
        <f aca="false">IF(助手收入!$R$60&lt;&gt;"","出纳：","")</f>
        <v>出纳：</v>
      </c>
      <c r="F884" s="78" t="str">
        <f aca="false">IF(助手收入!$R$60&lt;&gt;"","复核：","")</f>
        <v>复核：</v>
      </c>
      <c r="G884" s="78" t="str">
        <f aca="false">IF(助手收入!$R$60&lt;&gt;"","制单：","")</f>
        <v>制单：</v>
      </c>
    </row>
    <row r="885" customFormat="false" ht="3" hidden="false" customHeight="true" outlineLevel="0" collapsed="false"/>
    <row r="886" customFormat="false" ht="19.5" hidden="false" customHeight="true" outlineLevel="0" collapsed="false">
      <c r="B886" s="53" t="str">
        <f aca="false">IF(助手收入!$R$61&lt;&gt;"","记  账  凭  证","")</f>
        <v>记  账  凭  证</v>
      </c>
      <c r="C886" s="53"/>
      <c r="D886" s="53"/>
      <c r="E886" s="53"/>
      <c r="F886" s="53"/>
      <c r="G886" s="53"/>
      <c r="H886" s="53"/>
      <c r="I886" s="53"/>
    </row>
    <row r="887" customFormat="false" ht="3" hidden="false" customHeight="true" outlineLevel="0" collapsed="false"/>
    <row r="888" customFormat="false" ht="15" hidden="false" customHeight="true" outlineLevel="0" collapsed="false">
      <c r="C888" s="56" t="n">
        <f aca="false">IF(助手收入!$R$61&lt;&gt;"",INDEX(助手收入!$B$2:$B$66,助手收入!$R$61),"")</f>
        <v>2050</v>
      </c>
      <c r="D888" s="57" t="n">
        <f aca="false">IF(助手收入!$R$61&lt;&gt;"",参数!$B$2,"")</f>
        <v>46234</v>
      </c>
      <c r="E888" s="57"/>
      <c r="F888" s="58" t="str">
        <f aca="false">IF(助手收入!$R$61&lt;&gt;"",INDEX(助手收入!$C$2:$C$66,助手收入!$R$61)&amp;"  字第 "&amp;IF(参数!$B$9="是",INDEX(助手收入!$P$2:$P$66,助手收入!$R$61),"　　　　")&amp;" 号"&amp;IF(INDEX(助手收入!$L$2:$L$66,助手收入!$R$61)&gt;1,"  (共"&amp;INDEX(助手收入!$L$2:$L$66,助手收入!$R$61)&amp;"页 第"&amp;助手收入!$S$61&amp;"页)",""),"")</f>
        <v>博尚店  字第 　　　　 号  (共2页 第1页)</v>
      </c>
      <c r="G888" s="58"/>
      <c r="H888" s="58"/>
      <c r="I888" s="58"/>
      <c r="M888" s="59" t="n">
        <f aca="false">IF(助手收入!$R$61="","",助手收入!$Q$61)</f>
        <v>60</v>
      </c>
      <c r="N888" s="60" t="n">
        <f aca="false">IF(助手收入!$R$61="","",INDEX(助手收入!$P$2:$P$66,助手收入!$R$61))</f>
        <v>33</v>
      </c>
      <c r="O888" s="55" t="str">
        <f aca="false">IF(助手收入!$R$61="","",INDEX(助手收入!$C$2:$C$66,助手收入!$R$61)&amp;"  字第 "&amp;INDEX(助手收入!$P$2:$P$66,助手收入!$R$61)&amp;" 号"&amp;IF(INDEX(助手收入!$L$2:$L$66,助手收入!$R$61)&gt;1,"  (共"&amp;INDEX(助手收入!$L$2:$L$66,助手收入!$R$61)&amp;"页 第"&amp;助手收入!$S$61&amp;"页)",""))</f>
        <v>博尚店  字第 33 号  (共2页 第1页)</v>
      </c>
    </row>
    <row r="889" customFormat="false" ht="12.75" hidden="false" customHeight="true" outlineLevel="0" collapsed="false">
      <c r="B889" s="61" t="str">
        <f aca="false">IF(助手收入!$R$61&lt;&gt;"","摘　　要","")</f>
        <v>摘　　要</v>
      </c>
      <c r="C889" s="61"/>
      <c r="D889" s="62" t="str">
        <f aca="false">IF(助手收入!$R$61&lt;&gt;"","科　　　　目","")</f>
        <v>科　　　　目</v>
      </c>
      <c r="E889" s="62"/>
      <c r="F889" s="61" t="str">
        <f aca="false">IF(助手收入!$R$61&lt;&gt;"","借 方 金 额","")</f>
        <v>借 方 金 额</v>
      </c>
      <c r="G889" s="62" t="str">
        <f aca="false">IF(助手收入!$R$61&lt;&gt;"","贷 方 金 额","")</f>
        <v>贷 方 金 额</v>
      </c>
      <c r="H889" s="63" t="str">
        <f aca="false">IF(助手收入!$R$61&lt;&gt;"","√","")</f>
        <v>√</v>
      </c>
      <c r="I889" s="64" t="str">
        <f aca="false">IF(助手收入!$R$61&lt;&gt;"","附单据  张","")</f>
        <v>附单据  张</v>
      </c>
    </row>
    <row r="890" customFormat="false" ht="12.75" hidden="false" customHeight="true" outlineLevel="0" collapsed="false">
      <c r="B890" s="61"/>
      <c r="C890" s="61"/>
      <c r="D890" s="23" t="str">
        <f aca="false">IF(助手收入!$R$61&lt;&gt;"","总 账 科 目","")</f>
        <v>总 账 科 目</v>
      </c>
      <c r="E890" s="23" t="str">
        <f aca="false">IF(助手收入!$R$61&lt;&gt;"","明 细 科 目","")</f>
        <v>明 细 科 目</v>
      </c>
      <c r="F890" s="65"/>
      <c r="G890" s="66"/>
      <c r="H890" s="63"/>
      <c r="I890" s="64"/>
    </row>
    <row r="891" customFormat="false" ht="23.25" hidden="false" customHeight="true" outlineLevel="0" collapsed="false">
      <c r="B891" s="67" t="str">
        <f aca="false">IFERROR(INDEX(分录收入!$M:$M,MATCH($L891,分录收入!$L:$L,0)),"")</f>
        <v>7月收入</v>
      </c>
      <c r="C891" s="67"/>
      <c r="D891" s="23" t="str">
        <f aca="false">IFERROR(INDEX(分录收入!$E:$E,MATCH($L891,分录收入!$L:$L,0)),"")</f>
        <v>库存现金</v>
      </c>
      <c r="E891" s="23" t="str">
        <f aca="false">IFERROR(INDEX(分录收入!$F:$F,MATCH($L891,分录收入!$L:$L,0)),"")</f>
        <v/>
      </c>
      <c r="F891" s="68" t="n">
        <f aca="false">IFERROR(INDEX(分录收入!$H:$H,MATCH($L891,分录收入!$L:$L,0)),"")</f>
        <v>4767.69</v>
      </c>
      <c r="G891" s="69" t="str">
        <f aca="false">IFERROR(INDEX(分录收入!$I:$I,MATCH($L891,分录收入!$L:$L,0)),"")</f>
        <v/>
      </c>
      <c r="H891" s="23"/>
      <c r="I891" s="70"/>
      <c r="L891" s="71" t="n">
        <f aca="false">IF(助手收入!$R$61="",-1,助手收入!$R$61*100+(助手收入!$S$61-1)*6+1)</f>
        <v>3401</v>
      </c>
    </row>
    <row r="892" customFormat="false" ht="23.25" hidden="false" customHeight="true" outlineLevel="0" collapsed="false">
      <c r="B892" s="67" t="str">
        <f aca="false">""</f>
        <v/>
      </c>
      <c r="C892" s="67"/>
      <c r="D892" s="23" t="str">
        <f aca="false">IFERROR(INDEX(分录收入!$E:$E,MATCH($L892,分录收入!$L:$L,0)),"")</f>
        <v>应收账款</v>
      </c>
      <c r="E892" s="23" t="str">
        <f aca="false">IFERROR(INDEX(分录收入!$F:$F,MATCH($L892,分录收入!$L:$L,0)),"")</f>
        <v>聚合支付</v>
      </c>
      <c r="F892" s="68" t="n">
        <f aca="false">IFERROR(INDEX(分录收入!$H:$H,MATCH($L892,分录收入!$L:$L,0)),"")</f>
        <v>16092.86</v>
      </c>
      <c r="G892" s="69" t="str">
        <f aca="false">IFERROR(INDEX(分录收入!$I:$I,MATCH($L892,分录收入!$L:$L,0)),"")</f>
        <v/>
      </c>
      <c r="H892" s="23"/>
      <c r="I892" s="70"/>
      <c r="L892" s="71" t="n">
        <f aca="false">IF(助手收入!$R$61="",-1,助手收入!$R$61*100+(助手收入!$S$61-1)*6+2)</f>
        <v>3402</v>
      </c>
    </row>
    <row r="893" customFormat="false" ht="23.25" hidden="false" customHeight="true" outlineLevel="0" collapsed="false">
      <c r="B893" s="67" t="str">
        <f aca="false">""</f>
        <v/>
      </c>
      <c r="C893" s="67"/>
      <c r="D893" s="23" t="str">
        <f aca="false">IFERROR(INDEX(分录收入!$E:$E,MATCH($L893,分录收入!$L:$L,0)),"")</f>
        <v>应收账款</v>
      </c>
      <c r="E893" s="23" t="str">
        <f aca="false">IFERROR(INDEX(分录收入!$F:$F,MATCH($L893,分录收入!$L:$L,0)),"")</f>
        <v>医保</v>
      </c>
      <c r="F893" s="68" t="n">
        <f aca="false">IFERROR(INDEX(分录收入!$H:$H,MATCH($L893,分录收入!$L:$L,0)),"")</f>
        <v>8740.49</v>
      </c>
      <c r="G893" s="69" t="str">
        <f aca="false">IFERROR(INDEX(分录收入!$I:$I,MATCH($L893,分录收入!$L:$L,0)),"")</f>
        <v/>
      </c>
      <c r="H893" s="23"/>
      <c r="I893" s="70"/>
      <c r="L893" s="71" t="n">
        <f aca="false">IF(助手收入!$R$61="",-1,助手收入!$R$61*100+(助手收入!$S$61-1)*6+3)</f>
        <v>3403</v>
      </c>
    </row>
    <row r="894" customFormat="false" ht="23.25" hidden="false" customHeight="true" outlineLevel="0" collapsed="false">
      <c r="B894" s="67" t="str">
        <f aca="false">""</f>
        <v/>
      </c>
      <c r="C894" s="67"/>
      <c r="D894" s="23" t="str">
        <f aca="false">IFERROR(INDEX(分录收入!$E:$E,MATCH($L894,分录收入!$L:$L,0)),"")</f>
        <v>应收账款</v>
      </c>
      <c r="E894" s="23" t="str">
        <f aca="false">IFERROR(INDEX(分录收入!$F:$F,MATCH($L894,分录收入!$L:$L,0)),"")</f>
        <v>医卡通</v>
      </c>
      <c r="F894" s="68" t="n">
        <f aca="false">IFERROR(INDEX(分录收入!$H:$H,MATCH($L894,分录收入!$L:$L,0)),"")</f>
        <v>320.68</v>
      </c>
      <c r="G894" s="69" t="str">
        <f aca="false">IFERROR(INDEX(分录收入!$I:$I,MATCH($L894,分录收入!$L:$L,0)),"")</f>
        <v/>
      </c>
      <c r="H894" s="23"/>
      <c r="I894" s="70"/>
      <c r="L894" s="71" t="n">
        <f aca="false">IF(助手收入!$R$61="",-1,助手收入!$R$61*100+(助手收入!$S$61-1)*6+4)</f>
        <v>3404</v>
      </c>
    </row>
    <row r="895" customFormat="false" ht="23.25" hidden="false" customHeight="true" outlineLevel="0" collapsed="false">
      <c r="B895" s="67" t="str">
        <f aca="false">""</f>
        <v/>
      </c>
      <c r="C895" s="67"/>
      <c r="D895" s="23" t="str">
        <f aca="false">IFERROR(INDEX(分录收入!$E:$E,MATCH($L895,分录收入!$L:$L,0)),"")</f>
        <v>应收账款</v>
      </c>
      <c r="E895" s="23" t="str">
        <f aca="false">IFERROR(INDEX(分录收入!$F:$F,MATCH($L895,分录收入!$L:$L,0)),"")</f>
        <v>美团</v>
      </c>
      <c r="F895" s="68" t="n">
        <f aca="false">IFERROR(INDEX(分录收入!$H:$H,MATCH($L895,分录收入!$L:$L,0)),"")</f>
        <v>778.4</v>
      </c>
      <c r="G895" s="69" t="str">
        <f aca="false">IFERROR(INDEX(分录收入!$I:$I,MATCH($L895,分录收入!$L:$L,0)),"")</f>
        <v/>
      </c>
      <c r="H895" s="23"/>
      <c r="I895" s="70"/>
      <c r="L895" s="71" t="n">
        <f aca="false">IF(助手收入!$R$61="",-1,助手收入!$R$61*100+(助手收入!$S$61-1)*6+5)</f>
        <v>3405</v>
      </c>
    </row>
    <row r="896" customFormat="false" ht="23.25" hidden="false" customHeight="true" outlineLevel="0" collapsed="false">
      <c r="B896" s="67" t="str">
        <f aca="false">""</f>
        <v/>
      </c>
      <c r="C896" s="67"/>
      <c r="D896" s="23" t="str">
        <f aca="false">IFERROR(INDEX(分录收入!$E:$E,MATCH($L896,分录收入!$L:$L,0)),"")</f>
        <v>其他应收款</v>
      </c>
      <c r="E896" s="23" t="str">
        <f aca="false">IFERROR(INDEX(分录收入!$F:$F,MATCH($L896,分录收入!$L:$L,0)),"")</f>
        <v>储值卡</v>
      </c>
      <c r="F896" s="68" t="n">
        <f aca="false">IFERROR(INDEX(分录收入!$H:$H,MATCH($L896,分录收入!$L:$L,0)),"")</f>
        <v>143</v>
      </c>
      <c r="G896" s="69" t="str">
        <f aca="false">IFERROR(INDEX(分录收入!$I:$I,MATCH($L896,分录收入!$L:$L,0)),"")</f>
        <v/>
      </c>
      <c r="H896" s="23"/>
      <c r="I896" s="70"/>
      <c r="L896" s="71" t="n">
        <f aca="false">IF(助手收入!$R$61="",-1,助手收入!$R$61*100+(助手收入!$S$61-1)*6+6)</f>
        <v>3406</v>
      </c>
    </row>
    <row r="897" customFormat="false" ht="23.25" hidden="false" customHeight="true" outlineLevel="0" collapsed="false">
      <c r="B897" s="72" t="str">
        <f aca="false">IF(助手收入!$T$61=1,"合计：","")</f>
        <v/>
      </c>
      <c r="C897" s="73" t="str">
        <f aca="false">IF(助手收入!$T$61=1,$F897,"")</f>
        <v/>
      </c>
      <c r="D897" s="74"/>
      <c r="E897" s="74"/>
      <c r="F897" s="75" t="str">
        <f aca="false">IF(助手收入!$T$61=1,INDEX(助手收入!$N$2:$N$66,助手收入!$R$61),"")</f>
        <v/>
      </c>
      <c r="G897" s="76" t="str">
        <f aca="false">IF(助手收入!$T$61=1,INDEX(助手收入!$O$2:$O$66,助手收入!$R$61),"")</f>
        <v/>
      </c>
      <c r="H897" s="74"/>
      <c r="I897" s="77"/>
    </row>
    <row r="898" customFormat="false" ht="6" hidden="false" customHeight="true" outlineLevel="0" collapsed="false"/>
    <row r="899" customFormat="false" ht="13.5" hidden="false" customHeight="false" outlineLevel="0" collapsed="false">
      <c r="B899" s="78" t="str">
        <f aca="false">IF(助手收入!$R$61&lt;&gt;"","会计主管：","")</f>
        <v>会计主管：</v>
      </c>
      <c r="D899" s="78" t="str">
        <f aca="false">IF(助手收入!$R$61&lt;&gt;"","会计：","")</f>
        <v>会计：</v>
      </c>
      <c r="E899" s="78" t="str">
        <f aca="false">IF(助手收入!$R$61&lt;&gt;"","出纳：","")</f>
        <v>出纳：</v>
      </c>
      <c r="F899" s="78" t="str">
        <f aca="false">IF(助手收入!$R$61&lt;&gt;"","复核：","")</f>
        <v>复核：</v>
      </c>
      <c r="G899" s="78" t="str">
        <f aca="false">IF(助手收入!$R$61&lt;&gt;"","制单：","")</f>
        <v>制单：</v>
      </c>
    </row>
    <row r="900" customFormat="false" ht="3" hidden="false" customHeight="true" outlineLevel="0" collapsed="false"/>
    <row r="901" customFormat="false" ht="19.5" hidden="false" customHeight="true" outlineLevel="0" collapsed="false">
      <c r="B901" s="53" t="str">
        <f aca="false">IF(助手收入!$R$62&lt;&gt;"","记  账  凭  证","")</f>
        <v>记  账  凭  证</v>
      </c>
      <c r="C901" s="53"/>
      <c r="D901" s="53"/>
      <c r="E901" s="53"/>
      <c r="F901" s="53"/>
      <c r="G901" s="53"/>
      <c r="H901" s="53"/>
      <c r="I901" s="53"/>
    </row>
    <row r="902" customFormat="false" ht="3" hidden="false" customHeight="true" outlineLevel="0" collapsed="false"/>
    <row r="903" customFormat="false" ht="15" hidden="false" customHeight="true" outlineLevel="0" collapsed="false">
      <c r="C903" s="56" t="n">
        <f aca="false">IF(助手收入!$R$62&lt;&gt;"",INDEX(助手收入!$B$2:$B$66,助手收入!$R$62),"")</f>
        <v>2050</v>
      </c>
      <c r="D903" s="57" t="n">
        <f aca="false">IF(助手收入!$R$62&lt;&gt;"",参数!$B$2,"")</f>
        <v>46234</v>
      </c>
      <c r="E903" s="57"/>
      <c r="F903" s="58" t="str">
        <f aca="false">IF(助手收入!$R$62&lt;&gt;"",INDEX(助手收入!$C$2:$C$66,助手收入!$R$62)&amp;"  字第 "&amp;IF(参数!$B$9="是",INDEX(助手收入!$P$2:$P$66,助手收入!$R$62),"　　　　")&amp;" 号"&amp;IF(INDEX(助手收入!$L$2:$L$66,助手收入!$R$62)&gt;1,"  (共"&amp;INDEX(助手收入!$L$2:$L$66,助手收入!$R$62)&amp;"页 第"&amp;助手收入!$S$62&amp;"页)",""),"")</f>
        <v>博尚店  字第 　　　　 号  (共2页 第2页)</v>
      </c>
      <c r="G903" s="58"/>
      <c r="H903" s="58"/>
      <c r="I903" s="58"/>
      <c r="M903" s="59" t="n">
        <f aca="false">IF(助手收入!$R$62="","",助手收入!$Q$62)</f>
        <v>61</v>
      </c>
      <c r="N903" s="60" t="n">
        <f aca="false">IF(助手收入!$R$62="","",INDEX(助手收入!$P$2:$P$66,助手收入!$R$62))</f>
        <v>33</v>
      </c>
      <c r="O903" s="55" t="str">
        <f aca="false">IF(助手收入!$R$62="","",INDEX(助手收入!$C$2:$C$66,助手收入!$R$62)&amp;"  字第 "&amp;INDEX(助手收入!$P$2:$P$66,助手收入!$R$62)&amp;" 号"&amp;IF(INDEX(助手收入!$L$2:$L$66,助手收入!$R$62)&gt;1,"  (共"&amp;INDEX(助手收入!$L$2:$L$66,助手收入!$R$62)&amp;"页 第"&amp;助手收入!$S$62&amp;"页)",""))</f>
        <v>博尚店  字第 33 号  (共2页 第2页)</v>
      </c>
    </row>
    <row r="904" customFormat="false" ht="12.75" hidden="false" customHeight="true" outlineLevel="0" collapsed="false">
      <c r="B904" s="61" t="str">
        <f aca="false">IF(助手收入!$R$62&lt;&gt;"","摘　　要","")</f>
        <v>摘　　要</v>
      </c>
      <c r="C904" s="61"/>
      <c r="D904" s="62" t="str">
        <f aca="false">IF(助手收入!$R$62&lt;&gt;"","科　　　　目","")</f>
        <v>科　　　　目</v>
      </c>
      <c r="E904" s="62"/>
      <c r="F904" s="61" t="str">
        <f aca="false">IF(助手收入!$R$62&lt;&gt;"","借 方 金 额","")</f>
        <v>借 方 金 额</v>
      </c>
      <c r="G904" s="62" t="str">
        <f aca="false">IF(助手收入!$R$62&lt;&gt;"","贷 方 金 额","")</f>
        <v>贷 方 金 额</v>
      </c>
      <c r="H904" s="63" t="str">
        <f aca="false">IF(助手收入!$R$62&lt;&gt;"","√","")</f>
        <v>√</v>
      </c>
      <c r="I904" s="64" t="str">
        <f aca="false">IF(助手收入!$R$62&lt;&gt;"","附单据  张","")</f>
        <v>附单据  张</v>
      </c>
    </row>
    <row r="905" customFormat="false" ht="12.75" hidden="false" customHeight="true" outlineLevel="0" collapsed="false">
      <c r="B905" s="61"/>
      <c r="C905" s="61"/>
      <c r="D905" s="23" t="str">
        <f aca="false">IF(助手收入!$R$62&lt;&gt;"","总 账 科 目","")</f>
        <v>总 账 科 目</v>
      </c>
      <c r="E905" s="23" t="str">
        <f aca="false">IF(助手收入!$R$62&lt;&gt;"","明 细 科 目","")</f>
        <v>明 细 科 目</v>
      </c>
      <c r="F905" s="65"/>
      <c r="G905" s="66"/>
      <c r="H905" s="63"/>
      <c r="I905" s="64"/>
    </row>
    <row r="906" customFormat="false" ht="23.25" hidden="false" customHeight="true" outlineLevel="0" collapsed="false">
      <c r="B906" s="67" t="str">
        <f aca="false">IFERROR(INDEX(分录收入!$M:$M,MATCH($L906,分录收入!$L:$L,0)),"")</f>
        <v>7月收入</v>
      </c>
      <c r="C906" s="67"/>
      <c r="D906" s="23" t="str">
        <f aca="false">IFERROR(INDEX(分录收入!$E:$E,MATCH($L906,分录收入!$L:$L,0)),"")</f>
        <v>销售费用</v>
      </c>
      <c r="E906" s="23" t="str">
        <f aca="false">IFERROR(INDEX(分录收入!$F:$F,MATCH($L906,分录收入!$L:$L,0)),"")</f>
        <v>促销费</v>
      </c>
      <c r="F906" s="68" t="n">
        <f aca="false">IFERROR(INDEX(分录收入!$H:$H,MATCH($L906,分录收入!$L:$L,0)),"")</f>
        <v>993.08</v>
      </c>
      <c r="G906" s="69" t="str">
        <f aca="false">IFERROR(INDEX(分录收入!$I:$I,MATCH($L906,分录收入!$L:$L,0)),"")</f>
        <v/>
      </c>
      <c r="H906" s="23"/>
      <c r="I906" s="70"/>
      <c r="L906" s="71" t="n">
        <f aca="false">IF(助手收入!$R$62="",-1,助手收入!$R$62*100+(助手收入!$S$62-1)*6+1)</f>
        <v>3407</v>
      </c>
    </row>
    <row r="907" customFormat="false" ht="23.25" hidden="false" customHeight="true" outlineLevel="0" collapsed="false">
      <c r="B907" s="67" t="str">
        <f aca="false">""</f>
        <v/>
      </c>
      <c r="C907" s="67"/>
      <c r="D907" s="23" t="str">
        <f aca="false">IFERROR(INDEX(分录收入!$E:$E,MATCH($L907,分录收入!$L:$L,0)),"")</f>
        <v>财务费用</v>
      </c>
      <c r="E907" s="23" t="str">
        <f aca="false">IFERROR(INDEX(分录收入!$F:$F,MATCH($L907,分录收入!$L:$L,0)),"")</f>
        <v>手续费</v>
      </c>
      <c r="F907" s="68" t="n">
        <f aca="false">IFERROR(INDEX(分录收入!$H:$H,MATCH($L907,分录收入!$L:$L,0)),"")</f>
        <v>43.57</v>
      </c>
      <c r="G907" s="69" t="str">
        <f aca="false">IFERROR(INDEX(分录收入!$I:$I,MATCH($L907,分录收入!$L:$L,0)),"")</f>
        <v/>
      </c>
      <c r="H907" s="23"/>
      <c r="I907" s="70"/>
      <c r="L907" s="71" t="n">
        <f aca="false">IF(助手收入!$R$62="",-1,助手收入!$R$62*100+(助手收入!$S$62-1)*6+2)</f>
        <v>3408</v>
      </c>
    </row>
    <row r="908" customFormat="false" ht="23.25" hidden="false" customHeight="true" outlineLevel="0" collapsed="false">
      <c r="B908" s="67" t="str">
        <f aca="false">""</f>
        <v/>
      </c>
      <c r="C908" s="67"/>
      <c r="D908" s="23" t="str">
        <f aca="false">IFERROR(INDEX(分录收入!$E:$E,MATCH($L908,分录收入!$L:$L,0)),"")</f>
        <v>主营业务收入</v>
      </c>
      <c r="E908" s="23" t="str">
        <f aca="false">IFERROR(INDEX(分录收入!$F:$F,MATCH($L908,分录收入!$L:$L,0)),"")</f>
        <v/>
      </c>
      <c r="F908" s="68" t="str">
        <f aca="false">IFERROR(INDEX(分录收入!$H:$H,MATCH($L908,分录收入!$L:$L,0)),"")</f>
        <v/>
      </c>
      <c r="G908" s="69" t="n">
        <f aca="false">IFERROR(INDEX(分录收入!$I:$I,MATCH($L908,分录收入!$L:$L,0)),"")</f>
        <v>31879.77</v>
      </c>
      <c r="H908" s="23"/>
      <c r="I908" s="70"/>
      <c r="L908" s="71" t="n">
        <f aca="false">IF(助手收入!$R$62="",-1,助手收入!$R$62*100+(助手收入!$S$62-1)*6+3)</f>
        <v>3409</v>
      </c>
    </row>
    <row r="909" customFormat="false" ht="23.25" hidden="false" customHeight="true" outlineLevel="0" collapsed="false">
      <c r="B909" s="67" t="str">
        <f aca="false">""</f>
        <v/>
      </c>
      <c r="C909" s="67"/>
      <c r="D909" s="23" t="str">
        <f aca="false">IFERROR(INDEX(分录收入!$E:$E,MATCH($L909,分录收入!$L:$L,0)),"")</f>
        <v/>
      </c>
      <c r="E909" s="23" t="str">
        <f aca="false">IFERROR(INDEX(分录收入!$F:$F,MATCH($L909,分录收入!$L:$L,0)),"")</f>
        <v/>
      </c>
      <c r="F909" s="68" t="str">
        <f aca="false">IFERROR(INDEX(分录收入!$H:$H,MATCH($L909,分录收入!$L:$L,0)),"")</f>
        <v/>
      </c>
      <c r="G909" s="69" t="str">
        <f aca="false">IFERROR(INDEX(分录收入!$I:$I,MATCH($L909,分录收入!$L:$L,0)),"")</f>
        <v/>
      </c>
      <c r="H909" s="23"/>
      <c r="I909" s="70"/>
      <c r="L909" s="71" t="n">
        <f aca="false">IF(助手收入!$R$62="",-1,助手收入!$R$62*100+(助手收入!$S$62-1)*6+4)</f>
        <v>3410</v>
      </c>
    </row>
    <row r="910" customFormat="false" ht="23.25" hidden="false" customHeight="true" outlineLevel="0" collapsed="false">
      <c r="B910" s="67" t="str">
        <f aca="false">""</f>
        <v/>
      </c>
      <c r="C910" s="67"/>
      <c r="D910" s="23" t="str">
        <f aca="false">IFERROR(INDEX(分录收入!$E:$E,MATCH($L910,分录收入!$L:$L,0)),"")</f>
        <v/>
      </c>
      <c r="E910" s="23" t="str">
        <f aca="false">IFERROR(INDEX(分录收入!$F:$F,MATCH($L910,分录收入!$L:$L,0)),"")</f>
        <v/>
      </c>
      <c r="F910" s="68" t="str">
        <f aca="false">IFERROR(INDEX(分录收入!$H:$H,MATCH($L910,分录收入!$L:$L,0)),"")</f>
        <v/>
      </c>
      <c r="G910" s="69" t="str">
        <f aca="false">IFERROR(INDEX(分录收入!$I:$I,MATCH($L910,分录收入!$L:$L,0)),"")</f>
        <v/>
      </c>
      <c r="H910" s="23"/>
      <c r="I910" s="70"/>
      <c r="L910" s="71" t="n">
        <f aca="false">IF(助手收入!$R$62="",-1,助手收入!$R$62*100+(助手收入!$S$62-1)*6+5)</f>
        <v>3411</v>
      </c>
    </row>
    <row r="911" customFormat="false" ht="23.25" hidden="false" customHeight="true" outlineLevel="0" collapsed="false">
      <c r="B911" s="67" t="str">
        <f aca="false">""</f>
        <v/>
      </c>
      <c r="C911" s="67"/>
      <c r="D911" s="23" t="str">
        <f aca="false">IFERROR(INDEX(分录收入!$E:$E,MATCH($L911,分录收入!$L:$L,0)),"")</f>
        <v/>
      </c>
      <c r="E911" s="23" t="str">
        <f aca="false">IFERROR(INDEX(分录收入!$F:$F,MATCH($L911,分录收入!$L:$L,0)),"")</f>
        <v/>
      </c>
      <c r="F911" s="68" t="str">
        <f aca="false">IFERROR(INDEX(分录收入!$H:$H,MATCH($L911,分录收入!$L:$L,0)),"")</f>
        <v/>
      </c>
      <c r="G911" s="69" t="str">
        <f aca="false">IFERROR(INDEX(分录收入!$I:$I,MATCH($L911,分录收入!$L:$L,0)),"")</f>
        <v/>
      </c>
      <c r="H911" s="23"/>
      <c r="I911" s="70"/>
      <c r="L911" s="71" t="n">
        <f aca="false">IF(助手收入!$R$62="",-1,助手收入!$R$62*100+(助手收入!$S$62-1)*6+6)</f>
        <v>3412</v>
      </c>
    </row>
    <row r="912" customFormat="false" ht="23.25" hidden="false" customHeight="true" outlineLevel="0" collapsed="false">
      <c r="B912" s="72" t="str">
        <f aca="false">IF(助手收入!$T$62=1,"合计：","")</f>
        <v>合计：</v>
      </c>
      <c r="C912" s="73" t="n">
        <f aca="false">IF(助手收入!$T$62=1,$F912,"")</f>
        <v>31879.77</v>
      </c>
      <c r="D912" s="74"/>
      <c r="E912" s="74"/>
      <c r="F912" s="75" t="n">
        <f aca="false">IF(助手收入!$T$62=1,INDEX(助手收入!$N$2:$N$66,助手收入!$R$62),"")</f>
        <v>31879.77</v>
      </c>
      <c r="G912" s="76" t="n">
        <f aca="false">IF(助手收入!$T$62=1,INDEX(助手收入!$O$2:$O$66,助手收入!$R$62),"")</f>
        <v>31879.77</v>
      </c>
      <c r="H912" s="74"/>
      <c r="I912" s="77"/>
    </row>
    <row r="913" customFormat="false" ht="6" hidden="false" customHeight="true" outlineLevel="0" collapsed="false"/>
    <row r="914" customFormat="false" ht="13.5" hidden="false" customHeight="false" outlineLevel="0" collapsed="false">
      <c r="B914" s="78" t="str">
        <f aca="false">IF(助手收入!$R$62&lt;&gt;"","会计主管：","")</f>
        <v>会计主管：</v>
      </c>
      <c r="D914" s="78" t="str">
        <f aca="false">IF(助手收入!$R$62&lt;&gt;"","会计：","")</f>
        <v>会计：</v>
      </c>
      <c r="E914" s="78" t="str">
        <f aca="false">IF(助手收入!$R$62&lt;&gt;"","出纳：","")</f>
        <v>出纳：</v>
      </c>
      <c r="F914" s="78" t="str">
        <f aca="false">IF(助手收入!$R$62&lt;&gt;"","复核：","")</f>
        <v>复核：</v>
      </c>
      <c r="G914" s="78" t="str">
        <f aca="false">IF(助手收入!$R$62&lt;&gt;"","制单：","")</f>
        <v>制单：</v>
      </c>
    </row>
    <row r="915" customFormat="false" ht="3" hidden="false" customHeight="true" outlineLevel="0" collapsed="false"/>
    <row r="916" customFormat="false" ht="19.5" hidden="false" customHeight="true" outlineLevel="0" collapsed="false">
      <c r="B916" s="53" t="str">
        <f aca="false">IF(助手收入!$R$63&lt;&gt;"","记  账  凭  证","")</f>
        <v>记  账  凭  证</v>
      </c>
      <c r="C916" s="53"/>
      <c r="D916" s="53"/>
      <c r="E916" s="53"/>
      <c r="F916" s="53"/>
      <c r="G916" s="53"/>
      <c r="H916" s="53"/>
      <c r="I916" s="53"/>
    </row>
    <row r="917" customFormat="false" ht="3" hidden="false" customHeight="true" outlineLevel="0" collapsed="false"/>
    <row r="918" customFormat="false" ht="15" hidden="false" customHeight="true" outlineLevel="0" collapsed="false">
      <c r="C918" s="56" t="n">
        <f aca="false">IF(助手收入!$R$63&lt;&gt;"",INDEX(助手收入!$B$2:$B$66,助手收入!$R$63),"")</f>
        <v>2053</v>
      </c>
      <c r="D918" s="57" t="n">
        <f aca="false">IF(助手收入!$R$63&lt;&gt;"",参数!$B$2,"")</f>
        <v>46234</v>
      </c>
      <c r="E918" s="57"/>
      <c r="F918" s="58" t="str">
        <f aca="false">IF(助手收入!$R$63&lt;&gt;"",INDEX(助手收入!$C$2:$C$66,助手收入!$R$63)&amp;"  字第 "&amp;IF(参数!$B$9="是",INDEX(助手收入!$P$2:$P$66,助手收入!$R$63),"　　　　")&amp;" 号"&amp;IF(INDEX(助手收入!$L$2:$L$66,助手收入!$R$63)&gt;1,"  (共"&amp;INDEX(助手收入!$L$2:$L$66,助手收入!$R$63)&amp;"页 第"&amp;助手收入!$S$63&amp;"页)",""),"")</f>
        <v>博鑫店  字第 　　　　 号  (共2页 第1页)</v>
      </c>
      <c r="G918" s="58"/>
      <c r="H918" s="58"/>
      <c r="I918" s="58"/>
      <c r="M918" s="59" t="n">
        <f aca="false">IF(助手收入!$R$63="","",助手收入!$Q$63)</f>
        <v>62</v>
      </c>
      <c r="N918" s="60" t="n">
        <f aca="false">IF(助手收入!$R$63="","",INDEX(助手收入!$P$2:$P$66,助手收入!$R$63))</f>
        <v>34</v>
      </c>
      <c r="O918" s="55" t="str">
        <f aca="false">IF(助手收入!$R$63="","",INDEX(助手收入!$C$2:$C$66,助手收入!$R$63)&amp;"  字第 "&amp;INDEX(助手收入!$P$2:$P$66,助手收入!$R$63)&amp;" 号"&amp;IF(INDEX(助手收入!$L$2:$L$66,助手收入!$R$63)&gt;1,"  (共"&amp;INDEX(助手收入!$L$2:$L$66,助手收入!$R$63)&amp;"页 第"&amp;助手收入!$S$63&amp;"页)",""))</f>
        <v>博鑫店  字第 34 号  (共2页 第1页)</v>
      </c>
    </row>
    <row r="919" customFormat="false" ht="12.75" hidden="false" customHeight="true" outlineLevel="0" collapsed="false">
      <c r="B919" s="61" t="str">
        <f aca="false">IF(助手收入!$R$63&lt;&gt;"","摘　　要","")</f>
        <v>摘　　要</v>
      </c>
      <c r="C919" s="61"/>
      <c r="D919" s="62" t="str">
        <f aca="false">IF(助手收入!$R$63&lt;&gt;"","科　　　　目","")</f>
        <v>科　　　　目</v>
      </c>
      <c r="E919" s="62"/>
      <c r="F919" s="61" t="str">
        <f aca="false">IF(助手收入!$R$63&lt;&gt;"","借 方 金 额","")</f>
        <v>借 方 金 额</v>
      </c>
      <c r="G919" s="62" t="str">
        <f aca="false">IF(助手收入!$R$63&lt;&gt;"","贷 方 金 额","")</f>
        <v>贷 方 金 额</v>
      </c>
      <c r="H919" s="63" t="str">
        <f aca="false">IF(助手收入!$R$63&lt;&gt;"","√","")</f>
        <v>√</v>
      </c>
      <c r="I919" s="64" t="str">
        <f aca="false">IF(助手收入!$R$63&lt;&gt;"","附单据  张","")</f>
        <v>附单据  张</v>
      </c>
    </row>
    <row r="920" customFormat="false" ht="12.75" hidden="false" customHeight="true" outlineLevel="0" collapsed="false">
      <c r="B920" s="61"/>
      <c r="C920" s="61"/>
      <c r="D920" s="23" t="str">
        <f aca="false">IF(助手收入!$R$63&lt;&gt;"","总 账 科 目","")</f>
        <v>总 账 科 目</v>
      </c>
      <c r="E920" s="23" t="str">
        <f aca="false">IF(助手收入!$R$63&lt;&gt;"","明 细 科 目","")</f>
        <v>明 细 科 目</v>
      </c>
      <c r="F920" s="65"/>
      <c r="G920" s="66"/>
      <c r="H920" s="63"/>
      <c r="I920" s="64"/>
    </row>
    <row r="921" customFormat="false" ht="23.25" hidden="false" customHeight="true" outlineLevel="0" collapsed="false">
      <c r="B921" s="67" t="str">
        <f aca="false">IFERROR(INDEX(分录收入!$M:$M,MATCH($L921,分录收入!$L:$L,0)),"")</f>
        <v>7月收入</v>
      </c>
      <c r="C921" s="67"/>
      <c r="D921" s="23" t="str">
        <f aca="false">IFERROR(INDEX(分录收入!$E:$E,MATCH($L921,分录收入!$L:$L,0)),"")</f>
        <v>库存现金</v>
      </c>
      <c r="E921" s="23" t="str">
        <f aca="false">IFERROR(INDEX(分录收入!$F:$F,MATCH($L921,分录收入!$L:$L,0)),"")</f>
        <v/>
      </c>
      <c r="F921" s="68" t="n">
        <f aca="false">IFERROR(INDEX(分录收入!$H:$H,MATCH($L921,分录收入!$L:$L,0)),"")</f>
        <v>6527.6</v>
      </c>
      <c r="G921" s="69" t="str">
        <f aca="false">IFERROR(INDEX(分录收入!$I:$I,MATCH($L921,分录收入!$L:$L,0)),"")</f>
        <v/>
      </c>
      <c r="H921" s="23"/>
      <c r="I921" s="70"/>
      <c r="L921" s="71" t="n">
        <f aca="false">IF(助手收入!$R$63="",-1,助手收入!$R$63*100+(助手收入!$S$63-1)*6+1)</f>
        <v>3501</v>
      </c>
    </row>
    <row r="922" customFormat="false" ht="23.25" hidden="false" customHeight="true" outlineLevel="0" collapsed="false">
      <c r="B922" s="67" t="str">
        <f aca="false">""</f>
        <v/>
      </c>
      <c r="C922" s="67"/>
      <c r="D922" s="23" t="str">
        <f aca="false">IFERROR(INDEX(分录收入!$E:$E,MATCH($L922,分录收入!$L:$L,0)),"")</f>
        <v>应收账款</v>
      </c>
      <c r="E922" s="23" t="str">
        <f aca="false">IFERROR(INDEX(分录收入!$F:$F,MATCH($L922,分录收入!$L:$L,0)),"")</f>
        <v>聚合支付</v>
      </c>
      <c r="F922" s="68" t="n">
        <f aca="false">IFERROR(INDEX(分录收入!$H:$H,MATCH($L922,分录收入!$L:$L,0)),"")</f>
        <v>26247.13</v>
      </c>
      <c r="G922" s="69" t="str">
        <f aca="false">IFERROR(INDEX(分录收入!$I:$I,MATCH($L922,分录收入!$L:$L,0)),"")</f>
        <v/>
      </c>
      <c r="H922" s="23"/>
      <c r="I922" s="70"/>
      <c r="L922" s="71" t="n">
        <f aca="false">IF(助手收入!$R$63="",-1,助手收入!$R$63*100+(助手收入!$S$63-1)*6+2)</f>
        <v>3502</v>
      </c>
    </row>
    <row r="923" customFormat="false" ht="23.25" hidden="false" customHeight="true" outlineLevel="0" collapsed="false">
      <c r="B923" s="67" t="str">
        <f aca="false">""</f>
        <v/>
      </c>
      <c r="C923" s="67"/>
      <c r="D923" s="23" t="str">
        <f aca="false">IFERROR(INDEX(分录收入!$E:$E,MATCH($L923,分录收入!$L:$L,0)),"")</f>
        <v>应收账款</v>
      </c>
      <c r="E923" s="23" t="str">
        <f aca="false">IFERROR(INDEX(分录收入!$F:$F,MATCH($L923,分录收入!$L:$L,0)),"")</f>
        <v>医保</v>
      </c>
      <c r="F923" s="68" t="n">
        <f aca="false">IFERROR(INDEX(分录收入!$H:$H,MATCH($L923,分录收入!$L:$L,0)),"")</f>
        <v>6831.64</v>
      </c>
      <c r="G923" s="69" t="str">
        <f aca="false">IFERROR(INDEX(分录收入!$I:$I,MATCH($L923,分录收入!$L:$L,0)),"")</f>
        <v/>
      </c>
      <c r="H923" s="23"/>
      <c r="I923" s="70"/>
      <c r="L923" s="71" t="n">
        <f aca="false">IF(助手收入!$R$63="",-1,助手收入!$R$63*100+(助手收入!$S$63-1)*6+3)</f>
        <v>3503</v>
      </c>
    </row>
    <row r="924" customFormat="false" ht="23.25" hidden="false" customHeight="true" outlineLevel="0" collapsed="false">
      <c r="B924" s="67" t="str">
        <f aca="false">""</f>
        <v/>
      </c>
      <c r="C924" s="67"/>
      <c r="D924" s="23" t="str">
        <f aca="false">IFERROR(INDEX(分录收入!$E:$E,MATCH($L924,分录收入!$L:$L,0)),"")</f>
        <v>应收账款</v>
      </c>
      <c r="E924" s="23" t="str">
        <f aca="false">IFERROR(INDEX(分录收入!$F:$F,MATCH($L924,分录收入!$L:$L,0)),"")</f>
        <v>美团</v>
      </c>
      <c r="F924" s="68" t="n">
        <f aca="false">IFERROR(INDEX(分录收入!$H:$H,MATCH($L924,分录收入!$L:$L,0)),"")</f>
        <v>107.2</v>
      </c>
      <c r="G924" s="69" t="str">
        <f aca="false">IFERROR(INDEX(分录收入!$I:$I,MATCH($L924,分录收入!$L:$L,0)),"")</f>
        <v/>
      </c>
      <c r="H924" s="23"/>
      <c r="I924" s="70"/>
      <c r="L924" s="71" t="n">
        <f aca="false">IF(助手收入!$R$63="",-1,助手收入!$R$63*100+(助手收入!$S$63-1)*6+4)</f>
        <v>3504</v>
      </c>
    </row>
    <row r="925" customFormat="false" ht="23.25" hidden="false" customHeight="true" outlineLevel="0" collapsed="false">
      <c r="B925" s="67" t="str">
        <f aca="false">""</f>
        <v/>
      </c>
      <c r="C925" s="67"/>
      <c r="D925" s="23" t="str">
        <f aca="false">IFERROR(INDEX(分录收入!$E:$E,MATCH($L925,分录收入!$L:$L,0)),"")</f>
        <v>其他应收款</v>
      </c>
      <c r="E925" s="23" t="str">
        <f aca="false">IFERROR(INDEX(分录收入!$F:$F,MATCH($L925,分录收入!$L:$L,0)),"")</f>
        <v>储值卡</v>
      </c>
      <c r="F925" s="68" t="n">
        <f aca="false">IFERROR(INDEX(分录收入!$H:$H,MATCH($L925,分录收入!$L:$L,0)),"")</f>
        <v>916.08</v>
      </c>
      <c r="G925" s="69" t="str">
        <f aca="false">IFERROR(INDEX(分录收入!$I:$I,MATCH($L925,分录收入!$L:$L,0)),"")</f>
        <v/>
      </c>
      <c r="H925" s="23"/>
      <c r="I925" s="70"/>
      <c r="L925" s="71" t="n">
        <f aca="false">IF(助手收入!$R$63="",-1,助手收入!$R$63*100+(助手收入!$S$63-1)*6+5)</f>
        <v>3505</v>
      </c>
    </row>
    <row r="926" customFormat="false" ht="23.25" hidden="false" customHeight="true" outlineLevel="0" collapsed="false">
      <c r="B926" s="67" t="str">
        <f aca="false">""</f>
        <v/>
      </c>
      <c r="C926" s="67"/>
      <c r="D926" s="23" t="str">
        <f aca="false">IFERROR(INDEX(分录收入!$E:$E,MATCH($L926,分录收入!$L:$L,0)),"")</f>
        <v>其他应付款</v>
      </c>
      <c r="E926" s="23" t="str">
        <f aca="false">IFERROR(INDEX(分录收入!$F:$F,MATCH($L926,分录收入!$L:$L,0)),"")</f>
        <v>会员零钱包</v>
      </c>
      <c r="F926" s="68" t="str">
        <f aca="false">IFERROR(INDEX(分录收入!$H:$H,MATCH($L926,分录收入!$L:$L,0)),"")</f>
        <v/>
      </c>
      <c r="G926" s="69" t="n">
        <f aca="false">IFERROR(INDEX(分录收入!$I:$I,MATCH($L926,分录收入!$L:$L,0)),"")</f>
        <v>0.84</v>
      </c>
      <c r="H926" s="23"/>
      <c r="I926" s="70"/>
      <c r="L926" s="71" t="n">
        <f aca="false">IF(助手收入!$R$63="",-1,助手收入!$R$63*100+(助手收入!$S$63-1)*6+6)</f>
        <v>3506</v>
      </c>
    </row>
    <row r="927" customFormat="false" ht="23.25" hidden="false" customHeight="true" outlineLevel="0" collapsed="false">
      <c r="B927" s="72" t="str">
        <f aca="false">IF(助手收入!$T$63=1,"合计：","")</f>
        <v/>
      </c>
      <c r="C927" s="73" t="str">
        <f aca="false">IF(助手收入!$T$63=1,$F927,"")</f>
        <v/>
      </c>
      <c r="D927" s="74"/>
      <c r="E927" s="74"/>
      <c r="F927" s="75" t="str">
        <f aca="false">IF(助手收入!$T$63=1,INDEX(助手收入!$N$2:$N$66,助手收入!$R$63),"")</f>
        <v/>
      </c>
      <c r="G927" s="76" t="str">
        <f aca="false">IF(助手收入!$T$63=1,INDEX(助手收入!$O$2:$O$66,助手收入!$R$63),"")</f>
        <v/>
      </c>
      <c r="H927" s="74"/>
      <c r="I927" s="77"/>
    </row>
    <row r="928" customFormat="false" ht="6" hidden="false" customHeight="true" outlineLevel="0" collapsed="false"/>
    <row r="929" customFormat="false" ht="13.5" hidden="false" customHeight="false" outlineLevel="0" collapsed="false">
      <c r="B929" s="78" t="str">
        <f aca="false">IF(助手收入!$R$63&lt;&gt;"","会计主管：","")</f>
        <v>会计主管：</v>
      </c>
      <c r="D929" s="78" t="str">
        <f aca="false">IF(助手收入!$R$63&lt;&gt;"","会计：","")</f>
        <v>会计：</v>
      </c>
      <c r="E929" s="78" t="str">
        <f aca="false">IF(助手收入!$R$63&lt;&gt;"","出纳：","")</f>
        <v>出纳：</v>
      </c>
      <c r="F929" s="78" t="str">
        <f aca="false">IF(助手收入!$R$63&lt;&gt;"","复核：","")</f>
        <v>复核：</v>
      </c>
      <c r="G929" s="78" t="str">
        <f aca="false">IF(助手收入!$R$63&lt;&gt;"","制单：","")</f>
        <v>制单：</v>
      </c>
    </row>
    <row r="930" customFormat="false" ht="3" hidden="false" customHeight="true" outlineLevel="0" collapsed="false"/>
    <row r="931" customFormat="false" ht="19.5" hidden="false" customHeight="true" outlineLevel="0" collapsed="false">
      <c r="B931" s="53" t="str">
        <f aca="false">IF(助手收入!$R$64&lt;&gt;"","记  账  凭  证","")</f>
        <v>记  账  凭  证</v>
      </c>
      <c r="C931" s="53"/>
      <c r="D931" s="53"/>
      <c r="E931" s="53"/>
      <c r="F931" s="53"/>
      <c r="G931" s="53"/>
      <c r="H931" s="53"/>
      <c r="I931" s="53"/>
    </row>
    <row r="932" customFormat="false" ht="3" hidden="false" customHeight="true" outlineLevel="0" collapsed="false"/>
    <row r="933" customFormat="false" ht="15" hidden="false" customHeight="true" outlineLevel="0" collapsed="false">
      <c r="C933" s="56" t="n">
        <f aca="false">IF(助手收入!$R$64&lt;&gt;"",INDEX(助手收入!$B$2:$B$66,助手收入!$R$64),"")</f>
        <v>2053</v>
      </c>
      <c r="D933" s="57" t="n">
        <f aca="false">IF(助手收入!$R$64&lt;&gt;"",参数!$B$2,"")</f>
        <v>46234</v>
      </c>
      <c r="E933" s="57"/>
      <c r="F933" s="58" t="str">
        <f aca="false">IF(助手收入!$R$64&lt;&gt;"",INDEX(助手收入!$C$2:$C$66,助手收入!$R$64)&amp;"  字第 "&amp;IF(参数!$B$9="是",INDEX(助手收入!$P$2:$P$66,助手收入!$R$64),"　　　　")&amp;" 号"&amp;IF(INDEX(助手收入!$L$2:$L$66,助手收入!$R$64)&gt;1,"  (共"&amp;INDEX(助手收入!$L$2:$L$66,助手收入!$R$64)&amp;"页 第"&amp;助手收入!$S$64&amp;"页)",""),"")</f>
        <v>博鑫店  字第 　　　　 号  (共2页 第2页)</v>
      </c>
      <c r="G933" s="58"/>
      <c r="H933" s="58"/>
      <c r="I933" s="58"/>
      <c r="M933" s="59" t="n">
        <f aca="false">IF(助手收入!$R$64="","",助手收入!$Q$64)</f>
        <v>63</v>
      </c>
      <c r="N933" s="60" t="n">
        <f aca="false">IF(助手收入!$R$64="","",INDEX(助手收入!$P$2:$P$66,助手收入!$R$64))</f>
        <v>34</v>
      </c>
      <c r="O933" s="55" t="str">
        <f aca="false">IF(助手收入!$R$64="","",INDEX(助手收入!$C$2:$C$66,助手收入!$R$64)&amp;"  字第 "&amp;INDEX(助手收入!$P$2:$P$66,助手收入!$R$64)&amp;" 号"&amp;IF(INDEX(助手收入!$L$2:$L$66,助手收入!$R$64)&gt;1,"  (共"&amp;INDEX(助手收入!$L$2:$L$66,助手收入!$R$64)&amp;"页 第"&amp;助手收入!$S$64&amp;"页)",""))</f>
        <v>博鑫店  字第 34 号  (共2页 第2页)</v>
      </c>
    </row>
    <row r="934" customFormat="false" ht="12.75" hidden="false" customHeight="true" outlineLevel="0" collapsed="false">
      <c r="B934" s="61" t="str">
        <f aca="false">IF(助手收入!$R$64&lt;&gt;"","摘　　要","")</f>
        <v>摘　　要</v>
      </c>
      <c r="C934" s="61"/>
      <c r="D934" s="62" t="str">
        <f aca="false">IF(助手收入!$R$64&lt;&gt;"","科　　　　目","")</f>
        <v>科　　　　目</v>
      </c>
      <c r="E934" s="62"/>
      <c r="F934" s="61" t="str">
        <f aca="false">IF(助手收入!$R$64&lt;&gt;"","借 方 金 额","")</f>
        <v>借 方 金 额</v>
      </c>
      <c r="G934" s="62" t="str">
        <f aca="false">IF(助手收入!$R$64&lt;&gt;"","贷 方 金 额","")</f>
        <v>贷 方 金 额</v>
      </c>
      <c r="H934" s="63" t="str">
        <f aca="false">IF(助手收入!$R$64&lt;&gt;"","√","")</f>
        <v>√</v>
      </c>
      <c r="I934" s="64" t="str">
        <f aca="false">IF(助手收入!$R$64&lt;&gt;"","附单据  张","")</f>
        <v>附单据  张</v>
      </c>
    </row>
    <row r="935" customFormat="false" ht="12.75" hidden="false" customHeight="true" outlineLevel="0" collapsed="false">
      <c r="B935" s="61"/>
      <c r="C935" s="61"/>
      <c r="D935" s="23" t="str">
        <f aca="false">IF(助手收入!$R$64&lt;&gt;"","总 账 科 目","")</f>
        <v>总 账 科 目</v>
      </c>
      <c r="E935" s="23" t="str">
        <f aca="false">IF(助手收入!$R$64&lt;&gt;"","明 细 科 目","")</f>
        <v>明 细 科 目</v>
      </c>
      <c r="F935" s="65"/>
      <c r="G935" s="66"/>
      <c r="H935" s="63"/>
      <c r="I935" s="64"/>
    </row>
    <row r="936" customFormat="false" ht="23.25" hidden="false" customHeight="true" outlineLevel="0" collapsed="false">
      <c r="B936" s="67" t="str">
        <f aca="false">IFERROR(INDEX(分录收入!$M:$M,MATCH($L936,分录收入!$L:$L,0)),"")</f>
        <v>7月收入</v>
      </c>
      <c r="C936" s="67"/>
      <c r="D936" s="23" t="str">
        <f aca="false">IFERROR(INDEX(分录收入!$E:$E,MATCH($L936,分录收入!$L:$L,0)),"")</f>
        <v>销售费用</v>
      </c>
      <c r="E936" s="23" t="str">
        <f aca="false">IFERROR(INDEX(分录收入!$F:$F,MATCH($L936,分录收入!$L:$L,0)),"")</f>
        <v>促销费</v>
      </c>
      <c r="F936" s="68" t="n">
        <f aca="false">IFERROR(INDEX(分录收入!$H:$H,MATCH($L936,分录收入!$L:$L,0)),"")</f>
        <v>532.72</v>
      </c>
      <c r="G936" s="69" t="str">
        <f aca="false">IFERROR(INDEX(分录收入!$I:$I,MATCH($L936,分录收入!$L:$L,0)),"")</f>
        <v/>
      </c>
      <c r="H936" s="23"/>
      <c r="I936" s="70"/>
      <c r="L936" s="71" t="n">
        <f aca="false">IF(助手收入!$R$64="",-1,助手收入!$R$64*100+(助手收入!$S$64-1)*6+1)</f>
        <v>3507</v>
      </c>
    </row>
    <row r="937" customFormat="false" ht="23.25" hidden="false" customHeight="true" outlineLevel="0" collapsed="false">
      <c r="B937" s="67" t="str">
        <f aca="false">""</f>
        <v/>
      </c>
      <c r="C937" s="67"/>
      <c r="D937" s="23" t="str">
        <f aca="false">IFERROR(INDEX(分录收入!$E:$E,MATCH($L937,分录收入!$L:$L,0)),"")</f>
        <v>财务费用</v>
      </c>
      <c r="E937" s="23" t="str">
        <f aca="false">IFERROR(INDEX(分录收入!$F:$F,MATCH($L937,分录收入!$L:$L,0)),"")</f>
        <v>手续费</v>
      </c>
      <c r="F937" s="68" t="n">
        <f aca="false">IFERROR(INDEX(分录收入!$H:$H,MATCH($L937,分录收入!$L:$L,0)),"")</f>
        <v>71.06</v>
      </c>
      <c r="G937" s="69" t="str">
        <f aca="false">IFERROR(INDEX(分录收入!$I:$I,MATCH($L937,分录收入!$L:$L,0)),"")</f>
        <v/>
      </c>
      <c r="H937" s="23"/>
      <c r="I937" s="70"/>
      <c r="L937" s="71" t="n">
        <f aca="false">IF(助手收入!$R$64="",-1,助手收入!$R$64*100+(助手收入!$S$64-1)*6+2)</f>
        <v>3508</v>
      </c>
    </row>
    <row r="938" customFormat="false" ht="23.25" hidden="false" customHeight="true" outlineLevel="0" collapsed="false">
      <c r="B938" s="67" t="str">
        <f aca="false">""</f>
        <v/>
      </c>
      <c r="C938" s="67"/>
      <c r="D938" s="23" t="str">
        <f aca="false">IFERROR(INDEX(分录收入!$E:$E,MATCH($L938,分录收入!$L:$L,0)),"")</f>
        <v>主营业务收入</v>
      </c>
      <c r="E938" s="23" t="str">
        <f aca="false">IFERROR(INDEX(分录收入!$F:$F,MATCH($L938,分录收入!$L:$L,0)),"")</f>
        <v/>
      </c>
      <c r="F938" s="68" t="str">
        <f aca="false">IFERROR(INDEX(分录收入!$H:$H,MATCH($L938,分录收入!$L:$L,0)),"")</f>
        <v/>
      </c>
      <c r="G938" s="69" t="n">
        <f aca="false">IFERROR(INDEX(分录收入!$I:$I,MATCH($L938,分录收入!$L:$L,0)),"")</f>
        <v>41232.59</v>
      </c>
      <c r="H938" s="23"/>
      <c r="I938" s="70"/>
      <c r="L938" s="71" t="n">
        <f aca="false">IF(助手收入!$R$64="",-1,助手收入!$R$64*100+(助手收入!$S$64-1)*6+3)</f>
        <v>3509</v>
      </c>
    </row>
    <row r="939" customFormat="false" ht="23.25" hidden="false" customHeight="true" outlineLevel="0" collapsed="false">
      <c r="B939" s="67" t="str">
        <f aca="false">""</f>
        <v/>
      </c>
      <c r="C939" s="67"/>
      <c r="D939" s="23" t="str">
        <f aca="false">IFERROR(INDEX(分录收入!$E:$E,MATCH($L939,分录收入!$L:$L,0)),"")</f>
        <v/>
      </c>
      <c r="E939" s="23" t="str">
        <f aca="false">IFERROR(INDEX(分录收入!$F:$F,MATCH($L939,分录收入!$L:$L,0)),"")</f>
        <v/>
      </c>
      <c r="F939" s="68" t="str">
        <f aca="false">IFERROR(INDEX(分录收入!$H:$H,MATCH($L939,分录收入!$L:$L,0)),"")</f>
        <v/>
      </c>
      <c r="G939" s="69" t="str">
        <f aca="false">IFERROR(INDEX(分录收入!$I:$I,MATCH($L939,分录收入!$L:$L,0)),"")</f>
        <v/>
      </c>
      <c r="H939" s="23"/>
      <c r="I939" s="70"/>
      <c r="L939" s="71" t="n">
        <f aca="false">IF(助手收入!$R$64="",-1,助手收入!$R$64*100+(助手收入!$S$64-1)*6+4)</f>
        <v>3510</v>
      </c>
    </row>
    <row r="940" customFormat="false" ht="23.25" hidden="false" customHeight="true" outlineLevel="0" collapsed="false">
      <c r="B940" s="67" t="str">
        <f aca="false">""</f>
        <v/>
      </c>
      <c r="C940" s="67"/>
      <c r="D940" s="23" t="str">
        <f aca="false">IFERROR(INDEX(分录收入!$E:$E,MATCH($L940,分录收入!$L:$L,0)),"")</f>
        <v/>
      </c>
      <c r="E940" s="23" t="str">
        <f aca="false">IFERROR(INDEX(分录收入!$F:$F,MATCH($L940,分录收入!$L:$L,0)),"")</f>
        <v/>
      </c>
      <c r="F940" s="68" t="str">
        <f aca="false">IFERROR(INDEX(分录收入!$H:$H,MATCH($L940,分录收入!$L:$L,0)),"")</f>
        <v/>
      </c>
      <c r="G940" s="69" t="str">
        <f aca="false">IFERROR(INDEX(分录收入!$I:$I,MATCH($L940,分录收入!$L:$L,0)),"")</f>
        <v/>
      </c>
      <c r="H940" s="23"/>
      <c r="I940" s="70"/>
      <c r="L940" s="71" t="n">
        <f aca="false">IF(助手收入!$R$64="",-1,助手收入!$R$64*100+(助手收入!$S$64-1)*6+5)</f>
        <v>3511</v>
      </c>
    </row>
    <row r="941" customFormat="false" ht="23.25" hidden="false" customHeight="true" outlineLevel="0" collapsed="false">
      <c r="B941" s="67" t="str">
        <f aca="false">""</f>
        <v/>
      </c>
      <c r="C941" s="67"/>
      <c r="D941" s="23" t="str">
        <f aca="false">IFERROR(INDEX(分录收入!$E:$E,MATCH($L941,分录收入!$L:$L,0)),"")</f>
        <v/>
      </c>
      <c r="E941" s="23" t="str">
        <f aca="false">IFERROR(INDEX(分录收入!$F:$F,MATCH($L941,分录收入!$L:$L,0)),"")</f>
        <v/>
      </c>
      <c r="F941" s="68" t="str">
        <f aca="false">IFERROR(INDEX(分录收入!$H:$H,MATCH($L941,分录收入!$L:$L,0)),"")</f>
        <v/>
      </c>
      <c r="G941" s="69" t="str">
        <f aca="false">IFERROR(INDEX(分录收入!$I:$I,MATCH($L941,分录收入!$L:$L,0)),"")</f>
        <v/>
      </c>
      <c r="H941" s="23"/>
      <c r="I941" s="70"/>
      <c r="L941" s="71" t="n">
        <f aca="false">IF(助手收入!$R$64="",-1,助手收入!$R$64*100+(助手收入!$S$64-1)*6+6)</f>
        <v>3512</v>
      </c>
    </row>
    <row r="942" customFormat="false" ht="23.25" hidden="false" customHeight="true" outlineLevel="0" collapsed="false">
      <c r="B942" s="72" t="str">
        <f aca="false">IF(助手收入!$T$64=1,"合计：","")</f>
        <v>合计：</v>
      </c>
      <c r="C942" s="73" t="n">
        <f aca="false">IF(助手收入!$T$64=1,$F942,"")</f>
        <v>41233.43</v>
      </c>
      <c r="D942" s="74"/>
      <c r="E942" s="74"/>
      <c r="F942" s="75" t="n">
        <f aca="false">IF(助手收入!$T$64=1,INDEX(助手收入!$N$2:$N$66,助手收入!$R$64),"")</f>
        <v>41233.43</v>
      </c>
      <c r="G942" s="76" t="n">
        <f aca="false">IF(助手收入!$T$64=1,INDEX(助手收入!$O$2:$O$66,助手收入!$R$64),"")</f>
        <v>41233.43</v>
      </c>
      <c r="H942" s="74"/>
      <c r="I942" s="77"/>
    </row>
    <row r="943" customFormat="false" ht="6" hidden="false" customHeight="true" outlineLevel="0" collapsed="false"/>
    <row r="944" customFormat="false" ht="13.5" hidden="false" customHeight="false" outlineLevel="0" collapsed="false">
      <c r="B944" s="78" t="str">
        <f aca="false">IF(助手收入!$R$64&lt;&gt;"","会计主管：","")</f>
        <v>会计主管：</v>
      </c>
      <c r="D944" s="78" t="str">
        <f aca="false">IF(助手收入!$R$64&lt;&gt;"","会计：","")</f>
        <v>会计：</v>
      </c>
      <c r="E944" s="78" t="str">
        <f aca="false">IF(助手收入!$R$64&lt;&gt;"","出纳：","")</f>
        <v>出纳：</v>
      </c>
      <c r="F944" s="78" t="str">
        <f aca="false">IF(助手收入!$R$64&lt;&gt;"","复核：","")</f>
        <v>复核：</v>
      </c>
      <c r="G944" s="78" t="str">
        <f aca="false">IF(助手收入!$R$64&lt;&gt;"","制单：","")</f>
        <v>制单：</v>
      </c>
    </row>
    <row r="945" customFormat="false" ht="3" hidden="false" customHeight="true" outlineLevel="0" collapsed="false"/>
    <row r="946" customFormat="false" ht="19.5" hidden="false" customHeight="true" outlineLevel="0" collapsed="false">
      <c r="B946" s="53" t="str">
        <f aca="false">IF(助手收入!$R$65&lt;&gt;"","记  账  凭  证","")</f>
        <v>记  账  凭  证</v>
      </c>
      <c r="C946" s="53"/>
      <c r="D946" s="53"/>
      <c r="E946" s="53"/>
      <c r="F946" s="53"/>
      <c r="G946" s="53"/>
      <c r="H946" s="53"/>
      <c r="I946" s="53"/>
    </row>
    <row r="947" customFormat="false" ht="3" hidden="false" customHeight="true" outlineLevel="0" collapsed="false"/>
    <row r="948" customFormat="false" ht="15" hidden="false" customHeight="true" outlineLevel="0" collapsed="false">
      <c r="C948" s="56" t="n">
        <f aca="false">IF(助手收入!$R$65&lt;&gt;"",INDEX(助手收入!$B$2:$B$66,助手收入!$R$65),"")</f>
        <v>2055</v>
      </c>
      <c r="D948" s="57" t="n">
        <f aca="false">IF(助手收入!$R$65&lt;&gt;"",参数!$B$2,"")</f>
        <v>46234</v>
      </c>
      <c r="E948" s="57"/>
      <c r="F948" s="58" t="str">
        <f aca="false">IF(助手收入!$R$65&lt;&gt;"",INDEX(助手收入!$C$2:$C$66,助手收入!$R$65)&amp;"  字第 "&amp;IF(参数!$B$9="是",INDEX(助手收入!$P$2:$P$66,助手收入!$R$65),"　　　　")&amp;" 号"&amp;IF(INDEX(助手收入!$L$2:$L$66,助手收入!$R$65)&gt;1,"  (共"&amp;INDEX(助手收入!$L$2:$L$66,助手收入!$R$65)&amp;"页 第"&amp;助手收入!$S$65&amp;"页)",""),"")</f>
        <v>博魏店  字第 　　　　 号</v>
      </c>
      <c r="G948" s="58"/>
      <c r="H948" s="58"/>
      <c r="I948" s="58"/>
      <c r="M948" s="59" t="n">
        <f aca="false">IF(助手收入!$R$65="","",助手收入!$Q$65)</f>
        <v>64</v>
      </c>
      <c r="N948" s="60" t="n">
        <f aca="false">IF(助手收入!$R$65="","",INDEX(助手收入!$P$2:$P$66,助手收入!$R$65))</f>
        <v>35</v>
      </c>
      <c r="O948" s="55" t="str">
        <f aca="false">IF(助手收入!$R$65="","",INDEX(助手收入!$C$2:$C$66,助手收入!$R$65)&amp;"  字第 "&amp;INDEX(助手收入!$P$2:$P$66,助手收入!$R$65)&amp;" 号"&amp;IF(INDEX(助手收入!$L$2:$L$66,助手收入!$R$65)&gt;1,"  (共"&amp;INDEX(助手收入!$L$2:$L$66,助手收入!$R$65)&amp;"页 第"&amp;助手收入!$S$65&amp;"页)",""))</f>
        <v>博魏店  字第 35 号</v>
      </c>
    </row>
    <row r="949" customFormat="false" ht="12.75" hidden="false" customHeight="true" outlineLevel="0" collapsed="false">
      <c r="B949" s="61" t="str">
        <f aca="false">IF(助手收入!$R$65&lt;&gt;"","摘　　要","")</f>
        <v>摘　　要</v>
      </c>
      <c r="C949" s="61"/>
      <c r="D949" s="62" t="str">
        <f aca="false">IF(助手收入!$R$65&lt;&gt;"","科　　　　目","")</f>
        <v>科　　　　目</v>
      </c>
      <c r="E949" s="62"/>
      <c r="F949" s="61" t="str">
        <f aca="false">IF(助手收入!$R$65&lt;&gt;"","借 方 金 额","")</f>
        <v>借 方 金 额</v>
      </c>
      <c r="G949" s="62" t="str">
        <f aca="false">IF(助手收入!$R$65&lt;&gt;"","贷 方 金 额","")</f>
        <v>贷 方 金 额</v>
      </c>
      <c r="H949" s="63" t="str">
        <f aca="false">IF(助手收入!$R$65&lt;&gt;"","√","")</f>
        <v>√</v>
      </c>
      <c r="I949" s="64" t="str">
        <f aca="false">IF(助手收入!$R$65&lt;&gt;"","附单据  张","")</f>
        <v>附单据  张</v>
      </c>
    </row>
    <row r="950" customFormat="false" ht="12.75" hidden="false" customHeight="true" outlineLevel="0" collapsed="false">
      <c r="B950" s="61"/>
      <c r="C950" s="61"/>
      <c r="D950" s="23" t="str">
        <f aca="false">IF(助手收入!$R$65&lt;&gt;"","总 账 科 目","")</f>
        <v>总 账 科 目</v>
      </c>
      <c r="E950" s="23" t="str">
        <f aca="false">IF(助手收入!$R$65&lt;&gt;"","明 细 科 目","")</f>
        <v>明 细 科 目</v>
      </c>
      <c r="F950" s="65"/>
      <c r="G950" s="66"/>
      <c r="H950" s="63"/>
      <c r="I950" s="64"/>
    </row>
    <row r="951" customFormat="false" ht="23.25" hidden="false" customHeight="true" outlineLevel="0" collapsed="false">
      <c r="B951" s="67" t="str">
        <f aca="false">IFERROR(INDEX(分录收入!$M:$M,MATCH($L951,分录收入!$L:$L,0)),"")</f>
        <v>7月收入</v>
      </c>
      <c r="C951" s="67"/>
      <c r="D951" s="23" t="str">
        <f aca="false">IFERROR(INDEX(分录收入!$E:$E,MATCH($L951,分录收入!$L:$L,0)),"")</f>
        <v>库存现金</v>
      </c>
      <c r="E951" s="23" t="str">
        <f aca="false">IFERROR(INDEX(分录收入!$F:$F,MATCH($L951,分录收入!$L:$L,0)),"")</f>
        <v/>
      </c>
      <c r="F951" s="68" t="n">
        <f aca="false">IFERROR(INDEX(分录收入!$H:$H,MATCH($L951,分录收入!$L:$L,0)),"")</f>
        <v>10010.43</v>
      </c>
      <c r="G951" s="69" t="str">
        <f aca="false">IFERROR(INDEX(分录收入!$I:$I,MATCH($L951,分录收入!$L:$L,0)),"")</f>
        <v/>
      </c>
      <c r="H951" s="23"/>
      <c r="I951" s="70"/>
      <c r="L951" s="71" t="n">
        <f aca="false">IF(助手收入!$R$65="",-1,助手收入!$R$65*100+(助手收入!$S$65-1)*6+1)</f>
        <v>3601</v>
      </c>
    </row>
    <row r="952" customFormat="false" ht="23.25" hidden="false" customHeight="true" outlineLevel="0" collapsed="false">
      <c r="B952" s="67" t="str">
        <f aca="false">""</f>
        <v/>
      </c>
      <c r="C952" s="67"/>
      <c r="D952" s="23" t="str">
        <f aca="false">IFERROR(INDEX(分录收入!$E:$E,MATCH($L952,分录收入!$L:$L,0)),"")</f>
        <v>应收账款</v>
      </c>
      <c r="E952" s="23" t="str">
        <f aca="false">IFERROR(INDEX(分录收入!$F:$F,MATCH($L952,分录收入!$L:$L,0)),"")</f>
        <v>聚合支付</v>
      </c>
      <c r="F952" s="68" t="n">
        <f aca="false">IFERROR(INDEX(分录收入!$H:$H,MATCH($L952,分录收入!$L:$L,0)),"")</f>
        <v>25425.29</v>
      </c>
      <c r="G952" s="69" t="str">
        <f aca="false">IFERROR(INDEX(分录收入!$I:$I,MATCH($L952,分录收入!$L:$L,0)),"")</f>
        <v/>
      </c>
      <c r="H952" s="23"/>
      <c r="I952" s="70"/>
      <c r="L952" s="71" t="n">
        <f aca="false">IF(助手收入!$R$65="",-1,助手收入!$R$65*100+(助手收入!$S$65-1)*6+2)</f>
        <v>3602</v>
      </c>
    </row>
    <row r="953" customFormat="false" ht="23.25" hidden="false" customHeight="true" outlineLevel="0" collapsed="false">
      <c r="B953" s="67" t="str">
        <f aca="false">""</f>
        <v/>
      </c>
      <c r="C953" s="67"/>
      <c r="D953" s="23" t="str">
        <f aca="false">IFERROR(INDEX(分录收入!$E:$E,MATCH($L953,分录收入!$L:$L,0)),"")</f>
        <v>其他应收款</v>
      </c>
      <c r="E953" s="23" t="str">
        <f aca="false">IFERROR(INDEX(分录收入!$F:$F,MATCH($L953,分录收入!$L:$L,0)),"")</f>
        <v>储值卡</v>
      </c>
      <c r="F953" s="68" t="n">
        <f aca="false">IFERROR(INDEX(分录收入!$H:$H,MATCH($L953,分录收入!$L:$L,0)),"")</f>
        <v>15.3</v>
      </c>
      <c r="G953" s="69" t="str">
        <f aca="false">IFERROR(INDEX(分录收入!$I:$I,MATCH($L953,分录收入!$L:$L,0)),"")</f>
        <v/>
      </c>
      <c r="H953" s="23"/>
      <c r="I953" s="70"/>
      <c r="L953" s="71" t="n">
        <f aca="false">IF(助手收入!$R$65="",-1,助手收入!$R$65*100+(助手收入!$S$65-1)*6+3)</f>
        <v>3603</v>
      </c>
    </row>
    <row r="954" customFormat="false" ht="23.25" hidden="false" customHeight="true" outlineLevel="0" collapsed="false">
      <c r="B954" s="67" t="str">
        <f aca="false">""</f>
        <v/>
      </c>
      <c r="C954" s="67"/>
      <c r="D954" s="23" t="str">
        <f aca="false">IFERROR(INDEX(分录收入!$E:$E,MATCH($L954,分录收入!$L:$L,0)),"")</f>
        <v>销售费用</v>
      </c>
      <c r="E954" s="23" t="str">
        <f aca="false">IFERROR(INDEX(分录收入!$F:$F,MATCH($L954,分录收入!$L:$L,0)),"")</f>
        <v>促销费</v>
      </c>
      <c r="F954" s="68" t="n">
        <f aca="false">IFERROR(INDEX(分录收入!$H:$H,MATCH($L954,分录收入!$L:$L,0)),"")</f>
        <v>192.6</v>
      </c>
      <c r="G954" s="69" t="str">
        <f aca="false">IFERROR(INDEX(分录收入!$I:$I,MATCH($L954,分录收入!$L:$L,0)),"")</f>
        <v/>
      </c>
      <c r="H954" s="23"/>
      <c r="I954" s="70"/>
      <c r="L954" s="71" t="n">
        <f aca="false">IF(助手收入!$R$65="",-1,助手收入!$R$65*100+(助手收入!$S$65-1)*6+4)</f>
        <v>3604</v>
      </c>
    </row>
    <row r="955" customFormat="false" ht="23.25" hidden="false" customHeight="true" outlineLevel="0" collapsed="false">
      <c r="B955" s="67" t="str">
        <f aca="false">""</f>
        <v/>
      </c>
      <c r="C955" s="67"/>
      <c r="D955" s="23" t="str">
        <f aca="false">IFERROR(INDEX(分录收入!$E:$E,MATCH($L955,分录收入!$L:$L,0)),"")</f>
        <v>财务费用</v>
      </c>
      <c r="E955" s="23" t="str">
        <f aca="false">IFERROR(INDEX(分录收入!$F:$F,MATCH($L955,分录收入!$L:$L,0)),"")</f>
        <v>手续费</v>
      </c>
      <c r="F955" s="68" t="n">
        <f aca="false">IFERROR(INDEX(分录收入!$H:$H,MATCH($L955,分录收入!$L:$L,0)),"")</f>
        <v>68.83</v>
      </c>
      <c r="G955" s="69" t="str">
        <f aca="false">IFERROR(INDEX(分录收入!$I:$I,MATCH($L955,分录收入!$L:$L,0)),"")</f>
        <v/>
      </c>
      <c r="H955" s="23"/>
      <c r="I955" s="70"/>
      <c r="L955" s="71" t="n">
        <f aca="false">IF(助手收入!$R$65="",-1,助手收入!$R$65*100+(助手收入!$S$65-1)*6+5)</f>
        <v>3605</v>
      </c>
    </row>
    <row r="956" customFormat="false" ht="23.25" hidden="false" customHeight="true" outlineLevel="0" collapsed="false">
      <c r="B956" s="67" t="str">
        <f aca="false">""</f>
        <v/>
      </c>
      <c r="C956" s="67"/>
      <c r="D956" s="23" t="str">
        <f aca="false">IFERROR(INDEX(分录收入!$E:$E,MATCH($L956,分录收入!$L:$L,0)),"")</f>
        <v>主营业务收入</v>
      </c>
      <c r="E956" s="23" t="str">
        <f aca="false">IFERROR(INDEX(分录收入!$F:$F,MATCH($L956,分录收入!$L:$L,0)),"")</f>
        <v/>
      </c>
      <c r="F956" s="68" t="str">
        <f aca="false">IFERROR(INDEX(分录收入!$H:$H,MATCH($L956,分录收入!$L:$L,0)),"")</f>
        <v/>
      </c>
      <c r="G956" s="69" t="n">
        <f aca="false">IFERROR(INDEX(分录收入!$I:$I,MATCH($L956,分录收入!$L:$L,0)),"")</f>
        <v>35712.45</v>
      </c>
      <c r="H956" s="23"/>
      <c r="I956" s="70"/>
      <c r="L956" s="71" t="n">
        <f aca="false">IF(助手收入!$R$65="",-1,助手收入!$R$65*100+(助手收入!$S$65-1)*6+6)</f>
        <v>3606</v>
      </c>
    </row>
    <row r="957" customFormat="false" ht="23.25" hidden="false" customHeight="true" outlineLevel="0" collapsed="false">
      <c r="B957" s="72" t="str">
        <f aca="false">IF(助手收入!$T$65=1,"合计：","")</f>
        <v>合计：</v>
      </c>
      <c r="C957" s="73" t="n">
        <f aca="false">IF(助手收入!$T$65=1,$F957,"")</f>
        <v>35712.45</v>
      </c>
      <c r="D957" s="74"/>
      <c r="E957" s="74"/>
      <c r="F957" s="75" t="n">
        <f aca="false">IF(助手收入!$T$65=1,INDEX(助手收入!$N$2:$N$66,助手收入!$R$65),"")</f>
        <v>35712.45</v>
      </c>
      <c r="G957" s="76" t="n">
        <f aca="false">IF(助手收入!$T$65=1,INDEX(助手收入!$O$2:$O$66,助手收入!$R$65),"")</f>
        <v>35712.45</v>
      </c>
      <c r="H957" s="74"/>
      <c r="I957" s="77"/>
    </row>
    <row r="958" customFormat="false" ht="6" hidden="false" customHeight="true" outlineLevel="0" collapsed="false"/>
    <row r="959" customFormat="false" ht="13.5" hidden="false" customHeight="false" outlineLevel="0" collapsed="false">
      <c r="B959" s="78" t="str">
        <f aca="false">IF(助手收入!$R$65&lt;&gt;"","会计主管：","")</f>
        <v>会计主管：</v>
      </c>
      <c r="D959" s="78" t="str">
        <f aca="false">IF(助手收入!$R$65&lt;&gt;"","会计：","")</f>
        <v>会计：</v>
      </c>
      <c r="E959" s="78" t="str">
        <f aca="false">IF(助手收入!$R$65&lt;&gt;"","出纳：","")</f>
        <v>出纳：</v>
      </c>
      <c r="F959" s="78" t="str">
        <f aca="false">IF(助手收入!$R$65&lt;&gt;"","复核：","")</f>
        <v>复核：</v>
      </c>
      <c r="G959" s="78" t="str">
        <f aca="false">IF(助手收入!$R$65&lt;&gt;"","制单：","")</f>
        <v>制单：</v>
      </c>
    </row>
    <row r="960" customFormat="false" ht="3" hidden="false" customHeight="true" outlineLevel="0" collapsed="false"/>
    <row r="961" customFormat="false" ht="19.5" hidden="false" customHeight="true" outlineLevel="0" collapsed="false">
      <c r="B961" s="53" t="str">
        <f aca="false">IF(助手收入!$R$66&lt;&gt;"","记  账  凭  证","")</f>
        <v>记  账  凭  证</v>
      </c>
      <c r="C961" s="53"/>
      <c r="D961" s="53"/>
      <c r="E961" s="53"/>
      <c r="F961" s="53"/>
      <c r="G961" s="53"/>
      <c r="H961" s="53"/>
      <c r="I961" s="53"/>
    </row>
    <row r="962" customFormat="false" ht="3" hidden="false" customHeight="true" outlineLevel="0" collapsed="false"/>
    <row r="963" customFormat="false" ht="15" hidden="false" customHeight="true" outlineLevel="0" collapsed="false">
      <c r="C963" s="56" t="n">
        <f aca="false">IF(助手收入!$R$66&lt;&gt;"",INDEX(助手收入!$B$2:$B$66,助手收入!$R$66),"")</f>
        <v>2057</v>
      </c>
      <c r="D963" s="57" t="n">
        <f aca="false">IF(助手收入!$R$66&lt;&gt;"",参数!$B$2,"")</f>
        <v>46234</v>
      </c>
      <c r="E963" s="57"/>
      <c r="F963" s="58" t="str">
        <f aca="false">IF(助手收入!$R$66&lt;&gt;"",INDEX(助手收入!$C$2:$C$66,助手收入!$R$66)&amp;"  字第 "&amp;IF(参数!$B$9="是",INDEX(助手收入!$P$2:$P$66,助手收入!$R$66),"　　　　")&amp;" 号"&amp;IF(INDEX(助手收入!$L$2:$L$66,助手收入!$R$66)&gt;1,"  (共"&amp;INDEX(助手收入!$L$2:$L$66,助手收入!$R$66)&amp;"页 第"&amp;助手收入!$S$66&amp;"页)",""),"")</f>
        <v>博城店  字第 　　　　 号</v>
      </c>
      <c r="G963" s="58"/>
      <c r="H963" s="58"/>
      <c r="I963" s="58"/>
      <c r="M963" s="59" t="n">
        <f aca="false">IF(助手收入!$R$66="","",助手收入!$Q$66)</f>
        <v>65</v>
      </c>
      <c r="N963" s="60" t="n">
        <f aca="false">IF(助手收入!$R$66="","",INDEX(助手收入!$P$2:$P$66,助手收入!$R$66))</f>
        <v>36</v>
      </c>
      <c r="O963" s="55" t="str">
        <f aca="false">IF(助手收入!$R$66="","",INDEX(助手收入!$C$2:$C$66,助手收入!$R$66)&amp;"  字第 "&amp;INDEX(助手收入!$P$2:$P$66,助手收入!$R$66)&amp;" 号"&amp;IF(INDEX(助手收入!$L$2:$L$66,助手收入!$R$66)&gt;1,"  (共"&amp;INDEX(助手收入!$L$2:$L$66,助手收入!$R$66)&amp;"页 第"&amp;助手收入!$S$66&amp;"页)",""))</f>
        <v>博城店  字第 36 号</v>
      </c>
    </row>
    <row r="964" customFormat="false" ht="12.75" hidden="false" customHeight="true" outlineLevel="0" collapsed="false">
      <c r="B964" s="61" t="str">
        <f aca="false">IF(助手收入!$R$66&lt;&gt;"","摘　　要","")</f>
        <v>摘　　要</v>
      </c>
      <c r="C964" s="61"/>
      <c r="D964" s="62" t="str">
        <f aca="false">IF(助手收入!$R$66&lt;&gt;"","科　　　　目","")</f>
        <v>科　　　　目</v>
      </c>
      <c r="E964" s="62"/>
      <c r="F964" s="61" t="str">
        <f aca="false">IF(助手收入!$R$66&lt;&gt;"","借 方 金 额","")</f>
        <v>借 方 金 额</v>
      </c>
      <c r="G964" s="62" t="str">
        <f aca="false">IF(助手收入!$R$66&lt;&gt;"","贷 方 金 额","")</f>
        <v>贷 方 金 额</v>
      </c>
      <c r="H964" s="63" t="str">
        <f aca="false">IF(助手收入!$R$66&lt;&gt;"","√","")</f>
        <v>√</v>
      </c>
      <c r="I964" s="64" t="str">
        <f aca="false">IF(助手收入!$R$66&lt;&gt;"","附单据  张","")</f>
        <v>附单据  张</v>
      </c>
    </row>
    <row r="965" customFormat="false" ht="12.75" hidden="false" customHeight="true" outlineLevel="0" collapsed="false">
      <c r="B965" s="61"/>
      <c r="C965" s="61"/>
      <c r="D965" s="23" t="str">
        <f aca="false">IF(助手收入!$R$66&lt;&gt;"","总 账 科 目","")</f>
        <v>总 账 科 目</v>
      </c>
      <c r="E965" s="23" t="str">
        <f aca="false">IF(助手收入!$R$66&lt;&gt;"","明 细 科 目","")</f>
        <v>明 细 科 目</v>
      </c>
      <c r="F965" s="65"/>
      <c r="G965" s="66"/>
      <c r="H965" s="63"/>
      <c r="I965" s="64"/>
    </row>
    <row r="966" customFormat="false" ht="23.25" hidden="false" customHeight="true" outlineLevel="0" collapsed="false">
      <c r="B966" s="67" t="str">
        <f aca="false">IFERROR(INDEX(分录收入!$M:$M,MATCH($L966,分录收入!$L:$L,0)),"")</f>
        <v>7月收入</v>
      </c>
      <c r="C966" s="67"/>
      <c r="D966" s="23" t="str">
        <f aca="false">IFERROR(INDEX(分录收入!$E:$E,MATCH($L966,分录收入!$L:$L,0)),"")</f>
        <v>库存现金</v>
      </c>
      <c r="E966" s="23" t="str">
        <f aca="false">IFERROR(INDEX(分录收入!$F:$F,MATCH($L966,分录收入!$L:$L,0)),"")</f>
        <v/>
      </c>
      <c r="F966" s="68" t="n">
        <f aca="false">IFERROR(INDEX(分录收入!$H:$H,MATCH($L966,分录收入!$L:$L,0)),"")</f>
        <v>35773.47</v>
      </c>
      <c r="G966" s="69" t="str">
        <f aca="false">IFERROR(INDEX(分录收入!$I:$I,MATCH($L966,分录收入!$L:$L,0)),"")</f>
        <v/>
      </c>
      <c r="H966" s="23"/>
      <c r="I966" s="70"/>
      <c r="L966" s="71" t="n">
        <f aca="false">IF(助手收入!$R$66="",-1,助手收入!$R$66*100+(助手收入!$S$66-1)*6+1)</f>
        <v>3701</v>
      </c>
    </row>
    <row r="967" customFormat="false" ht="23.25" hidden="false" customHeight="true" outlineLevel="0" collapsed="false">
      <c r="B967" s="67" t="str">
        <f aca="false">""</f>
        <v/>
      </c>
      <c r="C967" s="67"/>
      <c r="D967" s="23" t="str">
        <f aca="false">IFERROR(INDEX(分录收入!$E:$E,MATCH($L967,分录收入!$L:$L,0)),"")</f>
        <v>应收账款</v>
      </c>
      <c r="E967" s="23" t="str">
        <f aca="false">IFERROR(INDEX(分录收入!$F:$F,MATCH($L967,分录收入!$L:$L,0)),"")</f>
        <v>聚合支付</v>
      </c>
      <c r="F967" s="68" t="n">
        <f aca="false">IFERROR(INDEX(分录收入!$H:$H,MATCH($L967,分录收入!$L:$L,0)),"")</f>
        <v>15104.96</v>
      </c>
      <c r="G967" s="69" t="str">
        <f aca="false">IFERROR(INDEX(分录收入!$I:$I,MATCH($L967,分录收入!$L:$L,0)),"")</f>
        <v/>
      </c>
      <c r="H967" s="23"/>
      <c r="I967" s="70"/>
      <c r="L967" s="71" t="n">
        <f aca="false">IF(助手收入!$R$66="",-1,助手收入!$R$66*100+(助手收入!$S$66-1)*6+2)</f>
        <v>3702</v>
      </c>
    </row>
    <row r="968" customFormat="false" ht="23.25" hidden="false" customHeight="true" outlineLevel="0" collapsed="false">
      <c r="B968" s="67" t="str">
        <f aca="false">""</f>
        <v/>
      </c>
      <c r="C968" s="67"/>
      <c r="D968" s="23" t="str">
        <f aca="false">IFERROR(INDEX(分录收入!$E:$E,MATCH($L968,分录收入!$L:$L,0)),"")</f>
        <v>其他应付款</v>
      </c>
      <c r="E968" s="23" t="str">
        <f aca="false">IFERROR(INDEX(分录收入!$F:$F,MATCH($L968,分录收入!$L:$L,0)),"")</f>
        <v>会员零钱包</v>
      </c>
      <c r="F968" s="68" t="str">
        <f aca="false">IFERROR(INDEX(分录收入!$H:$H,MATCH($L968,分录收入!$L:$L,0)),"")</f>
        <v/>
      </c>
      <c r="G968" s="69" t="n">
        <f aca="false">IFERROR(INDEX(分录收入!$I:$I,MATCH($L968,分录收入!$L:$L,0)),"")</f>
        <v>1</v>
      </c>
      <c r="H968" s="23"/>
      <c r="I968" s="70"/>
      <c r="L968" s="71" t="n">
        <f aca="false">IF(助手收入!$R$66="",-1,助手收入!$R$66*100+(助手收入!$S$66-1)*6+3)</f>
        <v>3703</v>
      </c>
    </row>
    <row r="969" customFormat="false" ht="23.25" hidden="false" customHeight="true" outlineLevel="0" collapsed="false">
      <c r="B969" s="67" t="str">
        <f aca="false">""</f>
        <v/>
      </c>
      <c r="C969" s="67"/>
      <c r="D969" s="23" t="str">
        <f aca="false">IFERROR(INDEX(分录收入!$E:$E,MATCH($L969,分录收入!$L:$L,0)),"")</f>
        <v>销售费用</v>
      </c>
      <c r="E969" s="23" t="str">
        <f aca="false">IFERROR(INDEX(分录收入!$F:$F,MATCH($L969,分录收入!$L:$L,0)),"")</f>
        <v>促销费</v>
      </c>
      <c r="F969" s="68" t="n">
        <f aca="false">IFERROR(INDEX(分录收入!$H:$H,MATCH($L969,分录收入!$L:$L,0)),"")</f>
        <v>907.44</v>
      </c>
      <c r="G969" s="69" t="str">
        <f aca="false">IFERROR(INDEX(分录收入!$I:$I,MATCH($L969,分录收入!$L:$L,0)),"")</f>
        <v/>
      </c>
      <c r="H969" s="23"/>
      <c r="I969" s="70"/>
      <c r="L969" s="71" t="n">
        <f aca="false">IF(助手收入!$R$66="",-1,助手收入!$R$66*100+(助手收入!$S$66-1)*6+4)</f>
        <v>3704</v>
      </c>
    </row>
    <row r="970" customFormat="false" ht="23.25" hidden="false" customHeight="true" outlineLevel="0" collapsed="false">
      <c r="B970" s="67" t="str">
        <f aca="false">""</f>
        <v/>
      </c>
      <c r="C970" s="67"/>
      <c r="D970" s="23" t="str">
        <f aca="false">IFERROR(INDEX(分录收入!$E:$E,MATCH($L970,分录收入!$L:$L,0)),"")</f>
        <v>财务费用</v>
      </c>
      <c r="E970" s="23" t="str">
        <f aca="false">IFERROR(INDEX(分录收入!$F:$F,MATCH($L970,分录收入!$L:$L,0)),"")</f>
        <v>手续费</v>
      </c>
      <c r="F970" s="68" t="n">
        <f aca="false">IFERROR(INDEX(分录收入!$H:$H,MATCH($L970,分录收入!$L:$L,0)),"")</f>
        <v>40.89</v>
      </c>
      <c r="G970" s="69" t="str">
        <f aca="false">IFERROR(INDEX(分录收入!$I:$I,MATCH($L970,分录收入!$L:$L,0)),"")</f>
        <v/>
      </c>
      <c r="H970" s="23"/>
      <c r="I970" s="70"/>
      <c r="L970" s="71" t="n">
        <f aca="false">IF(助手收入!$R$66="",-1,助手收入!$R$66*100+(助手收入!$S$66-1)*6+5)</f>
        <v>3705</v>
      </c>
    </row>
    <row r="971" customFormat="false" ht="23.25" hidden="false" customHeight="true" outlineLevel="0" collapsed="false">
      <c r="B971" s="67" t="str">
        <f aca="false">""</f>
        <v/>
      </c>
      <c r="C971" s="67"/>
      <c r="D971" s="23" t="str">
        <f aca="false">IFERROR(INDEX(分录收入!$E:$E,MATCH($L971,分录收入!$L:$L,0)),"")</f>
        <v>主营业务收入</v>
      </c>
      <c r="E971" s="23" t="str">
        <f aca="false">IFERROR(INDEX(分录收入!$F:$F,MATCH($L971,分录收入!$L:$L,0)),"")</f>
        <v/>
      </c>
      <c r="F971" s="68" t="str">
        <f aca="false">IFERROR(INDEX(分录收入!$H:$H,MATCH($L971,分录收入!$L:$L,0)),"")</f>
        <v/>
      </c>
      <c r="G971" s="69" t="n">
        <f aca="false">IFERROR(INDEX(分录收入!$I:$I,MATCH($L971,分录收入!$L:$L,0)),"")</f>
        <v>51825.76</v>
      </c>
      <c r="H971" s="23"/>
      <c r="I971" s="70"/>
      <c r="L971" s="71" t="n">
        <f aca="false">IF(助手收入!$R$66="",-1,助手收入!$R$66*100+(助手收入!$S$66-1)*6+6)</f>
        <v>3706</v>
      </c>
    </row>
    <row r="972" customFormat="false" ht="23.25" hidden="false" customHeight="true" outlineLevel="0" collapsed="false">
      <c r="B972" s="72" t="str">
        <f aca="false">IF(助手收入!$T$66=1,"合计：","")</f>
        <v>合计：</v>
      </c>
      <c r="C972" s="73" t="n">
        <f aca="false">IF(助手收入!$T$66=1,$F972,"")</f>
        <v>51826.76</v>
      </c>
      <c r="D972" s="74"/>
      <c r="E972" s="74"/>
      <c r="F972" s="75" t="n">
        <f aca="false">IF(助手收入!$T$66=1,INDEX(助手收入!$N$2:$N$66,助手收入!$R$66),"")</f>
        <v>51826.76</v>
      </c>
      <c r="G972" s="76" t="n">
        <f aca="false">IF(助手收入!$T$66=1,INDEX(助手收入!$O$2:$O$66,助手收入!$R$66),"")</f>
        <v>51826.76</v>
      </c>
      <c r="H972" s="74"/>
      <c r="I972" s="77"/>
    </row>
    <row r="973" customFormat="false" ht="6" hidden="false" customHeight="true" outlineLevel="0" collapsed="false"/>
    <row r="974" customFormat="false" ht="13.5" hidden="false" customHeight="false" outlineLevel="0" collapsed="false">
      <c r="B974" s="78" t="str">
        <f aca="false">IF(助手收入!$R$66&lt;&gt;"","会计主管：","")</f>
        <v>会计主管：</v>
      </c>
      <c r="D974" s="78" t="str">
        <f aca="false">IF(助手收入!$R$66&lt;&gt;"","会计：","")</f>
        <v>会计：</v>
      </c>
      <c r="E974" s="78" t="str">
        <f aca="false">IF(助手收入!$R$66&lt;&gt;"","出纳：","")</f>
        <v>出纳：</v>
      </c>
      <c r="F974" s="78" t="str">
        <f aca="false">IF(助手收入!$R$66&lt;&gt;"","复核：","")</f>
        <v>复核：</v>
      </c>
      <c r="G974" s="78" t="str">
        <f aca="false">IF(助手收入!$R$66&lt;&gt;"","制单：","")</f>
        <v>制单：</v>
      </c>
    </row>
    <row r="975" customFormat="false" ht="3" hidden="false" customHeight="true" outlineLevel="0" collapsed="false"/>
    <row r="976" customFormat="false" ht="19.5" hidden="false" customHeight="true" outlineLevel="0" collapsed="false">
      <c r="B976" s="53" t="str">
        <f aca="false">IF(助手收入!$R$67&lt;&gt;"","记  账  凭  证","")</f>
        <v>记  账  凭  证</v>
      </c>
      <c r="C976" s="53"/>
      <c r="D976" s="53"/>
      <c r="E976" s="53"/>
      <c r="F976" s="53"/>
      <c r="G976" s="53"/>
      <c r="H976" s="53"/>
      <c r="I976" s="53"/>
    </row>
    <row r="977" customFormat="false" ht="3" hidden="false" customHeight="true" outlineLevel="0" collapsed="false"/>
    <row r="978" customFormat="false" ht="15" hidden="false" customHeight="true" outlineLevel="0" collapsed="false">
      <c r="C978" s="56" t="n">
        <f aca="false">IF(助手收入!$R$67&lt;&gt;"",INDEX(助手收入!$B$2:$B$66,助手收入!$R$67),"")</f>
        <v>2060</v>
      </c>
      <c r="D978" s="57" t="n">
        <f aca="false">IF(助手收入!$R$67&lt;&gt;"",参数!$B$2,"")</f>
        <v>46234</v>
      </c>
      <c r="E978" s="57"/>
      <c r="F978" s="58" t="str">
        <f aca="false">IF(助手收入!$R$67&lt;&gt;"",INDEX(助手收入!$C$2:$C$66,助手收入!$R$67)&amp;"  字第 "&amp;IF(参数!$B$9="是",INDEX(助手收入!$P$2:$P$66,助手收入!$R$67),"　　　　")&amp;" 号"&amp;IF(INDEX(助手收入!$L$2:$L$66,助手收入!$R$67)&gt;1,"  (共"&amp;INDEX(助手收入!$L$2:$L$66,助手收入!$R$67)&amp;"页 第"&amp;助手收入!$S$67&amp;"页)",""),"")</f>
        <v>博景店  字第 　　　　 号  (共2页 第1页)</v>
      </c>
      <c r="G978" s="58"/>
      <c r="H978" s="58"/>
      <c r="I978" s="58"/>
      <c r="M978" s="59" t="n">
        <f aca="false">IF(助手收入!$R$67="","",助手收入!$Q$67)</f>
        <v>66</v>
      </c>
      <c r="N978" s="60" t="n">
        <f aca="false">IF(助手收入!$R$67="","",INDEX(助手收入!$P$2:$P$66,助手收入!$R$67))</f>
        <v>37</v>
      </c>
      <c r="O978" s="55" t="str">
        <f aca="false">IF(助手收入!$R$67="","",INDEX(助手收入!$C$2:$C$66,助手收入!$R$67)&amp;"  字第 "&amp;INDEX(助手收入!$P$2:$P$66,助手收入!$R$67)&amp;" 号"&amp;IF(INDEX(助手收入!$L$2:$L$66,助手收入!$R$67)&gt;1,"  (共"&amp;INDEX(助手收入!$L$2:$L$66,助手收入!$R$67)&amp;"页 第"&amp;助手收入!$S$67&amp;"页)",""))</f>
        <v>博景店  字第 37 号  (共2页 第1页)</v>
      </c>
    </row>
    <row r="979" customFormat="false" ht="12.75" hidden="false" customHeight="true" outlineLevel="0" collapsed="false">
      <c r="B979" s="61" t="str">
        <f aca="false">IF(助手收入!$R$67&lt;&gt;"","摘　　要","")</f>
        <v>摘　　要</v>
      </c>
      <c r="C979" s="61"/>
      <c r="D979" s="62" t="str">
        <f aca="false">IF(助手收入!$R$67&lt;&gt;"","科　　　　目","")</f>
        <v>科　　　　目</v>
      </c>
      <c r="E979" s="62"/>
      <c r="F979" s="61" t="str">
        <f aca="false">IF(助手收入!$R$67&lt;&gt;"","借 方 金 额","")</f>
        <v>借 方 金 额</v>
      </c>
      <c r="G979" s="62" t="str">
        <f aca="false">IF(助手收入!$R$67&lt;&gt;"","贷 方 金 额","")</f>
        <v>贷 方 金 额</v>
      </c>
      <c r="H979" s="63" t="str">
        <f aca="false">IF(助手收入!$R$67&lt;&gt;"","√","")</f>
        <v>√</v>
      </c>
      <c r="I979" s="64" t="str">
        <f aca="false">IF(助手收入!$R$67&lt;&gt;"","附单据  张","")</f>
        <v>附单据  张</v>
      </c>
    </row>
    <row r="980" customFormat="false" ht="12.75" hidden="false" customHeight="true" outlineLevel="0" collapsed="false">
      <c r="B980" s="61"/>
      <c r="C980" s="61"/>
      <c r="D980" s="23" t="str">
        <f aca="false">IF(助手收入!$R$67&lt;&gt;"","总 账 科 目","")</f>
        <v>总 账 科 目</v>
      </c>
      <c r="E980" s="23" t="str">
        <f aca="false">IF(助手收入!$R$67&lt;&gt;"","明 细 科 目","")</f>
        <v>明 细 科 目</v>
      </c>
      <c r="F980" s="65"/>
      <c r="G980" s="66"/>
      <c r="H980" s="63"/>
      <c r="I980" s="64"/>
    </row>
    <row r="981" customFormat="false" ht="23.25" hidden="false" customHeight="true" outlineLevel="0" collapsed="false">
      <c r="B981" s="67" t="str">
        <f aca="false">IFERROR(INDEX(分录收入!$M:$M,MATCH($L981,分录收入!$L:$L,0)),"")</f>
        <v>7月收入</v>
      </c>
      <c r="C981" s="67"/>
      <c r="D981" s="23" t="str">
        <f aca="false">IFERROR(INDEX(分录收入!$E:$E,MATCH($L981,分录收入!$L:$L,0)),"")</f>
        <v>库存现金</v>
      </c>
      <c r="E981" s="23" t="str">
        <f aca="false">IFERROR(INDEX(分录收入!$F:$F,MATCH($L981,分录收入!$L:$L,0)),"")</f>
        <v/>
      </c>
      <c r="F981" s="68" t="n">
        <f aca="false">IFERROR(INDEX(分录收入!$H:$H,MATCH($L981,分录收入!$L:$L,0)),"")</f>
        <v>4964.48</v>
      </c>
      <c r="G981" s="69" t="str">
        <f aca="false">IFERROR(INDEX(分录收入!$I:$I,MATCH($L981,分录收入!$L:$L,0)),"")</f>
        <v/>
      </c>
      <c r="H981" s="23"/>
      <c r="I981" s="70"/>
      <c r="L981" s="71" t="n">
        <f aca="false">IF(助手收入!$R$67="",-1,助手收入!$R$67*100+(助手收入!$S$67-1)*6+1)</f>
        <v>3801</v>
      </c>
    </row>
    <row r="982" customFormat="false" ht="23.25" hidden="false" customHeight="true" outlineLevel="0" collapsed="false">
      <c r="B982" s="67" t="str">
        <f aca="false">""</f>
        <v/>
      </c>
      <c r="C982" s="67"/>
      <c r="D982" s="23" t="str">
        <f aca="false">IFERROR(INDEX(分录收入!$E:$E,MATCH($L982,分录收入!$L:$L,0)),"")</f>
        <v>应收账款</v>
      </c>
      <c r="E982" s="23" t="str">
        <f aca="false">IFERROR(INDEX(分录收入!$F:$F,MATCH($L982,分录收入!$L:$L,0)),"")</f>
        <v>聚合支付</v>
      </c>
      <c r="F982" s="68" t="n">
        <f aca="false">IFERROR(INDEX(分录收入!$H:$H,MATCH($L982,分录收入!$L:$L,0)),"")</f>
        <v>21779.77</v>
      </c>
      <c r="G982" s="69" t="str">
        <f aca="false">IFERROR(INDEX(分录收入!$I:$I,MATCH($L982,分录收入!$L:$L,0)),"")</f>
        <v/>
      </c>
      <c r="H982" s="23"/>
      <c r="I982" s="70"/>
      <c r="L982" s="71" t="n">
        <f aca="false">IF(助手收入!$R$67="",-1,助手收入!$R$67*100+(助手收入!$S$67-1)*6+2)</f>
        <v>3802</v>
      </c>
    </row>
    <row r="983" customFormat="false" ht="23.25" hidden="false" customHeight="true" outlineLevel="0" collapsed="false">
      <c r="B983" s="67" t="str">
        <f aca="false">""</f>
        <v/>
      </c>
      <c r="C983" s="67"/>
      <c r="D983" s="23" t="str">
        <f aca="false">IFERROR(INDEX(分录收入!$E:$E,MATCH($L983,分录收入!$L:$L,0)),"")</f>
        <v>应收账款</v>
      </c>
      <c r="E983" s="23" t="str">
        <f aca="false">IFERROR(INDEX(分录收入!$F:$F,MATCH($L983,分录收入!$L:$L,0)),"")</f>
        <v>医保</v>
      </c>
      <c r="F983" s="68" t="n">
        <f aca="false">IFERROR(INDEX(分录收入!$H:$H,MATCH($L983,分录收入!$L:$L,0)),"")</f>
        <v>7112.52</v>
      </c>
      <c r="G983" s="69" t="str">
        <f aca="false">IFERROR(INDEX(分录收入!$I:$I,MATCH($L983,分录收入!$L:$L,0)),"")</f>
        <v/>
      </c>
      <c r="H983" s="23"/>
      <c r="I983" s="70"/>
      <c r="L983" s="71" t="n">
        <f aca="false">IF(助手收入!$R$67="",-1,助手收入!$R$67*100+(助手收入!$S$67-1)*6+3)</f>
        <v>3803</v>
      </c>
    </row>
    <row r="984" customFormat="false" ht="23.25" hidden="false" customHeight="true" outlineLevel="0" collapsed="false">
      <c r="B984" s="67" t="str">
        <f aca="false">""</f>
        <v/>
      </c>
      <c r="C984" s="67"/>
      <c r="D984" s="23" t="str">
        <f aca="false">IFERROR(INDEX(分录收入!$E:$E,MATCH($L984,分录收入!$L:$L,0)),"")</f>
        <v>应收账款</v>
      </c>
      <c r="E984" s="23" t="str">
        <f aca="false">IFERROR(INDEX(分录收入!$F:$F,MATCH($L984,分录收入!$L:$L,0)),"")</f>
        <v>美团</v>
      </c>
      <c r="F984" s="68" t="n">
        <f aca="false">IFERROR(INDEX(分录收入!$H:$H,MATCH($L984,分录收入!$L:$L,0)),"")</f>
        <v>103</v>
      </c>
      <c r="G984" s="69" t="str">
        <f aca="false">IFERROR(INDEX(分录收入!$I:$I,MATCH($L984,分录收入!$L:$L,0)),"")</f>
        <v/>
      </c>
      <c r="H984" s="23"/>
      <c r="I984" s="70"/>
      <c r="L984" s="71" t="n">
        <f aca="false">IF(助手收入!$R$67="",-1,助手收入!$R$67*100+(助手收入!$S$67-1)*6+4)</f>
        <v>3804</v>
      </c>
    </row>
    <row r="985" customFormat="false" ht="23.25" hidden="false" customHeight="true" outlineLevel="0" collapsed="false">
      <c r="B985" s="67" t="str">
        <f aca="false">""</f>
        <v/>
      </c>
      <c r="C985" s="67"/>
      <c r="D985" s="23" t="str">
        <f aca="false">IFERROR(INDEX(分录收入!$E:$E,MATCH($L985,分录收入!$L:$L,0)),"")</f>
        <v>应收账款</v>
      </c>
      <c r="E985" s="23" t="str">
        <f aca="false">IFERROR(INDEX(分录收入!$F:$F,MATCH($L985,分录收入!$L:$L,0)),"")</f>
        <v>饿了么</v>
      </c>
      <c r="F985" s="68" t="n">
        <f aca="false">IFERROR(INDEX(分录收入!$H:$H,MATCH($L985,分录收入!$L:$L,0)),"")</f>
        <v>169.5</v>
      </c>
      <c r="G985" s="69" t="str">
        <f aca="false">IFERROR(INDEX(分录收入!$I:$I,MATCH($L985,分录收入!$L:$L,0)),"")</f>
        <v/>
      </c>
      <c r="H985" s="23"/>
      <c r="I985" s="70"/>
      <c r="L985" s="71" t="n">
        <f aca="false">IF(助手收入!$R$67="",-1,助手收入!$R$67*100+(助手收入!$S$67-1)*6+5)</f>
        <v>3805</v>
      </c>
    </row>
    <row r="986" customFormat="false" ht="23.25" hidden="false" customHeight="true" outlineLevel="0" collapsed="false">
      <c r="B986" s="67" t="str">
        <f aca="false">""</f>
        <v/>
      </c>
      <c r="C986" s="67"/>
      <c r="D986" s="23" t="str">
        <f aca="false">IFERROR(INDEX(分录收入!$E:$E,MATCH($L986,分录收入!$L:$L,0)),"")</f>
        <v>其他应收款</v>
      </c>
      <c r="E986" s="23" t="str">
        <f aca="false">IFERROR(INDEX(分录收入!$F:$F,MATCH($L986,分录收入!$L:$L,0)),"")</f>
        <v>储值卡</v>
      </c>
      <c r="F986" s="68" t="n">
        <f aca="false">IFERROR(INDEX(分录收入!$H:$H,MATCH($L986,分录收入!$L:$L,0)),"")</f>
        <v>501</v>
      </c>
      <c r="G986" s="69" t="str">
        <f aca="false">IFERROR(INDEX(分录收入!$I:$I,MATCH($L986,分录收入!$L:$L,0)),"")</f>
        <v/>
      </c>
      <c r="H986" s="23"/>
      <c r="I986" s="70"/>
      <c r="L986" s="71" t="n">
        <f aca="false">IF(助手收入!$R$67="",-1,助手收入!$R$67*100+(助手收入!$S$67-1)*6+6)</f>
        <v>3806</v>
      </c>
    </row>
    <row r="987" customFormat="false" ht="23.25" hidden="false" customHeight="true" outlineLevel="0" collapsed="false">
      <c r="B987" s="72" t="str">
        <f aca="false">IF(助手收入!$T$67=1,"合计：","")</f>
        <v/>
      </c>
      <c r="C987" s="73" t="str">
        <f aca="false">IF(助手收入!$T$67=1,$F987,"")</f>
        <v/>
      </c>
      <c r="D987" s="74"/>
      <c r="E987" s="74"/>
      <c r="F987" s="75" t="str">
        <f aca="false">IF(助手收入!$T$67=1,INDEX(助手收入!$N$2:$N$66,助手收入!$R$67),"")</f>
        <v/>
      </c>
      <c r="G987" s="76" t="str">
        <f aca="false">IF(助手收入!$T$67=1,INDEX(助手收入!$O$2:$O$66,助手收入!$R$67),"")</f>
        <v/>
      </c>
      <c r="H987" s="74"/>
      <c r="I987" s="77"/>
    </row>
    <row r="988" customFormat="false" ht="6" hidden="false" customHeight="true" outlineLevel="0" collapsed="false"/>
    <row r="989" customFormat="false" ht="13.5" hidden="false" customHeight="false" outlineLevel="0" collapsed="false">
      <c r="B989" s="78" t="str">
        <f aca="false">IF(助手收入!$R$67&lt;&gt;"","会计主管：","")</f>
        <v>会计主管：</v>
      </c>
      <c r="D989" s="78" t="str">
        <f aca="false">IF(助手收入!$R$67&lt;&gt;"","会计：","")</f>
        <v>会计：</v>
      </c>
      <c r="E989" s="78" t="str">
        <f aca="false">IF(助手收入!$R$67&lt;&gt;"","出纳：","")</f>
        <v>出纳：</v>
      </c>
      <c r="F989" s="78" t="str">
        <f aca="false">IF(助手收入!$R$67&lt;&gt;"","复核：","")</f>
        <v>复核：</v>
      </c>
      <c r="G989" s="78" t="str">
        <f aca="false">IF(助手收入!$R$67&lt;&gt;"","制单：","")</f>
        <v>制单：</v>
      </c>
    </row>
    <row r="990" customFormat="false" ht="3" hidden="false" customHeight="true" outlineLevel="0" collapsed="false"/>
    <row r="991" customFormat="false" ht="19.5" hidden="false" customHeight="true" outlineLevel="0" collapsed="false">
      <c r="B991" s="53" t="str">
        <f aca="false">IF(助手收入!$R$68&lt;&gt;"","记  账  凭  证","")</f>
        <v>记  账  凭  证</v>
      </c>
      <c r="C991" s="53"/>
      <c r="D991" s="53"/>
      <c r="E991" s="53"/>
      <c r="F991" s="53"/>
      <c r="G991" s="53"/>
      <c r="H991" s="53"/>
      <c r="I991" s="53"/>
    </row>
    <row r="992" customFormat="false" ht="3" hidden="false" customHeight="true" outlineLevel="0" collapsed="false"/>
    <row r="993" customFormat="false" ht="15" hidden="false" customHeight="true" outlineLevel="0" collapsed="false">
      <c r="C993" s="56" t="n">
        <f aca="false">IF(助手收入!$R$68&lt;&gt;"",INDEX(助手收入!$B$2:$B$66,助手收入!$R$68),"")</f>
        <v>2060</v>
      </c>
      <c r="D993" s="57" t="n">
        <f aca="false">IF(助手收入!$R$68&lt;&gt;"",参数!$B$2,"")</f>
        <v>46234</v>
      </c>
      <c r="E993" s="57"/>
      <c r="F993" s="58" t="str">
        <f aca="false">IF(助手收入!$R$68&lt;&gt;"",INDEX(助手收入!$C$2:$C$66,助手收入!$R$68)&amp;"  字第 "&amp;IF(参数!$B$9="是",INDEX(助手收入!$P$2:$P$66,助手收入!$R$68),"　　　　")&amp;" 号"&amp;IF(INDEX(助手收入!$L$2:$L$66,助手收入!$R$68)&gt;1,"  (共"&amp;INDEX(助手收入!$L$2:$L$66,助手收入!$R$68)&amp;"页 第"&amp;助手收入!$S$68&amp;"页)",""),"")</f>
        <v>博景店  字第 　　　　 号  (共2页 第2页)</v>
      </c>
      <c r="G993" s="58"/>
      <c r="H993" s="58"/>
      <c r="I993" s="58"/>
      <c r="M993" s="59" t="n">
        <f aca="false">IF(助手收入!$R$68="","",助手收入!$Q$68)</f>
        <v>67</v>
      </c>
      <c r="N993" s="60" t="n">
        <f aca="false">IF(助手收入!$R$68="","",INDEX(助手收入!$P$2:$P$66,助手收入!$R$68))</f>
        <v>37</v>
      </c>
      <c r="O993" s="55" t="str">
        <f aca="false">IF(助手收入!$R$68="","",INDEX(助手收入!$C$2:$C$66,助手收入!$R$68)&amp;"  字第 "&amp;INDEX(助手收入!$P$2:$P$66,助手收入!$R$68)&amp;" 号"&amp;IF(INDEX(助手收入!$L$2:$L$66,助手收入!$R$68)&gt;1,"  (共"&amp;INDEX(助手收入!$L$2:$L$66,助手收入!$R$68)&amp;"页 第"&amp;助手收入!$S$68&amp;"页)",""))</f>
        <v>博景店  字第 37 号  (共2页 第2页)</v>
      </c>
    </row>
    <row r="994" customFormat="false" ht="12.75" hidden="false" customHeight="true" outlineLevel="0" collapsed="false">
      <c r="B994" s="61" t="str">
        <f aca="false">IF(助手收入!$R$68&lt;&gt;"","摘　　要","")</f>
        <v>摘　　要</v>
      </c>
      <c r="C994" s="61"/>
      <c r="D994" s="62" t="str">
        <f aca="false">IF(助手收入!$R$68&lt;&gt;"","科　　　　目","")</f>
        <v>科　　　　目</v>
      </c>
      <c r="E994" s="62"/>
      <c r="F994" s="61" t="str">
        <f aca="false">IF(助手收入!$R$68&lt;&gt;"","借 方 金 额","")</f>
        <v>借 方 金 额</v>
      </c>
      <c r="G994" s="62" t="str">
        <f aca="false">IF(助手收入!$R$68&lt;&gt;"","贷 方 金 额","")</f>
        <v>贷 方 金 额</v>
      </c>
      <c r="H994" s="63" t="str">
        <f aca="false">IF(助手收入!$R$68&lt;&gt;"","√","")</f>
        <v>√</v>
      </c>
      <c r="I994" s="64" t="str">
        <f aca="false">IF(助手收入!$R$68&lt;&gt;"","附单据  张","")</f>
        <v>附单据  张</v>
      </c>
    </row>
    <row r="995" customFormat="false" ht="12.75" hidden="false" customHeight="true" outlineLevel="0" collapsed="false">
      <c r="B995" s="61"/>
      <c r="C995" s="61"/>
      <c r="D995" s="23" t="str">
        <f aca="false">IF(助手收入!$R$68&lt;&gt;"","总 账 科 目","")</f>
        <v>总 账 科 目</v>
      </c>
      <c r="E995" s="23" t="str">
        <f aca="false">IF(助手收入!$R$68&lt;&gt;"","明 细 科 目","")</f>
        <v>明 细 科 目</v>
      </c>
      <c r="F995" s="65"/>
      <c r="G995" s="66"/>
      <c r="H995" s="63"/>
      <c r="I995" s="64"/>
    </row>
    <row r="996" customFormat="false" ht="23.25" hidden="false" customHeight="true" outlineLevel="0" collapsed="false">
      <c r="B996" s="67" t="str">
        <f aca="false">IFERROR(INDEX(分录收入!$M:$M,MATCH($L996,分录收入!$L:$L,0)),"")</f>
        <v>7月收入</v>
      </c>
      <c r="C996" s="67"/>
      <c r="D996" s="23" t="str">
        <f aca="false">IFERROR(INDEX(分录收入!$E:$E,MATCH($L996,分录收入!$L:$L,0)),"")</f>
        <v>销售费用</v>
      </c>
      <c r="E996" s="23" t="str">
        <f aca="false">IFERROR(INDEX(分录收入!$F:$F,MATCH($L996,分录收入!$L:$L,0)),"")</f>
        <v>促销费</v>
      </c>
      <c r="F996" s="68" t="n">
        <f aca="false">IFERROR(INDEX(分录收入!$H:$H,MATCH($L996,分录收入!$L:$L,0)),"")</f>
        <v>1818.58</v>
      </c>
      <c r="G996" s="69" t="str">
        <f aca="false">IFERROR(INDEX(分录收入!$I:$I,MATCH($L996,分录收入!$L:$L,0)),"")</f>
        <v/>
      </c>
      <c r="H996" s="23"/>
      <c r="I996" s="70"/>
      <c r="L996" s="71" t="n">
        <f aca="false">IF(助手收入!$R$68="",-1,助手收入!$R$68*100+(助手收入!$S$68-1)*6+1)</f>
        <v>3807</v>
      </c>
    </row>
    <row r="997" customFormat="false" ht="23.25" hidden="false" customHeight="true" outlineLevel="0" collapsed="false">
      <c r="B997" s="67" t="str">
        <f aca="false">""</f>
        <v/>
      </c>
      <c r="C997" s="67"/>
      <c r="D997" s="23" t="str">
        <f aca="false">IFERROR(INDEX(分录收入!$E:$E,MATCH($L997,分录收入!$L:$L,0)),"")</f>
        <v>财务费用</v>
      </c>
      <c r="E997" s="23" t="str">
        <f aca="false">IFERROR(INDEX(分录收入!$F:$F,MATCH($L997,分录收入!$L:$L,0)),"")</f>
        <v>手续费</v>
      </c>
      <c r="F997" s="68" t="n">
        <f aca="false">IFERROR(INDEX(分录收入!$H:$H,MATCH($L997,分录收入!$L:$L,0)),"")</f>
        <v>58.96</v>
      </c>
      <c r="G997" s="69" t="str">
        <f aca="false">IFERROR(INDEX(分录收入!$I:$I,MATCH($L997,分录收入!$L:$L,0)),"")</f>
        <v/>
      </c>
      <c r="H997" s="23"/>
      <c r="I997" s="70"/>
      <c r="L997" s="71" t="n">
        <f aca="false">IF(助手收入!$R$68="",-1,助手收入!$R$68*100+(助手收入!$S$68-1)*6+2)</f>
        <v>3808</v>
      </c>
    </row>
    <row r="998" customFormat="false" ht="23.25" hidden="false" customHeight="true" outlineLevel="0" collapsed="false">
      <c r="B998" s="67" t="str">
        <f aca="false">""</f>
        <v/>
      </c>
      <c r="C998" s="67"/>
      <c r="D998" s="23" t="str">
        <f aca="false">IFERROR(INDEX(分录收入!$E:$E,MATCH($L998,分录收入!$L:$L,0)),"")</f>
        <v>主营业务收入</v>
      </c>
      <c r="E998" s="23" t="str">
        <f aca="false">IFERROR(INDEX(分录收入!$F:$F,MATCH($L998,分录收入!$L:$L,0)),"")</f>
        <v/>
      </c>
      <c r="F998" s="68" t="str">
        <f aca="false">IFERROR(INDEX(分录收入!$H:$H,MATCH($L998,分录收入!$L:$L,0)),"")</f>
        <v/>
      </c>
      <c r="G998" s="69" t="n">
        <f aca="false">IFERROR(INDEX(分录收入!$I:$I,MATCH($L998,分录收入!$L:$L,0)),"")</f>
        <v>36507.81</v>
      </c>
      <c r="H998" s="23"/>
      <c r="I998" s="70"/>
      <c r="L998" s="71" t="n">
        <f aca="false">IF(助手收入!$R$68="",-1,助手收入!$R$68*100+(助手收入!$S$68-1)*6+3)</f>
        <v>3809</v>
      </c>
    </row>
    <row r="999" customFormat="false" ht="23.25" hidden="false" customHeight="true" outlineLevel="0" collapsed="false">
      <c r="B999" s="67" t="str">
        <f aca="false">""</f>
        <v/>
      </c>
      <c r="C999" s="67"/>
      <c r="D999" s="23" t="str">
        <f aca="false">IFERROR(INDEX(分录收入!$E:$E,MATCH($L999,分录收入!$L:$L,0)),"")</f>
        <v/>
      </c>
      <c r="E999" s="23" t="str">
        <f aca="false">IFERROR(INDEX(分录收入!$F:$F,MATCH($L999,分录收入!$L:$L,0)),"")</f>
        <v/>
      </c>
      <c r="F999" s="68" t="str">
        <f aca="false">IFERROR(INDEX(分录收入!$H:$H,MATCH($L999,分录收入!$L:$L,0)),"")</f>
        <v/>
      </c>
      <c r="G999" s="69" t="str">
        <f aca="false">IFERROR(INDEX(分录收入!$I:$I,MATCH($L999,分录收入!$L:$L,0)),"")</f>
        <v/>
      </c>
      <c r="H999" s="23"/>
      <c r="I999" s="70"/>
      <c r="L999" s="71" t="n">
        <f aca="false">IF(助手收入!$R$68="",-1,助手收入!$R$68*100+(助手收入!$S$68-1)*6+4)</f>
        <v>3810</v>
      </c>
    </row>
    <row r="1000" customFormat="false" ht="23.25" hidden="false" customHeight="true" outlineLevel="0" collapsed="false">
      <c r="B1000" s="67" t="str">
        <f aca="false">""</f>
        <v/>
      </c>
      <c r="C1000" s="67"/>
      <c r="D1000" s="23" t="str">
        <f aca="false">IFERROR(INDEX(分录收入!$E:$E,MATCH($L1000,分录收入!$L:$L,0)),"")</f>
        <v/>
      </c>
      <c r="E1000" s="23" t="str">
        <f aca="false">IFERROR(INDEX(分录收入!$F:$F,MATCH($L1000,分录收入!$L:$L,0)),"")</f>
        <v/>
      </c>
      <c r="F1000" s="68" t="str">
        <f aca="false">IFERROR(INDEX(分录收入!$H:$H,MATCH($L1000,分录收入!$L:$L,0)),"")</f>
        <v/>
      </c>
      <c r="G1000" s="69" t="str">
        <f aca="false">IFERROR(INDEX(分录收入!$I:$I,MATCH($L1000,分录收入!$L:$L,0)),"")</f>
        <v/>
      </c>
      <c r="H1000" s="23"/>
      <c r="I1000" s="70"/>
      <c r="L1000" s="71" t="n">
        <f aca="false">IF(助手收入!$R$68="",-1,助手收入!$R$68*100+(助手收入!$S$68-1)*6+5)</f>
        <v>3811</v>
      </c>
    </row>
    <row r="1001" customFormat="false" ht="23.25" hidden="false" customHeight="true" outlineLevel="0" collapsed="false">
      <c r="B1001" s="67" t="str">
        <f aca="false">""</f>
        <v/>
      </c>
      <c r="C1001" s="67"/>
      <c r="D1001" s="23" t="str">
        <f aca="false">IFERROR(INDEX(分录收入!$E:$E,MATCH($L1001,分录收入!$L:$L,0)),"")</f>
        <v/>
      </c>
      <c r="E1001" s="23" t="str">
        <f aca="false">IFERROR(INDEX(分录收入!$F:$F,MATCH($L1001,分录收入!$L:$L,0)),"")</f>
        <v/>
      </c>
      <c r="F1001" s="68" t="str">
        <f aca="false">IFERROR(INDEX(分录收入!$H:$H,MATCH($L1001,分录收入!$L:$L,0)),"")</f>
        <v/>
      </c>
      <c r="G1001" s="69" t="str">
        <f aca="false">IFERROR(INDEX(分录收入!$I:$I,MATCH($L1001,分录收入!$L:$L,0)),"")</f>
        <v/>
      </c>
      <c r="H1001" s="23"/>
      <c r="I1001" s="70"/>
      <c r="L1001" s="71" t="n">
        <f aca="false">IF(助手收入!$R$68="",-1,助手收入!$R$68*100+(助手收入!$S$68-1)*6+6)</f>
        <v>3812</v>
      </c>
    </row>
    <row r="1002" customFormat="false" ht="23.25" hidden="false" customHeight="true" outlineLevel="0" collapsed="false">
      <c r="B1002" s="72" t="str">
        <f aca="false">IF(助手收入!$T$68=1,"合计：","")</f>
        <v>合计：</v>
      </c>
      <c r="C1002" s="73" t="n">
        <f aca="false">IF(助手收入!$T$68=1,$F1002,"")</f>
        <v>36507.81</v>
      </c>
      <c r="D1002" s="74"/>
      <c r="E1002" s="74"/>
      <c r="F1002" s="75" t="n">
        <f aca="false">IF(助手收入!$T$68=1,INDEX(助手收入!$N$2:$N$66,助手收入!$R$68),"")</f>
        <v>36507.81</v>
      </c>
      <c r="G1002" s="76" t="n">
        <f aca="false">IF(助手收入!$T$68=1,INDEX(助手收入!$O$2:$O$66,助手收入!$R$68),"")</f>
        <v>36507.81</v>
      </c>
      <c r="H1002" s="74"/>
      <c r="I1002" s="77"/>
    </row>
    <row r="1003" customFormat="false" ht="6" hidden="false" customHeight="true" outlineLevel="0" collapsed="false"/>
    <row r="1004" customFormat="false" ht="13.5" hidden="false" customHeight="false" outlineLevel="0" collapsed="false">
      <c r="B1004" s="78" t="str">
        <f aca="false">IF(助手收入!$R$68&lt;&gt;"","会计主管：","")</f>
        <v>会计主管：</v>
      </c>
      <c r="D1004" s="78" t="str">
        <f aca="false">IF(助手收入!$R$68&lt;&gt;"","会计：","")</f>
        <v>会计：</v>
      </c>
      <c r="E1004" s="78" t="str">
        <f aca="false">IF(助手收入!$R$68&lt;&gt;"","出纳：","")</f>
        <v>出纳：</v>
      </c>
      <c r="F1004" s="78" t="str">
        <f aca="false">IF(助手收入!$R$68&lt;&gt;"","复核：","")</f>
        <v>复核：</v>
      </c>
      <c r="G1004" s="78" t="str">
        <f aca="false">IF(助手收入!$R$68&lt;&gt;"","制单：","")</f>
        <v>制单：</v>
      </c>
    </row>
    <row r="1005" customFormat="false" ht="3" hidden="false" customHeight="true" outlineLevel="0" collapsed="false"/>
    <row r="1006" customFormat="false" ht="19.5" hidden="false" customHeight="true" outlineLevel="0" collapsed="false">
      <c r="B1006" s="53" t="str">
        <f aca="false">IF(助手收入!$R$69&lt;&gt;"","记  账  凭  证","")</f>
        <v>记  账  凭  证</v>
      </c>
      <c r="C1006" s="53"/>
      <c r="D1006" s="53"/>
      <c r="E1006" s="53"/>
      <c r="F1006" s="53"/>
      <c r="G1006" s="53"/>
      <c r="H1006" s="53"/>
      <c r="I1006" s="53"/>
    </row>
    <row r="1007" customFormat="false" ht="3" hidden="false" customHeight="true" outlineLevel="0" collapsed="false"/>
    <row r="1008" customFormat="false" ht="15" hidden="false" customHeight="true" outlineLevel="0" collapsed="false">
      <c r="C1008" s="56" t="n">
        <f aca="false">IF(助手收入!$R$69&lt;&gt;"",INDEX(助手收入!$B$2:$B$66,助手收入!$R$69),"")</f>
        <v>2062</v>
      </c>
      <c r="D1008" s="57" t="n">
        <f aca="false">IF(助手收入!$R$69&lt;&gt;"",参数!$B$2,"")</f>
        <v>46234</v>
      </c>
      <c r="E1008" s="57"/>
      <c r="F1008" s="58" t="str">
        <f aca="false">IF(助手收入!$R$69&lt;&gt;"",INDEX(助手收入!$C$2:$C$66,助手收入!$R$69)&amp;"  字第 "&amp;IF(参数!$B$9="是",INDEX(助手收入!$P$2:$P$66,助手收入!$R$69),"　　　　")&amp;" 号"&amp;IF(INDEX(助手收入!$L$2:$L$66,助手收入!$R$69)&gt;1,"  (共"&amp;INDEX(助手收入!$L$2:$L$66,助手收入!$R$69)&amp;"页 第"&amp;助手收入!$S$69&amp;"页)",""),"")</f>
        <v>西范村店  字第 　　　　 号  (共2页 第1页)</v>
      </c>
      <c r="G1008" s="58"/>
      <c r="H1008" s="58"/>
      <c r="I1008" s="58"/>
      <c r="M1008" s="59" t="n">
        <f aca="false">IF(助手收入!$R$69="","",助手收入!$Q$69)</f>
        <v>68</v>
      </c>
      <c r="N1008" s="60" t="n">
        <f aca="false">IF(助手收入!$R$69="","",INDEX(助手收入!$P$2:$P$66,助手收入!$R$69))</f>
        <v>38</v>
      </c>
      <c r="O1008" s="55" t="str">
        <f aca="false">IF(助手收入!$R$69="","",INDEX(助手收入!$C$2:$C$66,助手收入!$R$69)&amp;"  字第 "&amp;INDEX(助手收入!$P$2:$P$66,助手收入!$R$69)&amp;" 号"&amp;IF(INDEX(助手收入!$L$2:$L$66,助手收入!$R$69)&gt;1,"  (共"&amp;INDEX(助手收入!$L$2:$L$66,助手收入!$R$69)&amp;"页 第"&amp;助手收入!$S$69&amp;"页)",""))</f>
        <v>西范村店  字第 38 号  (共2页 第1页)</v>
      </c>
    </row>
    <row r="1009" customFormat="false" ht="12.75" hidden="false" customHeight="true" outlineLevel="0" collapsed="false">
      <c r="B1009" s="61" t="str">
        <f aca="false">IF(助手收入!$R$69&lt;&gt;"","摘　　要","")</f>
        <v>摘　　要</v>
      </c>
      <c r="C1009" s="61"/>
      <c r="D1009" s="62" t="str">
        <f aca="false">IF(助手收入!$R$69&lt;&gt;"","科　　　　目","")</f>
        <v>科　　　　目</v>
      </c>
      <c r="E1009" s="62"/>
      <c r="F1009" s="61" t="str">
        <f aca="false">IF(助手收入!$R$69&lt;&gt;"","借 方 金 额","")</f>
        <v>借 方 金 额</v>
      </c>
      <c r="G1009" s="62" t="str">
        <f aca="false">IF(助手收入!$R$69&lt;&gt;"","贷 方 金 额","")</f>
        <v>贷 方 金 额</v>
      </c>
      <c r="H1009" s="63" t="str">
        <f aca="false">IF(助手收入!$R$69&lt;&gt;"","√","")</f>
        <v>√</v>
      </c>
      <c r="I1009" s="64" t="str">
        <f aca="false">IF(助手收入!$R$69&lt;&gt;"","附单据  张","")</f>
        <v>附单据  张</v>
      </c>
    </row>
    <row r="1010" customFormat="false" ht="12.75" hidden="false" customHeight="true" outlineLevel="0" collapsed="false">
      <c r="B1010" s="61"/>
      <c r="C1010" s="61"/>
      <c r="D1010" s="23" t="str">
        <f aca="false">IF(助手收入!$R$69&lt;&gt;"","总 账 科 目","")</f>
        <v>总 账 科 目</v>
      </c>
      <c r="E1010" s="23" t="str">
        <f aca="false">IF(助手收入!$R$69&lt;&gt;"","明 细 科 目","")</f>
        <v>明 细 科 目</v>
      </c>
      <c r="F1010" s="65"/>
      <c r="G1010" s="66"/>
      <c r="H1010" s="63"/>
      <c r="I1010" s="64"/>
    </row>
    <row r="1011" customFormat="false" ht="23.25" hidden="false" customHeight="true" outlineLevel="0" collapsed="false">
      <c r="B1011" s="67" t="str">
        <f aca="false">IFERROR(INDEX(分录收入!$M:$M,MATCH($L1011,分录收入!$L:$L,0)),"")</f>
        <v>7月收入</v>
      </c>
      <c r="C1011" s="67"/>
      <c r="D1011" s="23" t="str">
        <f aca="false">IFERROR(INDEX(分录收入!$E:$E,MATCH($L1011,分录收入!$L:$L,0)),"")</f>
        <v>库存现金</v>
      </c>
      <c r="E1011" s="23" t="str">
        <f aca="false">IFERROR(INDEX(分录收入!$F:$F,MATCH($L1011,分录收入!$L:$L,0)),"")</f>
        <v/>
      </c>
      <c r="F1011" s="68" t="n">
        <f aca="false">IFERROR(INDEX(分录收入!$H:$H,MATCH($L1011,分录收入!$L:$L,0)),"")</f>
        <v>6528.35</v>
      </c>
      <c r="G1011" s="69" t="str">
        <f aca="false">IFERROR(INDEX(分录收入!$I:$I,MATCH($L1011,分录收入!$L:$L,0)),"")</f>
        <v/>
      </c>
      <c r="H1011" s="23"/>
      <c r="I1011" s="70"/>
      <c r="L1011" s="71" t="n">
        <f aca="false">IF(助手收入!$R$69="",-1,助手收入!$R$69*100+(助手收入!$S$69-1)*6+1)</f>
        <v>3901</v>
      </c>
    </row>
    <row r="1012" customFormat="false" ht="23.25" hidden="false" customHeight="true" outlineLevel="0" collapsed="false">
      <c r="B1012" s="67" t="str">
        <f aca="false">""</f>
        <v/>
      </c>
      <c r="C1012" s="67"/>
      <c r="D1012" s="23" t="str">
        <f aca="false">IFERROR(INDEX(分录收入!$E:$E,MATCH($L1012,分录收入!$L:$L,0)),"")</f>
        <v>应收账款</v>
      </c>
      <c r="E1012" s="23" t="str">
        <f aca="false">IFERROR(INDEX(分录收入!$F:$F,MATCH($L1012,分录收入!$L:$L,0)),"")</f>
        <v>聚合支付</v>
      </c>
      <c r="F1012" s="68" t="n">
        <f aca="false">IFERROR(INDEX(分录收入!$H:$H,MATCH($L1012,分录收入!$L:$L,0)),"")</f>
        <v>50411.54</v>
      </c>
      <c r="G1012" s="69" t="str">
        <f aca="false">IFERROR(INDEX(分录收入!$I:$I,MATCH($L1012,分录收入!$L:$L,0)),"")</f>
        <v/>
      </c>
      <c r="H1012" s="23"/>
      <c r="I1012" s="70"/>
      <c r="L1012" s="71" t="n">
        <f aca="false">IF(助手收入!$R$69="",-1,助手收入!$R$69*100+(助手收入!$S$69-1)*6+2)</f>
        <v>3902</v>
      </c>
    </row>
    <row r="1013" customFormat="false" ht="23.25" hidden="false" customHeight="true" outlineLevel="0" collapsed="false">
      <c r="B1013" s="67" t="str">
        <f aca="false">""</f>
        <v/>
      </c>
      <c r="C1013" s="67"/>
      <c r="D1013" s="23" t="str">
        <f aca="false">IFERROR(INDEX(分录收入!$E:$E,MATCH($L1013,分录收入!$L:$L,0)),"")</f>
        <v>应收账款</v>
      </c>
      <c r="E1013" s="23" t="str">
        <f aca="false">IFERROR(INDEX(分录收入!$F:$F,MATCH($L1013,分录收入!$L:$L,0)),"")</f>
        <v>医保</v>
      </c>
      <c r="F1013" s="68" t="n">
        <f aca="false">IFERROR(INDEX(分录收入!$H:$H,MATCH($L1013,分录收入!$L:$L,0)),"")</f>
        <v>10937.56</v>
      </c>
      <c r="G1013" s="69" t="str">
        <f aca="false">IFERROR(INDEX(分录收入!$I:$I,MATCH($L1013,分录收入!$L:$L,0)),"")</f>
        <v/>
      </c>
      <c r="H1013" s="23"/>
      <c r="I1013" s="70"/>
      <c r="L1013" s="71" t="n">
        <f aca="false">IF(助手收入!$R$69="",-1,助手收入!$R$69*100+(助手收入!$S$69-1)*6+3)</f>
        <v>3903</v>
      </c>
    </row>
    <row r="1014" customFormat="false" ht="23.25" hidden="false" customHeight="true" outlineLevel="0" collapsed="false">
      <c r="B1014" s="67" t="str">
        <f aca="false">""</f>
        <v/>
      </c>
      <c r="C1014" s="67"/>
      <c r="D1014" s="23" t="str">
        <f aca="false">IFERROR(INDEX(分录收入!$E:$E,MATCH($L1014,分录收入!$L:$L,0)),"")</f>
        <v>应收账款</v>
      </c>
      <c r="E1014" s="23" t="str">
        <f aca="false">IFERROR(INDEX(分录收入!$F:$F,MATCH($L1014,分录收入!$L:$L,0)),"")</f>
        <v>饿了么</v>
      </c>
      <c r="F1014" s="68" t="n">
        <f aca="false">IFERROR(INDEX(分录收入!$H:$H,MATCH($L1014,分录收入!$L:$L,0)),"")</f>
        <v>681.8</v>
      </c>
      <c r="G1014" s="69" t="str">
        <f aca="false">IFERROR(INDEX(分录收入!$I:$I,MATCH($L1014,分录收入!$L:$L,0)),"")</f>
        <v/>
      </c>
      <c r="H1014" s="23"/>
      <c r="I1014" s="70"/>
      <c r="L1014" s="71" t="n">
        <f aca="false">IF(助手收入!$R$69="",-1,助手收入!$R$69*100+(助手收入!$S$69-1)*6+4)</f>
        <v>3904</v>
      </c>
    </row>
    <row r="1015" customFormat="false" ht="23.25" hidden="false" customHeight="true" outlineLevel="0" collapsed="false">
      <c r="B1015" s="67" t="str">
        <f aca="false">""</f>
        <v/>
      </c>
      <c r="C1015" s="67"/>
      <c r="D1015" s="23" t="str">
        <f aca="false">IFERROR(INDEX(分录收入!$E:$E,MATCH($L1015,分录收入!$L:$L,0)),"")</f>
        <v>销售费用</v>
      </c>
      <c r="E1015" s="23" t="str">
        <f aca="false">IFERROR(INDEX(分录收入!$F:$F,MATCH($L1015,分录收入!$L:$L,0)),"")</f>
        <v>促销费</v>
      </c>
      <c r="F1015" s="68" t="n">
        <f aca="false">IFERROR(INDEX(分录收入!$H:$H,MATCH($L1015,分录收入!$L:$L,0)),"")</f>
        <v>1208.72</v>
      </c>
      <c r="G1015" s="69" t="str">
        <f aca="false">IFERROR(INDEX(分录收入!$I:$I,MATCH($L1015,分录收入!$L:$L,0)),"")</f>
        <v/>
      </c>
      <c r="H1015" s="23"/>
      <c r="I1015" s="70"/>
      <c r="L1015" s="71" t="n">
        <f aca="false">IF(助手收入!$R$69="",-1,助手收入!$R$69*100+(助手收入!$S$69-1)*6+5)</f>
        <v>3905</v>
      </c>
    </row>
    <row r="1016" customFormat="false" ht="23.25" hidden="false" customHeight="true" outlineLevel="0" collapsed="false">
      <c r="B1016" s="67" t="str">
        <f aca="false">""</f>
        <v/>
      </c>
      <c r="C1016" s="67"/>
      <c r="D1016" s="23" t="str">
        <f aca="false">IFERROR(INDEX(分录收入!$E:$E,MATCH($L1016,分录收入!$L:$L,0)),"")</f>
        <v>财务费用</v>
      </c>
      <c r="E1016" s="23" t="str">
        <f aca="false">IFERROR(INDEX(分录收入!$F:$F,MATCH($L1016,分录收入!$L:$L,0)),"")</f>
        <v>手续费</v>
      </c>
      <c r="F1016" s="68" t="n">
        <f aca="false">IFERROR(INDEX(分录收入!$H:$H,MATCH($L1016,分录收入!$L:$L,0)),"")</f>
        <v>136.48</v>
      </c>
      <c r="G1016" s="69" t="str">
        <f aca="false">IFERROR(INDEX(分录收入!$I:$I,MATCH($L1016,分录收入!$L:$L,0)),"")</f>
        <v/>
      </c>
      <c r="H1016" s="23"/>
      <c r="I1016" s="70"/>
      <c r="L1016" s="71" t="n">
        <f aca="false">IF(助手收入!$R$69="",-1,助手收入!$R$69*100+(助手收入!$S$69-1)*6+6)</f>
        <v>3906</v>
      </c>
    </row>
    <row r="1017" customFormat="false" ht="23.25" hidden="false" customHeight="true" outlineLevel="0" collapsed="false">
      <c r="B1017" s="72" t="str">
        <f aca="false">IF(助手收入!$T$69=1,"合计：","")</f>
        <v/>
      </c>
      <c r="C1017" s="73" t="str">
        <f aca="false">IF(助手收入!$T$69=1,$F1017,"")</f>
        <v/>
      </c>
      <c r="D1017" s="74"/>
      <c r="E1017" s="74"/>
      <c r="F1017" s="75" t="str">
        <f aca="false">IF(助手收入!$T$69=1,INDEX(助手收入!$N$2:$N$66,助手收入!$R$69),"")</f>
        <v/>
      </c>
      <c r="G1017" s="76" t="str">
        <f aca="false">IF(助手收入!$T$69=1,INDEX(助手收入!$O$2:$O$66,助手收入!$R$69),"")</f>
        <v/>
      </c>
      <c r="H1017" s="74"/>
      <c r="I1017" s="77"/>
    </row>
    <row r="1018" customFormat="false" ht="6" hidden="false" customHeight="true" outlineLevel="0" collapsed="false"/>
    <row r="1019" customFormat="false" ht="13.5" hidden="false" customHeight="false" outlineLevel="0" collapsed="false">
      <c r="B1019" s="78" t="str">
        <f aca="false">IF(助手收入!$R$69&lt;&gt;"","会计主管：","")</f>
        <v>会计主管：</v>
      </c>
      <c r="D1019" s="78" t="str">
        <f aca="false">IF(助手收入!$R$69&lt;&gt;"","会计：","")</f>
        <v>会计：</v>
      </c>
      <c r="E1019" s="78" t="str">
        <f aca="false">IF(助手收入!$R$69&lt;&gt;"","出纳：","")</f>
        <v>出纳：</v>
      </c>
      <c r="F1019" s="78" t="str">
        <f aca="false">IF(助手收入!$R$69&lt;&gt;"","复核：","")</f>
        <v>复核：</v>
      </c>
      <c r="G1019" s="78" t="str">
        <f aca="false">IF(助手收入!$R$69&lt;&gt;"","制单：","")</f>
        <v>制单：</v>
      </c>
    </row>
    <row r="1020" customFormat="false" ht="3" hidden="false" customHeight="true" outlineLevel="0" collapsed="false"/>
    <row r="1021" customFormat="false" ht="19.5" hidden="false" customHeight="true" outlineLevel="0" collapsed="false">
      <c r="B1021" s="53" t="str">
        <f aca="false">IF(助手收入!$R$70&lt;&gt;"","记  账  凭  证","")</f>
        <v>记  账  凭  证</v>
      </c>
      <c r="C1021" s="53"/>
      <c r="D1021" s="53"/>
      <c r="E1021" s="53"/>
      <c r="F1021" s="53"/>
      <c r="G1021" s="53"/>
      <c r="H1021" s="53"/>
      <c r="I1021" s="53"/>
    </row>
    <row r="1022" customFormat="false" ht="3" hidden="false" customHeight="true" outlineLevel="0" collapsed="false"/>
    <row r="1023" customFormat="false" ht="15" hidden="false" customHeight="true" outlineLevel="0" collapsed="false">
      <c r="C1023" s="56" t="n">
        <f aca="false">IF(助手收入!$R$70&lt;&gt;"",INDEX(助手收入!$B$2:$B$66,助手收入!$R$70),"")</f>
        <v>2062</v>
      </c>
      <c r="D1023" s="57" t="n">
        <f aca="false">IF(助手收入!$R$70&lt;&gt;"",参数!$B$2,"")</f>
        <v>46234</v>
      </c>
      <c r="E1023" s="57"/>
      <c r="F1023" s="58" t="str">
        <f aca="false">IF(助手收入!$R$70&lt;&gt;"",INDEX(助手收入!$C$2:$C$66,助手收入!$R$70)&amp;"  字第 "&amp;IF(参数!$B$9="是",INDEX(助手收入!$P$2:$P$66,助手收入!$R$70),"　　　　")&amp;" 号"&amp;IF(INDEX(助手收入!$L$2:$L$66,助手收入!$R$70)&gt;1,"  (共"&amp;INDEX(助手收入!$L$2:$L$66,助手收入!$R$70)&amp;"页 第"&amp;助手收入!$S$70&amp;"页)",""),"")</f>
        <v>西范村店  字第 　　　　 号  (共2页 第2页)</v>
      </c>
      <c r="G1023" s="58"/>
      <c r="H1023" s="58"/>
      <c r="I1023" s="58"/>
      <c r="M1023" s="59" t="n">
        <f aca="false">IF(助手收入!$R$70="","",助手收入!$Q$70)</f>
        <v>69</v>
      </c>
      <c r="N1023" s="60" t="n">
        <f aca="false">IF(助手收入!$R$70="","",INDEX(助手收入!$P$2:$P$66,助手收入!$R$70))</f>
        <v>38</v>
      </c>
      <c r="O1023" s="55" t="str">
        <f aca="false">IF(助手收入!$R$70="","",INDEX(助手收入!$C$2:$C$66,助手收入!$R$70)&amp;"  字第 "&amp;INDEX(助手收入!$P$2:$P$66,助手收入!$R$70)&amp;" 号"&amp;IF(INDEX(助手收入!$L$2:$L$66,助手收入!$R$70)&gt;1,"  (共"&amp;INDEX(助手收入!$L$2:$L$66,助手收入!$R$70)&amp;"页 第"&amp;助手收入!$S$70&amp;"页)",""))</f>
        <v>西范村店  字第 38 号  (共2页 第2页)</v>
      </c>
    </row>
    <row r="1024" customFormat="false" ht="12.75" hidden="false" customHeight="true" outlineLevel="0" collapsed="false">
      <c r="B1024" s="61" t="str">
        <f aca="false">IF(助手收入!$R$70&lt;&gt;"","摘　　要","")</f>
        <v>摘　　要</v>
      </c>
      <c r="C1024" s="61"/>
      <c r="D1024" s="62" t="str">
        <f aca="false">IF(助手收入!$R$70&lt;&gt;"","科　　　　目","")</f>
        <v>科　　　　目</v>
      </c>
      <c r="E1024" s="62"/>
      <c r="F1024" s="61" t="str">
        <f aca="false">IF(助手收入!$R$70&lt;&gt;"","借 方 金 额","")</f>
        <v>借 方 金 额</v>
      </c>
      <c r="G1024" s="62" t="str">
        <f aca="false">IF(助手收入!$R$70&lt;&gt;"","贷 方 金 额","")</f>
        <v>贷 方 金 额</v>
      </c>
      <c r="H1024" s="63" t="str">
        <f aca="false">IF(助手收入!$R$70&lt;&gt;"","√","")</f>
        <v>√</v>
      </c>
      <c r="I1024" s="64" t="str">
        <f aca="false">IF(助手收入!$R$70&lt;&gt;"","附单据  张","")</f>
        <v>附单据  张</v>
      </c>
    </row>
    <row r="1025" customFormat="false" ht="12.75" hidden="false" customHeight="true" outlineLevel="0" collapsed="false">
      <c r="B1025" s="61"/>
      <c r="C1025" s="61"/>
      <c r="D1025" s="23" t="str">
        <f aca="false">IF(助手收入!$R$70&lt;&gt;"","总 账 科 目","")</f>
        <v>总 账 科 目</v>
      </c>
      <c r="E1025" s="23" t="str">
        <f aca="false">IF(助手收入!$R$70&lt;&gt;"","明 细 科 目","")</f>
        <v>明 细 科 目</v>
      </c>
      <c r="F1025" s="65"/>
      <c r="G1025" s="66"/>
      <c r="H1025" s="63"/>
      <c r="I1025" s="64"/>
    </row>
    <row r="1026" customFormat="false" ht="23.25" hidden="false" customHeight="true" outlineLevel="0" collapsed="false">
      <c r="B1026" s="67" t="str">
        <f aca="false">IFERROR(INDEX(分录收入!$M:$M,MATCH($L1026,分录收入!$L:$L,0)),"")</f>
        <v>7月收入</v>
      </c>
      <c r="C1026" s="67"/>
      <c r="D1026" s="23" t="str">
        <f aca="false">IFERROR(INDEX(分录收入!$E:$E,MATCH($L1026,分录收入!$L:$L,0)),"")</f>
        <v>主营业务收入</v>
      </c>
      <c r="E1026" s="23" t="str">
        <f aca="false">IFERROR(INDEX(分录收入!$F:$F,MATCH($L1026,分录收入!$L:$L,0)),"")</f>
        <v/>
      </c>
      <c r="F1026" s="68" t="str">
        <f aca="false">IFERROR(INDEX(分录收入!$H:$H,MATCH($L1026,分录收入!$L:$L,0)),"")</f>
        <v/>
      </c>
      <c r="G1026" s="69" t="n">
        <f aca="false">IFERROR(INDEX(分录收入!$I:$I,MATCH($L1026,分录收入!$L:$L,0)),"")</f>
        <v>69904.45</v>
      </c>
      <c r="H1026" s="23"/>
      <c r="I1026" s="70"/>
      <c r="L1026" s="71" t="n">
        <f aca="false">IF(助手收入!$R$70="",-1,助手收入!$R$70*100+(助手收入!$S$70-1)*6+1)</f>
        <v>3907</v>
      </c>
    </row>
    <row r="1027" customFormat="false" ht="23.25" hidden="false" customHeight="true" outlineLevel="0" collapsed="false">
      <c r="B1027" s="67" t="str">
        <f aca="false">""</f>
        <v/>
      </c>
      <c r="C1027" s="67"/>
      <c r="D1027" s="23" t="str">
        <f aca="false">IFERROR(INDEX(分录收入!$E:$E,MATCH($L1027,分录收入!$L:$L,0)),"")</f>
        <v/>
      </c>
      <c r="E1027" s="23" t="str">
        <f aca="false">IFERROR(INDEX(分录收入!$F:$F,MATCH($L1027,分录收入!$L:$L,0)),"")</f>
        <v/>
      </c>
      <c r="F1027" s="68" t="str">
        <f aca="false">IFERROR(INDEX(分录收入!$H:$H,MATCH($L1027,分录收入!$L:$L,0)),"")</f>
        <v/>
      </c>
      <c r="G1027" s="69" t="str">
        <f aca="false">IFERROR(INDEX(分录收入!$I:$I,MATCH($L1027,分录收入!$L:$L,0)),"")</f>
        <v/>
      </c>
      <c r="H1027" s="23"/>
      <c r="I1027" s="70"/>
      <c r="L1027" s="71" t="n">
        <f aca="false">IF(助手收入!$R$70="",-1,助手收入!$R$70*100+(助手收入!$S$70-1)*6+2)</f>
        <v>3908</v>
      </c>
    </row>
    <row r="1028" customFormat="false" ht="23.25" hidden="false" customHeight="true" outlineLevel="0" collapsed="false">
      <c r="B1028" s="67" t="str">
        <f aca="false">""</f>
        <v/>
      </c>
      <c r="C1028" s="67"/>
      <c r="D1028" s="23" t="str">
        <f aca="false">IFERROR(INDEX(分录收入!$E:$E,MATCH($L1028,分录收入!$L:$L,0)),"")</f>
        <v/>
      </c>
      <c r="E1028" s="23" t="str">
        <f aca="false">IFERROR(INDEX(分录收入!$F:$F,MATCH($L1028,分录收入!$L:$L,0)),"")</f>
        <v/>
      </c>
      <c r="F1028" s="68" t="str">
        <f aca="false">IFERROR(INDEX(分录收入!$H:$H,MATCH($L1028,分录收入!$L:$L,0)),"")</f>
        <v/>
      </c>
      <c r="G1028" s="69" t="str">
        <f aca="false">IFERROR(INDEX(分录收入!$I:$I,MATCH($L1028,分录收入!$L:$L,0)),"")</f>
        <v/>
      </c>
      <c r="H1028" s="23"/>
      <c r="I1028" s="70"/>
      <c r="L1028" s="71" t="n">
        <f aca="false">IF(助手收入!$R$70="",-1,助手收入!$R$70*100+(助手收入!$S$70-1)*6+3)</f>
        <v>3909</v>
      </c>
    </row>
    <row r="1029" customFormat="false" ht="23.25" hidden="false" customHeight="true" outlineLevel="0" collapsed="false">
      <c r="B1029" s="67" t="str">
        <f aca="false">""</f>
        <v/>
      </c>
      <c r="C1029" s="67"/>
      <c r="D1029" s="23" t="str">
        <f aca="false">IFERROR(INDEX(分录收入!$E:$E,MATCH($L1029,分录收入!$L:$L,0)),"")</f>
        <v/>
      </c>
      <c r="E1029" s="23" t="str">
        <f aca="false">IFERROR(INDEX(分录收入!$F:$F,MATCH($L1029,分录收入!$L:$L,0)),"")</f>
        <v/>
      </c>
      <c r="F1029" s="68" t="str">
        <f aca="false">IFERROR(INDEX(分录收入!$H:$H,MATCH($L1029,分录收入!$L:$L,0)),"")</f>
        <v/>
      </c>
      <c r="G1029" s="69" t="str">
        <f aca="false">IFERROR(INDEX(分录收入!$I:$I,MATCH($L1029,分录收入!$L:$L,0)),"")</f>
        <v/>
      </c>
      <c r="H1029" s="23"/>
      <c r="I1029" s="70"/>
      <c r="L1029" s="71" t="n">
        <f aca="false">IF(助手收入!$R$70="",-1,助手收入!$R$70*100+(助手收入!$S$70-1)*6+4)</f>
        <v>3910</v>
      </c>
    </row>
    <row r="1030" customFormat="false" ht="23.25" hidden="false" customHeight="true" outlineLevel="0" collapsed="false">
      <c r="B1030" s="67" t="str">
        <f aca="false">""</f>
        <v/>
      </c>
      <c r="C1030" s="67"/>
      <c r="D1030" s="23" t="str">
        <f aca="false">IFERROR(INDEX(分录收入!$E:$E,MATCH($L1030,分录收入!$L:$L,0)),"")</f>
        <v/>
      </c>
      <c r="E1030" s="23" t="str">
        <f aca="false">IFERROR(INDEX(分录收入!$F:$F,MATCH($L1030,分录收入!$L:$L,0)),"")</f>
        <v/>
      </c>
      <c r="F1030" s="68" t="str">
        <f aca="false">IFERROR(INDEX(分录收入!$H:$H,MATCH($L1030,分录收入!$L:$L,0)),"")</f>
        <v/>
      </c>
      <c r="G1030" s="69" t="str">
        <f aca="false">IFERROR(INDEX(分录收入!$I:$I,MATCH($L1030,分录收入!$L:$L,0)),"")</f>
        <v/>
      </c>
      <c r="H1030" s="23"/>
      <c r="I1030" s="70"/>
      <c r="L1030" s="71" t="n">
        <f aca="false">IF(助手收入!$R$70="",-1,助手收入!$R$70*100+(助手收入!$S$70-1)*6+5)</f>
        <v>3911</v>
      </c>
    </row>
    <row r="1031" customFormat="false" ht="23.25" hidden="false" customHeight="true" outlineLevel="0" collapsed="false">
      <c r="B1031" s="67" t="str">
        <f aca="false">""</f>
        <v/>
      </c>
      <c r="C1031" s="67"/>
      <c r="D1031" s="23" t="str">
        <f aca="false">IFERROR(INDEX(分录收入!$E:$E,MATCH($L1031,分录收入!$L:$L,0)),"")</f>
        <v/>
      </c>
      <c r="E1031" s="23" t="str">
        <f aca="false">IFERROR(INDEX(分录收入!$F:$F,MATCH($L1031,分录收入!$L:$L,0)),"")</f>
        <v/>
      </c>
      <c r="F1031" s="68" t="str">
        <f aca="false">IFERROR(INDEX(分录收入!$H:$H,MATCH($L1031,分录收入!$L:$L,0)),"")</f>
        <v/>
      </c>
      <c r="G1031" s="69" t="str">
        <f aca="false">IFERROR(INDEX(分录收入!$I:$I,MATCH($L1031,分录收入!$L:$L,0)),"")</f>
        <v/>
      </c>
      <c r="H1031" s="23"/>
      <c r="I1031" s="70"/>
      <c r="L1031" s="71" t="n">
        <f aca="false">IF(助手收入!$R$70="",-1,助手收入!$R$70*100+(助手收入!$S$70-1)*6+6)</f>
        <v>3912</v>
      </c>
    </row>
    <row r="1032" customFormat="false" ht="23.25" hidden="false" customHeight="true" outlineLevel="0" collapsed="false">
      <c r="B1032" s="72" t="str">
        <f aca="false">IF(助手收入!$T$70=1,"合计：","")</f>
        <v>合计：</v>
      </c>
      <c r="C1032" s="73" t="n">
        <f aca="false">IF(助手收入!$T$70=1,$F1032,"")</f>
        <v>69904.45</v>
      </c>
      <c r="D1032" s="74"/>
      <c r="E1032" s="74"/>
      <c r="F1032" s="75" t="n">
        <f aca="false">IF(助手收入!$T$70=1,INDEX(助手收入!$N$2:$N$66,助手收入!$R$70),"")</f>
        <v>69904.45</v>
      </c>
      <c r="G1032" s="76" t="n">
        <f aca="false">IF(助手收入!$T$70=1,INDEX(助手收入!$O$2:$O$66,助手收入!$R$70),"")</f>
        <v>69904.45</v>
      </c>
      <c r="H1032" s="74"/>
      <c r="I1032" s="77"/>
    </row>
    <row r="1033" customFormat="false" ht="6" hidden="false" customHeight="true" outlineLevel="0" collapsed="false"/>
    <row r="1034" customFormat="false" ht="13.5" hidden="false" customHeight="false" outlineLevel="0" collapsed="false">
      <c r="B1034" s="78" t="str">
        <f aca="false">IF(助手收入!$R$70&lt;&gt;"","会计主管：","")</f>
        <v>会计主管：</v>
      </c>
      <c r="D1034" s="78" t="str">
        <f aca="false">IF(助手收入!$R$70&lt;&gt;"","会计：","")</f>
        <v>会计：</v>
      </c>
      <c r="E1034" s="78" t="str">
        <f aca="false">IF(助手收入!$R$70&lt;&gt;"","出纳：","")</f>
        <v>出纳：</v>
      </c>
      <c r="F1034" s="78" t="str">
        <f aca="false">IF(助手收入!$R$70&lt;&gt;"","复核：","")</f>
        <v>复核：</v>
      </c>
      <c r="G1034" s="78" t="str">
        <f aca="false">IF(助手收入!$R$70&lt;&gt;"","制单：","")</f>
        <v>制单：</v>
      </c>
    </row>
    <row r="1035" customFormat="false" ht="3" hidden="false" customHeight="true" outlineLevel="0" collapsed="false"/>
    <row r="1036" customFormat="false" ht="19.5" hidden="false" customHeight="true" outlineLevel="0" collapsed="false">
      <c r="B1036" s="53" t="str">
        <f aca="false">IF(助手收入!$R$71&lt;&gt;"","记  账  凭  证","")</f>
        <v>记  账  凭  证</v>
      </c>
      <c r="C1036" s="53"/>
      <c r="D1036" s="53"/>
      <c r="E1036" s="53"/>
      <c r="F1036" s="53"/>
      <c r="G1036" s="53"/>
      <c r="H1036" s="53"/>
      <c r="I1036" s="53"/>
    </row>
    <row r="1037" customFormat="false" ht="3" hidden="false" customHeight="true" outlineLevel="0" collapsed="false"/>
    <row r="1038" customFormat="false" ht="15" hidden="false" customHeight="true" outlineLevel="0" collapsed="false">
      <c r="C1038" s="56" t="n">
        <f aca="false">IF(助手收入!$R$71&lt;&gt;"",INDEX(助手收入!$B$2:$B$66,助手收入!$R$71),"")</f>
        <v>2063</v>
      </c>
      <c r="D1038" s="57" t="n">
        <f aca="false">IF(助手收入!$R$71&lt;&gt;"",参数!$B$2,"")</f>
        <v>46234</v>
      </c>
      <c r="E1038" s="57"/>
      <c r="F1038" s="58" t="str">
        <f aca="false">IF(助手收入!$R$71&lt;&gt;"",INDEX(助手收入!$C$2:$C$66,助手收入!$R$71)&amp;"  字第 "&amp;IF(参数!$B$9="是",INDEX(助手收入!$P$2:$P$66,助手收入!$R$71),"　　　　")&amp;" 号"&amp;IF(INDEX(助手收入!$L$2:$L$66,助手收入!$R$71)&gt;1,"  (共"&amp;INDEX(助手收入!$L$2:$L$66,助手收入!$R$71)&amp;"页 第"&amp;助手收入!$S$71&amp;"页)",""),"")</f>
        <v>博医店  字第 　　　　 号  (共2页 第1页)</v>
      </c>
      <c r="G1038" s="58"/>
      <c r="H1038" s="58"/>
      <c r="I1038" s="58"/>
      <c r="M1038" s="59" t="n">
        <f aca="false">IF(助手收入!$R$71="","",助手收入!$Q$71)</f>
        <v>70</v>
      </c>
      <c r="N1038" s="60" t="n">
        <f aca="false">IF(助手收入!$R$71="","",INDEX(助手收入!$P$2:$P$66,助手收入!$R$71))</f>
        <v>39</v>
      </c>
      <c r="O1038" s="55" t="str">
        <f aca="false">IF(助手收入!$R$71="","",INDEX(助手收入!$C$2:$C$66,助手收入!$R$71)&amp;"  字第 "&amp;INDEX(助手收入!$P$2:$P$66,助手收入!$R$71)&amp;" 号"&amp;IF(INDEX(助手收入!$L$2:$L$66,助手收入!$R$71)&gt;1,"  (共"&amp;INDEX(助手收入!$L$2:$L$66,助手收入!$R$71)&amp;"页 第"&amp;助手收入!$S$71&amp;"页)",""))</f>
        <v>博医店  字第 39 号  (共2页 第1页)</v>
      </c>
    </row>
    <row r="1039" customFormat="false" ht="12.75" hidden="false" customHeight="true" outlineLevel="0" collapsed="false">
      <c r="B1039" s="61" t="str">
        <f aca="false">IF(助手收入!$R$71&lt;&gt;"","摘　　要","")</f>
        <v>摘　　要</v>
      </c>
      <c r="C1039" s="61"/>
      <c r="D1039" s="62" t="str">
        <f aca="false">IF(助手收入!$R$71&lt;&gt;"","科　　　　目","")</f>
        <v>科　　　　目</v>
      </c>
      <c r="E1039" s="62"/>
      <c r="F1039" s="61" t="str">
        <f aca="false">IF(助手收入!$R$71&lt;&gt;"","借 方 金 额","")</f>
        <v>借 方 金 额</v>
      </c>
      <c r="G1039" s="62" t="str">
        <f aca="false">IF(助手收入!$R$71&lt;&gt;"","贷 方 金 额","")</f>
        <v>贷 方 金 额</v>
      </c>
      <c r="H1039" s="63" t="str">
        <f aca="false">IF(助手收入!$R$71&lt;&gt;"","√","")</f>
        <v>√</v>
      </c>
      <c r="I1039" s="64" t="str">
        <f aca="false">IF(助手收入!$R$71&lt;&gt;"","附单据  张","")</f>
        <v>附单据  张</v>
      </c>
    </row>
    <row r="1040" customFormat="false" ht="12.75" hidden="false" customHeight="true" outlineLevel="0" collapsed="false">
      <c r="B1040" s="61"/>
      <c r="C1040" s="61"/>
      <c r="D1040" s="23" t="str">
        <f aca="false">IF(助手收入!$R$71&lt;&gt;"","总 账 科 目","")</f>
        <v>总 账 科 目</v>
      </c>
      <c r="E1040" s="23" t="str">
        <f aca="false">IF(助手收入!$R$71&lt;&gt;"","明 细 科 目","")</f>
        <v>明 细 科 目</v>
      </c>
      <c r="F1040" s="65"/>
      <c r="G1040" s="66"/>
      <c r="H1040" s="63"/>
      <c r="I1040" s="64"/>
    </row>
    <row r="1041" customFormat="false" ht="23.25" hidden="false" customHeight="true" outlineLevel="0" collapsed="false">
      <c r="B1041" s="67" t="str">
        <f aca="false">IFERROR(INDEX(分录收入!$M:$M,MATCH($L1041,分录收入!$L:$L,0)),"")</f>
        <v>7月收入</v>
      </c>
      <c r="C1041" s="67"/>
      <c r="D1041" s="23" t="str">
        <f aca="false">IFERROR(INDEX(分录收入!$E:$E,MATCH($L1041,分录收入!$L:$L,0)),"")</f>
        <v>库存现金</v>
      </c>
      <c r="E1041" s="23" t="str">
        <f aca="false">IFERROR(INDEX(分录收入!$F:$F,MATCH($L1041,分录收入!$L:$L,0)),"")</f>
        <v/>
      </c>
      <c r="F1041" s="68" t="n">
        <f aca="false">IFERROR(INDEX(分录收入!$H:$H,MATCH($L1041,分录收入!$L:$L,0)),"")</f>
        <v>46487.34</v>
      </c>
      <c r="G1041" s="69" t="str">
        <f aca="false">IFERROR(INDEX(分录收入!$I:$I,MATCH($L1041,分录收入!$L:$L,0)),"")</f>
        <v/>
      </c>
      <c r="H1041" s="23"/>
      <c r="I1041" s="70"/>
      <c r="L1041" s="71" t="n">
        <f aca="false">IF(助手收入!$R$71="",-1,助手收入!$R$71*100+(助手收入!$S$71-1)*6+1)</f>
        <v>4001</v>
      </c>
    </row>
    <row r="1042" customFormat="false" ht="23.25" hidden="false" customHeight="true" outlineLevel="0" collapsed="false">
      <c r="B1042" s="67" t="str">
        <f aca="false">""</f>
        <v/>
      </c>
      <c r="C1042" s="67"/>
      <c r="D1042" s="23" t="str">
        <f aca="false">IFERROR(INDEX(分录收入!$E:$E,MATCH($L1042,分录收入!$L:$L,0)),"")</f>
        <v>应收账款</v>
      </c>
      <c r="E1042" s="23" t="str">
        <f aca="false">IFERROR(INDEX(分录收入!$F:$F,MATCH($L1042,分录收入!$L:$L,0)),"")</f>
        <v>聚合支付</v>
      </c>
      <c r="F1042" s="68" t="n">
        <f aca="false">IFERROR(INDEX(分录收入!$H:$H,MATCH($L1042,分录收入!$L:$L,0)),"")</f>
        <v>11657.45</v>
      </c>
      <c r="G1042" s="69" t="str">
        <f aca="false">IFERROR(INDEX(分录收入!$I:$I,MATCH($L1042,分录收入!$L:$L,0)),"")</f>
        <v/>
      </c>
      <c r="H1042" s="23"/>
      <c r="I1042" s="70"/>
      <c r="L1042" s="71" t="n">
        <f aca="false">IF(助手收入!$R$71="",-1,助手收入!$R$71*100+(助手收入!$S$71-1)*6+2)</f>
        <v>4002</v>
      </c>
    </row>
    <row r="1043" customFormat="false" ht="23.25" hidden="false" customHeight="true" outlineLevel="0" collapsed="false">
      <c r="B1043" s="67" t="str">
        <f aca="false">""</f>
        <v/>
      </c>
      <c r="C1043" s="67"/>
      <c r="D1043" s="23" t="str">
        <f aca="false">IFERROR(INDEX(分录收入!$E:$E,MATCH($L1043,分录收入!$L:$L,0)),"")</f>
        <v>应收账款</v>
      </c>
      <c r="E1043" s="23" t="str">
        <f aca="false">IFERROR(INDEX(分录收入!$F:$F,MATCH($L1043,分录收入!$L:$L,0)),"")</f>
        <v>医保</v>
      </c>
      <c r="F1043" s="68" t="n">
        <f aca="false">IFERROR(INDEX(分录收入!$H:$H,MATCH($L1043,分录收入!$L:$L,0)),"")</f>
        <v>30171.06</v>
      </c>
      <c r="G1043" s="69" t="str">
        <f aca="false">IFERROR(INDEX(分录收入!$I:$I,MATCH($L1043,分录收入!$L:$L,0)),"")</f>
        <v/>
      </c>
      <c r="H1043" s="23"/>
      <c r="I1043" s="70"/>
      <c r="L1043" s="71" t="n">
        <f aca="false">IF(助手收入!$R$71="",-1,助手收入!$R$71*100+(助手收入!$S$71-1)*6+3)</f>
        <v>4003</v>
      </c>
    </row>
    <row r="1044" customFormat="false" ht="23.25" hidden="false" customHeight="true" outlineLevel="0" collapsed="false">
      <c r="B1044" s="67" t="str">
        <f aca="false">""</f>
        <v/>
      </c>
      <c r="C1044" s="67"/>
      <c r="D1044" s="23" t="str">
        <f aca="false">IFERROR(INDEX(分录收入!$E:$E,MATCH($L1044,分录收入!$L:$L,0)),"")</f>
        <v>应收账款</v>
      </c>
      <c r="E1044" s="23" t="str">
        <f aca="false">IFERROR(INDEX(分录收入!$F:$F,MATCH($L1044,分录收入!$L:$L,0)),"")</f>
        <v>健e卡</v>
      </c>
      <c r="F1044" s="68" t="n">
        <f aca="false">IFERROR(INDEX(分录收入!$H:$H,MATCH($L1044,分录收入!$L:$L,0)),"")</f>
        <v>12209.19</v>
      </c>
      <c r="G1044" s="69" t="str">
        <f aca="false">IFERROR(INDEX(分录收入!$I:$I,MATCH($L1044,分录收入!$L:$L,0)),"")</f>
        <v/>
      </c>
      <c r="H1044" s="23"/>
      <c r="I1044" s="70"/>
      <c r="L1044" s="71" t="n">
        <f aca="false">IF(助手收入!$R$71="",-1,助手收入!$R$71*100+(助手收入!$S$71-1)*6+4)</f>
        <v>4004</v>
      </c>
    </row>
    <row r="1045" customFormat="false" ht="23.25" hidden="false" customHeight="true" outlineLevel="0" collapsed="false">
      <c r="B1045" s="67" t="str">
        <f aca="false">""</f>
        <v/>
      </c>
      <c r="C1045" s="67"/>
      <c r="D1045" s="23" t="str">
        <f aca="false">IFERROR(INDEX(分录收入!$E:$E,MATCH($L1045,分录收入!$L:$L,0)),"")</f>
        <v>应收账款</v>
      </c>
      <c r="E1045" s="23" t="str">
        <f aca="false">IFERROR(INDEX(分录收入!$F:$F,MATCH($L1045,分录收入!$L:$L,0)),"")</f>
        <v>24小时</v>
      </c>
      <c r="F1045" s="68" t="n">
        <f aca="false">IFERROR(INDEX(分录收入!$H:$H,MATCH($L1045,分录收入!$L:$L,0)),"")</f>
        <v>2268.7</v>
      </c>
      <c r="G1045" s="69" t="str">
        <f aca="false">IFERROR(INDEX(分录收入!$I:$I,MATCH($L1045,分录收入!$L:$L,0)),"")</f>
        <v/>
      </c>
      <c r="H1045" s="23"/>
      <c r="I1045" s="70"/>
      <c r="L1045" s="71" t="n">
        <f aca="false">IF(助手收入!$R$71="",-1,助手收入!$R$71*100+(助手收入!$S$71-1)*6+5)</f>
        <v>4005</v>
      </c>
    </row>
    <row r="1046" customFormat="false" ht="23.25" hidden="false" customHeight="true" outlineLevel="0" collapsed="false">
      <c r="B1046" s="67" t="str">
        <f aca="false">""</f>
        <v/>
      </c>
      <c r="C1046" s="67"/>
      <c r="D1046" s="23" t="str">
        <f aca="false">IFERROR(INDEX(分录收入!$E:$E,MATCH($L1046,分录收入!$L:$L,0)),"")</f>
        <v>应收账款</v>
      </c>
      <c r="E1046" s="23" t="str">
        <f aca="false">IFERROR(INDEX(分录收入!$F:$F,MATCH($L1046,分录收入!$L:$L,0)),"")</f>
        <v>美团</v>
      </c>
      <c r="F1046" s="68" t="n">
        <f aca="false">IFERROR(INDEX(分录收入!$H:$H,MATCH($L1046,分录收入!$L:$L,0)),"")</f>
        <v>59</v>
      </c>
      <c r="G1046" s="69" t="str">
        <f aca="false">IFERROR(INDEX(分录收入!$I:$I,MATCH($L1046,分录收入!$L:$L,0)),"")</f>
        <v/>
      </c>
      <c r="H1046" s="23"/>
      <c r="I1046" s="70"/>
      <c r="L1046" s="71" t="n">
        <f aca="false">IF(助手收入!$R$71="",-1,助手收入!$R$71*100+(助手收入!$S$71-1)*6+6)</f>
        <v>4006</v>
      </c>
    </row>
    <row r="1047" customFormat="false" ht="23.25" hidden="false" customHeight="true" outlineLevel="0" collapsed="false">
      <c r="B1047" s="72" t="str">
        <f aca="false">IF(助手收入!$T$71=1,"合计：","")</f>
        <v/>
      </c>
      <c r="C1047" s="73" t="str">
        <f aca="false">IF(助手收入!$T$71=1,$F1047,"")</f>
        <v/>
      </c>
      <c r="D1047" s="74"/>
      <c r="E1047" s="74"/>
      <c r="F1047" s="75" t="str">
        <f aca="false">IF(助手收入!$T$71=1,INDEX(助手收入!$N$2:$N$66,助手收入!$R$71),"")</f>
        <v/>
      </c>
      <c r="G1047" s="76" t="str">
        <f aca="false">IF(助手收入!$T$71=1,INDEX(助手收入!$O$2:$O$66,助手收入!$R$71),"")</f>
        <v/>
      </c>
      <c r="H1047" s="74"/>
      <c r="I1047" s="77"/>
    </row>
    <row r="1048" customFormat="false" ht="6" hidden="false" customHeight="true" outlineLevel="0" collapsed="false"/>
    <row r="1049" customFormat="false" ht="13.5" hidden="false" customHeight="false" outlineLevel="0" collapsed="false">
      <c r="B1049" s="78" t="str">
        <f aca="false">IF(助手收入!$R$71&lt;&gt;"","会计主管：","")</f>
        <v>会计主管：</v>
      </c>
      <c r="D1049" s="78" t="str">
        <f aca="false">IF(助手收入!$R$71&lt;&gt;"","会计：","")</f>
        <v>会计：</v>
      </c>
      <c r="E1049" s="78" t="str">
        <f aca="false">IF(助手收入!$R$71&lt;&gt;"","出纳：","")</f>
        <v>出纳：</v>
      </c>
      <c r="F1049" s="78" t="str">
        <f aca="false">IF(助手收入!$R$71&lt;&gt;"","复核：","")</f>
        <v>复核：</v>
      </c>
      <c r="G1049" s="78" t="str">
        <f aca="false">IF(助手收入!$R$71&lt;&gt;"","制单：","")</f>
        <v>制单：</v>
      </c>
    </row>
    <row r="1050" customFormat="false" ht="3" hidden="false" customHeight="true" outlineLevel="0" collapsed="false"/>
    <row r="1051" customFormat="false" ht="19.5" hidden="false" customHeight="true" outlineLevel="0" collapsed="false">
      <c r="B1051" s="53" t="str">
        <f aca="false">IF(助手收入!$R$72&lt;&gt;"","记  账  凭  证","")</f>
        <v>记  账  凭  证</v>
      </c>
      <c r="C1051" s="53"/>
      <c r="D1051" s="53"/>
      <c r="E1051" s="53"/>
      <c r="F1051" s="53"/>
      <c r="G1051" s="53"/>
      <c r="H1051" s="53"/>
      <c r="I1051" s="53"/>
    </row>
    <row r="1052" customFormat="false" ht="3" hidden="false" customHeight="true" outlineLevel="0" collapsed="false"/>
    <row r="1053" customFormat="false" ht="15" hidden="false" customHeight="true" outlineLevel="0" collapsed="false">
      <c r="C1053" s="56" t="n">
        <f aca="false">IF(助手收入!$R$72&lt;&gt;"",INDEX(助手收入!$B$2:$B$66,助手收入!$R$72),"")</f>
        <v>2063</v>
      </c>
      <c r="D1053" s="57" t="n">
        <f aca="false">IF(助手收入!$R$72&lt;&gt;"",参数!$B$2,"")</f>
        <v>46234</v>
      </c>
      <c r="E1053" s="57"/>
      <c r="F1053" s="58" t="str">
        <f aca="false">IF(助手收入!$R$72&lt;&gt;"",INDEX(助手收入!$C$2:$C$66,助手收入!$R$72)&amp;"  字第 "&amp;IF(参数!$B$9="是",INDEX(助手收入!$P$2:$P$66,助手收入!$R$72),"　　　　")&amp;" 号"&amp;IF(INDEX(助手收入!$L$2:$L$66,助手收入!$R$72)&gt;1,"  (共"&amp;INDEX(助手收入!$L$2:$L$66,助手收入!$R$72)&amp;"页 第"&amp;助手收入!$S$72&amp;"页)",""),"")</f>
        <v>博医店  字第 　　　　 号  (共2页 第2页)</v>
      </c>
      <c r="G1053" s="58"/>
      <c r="H1053" s="58"/>
      <c r="I1053" s="58"/>
      <c r="M1053" s="59" t="n">
        <f aca="false">IF(助手收入!$R$72="","",助手收入!$Q$72)</f>
        <v>71</v>
      </c>
      <c r="N1053" s="60" t="n">
        <f aca="false">IF(助手收入!$R$72="","",INDEX(助手收入!$P$2:$P$66,助手收入!$R$72))</f>
        <v>39</v>
      </c>
      <c r="O1053" s="55" t="str">
        <f aca="false">IF(助手收入!$R$72="","",INDEX(助手收入!$C$2:$C$66,助手收入!$R$72)&amp;"  字第 "&amp;INDEX(助手收入!$P$2:$P$66,助手收入!$R$72)&amp;" 号"&amp;IF(INDEX(助手收入!$L$2:$L$66,助手收入!$R$72)&gt;1,"  (共"&amp;INDEX(助手收入!$L$2:$L$66,助手收入!$R$72)&amp;"页 第"&amp;助手收入!$S$72&amp;"页)",""))</f>
        <v>博医店  字第 39 号  (共2页 第2页)</v>
      </c>
    </row>
    <row r="1054" customFormat="false" ht="12.75" hidden="false" customHeight="true" outlineLevel="0" collapsed="false">
      <c r="B1054" s="61" t="str">
        <f aca="false">IF(助手收入!$R$72&lt;&gt;"","摘　　要","")</f>
        <v>摘　　要</v>
      </c>
      <c r="C1054" s="61"/>
      <c r="D1054" s="62" t="str">
        <f aca="false">IF(助手收入!$R$72&lt;&gt;"","科　　　　目","")</f>
        <v>科　　　　目</v>
      </c>
      <c r="E1054" s="62"/>
      <c r="F1054" s="61" t="str">
        <f aca="false">IF(助手收入!$R$72&lt;&gt;"","借 方 金 额","")</f>
        <v>借 方 金 额</v>
      </c>
      <c r="G1054" s="62" t="str">
        <f aca="false">IF(助手收入!$R$72&lt;&gt;"","贷 方 金 额","")</f>
        <v>贷 方 金 额</v>
      </c>
      <c r="H1054" s="63" t="str">
        <f aca="false">IF(助手收入!$R$72&lt;&gt;"","√","")</f>
        <v>√</v>
      </c>
      <c r="I1054" s="64" t="str">
        <f aca="false">IF(助手收入!$R$72&lt;&gt;"","附单据  张","")</f>
        <v>附单据  张</v>
      </c>
    </row>
    <row r="1055" customFormat="false" ht="12.75" hidden="false" customHeight="true" outlineLevel="0" collapsed="false">
      <c r="B1055" s="61"/>
      <c r="C1055" s="61"/>
      <c r="D1055" s="23" t="str">
        <f aca="false">IF(助手收入!$R$72&lt;&gt;"","总 账 科 目","")</f>
        <v>总 账 科 目</v>
      </c>
      <c r="E1055" s="23" t="str">
        <f aca="false">IF(助手收入!$R$72&lt;&gt;"","明 细 科 目","")</f>
        <v>明 细 科 目</v>
      </c>
      <c r="F1055" s="65"/>
      <c r="G1055" s="66"/>
      <c r="H1055" s="63"/>
      <c r="I1055" s="64"/>
    </row>
    <row r="1056" customFormat="false" ht="23.25" hidden="false" customHeight="true" outlineLevel="0" collapsed="false">
      <c r="B1056" s="67" t="str">
        <f aca="false">IFERROR(INDEX(分录收入!$M:$M,MATCH($L1056,分录收入!$L:$L,0)),"")</f>
        <v>7月收入</v>
      </c>
      <c r="C1056" s="67"/>
      <c r="D1056" s="23" t="str">
        <f aca="false">IFERROR(INDEX(分录收入!$E:$E,MATCH($L1056,分录收入!$L:$L,0)),"")</f>
        <v>其他应收款</v>
      </c>
      <c r="E1056" s="23" t="str">
        <f aca="false">IFERROR(INDEX(分录收入!$F:$F,MATCH($L1056,分录收入!$L:$L,0)),"")</f>
        <v>储值卡</v>
      </c>
      <c r="F1056" s="68" t="n">
        <f aca="false">IFERROR(INDEX(分录收入!$H:$H,MATCH($L1056,分录收入!$L:$L,0)),"")</f>
        <v>11319.93</v>
      </c>
      <c r="G1056" s="69" t="str">
        <f aca="false">IFERROR(INDEX(分录收入!$I:$I,MATCH($L1056,分录收入!$L:$L,0)),"")</f>
        <v/>
      </c>
      <c r="H1056" s="23"/>
      <c r="I1056" s="70"/>
      <c r="L1056" s="71" t="n">
        <f aca="false">IF(助手收入!$R$72="",-1,助手收入!$R$72*100+(助手收入!$S$72-1)*6+1)</f>
        <v>4007</v>
      </c>
    </row>
    <row r="1057" customFormat="false" ht="23.25" hidden="false" customHeight="true" outlineLevel="0" collapsed="false">
      <c r="B1057" s="67" t="str">
        <f aca="false">""</f>
        <v/>
      </c>
      <c r="C1057" s="67"/>
      <c r="D1057" s="23" t="str">
        <f aca="false">IFERROR(INDEX(分录收入!$E:$E,MATCH($L1057,分录收入!$L:$L,0)),"")</f>
        <v>销售费用</v>
      </c>
      <c r="E1057" s="23" t="str">
        <f aca="false">IFERROR(INDEX(分录收入!$F:$F,MATCH($L1057,分录收入!$L:$L,0)),"")</f>
        <v>促销费</v>
      </c>
      <c r="F1057" s="68" t="n">
        <f aca="false">IFERROR(INDEX(分录收入!$H:$H,MATCH($L1057,分录收入!$L:$L,0)),"")</f>
        <v>4339.66</v>
      </c>
      <c r="G1057" s="69" t="str">
        <f aca="false">IFERROR(INDEX(分录收入!$I:$I,MATCH($L1057,分录收入!$L:$L,0)),"")</f>
        <v/>
      </c>
      <c r="H1057" s="23"/>
      <c r="I1057" s="70"/>
      <c r="L1057" s="71" t="n">
        <f aca="false">IF(助手收入!$R$72="",-1,助手收入!$R$72*100+(助手收入!$S$72-1)*6+2)</f>
        <v>4008</v>
      </c>
    </row>
    <row r="1058" customFormat="false" ht="23.25" hidden="false" customHeight="true" outlineLevel="0" collapsed="false">
      <c r="B1058" s="67" t="str">
        <f aca="false">""</f>
        <v/>
      </c>
      <c r="C1058" s="67"/>
      <c r="D1058" s="23" t="str">
        <f aca="false">IFERROR(INDEX(分录收入!$E:$E,MATCH($L1058,分录收入!$L:$L,0)),"")</f>
        <v>财务费用</v>
      </c>
      <c r="E1058" s="23" t="str">
        <f aca="false">IFERROR(INDEX(分录收入!$F:$F,MATCH($L1058,分录收入!$L:$L,0)),"")</f>
        <v>手续费</v>
      </c>
      <c r="F1058" s="68" t="n">
        <f aca="false">IFERROR(INDEX(分录收入!$H:$H,MATCH($L1058,分录收入!$L:$L,0)),"")</f>
        <v>31.56</v>
      </c>
      <c r="G1058" s="69" t="str">
        <f aca="false">IFERROR(INDEX(分录收入!$I:$I,MATCH($L1058,分录收入!$L:$L,0)),"")</f>
        <v/>
      </c>
      <c r="H1058" s="23"/>
      <c r="I1058" s="70"/>
      <c r="L1058" s="71" t="n">
        <f aca="false">IF(助手收入!$R$72="",-1,助手收入!$R$72*100+(助手收入!$S$72-1)*6+3)</f>
        <v>4009</v>
      </c>
    </row>
    <row r="1059" customFormat="false" ht="23.25" hidden="false" customHeight="true" outlineLevel="0" collapsed="false">
      <c r="B1059" s="67" t="str">
        <f aca="false">""</f>
        <v/>
      </c>
      <c r="C1059" s="67"/>
      <c r="D1059" s="23" t="str">
        <f aca="false">IFERROR(INDEX(分录收入!$E:$E,MATCH($L1059,分录收入!$L:$L,0)),"")</f>
        <v>主营业务收入</v>
      </c>
      <c r="E1059" s="23" t="str">
        <f aca="false">IFERROR(INDEX(分录收入!$F:$F,MATCH($L1059,分录收入!$L:$L,0)),"")</f>
        <v/>
      </c>
      <c r="F1059" s="68" t="str">
        <f aca="false">IFERROR(INDEX(分录收入!$H:$H,MATCH($L1059,分录收入!$L:$L,0)),"")</f>
        <v/>
      </c>
      <c r="G1059" s="69" t="n">
        <f aca="false">IFERROR(INDEX(分录收入!$I:$I,MATCH($L1059,分录收入!$L:$L,0)),"")</f>
        <v>118543.89</v>
      </c>
      <c r="H1059" s="23"/>
      <c r="I1059" s="70"/>
      <c r="L1059" s="71" t="n">
        <f aca="false">IF(助手收入!$R$72="",-1,助手收入!$R$72*100+(助手收入!$S$72-1)*6+4)</f>
        <v>4010</v>
      </c>
    </row>
    <row r="1060" customFormat="false" ht="23.25" hidden="false" customHeight="true" outlineLevel="0" collapsed="false">
      <c r="B1060" s="67" t="str">
        <f aca="false">""</f>
        <v/>
      </c>
      <c r="C1060" s="67"/>
      <c r="D1060" s="23" t="str">
        <f aca="false">IFERROR(INDEX(分录收入!$E:$E,MATCH($L1060,分录收入!$L:$L,0)),"")</f>
        <v/>
      </c>
      <c r="E1060" s="23" t="str">
        <f aca="false">IFERROR(INDEX(分录收入!$F:$F,MATCH($L1060,分录收入!$L:$L,0)),"")</f>
        <v/>
      </c>
      <c r="F1060" s="68" t="str">
        <f aca="false">IFERROR(INDEX(分录收入!$H:$H,MATCH($L1060,分录收入!$L:$L,0)),"")</f>
        <v/>
      </c>
      <c r="G1060" s="69" t="str">
        <f aca="false">IFERROR(INDEX(分录收入!$I:$I,MATCH($L1060,分录收入!$L:$L,0)),"")</f>
        <v/>
      </c>
      <c r="H1060" s="23"/>
      <c r="I1060" s="70"/>
      <c r="L1060" s="71" t="n">
        <f aca="false">IF(助手收入!$R$72="",-1,助手收入!$R$72*100+(助手收入!$S$72-1)*6+5)</f>
        <v>4011</v>
      </c>
    </row>
    <row r="1061" customFormat="false" ht="23.25" hidden="false" customHeight="true" outlineLevel="0" collapsed="false">
      <c r="B1061" s="67" t="str">
        <f aca="false">""</f>
        <v/>
      </c>
      <c r="C1061" s="67"/>
      <c r="D1061" s="23" t="str">
        <f aca="false">IFERROR(INDEX(分录收入!$E:$E,MATCH($L1061,分录收入!$L:$L,0)),"")</f>
        <v/>
      </c>
      <c r="E1061" s="23" t="str">
        <f aca="false">IFERROR(INDEX(分录收入!$F:$F,MATCH($L1061,分录收入!$L:$L,0)),"")</f>
        <v/>
      </c>
      <c r="F1061" s="68" t="str">
        <f aca="false">IFERROR(INDEX(分录收入!$H:$H,MATCH($L1061,分录收入!$L:$L,0)),"")</f>
        <v/>
      </c>
      <c r="G1061" s="69" t="str">
        <f aca="false">IFERROR(INDEX(分录收入!$I:$I,MATCH($L1061,分录收入!$L:$L,0)),"")</f>
        <v/>
      </c>
      <c r="H1061" s="23"/>
      <c r="I1061" s="70"/>
      <c r="L1061" s="71" t="n">
        <f aca="false">IF(助手收入!$R$72="",-1,助手收入!$R$72*100+(助手收入!$S$72-1)*6+6)</f>
        <v>4012</v>
      </c>
    </row>
    <row r="1062" customFormat="false" ht="23.25" hidden="false" customHeight="true" outlineLevel="0" collapsed="false">
      <c r="B1062" s="72" t="str">
        <f aca="false">IF(助手收入!$T$72=1,"合计：","")</f>
        <v>合计：</v>
      </c>
      <c r="C1062" s="73" t="n">
        <f aca="false">IF(助手收入!$T$72=1,$F1062,"")</f>
        <v>118543.89</v>
      </c>
      <c r="D1062" s="74"/>
      <c r="E1062" s="74"/>
      <c r="F1062" s="75" t="n">
        <f aca="false">IF(助手收入!$T$72=1,INDEX(助手收入!$N$2:$N$66,助手收入!$R$72),"")</f>
        <v>118543.89</v>
      </c>
      <c r="G1062" s="76" t="n">
        <f aca="false">IF(助手收入!$T$72=1,INDEX(助手收入!$O$2:$O$66,助手收入!$R$72),"")</f>
        <v>118543.89</v>
      </c>
      <c r="H1062" s="74"/>
      <c r="I1062" s="77"/>
    </row>
    <row r="1063" customFormat="false" ht="6" hidden="false" customHeight="true" outlineLevel="0" collapsed="false"/>
    <row r="1064" customFormat="false" ht="13.5" hidden="false" customHeight="false" outlineLevel="0" collapsed="false">
      <c r="B1064" s="78" t="str">
        <f aca="false">IF(助手收入!$R$72&lt;&gt;"","会计主管：","")</f>
        <v>会计主管：</v>
      </c>
      <c r="D1064" s="78" t="str">
        <f aca="false">IF(助手收入!$R$72&lt;&gt;"","会计：","")</f>
        <v>会计：</v>
      </c>
      <c r="E1064" s="78" t="str">
        <f aca="false">IF(助手收入!$R$72&lt;&gt;"","出纳：","")</f>
        <v>出纳：</v>
      </c>
      <c r="F1064" s="78" t="str">
        <f aca="false">IF(助手收入!$R$72&lt;&gt;"","复核：","")</f>
        <v>复核：</v>
      </c>
      <c r="G1064" s="78" t="str">
        <f aca="false">IF(助手收入!$R$72&lt;&gt;"","制单：","")</f>
        <v>制单：</v>
      </c>
    </row>
    <row r="1065" customFormat="false" ht="3" hidden="false" customHeight="true" outlineLevel="0" collapsed="false"/>
    <row r="1066" customFormat="false" ht="19.5" hidden="false" customHeight="true" outlineLevel="0" collapsed="false">
      <c r="B1066" s="53" t="str">
        <f aca="false">IF(助手收入!$R$73&lt;&gt;"","记  账  凭  证","")</f>
        <v>记  账  凭  证</v>
      </c>
      <c r="C1066" s="53"/>
      <c r="D1066" s="53"/>
      <c r="E1066" s="53"/>
      <c r="F1066" s="53"/>
      <c r="G1066" s="53"/>
      <c r="H1066" s="53"/>
      <c r="I1066" s="53"/>
    </row>
    <row r="1067" customFormat="false" ht="3" hidden="false" customHeight="true" outlineLevel="0" collapsed="false"/>
    <row r="1068" customFormat="false" ht="15" hidden="false" customHeight="true" outlineLevel="0" collapsed="false">
      <c r="C1068" s="56" t="n">
        <f aca="false">IF(助手收入!$R$73&lt;&gt;"",INDEX(助手收入!$B$2:$B$66,助手收入!$R$73),"")</f>
        <v>2064</v>
      </c>
      <c r="D1068" s="57" t="n">
        <f aca="false">IF(助手收入!$R$73&lt;&gt;"",参数!$B$2,"")</f>
        <v>46234</v>
      </c>
      <c r="E1068" s="57"/>
      <c r="F1068" s="58" t="str">
        <f aca="false">IF(助手收入!$R$73&lt;&gt;"",INDEX(助手收入!$C$2:$C$66,助手收入!$R$73)&amp;"  字第 "&amp;IF(参数!$B$9="是",INDEX(助手收入!$P$2:$P$66,助手收入!$R$73),"　　　　")&amp;" 号"&amp;IF(INDEX(助手收入!$L$2:$L$66,助手收入!$R$73)&gt;1,"  (共"&amp;INDEX(助手收入!$L$2:$L$66,助手收入!$R$73)&amp;"页 第"&amp;助手收入!$S$73&amp;"页)",""),"")</f>
        <v>旗舰店  字第 　　　　 号</v>
      </c>
      <c r="G1068" s="58"/>
      <c r="H1068" s="58"/>
      <c r="I1068" s="58"/>
      <c r="M1068" s="59" t="n">
        <f aca="false">IF(助手收入!$R$73="","",助手收入!$Q$73)</f>
        <v>72</v>
      </c>
      <c r="N1068" s="60" t="n">
        <f aca="false">IF(助手收入!$R$73="","",INDEX(助手收入!$P$2:$P$66,助手收入!$R$73))</f>
        <v>40</v>
      </c>
      <c r="O1068" s="55" t="str">
        <f aca="false">IF(助手收入!$R$73="","",INDEX(助手收入!$C$2:$C$66,助手收入!$R$73)&amp;"  字第 "&amp;INDEX(助手收入!$P$2:$P$66,助手收入!$R$73)&amp;" 号"&amp;IF(INDEX(助手收入!$L$2:$L$66,助手收入!$R$73)&gt;1,"  (共"&amp;INDEX(助手收入!$L$2:$L$66,助手收入!$R$73)&amp;"页 第"&amp;助手收入!$S$73&amp;"页)",""))</f>
        <v>旗舰店  字第 40 号</v>
      </c>
    </row>
    <row r="1069" customFormat="false" ht="12.75" hidden="false" customHeight="true" outlineLevel="0" collapsed="false">
      <c r="B1069" s="61" t="str">
        <f aca="false">IF(助手收入!$R$73&lt;&gt;"","摘　　要","")</f>
        <v>摘　　要</v>
      </c>
      <c r="C1069" s="61"/>
      <c r="D1069" s="62" t="str">
        <f aca="false">IF(助手收入!$R$73&lt;&gt;"","科　　　　目","")</f>
        <v>科　　　　目</v>
      </c>
      <c r="E1069" s="62"/>
      <c r="F1069" s="61" t="str">
        <f aca="false">IF(助手收入!$R$73&lt;&gt;"","借 方 金 额","")</f>
        <v>借 方 金 额</v>
      </c>
      <c r="G1069" s="62" t="str">
        <f aca="false">IF(助手收入!$R$73&lt;&gt;"","贷 方 金 额","")</f>
        <v>贷 方 金 额</v>
      </c>
      <c r="H1069" s="63" t="str">
        <f aca="false">IF(助手收入!$R$73&lt;&gt;"","√","")</f>
        <v>√</v>
      </c>
      <c r="I1069" s="64" t="str">
        <f aca="false">IF(助手收入!$R$73&lt;&gt;"","附单据  张","")</f>
        <v>附单据  张</v>
      </c>
    </row>
    <row r="1070" customFormat="false" ht="12.75" hidden="false" customHeight="true" outlineLevel="0" collapsed="false">
      <c r="B1070" s="61"/>
      <c r="C1070" s="61"/>
      <c r="D1070" s="23" t="str">
        <f aca="false">IF(助手收入!$R$73&lt;&gt;"","总 账 科 目","")</f>
        <v>总 账 科 目</v>
      </c>
      <c r="E1070" s="23" t="str">
        <f aca="false">IF(助手收入!$R$73&lt;&gt;"","明 细 科 目","")</f>
        <v>明 细 科 目</v>
      </c>
      <c r="F1070" s="65"/>
      <c r="G1070" s="66"/>
      <c r="H1070" s="63"/>
      <c r="I1070" s="64"/>
    </row>
    <row r="1071" customFormat="false" ht="23.25" hidden="false" customHeight="true" outlineLevel="0" collapsed="false">
      <c r="B1071" s="67" t="str">
        <f aca="false">IFERROR(INDEX(分录收入!$M:$M,MATCH($L1071,分录收入!$L:$L,0)),"")</f>
        <v>7月收入</v>
      </c>
      <c r="C1071" s="67"/>
      <c r="D1071" s="23" t="str">
        <f aca="false">IFERROR(INDEX(分录收入!$E:$E,MATCH($L1071,分录收入!$L:$L,0)),"")</f>
        <v>库存现金</v>
      </c>
      <c r="E1071" s="23" t="str">
        <f aca="false">IFERROR(INDEX(分录收入!$F:$F,MATCH($L1071,分录收入!$L:$L,0)),"")</f>
        <v/>
      </c>
      <c r="F1071" s="68" t="n">
        <f aca="false">IFERROR(INDEX(分录收入!$H:$H,MATCH($L1071,分录收入!$L:$L,0)),"")</f>
        <v>699.75</v>
      </c>
      <c r="G1071" s="69" t="str">
        <f aca="false">IFERROR(INDEX(分录收入!$I:$I,MATCH($L1071,分录收入!$L:$L,0)),"")</f>
        <v/>
      </c>
      <c r="H1071" s="23"/>
      <c r="I1071" s="70"/>
      <c r="L1071" s="71" t="n">
        <f aca="false">IF(助手收入!$R$73="",-1,助手收入!$R$73*100+(助手收入!$S$73-1)*6+1)</f>
        <v>4101</v>
      </c>
    </row>
    <row r="1072" customFormat="false" ht="23.25" hidden="false" customHeight="true" outlineLevel="0" collapsed="false">
      <c r="B1072" s="67" t="str">
        <f aca="false">""</f>
        <v/>
      </c>
      <c r="C1072" s="67"/>
      <c r="D1072" s="23" t="str">
        <f aca="false">IFERROR(INDEX(分录收入!$E:$E,MATCH($L1072,分录收入!$L:$L,0)),"")</f>
        <v>主营业务收入</v>
      </c>
      <c r="E1072" s="23" t="str">
        <f aca="false">IFERROR(INDEX(分录收入!$F:$F,MATCH($L1072,分录收入!$L:$L,0)),"")</f>
        <v/>
      </c>
      <c r="F1072" s="68" t="str">
        <f aca="false">IFERROR(INDEX(分录收入!$H:$H,MATCH($L1072,分录收入!$L:$L,0)),"")</f>
        <v/>
      </c>
      <c r="G1072" s="69" t="n">
        <f aca="false">IFERROR(INDEX(分录收入!$I:$I,MATCH($L1072,分录收入!$L:$L,0)),"")</f>
        <v>699.75</v>
      </c>
      <c r="H1072" s="23"/>
      <c r="I1072" s="70"/>
      <c r="L1072" s="71" t="n">
        <f aca="false">IF(助手收入!$R$73="",-1,助手收入!$R$73*100+(助手收入!$S$73-1)*6+2)</f>
        <v>4102</v>
      </c>
    </row>
    <row r="1073" customFormat="false" ht="23.25" hidden="false" customHeight="true" outlineLevel="0" collapsed="false">
      <c r="B1073" s="67" t="str">
        <f aca="false">""</f>
        <v/>
      </c>
      <c r="C1073" s="67"/>
      <c r="D1073" s="23" t="str">
        <f aca="false">IFERROR(INDEX(分录收入!$E:$E,MATCH($L1073,分录收入!$L:$L,0)),"")</f>
        <v/>
      </c>
      <c r="E1073" s="23" t="str">
        <f aca="false">IFERROR(INDEX(分录收入!$F:$F,MATCH($L1073,分录收入!$L:$L,0)),"")</f>
        <v/>
      </c>
      <c r="F1073" s="68" t="str">
        <f aca="false">IFERROR(INDEX(分录收入!$H:$H,MATCH($L1073,分录收入!$L:$L,0)),"")</f>
        <v/>
      </c>
      <c r="G1073" s="69" t="str">
        <f aca="false">IFERROR(INDEX(分录收入!$I:$I,MATCH($L1073,分录收入!$L:$L,0)),"")</f>
        <v/>
      </c>
      <c r="H1073" s="23"/>
      <c r="I1073" s="70"/>
      <c r="L1073" s="71" t="n">
        <f aca="false">IF(助手收入!$R$73="",-1,助手收入!$R$73*100+(助手收入!$S$73-1)*6+3)</f>
        <v>4103</v>
      </c>
    </row>
    <row r="1074" customFormat="false" ht="23.25" hidden="false" customHeight="true" outlineLevel="0" collapsed="false">
      <c r="B1074" s="67" t="str">
        <f aca="false">""</f>
        <v/>
      </c>
      <c r="C1074" s="67"/>
      <c r="D1074" s="23" t="str">
        <f aca="false">IFERROR(INDEX(分录收入!$E:$E,MATCH($L1074,分录收入!$L:$L,0)),"")</f>
        <v/>
      </c>
      <c r="E1074" s="23" t="str">
        <f aca="false">IFERROR(INDEX(分录收入!$F:$F,MATCH($L1074,分录收入!$L:$L,0)),"")</f>
        <v/>
      </c>
      <c r="F1074" s="68" t="str">
        <f aca="false">IFERROR(INDEX(分录收入!$H:$H,MATCH($L1074,分录收入!$L:$L,0)),"")</f>
        <v/>
      </c>
      <c r="G1074" s="69" t="str">
        <f aca="false">IFERROR(INDEX(分录收入!$I:$I,MATCH($L1074,分录收入!$L:$L,0)),"")</f>
        <v/>
      </c>
      <c r="H1074" s="23"/>
      <c r="I1074" s="70"/>
      <c r="L1074" s="71" t="n">
        <f aca="false">IF(助手收入!$R$73="",-1,助手收入!$R$73*100+(助手收入!$S$73-1)*6+4)</f>
        <v>4104</v>
      </c>
    </row>
    <row r="1075" customFormat="false" ht="23.25" hidden="false" customHeight="true" outlineLevel="0" collapsed="false">
      <c r="B1075" s="67" t="str">
        <f aca="false">""</f>
        <v/>
      </c>
      <c r="C1075" s="67"/>
      <c r="D1075" s="23" t="str">
        <f aca="false">IFERROR(INDEX(分录收入!$E:$E,MATCH($L1075,分录收入!$L:$L,0)),"")</f>
        <v/>
      </c>
      <c r="E1075" s="23" t="str">
        <f aca="false">IFERROR(INDEX(分录收入!$F:$F,MATCH($L1075,分录收入!$L:$L,0)),"")</f>
        <v/>
      </c>
      <c r="F1075" s="68" t="str">
        <f aca="false">IFERROR(INDEX(分录收入!$H:$H,MATCH($L1075,分录收入!$L:$L,0)),"")</f>
        <v/>
      </c>
      <c r="G1075" s="69" t="str">
        <f aca="false">IFERROR(INDEX(分录收入!$I:$I,MATCH($L1075,分录收入!$L:$L,0)),"")</f>
        <v/>
      </c>
      <c r="H1075" s="23"/>
      <c r="I1075" s="70"/>
      <c r="L1075" s="71" t="n">
        <f aca="false">IF(助手收入!$R$73="",-1,助手收入!$R$73*100+(助手收入!$S$73-1)*6+5)</f>
        <v>4105</v>
      </c>
    </row>
    <row r="1076" customFormat="false" ht="23.25" hidden="false" customHeight="true" outlineLevel="0" collapsed="false">
      <c r="B1076" s="67" t="str">
        <f aca="false">""</f>
        <v/>
      </c>
      <c r="C1076" s="67"/>
      <c r="D1076" s="23" t="str">
        <f aca="false">IFERROR(INDEX(分录收入!$E:$E,MATCH($L1076,分录收入!$L:$L,0)),"")</f>
        <v/>
      </c>
      <c r="E1076" s="23" t="str">
        <f aca="false">IFERROR(INDEX(分录收入!$F:$F,MATCH($L1076,分录收入!$L:$L,0)),"")</f>
        <v/>
      </c>
      <c r="F1076" s="68" t="str">
        <f aca="false">IFERROR(INDEX(分录收入!$H:$H,MATCH($L1076,分录收入!$L:$L,0)),"")</f>
        <v/>
      </c>
      <c r="G1076" s="69" t="str">
        <f aca="false">IFERROR(INDEX(分录收入!$I:$I,MATCH($L1076,分录收入!$L:$L,0)),"")</f>
        <v/>
      </c>
      <c r="H1076" s="23"/>
      <c r="I1076" s="70"/>
      <c r="L1076" s="71" t="n">
        <f aca="false">IF(助手收入!$R$73="",-1,助手收入!$R$73*100+(助手收入!$S$73-1)*6+6)</f>
        <v>4106</v>
      </c>
    </row>
    <row r="1077" customFormat="false" ht="23.25" hidden="false" customHeight="true" outlineLevel="0" collapsed="false">
      <c r="B1077" s="72" t="str">
        <f aca="false">IF(助手收入!$T$73=1,"合计：","")</f>
        <v>合计：</v>
      </c>
      <c r="C1077" s="73" t="n">
        <f aca="false">IF(助手收入!$T$73=1,$F1077,"")</f>
        <v>699.75</v>
      </c>
      <c r="D1077" s="74"/>
      <c r="E1077" s="74"/>
      <c r="F1077" s="75" t="n">
        <f aca="false">IF(助手收入!$T$73=1,INDEX(助手收入!$N$2:$N$66,助手收入!$R$73),"")</f>
        <v>699.75</v>
      </c>
      <c r="G1077" s="76" t="n">
        <f aca="false">IF(助手收入!$T$73=1,INDEX(助手收入!$O$2:$O$66,助手收入!$R$73),"")</f>
        <v>699.75</v>
      </c>
      <c r="H1077" s="74"/>
      <c r="I1077" s="77"/>
    </row>
    <row r="1078" customFormat="false" ht="6" hidden="false" customHeight="true" outlineLevel="0" collapsed="false"/>
    <row r="1079" customFormat="false" ht="13.5" hidden="false" customHeight="false" outlineLevel="0" collapsed="false">
      <c r="B1079" s="78" t="str">
        <f aca="false">IF(助手收入!$R$73&lt;&gt;"","会计主管：","")</f>
        <v>会计主管：</v>
      </c>
      <c r="D1079" s="78" t="str">
        <f aca="false">IF(助手收入!$R$73&lt;&gt;"","会计：","")</f>
        <v>会计：</v>
      </c>
      <c r="E1079" s="78" t="str">
        <f aca="false">IF(助手收入!$R$73&lt;&gt;"","出纳：","")</f>
        <v>出纳：</v>
      </c>
      <c r="F1079" s="78" t="str">
        <f aca="false">IF(助手收入!$R$73&lt;&gt;"","复核：","")</f>
        <v>复核：</v>
      </c>
      <c r="G1079" s="78" t="str">
        <f aca="false">IF(助手收入!$R$73&lt;&gt;"","制单：","")</f>
        <v>制单：</v>
      </c>
    </row>
    <row r="1080" customFormat="false" ht="3" hidden="false" customHeight="true" outlineLevel="0" collapsed="false"/>
    <row r="1081" customFormat="false" ht="19.5" hidden="false" customHeight="true" outlineLevel="0" collapsed="false">
      <c r="B1081" s="53" t="str">
        <f aca="false">IF(助手收入!$R$74&lt;&gt;"","记  账  凭  证","")</f>
        <v>记  账  凭  证</v>
      </c>
      <c r="C1081" s="53"/>
      <c r="D1081" s="53"/>
      <c r="E1081" s="53"/>
      <c r="F1081" s="53"/>
      <c r="G1081" s="53"/>
      <c r="H1081" s="53"/>
      <c r="I1081" s="53"/>
    </row>
    <row r="1082" customFormat="false" ht="3" hidden="false" customHeight="true" outlineLevel="0" collapsed="false"/>
    <row r="1083" customFormat="false" ht="15" hidden="false" customHeight="true" outlineLevel="0" collapsed="false">
      <c r="C1083" s="56" t="n">
        <f aca="false">IF(助手收入!$R$74&lt;&gt;"",INDEX(助手收入!$B$2:$B$66,助手收入!$R$74),"")</f>
        <v>2066</v>
      </c>
      <c r="D1083" s="57" t="n">
        <f aca="false">IF(助手收入!$R$74&lt;&gt;"",参数!$B$2,"")</f>
        <v>46234</v>
      </c>
      <c r="E1083" s="57"/>
      <c r="F1083" s="58" t="str">
        <f aca="false">IF(助手收入!$R$74&lt;&gt;"",INDEX(助手收入!$C$2:$C$66,助手收入!$R$74)&amp;"  字第 "&amp;IF(参数!$B$9="是",INDEX(助手收入!$P$2:$P$66,助手收入!$R$74),"　　　　")&amp;" 号"&amp;IF(INDEX(助手收入!$L$2:$L$66,助手收入!$R$74)&gt;1,"  (共"&amp;INDEX(助手收入!$L$2:$L$66,助手收入!$R$74)&amp;"页 第"&amp;助手收入!$S$74&amp;"页)",""),"")</f>
        <v>博实店  字第 　　　　 号  (共2页 第1页)</v>
      </c>
      <c r="G1083" s="58"/>
      <c r="H1083" s="58"/>
      <c r="I1083" s="58"/>
      <c r="M1083" s="59" t="n">
        <f aca="false">IF(助手收入!$R$74="","",助手收入!$Q$74)</f>
        <v>73</v>
      </c>
      <c r="N1083" s="60" t="n">
        <f aca="false">IF(助手收入!$R$74="","",INDEX(助手收入!$P$2:$P$66,助手收入!$R$74))</f>
        <v>41</v>
      </c>
      <c r="O1083" s="55" t="str">
        <f aca="false">IF(助手收入!$R$74="","",INDEX(助手收入!$C$2:$C$66,助手收入!$R$74)&amp;"  字第 "&amp;INDEX(助手收入!$P$2:$P$66,助手收入!$R$74)&amp;" 号"&amp;IF(INDEX(助手收入!$L$2:$L$66,助手收入!$R$74)&gt;1,"  (共"&amp;INDEX(助手收入!$L$2:$L$66,助手收入!$R$74)&amp;"页 第"&amp;助手收入!$S$74&amp;"页)",""))</f>
        <v>博实店  字第 41 号  (共2页 第1页)</v>
      </c>
    </row>
    <row r="1084" customFormat="false" ht="12.75" hidden="false" customHeight="true" outlineLevel="0" collapsed="false">
      <c r="B1084" s="61" t="str">
        <f aca="false">IF(助手收入!$R$74&lt;&gt;"","摘　　要","")</f>
        <v>摘　　要</v>
      </c>
      <c r="C1084" s="61"/>
      <c r="D1084" s="62" t="str">
        <f aca="false">IF(助手收入!$R$74&lt;&gt;"","科　　　　目","")</f>
        <v>科　　　　目</v>
      </c>
      <c r="E1084" s="62"/>
      <c r="F1084" s="61" t="str">
        <f aca="false">IF(助手收入!$R$74&lt;&gt;"","借 方 金 额","")</f>
        <v>借 方 金 额</v>
      </c>
      <c r="G1084" s="62" t="str">
        <f aca="false">IF(助手收入!$R$74&lt;&gt;"","贷 方 金 额","")</f>
        <v>贷 方 金 额</v>
      </c>
      <c r="H1084" s="63" t="str">
        <f aca="false">IF(助手收入!$R$74&lt;&gt;"","√","")</f>
        <v>√</v>
      </c>
      <c r="I1084" s="64" t="str">
        <f aca="false">IF(助手收入!$R$74&lt;&gt;"","附单据  张","")</f>
        <v>附单据  张</v>
      </c>
    </row>
    <row r="1085" customFormat="false" ht="12.75" hidden="false" customHeight="true" outlineLevel="0" collapsed="false">
      <c r="B1085" s="61"/>
      <c r="C1085" s="61"/>
      <c r="D1085" s="23" t="str">
        <f aca="false">IF(助手收入!$R$74&lt;&gt;"","总 账 科 目","")</f>
        <v>总 账 科 目</v>
      </c>
      <c r="E1085" s="23" t="str">
        <f aca="false">IF(助手收入!$R$74&lt;&gt;"","明 细 科 目","")</f>
        <v>明 细 科 目</v>
      </c>
      <c r="F1085" s="65"/>
      <c r="G1085" s="66"/>
      <c r="H1085" s="63"/>
      <c r="I1085" s="64"/>
    </row>
    <row r="1086" customFormat="false" ht="23.25" hidden="false" customHeight="true" outlineLevel="0" collapsed="false">
      <c r="B1086" s="67" t="str">
        <f aca="false">IFERROR(INDEX(分录收入!$M:$M,MATCH($L1086,分录收入!$L:$L,0)),"")</f>
        <v>7月收入</v>
      </c>
      <c r="C1086" s="67"/>
      <c r="D1086" s="23" t="str">
        <f aca="false">IFERROR(INDEX(分录收入!$E:$E,MATCH($L1086,分录收入!$L:$L,0)),"")</f>
        <v>库存现金</v>
      </c>
      <c r="E1086" s="23" t="str">
        <f aca="false">IFERROR(INDEX(分录收入!$F:$F,MATCH($L1086,分录收入!$L:$L,0)),"")</f>
        <v/>
      </c>
      <c r="F1086" s="68" t="n">
        <f aca="false">IFERROR(INDEX(分录收入!$H:$H,MATCH($L1086,分录收入!$L:$L,0)),"")</f>
        <v>14896.88</v>
      </c>
      <c r="G1086" s="69" t="str">
        <f aca="false">IFERROR(INDEX(分录收入!$I:$I,MATCH($L1086,分录收入!$L:$L,0)),"")</f>
        <v/>
      </c>
      <c r="H1086" s="23"/>
      <c r="I1086" s="70"/>
      <c r="L1086" s="71" t="n">
        <f aca="false">IF(助手收入!$R$74="",-1,助手收入!$R$74*100+(助手收入!$S$74-1)*6+1)</f>
        <v>4201</v>
      </c>
    </row>
    <row r="1087" customFormat="false" ht="23.25" hidden="false" customHeight="true" outlineLevel="0" collapsed="false">
      <c r="B1087" s="67" t="str">
        <f aca="false">""</f>
        <v/>
      </c>
      <c r="C1087" s="67"/>
      <c r="D1087" s="23" t="str">
        <f aca="false">IFERROR(INDEX(分录收入!$E:$E,MATCH($L1087,分录收入!$L:$L,0)),"")</f>
        <v>应收账款</v>
      </c>
      <c r="E1087" s="23" t="str">
        <f aca="false">IFERROR(INDEX(分录收入!$F:$F,MATCH($L1087,分录收入!$L:$L,0)),"")</f>
        <v>聚合支付</v>
      </c>
      <c r="F1087" s="68" t="n">
        <f aca="false">IFERROR(INDEX(分录收入!$H:$H,MATCH($L1087,分录收入!$L:$L,0)),"")</f>
        <v>34176.05</v>
      </c>
      <c r="G1087" s="69" t="str">
        <f aca="false">IFERROR(INDEX(分录收入!$I:$I,MATCH($L1087,分录收入!$L:$L,0)),"")</f>
        <v/>
      </c>
      <c r="H1087" s="23"/>
      <c r="I1087" s="70"/>
      <c r="L1087" s="71" t="n">
        <f aca="false">IF(助手收入!$R$74="",-1,助手收入!$R$74*100+(助手收入!$S$74-1)*6+2)</f>
        <v>4202</v>
      </c>
    </row>
    <row r="1088" customFormat="false" ht="23.25" hidden="false" customHeight="true" outlineLevel="0" collapsed="false">
      <c r="B1088" s="67" t="str">
        <f aca="false">""</f>
        <v/>
      </c>
      <c r="C1088" s="67"/>
      <c r="D1088" s="23" t="str">
        <f aca="false">IFERROR(INDEX(分录收入!$E:$E,MATCH($L1088,分录收入!$L:$L,0)),"")</f>
        <v>应收账款</v>
      </c>
      <c r="E1088" s="23" t="str">
        <f aca="false">IFERROR(INDEX(分录收入!$F:$F,MATCH($L1088,分录收入!$L:$L,0)),"")</f>
        <v>医保</v>
      </c>
      <c r="F1088" s="68" t="n">
        <f aca="false">IFERROR(INDEX(分录收入!$H:$H,MATCH($L1088,分录收入!$L:$L,0)),"")</f>
        <v>11657.84</v>
      </c>
      <c r="G1088" s="69" t="str">
        <f aca="false">IFERROR(INDEX(分录收入!$I:$I,MATCH($L1088,分录收入!$L:$L,0)),"")</f>
        <v/>
      </c>
      <c r="H1088" s="23"/>
      <c r="I1088" s="70"/>
      <c r="L1088" s="71" t="n">
        <f aca="false">IF(助手收入!$R$74="",-1,助手收入!$R$74*100+(助手收入!$S$74-1)*6+3)</f>
        <v>4203</v>
      </c>
    </row>
    <row r="1089" customFormat="false" ht="23.25" hidden="false" customHeight="true" outlineLevel="0" collapsed="false">
      <c r="B1089" s="67" t="str">
        <f aca="false">""</f>
        <v/>
      </c>
      <c r="C1089" s="67"/>
      <c r="D1089" s="23" t="str">
        <f aca="false">IFERROR(INDEX(分录收入!$E:$E,MATCH($L1089,分录收入!$L:$L,0)),"")</f>
        <v>应收账款</v>
      </c>
      <c r="E1089" s="23" t="str">
        <f aca="false">IFERROR(INDEX(分录收入!$F:$F,MATCH($L1089,分录收入!$L:$L,0)),"")</f>
        <v>美团</v>
      </c>
      <c r="F1089" s="68" t="n">
        <f aca="false">IFERROR(INDEX(分录收入!$H:$H,MATCH($L1089,分录收入!$L:$L,0)),"")</f>
        <v>53.5</v>
      </c>
      <c r="G1089" s="69" t="str">
        <f aca="false">IFERROR(INDEX(分录收入!$I:$I,MATCH($L1089,分录收入!$L:$L,0)),"")</f>
        <v/>
      </c>
      <c r="H1089" s="23"/>
      <c r="I1089" s="70"/>
      <c r="L1089" s="71" t="n">
        <f aca="false">IF(助手收入!$R$74="",-1,助手收入!$R$74*100+(助手收入!$S$74-1)*6+4)</f>
        <v>4204</v>
      </c>
    </row>
    <row r="1090" customFormat="false" ht="23.25" hidden="false" customHeight="true" outlineLevel="0" collapsed="false">
      <c r="B1090" s="67" t="str">
        <f aca="false">""</f>
        <v/>
      </c>
      <c r="C1090" s="67"/>
      <c r="D1090" s="23" t="str">
        <f aca="false">IFERROR(INDEX(分录收入!$E:$E,MATCH($L1090,分录收入!$L:$L,0)),"")</f>
        <v>应收账款</v>
      </c>
      <c r="E1090" s="23" t="str">
        <f aca="false">IFERROR(INDEX(分录收入!$F:$F,MATCH($L1090,分录收入!$L:$L,0)),"")</f>
        <v>饿了么</v>
      </c>
      <c r="F1090" s="68" t="n">
        <f aca="false">IFERROR(INDEX(分录收入!$H:$H,MATCH($L1090,分录收入!$L:$L,0)),"")</f>
        <v>81.9</v>
      </c>
      <c r="G1090" s="69" t="str">
        <f aca="false">IFERROR(INDEX(分录收入!$I:$I,MATCH($L1090,分录收入!$L:$L,0)),"")</f>
        <v/>
      </c>
      <c r="H1090" s="23"/>
      <c r="I1090" s="70"/>
      <c r="L1090" s="71" t="n">
        <f aca="false">IF(助手收入!$R$74="",-1,助手收入!$R$74*100+(助手收入!$S$74-1)*6+5)</f>
        <v>4205</v>
      </c>
    </row>
    <row r="1091" customFormat="false" ht="23.25" hidden="false" customHeight="true" outlineLevel="0" collapsed="false">
      <c r="B1091" s="67" t="str">
        <f aca="false">""</f>
        <v/>
      </c>
      <c r="C1091" s="67"/>
      <c r="D1091" s="23" t="str">
        <f aca="false">IFERROR(INDEX(分录收入!$E:$E,MATCH($L1091,分录收入!$L:$L,0)),"")</f>
        <v>其他应收款</v>
      </c>
      <c r="E1091" s="23" t="str">
        <f aca="false">IFERROR(INDEX(分录收入!$F:$F,MATCH($L1091,分录收入!$L:$L,0)),"")</f>
        <v>储值卡</v>
      </c>
      <c r="F1091" s="68" t="n">
        <f aca="false">IFERROR(INDEX(分录收入!$H:$H,MATCH($L1091,分录收入!$L:$L,0)),"")</f>
        <v>230.1</v>
      </c>
      <c r="G1091" s="69" t="str">
        <f aca="false">IFERROR(INDEX(分录收入!$I:$I,MATCH($L1091,分录收入!$L:$L,0)),"")</f>
        <v/>
      </c>
      <c r="H1091" s="23"/>
      <c r="I1091" s="70"/>
      <c r="L1091" s="71" t="n">
        <f aca="false">IF(助手收入!$R$74="",-1,助手收入!$R$74*100+(助手收入!$S$74-1)*6+6)</f>
        <v>4206</v>
      </c>
    </row>
    <row r="1092" customFormat="false" ht="23.25" hidden="false" customHeight="true" outlineLevel="0" collapsed="false">
      <c r="B1092" s="72" t="str">
        <f aca="false">IF(助手收入!$T$74=1,"合计：","")</f>
        <v/>
      </c>
      <c r="C1092" s="73" t="str">
        <f aca="false">IF(助手收入!$T$74=1,$F1092,"")</f>
        <v/>
      </c>
      <c r="D1092" s="74"/>
      <c r="E1092" s="74"/>
      <c r="F1092" s="75" t="str">
        <f aca="false">IF(助手收入!$T$74=1,INDEX(助手收入!$N$2:$N$66,助手收入!$R$74),"")</f>
        <v/>
      </c>
      <c r="G1092" s="76" t="str">
        <f aca="false">IF(助手收入!$T$74=1,INDEX(助手收入!$O$2:$O$66,助手收入!$R$74),"")</f>
        <v/>
      </c>
      <c r="H1092" s="74"/>
      <c r="I1092" s="77"/>
    </row>
    <row r="1093" customFormat="false" ht="6" hidden="false" customHeight="true" outlineLevel="0" collapsed="false"/>
    <row r="1094" customFormat="false" ht="13.5" hidden="false" customHeight="false" outlineLevel="0" collapsed="false">
      <c r="B1094" s="78" t="str">
        <f aca="false">IF(助手收入!$R$74&lt;&gt;"","会计主管：","")</f>
        <v>会计主管：</v>
      </c>
      <c r="D1094" s="78" t="str">
        <f aca="false">IF(助手收入!$R$74&lt;&gt;"","会计：","")</f>
        <v>会计：</v>
      </c>
      <c r="E1094" s="78" t="str">
        <f aca="false">IF(助手收入!$R$74&lt;&gt;"","出纳：","")</f>
        <v>出纳：</v>
      </c>
      <c r="F1094" s="78" t="str">
        <f aca="false">IF(助手收入!$R$74&lt;&gt;"","复核：","")</f>
        <v>复核：</v>
      </c>
      <c r="G1094" s="78" t="str">
        <f aca="false">IF(助手收入!$R$74&lt;&gt;"","制单：","")</f>
        <v>制单：</v>
      </c>
    </row>
    <row r="1095" customFormat="false" ht="3" hidden="false" customHeight="true" outlineLevel="0" collapsed="false"/>
    <row r="1096" customFormat="false" ht="19.5" hidden="false" customHeight="true" outlineLevel="0" collapsed="false">
      <c r="B1096" s="53" t="str">
        <f aca="false">IF(助手收入!$R$75&lt;&gt;"","记  账  凭  证","")</f>
        <v>记  账  凭  证</v>
      </c>
      <c r="C1096" s="53"/>
      <c r="D1096" s="53"/>
      <c r="E1096" s="53"/>
      <c r="F1096" s="53"/>
      <c r="G1096" s="53"/>
      <c r="H1096" s="53"/>
      <c r="I1096" s="53"/>
    </row>
    <row r="1097" customFormat="false" ht="3" hidden="false" customHeight="true" outlineLevel="0" collapsed="false"/>
    <row r="1098" customFormat="false" ht="15" hidden="false" customHeight="true" outlineLevel="0" collapsed="false">
      <c r="C1098" s="56" t="n">
        <f aca="false">IF(助手收入!$R$75&lt;&gt;"",INDEX(助手收入!$B$2:$B$66,助手收入!$R$75),"")</f>
        <v>2066</v>
      </c>
      <c r="D1098" s="57" t="n">
        <f aca="false">IF(助手收入!$R$75&lt;&gt;"",参数!$B$2,"")</f>
        <v>46234</v>
      </c>
      <c r="E1098" s="57"/>
      <c r="F1098" s="58" t="str">
        <f aca="false">IF(助手收入!$R$75&lt;&gt;"",INDEX(助手收入!$C$2:$C$66,助手收入!$R$75)&amp;"  字第 "&amp;IF(参数!$B$9="是",INDEX(助手收入!$P$2:$P$66,助手收入!$R$75),"　　　　")&amp;" 号"&amp;IF(INDEX(助手收入!$L$2:$L$66,助手收入!$R$75)&gt;1,"  (共"&amp;INDEX(助手收入!$L$2:$L$66,助手收入!$R$75)&amp;"页 第"&amp;助手收入!$S$75&amp;"页)",""),"")</f>
        <v>博实店  字第 　　　　 号  (共2页 第2页)</v>
      </c>
      <c r="G1098" s="58"/>
      <c r="H1098" s="58"/>
      <c r="I1098" s="58"/>
      <c r="M1098" s="59" t="n">
        <f aca="false">IF(助手收入!$R$75="","",助手收入!$Q$75)</f>
        <v>74</v>
      </c>
      <c r="N1098" s="60" t="n">
        <f aca="false">IF(助手收入!$R$75="","",INDEX(助手收入!$P$2:$P$66,助手收入!$R$75))</f>
        <v>41</v>
      </c>
      <c r="O1098" s="55" t="str">
        <f aca="false">IF(助手收入!$R$75="","",INDEX(助手收入!$C$2:$C$66,助手收入!$R$75)&amp;"  字第 "&amp;INDEX(助手收入!$P$2:$P$66,助手收入!$R$75)&amp;" 号"&amp;IF(INDEX(助手收入!$L$2:$L$66,助手收入!$R$75)&gt;1,"  (共"&amp;INDEX(助手收入!$L$2:$L$66,助手收入!$R$75)&amp;"页 第"&amp;助手收入!$S$75&amp;"页)",""))</f>
        <v>博实店  字第 41 号  (共2页 第2页)</v>
      </c>
    </row>
    <row r="1099" customFormat="false" ht="12.75" hidden="false" customHeight="true" outlineLevel="0" collapsed="false">
      <c r="B1099" s="61" t="str">
        <f aca="false">IF(助手收入!$R$75&lt;&gt;"","摘　　要","")</f>
        <v>摘　　要</v>
      </c>
      <c r="C1099" s="61"/>
      <c r="D1099" s="62" t="str">
        <f aca="false">IF(助手收入!$R$75&lt;&gt;"","科　　　　目","")</f>
        <v>科　　　　目</v>
      </c>
      <c r="E1099" s="62"/>
      <c r="F1099" s="61" t="str">
        <f aca="false">IF(助手收入!$R$75&lt;&gt;"","借 方 金 额","")</f>
        <v>借 方 金 额</v>
      </c>
      <c r="G1099" s="62" t="str">
        <f aca="false">IF(助手收入!$R$75&lt;&gt;"","贷 方 金 额","")</f>
        <v>贷 方 金 额</v>
      </c>
      <c r="H1099" s="63" t="str">
        <f aca="false">IF(助手收入!$R$75&lt;&gt;"","√","")</f>
        <v>√</v>
      </c>
      <c r="I1099" s="64" t="str">
        <f aca="false">IF(助手收入!$R$75&lt;&gt;"","附单据  张","")</f>
        <v>附单据  张</v>
      </c>
    </row>
    <row r="1100" customFormat="false" ht="12.75" hidden="false" customHeight="true" outlineLevel="0" collapsed="false">
      <c r="B1100" s="61"/>
      <c r="C1100" s="61"/>
      <c r="D1100" s="23" t="str">
        <f aca="false">IF(助手收入!$R$75&lt;&gt;"","总 账 科 目","")</f>
        <v>总 账 科 目</v>
      </c>
      <c r="E1100" s="23" t="str">
        <f aca="false">IF(助手收入!$R$75&lt;&gt;"","明 细 科 目","")</f>
        <v>明 细 科 目</v>
      </c>
      <c r="F1100" s="65"/>
      <c r="G1100" s="66"/>
      <c r="H1100" s="63"/>
      <c r="I1100" s="64"/>
    </row>
    <row r="1101" customFormat="false" ht="23.25" hidden="false" customHeight="true" outlineLevel="0" collapsed="false">
      <c r="B1101" s="67" t="str">
        <f aca="false">IFERROR(INDEX(分录收入!$M:$M,MATCH($L1101,分录收入!$L:$L,0)),"")</f>
        <v>7月收入</v>
      </c>
      <c r="C1101" s="67"/>
      <c r="D1101" s="23" t="str">
        <f aca="false">IFERROR(INDEX(分录收入!$E:$E,MATCH($L1101,分录收入!$L:$L,0)),"")</f>
        <v>销售费用</v>
      </c>
      <c r="E1101" s="23" t="str">
        <f aca="false">IFERROR(INDEX(分录收入!$F:$F,MATCH($L1101,分录收入!$L:$L,0)),"")</f>
        <v>促销费</v>
      </c>
      <c r="F1101" s="68" t="n">
        <f aca="false">IFERROR(INDEX(分录收入!$H:$H,MATCH($L1101,分录收入!$L:$L,0)),"")</f>
        <v>2531.13</v>
      </c>
      <c r="G1101" s="69" t="str">
        <f aca="false">IFERROR(INDEX(分录收入!$I:$I,MATCH($L1101,分录收入!$L:$L,0)),"")</f>
        <v/>
      </c>
      <c r="H1101" s="23"/>
      <c r="I1101" s="70"/>
      <c r="L1101" s="71" t="n">
        <f aca="false">IF(助手收入!$R$75="",-1,助手收入!$R$75*100+(助手收入!$S$75-1)*6+1)</f>
        <v>4207</v>
      </c>
    </row>
    <row r="1102" customFormat="false" ht="23.25" hidden="false" customHeight="true" outlineLevel="0" collapsed="false">
      <c r="B1102" s="67" t="str">
        <f aca="false">""</f>
        <v/>
      </c>
      <c r="C1102" s="67"/>
      <c r="D1102" s="23" t="str">
        <f aca="false">IFERROR(INDEX(分录收入!$E:$E,MATCH($L1102,分录收入!$L:$L,0)),"")</f>
        <v>财务费用</v>
      </c>
      <c r="E1102" s="23" t="str">
        <f aca="false">IFERROR(INDEX(分录收入!$F:$F,MATCH($L1102,分录收入!$L:$L,0)),"")</f>
        <v>手续费</v>
      </c>
      <c r="F1102" s="68" t="n">
        <f aca="false">IFERROR(INDEX(分录收入!$H:$H,MATCH($L1102,分录收入!$L:$L,0)),"")</f>
        <v>92.53</v>
      </c>
      <c r="G1102" s="69" t="str">
        <f aca="false">IFERROR(INDEX(分录收入!$I:$I,MATCH($L1102,分录收入!$L:$L,0)),"")</f>
        <v/>
      </c>
      <c r="H1102" s="23"/>
      <c r="I1102" s="70"/>
      <c r="L1102" s="71" t="n">
        <f aca="false">IF(助手收入!$R$75="",-1,助手收入!$R$75*100+(助手收入!$S$75-1)*6+2)</f>
        <v>4208</v>
      </c>
    </row>
    <row r="1103" customFormat="false" ht="23.25" hidden="false" customHeight="true" outlineLevel="0" collapsed="false">
      <c r="B1103" s="67" t="str">
        <f aca="false">""</f>
        <v/>
      </c>
      <c r="C1103" s="67"/>
      <c r="D1103" s="23" t="str">
        <f aca="false">IFERROR(INDEX(分录收入!$E:$E,MATCH($L1103,分录收入!$L:$L,0)),"")</f>
        <v>主营业务收入</v>
      </c>
      <c r="E1103" s="23" t="str">
        <f aca="false">IFERROR(INDEX(分录收入!$F:$F,MATCH($L1103,分录收入!$L:$L,0)),"")</f>
        <v/>
      </c>
      <c r="F1103" s="68" t="str">
        <f aca="false">IFERROR(INDEX(分录收入!$H:$H,MATCH($L1103,分录收入!$L:$L,0)),"")</f>
        <v/>
      </c>
      <c r="G1103" s="69" t="n">
        <f aca="false">IFERROR(INDEX(分录收入!$I:$I,MATCH($L1103,分录收入!$L:$L,0)),"")</f>
        <v>63719.93</v>
      </c>
      <c r="H1103" s="23"/>
      <c r="I1103" s="70"/>
      <c r="L1103" s="71" t="n">
        <f aca="false">IF(助手收入!$R$75="",-1,助手收入!$R$75*100+(助手收入!$S$75-1)*6+3)</f>
        <v>4209</v>
      </c>
    </row>
    <row r="1104" customFormat="false" ht="23.25" hidden="false" customHeight="true" outlineLevel="0" collapsed="false">
      <c r="B1104" s="67" t="str">
        <f aca="false">""</f>
        <v/>
      </c>
      <c r="C1104" s="67"/>
      <c r="D1104" s="23" t="str">
        <f aca="false">IFERROR(INDEX(分录收入!$E:$E,MATCH($L1104,分录收入!$L:$L,0)),"")</f>
        <v/>
      </c>
      <c r="E1104" s="23" t="str">
        <f aca="false">IFERROR(INDEX(分录收入!$F:$F,MATCH($L1104,分录收入!$L:$L,0)),"")</f>
        <v/>
      </c>
      <c r="F1104" s="68" t="str">
        <f aca="false">IFERROR(INDEX(分录收入!$H:$H,MATCH($L1104,分录收入!$L:$L,0)),"")</f>
        <v/>
      </c>
      <c r="G1104" s="69" t="str">
        <f aca="false">IFERROR(INDEX(分录收入!$I:$I,MATCH($L1104,分录收入!$L:$L,0)),"")</f>
        <v/>
      </c>
      <c r="H1104" s="23"/>
      <c r="I1104" s="70"/>
      <c r="L1104" s="71" t="n">
        <f aca="false">IF(助手收入!$R$75="",-1,助手收入!$R$75*100+(助手收入!$S$75-1)*6+4)</f>
        <v>4210</v>
      </c>
    </row>
    <row r="1105" customFormat="false" ht="23.25" hidden="false" customHeight="true" outlineLevel="0" collapsed="false">
      <c r="B1105" s="67" t="str">
        <f aca="false">""</f>
        <v/>
      </c>
      <c r="C1105" s="67"/>
      <c r="D1105" s="23" t="str">
        <f aca="false">IFERROR(INDEX(分录收入!$E:$E,MATCH($L1105,分录收入!$L:$L,0)),"")</f>
        <v/>
      </c>
      <c r="E1105" s="23" t="str">
        <f aca="false">IFERROR(INDEX(分录收入!$F:$F,MATCH($L1105,分录收入!$L:$L,0)),"")</f>
        <v/>
      </c>
      <c r="F1105" s="68" t="str">
        <f aca="false">IFERROR(INDEX(分录收入!$H:$H,MATCH($L1105,分录收入!$L:$L,0)),"")</f>
        <v/>
      </c>
      <c r="G1105" s="69" t="str">
        <f aca="false">IFERROR(INDEX(分录收入!$I:$I,MATCH($L1105,分录收入!$L:$L,0)),"")</f>
        <v/>
      </c>
      <c r="H1105" s="23"/>
      <c r="I1105" s="70"/>
      <c r="L1105" s="71" t="n">
        <f aca="false">IF(助手收入!$R$75="",-1,助手收入!$R$75*100+(助手收入!$S$75-1)*6+5)</f>
        <v>4211</v>
      </c>
    </row>
    <row r="1106" customFormat="false" ht="23.25" hidden="false" customHeight="true" outlineLevel="0" collapsed="false">
      <c r="B1106" s="67" t="str">
        <f aca="false">""</f>
        <v/>
      </c>
      <c r="C1106" s="67"/>
      <c r="D1106" s="23" t="str">
        <f aca="false">IFERROR(INDEX(分录收入!$E:$E,MATCH($L1106,分录收入!$L:$L,0)),"")</f>
        <v/>
      </c>
      <c r="E1106" s="23" t="str">
        <f aca="false">IFERROR(INDEX(分录收入!$F:$F,MATCH($L1106,分录收入!$L:$L,0)),"")</f>
        <v/>
      </c>
      <c r="F1106" s="68" t="str">
        <f aca="false">IFERROR(INDEX(分录收入!$H:$H,MATCH($L1106,分录收入!$L:$L,0)),"")</f>
        <v/>
      </c>
      <c r="G1106" s="69" t="str">
        <f aca="false">IFERROR(INDEX(分录收入!$I:$I,MATCH($L1106,分录收入!$L:$L,0)),"")</f>
        <v/>
      </c>
      <c r="H1106" s="23"/>
      <c r="I1106" s="70"/>
      <c r="L1106" s="71" t="n">
        <f aca="false">IF(助手收入!$R$75="",-1,助手收入!$R$75*100+(助手收入!$S$75-1)*6+6)</f>
        <v>4212</v>
      </c>
    </row>
    <row r="1107" customFormat="false" ht="23.25" hidden="false" customHeight="true" outlineLevel="0" collapsed="false">
      <c r="B1107" s="72" t="str">
        <f aca="false">IF(助手收入!$T$75=1,"合计：","")</f>
        <v>合计：</v>
      </c>
      <c r="C1107" s="73" t="n">
        <f aca="false">IF(助手收入!$T$75=1,$F1107,"")</f>
        <v>63719.93</v>
      </c>
      <c r="D1107" s="74"/>
      <c r="E1107" s="74"/>
      <c r="F1107" s="75" t="n">
        <f aca="false">IF(助手收入!$T$75=1,INDEX(助手收入!$N$2:$N$66,助手收入!$R$75),"")</f>
        <v>63719.93</v>
      </c>
      <c r="G1107" s="76" t="n">
        <f aca="false">IF(助手收入!$T$75=1,INDEX(助手收入!$O$2:$O$66,助手收入!$R$75),"")</f>
        <v>63719.93</v>
      </c>
      <c r="H1107" s="74"/>
      <c r="I1107" s="77"/>
    </row>
    <row r="1108" customFormat="false" ht="6" hidden="false" customHeight="true" outlineLevel="0" collapsed="false"/>
    <row r="1109" customFormat="false" ht="13.5" hidden="false" customHeight="false" outlineLevel="0" collapsed="false">
      <c r="B1109" s="78" t="str">
        <f aca="false">IF(助手收入!$R$75&lt;&gt;"","会计主管：","")</f>
        <v>会计主管：</v>
      </c>
      <c r="D1109" s="78" t="str">
        <f aca="false">IF(助手收入!$R$75&lt;&gt;"","会计：","")</f>
        <v>会计：</v>
      </c>
      <c r="E1109" s="78" t="str">
        <f aca="false">IF(助手收入!$R$75&lt;&gt;"","出纳：","")</f>
        <v>出纳：</v>
      </c>
      <c r="F1109" s="78" t="str">
        <f aca="false">IF(助手收入!$R$75&lt;&gt;"","复核：","")</f>
        <v>复核：</v>
      </c>
      <c r="G1109" s="78" t="str">
        <f aca="false">IF(助手收入!$R$75&lt;&gt;"","制单：","")</f>
        <v>制单：</v>
      </c>
    </row>
    <row r="1110" customFormat="false" ht="3" hidden="false" customHeight="true" outlineLevel="0" collapsed="false"/>
    <row r="1111" customFormat="false" ht="19.5" hidden="false" customHeight="true" outlineLevel="0" collapsed="false">
      <c r="B1111" s="53" t="str">
        <f aca="false">IF(助手收入!$R$76&lt;&gt;"","记  账  凭  证","")</f>
        <v>记  账  凭  证</v>
      </c>
      <c r="C1111" s="53"/>
      <c r="D1111" s="53"/>
      <c r="E1111" s="53"/>
      <c r="F1111" s="53"/>
      <c r="G1111" s="53"/>
      <c r="H1111" s="53"/>
      <c r="I1111" s="53"/>
    </row>
    <row r="1112" customFormat="false" ht="3" hidden="false" customHeight="true" outlineLevel="0" collapsed="false"/>
    <row r="1113" customFormat="false" ht="15" hidden="false" customHeight="true" outlineLevel="0" collapsed="false">
      <c r="C1113" s="56" t="n">
        <f aca="false">IF(助手收入!$R$76&lt;&gt;"",INDEX(助手收入!$B$2:$B$66,助手收入!$R$76),"")</f>
        <v>2067</v>
      </c>
      <c r="D1113" s="57" t="n">
        <f aca="false">IF(助手收入!$R$76&lt;&gt;"",参数!$B$2,"")</f>
        <v>46234</v>
      </c>
      <c r="E1113" s="57"/>
      <c r="F1113" s="58" t="str">
        <f aca="false">IF(助手收入!$R$76&lt;&gt;"",INDEX(助手收入!$C$2:$C$66,助手收入!$R$76)&amp;"  字第 "&amp;IF(参数!$B$9="是",INDEX(助手收入!$P$2:$P$66,助手收入!$R$76),"　　　　")&amp;" 号"&amp;IF(INDEX(助手收入!$L$2:$L$66,助手收入!$R$76)&gt;1,"  (共"&amp;INDEX(助手收入!$L$2:$L$66,助手收入!$R$76)&amp;"页 第"&amp;助手收入!$S$76&amp;"页)",""),"")</f>
        <v>博亮店  字第 　　　　 号  (共2页 第1页)</v>
      </c>
      <c r="G1113" s="58"/>
      <c r="H1113" s="58"/>
      <c r="I1113" s="58"/>
      <c r="M1113" s="59" t="n">
        <f aca="false">IF(助手收入!$R$76="","",助手收入!$Q$76)</f>
        <v>75</v>
      </c>
      <c r="N1113" s="60" t="n">
        <f aca="false">IF(助手收入!$R$76="","",INDEX(助手收入!$P$2:$P$66,助手收入!$R$76))</f>
        <v>42</v>
      </c>
      <c r="O1113" s="55" t="str">
        <f aca="false">IF(助手收入!$R$76="","",INDEX(助手收入!$C$2:$C$66,助手收入!$R$76)&amp;"  字第 "&amp;INDEX(助手收入!$P$2:$P$66,助手收入!$R$76)&amp;" 号"&amp;IF(INDEX(助手收入!$L$2:$L$66,助手收入!$R$76)&gt;1,"  (共"&amp;INDEX(助手收入!$L$2:$L$66,助手收入!$R$76)&amp;"页 第"&amp;助手收入!$S$76&amp;"页)",""))</f>
        <v>博亮店  字第 42 号  (共2页 第1页)</v>
      </c>
    </row>
    <row r="1114" customFormat="false" ht="12.75" hidden="false" customHeight="true" outlineLevel="0" collapsed="false">
      <c r="B1114" s="61" t="str">
        <f aca="false">IF(助手收入!$R$76&lt;&gt;"","摘　　要","")</f>
        <v>摘　　要</v>
      </c>
      <c r="C1114" s="61"/>
      <c r="D1114" s="62" t="str">
        <f aca="false">IF(助手收入!$R$76&lt;&gt;"","科　　　　目","")</f>
        <v>科　　　　目</v>
      </c>
      <c r="E1114" s="62"/>
      <c r="F1114" s="61" t="str">
        <f aca="false">IF(助手收入!$R$76&lt;&gt;"","借 方 金 额","")</f>
        <v>借 方 金 额</v>
      </c>
      <c r="G1114" s="62" t="str">
        <f aca="false">IF(助手收入!$R$76&lt;&gt;"","贷 方 金 额","")</f>
        <v>贷 方 金 额</v>
      </c>
      <c r="H1114" s="63" t="str">
        <f aca="false">IF(助手收入!$R$76&lt;&gt;"","√","")</f>
        <v>√</v>
      </c>
      <c r="I1114" s="64" t="str">
        <f aca="false">IF(助手收入!$R$76&lt;&gt;"","附单据  张","")</f>
        <v>附单据  张</v>
      </c>
    </row>
    <row r="1115" customFormat="false" ht="12.75" hidden="false" customHeight="true" outlineLevel="0" collapsed="false">
      <c r="B1115" s="61"/>
      <c r="C1115" s="61"/>
      <c r="D1115" s="23" t="str">
        <f aca="false">IF(助手收入!$R$76&lt;&gt;"","总 账 科 目","")</f>
        <v>总 账 科 目</v>
      </c>
      <c r="E1115" s="23" t="str">
        <f aca="false">IF(助手收入!$R$76&lt;&gt;"","明 细 科 目","")</f>
        <v>明 细 科 目</v>
      </c>
      <c r="F1115" s="65"/>
      <c r="G1115" s="66"/>
      <c r="H1115" s="63"/>
      <c r="I1115" s="64"/>
    </row>
    <row r="1116" customFormat="false" ht="23.25" hidden="false" customHeight="true" outlineLevel="0" collapsed="false">
      <c r="B1116" s="67" t="str">
        <f aca="false">IFERROR(INDEX(分录收入!$M:$M,MATCH($L1116,分录收入!$L:$L,0)),"")</f>
        <v>7月收入</v>
      </c>
      <c r="C1116" s="67"/>
      <c r="D1116" s="23" t="str">
        <f aca="false">IFERROR(INDEX(分录收入!$E:$E,MATCH($L1116,分录收入!$L:$L,0)),"")</f>
        <v>库存现金</v>
      </c>
      <c r="E1116" s="23" t="str">
        <f aca="false">IFERROR(INDEX(分录收入!$F:$F,MATCH($L1116,分录收入!$L:$L,0)),"")</f>
        <v/>
      </c>
      <c r="F1116" s="68" t="n">
        <f aca="false">IFERROR(INDEX(分录收入!$H:$H,MATCH($L1116,分录收入!$L:$L,0)),"")</f>
        <v>3632.88</v>
      </c>
      <c r="G1116" s="69" t="str">
        <f aca="false">IFERROR(INDEX(分录收入!$I:$I,MATCH($L1116,分录收入!$L:$L,0)),"")</f>
        <v/>
      </c>
      <c r="H1116" s="23"/>
      <c r="I1116" s="70"/>
      <c r="L1116" s="71" t="n">
        <f aca="false">IF(助手收入!$R$76="",-1,助手收入!$R$76*100+(助手收入!$S$76-1)*6+1)</f>
        <v>4301</v>
      </c>
    </row>
    <row r="1117" customFormat="false" ht="23.25" hidden="false" customHeight="true" outlineLevel="0" collapsed="false">
      <c r="B1117" s="67" t="str">
        <f aca="false">""</f>
        <v/>
      </c>
      <c r="C1117" s="67"/>
      <c r="D1117" s="23" t="str">
        <f aca="false">IFERROR(INDEX(分录收入!$E:$E,MATCH($L1117,分录收入!$L:$L,0)),"")</f>
        <v>应收账款</v>
      </c>
      <c r="E1117" s="23" t="str">
        <f aca="false">IFERROR(INDEX(分录收入!$F:$F,MATCH($L1117,分录收入!$L:$L,0)),"")</f>
        <v>聚合支付</v>
      </c>
      <c r="F1117" s="68" t="n">
        <f aca="false">IFERROR(INDEX(分录收入!$H:$H,MATCH($L1117,分录收入!$L:$L,0)),"")</f>
        <v>23611.26</v>
      </c>
      <c r="G1117" s="69" t="str">
        <f aca="false">IFERROR(INDEX(分录收入!$I:$I,MATCH($L1117,分录收入!$L:$L,0)),"")</f>
        <v/>
      </c>
      <c r="H1117" s="23"/>
      <c r="I1117" s="70"/>
      <c r="L1117" s="71" t="n">
        <f aca="false">IF(助手收入!$R$76="",-1,助手收入!$R$76*100+(助手收入!$S$76-1)*6+2)</f>
        <v>4302</v>
      </c>
    </row>
    <row r="1118" customFormat="false" ht="23.25" hidden="false" customHeight="true" outlineLevel="0" collapsed="false">
      <c r="B1118" s="67" t="str">
        <f aca="false">""</f>
        <v/>
      </c>
      <c r="C1118" s="67"/>
      <c r="D1118" s="23" t="str">
        <f aca="false">IFERROR(INDEX(分录收入!$E:$E,MATCH($L1118,分录收入!$L:$L,0)),"")</f>
        <v>应收账款</v>
      </c>
      <c r="E1118" s="23" t="str">
        <f aca="false">IFERROR(INDEX(分录收入!$F:$F,MATCH($L1118,分录收入!$L:$L,0)),"")</f>
        <v>美团</v>
      </c>
      <c r="F1118" s="68" t="n">
        <f aca="false">IFERROR(INDEX(分录收入!$H:$H,MATCH($L1118,分录收入!$L:$L,0)),"")</f>
        <v>613.3</v>
      </c>
      <c r="G1118" s="69" t="str">
        <f aca="false">IFERROR(INDEX(分录收入!$I:$I,MATCH($L1118,分录收入!$L:$L,0)),"")</f>
        <v/>
      </c>
      <c r="H1118" s="23"/>
      <c r="I1118" s="70"/>
      <c r="L1118" s="71" t="n">
        <f aca="false">IF(助手收入!$R$76="",-1,助手收入!$R$76*100+(助手收入!$S$76-1)*6+3)</f>
        <v>4303</v>
      </c>
    </row>
    <row r="1119" customFormat="false" ht="23.25" hidden="false" customHeight="true" outlineLevel="0" collapsed="false">
      <c r="B1119" s="67" t="str">
        <f aca="false">""</f>
        <v/>
      </c>
      <c r="C1119" s="67"/>
      <c r="D1119" s="23" t="str">
        <f aca="false">IFERROR(INDEX(分录收入!$E:$E,MATCH($L1119,分录收入!$L:$L,0)),"")</f>
        <v>其他应收款</v>
      </c>
      <c r="E1119" s="23" t="str">
        <f aca="false">IFERROR(INDEX(分录收入!$F:$F,MATCH($L1119,分录收入!$L:$L,0)),"")</f>
        <v>储值卡</v>
      </c>
      <c r="F1119" s="68" t="n">
        <f aca="false">IFERROR(INDEX(分录收入!$H:$H,MATCH($L1119,分录收入!$L:$L,0)),"")</f>
        <v>182.8</v>
      </c>
      <c r="G1119" s="69" t="str">
        <f aca="false">IFERROR(INDEX(分录收入!$I:$I,MATCH($L1119,分录收入!$L:$L,0)),"")</f>
        <v/>
      </c>
      <c r="H1119" s="23"/>
      <c r="I1119" s="70"/>
      <c r="L1119" s="71" t="n">
        <f aca="false">IF(助手收入!$R$76="",-1,助手收入!$R$76*100+(助手收入!$S$76-1)*6+4)</f>
        <v>4304</v>
      </c>
    </row>
    <row r="1120" customFormat="false" ht="23.25" hidden="false" customHeight="true" outlineLevel="0" collapsed="false">
      <c r="B1120" s="67" t="str">
        <f aca="false">""</f>
        <v/>
      </c>
      <c r="C1120" s="67"/>
      <c r="D1120" s="23" t="str">
        <f aca="false">IFERROR(INDEX(分录收入!$E:$E,MATCH($L1120,分录收入!$L:$L,0)),"")</f>
        <v>销售费用</v>
      </c>
      <c r="E1120" s="23" t="str">
        <f aca="false">IFERROR(INDEX(分录收入!$F:$F,MATCH($L1120,分录收入!$L:$L,0)),"")</f>
        <v>促销费</v>
      </c>
      <c r="F1120" s="68" t="n">
        <f aca="false">IFERROR(INDEX(分录收入!$H:$H,MATCH($L1120,分录收入!$L:$L,0)),"")</f>
        <v>998.93</v>
      </c>
      <c r="G1120" s="69" t="str">
        <f aca="false">IFERROR(INDEX(分录收入!$I:$I,MATCH($L1120,分录收入!$L:$L,0)),"")</f>
        <v/>
      </c>
      <c r="H1120" s="23"/>
      <c r="I1120" s="70"/>
      <c r="L1120" s="71" t="n">
        <f aca="false">IF(助手收入!$R$76="",-1,助手收入!$R$76*100+(助手收入!$S$76-1)*6+5)</f>
        <v>4305</v>
      </c>
    </row>
    <row r="1121" customFormat="false" ht="23.25" hidden="false" customHeight="true" outlineLevel="0" collapsed="false">
      <c r="B1121" s="67" t="str">
        <f aca="false">""</f>
        <v/>
      </c>
      <c r="C1121" s="67"/>
      <c r="D1121" s="23" t="str">
        <f aca="false">IFERROR(INDEX(分录收入!$E:$E,MATCH($L1121,分录收入!$L:$L,0)),"")</f>
        <v>财务费用</v>
      </c>
      <c r="E1121" s="23" t="str">
        <f aca="false">IFERROR(INDEX(分录收入!$F:$F,MATCH($L1121,分录收入!$L:$L,0)),"")</f>
        <v>手续费</v>
      </c>
      <c r="F1121" s="68" t="n">
        <f aca="false">IFERROR(INDEX(分录收入!$H:$H,MATCH($L1121,分录收入!$L:$L,0)),"")</f>
        <v>63.92</v>
      </c>
      <c r="G1121" s="69" t="str">
        <f aca="false">IFERROR(INDEX(分录收入!$I:$I,MATCH($L1121,分录收入!$L:$L,0)),"")</f>
        <v/>
      </c>
      <c r="H1121" s="23"/>
      <c r="I1121" s="70"/>
      <c r="L1121" s="71" t="n">
        <f aca="false">IF(助手收入!$R$76="",-1,助手收入!$R$76*100+(助手收入!$S$76-1)*6+6)</f>
        <v>4306</v>
      </c>
    </row>
    <row r="1122" customFormat="false" ht="23.25" hidden="false" customHeight="true" outlineLevel="0" collapsed="false">
      <c r="B1122" s="72" t="str">
        <f aca="false">IF(助手收入!$T$76=1,"合计：","")</f>
        <v/>
      </c>
      <c r="C1122" s="73" t="str">
        <f aca="false">IF(助手收入!$T$76=1,$F1122,"")</f>
        <v/>
      </c>
      <c r="D1122" s="74"/>
      <c r="E1122" s="74"/>
      <c r="F1122" s="75" t="str">
        <f aca="false">IF(助手收入!$T$76=1,INDEX(助手收入!$N$2:$N$66,助手收入!$R$76),"")</f>
        <v/>
      </c>
      <c r="G1122" s="76" t="str">
        <f aca="false">IF(助手收入!$T$76=1,INDEX(助手收入!$O$2:$O$66,助手收入!$R$76),"")</f>
        <v/>
      </c>
      <c r="H1122" s="74"/>
      <c r="I1122" s="77"/>
    </row>
    <row r="1123" customFormat="false" ht="6" hidden="false" customHeight="true" outlineLevel="0" collapsed="false"/>
    <row r="1124" customFormat="false" ht="13.5" hidden="false" customHeight="false" outlineLevel="0" collapsed="false">
      <c r="B1124" s="78" t="str">
        <f aca="false">IF(助手收入!$R$76&lt;&gt;"","会计主管：","")</f>
        <v>会计主管：</v>
      </c>
      <c r="D1124" s="78" t="str">
        <f aca="false">IF(助手收入!$R$76&lt;&gt;"","会计：","")</f>
        <v>会计：</v>
      </c>
      <c r="E1124" s="78" t="str">
        <f aca="false">IF(助手收入!$R$76&lt;&gt;"","出纳：","")</f>
        <v>出纳：</v>
      </c>
      <c r="F1124" s="78" t="str">
        <f aca="false">IF(助手收入!$R$76&lt;&gt;"","复核：","")</f>
        <v>复核：</v>
      </c>
      <c r="G1124" s="78" t="str">
        <f aca="false">IF(助手收入!$R$76&lt;&gt;"","制单：","")</f>
        <v>制单：</v>
      </c>
    </row>
    <row r="1125" customFormat="false" ht="3" hidden="false" customHeight="true" outlineLevel="0" collapsed="false"/>
    <row r="1126" customFormat="false" ht="19.5" hidden="false" customHeight="true" outlineLevel="0" collapsed="false">
      <c r="B1126" s="53" t="str">
        <f aca="false">IF(助手收入!$R$77&lt;&gt;"","记  账  凭  证","")</f>
        <v>记  账  凭  证</v>
      </c>
      <c r="C1126" s="53"/>
      <c r="D1126" s="53"/>
      <c r="E1126" s="53"/>
      <c r="F1126" s="53"/>
      <c r="G1126" s="53"/>
      <c r="H1126" s="53"/>
      <c r="I1126" s="53"/>
    </row>
    <row r="1127" customFormat="false" ht="3" hidden="false" customHeight="true" outlineLevel="0" collapsed="false"/>
    <row r="1128" customFormat="false" ht="15" hidden="false" customHeight="true" outlineLevel="0" collapsed="false">
      <c r="C1128" s="56" t="n">
        <f aca="false">IF(助手收入!$R$77&lt;&gt;"",INDEX(助手收入!$B$2:$B$66,助手收入!$R$77),"")</f>
        <v>2067</v>
      </c>
      <c r="D1128" s="57" t="n">
        <f aca="false">IF(助手收入!$R$77&lt;&gt;"",参数!$B$2,"")</f>
        <v>46234</v>
      </c>
      <c r="E1128" s="57"/>
      <c r="F1128" s="58" t="str">
        <f aca="false">IF(助手收入!$R$77&lt;&gt;"",INDEX(助手收入!$C$2:$C$66,助手收入!$R$77)&amp;"  字第 "&amp;IF(参数!$B$9="是",INDEX(助手收入!$P$2:$P$66,助手收入!$R$77),"　　　　")&amp;" 号"&amp;IF(INDEX(助手收入!$L$2:$L$66,助手收入!$R$77)&gt;1,"  (共"&amp;INDEX(助手收入!$L$2:$L$66,助手收入!$R$77)&amp;"页 第"&amp;助手收入!$S$77&amp;"页)",""),"")</f>
        <v>博亮店  字第 　　　　 号  (共2页 第2页)</v>
      </c>
      <c r="G1128" s="58"/>
      <c r="H1128" s="58"/>
      <c r="I1128" s="58"/>
      <c r="M1128" s="59" t="n">
        <f aca="false">IF(助手收入!$R$77="","",助手收入!$Q$77)</f>
        <v>76</v>
      </c>
      <c r="N1128" s="60" t="n">
        <f aca="false">IF(助手收入!$R$77="","",INDEX(助手收入!$P$2:$P$66,助手收入!$R$77))</f>
        <v>42</v>
      </c>
      <c r="O1128" s="55" t="str">
        <f aca="false">IF(助手收入!$R$77="","",INDEX(助手收入!$C$2:$C$66,助手收入!$R$77)&amp;"  字第 "&amp;INDEX(助手收入!$P$2:$P$66,助手收入!$R$77)&amp;" 号"&amp;IF(INDEX(助手收入!$L$2:$L$66,助手收入!$R$77)&gt;1,"  (共"&amp;INDEX(助手收入!$L$2:$L$66,助手收入!$R$77)&amp;"页 第"&amp;助手收入!$S$77&amp;"页)",""))</f>
        <v>博亮店  字第 42 号  (共2页 第2页)</v>
      </c>
    </row>
    <row r="1129" customFormat="false" ht="12.75" hidden="false" customHeight="true" outlineLevel="0" collapsed="false">
      <c r="B1129" s="61" t="str">
        <f aca="false">IF(助手收入!$R$77&lt;&gt;"","摘　　要","")</f>
        <v>摘　　要</v>
      </c>
      <c r="C1129" s="61"/>
      <c r="D1129" s="62" t="str">
        <f aca="false">IF(助手收入!$R$77&lt;&gt;"","科　　　　目","")</f>
        <v>科　　　　目</v>
      </c>
      <c r="E1129" s="62"/>
      <c r="F1129" s="61" t="str">
        <f aca="false">IF(助手收入!$R$77&lt;&gt;"","借 方 金 额","")</f>
        <v>借 方 金 额</v>
      </c>
      <c r="G1129" s="62" t="str">
        <f aca="false">IF(助手收入!$R$77&lt;&gt;"","贷 方 金 额","")</f>
        <v>贷 方 金 额</v>
      </c>
      <c r="H1129" s="63" t="str">
        <f aca="false">IF(助手收入!$R$77&lt;&gt;"","√","")</f>
        <v>√</v>
      </c>
      <c r="I1129" s="64" t="str">
        <f aca="false">IF(助手收入!$R$77&lt;&gt;"","附单据  张","")</f>
        <v>附单据  张</v>
      </c>
    </row>
    <row r="1130" customFormat="false" ht="12.75" hidden="false" customHeight="true" outlineLevel="0" collapsed="false">
      <c r="B1130" s="61"/>
      <c r="C1130" s="61"/>
      <c r="D1130" s="23" t="str">
        <f aca="false">IF(助手收入!$R$77&lt;&gt;"","总 账 科 目","")</f>
        <v>总 账 科 目</v>
      </c>
      <c r="E1130" s="23" t="str">
        <f aca="false">IF(助手收入!$R$77&lt;&gt;"","明 细 科 目","")</f>
        <v>明 细 科 目</v>
      </c>
      <c r="F1130" s="65"/>
      <c r="G1130" s="66"/>
      <c r="H1130" s="63"/>
      <c r="I1130" s="64"/>
    </row>
    <row r="1131" customFormat="false" ht="23.25" hidden="false" customHeight="true" outlineLevel="0" collapsed="false">
      <c r="B1131" s="67" t="str">
        <f aca="false">IFERROR(INDEX(分录收入!$M:$M,MATCH($L1131,分录收入!$L:$L,0)),"")</f>
        <v>7月收入</v>
      </c>
      <c r="C1131" s="67"/>
      <c r="D1131" s="23" t="str">
        <f aca="false">IFERROR(INDEX(分录收入!$E:$E,MATCH($L1131,分录收入!$L:$L,0)),"")</f>
        <v>主营业务收入</v>
      </c>
      <c r="E1131" s="23" t="str">
        <f aca="false">IFERROR(INDEX(分录收入!$F:$F,MATCH($L1131,分录收入!$L:$L,0)),"")</f>
        <v/>
      </c>
      <c r="F1131" s="68" t="str">
        <f aca="false">IFERROR(INDEX(分录收入!$H:$H,MATCH($L1131,分录收入!$L:$L,0)),"")</f>
        <v/>
      </c>
      <c r="G1131" s="69" t="n">
        <f aca="false">IFERROR(INDEX(分录收入!$I:$I,MATCH($L1131,分录收入!$L:$L,0)),"")</f>
        <v>29103.09</v>
      </c>
      <c r="H1131" s="23"/>
      <c r="I1131" s="70"/>
      <c r="L1131" s="71" t="n">
        <f aca="false">IF(助手收入!$R$77="",-1,助手收入!$R$77*100+(助手收入!$S$77-1)*6+1)</f>
        <v>4307</v>
      </c>
    </row>
    <row r="1132" customFormat="false" ht="23.25" hidden="false" customHeight="true" outlineLevel="0" collapsed="false">
      <c r="B1132" s="67" t="str">
        <f aca="false">""</f>
        <v/>
      </c>
      <c r="C1132" s="67"/>
      <c r="D1132" s="23" t="str">
        <f aca="false">IFERROR(INDEX(分录收入!$E:$E,MATCH($L1132,分录收入!$L:$L,0)),"")</f>
        <v/>
      </c>
      <c r="E1132" s="23" t="str">
        <f aca="false">IFERROR(INDEX(分录收入!$F:$F,MATCH($L1132,分录收入!$L:$L,0)),"")</f>
        <v/>
      </c>
      <c r="F1132" s="68" t="str">
        <f aca="false">IFERROR(INDEX(分录收入!$H:$H,MATCH($L1132,分录收入!$L:$L,0)),"")</f>
        <v/>
      </c>
      <c r="G1132" s="69" t="str">
        <f aca="false">IFERROR(INDEX(分录收入!$I:$I,MATCH($L1132,分录收入!$L:$L,0)),"")</f>
        <v/>
      </c>
      <c r="H1132" s="23"/>
      <c r="I1132" s="70"/>
      <c r="L1132" s="71" t="n">
        <f aca="false">IF(助手收入!$R$77="",-1,助手收入!$R$77*100+(助手收入!$S$77-1)*6+2)</f>
        <v>4308</v>
      </c>
    </row>
    <row r="1133" customFormat="false" ht="23.25" hidden="false" customHeight="true" outlineLevel="0" collapsed="false">
      <c r="B1133" s="67" t="str">
        <f aca="false">""</f>
        <v/>
      </c>
      <c r="C1133" s="67"/>
      <c r="D1133" s="23" t="str">
        <f aca="false">IFERROR(INDEX(分录收入!$E:$E,MATCH($L1133,分录收入!$L:$L,0)),"")</f>
        <v/>
      </c>
      <c r="E1133" s="23" t="str">
        <f aca="false">IFERROR(INDEX(分录收入!$F:$F,MATCH($L1133,分录收入!$L:$L,0)),"")</f>
        <v/>
      </c>
      <c r="F1133" s="68" t="str">
        <f aca="false">IFERROR(INDEX(分录收入!$H:$H,MATCH($L1133,分录收入!$L:$L,0)),"")</f>
        <v/>
      </c>
      <c r="G1133" s="69" t="str">
        <f aca="false">IFERROR(INDEX(分录收入!$I:$I,MATCH($L1133,分录收入!$L:$L,0)),"")</f>
        <v/>
      </c>
      <c r="H1133" s="23"/>
      <c r="I1133" s="70"/>
      <c r="L1133" s="71" t="n">
        <f aca="false">IF(助手收入!$R$77="",-1,助手收入!$R$77*100+(助手收入!$S$77-1)*6+3)</f>
        <v>4309</v>
      </c>
    </row>
    <row r="1134" customFormat="false" ht="23.25" hidden="false" customHeight="true" outlineLevel="0" collapsed="false">
      <c r="B1134" s="67" t="str">
        <f aca="false">""</f>
        <v/>
      </c>
      <c r="C1134" s="67"/>
      <c r="D1134" s="23" t="str">
        <f aca="false">IFERROR(INDEX(分录收入!$E:$E,MATCH($L1134,分录收入!$L:$L,0)),"")</f>
        <v/>
      </c>
      <c r="E1134" s="23" t="str">
        <f aca="false">IFERROR(INDEX(分录收入!$F:$F,MATCH($L1134,分录收入!$L:$L,0)),"")</f>
        <v/>
      </c>
      <c r="F1134" s="68" t="str">
        <f aca="false">IFERROR(INDEX(分录收入!$H:$H,MATCH($L1134,分录收入!$L:$L,0)),"")</f>
        <v/>
      </c>
      <c r="G1134" s="69" t="str">
        <f aca="false">IFERROR(INDEX(分录收入!$I:$I,MATCH($L1134,分录收入!$L:$L,0)),"")</f>
        <v/>
      </c>
      <c r="H1134" s="23"/>
      <c r="I1134" s="70"/>
      <c r="L1134" s="71" t="n">
        <f aca="false">IF(助手收入!$R$77="",-1,助手收入!$R$77*100+(助手收入!$S$77-1)*6+4)</f>
        <v>4310</v>
      </c>
    </row>
    <row r="1135" customFormat="false" ht="23.25" hidden="false" customHeight="true" outlineLevel="0" collapsed="false">
      <c r="B1135" s="67" t="str">
        <f aca="false">""</f>
        <v/>
      </c>
      <c r="C1135" s="67"/>
      <c r="D1135" s="23" t="str">
        <f aca="false">IFERROR(INDEX(分录收入!$E:$E,MATCH($L1135,分录收入!$L:$L,0)),"")</f>
        <v/>
      </c>
      <c r="E1135" s="23" t="str">
        <f aca="false">IFERROR(INDEX(分录收入!$F:$F,MATCH($L1135,分录收入!$L:$L,0)),"")</f>
        <v/>
      </c>
      <c r="F1135" s="68" t="str">
        <f aca="false">IFERROR(INDEX(分录收入!$H:$H,MATCH($L1135,分录收入!$L:$L,0)),"")</f>
        <v/>
      </c>
      <c r="G1135" s="69" t="str">
        <f aca="false">IFERROR(INDEX(分录收入!$I:$I,MATCH($L1135,分录收入!$L:$L,0)),"")</f>
        <v/>
      </c>
      <c r="H1135" s="23"/>
      <c r="I1135" s="70"/>
      <c r="L1135" s="71" t="n">
        <f aca="false">IF(助手收入!$R$77="",-1,助手收入!$R$77*100+(助手收入!$S$77-1)*6+5)</f>
        <v>4311</v>
      </c>
    </row>
    <row r="1136" customFormat="false" ht="23.25" hidden="false" customHeight="true" outlineLevel="0" collapsed="false">
      <c r="B1136" s="67" t="str">
        <f aca="false">""</f>
        <v/>
      </c>
      <c r="C1136" s="67"/>
      <c r="D1136" s="23" t="str">
        <f aca="false">IFERROR(INDEX(分录收入!$E:$E,MATCH($L1136,分录收入!$L:$L,0)),"")</f>
        <v/>
      </c>
      <c r="E1136" s="23" t="str">
        <f aca="false">IFERROR(INDEX(分录收入!$F:$F,MATCH($L1136,分录收入!$L:$L,0)),"")</f>
        <v/>
      </c>
      <c r="F1136" s="68" t="str">
        <f aca="false">IFERROR(INDEX(分录收入!$H:$H,MATCH($L1136,分录收入!$L:$L,0)),"")</f>
        <v/>
      </c>
      <c r="G1136" s="69" t="str">
        <f aca="false">IFERROR(INDEX(分录收入!$I:$I,MATCH($L1136,分录收入!$L:$L,0)),"")</f>
        <v/>
      </c>
      <c r="H1136" s="23"/>
      <c r="I1136" s="70"/>
      <c r="L1136" s="71" t="n">
        <f aca="false">IF(助手收入!$R$77="",-1,助手收入!$R$77*100+(助手收入!$S$77-1)*6+6)</f>
        <v>4312</v>
      </c>
    </row>
    <row r="1137" customFormat="false" ht="23.25" hidden="false" customHeight="true" outlineLevel="0" collapsed="false">
      <c r="B1137" s="72" t="str">
        <f aca="false">IF(助手收入!$T$77=1,"合计：","")</f>
        <v>合计：</v>
      </c>
      <c r="C1137" s="73" t="n">
        <f aca="false">IF(助手收入!$T$77=1,$F1137,"")</f>
        <v>29103.09</v>
      </c>
      <c r="D1137" s="74"/>
      <c r="E1137" s="74"/>
      <c r="F1137" s="75" t="n">
        <f aca="false">IF(助手收入!$T$77=1,INDEX(助手收入!$N$2:$N$66,助手收入!$R$77),"")</f>
        <v>29103.09</v>
      </c>
      <c r="G1137" s="76" t="n">
        <f aca="false">IF(助手收入!$T$77=1,INDEX(助手收入!$O$2:$O$66,助手收入!$R$77),"")</f>
        <v>29103.09</v>
      </c>
      <c r="H1137" s="74"/>
      <c r="I1137" s="77"/>
    </row>
    <row r="1138" customFormat="false" ht="6" hidden="false" customHeight="true" outlineLevel="0" collapsed="false"/>
    <row r="1139" customFormat="false" ht="13.5" hidden="false" customHeight="false" outlineLevel="0" collapsed="false">
      <c r="B1139" s="78" t="str">
        <f aca="false">IF(助手收入!$R$77&lt;&gt;"","会计主管：","")</f>
        <v>会计主管：</v>
      </c>
      <c r="D1139" s="78" t="str">
        <f aca="false">IF(助手收入!$R$77&lt;&gt;"","会计：","")</f>
        <v>会计：</v>
      </c>
      <c r="E1139" s="78" t="str">
        <f aca="false">IF(助手收入!$R$77&lt;&gt;"","出纳：","")</f>
        <v>出纳：</v>
      </c>
      <c r="F1139" s="78" t="str">
        <f aca="false">IF(助手收入!$R$77&lt;&gt;"","复核：","")</f>
        <v>复核：</v>
      </c>
      <c r="G1139" s="78" t="str">
        <f aca="false">IF(助手收入!$R$77&lt;&gt;"","制单：","")</f>
        <v>制单：</v>
      </c>
    </row>
    <row r="1140" customFormat="false" ht="3" hidden="false" customHeight="true" outlineLevel="0" collapsed="false"/>
    <row r="1141" customFormat="false" ht="19.5" hidden="false" customHeight="true" outlineLevel="0" collapsed="false">
      <c r="B1141" s="53" t="str">
        <f aca="false">IF(助手收入!$R$78&lt;&gt;"","记  账  凭  证","")</f>
        <v>记  账  凭  证</v>
      </c>
      <c r="C1141" s="53"/>
      <c r="D1141" s="53"/>
      <c r="E1141" s="53"/>
      <c r="F1141" s="53"/>
      <c r="G1141" s="53"/>
      <c r="H1141" s="53"/>
      <c r="I1141" s="53"/>
    </row>
    <row r="1142" customFormat="false" ht="3" hidden="false" customHeight="true" outlineLevel="0" collapsed="false"/>
    <row r="1143" customFormat="false" ht="15" hidden="false" customHeight="true" outlineLevel="0" collapsed="false">
      <c r="C1143" s="56" t="n">
        <f aca="false">IF(助手收入!$R$78&lt;&gt;"",INDEX(助手收入!$B$2:$B$66,助手收入!$R$78),"")</f>
        <v>2068</v>
      </c>
      <c r="D1143" s="57" t="n">
        <f aca="false">IF(助手收入!$R$78&lt;&gt;"",参数!$B$2,"")</f>
        <v>46234</v>
      </c>
      <c r="E1143" s="57"/>
      <c r="F1143" s="58" t="str">
        <f aca="false">IF(助手收入!$R$78&lt;&gt;"",INDEX(助手收入!$C$2:$C$66,助手收入!$R$78)&amp;"  字第 "&amp;IF(参数!$B$9="是",INDEX(助手收入!$P$2:$P$66,助手收入!$R$78),"　　　　")&amp;" 号"&amp;IF(INDEX(助手收入!$L$2:$L$66,助手收入!$R$78)&gt;1,"  (共"&amp;INDEX(助手收入!$L$2:$L$66,助手收入!$R$78)&amp;"页 第"&amp;助手收入!$S$78&amp;"页)",""),"")</f>
        <v>博山店  字第 　　　　 号  (共2页 第1页)</v>
      </c>
      <c r="G1143" s="58"/>
      <c r="H1143" s="58"/>
      <c r="I1143" s="58"/>
      <c r="M1143" s="59" t="n">
        <f aca="false">IF(助手收入!$R$78="","",助手收入!$Q$78)</f>
        <v>77</v>
      </c>
      <c r="N1143" s="60" t="n">
        <f aca="false">IF(助手收入!$R$78="","",INDEX(助手收入!$P$2:$P$66,助手收入!$R$78))</f>
        <v>43</v>
      </c>
      <c r="O1143" s="55" t="str">
        <f aca="false">IF(助手收入!$R$78="","",INDEX(助手收入!$C$2:$C$66,助手收入!$R$78)&amp;"  字第 "&amp;INDEX(助手收入!$P$2:$P$66,助手收入!$R$78)&amp;" 号"&amp;IF(INDEX(助手收入!$L$2:$L$66,助手收入!$R$78)&gt;1,"  (共"&amp;INDEX(助手收入!$L$2:$L$66,助手收入!$R$78)&amp;"页 第"&amp;助手收入!$S$78&amp;"页)",""))</f>
        <v>博山店  字第 43 号  (共2页 第1页)</v>
      </c>
    </row>
    <row r="1144" customFormat="false" ht="12.75" hidden="false" customHeight="true" outlineLevel="0" collapsed="false">
      <c r="B1144" s="61" t="str">
        <f aca="false">IF(助手收入!$R$78&lt;&gt;"","摘　　要","")</f>
        <v>摘　　要</v>
      </c>
      <c r="C1144" s="61"/>
      <c r="D1144" s="62" t="str">
        <f aca="false">IF(助手收入!$R$78&lt;&gt;"","科　　　　目","")</f>
        <v>科　　　　目</v>
      </c>
      <c r="E1144" s="62"/>
      <c r="F1144" s="61" t="str">
        <f aca="false">IF(助手收入!$R$78&lt;&gt;"","借 方 金 额","")</f>
        <v>借 方 金 额</v>
      </c>
      <c r="G1144" s="62" t="str">
        <f aca="false">IF(助手收入!$R$78&lt;&gt;"","贷 方 金 额","")</f>
        <v>贷 方 金 额</v>
      </c>
      <c r="H1144" s="63" t="str">
        <f aca="false">IF(助手收入!$R$78&lt;&gt;"","√","")</f>
        <v>√</v>
      </c>
      <c r="I1144" s="64" t="str">
        <f aca="false">IF(助手收入!$R$78&lt;&gt;"","附单据  张","")</f>
        <v>附单据  张</v>
      </c>
    </row>
    <row r="1145" customFormat="false" ht="12.75" hidden="false" customHeight="true" outlineLevel="0" collapsed="false">
      <c r="B1145" s="61"/>
      <c r="C1145" s="61"/>
      <c r="D1145" s="23" t="str">
        <f aca="false">IF(助手收入!$R$78&lt;&gt;"","总 账 科 目","")</f>
        <v>总 账 科 目</v>
      </c>
      <c r="E1145" s="23" t="str">
        <f aca="false">IF(助手收入!$R$78&lt;&gt;"","明 细 科 目","")</f>
        <v>明 细 科 目</v>
      </c>
      <c r="F1145" s="65"/>
      <c r="G1145" s="66"/>
      <c r="H1145" s="63"/>
      <c r="I1145" s="64"/>
    </row>
    <row r="1146" customFormat="false" ht="23.25" hidden="false" customHeight="true" outlineLevel="0" collapsed="false">
      <c r="B1146" s="67" t="str">
        <f aca="false">IFERROR(INDEX(分录收入!$M:$M,MATCH($L1146,分录收入!$L:$L,0)),"")</f>
        <v>7月收入</v>
      </c>
      <c r="C1146" s="67"/>
      <c r="D1146" s="23" t="str">
        <f aca="false">IFERROR(INDEX(分录收入!$E:$E,MATCH($L1146,分录收入!$L:$L,0)),"")</f>
        <v>库存现金</v>
      </c>
      <c r="E1146" s="23" t="str">
        <f aca="false">IFERROR(INDEX(分录收入!$F:$F,MATCH($L1146,分录收入!$L:$L,0)),"")</f>
        <v/>
      </c>
      <c r="F1146" s="68" t="n">
        <f aca="false">IFERROR(INDEX(分录收入!$H:$H,MATCH($L1146,分录收入!$L:$L,0)),"")</f>
        <v>9684.9</v>
      </c>
      <c r="G1146" s="69" t="str">
        <f aca="false">IFERROR(INDEX(分录收入!$I:$I,MATCH($L1146,分录收入!$L:$L,0)),"")</f>
        <v/>
      </c>
      <c r="H1146" s="23"/>
      <c r="I1146" s="70"/>
      <c r="L1146" s="71" t="n">
        <f aca="false">IF(助手收入!$R$78="",-1,助手收入!$R$78*100+(助手收入!$S$78-1)*6+1)</f>
        <v>4401</v>
      </c>
    </row>
    <row r="1147" customFormat="false" ht="23.25" hidden="false" customHeight="true" outlineLevel="0" collapsed="false">
      <c r="B1147" s="67" t="str">
        <f aca="false">""</f>
        <v/>
      </c>
      <c r="C1147" s="67"/>
      <c r="D1147" s="23" t="str">
        <f aca="false">IFERROR(INDEX(分录收入!$E:$E,MATCH($L1147,分录收入!$L:$L,0)),"")</f>
        <v>应收账款</v>
      </c>
      <c r="E1147" s="23" t="str">
        <f aca="false">IFERROR(INDEX(分录收入!$F:$F,MATCH($L1147,分录收入!$L:$L,0)),"")</f>
        <v>聚合支付</v>
      </c>
      <c r="F1147" s="68" t="n">
        <f aca="false">IFERROR(INDEX(分录收入!$H:$H,MATCH($L1147,分录收入!$L:$L,0)),"")</f>
        <v>39264.49</v>
      </c>
      <c r="G1147" s="69" t="str">
        <f aca="false">IFERROR(INDEX(分录收入!$I:$I,MATCH($L1147,分录收入!$L:$L,0)),"")</f>
        <v/>
      </c>
      <c r="H1147" s="23"/>
      <c r="I1147" s="70"/>
      <c r="L1147" s="71" t="n">
        <f aca="false">IF(助手收入!$R$78="",-1,助手收入!$R$78*100+(助手收入!$S$78-1)*6+2)</f>
        <v>4402</v>
      </c>
    </row>
    <row r="1148" customFormat="false" ht="23.25" hidden="false" customHeight="true" outlineLevel="0" collapsed="false">
      <c r="B1148" s="67" t="str">
        <f aca="false">""</f>
        <v/>
      </c>
      <c r="C1148" s="67"/>
      <c r="D1148" s="23" t="str">
        <f aca="false">IFERROR(INDEX(分录收入!$E:$E,MATCH($L1148,分录收入!$L:$L,0)),"")</f>
        <v>应收账款</v>
      </c>
      <c r="E1148" s="23" t="str">
        <f aca="false">IFERROR(INDEX(分录收入!$F:$F,MATCH($L1148,分录收入!$L:$L,0)),"")</f>
        <v>医保</v>
      </c>
      <c r="F1148" s="68" t="n">
        <f aca="false">IFERROR(INDEX(分录收入!$H:$H,MATCH($L1148,分录收入!$L:$L,0)),"")</f>
        <v>11959.95</v>
      </c>
      <c r="G1148" s="69" t="str">
        <f aca="false">IFERROR(INDEX(分录收入!$I:$I,MATCH($L1148,分录收入!$L:$L,0)),"")</f>
        <v/>
      </c>
      <c r="H1148" s="23"/>
      <c r="I1148" s="70"/>
      <c r="L1148" s="71" t="n">
        <f aca="false">IF(助手收入!$R$78="",-1,助手收入!$R$78*100+(助手收入!$S$78-1)*6+3)</f>
        <v>4403</v>
      </c>
    </row>
    <row r="1149" customFormat="false" ht="23.25" hidden="false" customHeight="true" outlineLevel="0" collapsed="false">
      <c r="B1149" s="67" t="str">
        <f aca="false">""</f>
        <v/>
      </c>
      <c r="C1149" s="67"/>
      <c r="D1149" s="23" t="str">
        <f aca="false">IFERROR(INDEX(分录收入!$E:$E,MATCH($L1149,分录收入!$L:$L,0)),"")</f>
        <v>其他应收款</v>
      </c>
      <c r="E1149" s="23" t="str">
        <f aca="false">IFERROR(INDEX(分录收入!$F:$F,MATCH($L1149,分录收入!$L:$L,0)),"")</f>
        <v>储值卡</v>
      </c>
      <c r="F1149" s="68" t="n">
        <f aca="false">IFERROR(INDEX(分录收入!$H:$H,MATCH($L1149,分录收入!$L:$L,0)),"")</f>
        <v>133.08</v>
      </c>
      <c r="G1149" s="69" t="str">
        <f aca="false">IFERROR(INDEX(分录收入!$I:$I,MATCH($L1149,分录收入!$L:$L,0)),"")</f>
        <v/>
      </c>
      <c r="H1149" s="23"/>
      <c r="I1149" s="70"/>
      <c r="L1149" s="71" t="n">
        <f aca="false">IF(助手收入!$R$78="",-1,助手收入!$R$78*100+(助手收入!$S$78-1)*6+4)</f>
        <v>4404</v>
      </c>
    </row>
    <row r="1150" customFormat="false" ht="23.25" hidden="false" customHeight="true" outlineLevel="0" collapsed="false">
      <c r="B1150" s="67" t="str">
        <f aca="false">""</f>
        <v/>
      </c>
      <c r="C1150" s="67"/>
      <c r="D1150" s="23" t="str">
        <f aca="false">IFERROR(INDEX(分录收入!$E:$E,MATCH($L1150,分录收入!$L:$L,0)),"")</f>
        <v>其他应付款</v>
      </c>
      <c r="E1150" s="23" t="str">
        <f aca="false">IFERROR(INDEX(分录收入!$F:$F,MATCH($L1150,分录收入!$L:$L,0)),"")</f>
        <v>会员零钱包</v>
      </c>
      <c r="F1150" s="68" t="str">
        <f aca="false">IFERROR(INDEX(分录收入!$H:$H,MATCH($L1150,分录收入!$L:$L,0)),"")</f>
        <v/>
      </c>
      <c r="G1150" s="69" t="n">
        <f aca="false">IFERROR(INDEX(分录收入!$I:$I,MATCH($L1150,分录收入!$L:$L,0)),"")</f>
        <v>0.1</v>
      </c>
      <c r="H1150" s="23"/>
      <c r="I1150" s="70"/>
      <c r="L1150" s="71" t="n">
        <f aca="false">IF(助手收入!$R$78="",-1,助手收入!$R$78*100+(助手收入!$S$78-1)*6+5)</f>
        <v>4405</v>
      </c>
    </row>
    <row r="1151" customFormat="false" ht="23.25" hidden="false" customHeight="true" outlineLevel="0" collapsed="false">
      <c r="B1151" s="67" t="str">
        <f aca="false">""</f>
        <v/>
      </c>
      <c r="C1151" s="67"/>
      <c r="D1151" s="23" t="str">
        <f aca="false">IFERROR(INDEX(分录收入!$E:$E,MATCH($L1151,分录收入!$L:$L,0)),"")</f>
        <v>销售费用</v>
      </c>
      <c r="E1151" s="23" t="str">
        <f aca="false">IFERROR(INDEX(分录收入!$F:$F,MATCH($L1151,分录收入!$L:$L,0)),"")</f>
        <v>促销费</v>
      </c>
      <c r="F1151" s="68" t="n">
        <f aca="false">IFERROR(INDEX(分录收入!$H:$H,MATCH($L1151,分录收入!$L:$L,0)),"")</f>
        <v>2009.74</v>
      </c>
      <c r="G1151" s="69" t="str">
        <f aca="false">IFERROR(INDEX(分录收入!$I:$I,MATCH($L1151,分录收入!$L:$L,0)),"")</f>
        <v/>
      </c>
      <c r="H1151" s="23"/>
      <c r="I1151" s="70"/>
      <c r="L1151" s="71" t="n">
        <f aca="false">IF(助手收入!$R$78="",-1,助手收入!$R$78*100+(助手收入!$S$78-1)*6+6)</f>
        <v>4406</v>
      </c>
    </row>
    <row r="1152" customFormat="false" ht="23.25" hidden="false" customHeight="true" outlineLevel="0" collapsed="false">
      <c r="B1152" s="72" t="str">
        <f aca="false">IF(助手收入!$T$78=1,"合计：","")</f>
        <v/>
      </c>
      <c r="C1152" s="73" t="str">
        <f aca="false">IF(助手收入!$T$78=1,$F1152,"")</f>
        <v/>
      </c>
      <c r="D1152" s="74"/>
      <c r="E1152" s="74"/>
      <c r="F1152" s="75" t="str">
        <f aca="false">IF(助手收入!$T$78=1,INDEX(助手收入!$N$2:$N$66,助手收入!$R$78),"")</f>
        <v/>
      </c>
      <c r="G1152" s="76" t="str">
        <f aca="false">IF(助手收入!$T$78=1,INDEX(助手收入!$O$2:$O$66,助手收入!$R$78),"")</f>
        <v/>
      </c>
      <c r="H1152" s="74"/>
      <c r="I1152" s="77"/>
    </row>
    <row r="1153" customFormat="false" ht="6" hidden="false" customHeight="true" outlineLevel="0" collapsed="false"/>
    <row r="1154" customFormat="false" ht="13.5" hidden="false" customHeight="false" outlineLevel="0" collapsed="false">
      <c r="B1154" s="78" t="str">
        <f aca="false">IF(助手收入!$R$78&lt;&gt;"","会计主管：","")</f>
        <v>会计主管：</v>
      </c>
      <c r="D1154" s="78" t="str">
        <f aca="false">IF(助手收入!$R$78&lt;&gt;"","会计：","")</f>
        <v>会计：</v>
      </c>
      <c r="E1154" s="78" t="str">
        <f aca="false">IF(助手收入!$R$78&lt;&gt;"","出纳：","")</f>
        <v>出纳：</v>
      </c>
      <c r="F1154" s="78" t="str">
        <f aca="false">IF(助手收入!$R$78&lt;&gt;"","复核：","")</f>
        <v>复核：</v>
      </c>
      <c r="G1154" s="78" t="str">
        <f aca="false">IF(助手收入!$R$78&lt;&gt;"","制单：","")</f>
        <v>制单：</v>
      </c>
    </row>
    <row r="1155" customFormat="false" ht="3" hidden="false" customHeight="true" outlineLevel="0" collapsed="false"/>
    <row r="1156" customFormat="false" ht="19.5" hidden="false" customHeight="true" outlineLevel="0" collapsed="false">
      <c r="B1156" s="53" t="str">
        <f aca="false">IF(助手收入!$R$79&lt;&gt;"","记  账  凭  证","")</f>
        <v>记  账  凭  证</v>
      </c>
      <c r="C1156" s="53"/>
      <c r="D1156" s="53"/>
      <c r="E1156" s="53"/>
      <c r="F1156" s="53"/>
      <c r="G1156" s="53"/>
      <c r="H1156" s="53"/>
      <c r="I1156" s="53"/>
    </row>
    <row r="1157" customFormat="false" ht="3" hidden="false" customHeight="true" outlineLevel="0" collapsed="false"/>
    <row r="1158" customFormat="false" ht="15" hidden="false" customHeight="true" outlineLevel="0" collapsed="false">
      <c r="C1158" s="56" t="n">
        <f aca="false">IF(助手收入!$R$79&lt;&gt;"",INDEX(助手收入!$B$2:$B$66,助手收入!$R$79),"")</f>
        <v>2068</v>
      </c>
      <c r="D1158" s="57" t="n">
        <f aca="false">IF(助手收入!$R$79&lt;&gt;"",参数!$B$2,"")</f>
        <v>46234</v>
      </c>
      <c r="E1158" s="57"/>
      <c r="F1158" s="58" t="str">
        <f aca="false">IF(助手收入!$R$79&lt;&gt;"",INDEX(助手收入!$C$2:$C$66,助手收入!$R$79)&amp;"  字第 "&amp;IF(参数!$B$9="是",INDEX(助手收入!$P$2:$P$66,助手收入!$R$79),"　　　　")&amp;" 号"&amp;IF(INDEX(助手收入!$L$2:$L$66,助手收入!$R$79)&gt;1,"  (共"&amp;INDEX(助手收入!$L$2:$L$66,助手收入!$R$79)&amp;"页 第"&amp;助手收入!$S$79&amp;"页)",""),"")</f>
        <v>博山店  字第 　　　　 号  (共2页 第2页)</v>
      </c>
      <c r="G1158" s="58"/>
      <c r="H1158" s="58"/>
      <c r="I1158" s="58"/>
      <c r="M1158" s="59" t="n">
        <f aca="false">IF(助手收入!$R$79="","",助手收入!$Q$79)</f>
        <v>78</v>
      </c>
      <c r="N1158" s="60" t="n">
        <f aca="false">IF(助手收入!$R$79="","",INDEX(助手收入!$P$2:$P$66,助手收入!$R$79))</f>
        <v>43</v>
      </c>
      <c r="O1158" s="55" t="str">
        <f aca="false">IF(助手收入!$R$79="","",INDEX(助手收入!$C$2:$C$66,助手收入!$R$79)&amp;"  字第 "&amp;INDEX(助手收入!$P$2:$P$66,助手收入!$R$79)&amp;" 号"&amp;IF(INDEX(助手收入!$L$2:$L$66,助手收入!$R$79)&gt;1,"  (共"&amp;INDEX(助手收入!$L$2:$L$66,助手收入!$R$79)&amp;"页 第"&amp;助手收入!$S$79&amp;"页)",""))</f>
        <v>博山店  字第 43 号  (共2页 第2页)</v>
      </c>
    </row>
    <row r="1159" customFormat="false" ht="12.75" hidden="false" customHeight="true" outlineLevel="0" collapsed="false">
      <c r="B1159" s="61" t="str">
        <f aca="false">IF(助手收入!$R$79&lt;&gt;"","摘　　要","")</f>
        <v>摘　　要</v>
      </c>
      <c r="C1159" s="61"/>
      <c r="D1159" s="62" t="str">
        <f aca="false">IF(助手收入!$R$79&lt;&gt;"","科　　　　目","")</f>
        <v>科　　　　目</v>
      </c>
      <c r="E1159" s="62"/>
      <c r="F1159" s="61" t="str">
        <f aca="false">IF(助手收入!$R$79&lt;&gt;"","借 方 金 额","")</f>
        <v>借 方 金 额</v>
      </c>
      <c r="G1159" s="62" t="str">
        <f aca="false">IF(助手收入!$R$79&lt;&gt;"","贷 方 金 额","")</f>
        <v>贷 方 金 额</v>
      </c>
      <c r="H1159" s="63" t="str">
        <f aca="false">IF(助手收入!$R$79&lt;&gt;"","√","")</f>
        <v>√</v>
      </c>
      <c r="I1159" s="64" t="str">
        <f aca="false">IF(助手收入!$R$79&lt;&gt;"","附单据  张","")</f>
        <v>附单据  张</v>
      </c>
    </row>
    <row r="1160" customFormat="false" ht="12.75" hidden="false" customHeight="true" outlineLevel="0" collapsed="false">
      <c r="B1160" s="61"/>
      <c r="C1160" s="61"/>
      <c r="D1160" s="23" t="str">
        <f aca="false">IF(助手收入!$R$79&lt;&gt;"","总 账 科 目","")</f>
        <v>总 账 科 目</v>
      </c>
      <c r="E1160" s="23" t="str">
        <f aca="false">IF(助手收入!$R$79&lt;&gt;"","明 细 科 目","")</f>
        <v>明 细 科 目</v>
      </c>
      <c r="F1160" s="65"/>
      <c r="G1160" s="66"/>
      <c r="H1160" s="63"/>
      <c r="I1160" s="64"/>
    </row>
    <row r="1161" customFormat="false" ht="23.25" hidden="false" customHeight="true" outlineLevel="0" collapsed="false">
      <c r="B1161" s="67" t="str">
        <f aca="false">IFERROR(INDEX(分录收入!$M:$M,MATCH($L1161,分录收入!$L:$L,0)),"")</f>
        <v>7月收入</v>
      </c>
      <c r="C1161" s="67"/>
      <c r="D1161" s="23" t="str">
        <f aca="false">IFERROR(INDEX(分录收入!$E:$E,MATCH($L1161,分录收入!$L:$L,0)),"")</f>
        <v>财务费用</v>
      </c>
      <c r="E1161" s="23" t="str">
        <f aca="false">IFERROR(INDEX(分录收入!$F:$F,MATCH($L1161,分录收入!$L:$L,0)),"")</f>
        <v>手续费</v>
      </c>
      <c r="F1161" s="68" t="n">
        <f aca="false">IFERROR(INDEX(分录收入!$H:$H,MATCH($L1161,分录收入!$L:$L,0)),"")</f>
        <v>106.3</v>
      </c>
      <c r="G1161" s="69" t="str">
        <f aca="false">IFERROR(INDEX(分录收入!$I:$I,MATCH($L1161,分录收入!$L:$L,0)),"")</f>
        <v/>
      </c>
      <c r="H1161" s="23"/>
      <c r="I1161" s="70"/>
      <c r="L1161" s="71" t="n">
        <f aca="false">IF(助手收入!$R$79="",-1,助手收入!$R$79*100+(助手收入!$S$79-1)*6+1)</f>
        <v>4407</v>
      </c>
    </row>
    <row r="1162" customFormat="false" ht="23.25" hidden="false" customHeight="true" outlineLevel="0" collapsed="false">
      <c r="B1162" s="67" t="str">
        <f aca="false">""</f>
        <v/>
      </c>
      <c r="C1162" s="67"/>
      <c r="D1162" s="23" t="str">
        <f aca="false">IFERROR(INDEX(分录收入!$E:$E,MATCH($L1162,分录收入!$L:$L,0)),"")</f>
        <v>主营业务收入</v>
      </c>
      <c r="E1162" s="23" t="str">
        <f aca="false">IFERROR(INDEX(分录收入!$F:$F,MATCH($L1162,分录收入!$L:$L,0)),"")</f>
        <v/>
      </c>
      <c r="F1162" s="68" t="str">
        <f aca="false">IFERROR(INDEX(分录收入!$H:$H,MATCH($L1162,分录收入!$L:$L,0)),"")</f>
        <v/>
      </c>
      <c r="G1162" s="69" t="n">
        <f aca="false">IFERROR(INDEX(分录收入!$I:$I,MATCH($L1162,分录收入!$L:$L,0)),"")</f>
        <v>63158.36</v>
      </c>
      <c r="H1162" s="23"/>
      <c r="I1162" s="70"/>
      <c r="L1162" s="71" t="n">
        <f aca="false">IF(助手收入!$R$79="",-1,助手收入!$R$79*100+(助手收入!$S$79-1)*6+2)</f>
        <v>4408</v>
      </c>
    </row>
    <row r="1163" customFormat="false" ht="23.25" hidden="false" customHeight="true" outlineLevel="0" collapsed="false">
      <c r="B1163" s="67" t="str">
        <f aca="false">""</f>
        <v/>
      </c>
      <c r="C1163" s="67"/>
      <c r="D1163" s="23" t="str">
        <f aca="false">IFERROR(INDEX(分录收入!$E:$E,MATCH($L1163,分录收入!$L:$L,0)),"")</f>
        <v/>
      </c>
      <c r="E1163" s="23" t="str">
        <f aca="false">IFERROR(INDEX(分录收入!$F:$F,MATCH($L1163,分录收入!$L:$L,0)),"")</f>
        <v/>
      </c>
      <c r="F1163" s="68" t="str">
        <f aca="false">IFERROR(INDEX(分录收入!$H:$H,MATCH($L1163,分录收入!$L:$L,0)),"")</f>
        <v/>
      </c>
      <c r="G1163" s="69" t="str">
        <f aca="false">IFERROR(INDEX(分录收入!$I:$I,MATCH($L1163,分录收入!$L:$L,0)),"")</f>
        <v/>
      </c>
      <c r="H1163" s="23"/>
      <c r="I1163" s="70"/>
      <c r="L1163" s="71" t="n">
        <f aca="false">IF(助手收入!$R$79="",-1,助手收入!$R$79*100+(助手收入!$S$79-1)*6+3)</f>
        <v>4409</v>
      </c>
    </row>
    <row r="1164" customFormat="false" ht="23.25" hidden="false" customHeight="true" outlineLevel="0" collapsed="false">
      <c r="B1164" s="67" t="str">
        <f aca="false">""</f>
        <v/>
      </c>
      <c r="C1164" s="67"/>
      <c r="D1164" s="23" t="str">
        <f aca="false">IFERROR(INDEX(分录收入!$E:$E,MATCH($L1164,分录收入!$L:$L,0)),"")</f>
        <v/>
      </c>
      <c r="E1164" s="23" t="str">
        <f aca="false">IFERROR(INDEX(分录收入!$F:$F,MATCH($L1164,分录收入!$L:$L,0)),"")</f>
        <v/>
      </c>
      <c r="F1164" s="68" t="str">
        <f aca="false">IFERROR(INDEX(分录收入!$H:$H,MATCH($L1164,分录收入!$L:$L,0)),"")</f>
        <v/>
      </c>
      <c r="G1164" s="69" t="str">
        <f aca="false">IFERROR(INDEX(分录收入!$I:$I,MATCH($L1164,分录收入!$L:$L,0)),"")</f>
        <v/>
      </c>
      <c r="H1164" s="23"/>
      <c r="I1164" s="70"/>
      <c r="L1164" s="71" t="n">
        <f aca="false">IF(助手收入!$R$79="",-1,助手收入!$R$79*100+(助手收入!$S$79-1)*6+4)</f>
        <v>4410</v>
      </c>
    </row>
    <row r="1165" customFormat="false" ht="23.25" hidden="false" customHeight="true" outlineLevel="0" collapsed="false">
      <c r="B1165" s="67" t="str">
        <f aca="false">""</f>
        <v/>
      </c>
      <c r="C1165" s="67"/>
      <c r="D1165" s="23" t="str">
        <f aca="false">IFERROR(INDEX(分录收入!$E:$E,MATCH($L1165,分录收入!$L:$L,0)),"")</f>
        <v/>
      </c>
      <c r="E1165" s="23" t="str">
        <f aca="false">IFERROR(INDEX(分录收入!$F:$F,MATCH($L1165,分录收入!$L:$L,0)),"")</f>
        <v/>
      </c>
      <c r="F1165" s="68" t="str">
        <f aca="false">IFERROR(INDEX(分录收入!$H:$H,MATCH($L1165,分录收入!$L:$L,0)),"")</f>
        <v/>
      </c>
      <c r="G1165" s="69" t="str">
        <f aca="false">IFERROR(INDEX(分录收入!$I:$I,MATCH($L1165,分录收入!$L:$L,0)),"")</f>
        <v/>
      </c>
      <c r="H1165" s="23"/>
      <c r="I1165" s="70"/>
      <c r="L1165" s="71" t="n">
        <f aca="false">IF(助手收入!$R$79="",-1,助手收入!$R$79*100+(助手收入!$S$79-1)*6+5)</f>
        <v>4411</v>
      </c>
    </row>
    <row r="1166" customFormat="false" ht="23.25" hidden="false" customHeight="true" outlineLevel="0" collapsed="false">
      <c r="B1166" s="67" t="str">
        <f aca="false">""</f>
        <v/>
      </c>
      <c r="C1166" s="67"/>
      <c r="D1166" s="23" t="str">
        <f aca="false">IFERROR(INDEX(分录收入!$E:$E,MATCH($L1166,分录收入!$L:$L,0)),"")</f>
        <v/>
      </c>
      <c r="E1166" s="23" t="str">
        <f aca="false">IFERROR(INDEX(分录收入!$F:$F,MATCH($L1166,分录收入!$L:$L,0)),"")</f>
        <v/>
      </c>
      <c r="F1166" s="68" t="str">
        <f aca="false">IFERROR(INDEX(分录收入!$H:$H,MATCH($L1166,分录收入!$L:$L,0)),"")</f>
        <v/>
      </c>
      <c r="G1166" s="69" t="str">
        <f aca="false">IFERROR(INDEX(分录收入!$I:$I,MATCH($L1166,分录收入!$L:$L,0)),"")</f>
        <v/>
      </c>
      <c r="H1166" s="23"/>
      <c r="I1166" s="70"/>
      <c r="L1166" s="71" t="n">
        <f aca="false">IF(助手收入!$R$79="",-1,助手收入!$R$79*100+(助手收入!$S$79-1)*6+6)</f>
        <v>4412</v>
      </c>
    </row>
    <row r="1167" customFormat="false" ht="23.25" hidden="false" customHeight="true" outlineLevel="0" collapsed="false">
      <c r="B1167" s="72" t="str">
        <f aca="false">IF(助手收入!$T$79=1,"合计：","")</f>
        <v>合计：</v>
      </c>
      <c r="C1167" s="73" t="n">
        <f aca="false">IF(助手收入!$T$79=1,$F1167,"")</f>
        <v>63158.46</v>
      </c>
      <c r="D1167" s="74"/>
      <c r="E1167" s="74"/>
      <c r="F1167" s="75" t="n">
        <f aca="false">IF(助手收入!$T$79=1,INDEX(助手收入!$N$2:$N$66,助手收入!$R$79),"")</f>
        <v>63158.46</v>
      </c>
      <c r="G1167" s="76" t="n">
        <f aca="false">IF(助手收入!$T$79=1,INDEX(助手收入!$O$2:$O$66,助手收入!$R$79),"")</f>
        <v>63158.46</v>
      </c>
      <c r="H1167" s="74"/>
      <c r="I1167" s="77"/>
    </row>
    <row r="1168" customFormat="false" ht="6" hidden="false" customHeight="true" outlineLevel="0" collapsed="false"/>
    <row r="1169" customFormat="false" ht="13.5" hidden="false" customHeight="false" outlineLevel="0" collapsed="false">
      <c r="B1169" s="78" t="str">
        <f aca="false">IF(助手收入!$R$79&lt;&gt;"","会计主管：","")</f>
        <v>会计主管：</v>
      </c>
      <c r="D1169" s="78" t="str">
        <f aca="false">IF(助手收入!$R$79&lt;&gt;"","会计：","")</f>
        <v>会计：</v>
      </c>
      <c r="E1169" s="78" t="str">
        <f aca="false">IF(助手收入!$R$79&lt;&gt;"","出纳：","")</f>
        <v>出纳：</v>
      </c>
      <c r="F1169" s="78" t="str">
        <f aca="false">IF(助手收入!$R$79&lt;&gt;"","复核：","")</f>
        <v>复核：</v>
      </c>
      <c r="G1169" s="78" t="str">
        <f aca="false">IF(助手收入!$R$79&lt;&gt;"","制单：","")</f>
        <v>制单：</v>
      </c>
    </row>
    <row r="1170" customFormat="false" ht="3" hidden="false" customHeight="true" outlineLevel="0" collapsed="false"/>
    <row r="1171" customFormat="false" ht="19.5" hidden="false" customHeight="true" outlineLevel="0" collapsed="false">
      <c r="B1171" s="53" t="str">
        <f aca="false">IF(助手收入!$R$80&lt;&gt;"","记  账  凭  证","")</f>
        <v/>
      </c>
      <c r="C1171" s="53"/>
      <c r="D1171" s="53"/>
      <c r="E1171" s="53"/>
      <c r="F1171" s="53"/>
      <c r="G1171" s="53"/>
      <c r="H1171" s="53"/>
      <c r="I1171" s="53"/>
    </row>
    <row r="1172" customFormat="false" ht="3" hidden="false" customHeight="true" outlineLevel="0" collapsed="false"/>
    <row r="1173" customFormat="false" ht="15" hidden="false" customHeight="true" outlineLevel="0" collapsed="false">
      <c r="C1173" s="56" t="str">
        <f aca="false">IF(助手收入!$R$80&lt;&gt;"",INDEX(助手收入!$B$2:$B$66,助手收入!$R$80),"")</f>
        <v/>
      </c>
      <c r="D1173" s="57" t="str">
        <f aca="false">IF(助手收入!$R$80&lt;&gt;"",参数!$B$2,"")</f>
        <v/>
      </c>
      <c r="E1173" s="57"/>
      <c r="F1173" s="58" t="str">
        <f aca="false">IF(助手收入!$R$80&lt;&gt;"",INDEX(助手收入!$C$2:$C$66,助手收入!$R$80)&amp;"  字第 "&amp;IF(参数!$B$9="是",INDEX(助手收入!$P$2:$P$66,助手收入!$R$80),"　　　　")&amp;" 号"&amp;IF(INDEX(助手收入!$L$2:$L$66,助手收入!$R$80)&gt;1,"  (共"&amp;INDEX(助手收入!$L$2:$L$66,助手收入!$R$80)&amp;"页 第"&amp;助手收入!$S$80&amp;"页)",""),"")</f>
        <v/>
      </c>
      <c r="G1173" s="58"/>
      <c r="H1173" s="58"/>
      <c r="I1173" s="58"/>
      <c r="M1173" s="79" t="str">
        <f aca="false">IF(助手收入!$R$80="","",助手收入!$Q$80)</f>
        <v/>
      </c>
      <c r="N1173" s="80" t="str">
        <f aca="false">IF(助手收入!$R$80="","",INDEX(助手收入!$P$2:$P$66,助手收入!$R$80))</f>
        <v/>
      </c>
      <c r="O1173" s="55" t="str">
        <f aca="false">IF(助手收入!$R$80="","",INDEX(助手收入!$C$2:$C$66,助手收入!$R$80)&amp;"  字第 "&amp;INDEX(助手收入!$P$2:$P$66,助手收入!$R$80)&amp;" 号"&amp;IF(INDEX(助手收入!$L$2:$L$66,助手收入!$R$80)&gt;1,"  (共"&amp;INDEX(助手收入!$L$2:$L$66,助手收入!$R$80)&amp;"页 第"&amp;助手收入!$S$80&amp;"页)",""))</f>
        <v/>
      </c>
    </row>
    <row r="1174" customFormat="false" ht="12.75" hidden="false" customHeight="true" outlineLevel="0" collapsed="false">
      <c r="B1174" s="61" t="str">
        <f aca="false">IF(助手收入!$R$80&lt;&gt;"","摘　　要","")</f>
        <v/>
      </c>
      <c r="C1174" s="61"/>
      <c r="D1174" s="62" t="str">
        <f aca="false">IF(助手收入!$R$80&lt;&gt;"","科　　　　目","")</f>
        <v/>
      </c>
      <c r="E1174" s="62"/>
      <c r="F1174" s="61" t="str">
        <f aca="false">IF(助手收入!$R$80&lt;&gt;"","借 方 金 额","")</f>
        <v/>
      </c>
      <c r="G1174" s="62" t="str">
        <f aca="false">IF(助手收入!$R$80&lt;&gt;"","贷 方 金 额","")</f>
        <v/>
      </c>
      <c r="H1174" s="63" t="str">
        <f aca="false">IF(助手收入!$R$80&lt;&gt;"","√","")</f>
        <v/>
      </c>
      <c r="I1174" s="64" t="str">
        <f aca="false">IF(助手收入!$R$80&lt;&gt;"","附单据  张","")</f>
        <v/>
      </c>
    </row>
    <row r="1175" customFormat="false" ht="12.75" hidden="false" customHeight="true" outlineLevel="0" collapsed="false">
      <c r="B1175" s="61"/>
      <c r="C1175" s="61"/>
      <c r="D1175" s="23" t="str">
        <f aca="false">IF(助手收入!$R$80&lt;&gt;"","总 账 科 目","")</f>
        <v/>
      </c>
      <c r="E1175" s="23" t="str">
        <f aca="false">IF(助手收入!$R$80&lt;&gt;"","明 细 科 目","")</f>
        <v/>
      </c>
      <c r="F1175" s="65"/>
      <c r="G1175" s="66"/>
      <c r="H1175" s="63"/>
      <c r="I1175" s="64"/>
    </row>
    <row r="1176" customFormat="false" ht="23.25" hidden="false" customHeight="true" outlineLevel="0" collapsed="false">
      <c r="B1176" s="67" t="str">
        <f aca="false">IFERROR(INDEX(分录收入!$M:$M,MATCH($L1176,分录收入!$L:$L,0)),"")</f>
        <v/>
      </c>
      <c r="C1176" s="67"/>
      <c r="D1176" s="23" t="str">
        <f aca="false">IFERROR(INDEX(分录收入!$E:$E,MATCH($L1176,分录收入!$L:$L,0)),"")</f>
        <v/>
      </c>
      <c r="E1176" s="23" t="str">
        <f aca="false">IFERROR(INDEX(分录收入!$F:$F,MATCH($L1176,分录收入!$L:$L,0)),"")</f>
        <v/>
      </c>
      <c r="F1176" s="68" t="str">
        <f aca="false">IFERROR(INDEX(分录收入!$H:$H,MATCH($L1176,分录收入!$L:$L,0)),"")</f>
        <v/>
      </c>
      <c r="G1176" s="69" t="str">
        <f aca="false">IFERROR(INDEX(分录收入!$I:$I,MATCH($L1176,分录收入!$L:$L,0)),"")</f>
        <v/>
      </c>
      <c r="H1176" s="23"/>
      <c r="I1176" s="70"/>
      <c r="L1176" s="71" t="n">
        <f aca="false">IF(助手收入!$R$80="",-1,助手收入!$R$80*100+(助手收入!$S$80-1)*6+1)</f>
        <v>-1</v>
      </c>
    </row>
    <row r="1177" customFormat="false" ht="23.25" hidden="false" customHeight="true" outlineLevel="0" collapsed="false">
      <c r="B1177" s="67" t="str">
        <f aca="false">""</f>
        <v/>
      </c>
      <c r="C1177" s="67"/>
      <c r="D1177" s="23" t="str">
        <f aca="false">IFERROR(INDEX(分录收入!$E:$E,MATCH($L1177,分录收入!$L:$L,0)),"")</f>
        <v/>
      </c>
      <c r="E1177" s="23" t="str">
        <f aca="false">IFERROR(INDEX(分录收入!$F:$F,MATCH($L1177,分录收入!$L:$L,0)),"")</f>
        <v/>
      </c>
      <c r="F1177" s="68" t="str">
        <f aca="false">IFERROR(INDEX(分录收入!$H:$H,MATCH($L1177,分录收入!$L:$L,0)),"")</f>
        <v/>
      </c>
      <c r="G1177" s="69" t="str">
        <f aca="false">IFERROR(INDEX(分录收入!$I:$I,MATCH($L1177,分录收入!$L:$L,0)),"")</f>
        <v/>
      </c>
      <c r="H1177" s="23"/>
      <c r="I1177" s="70"/>
      <c r="L1177" s="71" t="n">
        <f aca="false">IF(助手收入!$R$80="",-1,助手收入!$R$80*100+(助手收入!$S$80-1)*6+2)</f>
        <v>-1</v>
      </c>
    </row>
    <row r="1178" customFormat="false" ht="23.25" hidden="false" customHeight="true" outlineLevel="0" collapsed="false">
      <c r="B1178" s="67" t="str">
        <f aca="false">""</f>
        <v/>
      </c>
      <c r="C1178" s="67"/>
      <c r="D1178" s="23" t="str">
        <f aca="false">IFERROR(INDEX(分录收入!$E:$E,MATCH($L1178,分录收入!$L:$L,0)),"")</f>
        <v/>
      </c>
      <c r="E1178" s="23" t="str">
        <f aca="false">IFERROR(INDEX(分录收入!$F:$F,MATCH($L1178,分录收入!$L:$L,0)),"")</f>
        <v/>
      </c>
      <c r="F1178" s="68" t="str">
        <f aca="false">IFERROR(INDEX(分录收入!$H:$H,MATCH($L1178,分录收入!$L:$L,0)),"")</f>
        <v/>
      </c>
      <c r="G1178" s="69" t="str">
        <f aca="false">IFERROR(INDEX(分录收入!$I:$I,MATCH($L1178,分录收入!$L:$L,0)),"")</f>
        <v/>
      </c>
      <c r="H1178" s="23"/>
      <c r="I1178" s="70"/>
      <c r="L1178" s="71" t="n">
        <f aca="false">IF(助手收入!$R$80="",-1,助手收入!$R$80*100+(助手收入!$S$80-1)*6+3)</f>
        <v>-1</v>
      </c>
    </row>
    <row r="1179" customFormat="false" ht="23.25" hidden="false" customHeight="true" outlineLevel="0" collapsed="false">
      <c r="B1179" s="67" t="str">
        <f aca="false">""</f>
        <v/>
      </c>
      <c r="C1179" s="67"/>
      <c r="D1179" s="23" t="str">
        <f aca="false">IFERROR(INDEX(分录收入!$E:$E,MATCH($L1179,分录收入!$L:$L,0)),"")</f>
        <v/>
      </c>
      <c r="E1179" s="23" t="str">
        <f aca="false">IFERROR(INDEX(分录收入!$F:$F,MATCH($L1179,分录收入!$L:$L,0)),"")</f>
        <v/>
      </c>
      <c r="F1179" s="68" t="str">
        <f aca="false">IFERROR(INDEX(分录收入!$H:$H,MATCH($L1179,分录收入!$L:$L,0)),"")</f>
        <v/>
      </c>
      <c r="G1179" s="69" t="str">
        <f aca="false">IFERROR(INDEX(分录收入!$I:$I,MATCH($L1179,分录收入!$L:$L,0)),"")</f>
        <v/>
      </c>
      <c r="H1179" s="23"/>
      <c r="I1179" s="70"/>
      <c r="L1179" s="71" t="n">
        <f aca="false">IF(助手收入!$R$80="",-1,助手收入!$R$80*100+(助手收入!$S$80-1)*6+4)</f>
        <v>-1</v>
      </c>
    </row>
    <row r="1180" customFormat="false" ht="23.25" hidden="false" customHeight="true" outlineLevel="0" collapsed="false">
      <c r="B1180" s="67" t="str">
        <f aca="false">""</f>
        <v/>
      </c>
      <c r="C1180" s="67"/>
      <c r="D1180" s="23" t="str">
        <f aca="false">IFERROR(INDEX(分录收入!$E:$E,MATCH($L1180,分录收入!$L:$L,0)),"")</f>
        <v/>
      </c>
      <c r="E1180" s="23" t="str">
        <f aca="false">IFERROR(INDEX(分录收入!$F:$F,MATCH($L1180,分录收入!$L:$L,0)),"")</f>
        <v/>
      </c>
      <c r="F1180" s="68" t="str">
        <f aca="false">IFERROR(INDEX(分录收入!$H:$H,MATCH($L1180,分录收入!$L:$L,0)),"")</f>
        <v/>
      </c>
      <c r="G1180" s="69" t="str">
        <f aca="false">IFERROR(INDEX(分录收入!$I:$I,MATCH($L1180,分录收入!$L:$L,0)),"")</f>
        <v/>
      </c>
      <c r="H1180" s="23"/>
      <c r="I1180" s="70"/>
      <c r="L1180" s="71" t="n">
        <f aca="false">IF(助手收入!$R$80="",-1,助手收入!$R$80*100+(助手收入!$S$80-1)*6+5)</f>
        <v>-1</v>
      </c>
    </row>
    <row r="1181" customFormat="false" ht="23.25" hidden="false" customHeight="true" outlineLevel="0" collapsed="false">
      <c r="B1181" s="67" t="str">
        <f aca="false">""</f>
        <v/>
      </c>
      <c r="C1181" s="67"/>
      <c r="D1181" s="23" t="str">
        <f aca="false">IFERROR(INDEX(分录收入!$E:$E,MATCH($L1181,分录收入!$L:$L,0)),"")</f>
        <v/>
      </c>
      <c r="E1181" s="23" t="str">
        <f aca="false">IFERROR(INDEX(分录收入!$F:$F,MATCH($L1181,分录收入!$L:$L,0)),"")</f>
        <v/>
      </c>
      <c r="F1181" s="68" t="str">
        <f aca="false">IFERROR(INDEX(分录收入!$H:$H,MATCH($L1181,分录收入!$L:$L,0)),"")</f>
        <v/>
      </c>
      <c r="G1181" s="69" t="str">
        <f aca="false">IFERROR(INDEX(分录收入!$I:$I,MATCH($L1181,分录收入!$L:$L,0)),"")</f>
        <v/>
      </c>
      <c r="H1181" s="23"/>
      <c r="I1181" s="70"/>
      <c r="L1181" s="71" t="n">
        <f aca="false">IF(助手收入!$R$80="",-1,助手收入!$R$80*100+(助手收入!$S$80-1)*6+6)</f>
        <v>-1</v>
      </c>
    </row>
    <row r="1182" customFormat="false" ht="23.25" hidden="false" customHeight="true" outlineLevel="0" collapsed="false">
      <c r="B1182" s="72" t="str">
        <f aca="false">IF(助手收入!$T$80=1,"合计：","")</f>
        <v/>
      </c>
      <c r="C1182" s="73" t="str">
        <f aca="false">IF(助手收入!$T$80=1,$F1182,"")</f>
        <v/>
      </c>
      <c r="D1182" s="74"/>
      <c r="E1182" s="74"/>
      <c r="F1182" s="75" t="str">
        <f aca="false">IF(助手收入!$T$80=1,INDEX(助手收入!$N$2:$N$66,助手收入!$R$80),"")</f>
        <v/>
      </c>
      <c r="G1182" s="76" t="str">
        <f aca="false">IF(助手收入!$T$80=1,INDEX(助手收入!$O$2:$O$66,助手收入!$R$80),"")</f>
        <v/>
      </c>
      <c r="H1182" s="74"/>
      <c r="I1182" s="77"/>
    </row>
    <row r="1183" customFormat="false" ht="6" hidden="false" customHeight="true" outlineLevel="0" collapsed="false"/>
    <row r="1184" customFormat="false" ht="13.5" hidden="false" customHeight="false" outlineLevel="0" collapsed="false">
      <c r="B1184" s="78" t="str">
        <f aca="false">IF(助手收入!$R$80&lt;&gt;"","会计主管：","")</f>
        <v/>
      </c>
      <c r="D1184" s="78" t="str">
        <f aca="false">IF(助手收入!$R$80&lt;&gt;"","会计：","")</f>
        <v/>
      </c>
      <c r="E1184" s="78" t="str">
        <f aca="false">IF(助手收入!$R$80&lt;&gt;"","出纳：","")</f>
        <v/>
      </c>
      <c r="F1184" s="78" t="str">
        <f aca="false">IF(助手收入!$R$80&lt;&gt;"","复核：","")</f>
        <v/>
      </c>
      <c r="G1184" s="78" t="str">
        <f aca="false">IF(助手收入!$R$80&lt;&gt;"","制单：","")</f>
        <v/>
      </c>
    </row>
    <row r="1185" customFormat="false" ht="3" hidden="false" customHeight="true" outlineLevel="0" collapsed="false"/>
    <row r="1186" customFormat="false" ht="19.5" hidden="false" customHeight="true" outlineLevel="0" collapsed="false">
      <c r="B1186" s="53" t="str">
        <f aca="false">IF(助手收入!$R$81&lt;&gt;"","记  账  凭  证","")</f>
        <v/>
      </c>
      <c r="C1186" s="53"/>
      <c r="D1186" s="53"/>
      <c r="E1186" s="53"/>
      <c r="F1186" s="53"/>
      <c r="G1186" s="53"/>
      <c r="H1186" s="53"/>
      <c r="I1186" s="53"/>
    </row>
    <row r="1187" customFormat="false" ht="3" hidden="false" customHeight="true" outlineLevel="0" collapsed="false"/>
    <row r="1188" customFormat="false" ht="15" hidden="false" customHeight="true" outlineLevel="0" collapsed="false">
      <c r="C1188" s="56" t="str">
        <f aca="false">IF(助手收入!$R$81&lt;&gt;"",INDEX(助手收入!$B$2:$B$66,助手收入!$R$81),"")</f>
        <v/>
      </c>
      <c r="D1188" s="57" t="str">
        <f aca="false">IF(助手收入!$R$81&lt;&gt;"",参数!$B$2,"")</f>
        <v/>
      </c>
      <c r="E1188" s="57"/>
      <c r="F1188" s="58" t="str">
        <f aca="false">IF(助手收入!$R$81&lt;&gt;"",INDEX(助手收入!$C$2:$C$66,助手收入!$R$81)&amp;"  字第 "&amp;IF(参数!$B$9="是",INDEX(助手收入!$P$2:$P$66,助手收入!$R$81),"　　　　")&amp;" 号"&amp;IF(INDEX(助手收入!$L$2:$L$66,助手收入!$R$81)&gt;1,"  (共"&amp;INDEX(助手收入!$L$2:$L$66,助手收入!$R$81)&amp;"页 第"&amp;助手收入!$S$81&amp;"页)",""),"")</f>
        <v/>
      </c>
      <c r="G1188" s="58"/>
      <c r="H1188" s="58"/>
      <c r="I1188" s="58"/>
      <c r="M1188" s="79" t="str">
        <f aca="false">IF(助手收入!$R$81="","",助手收入!$Q$81)</f>
        <v/>
      </c>
      <c r="N1188" s="80" t="str">
        <f aca="false">IF(助手收入!$R$81="","",INDEX(助手收入!$P$2:$P$66,助手收入!$R$81))</f>
        <v/>
      </c>
      <c r="O1188" s="55" t="str">
        <f aca="false">IF(助手收入!$R$81="","",INDEX(助手收入!$C$2:$C$66,助手收入!$R$81)&amp;"  字第 "&amp;INDEX(助手收入!$P$2:$P$66,助手收入!$R$81)&amp;" 号"&amp;IF(INDEX(助手收入!$L$2:$L$66,助手收入!$R$81)&gt;1,"  (共"&amp;INDEX(助手收入!$L$2:$L$66,助手收入!$R$81)&amp;"页 第"&amp;助手收入!$S$81&amp;"页)",""))</f>
        <v/>
      </c>
    </row>
    <row r="1189" customFormat="false" ht="12.75" hidden="false" customHeight="true" outlineLevel="0" collapsed="false">
      <c r="B1189" s="61" t="str">
        <f aca="false">IF(助手收入!$R$81&lt;&gt;"","摘　　要","")</f>
        <v/>
      </c>
      <c r="C1189" s="61"/>
      <c r="D1189" s="62" t="str">
        <f aca="false">IF(助手收入!$R$81&lt;&gt;"","科　　　　目","")</f>
        <v/>
      </c>
      <c r="E1189" s="62"/>
      <c r="F1189" s="61" t="str">
        <f aca="false">IF(助手收入!$R$81&lt;&gt;"","借 方 金 额","")</f>
        <v/>
      </c>
      <c r="G1189" s="62" t="str">
        <f aca="false">IF(助手收入!$R$81&lt;&gt;"","贷 方 金 额","")</f>
        <v/>
      </c>
      <c r="H1189" s="63" t="str">
        <f aca="false">IF(助手收入!$R$81&lt;&gt;"","√","")</f>
        <v/>
      </c>
      <c r="I1189" s="64" t="str">
        <f aca="false">IF(助手收入!$R$81&lt;&gt;"","附单据  张","")</f>
        <v/>
      </c>
    </row>
    <row r="1190" customFormat="false" ht="12.75" hidden="false" customHeight="true" outlineLevel="0" collapsed="false">
      <c r="B1190" s="61"/>
      <c r="C1190" s="61"/>
      <c r="D1190" s="23" t="str">
        <f aca="false">IF(助手收入!$R$81&lt;&gt;"","总 账 科 目","")</f>
        <v/>
      </c>
      <c r="E1190" s="23" t="str">
        <f aca="false">IF(助手收入!$R$81&lt;&gt;"","明 细 科 目","")</f>
        <v/>
      </c>
      <c r="F1190" s="65"/>
      <c r="G1190" s="66"/>
      <c r="H1190" s="63"/>
      <c r="I1190" s="64"/>
    </row>
    <row r="1191" customFormat="false" ht="23.25" hidden="false" customHeight="true" outlineLevel="0" collapsed="false">
      <c r="B1191" s="67" t="str">
        <f aca="false">IFERROR(INDEX(分录收入!$M:$M,MATCH($L1191,分录收入!$L:$L,0)),"")</f>
        <v/>
      </c>
      <c r="C1191" s="67"/>
      <c r="D1191" s="23" t="str">
        <f aca="false">IFERROR(INDEX(分录收入!$E:$E,MATCH($L1191,分录收入!$L:$L,0)),"")</f>
        <v/>
      </c>
      <c r="E1191" s="23" t="str">
        <f aca="false">IFERROR(INDEX(分录收入!$F:$F,MATCH($L1191,分录收入!$L:$L,0)),"")</f>
        <v/>
      </c>
      <c r="F1191" s="68" t="str">
        <f aca="false">IFERROR(INDEX(分录收入!$H:$H,MATCH($L1191,分录收入!$L:$L,0)),"")</f>
        <v/>
      </c>
      <c r="G1191" s="69" t="str">
        <f aca="false">IFERROR(INDEX(分录收入!$I:$I,MATCH($L1191,分录收入!$L:$L,0)),"")</f>
        <v/>
      </c>
      <c r="H1191" s="23"/>
      <c r="I1191" s="70"/>
      <c r="L1191" s="71" t="n">
        <f aca="false">IF(助手收入!$R$81="",-1,助手收入!$R$81*100+(助手收入!$S$81-1)*6+1)</f>
        <v>-1</v>
      </c>
    </row>
    <row r="1192" customFormat="false" ht="23.25" hidden="false" customHeight="true" outlineLevel="0" collapsed="false">
      <c r="B1192" s="67" t="str">
        <f aca="false">""</f>
        <v/>
      </c>
      <c r="C1192" s="67"/>
      <c r="D1192" s="23" t="str">
        <f aca="false">IFERROR(INDEX(分录收入!$E:$E,MATCH($L1192,分录收入!$L:$L,0)),"")</f>
        <v/>
      </c>
      <c r="E1192" s="23" t="str">
        <f aca="false">IFERROR(INDEX(分录收入!$F:$F,MATCH($L1192,分录收入!$L:$L,0)),"")</f>
        <v/>
      </c>
      <c r="F1192" s="68" t="str">
        <f aca="false">IFERROR(INDEX(分录收入!$H:$H,MATCH($L1192,分录收入!$L:$L,0)),"")</f>
        <v/>
      </c>
      <c r="G1192" s="69" t="str">
        <f aca="false">IFERROR(INDEX(分录收入!$I:$I,MATCH($L1192,分录收入!$L:$L,0)),"")</f>
        <v/>
      </c>
      <c r="H1192" s="23"/>
      <c r="I1192" s="70"/>
      <c r="L1192" s="71" t="n">
        <f aca="false">IF(助手收入!$R$81="",-1,助手收入!$R$81*100+(助手收入!$S$81-1)*6+2)</f>
        <v>-1</v>
      </c>
    </row>
    <row r="1193" customFormat="false" ht="23.25" hidden="false" customHeight="true" outlineLevel="0" collapsed="false">
      <c r="B1193" s="67" t="str">
        <f aca="false">""</f>
        <v/>
      </c>
      <c r="C1193" s="67"/>
      <c r="D1193" s="23" t="str">
        <f aca="false">IFERROR(INDEX(分录收入!$E:$E,MATCH($L1193,分录收入!$L:$L,0)),"")</f>
        <v/>
      </c>
      <c r="E1193" s="23" t="str">
        <f aca="false">IFERROR(INDEX(分录收入!$F:$F,MATCH($L1193,分录收入!$L:$L,0)),"")</f>
        <v/>
      </c>
      <c r="F1193" s="68" t="str">
        <f aca="false">IFERROR(INDEX(分录收入!$H:$H,MATCH($L1193,分录收入!$L:$L,0)),"")</f>
        <v/>
      </c>
      <c r="G1193" s="69" t="str">
        <f aca="false">IFERROR(INDEX(分录收入!$I:$I,MATCH($L1193,分录收入!$L:$L,0)),"")</f>
        <v/>
      </c>
      <c r="H1193" s="23"/>
      <c r="I1193" s="70"/>
      <c r="L1193" s="71" t="n">
        <f aca="false">IF(助手收入!$R$81="",-1,助手收入!$R$81*100+(助手收入!$S$81-1)*6+3)</f>
        <v>-1</v>
      </c>
    </row>
    <row r="1194" customFormat="false" ht="23.25" hidden="false" customHeight="true" outlineLevel="0" collapsed="false">
      <c r="B1194" s="67" t="str">
        <f aca="false">""</f>
        <v/>
      </c>
      <c r="C1194" s="67"/>
      <c r="D1194" s="23" t="str">
        <f aca="false">IFERROR(INDEX(分录收入!$E:$E,MATCH($L1194,分录收入!$L:$L,0)),"")</f>
        <v/>
      </c>
      <c r="E1194" s="23" t="str">
        <f aca="false">IFERROR(INDEX(分录收入!$F:$F,MATCH($L1194,分录收入!$L:$L,0)),"")</f>
        <v/>
      </c>
      <c r="F1194" s="68" t="str">
        <f aca="false">IFERROR(INDEX(分录收入!$H:$H,MATCH($L1194,分录收入!$L:$L,0)),"")</f>
        <v/>
      </c>
      <c r="G1194" s="69" t="str">
        <f aca="false">IFERROR(INDEX(分录收入!$I:$I,MATCH($L1194,分录收入!$L:$L,0)),"")</f>
        <v/>
      </c>
      <c r="H1194" s="23"/>
      <c r="I1194" s="70"/>
      <c r="L1194" s="71" t="n">
        <f aca="false">IF(助手收入!$R$81="",-1,助手收入!$R$81*100+(助手收入!$S$81-1)*6+4)</f>
        <v>-1</v>
      </c>
    </row>
    <row r="1195" customFormat="false" ht="23.25" hidden="false" customHeight="true" outlineLevel="0" collapsed="false">
      <c r="B1195" s="67" t="str">
        <f aca="false">""</f>
        <v/>
      </c>
      <c r="C1195" s="67"/>
      <c r="D1195" s="23" t="str">
        <f aca="false">IFERROR(INDEX(分录收入!$E:$E,MATCH($L1195,分录收入!$L:$L,0)),"")</f>
        <v/>
      </c>
      <c r="E1195" s="23" t="str">
        <f aca="false">IFERROR(INDEX(分录收入!$F:$F,MATCH($L1195,分录收入!$L:$L,0)),"")</f>
        <v/>
      </c>
      <c r="F1195" s="68" t="str">
        <f aca="false">IFERROR(INDEX(分录收入!$H:$H,MATCH($L1195,分录收入!$L:$L,0)),"")</f>
        <v/>
      </c>
      <c r="G1195" s="69" t="str">
        <f aca="false">IFERROR(INDEX(分录收入!$I:$I,MATCH($L1195,分录收入!$L:$L,0)),"")</f>
        <v/>
      </c>
      <c r="H1195" s="23"/>
      <c r="I1195" s="70"/>
      <c r="L1195" s="71" t="n">
        <f aca="false">IF(助手收入!$R$81="",-1,助手收入!$R$81*100+(助手收入!$S$81-1)*6+5)</f>
        <v>-1</v>
      </c>
    </row>
    <row r="1196" customFormat="false" ht="23.25" hidden="false" customHeight="true" outlineLevel="0" collapsed="false">
      <c r="B1196" s="67" t="str">
        <f aca="false">""</f>
        <v/>
      </c>
      <c r="C1196" s="67"/>
      <c r="D1196" s="23" t="str">
        <f aca="false">IFERROR(INDEX(分录收入!$E:$E,MATCH($L1196,分录收入!$L:$L,0)),"")</f>
        <v/>
      </c>
      <c r="E1196" s="23" t="str">
        <f aca="false">IFERROR(INDEX(分录收入!$F:$F,MATCH($L1196,分录收入!$L:$L,0)),"")</f>
        <v/>
      </c>
      <c r="F1196" s="68" t="str">
        <f aca="false">IFERROR(INDEX(分录收入!$H:$H,MATCH($L1196,分录收入!$L:$L,0)),"")</f>
        <v/>
      </c>
      <c r="G1196" s="69" t="str">
        <f aca="false">IFERROR(INDEX(分录收入!$I:$I,MATCH($L1196,分录收入!$L:$L,0)),"")</f>
        <v/>
      </c>
      <c r="H1196" s="23"/>
      <c r="I1196" s="70"/>
      <c r="L1196" s="71" t="n">
        <f aca="false">IF(助手收入!$R$81="",-1,助手收入!$R$81*100+(助手收入!$S$81-1)*6+6)</f>
        <v>-1</v>
      </c>
    </row>
    <row r="1197" customFormat="false" ht="23.25" hidden="false" customHeight="true" outlineLevel="0" collapsed="false">
      <c r="B1197" s="72" t="str">
        <f aca="false">IF(助手收入!$T$81=1,"合计：","")</f>
        <v/>
      </c>
      <c r="C1197" s="73" t="str">
        <f aca="false">IF(助手收入!$T$81=1,$F1197,"")</f>
        <v/>
      </c>
      <c r="D1197" s="74"/>
      <c r="E1197" s="74"/>
      <c r="F1197" s="75" t="str">
        <f aca="false">IF(助手收入!$T$81=1,INDEX(助手收入!$N$2:$N$66,助手收入!$R$81),"")</f>
        <v/>
      </c>
      <c r="G1197" s="76" t="str">
        <f aca="false">IF(助手收入!$T$81=1,INDEX(助手收入!$O$2:$O$66,助手收入!$R$81),"")</f>
        <v/>
      </c>
      <c r="H1197" s="74"/>
      <c r="I1197" s="77"/>
    </row>
    <row r="1198" customFormat="false" ht="6" hidden="false" customHeight="true" outlineLevel="0" collapsed="false"/>
    <row r="1199" customFormat="false" ht="13.5" hidden="false" customHeight="false" outlineLevel="0" collapsed="false">
      <c r="B1199" s="78" t="str">
        <f aca="false">IF(助手收入!$R$81&lt;&gt;"","会计主管：","")</f>
        <v/>
      </c>
      <c r="D1199" s="78" t="str">
        <f aca="false">IF(助手收入!$R$81&lt;&gt;"","会计：","")</f>
        <v/>
      </c>
      <c r="E1199" s="78" t="str">
        <f aca="false">IF(助手收入!$R$81&lt;&gt;"","出纳：","")</f>
        <v/>
      </c>
      <c r="F1199" s="78" t="str">
        <f aca="false">IF(助手收入!$R$81&lt;&gt;"","复核：","")</f>
        <v/>
      </c>
      <c r="G1199" s="78" t="str">
        <f aca="false">IF(助手收入!$R$81&lt;&gt;"","制单：","")</f>
        <v/>
      </c>
    </row>
    <row r="1200" customFormat="false" ht="3" hidden="false" customHeight="true" outlineLevel="0" collapsed="false"/>
    <row r="1201" customFormat="false" ht="19.5" hidden="false" customHeight="true" outlineLevel="0" collapsed="false">
      <c r="B1201" s="53" t="str">
        <f aca="false">IF(助手收入!$R$82&lt;&gt;"","记  账  凭  证","")</f>
        <v/>
      </c>
      <c r="C1201" s="53"/>
      <c r="D1201" s="53"/>
      <c r="E1201" s="53"/>
      <c r="F1201" s="53"/>
      <c r="G1201" s="53"/>
      <c r="H1201" s="53"/>
      <c r="I1201" s="53"/>
    </row>
    <row r="1202" customFormat="false" ht="3" hidden="false" customHeight="true" outlineLevel="0" collapsed="false"/>
    <row r="1203" customFormat="false" ht="15" hidden="false" customHeight="true" outlineLevel="0" collapsed="false">
      <c r="C1203" s="56" t="str">
        <f aca="false">IF(助手收入!$R$82&lt;&gt;"",INDEX(助手收入!$B$2:$B$66,助手收入!$R$82),"")</f>
        <v/>
      </c>
      <c r="D1203" s="57" t="str">
        <f aca="false">IF(助手收入!$R$82&lt;&gt;"",参数!$B$2,"")</f>
        <v/>
      </c>
      <c r="E1203" s="57"/>
      <c r="F1203" s="58" t="str">
        <f aca="false">IF(助手收入!$R$82&lt;&gt;"",INDEX(助手收入!$C$2:$C$66,助手收入!$R$82)&amp;"  字第 "&amp;IF(参数!$B$9="是",INDEX(助手收入!$P$2:$P$66,助手收入!$R$82),"　　　　")&amp;" 号"&amp;IF(INDEX(助手收入!$L$2:$L$66,助手收入!$R$82)&gt;1,"  (共"&amp;INDEX(助手收入!$L$2:$L$66,助手收入!$R$82)&amp;"页 第"&amp;助手收入!$S$82&amp;"页)",""),"")</f>
        <v/>
      </c>
      <c r="G1203" s="58"/>
      <c r="H1203" s="58"/>
      <c r="I1203" s="58"/>
      <c r="M1203" s="79" t="str">
        <f aca="false">IF(助手收入!$R$82="","",助手收入!$Q$82)</f>
        <v/>
      </c>
      <c r="N1203" s="80" t="str">
        <f aca="false">IF(助手收入!$R$82="","",INDEX(助手收入!$P$2:$P$66,助手收入!$R$82))</f>
        <v/>
      </c>
      <c r="O1203" s="55" t="str">
        <f aca="false">IF(助手收入!$R$82="","",INDEX(助手收入!$C$2:$C$66,助手收入!$R$82)&amp;"  字第 "&amp;INDEX(助手收入!$P$2:$P$66,助手收入!$R$82)&amp;" 号"&amp;IF(INDEX(助手收入!$L$2:$L$66,助手收入!$R$82)&gt;1,"  (共"&amp;INDEX(助手收入!$L$2:$L$66,助手收入!$R$82)&amp;"页 第"&amp;助手收入!$S$82&amp;"页)",""))</f>
        <v/>
      </c>
    </row>
    <row r="1204" customFormat="false" ht="12.75" hidden="false" customHeight="true" outlineLevel="0" collapsed="false">
      <c r="B1204" s="61" t="str">
        <f aca="false">IF(助手收入!$R$82&lt;&gt;"","摘　　要","")</f>
        <v/>
      </c>
      <c r="C1204" s="61"/>
      <c r="D1204" s="62" t="str">
        <f aca="false">IF(助手收入!$R$82&lt;&gt;"","科　　　　目","")</f>
        <v/>
      </c>
      <c r="E1204" s="62"/>
      <c r="F1204" s="61" t="str">
        <f aca="false">IF(助手收入!$R$82&lt;&gt;"","借 方 金 额","")</f>
        <v/>
      </c>
      <c r="G1204" s="62" t="str">
        <f aca="false">IF(助手收入!$R$82&lt;&gt;"","贷 方 金 额","")</f>
        <v/>
      </c>
      <c r="H1204" s="63" t="str">
        <f aca="false">IF(助手收入!$R$82&lt;&gt;"","√","")</f>
        <v/>
      </c>
      <c r="I1204" s="64" t="str">
        <f aca="false">IF(助手收入!$R$82&lt;&gt;"","附单据  张","")</f>
        <v/>
      </c>
    </row>
    <row r="1205" customFormat="false" ht="12.75" hidden="false" customHeight="true" outlineLevel="0" collapsed="false">
      <c r="B1205" s="61"/>
      <c r="C1205" s="61"/>
      <c r="D1205" s="23" t="str">
        <f aca="false">IF(助手收入!$R$82&lt;&gt;"","总 账 科 目","")</f>
        <v/>
      </c>
      <c r="E1205" s="23" t="str">
        <f aca="false">IF(助手收入!$R$82&lt;&gt;"","明 细 科 目","")</f>
        <v/>
      </c>
      <c r="F1205" s="65"/>
      <c r="G1205" s="66"/>
      <c r="H1205" s="63"/>
      <c r="I1205" s="64"/>
    </row>
    <row r="1206" customFormat="false" ht="23.25" hidden="false" customHeight="true" outlineLevel="0" collapsed="false">
      <c r="B1206" s="67" t="str">
        <f aca="false">IFERROR(INDEX(分录收入!$M:$M,MATCH($L1206,分录收入!$L:$L,0)),"")</f>
        <v/>
      </c>
      <c r="C1206" s="67"/>
      <c r="D1206" s="23" t="str">
        <f aca="false">IFERROR(INDEX(分录收入!$E:$E,MATCH($L1206,分录收入!$L:$L,0)),"")</f>
        <v/>
      </c>
      <c r="E1206" s="23" t="str">
        <f aca="false">IFERROR(INDEX(分录收入!$F:$F,MATCH($L1206,分录收入!$L:$L,0)),"")</f>
        <v/>
      </c>
      <c r="F1206" s="68" t="str">
        <f aca="false">IFERROR(INDEX(分录收入!$H:$H,MATCH($L1206,分录收入!$L:$L,0)),"")</f>
        <v/>
      </c>
      <c r="G1206" s="69" t="str">
        <f aca="false">IFERROR(INDEX(分录收入!$I:$I,MATCH($L1206,分录收入!$L:$L,0)),"")</f>
        <v/>
      </c>
      <c r="H1206" s="23"/>
      <c r="I1206" s="70"/>
      <c r="L1206" s="71" t="n">
        <f aca="false">IF(助手收入!$R$82="",-1,助手收入!$R$82*100+(助手收入!$S$82-1)*6+1)</f>
        <v>-1</v>
      </c>
    </row>
    <row r="1207" customFormat="false" ht="23.25" hidden="false" customHeight="true" outlineLevel="0" collapsed="false">
      <c r="B1207" s="67" t="str">
        <f aca="false">""</f>
        <v/>
      </c>
      <c r="C1207" s="67"/>
      <c r="D1207" s="23" t="str">
        <f aca="false">IFERROR(INDEX(分录收入!$E:$E,MATCH($L1207,分录收入!$L:$L,0)),"")</f>
        <v/>
      </c>
      <c r="E1207" s="23" t="str">
        <f aca="false">IFERROR(INDEX(分录收入!$F:$F,MATCH($L1207,分录收入!$L:$L,0)),"")</f>
        <v/>
      </c>
      <c r="F1207" s="68" t="str">
        <f aca="false">IFERROR(INDEX(分录收入!$H:$H,MATCH($L1207,分录收入!$L:$L,0)),"")</f>
        <v/>
      </c>
      <c r="G1207" s="69" t="str">
        <f aca="false">IFERROR(INDEX(分录收入!$I:$I,MATCH($L1207,分录收入!$L:$L,0)),"")</f>
        <v/>
      </c>
      <c r="H1207" s="23"/>
      <c r="I1207" s="70"/>
      <c r="L1207" s="71" t="n">
        <f aca="false">IF(助手收入!$R$82="",-1,助手收入!$R$82*100+(助手收入!$S$82-1)*6+2)</f>
        <v>-1</v>
      </c>
    </row>
    <row r="1208" customFormat="false" ht="23.25" hidden="false" customHeight="true" outlineLevel="0" collapsed="false">
      <c r="B1208" s="67" t="str">
        <f aca="false">""</f>
        <v/>
      </c>
      <c r="C1208" s="67"/>
      <c r="D1208" s="23" t="str">
        <f aca="false">IFERROR(INDEX(分录收入!$E:$E,MATCH($L1208,分录收入!$L:$L,0)),"")</f>
        <v/>
      </c>
      <c r="E1208" s="23" t="str">
        <f aca="false">IFERROR(INDEX(分录收入!$F:$F,MATCH($L1208,分录收入!$L:$L,0)),"")</f>
        <v/>
      </c>
      <c r="F1208" s="68" t="str">
        <f aca="false">IFERROR(INDEX(分录收入!$H:$H,MATCH($L1208,分录收入!$L:$L,0)),"")</f>
        <v/>
      </c>
      <c r="G1208" s="69" t="str">
        <f aca="false">IFERROR(INDEX(分录收入!$I:$I,MATCH($L1208,分录收入!$L:$L,0)),"")</f>
        <v/>
      </c>
      <c r="H1208" s="23"/>
      <c r="I1208" s="70"/>
      <c r="L1208" s="71" t="n">
        <f aca="false">IF(助手收入!$R$82="",-1,助手收入!$R$82*100+(助手收入!$S$82-1)*6+3)</f>
        <v>-1</v>
      </c>
    </row>
    <row r="1209" customFormat="false" ht="23.25" hidden="false" customHeight="true" outlineLevel="0" collapsed="false">
      <c r="B1209" s="67" t="str">
        <f aca="false">""</f>
        <v/>
      </c>
      <c r="C1209" s="67"/>
      <c r="D1209" s="23" t="str">
        <f aca="false">IFERROR(INDEX(分录收入!$E:$E,MATCH($L1209,分录收入!$L:$L,0)),"")</f>
        <v/>
      </c>
      <c r="E1209" s="23" t="str">
        <f aca="false">IFERROR(INDEX(分录收入!$F:$F,MATCH($L1209,分录收入!$L:$L,0)),"")</f>
        <v/>
      </c>
      <c r="F1209" s="68" t="str">
        <f aca="false">IFERROR(INDEX(分录收入!$H:$H,MATCH($L1209,分录收入!$L:$L,0)),"")</f>
        <v/>
      </c>
      <c r="G1209" s="69" t="str">
        <f aca="false">IFERROR(INDEX(分录收入!$I:$I,MATCH($L1209,分录收入!$L:$L,0)),"")</f>
        <v/>
      </c>
      <c r="H1209" s="23"/>
      <c r="I1209" s="70"/>
      <c r="L1209" s="71" t="n">
        <f aca="false">IF(助手收入!$R$82="",-1,助手收入!$R$82*100+(助手收入!$S$82-1)*6+4)</f>
        <v>-1</v>
      </c>
    </row>
    <row r="1210" customFormat="false" ht="23.25" hidden="false" customHeight="true" outlineLevel="0" collapsed="false">
      <c r="B1210" s="67" t="str">
        <f aca="false">""</f>
        <v/>
      </c>
      <c r="C1210" s="67"/>
      <c r="D1210" s="23" t="str">
        <f aca="false">IFERROR(INDEX(分录收入!$E:$E,MATCH($L1210,分录收入!$L:$L,0)),"")</f>
        <v/>
      </c>
      <c r="E1210" s="23" t="str">
        <f aca="false">IFERROR(INDEX(分录收入!$F:$F,MATCH($L1210,分录收入!$L:$L,0)),"")</f>
        <v/>
      </c>
      <c r="F1210" s="68" t="str">
        <f aca="false">IFERROR(INDEX(分录收入!$H:$H,MATCH($L1210,分录收入!$L:$L,0)),"")</f>
        <v/>
      </c>
      <c r="G1210" s="69" t="str">
        <f aca="false">IFERROR(INDEX(分录收入!$I:$I,MATCH($L1210,分录收入!$L:$L,0)),"")</f>
        <v/>
      </c>
      <c r="H1210" s="23"/>
      <c r="I1210" s="70"/>
      <c r="L1210" s="71" t="n">
        <f aca="false">IF(助手收入!$R$82="",-1,助手收入!$R$82*100+(助手收入!$S$82-1)*6+5)</f>
        <v>-1</v>
      </c>
    </row>
    <row r="1211" customFormat="false" ht="23.25" hidden="false" customHeight="true" outlineLevel="0" collapsed="false">
      <c r="B1211" s="67" t="str">
        <f aca="false">""</f>
        <v/>
      </c>
      <c r="C1211" s="67"/>
      <c r="D1211" s="23" t="str">
        <f aca="false">IFERROR(INDEX(分录收入!$E:$E,MATCH($L1211,分录收入!$L:$L,0)),"")</f>
        <v/>
      </c>
      <c r="E1211" s="23" t="str">
        <f aca="false">IFERROR(INDEX(分录收入!$F:$F,MATCH($L1211,分录收入!$L:$L,0)),"")</f>
        <v/>
      </c>
      <c r="F1211" s="68" t="str">
        <f aca="false">IFERROR(INDEX(分录收入!$H:$H,MATCH($L1211,分录收入!$L:$L,0)),"")</f>
        <v/>
      </c>
      <c r="G1211" s="69" t="str">
        <f aca="false">IFERROR(INDEX(分录收入!$I:$I,MATCH($L1211,分录收入!$L:$L,0)),"")</f>
        <v/>
      </c>
      <c r="H1211" s="23"/>
      <c r="I1211" s="70"/>
      <c r="L1211" s="71" t="n">
        <f aca="false">IF(助手收入!$R$82="",-1,助手收入!$R$82*100+(助手收入!$S$82-1)*6+6)</f>
        <v>-1</v>
      </c>
    </row>
    <row r="1212" customFormat="false" ht="23.25" hidden="false" customHeight="true" outlineLevel="0" collapsed="false">
      <c r="B1212" s="72" t="str">
        <f aca="false">IF(助手收入!$T$82=1,"合计：","")</f>
        <v/>
      </c>
      <c r="C1212" s="73" t="str">
        <f aca="false">IF(助手收入!$T$82=1,$F1212,"")</f>
        <v/>
      </c>
      <c r="D1212" s="74"/>
      <c r="E1212" s="74"/>
      <c r="F1212" s="75" t="str">
        <f aca="false">IF(助手收入!$T$82=1,INDEX(助手收入!$N$2:$N$66,助手收入!$R$82),"")</f>
        <v/>
      </c>
      <c r="G1212" s="76" t="str">
        <f aca="false">IF(助手收入!$T$82=1,INDEX(助手收入!$O$2:$O$66,助手收入!$R$82),"")</f>
        <v/>
      </c>
      <c r="H1212" s="74"/>
      <c r="I1212" s="77"/>
    </row>
    <row r="1213" customFormat="false" ht="6" hidden="false" customHeight="true" outlineLevel="0" collapsed="false"/>
    <row r="1214" customFormat="false" ht="13.5" hidden="false" customHeight="false" outlineLevel="0" collapsed="false">
      <c r="B1214" s="78" t="str">
        <f aca="false">IF(助手收入!$R$82&lt;&gt;"","会计主管：","")</f>
        <v/>
      </c>
      <c r="D1214" s="78" t="str">
        <f aca="false">IF(助手收入!$R$82&lt;&gt;"","会计：","")</f>
        <v/>
      </c>
      <c r="E1214" s="78" t="str">
        <f aca="false">IF(助手收入!$R$82&lt;&gt;"","出纳：","")</f>
        <v/>
      </c>
      <c r="F1214" s="78" t="str">
        <f aca="false">IF(助手收入!$R$82&lt;&gt;"","复核：","")</f>
        <v/>
      </c>
      <c r="G1214" s="78" t="str">
        <f aca="false">IF(助手收入!$R$82&lt;&gt;"","制单：","")</f>
        <v/>
      </c>
    </row>
    <row r="1215" customFormat="false" ht="3" hidden="false" customHeight="true" outlineLevel="0" collapsed="false"/>
    <row r="1216" customFormat="false" ht="19.5" hidden="false" customHeight="true" outlineLevel="0" collapsed="false">
      <c r="B1216" s="53" t="str">
        <f aca="false">IF(助手收入!$R$83&lt;&gt;"","记  账  凭  证","")</f>
        <v/>
      </c>
      <c r="C1216" s="53"/>
      <c r="D1216" s="53"/>
      <c r="E1216" s="53"/>
      <c r="F1216" s="53"/>
      <c r="G1216" s="53"/>
      <c r="H1216" s="53"/>
      <c r="I1216" s="53"/>
    </row>
    <row r="1217" customFormat="false" ht="3" hidden="false" customHeight="true" outlineLevel="0" collapsed="false"/>
    <row r="1218" customFormat="false" ht="15" hidden="false" customHeight="true" outlineLevel="0" collapsed="false">
      <c r="C1218" s="56" t="str">
        <f aca="false">IF(助手收入!$R$83&lt;&gt;"",INDEX(助手收入!$B$2:$B$66,助手收入!$R$83),"")</f>
        <v/>
      </c>
      <c r="D1218" s="57" t="str">
        <f aca="false">IF(助手收入!$R$83&lt;&gt;"",参数!$B$2,"")</f>
        <v/>
      </c>
      <c r="E1218" s="57"/>
      <c r="F1218" s="58" t="str">
        <f aca="false">IF(助手收入!$R$83&lt;&gt;"",INDEX(助手收入!$C$2:$C$66,助手收入!$R$83)&amp;"  字第 "&amp;IF(参数!$B$9="是",INDEX(助手收入!$P$2:$P$66,助手收入!$R$83),"　　　　")&amp;" 号"&amp;IF(INDEX(助手收入!$L$2:$L$66,助手收入!$R$83)&gt;1,"  (共"&amp;INDEX(助手收入!$L$2:$L$66,助手收入!$R$83)&amp;"页 第"&amp;助手收入!$S$83&amp;"页)",""),"")</f>
        <v/>
      </c>
      <c r="G1218" s="58"/>
      <c r="H1218" s="58"/>
      <c r="I1218" s="58"/>
      <c r="M1218" s="79" t="str">
        <f aca="false">IF(助手收入!$R$83="","",助手收入!$Q$83)</f>
        <v/>
      </c>
      <c r="N1218" s="80" t="str">
        <f aca="false">IF(助手收入!$R$83="","",INDEX(助手收入!$P$2:$P$66,助手收入!$R$83))</f>
        <v/>
      </c>
      <c r="O1218" s="55" t="str">
        <f aca="false">IF(助手收入!$R$83="","",INDEX(助手收入!$C$2:$C$66,助手收入!$R$83)&amp;"  字第 "&amp;INDEX(助手收入!$P$2:$P$66,助手收入!$R$83)&amp;" 号"&amp;IF(INDEX(助手收入!$L$2:$L$66,助手收入!$R$83)&gt;1,"  (共"&amp;INDEX(助手收入!$L$2:$L$66,助手收入!$R$83)&amp;"页 第"&amp;助手收入!$S$83&amp;"页)",""))</f>
        <v/>
      </c>
    </row>
    <row r="1219" customFormat="false" ht="12.75" hidden="false" customHeight="true" outlineLevel="0" collapsed="false">
      <c r="B1219" s="61" t="str">
        <f aca="false">IF(助手收入!$R$83&lt;&gt;"","摘　　要","")</f>
        <v/>
      </c>
      <c r="C1219" s="61"/>
      <c r="D1219" s="62" t="str">
        <f aca="false">IF(助手收入!$R$83&lt;&gt;"","科　　　　目","")</f>
        <v/>
      </c>
      <c r="E1219" s="62"/>
      <c r="F1219" s="61" t="str">
        <f aca="false">IF(助手收入!$R$83&lt;&gt;"","借 方 金 额","")</f>
        <v/>
      </c>
      <c r="G1219" s="62" t="str">
        <f aca="false">IF(助手收入!$R$83&lt;&gt;"","贷 方 金 额","")</f>
        <v/>
      </c>
      <c r="H1219" s="63" t="str">
        <f aca="false">IF(助手收入!$R$83&lt;&gt;"","√","")</f>
        <v/>
      </c>
      <c r="I1219" s="64" t="str">
        <f aca="false">IF(助手收入!$R$83&lt;&gt;"","附单据  张","")</f>
        <v/>
      </c>
    </row>
    <row r="1220" customFormat="false" ht="12.75" hidden="false" customHeight="true" outlineLevel="0" collapsed="false">
      <c r="B1220" s="61"/>
      <c r="C1220" s="61"/>
      <c r="D1220" s="23" t="str">
        <f aca="false">IF(助手收入!$R$83&lt;&gt;"","总 账 科 目","")</f>
        <v/>
      </c>
      <c r="E1220" s="23" t="str">
        <f aca="false">IF(助手收入!$R$83&lt;&gt;"","明 细 科 目","")</f>
        <v/>
      </c>
      <c r="F1220" s="65"/>
      <c r="G1220" s="66"/>
      <c r="H1220" s="63"/>
      <c r="I1220" s="64"/>
    </row>
    <row r="1221" customFormat="false" ht="23.25" hidden="false" customHeight="true" outlineLevel="0" collapsed="false">
      <c r="B1221" s="67" t="str">
        <f aca="false">IFERROR(INDEX(分录收入!$M:$M,MATCH($L1221,分录收入!$L:$L,0)),"")</f>
        <v/>
      </c>
      <c r="C1221" s="67"/>
      <c r="D1221" s="23" t="str">
        <f aca="false">IFERROR(INDEX(分录收入!$E:$E,MATCH($L1221,分录收入!$L:$L,0)),"")</f>
        <v/>
      </c>
      <c r="E1221" s="23" t="str">
        <f aca="false">IFERROR(INDEX(分录收入!$F:$F,MATCH($L1221,分录收入!$L:$L,0)),"")</f>
        <v/>
      </c>
      <c r="F1221" s="68" t="str">
        <f aca="false">IFERROR(INDEX(分录收入!$H:$H,MATCH($L1221,分录收入!$L:$L,0)),"")</f>
        <v/>
      </c>
      <c r="G1221" s="69" t="str">
        <f aca="false">IFERROR(INDEX(分录收入!$I:$I,MATCH($L1221,分录收入!$L:$L,0)),"")</f>
        <v/>
      </c>
      <c r="H1221" s="23"/>
      <c r="I1221" s="70"/>
      <c r="L1221" s="71" t="n">
        <f aca="false">IF(助手收入!$R$83="",-1,助手收入!$R$83*100+(助手收入!$S$83-1)*6+1)</f>
        <v>-1</v>
      </c>
    </row>
    <row r="1222" customFormat="false" ht="23.25" hidden="false" customHeight="true" outlineLevel="0" collapsed="false">
      <c r="B1222" s="67" t="str">
        <f aca="false">""</f>
        <v/>
      </c>
      <c r="C1222" s="67"/>
      <c r="D1222" s="23" t="str">
        <f aca="false">IFERROR(INDEX(分录收入!$E:$E,MATCH($L1222,分录收入!$L:$L,0)),"")</f>
        <v/>
      </c>
      <c r="E1222" s="23" t="str">
        <f aca="false">IFERROR(INDEX(分录收入!$F:$F,MATCH($L1222,分录收入!$L:$L,0)),"")</f>
        <v/>
      </c>
      <c r="F1222" s="68" t="str">
        <f aca="false">IFERROR(INDEX(分录收入!$H:$H,MATCH($L1222,分录收入!$L:$L,0)),"")</f>
        <v/>
      </c>
      <c r="G1222" s="69" t="str">
        <f aca="false">IFERROR(INDEX(分录收入!$I:$I,MATCH($L1222,分录收入!$L:$L,0)),"")</f>
        <v/>
      </c>
      <c r="H1222" s="23"/>
      <c r="I1222" s="70"/>
      <c r="L1222" s="71" t="n">
        <f aca="false">IF(助手收入!$R$83="",-1,助手收入!$R$83*100+(助手收入!$S$83-1)*6+2)</f>
        <v>-1</v>
      </c>
    </row>
    <row r="1223" customFormat="false" ht="23.25" hidden="false" customHeight="true" outlineLevel="0" collapsed="false">
      <c r="B1223" s="67" t="str">
        <f aca="false">""</f>
        <v/>
      </c>
      <c r="C1223" s="67"/>
      <c r="D1223" s="23" t="str">
        <f aca="false">IFERROR(INDEX(分录收入!$E:$E,MATCH($L1223,分录收入!$L:$L,0)),"")</f>
        <v/>
      </c>
      <c r="E1223" s="23" t="str">
        <f aca="false">IFERROR(INDEX(分录收入!$F:$F,MATCH($L1223,分录收入!$L:$L,0)),"")</f>
        <v/>
      </c>
      <c r="F1223" s="68" t="str">
        <f aca="false">IFERROR(INDEX(分录收入!$H:$H,MATCH($L1223,分录收入!$L:$L,0)),"")</f>
        <v/>
      </c>
      <c r="G1223" s="69" t="str">
        <f aca="false">IFERROR(INDEX(分录收入!$I:$I,MATCH($L1223,分录收入!$L:$L,0)),"")</f>
        <v/>
      </c>
      <c r="H1223" s="23"/>
      <c r="I1223" s="70"/>
      <c r="L1223" s="71" t="n">
        <f aca="false">IF(助手收入!$R$83="",-1,助手收入!$R$83*100+(助手收入!$S$83-1)*6+3)</f>
        <v>-1</v>
      </c>
    </row>
    <row r="1224" customFormat="false" ht="23.25" hidden="false" customHeight="true" outlineLevel="0" collapsed="false">
      <c r="B1224" s="67" t="str">
        <f aca="false">""</f>
        <v/>
      </c>
      <c r="C1224" s="67"/>
      <c r="D1224" s="23" t="str">
        <f aca="false">IFERROR(INDEX(分录收入!$E:$E,MATCH($L1224,分录收入!$L:$L,0)),"")</f>
        <v/>
      </c>
      <c r="E1224" s="23" t="str">
        <f aca="false">IFERROR(INDEX(分录收入!$F:$F,MATCH($L1224,分录收入!$L:$L,0)),"")</f>
        <v/>
      </c>
      <c r="F1224" s="68" t="str">
        <f aca="false">IFERROR(INDEX(分录收入!$H:$H,MATCH($L1224,分录收入!$L:$L,0)),"")</f>
        <v/>
      </c>
      <c r="G1224" s="69" t="str">
        <f aca="false">IFERROR(INDEX(分录收入!$I:$I,MATCH($L1224,分录收入!$L:$L,0)),"")</f>
        <v/>
      </c>
      <c r="H1224" s="23"/>
      <c r="I1224" s="70"/>
      <c r="L1224" s="71" t="n">
        <f aca="false">IF(助手收入!$R$83="",-1,助手收入!$R$83*100+(助手收入!$S$83-1)*6+4)</f>
        <v>-1</v>
      </c>
    </row>
    <row r="1225" customFormat="false" ht="23.25" hidden="false" customHeight="true" outlineLevel="0" collapsed="false">
      <c r="B1225" s="67" t="str">
        <f aca="false">""</f>
        <v/>
      </c>
      <c r="C1225" s="67"/>
      <c r="D1225" s="23" t="str">
        <f aca="false">IFERROR(INDEX(分录收入!$E:$E,MATCH($L1225,分录收入!$L:$L,0)),"")</f>
        <v/>
      </c>
      <c r="E1225" s="23" t="str">
        <f aca="false">IFERROR(INDEX(分录收入!$F:$F,MATCH($L1225,分录收入!$L:$L,0)),"")</f>
        <v/>
      </c>
      <c r="F1225" s="68" t="str">
        <f aca="false">IFERROR(INDEX(分录收入!$H:$H,MATCH($L1225,分录收入!$L:$L,0)),"")</f>
        <v/>
      </c>
      <c r="G1225" s="69" t="str">
        <f aca="false">IFERROR(INDEX(分录收入!$I:$I,MATCH($L1225,分录收入!$L:$L,0)),"")</f>
        <v/>
      </c>
      <c r="H1225" s="23"/>
      <c r="I1225" s="70"/>
      <c r="L1225" s="71" t="n">
        <f aca="false">IF(助手收入!$R$83="",-1,助手收入!$R$83*100+(助手收入!$S$83-1)*6+5)</f>
        <v>-1</v>
      </c>
    </row>
    <row r="1226" customFormat="false" ht="23.25" hidden="false" customHeight="true" outlineLevel="0" collapsed="false">
      <c r="B1226" s="67" t="str">
        <f aca="false">""</f>
        <v/>
      </c>
      <c r="C1226" s="67"/>
      <c r="D1226" s="23" t="str">
        <f aca="false">IFERROR(INDEX(分录收入!$E:$E,MATCH($L1226,分录收入!$L:$L,0)),"")</f>
        <v/>
      </c>
      <c r="E1226" s="23" t="str">
        <f aca="false">IFERROR(INDEX(分录收入!$F:$F,MATCH($L1226,分录收入!$L:$L,0)),"")</f>
        <v/>
      </c>
      <c r="F1226" s="68" t="str">
        <f aca="false">IFERROR(INDEX(分录收入!$H:$H,MATCH($L1226,分录收入!$L:$L,0)),"")</f>
        <v/>
      </c>
      <c r="G1226" s="69" t="str">
        <f aca="false">IFERROR(INDEX(分录收入!$I:$I,MATCH($L1226,分录收入!$L:$L,0)),"")</f>
        <v/>
      </c>
      <c r="H1226" s="23"/>
      <c r="I1226" s="70"/>
      <c r="L1226" s="71" t="n">
        <f aca="false">IF(助手收入!$R$83="",-1,助手收入!$R$83*100+(助手收入!$S$83-1)*6+6)</f>
        <v>-1</v>
      </c>
    </row>
    <row r="1227" customFormat="false" ht="23.25" hidden="false" customHeight="true" outlineLevel="0" collapsed="false">
      <c r="B1227" s="72" t="str">
        <f aca="false">IF(助手收入!$T$83=1,"合计：","")</f>
        <v/>
      </c>
      <c r="C1227" s="73" t="str">
        <f aca="false">IF(助手收入!$T$83=1,$F1227,"")</f>
        <v/>
      </c>
      <c r="D1227" s="74"/>
      <c r="E1227" s="74"/>
      <c r="F1227" s="75" t="str">
        <f aca="false">IF(助手收入!$T$83=1,INDEX(助手收入!$N$2:$N$66,助手收入!$R$83),"")</f>
        <v/>
      </c>
      <c r="G1227" s="76" t="str">
        <f aca="false">IF(助手收入!$T$83=1,INDEX(助手收入!$O$2:$O$66,助手收入!$R$83),"")</f>
        <v/>
      </c>
      <c r="H1227" s="74"/>
      <c r="I1227" s="77"/>
    </row>
    <row r="1228" customFormat="false" ht="6" hidden="false" customHeight="true" outlineLevel="0" collapsed="false"/>
    <row r="1229" customFormat="false" ht="13.5" hidden="false" customHeight="false" outlineLevel="0" collapsed="false">
      <c r="B1229" s="78" t="str">
        <f aca="false">IF(助手收入!$R$83&lt;&gt;"","会计主管：","")</f>
        <v/>
      </c>
      <c r="D1229" s="78" t="str">
        <f aca="false">IF(助手收入!$R$83&lt;&gt;"","会计：","")</f>
        <v/>
      </c>
      <c r="E1229" s="78" t="str">
        <f aca="false">IF(助手收入!$R$83&lt;&gt;"","出纳：","")</f>
        <v/>
      </c>
      <c r="F1229" s="78" t="str">
        <f aca="false">IF(助手收入!$R$83&lt;&gt;"","复核：","")</f>
        <v/>
      </c>
      <c r="G1229" s="78" t="str">
        <f aca="false">IF(助手收入!$R$83&lt;&gt;"","制单：","")</f>
        <v/>
      </c>
    </row>
    <row r="1230" customFormat="false" ht="3" hidden="false" customHeight="true" outlineLevel="0" collapsed="false"/>
    <row r="1231" customFormat="false" ht="19.5" hidden="false" customHeight="true" outlineLevel="0" collapsed="false">
      <c r="B1231" s="53" t="str">
        <f aca="false">IF(助手收入!$R$84&lt;&gt;"","记  账  凭  证","")</f>
        <v/>
      </c>
      <c r="C1231" s="53"/>
      <c r="D1231" s="53"/>
      <c r="E1231" s="53"/>
      <c r="F1231" s="53"/>
      <c r="G1231" s="53"/>
      <c r="H1231" s="53"/>
      <c r="I1231" s="53"/>
    </row>
    <row r="1232" customFormat="false" ht="3" hidden="false" customHeight="true" outlineLevel="0" collapsed="false"/>
    <row r="1233" customFormat="false" ht="15" hidden="false" customHeight="true" outlineLevel="0" collapsed="false">
      <c r="C1233" s="56" t="str">
        <f aca="false">IF(助手收入!$R$84&lt;&gt;"",INDEX(助手收入!$B$2:$B$66,助手收入!$R$84),"")</f>
        <v/>
      </c>
      <c r="D1233" s="57" t="str">
        <f aca="false">IF(助手收入!$R$84&lt;&gt;"",参数!$B$2,"")</f>
        <v/>
      </c>
      <c r="E1233" s="57"/>
      <c r="F1233" s="58" t="str">
        <f aca="false">IF(助手收入!$R$84&lt;&gt;"",INDEX(助手收入!$C$2:$C$66,助手收入!$R$84)&amp;"  字第 "&amp;IF(参数!$B$9="是",INDEX(助手收入!$P$2:$P$66,助手收入!$R$84),"　　　　")&amp;" 号"&amp;IF(INDEX(助手收入!$L$2:$L$66,助手收入!$R$84)&gt;1,"  (共"&amp;INDEX(助手收入!$L$2:$L$66,助手收入!$R$84)&amp;"页 第"&amp;助手收入!$S$84&amp;"页)",""),"")</f>
        <v/>
      </c>
      <c r="G1233" s="58"/>
      <c r="H1233" s="58"/>
      <c r="I1233" s="58"/>
      <c r="M1233" s="79" t="str">
        <f aca="false">IF(助手收入!$R$84="","",助手收入!$Q$84)</f>
        <v/>
      </c>
      <c r="N1233" s="80" t="str">
        <f aca="false">IF(助手收入!$R$84="","",INDEX(助手收入!$P$2:$P$66,助手收入!$R$84))</f>
        <v/>
      </c>
      <c r="O1233" s="55" t="str">
        <f aca="false">IF(助手收入!$R$84="","",INDEX(助手收入!$C$2:$C$66,助手收入!$R$84)&amp;"  字第 "&amp;INDEX(助手收入!$P$2:$P$66,助手收入!$R$84)&amp;" 号"&amp;IF(INDEX(助手收入!$L$2:$L$66,助手收入!$R$84)&gt;1,"  (共"&amp;INDEX(助手收入!$L$2:$L$66,助手收入!$R$84)&amp;"页 第"&amp;助手收入!$S$84&amp;"页)",""))</f>
        <v/>
      </c>
    </row>
    <row r="1234" customFormat="false" ht="12.75" hidden="false" customHeight="true" outlineLevel="0" collapsed="false">
      <c r="B1234" s="61" t="str">
        <f aca="false">IF(助手收入!$R$84&lt;&gt;"","摘　　要","")</f>
        <v/>
      </c>
      <c r="C1234" s="61"/>
      <c r="D1234" s="62" t="str">
        <f aca="false">IF(助手收入!$R$84&lt;&gt;"","科　　　　目","")</f>
        <v/>
      </c>
      <c r="E1234" s="62"/>
      <c r="F1234" s="61" t="str">
        <f aca="false">IF(助手收入!$R$84&lt;&gt;"","借 方 金 额","")</f>
        <v/>
      </c>
      <c r="G1234" s="62" t="str">
        <f aca="false">IF(助手收入!$R$84&lt;&gt;"","贷 方 金 额","")</f>
        <v/>
      </c>
      <c r="H1234" s="63" t="str">
        <f aca="false">IF(助手收入!$R$84&lt;&gt;"","√","")</f>
        <v/>
      </c>
      <c r="I1234" s="64" t="str">
        <f aca="false">IF(助手收入!$R$84&lt;&gt;"","附单据  张","")</f>
        <v/>
      </c>
    </row>
    <row r="1235" customFormat="false" ht="12.75" hidden="false" customHeight="true" outlineLevel="0" collapsed="false">
      <c r="B1235" s="61"/>
      <c r="C1235" s="61"/>
      <c r="D1235" s="23" t="str">
        <f aca="false">IF(助手收入!$R$84&lt;&gt;"","总 账 科 目","")</f>
        <v/>
      </c>
      <c r="E1235" s="23" t="str">
        <f aca="false">IF(助手收入!$R$84&lt;&gt;"","明 细 科 目","")</f>
        <v/>
      </c>
      <c r="F1235" s="65"/>
      <c r="G1235" s="66"/>
      <c r="H1235" s="63"/>
      <c r="I1235" s="64"/>
    </row>
    <row r="1236" customFormat="false" ht="23.25" hidden="false" customHeight="true" outlineLevel="0" collapsed="false">
      <c r="B1236" s="67" t="str">
        <f aca="false">IFERROR(INDEX(分录收入!$M:$M,MATCH($L1236,分录收入!$L:$L,0)),"")</f>
        <v/>
      </c>
      <c r="C1236" s="67"/>
      <c r="D1236" s="23" t="str">
        <f aca="false">IFERROR(INDEX(分录收入!$E:$E,MATCH($L1236,分录收入!$L:$L,0)),"")</f>
        <v/>
      </c>
      <c r="E1236" s="23" t="str">
        <f aca="false">IFERROR(INDEX(分录收入!$F:$F,MATCH($L1236,分录收入!$L:$L,0)),"")</f>
        <v/>
      </c>
      <c r="F1236" s="68" t="str">
        <f aca="false">IFERROR(INDEX(分录收入!$H:$H,MATCH($L1236,分录收入!$L:$L,0)),"")</f>
        <v/>
      </c>
      <c r="G1236" s="69" t="str">
        <f aca="false">IFERROR(INDEX(分录收入!$I:$I,MATCH($L1236,分录收入!$L:$L,0)),"")</f>
        <v/>
      </c>
      <c r="H1236" s="23"/>
      <c r="I1236" s="70"/>
      <c r="L1236" s="71" t="n">
        <f aca="false">IF(助手收入!$R$84="",-1,助手收入!$R$84*100+(助手收入!$S$84-1)*6+1)</f>
        <v>-1</v>
      </c>
    </row>
    <row r="1237" customFormat="false" ht="23.25" hidden="false" customHeight="true" outlineLevel="0" collapsed="false">
      <c r="B1237" s="67" t="str">
        <f aca="false">""</f>
        <v/>
      </c>
      <c r="C1237" s="67"/>
      <c r="D1237" s="23" t="str">
        <f aca="false">IFERROR(INDEX(分录收入!$E:$E,MATCH($L1237,分录收入!$L:$L,0)),"")</f>
        <v/>
      </c>
      <c r="E1237" s="23" t="str">
        <f aca="false">IFERROR(INDEX(分录收入!$F:$F,MATCH($L1237,分录收入!$L:$L,0)),"")</f>
        <v/>
      </c>
      <c r="F1237" s="68" t="str">
        <f aca="false">IFERROR(INDEX(分录收入!$H:$H,MATCH($L1237,分录收入!$L:$L,0)),"")</f>
        <v/>
      </c>
      <c r="G1237" s="69" t="str">
        <f aca="false">IFERROR(INDEX(分录收入!$I:$I,MATCH($L1237,分录收入!$L:$L,0)),"")</f>
        <v/>
      </c>
      <c r="H1237" s="23"/>
      <c r="I1237" s="70"/>
      <c r="L1237" s="71" t="n">
        <f aca="false">IF(助手收入!$R$84="",-1,助手收入!$R$84*100+(助手收入!$S$84-1)*6+2)</f>
        <v>-1</v>
      </c>
    </row>
    <row r="1238" customFormat="false" ht="23.25" hidden="false" customHeight="true" outlineLevel="0" collapsed="false">
      <c r="B1238" s="67" t="str">
        <f aca="false">""</f>
        <v/>
      </c>
      <c r="C1238" s="67"/>
      <c r="D1238" s="23" t="str">
        <f aca="false">IFERROR(INDEX(分录收入!$E:$E,MATCH($L1238,分录收入!$L:$L,0)),"")</f>
        <v/>
      </c>
      <c r="E1238" s="23" t="str">
        <f aca="false">IFERROR(INDEX(分录收入!$F:$F,MATCH($L1238,分录收入!$L:$L,0)),"")</f>
        <v/>
      </c>
      <c r="F1238" s="68" t="str">
        <f aca="false">IFERROR(INDEX(分录收入!$H:$H,MATCH($L1238,分录收入!$L:$L,0)),"")</f>
        <v/>
      </c>
      <c r="G1238" s="69" t="str">
        <f aca="false">IFERROR(INDEX(分录收入!$I:$I,MATCH($L1238,分录收入!$L:$L,0)),"")</f>
        <v/>
      </c>
      <c r="H1238" s="23"/>
      <c r="I1238" s="70"/>
      <c r="L1238" s="71" t="n">
        <f aca="false">IF(助手收入!$R$84="",-1,助手收入!$R$84*100+(助手收入!$S$84-1)*6+3)</f>
        <v>-1</v>
      </c>
    </row>
    <row r="1239" customFormat="false" ht="23.25" hidden="false" customHeight="true" outlineLevel="0" collapsed="false">
      <c r="B1239" s="67" t="str">
        <f aca="false">""</f>
        <v/>
      </c>
      <c r="C1239" s="67"/>
      <c r="D1239" s="23" t="str">
        <f aca="false">IFERROR(INDEX(分录收入!$E:$E,MATCH($L1239,分录收入!$L:$L,0)),"")</f>
        <v/>
      </c>
      <c r="E1239" s="23" t="str">
        <f aca="false">IFERROR(INDEX(分录收入!$F:$F,MATCH($L1239,分录收入!$L:$L,0)),"")</f>
        <v/>
      </c>
      <c r="F1239" s="68" t="str">
        <f aca="false">IFERROR(INDEX(分录收入!$H:$H,MATCH($L1239,分录收入!$L:$L,0)),"")</f>
        <v/>
      </c>
      <c r="G1239" s="69" t="str">
        <f aca="false">IFERROR(INDEX(分录收入!$I:$I,MATCH($L1239,分录收入!$L:$L,0)),"")</f>
        <v/>
      </c>
      <c r="H1239" s="23"/>
      <c r="I1239" s="70"/>
      <c r="L1239" s="71" t="n">
        <f aca="false">IF(助手收入!$R$84="",-1,助手收入!$R$84*100+(助手收入!$S$84-1)*6+4)</f>
        <v>-1</v>
      </c>
    </row>
    <row r="1240" customFormat="false" ht="23.25" hidden="false" customHeight="true" outlineLevel="0" collapsed="false">
      <c r="B1240" s="67" t="str">
        <f aca="false">""</f>
        <v/>
      </c>
      <c r="C1240" s="67"/>
      <c r="D1240" s="23" t="str">
        <f aca="false">IFERROR(INDEX(分录收入!$E:$E,MATCH($L1240,分录收入!$L:$L,0)),"")</f>
        <v/>
      </c>
      <c r="E1240" s="23" t="str">
        <f aca="false">IFERROR(INDEX(分录收入!$F:$F,MATCH($L1240,分录收入!$L:$L,0)),"")</f>
        <v/>
      </c>
      <c r="F1240" s="68" t="str">
        <f aca="false">IFERROR(INDEX(分录收入!$H:$H,MATCH($L1240,分录收入!$L:$L,0)),"")</f>
        <v/>
      </c>
      <c r="G1240" s="69" t="str">
        <f aca="false">IFERROR(INDEX(分录收入!$I:$I,MATCH($L1240,分录收入!$L:$L,0)),"")</f>
        <v/>
      </c>
      <c r="H1240" s="23"/>
      <c r="I1240" s="70"/>
      <c r="L1240" s="71" t="n">
        <f aca="false">IF(助手收入!$R$84="",-1,助手收入!$R$84*100+(助手收入!$S$84-1)*6+5)</f>
        <v>-1</v>
      </c>
    </row>
    <row r="1241" customFormat="false" ht="23.25" hidden="false" customHeight="true" outlineLevel="0" collapsed="false">
      <c r="B1241" s="67" t="str">
        <f aca="false">""</f>
        <v/>
      </c>
      <c r="C1241" s="67"/>
      <c r="D1241" s="23" t="str">
        <f aca="false">IFERROR(INDEX(分录收入!$E:$E,MATCH($L1241,分录收入!$L:$L,0)),"")</f>
        <v/>
      </c>
      <c r="E1241" s="23" t="str">
        <f aca="false">IFERROR(INDEX(分录收入!$F:$F,MATCH($L1241,分录收入!$L:$L,0)),"")</f>
        <v/>
      </c>
      <c r="F1241" s="68" t="str">
        <f aca="false">IFERROR(INDEX(分录收入!$H:$H,MATCH($L1241,分录收入!$L:$L,0)),"")</f>
        <v/>
      </c>
      <c r="G1241" s="69" t="str">
        <f aca="false">IFERROR(INDEX(分录收入!$I:$I,MATCH($L1241,分录收入!$L:$L,0)),"")</f>
        <v/>
      </c>
      <c r="H1241" s="23"/>
      <c r="I1241" s="70"/>
      <c r="L1241" s="71" t="n">
        <f aca="false">IF(助手收入!$R$84="",-1,助手收入!$R$84*100+(助手收入!$S$84-1)*6+6)</f>
        <v>-1</v>
      </c>
    </row>
    <row r="1242" customFormat="false" ht="23.25" hidden="false" customHeight="true" outlineLevel="0" collapsed="false">
      <c r="B1242" s="72" t="str">
        <f aca="false">IF(助手收入!$T$84=1,"合计：","")</f>
        <v/>
      </c>
      <c r="C1242" s="73" t="str">
        <f aca="false">IF(助手收入!$T$84=1,$F1242,"")</f>
        <v/>
      </c>
      <c r="D1242" s="74"/>
      <c r="E1242" s="74"/>
      <c r="F1242" s="75" t="str">
        <f aca="false">IF(助手收入!$T$84=1,INDEX(助手收入!$N$2:$N$66,助手收入!$R$84),"")</f>
        <v/>
      </c>
      <c r="G1242" s="76" t="str">
        <f aca="false">IF(助手收入!$T$84=1,INDEX(助手收入!$O$2:$O$66,助手收入!$R$84),"")</f>
        <v/>
      </c>
      <c r="H1242" s="74"/>
      <c r="I1242" s="77"/>
    </row>
    <row r="1243" customFormat="false" ht="6" hidden="false" customHeight="true" outlineLevel="0" collapsed="false"/>
    <row r="1244" customFormat="false" ht="13.5" hidden="false" customHeight="false" outlineLevel="0" collapsed="false">
      <c r="B1244" s="78" t="str">
        <f aca="false">IF(助手收入!$R$84&lt;&gt;"","会计主管：","")</f>
        <v/>
      </c>
      <c r="D1244" s="78" t="str">
        <f aca="false">IF(助手收入!$R$84&lt;&gt;"","会计：","")</f>
        <v/>
      </c>
      <c r="E1244" s="78" t="str">
        <f aca="false">IF(助手收入!$R$84&lt;&gt;"","出纳：","")</f>
        <v/>
      </c>
      <c r="F1244" s="78" t="str">
        <f aca="false">IF(助手收入!$R$84&lt;&gt;"","复核：","")</f>
        <v/>
      </c>
      <c r="G1244" s="78" t="str">
        <f aca="false">IF(助手收入!$R$84&lt;&gt;"","制单：","")</f>
        <v/>
      </c>
    </row>
    <row r="1245" customFormat="false" ht="3" hidden="false" customHeight="true" outlineLevel="0" collapsed="false"/>
    <row r="1246" customFormat="false" ht="19.5" hidden="false" customHeight="true" outlineLevel="0" collapsed="false">
      <c r="B1246" s="53" t="str">
        <f aca="false">IF(助手收入!$R$85&lt;&gt;"","记  账  凭  证","")</f>
        <v/>
      </c>
      <c r="C1246" s="53"/>
      <c r="D1246" s="53"/>
      <c r="E1246" s="53"/>
      <c r="F1246" s="53"/>
      <c r="G1246" s="53"/>
      <c r="H1246" s="53"/>
      <c r="I1246" s="53"/>
    </row>
    <row r="1247" customFormat="false" ht="3" hidden="false" customHeight="true" outlineLevel="0" collapsed="false"/>
    <row r="1248" customFormat="false" ht="15" hidden="false" customHeight="true" outlineLevel="0" collapsed="false">
      <c r="C1248" s="56" t="str">
        <f aca="false">IF(助手收入!$R$85&lt;&gt;"",INDEX(助手收入!$B$2:$B$66,助手收入!$R$85),"")</f>
        <v/>
      </c>
      <c r="D1248" s="57" t="str">
        <f aca="false">IF(助手收入!$R$85&lt;&gt;"",参数!$B$2,"")</f>
        <v/>
      </c>
      <c r="E1248" s="57"/>
      <c r="F1248" s="58" t="str">
        <f aca="false">IF(助手收入!$R$85&lt;&gt;"",INDEX(助手收入!$C$2:$C$66,助手收入!$R$85)&amp;"  字第 "&amp;IF(参数!$B$9="是",INDEX(助手收入!$P$2:$P$66,助手收入!$R$85),"　　　　")&amp;" 号"&amp;IF(INDEX(助手收入!$L$2:$L$66,助手收入!$R$85)&gt;1,"  (共"&amp;INDEX(助手收入!$L$2:$L$66,助手收入!$R$85)&amp;"页 第"&amp;助手收入!$S$85&amp;"页)",""),"")</f>
        <v/>
      </c>
      <c r="G1248" s="58"/>
      <c r="H1248" s="58"/>
      <c r="I1248" s="58"/>
      <c r="M1248" s="79" t="str">
        <f aca="false">IF(助手收入!$R$85="","",助手收入!$Q$85)</f>
        <v/>
      </c>
      <c r="N1248" s="80" t="str">
        <f aca="false">IF(助手收入!$R$85="","",INDEX(助手收入!$P$2:$P$66,助手收入!$R$85))</f>
        <v/>
      </c>
      <c r="O1248" s="55" t="str">
        <f aca="false">IF(助手收入!$R$85="","",INDEX(助手收入!$C$2:$C$66,助手收入!$R$85)&amp;"  字第 "&amp;INDEX(助手收入!$P$2:$P$66,助手收入!$R$85)&amp;" 号"&amp;IF(INDEX(助手收入!$L$2:$L$66,助手收入!$R$85)&gt;1,"  (共"&amp;INDEX(助手收入!$L$2:$L$66,助手收入!$R$85)&amp;"页 第"&amp;助手收入!$S$85&amp;"页)",""))</f>
        <v/>
      </c>
    </row>
    <row r="1249" customFormat="false" ht="12.75" hidden="false" customHeight="true" outlineLevel="0" collapsed="false">
      <c r="B1249" s="61" t="str">
        <f aca="false">IF(助手收入!$R$85&lt;&gt;"","摘　　要","")</f>
        <v/>
      </c>
      <c r="C1249" s="61"/>
      <c r="D1249" s="62" t="str">
        <f aca="false">IF(助手收入!$R$85&lt;&gt;"","科　　　　目","")</f>
        <v/>
      </c>
      <c r="E1249" s="62"/>
      <c r="F1249" s="61" t="str">
        <f aca="false">IF(助手收入!$R$85&lt;&gt;"","借 方 金 额","")</f>
        <v/>
      </c>
      <c r="G1249" s="62" t="str">
        <f aca="false">IF(助手收入!$R$85&lt;&gt;"","贷 方 金 额","")</f>
        <v/>
      </c>
      <c r="H1249" s="63" t="str">
        <f aca="false">IF(助手收入!$R$85&lt;&gt;"","√","")</f>
        <v/>
      </c>
      <c r="I1249" s="64" t="str">
        <f aca="false">IF(助手收入!$R$85&lt;&gt;"","附单据  张","")</f>
        <v/>
      </c>
    </row>
    <row r="1250" customFormat="false" ht="12.75" hidden="false" customHeight="true" outlineLevel="0" collapsed="false">
      <c r="B1250" s="61"/>
      <c r="C1250" s="61"/>
      <c r="D1250" s="23" t="str">
        <f aca="false">IF(助手收入!$R$85&lt;&gt;"","总 账 科 目","")</f>
        <v/>
      </c>
      <c r="E1250" s="23" t="str">
        <f aca="false">IF(助手收入!$R$85&lt;&gt;"","明 细 科 目","")</f>
        <v/>
      </c>
      <c r="F1250" s="65"/>
      <c r="G1250" s="66"/>
      <c r="H1250" s="63"/>
      <c r="I1250" s="64"/>
    </row>
    <row r="1251" customFormat="false" ht="23.25" hidden="false" customHeight="true" outlineLevel="0" collapsed="false">
      <c r="B1251" s="67" t="str">
        <f aca="false">IFERROR(INDEX(分录收入!$M:$M,MATCH($L1251,分录收入!$L:$L,0)),"")</f>
        <v/>
      </c>
      <c r="C1251" s="67"/>
      <c r="D1251" s="23" t="str">
        <f aca="false">IFERROR(INDEX(分录收入!$E:$E,MATCH($L1251,分录收入!$L:$L,0)),"")</f>
        <v/>
      </c>
      <c r="E1251" s="23" t="str">
        <f aca="false">IFERROR(INDEX(分录收入!$F:$F,MATCH($L1251,分录收入!$L:$L,0)),"")</f>
        <v/>
      </c>
      <c r="F1251" s="68" t="str">
        <f aca="false">IFERROR(INDEX(分录收入!$H:$H,MATCH($L1251,分录收入!$L:$L,0)),"")</f>
        <v/>
      </c>
      <c r="G1251" s="69" t="str">
        <f aca="false">IFERROR(INDEX(分录收入!$I:$I,MATCH($L1251,分录收入!$L:$L,0)),"")</f>
        <v/>
      </c>
      <c r="H1251" s="23"/>
      <c r="I1251" s="70"/>
      <c r="L1251" s="71" t="n">
        <f aca="false">IF(助手收入!$R$85="",-1,助手收入!$R$85*100+(助手收入!$S$85-1)*6+1)</f>
        <v>-1</v>
      </c>
    </row>
    <row r="1252" customFormat="false" ht="23.25" hidden="false" customHeight="true" outlineLevel="0" collapsed="false">
      <c r="B1252" s="67" t="str">
        <f aca="false">""</f>
        <v/>
      </c>
      <c r="C1252" s="67"/>
      <c r="D1252" s="23" t="str">
        <f aca="false">IFERROR(INDEX(分录收入!$E:$E,MATCH($L1252,分录收入!$L:$L,0)),"")</f>
        <v/>
      </c>
      <c r="E1252" s="23" t="str">
        <f aca="false">IFERROR(INDEX(分录收入!$F:$F,MATCH($L1252,分录收入!$L:$L,0)),"")</f>
        <v/>
      </c>
      <c r="F1252" s="68" t="str">
        <f aca="false">IFERROR(INDEX(分录收入!$H:$H,MATCH($L1252,分录收入!$L:$L,0)),"")</f>
        <v/>
      </c>
      <c r="G1252" s="69" t="str">
        <f aca="false">IFERROR(INDEX(分录收入!$I:$I,MATCH($L1252,分录收入!$L:$L,0)),"")</f>
        <v/>
      </c>
      <c r="H1252" s="23"/>
      <c r="I1252" s="70"/>
      <c r="L1252" s="71" t="n">
        <f aca="false">IF(助手收入!$R$85="",-1,助手收入!$R$85*100+(助手收入!$S$85-1)*6+2)</f>
        <v>-1</v>
      </c>
    </row>
    <row r="1253" customFormat="false" ht="23.25" hidden="false" customHeight="true" outlineLevel="0" collapsed="false">
      <c r="B1253" s="67" t="str">
        <f aca="false">""</f>
        <v/>
      </c>
      <c r="C1253" s="67"/>
      <c r="D1253" s="23" t="str">
        <f aca="false">IFERROR(INDEX(分录收入!$E:$E,MATCH($L1253,分录收入!$L:$L,0)),"")</f>
        <v/>
      </c>
      <c r="E1253" s="23" t="str">
        <f aca="false">IFERROR(INDEX(分录收入!$F:$F,MATCH($L1253,分录收入!$L:$L,0)),"")</f>
        <v/>
      </c>
      <c r="F1253" s="68" t="str">
        <f aca="false">IFERROR(INDEX(分录收入!$H:$H,MATCH($L1253,分录收入!$L:$L,0)),"")</f>
        <v/>
      </c>
      <c r="G1253" s="69" t="str">
        <f aca="false">IFERROR(INDEX(分录收入!$I:$I,MATCH($L1253,分录收入!$L:$L,0)),"")</f>
        <v/>
      </c>
      <c r="H1253" s="23"/>
      <c r="I1253" s="70"/>
      <c r="L1253" s="71" t="n">
        <f aca="false">IF(助手收入!$R$85="",-1,助手收入!$R$85*100+(助手收入!$S$85-1)*6+3)</f>
        <v>-1</v>
      </c>
    </row>
    <row r="1254" customFormat="false" ht="23.25" hidden="false" customHeight="true" outlineLevel="0" collapsed="false">
      <c r="B1254" s="67" t="str">
        <f aca="false">""</f>
        <v/>
      </c>
      <c r="C1254" s="67"/>
      <c r="D1254" s="23" t="str">
        <f aca="false">IFERROR(INDEX(分录收入!$E:$E,MATCH($L1254,分录收入!$L:$L,0)),"")</f>
        <v/>
      </c>
      <c r="E1254" s="23" t="str">
        <f aca="false">IFERROR(INDEX(分录收入!$F:$F,MATCH($L1254,分录收入!$L:$L,0)),"")</f>
        <v/>
      </c>
      <c r="F1254" s="68" t="str">
        <f aca="false">IFERROR(INDEX(分录收入!$H:$H,MATCH($L1254,分录收入!$L:$L,0)),"")</f>
        <v/>
      </c>
      <c r="G1254" s="69" t="str">
        <f aca="false">IFERROR(INDEX(分录收入!$I:$I,MATCH($L1254,分录收入!$L:$L,0)),"")</f>
        <v/>
      </c>
      <c r="H1254" s="23"/>
      <c r="I1254" s="70"/>
      <c r="L1254" s="71" t="n">
        <f aca="false">IF(助手收入!$R$85="",-1,助手收入!$R$85*100+(助手收入!$S$85-1)*6+4)</f>
        <v>-1</v>
      </c>
    </row>
    <row r="1255" customFormat="false" ht="23.25" hidden="false" customHeight="true" outlineLevel="0" collapsed="false">
      <c r="B1255" s="67" t="str">
        <f aca="false">""</f>
        <v/>
      </c>
      <c r="C1255" s="67"/>
      <c r="D1255" s="23" t="str">
        <f aca="false">IFERROR(INDEX(分录收入!$E:$E,MATCH($L1255,分录收入!$L:$L,0)),"")</f>
        <v/>
      </c>
      <c r="E1255" s="23" t="str">
        <f aca="false">IFERROR(INDEX(分录收入!$F:$F,MATCH($L1255,分录收入!$L:$L,0)),"")</f>
        <v/>
      </c>
      <c r="F1255" s="68" t="str">
        <f aca="false">IFERROR(INDEX(分录收入!$H:$H,MATCH($L1255,分录收入!$L:$L,0)),"")</f>
        <v/>
      </c>
      <c r="G1255" s="69" t="str">
        <f aca="false">IFERROR(INDEX(分录收入!$I:$I,MATCH($L1255,分录收入!$L:$L,0)),"")</f>
        <v/>
      </c>
      <c r="H1255" s="23"/>
      <c r="I1255" s="70"/>
      <c r="L1255" s="71" t="n">
        <f aca="false">IF(助手收入!$R$85="",-1,助手收入!$R$85*100+(助手收入!$S$85-1)*6+5)</f>
        <v>-1</v>
      </c>
    </row>
    <row r="1256" customFormat="false" ht="23.25" hidden="false" customHeight="true" outlineLevel="0" collapsed="false">
      <c r="B1256" s="67" t="str">
        <f aca="false">""</f>
        <v/>
      </c>
      <c r="C1256" s="67"/>
      <c r="D1256" s="23" t="str">
        <f aca="false">IFERROR(INDEX(分录收入!$E:$E,MATCH($L1256,分录收入!$L:$L,0)),"")</f>
        <v/>
      </c>
      <c r="E1256" s="23" t="str">
        <f aca="false">IFERROR(INDEX(分录收入!$F:$F,MATCH($L1256,分录收入!$L:$L,0)),"")</f>
        <v/>
      </c>
      <c r="F1256" s="68" t="str">
        <f aca="false">IFERROR(INDEX(分录收入!$H:$H,MATCH($L1256,分录收入!$L:$L,0)),"")</f>
        <v/>
      </c>
      <c r="G1256" s="69" t="str">
        <f aca="false">IFERROR(INDEX(分录收入!$I:$I,MATCH($L1256,分录收入!$L:$L,0)),"")</f>
        <v/>
      </c>
      <c r="H1256" s="23"/>
      <c r="I1256" s="70"/>
      <c r="L1256" s="71" t="n">
        <f aca="false">IF(助手收入!$R$85="",-1,助手收入!$R$85*100+(助手收入!$S$85-1)*6+6)</f>
        <v>-1</v>
      </c>
    </row>
    <row r="1257" customFormat="false" ht="23.25" hidden="false" customHeight="true" outlineLevel="0" collapsed="false">
      <c r="B1257" s="72" t="str">
        <f aca="false">IF(助手收入!$T$85=1,"合计：","")</f>
        <v/>
      </c>
      <c r="C1257" s="73" t="str">
        <f aca="false">IF(助手收入!$T$85=1,$F1257,"")</f>
        <v/>
      </c>
      <c r="D1257" s="74"/>
      <c r="E1257" s="74"/>
      <c r="F1257" s="75" t="str">
        <f aca="false">IF(助手收入!$T$85=1,INDEX(助手收入!$N$2:$N$66,助手收入!$R$85),"")</f>
        <v/>
      </c>
      <c r="G1257" s="76" t="str">
        <f aca="false">IF(助手收入!$T$85=1,INDEX(助手收入!$O$2:$O$66,助手收入!$R$85),"")</f>
        <v/>
      </c>
      <c r="H1257" s="74"/>
      <c r="I1257" s="77"/>
    </row>
    <row r="1258" customFormat="false" ht="6" hidden="false" customHeight="true" outlineLevel="0" collapsed="false"/>
    <row r="1259" customFormat="false" ht="13.5" hidden="false" customHeight="false" outlineLevel="0" collapsed="false">
      <c r="B1259" s="78" t="str">
        <f aca="false">IF(助手收入!$R$85&lt;&gt;"","会计主管：","")</f>
        <v/>
      </c>
      <c r="D1259" s="78" t="str">
        <f aca="false">IF(助手收入!$R$85&lt;&gt;"","会计：","")</f>
        <v/>
      </c>
      <c r="E1259" s="78" t="str">
        <f aca="false">IF(助手收入!$R$85&lt;&gt;"","出纳：","")</f>
        <v/>
      </c>
      <c r="F1259" s="78" t="str">
        <f aca="false">IF(助手收入!$R$85&lt;&gt;"","复核：","")</f>
        <v/>
      </c>
      <c r="G1259" s="78" t="str">
        <f aca="false">IF(助手收入!$R$85&lt;&gt;"","制单：","")</f>
        <v/>
      </c>
    </row>
    <row r="1260" customFormat="false" ht="3" hidden="false" customHeight="true" outlineLevel="0" collapsed="false"/>
    <row r="1261" customFormat="false" ht="19.5" hidden="false" customHeight="true" outlineLevel="0" collapsed="false">
      <c r="B1261" s="53" t="str">
        <f aca="false">IF(助手收入!$R$86&lt;&gt;"","记  账  凭  证","")</f>
        <v/>
      </c>
      <c r="C1261" s="53"/>
      <c r="D1261" s="53"/>
      <c r="E1261" s="53"/>
      <c r="F1261" s="53"/>
      <c r="G1261" s="53"/>
      <c r="H1261" s="53"/>
      <c r="I1261" s="53"/>
    </row>
    <row r="1262" customFormat="false" ht="3" hidden="false" customHeight="true" outlineLevel="0" collapsed="false"/>
    <row r="1263" customFormat="false" ht="15" hidden="false" customHeight="true" outlineLevel="0" collapsed="false">
      <c r="C1263" s="56" t="str">
        <f aca="false">IF(助手收入!$R$86&lt;&gt;"",INDEX(助手收入!$B$2:$B$66,助手收入!$R$86),"")</f>
        <v/>
      </c>
      <c r="D1263" s="57" t="str">
        <f aca="false">IF(助手收入!$R$86&lt;&gt;"",参数!$B$2,"")</f>
        <v/>
      </c>
      <c r="E1263" s="57"/>
      <c r="F1263" s="58" t="str">
        <f aca="false">IF(助手收入!$R$86&lt;&gt;"",INDEX(助手收入!$C$2:$C$66,助手收入!$R$86)&amp;"  字第 "&amp;IF(参数!$B$9="是",INDEX(助手收入!$P$2:$P$66,助手收入!$R$86),"　　　　")&amp;" 号"&amp;IF(INDEX(助手收入!$L$2:$L$66,助手收入!$R$86)&gt;1,"  (共"&amp;INDEX(助手收入!$L$2:$L$66,助手收入!$R$86)&amp;"页 第"&amp;助手收入!$S$86&amp;"页)",""),"")</f>
        <v/>
      </c>
      <c r="G1263" s="58"/>
      <c r="H1263" s="58"/>
      <c r="I1263" s="58"/>
      <c r="M1263" s="79" t="str">
        <f aca="false">IF(助手收入!$R$86="","",助手收入!$Q$86)</f>
        <v/>
      </c>
      <c r="N1263" s="80" t="str">
        <f aca="false">IF(助手收入!$R$86="","",INDEX(助手收入!$P$2:$P$66,助手收入!$R$86))</f>
        <v/>
      </c>
      <c r="O1263" s="55" t="str">
        <f aca="false">IF(助手收入!$R$86="","",INDEX(助手收入!$C$2:$C$66,助手收入!$R$86)&amp;"  字第 "&amp;INDEX(助手收入!$P$2:$P$66,助手收入!$R$86)&amp;" 号"&amp;IF(INDEX(助手收入!$L$2:$L$66,助手收入!$R$86)&gt;1,"  (共"&amp;INDEX(助手收入!$L$2:$L$66,助手收入!$R$86)&amp;"页 第"&amp;助手收入!$S$86&amp;"页)",""))</f>
        <v/>
      </c>
    </row>
    <row r="1264" customFormat="false" ht="12.75" hidden="false" customHeight="true" outlineLevel="0" collapsed="false">
      <c r="B1264" s="61" t="str">
        <f aca="false">IF(助手收入!$R$86&lt;&gt;"","摘　　要","")</f>
        <v/>
      </c>
      <c r="C1264" s="61"/>
      <c r="D1264" s="62" t="str">
        <f aca="false">IF(助手收入!$R$86&lt;&gt;"","科　　　　目","")</f>
        <v/>
      </c>
      <c r="E1264" s="62"/>
      <c r="F1264" s="61" t="str">
        <f aca="false">IF(助手收入!$R$86&lt;&gt;"","借 方 金 额","")</f>
        <v/>
      </c>
      <c r="G1264" s="62" t="str">
        <f aca="false">IF(助手收入!$R$86&lt;&gt;"","贷 方 金 额","")</f>
        <v/>
      </c>
      <c r="H1264" s="63" t="str">
        <f aca="false">IF(助手收入!$R$86&lt;&gt;"","√","")</f>
        <v/>
      </c>
      <c r="I1264" s="64" t="str">
        <f aca="false">IF(助手收入!$R$86&lt;&gt;"","附单据  张","")</f>
        <v/>
      </c>
    </row>
    <row r="1265" customFormat="false" ht="12.75" hidden="false" customHeight="true" outlineLevel="0" collapsed="false">
      <c r="B1265" s="61"/>
      <c r="C1265" s="61"/>
      <c r="D1265" s="23" t="str">
        <f aca="false">IF(助手收入!$R$86&lt;&gt;"","总 账 科 目","")</f>
        <v/>
      </c>
      <c r="E1265" s="23" t="str">
        <f aca="false">IF(助手收入!$R$86&lt;&gt;"","明 细 科 目","")</f>
        <v/>
      </c>
      <c r="F1265" s="65"/>
      <c r="G1265" s="66"/>
      <c r="H1265" s="63"/>
      <c r="I1265" s="64"/>
    </row>
    <row r="1266" customFormat="false" ht="23.25" hidden="false" customHeight="true" outlineLevel="0" collapsed="false">
      <c r="B1266" s="67" t="str">
        <f aca="false">IFERROR(INDEX(分录收入!$M:$M,MATCH($L1266,分录收入!$L:$L,0)),"")</f>
        <v/>
      </c>
      <c r="C1266" s="67"/>
      <c r="D1266" s="23" t="str">
        <f aca="false">IFERROR(INDEX(分录收入!$E:$E,MATCH($L1266,分录收入!$L:$L,0)),"")</f>
        <v/>
      </c>
      <c r="E1266" s="23" t="str">
        <f aca="false">IFERROR(INDEX(分录收入!$F:$F,MATCH($L1266,分录收入!$L:$L,0)),"")</f>
        <v/>
      </c>
      <c r="F1266" s="68" t="str">
        <f aca="false">IFERROR(INDEX(分录收入!$H:$H,MATCH($L1266,分录收入!$L:$L,0)),"")</f>
        <v/>
      </c>
      <c r="G1266" s="69" t="str">
        <f aca="false">IFERROR(INDEX(分录收入!$I:$I,MATCH($L1266,分录收入!$L:$L,0)),"")</f>
        <v/>
      </c>
      <c r="H1266" s="23"/>
      <c r="I1266" s="70"/>
      <c r="L1266" s="71" t="n">
        <f aca="false">IF(助手收入!$R$86="",-1,助手收入!$R$86*100+(助手收入!$S$86-1)*6+1)</f>
        <v>-1</v>
      </c>
    </row>
    <row r="1267" customFormat="false" ht="23.25" hidden="false" customHeight="true" outlineLevel="0" collapsed="false">
      <c r="B1267" s="67" t="str">
        <f aca="false">""</f>
        <v/>
      </c>
      <c r="C1267" s="67"/>
      <c r="D1267" s="23" t="str">
        <f aca="false">IFERROR(INDEX(分录收入!$E:$E,MATCH($L1267,分录收入!$L:$L,0)),"")</f>
        <v/>
      </c>
      <c r="E1267" s="23" t="str">
        <f aca="false">IFERROR(INDEX(分录收入!$F:$F,MATCH($L1267,分录收入!$L:$L,0)),"")</f>
        <v/>
      </c>
      <c r="F1267" s="68" t="str">
        <f aca="false">IFERROR(INDEX(分录收入!$H:$H,MATCH($L1267,分录收入!$L:$L,0)),"")</f>
        <v/>
      </c>
      <c r="G1267" s="69" t="str">
        <f aca="false">IFERROR(INDEX(分录收入!$I:$I,MATCH($L1267,分录收入!$L:$L,0)),"")</f>
        <v/>
      </c>
      <c r="H1267" s="23"/>
      <c r="I1267" s="70"/>
      <c r="L1267" s="71" t="n">
        <f aca="false">IF(助手收入!$R$86="",-1,助手收入!$R$86*100+(助手收入!$S$86-1)*6+2)</f>
        <v>-1</v>
      </c>
    </row>
    <row r="1268" customFormat="false" ht="23.25" hidden="false" customHeight="true" outlineLevel="0" collapsed="false">
      <c r="B1268" s="67" t="str">
        <f aca="false">""</f>
        <v/>
      </c>
      <c r="C1268" s="67"/>
      <c r="D1268" s="23" t="str">
        <f aca="false">IFERROR(INDEX(分录收入!$E:$E,MATCH($L1268,分录收入!$L:$L,0)),"")</f>
        <v/>
      </c>
      <c r="E1268" s="23" t="str">
        <f aca="false">IFERROR(INDEX(分录收入!$F:$F,MATCH($L1268,分录收入!$L:$L,0)),"")</f>
        <v/>
      </c>
      <c r="F1268" s="68" t="str">
        <f aca="false">IFERROR(INDEX(分录收入!$H:$H,MATCH($L1268,分录收入!$L:$L,0)),"")</f>
        <v/>
      </c>
      <c r="G1268" s="69" t="str">
        <f aca="false">IFERROR(INDEX(分录收入!$I:$I,MATCH($L1268,分录收入!$L:$L,0)),"")</f>
        <v/>
      </c>
      <c r="H1268" s="23"/>
      <c r="I1268" s="70"/>
      <c r="L1268" s="71" t="n">
        <f aca="false">IF(助手收入!$R$86="",-1,助手收入!$R$86*100+(助手收入!$S$86-1)*6+3)</f>
        <v>-1</v>
      </c>
    </row>
    <row r="1269" customFormat="false" ht="23.25" hidden="false" customHeight="true" outlineLevel="0" collapsed="false">
      <c r="B1269" s="67" t="str">
        <f aca="false">""</f>
        <v/>
      </c>
      <c r="C1269" s="67"/>
      <c r="D1269" s="23" t="str">
        <f aca="false">IFERROR(INDEX(分录收入!$E:$E,MATCH($L1269,分录收入!$L:$L,0)),"")</f>
        <v/>
      </c>
      <c r="E1269" s="23" t="str">
        <f aca="false">IFERROR(INDEX(分录收入!$F:$F,MATCH($L1269,分录收入!$L:$L,0)),"")</f>
        <v/>
      </c>
      <c r="F1269" s="68" t="str">
        <f aca="false">IFERROR(INDEX(分录收入!$H:$H,MATCH($L1269,分录收入!$L:$L,0)),"")</f>
        <v/>
      </c>
      <c r="G1269" s="69" t="str">
        <f aca="false">IFERROR(INDEX(分录收入!$I:$I,MATCH($L1269,分录收入!$L:$L,0)),"")</f>
        <v/>
      </c>
      <c r="H1269" s="23"/>
      <c r="I1269" s="70"/>
      <c r="L1269" s="71" t="n">
        <f aca="false">IF(助手收入!$R$86="",-1,助手收入!$R$86*100+(助手收入!$S$86-1)*6+4)</f>
        <v>-1</v>
      </c>
    </row>
    <row r="1270" customFormat="false" ht="23.25" hidden="false" customHeight="true" outlineLevel="0" collapsed="false">
      <c r="B1270" s="67" t="str">
        <f aca="false">""</f>
        <v/>
      </c>
      <c r="C1270" s="67"/>
      <c r="D1270" s="23" t="str">
        <f aca="false">IFERROR(INDEX(分录收入!$E:$E,MATCH($L1270,分录收入!$L:$L,0)),"")</f>
        <v/>
      </c>
      <c r="E1270" s="23" t="str">
        <f aca="false">IFERROR(INDEX(分录收入!$F:$F,MATCH($L1270,分录收入!$L:$L,0)),"")</f>
        <v/>
      </c>
      <c r="F1270" s="68" t="str">
        <f aca="false">IFERROR(INDEX(分录收入!$H:$H,MATCH($L1270,分录收入!$L:$L,0)),"")</f>
        <v/>
      </c>
      <c r="G1270" s="69" t="str">
        <f aca="false">IFERROR(INDEX(分录收入!$I:$I,MATCH($L1270,分录收入!$L:$L,0)),"")</f>
        <v/>
      </c>
      <c r="H1270" s="23"/>
      <c r="I1270" s="70"/>
      <c r="L1270" s="71" t="n">
        <f aca="false">IF(助手收入!$R$86="",-1,助手收入!$R$86*100+(助手收入!$S$86-1)*6+5)</f>
        <v>-1</v>
      </c>
    </row>
    <row r="1271" customFormat="false" ht="23.25" hidden="false" customHeight="true" outlineLevel="0" collapsed="false">
      <c r="B1271" s="67" t="str">
        <f aca="false">""</f>
        <v/>
      </c>
      <c r="C1271" s="67"/>
      <c r="D1271" s="23" t="str">
        <f aca="false">IFERROR(INDEX(分录收入!$E:$E,MATCH($L1271,分录收入!$L:$L,0)),"")</f>
        <v/>
      </c>
      <c r="E1271" s="23" t="str">
        <f aca="false">IFERROR(INDEX(分录收入!$F:$F,MATCH($L1271,分录收入!$L:$L,0)),"")</f>
        <v/>
      </c>
      <c r="F1271" s="68" t="str">
        <f aca="false">IFERROR(INDEX(分录收入!$H:$H,MATCH($L1271,分录收入!$L:$L,0)),"")</f>
        <v/>
      </c>
      <c r="G1271" s="69" t="str">
        <f aca="false">IFERROR(INDEX(分录收入!$I:$I,MATCH($L1271,分录收入!$L:$L,0)),"")</f>
        <v/>
      </c>
      <c r="H1271" s="23"/>
      <c r="I1271" s="70"/>
      <c r="L1271" s="71" t="n">
        <f aca="false">IF(助手收入!$R$86="",-1,助手收入!$R$86*100+(助手收入!$S$86-1)*6+6)</f>
        <v>-1</v>
      </c>
    </row>
    <row r="1272" customFormat="false" ht="23.25" hidden="false" customHeight="true" outlineLevel="0" collapsed="false">
      <c r="B1272" s="72" t="str">
        <f aca="false">IF(助手收入!$T$86=1,"合计：","")</f>
        <v/>
      </c>
      <c r="C1272" s="73" t="str">
        <f aca="false">IF(助手收入!$T$86=1,$F1272,"")</f>
        <v/>
      </c>
      <c r="D1272" s="74"/>
      <c r="E1272" s="74"/>
      <c r="F1272" s="75" t="str">
        <f aca="false">IF(助手收入!$T$86=1,INDEX(助手收入!$N$2:$N$66,助手收入!$R$86),"")</f>
        <v/>
      </c>
      <c r="G1272" s="76" t="str">
        <f aca="false">IF(助手收入!$T$86=1,INDEX(助手收入!$O$2:$O$66,助手收入!$R$86),"")</f>
        <v/>
      </c>
      <c r="H1272" s="74"/>
      <c r="I1272" s="77"/>
    </row>
    <row r="1273" customFormat="false" ht="6" hidden="false" customHeight="true" outlineLevel="0" collapsed="false"/>
    <row r="1274" customFormat="false" ht="13.5" hidden="false" customHeight="false" outlineLevel="0" collapsed="false">
      <c r="B1274" s="78" t="str">
        <f aca="false">IF(助手收入!$R$86&lt;&gt;"","会计主管：","")</f>
        <v/>
      </c>
      <c r="D1274" s="78" t="str">
        <f aca="false">IF(助手收入!$R$86&lt;&gt;"","会计：","")</f>
        <v/>
      </c>
      <c r="E1274" s="78" t="str">
        <f aca="false">IF(助手收入!$R$86&lt;&gt;"","出纳：","")</f>
        <v/>
      </c>
      <c r="F1274" s="78" t="str">
        <f aca="false">IF(助手收入!$R$86&lt;&gt;"","复核：","")</f>
        <v/>
      </c>
      <c r="G1274" s="78" t="str">
        <f aca="false">IF(助手收入!$R$86&lt;&gt;"","制单：","")</f>
        <v/>
      </c>
    </row>
    <row r="1275" customFormat="false" ht="3" hidden="false" customHeight="true" outlineLevel="0" collapsed="false"/>
    <row r="1276" customFormat="false" ht="19.5" hidden="false" customHeight="true" outlineLevel="0" collapsed="false">
      <c r="B1276" s="53" t="str">
        <f aca="false">IF(助手收入!$R$87&lt;&gt;"","记  账  凭  证","")</f>
        <v/>
      </c>
      <c r="C1276" s="53"/>
      <c r="D1276" s="53"/>
      <c r="E1276" s="53"/>
      <c r="F1276" s="53"/>
      <c r="G1276" s="53"/>
      <c r="H1276" s="53"/>
      <c r="I1276" s="53"/>
    </row>
    <row r="1277" customFormat="false" ht="3" hidden="false" customHeight="true" outlineLevel="0" collapsed="false"/>
    <row r="1278" customFormat="false" ht="15" hidden="false" customHeight="true" outlineLevel="0" collapsed="false">
      <c r="C1278" s="56" t="str">
        <f aca="false">IF(助手收入!$R$87&lt;&gt;"",INDEX(助手收入!$B$2:$B$66,助手收入!$R$87),"")</f>
        <v/>
      </c>
      <c r="D1278" s="57" t="str">
        <f aca="false">IF(助手收入!$R$87&lt;&gt;"",参数!$B$2,"")</f>
        <v/>
      </c>
      <c r="E1278" s="57"/>
      <c r="F1278" s="58" t="str">
        <f aca="false">IF(助手收入!$R$87&lt;&gt;"",INDEX(助手收入!$C$2:$C$66,助手收入!$R$87)&amp;"  字第 "&amp;IF(参数!$B$9="是",INDEX(助手收入!$P$2:$P$66,助手收入!$R$87),"　　　　")&amp;" 号"&amp;IF(INDEX(助手收入!$L$2:$L$66,助手收入!$R$87)&gt;1,"  (共"&amp;INDEX(助手收入!$L$2:$L$66,助手收入!$R$87)&amp;"页 第"&amp;助手收入!$S$87&amp;"页)",""),"")</f>
        <v/>
      </c>
      <c r="G1278" s="58"/>
      <c r="H1278" s="58"/>
      <c r="I1278" s="58"/>
      <c r="M1278" s="79" t="str">
        <f aca="false">IF(助手收入!$R$87="","",助手收入!$Q$87)</f>
        <v/>
      </c>
      <c r="N1278" s="80" t="str">
        <f aca="false">IF(助手收入!$R$87="","",INDEX(助手收入!$P$2:$P$66,助手收入!$R$87))</f>
        <v/>
      </c>
      <c r="O1278" s="55" t="str">
        <f aca="false">IF(助手收入!$R$87="","",INDEX(助手收入!$C$2:$C$66,助手收入!$R$87)&amp;"  字第 "&amp;INDEX(助手收入!$P$2:$P$66,助手收入!$R$87)&amp;" 号"&amp;IF(INDEX(助手收入!$L$2:$L$66,助手收入!$R$87)&gt;1,"  (共"&amp;INDEX(助手收入!$L$2:$L$66,助手收入!$R$87)&amp;"页 第"&amp;助手收入!$S$87&amp;"页)",""))</f>
        <v/>
      </c>
    </row>
    <row r="1279" customFormat="false" ht="12.75" hidden="false" customHeight="true" outlineLevel="0" collapsed="false">
      <c r="B1279" s="61" t="str">
        <f aca="false">IF(助手收入!$R$87&lt;&gt;"","摘　　要","")</f>
        <v/>
      </c>
      <c r="C1279" s="61"/>
      <c r="D1279" s="62" t="str">
        <f aca="false">IF(助手收入!$R$87&lt;&gt;"","科　　　　目","")</f>
        <v/>
      </c>
      <c r="E1279" s="62"/>
      <c r="F1279" s="61" t="str">
        <f aca="false">IF(助手收入!$R$87&lt;&gt;"","借 方 金 额","")</f>
        <v/>
      </c>
      <c r="G1279" s="62" t="str">
        <f aca="false">IF(助手收入!$R$87&lt;&gt;"","贷 方 金 额","")</f>
        <v/>
      </c>
      <c r="H1279" s="63" t="str">
        <f aca="false">IF(助手收入!$R$87&lt;&gt;"","√","")</f>
        <v/>
      </c>
      <c r="I1279" s="64" t="str">
        <f aca="false">IF(助手收入!$R$87&lt;&gt;"","附单据  张","")</f>
        <v/>
      </c>
    </row>
    <row r="1280" customFormat="false" ht="12.75" hidden="false" customHeight="true" outlineLevel="0" collapsed="false">
      <c r="B1280" s="61"/>
      <c r="C1280" s="61"/>
      <c r="D1280" s="23" t="str">
        <f aca="false">IF(助手收入!$R$87&lt;&gt;"","总 账 科 目","")</f>
        <v/>
      </c>
      <c r="E1280" s="23" t="str">
        <f aca="false">IF(助手收入!$R$87&lt;&gt;"","明 细 科 目","")</f>
        <v/>
      </c>
      <c r="F1280" s="65"/>
      <c r="G1280" s="66"/>
      <c r="H1280" s="63"/>
      <c r="I1280" s="64"/>
    </row>
    <row r="1281" customFormat="false" ht="23.25" hidden="false" customHeight="true" outlineLevel="0" collapsed="false">
      <c r="B1281" s="67" t="str">
        <f aca="false">IFERROR(INDEX(分录收入!$M:$M,MATCH($L1281,分录收入!$L:$L,0)),"")</f>
        <v/>
      </c>
      <c r="C1281" s="67"/>
      <c r="D1281" s="23" t="str">
        <f aca="false">IFERROR(INDEX(分录收入!$E:$E,MATCH($L1281,分录收入!$L:$L,0)),"")</f>
        <v/>
      </c>
      <c r="E1281" s="23" t="str">
        <f aca="false">IFERROR(INDEX(分录收入!$F:$F,MATCH($L1281,分录收入!$L:$L,0)),"")</f>
        <v/>
      </c>
      <c r="F1281" s="68" t="str">
        <f aca="false">IFERROR(INDEX(分录收入!$H:$H,MATCH($L1281,分录收入!$L:$L,0)),"")</f>
        <v/>
      </c>
      <c r="G1281" s="69" t="str">
        <f aca="false">IFERROR(INDEX(分录收入!$I:$I,MATCH($L1281,分录收入!$L:$L,0)),"")</f>
        <v/>
      </c>
      <c r="H1281" s="23"/>
      <c r="I1281" s="70"/>
      <c r="L1281" s="71" t="n">
        <f aca="false">IF(助手收入!$R$87="",-1,助手收入!$R$87*100+(助手收入!$S$87-1)*6+1)</f>
        <v>-1</v>
      </c>
    </row>
    <row r="1282" customFormat="false" ht="23.25" hidden="false" customHeight="true" outlineLevel="0" collapsed="false">
      <c r="B1282" s="67" t="str">
        <f aca="false">""</f>
        <v/>
      </c>
      <c r="C1282" s="67"/>
      <c r="D1282" s="23" t="str">
        <f aca="false">IFERROR(INDEX(分录收入!$E:$E,MATCH($L1282,分录收入!$L:$L,0)),"")</f>
        <v/>
      </c>
      <c r="E1282" s="23" t="str">
        <f aca="false">IFERROR(INDEX(分录收入!$F:$F,MATCH($L1282,分录收入!$L:$L,0)),"")</f>
        <v/>
      </c>
      <c r="F1282" s="68" t="str">
        <f aca="false">IFERROR(INDEX(分录收入!$H:$H,MATCH($L1282,分录收入!$L:$L,0)),"")</f>
        <v/>
      </c>
      <c r="G1282" s="69" t="str">
        <f aca="false">IFERROR(INDEX(分录收入!$I:$I,MATCH($L1282,分录收入!$L:$L,0)),"")</f>
        <v/>
      </c>
      <c r="H1282" s="23"/>
      <c r="I1282" s="70"/>
      <c r="L1282" s="71" t="n">
        <f aca="false">IF(助手收入!$R$87="",-1,助手收入!$R$87*100+(助手收入!$S$87-1)*6+2)</f>
        <v>-1</v>
      </c>
    </row>
    <row r="1283" customFormat="false" ht="23.25" hidden="false" customHeight="true" outlineLevel="0" collapsed="false">
      <c r="B1283" s="67" t="str">
        <f aca="false">""</f>
        <v/>
      </c>
      <c r="C1283" s="67"/>
      <c r="D1283" s="23" t="str">
        <f aca="false">IFERROR(INDEX(分录收入!$E:$E,MATCH($L1283,分录收入!$L:$L,0)),"")</f>
        <v/>
      </c>
      <c r="E1283" s="23" t="str">
        <f aca="false">IFERROR(INDEX(分录收入!$F:$F,MATCH($L1283,分录收入!$L:$L,0)),"")</f>
        <v/>
      </c>
      <c r="F1283" s="68" t="str">
        <f aca="false">IFERROR(INDEX(分录收入!$H:$H,MATCH($L1283,分录收入!$L:$L,0)),"")</f>
        <v/>
      </c>
      <c r="G1283" s="69" t="str">
        <f aca="false">IFERROR(INDEX(分录收入!$I:$I,MATCH($L1283,分录收入!$L:$L,0)),"")</f>
        <v/>
      </c>
      <c r="H1283" s="23"/>
      <c r="I1283" s="70"/>
      <c r="L1283" s="71" t="n">
        <f aca="false">IF(助手收入!$R$87="",-1,助手收入!$R$87*100+(助手收入!$S$87-1)*6+3)</f>
        <v>-1</v>
      </c>
    </row>
    <row r="1284" customFormat="false" ht="23.25" hidden="false" customHeight="true" outlineLevel="0" collapsed="false">
      <c r="B1284" s="67" t="str">
        <f aca="false">""</f>
        <v/>
      </c>
      <c r="C1284" s="67"/>
      <c r="D1284" s="23" t="str">
        <f aca="false">IFERROR(INDEX(分录收入!$E:$E,MATCH($L1284,分录收入!$L:$L,0)),"")</f>
        <v/>
      </c>
      <c r="E1284" s="23" t="str">
        <f aca="false">IFERROR(INDEX(分录收入!$F:$F,MATCH($L1284,分录收入!$L:$L,0)),"")</f>
        <v/>
      </c>
      <c r="F1284" s="68" t="str">
        <f aca="false">IFERROR(INDEX(分录收入!$H:$H,MATCH($L1284,分录收入!$L:$L,0)),"")</f>
        <v/>
      </c>
      <c r="G1284" s="69" t="str">
        <f aca="false">IFERROR(INDEX(分录收入!$I:$I,MATCH($L1284,分录收入!$L:$L,0)),"")</f>
        <v/>
      </c>
      <c r="H1284" s="23"/>
      <c r="I1284" s="70"/>
      <c r="L1284" s="71" t="n">
        <f aca="false">IF(助手收入!$R$87="",-1,助手收入!$R$87*100+(助手收入!$S$87-1)*6+4)</f>
        <v>-1</v>
      </c>
    </row>
    <row r="1285" customFormat="false" ht="23.25" hidden="false" customHeight="true" outlineLevel="0" collapsed="false">
      <c r="B1285" s="67" t="str">
        <f aca="false">""</f>
        <v/>
      </c>
      <c r="C1285" s="67"/>
      <c r="D1285" s="23" t="str">
        <f aca="false">IFERROR(INDEX(分录收入!$E:$E,MATCH($L1285,分录收入!$L:$L,0)),"")</f>
        <v/>
      </c>
      <c r="E1285" s="23" t="str">
        <f aca="false">IFERROR(INDEX(分录收入!$F:$F,MATCH($L1285,分录收入!$L:$L,0)),"")</f>
        <v/>
      </c>
      <c r="F1285" s="68" t="str">
        <f aca="false">IFERROR(INDEX(分录收入!$H:$H,MATCH($L1285,分录收入!$L:$L,0)),"")</f>
        <v/>
      </c>
      <c r="G1285" s="69" t="str">
        <f aca="false">IFERROR(INDEX(分录收入!$I:$I,MATCH($L1285,分录收入!$L:$L,0)),"")</f>
        <v/>
      </c>
      <c r="H1285" s="23"/>
      <c r="I1285" s="70"/>
      <c r="L1285" s="71" t="n">
        <f aca="false">IF(助手收入!$R$87="",-1,助手收入!$R$87*100+(助手收入!$S$87-1)*6+5)</f>
        <v>-1</v>
      </c>
    </row>
    <row r="1286" customFormat="false" ht="23.25" hidden="false" customHeight="true" outlineLevel="0" collapsed="false">
      <c r="B1286" s="67" t="str">
        <f aca="false">""</f>
        <v/>
      </c>
      <c r="C1286" s="67"/>
      <c r="D1286" s="23" t="str">
        <f aca="false">IFERROR(INDEX(分录收入!$E:$E,MATCH($L1286,分录收入!$L:$L,0)),"")</f>
        <v/>
      </c>
      <c r="E1286" s="23" t="str">
        <f aca="false">IFERROR(INDEX(分录收入!$F:$F,MATCH($L1286,分录收入!$L:$L,0)),"")</f>
        <v/>
      </c>
      <c r="F1286" s="68" t="str">
        <f aca="false">IFERROR(INDEX(分录收入!$H:$H,MATCH($L1286,分录收入!$L:$L,0)),"")</f>
        <v/>
      </c>
      <c r="G1286" s="69" t="str">
        <f aca="false">IFERROR(INDEX(分录收入!$I:$I,MATCH($L1286,分录收入!$L:$L,0)),"")</f>
        <v/>
      </c>
      <c r="H1286" s="23"/>
      <c r="I1286" s="70"/>
      <c r="L1286" s="71" t="n">
        <f aca="false">IF(助手收入!$R$87="",-1,助手收入!$R$87*100+(助手收入!$S$87-1)*6+6)</f>
        <v>-1</v>
      </c>
    </row>
    <row r="1287" customFormat="false" ht="23.25" hidden="false" customHeight="true" outlineLevel="0" collapsed="false">
      <c r="B1287" s="72" t="str">
        <f aca="false">IF(助手收入!$T$87=1,"合计：","")</f>
        <v/>
      </c>
      <c r="C1287" s="73" t="str">
        <f aca="false">IF(助手收入!$T$87=1,$F1287,"")</f>
        <v/>
      </c>
      <c r="D1287" s="74"/>
      <c r="E1287" s="74"/>
      <c r="F1287" s="75" t="str">
        <f aca="false">IF(助手收入!$T$87=1,INDEX(助手收入!$N$2:$N$66,助手收入!$R$87),"")</f>
        <v/>
      </c>
      <c r="G1287" s="76" t="str">
        <f aca="false">IF(助手收入!$T$87=1,INDEX(助手收入!$O$2:$O$66,助手收入!$R$87),"")</f>
        <v/>
      </c>
      <c r="H1287" s="74"/>
      <c r="I1287" s="77"/>
    </row>
    <row r="1288" customFormat="false" ht="6" hidden="false" customHeight="true" outlineLevel="0" collapsed="false"/>
    <row r="1289" customFormat="false" ht="13.5" hidden="false" customHeight="false" outlineLevel="0" collapsed="false">
      <c r="B1289" s="78" t="str">
        <f aca="false">IF(助手收入!$R$87&lt;&gt;"","会计主管：","")</f>
        <v/>
      </c>
      <c r="D1289" s="78" t="str">
        <f aca="false">IF(助手收入!$R$87&lt;&gt;"","会计：","")</f>
        <v/>
      </c>
      <c r="E1289" s="78" t="str">
        <f aca="false">IF(助手收入!$R$87&lt;&gt;"","出纳：","")</f>
        <v/>
      </c>
      <c r="F1289" s="78" t="str">
        <f aca="false">IF(助手收入!$R$87&lt;&gt;"","复核：","")</f>
        <v/>
      </c>
      <c r="G1289" s="78" t="str">
        <f aca="false">IF(助手收入!$R$87&lt;&gt;"","制单：","")</f>
        <v/>
      </c>
    </row>
    <row r="1290" customFormat="false" ht="3" hidden="false" customHeight="true" outlineLevel="0" collapsed="false"/>
    <row r="1291" customFormat="false" ht="19.5" hidden="false" customHeight="true" outlineLevel="0" collapsed="false">
      <c r="B1291" s="53" t="str">
        <f aca="false">IF(助手收入!$R$88&lt;&gt;"","记  账  凭  证","")</f>
        <v/>
      </c>
      <c r="C1291" s="53"/>
      <c r="D1291" s="53"/>
      <c r="E1291" s="53"/>
      <c r="F1291" s="53"/>
      <c r="G1291" s="53"/>
      <c r="H1291" s="53"/>
      <c r="I1291" s="53"/>
    </row>
    <row r="1292" customFormat="false" ht="3" hidden="false" customHeight="true" outlineLevel="0" collapsed="false"/>
    <row r="1293" customFormat="false" ht="15" hidden="false" customHeight="true" outlineLevel="0" collapsed="false">
      <c r="C1293" s="56" t="str">
        <f aca="false">IF(助手收入!$R$88&lt;&gt;"",INDEX(助手收入!$B$2:$B$66,助手收入!$R$88),"")</f>
        <v/>
      </c>
      <c r="D1293" s="57" t="str">
        <f aca="false">IF(助手收入!$R$88&lt;&gt;"",参数!$B$2,"")</f>
        <v/>
      </c>
      <c r="E1293" s="57"/>
      <c r="F1293" s="58" t="str">
        <f aca="false">IF(助手收入!$R$88&lt;&gt;"",INDEX(助手收入!$C$2:$C$66,助手收入!$R$88)&amp;"  字第 "&amp;IF(参数!$B$9="是",INDEX(助手收入!$P$2:$P$66,助手收入!$R$88),"　　　　")&amp;" 号"&amp;IF(INDEX(助手收入!$L$2:$L$66,助手收入!$R$88)&gt;1,"  (共"&amp;INDEX(助手收入!$L$2:$L$66,助手收入!$R$88)&amp;"页 第"&amp;助手收入!$S$88&amp;"页)",""),"")</f>
        <v/>
      </c>
      <c r="G1293" s="58"/>
      <c r="H1293" s="58"/>
      <c r="I1293" s="58"/>
      <c r="M1293" s="79" t="str">
        <f aca="false">IF(助手收入!$R$88="","",助手收入!$Q$88)</f>
        <v/>
      </c>
      <c r="N1293" s="80" t="str">
        <f aca="false">IF(助手收入!$R$88="","",INDEX(助手收入!$P$2:$P$66,助手收入!$R$88))</f>
        <v/>
      </c>
      <c r="O1293" s="55" t="str">
        <f aca="false">IF(助手收入!$R$88="","",INDEX(助手收入!$C$2:$C$66,助手收入!$R$88)&amp;"  字第 "&amp;INDEX(助手收入!$P$2:$P$66,助手收入!$R$88)&amp;" 号"&amp;IF(INDEX(助手收入!$L$2:$L$66,助手收入!$R$88)&gt;1,"  (共"&amp;INDEX(助手收入!$L$2:$L$66,助手收入!$R$88)&amp;"页 第"&amp;助手收入!$S$88&amp;"页)",""))</f>
        <v/>
      </c>
    </row>
    <row r="1294" customFormat="false" ht="12.75" hidden="false" customHeight="true" outlineLevel="0" collapsed="false">
      <c r="B1294" s="61" t="str">
        <f aca="false">IF(助手收入!$R$88&lt;&gt;"","摘　　要","")</f>
        <v/>
      </c>
      <c r="C1294" s="61"/>
      <c r="D1294" s="62" t="str">
        <f aca="false">IF(助手收入!$R$88&lt;&gt;"","科　　　　目","")</f>
        <v/>
      </c>
      <c r="E1294" s="62"/>
      <c r="F1294" s="61" t="str">
        <f aca="false">IF(助手收入!$R$88&lt;&gt;"","借 方 金 额","")</f>
        <v/>
      </c>
      <c r="G1294" s="62" t="str">
        <f aca="false">IF(助手收入!$R$88&lt;&gt;"","贷 方 金 额","")</f>
        <v/>
      </c>
      <c r="H1294" s="63" t="str">
        <f aca="false">IF(助手收入!$R$88&lt;&gt;"","√","")</f>
        <v/>
      </c>
      <c r="I1294" s="64" t="str">
        <f aca="false">IF(助手收入!$R$88&lt;&gt;"","附单据  张","")</f>
        <v/>
      </c>
    </row>
    <row r="1295" customFormat="false" ht="12.75" hidden="false" customHeight="true" outlineLevel="0" collapsed="false">
      <c r="B1295" s="61"/>
      <c r="C1295" s="61"/>
      <c r="D1295" s="23" t="str">
        <f aca="false">IF(助手收入!$R$88&lt;&gt;"","总 账 科 目","")</f>
        <v/>
      </c>
      <c r="E1295" s="23" t="str">
        <f aca="false">IF(助手收入!$R$88&lt;&gt;"","明 细 科 目","")</f>
        <v/>
      </c>
      <c r="F1295" s="65"/>
      <c r="G1295" s="66"/>
      <c r="H1295" s="63"/>
      <c r="I1295" s="64"/>
    </row>
    <row r="1296" customFormat="false" ht="23.25" hidden="false" customHeight="true" outlineLevel="0" collapsed="false">
      <c r="B1296" s="67" t="str">
        <f aca="false">IFERROR(INDEX(分录收入!$M:$M,MATCH($L1296,分录收入!$L:$L,0)),"")</f>
        <v/>
      </c>
      <c r="C1296" s="67"/>
      <c r="D1296" s="23" t="str">
        <f aca="false">IFERROR(INDEX(分录收入!$E:$E,MATCH($L1296,分录收入!$L:$L,0)),"")</f>
        <v/>
      </c>
      <c r="E1296" s="23" t="str">
        <f aca="false">IFERROR(INDEX(分录收入!$F:$F,MATCH($L1296,分录收入!$L:$L,0)),"")</f>
        <v/>
      </c>
      <c r="F1296" s="68" t="str">
        <f aca="false">IFERROR(INDEX(分录收入!$H:$H,MATCH($L1296,分录收入!$L:$L,0)),"")</f>
        <v/>
      </c>
      <c r="G1296" s="69" t="str">
        <f aca="false">IFERROR(INDEX(分录收入!$I:$I,MATCH($L1296,分录收入!$L:$L,0)),"")</f>
        <v/>
      </c>
      <c r="H1296" s="23"/>
      <c r="I1296" s="70"/>
      <c r="L1296" s="71" t="n">
        <f aca="false">IF(助手收入!$R$88="",-1,助手收入!$R$88*100+(助手收入!$S$88-1)*6+1)</f>
        <v>-1</v>
      </c>
    </row>
    <row r="1297" customFormat="false" ht="23.25" hidden="false" customHeight="true" outlineLevel="0" collapsed="false">
      <c r="B1297" s="67" t="str">
        <f aca="false">""</f>
        <v/>
      </c>
      <c r="C1297" s="67"/>
      <c r="D1297" s="23" t="str">
        <f aca="false">IFERROR(INDEX(分录收入!$E:$E,MATCH($L1297,分录收入!$L:$L,0)),"")</f>
        <v/>
      </c>
      <c r="E1297" s="23" t="str">
        <f aca="false">IFERROR(INDEX(分录收入!$F:$F,MATCH($L1297,分录收入!$L:$L,0)),"")</f>
        <v/>
      </c>
      <c r="F1297" s="68" t="str">
        <f aca="false">IFERROR(INDEX(分录收入!$H:$H,MATCH($L1297,分录收入!$L:$L,0)),"")</f>
        <v/>
      </c>
      <c r="G1297" s="69" t="str">
        <f aca="false">IFERROR(INDEX(分录收入!$I:$I,MATCH($L1297,分录收入!$L:$L,0)),"")</f>
        <v/>
      </c>
      <c r="H1297" s="23"/>
      <c r="I1297" s="70"/>
      <c r="L1297" s="71" t="n">
        <f aca="false">IF(助手收入!$R$88="",-1,助手收入!$R$88*100+(助手收入!$S$88-1)*6+2)</f>
        <v>-1</v>
      </c>
    </row>
    <row r="1298" customFormat="false" ht="23.25" hidden="false" customHeight="true" outlineLevel="0" collapsed="false">
      <c r="B1298" s="67" t="str">
        <f aca="false">""</f>
        <v/>
      </c>
      <c r="C1298" s="67"/>
      <c r="D1298" s="23" t="str">
        <f aca="false">IFERROR(INDEX(分录收入!$E:$E,MATCH($L1298,分录收入!$L:$L,0)),"")</f>
        <v/>
      </c>
      <c r="E1298" s="23" t="str">
        <f aca="false">IFERROR(INDEX(分录收入!$F:$F,MATCH($L1298,分录收入!$L:$L,0)),"")</f>
        <v/>
      </c>
      <c r="F1298" s="68" t="str">
        <f aca="false">IFERROR(INDEX(分录收入!$H:$H,MATCH($L1298,分录收入!$L:$L,0)),"")</f>
        <v/>
      </c>
      <c r="G1298" s="69" t="str">
        <f aca="false">IFERROR(INDEX(分录收入!$I:$I,MATCH($L1298,分录收入!$L:$L,0)),"")</f>
        <v/>
      </c>
      <c r="H1298" s="23"/>
      <c r="I1298" s="70"/>
      <c r="L1298" s="71" t="n">
        <f aca="false">IF(助手收入!$R$88="",-1,助手收入!$R$88*100+(助手收入!$S$88-1)*6+3)</f>
        <v>-1</v>
      </c>
    </row>
    <row r="1299" customFormat="false" ht="23.25" hidden="false" customHeight="true" outlineLevel="0" collapsed="false">
      <c r="B1299" s="67" t="str">
        <f aca="false">""</f>
        <v/>
      </c>
      <c r="C1299" s="67"/>
      <c r="D1299" s="23" t="str">
        <f aca="false">IFERROR(INDEX(分录收入!$E:$E,MATCH($L1299,分录收入!$L:$L,0)),"")</f>
        <v/>
      </c>
      <c r="E1299" s="23" t="str">
        <f aca="false">IFERROR(INDEX(分录收入!$F:$F,MATCH($L1299,分录收入!$L:$L,0)),"")</f>
        <v/>
      </c>
      <c r="F1299" s="68" t="str">
        <f aca="false">IFERROR(INDEX(分录收入!$H:$H,MATCH($L1299,分录收入!$L:$L,0)),"")</f>
        <v/>
      </c>
      <c r="G1299" s="69" t="str">
        <f aca="false">IFERROR(INDEX(分录收入!$I:$I,MATCH($L1299,分录收入!$L:$L,0)),"")</f>
        <v/>
      </c>
      <c r="H1299" s="23"/>
      <c r="I1299" s="70"/>
      <c r="L1299" s="71" t="n">
        <f aca="false">IF(助手收入!$R$88="",-1,助手收入!$R$88*100+(助手收入!$S$88-1)*6+4)</f>
        <v>-1</v>
      </c>
    </row>
    <row r="1300" customFormat="false" ht="23.25" hidden="false" customHeight="true" outlineLevel="0" collapsed="false">
      <c r="B1300" s="67" t="str">
        <f aca="false">""</f>
        <v/>
      </c>
      <c r="C1300" s="67"/>
      <c r="D1300" s="23" t="str">
        <f aca="false">IFERROR(INDEX(分录收入!$E:$E,MATCH($L1300,分录收入!$L:$L,0)),"")</f>
        <v/>
      </c>
      <c r="E1300" s="23" t="str">
        <f aca="false">IFERROR(INDEX(分录收入!$F:$F,MATCH($L1300,分录收入!$L:$L,0)),"")</f>
        <v/>
      </c>
      <c r="F1300" s="68" t="str">
        <f aca="false">IFERROR(INDEX(分录收入!$H:$H,MATCH($L1300,分录收入!$L:$L,0)),"")</f>
        <v/>
      </c>
      <c r="G1300" s="69" t="str">
        <f aca="false">IFERROR(INDEX(分录收入!$I:$I,MATCH($L1300,分录收入!$L:$L,0)),"")</f>
        <v/>
      </c>
      <c r="H1300" s="23"/>
      <c r="I1300" s="70"/>
      <c r="L1300" s="71" t="n">
        <f aca="false">IF(助手收入!$R$88="",-1,助手收入!$R$88*100+(助手收入!$S$88-1)*6+5)</f>
        <v>-1</v>
      </c>
    </row>
    <row r="1301" customFormat="false" ht="23.25" hidden="false" customHeight="true" outlineLevel="0" collapsed="false">
      <c r="B1301" s="67" t="str">
        <f aca="false">""</f>
        <v/>
      </c>
      <c r="C1301" s="67"/>
      <c r="D1301" s="23" t="str">
        <f aca="false">IFERROR(INDEX(分录收入!$E:$E,MATCH($L1301,分录收入!$L:$L,0)),"")</f>
        <v/>
      </c>
      <c r="E1301" s="23" t="str">
        <f aca="false">IFERROR(INDEX(分录收入!$F:$F,MATCH($L1301,分录收入!$L:$L,0)),"")</f>
        <v/>
      </c>
      <c r="F1301" s="68" t="str">
        <f aca="false">IFERROR(INDEX(分录收入!$H:$H,MATCH($L1301,分录收入!$L:$L,0)),"")</f>
        <v/>
      </c>
      <c r="G1301" s="69" t="str">
        <f aca="false">IFERROR(INDEX(分录收入!$I:$I,MATCH($L1301,分录收入!$L:$L,0)),"")</f>
        <v/>
      </c>
      <c r="H1301" s="23"/>
      <c r="I1301" s="70"/>
      <c r="L1301" s="71" t="n">
        <f aca="false">IF(助手收入!$R$88="",-1,助手收入!$R$88*100+(助手收入!$S$88-1)*6+6)</f>
        <v>-1</v>
      </c>
    </row>
    <row r="1302" customFormat="false" ht="23.25" hidden="false" customHeight="true" outlineLevel="0" collapsed="false">
      <c r="B1302" s="72" t="str">
        <f aca="false">IF(助手收入!$T$88=1,"合计：","")</f>
        <v/>
      </c>
      <c r="C1302" s="73" t="str">
        <f aca="false">IF(助手收入!$T$88=1,$F1302,"")</f>
        <v/>
      </c>
      <c r="D1302" s="74"/>
      <c r="E1302" s="74"/>
      <c r="F1302" s="75" t="str">
        <f aca="false">IF(助手收入!$T$88=1,INDEX(助手收入!$N$2:$N$66,助手收入!$R$88),"")</f>
        <v/>
      </c>
      <c r="G1302" s="76" t="str">
        <f aca="false">IF(助手收入!$T$88=1,INDEX(助手收入!$O$2:$O$66,助手收入!$R$88),"")</f>
        <v/>
      </c>
      <c r="H1302" s="74"/>
      <c r="I1302" s="77"/>
    </row>
    <row r="1303" customFormat="false" ht="6" hidden="false" customHeight="true" outlineLevel="0" collapsed="false"/>
    <row r="1304" customFormat="false" ht="13.5" hidden="false" customHeight="false" outlineLevel="0" collapsed="false">
      <c r="B1304" s="78" t="str">
        <f aca="false">IF(助手收入!$R$88&lt;&gt;"","会计主管：","")</f>
        <v/>
      </c>
      <c r="D1304" s="78" t="str">
        <f aca="false">IF(助手收入!$R$88&lt;&gt;"","会计：","")</f>
        <v/>
      </c>
      <c r="E1304" s="78" t="str">
        <f aca="false">IF(助手收入!$R$88&lt;&gt;"","出纳：","")</f>
        <v/>
      </c>
      <c r="F1304" s="78" t="str">
        <f aca="false">IF(助手收入!$R$88&lt;&gt;"","复核：","")</f>
        <v/>
      </c>
      <c r="G1304" s="78" t="str">
        <f aca="false">IF(助手收入!$R$88&lt;&gt;"","制单：","")</f>
        <v/>
      </c>
    </row>
    <row r="1305" customFormat="false" ht="3" hidden="false" customHeight="true" outlineLevel="0" collapsed="false"/>
    <row r="1306" customFormat="false" ht="19.5" hidden="false" customHeight="true" outlineLevel="0" collapsed="false">
      <c r="B1306" s="53" t="str">
        <f aca="false">IF(助手收入!$R$89&lt;&gt;"","记  账  凭  证","")</f>
        <v/>
      </c>
      <c r="C1306" s="53"/>
      <c r="D1306" s="53"/>
      <c r="E1306" s="53"/>
      <c r="F1306" s="53"/>
      <c r="G1306" s="53"/>
      <c r="H1306" s="53"/>
      <c r="I1306" s="53"/>
    </row>
    <row r="1307" customFormat="false" ht="3" hidden="false" customHeight="true" outlineLevel="0" collapsed="false"/>
    <row r="1308" customFormat="false" ht="15" hidden="false" customHeight="true" outlineLevel="0" collapsed="false">
      <c r="C1308" s="56" t="str">
        <f aca="false">IF(助手收入!$R$89&lt;&gt;"",INDEX(助手收入!$B$2:$B$66,助手收入!$R$89),"")</f>
        <v/>
      </c>
      <c r="D1308" s="57" t="str">
        <f aca="false">IF(助手收入!$R$89&lt;&gt;"",参数!$B$2,"")</f>
        <v/>
      </c>
      <c r="E1308" s="57"/>
      <c r="F1308" s="58" t="str">
        <f aca="false">IF(助手收入!$R$89&lt;&gt;"",INDEX(助手收入!$C$2:$C$66,助手收入!$R$89)&amp;"  字第 "&amp;IF(参数!$B$9="是",INDEX(助手收入!$P$2:$P$66,助手收入!$R$89),"　　　　")&amp;" 号"&amp;IF(INDEX(助手收入!$L$2:$L$66,助手收入!$R$89)&gt;1,"  (共"&amp;INDEX(助手收入!$L$2:$L$66,助手收入!$R$89)&amp;"页 第"&amp;助手收入!$S$89&amp;"页)",""),"")</f>
        <v/>
      </c>
      <c r="G1308" s="58"/>
      <c r="H1308" s="58"/>
      <c r="I1308" s="58"/>
      <c r="M1308" s="79" t="str">
        <f aca="false">IF(助手收入!$R$89="","",助手收入!$Q$89)</f>
        <v/>
      </c>
      <c r="N1308" s="80" t="str">
        <f aca="false">IF(助手收入!$R$89="","",INDEX(助手收入!$P$2:$P$66,助手收入!$R$89))</f>
        <v/>
      </c>
      <c r="O1308" s="55" t="str">
        <f aca="false">IF(助手收入!$R$89="","",INDEX(助手收入!$C$2:$C$66,助手收入!$R$89)&amp;"  字第 "&amp;INDEX(助手收入!$P$2:$P$66,助手收入!$R$89)&amp;" 号"&amp;IF(INDEX(助手收入!$L$2:$L$66,助手收入!$R$89)&gt;1,"  (共"&amp;INDEX(助手收入!$L$2:$L$66,助手收入!$R$89)&amp;"页 第"&amp;助手收入!$S$89&amp;"页)",""))</f>
        <v/>
      </c>
    </row>
    <row r="1309" customFormat="false" ht="12.75" hidden="false" customHeight="true" outlineLevel="0" collapsed="false">
      <c r="B1309" s="61" t="str">
        <f aca="false">IF(助手收入!$R$89&lt;&gt;"","摘　　要","")</f>
        <v/>
      </c>
      <c r="C1309" s="61"/>
      <c r="D1309" s="62" t="str">
        <f aca="false">IF(助手收入!$R$89&lt;&gt;"","科　　　　目","")</f>
        <v/>
      </c>
      <c r="E1309" s="62"/>
      <c r="F1309" s="61" t="str">
        <f aca="false">IF(助手收入!$R$89&lt;&gt;"","借 方 金 额","")</f>
        <v/>
      </c>
      <c r="G1309" s="62" t="str">
        <f aca="false">IF(助手收入!$R$89&lt;&gt;"","贷 方 金 额","")</f>
        <v/>
      </c>
      <c r="H1309" s="63" t="str">
        <f aca="false">IF(助手收入!$R$89&lt;&gt;"","√","")</f>
        <v/>
      </c>
      <c r="I1309" s="64" t="str">
        <f aca="false">IF(助手收入!$R$89&lt;&gt;"","附单据  张","")</f>
        <v/>
      </c>
    </row>
    <row r="1310" customFormat="false" ht="12.75" hidden="false" customHeight="true" outlineLevel="0" collapsed="false">
      <c r="B1310" s="61"/>
      <c r="C1310" s="61"/>
      <c r="D1310" s="23" t="str">
        <f aca="false">IF(助手收入!$R$89&lt;&gt;"","总 账 科 目","")</f>
        <v/>
      </c>
      <c r="E1310" s="23" t="str">
        <f aca="false">IF(助手收入!$R$89&lt;&gt;"","明 细 科 目","")</f>
        <v/>
      </c>
      <c r="F1310" s="65"/>
      <c r="G1310" s="66"/>
      <c r="H1310" s="63"/>
      <c r="I1310" s="64"/>
    </row>
    <row r="1311" customFormat="false" ht="23.25" hidden="false" customHeight="true" outlineLevel="0" collapsed="false">
      <c r="B1311" s="67" t="str">
        <f aca="false">IFERROR(INDEX(分录收入!$M:$M,MATCH($L1311,分录收入!$L:$L,0)),"")</f>
        <v/>
      </c>
      <c r="C1311" s="67"/>
      <c r="D1311" s="23" t="str">
        <f aca="false">IFERROR(INDEX(分录收入!$E:$E,MATCH($L1311,分录收入!$L:$L,0)),"")</f>
        <v/>
      </c>
      <c r="E1311" s="23" t="str">
        <f aca="false">IFERROR(INDEX(分录收入!$F:$F,MATCH($L1311,分录收入!$L:$L,0)),"")</f>
        <v/>
      </c>
      <c r="F1311" s="68" t="str">
        <f aca="false">IFERROR(INDEX(分录收入!$H:$H,MATCH($L1311,分录收入!$L:$L,0)),"")</f>
        <v/>
      </c>
      <c r="G1311" s="69" t="str">
        <f aca="false">IFERROR(INDEX(分录收入!$I:$I,MATCH($L1311,分录收入!$L:$L,0)),"")</f>
        <v/>
      </c>
      <c r="H1311" s="23"/>
      <c r="I1311" s="70"/>
      <c r="L1311" s="71" t="n">
        <f aca="false">IF(助手收入!$R$89="",-1,助手收入!$R$89*100+(助手收入!$S$89-1)*6+1)</f>
        <v>-1</v>
      </c>
    </row>
    <row r="1312" customFormat="false" ht="23.25" hidden="false" customHeight="true" outlineLevel="0" collapsed="false">
      <c r="B1312" s="67" t="str">
        <f aca="false">""</f>
        <v/>
      </c>
      <c r="C1312" s="67"/>
      <c r="D1312" s="23" t="str">
        <f aca="false">IFERROR(INDEX(分录收入!$E:$E,MATCH($L1312,分录收入!$L:$L,0)),"")</f>
        <v/>
      </c>
      <c r="E1312" s="23" t="str">
        <f aca="false">IFERROR(INDEX(分录收入!$F:$F,MATCH($L1312,分录收入!$L:$L,0)),"")</f>
        <v/>
      </c>
      <c r="F1312" s="68" t="str">
        <f aca="false">IFERROR(INDEX(分录收入!$H:$H,MATCH($L1312,分录收入!$L:$L,0)),"")</f>
        <v/>
      </c>
      <c r="G1312" s="69" t="str">
        <f aca="false">IFERROR(INDEX(分录收入!$I:$I,MATCH($L1312,分录收入!$L:$L,0)),"")</f>
        <v/>
      </c>
      <c r="H1312" s="23"/>
      <c r="I1312" s="70"/>
      <c r="L1312" s="71" t="n">
        <f aca="false">IF(助手收入!$R$89="",-1,助手收入!$R$89*100+(助手收入!$S$89-1)*6+2)</f>
        <v>-1</v>
      </c>
    </row>
    <row r="1313" customFormat="false" ht="23.25" hidden="false" customHeight="true" outlineLevel="0" collapsed="false">
      <c r="B1313" s="67" t="str">
        <f aca="false">""</f>
        <v/>
      </c>
      <c r="C1313" s="67"/>
      <c r="D1313" s="23" t="str">
        <f aca="false">IFERROR(INDEX(分录收入!$E:$E,MATCH($L1313,分录收入!$L:$L,0)),"")</f>
        <v/>
      </c>
      <c r="E1313" s="23" t="str">
        <f aca="false">IFERROR(INDEX(分录收入!$F:$F,MATCH($L1313,分录收入!$L:$L,0)),"")</f>
        <v/>
      </c>
      <c r="F1313" s="68" t="str">
        <f aca="false">IFERROR(INDEX(分录收入!$H:$H,MATCH($L1313,分录收入!$L:$L,0)),"")</f>
        <v/>
      </c>
      <c r="G1313" s="69" t="str">
        <f aca="false">IFERROR(INDEX(分录收入!$I:$I,MATCH($L1313,分录收入!$L:$L,0)),"")</f>
        <v/>
      </c>
      <c r="H1313" s="23"/>
      <c r="I1313" s="70"/>
      <c r="L1313" s="71" t="n">
        <f aca="false">IF(助手收入!$R$89="",-1,助手收入!$R$89*100+(助手收入!$S$89-1)*6+3)</f>
        <v>-1</v>
      </c>
    </row>
    <row r="1314" customFormat="false" ht="23.25" hidden="false" customHeight="true" outlineLevel="0" collapsed="false">
      <c r="B1314" s="67" t="str">
        <f aca="false">""</f>
        <v/>
      </c>
      <c r="C1314" s="67"/>
      <c r="D1314" s="23" t="str">
        <f aca="false">IFERROR(INDEX(分录收入!$E:$E,MATCH($L1314,分录收入!$L:$L,0)),"")</f>
        <v/>
      </c>
      <c r="E1314" s="23" t="str">
        <f aca="false">IFERROR(INDEX(分录收入!$F:$F,MATCH($L1314,分录收入!$L:$L,0)),"")</f>
        <v/>
      </c>
      <c r="F1314" s="68" t="str">
        <f aca="false">IFERROR(INDEX(分录收入!$H:$H,MATCH($L1314,分录收入!$L:$L,0)),"")</f>
        <v/>
      </c>
      <c r="G1314" s="69" t="str">
        <f aca="false">IFERROR(INDEX(分录收入!$I:$I,MATCH($L1314,分录收入!$L:$L,0)),"")</f>
        <v/>
      </c>
      <c r="H1314" s="23"/>
      <c r="I1314" s="70"/>
      <c r="L1314" s="71" t="n">
        <f aca="false">IF(助手收入!$R$89="",-1,助手收入!$R$89*100+(助手收入!$S$89-1)*6+4)</f>
        <v>-1</v>
      </c>
    </row>
    <row r="1315" customFormat="false" ht="23.25" hidden="false" customHeight="true" outlineLevel="0" collapsed="false">
      <c r="B1315" s="67" t="str">
        <f aca="false">""</f>
        <v/>
      </c>
      <c r="C1315" s="67"/>
      <c r="D1315" s="23" t="str">
        <f aca="false">IFERROR(INDEX(分录收入!$E:$E,MATCH($L1315,分录收入!$L:$L,0)),"")</f>
        <v/>
      </c>
      <c r="E1315" s="23" t="str">
        <f aca="false">IFERROR(INDEX(分录收入!$F:$F,MATCH($L1315,分录收入!$L:$L,0)),"")</f>
        <v/>
      </c>
      <c r="F1315" s="68" t="str">
        <f aca="false">IFERROR(INDEX(分录收入!$H:$H,MATCH($L1315,分录收入!$L:$L,0)),"")</f>
        <v/>
      </c>
      <c r="G1315" s="69" t="str">
        <f aca="false">IFERROR(INDEX(分录收入!$I:$I,MATCH($L1315,分录收入!$L:$L,0)),"")</f>
        <v/>
      </c>
      <c r="H1315" s="23"/>
      <c r="I1315" s="70"/>
      <c r="L1315" s="71" t="n">
        <f aca="false">IF(助手收入!$R$89="",-1,助手收入!$R$89*100+(助手收入!$S$89-1)*6+5)</f>
        <v>-1</v>
      </c>
    </row>
    <row r="1316" customFormat="false" ht="23.25" hidden="false" customHeight="true" outlineLevel="0" collapsed="false">
      <c r="B1316" s="67" t="str">
        <f aca="false">""</f>
        <v/>
      </c>
      <c r="C1316" s="67"/>
      <c r="D1316" s="23" t="str">
        <f aca="false">IFERROR(INDEX(分录收入!$E:$E,MATCH($L1316,分录收入!$L:$L,0)),"")</f>
        <v/>
      </c>
      <c r="E1316" s="23" t="str">
        <f aca="false">IFERROR(INDEX(分录收入!$F:$F,MATCH($L1316,分录收入!$L:$L,0)),"")</f>
        <v/>
      </c>
      <c r="F1316" s="68" t="str">
        <f aca="false">IFERROR(INDEX(分录收入!$H:$H,MATCH($L1316,分录收入!$L:$L,0)),"")</f>
        <v/>
      </c>
      <c r="G1316" s="69" t="str">
        <f aca="false">IFERROR(INDEX(分录收入!$I:$I,MATCH($L1316,分录收入!$L:$L,0)),"")</f>
        <v/>
      </c>
      <c r="H1316" s="23"/>
      <c r="I1316" s="70"/>
      <c r="L1316" s="71" t="n">
        <f aca="false">IF(助手收入!$R$89="",-1,助手收入!$R$89*100+(助手收入!$S$89-1)*6+6)</f>
        <v>-1</v>
      </c>
    </row>
    <row r="1317" customFormat="false" ht="23.25" hidden="false" customHeight="true" outlineLevel="0" collapsed="false">
      <c r="B1317" s="72" t="str">
        <f aca="false">IF(助手收入!$T$89=1,"合计：","")</f>
        <v/>
      </c>
      <c r="C1317" s="73" t="str">
        <f aca="false">IF(助手收入!$T$89=1,$F1317,"")</f>
        <v/>
      </c>
      <c r="D1317" s="74"/>
      <c r="E1317" s="74"/>
      <c r="F1317" s="75" t="str">
        <f aca="false">IF(助手收入!$T$89=1,INDEX(助手收入!$N$2:$N$66,助手收入!$R$89),"")</f>
        <v/>
      </c>
      <c r="G1317" s="76" t="str">
        <f aca="false">IF(助手收入!$T$89=1,INDEX(助手收入!$O$2:$O$66,助手收入!$R$89),"")</f>
        <v/>
      </c>
      <c r="H1317" s="74"/>
      <c r="I1317" s="77"/>
    </row>
    <row r="1318" customFormat="false" ht="6" hidden="false" customHeight="true" outlineLevel="0" collapsed="false"/>
    <row r="1319" customFormat="false" ht="13.5" hidden="false" customHeight="false" outlineLevel="0" collapsed="false">
      <c r="B1319" s="78" t="str">
        <f aca="false">IF(助手收入!$R$89&lt;&gt;"","会计主管：","")</f>
        <v/>
      </c>
      <c r="D1319" s="78" t="str">
        <f aca="false">IF(助手收入!$R$89&lt;&gt;"","会计：","")</f>
        <v/>
      </c>
      <c r="E1319" s="78" t="str">
        <f aca="false">IF(助手收入!$R$89&lt;&gt;"","出纳：","")</f>
        <v/>
      </c>
      <c r="F1319" s="78" t="str">
        <f aca="false">IF(助手收入!$R$89&lt;&gt;"","复核：","")</f>
        <v/>
      </c>
      <c r="G1319" s="78" t="str">
        <f aca="false">IF(助手收入!$R$89&lt;&gt;"","制单：","")</f>
        <v/>
      </c>
    </row>
    <row r="1320" customFormat="false" ht="3" hidden="false" customHeight="true" outlineLevel="0" collapsed="false"/>
    <row r="1321" customFormat="false" ht="19.5" hidden="false" customHeight="true" outlineLevel="0" collapsed="false">
      <c r="B1321" s="53" t="str">
        <f aca="false">IF(助手收入!$R$90&lt;&gt;"","记  账  凭  证","")</f>
        <v/>
      </c>
      <c r="C1321" s="53"/>
      <c r="D1321" s="53"/>
      <c r="E1321" s="53"/>
      <c r="F1321" s="53"/>
      <c r="G1321" s="53"/>
      <c r="H1321" s="53"/>
      <c r="I1321" s="53"/>
    </row>
    <row r="1322" customFormat="false" ht="3" hidden="false" customHeight="true" outlineLevel="0" collapsed="false"/>
    <row r="1323" customFormat="false" ht="15" hidden="false" customHeight="true" outlineLevel="0" collapsed="false">
      <c r="C1323" s="56" t="str">
        <f aca="false">IF(助手收入!$R$90&lt;&gt;"",INDEX(助手收入!$B$2:$B$66,助手收入!$R$90),"")</f>
        <v/>
      </c>
      <c r="D1323" s="57" t="str">
        <f aca="false">IF(助手收入!$R$90&lt;&gt;"",参数!$B$2,"")</f>
        <v/>
      </c>
      <c r="E1323" s="57"/>
      <c r="F1323" s="58" t="str">
        <f aca="false">IF(助手收入!$R$90&lt;&gt;"",INDEX(助手收入!$C$2:$C$66,助手收入!$R$90)&amp;"  字第 "&amp;IF(参数!$B$9="是",INDEX(助手收入!$P$2:$P$66,助手收入!$R$90),"　　　　")&amp;" 号"&amp;IF(INDEX(助手收入!$L$2:$L$66,助手收入!$R$90)&gt;1,"  (共"&amp;INDEX(助手收入!$L$2:$L$66,助手收入!$R$90)&amp;"页 第"&amp;助手收入!$S$90&amp;"页)",""),"")</f>
        <v/>
      </c>
      <c r="G1323" s="58"/>
      <c r="H1323" s="58"/>
      <c r="I1323" s="58"/>
      <c r="M1323" s="79" t="str">
        <f aca="false">IF(助手收入!$R$90="","",助手收入!$Q$90)</f>
        <v/>
      </c>
      <c r="N1323" s="80" t="str">
        <f aca="false">IF(助手收入!$R$90="","",INDEX(助手收入!$P$2:$P$66,助手收入!$R$90))</f>
        <v/>
      </c>
      <c r="O1323" s="55" t="str">
        <f aca="false">IF(助手收入!$R$90="","",INDEX(助手收入!$C$2:$C$66,助手收入!$R$90)&amp;"  字第 "&amp;INDEX(助手收入!$P$2:$P$66,助手收入!$R$90)&amp;" 号"&amp;IF(INDEX(助手收入!$L$2:$L$66,助手收入!$R$90)&gt;1,"  (共"&amp;INDEX(助手收入!$L$2:$L$66,助手收入!$R$90)&amp;"页 第"&amp;助手收入!$S$90&amp;"页)",""))</f>
        <v/>
      </c>
    </row>
    <row r="1324" customFormat="false" ht="12.75" hidden="false" customHeight="true" outlineLevel="0" collapsed="false">
      <c r="B1324" s="61" t="str">
        <f aca="false">IF(助手收入!$R$90&lt;&gt;"","摘　　要","")</f>
        <v/>
      </c>
      <c r="C1324" s="61"/>
      <c r="D1324" s="62" t="str">
        <f aca="false">IF(助手收入!$R$90&lt;&gt;"","科　　　　目","")</f>
        <v/>
      </c>
      <c r="E1324" s="62"/>
      <c r="F1324" s="61" t="str">
        <f aca="false">IF(助手收入!$R$90&lt;&gt;"","借 方 金 额","")</f>
        <v/>
      </c>
      <c r="G1324" s="62" t="str">
        <f aca="false">IF(助手收入!$R$90&lt;&gt;"","贷 方 金 额","")</f>
        <v/>
      </c>
      <c r="H1324" s="63" t="str">
        <f aca="false">IF(助手收入!$R$90&lt;&gt;"","√","")</f>
        <v/>
      </c>
      <c r="I1324" s="64" t="str">
        <f aca="false">IF(助手收入!$R$90&lt;&gt;"","附单据  张","")</f>
        <v/>
      </c>
    </row>
    <row r="1325" customFormat="false" ht="12.75" hidden="false" customHeight="true" outlineLevel="0" collapsed="false">
      <c r="B1325" s="61"/>
      <c r="C1325" s="61"/>
      <c r="D1325" s="23" t="str">
        <f aca="false">IF(助手收入!$R$90&lt;&gt;"","总 账 科 目","")</f>
        <v/>
      </c>
      <c r="E1325" s="23" t="str">
        <f aca="false">IF(助手收入!$R$90&lt;&gt;"","明 细 科 目","")</f>
        <v/>
      </c>
      <c r="F1325" s="65"/>
      <c r="G1325" s="66"/>
      <c r="H1325" s="63"/>
      <c r="I1325" s="64"/>
    </row>
    <row r="1326" customFormat="false" ht="23.25" hidden="false" customHeight="true" outlineLevel="0" collapsed="false">
      <c r="B1326" s="67" t="str">
        <f aca="false">IFERROR(INDEX(分录收入!$M:$M,MATCH($L1326,分录收入!$L:$L,0)),"")</f>
        <v/>
      </c>
      <c r="C1326" s="67"/>
      <c r="D1326" s="23" t="str">
        <f aca="false">IFERROR(INDEX(分录收入!$E:$E,MATCH($L1326,分录收入!$L:$L,0)),"")</f>
        <v/>
      </c>
      <c r="E1326" s="23" t="str">
        <f aca="false">IFERROR(INDEX(分录收入!$F:$F,MATCH($L1326,分录收入!$L:$L,0)),"")</f>
        <v/>
      </c>
      <c r="F1326" s="68" t="str">
        <f aca="false">IFERROR(INDEX(分录收入!$H:$H,MATCH($L1326,分录收入!$L:$L,0)),"")</f>
        <v/>
      </c>
      <c r="G1326" s="69" t="str">
        <f aca="false">IFERROR(INDEX(分录收入!$I:$I,MATCH($L1326,分录收入!$L:$L,0)),"")</f>
        <v/>
      </c>
      <c r="H1326" s="23"/>
      <c r="I1326" s="70"/>
      <c r="L1326" s="71" t="n">
        <f aca="false">IF(助手收入!$R$90="",-1,助手收入!$R$90*100+(助手收入!$S$90-1)*6+1)</f>
        <v>-1</v>
      </c>
    </row>
    <row r="1327" customFormat="false" ht="23.25" hidden="false" customHeight="true" outlineLevel="0" collapsed="false">
      <c r="B1327" s="67" t="str">
        <f aca="false">""</f>
        <v/>
      </c>
      <c r="C1327" s="67"/>
      <c r="D1327" s="23" t="str">
        <f aca="false">IFERROR(INDEX(分录收入!$E:$E,MATCH($L1327,分录收入!$L:$L,0)),"")</f>
        <v/>
      </c>
      <c r="E1327" s="23" t="str">
        <f aca="false">IFERROR(INDEX(分录收入!$F:$F,MATCH($L1327,分录收入!$L:$L,0)),"")</f>
        <v/>
      </c>
      <c r="F1327" s="68" t="str">
        <f aca="false">IFERROR(INDEX(分录收入!$H:$H,MATCH($L1327,分录收入!$L:$L,0)),"")</f>
        <v/>
      </c>
      <c r="G1327" s="69" t="str">
        <f aca="false">IFERROR(INDEX(分录收入!$I:$I,MATCH($L1327,分录收入!$L:$L,0)),"")</f>
        <v/>
      </c>
      <c r="H1327" s="23"/>
      <c r="I1327" s="70"/>
      <c r="L1327" s="71" t="n">
        <f aca="false">IF(助手收入!$R$90="",-1,助手收入!$R$90*100+(助手收入!$S$90-1)*6+2)</f>
        <v>-1</v>
      </c>
    </row>
    <row r="1328" customFormat="false" ht="23.25" hidden="false" customHeight="true" outlineLevel="0" collapsed="false">
      <c r="B1328" s="67" t="str">
        <f aca="false">""</f>
        <v/>
      </c>
      <c r="C1328" s="67"/>
      <c r="D1328" s="23" t="str">
        <f aca="false">IFERROR(INDEX(分录收入!$E:$E,MATCH($L1328,分录收入!$L:$L,0)),"")</f>
        <v/>
      </c>
      <c r="E1328" s="23" t="str">
        <f aca="false">IFERROR(INDEX(分录收入!$F:$F,MATCH($L1328,分录收入!$L:$L,0)),"")</f>
        <v/>
      </c>
      <c r="F1328" s="68" t="str">
        <f aca="false">IFERROR(INDEX(分录收入!$H:$H,MATCH($L1328,分录收入!$L:$L,0)),"")</f>
        <v/>
      </c>
      <c r="G1328" s="69" t="str">
        <f aca="false">IFERROR(INDEX(分录收入!$I:$I,MATCH($L1328,分录收入!$L:$L,0)),"")</f>
        <v/>
      </c>
      <c r="H1328" s="23"/>
      <c r="I1328" s="70"/>
      <c r="L1328" s="71" t="n">
        <f aca="false">IF(助手收入!$R$90="",-1,助手收入!$R$90*100+(助手收入!$S$90-1)*6+3)</f>
        <v>-1</v>
      </c>
    </row>
    <row r="1329" customFormat="false" ht="23.25" hidden="false" customHeight="true" outlineLevel="0" collapsed="false">
      <c r="B1329" s="67" t="str">
        <f aca="false">""</f>
        <v/>
      </c>
      <c r="C1329" s="67"/>
      <c r="D1329" s="23" t="str">
        <f aca="false">IFERROR(INDEX(分录收入!$E:$E,MATCH($L1329,分录收入!$L:$L,0)),"")</f>
        <v/>
      </c>
      <c r="E1329" s="23" t="str">
        <f aca="false">IFERROR(INDEX(分录收入!$F:$F,MATCH($L1329,分录收入!$L:$L,0)),"")</f>
        <v/>
      </c>
      <c r="F1329" s="68" t="str">
        <f aca="false">IFERROR(INDEX(分录收入!$H:$H,MATCH($L1329,分录收入!$L:$L,0)),"")</f>
        <v/>
      </c>
      <c r="G1329" s="69" t="str">
        <f aca="false">IFERROR(INDEX(分录收入!$I:$I,MATCH($L1329,分录收入!$L:$L,0)),"")</f>
        <v/>
      </c>
      <c r="H1329" s="23"/>
      <c r="I1329" s="70"/>
      <c r="L1329" s="71" t="n">
        <f aca="false">IF(助手收入!$R$90="",-1,助手收入!$R$90*100+(助手收入!$S$90-1)*6+4)</f>
        <v>-1</v>
      </c>
    </row>
    <row r="1330" customFormat="false" ht="23.25" hidden="false" customHeight="true" outlineLevel="0" collapsed="false">
      <c r="B1330" s="67" t="str">
        <f aca="false">""</f>
        <v/>
      </c>
      <c r="C1330" s="67"/>
      <c r="D1330" s="23" t="str">
        <f aca="false">IFERROR(INDEX(分录收入!$E:$E,MATCH($L1330,分录收入!$L:$L,0)),"")</f>
        <v/>
      </c>
      <c r="E1330" s="23" t="str">
        <f aca="false">IFERROR(INDEX(分录收入!$F:$F,MATCH($L1330,分录收入!$L:$L,0)),"")</f>
        <v/>
      </c>
      <c r="F1330" s="68" t="str">
        <f aca="false">IFERROR(INDEX(分录收入!$H:$H,MATCH($L1330,分录收入!$L:$L,0)),"")</f>
        <v/>
      </c>
      <c r="G1330" s="69" t="str">
        <f aca="false">IFERROR(INDEX(分录收入!$I:$I,MATCH($L1330,分录收入!$L:$L,0)),"")</f>
        <v/>
      </c>
      <c r="H1330" s="23"/>
      <c r="I1330" s="70"/>
      <c r="L1330" s="71" t="n">
        <f aca="false">IF(助手收入!$R$90="",-1,助手收入!$R$90*100+(助手收入!$S$90-1)*6+5)</f>
        <v>-1</v>
      </c>
    </row>
    <row r="1331" customFormat="false" ht="23.25" hidden="false" customHeight="true" outlineLevel="0" collapsed="false">
      <c r="B1331" s="67" t="str">
        <f aca="false">""</f>
        <v/>
      </c>
      <c r="C1331" s="67"/>
      <c r="D1331" s="23" t="str">
        <f aca="false">IFERROR(INDEX(分录收入!$E:$E,MATCH($L1331,分录收入!$L:$L,0)),"")</f>
        <v/>
      </c>
      <c r="E1331" s="23" t="str">
        <f aca="false">IFERROR(INDEX(分录收入!$F:$F,MATCH($L1331,分录收入!$L:$L,0)),"")</f>
        <v/>
      </c>
      <c r="F1331" s="68" t="str">
        <f aca="false">IFERROR(INDEX(分录收入!$H:$H,MATCH($L1331,分录收入!$L:$L,0)),"")</f>
        <v/>
      </c>
      <c r="G1331" s="69" t="str">
        <f aca="false">IFERROR(INDEX(分录收入!$I:$I,MATCH($L1331,分录收入!$L:$L,0)),"")</f>
        <v/>
      </c>
      <c r="H1331" s="23"/>
      <c r="I1331" s="70"/>
      <c r="L1331" s="71" t="n">
        <f aca="false">IF(助手收入!$R$90="",-1,助手收入!$R$90*100+(助手收入!$S$90-1)*6+6)</f>
        <v>-1</v>
      </c>
    </row>
    <row r="1332" customFormat="false" ht="23.25" hidden="false" customHeight="true" outlineLevel="0" collapsed="false">
      <c r="B1332" s="72" t="str">
        <f aca="false">IF(助手收入!$T$90=1,"合计：","")</f>
        <v/>
      </c>
      <c r="C1332" s="73" t="str">
        <f aca="false">IF(助手收入!$T$90=1,$F1332,"")</f>
        <v/>
      </c>
      <c r="D1332" s="74"/>
      <c r="E1332" s="74"/>
      <c r="F1332" s="75" t="str">
        <f aca="false">IF(助手收入!$T$90=1,INDEX(助手收入!$N$2:$N$66,助手收入!$R$90),"")</f>
        <v/>
      </c>
      <c r="G1332" s="76" t="str">
        <f aca="false">IF(助手收入!$T$90=1,INDEX(助手收入!$O$2:$O$66,助手收入!$R$90),"")</f>
        <v/>
      </c>
      <c r="H1332" s="74"/>
      <c r="I1332" s="77"/>
    </row>
    <row r="1333" customFormat="false" ht="6" hidden="false" customHeight="true" outlineLevel="0" collapsed="false"/>
    <row r="1334" customFormat="false" ht="13.5" hidden="false" customHeight="false" outlineLevel="0" collapsed="false">
      <c r="B1334" s="78" t="str">
        <f aca="false">IF(助手收入!$R$90&lt;&gt;"","会计主管：","")</f>
        <v/>
      </c>
      <c r="D1334" s="78" t="str">
        <f aca="false">IF(助手收入!$R$90&lt;&gt;"","会计：","")</f>
        <v/>
      </c>
      <c r="E1334" s="78" t="str">
        <f aca="false">IF(助手收入!$R$90&lt;&gt;"","出纳：","")</f>
        <v/>
      </c>
      <c r="F1334" s="78" t="str">
        <f aca="false">IF(助手收入!$R$90&lt;&gt;"","复核：","")</f>
        <v/>
      </c>
      <c r="G1334" s="78" t="str">
        <f aca="false">IF(助手收入!$R$90&lt;&gt;"","制单：","")</f>
        <v/>
      </c>
    </row>
    <row r="1335" customFormat="false" ht="3" hidden="false" customHeight="true" outlineLevel="0" collapsed="false"/>
    <row r="1336" customFormat="false" ht="19.5" hidden="false" customHeight="true" outlineLevel="0" collapsed="false">
      <c r="B1336" s="53" t="str">
        <f aca="false">IF(助手收入!$R$91&lt;&gt;"","记  账  凭  证","")</f>
        <v/>
      </c>
      <c r="C1336" s="53"/>
      <c r="D1336" s="53"/>
      <c r="E1336" s="53"/>
      <c r="F1336" s="53"/>
      <c r="G1336" s="53"/>
      <c r="H1336" s="53"/>
      <c r="I1336" s="53"/>
    </row>
    <row r="1337" customFormat="false" ht="3" hidden="false" customHeight="true" outlineLevel="0" collapsed="false"/>
    <row r="1338" customFormat="false" ht="15" hidden="false" customHeight="true" outlineLevel="0" collapsed="false">
      <c r="C1338" s="56" t="str">
        <f aca="false">IF(助手收入!$R$91&lt;&gt;"",INDEX(助手收入!$B$2:$B$66,助手收入!$R$91),"")</f>
        <v/>
      </c>
      <c r="D1338" s="57" t="str">
        <f aca="false">IF(助手收入!$R$91&lt;&gt;"",参数!$B$2,"")</f>
        <v/>
      </c>
      <c r="E1338" s="57"/>
      <c r="F1338" s="58" t="str">
        <f aca="false">IF(助手收入!$R$91&lt;&gt;"",INDEX(助手收入!$C$2:$C$66,助手收入!$R$91)&amp;"  字第 "&amp;IF(参数!$B$9="是",INDEX(助手收入!$P$2:$P$66,助手收入!$R$91),"　　　　")&amp;" 号"&amp;IF(INDEX(助手收入!$L$2:$L$66,助手收入!$R$91)&gt;1,"  (共"&amp;INDEX(助手收入!$L$2:$L$66,助手收入!$R$91)&amp;"页 第"&amp;助手收入!$S$91&amp;"页)",""),"")</f>
        <v/>
      </c>
      <c r="G1338" s="58"/>
      <c r="H1338" s="58"/>
      <c r="I1338" s="58"/>
      <c r="M1338" s="79" t="str">
        <f aca="false">IF(助手收入!$R$91="","",助手收入!$Q$91)</f>
        <v/>
      </c>
      <c r="N1338" s="80" t="str">
        <f aca="false">IF(助手收入!$R$91="","",INDEX(助手收入!$P$2:$P$66,助手收入!$R$91))</f>
        <v/>
      </c>
      <c r="O1338" s="55" t="str">
        <f aca="false">IF(助手收入!$R$91="","",INDEX(助手收入!$C$2:$C$66,助手收入!$R$91)&amp;"  字第 "&amp;INDEX(助手收入!$P$2:$P$66,助手收入!$R$91)&amp;" 号"&amp;IF(INDEX(助手收入!$L$2:$L$66,助手收入!$R$91)&gt;1,"  (共"&amp;INDEX(助手收入!$L$2:$L$66,助手收入!$R$91)&amp;"页 第"&amp;助手收入!$S$91&amp;"页)",""))</f>
        <v/>
      </c>
    </row>
    <row r="1339" customFormat="false" ht="12.75" hidden="false" customHeight="true" outlineLevel="0" collapsed="false">
      <c r="B1339" s="61" t="str">
        <f aca="false">IF(助手收入!$R$91&lt;&gt;"","摘　　要","")</f>
        <v/>
      </c>
      <c r="C1339" s="61"/>
      <c r="D1339" s="62" t="str">
        <f aca="false">IF(助手收入!$R$91&lt;&gt;"","科　　　　目","")</f>
        <v/>
      </c>
      <c r="E1339" s="62"/>
      <c r="F1339" s="61" t="str">
        <f aca="false">IF(助手收入!$R$91&lt;&gt;"","借 方 金 额","")</f>
        <v/>
      </c>
      <c r="G1339" s="62" t="str">
        <f aca="false">IF(助手收入!$R$91&lt;&gt;"","贷 方 金 额","")</f>
        <v/>
      </c>
      <c r="H1339" s="63" t="str">
        <f aca="false">IF(助手收入!$R$91&lt;&gt;"","√","")</f>
        <v/>
      </c>
      <c r="I1339" s="64" t="str">
        <f aca="false">IF(助手收入!$R$91&lt;&gt;"","附单据  张","")</f>
        <v/>
      </c>
    </row>
    <row r="1340" customFormat="false" ht="12.75" hidden="false" customHeight="true" outlineLevel="0" collapsed="false">
      <c r="B1340" s="61"/>
      <c r="C1340" s="61"/>
      <c r="D1340" s="23" t="str">
        <f aca="false">IF(助手收入!$R$91&lt;&gt;"","总 账 科 目","")</f>
        <v/>
      </c>
      <c r="E1340" s="23" t="str">
        <f aca="false">IF(助手收入!$R$91&lt;&gt;"","明 细 科 目","")</f>
        <v/>
      </c>
      <c r="F1340" s="65"/>
      <c r="G1340" s="66"/>
      <c r="H1340" s="63"/>
      <c r="I1340" s="64"/>
    </row>
    <row r="1341" customFormat="false" ht="23.25" hidden="false" customHeight="true" outlineLevel="0" collapsed="false">
      <c r="B1341" s="67" t="str">
        <f aca="false">IFERROR(INDEX(分录收入!$M:$M,MATCH($L1341,分录收入!$L:$L,0)),"")</f>
        <v/>
      </c>
      <c r="C1341" s="67"/>
      <c r="D1341" s="23" t="str">
        <f aca="false">IFERROR(INDEX(分录收入!$E:$E,MATCH($L1341,分录收入!$L:$L,0)),"")</f>
        <v/>
      </c>
      <c r="E1341" s="23" t="str">
        <f aca="false">IFERROR(INDEX(分录收入!$F:$F,MATCH($L1341,分录收入!$L:$L,0)),"")</f>
        <v/>
      </c>
      <c r="F1341" s="68" t="str">
        <f aca="false">IFERROR(INDEX(分录收入!$H:$H,MATCH($L1341,分录收入!$L:$L,0)),"")</f>
        <v/>
      </c>
      <c r="G1341" s="69" t="str">
        <f aca="false">IFERROR(INDEX(分录收入!$I:$I,MATCH($L1341,分录收入!$L:$L,0)),"")</f>
        <v/>
      </c>
      <c r="H1341" s="23"/>
      <c r="I1341" s="70"/>
      <c r="L1341" s="71" t="n">
        <f aca="false">IF(助手收入!$R$91="",-1,助手收入!$R$91*100+(助手收入!$S$91-1)*6+1)</f>
        <v>-1</v>
      </c>
    </row>
    <row r="1342" customFormat="false" ht="23.25" hidden="false" customHeight="true" outlineLevel="0" collapsed="false">
      <c r="B1342" s="67" t="str">
        <f aca="false">""</f>
        <v/>
      </c>
      <c r="C1342" s="67"/>
      <c r="D1342" s="23" t="str">
        <f aca="false">IFERROR(INDEX(分录收入!$E:$E,MATCH($L1342,分录收入!$L:$L,0)),"")</f>
        <v/>
      </c>
      <c r="E1342" s="23" t="str">
        <f aca="false">IFERROR(INDEX(分录收入!$F:$F,MATCH($L1342,分录收入!$L:$L,0)),"")</f>
        <v/>
      </c>
      <c r="F1342" s="68" t="str">
        <f aca="false">IFERROR(INDEX(分录收入!$H:$H,MATCH($L1342,分录收入!$L:$L,0)),"")</f>
        <v/>
      </c>
      <c r="G1342" s="69" t="str">
        <f aca="false">IFERROR(INDEX(分录收入!$I:$I,MATCH($L1342,分录收入!$L:$L,0)),"")</f>
        <v/>
      </c>
      <c r="H1342" s="23"/>
      <c r="I1342" s="70"/>
      <c r="L1342" s="71" t="n">
        <f aca="false">IF(助手收入!$R$91="",-1,助手收入!$R$91*100+(助手收入!$S$91-1)*6+2)</f>
        <v>-1</v>
      </c>
    </row>
    <row r="1343" customFormat="false" ht="23.25" hidden="false" customHeight="true" outlineLevel="0" collapsed="false">
      <c r="B1343" s="67" t="str">
        <f aca="false">""</f>
        <v/>
      </c>
      <c r="C1343" s="67"/>
      <c r="D1343" s="23" t="str">
        <f aca="false">IFERROR(INDEX(分录收入!$E:$E,MATCH($L1343,分录收入!$L:$L,0)),"")</f>
        <v/>
      </c>
      <c r="E1343" s="23" t="str">
        <f aca="false">IFERROR(INDEX(分录收入!$F:$F,MATCH($L1343,分录收入!$L:$L,0)),"")</f>
        <v/>
      </c>
      <c r="F1343" s="68" t="str">
        <f aca="false">IFERROR(INDEX(分录收入!$H:$H,MATCH($L1343,分录收入!$L:$L,0)),"")</f>
        <v/>
      </c>
      <c r="G1343" s="69" t="str">
        <f aca="false">IFERROR(INDEX(分录收入!$I:$I,MATCH($L1343,分录收入!$L:$L,0)),"")</f>
        <v/>
      </c>
      <c r="H1343" s="23"/>
      <c r="I1343" s="70"/>
      <c r="L1343" s="71" t="n">
        <f aca="false">IF(助手收入!$R$91="",-1,助手收入!$R$91*100+(助手收入!$S$91-1)*6+3)</f>
        <v>-1</v>
      </c>
    </row>
    <row r="1344" customFormat="false" ht="23.25" hidden="false" customHeight="true" outlineLevel="0" collapsed="false">
      <c r="B1344" s="67" t="str">
        <f aca="false">""</f>
        <v/>
      </c>
      <c r="C1344" s="67"/>
      <c r="D1344" s="23" t="str">
        <f aca="false">IFERROR(INDEX(分录收入!$E:$E,MATCH($L1344,分录收入!$L:$L,0)),"")</f>
        <v/>
      </c>
      <c r="E1344" s="23" t="str">
        <f aca="false">IFERROR(INDEX(分录收入!$F:$F,MATCH($L1344,分录收入!$L:$L,0)),"")</f>
        <v/>
      </c>
      <c r="F1344" s="68" t="str">
        <f aca="false">IFERROR(INDEX(分录收入!$H:$H,MATCH($L1344,分录收入!$L:$L,0)),"")</f>
        <v/>
      </c>
      <c r="G1344" s="69" t="str">
        <f aca="false">IFERROR(INDEX(分录收入!$I:$I,MATCH($L1344,分录收入!$L:$L,0)),"")</f>
        <v/>
      </c>
      <c r="H1344" s="23"/>
      <c r="I1344" s="70"/>
      <c r="L1344" s="71" t="n">
        <f aca="false">IF(助手收入!$R$91="",-1,助手收入!$R$91*100+(助手收入!$S$91-1)*6+4)</f>
        <v>-1</v>
      </c>
    </row>
    <row r="1345" customFormat="false" ht="23.25" hidden="false" customHeight="true" outlineLevel="0" collapsed="false">
      <c r="B1345" s="67" t="str">
        <f aca="false">""</f>
        <v/>
      </c>
      <c r="C1345" s="67"/>
      <c r="D1345" s="23" t="str">
        <f aca="false">IFERROR(INDEX(分录收入!$E:$E,MATCH($L1345,分录收入!$L:$L,0)),"")</f>
        <v/>
      </c>
      <c r="E1345" s="23" t="str">
        <f aca="false">IFERROR(INDEX(分录收入!$F:$F,MATCH($L1345,分录收入!$L:$L,0)),"")</f>
        <v/>
      </c>
      <c r="F1345" s="68" t="str">
        <f aca="false">IFERROR(INDEX(分录收入!$H:$H,MATCH($L1345,分录收入!$L:$L,0)),"")</f>
        <v/>
      </c>
      <c r="G1345" s="69" t="str">
        <f aca="false">IFERROR(INDEX(分录收入!$I:$I,MATCH($L1345,分录收入!$L:$L,0)),"")</f>
        <v/>
      </c>
      <c r="H1345" s="23"/>
      <c r="I1345" s="70"/>
      <c r="L1345" s="71" t="n">
        <f aca="false">IF(助手收入!$R$91="",-1,助手收入!$R$91*100+(助手收入!$S$91-1)*6+5)</f>
        <v>-1</v>
      </c>
    </row>
    <row r="1346" customFormat="false" ht="23.25" hidden="false" customHeight="true" outlineLevel="0" collapsed="false">
      <c r="B1346" s="67" t="str">
        <f aca="false">""</f>
        <v/>
      </c>
      <c r="C1346" s="67"/>
      <c r="D1346" s="23" t="str">
        <f aca="false">IFERROR(INDEX(分录收入!$E:$E,MATCH($L1346,分录收入!$L:$L,0)),"")</f>
        <v/>
      </c>
      <c r="E1346" s="23" t="str">
        <f aca="false">IFERROR(INDEX(分录收入!$F:$F,MATCH($L1346,分录收入!$L:$L,0)),"")</f>
        <v/>
      </c>
      <c r="F1346" s="68" t="str">
        <f aca="false">IFERROR(INDEX(分录收入!$H:$H,MATCH($L1346,分录收入!$L:$L,0)),"")</f>
        <v/>
      </c>
      <c r="G1346" s="69" t="str">
        <f aca="false">IFERROR(INDEX(分录收入!$I:$I,MATCH($L1346,分录收入!$L:$L,0)),"")</f>
        <v/>
      </c>
      <c r="H1346" s="23"/>
      <c r="I1346" s="70"/>
      <c r="L1346" s="71" t="n">
        <f aca="false">IF(助手收入!$R$91="",-1,助手收入!$R$91*100+(助手收入!$S$91-1)*6+6)</f>
        <v>-1</v>
      </c>
    </row>
    <row r="1347" customFormat="false" ht="23.25" hidden="false" customHeight="true" outlineLevel="0" collapsed="false">
      <c r="B1347" s="72" t="str">
        <f aca="false">IF(助手收入!$T$91=1,"合计：","")</f>
        <v/>
      </c>
      <c r="C1347" s="73" t="str">
        <f aca="false">IF(助手收入!$T$91=1,$F1347,"")</f>
        <v/>
      </c>
      <c r="D1347" s="74"/>
      <c r="E1347" s="74"/>
      <c r="F1347" s="75" t="str">
        <f aca="false">IF(助手收入!$T$91=1,INDEX(助手收入!$N$2:$N$66,助手收入!$R$91),"")</f>
        <v/>
      </c>
      <c r="G1347" s="76" t="str">
        <f aca="false">IF(助手收入!$T$91=1,INDEX(助手收入!$O$2:$O$66,助手收入!$R$91),"")</f>
        <v/>
      </c>
      <c r="H1347" s="74"/>
      <c r="I1347" s="77"/>
    </row>
    <row r="1348" customFormat="false" ht="6" hidden="false" customHeight="true" outlineLevel="0" collapsed="false"/>
    <row r="1349" customFormat="false" ht="13.5" hidden="false" customHeight="false" outlineLevel="0" collapsed="false">
      <c r="B1349" s="78" t="str">
        <f aca="false">IF(助手收入!$R$91&lt;&gt;"","会计主管：","")</f>
        <v/>
      </c>
      <c r="D1349" s="78" t="str">
        <f aca="false">IF(助手收入!$R$91&lt;&gt;"","会计：","")</f>
        <v/>
      </c>
      <c r="E1349" s="78" t="str">
        <f aca="false">IF(助手收入!$R$91&lt;&gt;"","出纳：","")</f>
        <v/>
      </c>
      <c r="F1349" s="78" t="str">
        <f aca="false">IF(助手收入!$R$91&lt;&gt;"","复核：","")</f>
        <v/>
      </c>
      <c r="G1349" s="78" t="str">
        <f aca="false">IF(助手收入!$R$91&lt;&gt;"","制单：","")</f>
        <v/>
      </c>
    </row>
    <row r="1350" customFormat="false" ht="3" hidden="false" customHeight="true" outlineLevel="0" collapsed="false"/>
    <row r="1351" customFormat="false" ht="19.5" hidden="false" customHeight="true" outlineLevel="0" collapsed="false">
      <c r="B1351" s="53" t="str">
        <f aca="false">IF(助手收入!$R$92&lt;&gt;"","记  账  凭  证","")</f>
        <v/>
      </c>
      <c r="C1351" s="53"/>
      <c r="D1351" s="53"/>
      <c r="E1351" s="53"/>
      <c r="F1351" s="53"/>
      <c r="G1351" s="53"/>
      <c r="H1351" s="53"/>
      <c r="I1351" s="53"/>
    </row>
    <row r="1352" customFormat="false" ht="3" hidden="false" customHeight="true" outlineLevel="0" collapsed="false"/>
    <row r="1353" customFormat="false" ht="15" hidden="false" customHeight="true" outlineLevel="0" collapsed="false">
      <c r="C1353" s="56" t="str">
        <f aca="false">IF(助手收入!$R$92&lt;&gt;"",INDEX(助手收入!$B$2:$B$66,助手收入!$R$92),"")</f>
        <v/>
      </c>
      <c r="D1353" s="57" t="str">
        <f aca="false">IF(助手收入!$R$92&lt;&gt;"",参数!$B$2,"")</f>
        <v/>
      </c>
      <c r="E1353" s="57"/>
      <c r="F1353" s="58" t="str">
        <f aca="false">IF(助手收入!$R$92&lt;&gt;"",INDEX(助手收入!$C$2:$C$66,助手收入!$R$92)&amp;"  字第 "&amp;IF(参数!$B$9="是",INDEX(助手收入!$P$2:$P$66,助手收入!$R$92),"　　　　")&amp;" 号"&amp;IF(INDEX(助手收入!$L$2:$L$66,助手收入!$R$92)&gt;1,"  (共"&amp;INDEX(助手收入!$L$2:$L$66,助手收入!$R$92)&amp;"页 第"&amp;助手收入!$S$92&amp;"页)",""),"")</f>
        <v/>
      </c>
      <c r="G1353" s="58"/>
      <c r="H1353" s="58"/>
      <c r="I1353" s="58"/>
      <c r="M1353" s="79" t="str">
        <f aca="false">IF(助手收入!$R$92="","",助手收入!$Q$92)</f>
        <v/>
      </c>
      <c r="N1353" s="80" t="str">
        <f aca="false">IF(助手收入!$R$92="","",INDEX(助手收入!$P$2:$P$66,助手收入!$R$92))</f>
        <v/>
      </c>
      <c r="O1353" s="55" t="str">
        <f aca="false">IF(助手收入!$R$92="","",INDEX(助手收入!$C$2:$C$66,助手收入!$R$92)&amp;"  字第 "&amp;INDEX(助手收入!$P$2:$P$66,助手收入!$R$92)&amp;" 号"&amp;IF(INDEX(助手收入!$L$2:$L$66,助手收入!$R$92)&gt;1,"  (共"&amp;INDEX(助手收入!$L$2:$L$66,助手收入!$R$92)&amp;"页 第"&amp;助手收入!$S$92&amp;"页)",""))</f>
        <v/>
      </c>
    </row>
    <row r="1354" customFormat="false" ht="12.75" hidden="false" customHeight="true" outlineLevel="0" collapsed="false">
      <c r="B1354" s="61" t="str">
        <f aca="false">IF(助手收入!$R$92&lt;&gt;"","摘　　要","")</f>
        <v/>
      </c>
      <c r="C1354" s="61"/>
      <c r="D1354" s="62" t="str">
        <f aca="false">IF(助手收入!$R$92&lt;&gt;"","科　　　　目","")</f>
        <v/>
      </c>
      <c r="E1354" s="62"/>
      <c r="F1354" s="61" t="str">
        <f aca="false">IF(助手收入!$R$92&lt;&gt;"","借 方 金 额","")</f>
        <v/>
      </c>
      <c r="G1354" s="62" t="str">
        <f aca="false">IF(助手收入!$R$92&lt;&gt;"","贷 方 金 额","")</f>
        <v/>
      </c>
      <c r="H1354" s="63" t="str">
        <f aca="false">IF(助手收入!$R$92&lt;&gt;"","√","")</f>
        <v/>
      </c>
      <c r="I1354" s="64" t="str">
        <f aca="false">IF(助手收入!$R$92&lt;&gt;"","附单据  张","")</f>
        <v/>
      </c>
    </row>
    <row r="1355" customFormat="false" ht="12.75" hidden="false" customHeight="true" outlineLevel="0" collapsed="false">
      <c r="B1355" s="61"/>
      <c r="C1355" s="61"/>
      <c r="D1355" s="23" t="str">
        <f aca="false">IF(助手收入!$R$92&lt;&gt;"","总 账 科 目","")</f>
        <v/>
      </c>
      <c r="E1355" s="23" t="str">
        <f aca="false">IF(助手收入!$R$92&lt;&gt;"","明 细 科 目","")</f>
        <v/>
      </c>
      <c r="F1355" s="65"/>
      <c r="G1355" s="66"/>
      <c r="H1355" s="63"/>
      <c r="I1355" s="64"/>
    </row>
    <row r="1356" customFormat="false" ht="23.25" hidden="false" customHeight="true" outlineLevel="0" collapsed="false">
      <c r="B1356" s="67" t="str">
        <f aca="false">IFERROR(INDEX(分录收入!$M:$M,MATCH($L1356,分录收入!$L:$L,0)),"")</f>
        <v/>
      </c>
      <c r="C1356" s="67"/>
      <c r="D1356" s="23" t="str">
        <f aca="false">IFERROR(INDEX(分录收入!$E:$E,MATCH($L1356,分录收入!$L:$L,0)),"")</f>
        <v/>
      </c>
      <c r="E1356" s="23" t="str">
        <f aca="false">IFERROR(INDEX(分录收入!$F:$F,MATCH($L1356,分录收入!$L:$L,0)),"")</f>
        <v/>
      </c>
      <c r="F1356" s="68" t="str">
        <f aca="false">IFERROR(INDEX(分录收入!$H:$H,MATCH($L1356,分录收入!$L:$L,0)),"")</f>
        <v/>
      </c>
      <c r="G1356" s="69" t="str">
        <f aca="false">IFERROR(INDEX(分录收入!$I:$I,MATCH($L1356,分录收入!$L:$L,0)),"")</f>
        <v/>
      </c>
      <c r="H1356" s="23"/>
      <c r="I1356" s="70"/>
      <c r="L1356" s="71" t="n">
        <f aca="false">IF(助手收入!$R$92="",-1,助手收入!$R$92*100+(助手收入!$S$92-1)*6+1)</f>
        <v>-1</v>
      </c>
    </row>
    <row r="1357" customFormat="false" ht="23.25" hidden="false" customHeight="true" outlineLevel="0" collapsed="false">
      <c r="B1357" s="67" t="str">
        <f aca="false">""</f>
        <v/>
      </c>
      <c r="C1357" s="67"/>
      <c r="D1357" s="23" t="str">
        <f aca="false">IFERROR(INDEX(分录收入!$E:$E,MATCH($L1357,分录收入!$L:$L,0)),"")</f>
        <v/>
      </c>
      <c r="E1357" s="23" t="str">
        <f aca="false">IFERROR(INDEX(分录收入!$F:$F,MATCH($L1357,分录收入!$L:$L,0)),"")</f>
        <v/>
      </c>
      <c r="F1357" s="68" t="str">
        <f aca="false">IFERROR(INDEX(分录收入!$H:$H,MATCH($L1357,分录收入!$L:$L,0)),"")</f>
        <v/>
      </c>
      <c r="G1357" s="69" t="str">
        <f aca="false">IFERROR(INDEX(分录收入!$I:$I,MATCH($L1357,分录收入!$L:$L,0)),"")</f>
        <v/>
      </c>
      <c r="H1357" s="23"/>
      <c r="I1357" s="70"/>
      <c r="L1357" s="71" t="n">
        <f aca="false">IF(助手收入!$R$92="",-1,助手收入!$R$92*100+(助手收入!$S$92-1)*6+2)</f>
        <v>-1</v>
      </c>
    </row>
    <row r="1358" customFormat="false" ht="23.25" hidden="false" customHeight="true" outlineLevel="0" collapsed="false">
      <c r="B1358" s="67" t="str">
        <f aca="false">""</f>
        <v/>
      </c>
      <c r="C1358" s="67"/>
      <c r="D1358" s="23" t="str">
        <f aca="false">IFERROR(INDEX(分录收入!$E:$E,MATCH($L1358,分录收入!$L:$L,0)),"")</f>
        <v/>
      </c>
      <c r="E1358" s="23" t="str">
        <f aca="false">IFERROR(INDEX(分录收入!$F:$F,MATCH($L1358,分录收入!$L:$L,0)),"")</f>
        <v/>
      </c>
      <c r="F1358" s="68" t="str">
        <f aca="false">IFERROR(INDEX(分录收入!$H:$H,MATCH($L1358,分录收入!$L:$L,0)),"")</f>
        <v/>
      </c>
      <c r="G1358" s="69" t="str">
        <f aca="false">IFERROR(INDEX(分录收入!$I:$I,MATCH($L1358,分录收入!$L:$L,0)),"")</f>
        <v/>
      </c>
      <c r="H1358" s="23"/>
      <c r="I1358" s="70"/>
      <c r="L1358" s="71" t="n">
        <f aca="false">IF(助手收入!$R$92="",-1,助手收入!$R$92*100+(助手收入!$S$92-1)*6+3)</f>
        <v>-1</v>
      </c>
    </row>
    <row r="1359" customFormat="false" ht="23.25" hidden="false" customHeight="true" outlineLevel="0" collapsed="false">
      <c r="B1359" s="67" t="str">
        <f aca="false">""</f>
        <v/>
      </c>
      <c r="C1359" s="67"/>
      <c r="D1359" s="23" t="str">
        <f aca="false">IFERROR(INDEX(分录收入!$E:$E,MATCH($L1359,分录收入!$L:$L,0)),"")</f>
        <v/>
      </c>
      <c r="E1359" s="23" t="str">
        <f aca="false">IFERROR(INDEX(分录收入!$F:$F,MATCH($L1359,分录收入!$L:$L,0)),"")</f>
        <v/>
      </c>
      <c r="F1359" s="68" t="str">
        <f aca="false">IFERROR(INDEX(分录收入!$H:$H,MATCH($L1359,分录收入!$L:$L,0)),"")</f>
        <v/>
      </c>
      <c r="G1359" s="69" t="str">
        <f aca="false">IFERROR(INDEX(分录收入!$I:$I,MATCH($L1359,分录收入!$L:$L,0)),"")</f>
        <v/>
      </c>
      <c r="H1359" s="23"/>
      <c r="I1359" s="70"/>
      <c r="L1359" s="71" t="n">
        <f aca="false">IF(助手收入!$R$92="",-1,助手收入!$R$92*100+(助手收入!$S$92-1)*6+4)</f>
        <v>-1</v>
      </c>
    </row>
    <row r="1360" customFormat="false" ht="23.25" hidden="false" customHeight="true" outlineLevel="0" collapsed="false">
      <c r="B1360" s="67" t="str">
        <f aca="false">""</f>
        <v/>
      </c>
      <c r="C1360" s="67"/>
      <c r="D1360" s="23" t="str">
        <f aca="false">IFERROR(INDEX(分录收入!$E:$E,MATCH($L1360,分录收入!$L:$L,0)),"")</f>
        <v/>
      </c>
      <c r="E1360" s="23" t="str">
        <f aca="false">IFERROR(INDEX(分录收入!$F:$F,MATCH($L1360,分录收入!$L:$L,0)),"")</f>
        <v/>
      </c>
      <c r="F1360" s="68" t="str">
        <f aca="false">IFERROR(INDEX(分录收入!$H:$H,MATCH($L1360,分录收入!$L:$L,0)),"")</f>
        <v/>
      </c>
      <c r="G1360" s="69" t="str">
        <f aca="false">IFERROR(INDEX(分录收入!$I:$I,MATCH($L1360,分录收入!$L:$L,0)),"")</f>
        <v/>
      </c>
      <c r="H1360" s="23"/>
      <c r="I1360" s="70"/>
      <c r="L1360" s="71" t="n">
        <f aca="false">IF(助手收入!$R$92="",-1,助手收入!$R$92*100+(助手收入!$S$92-1)*6+5)</f>
        <v>-1</v>
      </c>
    </row>
    <row r="1361" customFormat="false" ht="23.25" hidden="false" customHeight="true" outlineLevel="0" collapsed="false">
      <c r="B1361" s="67" t="str">
        <f aca="false">""</f>
        <v/>
      </c>
      <c r="C1361" s="67"/>
      <c r="D1361" s="23" t="str">
        <f aca="false">IFERROR(INDEX(分录收入!$E:$E,MATCH($L1361,分录收入!$L:$L,0)),"")</f>
        <v/>
      </c>
      <c r="E1361" s="23" t="str">
        <f aca="false">IFERROR(INDEX(分录收入!$F:$F,MATCH($L1361,分录收入!$L:$L,0)),"")</f>
        <v/>
      </c>
      <c r="F1361" s="68" t="str">
        <f aca="false">IFERROR(INDEX(分录收入!$H:$H,MATCH($L1361,分录收入!$L:$L,0)),"")</f>
        <v/>
      </c>
      <c r="G1361" s="69" t="str">
        <f aca="false">IFERROR(INDEX(分录收入!$I:$I,MATCH($L1361,分录收入!$L:$L,0)),"")</f>
        <v/>
      </c>
      <c r="H1361" s="23"/>
      <c r="I1361" s="70"/>
      <c r="L1361" s="71" t="n">
        <f aca="false">IF(助手收入!$R$92="",-1,助手收入!$R$92*100+(助手收入!$S$92-1)*6+6)</f>
        <v>-1</v>
      </c>
    </row>
    <row r="1362" customFormat="false" ht="23.25" hidden="false" customHeight="true" outlineLevel="0" collapsed="false">
      <c r="B1362" s="72" t="str">
        <f aca="false">IF(助手收入!$T$92=1,"合计：","")</f>
        <v/>
      </c>
      <c r="C1362" s="73" t="str">
        <f aca="false">IF(助手收入!$T$92=1,$F1362,"")</f>
        <v/>
      </c>
      <c r="D1362" s="74"/>
      <c r="E1362" s="74"/>
      <c r="F1362" s="75" t="str">
        <f aca="false">IF(助手收入!$T$92=1,INDEX(助手收入!$N$2:$N$66,助手收入!$R$92),"")</f>
        <v/>
      </c>
      <c r="G1362" s="76" t="str">
        <f aca="false">IF(助手收入!$T$92=1,INDEX(助手收入!$O$2:$O$66,助手收入!$R$92),"")</f>
        <v/>
      </c>
      <c r="H1362" s="74"/>
      <c r="I1362" s="77"/>
    </row>
    <row r="1363" customFormat="false" ht="6" hidden="false" customHeight="true" outlineLevel="0" collapsed="false"/>
    <row r="1364" customFormat="false" ht="13.5" hidden="false" customHeight="false" outlineLevel="0" collapsed="false">
      <c r="B1364" s="78" t="str">
        <f aca="false">IF(助手收入!$R$92&lt;&gt;"","会计主管：","")</f>
        <v/>
      </c>
      <c r="D1364" s="78" t="str">
        <f aca="false">IF(助手收入!$R$92&lt;&gt;"","会计：","")</f>
        <v/>
      </c>
      <c r="E1364" s="78" t="str">
        <f aca="false">IF(助手收入!$R$92&lt;&gt;"","出纳：","")</f>
        <v/>
      </c>
      <c r="F1364" s="78" t="str">
        <f aca="false">IF(助手收入!$R$92&lt;&gt;"","复核：","")</f>
        <v/>
      </c>
      <c r="G1364" s="78" t="str">
        <f aca="false">IF(助手收入!$R$92&lt;&gt;"","制单：","")</f>
        <v/>
      </c>
    </row>
    <row r="1365" customFormat="false" ht="3" hidden="false" customHeight="true" outlineLevel="0" collapsed="false"/>
    <row r="1366" customFormat="false" ht="19.5" hidden="false" customHeight="true" outlineLevel="0" collapsed="false">
      <c r="B1366" s="53" t="str">
        <f aca="false">IF(助手收入!$R$93&lt;&gt;"","记  账  凭  证","")</f>
        <v/>
      </c>
      <c r="C1366" s="53"/>
      <c r="D1366" s="53"/>
      <c r="E1366" s="53"/>
      <c r="F1366" s="53"/>
      <c r="G1366" s="53"/>
      <c r="H1366" s="53"/>
      <c r="I1366" s="53"/>
    </row>
    <row r="1367" customFormat="false" ht="3" hidden="false" customHeight="true" outlineLevel="0" collapsed="false"/>
    <row r="1368" customFormat="false" ht="15" hidden="false" customHeight="true" outlineLevel="0" collapsed="false">
      <c r="C1368" s="56" t="str">
        <f aca="false">IF(助手收入!$R$93&lt;&gt;"",INDEX(助手收入!$B$2:$B$66,助手收入!$R$93),"")</f>
        <v/>
      </c>
      <c r="D1368" s="57" t="str">
        <f aca="false">IF(助手收入!$R$93&lt;&gt;"",参数!$B$2,"")</f>
        <v/>
      </c>
      <c r="E1368" s="57"/>
      <c r="F1368" s="58" t="str">
        <f aca="false">IF(助手收入!$R$93&lt;&gt;"",INDEX(助手收入!$C$2:$C$66,助手收入!$R$93)&amp;"  字第 "&amp;IF(参数!$B$9="是",INDEX(助手收入!$P$2:$P$66,助手收入!$R$93),"　　　　")&amp;" 号"&amp;IF(INDEX(助手收入!$L$2:$L$66,助手收入!$R$93)&gt;1,"  (共"&amp;INDEX(助手收入!$L$2:$L$66,助手收入!$R$93)&amp;"页 第"&amp;助手收入!$S$93&amp;"页)",""),"")</f>
        <v/>
      </c>
      <c r="G1368" s="58"/>
      <c r="H1368" s="58"/>
      <c r="I1368" s="58"/>
      <c r="M1368" s="79" t="str">
        <f aca="false">IF(助手收入!$R$93="","",助手收入!$Q$93)</f>
        <v/>
      </c>
      <c r="N1368" s="80" t="str">
        <f aca="false">IF(助手收入!$R$93="","",INDEX(助手收入!$P$2:$P$66,助手收入!$R$93))</f>
        <v/>
      </c>
      <c r="O1368" s="55" t="str">
        <f aca="false">IF(助手收入!$R$93="","",INDEX(助手收入!$C$2:$C$66,助手收入!$R$93)&amp;"  字第 "&amp;INDEX(助手收入!$P$2:$P$66,助手收入!$R$93)&amp;" 号"&amp;IF(INDEX(助手收入!$L$2:$L$66,助手收入!$R$93)&gt;1,"  (共"&amp;INDEX(助手收入!$L$2:$L$66,助手收入!$R$93)&amp;"页 第"&amp;助手收入!$S$93&amp;"页)",""))</f>
        <v/>
      </c>
    </row>
    <row r="1369" customFormat="false" ht="12.75" hidden="false" customHeight="true" outlineLevel="0" collapsed="false">
      <c r="B1369" s="61" t="str">
        <f aca="false">IF(助手收入!$R$93&lt;&gt;"","摘　　要","")</f>
        <v/>
      </c>
      <c r="C1369" s="61"/>
      <c r="D1369" s="62" t="str">
        <f aca="false">IF(助手收入!$R$93&lt;&gt;"","科　　　　目","")</f>
        <v/>
      </c>
      <c r="E1369" s="62"/>
      <c r="F1369" s="61" t="str">
        <f aca="false">IF(助手收入!$R$93&lt;&gt;"","借 方 金 额","")</f>
        <v/>
      </c>
      <c r="G1369" s="62" t="str">
        <f aca="false">IF(助手收入!$R$93&lt;&gt;"","贷 方 金 额","")</f>
        <v/>
      </c>
      <c r="H1369" s="63" t="str">
        <f aca="false">IF(助手收入!$R$93&lt;&gt;"","√","")</f>
        <v/>
      </c>
      <c r="I1369" s="64" t="str">
        <f aca="false">IF(助手收入!$R$93&lt;&gt;"","附单据  张","")</f>
        <v/>
      </c>
    </row>
    <row r="1370" customFormat="false" ht="12.75" hidden="false" customHeight="true" outlineLevel="0" collapsed="false">
      <c r="B1370" s="61"/>
      <c r="C1370" s="61"/>
      <c r="D1370" s="23" t="str">
        <f aca="false">IF(助手收入!$R$93&lt;&gt;"","总 账 科 目","")</f>
        <v/>
      </c>
      <c r="E1370" s="23" t="str">
        <f aca="false">IF(助手收入!$R$93&lt;&gt;"","明 细 科 目","")</f>
        <v/>
      </c>
      <c r="F1370" s="65"/>
      <c r="G1370" s="66"/>
      <c r="H1370" s="63"/>
      <c r="I1370" s="64"/>
    </row>
    <row r="1371" customFormat="false" ht="23.25" hidden="false" customHeight="true" outlineLevel="0" collapsed="false">
      <c r="B1371" s="67" t="str">
        <f aca="false">IFERROR(INDEX(分录收入!$M:$M,MATCH($L1371,分录收入!$L:$L,0)),"")</f>
        <v/>
      </c>
      <c r="C1371" s="67"/>
      <c r="D1371" s="23" t="str">
        <f aca="false">IFERROR(INDEX(分录收入!$E:$E,MATCH($L1371,分录收入!$L:$L,0)),"")</f>
        <v/>
      </c>
      <c r="E1371" s="23" t="str">
        <f aca="false">IFERROR(INDEX(分录收入!$F:$F,MATCH($L1371,分录收入!$L:$L,0)),"")</f>
        <v/>
      </c>
      <c r="F1371" s="68" t="str">
        <f aca="false">IFERROR(INDEX(分录收入!$H:$H,MATCH($L1371,分录收入!$L:$L,0)),"")</f>
        <v/>
      </c>
      <c r="G1371" s="69" t="str">
        <f aca="false">IFERROR(INDEX(分录收入!$I:$I,MATCH($L1371,分录收入!$L:$L,0)),"")</f>
        <v/>
      </c>
      <c r="H1371" s="23"/>
      <c r="I1371" s="70"/>
      <c r="L1371" s="71" t="n">
        <f aca="false">IF(助手收入!$R$93="",-1,助手收入!$R$93*100+(助手收入!$S$93-1)*6+1)</f>
        <v>-1</v>
      </c>
    </row>
    <row r="1372" customFormat="false" ht="23.25" hidden="false" customHeight="true" outlineLevel="0" collapsed="false">
      <c r="B1372" s="67" t="str">
        <f aca="false">""</f>
        <v/>
      </c>
      <c r="C1372" s="67"/>
      <c r="D1372" s="23" t="str">
        <f aca="false">IFERROR(INDEX(分录收入!$E:$E,MATCH($L1372,分录收入!$L:$L,0)),"")</f>
        <v/>
      </c>
      <c r="E1372" s="23" t="str">
        <f aca="false">IFERROR(INDEX(分录收入!$F:$F,MATCH($L1372,分录收入!$L:$L,0)),"")</f>
        <v/>
      </c>
      <c r="F1372" s="68" t="str">
        <f aca="false">IFERROR(INDEX(分录收入!$H:$H,MATCH($L1372,分录收入!$L:$L,0)),"")</f>
        <v/>
      </c>
      <c r="G1372" s="69" t="str">
        <f aca="false">IFERROR(INDEX(分录收入!$I:$I,MATCH($L1372,分录收入!$L:$L,0)),"")</f>
        <v/>
      </c>
      <c r="H1372" s="23"/>
      <c r="I1372" s="70"/>
      <c r="L1372" s="71" t="n">
        <f aca="false">IF(助手收入!$R$93="",-1,助手收入!$R$93*100+(助手收入!$S$93-1)*6+2)</f>
        <v>-1</v>
      </c>
    </row>
    <row r="1373" customFormat="false" ht="23.25" hidden="false" customHeight="true" outlineLevel="0" collapsed="false">
      <c r="B1373" s="67" t="str">
        <f aca="false">""</f>
        <v/>
      </c>
      <c r="C1373" s="67"/>
      <c r="D1373" s="23" t="str">
        <f aca="false">IFERROR(INDEX(分录收入!$E:$E,MATCH($L1373,分录收入!$L:$L,0)),"")</f>
        <v/>
      </c>
      <c r="E1373" s="23" t="str">
        <f aca="false">IFERROR(INDEX(分录收入!$F:$F,MATCH($L1373,分录收入!$L:$L,0)),"")</f>
        <v/>
      </c>
      <c r="F1373" s="68" t="str">
        <f aca="false">IFERROR(INDEX(分录收入!$H:$H,MATCH($L1373,分录收入!$L:$L,0)),"")</f>
        <v/>
      </c>
      <c r="G1373" s="69" t="str">
        <f aca="false">IFERROR(INDEX(分录收入!$I:$I,MATCH($L1373,分录收入!$L:$L,0)),"")</f>
        <v/>
      </c>
      <c r="H1373" s="23"/>
      <c r="I1373" s="70"/>
      <c r="L1373" s="71" t="n">
        <f aca="false">IF(助手收入!$R$93="",-1,助手收入!$R$93*100+(助手收入!$S$93-1)*6+3)</f>
        <v>-1</v>
      </c>
    </row>
    <row r="1374" customFormat="false" ht="23.25" hidden="false" customHeight="true" outlineLevel="0" collapsed="false">
      <c r="B1374" s="67" t="str">
        <f aca="false">""</f>
        <v/>
      </c>
      <c r="C1374" s="67"/>
      <c r="D1374" s="23" t="str">
        <f aca="false">IFERROR(INDEX(分录收入!$E:$E,MATCH($L1374,分录收入!$L:$L,0)),"")</f>
        <v/>
      </c>
      <c r="E1374" s="23" t="str">
        <f aca="false">IFERROR(INDEX(分录收入!$F:$F,MATCH($L1374,分录收入!$L:$L,0)),"")</f>
        <v/>
      </c>
      <c r="F1374" s="68" t="str">
        <f aca="false">IFERROR(INDEX(分录收入!$H:$H,MATCH($L1374,分录收入!$L:$L,0)),"")</f>
        <v/>
      </c>
      <c r="G1374" s="69" t="str">
        <f aca="false">IFERROR(INDEX(分录收入!$I:$I,MATCH($L1374,分录收入!$L:$L,0)),"")</f>
        <v/>
      </c>
      <c r="H1374" s="23"/>
      <c r="I1374" s="70"/>
      <c r="L1374" s="71" t="n">
        <f aca="false">IF(助手收入!$R$93="",-1,助手收入!$R$93*100+(助手收入!$S$93-1)*6+4)</f>
        <v>-1</v>
      </c>
    </row>
    <row r="1375" customFormat="false" ht="23.25" hidden="false" customHeight="true" outlineLevel="0" collapsed="false">
      <c r="B1375" s="67" t="str">
        <f aca="false">""</f>
        <v/>
      </c>
      <c r="C1375" s="67"/>
      <c r="D1375" s="23" t="str">
        <f aca="false">IFERROR(INDEX(分录收入!$E:$E,MATCH($L1375,分录收入!$L:$L,0)),"")</f>
        <v/>
      </c>
      <c r="E1375" s="23" t="str">
        <f aca="false">IFERROR(INDEX(分录收入!$F:$F,MATCH($L1375,分录收入!$L:$L,0)),"")</f>
        <v/>
      </c>
      <c r="F1375" s="68" t="str">
        <f aca="false">IFERROR(INDEX(分录收入!$H:$H,MATCH($L1375,分录收入!$L:$L,0)),"")</f>
        <v/>
      </c>
      <c r="G1375" s="69" t="str">
        <f aca="false">IFERROR(INDEX(分录收入!$I:$I,MATCH($L1375,分录收入!$L:$L,0)),"")</f>
        <v/>
      </c>
      <c r="H1375" s="23"/>
      <c r="I1375" s="70"/>
      <c r="L1375" s="71" t="n">
        <f aca="false">IF(助手收入!$R$93="",-1,助手收入!$R$93*100+(助手收入!$S$93-1)*6+5)</f>
        <v>-1</v>
      </c>
    </row>
    <row r="1376" customFormat="false" ht="23.25" hidden="false" customHeight="true" outlineLevel="0" collapsed="false">
      <c r="B1376" s="67" t="str">
        <f aca="false">""</f>
        <v/>
      </c>
      <c r="C1376" s="67"/>
      <c r="D1376" s="23" t="str">
        <f aca="false">IFERROR(INDEX(分录收入!$E:$E,MATCH($L1376,分录收入!$L:$L,0)),"")</f>
        <v/>
      </c>
      <c r="E1376" s="23" t="str">
        <f aca="false">IFERROR(INDEX(分录收入!$F:$F,MATCH($L1376,分录收入!$L:$L,0)),"")</f>
        <v/>
      </c>
      <c r="F1376" s="68" t="str">
        <f aca="false">IFERROR(INDEX(分录收入!$H:$H,MATCH($L1376,分录收入!$L:$L,0)),"")</f>
        <v/>
      </c>
      <c r="G1376" s="69" t="str">
        <f aca="false">IFERROR(INDEX(分录收入!$I:$I,MATCH($L1376,分录收入!$L:$L,0)),"")</f>
        <v/>
      </c>
      <c r="H1376" s="23"/>
      <c r="I1376" s="70"/>
      <c r="L1376" s="71" t="n">
        <f aca="false">IF(助手收入!$R$93="",-1,助手收入!$R$93*100+(助手收入!$S$93-1)*6+6)</f>
        <v>-1</v>
      </c>
    </row>
    <row r="1377" customFormat="false" ht="23.25" hidden="false" customHeight="true" outlineLevel="0" collapsed="false">
      <c r="B1377" s="72" t="str">
        <f aca="false">IF(助手收入!$T$93=1,"合计：","")</f>
        <v/>
      </c>
      <c r="C1377" s="73" t="str">
        <f aca="false">IF(助手收入!$T$93=1,$F1377,"")</f>
        <v/>
      </c>
      <c r="D1377" s="74"/>
      <c r="E1377" s="74"/>
      <c r="F1377" s="75" t="str">
        <f aca="false">IF(助手收入!$T$93=1,INDEX(助手收入!$N$2:$N$66,助手收入!$R$93),"")</f>
        <v/>
      </c>
      <c r="G1377" s="76" t="str">
        <f aca="false">IF(助手收入!$T$93=1,INDEX(助手收入!$O$2:$O$66,助手收入!$R$93),"")</f>
        <v/>
      </c>
      <c r="H1377" s="74"/>
      <c r="I1377" s="77"/>
    </row>
    <row r="1378" customFormat="false" ht="6" hidden="false" customHeight="true" outlineLevel="0" collapsed="false"/>
    <row r="1379" customFormat="false" ht="13.5" hidden="false" customHeight="false" outlineLevel="0" collapsed="false">
      <c r="B1379" s="78" t="str">
        <f aca="false">IF(助手收入!$R$93&lt;&gt;"","会计主管：","")</f>
        <v/>
      </c>
      <c r="D1379" s="78" t="str">
        <f aca="false">IF(助手收入!$R$93&lt;&gt;"","会计：","")</f>
        <v/>
      </c>
      <c r="E1379" s="78" t="str">
        <f aca="false">IF(助手收入!$R$93&lt;&gt;"","出纳：","")</f>
        <v/>
      </c>
      <c r="F1379" s="78" t="str">
        <f aca="false">IF(助手收入!$R$93&lt;&gt;"","复核：","")</f>
        <v/>
      </c>
      <c r="G1379" s="78" t="str">
        <f aca="false">IF(助手收入!$R$93&lt;&gt;"","制单：","")</f>
        <v/>
      </c>
    </row>
    <row r="1380" customFormat="false" ht="3" hidden="false" customHeight="true" outlineLevel="0" collapsed="false"/>
    <row r="1381" customFormat="false" ht="19.5" hidden="false" customHeight="true" outlineLevel="0" collapsed="false">
      <c r="B1381" s="53" t="str">
        <f aca="false">IF(助手收入!$R$94&lt;&gt;"","记  账  凭  证","")</f>
        <v/>
      </c>
      <c r="C1381" s="53"/>
      <c r="D1381" s="53"/>
      <c r="E1381" s="53"/>
      <c r="F1381" s="53"/>
      <c r="G1381" s="53"/>
      <c r="H1381" s="53"/>
      <c r="I1381" s="53"/>
    </row>
    <row r="1382" customFormat="false" ht="3" hidden="false" customHeight="true" outlineLevel="0" collapsed="false"/>
    <row r="1383" customFormat="false" ht="15" hidden="false" customHeight="true" outlineLevel="0" collapsed="false">
      <c r="C1383" s="56" t="str">
        <f aca="false">IF(助手收入!$R$94&lt;&gt;"",INDEX(助手收入!$B$2:$B$66,助手收入!$R$94),"")</f>
        <v/>
      </c>
      <c r="D1383" s="57" t="str">
        <f aca="false">IF(助手收入!$R$94&lt;&gt;"",参数!$B$2,"")</f>
        <v/>
      </c>
      <c r="E1383" s="57"/>
      <c r="F1383" s="58" t="str">
        <f aca="false">IF(助手收入!$R$94&lt;&gt;"",INDEX(助手收入!$C$2:$C$66,助手收入!$R$94)&amp;"  字第 "&amp;IF(参数!$B$9="是",INDEX(助手收入!$P$2:$P$66,助手收入!$R$94),"　　　　")&amp;" 号"&amp;IF(INDEX(助手收入!$L$2:$L$66,助手收入!$R$94)&gt;1,"  (共"&amp;INDEX(助手收入!$L$2:$L$66,助手收入!$R$94)&amp;"页 第"&amp;助手收入!$S$94&amp;"页)",""),"")</f>
        <v/>
      </c>
      <c r="G1383" s="58"/>
      <c r="H1383" s="58"/>
      <c r="I1383" s="58"/>
      <c r="M1383" s="79" t="str">
        <f aca="false">IF(助手收入!$R$94="","",助手收入!$Q$94)</f>
        <v/>
      </c>
      <c r="N1383" s="80" t="str">
        <f aca="false">IF(助手收入!$R$94="","",INDEX(助手收入!$P$2:$P$66,助手收入!$R$94))</f>
        <v/>
      </c>
      <c r="O1383" s="55" t="str">
        <f aca="false">IF(助手收入!$R$94="","",INDEX(助手收入!$C$2:$C$66,助手收入!$R$94)&amp;"  字第 "&amp;INDEX(助手收入!$P$2:$P$66,助手收入!$R$94)&amp;" 号"&amp;IF(INDEX(助手收入!$L$2:$L$66,助手收入!$R$94)&gt;1,"  (共"&amp;INDEX(助手收入!$L$2:$L$66,助手收入!$R$94)&amp;"页 第"&amp;助手收入!$S$94&amp;"页)",""))</f>
        <v/>
      </c>
    </row>
    <row r="1384" customFormat="false" ht="12.75" hidden="false" customHeight="true" outlineLevel="0" collapsed="false">
      <c r="B1384" s="61" t="str">
        <f aca="false">IF(助手收入!$R$94&lt;&gt;"","摘　　要","")</f>
        <v/>
      </c>
      <c r="C1384" s="61"/>
      <c r="D1384" s="62" t="str">
        <f aca="false">IF(助手收入!$R$94&lt;&gt;"","科　　　　目","")</f>
        <v/>
      </c>
      <c r="E1384" s="62"/>
      <c r="F1384" s="61" t="str">
        <f aca="false">IF(助手收入!$R$94&lt;&gt;"","借 方 金 额","")</f>
        <v/>
      </c>
      <c r="G1384" s="62" t="str">
        <f aca="false">IF(助手收入!$R$94&lt;&gt;"","贷 方 金 额","")</f>
        <v/>
      </c>
      <c r="H1384" s="63" t="str">
        <f aca="false">IF(助手收入!$R$94&lt;&gt;"","√","")</f>
        <v/>
      </c>
      <c r="I1384" s="64" t="str">
        <f aca="false">IF(助手收入!$R$94&lt;&gt;"","附单据  张","")</f>
        <v/>
      </c>
    </row>
    <row r="1385" customFormat="false" ht="12.75" hidden="false" customHeight="true" outlineLevel="0" collapsed="false">
      <c r="B1385" s="61"/>
      <c r="C1385" s="61"/>
      <c r="D1385" s="23" t="str">
        <f aca="false">IF(助手收入!$R$94&lt;&gt;"","总 账 科 目","")</f>
        <v/>
      </c>
      <c r="E1385" s="23" t="str">
        <f aca="false">IF(助手收入!$R$94&lt;&gt;"","明 细 科 目","")</f>
        <v/>
      </c>
      <c r="F1385" s="65"/>
      <c r="G1385" s="66"/>
      <c r="H1385" s="63"/>
      <c r="I1385" s="64"/>
    </row>
    <row r="1386" customFormat="false" ht="23.25" hidden="false" customHeight="true" outlineLevel="0" collapsed="false">
      <c r="B1386" s="67" t="str">
        <f aca="false">IFERROR(INDEX(分录收入!$M:$M,MATCH($L1386,分录收入!$L:$L,0)),"")</f>
        <v/>
      </c>
      <c r="C1386" s="67"/>
      <c r="D1386" s="23" t="str">
        <f aca="false">IFERROR(INDEX(分录收入!$E:$E,MATCH($L1386,分录收入!$L:$L,0)),"")</f>
        <v/>
      </c>
      <c r="E1386" s="23" t="str">
        <f aca="false">IFERROR(INDEX(分录收入!$F:$F,MATCH($L1386,分录收入!$L:$L,0)),"")</f>
        <v/>
      </c>
      <c r="F1386" s="68" t="str">
        <f aca="false">IFERROR(INDEX(分录收入!$H:$H,MATCH($L1386,分录收入!$L:$L,0)),"")</f>
        <v/>
      </c>
      <c r="G1386" s="69" t="str">
        <f aca="false">IFERROR(INDEX(分录收入!$I:$I,MATCH($L1386,分录收入!$L:$L,0)),"")</f>
        <v/>
      </c>
      <c r="H1386" s="23"/>
      <c r="I1386" s="70"/>
      <c r="L1386" s="71" t="n">
        <f aca="false">IF(助手收入!$R$94="",-1,助手收入!$R$94*100+(助手收入!$S$94-1)*6+1)</f>
        <v>-1</v>
      </c>
    </row>
    <row r="1387" customFormat="false" ht="23.25" hidden="false" customHeight="true" outlineLevel="0" collapsed="false">
      <c r="B1387" s="67" t="str">
        <f aca="false">""</f>
        <v/>
      </c>
      <c r="C1387" s="67"/>
      <c r="D1387" s="23" t="str">
        <f aca="false">IFERROR(INDEX(分录收入!$E:$E,MATCH($L1387,分录收入!$L:$L,0)),"")</f>
        <v/>
      </c>
      <c r="E1387" s="23" t="str">
        <f aca="false">IFERROR(INDEX(分录收入!$F:$F,MATCH($L1387,分录收入!$L:$L,0)),"")</f>
        <v/>
      </c>
      <c r="F1387" s="68" t="str">
        <f aca="false">IFERROR(INDEX(分录收入!$H:$H,MATCH($L1387,分录收入!$L:$L,0)),"")</f>
        <v/>
      </c>
      <c r="G1387" s="69" t="str">
        <f aca="false">IFERROR(INDEX(分录收入!$I:$I,MATCH($L1387,分录收入!$L:$L,0)),"")</f>
        <v/>
      </c>
      <c r="H1387" s="23"/>
      <c r="I1387" s="70"/>
      <c r="L1387" s="71" t="n">
        <f aca="false">IF(助手收入!$R$94="",-1,助手收入!$R$94*100+(助手收入!$S$94-1)*6+2)</f>
        <v>-1</v>
      </c>
    </row>
    <row r="1388" customFormat="false" ht="23.25" hidden="false" customHeight="true" outlineLevel="0" collapsed="false">
      <c r="B1388" s="67" t="str">
        <f aca="false">""</f>
        <v/>
      </c>
      <c r="C1388" s="67"/>
      <c r="D1388" s="23" t="str">
        <f aca="false">IFERROR(INDEX(分录收入!$E:$E,MATCH($L1388,分录收入!$L:$L,0)),"")</f>
        <v/>
      </c>
      <c r="E1388" s="23" t="str">
        <f aca="false">IFERROR(INDEX(分录收入!$F:$F,MATCH($L1388,分录收入!$L:$L,0)),"")</f>
        <v/>
      </c>
      <c r="F1388" s="68" t="str">
        <f aca="false">IFERROR(INDEX(分录收入!$H:$H,MATCH($L1388,分录收入!$L:$L,0)),"")</f>
        <v/>
      </c>
      <c r="G1388" s="69" t="str">
        <f aca="false">IFERROR(INDEX(分录收入!$I:$I,MATCH($L1388,分录收入!$L:$L,0)),"")</f>
        <v/>
      </c>
      <c r="H1388" s="23"/>
      <c r="I1388" s="70"/>
      <c r="L1388" s="71" t="n">
        <f aca="false">IF(助手收入!$R$94="",-1,助手收入!$R$94*100+(助手收入!$S$94-1)*6+3)</f>
        <v>-1</v>
      </c>
    </row>
    <row r="1389" customFormat="false" ht="23.25" hidden="false" customHeight="true" outlineLevel="0" collapsed="false">
      <c r="B1389" s="67" t="str">
        <f aca="false">""</f>
        <v/>
      </c>
      <c r="C1389" s="67"/>
      <c r="D1389" s="23" t="str">
        <f aca="false">IFERROR(INDEX(分录收入!$E:$E,MATCH($L1389,分录收入!$L:$L,0)),"")</f>
        <v/>
      </c>
      <c r="E1389" s="23" t="str">
        <f aca="false">IFERROR(INDEX(分录收入!$F:$F,MATCH($L1389,分录收入!$L:$L,0)),"")</f>
        <v/>
      </c>
      <c r="F1389" s="68" t="str">
        <f aca="false">IFERROR(INDEX(分录收入!$H:$H,MATCH($L1389,分录收入!$L:$L,0)),"")</f>
        <v/>
      </c>
      <c r="G1389" s="69" t="str">
        <f aca="false">IFERROR(INDEX(分录收入!$I:$I,MATCH($L1389,分录收入!$L:$L,0)),"")</f>
        <v/>
      </c>
      <c r="H1389" s="23"/>
      <c r="I1389" s="70"/>
      <c r="L1389" s="71" t="n">
        <f aca="false">IF(助手收入!$R$94="",-1,助手收入!$R$94*100+(助手收入!$S$94-1)*6+4)</f>
        <v>-1</v>
      </c>
    </row>
    <row r="1390" customFormat="false" ht="23.25" hidden="false" customHeight="true" outlineLevel="0" collapsed="false">
      <c r="B1390" s="67" t="str">
        <f aca="false">""</f>
        <v/>
      </c>
      <c r="C1390" s="67"/>
      <c r="D1390" s="23" t="str">
        <f aca="false">IFERROR(INDEX(分录收入!$E:$E,MATCH($L1390,分录收入!$L:$L,0)),"")</f>
        <v/>
      </c>
      <c r="E1390" s="23" t="str">
        <f aca="false">IFERROR(INDEX(分录收入!$F:$F,MATCH($L1390,分录收入!$L:$L,0)),"")</f>
        <v/>
      </c>
      <c r="F1390" s="68" t="str">
        <f aca="false">IFERROR(INDEX(分录收入!$H:$H,MATCH($L1390,分录收入!$L:$L,0)),"")</f>
        <v/>
      </c>
      <c r="G1390" s="69" t="str">
        <f aca="false">IFERROR(INDEX(分录收入!$I:$I,MATCH($L1390,分录收入!$L:$L,0)),"")</f>
        <v/>
      </c>
      <c r="H1390" s="23"/>
      <c r="I1390" s="70"/>
      <c r="L1390" s="71" t="n">
        <f aca="false">IF(助手收入!$R$94="",-1,助手收入!$R$94*100+(助手收入!$S$94-1)*6+5)</f>
        <v>-1</v>
      </c>
    </row>
    <row r="1391" customFormat="false" ht="23.25" hidden="false" customHeight="true" outlineLevel="0" collapsed="false">
      <c r="B1391" s="67" t="str">
        <f aca="false">""</f>
        <v/>
      </c>
      <c r="C1391" s="67"/>
      <c r="D1391" s="23" t="str">
        <f aca="false">IFERROR(INDEX(分录收入!$E:$E,MATCH($L1391,分录收入!$L:$L,0)),"")</f>
        <v/>
      </c>
      <c r="E1391" s="23" t="str">
        <f aca="false">IFERROR(INDEX(分录收入!$F:$F,MATCH($L1391,分录收入!$L:$L,0)),"")</f>
        <v/>
      </c>
      <c r="F1391" s="68" t="str">
        <f aca="false">IFERROR(INDEX(分录收入!$H:$H,MATCH($L1391,分录收入!$L:$L,0)),"")</f>
        <v/>
      </c>
      <c r="G1391" s="69" t="str">
        <f aca="false">IFERROR(INDEX(分录收入!$I:$I,MATCH($L1391,分录收入!$L:$L,0)),"")</f>
        <v/>
      </c>
      <c r="H1391" s="23"/>
      <c r="I1391" s="70"/>
      <c r="L1391" s="71" t="n">
        <f aca="false">IF(助手收入!$R$94="",-1,助手收入!$R$94*100+(助手收入!$S$94-1)*6+6)</f>
        <v>-1</v>
      </c>
    </row>
    <row r="1392" customFormat="false" ht="23.25" hidden="false" customHeight="true" outlineLevel="0" collapsed="false">
      <c r="B1392" s="72" t="str">
        <f aca="false">IF(助手收入!$T$94=1,"合计：","")</f>
        <v/>
      </c>
      <c r="C1392" s="73" t="str">
        <f aca="false">IF(助手收入!$T$94=1,$F1392,"")</f>
        <v/>
      </c>
      <c r="D1392" s="74"/>
      <c r="E1392" s="74"/>
      <c r="F1392" s="75" t="str">
        <f aca="false">IF(助手收入!$T$94=1,INDEX(助手收入!$N$2:$N$66,助手收入!$R$94),"")</f>
        <v/>
      </c>
      <c r="G1392" s="76" t="str">
        <f aca="false">IF(助手收入!$T$94=1,INDEX(助手收入!$O$2:$O$66,助手收入!$R$94),"")</f>
        <v/>
      </c>
      <c r="H1392" s="74"/>
      <c r="I1392" s="77"/>
    </row>
    <row r="1393" customFormat="false" ht="6" hidden="false" customHeight="true" outlineLevel="0" collapsed="false"/>
    <row r="1394" customFormat="false" ht="13.5" hidden="false" customHeight="false" outlineLevel="0" collapsed="false">
      <c r="B1394" s="78" t="str">
        <f aca="false">IF(助手收入!$R$94&lt;&gt;"","会计主管：","")</f>
        <v/>
      </c>
      <c r="D1394" s="78" t="str">
        <f aca="false">IF(助手收入!$R$94&lt;&gt;"","会计：","")</f>
        <v/>
      </c>
      <c r="E1394" s="78" t="str">
        <f aca="false">IF(助手收入!$R$94&lt;&gt;"","出纳：","")</f>
        <v/>
      </c>
      <c r="F1394" s="78" t="str">
        <f aca="false">IF(助手收入!$R$94&lt;&gt;"","复核：","")</f>
        <v/>
      </c>
      <c r="G1394" s="78" t="str">
        <f aca="false">IF(助手收入!$R$94&lt;&gt;"","制单：","")</f>
        <v/>
      </c>
    </row>
    <row r="1395" customFormat="false" ht="3" hidden="false" customHeight="true" outlineLevel="0" collapsed="false"/>
    <row r="1396" customFormat="false" ht="19.5" hidden="false" customHeight="true" outlineLevel="0" collapsed="false">
      <c r="B1396" s="53" t="str">
        <f aca="false">IF(助手收入!$R$95&lt;&gt;"","记  账  凭  证","")</f>
        <v/>
      </c>
      <c r="C1396" s="53"/>
      <c r="D1396" s="53"/>
      <c r="E1396" s="53"/>
      <c r="F1396" s="53"/>
      <c r="G1396" s="53"/>
      <c r="H1396" s="53"/>
      <c r="I1396" s="53"/>
    </row>
    <row r="1397" customFormat="false" ht="3" hidden="false" customHeight="true" outlineLevel="0" collapsed="false"/>
    <row r="1398" customFormat="false" ht="15" hidden="false" customHeight="true" outlineLevel="0" collapsed="false">
      <c r="C1398" s="56" t="str">
        <f aca="false">IF(助手收入!$R$95&lt;&gt;"",INDEX(助手收入!$B$2:$B$66,助手收入!$R$95),"")</f>
        <v/>
      </c>
      <c r="D1398" s="57" t="str">
        <f aca="false">IF(助手收入!$R$95&lt;&gt;"",参数!$B$2,"")</f>
        <v/>
      </c>
      <c r="E1398" s="57"/>
      <c r="F1398" s="58" t="str">
        <f aca="false">IF(助手收入!$R$95&lt;&gt;"",INDEX(助手收入!$C$2:$C$66,助手收入!$R$95)&amp;"  字第 "&amp;IF(参数!$B$9="是",INDEX(助手收入!$P$2:$P$66,助手收入!$R$95),"　　　　")&amp;" 号"&amp;IF(INDEX(助手收入!$L$2:$L$66,助手收入!$R$95)&gt;1,"  (共"&amp;INDEX(助手收入!$L$2:$L$66,助手收入!$R$95)&amp;"页 第"&amp;助手收入!$S$95&amp;"页)",""),"")</f>
        <v/>
      </c>
      <c r="G1398" s="58"/>
      <c r="H1398" s="58"/>
      <c r="I1398" s="58"/>
      <c r="M1398" s="79" t="str">
        <f aca="false">IF(助手收入!$R$95="","",助手收入!$Q$95)</f>
        <v/>
      </c>
      <c r="N1398" s="80" t="str">
        <f aca="false">IF(助手收入!$R$95="","",INDEX(助手收入!$P$2:$P$66,助手收入!$R$95))</f>
        <v/>
      </c>
      <c r="O1398" s="55" t="str">
        <f aca="false">IF(助手收入!$R$95="","",INDEX(助手收入!$C$2:$C$66,助手收入!$R$95)&amp;"  字第 "&amp;INDEX(助手收入!$P$2:$P$66,助手收入!$R$95)&amp;" 号"&amp;IF(INDEX(助手收入!$L$2:$L$66,助手收入!$R$95)&gt;1,"  (共"&amp;INDEX(助手收入!$L$2:$L$66,助手收入!$R$95)&amp;"页 第"&amp;助手收入!$S$95&amp;"页)",""))</f>
        <v/>
      </c>
    </row>
    <row r="1399" customFormat="false" ht="12.75" hidden="false" customHeight="true" outlineLevel="0" collapsed="false">
      <c r="B1399" s="61" t="str">
        <f aca="false">IF(助手收入!$R$95&lt;&gt;"","摘　　要","")</f>
        <v/>
      </c>
      <c r="C1399" s="61"/>
      <c r="D1399" s="62" t="str">
        <f aca="false">IF(助手收入!$R$95&lt;&gt;"","科　　　　目","")</f>
        <v/>
      </c>
      <c r="E1399" s="62"/>
      <c r="F1399" s="61" t="str">
        <f aca="false">IF(助手收入!$R$95&lt;&gt;"","借 方 金 额","")</f>
        <v/>
      </c>
      <c r="G1399" s="62" t="str">
        <f aca="false">IF(助手收入!$R$95&lt;&gt;"","贷 方 金 额","")</f>
        <v/>
      </c>
      <c r="H1399" s="63" t="str">
        <f aca="false">IF(助手收入!$R$95&lt;&gt;"","√","")</f>
        <v/>
      </c>
      <c r="I1399" s="64" t="str">
        <f aca="false">IF(助手收入!$R$95&lt;&gt;"","附单据  张","")</f>
        <v/>
      </c>
    </row>
    <row r="1400" customFormat="false" ht="12.75" hidden="false" customHeight="true" outlineLevel="0" collapsed="false">
      <c r="B1400" s="61"/>
      <c r="C1400" s="61"/>
      <c r="D1400" s="23" t="str">
        <f aca="false">IF(助手收入!$R$95&lt;&gt;"","总 账 科 目","")</f>
        <v/>
      </c>
      <c r="E1400" s="23" t="str">
        <f aca="false">IF(助手收入!$R$95&lt;&gt;"","明 细 科 目","")</f>
        <v/>
      </c>
      <c r="F1400" s="65"/>
      <c r="G1400" s="66"/>
      <c r="H1400" s="63"/>
      <c r="I1400" s="64"/>
    </row>
    <row r="1401" customFormat="false" ht="23.25" hidden="false" customHeight="true" outlineLevel="0" collapsed="false">
      <c r="B1401" s="67" t="str">
        <f aca="false">IFERROR(INDEX(分录收入!$M:$M,MATCH($L1401,分录收入!$L:$L,0)),"")</f>
        <v/>
      </c>
      <c r="C1401" s="67"/>
      <c r="D1401" s="23" t="str">
        <f aca="false">IFERROR(INDEX(分录收入!$E:$E,MATCH($L1401,分录收入!$L:$L,0)),"")</f>
        <v/>
      </c>
      <c r="E1401" s="23" t="str">
        <f aca="false">IFERROR(INDEX(分录收入!$F:$F,MATCH($L1401,分录收入!$L:$L,0)),"")</f>
        <v/>
      </c>
      <c r="F1401" s="68" t="str">
        <f aca="false">IFERROR(INDEX(分录收入!$H:$H,MATCH($L1401,分录收入!$L:$L,0)),"")</f>
        <v/>
      </c>
      <c r="G1401" s="69" t="str">
        <f aca="false">IFERROR(INDEX(分录收入!$I:$I,MATCH($L1401,分录收入!$L:$L,0)),"")</f>
        <v/>
      </c>
      <c r="H1401" s="23"/>
      <c r="I1401" s="70"/>
      <c r="L1401" s="71" t="n">
        <f aca="false">IF(助手收入!$R$95="",-1,助手收入!$R$95*100+(助手收入!$S$95-1)*6+1)</f>
        <v>-1</v>
      </c>
    </row>
    <row r="1402" customFormat="false" ht="23.25" hidden="false" customHeight="true" outlineLevel="0" collapsed="false">
      <c r="B1402" s="67" t="str">
        <f aca="false">""</f>
        <v/>
      </c>
      <c r="C1402" s="67"/>
      <c r="D1402" s="23" t="str">
        <f aca="false">IFERROR(INDEX(分录收入!$E:$E,MATCH($L1402,分录收入!$L:$L,0)),"")</f>
        <v/>
      </c>
      <c r="E1402" s="23" t="str">
        <f aca="false">IFERROR(INDEX(分录收入!$F:$F,MATCH($L1402,分录收入!$L:$L,0)),"")</f>
        <v/>
      </c>
      <c r="F1402" s="68" t="str">
        <f aca="false">IFERROR(INDEX(分录收入!$H:$H,MATCH($L1402,分录收入!$L:$L,0)),"")</f>
        <v/>
      </c>
      <c r="G1402" s="69" t="str">
        <f aca="false">IFERROR(INDEX(分录收入!$I:$I,MATCH($L1402,分录收入!$L:$L,0)),"")</f>
        <v/>
      </c>
      <c r="H1402" s="23"/>
      <c r="I1402" s="70"/>
      <c r="L1402" s="71" t="n">
        <f aca="false">IF(助手收入!$R$95="",-1,助手收入!$R$95*100+(助手收入!$S$95-1)*6+2)</f>
        <v>-1</v>
      </c>
    </row>
    <row r="1403" customFormat="false" ht="23.25" hidden="false" customHeight="true" outlineLevel="0" collapsed="false">
      <c r="B1403" s="67" t="str">
        <f aca="false">""</f>
        <v/>
      </c>
      <c r="C1403" s="67"/>
      <c r="D1403" s="23" t="str">
        <f aca="false">IFERROR(INDEX(分录收入!$E:$E,MATCH($L1403,分录收入!$L:$L,0)),"")</f>
        <v/>
      </c>
      <c r="E1403" s="23" t="str">
        <f aca="false">IFERROR(INDEX(分录收入!$F:$F,MATCH($L1403,分录收入!$L:$L,0)),"")</f>
        <v/>
      </c>
      <c r="F1403" s="68" t="str">
        <f aca="false">IFERROR(INDEX(分录收入!$H:$H,MATCH($L1403,分录收入!$L:$L,0)),"")</f>
        <v/>
      </c>
      <c r="G1403" s="69" t="str">
        <f aca="false">IFERROR(INDEX(分录收入!$I:$I,MATCH($L1403,分录收入!$L:$L,0)),"")</f>
        <v/>
      </c>
      <c r="H1403" s="23"/>
      <c r="I1403" s="70"/>
      <c r="L1403" s="71" t="n">
        <f aca="false">IF(助手收入!$R$95="",-1,助手收入!$R$95*100+(助手收入!$S$95-1)*6+3)</f>
        <v>-1</v>
      </c>
    </row>
    <row r="1404" customFormat="false" ht="23.25" hidden="false" customHeight="true" outlineLevel="0" collapsed="false">
      <c r="B1404" s="67" t="str">
        <f aca="false">""</f>
        <v/>
      </c>
      <c r="C1404" s="67"/>
      <c r="D1404" s="23" t="str">
        <f aca="false">IFERROR(INDEX(分录收入!$E:$E,MATCH($L1404,分录收入!$L:$L,0)),"")</f>
        <v/>
      </c>
      <c r="E1404" s="23" t="str">
        <f aca="false">IFERROR(INDEX(分录收入!$F:$F,MATCH($L1404,分录收入!$L:$L,0)),"")</f>
        <v/>
      </c>
      <c r="F1404" s="68" t="str">
        <f aca="false">IFERROR(INDEX(分录收入!$H:$H,MATCH($L1404,分录收入!$L:$L,0)),"")</f>
        <v/>
      </c>
      <c r="G1404" s="69" t="str">
        <f aca="false">IFERROR(INDEX(分录收入!$I:$I,MATCH($L1404,分录收入!$L:$L,0)),"")</f>
        <v/>
      </c>
      <c r="H1404" s="23"/>
      <c r="I1404" s="70"/>
      <c r="L1404" s="71" t="n">
        <f aca="false">IF(助手收入!$R$95="",-1,助手收入!$R$95*100+(助手收入!$S$95-1)*6+4)</f>
        <v>-1</v>
      </c>
    </row>
    <row r="1405" customFormat="false" ht="23.25" hidden="false" customHeight="true" outlineLevel="0" collapsed="false">
      <c r="B1405" s="67" t="str">
        <f aca="false">""</f>
        <v/>
      </c>
      <c r="C1405" s="67"/>
      <c r="D1405" s="23" t="str">
        <f aca="false">IFERROR(INDEX(分录收入!$E:$E,MATCH($L1405,分录收入!$L:$L,0)),"")</f>
        <v/>
      </c>
      <c r="E1405" s="23" t="str">
        <f aca="false">IFERROR(INDEX(分录收入!$F:$F,MATCH($L1405,分录收入!$L:$L,0)),"")</f>
        <v/>
      </c>
      <c r="F1405" s="68" t="str">
        <f aca="false">IFERROR(INDEX(分录收入!$H:$H,MATCH($L1405,分录收入!$L:$L,0)),"")</f>
        <v/>
      </c>
      <c r="G1405" s="69" t="str">
        <f aca="false">IFERROR(INDEX(分录收入!$I:$I,MATCH($L1405,分录收入!$L:$L,0)),"")</f>
        <v/>
      </c>
      <c r="H1405" s="23"/>
      <c r="I1405" s="70"/>
      <c r="L1405" s="71" t="n">
        <f aca="false">IF(助手收入!$R$95="",-1,助手收入!$R$95*100+(助手收入!$S$95-1)*6+5)</f>
        <v>-1</v>
      </c>
    </row>
    <row r="1406" customFormat="false" ht="23.25" hidden="false" customHeight="true" outlineLevel="0" collapsed="false">
      <c r="B1406" s="67" t="str">
        <f aca="false">""</f>
        <v/>
      </c>
      <c r="C1406" s="67"/>
      <c r="D1406" s="23" t="str">
        <f aca="false">IFERROR(INDEX(分录收入!$E:$E,MATCH($L1406,分录收入!$L:$L,0)),"")</f>
        <v/>
      </c>
      <c r="E1406" s="23" t="str">
        <f aca="false">IFERROR(INDEX(分录收入!$F:$F,MATCH($L1406,分录收入!$L:$L,0)),"")</f>
        <v/>
      </c>
      <c r="F1406" s="68" t="str">
        <f aca="false">IFERROR(INDEX(分录收入!$H:$H,MATCH($L1406,分录收入!$L:$L,0)),"")</f>
        <v/>
      </c>
      <c r="G1406" s="69" t="str">
        <f aca="false">IFERROR(INDEX(分录收入!$I:$I,MATCH($L1406,分录收入!$L:$L,0)),"")</f>
        <v/>
      </c>
      <c r="H1406" s="23"/>
      <c r="I1406" s="70"/>
      <c r="L1406" s="71" t="n">
        <f aca="false">IF(助手收入!$R$95="",-1,助手收入!$R$95*100+(助手收入!$S$95-1)*6+6)</f>
        <v>-1</v>
      </c>
    </row>
    <row r="1407" customFormat="false" ht="23.25" hidden="false" customHeight="true" outlineLevel="0" collapsed="false">
      <c r="B1407" s="72" t="str">
        <f aca="false">IF(助手收入!$T$95=1,"合计：","")</f>
        <v/>
      </c>
      <c r="C1407" s="73" t="str">
        <f aca="false">IF(助手收入!$T$95=1,$F1407,"")</f>
        <v/>
      </c>
      <c r="D1407" s="74"/>
      <c r="E1407" s="74"/>
      <c r="F1407" s="75" t="str">
        <f aca="false">IF(助手收入!$T$95=1,INDEX(助手收入!$N$2:$N$66,助手收入!$R$95),"")</f>
        <v/>
      </c>
      <c r="G1407" s="76" t="str">
        <f aca="false">IF(助手收入!$T$95=1,INDEX(助手收入!$O$2:$O$66,助手收入!$R$95),"")</f>
        <v/>
      </c>
      <c r="H1407" s="74"/>
      <c r="I1407" s="77"/>
    </row>
    <row r="1408" customFormat="false" ht="6" hidden="false" customHeight="true" outlineLevel="0" collapsed="false"/>
    <row r="1409" customFormat="false" ht="13.5" hidden="false" customHeight="false" outlineLevel="0" collapsed="false">
      <c r="B1409" s="78" t="str">
        <f aca="false">IF(助手收入!$R$95&lt;&gt;"","会计主管：","")</f>
        <v/>
      </c>
      <c r="D1409" s="78" t="str">
        <f aca="false">IF(助手收入!$R$95&lt;&gt;"","会计：","")</f>
        <v/>
      </c>
      <c r="E1409" s="78" t="str">
        <f aca="false">IF(助手收入!$R$95&lt;&gt;"","出纳：","")</f>
        <v/>
      </c>
      <c r="F1409" s="78" t="str">
        <f aca="false">IF(助手收入!$R$95&lt;&gt;"","复核：","")</f>
        <v/>
      </c>
      <c r="G1409" s="78" t="str">
        <f aca="false">IF(助手收入!$R$95&lt;&gt;"","制单：","")</f>
        <v/>
      </c>
    </row>
    <row r="1410" customFormat="false" ht="3" hidden="false" customHeight="true" outlineLevel="0" collapsed="false"/>
    <row r="1411" customFormat="false" ht="19.5" hidden="false" customHeight="true" outlineLevel="0" collapsed="false">
      <c r="B1411" s="53" t="str">
        <f aca="false">IF(助手收入!$R$96&lt;&gt;"","记  账  凭  证","")</f>
        <v/>
      </c>
      <c r="C1411" s="53"/>
      <c r="D1411" s="53"/>
      <c r="E1411" s="53"/>
      <c r="F1411" s="53"/>
      <c r="G1411" s="53"/>
      <c r="H1411" s="53"/>
      <c r="I1411" s="53"/>
    </row>
    <row r="1412" customFormat="false" ht="3" hidden="false" customHeight="true" outlineLevel="0" collapsed="false"/>
    <row r="1413" customFormat="false" ht="15" hidden="false" customHeight="true" outlineLevel="0" collapsed="false">
      <c r="C1413" s="56" t="str">
        <f aca="false">IF(助手收入!$R$96&lt;&gt;"",INDEX(助手收入!$B$2:$B$66,助手收入!$R$96),"")</f>
        <v/>
      </c>
      <c r="D1413" s="57" t="str">
        <f aca="false">IF(助手收入!$R$96&lt;&gt;"",参数!$B$2,"")</f>
        <v/>
      </c>
      <c r="E1413" s="57"/>
      <c r="F1413" s="58" t="str">
        <f aca="false">IF(助手收入!$R$96&lt;&gt;"",INDEX(助手收入!$C$2:$C$66,助手收入!$R$96)&amp;"  字第 "&amp;IF(参数!$B$9="是",INDEX(助手收入!$P$2:$P$66,助手收入!$R$96),"　　　　")&amp;" 号"&amp;IF(INDEX(助手收入!$L$2:$L$66,助手收入!$R$96)&gt;1,"  (共"&amp;INDEX(助手收入!$L$2:$L$66,助手收入!$R$96)&amp;"页 第"&amp;助手收入!$S$96&amp;"页)",""),"")</f>
        <v/>
      </c>
      <c r="G1413" s="58"/>
      <c r="H1413" s="58"/>
      <c r="I1413" s="58"/>
      <c r="M1413" s="79" t="str">
        <f aca="false">IF(助手收入!$R$96="","",助手收入!$Q$96)</f>
        <v/>
      </c>
      <c r="N1413" s="80" t="str">
        <f aca="false">IF(助手收入!$R$96="","",INDEX(助手收入!$P$2:$P$66,助手收入!$R$96))</f>
        <v/>
      </c>
      <c r="O1413" s="55" t="str">
        <f aca="false">IF(助手收入!$R$96="","",INDEX(助手收入!$C$2:$C$66,助手收入!$R$96)&amp;"  字第 "&amp;INDEX(助手收入!$P$2:$P$66,助手收入!$R$96)&amp;" 号"&amp;IF(INDEX(助手收入!$L$2:$L$66,助手收入!$R$96)&gt;1,"  (共"&amp;INDEX(助手收入!$L$2:$L$66,助手收入!$R$96)&amp;"页 第"&amp;助手收入!$S$96&amp;"页)",""))</f>
        <v/>
      </c>
    </row>
    <row r="1414" customFormat="false" ht="12.75" hidden="false" customHeight="true" outlineLevel="0" collapsed="false">
      <c r="B1414" s="61" t="str">
        <f aca="false">IF(助手收入!$R$96&lt;&gt;"","摘　　要","")</f>
        <v/>
      </c>
      <c r="C1414" s="61"/>
      <c r="D1414" s="62" t="str">
        <f aca="false">IF(助手收入!$R$96&lt;&gt;"","科　　　　目","")</f>
        <v/>
      </c>
      <c r="E1414" s="62"/>
      <c r="F1414" s="61" t="str">
        <f aca="false">IF(助手收入!$R$96&lt;&gt;"","借 方 金 额","")</f>
        <v/>
      </c>
      <c r="G1414" s="62" t="str">
        <f aca="false">IF(助手收入!$R$96&lt;&gt;"","贷 方 金 额","")</f>
        <v/>
      </c>
      <c r="H1414" s="63" t="str">
        <f aca="false">IF(助手收入!$R$96&lt;&gt;"","√","")</f>
        <v/>
      </c>
      <c r="I1414" s="64" t="str">
        <f aca="false">IF(助手收入!$R$96&lt;&gt;"","附单据  张","")</f>
        <v/>
      </c>
    </row>
    <row r="1415" customFormat="false" ht="12.75" hidden="false" customHeight="true" outlineLevel="0" collapsed="false">
      <c r="B1415" s="61"/>
      <c r="C1415" s="61"/>
      <c r="D1415" s="23" t="str">
        <f aca="false">IF(助手收入!$R$96&lt;&gt;"","总 账 科 目","")</f>
        <v/>
      </c>
      <c r="E1415" s="23" t="str">
        <f aca="false">IF(助手收入!$R$96&lt;&gt;"","明 细 科 目","")</f>
        <v/>
      </c>
      <c r="F1415" s="65"/>
      <c r="G1415" s="66"/>
      <c r="H1415" s="63"/>
      <c r="I1415" s="64"/>
    </row>
    <row r="1416" customFormat="false" ht="23.25" hidden="false" customHeight="true" outlineLevel="0" collapsed="false">
      <c r="B1416" s="67" t="str">
        <f aca="false">IFERROR(INDEX(分录收入!$M:$M,MATCH($L1416,分录收入!$L:$L,0)),"")</f>
        <v/>
      </c>
      <c r="C1416" s="67"/>
      <c r="D1416" s="23" t="str">
        <f aca="false">IFERROR(INDEX(分录收入!$E:$E,MATCH($L1416,分录收入!$L:$L,0)),"")</f>
        <v/>
      </c>
      <c r="E1416" s="23" t="str">
        <f aca="false">IFERROR(INDEX(分录收入!$F:$F,MATCH($L1416,分录收入!$L:$L,0)),"")</f>
        <v/>
      </c>
      <c r="F1416" s="68" t="str">
        <f aca="false">IFERROR(INDEX(分录收入!$H:$H,MATCH($L1416,分录收入!$L:$L,0)),"")</f>
        <v/>
      </c>
      <c r="G1416" s="69" t="str">
        <f aca="false">IFERROR(INDEX(分录收入!$I:$I,MATCH($L1416,分录收入!$L:$L,0)),"")</f>
        <v/>
      </c>
      <c r="H1416" s="23"/>
      <c r="I1416" s="70"/>
      <c r="L1416" s="71" t="n">
        <f aca="false">IF(助手收入!$R$96="",-1,助手收入!$R$96*100+(助手收入!$S$96-1)*6+1)</f>
        <v>-1</v>
      </c>
    </row>
    <row r="1417" customFormat="false" ht="23.25" hidden="false" customHeight="true" outlineLevel="0" collapsed="false">
      <c r="B1417" s="67" t="str">
        <f aca="false">""</f>
        <v/>
      </c>
      <c r="C1417" s="67"/>
      <c r="D1417" s="23" t="str">
        <f aca="false">IFERROR(INDEX(分录收入!$E:$E,MATCH($L1417,分录收入!$L:$L,0)),"")</f>
        <v/>
      </c>
      <c r="E1417" s="23" t="str">
        <f aca="false">IFERROR(INDEX(分录收入!$F:$F,MATCH($L1417,分录收入!$L:$L,0)),"")</f>
        <v/>
      </c>
      <c r="F1417" s="68" t="str">
        <f aca="false">IFERROR(INDEX(分录收入!$H:$H,MATCH($L1417,分录收入!$L:$L,0)),"")</f>
        <v/>
      </c>
      <c r="G1417" s="69" t="str">
        <f aca="false">IFERROR(INDEX(分录收入!$I:$I,MATCH($L1417,分录收入!$L:$L,0)),"")</f>
        <v/>
      </c>
      <c r="H1417" s="23"/>
      <c r="I1417" s="70"/>
      <c r="L1417" s="71" t="n">
        <f aca="false">IF(助手收入!$R$96="",-1,助手收入!$R$96*100+(助手收入!$S$96-1)*6+2)</f>
        <v>-1</v>
      </c>
    </row>
    <row r="1418" customFormat="false" ht="23.25" hidden="false" customHeight="true" outlineLevel="0" collapsed="false">
      <c r="B1418" s="67" t="str">
        <f aca="false">""</f>
        <v/>
      </c>
      <c r="C1418" s="67"/>
      <c r="D1418" s="23" t="str">
        <f aca="false">IFERROR(INDEX(分录收入!$E:$E,MATCH($L1418,分录收入!$L:$L,0)),"")</f>
        <v/>
      </c>
      <c r="E1418" s="23" t="str">
        <f aca="false">IFERROR(INDEX(分录收入!$F:$F,MATCH($L1418,分录收入!$L:$L,0)),"")</f>
        <v/>
      </c>
      <c r="F1418" s="68" t="str">
        <f aca="false">IFERROR(INDEX(分录收入!$H:$H,MATCH($L1418,分录收入!$L:$L,0)),"")</f>
        <v/>
      </c>
      <c r="G1418" s="69" t="str">
        <f aca="false">IFERROR(INDEX(分录收入!$I:$I,MATCH($L1418,分录收入!$L:$L,0)),"")</f>
        <v/>
      </c>
      <c r="H1418" s="23"/>
      <c r="I1418" s="70"/>
      <c r="L1418" s="71" t="n">
        <f aca="false">IF(助手收入!$R$96="",-1,助手收入!$R$96*100+(助手收入!$S$96-1)*6+3)</f>
        <v>-1</v>
      </c>
    </row>
    <row r="1419" customFormat="false" ht="23.25" hidden="false" customHeight="true" outlineLevel="0" collapsed="false">
      <c r="B1419" s="67" t="str">
        <f aca="false">""</f>
        <v/>
      </c>
      <c r="C1419" s="67"/>
      <c r="D1419" s="23" t="str">
        <f aca="false">IFERROR(INDEX(分录收入!$E:$E,MATCH($L1419,分录收入!$L:$L,0)),"")</f>
        <v/>
      </c>
      <c r="E1419" s="23" t="str">
        <f aca="false">IFERROR(INDEX(分录收入!$F:$F,MATCH($L1419,分录收入!$L:$L,0)),"")</f>
        <v/>
      </c>
      <c r="F1419" s="68" t="str">
        <f aca="false">IFERROR(INDEX(分录收入!$H:$H,MATCH($L1419,分录收入!$L:$L,0)),"")</f>
        <v/>
      </c>
      <c r="G1419" s="69" t="str">
        <f aca="false">IFERROR(INDEX(分录收入!$I:$I,MATCH($L1419,分录收入!$L:$L,0)),"")</f>
        <v/>
      </c>
      <c r="H1419" s="23"/>
      <c r="I1419" s="70"/>
      <c r="L1419" s="71" t="n">
        <f aca="false">IF(助手收入!$R$96="",-1,助手收入!$R$96*100+(助手收入!$S$96-1)*6+4)</f>
        <v>-1</v>
      </c>
    </row>
    <row r="1420" customFormat="false" ht="23.25" hidden="false" customHeight="true" outlineLevel="0" collapsed="false">
      <c r="B1420" s="67" t="str">
        <f aca="false">""</f>
        <v/>
      </c>
      <c r="C1420" s="67"/>
      <c r="D1420" s="23" t="str">
        <f aca="false">IFERROR(INDEX(分录收入!$E:$E,MATCH($L1420,分录收入!$L:$L,0)),"")</f>
        <v/>
      </c>
      <c r="E1420" s="23" t="str">
        <f aca="false">IFERROR(INDEX(分录收入!$F:$F,MATCH($L1420,分录收入!$L:$L,0)),"")</f>
        <v/>
      </c>
      <c r="F1420" s="68" t="str">
        <f aca="false">IFERROR(INDEX(分录收入!$H:$H,MATCH($L1420,分录收入!$L:$L,0)),"")</f>
        <v/>
      </c>
      <c r="G1420" s="69" t="str">
        <f aca="false">IFERROR(INDEX(分录收入!$I:$I,MATCH($L1420,分录收入!$L:$L,0)),"")</f>
        <v/>
      </c>
      <c r="H1420" s="23"/>
      <c r="I1420" s="70"/>
      <c r="L1420" s="71" t="n">
        <f aca="false">IF(助手收入!$R$96="",-1,助手收入!$R$96*100+(助手收入!$S$96-1)*6+5)</f>
        <v>-1</v>
      </c>
    </row>
    <row r="1421" customFormat="false" ht="23.25" hidden="false" customHeight="true" outlineLevel="0" collapsed="false">
      <c r="B1421" s="67" t="str">
        <f aca="false">""</f>
        <v/>
      </c>
      <c r="C1421" s="67"/>
      <c r="D1421" s="23" t="str">
        <f aca="false">IFERROR(INDEX(分录收入!$E:$E,MATCH($L1421,分录收入!$L:$L,0)),"")</f>
        <v/>
      </c>
      <c r="E1421" s="23" t="str">
        <f aca="false">IFERROR(INDEX(分录收入!$F:$F,MATCH($L1421,分录收入!$L:$L,0)),"")</f>
        <v/>
      </c>
      <c r="F1421" s="68" t="str">
        <f aca="false">IFERROR(INDEX(分录收入!$H:$H,MATCH($L1421,分录收入!$L:$L,0)),"")</f>
        <v/>
      </c>
      <c r="G1421" s="69" t="str">
        <f aca="false">IFERROR(INDEX(分录收入!$I:$I,MATCH($L1421,分录收入!$L:$L,0)),"")</f>
        <v/>
      </c>
      <c r="H1421" s="23"/>
      <c r="I1421" s="70"/>
      <c r="L1421" s="71" t="n">
        <f aca="false">IF(助手收入!$R$96="",-1,助手收入!$R$96*100+(助手收入!$S$96-1)*6+6)</f>
        <v>-1</v>
      </c>
    </row>
    <row r="1422" customFormat="false" ht="23.25" hidden="false" customHeight="true" outlineLevel="0" collapsed="false">
      <c r="B1422" s="72" t="str">
        <f aca="false">IF(助手收入!$T$96=1,"合计：","")</f>
        <v/>
      </c>
      <c r="C1422" s="73" t="str">
        <f aca="false">IF(助手收入!$T$96=1,$F1422,"")</f>
        <v/>
      </c>
      <c r="D1422" s="74"/>
      <c r="E1422" s="74"/>
      <c r="F1422" s="75" t="str">
        <f aca="false">IF(助手收入!$T$96=1,INDEX(助手收入!$N$2:$N$66,助手收入!$R$96),"")</f>
        <v/>
      </c>
      <c r="G1422" s="76" t="str">
        <f aca="false">IF(助手收入!$T$96=1,INDEX(助手收入!$O$2:$O$66,助手收入!$R$96),"")</f>
        <v/>
      </c>
      <c r="H1422" s="74"/>
      <c r="I1422" s="77"/>
    </row>
    <row r="1423" customFormat="false" ht="6" hidden="false" customHeight="true" outlineLevel="0" collapsed="false"/>
    <row r="1424" customFormat="false" ht="13.5" hidden="false" customHeight="false" outlineLevel="0" collapsed="false">
      <c r="B1424" s="78" t="str">
        <f aca="false">IF(助手收入!$R$96&lt;&gt;"","会计主管：","")</f>
        <v/>
      </c>
      <c r="D1424" s="78" t="str">
        <f aca="false">IF(助手收入!$R$96&lt;&gt;"","会计：","")</f>
        <v/>
      </c>
      <c r="E1424" s="78" t="str">
        <f aca="false">IF(助手收入!$R$96&lt;&gt;"","出纳：","")</f>
        <v/>
      </c>
      <c r="F1424" s="78" t="str">
        <f aca="false">IF(助手收入!$R$96&lt;&gt;"","复核：","")</f>
        <v/>
      </c>
      <c r="G1424" s="78" t="str">
        <f aca="false">IF(助手收入!$R$96&lt;&gt;"","制单：","")</f>
        <v/>
      </c>
    </row>
    <row r="1425" customFormat="false" ht="3" hidden="false" customHeight="true" outlineLevel="0" collapsed="false"/>
    <row r="1426" customFormat="false" ht="19.5" hidden="false" customHeight="true" outlineLevel="0" collapsed="false">
      <c r="B1426" s="53" t="str">
        <f aca="false">IF(助手收入!$R$97&lt;&gt;"","记  账  凭  证","")</f>
        <v/>
      </c>
      <c r="C1426" s="53"/>
      <c r="D1426" s="53"/>
      <c r="E1426" s="53"/>
      <c r="F1426" s="53"/>
      <c r="G1426" s="53"/>
      <c r="H1426" s="53"/>
      <c r="I1426" s="53"/>
    </row>
    <row r="1427" customFormat="false" ht="3" hidden="false" customHeight="true" outlineLevel="0" collapsed="false"/>
    <row r="1428" customFormat="false" ht="15" hidden="false" customHeight="true" outlineLevel="0" collapsed="false">
      <c r="C1428" s="56" t="str">
        <f aca="false">IF(助手收入!$R$97&lt;&gt;"",INDEX(助手收入!$B$2:$B$66,助手收入!$R$97),"")</f>
        <v/>
      </c>
      <c r="D1428" s="57" t="str">
        <f aca="false">IF(助手收入!$R$97&lt;&gt;"",参数!$B$2,"")</f>
        <v/>
      </c>
      <c r="E1428" s="57"/>
      <c r="F1428" s="58" t="str">
        <f aca="false">IF(助手收入!$R$97&lt;&gt;"",INDEX(助手收入!$C$2:$C$66,助手收入!$R$97)&amp;"  字第 "&amp;IF(参数!$B$9="是",INDEX(助手收入!$P$2:$P$66,助手收入!$R$97),"　　　　")&amp;" 号"&amp;IF(INDEX(助手收入!$L$2:$L$66,助手收入!$R$97)&gt;1,"  (共"&amp;INDEX(助手收入!$L$2:$L$66,助手收入!$R$97)&amp;"页 第"&amp;助手收入!$S$97&amp;"页)",""),"")</f>
        <v/>
      </c>
      <c r="G1428" s="58"/>
      <c r="H1428" s="58"/>
      <c r="I1428" s="58"/>
      <c r="M1428" s="79" t="str">
        <f aca="false">IF(助手收入!$R$97="","",助手收入!$Q$97)</f>
        <v/>
      </c>
      <c r="N1428" s="80" t="str">
        <f aca="false">IF(助手收入!$R$97="","",INDEX(助手收入!$P$2:$P$66,助手收入!$R$97))</f>
        <v/>
      </c>
      <c r="O1428" s="55" t="str">
        <f aca="false">IF(助手收入!$R$97="","",INDEX(助手收入!$C$2:$C$66,助手收入!$R$97)&amp;"  字第 "&amp;INDEX(助手收入!$P$2:$P$66,助手收入!$R$97)&amp;" 号"&amp;IF(INDEX(助手收入!$L$2:$L$66,助手收入!$R$97)&gt;1,"  (共"&amp;INDEX(助手收入!$L$2:$L$66,助手收入!$R$97)&amp;"页 第"&amp;助手收入!$S$97&amp;"页)",""))</f>
        <v/>
      </c>
    </row>
    <row r="1429" customFormat="false" ht="12.75" hidden="false" customHeight="true" outlineLevel="0" collapsed="false">
      <c r="B1429" s="61" t="str">
        <f aca="false">IF(助手收入!$R$97&lt;&gt;"","摘　　要","")</f>
        <v/>
      </c>
      <c r="C1429" s="61"/>
      <c r="D1429" s="62" t="str">
        <f aca="false">IF(助手收入!$R$97&lt;&gt;"","科　　　　目","")</f>
        <v/>
      </c>
      <c r="E1429" s="62"/>
      <c r="F1429" s="61" t="str">
        <f aca="false">IF(助手收入!$R$97&lt;&gt;"","借 方 金 额","")</f>
        <v/>
      </c>
      <c r="G1429" s="62" t="str">
        <f aca="false">IF(助手收入!$R$97&lt;&gt;"","贷 方 金 额","")</f>
        <v/>
      </c>
      <c r="H1429" s="63" t="str">
        <f aca="false">IF(助手收入!$R$97&lt;&gt;"","√","")</f>
        <v/>
      </c>
      <c r="I1429" s="64" t="str">
        <f aca="false">IF(助手收入!$R$97&lt;&gt;"","附单据  张","")</f>
        <v/>
      </c>
    </row>
    <row r="1430" customFormat="false" ht="12.75" hidden="false" customHeight="true" outlineLevel="0" collapsed="false">
      <c r="B1430" s="61"/>
      <c r="C1430" s="61"/>
      <c r="D1430" s="23" t="str">
        <f aca="false">IF(助手收入!$R$97&lt;&gt;"","总 账 科 目","")</f>
        <v/>
      </c>
      <c r="E1430" s="23" t="str">
        <f aca="false">IF(助手收入!$R$97&lt;&gt;"","明 细 科 目","")</f>
        <v/>
      </c>
      <c r="F1430" s="65"/>
      <c r="G1430" s="66"/>
      <c r="H1430" s="63"/>
      <c r="I1430" s="64"/>
    </row>
    <row r="1431" customFormat="false" ht="23.25" hidden="false" customHeight="true" outlineLevel="0" collapsed="false">
      <c r="B1431" s="67" t="str">
        <f aca="false">IFERROR(INDEX(分录收入!$M:$M,MATCH($L1431,分录收入!$L:$L,0)),"")</f>
        <v/>
      </c>
      <c r="C1431" s="67"/>
      <c r="D1431" s="23" t="str">
        <f aca="false">IFERROR(INDEX(分录收入!$E:$E,MATCH($L1431,分录收入!$L:$L,0)),"")</f>
        <v/>
      </c>
      <c r="E1431" s="23" t="str">
        <f aca="false">IFERROR(INDEX(分录收入!$F:$F,MATCH($L1431,分录收入!$L:$L,0)),"")</f>
        <v/>
      </c>
      <c r="F1431" s="68" t="str">
        <f aca="false">IFERROR(INDEX(分录收入!$H:$H,MATCH($L1431,分录收入!$L:$L,0)),"")</f>
        <v/>
      </c>
      <c r="G1431" s="69" t="str">
        <f aca="false">IFERROR(INDEX(分录收入!$I:$I,MATCH($L1431,分录收入!$L:$L,0)),"")</f>
        <v/>
      </c>
      <c r="H1431" s="23"/>
      <c r="I1431" s="70"/>
      <c r="L1431" s="71" t="n">
        <f aca="false">IF(助手收入!$R$97="",-1,助手收入!$R$97*100+(助手收入!$S$97-1)*6+1)</f>
        <v>-1</v>
      </c>
    </row>
    <row r="1432" customFormat="false" ht="23.25" hidden="false" customHeight="true" outlineLevel="0" collapsed="false">
      <c r="B1432" s="67" t="str">
        <f aca="false">""</f>
        <v/>
      </c>
      <c r="C1432" s="67"/>
      <c r="D1432" s="23" t="str">
        <f aca="false">IFERROR(INDEX(分录收入!$E:$E,MATCH($L1432,分录收入!$L:$L,0)),"")</f>
        <v/>
      </c>
      <c r="E1432" s="23" t="str">
        <f aca="false">IFERROR(INDEX(分录收入!$F:$F,MATCH($L1432,分录收入!$L:$L,0)),"")</f>
        <v/>
      </c>
      <c r="F1432" s="68" t="str">
        <f aca="false">IFERROR(INDEX(分录收入!$H:$H,MATCH($L1432,分录收入!$L:$L,0)),"")</f>
        <v/>
      </c>
      <c r="G1432" s="69" t="str">
        <f aca="false">IFERROR(INDEX(分录收入!$I:$I,MATCH($L1432,分录收入!$L:$L,0)),"")</f>
        <v/>
      </c>
      <c r="H1432" s="23"/>
      <c r="I1432" s="70"/>
      <c r="L1432" s="71" t="n">
        <f aca="false">IF(助手收入!$R$97="",-1,助手收入!$R$97*100+(助手收入!$S$97-1)*6+2)</f>
        <v>-1</v>
      </c>
    </row>
    <row r="1433" customFormat="false" ht="23.25" hidden="false" customHeight="true" outlineLevel="0" collapsed="false">
      <c r="B1433" s="67" t="str">
        <f aca="false">""</f>
        <v/>
      </c>
      <c r="C1433" s="67"/>
      <c r="D1433" s="23" t="str">
        <f aca="false">IFERROR(INDEX(分录收入!$E:$E,MATCH($L1433,分录收入!$L:$L,0)),"")</f>
        <v/>
      </c>
      <c r="E1433" s="23" t="str">
        <f aca="false">IFERROR(INDEX(分录收入!$F:$F,MATCH($L1433,分录收入!$L:$L,0)),"")</f>
        <v/>
      </c>
      <c r="F1433" s="68" t="str">
        <f aca="false">IFERROR(INDEX(分录收入!$H:$H,MATCH($L1433,分录收入!$L:$L,0)),"")</f>
        <v/>
      </c>
      <c r="G1433" s="69" t="str">
        <f aca="false">IFERROR(INDEX(分录收入!$I:$I,MATCH($L1433,分录收入!$L:$L,0)),"")</f>
        <v/>
      </c>
      <c r="H1433" s="23"/>
      <c r="I1433" s="70"/>
      <c r="L1433" s="71" t="n">
        <f aca="false">IF(助手收入!$R$97="",-1,助手收入!$R$97*100+(助手收入!$S$97-1)*6+3)</f>
        <v>-1</v>
      </c>
    </row>
    <row r="1434" customFormat="false" ht="23.25" hidden="false" customHeight="true" outlineLevel="0" collapsed="false">
      <c r="B1434" s="67" t="str">
        <f aca="false">""</f>
        <v/>
      </c>
      <c r="C1434" s="67"/>
      <c r="D1434" s="23" t="str">
        <f aca="false">IFERROR(INDEX(分录收入!$E:$E,MATCH($L1434,分录收入!$L:$L,0)),"")</f>
        <v/>
      </c>
      <c r="E1434" s="23" t="str">
        <f aca="false">IFERROR(INDEX(分录收入!$F:$F,MATCH($L1434,分录收入!$L:$L,0)),"")</f>
        <v/>
      </c>
      <c r="F1434" s="68" t="str">
        <f aca="false">IFERROR(INDEX(分录收入!$H:$H,MATCH($L1434,分录收入!$L:$L,0)),"")</f>
        <v/>
      </c>
      <c r="G1434" s="69" t="str">
        <f aca="false">IFERROR(INDEX(分录收入!$I:$I,MATCH($L1434,分录收入!$L:$L,0)),"")</f>
        <v/>
      </c>
      <c r="H1434" s="23"/>
      <c r="I1434" s="70"/>
      <c r="L1434" s="71" t="n">
        <f aca="false">IF(助手收入!$R$97="",-1,助手收入!$R$97*100+(助手收入!$S$97-1)*6+4)</f>
        <v>-1</v>
      </c>
    </row>
    <row r="1435" customFormat="false" ht="23.25" hidden="false" customHeight="true" outlineLevel="0" collapsed="false">
      <c r="B1435" s="67" t="str">
        <f aca="false">""</f>
        <v/>
      </c>
      <c r="C1435" s="67"/>
      <c r="D1435" s="23" t="str">
        <f aca="false">IFERROR(INDEX(分录收入!$E:$E,MATCH($L1435,分录收入!$L:$L,0)),"")</f>
        <v/>
      </c>
      <c r="E1435" s="23" t="str">
        <f aca="false">IFERROR(INDEX(分录收入!$F:$F,MATCH($L1435,分录收入!$L:$L,0)),"")</f>
        <v/>
      </c>
      <c r="F1435" s="68" t="str">
        <f aca="false">IFERROR(INDEX(分录收入!$H:$H,MATCH($L1435,分录收入!$L:$L,0)),"")</f>
        <v/>
      </c>
      <c r="G1435" s="69" t="str">
        <f aca="false">IFERROR(INDEX(分录收入!$I:$I,MATCH($L1435,分录收入!$L:$L,0)),"")</f>
        <v/>
      </c>
      <c r="H1435" s="23"/>
      <c r="I1435" s="70"/>
      <c r="L1435" s="71" t="n">
        <f aca="false">IF(助手收入!$R$97="",-1,助手收入!$R$97*100+(助手收入!$S$97-1)*6+5)</f>
        <v>-1</v>
      </c>
    </row>
    <row r="1436" customFormat="false" ht="23.25" hidden="false" customHeight="true" outlineLevel="0" collapsed="false">
      <c r="B1436" s="67" t="str">
        <f aca="false">""</f>
        <v/>
      </c>
      <c r="C1436" s="67"/>
      <c r="D1436" s="23" t="str">
        <f aca="false">IFERROR(INDEX(分录收入!$E:$E,MATCH($L1436,分录收入!$L:$L,0)),"")</f>
        <v/>
      </c>
      <c r="E1436" s="23" t="str">
        <f aca="false">IFERROR(INDEX(分录收入!$F:$F,MATCH($L1436,分录收入!$L:$L,0)),"")</f>
        <v/>
      </c>
      <c r="F1436" s="68" t="str">
        <f aca="false">IFERROR(INDEX(分录收入!$H:$H,MATCH($L1436,分录收入!$L:$L,0)),"")</f>
        <v/>
      </c>
      <c r="G1436" s="69" t="str">
        <f aca="false">IFERROR(INDEX(分录收入!$I:$I,MATCH($L1436,分录收入!$L:$L,0)),"")</f>
        <v/>
      </c>
      <c r="H1436" s="23"/>
      <c r="I1436" s="70"/>
      <c r="L1436" s="71" t="n">
        <f aca="false">IF(助手收入!$R$97="",-1,助手收入!$R$97*100+(助手收入!$S$97-1)*6+6)</f>
        <v>-1</v>
      </c>
    </row>
    <row r="1437" customFormat="false" ht="23.25" hidden="false" customHeight="true" outlineLevel="0" collapsed="false">
      <c r="B1437" s="72" t="str">
        <f aca="false">IF(助手收入!$T$97=1,"合计：","")</f>
        <v/>
      </c>
      <c r="C1437" s="73" t="str">
        <f aca="false">IF(助手收入!$T$97=1,$F1437,"")</f>
        <v/>
      </c>
      <c r="D1437" s="74"/>
      <c r="E1437" s="74"/>
      <c r="F1437" s="75" t="str">
        <f aca="false">IF(助手收入!$T$97=1,INDEX(助手收入!$N$2:$N$66,助手收入!$R$97),"")</f>
        <v/>
      </c>
      <c r="G1437" s="76" t="str">
        <f aca="false">IF(助手收入!$T$97=1,INDEX(助手收入!$O$2:$O$66,助手收入!$R$97),"")</f>
        <v/>
      </c>
      <c r="H1437" s="74"/>
      <c r="I1437" s="77"/>
    </row>
    <row r="1438" customFormat="false" ht="6" hidden="false" customHeight="true" outlineLevel="0" collapsed="false"/>
    <row r="1439" customFormat="false" ht="13.5" hidden="false" customHeight="false" outlineLevel="0" collapsed="false">
      <c r="B1439" s="78" t="str">
        <f aca="false">IF(助手收入!$R$97&lt;&gt;"","会计主管：","")</f>
        <v/>
      </c>
      <c r="D1439" s="78" t="str">
        <f aca="false">IF(助手收入!$R$97&lt;&gt;"","会计：","")</f>
        <v/>
      </c>
      <c r="E1439" s="78" t="str">
        <f aca="false">IF(助手收入!$R$97&lt;&gt;"","出纳：","")</f>
        <v/>
      </c>
      <c r="F1439" s="78" t="str">
        <f aca="false">IF(助手收入!$R$97&lt;&gt;"","复核：","")</f>
        <v/>
      </c>
      <c r="G1439" s="78" t="str">
        <f aca="false">IF(助手收入!$R$97&lt;&gt;"","制单：","")</f>
        <v/>
      </c>
    </row>
    <row r="1440" customFormat="false" ht="3" hidden="false" customHeight="true" outlineLevel="0" collapsed="false"/>
    <row r="1441" customFormat="false" ht="19.5" hidden="false" customHeight="true" outlineLevel="0" collapsed="false">
      <c r="B1441" s="53" t="str">
        <f aca="false">IF(助手收入!$R$98&lt;&gt;"","记  账  凭  证","")</f>
        <v/>
      </c>
      <c r="C1441" s="53"/>
      <c r="D1441" s="53"/>
      <c r="E1441" s="53"/>
      <c r="F1441" s="53"/>
      <c r="G1441" s="53"/>
      <c r="H1441" s="53"/>
      <c r="I1441" s="53"/>
    </row>
    <row r="1442" customFormat="false" ht="3" hidden="false" customHeight="true" outlineLevel="0" collapsed="false"/>
    <row r="1443" customFormat="false" ht="15" hidden="false" customHeight="true" outlineLevel="0" collapsed="false">
      <c r="C1443" s="56" t="str">
        <f aca="false">IF(助手收入!$R$98&lt;&gt;"",INDEX(助手收入!$B$2:$B$66,助手收入!$R$98),"")</f>
        <v/>
      </c>
      <c r="D1443" s="57" t="str">
        <f aca="false">IF(助手收入!$R$98&lt;&gt;"",参数!$B$2,"")</f>
        <v/>
      </c>
      <c r="E1443" s="57"/>
      <c r="F1443" s="58" t="str">
        <f aca="false">IF(助手收入!$R$98&lt;&gt;"",INDEX(助手收入!$C$2:$C$66,助手收入!$R$98)&amp;"  字第 "&amp;IF(参数!$B$9="是",INDEX(助手收入!$P$2:$P$66,助手收入!$R$98),"　　　　")&amp;" 号"&amp;IF(INDEX(助手收入!$L$2:$L$66,助手收入!$R$98)&gt;1,"  (共"&amp;INDEX(助手收入!$L$2:$L$66,助手收入!$R$98)&amp;"页 第"&amp;助手收入!$S$98&amp;"页)",""),"")</f>
        <v/>
      </c>
      <c r="G1443" s="58"/>
      <c r="H1443" s="58"/>
      <c r="I1443" s="58"/>
      <c r="M1443" s="79" t="str">
        <f aca="false">IF(助手收入!$R$98="","",助手收入!$Q$98)</f>
        <v/>
      </c>
      <c r="N1443" s="80" t="str">
        <f aca="false">IF(助手收入!$R$98="","",INDEX(助手收入!$P$2:$P$66,助手收入!$R$98))</f>
        <v/>
      </c>
      <c r="O1443" s="55" t="str">
        <f aca="false">IF(助手收入!$R$98="","",INDEX(助手收入!$C$2:$C$66,助手收入!$R$98)&amp;"  字第 "&amp;INDEX(助手收入!$P$2:$P$66,助手收入!$R$98)&amp;" 号"&amp;IF(INDEX(助手收入!$L$2:$L$66,助手收入!$R$98)&gt;1,"  (共"&amp;INDEX(助手收入!$L$2:$L$66,助手收入!$R$98)&amp;"页 第"&amp;助手收入!$S$98&amp;"页)",""))</f>
        <v/>
      </c>
    </row>
    <row r="1444" customFormat="false" ht="12.75" hidden="false" customHeight="true" outlineLevel="0" collapsed="false">
      <c r="B1444" s="61" t="str">
        <f aca="false">IF(助手收入!$R$98&lt;&gt;"","摘　　要","")</f>
        <v/>
      </c>
      <c r="C1444" s="61"/>
      <c r="D1444" s="62" t="str">
        <f aca="false">IF(助手收入!$R$98&lt;&gt;"","科　　　　目","")</f>
        <v/>
      </c>
      <c r="E1444" s="62"/>
      <c r="F1444" s="61" t="str">
        <f aca="false">IF(助手收入!$R$98&lt;&gt;"","借 方 金 额","")</f>
        <v/>
      </c>
      <c r="G1444" s="62" t="str">
        <f aca="false">IF(助手收入!$R$98&lt;&gt;"","贷 方 金 额","")</f>
        <v/>
      </c>
      <c r="H1444" s="63" t="str">
        <f aca="false">IF(助手收入!$R$98&lt;&gt;"","√","")</f>
        <v/>
      </c>
      <c r="I1444" s="64" t="str">
        <f aca="false">IF(助手收入!$R$98&lt;&gt;"","附单据  张","")</f>
        <v/>
      </c>
    </row>
    <row r="1445" customFormat="false" ht="12.75" hidden="false" customHeight="true" outlineLevel="0" collapsed="false">
      <c r="B1445" s="61"/>
      <c r="C1445" s="61"/>
      <c r="D1445" s="23" t="str">
        <f aca="false">IF(助手收入!$R$98&lt;&gt;"","总 账 科 目","")</f>
        <v/>
      </c>
      <c r="E1445" s="23" t="str">
        <f aca="false">IF(助手收入!$R$98&lt;&gt;"","明 细 科 目","")</f>
        <v/>
      </c>
      <c r="F1445" s="65"/>
      <c r="G1445" s="66"/>
      <c r="H1445" s="63"/>
      <c r="I1445" s="64"/>
    </row>
    <row r="1446" customFormat="false" ht="23.25" hidden="false" customHeight="true" outlineLevel="0" collapsed="false">
      <c r="B1446" s="67" t="str">
        <f aca="false">IFERROR(INDEX(分录收入!$M:$M,MATCH($L1446,分录收入!$L:$L,0)),"")</f>
        <v/>
      </c>
      <c r="C1446" s="67"/>
      <c r="D1446" s="23" t="str">
        <f aca="false">IFERROR(INDEX(分录收入!$E:$E,MATCH($L1446,分录收入!$L:$L,0)),"")</f>
        <v/>
      </c>
      <c r="E1446" s="23" t="str">
        <f aca="false">IFERROR(INDEX(分录收入!$F:$F,MATCH($L1446,分录收入!$L:$L,0)),"")</f>
        <v/>
      </c>
      <c r="F1446" s="68" t="str">
        <f aca="false">IFERROR(INDEX(分录收入!$H:$H,MATCH($L1446,分录收入!$L:$L,0)),"")</f>
        <v/>
      </c>
      <c r="G1446" s="69" t="str">
        <f aca="false">IFERROR(INDEX(分录收入!$I:$I,MATCH($L1446,分录收入!$L:$L,0)),"")</f>
        <v/>
      </c>
      <c r="H1446" s="23"/>
      <c r="I1446" s="70"/>
      <c r="L1446" s="71" t="n">
        <f aca="false">IF(助手收入!$R$98="",-1,助手收入!$R$98*100+(助手收入!$S$98-1)*6+1)</f>
        <v>-1</v>
      </c>
    </row>
    <row r="1447" customFormat="false" ht="23.25" hidden="false" customHeight="true" outlineLevel="0" collapsed="false">
      <c r="B1447" s="67" t="str">
        <f aca="false">""</f>
        <v/>
      </c>
      <c r="C1447" s="67"/>
      <c r="D1447" s="23" t="str">
        <f aca="false">IFERROR(INDEX(分录收入!$E:$E,MATCH($L1447,分录收入!$L:$L,0)),"")</f>
        <v/>
      </c>
      <c r="E1447" s="23" t="str">
        <f aca="false">IFERROR(INDEX(分录收入!$F:$F,MATCH($L1447,分录收入!$L:$L,0)),"")</f>
        <v/>
      </c>
      <c r="F1447" s="68" t="str">
        <f aca="false">IFERROR(INDEX(分录收入!$H:$H,MATCH($L1447,分录收入!$L:$L,0)),"")</f>
        <v/>
      </c>
      <c r="G1447" s="69" t="str">
        <f aca="false">IFERROR(INDEX(分录收入!$I:$I,MATCH($L1447,分录收入!$L:$L,0)),"")</f>
        <v/>
      </c>
      <c r="H1447" s="23"/>
      <c r="I1447" s="70"/>
      <c r="L1447" s="71" t="n">
        <f aca="false">IF(助手收入!$R$98="",-1,助手收入!$R$98*100+(助手收入!$S$98-1)*6+2)</f>
        <v>-1</v>
      </c>
    </row>
    <row r="1448" customFormat="false" ht="23.25" hidden="false" customHeight="true" outlineLevel="0" collapsed="false">
      <c r="B1448" s="67" t="str">
        <f aca="false">""</f>
        <v/>
      </c>
      <c r="C1448" s="67"/>
      <c r="D1448" s="23" t="str">
        <f aca="false">IFERROR(INDEX(分录收入!$E:$E,MATCH($L1448,分录收入!$L:$L,0)),"")</f>
        <v/>
      </c>
      <c r="E1448" s="23" t="str">
        <f aca="false">IFERROR(INDEX(分录收入!$F:$F,MATCH($L1448,分录收入!$L:$L,0)),"")</f>
        <v/>
      </c>
      <c r="F1448" s="68" t="str">
        <f aca="false">IFERROR(INDEX(分录收入!$H:$H,MATCH($L1448,分录收入!$L:$L,0)),"")</f>
        <v/>
      </c>
      <c r="G1448" s="69" t="str">
        <f aca="false">IFERROR(INDEX(分录收入!$I:$I,MATCH($L1448,分录收入!$L:$L,0)),"")</f>
        <v/>
      </c>
      <c r="H1448" s="23"/>
      <c r="I1448" s="70"/>
      <c r="L1448" s="71" t="n">
        <f aca="false">IF(助手收入!$R$98="",-1,助手收入!$R$98*100+(助手收入!$S$98-1)*6+3)</f>
        <v>-1</v>
      </c>
    </row>
    <row r="1449" customFormat="false" ht="23.25" hidden="false" customHeight="true" outlineLevel="0" collapsed="false">
      <c r="B1449" s="67" t="str">
        <f aca="false">""</f>
        <v/>
      </c>
      <c r="C1449" s="67"/>
      <c r="D1449" s="23" t="str">
        <f aca="false">IFERROR(INDEX(分录收入!$E:$E,MATCH($L1449,分录收入!$L:$L,0)),"")</f>
        <v/>
      </c>
      <c r="E1449" s="23" t="str">
        <f aca="false">IFERROR(INDEX(分录收入!$F:$F,MATCH($L1449,分录收入!$L:$L,0)),"")</f>
        <v/>
      </c>
      <c r="F1449" s="68" t="str">
        <f aca="false">IFERROR(INDEX(分录收入!$H:$H,MATCH($L1449,分录收入!$L:$L,0)),"")</f>
        <v/>
      </c>
      <c r="G1449" s="69" t="str">
        <f aca="false">IFERROR(INDEX(分录收入!$I:$I,MATCH($L1449,分录收入!$L:$L,0)),"")</f>
        <v/>
      </c>
      <c r="H1449" s="23"/>
      <c r="I1449" s="70"/>
      <c r="L1449" s="71" t="n">
        <f aca="false">IF(助手收入!$R$98="",-1,助手收入!$R$98*100+(助手收入!$S$98-1)*6+4)</f>
        <v>-1</v>
      </c>
    </row>
    <row r="1450" customFormat="false" ht="23.25" hidden="false" customHeight="true" outlineLevel="0" collapsed="false">
      <c r="B1450" s="67" t="str">
        <f aca="false">""</f>
        <v/>
      </c>
      <c r="C1450" s="67"/>
      <c r="D1450" s="23" t="str">
        <f aca="false">IFERROR(INDEX(分录收入!$E:$E,MATCH($L1450,分录收入!$L:$L,0)),"")</f>
        <v/>
      </c>
      <c r="E1450" s="23" t="str">
        <f aca="false">IFERROR(INDEX(分录收入!$F:$F,MATCH($L1450,分录收入!$L:$L,0)),"")</f>
        <v/>
      </c>
      <c r="F1450" s="68" t="str">
        <f aca="false">IFERROR(INDEX(分录收入!$H:$H,MATCH($L1450,分录收入!$L:$L,0)),"")</f>
        <v/>
      </c>
      <c r="G1450" s="69" t="str">
        <f aca="false">IFERROR(INDEX(分录收入!$I:$I,MATCH($L1450,分录收入!$L:$L,0)),"")</f>
        <v/>
      </c>
      <c r="H1450" s="23"/>
      <c r="I1450" s="70"/>
      <c r="L1450" s="71" t="n">
        <f aca="false">IF(助手收入!$R$98="",-1,助手收入!$R$98*100+(助手收入!$S$98-1)*6+5)</f>
        <v>-1</v>
      </c>
    </row>
    <row r="1451" customFormat="false" ht="23.25" hidden="false" customHeight="true" outlineLevel="0" collapsed="false">
      <c r="B1451" s="67" t="str">
        <f aca="false">""</f>
        <v/>
      </c>
      <c r="C1451" s="67"/>
      <c r="D1451" s="23" t="str">
        <f aca="false">IFERROR(INDEX(分录收入!$E:$E,MATCH($L1451,分录收入!$L:$L,0)),"")</f>
        <v/>
      </c>
      <c r="E1451" s="23" t="str">
        <f aca="false">IFERROR(INDEX(分录收入!$F:$F,MATCH($L1451,分录收入!$L:$L,0)),"")</f>
        <v/>
      </c>
      <c r="F1451" s="68" t="str">
        <f aca="false">IFERROR(INDEX(分录收入!$H:$H,MATCH($L1451,分录收入!$L:$L,0)),"")</f>
        <v/>
      </c>
      <c r="G1451" s="69" t="str">
        <f aca="false">IFERROR(INDEX(分录收入!$I:$I,MATCH($L1451,分录收入!$L:$L,0)),"")</f>
        <v/>
      </c>
      <c r="H1451" s="23"/>
      <c r="I1451" s="70"/>
      <c r="L1451" s="71" t="n">
        <f aca="false">IF(助手收入!$R$98="",-1,助手收入!$R$98*100+(助手收入!$S$98-1)*6+6)</f>
        <v>-1</v>
      </c>
    </row>
    <row r="1452" customFormat="false" ht="23.25" hidden="false" customHeight="true" outlineLevel="0" collapsed="false">
      <c r="B1452" s="72" t="str">
        <f aca="false">IF(助手收入!$T$98=1,"合计：","")</f>
        <v/>
      </c>
      <c r="C1452" s="73" t="str">
        <f aca="false">IF(助手收入!$T$98=1,$F1452,"")</f>
        <v/>
      </c>
      <c r="D1452" s="74"/>
      <c r="E1452" s="74"/>
      <c r="F1452" s="75" t="str">
        <f aca="false">IF(助手收入!$T$98=1,INDEX(助手收入!$N$2:$N$66,助手收入!$R$98),"")</f>
        <v/>
      </c>
      <c r="G1452" s="76" t="str">
        <f aca="false">IF(助手收入!$T$98=1,INDEX(助手收入!$O$2:$O$66,助手收入!$R$98),"")</f>
        <v/>
      </c>
      <c r="H1452" s="74"/>
      <c r="I1452" s="77"/>
    </row>
    <row r="1453" customFormat="false" ht="6" hidden="false" customHeight="true" outlineLevel="0" collapsed="false"/>
    <row r="1454" customFormat="false" ht="13.5" hidden="false" customHeight="false" outlineLevel="0" collapsed="false">
      <c r="B1454" s="78" t="str">
        <f aca="false">IF(助手收入!$R$98&lt;&gt;"","会计主管：","")</f>
        <v/>
      </c>
      <c r="D1454" s="78" t="str">
        <f aca="false">IF(助手收入!$R$98&lt;&gt;"","会计：","")</f>
        <v/>
      </c>
      <c r="E1454" s="78" t="str">
        <f aca="false">IF(助手收入!$R$98&lt;&gt;"","出纳：","")</f>
        <v/>
      </c>
      <c r="F1454" s="78" t="str">
        <f aca="false">IF(助手收入!$R$98&lt;&gt;"","复核：","")</f>
        <v/>
      </c>
      <c r="G1454" s="78" t="str">
        <f aca="false">IF(助手收入!$R$98&lt;&gt;"","制单：","")</f>
        <v/>
      </c>
    </row>
    <row r="1455" customFormat="false" ht="3" hidden="false" customHeight="true" outlineLevel="0" collapsed="false"/>
    <row r="1456" customFormat="false" ht="19.5" hidden="false" customHeight="true" outlineLevel="0" collapsed="false">
      <c r="B1456" s="53" t="str">
        <f aca="false">IF(助手收入!$R$99&lt;&gt;"","记  账  凭  证","")</f>
        <v/>
      </c>
      <c r="C1456" s="53"/>
      <c r="D1456" s="53"/>
      <c r="E1456" s="53"/>
      <c r="F1456" s="53"/>
      <c r="G1456" s="53"/>
      <c r="H1456" s="53"/>
      <c r="I1456" s="53"/>
    </row>
    <row r="1457" customFormat="false" ht="3" hidden="false" customHeight="true" outlineLevel="0" collapsed="false"/>
    <row r="1458" customFormat="false" ht="15" hidden="false" customHeight="true" outlineLevel="0" collapsed="false">
      <c r="C1458" s="56" t="str">
        <f aca="false">IF(助手收入!$R$99&lt;&gt;"",INDEX(助手收入!$B$2:$B$66,助手收入!$R$99),"")</f>
        <v/>
      </c>
      <c r="D1458" s="57" t="str">
        <f aca="false">IF(助手收入!$R$99&lt;&gt;"",参数!$B$2,"")</f>
        <v/>
      </c>
      <c r="E1458" s="57"/>
      <c r="F1458" s="58" t="str">
        <f aca="false">IF(助手收入!$R$99&lt;&gt;"",INDEX(助手收入!$C$2:$C$66,助手收入!$R$99)&amp;"  字第 "&amp;IF(参数!$B$9="是",INDEX(助手收入!$P$2:$P$66,助手收入!$R$99),"　　　　")&amp;" 号"&amp;IF(INDEX(助手收入!$L$2:$L$66,助手收入!$R$99)&gt;1,"  (共"&amp;INDEX(助手收入!$L$2:$L$66,助手收入!$R$99)&amp;"页 第"&amp;助手收入!$S$99&amp;"页)",""),"")</f>
        <v/>
      </c>
      <c r="G1458" s="58"/>
      <c r="H1458" s="58"/>
      <c r="I1458" s="58"/>
      <c r="M1458" s="79" t="str">
        <f aca="false">IF(助手收入!$R$99="","",助手收入!$Q$99)</f>
        <v/>
      </c>
      <c r="N1458" s="80" t="str">
        <f aca="false">IF(助手收入!$R$99="","",INDEX(助手收入!$P$2:$P$66,助手收入!$R$99))</f>
        <v/>
      </c>
      <c r="O1458" s="55" t="str">
        <f aca="false">IF(助手收入!$R$99="","",INDEX(助手收入!$C$2:$C$66,助手收入!$R$99)&amp;"  字第 "&amp;INDEX(助手收入!$P$2:$P$66,助手收入!$R$99)&amp;" 号"&amp;IF(INDEX(助手收入!$L$2:$L$66,助手收入!$R$99)&gt;1,"  (共"&amp;INDEX(助手收入!$L$2:$L$66,助手收入!$R$99)&amp;"页 第"&amp;助手收入!$S$99&amp;"页)",""))</f>
        <v/>
      </c>
    </row>
    <row r="1459" customFormat="false" ht="12.75" hidden="false" customHeight="true" outlineLevel="0" collapsed="false">
      <c r="B1459" s="61" t="str">
        <f aca="false">IF(助手收入!$R$99&lt;&gt;"","摘　　要","")</f>
        <v/>
      </c>
      <c r="C1459" s="61"/>
      <c r="D1459" s="62" t="str">
        <f aca="false">IF(助手收入!$R$99&lt;&gt;"","科　　　　目","")</f>
        <v/>
      </c>
      <c r="E1459" s="62"/>
      <c r="F1459" s="61" t="str">
        <f aca="false">IF(助手收入!$R$99&lt;&gt;"","借 方 金 额","")</f>
        <v/>
      </c>
      <c r="G1459" s="62" t="str">
        <f aca="false">IF(助手收入!$R$99&lt;&gt;"","贷 方 金 额","")</f>
        <v/>
      </c>
      <c r="H1459" s="63" t="str">
        <f aca="false">IF(助手收入!$R$99&lt;&gt;"","√","")</f>
        <v/>
      </c>
      <c r="I1459" s="64" t="str">
        <f aca="false">IF(助手收入!$R$99&lt;&gt;"","附单据  张","")</f>
        <v/>
      </c>
    </row>
    <row r="1460" customFormat="false" ht="12.75" hidden="false" customHeight="true" outlineLevel="0" collapsed="false">
      <c r="B1460" s="61"/>
      <c r="C1460" s="61"/>
      <c r="D1460" s="23" t="str">
        <f aca="false">IF(助手收入!$R$99&lt;&gt;"","总 账 科 目","")</f>
        <v/>
      </c>
      <c r="E1460" s="23" t="str">
        <f aca="false">IF(助手收入!$R$99&lt;&gt;"","明 细 科 目","")</f>
        <v/>
      </c>
      <c r="F1460" s="65"/>
      <c r="G1460" s="66"/>
      <c r="H1460" s="63"/>
      <c r="I1460" s="64"/>
    </row>
    <row r="1461" customFormat="false" ht="23.25" hidden="false" customHeight="true" outlineLevel="0" collapsed="false">
      <c r="B1461" s="67" t="str">
        <f aca="false">IFERROR(INDEX(分录收入!$M:$M,MATCH($L1461,分录收入!$L:$L,0)),"")</f>
        <v/>
      </c>
      <c r="C1461" s="67"/>
      <c r="D1461" s="23" t="str">
        <f aca="false">IFERROR(INDEX(分录收入!$E:$E,MATCH($L1461,分录收入!$L:$L,0)),"")</f>
        <v/>
      </c>
      <c r="E1461" s="23" t="str">
        <f aca="false">IFERROR(INDEX(分录收入!$F:$F,MATCH($L1461,分录收入!$L:$L,0)),"")</f>
        <v/>
      </c>
      <c r="F1461" s="68" t="str">
        <f aca="false">IFERROR(INDEX(分录收入!$H:$H,MATCH($L1461,分录收入!$L:$L,0)),"")</f>
        <v/>
      </c>
      <c r="G1461" s="69" t="str">
        <f aca="false">IFERROR(INDEX(分录收入!$I:$I,MATCH($L1461,分录收入!$L:$L,0)),"")</f>
        <v/>
      </c>
      <c r="H1461" s="23"/>
      <c r="I1461" s="70"/>
      <c r="L1461" s="71" t="n">
        <f aca="false">IF(助手收入!$R$99="",-1,助手收入!$R$99*100+(助手收入!$S$99-1)*6+1)</f>
        <v>-1</v>
      </c>
    </row>
    <row r="1462" customFormat="false" ht="23.25" hidden="false" customHeight="true" outlineLevel="0" collapsed="false">
      <c r="B1462" s="67" t="str">
        <f aca="false">""</f>
        <v/>
      </c>
      <c r="C1462" s="67"/>
      <c r="D1462" s="23" t="str">
        <f aca="false">IFERROR(INDEX(分录收入!$E:$E,MATCH($L1462,分录收入!$L:$L,0)),"")</f>
        <v/>
      </c>
      <c r="E1462" s="23" t="str">
        <f aca="false">IFERROR(INDEX(分录收入!$F:$F,MATCH($L1462,分录收入!$L:$L,0)),"")</f>
        <v/>
      </c>
      <c r="F1462" s="68" t="str">
        <f aca="false">IFERROR(INDEX(分录收入!$H:$H,MATCH($L1462,分录收入!$L:$L,0)),"")</f>
        <v/>
      </c>
      <c r="G1462" s="69" t="str">
        <f aca="false">IFERROR(INDEX(分录收入!$I:$I,MATCH($L1462,分录收入!$L:$L,0)),"")</f>
        <v/>
      </c>
      <c r="H1462" s="23"/>
      <c r="I1462" s="70"/>
      <c r="L1462" s="71" t="n">
        <f aca="false">IF(助手收入!$R$99="",-1,助手收入!$R$99*100+(助手收入!$S$99-1)*6+2)</f>
        <v>-1</v>
      </c>
    </row>
    <row r="1463" customFormat="false" ht="23.25" hidden="false" customHeight="true" outlineLevel="0" collapsed="false">
      <c r="B1463" s="67" t="str">
        <f aca="false">""</f>
        <v/>
      </c>
      <c r="C1463" s="67"/>
      <c r="D1463" s="23" t="str">
        <f aca="false">IFERROR(INDEX(分录收入!$E:$E,MATCH($L1463,分录收入!$L:$L,0)),"")</f>
        <v/>
      </c>
      <c r="E1463" s="23" t="str">
        <f aca="false">IFERROR(INDEX(分录收入!$F:$F,MATCH($L1463,分录收入!$L:$L,0)),"")</f>
        <v/>
      </c>
      <c r="F1463" s="68" t="str">
        <f aca="false">IFERROR(INDEX(分录收入!$H:$H,MATCH($L1463,分录收入!$L:$L,0)),"")</f>
        <v/>
      </c>
      <c r="G1463" s="69" t="str">
        <f aca="false">IFERROR(INDEX(分录收入!$I:$I,MATCH($L1463,分录收入!$L:$L,0)),"")</f>
        <v/>
      </c>
      <c r="H1463" s="23"/>
      <c r="I1463" s="70"/>
      <c r="L1463" s="71" t="n">
        <f aca="false">IF(助手收入!$R$99="",-1,助手收入!$R$99*100+(助手收入!$S$99-1)*6+3)</f>
        <v>-1</v>
      </c>
    </row>
    <row r="1464" customFormat="false" ht="23.25" hidden="false" customHeight="true" outlineLevel="0" collapsed="false">
      <c r="B1464" s="67" t="str">
        <f aca="false">""</f>
        <v/>
      </c>
      <c r="C1464" s="67"/>
      <c r="D1464" s="23" t="str">
        <f aca="false">IFERROR(INDEX(分录收入!$E:$E,MATCH($L1464,分录收入!$L:$L,0)),"")</f>
        <v/>
      </c>
      <c r="E1464" s="23" t="str">
        <f aca="false">IFERROR(INDEX(分录收入!$F:$F,MATCH($L1464,分录收入!$L:$L,0)),"")</f>
        <v/>
      </c>
      <c r="F1464" s="68" t="str">
        <f aca="false">IFERROR(INDEX(分录收入!$H:$H,MATCH($L1464,分录收入!$L:$L,0)),"")</f>
        <v/>
      </c>
      <c r="G1464" s="69" t="str">
        <f aca="false">IFERROR(INDEX(分录收入!$I:$I,MATCH($L1464,分录收入!$L:$L,0)),"")</f>
        <v/>
      </c>
      <c r="H1464" s="23"/>
      <c r="I1464" s="70"/>
      <c r="L1464" s="71" t="n">
        <f aca="false">IF(助手收入!$R$99="",-1,助手收入!$R$99*100+(助手收入!$S$99-1)*6+4)</f>
        <v>-1</v>
      </c>
    </row>
    <row r="1465" customFormat="false" ht="23.25" hidden="false" customHeight="true" outlineLevel="0" collapsed="false">
      <c r="B1465" s="67" t="str">
        <f aca="false">""</f>
        <v/>
      </c>
      <c r="C1465" s="67"/>
      <c r="D1465" s="23" t="str">
        <f aca="false">IFERROR(INDEX(分录收入!$E:$E,MATCH($L1465,分录收入!$L:$L,0)),"")</f>
        <v/>
      </c>
      <c r="E1465" s="23" t="str">
        <f aca="false">IFERROR(INDEX(分录收入!$F:$F,MATCH($L1465,分录收入!$L:$L,0)),"")</f>
        <v/>
      </c>
      <c r="F1465" s="68" t="str">
        <f aca="false">IFERROR(INDEX(分录收入!$H:$H,MATCH($L1465,分录收入!$L:$L,0)),"")</f>
        <v/>
      </c>
      <c r="G1465" s="69" t="str">
        <f aca="false">IFERROR(INDEX(分录收入!$I:$I,MATCH($L1465,分录收入!$L:$L,0)),"")</f>
        <v/>
      </c>
      <c r="H1465" s="23"/>
      <c r="I1465" s="70"/>
      <c r="L1465" s="71" t="n">
        <f aca="false">IF(助手收入!$R$99="",-1,助手收入!$R$99*100+(助手收入!$S$99-1)*6+5)</f>
        <v>-1</v>
      </c>
    </row>
    <row r="1466" customFormat="false" ht="23.25" hidden="false" customHeight="true" outlineLevel="0" collapsed="false">
      <c r="B1466" s="67" t="str">
        <f aca="false">""</f>
        <v/>
      </c>
      <c r="C1466" s="67"/>
      <c r="D1466" s="23" t="str">
        <f aca="false">IFERROR(INDEX(分录收入!$E:$E,MATCH($L1466,分录收入!$L:$L,0)),"")</f>
        <v/>
      </c>
      <c r="E1466" s="23" t="str">
        <f aca="false">IFERROR(INDEX(分录收入!$F:$F,MATCH($L1466,分录收入!$L:$L,0)),"")</f>
        <v/>
      </c>
      <c r="F1466" s="68" t="str">
        <f aca="false">IFERROR(INDEX(分录收入!$H:$H,MATCH($L1466,分录收入!$L:$L,0)),"")</f>
        <v/>
      </c>
      <c r="G1466" s="69" t="str">
        <f aca="false">IFERROR(INDEX(分录收入!$I:$I,MATCH($L1466,分录收入!$L:$L,0)),"")</f>
        <v/>
      </c>
      <c r="H1466" s="23"/>
      <c r="I1466" s="70"/>
      <c r="L1466" s="71" t="n">
        <f aca="false">IF(助手收入!$R$99="",-1,助手收入!$R$99*100+(助手收入!$S$99-1)*6+6)</f>
        <v>-1</v>
      </c>
    </row>
    <row r="1467" customFormat="false" ht="23.25" hidden="false" customHeight="true" outlineLevel="0" collapsed="false">
      <c r="B1467" s="72" t="str">
        <f aca="false">IF(助手收入!$T$99=1,"合计：","")</f>
        <v/>
      </c>
      <c r="C1467" s="73" t="str">
        <f aca="false">IF(助手收入!$T$99=1,$F1467,"")</f>
        <v/>
      </c>
      <c r="D1467" s="74"/>
      <c r="E1467" s="74"/>
      <c r="F1467" s="75" t="str">
        <f aca="false">IF(助手收入!$T$99=1,INDEX(助手收入!$N$2:$N$66,助手收入!$R$99),"")</f>
        <v/>
      </c>
      <c r="G1467" s="76" t="str">
        <f aca="false">IF(助手收入!$T$99=1,INDEX(助手收入!$O$2:$O$66,助手收入!$R$99),"")</f>
        <v/>
      </c>
      <c r="H1467" s="74"/>
      <c r="I1467" s="77"/>
    </row>
    <row r="1468" customFormat="false" ht="6" hidden="false" customHeight="true" outlineLevel="0" collapsed="false"/>
    <row r="1469" customFormat="false" ht="13.5" hidden="false" customHeight="false" outlineLevel="0" collapsed="false">
      <c r="B1469" s="78" t="str">
        <f aca="false">IF(助手收入!$R$99&lt;&gt;"","会计主管：","")</f>
        <v/>
      </c>
      <c r="D1469" s="78" t="str">
        <f aca="false">IF(助手收入!$R$99&lt;&gt;"","会计：","")</f>
        <v/>
      </c>
      <c r="E1469" s="78" t="str">
        <f aca="false">IF(助手收入!$R$99&lt;&gt;"","出纳：","")</f>
        <v/>
      </c>
      <c r="F1469" s="78" t="str">
        <f aca="false">IF(助手收入!$R$99&lt;&gt;"","复核：","")</f>
        <v/>
      </c>
      <c r="G1469" s="78" t="str">
        <f aca="false">IF(助手收入!$R$99&lt;&gt;"","制单：","")</f>
        <v/>
      </c>
    </row>
    <row r="1470" customFormat="false" ht="3" hidden="false" customHeight="true" outlineLevel="0" collapsed="false"/>
    <row r="1471" customFormat="false" ht="19.5" hidden="false" customHeight="true" outlineLevel="0" collapsed="false">
      <c r="B1471" s="53" t="str">
        <f aca="false">IF(助手收入!$R$100&lt;&gt;"","记  账  凭  证","")</f>
        <v/>
      </c>
      <c r="C1471" s="53"/>
      <c r="D1471" s="53"/>
      <c r="E1471" s="53"/>
      <c r="F1471" s="53"/>
      <c r="G1471" s="53"/>
      <c r="H1471" s="53"/>
      <c r="I1471" s="53"/>
    </row>
    <row r="1472" customFormat="false" ht="3" hidden="false" customHeight="true" outlineLevel="0" collapsed="false"/>
    <row r="1473" customFormat="false" ht="15" hidden="false" customHeight="true" outlineLevel="0" collapsed="false">
      <c r="C1473" s="56" t="str">
        <f aca="false">IF(助手收入!$R$100&lt;&gt;"",INDEX(助手收入!$B$2:$B$66,助手收入!$R$100),"")</f>
        <v/>
      </c>
      <c r="D1473" s="57" t="str">
        <f aca="false">IF(助手收入!$R$100&lt;&gt;"",参数!$B$2,"")</f>
        <v/>
      </c>
      <c r="E1473" s="57"/>
      <c r="F1473" s="58" t="str">
        <f aca="false">IF(助手收入!$R$100&lt;&gt;"",INDEX(助手收入!$C$2:$C$66,助手收入!$R$100)&amp;"  字第 "&amp;IF(参数!$B$9="是",INDEX(助手收入!$P$2:$P$66,助手收入!$R$100),"　　　　")&amp;" 号"&amp;IF(INDEX(助手收入!$L$2:$L$66,助手收入!$R$100)&gt;1,"  (共"&amp;INDEX(助手收入!$L$2:$L$66,助手收入!$R$100)&amp;"页 第"&amp;助手收入!$S$100&amp;"页)",""),"")</f>
        <v/>
      </c>
      <c r="G1473" s="58"/>
      <c r="H1473" s="58"/>
      <c r="I1473" s="58"/>
      <c r="M1473" s="79" t="str">
        <f aca="false">IF(助手收入!$R$100="","",助手收入!$Q$100)</f>
        <v/>
      </c>
      <c r="N1473" s="80" t="str">
        <f aca="false">IF(助手收入!$R$100="","",INDEX(助手收入!$P$2:$P$66,助手收入!$R$100))</f>
        <v/>
      </c>
      <c r="O1473" s="55" t="str">
        <f aca="false">IF(助手收入!$R$100="","",INDEX(助手收入!$C$2:$C$66,助手收入!$R$100)&amp;"  字第 "&amp;INDEX(助手收入!$P$2:$P$66,助手收入!$R$100)&amp;" 号"&amp;IF(INDEX(助手收入!$L$2:$L$66,助手收入!$R$100)&gt;1,"  (共"&amp;INDEX(助手收入!$L$2:$L$66,助手收入!$R$100)&amp;"页 第"&amp;助手收入!$S$100&amp;"页)",""))</f>
        <v/>
      </c>
    </row>
    <row r="1474" customFormat="false" ht="12.75" hidden="false" customHeight="true" outlineLevel="0" collapsed="false">
      <c r="B1474" s="61" t="str">
        <f aca="false">IF(助手收入!$R$100&lt;&gt;"","摘　　要","")</f>
        <v/>
      </c>
      <c r="C1474" s="61"/>
      <c r="D1474" s="62" t="str">
        <f aca="false">IF(助手收入!$R$100&lt;&gt;"","科　　　　目","")</f>
        <v/>
      </c>
      <c r="E1474" s="62"/>
      <c r="F1474" s="61" t="str">
        <f aca="false">IF(助手收入!$R$100&lt;&gt;"","借 方 金 额","")</f>
        <v/>
      </c>
      <c r="G1474" s="62" t="str">
        <f aca="false">IF(助手收入!$R$100&lt;&gt;"","贷 方 金 额","")</f>
        <v/>
      </c>
      <c r="H1474" s="63" t="str">
        <f aca="false">IF(助手收入!$R$100&lt;&gt;"","√","")</f>
        <v/>
      </c>
      <c r="I1474" s="64" t="str">
        <f aca="false">IF(助手收入!$R$100&lt;&gt;"","附单据  张","")</f>
        <v/>
      </c>
    </row>
    <row r="1475" customFormat="false" ht="12.75" hidden="false" customHeight="true" outlineLevel="0" collapsed="false">
      <c r="B1475" s="61"/>
      <c r="C1475" s="61"/>
      <c r="D1475" s="23" t="str">
        <f aca="false">IF(助手收入!$R$100&lt;&gt;"","总 账 科 目","")</f>
        <v/>
      </c>
      <c r="E1475" s="23" t="str">
        <f aca="false">IF(助手收入!$R$100&lt;&gt;"","明 细 科 目","")</f>
        <v/>
      </c>
      <c r="F1475" s="65"/>
      <c r="G1475" s="66"/>
      <c r="H1475" s="63"/>
      <c r="I1475" s="64"/>
    </row>
    <row r="1476" customFormat="false" ht="23.25" hidden="false" customHeight="true" outlineLevel="0" collapsed="false">
      <c r="B1476" s="67" t="str">
        <f aca="false">IFERROR(INDEX(分录收入!$M:$M,MATCH($L1476,分录收入!$L:$L,0)),"")</f>
        <v/>
      </c>
      <c r="C1476" s="67"/>
      <c r="D1476" s="23" t="str">
        <f aca="false">IFERROR(INDEX(分录收入!$E:$E,MATCH($L1476,分录收入!$L:$L,0)),"")</f>
        <v/>
      </c>
      <c r="E1476" s="23" t="str">
        <f aca="false">IFERROR(INDEX(分录收入!$F:$F,MATCH($L1476,分录收入!$L:$L,0)),"")</f>
        <v/>
      </c>
      <c r="F1476" s="68" t="str">
        <f aca="false">IFERROR(INDEX(分录收入!$H:$H,MATCH($L1476,分录收入!$L:$L,0)),"")</f>
        <v/>
      </c>
      <c r="G1476" s="69" t="str">
        <f aca="false">IFERROR(INDEX(分录收入!$I:$I,MATCH($L1476,分录收入!$L:$L,0)),"")</f>
        <v/>
      </c>
      <c r="H1476" s="23"/>
      <c r="I1476" s="70"/>
      <c r="L1476" s="71" t="n">
        <f aca="false">IF(助手收入!$R$100="",-1,助手收入!$R$100*100+(助手收入!$S$100-1)*6+1)</f>
        <v>-1</v>
      </c>
    </row>
    <row r="1477" customFormat="false" ht="23.25" hidden="false" customHeight="true" outlineLevel="0" collapsed="false">
      <c r="B1477" s="67" t="str">
        <f aca="false">""</f>
        <v/>
      </c>
      <c r="C1477" s="67"/>
      <c r="D1477" s="23" t="str">
        <f aca="false">IFERROR(INDEX(分录收入!$E:$E,MATCH($L1477,分录收入!$L:$L,0)),"")</f>
        <v/>
      </c>
      <c r="E1477" s="23" t="str">
        <f aca="false">IFERROR(INDEX(分录收入!$F:$F,MATCH($L1477,分录收入!$L:$L,0)),"")</f>
        <v/>
      </c>
      <c r="F1477" s="68" t="str">
        <f aca="false">IFERROR(INDEX(分录收入!$H:$H,MATCH($L1477,分录收入!$L:$L,0)),"")</f>
        <v/>
      </c>
      <c r="G1477" s="69" t="str">
        <f aca="false">IFERROR(INDEX(分录收入!$I:$I,MATCH($L1477,分录收入!$L:$L,0)),"")</f>
        <v/>
      </c>
      <c r="H1477" s="23"/>
      <c r="I1477" s="70"/>
      <c r="L1477" s="71" t="n">
        <f aca="false">IF(助手收入!$R$100="",-1,助手收入!$R$100*100+(助手收入!$S$100-1)*6+2)</f>
        <v>-1</v>
      </c>
    </row>
    <row r="1478" customFormat="false" ht="23.25" hidden="false" customHeight="true" outlineLevel="0" collapsed="false">
      <c r="B1478" s="67" t="str">
        <f aca="false">""</f>
        <v/>
      </c>
      <c r="C1478" s="67"/>
      <c r="D1478" s="23" t="str">
        <f aca="false">IFERROR(INDEX(分录收入!$E:$E,MATCH($L1478,分录收入!$L:$L,0)),"")</f>
        <v/>
      </c>
      <c r="E1478" s="23" t="str">
        <f aca="false">IFERROR(INDEX(分录收入!$F:$F,MATCH($L1478,分录收入!$L:$L,0)),"")</f>
        <v/>
      </c>
      <c r="F1478" s="68" t="str">
        <f aca="false">IFERROR(INDEX(分录收入!$H:$H,MATCH($L1478,分录收入!$L:$L,0)),"")</f>
        <v/>
      </c>
      <c r="G1478" s="69" t="str">
        <f aca="false">IFERROR(INDEX(分录收入!$I:$I,MATCH($L1478,分录收入!$L:$L,0)),"")</f>
        <v/>
      </c>
      <c r="H1478" s="23"/>
      <c r="I1478" s="70"/>
      <c r="L1478" s="71" t="n">
        <f aca="false">IF(助手收入!$R$100="",-1,助手收入!$R$100*100+(助手收入!$S$100-1)*6+3)</f>
        <v>-1</v>
      </c>
    </row>
    <row r="1479" customFormat="false" ht="23.25" hidden="false" customHeight="true" outlineLevel="0" collapsed="false">
      <c r="B1479" s="67" t="str">
        <f aca="false">""</f>
        <v/>
      </c>
      <c r="C1479" s="67"/>
      <c r="D1479" s="23" t="str">
        <f aca="false">IFERROR(INDEX(分录收入!$E:$E,MATCH($L1479,分录收入!$L:$L,0)),"")</f>
        <v/>
      </c>
      <c r="E1479" s="23" t="str">
        <f aca="false">IFERROR(INDEX(分录收入!$F:$F,MATCH($L1479,分录收入!$L:$L,0)),"")</f>
        <v/>
      </c>
      <c r="F1479" s="68" t="str">
        <f aca="false">IFERROR(INDEX(分录收入!$H:$H,MATCH($L1479,分录收入!$L:$L,0)),"")</f>
        <v/>
      </c>
      <c r="G1479" s="69" t="str">
        <f aca="false">IFERROR(INDEX(分录收入!$I:$I,MATCH($L1479,分录收入!$L:$L,0)),"")</f>
        <v/>
      </c>
      <c r="H1479" s="23"/>
      <c r="I1479" s="70"/>
      <c r="L1479" s="71" t="n">
        <f aca="false">IF(助手收入!$R$100="",-1,助手收入!$R$100*100+(助手收入!$S$100-1)*6+4)</f>
        <v>-1</v>
      </c>
    </row>
    <row r="1480" customFormat="false" ht="23.25" hidden="false" customHeight="true" outlineLevel="0" collapsed="false">
      <c r="B1480" s="67" t="str">
        <f aca="false">""</f>
        <v/>
      </c>
      <c r="C1480" s="67"/>
      <c r="D1480" s="23" t="str">
        <f aca="false">IFERROR(INDEX(分录收入!$E:$E,MATCH($L1480,分录收入!$L:$L,0)),"")</f>
        <v/>
      </c>
      <c r="E1480" s="23" t="str">
        <f aca="false">IFERROR(INDEX(分录收入!$F:$F,MATCH($L1480,分录收入!$L:$L,0)),"")</f>
        <v/>
      </c>
      <c r="F1480" s="68" t="str">
        <f aca="false">IFERROR(INDEX(分录收入!$H:$H,MATCH($L1480,分录收入!$L:$L,0)),"")</f>
        <v/>
      </c>
      <c r="G1480" s="69" t="str">
        <f aca="false">IFERROR(INDEX(分录收入!$I:$I,MATCH($L1480,分录收入!$L:$L,0)),"")</f>
        <v/>
      </c>
      <c r="H1480" s="23"/>
      <c r="I1480" s="70"/>
      <c r="L1480" s="71" t="n">
        <f aca="false">IF(助手收入!$R$100="",-1,助手收入!$R$100*100+(助手收入!$S$100-1)*6+5)</f>
        <v>-1</v>
      </c>
    </row>
    <row r="1481" customFormat="false" ht="23.25" hidden="false" customHeight="true" outlineLevel="0" collapsed="false">
      <c r="B1481" s="67" t="str">
        <f aca="false">""</f>
        <v/>
      </c>
      <c r="C1481" s="67"/>
      <c r="D1481" s="23" t="str">
        <f aca="false">IFERROR(INDEX(分录收入!$E:$E,MATCH($L1481,分录收入!$L:$L,0)),"")</f>
        <v/>
      </c>
      <c r="E1481" s="23" t="str">
        <f aca="false">IFERROR(INDEX(分录收入!$F:$F,MATCH($L1481,分录收入!$L:$L,0)),"")</f>
        <v/>
      </c>
      <c r="F1481" s="68" t="str">
        <f aca="false">IFERROR(INDEX(分录收入!$H:$H,MATCH($L1481,分录收入!$L:$L,0)),"")</f>
        <v/>
      </c>
      <c r="G1481" s="69" t="str">
        <f aca="false">IFERROR(INDEX(分录收入!$I:$I,MATCH($L1481,分录收入!$L:$L,0)),"")</f>
        <v/>
      </c>
      <c r="H1481" s="23"/>
      <c r="I1481" s="70"/>
      <c r="L1481" s="71" t="n">
        <f aca="false">IF(助手收入!$R$100="",-1,助手收入!$R$100*100+(助手收入!$S$100-1)*6+6)</f>
        <v>-1</v>
      </c>
    </row>
    <row r="1482" customFormat="false" ht="23.25" hidden="false" customHeight="true" outlineLevel="0" collapsed="false">
      <c r="B1482" s="72" t="str">
        <f aca="false">IF(助手收入!$T$100=1,"合计：","")</f>
        <v/>
      </c>
      <c r="C1482" s="73" t="str">
        <f aca="false">IF(助手收入!$T$100=1,$F1482,"")</f>
        <v/>
      </c>
      <c r="D1482" s="74"/>
      <c r="E1482" s="74"/>
      <c r="F1482" s="75" t="str">
        <f aca="false">IF(助手收入!$T$100=1,INDEX(助手收入!$N$2:$N$66,助手收入!$R$100),"")</f>
        <v/>
      </c>
      <c r="G1482" s="76" t="str">
        <f aca="false">IF(助手收入!$T$100=1,INDEX(助手收入!$O$2:$O$66,助手收入!$R$100),"")</f>
        <v/>
      </c>
      <c r="H1482" s="74"/>
      <c r="I1482" s="77"/>
    </row>
    <row r="1483" customFormat="false" ht="6" hidden="false" customHeight="true" outlineLevel="0" collapsed="false"/>
    <row r="1484" customFormat="false" ht="13.5" hidden="false" customHeight="false" outlineLevel="0" collapsed="false">
      <c r="B1484" s="78" t="str">
        <f aca="false">IF(助手收入!$R$100&lt;&gt;"","会计主管：","")</f>
        <v/>
      </c>
      <c r="D1484" s="78" t="str">
        <f aca="false">IF(助手收入!$R$100&lt;&gt;"","会计：","")</f>
        <v/>
      </c>
      <c r="E1484" s="78" t="str">
        <f aca="false">IF(助手收入!$R$100&lt;&gt;"","出纳：","")</f>
        <v/>
      </c>
      <c r="F1484" s="78" t="str">
        <f aca="false">IF(助手收入!$R$100&lt;&gt;"","复核：","")</f>
        <v/>
      </c>
      <c r="G1484" s="78" t="str">
        <f aca="false">IF(助手收入!$R$100&lt;&gt;"","制单：","")</f>
        <v/>
      </c>
    </row>
    <row r="1485" customFormat="false" ht="3" hidden="false" customHeight="true" outlineLevel="0" collapsed="false"/>
    <row r="1486" customFormat="false" ht="19.5" hidden="false" customHeight="true" outlineLevel="0" collapsed="false">
      <c r="B1486" s="53" t="str">
        <f aca="false">IF(助手收入!$R$101&lt;&gt;"","记  账  凭  证","")</f>
        <v/>
      </c>
      <c r="C1486" s="53"/>
      <c r="D1486" s="53"/>
      <c r="E1486" s="53"/>
      <c r="F1486" s="53"/>
      <c r="G1486" s="53"/>
      <c r="H1486" s="53"/>
      <c r="I1486" s="53"/>
    </row>
    <row r="1487" customFormat="false" ht="3" hidden="false" customHeight="true" outlineLevel="0" collapsed="false"/>
    <row r="1488" customFormat="false" ht="15" hidden="false" customHeight="true" outlineLevel="0" collapsed="false">
      <c r="C1488" s="56" t="str">
        <f aca="false">IF(助手收入!$R$101&lt;&gt;"",INDEX(助手收入!$B$2:$B$66,助手收入!$R$101),"")</f>
        <v/>
      </c>
      <c r="D1488" s="57" t="str">
        <f aca="false">IF(助手收入!$R$101&lt;&gt;"",参数!$B$2,"")</f>
        <v/>
      </c>
      <c r="E1488" s="57"/>
      <c r="F1488" s="58" t="str">
        <f aca="false">IF(助手收入!$R$101&lt;&gt;"",INDEX(助手收入!$C$2:$C$66,助手收入!$R$101)&amp;"  字第 "&amp;IF(参数!$B$9="是",INDEX(助手收入!$P$2:$P$66,助手收入!$R$101),"　　　　")&amp;" 号"&amp;IF(INDEX(助手收入!$L$2:$L$66,助手收入!$R$101)&gt;1,"  (共"&amp;INDEX(助手收入!$L$2:$L$66,助手收入!$R$101)&amp;"页 第"&amp;助手收入!$S$101&amp;"页)",""),"")</f>
        <v/>
      </c>
      <c r="G1488" s="58"/>
      <c r="H1488" s="58"/>
      <c r="I1488" s="58"/>
      <c r="M1488" s="79" t="str">
        <f aca="false">IF(助手收入!$R$101="","",助手收入!$Q$101)</f>
        <v/>
      </c>
      <c r="N1488" s="80" t="str">
        <f aca="false">IF(助手收入!$R$101="","",INDEX(助手收入!$P$2:$P$66,助手收入!$R$101))</f>
        <v/>
      </c>
      <c r="O1488" s="55" t="str">
        <f aca="false">IF(助手收入!$R$101="","",INDEX(助手收入!$C$2:$C$66,助手收入!$R$101)&amp;"  字第 "&amp;INDEX(助手收入!$P$2:$P$66,助手收入!$R$101)&amp;" 号"&amp;IF(INDEX(助手收入!$L$2:$L$66,助手收入!$R$101)&gt;1,"  (共"&amp;INDEX(助手收入!$L$2:$L$66,助手收入!$R$101)&amp;"页 第"&amp;助手收入!$S$101&amp;"页)",""))</f>
        <v/>
      </c>
    </row>
    <row r="1489" customFormat="false" ht="12.75" hidden="false" customHeight="true" outlineLevel="0" collapsed="false">
      <c r="B1489" s="61" t="str">
        <f aca="false">IF(助手收入!$R$101&lt;&gt;"","摘　　要","")</f>
        <v/>
      </c>
      <c r="C1489" s="61"/>
      <c r="D1489" s="62" t="str">
        <f aca="false">IF(助手收入!$R$101&lt;&gt;"","科　　　　目","")</f>
        <v/>
      </c>
      <c r="E1489" s="62"/>
      <c r="F1489" s="61" t="str">
        <f aca="false">IF(助手收入!$R$101&lt;&gt;"","借 方 金 额","")</f>
        <v/>
      </c>
      <c r="G1489" s="62" t="str">
        <f aca="false">IF(助手收入!$R$101&lt;&gt;"","贷 方 金 额","")</f>
        <v/>
      </c>
      <c r="H1489" s="63" t="str">
        <f aca="false">IF(助手收入!$R$101&lt;&gt;"","√","")</f>
        <v/>
      </c>
      <c r="I1489" s="64" t="str">
        <f aca="false">IF(助手收入!$R$101&lt;&gt;"","附单据  张","")</f>
        <v/>
      </c>
    </row>
    <row r="1490" customFormat="false" ht="12.75" hidden="false" customHeight="true" outlineLevel="0" collapsed="false">
      <c r="B1490" s="61"/>
      <c r="C1490" s="61"/>
      <c r="D1490" s="23" t="str">
        <f aca="false">IF(助手收入!$R$101&lt;&gt;"","总 账 科 目","")</f>
        <v/>
      </c>
      <c r="E1490" s="23" t="str">
        <f aca="false">IF(助手收入!$R$101&lt;&gt;"","明 细 科 目","")</f>
        <v/>
      </c>
      <c r="F1490" s="65"/>
      <c r="G1490" s="66"/>
      <c r="H1490" s="63"/>
      <c r="I1490" s="64"/>
    </row>
    <row r="1491" customFormat="false" ht="23.25" hidden="false" customHeight="true" outlineLevel="0" collapsed="false">
      <c r="B1491" s="67" t="str">
        <f aca="false">IFERROR(INDEX(分录收入!$M:$M,MATCH($L1491,分录收入!$L:$L,0)),"")</f>
        <v/>
      </c>
      <c r="C1491" s="67"/>
      <c r="D1491" s="23" t="str">
        <f aca="false">IFERROR(INDEX(分录收入!$E:$E,MATCH($L1491,分录收入!$L:$L,0)),"")</f>
        <v/>
      </c>
      <c r="E1491" s="23" t="str">
        <f aca="false">IFERROR(INDEX(分录收入!$F:$F,MATCH($L1491,分录收入!$L:$L,0)),"")</f>
        <v/>
      </c>
      <c r="F1491" s="68" t="str">
        <f aca="false">IFERROR(INDEX(分录收入!$H:$H,MATCH($L1491,分录收入!$L:$L,0)),"")</f>
        <v/>
      </c>
      <c r="G1491" s="69" t="str">
        <f aca="false">IFERROR(INDEX(分录收入!$I:$I,MATCH($L1491,分录收入!$L:$L,0)),"")</f>
        <v/>
      </c>
      <c r="H1491" s="23"/>
      <c r="I1491" s="70"/>
      <c r="L1491" s="71" t="n">
        <f aca="false">IF(助手收入!$R$101="",-1,助手收入!$R$101*100+(助手收入!$S$101-1)*6+1)</f>
        <v>-1</v>
      </c>
    </row>
    <row r="1492" customFormat="false" ht="23.25" hidden="false" customHeight="true" outlineLevel="0" collapsed="false">
      <c r="B1492" s="67" t="str">
        <f aca="false">""</f>
        <v/>
      </c>
      <c r="C1492" s="67"/>
      <c r="D1492" s="23" t="str">
        <f aca="false">IFERROR(INDEX(分录收入!$E:$E,MATCH($L1492,分录收入!$L:$L,0)),"")</f>
        <v/>
      </c>
      <c r="E1492" s="23" t="str">
        <f aca="false">IFERROR(INDEX(分录收入!$F:$F,MATCH($L1492,分录收入!$L:$L,0)),"")</f>
        <v/>
      </c>
      <c r="F1492" s="68" t="str">
        <f aca="false">IFERROR(INDEX(分录收入!$H:$H,MATCH($L1492,分录收入!$L:$L,0)),"")</f>
        <v/>
      </c>
      <c r="G1492" s="69" t="str">
        <f aca="false">IFERROR(INDEX(分录收入!$I:$I,MATCH($L1492,分录收入!$L:$L,0)),"")</f>
        <v/>
      </c>
      <c r="H1492" s="23"/>
      <c r="I1492" s="70"/>
      <c r="L1492" s="71" t="n">
        <f aca="false">IF(助手收入!$R$101="",-1,助手收入!$R$101*100+(助手收入!$S$101-1)*6+2)</f>
        <v>-1</v>
      </c>
    </row>
    <row r="1493" customFormat="false" ht="23.25" hidden="false" customHeight="true" outlineLevel="0" collapsed="false">
      <c r="B1493" s="67" t="str">
        <f aca="false">""</f>
        <v/>
      </c>
      <c r="C1493" s="67"/>
      <c r="D1493" s="23" t="str">
        <f aca="false">IFERROR(INDEX(分录收入!$E:$E,MATCH($L1493,分录收入!$L:$L,0)),"")</f>
        <v/>
      </c>
      <c r="E1493" s="23" t="str">
        <f aca="false">IFERROR(INDEX(分录收入!$F:$F,MATCH($L1493,分录收入!$L:$L,0)),"")</f>
        <v/>
      </c>
      <c r="F1493" s="68" t="str">
        <f aca="false">IFERROR(INDEX(分录收入!$H:$H,MATCH($L1493,分录收入!$L:$L,0)),"")</f>
        <v/>
      </c>
      <c r="G1493" s="69" t="str">
        <f aca="false">IFERROR(INDEX(分录收入!$I:$I,MATCH($L1493,分录收入!$L:$L,0)),"")</f>
        <v/>
      </c>
      <c r="H1493" s="23"/>
      <c r="I1493" s="70"/>
      <c r="L1493" s="71" t="n">
        <f aca="false">IF(助手收入!$R$101="",-1,助手收入!$R$101*100+(助手收入!$S$101-1)*6+3)</f>
        <v>-1</v>
      </c>
    </row>
    <row r="1494" customFormat="false" ht="23.25" hidden="false" customHeight="true" outlineLevel="0" collapsed="false">
      <c r="B1494" s="67" t="str">
        <f aca="false">""</f>
        <v/>
      </c>
      <c r="C1494" s="67"/>
      <c r="D1494" s="23" t="str">
        <f aca="false">IFERROR(INDEX(分录收入!$E:$E,MATCH($L1494,分录收入!$L:$L,0)),"")</f>
        <v/>
      </c>
      <c r="E1494" s="23" t="str">
        <f aca="false">IFERROR(INDEX(分录收入!$F:$F,MATCH($L1494,分录收入!$L:$L,0)),"")</f>
        <v/>
      </c>
      <c r="F1494" s="68" t="str">
        <f aca="false">IFERROR(INDEX(分录收入!$H:$H,MATCH($L1494,分录收入!$L:$L,0)),"")</f>
        <v/>
      </c>
      <c r="G1494" s="69" t="str">
        <f aca="false">IFERROR(INDEX(分录收入!$I:$I,MATCH($L1494,分录收入!$L:$L,0)),"")</f>
        <v/>
      </c>
      <c r="H1494" s="23"/>
      <c r="I1494" s="70"/>
      <c r="L1494" s="71" t="n">
        <f aca="false">IF(助手收入!$R$101="",-1,助手收入!$R$101*100+(助手收入!$S$101-1)*6+4)</f>
        <v>-1</v>
      </c>
    </row>
    <row r="1495" customFormat="false" ht="23.25" hidden="false" customHeight="true" outlineLevel="0" collapsed="false">
      <c r="B1495" s="67" t="str">
        <f aca="false">""</f>
        <v/>
      </c>
      <c r="C1495" s="67"/>
      <c r="D1495" s="23" t="str">
        <f aca="false">IFERROR(INDEX(分录收入!$E:$E,MATCH($L1495,分录收入!$L:$L,0)),"")</f>
        <v/>
      </c>
      <c r="E1495" s="23" t="str">
        <f aca="false">IFERROR(INDEX(分录收入!$F:$F,MATCH($L1495,分录收入!$L:$L,0)),"")</f>
        <v/>
      </c>
      <c r="F1495" s="68" t="str">
        <f aca="false">IFERROR(INDEX(分录收入!$H:$H,MATCH($L1495,分录收入!$L:$L,0)),"")</f>
        <v/>
      </c>
      <c r="G1495" s="69" t="str">
        <f aca="false">IFERROR(INDEX(分录收入!$I:$I,MATCH($L1495,分录收入!$L:$L,0)),"")</f>
        <v/>
      </c>
      <c r="H1495" s="23"/>
      <c r="I1495" s="70"/>
      <c r="L1495" s="71" t="n">
        <f aca="false">IF(助手收入!$R$101="",-1,助手收入!$R$101*100+(助手收入!$S$101-1)*6+5)</f>
        <v>-1</v>
      </c>
    </row>
    <row r="1496" customFormat="false" ht="23.25" hidden="false" customHeight="true" outlineLevel="0" collapsed="false">
      <c r="B1496" s="67" t="str">
        <f aca="false">""</f>
        <v/>
      </c>
      <c r="C1496" s="67"/>
      <c r="D1496" s="23" t="str">
        <f aca="false">IFERROR(INDEX(分录收入!$E:$E,MATCH($L1496,分录收入!$L:$L,0)),"")</f>
        <v/>
      </c>
      <c r="E1496" s="23" t="str">
        <f aca="false">IFERROR(INDEX(分录收入!$F:$F,MATCH($L1496,分录收入!$L:$L,0)),"")</f>
        <v/>
      </c>
      <c r="F1496" s="68" t="str">
        <f aca="false">IFERROR(INDEX(分录收入!$H:$H,MATCH($L1496,分录收入!$L:$L,0)),"")</f>
        <v/>
      </c>
      <c r="G1496" s="69" t="str">
        <f aca="false">IFERROR(INDEX(分录收入!$I:$I,MATCH($L1496,分录收入!$L:$L,0)),"")</f>
        <v/>
      </c>
      <c r="H1496" s="23"/>
      <c r="I1496" s="70"/>
      <c r="L1496" s="71" t="n">
        <f aca="false">IF(助手收入!$R$101="",-1,助手收入!$R$101*100+(助手收入!$S$101-1)*6+6)</f>
        <v>-1</v>
      </c>
    </row>
    <row r="1497" customFormat="false" ht="23.25" hidden="false" customHeight="true" outlineLevel="0" collapsed="false">
      <c r="B1497" s="72" t="str">
        <f aca="false">IF(助手收入!$T$101=1,"合计：","")</f>
        <v/>
      </c>
      <c r="C1497" s="73" t="str">
        <f aca="false">IF(助手收入!$T$101=1,$F1497,"")</f>
        <v/>
      </c>
      <c r="D1497" s="74"/>
      <c r="E1497" s="74"/>
      <c r="F1497" s="75" t="str">
        <f aca="false">IF(助手收入!$T$101=1,INDEX(助手收入!$N$2:$N$66,助手收入!$R$101),"")</f>
        <v/>
      </c>
      <c r="G1497" s="76" t="str">
        <f aca="false">IF(助手收入!$T$101=1,INDEX(助手收入!$O$2:$O$66,助手收入!$R$101),"")</f>
        <v/>
      </c>
      <c r="H1497" s="74"/>
      <c r="I1497" s="77"/>
    </row>
    <row r="1498" customFormat="false" ht="6" hidden="false" customHeight="true" outlineLevel="0" collapsed="false"/>
    <row r="1499" customFormat="false" ht="13.5" hidden="false" customHeight="false" outlineLevel="0" collapsed="false">
      <c r="B1499" s="78" t="str">
        <f aca="false">IF(助手收入!$R$101&lt;&gt;"","会计主管：","")</f>
        <v/>
      </c>
      <c r="D1499" s="78" t="str">
        <f aca="false">IF(助手收入!$R$101&lt;&gt;"","会计：","")</f>
        <v/>
      </c>
      <c r="E1499" s="78" t="str">
        <f aca="false">IF(助手收入!$R$101&lt;&gt;"","出纳：","")</f>
        <v/>
      </c>
      <c r="F1499" s="78" t="str">
        <f aca="false">IF(助手收入!$R$101&lt;&gt;"","复核：","")</f>
        <v/>
      </c>
      <c r="G1499" s="78" t="str">
        <f aca="false">IF(助手收入!$R$101&lt;&gt;"","制单：","")</f>
        <v/>
      </c>
    </row>
    <row r="1500" customFormat="false" ht="3" hidden="false" customHeight="true" outlineLevel="0" collapsed="false"/>
    <row r="1501" customFormat="false" ht="19.5" hidden="false" customHeight="true" outlineLevel="0" collapsed="false">
      <c r="B1501" s="53" t="str">
        <f aca="false">IF(助手收入!$R$102&lt;&gt;"","记  账  凭  证","")</f>
        <v/>
      </c>
      <c r="C1501" s="53"/>
      <c r="D1501" s="53"/>
      <c r="E1501" s="53"/>
      <c r="F1501" s="53"/>
      <c r="G1501" s="53"/>
      <c r="H1501" s="53"/>
      <c r="I1501" s="53"/>
    </row>
    <row r="1502" customFormat="false" ht="3" hidden="false" customHeight="true" outlineLevel="0" collapsed="false"/>
    <row r="1503" customFormat="false" ht="15" hidden="false" customHeight="true" outlineLevel="0" collapsed="false">
      <c r="C1503" s="56" t="str">
        <f aca="false">IF(助手收入!$R$102&lt;&gt;"",INDEX(助手收入!$B$2:$B$66,助手收入!$R$102),"")</f>
        <v/>
      </c>
      <c r="D1503" s="57" t="str">
        <f aca="false">IF(助手收入!$R$102&lt;&gt;"",参数!$B$2,"")</f>
        <v/>
      </c>
      <c r="E1503" s="57"/>
      <c r="F1503" s="58" t="str">
        <f aca="false">IF(助手收入!$R$102&lt;&gt;"",INDEX(助手收入!$C$2:$C$66,助手收入!$R$102)&amp;"  字第 "&amp;IF(参数!$B$9="是",INDEX(助手收入!$P$2:$P$66,助手收入!$R$102),"　　　　")&amp;" 号"&amp;IF(INDEX(助手收入!$L$2:$L$66,助手收入!$R$102)&gt;1,"  (共"&amp;INDEX(助手收入!$L$2:$L$66,助手收入!$R$102)&amp;"页 第"&amp;助手收入!$S$102&amp;"页)",""),"")</f>
        <v/>
      </c>
      <c r="G1503" s="58"/>
      <c r="H1503" s="58"/>
      <c r="I1503" s="58"/>
      <c r="M1503" s="79" t="str">
        <f aca="false">IF(助手收入!$R$102="","",助手收入!$Q$102)</f>
        <v/>
      </c>
      <c r="N1503" s="80" t="str">
        <f aca="false">IF(助手收入!$R$102="","",INDEX(助手收入!$P$2:$P$66,助手收入!$R$102))</f>
        <v/>
      </c>
      <c r="O1503" s="55" t="str">
        <f aca="false">IF(助手收入!$R$102="","",INDEX(助手收入!$C$2:$C$66,助手收入!$R$102)&amp;"  字第 "&amp;INDEX(助手收入!$P$2:$P$66,助手收入!$R$102)&amp;" 号"&amp;IF(INDEX(助手收入!$L$2:$L$66,助手收入!$R$102)&gt;1,"  (共"&amp;INDEX(助手收入!$L$2:$L$66,助手收入!$R$102)&amp;"页 第"&amp;助手收入!$S$102&amp;"页)",""))</f>
        <v/>
      </c>
    </row>
    <row r="1504" customFormat="false" ht="12.75" hidden="false" customHeight="true" outlineLevel="0" collapsed="false">
      <c r="B1504" s="61" t="str">
        <f aca="false">IF(助手收入!$R$102&lt;&gt;"","摘　　要","")</f>
        <v/>
      </c>
      <c r="C1504" s="61"/>
      <c r="D1504" s="62" t="str">
        <f aca="false">IF(助手收入!$R$102&lt;&gt;"","科　　　　目","")</f>
        <v/>
      </c>
      <c r="E1504" s="62"/>
      <c r="F1504" s="61" t="str">
        <f aca="false">IF(助手收入!$R$102&lt;&gt;"","借 方 金 额","")</f>
        <v/>
      </c>
      <c r="G1504" s="62" t="str">
        <f aca="false">IF(助手收入!$R$102&lt;&gt;"","贷 方 金 额","")</f>
        <v/>
      </c>
      <c r="H1504" s="63" t="str">
        <f aca="false">IF(助手收入!$R$102&lt;&gt;"","√","")</f>
        <v/>
      </c>
      <c r="I1504" s="64" t="str">
        <f aca="false">IF(助手收入!$R$102&lt;&gt;"","附单据  张","")</f>
        <v/>
      </c>
    </row>
    <row r="1505" customFormat="false" ht="12.75" hidden="false" customHeight="true" outlineLevel="0" collapsed="false">
      <c r="B1505" s="61"/>
      <c r="C1505" s="61"/>
      <c r="D1505" s="23" t="str">
        <f aca="false">IF(助手收入!$R$102&lt;&gt;"","总 账 科 目","")</f>
        <v/>
      </c>
      <c r="E1505" s="23" t="str">
        <f aca="false">IF(助手收入!$R$102&lt;&gt;"","明 细 科 目","")</f>
        <v/>
      </c>
      <c r="F1505" s="65"/>
      <c r="G1505" s="66"/>
      <c r="H1505" s="63"/>
      <c r="I1505" s="64"/>
    </row>
    <row r="1506" customFormat="false" ht="23.25" hidden="false" customHeight="true" outlineLevel="0" collapsed="false">
      <c r="B1506" s="67" t="str">
        <f aca="false">IFERROR(INDEX(分录收入!$M:$M,MATCH($L1506,分录收入!$L:$L,0)),"")</f>
        <v/>
      </c>
      <c r="C1506" s="67"/>
      <c r="D1506" s="23" t="str">
        <f aca="false">IFERROR(INDEX(分录收入!$E:$E,MATCH($L1506,分录收入!$L:$L,0)),"")</f>
        <v/>
      </c>
      <c r="E1506" s="23" t="str">
        <f aca="false">IFERROR(INDEX(分录收入!$F:$F,MATCH($L1506,分录收入!$L:$L,0)),"")</f>
        <v/>
      </c>
      <c r="F1506" s="68" t="str">
        <f aca="false">IFERROR(INDEX(分录收入!$H:$H,MATCH($L1506,分录收入!$L:$L,0)),"")</f>
        <v/>
      </c>
      <c r="G1506" s="69" t="str">
        <f aca="false">IFERROR(INDEX(分录收入!$I:$I,MATCH($L1506,分录收入!$L:$L,0)),"")</f>
        <v/>
      </c>
      <c r="H1506" s="23"/>
      <c r="I1506" s="70"/>
      <c r="L1506" s="71" t="n">
        <f aca="false">IF(助手收入!$R$102="",-1,助手收入!$R$102*100+(助手收入!$S$102-1)*6+1)</f>
        <v>-1</v>
      </c>
    </row>
    <row r="1507" customFormat="false" ht="23.25" hidden="false" customHeight="true" outlineLevel="0" collapsed="false">
      <c r="B1507" s="67" t="str">
        <f aca="false">""</f>
        <v/>
      </c>
      <c r="C1507" s="67"/>
      <c r="D1507" s="23" t="str">
        <f aca="false">IFERROR(INDEX(分录收入!$E:$E,MATCH($L1507,分录收入!$L:$L,0)),"")</f>
        <v/>
      </c>
      <c r="E1507" s="23" t="str">
        <f aca="false">IFERROR(INDEX(分录收入!$F:$F,MATCH($L1507,分录收入!$L:$L,0)),"")</f>
        <v/>
      </c>
      <c r="F1507" s="68" t="str">
        <f aca="false">IFERROR(INDEX(分录收入!$H:$H,MATCH($L1507,分录收入!$L:$L,0)),"")</f>
        <v/>
      </c>
      <c r="G1507" s="69" t="str">
        <f aca="false">IFERROR(INDEX(分录收入!$I:$I,MATCH($L1507,分录收入!$L:$L,0)),"")</f>
        <v/>
      </c>
      <c r="H1507" s="23"/>
      <c r="I1507" s="70"/>
      <c r="L1507" s="71" t="n">
        <f aca="false">IF(助手收入!$R$102="",-1,助手收入!$R$102*100+(助手收入!$S$102-1)*6+2)</f>
        <v>-1</v>
      </c>
    </row>
    <row r="1508" customFormat="false" ht="23.25" hidden="false" customHeight="true" outlineLevel="0" collapsed="false">
      <c r="B1508" s="67" t="str">
        <f aca="false">""</f>
        <v/>
      </c>
      <c r="C1508" s="67"/>
      <c r="D1508" s="23" t="str">
        <f aca="false">IFERROR(INDEX(分录收入!$E:$E,MATCH($L1508,分录收入!$L:$L,0)),"")</f>
        <v/>
      </c>
      <c r="E1508" s="23" t="str">
        <f aca="false">IFERROR(INDEX(分录收入!$F:$F,MATCH($L1508,分录收入!$L:$L,0)),"")</f>
        <v/>
      </c>
      <c r="F1508" s="68" t="str">
        <f aca="false">IFERROR(INDEX(分录收入!$H:$H,MATCH($L1508,分录收入!$L:$L,0)),"")</f>
        <v/>
      </c>
      <c r="G1508" s="69" t="str">
        <f aca="false">IFERROR(INDEX(分录收入!$I:$I,MATCH($L1508,分录收入!$L:$L,0)),"")</f>
        <v/>
      </c>
      <c r="H1508" s="23"/>
      <c r="I1508" s="70"/>
      <c r="L1508" s="71" t="n">
        <f aca="false">IF(助手收入!$R$102="",-1,助手收入!$R$102*100+(助手收入!$S$102-1)*6+3)</f>
        <v>-1</v>
      </c>
    </row>
    <row r="1509" customFormat="false" ht="23.25" hidden="false" customHeight="true" outlineLevel="0" collapsed="false">
      <c r="B1509" s="67" t="str">
        <f aca="false">""</f>
        <v/>
      </c>
      <c r="C1509" s="67"/>
      <c r="D1509" s="23" t="str">
        <f aca="false">IFERROR(INDEX(分录收入!$E:$E,MATCH($L1509,分录收入!$L:$L,0)),"")</f>
        <v/>
      </c>
      <c r="E1509" s="23" t="str">
        <f aca="false">IFERROR(INDEX(分录收入!$F:$F,MATCH($L1509,分录收入!$L:$L,0)),"")</f>
        <v/>
      </c>
      <c r="F1509" s="68" t="str">
        <f aca="false">IFERROR(INDEX(分录收入!$H:$H,MATCH($L1509,分录收入!$L:$L,0)),"")</f>
        <v/>
      </c>
      <c r="G1509" s="69" t="str">
        <f aca="false">IFERROR(INDEX(分录收入!$I:$I,MATCH($L1509,分录收入!$L:$L,0)),"")</f>
        <v/>
      </c>
      <c r="H1509" s="23"/>
      <c r="I1509" s="70"/>
      <c r="L1509" s="71" t="n">
        <f aca="false">IF(助手收入!$R$102="",-1,助手收入!$R$102*100+(助手收入!$S$102-1)*6+4)</f>
        <v>-1</v>
      </c>
    </row>
    <row r="1510" customFormat="false" ht="23.25" hidden="false" customHeight="true" outlineLevel="0" collapsed="false">
      <c r="B1510" s="67" t="str">
        <f aca="false">""</f>
        <v/>
      </c>
      <c r="C1510" s="67"/>
      <c r="D1510" s="23" t="str">
        <f aca="false">IFERROR(INDEX(分录收入!$E:$E,MATCH($L1510,分录收入!$L:$L,0)),"")</f>
        <v/>
      </c>
      <c r="E1510" s="23" t="str">
        <f aca="false">IFERROR(INDEX(分录收入!$F:$F,MATCH($L1510,分录收入!$L:$L,0)),"")</f>
        <v/>
      </c>
      <c r="F1510" s="68" t="str">
        <f aca="false">IFERROR(INDEX(分录收入!$H:$H,MATCH($L1510,分录收入!$L:$L,0)),"")</f>
        <v/>
      </c>
      <c r="G1510" s="69" t="str">
        <f aca="false">IFERROR(INDEX(分录收入!$I:$I,MATCH($L1510,分录收入!$L:$L,0)),"")</f>
        <v/>
      </c>
      <c r="H1510" s="23"/>
      <c r="I1510" s="70"/>
      <c r="L1510" s="71" t="n">
        <f aca="false">IF(助手收入!$R$102="",-1,助手收入!$R$102*100+(助手收入!$S$102-1)*6+5)</f>
        <v>-1</v>
      </c>
    </row>
    <row r="1511" customFormat="false" ht="23.25" hidden="false" customHeight="true" outlineLevel="0" collapsed="false">
      <c r="B1511" s="67" t="str">
        <f aca="false">""</f>
        <v/>
      </c>
      <c r="C1511" s="67"/>
      <c r="D1511" s="23" t="str">
        <f aca="false">IFERROR(INDEX(分录收入!$E:$E,MATCH($L1511,分录收入!$L:$L,0)),"")</f>
        <v/>
      </c>
      <c r="E1511" s="23" t="str">
        <f aca="false">IFERROR(INDEX(分录收入!$F:$F,MATCH($L1511,分录收入!$L:$L,0)),"")</f>
        <v/>
      </c>
      <c r="F1511" s="68" t="str">
        <f aca="false">IFERROR(INDEX(分录收入!$H:$H,MATCH($L1511,分录收入!$L:$L,0)),"")</f>
        <v/>
      </c>
      <c r="G1511" s="69" t="str">
        <f aca="false">IFERROR(INDEX(分录收入!$I:$I,MATCH($L1511,分录收入!$L:$L,0)),"")</f>
        <v/>
      </c>
      <c r="H1511" s="23"/>
      <c r="I1511" s="70"/>
      <c r="L1511" s="71" t="n">
        <f aca="false">IF(助手收入!$R$102="",-1,助手收入!$R$102*100+(助手收入!$S$102-1)*6+6)</f>
        <v>-1</v>
      </c>
    </row>
    <row r="1512" customFormat="false" ht="23.25" hidden="false" customHeight="true" outlineLevel="0" collapsed="false">
      <c r="B1512" s="72" t="str">
        <f aca="false">IF(助手收入!$T$102=1,"合计：","")</f>
        <v/>
      </c>
      <c r="C1512" s="73" t="str">
        <f aca="false">IF(助手收入!$T$102=1,$F1512,"")</f>
        <v/>
      </c>
      <c r="D1512" s="74"/>
      <c r="E1512" s="74"/>
      <c r="F1512" s="75" t="str">
        <f aca="false">IF(助手收入!$T$102=1,INDEX(助手收入!$N$2:$N$66,助手收入!$R$102),"")</f>
        <v/>
      </c>
      <c r="G1512" s="76" t="str">
        <f aca="false">IF(助手收入!$T$102=1,INDEX(助手收入!$O$2:$O$66,助手收入!$R$102),"")</f>
        <v/>
      </c>
      <c r="H1512" s="74"/>
      <c r="I1512" s="77"/>
    </row>
    <row r="1513" customFormat="false" ht="6" hidden="false" customHeight="true" outlineLevel="0" collapsed="false"/>
    <row r="1514" customFormat="false" ht="13.5" hidden="false" customHeight="false" outlineLevel="0" collapsed="false">
      <c r="B1514" s="78" t="str">
        <f aca="false">IF(助手收入!$R$102&lt;&gt;"","会计主管：","")</f>
        <v/>
      </c>
      <c r="D1514" s="78" t="str">
        <f aca="false">IF(助手收入!$R$102&lt;&gt;"","会计：","")</f>
        <v/>
      </c>
      <c r="E1514" s="78" t="str">
        <f aca="false">IF(助手收入!$R$102&lt;&gt;"","出纳：","")</f>
        <v/>
      </c>
      <c r="F1514" s="78" t="str">
        <f aca="false">IF(助手收入!$R$102&lt;&gt;"","复核：","")</f>
        <v/>
      </c>
      <c r="G1514" s="78" t="str">
        <f aca="false">IF(助手收入!$R$102&lt;&gt;"","制单：","")</f>
        <v/>
      </c>
    </row>
    <row r="1515" customFormat="false" ht="3" hidden="false" customHeight="true" outlineLevel="0" collapsed="false"/>
    <row r="1516" customFormat="false" ht="19.5" hidden="false" customHeight="true" outlineLevel="0" collapsed="false">
      <c r="B1516" s="53" t="str">
        <f aca="false">IF(助手收入!$R$103&lt;&gt;"","记  账  凭  证","")</f>
        <v/>
      </c>
      <c r="C1516" s="53"/>
      <c r="D1516" s="53"/>
      <c r="E1516" s="53"/>
      <c r="F1516" s="53"/>
      <c r="G1516" s="53"/>
      <c r="H1516" s="53"/>
      <c r="I1516" s="53"/>
    </row>
    <row r="1517" customFormat="false" ht="3" hidden="false" customHeight="true" outlineLevel="0" collapsed="false"/>
    <row r="1518" customFormat="false" ht="15" hidden="false" customHeight="true" outlineLevel="0" collapsed="false">
      <c r="C1518" s="56" t="str">
        <f aca="false">IF(助手收入!$R$103&lt;&gt;"",INDEX(助手收入!$B$2:$B$66,助手收入!$R$103),"")</f>
        <v/>
      </c>
      <c r="D1518" s="57" t="str">
        <f aca="false">IF(助手收入!$R$103&lt;&gt;"",参数!$B$2,"")</f>
        <v/>
      </c>
      <c r="E1518" s="57"/>
      <c r="F1518" s="58" t="str">
        <f aca="false">IF(助手收入!$R$103&lt;&gt;"",INDEX(助手收入!$C$2:$C$66,助手收入!$R$103)&amp;"  字第 "&amp;IF(参数!$B$9="是",INDEX(助手收入!$P$2:$P$66,助手收入!$R$103),"　　　　")&amp;" 号"&amp;IF(INDEX(助手收入!$L$2:$L$66,助手收入!$R$103)&gt;1,"  (共"&amp;INDEX(助手收入!$L$2:$L$66,助手收入!$R$103)&amp;"页 第"&amp;助手收入!$S$103&amp;"页)",""),"")</f>
        <v/>
      </c>
      <c r="G1518" s="58"/>
      <c r="H1518" s="58"/>
      <c r="I1518" s="58"/>
      <c r="M1518" s="79" t="str">
        <f aca="false">IF(助手收入!$R$103="","",助手收入!$Q$103)</f>
        <v/>
      </c>
      <c r="N1518" s="80" t="str">
        <f aca="false">IF(助手收入!$R$103="","",INDEX(助手收入!$P$2:$P$66,助手收入!$R$103))</f>
        <v/>
      </c>
      <c r="O1518" s="55" t="str">
        <f aca="false">IF(助手收入!$R$103="","",INDEX(助手收入!$C$2:$C$66,助手收入!$R$103)&amp;"  字第 "&amp;INDEX(助手收入!$P$2:$P$66,助手收入!$R$103)&amp;" 号"&amp;IF(INDEX(助手收入!$L$2:$L$66,助手收入!$R$103)&gt;1,"  (共"&amp;INDEX(助手收入!$L$2:$L$66,助手收入!$R$103)&amp;"页 第"&amp;助手收入!$S$103&amp;"页)",""))</f>
        <v/>
      </c>
    </row>
    <row r="1519" customFormat="false" ht="12.75" hidden="false" customHeight="true" outlineLevel="0" collapsed="false">
      <c r="B1519" s="61" t="str">
        <f aca="false">IF(助手收入!$R$103&lt;&gt;"","摘　　要","")</f>
        <v/>
      </c>
      <c r="C1519" s="61"/>
      <c r="D1519" s="62" t="str">
        <f aca="false">IF(助手收入!$R$103&lt;&gt;"","科　　　　目","")</f>
        <v/>
      </c>
      <c r="E1519" s="62"/>
      <c r="F1519" s="61" t="str">
        <f aca="false">IF(助手收入!$R$103&lt;&gt;"","借 方 金 额","")</f>
        <v/>
      </c>
      <c r="G1519" s="62" t="str">
        <f aca="false">IF(助手收入!$R$103&lt;&gt;"","贷 方 金 额","")</f>
        <v/>
      </c>
      <c r="H1519" s="63" t="str">
        <f aca="false">IF(助手收入!$R$103&lt;&gt;"","√","")</f>
        <v/>
      </c>
      <c r="I1519" s="64" t="str">
        <f aca="false">IF(助手收入!$R$103&lt;&gt;"","附单据  张","")</f>
        <v/>
      </c>
    </row>
    <row r="1520" customFormat="false" ht="12.75" hidden="false" customHeight="true" outlineLevel="0" collapsed="false">
      <c r="B1520" s="61"/>
      <c r="C1520" s="61"/>
      <c r="D1520" s="23" t="str">
        <f aca="false">IF(助手收入!$R$103&lt;&gt;"","总 账 科 目","")</f>
        <v/>
      </c>
      <c r="E1520" s="23" t="str">
        <f aca="false">IF(助手收入!$R$103&lt;&gt;"","明 细 科 目","")</f>
        <v/>
      </c>
      <c r="F1520" s="65"/>
      <c r="G1520" s="66"/>
      <c r="H1520" s="63"/>
      <c r="I1520" s="64"/>
    </row>
    <row r="1521" customFormat="false" ht="23.25" hidden="false" customHeight="true" outlineLevel="0" collapsed="false">
      <c r="B1521" s="67" t="str">
        <f aca="false">IFERROR(INDEX(分录收入!$M:$M,MATCH($L1521,分录收入!$L:$L,0)),"")</f>
        <v/>
      </c>
      <c r="C1521" s="67"/>
      <c r="D1521" s="23" t="str">
        <f aca="false">IFERROR(INDEX(分录收入!$E:$E,MATCH($L1521,分录收入!$L:$L,0)),"")</f>
        <v/>
      </c>
      <c r="E1521" s="23" t="str">
        <f aca="false">IFERROR(INDEX(分录收入!$F:$F,MATCH($L1521,分录收入!$L:$L,0)),"")</f>
        <v/>
      </c>
      <c r="F1521" s="68" t="str">
        <f aca="false">IFERROR(INDEX(分录收入!$H:$H,MATCH($L1521,分录收入!$L:$L,0)),"")</f>
        <v/>
      </c>
      <c r="G1521" s="69" t="str">
        <f aca="false">IFERROR(INDEX(分录收入!$I:$I,MATCH($L1521,分录收入!$L:$L,0)),"")</f>
        <v/>
      </c>
      <c r="H1521" s="23"/>
      <c r="I1521" s="70"/>
      <c r="L1521" s="71" t="n">
        <f aca="false">IF(助手收入!$R$103="",-1,助手收入!$R$103*100+(助手收入!$S$103-1)*6+1)</f>
        <v>-1</v>
      </c>
    </row>
    <row r="1522" customFormat="false" ht="23.25" hidden="false" customHeight="true" outlineLevel="0" collapsed="false">
      <c r="B1522" s="67" t="str">
        <f aca="false">""</f>
        <v/>
      </c>
      <c r="C1522" s="67"/>
      <c r="D1522" s="23" t="str">
        <f aca="false">IFERROR(INDEX(分录收入!$E:$E,MATCH($L1522,分录收入!$L:$L,0)),"")</f>
        <v/>
      </c>
      <c r="E1522" s="23" t="str">
        <f aca="false">IFERROR(INDEX(分录收入!$F:$F,MATCH($L1522,分录收入!$L:$L,0)),"")</f>
        <v/>
      </c>
      <c r="F1522" s="68" t="str">
        <f aca="false">IFERROR(INDEX(分录收入!$H:$H,MATCH($L1522,分录收入!$L:$L,0)),"")</f>
        <v/>
      </c>
      <c r="G1522" s="69" t="str">
        <f aca="false">IFERROR(INDEX(分录收入!$I:$I,MATCH($L1522,分录收入!$L:$L,0)),"")</f>
        <v/>
      </c>
      <c r="H1522" s="23"/>
      <c r="I1522" s="70"/>
      <c r="L1522" s="71" t="n">
        <f aca="false">IF(助手收入!$R$103="",-1,助手收入!$R$103*100+(助手收入!$S$103-1)*6+2)</f>
        <v>-1</v>
      </c>
    </row>
    <row r="1523" customFormat="false" ht="23.25" hidden="false" customHeight="true" outlineLevel="0" collapsed="false">
      <c r="B1523" s="67" t="str">
        <f aca="false">""</f>
        <v/>
      </c>
      <c r="C1523" s="67"/>
      <c r="D1523" s="23" t="str">
        <f aca="false">IFERROR(INDEX(分录收入!$E:$E,MATCH($L1523,分录收入!$L:$L,0)),"")</f>
        <v/>
      </c>
      <c r="E1523" s="23" t="str">
        <f aca="false">IFERROR(INDEX(分录收入!$F:$F,MATCH($L1523,分录收入!$L:$L,0)),"")</f>
        <v/>
      </c>
      <c r="F1523" s="68" t="str">
        <f aca="false">IFERROR(INDEX(分录收入!$H:$H,MATCH($L1523,分录收入!$L:$L,0)),"")</f>
        <v/>
      </c>
      <c r="G1523" s="69" t="str">
        <f aca="false">IFERROR(INDEX(分录收入!$I:$I,MATCH($L1523,分录收入!$L:$L,0)),"")</f>
        <v/>
      </c>
      <c r="H1523" s="23"/>
      <c r="I1523" s="70"/>
      <c r="L1523" s="71" t="n">
        <f aca="false">IF(助手收入!$R$103="",-1,助手收入!$R$103*100+(助手收入!$S$103-1)*6+3)</f>
        <v>-1</v>
      </c>
    </row>
    <row r="1524" customFormat="false" ht="23.25" hidden="false" customHeight="true" outlineLevel="0" collapsed="false">
      <c r="B1524" s="67" t="str">
        <f aca="false">""</f>
        <v/>
      </c>
      <c r="C1524" s="67"/>
      <c r="D1524" s="23" t="str">
        <f aca="false">IFERROR(INDEX(分录收入!$E:$E,MATCH($L1524,分录收入!$L:$L,0)),"")</f>
        <v/>
      </c>
      <c r="E1524" s="23" t="str">
        <f aca="false">IFERROR(INDEX(分录收入!$F:$F,MATCH($L1524,分录收入!$L:$L,0)),"")</f>
        <v/>
      </c>
      <c r="F1524" s="68" t="str">
        <f aca="false">IFERROR(INDEX(分录收入!$H:$H,MATCH($L1524,分录收入!$L:$L,0)),"")</f>
        <v/>
      </c>
      <c r="G1524" s="69" t="str">
        <f aca="false">IFERROR(INDEX(分录收入!$I:$I,MATCH($L1524,分录收入!$L:$L,0)),"")</f>
        <v/>
      </c>
      <c r="H1524" s="23"/>
      <c r="I1524" s="70"/>
      <c r="L1524" s="71" t="n">
        <f aca="false">IF(助手收入!$R$103="",-1,助手收入!$R$103*100+(助手收入!$S$103-1)*6+4)</f>
        <v>-1</v>
      </c>
    </row>
    <row r="1525" customFormat="false" ht="23.25" hidden="false" customHeight="true" outlineLevel="0" collapsed="false">
      <c r="B1525" s="67" t="str">
        <f aca="false">""</f>
        <v/>
      </c>
      <c r="C1525" s="67"/>
      <c r="D1525" s="23" t="str">
        <f aca="false">IFERROR(INDEX(分录收入!$E:$E,MATCH($L1525,分录收入!$L:$L,0)),"")</f>
        <v/>
      </c>
      <c r="E1525" s="23" t="str">
        <f aca="false">IFERROR(INDEX(分录收入!$F:$F,MATCH($L1525,分录收入!$L:$L,0)),"")</f>
        <v/>
      </c>
      <c r="F1525" s="68" t="str">
        <f aca="false">IFERROR(INDEX(分录收入!$H:$H,MATCH($L1525,分录收入!$L:$L,0)),"")</f>
        <v/>
      </c>
      <c r="G1525" s="69" t="str">
        <f aca="false">IFERROR(INDEX(分录收入!$I:$I,MATCH($L1525,分录收入!$L:$L,0)),"")</f>
        <v/>
      </c>
      <c r="H1525" s="23"/>
      <c r="I1525" s="70"/>
      <c r="L1525" s="71" t="n">
        <f aca="false">IF(助手收入!$R$103="",-1,助手收入!$R$103*100+(助手收入!$S$103-1)*6+5)</f>
        <v>-1</v>
      </c>
    </row>
    <row r="1526" customFormat="false" ht="23.25" hidden="false" customHeight="true" outlineLevel="0" collapsed="false">
      <c r="B1526" s="67" t="str">
        <f aca="false">""</f>
        <v/>
      </c>
      <c r="C1526" s="67"/>
      <c r="D1526" s="23" t="str">
        <f aca="false">IFERROR(INDEX(分录收入!$E:$E,MATCH($L1526,分录收入!$L:$L,0)),"")</f>
        <v/>
      </c>
      <c r="E1526" s="23" t="str">
        <f aca="false">IFERROR(INDEX(分录收入!$F:$F,MATCH($L1526,分录收入!$L:$L,0)),"")</f>
        <v/>
      </c>
      <c r="F1526" s="68" t="str">
        <f aca="false">IFERROR(INDEX(分录收入!$H:$H,MATCH($L1526,分录收入!$L:$L,0)),"")</f>
        <v/>
      </c>
      <c r="G1526" s="69" t="str">
        <f aca="false">IFERROR(INDEX(分录收入!$I:$I,MATCH($L1526,分录收入!$L:$L,0)),"")</f>
        <v/>
      </c>
      <c r="H1526" s="23"/>
      <c r="I1526" s="70"/>
      <c r="L1526" s="71" t="n">
        <f aca="false">IF(助手收入!$R$103="",-1,助手收入!$R$103*100+(助手收入!$S$103-1)*6+6)</f>
        <v>-1</v>
      </c>
    </row>
    <row r="1527" customFormat="false" ht="23.25" hidden="false" customHeight="true" outlineLevel="0" collapsed="false">
      <c r="B1527" s="72" t="str">
        <f aca="false">IF(助手收入!$T$103=1,"合计：","")</f>
        <v/>
      </c>
      <c r="C1527" s="73" t="str">
        <f aca="false">IF(助手收入!$T$103=1,$F1527,"")</f>
        <v/>
      </c>
      <c r="D1527" s="74"/>
      <c r="E1527" s="74"/>
      <c r="F1527" s="75" t="str">
        <f aca="false">IF(助手收入!$T$103=1,INDEX(助手收入!$N$2:$N$66,助手收入!$R$103),"")</f>
        <v/>
      </c>
      <c r="G1527" s="76" t="str">
        <f aca="false">IF(助手收入!$T$103=1,INDEX(助手收入!$O$2:$O$66,助手收入!$R$103),"")</f>
        <v/>
      </c>
      <c r="H1527" s="74"/>
      <c r="I1527" s="77"/>
    </row>
    <row r="1528" customFormat="false" ht="6" hidden="false" customHeight="true" outlineLevel="0" collapsed="false"/>
    <row r="1529" customFormat="false" ht="13.5" hidden="false" customHeight="false" outlineLevel="0" collapsed="false">
      <c r="B1529" s="78" t="str">
        <f aca="false">IF(助手收入!$R$103&lt;&gt;"","会计主管：","")</f>
        <v/>
      </c>
      <c r="D1529" s="78" t="str">
        <f aca="false">IF(助手收入!$R$103&lt;&gt;"","会计：","")</f>
        <v/>
      </c>
      <c r="E1529" s="78" t="str">
        <f aca="false">IF(助手收入!$R$103&lt;&gt;"","出纳：","")</f>
        <v/>
      </c>
      <c r="F1529" s="78" t="str">
        <f aca="false">IF(助手收入!$R$103&lt;&gt;"","复核：","")</f>
        <v/>
      </c>
      <c r="G1529" s="78" t="str">
        <f aca="false">IF(助手收入!$R$103&lt;&gt;"","制单：","")</f>
        <v/>
      </c>
    </row>
    <row r="1530" customFormat="false" ht="3" hidden="false" customHeight="true" outlineLevel="0" collapsed="false"/>
    <row r="1531" customFormat="false" ht="19.5" hidden="false" customHeight="true" outlineLevel="0" collapsed="false">
      <c r="B1531" s="53" t="str">
        <f aca="false">IF(助手收入!$R$104&lt;&gt;"","记  账  凭  证","")</f>
        <v/>
      </c>
      <c r="C1531" s="53"/>
      <c r="D1531" s="53"/>
      <c r="E1531" s="53"/>
      <c r="F1531" s="53"/>
      <c r="G1531" s="53"/>
      <c r="H1531" s="53"/>
      <c r="I1531" s="53"/>
    </row>
    <row r="1532" customFormat="false" ht="3" hidden="false" customHeight="true" outlineLevel="0" collapsed="false"/>
    <row r="1533" customFormat="false" ht="15" hidden="false" customHeight="true" outlineLevel="0" collapsed="false">
      <c r="C1533" s="56" t="str">
        <f aca="false">IF(助手收入!$R$104&lt;&gt;"",INDEX(助手收入!$B$2:$B$66,助手收入!$R$104),"")</f>
        <v/>
      </c>
      <c r="D1533" s="57" t="str">
        <f aca="false">IF(助手收入!$R$104&lt;&gt;"",参数!$B$2,"")</f>
        <v/>
      </c>
      <c r="E1533" s="57"/>
      <c r="F1533" s="58" t="str">
        <f aca="false">IF(助手收入!$R$104&lt;&gt;"",INDEX(助手收入!$C$2:$C$66,助手收入!$R$104)&amp;"  字第 "&amp;IF(参数!$B$9="是",INDEX(助手收入!$P$2:$P$66,助手收入!$R$104),"　　　　")&amp;" 号"&amp;IF(INDEX(助手收入!$L$2:$L$66,助手收入!$R$104)&gt;1,"  (共"&amp;INDEX(助手收入!$L$2:$L$66,助手收入!$R$104)&amp;"页 第"&amp;助手收入!$S$104&amp;"页)",""),"")</f>
        <v/>
      </c>
      <c r="G1533" s="58"/>
      <c r="H1533" s="58"/>
      <c r="I1533" s="58"/>
      <c r="M1533" s="79" t="str">
        <f aca="false">IF(助手收入!$R$104="","",助手收入!$Q$104)</f>
        <v/>
      </c>
      <c r="N1533" s="80" t="str">
        <f aca="false">IF(助手收入!$R$104="","",INDEX(助手收入!$P$2:$P$66,助手收入!$R$104))</f>
        <v/>
      </c>
      <c r="O1533" s="55" t="str">
        <f aca="false">IF(助手收入!$R$104="","",INDEX(助手收入!$C$2:$C$66,助手收入!$R$104)&amp;"  字第 "&amp;INDEX(助手收入!$P$2:$P$66,助手收入!$R$104)&amp;" 号"&amp;IF(INDEX(助手收入!$L$2:$L$66,助手收入!$R$104)&gt;1,"  (共"&amp;INDEX(助手收入!$L$2:$L$66,助手收入!$R$104)&amp;"页 第"&amp;助手收入!$S$104&amp;"页)",""))</f>
        <v/>
      </c>
    </row>
    <row r="1534" customFormat="false" ht="12.75" hidden="false" customHeight="true" outlineLevel="0" collapsed="false">
      <c r="B1534" s="61" t="str">
        <f aca="false">IF(助手收入!$R$104&lt;&gt;"","摘　　要","")</f>
        <v/>
      </c>
      <c r="C1534" s="61"/>
      <c r="D1534" s="62" t="str">
        <f aca="false">IF(助手收入!$R$104&lt;&gt;"","科　　　　目","")</f>
        <v/>
      </c>
      <c r="E1534" s="62"/>
      <c r="F1534" s="61" t="str">
        <f aca="false">IF(助手收入!$R$104&lt;&gt;"","借 方 金 额","")</f>
        <v/>
      </c>
      <c r="G1534" s="62" t="str">
        <f aca="false">IF(助手收入!$R$104&lt;&gt;"","贷 方 金 额","")</f>
        <v/>
      </c>
      <c r="H1534" s="63" t="str">
        <f aca="false">IF(助手收入!$R$104&lt;&gt;"","√","")</f>
        <v/>
      </c>
      <c r="I1534" s="64" t="str">
        <f aca="false">IF(助手收入!$R$104&lt;&gt;"","附单据  张","")</f>
        <v/>
      </c>
    </row>
    <row r="1535" customFormat="false" ht="12.75" hidden="false" customHeight="true" outlineLevel="0" collapsed="false">
      <c r="B1535" s="61"/>
      <c r="C1535" s="61"/>
      <c r="D1535" s="23" t="str">
        <f aca="false">IF(助手收入!$R$104&lt;&gt;"","总 账 科 目","")</f>
        <v/>
      </c>
      <c r="E1535" s="23" t="str">
        <f aca="false">IF(助手收入!$R$104&lt;&gt;"","明 细 科 目","")</f>
        <v/>
      </c>
      <c r="F1535" s="65"/>
      <c r="G1535" s="66"/>
      <c r="H1535" s="63"/>
      <c r="I1535" s="64"/>
    </row>
    <row r="1536" customFormat="false" ht="23.25" hidden="false" customHeight="true" outlineLevel="0" collapsed="false">
      <c r="B1536" s="67" t="str">
        <f aca="false">IFERROR(INDEX(分录收入!$M:$M,MATCH($L1536,分录收入!$L:$L,0)),"")</f>
        <v/>
      </c>
      <c r="C1536" s="67"/>
      <c r="D1536" s="23" t="str">
        <f aca="false">IFERROR(INDEX(分录收入!$E:$E,MATCH($L1536,分录收入!$L:$L,0)),"")</f>
        <v/>
      </c>
      <c r="E1536" s="23" t="str">
        <f aca="false">IFERROR(INDEX(分录收入!$F:$F,MATCH($L1536,分录收入!$L:$L,0)),"")</f>
        <v/>
      </c>
      <c r="F1536" s="68" t="str">
        <f aca="false">IFERROR(INDEX(分录收入!$H:$H,MATCH($L1536,分录收入!$L:$L,0)),"")</f>
        <v/>
      </c>
      <c r="G1536" s="69" t="str">
        <f aca="false">IFERROR(INDEX(分录收入!$I:$I,MATCH($L1536,分录收入!$L:$L,0)),"")</f>
        <v/>
      </c>
      <c r="H1536" s="23"/>
      <c r="I1536" s="70"/>
      <c r="L1536" s="71" t="n">
        <f aca="false">IF(助手收入!$R$104="",-1,助手收入!$R$104*100+(助手收入!$S$104-1)*6+1)</f>
        <v>-1</v>
      </c>
    </row>
    <row r="1537" customFormat="false" ht="23.25" hidden="false" customHeight="true" outlineLevel="0" collapsed="false">
      <c r="B1537" s="67" t="str">
        <f aca="false">""</f>
        <v/>
      </c>
      <c r="C1537" s="67"/>
      <c r="D1537" s="23" t="str">
        <f aca="false">IFERROR(INDEX(分录收入!$E:$E,MATCH($L1537,分录收入!$L:$L,0)),"")</f>
        <v/>
      </c>
      <c r="E1537" s="23" t="str">
        <f aca="false">IFERROR(INDEX(分录收入!$F:$F,MATCH($L1537,分录收入!$L:$L,0)),"")</f>
        <v/>
      </c>
      <c r="F1537" s="68" t="str">
        <f aca="false">IFERROR(INDEX(分录收入!$H:$H,MATCH($L1537,分录收入!$L:$L,0)),"")</f>
        <v/>
      </c>
      <c r="G1537" s="69" t="str">
        <f aca="false">IFERROR(INDEX(分录收入!$I:$I,MATCH($L1537,分录收入!$L:$L,0)),"")</f>
        <v/>
      </c>
      <c r="H1537" s="23"/>
      <c r="I1537" s="70"/>
      <c r="L1537" s="71" t="n">
        <f aca="false">IF(助手收入!$R$104="",-1,助手收入!$R$104*100+(助手收入!$S$104-1)*6+2)</f>
        <v>-1</v>
      </c>
    </row>
    <row r="1538" customFormat="false" ht="23.25" hidden="false" customHeight="true" outlineLevel="0" collapsed="false">
      <c r="B1538" s="67" t="str">
        <f aca="false">""</f>
        <v/>
      </c>
      <c r="C1538" s="67"/>
      <c r="D1538" s="23" t="str">
        <f aca="false">IFERROR(INDEX(分录收入!$E:$E,MATCH($L1538,分录收入!$L:$L,0)),"")</f>
        <v/>
      </c>
      <c r="E1538" s="23" t="str">
        <f aca="false">IFERROR(INDEX(分录收入!$F:$F,MATCH($L1538,分录收入!$L:$L,0)),"")</f>
        <v/>
      </c>
      <c r="F1538" s="68" t="str">
        <f aca="false">IFERROR(INDEX(分录收入!$H:$H,MATCH($L1538,分录收入!$L:$L,0)),"")</f>
        <v/>
      </c>
      <c r="G1538" s="69" t="str">
        <f aca="false">IFERROR(INDEX(分录收入!$I:$I,MATCH($L1538,分录收入!$L:$L,0)),"")</f>
        <v/>
      </c>
      <c r="H1538" s="23"/>
      <c r="I1538" s="70"/>
      <c r="L1538" s="71" t="n">
        <f aca="false">IF(助手收入!$R$104="",-1,助手收入!$R$104*100+(助手收入!$S$104-1)*6+3)</f>
        <v>-1</v>
      </c>
    </row>
    <row r="1539" customFormat="false" ht="23.25" hidden="false" customHeight="true" outlineLevel="0" collapsed="false">
      <c r="B1539" s="67" t="str">
        <f aca="false">""</f>
        <v/>
      </c>
      <c r="C1539" s="67"/>
      <c r="D1539" s="23" t="str">
        <f aca="false">IFERROR(INDEX(分录收入!$E:$E,MATCH($L1539,分录收入!$L:$L,0)),"")</f>
        <v/>
      </c>
      <c r="E1539" s="23" t="str">
        <f aca="false">IFERROR(INDEX(分录收入!$F:$F,MATCH($L1539,分录收入!$L:$L,0)),"")</f>
        <v/>
      </c>
      <c r="F1539" s="68" t="str">
        <f aca="false">IFERROR(INDEX(分录收入!$H:$H,MATCH($L1539,分录收入!$L:$L,0)),"")</f>
        <v/>
      </c>
      <c r="G1539" s="69" t="str">
        <f aca="false">IFERROR(INDEX(分录收入!$I:$I,MATCH($L1539,分录收入!$L:$L,0)),"")</f>
        <v/>
      </c>
      <c r="H1539" s="23"/>
      <c r="I1539" s="70"/>
      <c r="L1539" s="71" t="n">
        <f aca="false">IF(助手收入!$R$104="",-1,助手收入!$R$104*100+(助手收入!$S$104-1)*6+4)</f>
        <v>-1</v>
      </c>
    </row>
    <row r="1540" customFormat="false" ht="23.25" hidden="false" customHeight="true" outlineLevel="0" collapsed="false">
      <c r="B1540" s="67" t="str">
        <f aca="false">""</f>
        <v/>
      </c>
      <c r="C1540" s="67"/>
      <c r="D1540" s="23" t="str">
        <f aca="false">IFERROR(INDEX(分录收入!$E:$E,MATCH($L1540,分录收入!$L:$L,0)),"")</f>
        <v/>
      </c>
      <c r="E1540" s="23" t="str">
        <f aca="false">IFERROR(INDEX(分录收入!$F:$F,MATCH($L1540,分录收入!$L:$L,0)),"")</f>
        <v/>
      </c>
      <c r="F1540" s="68" t="str">
        <f aca="false">IFERROR(INDEX(分录收入!$H:$H,MATCH($L1540,分录收入!$L:$L,0)),"")</f>
        <v/>
      </c>
      <c r="G1540" s="69" t="str">
        <f aca="false">IFERROR(INDEX(分录收入!$I:$I,MATCH($L1540,分录收入!$L:$L,0)),"")</f>
        <v/>
      </c>
      <c r="H1540" s="23"/>
      <c r="I1540" s="70"/>
      <c r="L1540" s="71" t="n">
        <f aca="false">IF(助手收入!$R$104="",-1,助手收入!$R$104*100+(助手收入!$S$104-1)*6+5)</f>
        <v>-1</v>
      </c>
    </row>
    <row r="1541" customFormat="false" ht="23.25" hidden="false" customHeight="true" outlineLevel="0" collapsed="false">
      <c r="B1541" s="67" t="str">
        <f aca="false">""</f>
        <v/>
      </c>
      <c r="C1541" s="67"/>
      <c r="D1541" s="23" t="str">
        <f aca="false">IFERROR(INDEX(分录收入!$E:$E,MATCH($L1541,分录收入!$L:$L,0)),"")</f>
        <v/>
      </c>
      <c r="E1541" s="23" t="str">
        <f aca="false">IFERROR(INDEX(分录收入!$F:$F,MATCH($L1541,分录收入!$L:$L,0)),"")</f>
        <v/>
      </c>
      <c r="F1541" s="68" t="str">
        <f aca="false">IFERROR(INDEX(分录收入!$H:$H,MATCH($L1541,分录收入!$L:$L,0)),"")</f>
        <v/>
      </c>
      <c r="G1541" s="69" t="str">
        <f aca="false">IFERROR(INDEX(分录收入!$I:$I,MATCH($L1541,分录收入!$L:$L,0)),"")</f>
        <v/>
      </c>
      <c r="H1541" s="23"/>
      <c r="I1541" s="70"/>
      <c r="L1541" s="71" t="n">
        <f aca="false">IF(助手收入!$R$104="",-1,助手收入!$R$104*100+(助手收入!$S$104-1)*6+6)</f>
        <v>-1</v>
      </c>
    </row>
    <row r="1542" customFormat="false" ht="23.25" hidden="false" customHeight="true" outlineLevel="0" collapsed="false">
      <c r="B1542" s="72" t="str">
        <f aca="false">IF(助手收入!$T$104=1,"合计：","")</f>
        <v/>
      </c>
      <c r="C1542" s="73" t="str">
        <f aca="false">IF(助手收入!$T$104=1,$F1542,"")</f>
        <v/>
      </c>
      <c r="D1542" s="74"/>
      <c r="E1542" s="74"/>
      <c r="F1542" s="75" t="str">
        <f aca="false">IF(助手收入!$T$104=1,INDEX(助手收入!$N$2:$N$66,助手收入!$R$104),"")</f>
        <v/>
      </c>
      <c r="G1542" s="76" t="str">
        <f aca="false">IF(助手收入!$T$104=1,INDEX(助手收入!$O$2:$O$66,助手收入!$R$104),"")</f>
        <v/>
      </c>
      <c r="H1542" s="74"/>
      <c r="I1542" s="77"/>
    </row>
    <row r="1543" customFormat="false" ht="6" hidden="false" customHeight="true" outlineLevel="0" collapsed="false"/>
    <row r="1544" customFormat="false" ht="13.5" hidden="false" customHeight="false" outlineLevel="0" collapsed="false">
      <c r="B1544" s="78" t="str">
        <f aca="false">IF(助手收入!$R$104&lt;&gt;"","会计主管：","")</f>
        <v/>
      </c>
      <c r="D1544" s="78" t="str">
        <f aca="false">IF(助手收入!$R$104&lt;&gt;"","会计：","")</f>
        <v/>
      </c>
      <c r="E1544" s="78" t="str">
        <f aca="false">IF(助手收入!$R$104&lt;&gt;"","出纳：","")</f>
        <v/>
      </c>
      <c r="F1544" s="78" t="str">
        <f aca="false">IF(助手收入!$R$104&lt;&gt;"","复核：","")</f>
        <v/>
      </c>
      <c r="G1544" s="78" t="str">
        <f aca="false">IF(助手收入!$R$104&lt;&gt;"","制单：","")</f>
        <v/>
      </c>
    </row>
    <row r="1545" customFormat="false" ht="3" hidden="false" customHeight="true" outlineLevel="0" collapsed="false"/>
    <row r="1546" customFormat="false" ht="19.5" hidden="false" customHeight="true" outlineLevel="0" collapsed="false">
      <c r="B1546" s="53" t="str">
        <f aca="false">IF(助手收入!$R$105&lt;&gt;"","记  账  凭  证","")</f>
        <v/>
      </c>
      <c r="C1546" s="53"/>
      <c r="D1546" s="53"/>
      <c r="E1546" s="53"/>
      <c r="F1546" s="53"/>
      <c r="G1546" s="53"/>
      <c r="H1546" s="53"/>
      <c r="I1546" s="53"/>
    </row>
    <row r="1547" customFormat="false" ht="3" hidden="false" customHeight="true" outlineLevel="0" collapsed="false"/>
    <row r="1548" customFormat="false" ht="15" hidden="false" customHeight="true" outlineLevel="0" collapsed="false">
      <c r="C1548" s="56" t="str">
        <f aca="false">IF(助手收入!$R$105&lt;&gt;"",INDEX(助手收入!$B$2:$B$66,助手收入!$R$105),"")</f>
        <v/>
      </c>
      <c r="D1548" s="57" t="str">
        <f aca="false">IF(助手收入!$R$105&lt;&gt;"",参数!$B$2,"")</f>
        <v/>
      </c>
      <c r="E1548" s="57"/>
      <c r="F1548" s="58" t="str">
        <f aca="false">IF(助手收入!$R$105&lt;&gt;"",INDEX(助手收入!$C$2:$C$66,助手收入!$R$105)&amp;"  字第 "&amp;IF(参数!$B$9="是",INDEX(助手收入!$P$2:$P$66,助手收入!$R$105),"　　　　")&amp;" 号"&amp;IF(INDEX(助手收入!$L$2:$L$66,助手收入!$R$105)&gt;1,"  (共"&amp;INDEX(助手收入!$L$2:$L$66,助手收入!$R$105)&amp;"页 第"&amp;助手收入!$S$105&amp;"页)",""),"")</f>
        <v/>
      </c>
      <c r="G1548" s="58"/>
      <c r="H1548" s="58"/>
      <c r="I1548" s="58"/>
      <c r="M1548" s="79" t="str">
        <f aca="false">IF(助手收入!$R$105="","",助手收入!$Q$105)</f>
        <v/>
      </c>
      <c r="N1548" s="80" t="str">
        <f aca="false">IF(助手收入!$R$105="","",INDEX(助手收入!$P$2:$P$66,助手收入!$R$105))</f>
        <v/>
      </c>
      <c r="O1548" s="55" t="str">
        <f aca="false">IF(助手收入!$R$105="","",INDEX(助手收入!$C$2:$C$66,助手收入!$R$105)&amp;"  字第 "&amp;INDEX(助手收入!$P$2:$P$66,助手收入!$R$105)&amp;" 号"&amp;IF(INDEX(助手收入!$L$2:$L$66,助手收入!$R$105)&gt;1,"  (共"&amp;INDEX(助手收入!$L$2:$L$66,助手收入!$R$105)&amp;"页 第"&amp;助手收入!$S$105&amp;"页)",""))</f>
        <v/>
      </c>
    </row>
    <row r="1549" customFormat="false" ht="12.75" hidden="false" customHeight="true" outlineLevel="0" collapsed="false">
      <c r="B1549" s="61" t="str">
        <f aca="false">IF(助手收入!$R$105&lt;&gt;"","摘　　要","")</f>
        <v/>
      </c>
      <c r="C1549" s="61"/>
      <c r="D1549" s="62" t="str">
        <f aca="false">IF(助手收入!$R$105&lt;&gt;"","科　　　　目","")</f>
        <v/>
      </c>
      <c r="E1549" s="62"/>
      <c r="F1549" s="61" t="str">
        <f aca="false">IF(助手收入!$R$105&lt;&gt;"","借 方 金 额","")</f>
        <v/>
      </c>
      <c r="G1549" s="62" t="str">
        <f aca="false">IF(助手收入!$R$105&lt;&gt;"","贷 方 金 额","")</f>
        <v/>
      </c>
      <c r="H1549" s="63" t="str">
        <f aca="false">IF(助手收入!$R$105&lt;&gt;"","√","")</f>
        <v/>
      </c>
      <c r="I1549" s="64" t="str">
        <f aca="false">IF(助手收入!$R$105&lt;&gt;"","附单据  张","")</f>
        <v/>
      </c>
    </row>
    <row r="1550" customFormat="false" ht="12.75" hidden="false" customHeight="true" outlineLevel="0" collapsed="false">
      <c r="B1550" s="61"/>
      <c r="C1550" s="61"/>
      <c r="D1550" s="23" t="str">
        <f aca="false">IF(助手收入!$R$105&lt;&gt;"","总 账 科 目","")</f>
        <v/>
      </c>
      <c r="E1550" s="23" t="str">
        <f aca="false">IF(助手收入!$R$105&lt;&gt;"","明 细 科 目","")</f>
        <v/>
      </c>
      <c r="F1550" s="65"/>
      <c r="G1550" s="66"/>
      <c r="H1550" s="63"/>
      <c r="I1550" s="64"/>
    </row>
    <row r="1551" customFormat="false" ht="23.25" hidden="false" customHeight="true" outlineLevel="0" collapsed="false">
      <c r="B1551" s="67" t="str">
        <f aca="false">IFERROR(INDEX(分录收入!$M:$M,MATCH($L1551,分录收入!$L:$L,0)),"")</f>
        <v/>
      </c>
      <c r="C1551" s="67"/>
      <c r="D1551" s="23" t="str">
        <f aca="false">IFERROR(INDEX(分录收入!$E:$E,MATCH($L1551,分录收入!$L:$L,0)),"")</f>
        <v/>
      </c>
      <c r="E1551" s="23" t="str">
        <f aca="false">IFERROR(INDEX(分录收入!$F:$F,MATCH($L1551,分录收入!$L:$L,0)),"")</f>
        <v/>
      </c>
      <c r="F1551" s="68" t="str">
        <f aca="false">IFERROR(INDEX(分录收入!$H:$H,MATCH($L1551,分录收入!$L:$L,0)),"")</f>
        <v/>
      </c>
      <c r="G1551" s="69" t="str">
        <f aca="false">IFERROR(INDEX(分录收入!$I:$I,MATCH($L1551,分录收入!$L:$L,0)),"")</f>
        <v/>
      </c>
      <c r="H1551" s="23"/>
      <c r="I1551" s="70"/>
      <c r="L1551" s="71" t="n">
        <f aca="false">IF(助手收入!$R$105="",-1,助手收入!$R$105*100+(助手收入!$S$105-1)*6+1)</f>
        <v>-1</v>
      </c>
    </row>
    <row r="1552" customFormat="false" ht="23.25" hidden="false" customHeight="true" outlineLevel="0" collapsed="false">
      <c r="B1552" s="67" t="str">
        <f aca="false">""</f>
        <v/>
      </c>
      <c r="C1552" s="67"/>
      <c r="D1552" s="23" t="str">
        <f aca="false">IFERROR(INDEX(分录收入!$E:$E,MATCH($L1552,分录收入!$L:$L,0)),"")</f>
        <v/>
      </c>
      <c r="E1552" s="23" t="str">
        <f aca="false">IFERROR(INDEX(分录收入!$F:$F,MATCH($L1552,分录收入!$L:$L,0)),"")</f>
        <v/>
      </c>
      <c r="F1552" s="68" t="str">
        <f aca="false">IFERROR(INDEX(分录收入!$H:$H,MATCH($L1552,分录收入!$L:$L,0)),"")</f>
        <v/>
      </c>
      <c r="G1552" s="69" t="str">
        <f aca="false">IFERROR(INDEX(分录收入!$I:$I,MATCH($L1552,分录收入!$L:$L,0)),"")</f>
        <v/>
      </c>
      <c r="H1552" s="23"/>
      <c r="I1552" s="70"/>
      <c r="L1552" s="71" t="n">
        <f aca="false">IF(助手收入!$R$105="",-1,助手收入!$R$105*100+(助手收入!$S$105-1)*6+2)</f>
        <v>-1</v>
      </c>
    </row>
    <row r="1553" customFormat="false" ht="23.25" hidden="false" customHeight="true" outlineLevel="0" collapsed="false">
      <c r="B1553" s="67" t="str">
        <f aca="false">""</f>
        <v/>
      </c>
      <c r="C1553" s="67"/>
      <c r="D1553" s="23" t="str">
        <f aca="false">IFERROR(INDEX(分录收入!$E:$E,MATCH($L1553,分录收入!$L:$L,0)),"")</f>
        <v/>
      </c>
      <c r="E1553" s="23" t="str">
        <f aca="false">IFERROR(INDEX(分录收入!$F:$F,MATCH($L1553,分录收入!$L:$L,0)),"")</f>
        <v/>
      </c>
      <c r="F1553" s="68" t="str">
        <f aca="false">IFERROR(INDEX(分录收入!$H:$H,MATCH($L1553,分录收入!$L:$L,0)),"")</f>
        <v/>
      </c>
      <c r="G1553" s="69" t="str">
        <f aca="false">IFERROR(INDEX(分录收入!$I:$I,MATCH($L1553,分录收入!$L:$L,0)),"")</f>
        <v/>
      </c>
      <c r="H1553" s="23"/>
      <c r="I1553" s="70"/>
      <c r="L1553" s="71" t="n">
        <f aca="false">IF(助手收入!$R$105="",-1,助手收入!$R$105*100+(助手收入!$S$105-1)*6+3)</f>
        <v>-1</v>
      </c>
    </row>
    <row r="1554" customFormat="false" ht="23.25" hidden="false" customHeight="true" outlineLevel="0" collapsed="false">
      <c r="B1554" s="67" t="str">
        <f aca="false">""</f>
        <v/>
      </c>
      <c r="C1554" s="67"/>
      <c r="D1554" s="23" t="str">
        <f aca="false">IFERROR(INDEX(分录收入!$E:$E,MATCH($L1554,分录收入!$L:$L,0)),"")</f>
        <v/>
      </c>
      <c r="E1554" s="23" t="str">
        <f aca="false">IFERROR(INDEX(分录收入!$F:$F,MATCH($L1554,分录收入!$L:$L,0)),"")</f>
        <v/>
      </c>
      <c r="F1554" s="68" t="str">
        <f aca="false">IFERROR(INDEX(分录收入!$H:$H,MATCH($L1554,分录收入!$L:$L,0)),"")</f>
        <v/>
      </c>
      <c r="G1554" s="69" t="str">
        <f aca="false">IFERROR(INDEX(分录收入!$I:$I,MATCH($L1554,分录收入!$L:$L,0)),"")</f>
        <v/>
      </c>
      <c r="H1554" s="23"/>
      <c r="I1554" s="70"/>
      <c r="L1554" s="71" t="n">
        <f aca="false">IF(助手收入!$R$105="",-1,助手收入!$R$105*100+(助手收入!$S$105-1)*6+4)</f>
        <v>-1</v>
      </c>
    </row>
    <row r="1555" customFormat="false" ht="23.25" hidden="false" customHeight="true" outlineLevel="0" collapsed="false">
      <c r="B1555" s="67" t="str">
        <f aca="false">""</f>
        <v/>
      </c>
      <c r="C1555" s="67"/>
      <c r="D1555" s="23" t="str">
        <f aca="false">IFERROR(INDEX(分录收入!$E:$E,MATCH($L1555,分录收入!$L:$L,0)),"")</f>
        <v/>
      </c>
      <c r="E1555" s="23" t="str">
        <f aca="false">IFERROR(INDEX(分录收入!$F:$F,MATCH($L1555,分录收入!$L:$L,0)),"")</f>
        <v/>
      </c>
      <c r="F1555" s="68" t="str">
        <f aca="false">IFERROR(INDEX(分录收入!$H:$H,MATCH($L1555,分录收入!$L:$L,0)),"")</f>
        <v/>
      </c>
      <c r="G1555" s="69" t="str">
        <f aca="false">IFERROR(INDEX(分录收入!$I:$I,MATCH($L1555,分录收入!$L:$L,0)),"")</f>
        <v/>
      </c>
      <c r="H1555" s="23"/>
      <c r="I1555" s="70"/>
      <c r="L1555" s="71" t="n">
        <f aca="false">IF(助手收入!$R$105="",-1,助手收入!$R$105*100+(助手收入!$S$105-1)*6+5)</f>
        <v>-1</v>
      </c>
    </row>
    <row r="1556" customFormat="false" ht="23.25" hidden="false" customHeight="true" outlineLevel="0" collapsed="false">
      <c r="B1556" s="67" t="str">
        <f aca="false">""</f>
        <v/>
      </c>
      <c r="C1556" s="67"/>
      <c r="D1556" s="23" t="str">
        <f aca="false">IFERROR(INDEX(分录收入!$E:$E,MATCH($L1556,分录收入!$L:$L,0)),"")</f>
        <v/>
      </c>
      <c r="E1556" s="23" t="str">
        <f aca="false">IFERROR(INDEX(分录收入!$F:$F,MATCH($L1556,分录收入!$L:$L,0)),"")</f>
        <v/>
      </c>
      <c r="F1556" s="68" t="str">
        <f aca="false">IFERROR(INDEX(分录收入!$H:$H,MATCH($L1556,分录收入!$L:$L,0)),"")</f>
        <v/>
      </c>
      <c r="G1556" s="69" t="str">
        <f aca="false">IFERROR(INDEX(分录收入!$I:$I,MATCH($L1556,分录收入!$L:$L,0)),"")</f>
        <v/>
      </c>
      <c r="H1556" s="23"/>
      <c r="I1556" s="70"/>
      <c r="L1556" s="71" t="n">
        <f aca="false">IF(助手收入!$R$105="",-1,助手收入!$R$105*100+(助手收入!$S$105-1)*6+6)</f>
        <v>-1</v>
      </c>
    </row>
    <row r="1557" customFormat="false" ht="23.25" hidden="false" customHeight="true" outlineLevel="0" collapsed="false">
      <c r="B1557" s="72" t="str">
        <f aca="false">IF(助手收入!$T$105=1,"合计：","")</f>
        <v/>
      </c>
      <c r="C1557" s="73" t="str">
        <f aca="false">IF(助手收入!$T$105=1,$F1557,"")</f>
        <v/>
      </c>
      <c r="D1557" s="74"/>
      <c r="E1557" s="74"/>
      <c r="F1557" s="75" t="str">
        <f aca="false">IF(助手收入!$T$105=1,INDEX(助手收入!$N$2:$N$66,助手收入!$R$105),"")</f>
        <v/>
      </c>
      <c r="G1557" s="76" t="str">
        <f aca="false">IF(助手收入!$T$105=1,INDEX(助手收入!$O$2:$O$66,助手收入!$R$105),"")</f>
        <v/>
      </c>
      <c r="H1557" s="74"/>
      <c r="I1557" s="77"/>
    </row>
    <row r="1558" customFormat="false" ht="6" hidden="false" customHeight="true" outlineLevel="0" collapsed="false"/>
    <row r="1559" customFormat="false" ht="13.5" hidden="false" customHeight="false" outlineLevel="0" collapsed="false">
      <c r="B1559" s="78" t="str">
        <f aca="false">IF(助手收入!$R$105&lt;&gt;"","会计主管：","")</f>
        <v/>
      </c>
      <c r="D1559" s="78" t="str">
        <f aca="false">IF(助手收入!$R$105&lt;&gt;"","会计：","")</f>
        <v/>
      </c>
      <c r="E1559" s="78" t="str">
        <f aca="false">IF(助手收入!$R$105&lt;&gt;"","出纳：","")</f>
        <v/>
      </c>
      <c r="F1559" s="78" t="str">
        <f aca="false">IF(助手收入!$R$105&lt;&gt;"","复核：","")</f>
        <v/>
      </c>
      <c r="G1559" s="78" t="str">
        <f aca="false">IF(助手收入!$R$105&lt;&gt;"","制单：","")</f>
        <v/>
      </c>
    </row>
    <row r="1560" customFormat="false" ht="3" hidden="false" customHeight="true" outlineLevel="0" collapsed="false"/>
    <row r="1561" customFormat="false" ht="19.5" hidden="false" customHeight="true" outlineLevel="0" collapsed="false">
      <c r="B1561" s="53" t="str">
        <f aca="false">IF(助手收入!$R$106&lt;&gt;"","记  账  凭  证","")</f>
        <v/>
      </c>
      <c r="C1561" s="53"/>
      <c r="D1561" s="53"/>
      <c r="E1561" s="53"/>
      <c r="F1561" s="53"/>
      <c r="G1561" s="53"/>
      <c r="H1561" s="53"/>
      <c r="I1561" s="53"/>
    </row>
    <row r="1562" customFormat="false" ht="3" hidden="false" customHeight="true" outlineLevel="0" collapsed="false"/>
    <row r="1563" customFormat="false" ht="15" hidden="false" customHeight="true" outlineLevel="0" collapsed="false">
      <c r="C1563" s="56" t="str">
        <f aca="false">IF(助手收入!$R$106&lt;&gt;"",INDEX(助手收入!$B$2:$B$66,助手收入!$R$106),"")</f>
        <v/>
      </c>
      <c r="D1563" s="57" t="str">
        <f aca="false">IF(助手收入!$R$106&lt;&gt;"",参数!$B$2,"")</f>
        <v/>
      </c>
      <c r="E1563" s="57"/>
      <c r="F1563" s="58" t="str">
        <f aca="false">IF(助手收入!$R$106&lt;&gt;"",INDEX(助手收入!$C$2:$C$66,助手收入!$R$106)&amp;"  字第 "&amp;IF(参数!$B$9="是",INDEX(助手收入!$P$2:$P$66,助手收入!$R$106),"　　　　")&amp;" 号"&amp;IF(INDEX(助手收入!$L$2:$L$66,助手收入!$R$106)&gt;1,"  (共"&amp;INDEX(助手收入!$L$2:$L$66,助手收入!$R$106)&amp;"页 第"&amp;助手收入!$S$106&amp;"页)",""),"")</f>
        <v/>
      </c>
      <c r="G1563" s="58"/>
      <c r="H1563" s="58"/>
      <c r="I1563" s="58"/>
      <c r="M1563" s="79" t="str">
        <f aca="false">IF(助手收入!$R$106="","",助手收入!$Q$106)</f>
        <v/>
      </c>
      <c r="N1563" s="80" t="str">
        <f aca="false">IF(助手收入!$R$106="","",INDEX(助手收入!$P$2:$P$66,助手收入!$R$106))</f>
        <v/>
      </c>
      <c r="O1563" s="55" t="str">
        <f aca="false">IF(助手收入!$R$106="","",INDEX(助手收入!$C$2:$C$66,助手收入!$R$106)&amp;"  字第 "&amp;INDEX(助手收入!$P$2:$P$66,助手收入!$R$106)&amp;" 号"&amp;IF(INDEX(助手收入!$L$2:$L$66,助手收入!$R$106)&gt;1,"  (共"&amp;INDEX(助手收入!$L$2:$L$66,助手收入!$R$106)&amp;"页 第"&amp;助手收入!$S$106&amp;"页)",""))</f>
        <v/>
      </c>
    </row>
    <row r="1564" customFormat="false" ht="12.75" hidden="false" customHeight="true" outlineLevel="0" collapsed="false">
      <c r="B1564" s="61" t="str">
        <f aca="false">IF(助手收入!$R$106&lt;&gt;"","摘　　要","")</f>
        <v/>
      </c>
      <c r="C1564" s="61"/>
      <c r="D1564" s="62" t="str">
        <f aca="false">IF(助手收入!$R$106&lt;&gt;"","科　　　　目","")</f>
        <v/>
      </c>
      <c r="E1564" s="62"/>
      <c r="F1564" s="61" t="str">
        <f aca="false">IF(助手收入!$R$106&lt;&gt;"","借 方 金 额","")</f>
        <v/>
      </c>
      <c r="G1564" s="62" t="str">
        <f aca="false">IF(助手收入!$R$106&lt;&gt;"","贷 方 金 额","")</f>
        <v/>
      </c>
      <c r="H1564" s="63" t="str">
        <f aca="false">IF(助手收入!$R$106&lt;&gt;"","√","")</f>
        <v/>
      </c>
      <c r="I1564" s="64" t="str">
        <f aca="false">IF(助手收入!$R$106&lt;&gt;"","附单据  张","")</f>
        <v/>
      </c>
    </row>
    <row r="1565" customFormat="false" ht="12.75" hidden="false" customHeight="true" outlineLevel="0" collapsed="false">
      <c r="B1565" s="61"/>
      <c r="C1565" s="61"/>
      <c r="D1565" s="23" t="str">
        <f aca="false">IF(助手收入!$R$106&lt;&gt;"","总 账 科 目","")</f>
        <v/>
      </c>
      <c r="E1565" s="23" t="str">
        <f aca="false">IF(助手收入!$R$106&lt;&gt;"","明 细 科 目","")</f>
        <v/>
      </c>
      <c r="F1565" s="65"/>
      <c r="G1565" s="66"/>
      <c r="H1565" s="63"/>
      <c r="I1565" s="64"/>
    </row>
    <row r="1566" customFormat="false" ht="23.25" hidden="false" customHeight="true" outlineLevel="0" collapsed="false">
      <c r="B1566" s="67" t="str">
        <f aca="false">IFERROR(INDEX(分录收入!$M:$M,MATCH($L1566,分录收入!$L:$L,0)),"")</f>
        <v/>
      </c>
      <c r="C1566" s="67"/>
      <c r="D1566" s="23" t="str">
        <f aca="false">IFERROR(INDEX(分录收入!$E:$E,MATCH($L1566,分录收入!$L:$L,0)),"")</f>
        <v/>
      </c>
      <c r="E1566" s="23" t="str">
        <f aca="false">IFERROR(INDEX(分录收入!$F:$F,MATCH($L1566,分录收入!$L:$L,0)),"")</f>
        <v/>
      </c>
      <c r="F1566" s="68" t="str">
        <f aca="false">IFERROR(INDEX(分录收入!$H:$H,MATCH($L1566,分录收入!$L:$L,0)),"")</f>
        <v/>
      </c>
      <c r="G1566" s="69" t="str">
        <f aca="false">IFERROR(INDEX(分录收入!$I:$I,MATCH($L1566,分录收入!$L:$L,0)),"")</f>
        <v/>
      </c>
      <c r="H1566" s="23"/>
      <c r="I1566" s="70"/>
      <c r="L1566" s="71" t="n">
        <f aca="false">IF(助手收入!$R$106="",-1,助手收入!$R$106*100+(助手收入!$S$106-1)*6+1)</f>
        <v>-1</v>
      </c>
    </row>
    <row r="1567" customFormat="false" ht="23.25" hidden="false" customHeight="true" outlineLevel="0" collapsed="false">
      <c r="B1567" s="67" t="str">
        <f aca="false">""</f>
        <v/>
      </c>
      <c r="C1567" s="67"/>
      <c r="D1567" s="23" t="str">
        <f aca="false">IFERROR(INDEX(分录收入!$E:$E,MATCH($L1567,分录收入!$L:$L,0)),"")</f>
        <v/>
      </c>
      <c r="E1567" s="23" t="str">
        <f aca="false">IFERROR(INDEX(分录收入!$F:$F,MATCH($L1567,分录收入!$L:$L,0)),"")</f>
        <v/>
      </c>
      <c r="F1567" s="68" t="str">
        <f aca="false">IFERROR(INDEX(分录收入!$H:$H,MATCH($L1567,分录收入!$L:$L,0)),"")</f>
        <v/>
      </c>
      <c r="G1567" s="69" t="str">
        <f aca="false">IFERROR(INDEX(分录收入!$I:$I,MATCH($L1567,分录收入!$L:$L,0)),"")</f>
        <v/>
      </c>
      <c r="H1567" s="23"/>
      <c r="I1567" s="70"/>
      <c r="L1567" s="71" t="n">
        <f aca="false">IF(助手收入!$R$106="",-1,助手收入!$R$106*100+(助手收入!$S$106-1)*6+2)</f>
        <v>-1</v>
      </c>
    </row>
    <row r="1568" customFormat="false" ht="23.25" hidden="false" customHeight="true" outlineLevel="0" collapsed="false">
      <c r="B1568" s="67" t="str">
        <f aca="false">""</f>
        <v/>
      </c>
      <c r="C1568" s="67"/>
      <c r="D1568" s="23" t="str">
        <f aca="false">IFERROR(INDEX(分录收入!$E:$E,MATCH($L1568,分录收入!$L:$L,0)),"")</f>
        <v/>
      </c>
      <c r="E1568" s="23" t="str">
        <f aca="false">IFERROR(INDEX(分录收入!$F:$F,MATCH($L1568,分录收入!$L:$L,0)),"")</f>
        <v/>
      </c>
      <c r="F1568" s="68" t="str">
        <f aca="false">IFERROR(INDEX(分录收入!$H:$H,MATCH($L1568,分录收入!$L:$L,0)),"")</f>
        <v/>
      </c>
      <c r="G1568" s="69" t="str">
        <f aca="false">IFERROR(INDEX(分录收入!$I:$I,MATCH($L1568,分录收入!$L:$L,0)),"")</f>
        <v/>
      </c>
      <c r="H1568" s="23"/>
      <c r="I1568" s="70"/>
      <c r="L1568" s="71" t="n">
        <f aca="false">IF(助手收入!$R$106="",-1,助手收入!$R$106*100+(助手收入!$S$106-1)*6+3)</f>
        <v>-1</v>
      </c>
    </row>
    <row r="1569" customFormat="false" ht="23.25" hidden="false" customHeight="true" outlineLevel="0" collapsed="false">
      <c r="B1569" s="67" t="str">
        <f aca="false">""</f>
        <v/>
      </c>
      <c r="C1569" s="67"/>
      <c r="D1569" s="23" t="str">
        <f aca="false">IFERROR(INDEX(分录收入!$E:$E,MATCH($L1569,分录收入!$L:$L,0)),"")</f>
        <v/>
      </c>
      <c r="E1569" s="23" t="str">
        <f aca="false">IFERROR(INDEX(分录收入!$F:$F,MATCH($L1569,分录收入!$L:$L,0)),"")</f>
        <v/>
      </c>
      <c r="F1569" s="68" t="str">
        <f aca="false">IFERROR(INDEX(分录收入!$H:$H,MATCH($L1569,分录收入!$L:$L,0)),"")</f>
        <v/>
      </c>
      <c r="G1569" s="69" t="str">
        <f aca="false">IFERROR(INDEX(分录收入!$I:$I,MATCH($L1569,分录收入!$L:$L,0)),"")</f>
        <v/>
      </c>
      <c r="H1569" s="23"/>
      <c r="I1569" s="70"/>
      <c r="L1569" s="71" t="n">
        <f aca="false">IF(助手收入!$R$106="",-1,助手收入!$R$106*100+(助手收入!$S$106-1)*6+4)</f>
        <v>-1</v>
      </c>
    </row>
    <row r="1570" customFormat="false" ht="23.25" hidden="false" customHeight="true" outlineLevel="0" collapsed="false">
      <c r="B1570" s="67" t="str">
        <f aca="false">""</f>
        <v/>
      </c>
      <c r="C1570" s="67"/>
      <c r="D1570" s="23" t="str">
        <f aca="false">IFERROR(INDEX(分录收入!$E:$E,MATCH($L1570,分录收入!$L:$L,0)),"")</f>
        <v/>
      </c>
      <c r="E1570" s="23" t="str">
        <f aca="false">IFERROR(INDEX(分录收入!$F:$F,MATCH($L1570,分录收入!$L:$L,0)),"")</f>
        <v/>
      </c>
      <c r="F1570" s="68" t="str">
        <f aca="false">IFERROR(INDEX(分录收入!$H:$H,MATCH($L1570,分录收入!$L:$L,0)),"")</f>
        <v/>
      </c>
      <c r="G1570" s="69" t="str">
        <f aca="false">IFERROR(INDEX(分录收入!$I:$I,MATCH($L1570,分录收入!$L:$L,0)),"")</f>
        <v/>
      </c>
      <c r="H1570" s="23"/>
      <c r="I1570" s="70"/>
      <c r="L1570" s="71" t="n">
        <f aca="false">IF(助手收入!$R$106="",-1,助手收入!$R$106*100+(助手收入!$S$106-1)*6+5)</f>
        <v>-1</v>
      </c>
    </row>
    <row r="1571" customFormat="false" ht="23.25" hidden="false" customHeight="true" outlineLevel="0" collapsed="false">
      <c r="B1571" s="67" t="str">
        <f aca="false">""</f>
        <v/>
      </c>
      <c r="C1571" s="67"/>
      <c r="D1571" s="23" t="str">
        <f aca="false">IFERROR(INDEX(分录收入!$E:$E,MATCH($L1571,分录收入!$L:$L,0)),"")</f>
        <v/>
      </c>
      <c r="E1571" s="23" t="str">
        <f aca="false">IFERROR(INDEX(分录收入!$F:$F,MATCH($L1571,分录收入!$L:$L,0)),"")</f>
        <v/>
      </c>
      <c r="F1571" s="68" t="str">
        <f aca="false">IFERROR(INDEX(分录收入!$H:$H,MATCH($L1571,分录收入!$L:$L,0)),"")</f>
        <v/>
      </c>
      <c r="G1571" s="69" t="str">
        <f aca="false">IFERROR(INDEX(分录收入!$I:$I,MATCH($L1571,分录收入!$L:$L,0)),"")</f>
        <v/>
      </c>
      <c r="H1571" s="23"/>
      <c r="I1571" s="70"/>
      <c r="L1571" s="71" t="n">
        <f aca="false">IF(助手收入!$R$106="",-1,助手收入!$R$106*100+(助手收入!$S$106-1)*6+6)</f>
        <v>-1</v>
      </c>
    </row>
    <row r="1572" customFormat="false" ht="23.25" hidden="false" customHeight="true" outlineLevel="0" collapsed="false">
      <c r="B1572" s="72" t="str">
        <f aca="false">IF(助手收入!$T$106=1,"合计：","")</f>
        <v/>
      </c>
      <c r="C1572" s="73" t="str">
        <f aca="false">IF(助手收入!$T$106=1,$F1572,"")</f>
        <v/>
      </c>
      <c r="D1572" s="74"/>
      <c r="E1572" s="74"/>
      <c r="F1572" s="75" t="str">
        <f aca="false">IF(助手收入!$T$106=1,INDEX(助手收入!$N$2:$N$66,助手收入!$R$106),"")</f>
        <v/>
      </c>
      <c r="G1572" s="76" t="str">
        <f aca="false">IF(助手收入!$T$106=1,INDEX(助手收入!$O$2:$O$66,助手收入!$R$106),"")</f>
        <v/>
      </c>
      <c r="H1572" s="74"/>
      <c r="I1572" s="77"/>
    </row>
    <row r="1573" customFormat="false" ht="6" hidden="false" customHeight="true" outlineLevel="0" collapsed="false"/>
    <row r="1574" customFormat="false" ht="13.5" hidden="false" customHeight="false" outlineLevel="0" collapsed="false">
      <c r="B1574" s="78" t="str">
        <f aca="false">IF(助手收入!$R$106&lt;&gt;"","会计主管：","")</f>
        <v/>
      </c>
      <c r="D1574" s="78" t="str">
        <f aca="false">IF(助手收入!$R$106&lt;&gt;"","会计：","")</f>
        <v/>
      </c>
      <c r="E1574" s="78" t="str">
        <f aca="false">IF(助手收入!$R$106&lt;&gt;"","出纳：","")</f>
        <v/>
      </c>
      <c r="F1574" s="78" t="str">
        <f aca="false">IF(助手收入!$R$106&lt;&gt;"","复核：","")</f>
        <v/>
      </c>
      <c r="G1574" s="78" t="str">
        <f aca="false">IF(助手收入!$R$106&lt;&gt;"","制单：","")</f>
        <v/>
      </c>
    </row>
    <row r="1575" customFormat="false" ht="3" hidden="false" customHeight="true" outlineLevel="0" collapsed="false"/>
    <row r="1576" customFormat="false" ht="19.5" hidden="false" customHeight="true" outlineLevel="0" collapsed="false">
      <c r="B1576" s="53" t="str">
        <f aca="false">IF(助手收入!$R$107&lt;&gt;"","记  账  凭  证","")</f>
        <v/>
      </c>
      <c r="C1576" s="53"/>
      <c r="D1576" s="53"/>
      <c r="E1576" s="53"/>
      <c r="F1576" s="53"/>
      <c r="G1576" s="53"/>
      <c r="H1576" s="53"/>
      <c r="I1576" s="53"/>
    </row>
    <row r="1577" customFormat="false" ht="3" hidden="false" customHeight="true" outlineLevel="0" collapsed="false"/>
    <row r="1578" customFormat="false" ht="15" hidden="false" customHeight="true" outlineLevel="0" collapsed="false">
      <c r="C1578" s="56" t="str">
        <f aca="false">IF(助手收入!$R$107&lt;&gt;"",INDEX(助手收入!$B$2:$B$66,助手收入!$R$107),"")</f>
        <v/>
      </c>
      <c r="D1578" s="57" t="str">
        <f aca="false">IF(助手收入!$R$107&lt;&gt;"",参数!$B$2,"")</f>
        <v/>
      </c>
      <c r="E1578" s="57"/>
      <c r="F1578" s="58" t="str">
        <f aca="false">IF(助手收入!$R$107&lt;&gt;"",INDEX(助手收入!$C$2:$C$66,助手收入!$R$107)&amp;"  字第 "&amp;IF(参数!$B$9="是",INDEX(助手收入!$P$2:$P$66,助手收入!$R$107),"　　　　")&amp;" 号"&amp;IF(INDEX(助手收入!$L$2:$L$66,助手收入!$R$107)&gt;1,"  (共"&amp;INDEX(助手收入!$L$2:$L$66,助手收入!$R$107)&amp;"页 第"&amp;助手收入!$S$107&amp;"页)",""),"")</f>
        <v/>
      </c>
      <c r="G1578" s="58"/>
      <c r="H1578" s="58"/>
      <c r="I1578" s="58"/>
      <c r="M1578" s="79" t="str">
        <f aca="false">IF(助手收入!$R$107="","",助手收入!$Q$107)</f>
        <v/>
      </c>
      <c r="N1578" s="80" t="str">
        <f aca="false">IF(助手收入!$R$107="","",INDEX(助手收入!$P$2:$P$66,助手收入!$R$107))</f>
        <v/>
      </c>
      <c r="O1578" s="55" t="str">
        <f aca="false">IF(助手收入!$R$107="","",INDEX(助手收入!$C$2:$C$66,助手收入!$R$107)&amp;"  字第 "&amp;INDEX(助手收入!$P$2:$P$66,助手收入!$R$107)&amp;" 号"&amp;IF(INDEX(助手收入!$L$2:$L$66,助手收入!$R$107)&gt;1,"  (共"&amp;INDEX(助手收入!$L$2:$L$66,助手收入!$R$107)&amp;"页 第"&amp;助手收入!$S$107&amp;"页)",""))</f>
        <v/>
      </c>
    </row>
    <row r="1579" customFormat="false" ht="12.75" hidden="false" customHeight="true" outlineLevel="0" collapsed="false">
      <c r="B1579" s="61" t="str">
        <f aca="false">IF(助手收入!$R$107&lt;&gt;"","摘　　要","")</f>
        <v/>
      </c>
      <c r="C1579" s="61"/>
      <c r="D1579" s="62" t="str">
        <f aca="false">IF(助手收入!$R$107&lt;&gt;"","科　　　　目","")</f>
        <v/>
      </c>
      <c r="E1579" s="62"/>
      <c r="F1579" s="61" t="str">
        <f aca="false">IF(助手收入!$R$107&lt;&gt;"","借 方 金 额","")</f>
        <v/>
      </c>
      <c r="G1579" s="62" t="str">
        <f aca="false">IF(助手收入!$R$107&lt;&gt;"","贷 方 金 额","")</f>
        <v/>
      </c>
      <c r="H1579" s="63" t="str">
        <f aca="false">IF(助手收入!$R$107&lt;&gt;"","√","")</f>
        <v/>
      </c>
      <c r="I1579" s="64" t="str">
        <f aca="false">IF(助手收入!$R$107&lt;&gt;"","附单据  张","")</f>
        <v/>
      </c>
    </row>
    <row r="1580" customFormat="false" ht="12.75" hidden="false" customHeight="true" outlineLevel="0" collapsed="false">
      <c r="B1580" s="61"/>
      <c r="C1580" s="61"/>
      <c r="D1580" s="23" t="str">
        <f aca="false">IF(助手收入!$R$107&lt;&gt;"","总 账 科 目","")</f>
        <v/>
      </c>
      <c r="E1580" s="23" t="str">
        <f aca="false">IF(助手收入!$R$107&lt;&gt;"","明 细 科 目","")</f>
        <v/>
      </c>
      <c r="F1580" s="65"/>
      <c r="G1580" s="66"/>
      <c r="H1580" s="63"/>
      <c r="I1580" s="64"/>
    </row>
    <row r="1581" customFormat="false" ht="23.25" hidden="false" customHeight="true" outlineLevel="0" collapsed="false">
      <c r="B1581" s="67" t="str">
        <f aca="false">IFERROR(INDEX(分录收入!$M:$M,MATCH($L1581,分录收入!$L:$L,0)),"")</f>
        <v/>
      </c>
      <c r="C1581" s="67"/>
      <c r="D1581" s="23" t="str">
        <f aca="false">IFERROR(INDEX(分录收入!$E:$E,MATCH($L1581,分录收入!$L:$L,0)),"")</f>
        <v/>
      </c>
      <c r="E1581" s="23" t="str">
        <f aca="false">IFERROR(INDEX(分录收入!$F:$F,MATCH($L1581,分录收入!$L:$L,0)),"")</f>
        <v/>
      </c>
      <c r="F1581" s="68" t="str">
        <f aca="false">IFERROR(INDEX(分录收入!$H:$H,MATCH($L1581,分录收入!$L:$L,0)),"")</f>
        <v/>
      </c>
      <c r="G1581" s="69" t="str">
        <f aca="false">IFERROR(INDEX(分录收入!$I:$I,MATCH($L1581,分录收入!$L:$L,0)),"")</f>
        <v/>
      </c>
      <c r="H1581" s="23"/>
      <c r="I1581" s="70"/>
      <c r="L1581" s="71" t="n">
        <f aca="false">IF(助手收入!$R$107="",-1,助手收入!$R$107*100+(助手收入!$S$107-1)*6+1)</f>
        <v>-1</v>
      </c>
    </row>
    <row r="1582" customFormat="false" ht="23.25" hidden="false" customHeight="true" outlineLevel="0" collapsed="false">
      <c r="B1582" s="67" t="str">
        <f aca="false">""</f>
        <v/>
      </c>
      <c r="C1582" s="67"/>
      <c r="D1582" s="23" t="str">
        <f aca="false">IFERROR(INDEX(分录收入!$E:$E,MATCH($L1582,分录收入!$L:$L,0)),"")</f>
        <v/>
      </c>
      <c r="E1582" s="23" t="str">
        <f aca="false">IFERROR(INDEX(分录收入!$F:$F,MATCH($L1582,分录收入!$L:$L,0)),"")</f>
        <v/>
      </c>
      <c r="F1582" s="68" t="str">
        <f aca="false">IFERROR(INDEX(分录收入!$H:$H,MATCH($L1582,分录收入!$L:$L,0)),"")</f>
        <v/>
      </c>
      <c r="G1582" s="69" t="str">
        <f aca="false">IFERROR(INDEX(分录收入!$I:$I,MATCH($L1582,分录收入!$L:$L,0)),"")</f>
        <v/>
      </c>
      <c r="H1582" s="23"/>
      <c r="I1582" s="70"/>
      <c r="L1582" s="71" t="n">
        <f aca="false">IF(助手收入!$R$107="",-1,助手收入!$R$107*100+(助手收入!$S$107-1)*6+2)</f>
        <v>-1</v>
      </c>
    </row>
    <row r="1583" customFormat="false" ht="23.25" hidden="false" customHeight="true" outlineLevel="0" collapsed="false">
      <c r="B1583" s="67" t="str">
        <f aca="false">""</f>
        <v/>
      </c>
      <c r="C1583" s="67"/>
      <c r="D1583" s="23" t="str">
        <f aca="false">IFERROR(INDEX(分录收入!$E:$E,MATCH($L1583,分录收入!$L:$L,0)),"")</f>
        <v/>
      </c>
      <c r="E1583" s="23" t="str">
        <f aca="false">IFERROR(INDEX(分录收入!$F:$F,MATCH($L1583,分录收入!$L:$L,0)),"")</f>
        <v/>
      </c>
      <c r="F1583" s="68" t="str">
        <f aca="false">IFERROR(INDEX(分录收入!$H:$H,MATCH($L1583,分录收入!$L:$L,0)),"")</f>
        <v/>
      </c>
      <c r="G1583" s="69" t="str">
        <f aca="false">IFERROR(INDEX(分录收入!$I:$I,MATCH($L1583,分录收入!$L:$L,0)),"")</f>
        <v/>
      </c>
      <c r="H1583" s="23"/>
      <c r="I1583" s="70"/>
      <c r="L1583" s="71" t="n">
        <f aca="false">IF(助手收入!$R$107="",-1,助手收入!$R$107*100+(助手收入!$S$107-1)*6+3)</f>
        <v>-1</v>
      </c>
    </row>
    <row r="1584" customFormat="false" ht="23.25" hidden="false" customHeight="true" outlineLevel="0" collapsed="false">
      <c r="B1584" s="67" t="str">
        <f aca="false">""</f>
        <v/>
      </c>
      <c r="C1584" s="67"/>
      <c r="D1584" s="23" t="str">
        <f aca="false">IFERROR(INDEX(分录收入!$E:$E,MATCH($L1584,分录收入!$L:$L,0)),"")</f>
        <v/>
      </c>
      <c r="E1584" s="23" t="str">
        <f aca="false">IFERROR(INDEX(分录收入!$F:$F,MATCH($L1584,分录收入!$L:$L,0)),"")</f>
        <v/>
      </c>
      <c r="F1584" s="68" t="str">
        <f aca="false">IFERROR(INDEX(分录收入!$H:$H,MATCH($L1584,分录收入!$L:$L,0)),"")</f>
        <v/>
      </c>
      <c r="G1584" s="69" t="str">
        <f aca="false">IFERROR(INDEX(分录收入!$I:$I,MATCH($L1584,分录收入!$L:$L,0)),"")</f>
        <v/>
      </c>
      <c r="H1584" s="23"/>
      <c r="I1584" s="70"/>
      <c r="L1584" s="71" t="n">
        <f aca="false">IF(助手收入!$R$107="",-1,助手收入!$R$107*100+(助手收入!$S$107-1)*6+4)</f>
        <v>-1</v>
      </c>
    </row>
    <row r="1585" customFormat="false" ht="23.25" hidden="false" customHeight="true" outlineLevel="0" collapsed="false">
      <c r="B1585" s="67" t="str">
        <f aca="false">""</f>
        <v/>
      </c>
      <c r="C1585" s="67"/>
      <c r="D1585" s="23" t="str">
        <f aca="false">IFERROR(INDEX(分录收入!$E:$E,MATCH($L1585,分录收入!$L:$L,0)),"")</f>
        <v/>
      </c>
      <c r="E1585" s="23" t="str">
        <f aca="false">IFERROR(INDEX(分录收入!$F:$F,MATCH($L1585,分录收入!$L:$L,0)),"")</f>
        <v/>
      </c>
      <c r="F1585" s="68" t="str">
        <f aca="false">IFERROR(INDEX(分录收入!$H:$H,MATCH($L1585,分录收入!$L:$L,0)),"")</f>
        <v/>
      </c>
      <c r="G1585" s="69" t="str">
        <f aca="false">IFERROR(INDEX(分录收入!$I:$I,MATCH($L1585,分录收入!$L:$L,0)),"")</f>
        <v/>
      </c>
      <c r="H1585" s="23"/>
      <c r="I1585" s="70"/>
      <c r="L1585" s="71" t="n">
        <f aca="false">IF(助手收入!$R$107="",-1,助手收入!$R$107*100+(助手收入!$S$107-1)*6+5)</f>
        <v>-1</v>
      </c>
    </row>
    <row r="1586" customFormat="false" ht="23.25" hidden="false" customHeight="true" outlineLevel="0" collapsed="false">
      <c r="B1586" s="67" t="str">
        <f aca="false">""</f>
        <v/>
      </c>
      <c r="C1586" s="67"/>
      <c r="D1586" s="23" t="str">
        <f aca="false">IFERROR(INDEX(分录收入!$E:$E,MATCH($L1586,分录收入!$L:$L,0)),"")</f>
        <v/>
      </c>
      <c r="E1586" s="23" t="str">
        <f aca="false">IFERROR(INDEX(分录收入!$F:$F,MATCH($L1586,分录收入!$L:$L,0)),"")</f>
        <v/>
      </c>
      <c r="F1586" s="68" t="str">
        <f aca="false">IFERROR(INDEX(分录收入!$H:$H,MATCH($L1586,分录收入!$L:$L,0)),"")</f>
        <v/>
      </c>
      <c r="G1586" s="69" t="str">
        <f aca="false">IFERROR(INDEX(分录收入!$I:$I,MATCH($L1586,分录收入!$L:$L,0)),"")</f>
        <v/>
      </c>
      <c r="H1586" s="23"/>
      <c r="I1586" s="70"/>
      <c r="L1586" s="71" t="n">
        <f aca="false">IF(助手收入!$R$107="",-1,助手收入!$R$107*100+(助手收入!$S$107-1)*6+6)</f>
        <v>-1</v>
      </c>
    </row>
    <row r="1587" customFormat="false" ht="23.25" hidden="false" customHeight="true" outlineLevel="0" collapsed="false">
      <c r="B1587" s="72" t="str">
        <f aca="false">IF(助手收入!$T$107=1,"合计：","")</f>
        <v/>
      </c>
      <c r="C1587" s="73" t="str">
        <f aca="false">IF(助手收入!$T$107=1,$F1587,"")</f>
        <v/>
      </c>
      <c r="D1587" s="74"/>
      <c r="E1587" s="74"/>
      <c r="F1587" s="75" t="str">
        <f aca="false">IF(助手收入!$T$107=1,INDEX(助手收入!$N$2:$N$66,助手收入!$R$107),"")</f>
        <v/>
      </c>
      <c r="G1587" s="76" t="str">
        <f aca="false">IF(助手收入!$T$107=1,INDEX(助手收入!$O$2:$O$66,助手收入!$R$107),"")</f>
        <v/>
      </c>
      <c r="H1587" s="74"/>
      <c r="I1587" s="77"/>
    </row>
    <row r="1588" customFormat="false" ht="6" hidden="false" customHeight="true" outlineLevel="0" collapsed="false"/>
    <row r="1589" customFormat="false" ht="13.5" hidden="false" customHeight="false" outlineLevel="0" collapsed="false">
      <c r="B1589" s="78" t="str">
        <f aca="false">IF(助手收入!$R$107&lt;&gt;"","会计主管：","")</f>
        <v/>
      </c>
      <c r="D1589" s="78" t="str">
        <f aca="false">IF(助手收入!$R$107&lt;&gt;"","会计：","")</f>
        <v/>
      </c>
      <c r="E1589" s="78" t="str">
        <f aca="false">IF(助手收入!$R$107&lt;&gt;"","出纳：","")</f>
        <v/>
      </c>
      <c r="F1589" s="78" t="str">
        <f aca="false">IF(助手收入!$R$107&lt;&gt;"","复核：","")</f>
        <v/>
      </c>
      <c r="G1589" s="78" t="str">
        <f aca="false">IF(助手收入!$R$107&lt;&gt;"","制单：","")</f>
        <v/>
      </c>
    </row>
    <row r="1590" customFormat="false" ht="3" hidden="false" customHeight="true" outlineLevel="0" collapsed="false"/>
    <row r="1591" customFormat="false" ht="19.5" hidden="false" customHeight="true" outlineLevel="0" collapsed="false">
      <c r="B1591" s="53" t="str">
        <f aca="false">IF(助手收入!$R$108&lt;&gt;"","记  账  凭  证","")</f>
        <v/>
      </c>
      <c r="C1591" s="53"/>
      <c r="D1591" s="53"/>
      <c r="E1591" s="53"/>
      <c r="F1591" s="53"/>
      <c r="G1591" s="53"/>
      <c r="H1591" s="53"/>
      <c r="I1591" s="53"/>
    </row>
    <row r="1592" customFormat="false" ht="3" hidden="false" customHeight="true" outlineLevel="0" collapsed="false"/>
    <row r="1593" customFormat="false" ht="15" hidden="false" customHeight="true" outlineLevel="0" collapsed="false">
      <c r="C1593" s="56" t="str">
        <f aca="false">IF(助手收入!$R$108&lt;&gt;"",INDEX(助手收入!$B$2:$B$66,助手收入!$R$108),"")</f>
        <v/>
      </c>
      <c r="D1593" s="57" t="str">
        <f aca="false">IF(助手收入!$R$108&lt;&gt;"",参数!$B$2,"")</f>
        <v/>
      </c>
      <c r="E1593" s="57"/>
      <c r="F1593" s="58" t="str">
        <f aca="false">IF(助手收入!$R$108&lt;&gt;"",INDEX(助手收入!$C$2:$C$66,助手收入!$R$108)&amp;"  字第 "&amp;IF(参数!$B$9="是",INDEX(助手收入!$P$2:$P$66,助手收入!$R$108),"　　　　")&amp;" 号"&amp;IF(INDEX(助手收入!$L$2:$L$66,助手收入!$R$108)&gt;1,"  (共"&amp;INDEX(助手收入!$L$2:$L$66,助手收入!$R$108)&amp;"页 第"&amp;助手收入!$S$108&amp;"页)",""),"")</f>
        <v/>
      </c>
      <c r="G1593" s="58"/>
      <c r="H1593" s="58"/>
      <c r="I1593" s="58"/>
      <c r="M1593" s="79" t="str">
        <f aca="false">IF(助手收入!$R$108="","",助手收入!$Q$108)</f>
        <v/>
      </c>
      <c r="N1593" s="80" t="str">
        <f aca="false">IF(助手收入!$R$108="","",INDEX(助手收入!$P$2:$P$66,助手收入!$R$108))</f>
        <v/>
      </c>
      <c r="O1593" s="55" t="str">
        <f aca="false">IF(助手收入!$R$108="","",INDEX(助手收入!$C$2:$C$66,助手收入!$R$108)&amp;"  字第 "&amp;INDEX(助手收入!$P$2:$P$66,助手收入!$R$108)&amp;" 号"&amp;IF(INDEX(助手收入!$L$2:$L$66,助手收入!$R$108)&gt;1,"  (共"&amp;INDEX(助手收入!$L$2:$L$66,助手收入!$R$108)&amp;"页 第"&amp;助手收入!$S$108&amp;"页)",""))</f>
        <v/>
      </c>
    </row>
    <row r="1594" customFormat="false" ht="12.75" hidden="false" customHeight="true" outlineLevel="0" collapsed="false">
      <c r="B1594" s="61" t="str">
        <f aca="false">IF(助手收入!$R$108&lt;&gt;"","摘　　要","")</f>
        <v/>
      </c>
      <c r="C1594" s="61"/>
      <c r="D1594" s="62" t="str">
        <f aca="false">IF(助手收入!$R$108&lt;&gt;"","科　　　　目","")</f>
        <v/>
      </c>
      <c r="E1594" s="62"/>
      <c r="F1594" s="61" t="str">
        <f aca="false">IF(助手收入!$R$108&lt;&gt;"","借 方 金 额","")</f>
        <v/>
      </c>
      <c r="G1594" s="62" t="str">
        <f aca="false">IF(助手收入!$R$108&lt;&gt;"","贷 方 金 额","")</f>
        <v/>
      </c>
      <c r="H1594" s="63" t="str">
        <f aca="false">IF(助手收入!$R$108&lt;&gt;"","√","")</f>
        <v/>
      </c>
      <c r="I1594" s="64" t="str">
        <f aca="false">IF(助手收入!$R$108&lt;&gt;"","附单据  张","")</f>
        <v/>
      </c>
    </row>
    <row r="1595" customFormat="false" ht="12.75" hidden="false" customHeight="true" outlineLevel="0" collapsed="false">
      <c r="B1595" s="61"/>
      <c r="C1595" s="61"/>
      <c r="D1595" s="23" t="str">
        <f aca="false">IF(助手收入!$R$108&lt;&gt;"","总 账 科 目","")</f>
        <v/>
      </c>
      <c r="E1595" s="23" t="str">
        <f aca="false">IF(助手收入!$R$108&lt;&gt;"","明 细 科 目","")</f>
        <v/>
      </c>
      <c r="F1595" s="65"/>
      <c r="G1595" s="66"/>
      <c r="H1595" s="63"/>
      <c r="I1595" s="64"/>
    </row>
    <row r="1596" customFormat="false" ht="23.25" hidden="false" customHeight="true" outlineLevel="0" collapsed="false">
      <c r="B1596" s="67" t="str">
        <f aca="false">IFERROR(INDEX(分录收入!$M:$M,MATCH($L1596,分录收入!$L:$L,0)),"")</f>
        <v/>
      </c>
      <c r="C1596" s="67"/>
      <c r="D1596" s="23" t="str">
        <f aca="false">IFERROR(INDEX(分录收入!$E:$E,MATCH($L1596,分录收入!$L:$L,0)),"")</f>
        <v/>
      </c>
      <c r="E1596" s="23" t="str">
        <f aca="false">IFERROR(INDEX(分录收入!$F:$F,MATCH($L1596,分录收入!$L:$L,0)),"")</f>
        <v/>
      </c>
      <c r="F1596" s="68" t="str">
        <f aca="false">IFERROR(INDEX(分录收入!$H:$H,MATCH($L1596,分录收入!$L:$L,0)),"")</f>
        <v/>
      </c>
      <c r="G1596" s="69" t="str">
        <f aca="false">IFERROR(INDEX(分录收入!$I:$I,MATCH($L1596,分录收入!$L:$L,0)),"")</f>
        <v/>
      </c>
      <c r="H1596" s="23"/>
      <c r="I1596" s="70"/>
      <c r="L1596" s="71" t="n">
        <f aca="false">IF(助手收入!$R$108="",-1,助手收入!$R$108*100+(助手收入!$S$108-1)*6+1)</f>
        <v>-1</v>
      </c>
    </row>
    <row r="1597" customFormat="false" ht="23.25" hidden="false" customHeight="true" outlineLevel="0" collapsed="false">
      <c r="B1597" s="67" t="str">
        <f aca="false">""</f>
        <v/>
      </c>
      <c r="C1597" s="67"/>
      <c r="D1597" s="23" t="str">
        <f aca="false">IFERROR(INDEX(分录收入!$E:$E,MATCH($L1597,分录收入!$L:$L,0)),"")</f>
        <v/>
      </c>
      <c r="E1597" s="23" t="str">
        <f aca="false">IFERROR(INDEX(分录收入!$F:$F,MATCH($L1597,分录收入!$L:$L,0)),"")</f>
        <v/>
      </c>
      <c r="F1597" s="68" t="str">
        <f aca="false">IFERROR(INDEX(分录收入!$H:$H,MATCH($L1597,分录收入!$L:$L,0)),"")</f>
        <v/>
      </c>
      <c r="G1597" s="69" t="str">
        <f aca="false">IFERROR(INDEX(分录收入!$I:$I,MATCH($L1597,分录收入!$L:$L,0)),"")</f>
        <v/>
      </c>
      <c r="H1597" s="23"/>
      <c r="I1597" s="70"/>
      <c r="L1597" s="71" t="n">
        <f aca="false">IF(助手收入!$R$108="",-1,助手收入!$R$108*100+(助手收入!$S$108-1)*6+2)</f>
        <v>-1</v>
      </c>
    </row>
    <row r="1598" customFormat="false" ht="23.25" hidden="false" customHeight="true" outlineLevel="0" collapsed="false">
      <c r="B1598" s="67" t="str">
        <f aca="false">""</f>
        <v/>
      </c>
      <c r="C1598" s="67"/>
      <c r="D1598" s="23" t="str">
        <f aca="false">IFERROR(INDEX(分录收入!$E:$E,MATCH($L1598,分录收入!$L:$L,0)),"")</f>
        <v/>
      </c>
      <c r="E1598" s="23" t="str">
        <f aca="false">IFERROR(INDEX(分录收入!$F:$F,MATCH($L1598,分录收入!$L:$L,0)),"")</f>
        <v/>
      </c>
      <c r="F1598" s="68" t="str">
        <f aca="false">IFERROR(INDEX(分录收入!$H:$H,MATCH($L1598,分录收入!$L:$L,0)),"")</f>
        <v/>
      </c>
      <c r="G1598" s="69" t="str">
        <f aca="false">IFERROR(INDEX(分录收入!$I:$I,MATCH($L1598,分录收入!$L:$L,0)),"")</f>
        <v/>
      </c>
      <c r="H1598" s="23"/>
      <c r="I1598" s="70"/>
      <c r="L1598" s="71" t="n">
        <f aca="false">IF(助手收入!$R$108="",-1,助手收入!$R$108*100+(助手收入!$S$108-1)*6+3)</f>
        <v>-1</v>
      </c>
    </row>
    <row r="1599" customFormat="false" ht="23.25" hidden="false" customHeight="true" outlineLevel="0" collapsed="false">
      <c r="B1599" s="67" t="str">
        <f aca="false">""</f>
        <v/>
      </c>
      <c r="C1599" s="67"/>
      <c r="D1599" s="23" t="str">
        <f aca="false">IFERROR(INDEX(分录收入!$E:$E,MATCH($L1599,分录收入!$L:$L,0)),"")</f>
        <v/>
      </c>
      <c r="E1599" s="23" t="str">
        <f aca="false">IFERROR(INDEX(分录收入!$F:$F,MATCH($L1599,分录收入!$L:$L,0)),"")</f>
        <v/>
      </c>
      <c r="F1599" s="68" t="str">
        <f aca="false">IFERROR(INDEX(分录收入!$H:$H,MATCH($L1599,分录收入!$L:$L,0)),"")</f>
        <v/>
      </c>
      <c r="G1599" s="69" t="str">
        <f aca="false">IFERROR(INDEX(分录收入!$I:$I,MATCH($L1599,分录收入!$L:$L,0)),"")</f>
        <v/>
      </c>
      <c r="H1599" s="23"/>
      <c r="I1599" s="70"/>
      <c r="L1599" s="71" t="n">
        <f aca="false">IF(助手收入!$R$108="",-1,助手收入!$R$108*100+(助手收入!$S$108-1)*6+4)</f>
        <v>-1</v>
      </c>
    </row>
    <row r="1600" customFormat="false" ht="23.25" hidden="false" customHeight="true" outlineLevel="0" collapsed="false">
      <c r="B1600" s="67" t="str">
        <f aca="false">""</f>
        <v/>
      </c>
      <c r="C1600" s="67"/>
      <c r="D1600" s="23" t="str">
        <f aca="false">IFERROR(INDEX(分录收入!$E:$E,MATCH($L1600,分录收入!$L:$L,0)),"")</f>
        <v/>
      </c>
      <c r="E1600" s="23" t="str">
        <f aca="false">IFERROR(INDEX(分录收入!$F:$F,MATCH($L1600,分录收入!$L:$L,0)),"")</f>
        <v/>
      </c>
      <c r="F1600" s="68" t="str">
        <f aca="false">IFERROR(INDEX(分录收入!$H:$H,MATCH($L1600,分录收入!$L:$L,0)),"")</f>
        <v/>
      </c>
      <c r="G1600" s="69" t="str">
        <f aca="false">IFERROR(INDEX(分录收入!$I:$I,MATCH($L1600,分录收入!$L:$L,0)),"")</f>
        <v/>
      </c>
      <c r="H1600" s="23"/>
      <c r="I1600" s="70"/>
      <c r="L1600" s="71" t="n">
        <f aca="false">IF(助手收入!$R$108="",-1,助手收入!$R$108*100+(助手收入!$S$108-1)*6+5)</f>
        <v>-1</v>
      </c>
    </row>
    <row r="1601" customFormat="false" ht="23.25" hidden="false" customHeight="true" outlineLevel="0" collapsed="false">
      <c r="B1601" s="67" t="str">
        <f aca="false">""</f>
        <v/>
      </c>
      <c r="C1601" s="67"/>
      <c r="D1601" s="23" t="str">
        <f aca="false">IFERROR(INDEX(分录收入!$E:$E,MATCH($L1601,分录收入!$L:$L,0)),"")</f>
        <v/>
      </c>
      <c r="E1601" s="23" t="str">
        <f aca="false">IFERROR(INDEX(分录收入!$F:$F,MATCH($L1601,分录收入!$L:$L,0)),"")</f>
        <v/>
      </c>
      <c r="F1601" s="68" t="str">
        <f aca="false">IFERROR(INDEX(分录收入!$H:$H,MATCH($L1601,分录收入!$L:$L,0)),"")</f>
        <v/>
      </c>
      <c r="G1601" s="69" t="str">
        <f aca="false">IFERROR(INDEX(分录收入!$I:$I,MATCH($L1601,分录收入!$L:$L,0)),"")</f>
        <v/>
      </c>
      <c r="H1601" s="23"/>
      <c r="I1601" s="70"/>
      <c r="L1601" s="71" t="n">
        <f aca="false">IF(助手收入!$R$108="",-1,助手收入!$R$108*100+(助手收入!$S$108-1)*6+6)</f>
        <v>-1</v>
      </c>
    </row>
    <row r="1602" customFormat="false" ht="23.25" hidden="false" customHeight="true" outlineLevel="0" collapsed="false">
      <c r="B1602" s="72" t="str">
        <f aca="false">IF(助手收入!$T$108=1,"合计：","")</f>
        <v/>
      </c>
      <c r="C1602" s="73" t="str">
        <f aca="false">IF(助手收入!$T$108=1,$F1602,"")</f>
        <v/>
      </c>
      <c r="D1602" s="74"/>
      <c r="E1602" s="74"/>
      <c r="F1602" s="75" t="str">
        <f aca="false">IF(助手收入!$T$108=1,INDEX(助手收入!$N$2:$N$66,助手收入!$R$108),"")</f>
        <v/>
      </c>
      <c r="G1602" s="76" t="str">
        <f aca="false">IF(助手收入!$T$108=1,INDEX(助手收入!$O$2:$O$66,助手收入!$R$108),"")</f>
        <v/>
      </c>
      <c r="H1602" s="74"/>
      <c r="I1602" s="77"/>
    </row>
    <row r="1603" customFormat="false" ht="6" hidden="false" customHeight="true" outlineLevel="0" collapsed="false"/>
    <row r="1604" customFormat="false" ht="13.5" hidden="false" customHeight="false" outlineLevel="0" collapsed="false">
      <c r="B1604" s="78" t="str">
        <f aca="false">IF(助手收入!$R$108&lt;&gt;"","会计主管：","")</f>
        <v/>
      </c>
      <c r="D1604" s="78" t="str">
        <f aca="false">IF(助手收入!$R$108&lt;&gt;"","会计：","")</f>
        <v/>
      </c>
      <c r="E1604" s="78" t="str">
        <f aca="false">IF(助手收入!$R$108&lt;&gt;"","出纳：","")</f>
        <v/>
      </c>
      <c r="F1604" s="78" t="str">
        <f aca="false">IF(助手收入!$R$108&lt;&gt;"","复核：","")</f>
        <v/>
      </c>
      <c r="G1604" s="78" t="str">
        <f aca="false">IF(助手收入!$R$108&lt;&gt;"","制单：","")</f>
        <v/>
      </c>
    </row>
    <row r="1605" customFormat="false" ht="3" hidden="false" customHeight="true" outlineLevel="0" collapsed="false"/>
    <row r="1606" customFormat="false" ht="19.5" hidden="false" customHeight="true" outlineLevel="0" collapsed="false">
      <c r="B1606" s="53" t="str">
        <f aca="false">IF(助手收入!$R$109&lt;&gt;"","记  账  凭  证","")</f>
        <v/>
      </c>
      <c r="C1606" s="53"/>
      <c r="D1606" s="53"/>
      <c r="E1606" s="53"/>
      <c r="F1606" s="53"/>
      <c r="G1606" s="53"/>
      <c r="H1606" s="53"/>
      <c r="I1606" s="53"/>
    </row>
    <row r="1607" customFormat="false" ht="3" hidden="false" customHeight="true" outlineLevel="0" collapsed="false"/>
    <row r="1608" customFormat="false" ht="15" hidden="false" customHeight="true" outlineLevel="0" collapsed="false">
      <c r="C1608" s="56" t="str">
        <f aca="false">IF(助手收入!$R$109&lt;&gt;"",INDEX(助手收入!$B$2:$B$66,助手收入!$R$109),"")</f>
        <v/>
      </c>
      <c r="D1608" s="57" t="str">
        <f aca="false">IF(助手收入!$R$109&lt;&gt;"",参数!$B$2,"")</f>
        <v/>
      </c>
      <c r="E1608" s="57"/>
      <c r="F1608" s="58" t="str">
        <f aca="false">IF(助手收入!$R$109&lt;&gt;"",INDEX(助手收入!$C$2:$C$66,助手收入!$R$109)&amp;"  字第 "&amp;IF(参数!$B$9="是",INDEX(助手收入!$P$2:$P$66,助手收入!$R$109),"　　　　")&amp;" 号"&amp;IF(INDEX(助手收入!$L$2:$L$66,助手收入!$R$109)&gt;1,"  (共"&amp;INDEX(助手收入!$L$2:$L$66,助手收入!$R$109)&amp;"页 第"&amp;助手收入!$S$109&amp;"页)",""),"")</f>
        <v/>
      </c>
      <c r="G1608" s="58"/>
      <c r="H1608" s="58"/>
      <c r="I1608" s="58"/>
      <c r="M1608" s="79" t="str">
        <f aca="false">IF(助手收入!$R$109="","",助手收入!$Q$109)</f>
        <v/>
      </c>
      <c r="N1608" s="80" t="str">
        <f aca="false">IF(助手收入!$R$109="","",INDEX(助手收入!$P$2:$P$66,助手收入!$R$109))</f>
        <v/>
      </c>
      <c r="O1608" s="55" t="str">
        <f aca="false">IF(助手收入!$R$109="","",INDEX(助手收入!$C$2:$C$66,助手收入!$R$109)&amp;"  字第 "&amp;INDEX(助手收入!$P$2:$P$66,助手收入!$R$109)&amp;" 号"&amp;IF(INDEX(助手收入!$L$2:$L$66,助手收入!$R$109)&gt;1,"  (共"&amp;INDEX(助手收入!$L$2:$L$66,助手收入!$R$109)&amp;"页 第"&amp;助手收入!$S$109&amp;"页)",""))</f>
        <v/>
      </c>
    </row>
    <row r="1609" customFormat="false" ht="12.75" hidden="false" customHeight="true" outlineLevel="0" collapsed="false">
      <c r="B1609" s="61" t="str">
        <f aca="false">IF(助手收入!$R$109&lt;&gt;"","摘　　要","")</f>
        <v/>
      </c>
      <c r="C1609" s="61"/>
      <c r="D1609" s="62" t="str">
        <f aca="false">IF(助手收入!$R$109&lt;&gt;"","科　　　　目","")</f>
        <v/>
      </c>
      <c r="E1609" s="62"/>
      <c r="F1609" s="61" t="str">
        <f aca="false">IF(助手收入!$R$109&lt;&gt;"","借 方 金 额","")</f>
        <v/>
      </c>
      <c r="G1609" s="62" t="str">
        <f aca="false">IF(助手收入!$R$109&lt;&gt;"","贷 方 金 额","")</f>
        <v/>
      </c>
      <c r="H1609" s="63" t="str">
        <f aca="false">IF(助手收入!$R$109&lt;&gt;"","√","")</f>
        <v/>
      </c>
      <c r="I1609" s="64" t="str">
        <f aca="false">IF(助手收入!$R$109&lt;&gt;"","附单据  张","")</f>
        <v/>
      </c>
    </row>
    <row r="1610" customFormat="false" ht="12.75" hidden="false" customHeight="true" outlineLevel="0" collapsed="false">
      <c r="B1610" s="61"/>
      <c r="C1610" s="61"/>
      <c r="D1610" s="23" t="str">
        <f aca="false">IF(助手收入!$R$109&lt;&gt;"","总 账 科 目","")</f>
        <v/>
      </c>
      <c r="E1610" s="23" t="str">
        <f aca="false">IF(助手收入!$R$109&lt;&gt;"","明 细 科 目","")</f>
        <v/>
      </c>
      <c r="F1610" s="65"/>
      <c r="G1610" s="66"/>
      <c r="H1610" s="63"/>
      <c r="I1610" s="64"/>
    </row>
    <row r="1611" customFormat="false" ht="23.25" hidden="false" customHeight="true" outlineLevel="0" collapsed="false">
      <c r="B1611" s="67" t="str">
        <f aca="false">IFERROR(INDEX(分录收入!$M:$M,MATCH($L1611,分录收入!$L:$L,0)),"")</f>
        <v/>
      </c>
      <c r="C1611" s="67"/>
      <c r="D1611" s="23" t="str">
        <f aca="false">IFERROR(INDEX(分录收入!$E:$E,MATCH($L1611,分录收入!$L:$L,0)),"")</f>
        <v/>
      </c>
      <c r="E1611" s="23" t="str">
        <f aca="false">IFERROR(INDEX(分录收入!$F:$F,MATCH($L1611,分录收入!$L:$L,0)),"")</f>
        <v/>
      </c>
      <c r="F1611" s="68" t="str">
        <f aca="false">IFERROR(INDEX(分录收入!$H:$H,MATCH($L1611,分录收入!$L:$L,0)),"")</f>
        <v/>
      </c>
      <c r="G1611" s="69" t="str">
        <f aca="false">IFERROR(INDEX(分录收入!$I:$I,MATCH($L1611,分录收入!$L:$L,0)),"")</f>
        <v/>
      </c>
      <c r="H1611" s="23"/>
      <c r="I1611" s="70"/>
      <c r="L1611" s="71" t="n">
        <f aca="false">IF(助手收入!$R$109="",-1,助手收入!$R$109*100+(助手收入!$S$109-1)*6+1)</f>
        <v>-1</v>
      </c>
    </row>
    <row r="1612" customFormat="false" ht="23.25" hidden="false" customHeight="true" outlineLevel="0" collapsed="false">
      <c r="B1612" s="67" t="str">
        <f aca="false">""</f>
        <v/>
      </c>
      <c r="C1612" s="67"/>
      <c r="D1612" s="23" t="str">
        <f aca="false">IFERROR(INDEX(分录收入!$E:$E,MATCH($L1612,分录收入!$L:$L,0)),"")</f>
        <v/>
      </c>
      <c r="E1612" s="23" t="str">
        <f aca="false">IFERROR(INDEX(分录收入!$F:$F,MATCH($L1612,分录收入!$L:$L,0)),"")</f>
        <v/>
      </c>
      <c r="F1612" s="68" t="str">
        <f aca="false">IFERROR(INDEX(分录收入!$H:$H,MATCH($L1612,分录收入!$L:$L,0)),"")</f>
        <v/>
      </c>
      <c r="G1612" s="69" t="str">
        <f aca="false">IFERROR(INDEX(分录收入!$I:$I,MATCH($L1612,分录收入!$L:$L,0)),"")</f>
        <v/>
      </c>
      <c r="H1612" s="23"/>
      <c r="I1612" s="70"/>
      <c r="L1612" s="71" t="n">
        <f aca="false">IF(助手收入!$R$109="",-1,助手收入!$R$109*100+(助手收入!$S$109-1)*6+2)</f>
        <v>-1</v>
      </c>
    </row>
    <row r="1613" customFormat="false" ht="23.25" hidden="false" customHeight="true" outlineLevel="0" collapsed="false">
      <c r="B1613" s="67" t="str">
        <f aca="false">""</f>
        <v/>
      </c>
      <c r="C1613" s="67"/>
      <c r="D1613" s="23" t="str">
        <f aca="false">IFERROR(INDEX(分录收入!$E:$E,MATCH($L1613,分录收入!$L:$L,0)),"")</f>
        <v/>
      </c>
      <c r="E1613" s="23" t="str">
        <f aca="false">IFERROR(INDEX(分录收入!$F:$F,MATCH($L1613,分录收入!$L:$L,0)),"")</f>
        <v/>
      </c>
      <c r="F1613" s="68" t="str">
        <f aca="false">IFERROR(INDEX(分录收入!$H:$H,MATCH($L1613,分录收入!$L:$L,0)),"")</f>
        <v/>
      </c>
      <c r="G1613" s="69" t="str">
        <f aca="false">IFERROR(INDEX(分录收入!$I:$I,MATCH($L1613,分录收入!$L:$L,0)),"")</f>
        <v/>
      </c>
      <c r="H1613" s="23"/>
      <c r="I1613" s="70"/>
      <c r="L1613" s="71" t="n">
        <f aca="false">IF(助手收入!$R$109="",-1,助手收入!$R$109*100+(助手收入!$S$109-1)*6+3)</f>
        <v>-1</v>
      </c>
    </row>
    <row r="1614" customFormat="false" ht="23.25" hidden="false" customHeight="true" outlineLevel="0" collapsed="false">
      <c r="B1614" s="67" t="str">
        <f aca="false">""</f>
        <v/>
      </c>
      <c r="C1614" s="67"/>
      <c r="D1614" s="23" t="str">
        <f aca="false">IFERROR(INDEX(分录收入!$E:$E,MATCH($L1614,分录收入!$L:$L,0)),"")</f>
        <v/>
      </c>
      <c r="E1614" s="23" t="str">
        <f aca="false">IFERROR(INDEX(分录收入!$F:$F,MATCH($L1614,分录收入!$L:$L,0)),"")</f>
        <v/>
      </c>
      <c r="F1614" s="68" t="str">
        <f aca="false">IFERROR(INDEX(分录收入!$H:$H,MATCH($L1614,分录收入!$L:$L,0)),"")</f>
        <v/>
      </c>
      <c r="G1614" s="69" t="str">
        <f aca="false">IFERROR(INDEX(分录收入!$I:$I,MATCH($L1614,分录收入!$L:$L,0)),"")</f>
        <v/>
      </c>
      <c r="H1614" s="23"/>
      <c r="I1614" s="70"/>
      <c r="L1614" s="71" t="n">
        <f aca="false">IF(助手收入!$R$109="",-1,助手收入!$R$109*100+(助手收入!$S$109-1)*6+4)</f>
        <v>-1</v>
      </c>
    </row>
    <row r="1615" customFormat="false" ht="23.25" hidden="false" customHeight="true" outlineLevel="0" collapsed="false">
      <c r="B1615" s="67" t="str">
        <f aca="false">""</f>
        <v/>
      </c>
      <c r="C1615" s="67"/>
      <c r="D1615" s="23" t="str">
        <f aca="false">IFERROR(INDEX(分录收入!$E:$E,MATCH($L1615,分录收入!$L:$L,0)),"")</f>
        <v/>
      </c>
      <c r="E1615" s="23" t="str">
        <f aca="false">IFERROR(INDEX(分录收入!$F:$F,MATCH($L1615,分录收入!$L:$L,0)),"")</f>
        <v/>
      </c>
      <c r="F1615" s="68" t="str">
        <f aca="false">IFERROR(INDEX(分录收入!$H:$H,MATCH($L1615,分录收入!$L:$L,0)),"")</f>
        <v/>
      </c>
      <c r="G1615" s="69" t="str">
        <f aca="false">IFERROR(INDEX(分录收入!$I:$I,MATCH($L1615,分录收入!$L:$L,0)),"")</f>
        <v/>
      </c>
      <c r="H1615" s="23"/>
      <c r="I1615" s="70"/>
      <c r="L1615" s="71" t="n">
        <f aca="false">IF(助手收入!$R$109="",-1,助手收入!$R$109*100+(助手收入!$S$109-1)*6+5)</f>
        <v>-1</v>
      </c>
    </row>
    <row r="1616" customFormat="false" ht="23.25" hidden="false" customHeight="true" outlineLevel="0" collapsed="false">
      <c r="B1616" s="67" t="str">
        <f aca="false">""</f>
        <v/>
      </c>
      <c r="C1616" s="67"/>
      <c r="D1616" s="23" t="str">
        <f aca="false">IFERROR(INDEX(分录收入!$E:$E,MATCH($L1616,分录收入!$L:$L,0)),"")</f>
        <v/>
      </c>
      <c r="E1616" s="23" t="str">
        <f aca="false">IFERROR(INDEX(分录收入!$F:$F,MATCH($L1616,分录收入!$L:$L,0)),"")</f>
        <v/>
      </c>
      <c r="F1616" s="68" t="str">
        <f aca="false">IFERROR(INDEX(分录收入!$H:$H,MATCH($L1616,分录收入!$L:$L,0)),"")</f>
        <v/>
      </c>
      <c r="G1616" s="69" t="str">
        <f aca="false">IFERROR(INDEX(分录收入!$I:$I,MATCH($L1616,分录收入!$L:$L,0)),"")</f>
        <v/>
      </c>
      <c r="H1616" s="23"/>
      <c r="I1616" s="70"/>
      <c r="L1616" s="71" t="n">
        <f aca="false">IF(助手收入!$R$109="",-1,助手收入!$R$109*100+(助手收入!$S$109-1)*6+6)</f>
        <v>-1</v>
      </c>
    </row>
    <row r="1617" customFormat="false" ht="23.25" hidden="false" customHeight="true" outlineLevel="0" collapsed="false">
      <c r="B1617" s="72" t="str">
        <f aca="false">IF(助手收入!$T$109=1,"合计：","")</f>
        <v/>
      </c>
      <c r="C1617" s="73" t="str">
        <f aca="false">IF(助手收入!$T$109=1,$F1617,"")</f>
        <v/>
      </c>
      <c r="D1617" s="74"/>
      <c r="E1617" s="74"/>
      <c r="F1617" s="75" t="str">
        <f aca="false">IF(助手收入!$T$109=1,INDEX(助手收入!$N$2:$N$66,助手收入!$R$109),"")</f>
        <v/>
      </c>
      <c r="G1617" s="76" t="str">
        <f aca="false">IF(助手收入!$T$109=1,INDEX(助手收入!$O$2:$O$66,助手收入!$R$109),"")</f>
        <v/>
      </c>
      <c r="H1617" s="74"/>
      <c r="I1617" s="77"/>
    </row>
    <row r="1618" customFormat="false" ht="6" hidden="false" customHeight="true" outlineLevel="0" collapsed="false"/>
    <row r="1619" customFormat="false" ht="13.5" hidden="false" customHeight="false" outlineLevel="0" collapsed="false">
      <c r="B1619" s="78" t="str">
        <f aca="false">IF(助手收入!$R$109&lt;&gt;"","会计主管：","")</f>
        <v/>
      </c>
      <c r="D1619" s="78" t="str">
        <f aca="false">IF(助手收入!$R$109&lt;&gt;"","会计：","")</f>
        <v/>
      </c>
      <c r="E1619" s="78" t="str">
        <f aca="false">IF(助手收入!$R$109&lt;&gt;"","出纳：","")</f>
        <v/>
      </c>
      <c r="F1619" s="78" t="str">
        <f aca="false">IF(助手收入!$R$109&lt;&gt;"","复核：","")</f>
        <v/>
      </c>
      <c r="G1619" s="78" t="str">
        <f aca="false">IF(助手收入!$R$109&lt;&gt;"","制单：","")</f>
        <v/>
      </c>
    </row>
    <row r="1620" customFormat="false" ht="3" hidden="false" customHeight="true" outlineLevel="0" collapsed="false"/>
    <row r="1621" customFormat="false" ht="19.5" hidden="false" customHeight="true" outlineLevel="0" collapsed="false">
      <c r="B1621" s="53" t="str">
        <f aca="false">IF(助手收入!$R$110&lt;&gt;"","记  账  凭  证","")</f>
        <v/>
      </c>
      <c r="C1621" s="53"/>
      <c r="D1621" s="53"/>
      <c r="E1621" s="53"/>
      <c r="F1621" s="53"/>
      <c r="G1621" s="53"/>
      <c r="H1621" s="53"/>
      <c r="I1621" s="53"/>
    </row>
    <row r="1622" customFormat="false" ht="3" hidden="false" customHeight="true" outlineLevel="0" collapsed="false"/>
    <row r="1623" customFormat="false" ht="15" hidden="false" customHeight="true" outlineLevel="0" collapsed="false">
      <c r="C1623" s="56" t="str">
        <f aca="false">IF(助手收入!$R$110&lt;&gt;"",INDEX(助手收入!$B$2:$B$66,助手收入!$R$110),"")</f>
        <v/>
      </c>
      <c r="D1623" s="57" t="str">
        <f aca="false">IF(助手收入!$R$110&lt;&gt;"",参数!$B$2,"")</f>
        <v/>
      </c>
      <c r="E1623" s="57"/>
      <c r="F1623" s="58" t="str">
        <f aca="false">IF(助手收入!$R$110&lt;&gt;"",INDEX(助手收入!$C$2:$C$66,助手收入!$R$110)&amp;"  字第 "&amp;IF(参数!$B$9="是",INDEX(助手收入!$P$2:$P$66,助手收入!$R$110),"　　　　")&amp;" 号"&amp;IF(INDEX(助手收入!$L$2:$L$66,助手收入!$R$110)&gt;1,"  (共"&amp;INDEX(助手收入!$L$2:$L$66,助手收入!$R$110)&amp;"页 第"&amp;助手收入!$S$110&amp;"页)",""),"")</f>
        <v/>
      </c>
      <c r="G1623" s="58"/>
      <c r="H1623" s="58"/>
      <c r="I1623" s="58"/>
      <c r="M1623" s="79" t="str">
        <f aca="false">IF(助手收入!$R$110="","",助手收入!$Q$110)</f>
        <v/>
      </c>
      <c r="N1623" s="80" t="str">
        <f aca="false">IF(助手收入!$R$110="","",INDEX(助手收入!$P$2:$P$66,助手收入!$R$110))</f>
        <v/>
      </c>
      <c r="O1623" s="55" t="str">
        <f aca="false">IF(助手收入!$R$110="","",INDEX(助手收入!$C$2:$C$66,助手收入!$R$110)&amp;"  字第 "&amp;INDEX(助手收入!$P$2:$P$66,助手收入!$R$110)&amp;" 号"&amp;IF(INDEX(助手收入!$L$2:$L$66,助手收入!$R$110)&gt;1,"  (共"&amp;INDEX(助手收入!$L$2:$L$66,助手收入!$R$110)&amp;"页 第"&amp;助手收入!$S$110&amp;"页)",""))</f>
        <v/>
      </c>
    </row>
    <row r="1624" customFormat="false" ht="12.75" hidden="false" customHeight="true" outlineLevel="0" collapsed="false">
      <c r="B1624" s="61" t="str">
        <f aca="false">IF(助手收入!$R$110&lt;&gt;"","摘　　要","")</f>
        <v/>
      </c>
      <c r="C1624" s="61"/>
      <c r="D1624" s="62" t="str">
        <f aca="false">IF(助手收入!$R$110&lt;&gt;"","科　　　　目","")</f>
        <v/>
      </c>
      <c r="E1624" s="62"/>
      <c r="F1624" s="61" t="str">
        <f aca="false">IF(助手收入!$R$110&lt;&gt;"","借 方 金 额","")</f>
        <v/>
      </c>
      <c r="G1624" s="62" t="str">
        <f aca="false">IF(助手收入!$R$110&lt;&gt;"","贷 方 金 额","")</f>
        <v/>
      </c>
      <c r="H1624" s="63" t="str">
        <f aca="false">IF(助手收入!$R$110&lt;&gt;"","√","")</f>
        <v/>
      </c>
      <c r="I1624" s="64" t="str">
        <f aca="false">IF(助手收入!$R$110&lt;&gt;"","附单据  张","")</f>
        <v/>
      </c>
    </row>
    <row r="1625" customFormat="false" ht="12.75" hidden="false" customHeight="true" outlineLevel="0" collapsed="false">
      <c r="B1625" s="61"/>
      <c r="C1625" s="61"/>
      <c r="D1625" s="23" t="str">
        <f aca="false">IF(助手收入!$R$110&lt;&gt;"","总 账 科 目","")</f>
        <v/>
      </c>
      <c r="E1625" s="23" t="str">
        <f aca="false">IF(助手收入!$R$110&lt;&gt;"","明 细 科 目","")</f>
        <v/>
      </c>
      <c r="F1625" s="65"/>
      <c r="G1625" s="66"/>
      <c r="H1625" s="63"/>
      <c r="I1625" s="64"/>
    </row>
    <row r="1626" customFormat="false" ht="23.25" hidden="false" customHeight="true" outlineLevel="0" collapsed="false">
      <c r="B1626" s="67" t="str">
        <f aca="false">IFERROR(INDEX(分录收入!$M:$M,MATCH($L1626,分录收入!$L:$L,0)),"")</f>
        <v/>
      </c>
      <c r="C1626" s="67"/>
      <c r="D1626" s="23" t="str">
        <f aca="false">IFERROR(INDEX(分录收入!$E:$E,MATCH($L1626,分录收入!$L:$L,0)),"")</f>
        <v/>
      </c>
      <c r="E1626" s="23" t="str">
        <f aca="false">IFERROR(INDEX(分录收入!$F:$F,MATCH($L1626,分录收入!$L:$L,0)),"")</f>
        <v/>
      </c>
      <c r="F1626" s="68" t="str">
        <f aca="false">IFERROR(INDEX(分录收入!$H:$H,MATCH($L1626,分录收入!$L:$L,0)),"")</f>
        <v/>
      </c>
      <c r="G1626" s="69" t="str">
        <f aca="false">IFERROR(INDEX(分录收入!$I:$I,MATCH($L1626,分录收入!$L:$L,0)),"")</f>
        <v/>
      </c>
      <c r="H1626" s="23"/>
      <c r="I1626" s="70"/>
      <c r="L1626" s="71" t="n">
        <f aca="false">IF(助手收入!$R$110="",-1,助手收入!$R$110*100+(助手收入!$S$110-1)*6+1)</f>
        <v>-1</v>
      </c>
    </row>
    <row r="1627" customFormat="false" ht="23.25" hidden="false" customHeight="true" outlineLevel="0" collapsed="false">
      <c r="B1627" s="67" t="str">
        <f aca="false">""</f>
        <v/>
      </c>
      <c r="C1627" s="67"/>
      <c r="D1627" s="23" t="str">
        <f aca="false">IFERROR(INDEX(分录收入!$E:$E,MATCH($L1627,分录收入!$L:$L,0)),"")</f>
        <v/>
      </c>
      <c r="E1627" s="23" t="str">
        <f aca="false">IFERROR(INDEX(分录收入!$F:$F,MATCH($L1627,分录收入!$L:$L,0)),"")</f>
        <v/>
      </c>
      <c r="F1627" s="68" t="str">
        <f aca="false">IFERROR(INDEX(分录收入!$H:$H,MATCH($L1627,分录收入!$L:$L,0)),"")</f>
        <v/>
      </c>
      <c r="G1627" s="69" t="str">
        <f aca="false">IFERROR(INDEX(分录收入!$I:$I,MATCH($L1627,分录收入!$L:$L,0)),"")</f>
        <v/>
      </c>
      <c r="H1627" s="23"/>
      <c r="I1627" s="70"/>
      <c r="L1627" s="71" t="n">
        <f aca="false">IF(助手收入!$R$110="",-1,助手收入!$R$110*100+(助手收入!$S$110-1)*6+2)</f>
        <v>-1</v>
      </c>
    </row>
    <row r="1628" customFormat="false" ht="23.25" hidden="false" customHeight="true" outlineLevel="0" collapsed="false">
      <c r="B1628" s="67" t="str">
        <f aca="false">""</f>
        <v/>
      </c>
      <c r="C1628" s="67"/>
      <c r="D1628" s="23" t="str">
        <f aca="false">IFERROR(INDEX(分录收入!$E:$E,MATCH($L1628,分录收入!$L:$L,0)),"")</f>
        <v/>
      </c>
      <c r="E1628" s="23" t="str">
        <f aca="false">IFERROR(INDEX(分录收入!$F:$F,MATCH($L1628,分录收入!$L:$L,0)),"")</f>
        <v/>
      </c>
      <c r="F1628" s="68" t="str">
        <f aca="false">IFERROR(INDEX(分录收入!$H:$H,MATCH($L1628,分录收入!$L:$L,0)),"")</f>
        <v/>
      </c>
      <c r="G1628" s="69" t="str">
        <f aca="false">IFERROR(INDEX(分录收入!$I:$I,MATCH($L1628,分录收入!$L:$L,0)),"")</f>
        <v/>
      </c>
      <c r="H1628" s="23"/>
      <c r="I1628" s="70"/>
      <c r="L1628" s="71" t="n">
        <f aca="false">IF(助手收入!$R$110="",-1,助手收入!$R$110*100+(助手收入!$S$110-1)*6+3)</f>
        <v>-1</v>
      </c>
    </row>
    <row r="1629" customFormat="false" ht="23.25" hidden="false" customHeight="true" outlineLevel="0" collapsed="false">
      <c r="B1629" s="67" t="str">
        <f aca="false">""</f>
        <v/>
      </c>
      <c r="C1629" s="67"/>
      <c r="D1629" s="23" t="str">
        <f aca="false">IFERROR(INDEX(分录收入!$E:$E,MATCH($L1629,分录收入!$L:$L,0)),"")</f>
        <v/>
      </c>
      <c r="E1629" s="23" t="str">
        <f aca="false">IFERROR(INDEX(分录收入!$F:$F,MATCH($L1629,分录收入!$L:$L,0)),"")</f>
        <v/>
      </c>
      <c r="F1629" s="68" t="str">
        <f aca="false">IFERROR(INDEX(分录收入!$H:$H,MATCH($L1629,分录收入!$L:$L,0)),"")</f>
        <v/>
      </c>
      <c r="G1629" s="69" t="str">
        <f aca="false">IFERROR(INDEX(分录收入!$I:$I,MATCH($L1629,分录收入!$L:$L,0)),"")</f>
        <v/>
      </c>
      <c r="H1629" s="23"/>
      <c r="I1629" s="70"/>
      <c r="L1629" s="71" t="n">
        <f aca="false">IF(助手收入!$R$110="",-1,助手收入!$R$110*100+(助手收入!$S$110-1)*6+4)</f>
        <v>-1</v>
      </c>
    </row>
    <row r="1630" customFormat="false" ht="23.25" hidden="false" customHeight="true" outlineLevel="0" collapsed="false">
      <c r="B1630" s="67" t="str">
        <f aca="false">""</f>
        <v/>
      </c>
      <c r="C1630" s="67"/>
      <c r="D1630" s="23" t="str">
        <f aca="false">IFERROR(INDEX(分录收入!$E:$E,MATCH($L1630,分录收入!$L:$L,0)),"")</f>
        <v/>
      </c>
      <c r="E1630" s="23" t="str">
        <f aca="false">IFERROR(INDEX(分录收入!$F:$F,MATCH($L1630,分录收入!$L:$L,0)),"")</f>
        <v/>
      </c>
      <c r="F1630" s="68" t="str">
        <f aca="false">IFERROR(INDEX(分录收入!$H:$H,MATCH($L1630,分录收入!$L:$L,0)),"")</f>
        <v/>
      </c>
      <c r="G1630" s="69" t="str">
        <f aca="false">IFERROR(INDEX(分录收入!$I:$I,MATCH($L1630,分录收入!$L:$L,0)),"")</f>
        <v/>
      </c>
      <c r="H1630" s="23"/>
      <c r="I1630" s="70"/>
      <c r="L1630" s="71" t="n">
        <f aca="false">IF(助手收入!$R$110="",-1,助手收入!$R$110*100+(助手收入!$S$110-1)*6+5)</f>
        <v>-1</v>
      </c>
    </row>
    <row r="1631" customFormat="false" ht="23.25" hidden="false" customHeight="true" outlineLevel="0" collapsed="false">
      <c r="B1631" s="67" t="str">
        <f aca="false">""</f>
        <v/>
      </c>
      <c r="C1631" s="67"/>
      <c r="D1631" s="23" t="str">
        <f aca="false">IFERROR(INDEX(分录收入!$E:$E,MATCH($L1631,分录收入!$L:$L,0)),"")</f>
        <v/>
      </c>
      <c r="E1631" s="23" t="str">
        <f aca="false">IFERROR(INDEX(分录收入!$F:$F,MATCH($L1631,分录收入!$L:$L,0)),"")</f>
        <v/>
      </c>
      <c r="F1631" s="68" t="str">
        <f aca="false">IFERROR(INDEX(分录收入!$H:$H,MATCH($L1631,分录收入!$L:$L,0)),"")</f>
        <v/>
      </c>
      <c r="G1631" s="69" t="str">
        <f aca="false">IFERROR(INDEX(分录收入!$I:$I,MATCH($L1631,分录收入!$L:$L,0)),"")</f>
        <v/>
      </c>
      <c r="H1631" s="23"/>
      <c r="I1631" s="70"/>
      <c r="L1631" s="71" t="n">
        <f aca="false">IF(助手收入!$R$110="",-1,助手收入!$R$110*100+(助手收入!$S$110-1)*6+6)</f>
        <v>-1</v>
      </c>
    </row>
    <row r="1632" customFormat="false" ht="23.25" hidden="false" customHeight="true" outlineLevel="0" collapsed="false">
      <c r="B1632" s="72" t="str">
        <f aca="false">IF(助手收入!$T$110=1,"合计：","")</f>
        <v/>
      </c>
      <c r="C1632" s="73" t="str">
        <f aca="false">IF(助手收入!$T$110=1,$F1632,"")</f>
        <v/>
      </c>
      <c r="D1632" s="74"/>
      <c r="E1632" s="74"/>
      <c r="F1632" s="75" t="str">
        <f aca="false">IF(助手收入!$T$110=1,INDEX(助手收入!$N$2:$N$66,助手收入!$R$110),"")</f>
        <v/>
      </c>
      <c r="G1632" s="76" t="str">
        <f aca="false">IF(助手收入!$T$110=1,INDEX(助手收入!$O$2:$O$66,助手收入!$R$110),"")</f>
        <v/>
      </c>
      <c r="H1632" s="74"/>
      <c r="I1632" s="77"/>
    </row>
    <row r="1633" customFormat="false" ht="6" hidden="false" customHeight="true" outlineLevel="0" collapsed="false"/>
    <row r="1634" customFormat="false" ht="13.5" hidden="false" customHeight="false" outlineLevel="0" collapsed="false">
      <c r="B1634" s="78" t="str">
        <f aca="false">IF(助手收入!$R$110&lt;&gt;"","会计主管：","")</f>
        <v/>
      </c>
      <c r="D1634" s="78" t="str">
        <f aca="false">IF(助手收入!$R$110&lt;&gt;"","会计：","")</f>
        <v/>
      </c>
      <c r="E1634" s="78" t="str">
        <f aca="false">IF(助手收入!$R$110&lt;&gt;"","出纳：","")</f>
        <v/>
      </c>
      <c r="F1634" s="78" t="str">
        <f aca="false">IF(助手收入!$R$110&lt;&gt;"","复核：","")</f>
        <v/>
      </c>
      <c r="G1634" s="78" t="str">
        <f aca="false">IF(助手收入!$R$110&lt;&gt;"","制单：","")</f>
        <v/>
      </c>
    </row>
    <row r="1635" customFormat="false" ht="3" hidden="false" customHeight="true" outlineLevel="0" collapsed="false"/>
    <row r="1636" customFormat="false" ht="19.5" hidden="false" customHeight="true" outlineLevel="0" collapsed="false">
      <c r="B1636" s="53" t="str">
        <f aca="false">IF(助手收入!$R$111&lt;&gt;"","记  账  凭  证","")</f>
        <v/>
      </c>
      <c r="C1636" s="53"/>
      <c r="D1636" s="53"/>
      <c r="E1636" s="53"/>
      <c r="F1636" s="53"/>
      <c r="G1636" s="53"/>
      <c r="H1636" s="53"/>
      <c r="I1636" s="53"/>
    </row>
    <row r="1637" customFormat="false" ht="3" hidden="false" customHeight="true" outlineLevel="0" collapsed="false"/>
    <row r="1638" customFormat="false" ht="15" hidden="false" customHeight="true" outlineLevel="0" collapsed="false">
      <c r="C1638" s="56" t="str">
        <f aca="false">IF(助手收入!$R$111&lt;&gt;"",INDEX(助手收入!$B$2:$B$66,助手收入!$R$111),"")</f>
        <v/>
      </c>
      <c r="D1638" s="57" t="str">
        <f aca="false">IF(助手收入!$R$111&lt;&gt;"",参数!$B$2,"")</f>
        <v/>
      </c>
      <c r="E1638" s="57"/>
      <c r="F1638" s="58" t="str">
        <f aca="false">IF(助手收入!$R$111&lt;&gt;"",INDEX(助手收入!$C$2:$C$66,助手收入!$R$111)&amp;"  字第 "&amp;IF(参数!$B$9="是",INDEX(助手收入!$P$2:$P$66,助手收入!$R$111),"　　　　")&amp;" 号"&amp;IF(INDEX(助手收入!$L$2:$L$66,助手收入!$R$111)&gt;1,"  (共"&amp;INDEX(助手收入!$L$2:$L$66,助手收入!$R$111)&amp;"页 第"&amp;助手收入!$S$111&amp;"页)",""),"")</f>
        <v/>
      </c>
      <c r="G1638" s="58"/>
      <c r="H1638" s="58"/>
      <c r="I1638" s="58"/>
      <c r="M1638" s="79" t="str">
        <f aca="false">IF(助手收入!$R$111="","",助手收入!$Q$111)</f>
        <v/>
      </c>
      <c r="N1638" s="80" t="str">
        <f aca="false">IF(助手收入!$R$111="","",INDEX(助手收入!$P$2:$P$66,助手收入!$R$111))</f>
        <v/>
      </c>
      <c r="O1638" s="55" t="str">
        <f aca="false">IF(助手收入!$R$111="","",INDEX(助手收入!$C$2:$C$66,助手收入!$R$111)&amp;"  字第 "&amp;INDEX(助手收入!$P$2:$P$66,助手收入!$R$111)&amp;" 号"&amp;IF(INDEX(助手收入!$L$2:$L$66,助手收入!$R$111)&gt;1,"  (共"&amp;INDEX(助手收入!$L$2:$L$66,助手收入!$R$111)&amp;"页 第"&amp;助手收入!$S$111&amp;"页)",""))</f>
        <v/>
      </c>
    </row>
    <row r="1639" customFormat="false" ht="12.75" hidden="false" customHeight="true" outlineLevel="0" collapsed="false">
      <c r="B1639" s="61" t="str">
        <f aca="false">IF(助手收入!$R$111&lt;&gt;"","摘　　要","")</f>
        <v/>
      </c>
      <c r="C1639" s="61"/>
      <c r="D1639" s="62" t="str">
        <f aca="false">IF(助手收入!$R$111&lt;&gt;"","科　　　　目","")</f>
        <v/>
      </c>
      <c r="E1639" s="62"/>
      <c r="F1639" s="61" t="str">
        <f aca="false">IF(助手收入!$R$111&lt;&gt;"","借 方 金 额","")</f>
        <v/>
      </c>
      <c r="G1639" s="62" t="str">
        <f aca="false">IF(助手收入!$R$111&lt;&gt;"","贷 方 金 额","")</f>
        <v/>
      </c>
      <c r="H1639" s="63" t="str">
        <f aca="false">IF(助手收入!$R$111&lt;&gt;"","√","")</f>
        <v/>
      </c>
      <c r="I1639" s="64" t="str">
        <f aca="false">IF(助手收入!$R$111&lt;&gt;"","附单据  张","")</f>
        <v/>
      </c>
    </row>
    <row r="1640" customFormat="false" ht="12.75" hidden="false" customHeight="true" outlineLevel="0" collapsed="false">
      <c r="B1640" s="61"/>
      <c r="C1640" s="61"/>
      <c r="D1640" s="23" t="str">
        <f aca="false">IF(助手收入!$R$111&lt;&gt;"","总 账 科 目","")</f>
        <v/>
      </c>
      <c r="E1640" s="23" t="str">
        <f aca="false">IF(助手收入!$R$111&lt;&gt;"","明 细 科 目","")</f>
        <v/>
      </c>
      <c r="F1640" s="65"/>
      <c r="G1640" s="66"/>
      <c r="H1640" s="63"/>
      <c r="I1640" s="64"/>
    </row>
    <row r="1641" customFormat="false" ht="23.25" hidden="false" customHeight="true" outlineLevel="0" collapsed="false">
      <c r="B1641" s="67" t="str">
        <f aca="false">IFERROR(INDEX(分录收入!$M:$M,MATCH($L1641,分录收入!$L:$L,0)),"")</f>
        <v/>
      </c>
      <c r="C1641" s="67"/>
      <c r="D1641" s="23" t="str">
        <f aca="false">IFERROR(INDEX(分录收入!$E:$E,MATCH($L1641,分录收入!$L:$L,0)),"")</f>
        <v/>
      </c>
      <c r="E1641" s="23" t="str">
        <f aca="false">IFERROR(INDEX(分录收入!$F:$F,MATCH($L1641,分录收入!$L:$L,0)),"")</f>
        <v/>
      </c>
      <c r="F1641" s="68" t="str">
        <f aca="false">IFERROR(INDEX(分录收入!$H:$H,MATCH($L1641,分录收入!$L:$L,0)),"")</f>
        <v/>
      </c>
      <c r="G1641" s="69" t="str">
        <f aca="false">IFERROR(INDEX(分录收入!$I:$I,MATCH($L1641,分录收入!$L:$L,0)),"")</f>
        <v/>
      </c>
      <c r="H1641" s="23"/>
      <c r="I1641" s="70"/>
      <c r="L1641" s="71" t="n">
        <f aca="false">IF(助手收入!$R$111="",-1,助手收入!$R$111*100+(助手收入!$S$111-1)*6+1)</f>
        <v>-1</v>
      </c>
    </row>
    <row r="1642" customFormat="false" ht="23.25" hidden="false" customHeight="true" outlineLevel="0" collapsed="false">
      <c r="B1642" s="67" t="str">
        <f aca="false">""</f>
        <v/>
      </c>
      <c r="C1642" s="67"/>
      <c r="D1642" s="23" t="str">
        <f aca="false">IFERROR(INDEX(分录收入!$E:$E,MATCH($L1642,分录收入!$L:$L,0)),"")</f>
        <v/>
      </c>
      <c r="E1642" s="23" t="str">
        <f aca="false">IFERROR(INDEX(分录收入!$F:$F,MATCH($L1642,分录收入!$L:$L,0)),"")</f>
        <v/>
      </c>
      <c r="F1642" s="68" t="str">
        <f aca="false">IFERROR(INDEX(分录收入!$H:$H,MATCH($L1642,分录收入!$L:$L,0)),"")</f>
        <v/>
      </c>
      <c r="G1642" s="69" t="str">
        <f aca="false">IFERROR(INDEX(分录收入!$I:$I,MATCH($L1642,分录收入!$L:$L,0)),"")</f>
        <v/>
      </c>
      <c r="H1642" s="23"/>
      <c r="I1642" s="70"/>
      <c r="L1642" s="71" t="n">
        <f aca="false">IF(助手收入!$R$111="",-1,助手收入!$R$111*100+(助手收入!$S$111-1)*6+2)</f>
        <v>-1</v>
      </c>
    </row>
    <row r="1643" customFormat="false" ht="23.25" hidden="false" customHeight="true" outlineLevel="0" collapsed="false">
      <c r="B1643" s="67" t="str">
        <f aca="false">""</f>
        <v/>
      </c>
      <c r="C1643" s="67"/>
      <c r="D1643" s="23" t="str">
        <f aca="false">IFERROR(INDEX(分录收入!$E:$E,MATCH($L1643,分录收入!$L:$L,0)),"")</f>
        <v/>
      </c>
      <c r="E1643" s="23" t="str">
        <f aca="false">IFERROR(INDEX(分录收入!$F:$F,MATCH($L1643,分录收入!$L:$L,0)),"")</f>
        <v/>
      </c>
      <c r="F1643" s="68" t="str">
        <f aca="false">IFERROR(INDEX(分录收入!$H:$H,MATCH($L1643,分录收入!$L:$L,0)),"")</f>
        <v/>
      </c>
      <c r="G1643" s="69" t="str">
        <f aca="false">IFERROR(INDEX(分录收入!$I:$I,MATCH($L1643,分录收入!$L:$L,0)),"")</f>
        <v/>
      </c>
      <c r="H1643" s="23"/>
      <c r="I1643" s="70"/>
      <c r="L1643" s="71" t="n">
        <f aca="false">IF(助手收入!$R$111="",-1,助手收入!$R$111*100+(助手收入!$S$111-1)*6+3)</f>
        <v>-1</v>
      </c>
    </row>
    <row r="1644" customFormat="false" ht="23.25" hidden="false" customHeight="true" outlineLevel="0" collapsed="false">
      <c r="B1644" s="67" t="str">
        <f aca="false">""</f>
        <v/>
      </c>
      <c r="C1644" s="67"/>
      <c r="D1644" s="23" t="str">
        <f aca="false">IFERROR(INDEX(分录收入!$E:$E,MATCH($L1644,分录收入!$L:$L,0)),"")</f>
        <v/>
      </c>
      <c r="E1644" s="23" t="str">
        <f aca="false">IFERROR(INDEX(分录收入!$F:$F,MATCH($L1644,分录收入!$L:$L,0)),"")</f>
        <v/>
      </c>
      <c r="F1644" s="68" t="str">
        <f aca="false">IFERROR(INDEX(分录收入!$H:$H,MATCH($L1644,分录收入!$L:$L,0)),"")</f>
        <v/>
      </c>
      <c r="G1644" s="69" t="str">
        <f aca="false">IFERROR(INDEX(分录收入!$I:$I,MATCH($L1644,分录收入!$L:$L,0)),"")</f>
        <v/>
      </c>
      <c r="H1644" s="23"/>
      <c r="I1644" s="70"/>
      <c r="L1644" s="71" t="n">
        <f aca="false">IF(助手收入!$R$111="",-1,助手收入!$R$111*100+(助手收入!$S$111-1)*6+4)</f>
        <v>-1</v>
      </c>
    </row>
    <row r="1645" customFormat="false" ht="23.25" hidden="false" customHeight="true" outlineLevel="0" collapsed="false">
      <c r="B1645" s="67" t="str">
        <f aca="false">""</f>
        <v/>
      </c>
      <c r="C1645" s="67"/>
      <c r="D1645" s="23" t="str">
        <f aca="false">IFERROR(INDEX(分录收入!$E:$E,MATCH($L1645,分录收入!$L:$L,0)),"")</f>
        <v/>
      </c>
      <c r="E1645" s="23" t="str">
        <f aca="false">IFERROR(INDEX(分录收入!$F:$F,MATCH($L1645,分录收入!$L:$L,0)),"")</f>
        <v/>
      </c>
      <c r="F1645" s="68" t="str">
        <f aca="false">IFERROR(INDEX(分录收入!$H:$H,MATCH($L1645,分录收入!$L:$L,0)),"")</f>
        <v/>
      </c>
      <c r="G1645" s="69" t="str">
        <f aca="false">IFERROR(INDEX(分录收入!$I:$I,MATCH($L1645,分录收入!$L:$L,0)),"")</f>
        <v/>
      </c>
      <c r="H1645" s="23"/>
      <c r="I1645" s="70"/>
      <c r="L1645" s="71" t="n">
        <f aca="false">IF(助手收入!$R$111="",-1,助手收入!$R$111*100+(助手收入!$S$111-1)*6+5)</f>
        <v>-1</v>
      </c>
    </row>
    <row r="1646" customFormat="false" ht="23.25" hidden="false" customHeight="true" outlineLevel="0" collapsed="false">
      <c r="B1646" s="67" t="str">
        <f aca="false">""</f>
        <v/>
      </c>
      <c r="C1646" s="67"/>
      <c r="D1646" s="23" t="str">
        <f aca="false">IFERROR(INDEX(分录收入!$E:$E,MATCH($L1646,分录收入!$L:$L,0)),"")</f>
        <v/>
      </c>
      <c r="E1646" s="23" t="str">
        <f aca="false">IFERROR(INDEX(分录收入!$F:$F,MATCH($L1646,分录收入!$L:$L,0)),"")</f>
        <v/>
      </c>
      <c r="F1646" s="68" t="str">
        <f aca="false">IFERROR(INDEX(分录收入!$H:$H,MATCH($L1646,分录收入!$L:$L,0)),"")</f>
        <v/>
      </c>
      <c r="G1646" s="69" t="str">
        <f aca="false">IFERROR(INDEX(分录收入!$I:$I,MATCH($L1646,分录收入!$L:$L,0)),"")</f>
        <v/>
      </c>
      <c r="H1646" s="23"/>
      <c r="I1646" s="70"/>
      <c r="L1646" s="71" t="n">
        <f aca="false">IF(助手收入!$R$111="",-1,助手收入!$R$111*100+(助手收入!$S$111-1)*6+6)</f>
        <v>-1</v>
      </c>
    </row>
    <row r="1647" customFormat="false" ht="23.25" hidden="false" customHeight="true" outlineLevel="0" collapsed="false">
      <c r="B1647" s="72" t="str">
        <f aca="false">IF(助手收入!$T$111=1,"合计：","")</f>
        <v/>
      </c>
      <c r="C1647" s="73" t="str">
        <f aca="false">IF(助手收入!$T$111=1,$F1647,"")</f>
        <v/>
      </c>
      <c r="D1647" s="74"/>
      <c r="E1647" s="74"/>
      <c r="F1647" s="75" t="str">
        <f aca="false">IF(助手收入!$T$111=1,INDEX(助手收入!$N$2:$N$66,助手收入!$R$111),"")</f>
        <v/>
      </c>
      <c r="G1647" s="76" t="str">
        <f aca="false">IF(助手收入!$T$111=1,INDEX(助手收入!$O$2:$O$66,助手收入!$R$111),"")</f>
        <v/>
      </c>
      <c r="H1647" s="74"/>
      <c r="I1647" s="77"/>
    </row>
    <row r="1648" customFormat="false" ht="6" hidden="false" customHeight="true" outlineLevel="0" collapsed="false"/>
    <row r="1649" customFormat="false" ht="13.5" hidden="false" customHeight="false" outlineLevel="0" collapsed="false">
      <c r="B1649" s="78" t="str">
        <f aca="false">IF(助手收入!$R$111&lt;&gt;"","会计主管：","")</f>
        <v/>
      </c>
      <c r="D1649" s="78" t="str">
        <f aca="false">IF(助手收入!$R$111&lt;&gt;"","会计：","")</f>
        <v/>
      </c>
      <c r="E1649" s="78" t="str">
        <f aca="false">IF(助手收入!$R$111&lt;&gt;"","出纳：","")</f>
        <v/>
      </c>
      <c r="F1649" s="78" t="str">
        <f aca="false">IF(助手收入!$R$111&lt;&gt;"","复核：","")</f>
        <v/>
      </c>
      <c r="G1649" s="78" t="str">
        <f aca="false">IF(助手收入!$R$111&lt;&gt;"","制单：","")</f>
        <v/>
      </c>
    </row>
    <row r="1650" customFormat="false" ht="3" hidden="false" customHeight="true" outlineLevel="0" collapsed="false"/>
    <row r="1651" customFormat="false" ht="19.5" hidden="false" customHeight="true" outlineLevel="0" collapsed="false">
      <c r="B1651" s="53" t="str">
        <f aca="false">IF(助手收入!$R$112&lt;&gt;"","记  账  凭  证","")</f>
        <v/>
      </c>
      <c r="C1651" s="53"/>
      <c r="D1651" s="53"/>
      <c r="E1651" s="53"/>
      <c r="F1651" s="53"/>
      <c r="G1651" s="53"/>
      <c r="H1651" s="53"/>
      <c r="I1651" s="53"/>
    </row>
    <row r="1652" customFormat="false" ht="3" hidden="false" customHeight="true" outlineLevel="0" collapsed="false"/>
    <row r="1653" customFormat="false" ht="15" hidden="false" customHeight="true" outlineLevel="0" collapsed="false">
      <c r="C1653" s="56" t="str">
        <f aca="false">IF(助手收入!$R$112&lt;&gt;"",INDEX(助手收入!$B$2:$B$66,助手收入!$R$112),"")</f>
        <v/>
      </c>
      <c r="D1653" s="57" t="str">
        <f aca="false">IF(助手收入!$R$112&lt;&gt;"",参数!$B$2,"")</f>
        <v/>
      </c>
      <c r="E1653" s="57"/>
      <c r="F1653" s="58" t="str">
        <f aca="false">IF(助手收入!$R$112&lt;&gt;"",INDEX(助手收入!$C$2:$C$66,助手收入!$R$112)&amp;"  字第 "&amp;IF(参数!$B$9="是",INDEX(助手收入!$P$2:$P$66,助手收入!$R$112),"　　　　")&amp;" 号"&amp;IF(INDEX(助手收入!$L$2:$L$66,助手收入!$R$112)&gt;1,"  (共"&amp;INDEX(助手收入!$L$2:$L$66,助手收入!$R$112)&amp;"页 第"&amp;助手收入!$S$112&amp;"页)",""),"")</f>
        <v/>
      </c>
      <c r="G1653" s="58"/>
      <c r="H1653" s="58"/>
      <c r="I1653" s="58"/>
      <c r="M1653" s="79" t="str">
        <f aca="false">IF(助手收入!$R$112="","",助手收入!$Q$112)</f>
        <v/>
      </c>
      <c r="N1653" s="80" t="str">
        <f aca="false">IF(助手收入!$R$112="","",INDEX(助手收入!$P$2:$P$66,助手收入!$R$112))</f>
        <v/>
      </c>
      <c r="O1653" s="55" t="str">
        <f aca="false">IF(助手收入!$R$112="","",INDEX(助手收入!$C$2:$C$66,助手收入!$R$112)&amp;"  字第 "&amp;INDEX(助手收入!$P$2:$P$66,助手收入!$R$112)&amp;" 号"&amp;IF(INDEX(助手收入!$L$2:$L$66,助手收入!$R$112)&gt;1,"  (共"&amp;INDEX(助手收入!$L$2:$L$66,助手收入!$R$112)&amp;"页 第"&amp;助手收入!$S$112&amp;"页)",""))</f>
        <v/>
      </c>
    </row>
    <row r="1654" customFormat="false" ht="12.75" hidden="false" customHeight="true" outlineLevel="0" collapsed="false">
      <c r="B1654" s="61" t="str">
        <f aca="false">IF(助手收入!$R$112&lt;&gt;"","摘　　要","")</f>
        <v/>
      </c>
      <c r="C1654" s="61"/>
      <c r="D1654" s="62" t="str">
        <f aca="false">IF(助手收入!$R$112&lt;&gt;"","科　　　　目","")</f>
        <v/>
      </c>
      <c r="E1654" s="62"/>
      <c r="F1654" s="61" t="str">
        <f aca="false">IF(助手收入!$R$112&lt;&gt;"","借 方 金 额","")</f>
        <v/>
      </c>
      <c r="G1654" s="62" t="str">
        <f aca="false">IF(助手收入!$R$112&lt;&gt;"","贷 方 金 额","")</f>
        <v/>
      </c>
      <c r="H1654" s="63" t="str">
        <f aca="false">IF(助手收入!$R$112&lt;&gt;"","√","")</f>
        <v/>
      </c>
      <c r="I1654" s="64" t="str">
        <f aca="false">IF(助手收入!$R$112&lt;&gt;"","附单据  张","")</f>
        <v/>
      </c>
    </row>
    <row r="1655" customFormat="false" ht="12.75" hidden="false" customHeight="true" outlineLevel="0" collapsed="false">
      <c r="B1655" s="61"/>
      <c r="C1655" s="61"/>
      <c r="D1655" s="23" t="str">
        <f aca="false">IF(助手收入!$R$112&lt;&gt;"","总 账 科 目","")</f>
        <v/>
      </c>
      <c r="E1655" s="23" t="str">
        <f aca="false">IF(助手收入!$R$112&lt;&gt;"","明 细 科 目","")</f>
        <v/>
      </c>
      <c r="F1655" s="65"/>
      <c r="G1655" s="66"/>
      <c r="H1655" s="63"/>
      <c r="I1655" s="64"/>
    </row>
    <row r="1656" customFormat="false" ht="23.25" hidden="false" customHeight="true" outlineLevel="0" collapsed="false">
      <c r="B1656" s="67" t="str">
        <f aca="false">IFERROR(INDEX(分录收入!$M:$M,MATCH($L1656,分录收入!$L:$L,0)),"")</f>
        <v/>
      </c>
      <c r="C1656" s="67"/>
      <c r="D1656" s="23" t="str">
        <f aca="false">IFERROR(INDEX(分录收入!$E:$E,MATCH($L1656,分录收入!$L:$L,0)),"")</f>
        <v/>
      </c>
      <c r="E1656" s="23" t="str">
        <f aca="false">IFERROR(INDEX(分录收入!$F:$F,MATCH($L1656,分录收入!$L:$L,0)),"")</f>
        <v/>
      </c>
      <c r="F1656" s="68" t="str">
        <f aca="false">IFERROR(INDEX(分录收入!$H:$H,MATCH($L1656,分录收入!$L:$L,0)),"")</f>
        <v/>
      </c>
      <c r="G1656" s="69" t="str">
        <f aca="false">IFERROR(INDEX(分录收入!$I:$I,MATCH($L1656,分录收入!$L:$L,0)),"")</f>
        <v/>
      </c>
      <c r="H1656" s="23"/>
      <c r="I1656" s="70"/>
      <c r="L1656" s="71" t="n">
        <f aca="false">IF(助手收入!$R$112="",-1,助手收入!$R$112*100+(助手收入!$S$112-1)*6+1)</f>
        <v>-1</v>
      </c>
    </row>
    <row r="1657" customFormat="false" ht="23.25" hidden="false" customHeight="true" outlineLevel="0" collapsed="false">
      <c r="B1657" s="67" t="str">
        <f aca="false">""</f>
        <v/>
      </c>
      <c r="C1657" s="67"/>
      <c r="D1657" s="23" t="str">
        <f aca="false">IFERROR(INDEX(分录收入!$E:$E,MATCH($L1657,分录收入!$L:$L,0)),"")</f>
        <v/>
      </c>
      <c r="E1657" s="23" t="str">
        <f aca="false">IFERROR(INDEX(分录收入!$F:$F,MATCH($L1657,分录收入!$L:$L,0)),"")</f>
        <v/>
      </c>
      <c r="F1657" s="68" t="str">
        <f aca="false">IFERROR(INDEX(分录收入!$H:$H,MATCH($L1657,分录收入!$L:$L,0)),"")</f>
        <v/>
      </c>
      <c r="G1657" s="69" t="str">
        <f aca="false">IFERROR(INDEX(分录收入!$I:$I,MATCH($L1657,分录收入!$L:$L,0)),"")</f>
        <v/>
      </c>
      <c r="H1657" s="23"/>
      <c r="I1657" s="70"/>
      <c r="L1657" s="71" t="n">
        <f aca="false">IF(助手收入!$R$112="",-1,助手收入!$R$112*100+(助手收入!$S$112-1)*6+2)</f>
        <v>-1</v>
      </c>
    </row>
    <row r="1658" customFormat="false" ht="23.25" hidden="false" customHeight="true" outlineLevel="0" collapsed="false">
      <c r="B1658" s="67" t="str">
        <f aca="false">""</f>
        <v/>
      </c>
      <c r="C1658" s="67"/>
      <c r="D1658" s="23" t="str">
        <f aca="false">IFERROR(INDEX(分录收入!$E:$E,MATCH($L1658,分录收入!$L:$L,0)),"")</f>
        <v/>
      </c>
      <c r="E1658" s="23" t="str">
        <f aca="false">IFERROR(INDEX(分录收入!$F:$F,MATCH($L1658,分录收入!$L:$L,0)),"")</f>
        <v/>
      </c>
      <c r="F1658" s="68" t="str">
        <f aca="false">IFERROR(INDEX(分录收入!$H:$H,MATCH($L1658,分录收入!$L:$L,0)),"")</f>
        <v/>
      </c>
      <c r="G1658" s="69" t="str">
        <f aca="false">IFERROR(INDEX(分录收入!$I:$I,MATCH($L1658,分录收入!$L:$L,0)),"")</f>
        <v/>
      </c>
      <c r="H1658" s="23"/>
      <c r="I1658" s="70"/>
      <c r="L1658" s="71" t="n">
        <f aca="false">IF(助手收入!$R$112="",-1,助手收入!$R$112*100+(助手收入!$S$112-1)*6+3)</f>
        <v>-1</v>
      </c>
    </row>
    <row r="1659" customFormat="false" ht="23.25" hidden="false" customHeight="true" outlineLevel="0" collapsed="false">
      <c r="B1659" s="67" t="str">
        <f aca="false">""</f>
        <v/>
      </c>
      <c r="C1659" s="67"/>
      <c r="D1659" s="23" t="str">
        <f aca="false">IFERROR(INDEX(分录收入!$E:$E,MATCH($L1659,分录收入!$L:$L,0)),"")</f>
        <v/>
      </c>
      <c r="E1659" s="23" t="str">
        <f aca="false">IFERROR(INDEX(分录收入!$F:$F,MATCH($L1659,分录收入!$L:$L,0)),"")</f>
        <v/>
      </c>
      <c r="F1659" s="68" t="str">
        <f aca="false">IFERROR(INDEX(分录收入!$H:$H,MATCH($L1659,分录收入!$L:$L,0)),"")</f>
        <v/>
      </c>
      <c r="G1659" s="69" t="str">
        <f aca="false">IFERROR(INDEX(分录收入!$I:$I,MATCH($L1659,分录收入!$L:$L,0)),"")</f>
        <v/>
      </c>
      <c r="H1659" s="23"/>
      <c r="I1659" s="70"/>
      <c r="L1659" s="71" t="n">
        <f aca="false">IF(助手收入!$R$112="",-1,助手收入!$R$112*100+(助手收入!$S$112-1)*6+4)</f>
        <v>-1</v>
      </c>
    </row>
    <row r="1660" customFormat="false" ht="23.25" hidden="false" customHeight="true" outlineLevel="0" collapsed="false">
      <c r="B1660" s="67" t="str">
        <f aca="false">""</f>
        <v/>
      </c>
      <c r="C1660" s="67"/>
      <c r="D1660" s="23" t="str">
        <f aca="false">IFERROR(INDEX(分录收入!$E:$E,MATCH($L1660,分录收入!$L:$L,0)),"")</f>
        <v/>
      </c>
      <c r="E1660" s="23" t="str">
        <f aca="false">IFERROR(INDEX(分录收入!$F:$F,MATCH($L1660,分录收入!$L:$L,0)),"")</f>
        <v/>
      </c>
      <c r="F1660" s="68" t="str">
        <f aca="false">IFERROR(INDEX(分录收入!$H:$H,MATCH($L1660,分录收入!$L:$L,0)),"")</f>
        <v/>
      </c>
      <c r="G1660" s="69" t="str">
        <f aca="false">IFERROR(INDEX(分录收入!$I:$I,MATCH($L1660,分录收入!$L:$L,0)),"")</f>
        <v/>
      </c>
      <c r="H1660" s="23"/>
      <c r="I1660" s="70"/>
      <c r="L1660" s="71" t="n">
        <f aca="false">IF(助手收入!$R$112="",-1,助手收入!$R$112*100+(助手收入!$S$112-1)*6+5)</f>
        <v>-1</v>
      </c>
    </row>
    <row r="1661" customFormat="false" ht="23.25" hidden="false" customHeight="true" outlineLevel="0" collapsed="false">
      <c r="B1661" s="67" t="str">
        <f aca="false">""</f>
        <v/>
      </c>
      <c r="C1661" s="67"/>
      <c r="D1661" s="23" t="str">
        <f aca="false">IFERROR(INDEX(分录收入!$E:$E,MATCH($L1661,分录收入!$L:$L,0)),"")</f>
        <v/>
      </c>
      <c r="E1661" s="23" t="str">
        <f aca="false">IFERROR(INDEX(分录收入!$F:$F,MATCH($L1661,分录收入!$L:$L,0)),"")</f>
        <v/>
      </c>
      <c r="F1661" s="68" t="str">
        <f aca="false">IFERROR(INDEX(分录收入!$H:$H,MATCH($L1661,分录收入!$L:$L,0)),"")</f>
        <v/>
      </c>
      <c r="G1661" s="69" t="str">
        <f aca="false">IFERROR(INDEX(分录收入!$I:$I,MATCH($L1661,分录收入!$L:$L,0)),"")</f>
        <v/>
      </c>
      <c r="H1661" s="23"/>
      <c r="I1661" s="70"/>
      <c r="L1661" s="71" t="n">
        <f aca="false">IF(助手收入!$R$112="",-1,助手收入!$R$112*100+(助手收入!$S$112-1)*6+6)</f>
        <v>-1</v>
      </c>
    </row>
    <row r="1662" customFormat="false" ht="23.25" hidden="false" customHeight="true" outlineLevel="0" collapsed="false">
      <c r="B1662" s="72" t="str">
        <f aca="false">IF(助手收入!$T$112=1,"合计：","")</f>
        <v/>
      </c>
      <c r="C1662" s="73" t="str">
        <f aca="false">IF(助手收入!$T$112=1,$F1662,"")</f>
        <v/>
      </c>
      <c r="D1662" s="74"/>
      <c r="E1662" s="74"/>
      <c r="F1662" s="75" t="str">
        <f aca="false">IF(助手收入!$T$112=1,INDEX(助手收入!$N$2:$N$66,助手收入!$R$112),"")</f>
        <v/>
      </c>
      <c r="G1662" s="76" t="str">
        <f aca="false">IF(助手收入!$T$112=1,INDEX(助手收入!$O$2:$O$66,助手收入!$R$112),"")</f>
        <v/>
      </c>
      <c r="H1662" s="74"/>
      <c r="I1662" s="77"/>
    </row>
    <row r="1663" customFormat="false" ht="6" hidden="false" customHeight="true" outlineLevel="0" collapsed="false"/>
    <row r="1664" customFormat="false" ht="13.5" hidden="false" customHeight="false" outlineLevel="0" collapsed="false">
      <c r="B1664" s="78" t="str">
        <f aca="false">IF(助手收入!$R$112&lt;&gt;"","会计主管：","")</f>
        <v/>
      </c>
      <c r="D1664" s="78" t="str">
        <f aca="false">IF(助手收入!$R$112&lt;&gt;"","会计：","")</f>
        <v/>
      </c>
      <c r="E1664" s="78" t="str">
        <f aca="false">IF(助手收入!$R$112&lt;&gt;"","出纳：","")</f>
        <v/>
      </c>
      <c r="F1664" s="78" t="str">
        <f aca="false">IF(助手收入!$R$112&lt;&gt;"","复核：","")</f>
        <v/>
      </c>
      <c r="G1664" s="78" t="str">
        <f aca="false">IF(助手收入!$R$112&lt;&gt;"","制单：","")</f>
        <v/>
      </c>
    </row>
    <row r="1665" customFormat="false" ht="3" hidden="false" customHeight="true" outlineLevel="0" collapsed="false"/>
    <row r="1666" customFormat="false" ht="19.5" hidden="false" customHeight="true" outlineLevel="0" collapsed="false">
      <c r="B1666" s="53" t="str">
        <f aca="false">IF(助手收入!$R$113&lt;&gt;"","记  账  凭  证","")</f>
        <v/>
      </c>
      <c r="C1666" s="53"/>
      <c r="D1666" s="53"/>
      <c r="E1666" s="53"/>
      <c r="F1666" s="53"/>
      <c r="G1666" s="53"/>
      <c r="H1666" s="53"/>
      <c r="I1666" s="53"/>
    </row>
    <row r="1667" customFormat="false" ht="3" hidden="false" customHeight="true" outlineLevel="0" collapsed="false"/>
    <row r="1668" customFormat="false" ht="15" hidden="false" customHeight="true" outlineLevel="0" collapsed="false">
      <c r="C1668" s="56" t="str">
        <f aca="false">IF(助手收入!$R$113&lt;&gt;"",INDEX(助手收入!$B$2:$B$66,助手收入!$R$113),"")</f>
        <v/>
      </c>
      <c r="D1668" s="57" t="str">
        <f aca="false">IF(助手收入!$R$113&lt;&gt;"",参数!$B$2,"")</f>
        <v/>
      </c>
      <c r="E1668" s="57"/>
      <c r="F1668" s="58" t="str">
        <f aca="false">IF(助手收入!$R$113&lt;&gt;"",INDEX(助手收入!$C$2:$C$66,助手收入!$R$113)&amp;"  字第 "&amp;IF(参数!$B$9="是",INDEX(助手收入!$P$2:$P$66,助手收入!$R$113),"　　　　")&amp;" 号"&amp;IF(INDEX(助手收入!$L$2:$L$66,助手收入!$R$113)&gt;1,"  (共"&amp;INDEX(助手收入!$L$2:$L$66,助手收入!$R$113)&amp;"页 第"&amp;助手收入!$S$113&amp;"页)",""),"")</f>
        <v/>
      </c>
      <c r="G1668" s="58"/>
      <c r="H1668" s="58"/>
      <c r="I1668" s="58"/>
      <c r="M1668" s="79" t="str">
        <f aca="false">IF(助手收入!$R$113="","",助手收入!$Q$113)</f>
        <v/>
      </c>
      <c r="N1668" s="80" t="str">
        <f aca="false">IF(助手收入!$R$113="","",INDEX(助手收入!$P$2:$P$66,助手收入!$R$113))</f>
        <v/>
      </c>
      <c r="O1668" s="55" t="str">
        <f aca="false">IF(助手收入!$R$113="","",INDEX(助手收入!$C$2:$C$66,助手收入!$R$113)&amp;"  字第 "&amp;INDEX(助手收入!$P$2:$P$66,助手收入!$R$113)&amp;" 号"&amp;IF(INDEX(助手收入!$L$2:$L$66,助手收入!$R$113)&gt;1,"  (共"&amp;INDEX(助手收入!$L$2:$L$66,助手收入!$R$113)&amp;"页 第"&amp;助手收入!$S$113&amp;"页)",""))</f>
        <v/>
      </c>
    </row>
    <row r="1669" customFormat="false" ht="12.75" hidden="false" customHeight="true" outlineLevel="0" collapsed="false">
      <c r="B1669" s="61" t="str">
        <f aca="false">IF(助手收入!$R$113&lt;&gt;"","摘　　要","")</f>
        <v/>
      </c>
      <c r="C1669" s="61"/>
      <c r="D1669" s="62" t="str">
        <f aca="false">IF(助手收入!$R$113&lt;&gt;"","科　　　　目","")</f>
        <v/>
      </c>
      <c r="E1669" s="62"/>
      <c r="F1669" s="61" t="str">
        <f aca="false">IF(助手收入!$R$113&lt;&gt;"","借 方 金 额","")</f>
        <v/>
      </c>
      <c r="G1669" s="62" t="str">
        <f aca="false">IF(助手收入!$R$113&lt;&gt;"","贷 方 金 额","")</f>
        <v/>
      </c>
      <c r="H1669" s="63" t="str">
        <f aca="false">IF(助手收入!$R$113&lt;&gt;"","√","")</f>
        <v/>
      </c>
      <c r="I1669" s="64" t="str">
        <f aca="false">IF(助手收入!$R$113&lt;&gt;"","附单据  张","")</f>
        <v/>
      </c>
    </row>
    <row r="1670" customFormat="false" ht="12.75" hidden="false" customHeight="true" outlineLevel="0" collapsed="false">
      <c r="B1670" s="61"/>
      <c r="C1670" s="61"/>
      <c r="D1670" s="23" t="str">
        <f aca="false">IF(助手收入!$R$113&lt;&gt;"","总 账 科 目","")</f>
        <v/>
      </c>
      <c r="E1670" s="23" t="str">
        <f aca="false">IF(助手收入!$R$113&lt;&gt;"","明 细 科 目","")</f>
        <v/>
      </c>
      <c r="F1670" s="65"/>
      <c r="G1670" s="66"/>
      <c r="H1670" s="63"/>
      <c r="I1670" s="64"/>
    </row>
    <row r="1671" customFormat="false" ht="23.25" hidden="false" customHeight="true" outlineLevel="0" collapsed="false">
      <c r="B1671" s="67" t="str">
        <f aca="false">IFERROR(INDEX(分录收入!$M:$M,MATCH($L1671,分录收入!$L:$L,0)),"")</f>
        <v/>
      </c>
      <c r="C1671" s="67"/>
      <c r="D1671" s="23" t="str">
        <f aca="false">IFERROR(INDEX(分录收入!$E:$E,MATCH($L1671,分录收入!$L:$L,0)),"")</f>
        <v/>
      </c>
      <c r="E1671" s="23" t="str">
        <f aca="false">IFERROR(INDEX(分录收入!$F:$F,MATCH($L1671,分录收入!$L:$L,0)),"")</f>
        <v/>
      </c>
      <c r="F1671" s="68" t="str">
        <f aca="false">IFERROR(INDEX(分录收入!$H:$H,MATCH($L1671,分录收入!$L:$L,0)),"")</f>
        <v/>
      </c>
      <c r="G1671" s="69" t="str">
        <f aca="false">IFERROR(INDEX(分录收入!$I:$I,MATCH($L1671,分录收入!$L:$L,0)),"")</f>
        <v/>
      </c>
      <c r="H1671" s="23"/>
      <c r="I1671" s="70"/>
      <c r="L1671" s="71" t="n">
        <f aca="false">IF(助手收入!$R$113="",-1,助手收入!$R$113*100+(助手收入!$S$113-1)*6+1)</f>
        <v>-1</v>
      </c>
    </row>
    <row r="1672" customFormat="false" ht="23.25" hidden="false" customHeight="true" outlineLevel="0" collapsed="false">
      <c r="B1672" s="67" t="str">
        <f aca="false">""</f>
        <v/>
      </c>
      <c r="C1672" s="67"/>
      <c r="D1672" s="23" t="str">
        <f aca="false">IFERROR(INDEX(分录收入!$E:$E,MATCH($L1672,分录收入!$L:$L,0)),"")</f>
        <v/>
      </c>
      <c r="E1672" s="23" t="str">
        <f aca="false">IFERROR(INDEX(分录收入!$F:$F,MATCH($L1672,分录收入!$L:$L,0)),"")</f>
        <v/>
      </c>
      <c r="F1672" s="68" t="str">
        <f aca="false">IFERROR(INDEX(分录收入!$H:$H,MATCH($L1672,分录收入!$L:$L,0)),"")</f>
        <v/>
      </c>
      <c r="G1672" s="69" t="str">
        <f aca="false">IFERROR(INDEX(分录收入!$I:$I,MATCH($L1672,分录收入!$L:$L,0)),"")</f>
        <v/>
      </c>
      <c r="H1672" s="23"/>
      <c r="I1672" s="70"/>
      <c r="L1672" s="71" t="n">
        <f aca="false">IF(助手收入!$R$113="",-1,助手收入!$R$113*100+(助手收入!$S$113-1)*6+2)</f>
        <v>-1</v>
      </c>
    </row>
    <row r="1673" customFormat="false" ht="23.25" hidden="false" customHeight="true" outlineLevel="0" collapsed="false">
      <c r="B1673" s="67" t="str">
        <f aca="false">""</f>
        <v/>
      </c>
      <c r="C1673" s="67"/>
      <c r="D1673" s="23" t="str">
        <f aca="false">IFERROR(INDEX(分录收入!$E:$E,MATCH($L1673,分录收入!$L:$L,0)),"")</f>
        <v/>
      </c>
      <c r="E1673" s="23" t="str">
        <f aca="false">IFERROR(INDEX(分录收入!$F:$F,MATCH($L1673,分录收入!$L:$L,0)),"")</f>
        <v/>
      </c>
      <c r="F1673" s="68" t="str">
        <f aca="false">IFERROR(INDEX(分录收入!$H:$H,MATCH($L1673,分录收入!$L:$L,0)),"")</f>
        <v/>
      </c>
      <c r="G1673" s="69" t="str">
        <f aca="false">IFERROR(INDEX(分录收入!$I:$I,MATCH($L1673,分录收入!$L:$L,0)),"")</f>
        <v/>
      </c>
      <c r="H1673" s="23"/>
      <c r="I1673" s="70"/>
      <c r="L1673" s="71" t="n">
        <f aca="false">IF(助手收入!$R$113="",-1,助手收入!$R$113*100+(助手收入!$S$113-1)*6+3)</f>
        <v>-1</v>
      </c>
    </row>
    <row r="1674" customFormat="false" ht="23.25" hidden="false" customHeight="true" outlineLevel="0" collapsed="false">
      <c r="B1674" s="67" t="str">
        <f aca="false">""</f>
        <v/>
      </c>
      <c r="C1674" s="67"/>
      <c r="D1674" s="23" t="str">
        <f aca="false">IFERROR(INDEX(分录收入!$E:$E,MATCH($L1674,分录收入!$L:$L,0)),"")</f>
        <v/>
      </c>
      <c r="E1674" s="23" t="str">
        <f aca="false">IFERROR(INDEX(分录收入!$F:$F,MATCH($L1674,分录收入!$L:$L,0)),"")</f>
        <v/>
      </c>
      <c r="F1674" s="68" t="str">
        <f aca="false">IFERROR(INDEX(分录收入!$H:$H,MATCH($L1674,分录收入!$L:$L,0)),"")</f>
        <v/>
      </c>
      <c r="G1674" s="69" t="str">
        <f aca="false">IFERROR(INDEX(分录收入!$I:$I,MATCH($L1674,分录收入!$L:$L,0)),"")</f>
        <v/>
      </c>
      <c r="H1674" s="23"/>
      <c r="I1674" s="70"/>
      <c r="L1674" s="71" t="n">
        <f aca="false">IF(助手收入!$R$113="",-1,助手收入!$R$113*100+(助手收入!$S$113-1)*6+4)</f>
        <v>-1</v>
      </c>
    </row>
    <row r="1675" customFormat="false" ht="23.25" hidden="false" customHeight="true" outlineLevel="0" collapsed="false">
      <c r="B1675" s="67" t="str">
        <f aca="false">""</f>
        <v/>
      </c>
      <c r="C1675" s="67"/>
      <c r="D1675" s="23" t="str">
        <f aca="false">IFERROR(INDEX(分录收入!$E:$E,MATCH($L1675,分录收入!$L:$L,0)),"")</f>
        <v/>
      </c>
      <c r="E1675" s="23" t="str">
        <f aca="false">IFERROR(INDEX(分录收入!$F:$F,MATCH($L1675,分录收入!$L:$L,0)),"")</f>
        <v/>
      </c>
      <c r="F1675" s="68" t="str">
        <f aca="false">IFERROR(INDEX(分录收入!$H:$H,MATCH($L1675,分录收入!$L:$L,0)),"")</f>
        <v/>
      </c>
      <c r="G1675" s="69" t="str">
        <f aca="false">IFERROR(INDEX(分录收入!$I:$I,MATCH($L1675,分录收入!$L:$L,0)),"")</f>
        <v/>
      </c>
      <c r="H1675" s="23"/>
      <c r="I1675" s="70"/>
      <c r="L1675" s="71" t="n">
        <f aca="false">IF(助手收入!$R$113="",-1,助手收入!$R$113*100+(助手收入!$S$113-1)*6+5)</f>
        <v>-1</v>
      </c>
    </row>
    <row r="1676" customFormat="false" ht="23.25" hidden="false" customHeight="true" outlineLevel="0" collapsed="false">
      <c r="B1676" s="67" t="str">
        <f aca="false">""</f>
        <v/>
      </c>
      <c r="C1676" s="67"/>
      <c r="D1676" s="23" t="str">
        <f aca="false">IFERROR(INDEX(分录收入!$E:$E,MATCH($L1676,分录收入!$L:$L,0)),"")</f>
        <v/>
      </c>
      <c r="E1676" s="23" t="str">
        <f aca="false">IFERROR(INDEX(分录收入!$F:$F,MATCH($L1676,分录收入!$L:$L,0)),"")</f>
        <v/>
      </c>
      <c r="F1676" s="68" t="str">
        <f aca="false">IFERROR(INDEX(分录收入!$H:$H,MATCH($L1676,分录收入!$L:$L,0)),"")</f>
        <v/>
      </c>
      <c r="G1676" s="69" t="str">
        <f aca="false">IFERROR(INDEX(分录收入!$I:$I,MATCH($L1676,分录收入!$L:$L,0)),"")</f>
        <v/>
      </c>
      <c r="H1676" s="23"/>
      <c r="I1676" s="70"/>
      <c r="L1676" s="71" t="n">
        <f aca="false">IF(助手收入!$R$113="",-1,助手收入!$R$113*100+(助手收入!$S$113-1)*6+6)</f>
        <v>-1</v>
      </c>
    </row>
    <row r="1677" customFormat="false" ht="23.25" hidden="false" customHeight="true" outlineLevel="0" collapsed="false">
      <c r="B1677" s="72" t="str">
        <f aca="false">IF(助手收入!$T$113=1,"合计：","")</f>
        <v/>
      </c>
      <c r="C1677" s="73" t="str">
        <f aca="false">IF(助手收入!$T$113=1,$F1677,"")</f>
        <v/>
      </c>
      <c r="D1677" s="74"/>
      <c r="E1677" s="74"/>
      <c r="F1677" s="75" t="str">
        <f aca="false">IF(助手收入!$T$113=1,INDEX(助手收入!$N$2:$N$66,助手收入!$R$113),"")</f>
        <v/>
      </c>
      <c r="G1677" s="76" t="str">
        <f aca="false">IF(助手收入!$T$113=1,INDEX(助手收入!$O$2:$O$66,助手收入!$R$113),"")</f>
        <v/>
      </c>
      <c r="H1677" s="74"/>
      <c r="I1677" s="77"/>
    </row>
    <row r="1678" customFormat="false" ht="6" hidden="false" customHeight="true" outlineLevel="0" collapsed="false"/>
    <row r="1679" customFormat="false" ht="13.5" hidden="false" customHeight="false" outlineLevel="0" collapsed="false">
      <c r="B1679" s="78" t="str">
        <f aca="false">IF(助手收入!$R$113&lt;&gt;"","会计主管：","")</f>
        <v/>
      </c>
      <c r="D1679" s="78" t="str">
        <f aca="false">IF(助手收入!$R$113&lt;&gt;"","会计：","")</f>
        <v/>
      </c>
      <c r="E1679" s="78" t="str">
        <f aca="false">IF(助手收入!$R$113&lt;&gt;"","出纳：","")</f>
        <v/>
      </c>
      <c r="F1679" s="78" t="str">
        <f aca="false">IF(助手收入!$R$113&lt;&gt;"","复核：","")</f>
        <v/>
      </c>
      <c r="G1679" s="78" t="str">
        <f aca="false">IF(助手收入!$R$113&lt;&gt;"","制单：","")</f>
        <v/>
      </c>
    </row>
    <row r="1680" customFormat="false" ht="3" hidden="false" customHeight="true" outlineLevel="0" collapsed="false"/>
    <row r="1681" customFormat="false" ht="19.5" hidden="false" customHeight="true" outlineLevel="0" collapsed="false">
      <c r="B1681" s="53" t="str">
        <f aca="false">IF(助手收入!$R$114&lt;&gt;"","记  账  凭  证","")</f>
        <v/>
      </c>
      <c r="C1681" s="53"/>
      <c r="D1681" s="53"/>
      <c r="E1681" s="53"/>
      <c r="F1681" s="53"/>
      <c r="G1681" s="53"/>
      <c r="H1681" s="53"/>
      <c r="I1681" s="53"/>
    </row>
    <row r="1682" customFormat="false" ht="3" hidden="false" customHeight="true" outlineLevel="0" collapsed="false"/>
    <row r="1683" customFormat="false" ht="15" hidden="false" customHeight="true" outlineLevel="0" collapsed="false">
      <c r="C1683" s="56" t="str">
        <f aca="false">IF(助手收入!$R$114&lt;&gt;"",INDEX(助手收入!$B$2:$B$66,助手收入!$R$114),"")</f>
        <v/>
      </c>
      <c r="D1683" s="57" t="str">
        <f aca="false">IF(助手收入!$R$114&lt;&gt;"",参数!$B$2,"")</f>
        <v/>
      </c>
      <c r="E1683" s="57"/>
      <c r="F1683" s="58" t="str">
        <f aca="false">IF(助手收入!$R$114&lt;&gt;"",INDEX(助手收入!$C$2:$C$66,助手收入!$R$114)&amp;"  字第 "&amp;IF(参数!$B$9="是",INDEX(助手收入!$P$2:$P$66,助手收入!$R$114),"　　　　")&amp;" 号"&amp;IF(INDEX(助手收入!$L$2:$L$66,助手收入!$R$114)&gt;1,"  (共"&amp;INDEX(助手收入!$L$2:$L$66,助手收入!$R$114)&amp;"页 第"&amp;助手收入!$S$114&amp;"页)",""),"")</f>
        <v/>
      </c>
      <c r="G1683" s="58"/>
      <c r="H1683" s="58"/>
      <c r="I1683" s="58"/>
      <c r="M1683" s="79" t="str">
        <f aca="false">IF(助手收入!$R$114="","",助手收入!$Q$114)</f>
        <v/>
      </c>
      <c r="N1683" s="80" t="str">
        <f aca="false">IF(助手收入!$R$114="","",INDEX(助手收入!$P$2:$P$66,助手收入!$R$114))</f>
        <v/>
      </c>
      <c r="O1683" s="55" t="str">
        <f aca="false">IF(助手收入!$R$114="","",INDEX(助手收入!$C$2:$C$66,助手收入!$R$114)&amp;"  字第 "&amp;INDEX(助手收入!$P$2:$P$66,助手收入!$R$114)&amp;" 号"&amp;IF(INDEX(助手收入!$L$2:$L$66,助手收入!$R$114)&gt;1,"  (共"&amp;INDEX(助手收入!$L$2:$L$66,助手收入!$R$114)&amp;"页 第"&amp;助手收入!$S$114&amp;"页)",""))</f>
        <v/>
      </c>
    </row>
    <row r="1684" customFormat="false" ht="12.75" hidden="false" customHeight="true" outlineLevel="0" collapsed="false">
      <c r="B1684" s="61" t="str">
        <f aca="false">IF(助手收入!$R$114&lt;&gt;"","摘　　要","")</f>
        <v/>
      </c>
      <c r="C1684" s="61"/>
      <c r="D1684" s="62" t="str">
        <f aca="false">IF(助手收入!$R$114&lt;&gt;"","科　　　　目","")</f>
        <v/>
      </c>
      <c r="E1684" s="62"/>
      <c r="F1684" s="61" t="str">
        <f aca="false">IF(助手收入!$R$114&lt;&gt;"","借 方 金 额","")</f>
        <v/>
      </c>
      <c r="G1684" s="62" t="str">
        <f aca="false">IF(助手收入!$R$114&lt;&gt;"","贷 方 金 额","")</f>
        <v/>
      </c>
      <c r="H1684" s="63" t="str">
        <f aca="false">IF(助手收入!$R$114&lt;&gt;"","√","")</f>
        <v/>
      </c>
      <c r="I1684" s="64" t="str">
        <f aca="false">IF(助手收入!$R$114&lt;&gt;"","附单据  张","")</f>
        <v/>
      </c>
    </row>
    <row r="1685" customFormat="false" ht="12.75" hidden="false" customHeight="true" outlineLevel="0" collapsed="false">
      <c r="B1685" s="61"/>
      <c r="C1685" s="61"/>
      <c r="D1685" s="23" t="str">
        <f aca="false">IF(助手收入!$R$114&lt;&gt;"","总 账 科 目","")</f>
        <v/>
      </c>
      <c r="E1685" s="23" t="str">
        <f aca="false">IF(助手收入!$R$114&lt;&gt;"","明 细 科 目","")</f>
        <v/>
      </c>
      <c r="F1685" s="65"/>
      <c r="G1685" s="66"/>
      <c r="H1685" s="63"/>
      <c r="I1685" s="64"/>
    </row>
    <row r="1686" customFormat="false" ht="23.25" hidden="false" customHeight="true" outlineLevel="0" collapsed="false">
      <c r="B1686" s="67" t="str">
        <f aca="false">IFERROR(INDEX(分录收入!$M:$M,MATCH($L1686,分录收入!$L:$L,0)),"")</f>
        <v/>
      </c>
      <c r="C1686" s="67"/>
      <c r="D1686" s="23" t="str">
        <f aca="false">IFERROR(INDEX(分录收入!$E:$E,MATCH($L1686,分录收入!$L:$L,0)),"")</f>
        <v/>
      </c>
      <c r="E1686" s="23" t="str">
        <f aca="false">IFERROR(INDEX(分录收入!$F:$F,MATCH($L1686,分录收入!$L:$L,0)),"")</f>
        <v/>
      </c>
      <c r="F1686" s="68" t="str">
        <f aca="false">IFERROR(INDEX(分录收入!$H:$H,MATCH($L1686,分录收入!$L:$L,0)),"")</f>
        <v/>
      </c>
      <c r="G1686" s="69" t="str">
        <f aca="false">IFERROR(INDEX(分录收入!$I:$I,MATCH($L1686,分录收入!$L:$L,0)),"")</f>
        <v/>
      </c>
      <c r="H1686" s="23"/>
      <c r="I1686" s="70"/>
      <c r="L1686" s="71" t="n">
        <f aca="false">IF(助手收入!$R$114="",-1,助手收入!$R$114*100+(助手收入!$S$114-1)*6+1)</f>
        <v>-1</v>
      </c>
    </row>
    <row r="1687" customFormat="false" ht="23.25" hidden="false" customHeight="true" outlineLevel="0" collapsed="false">
      <c r="B1687" s="67" t="str">
        <f aca="false">""</f>
        <v/>
      </c>
      <c r="C1687" s="67"/>
      <c r="D1687" s="23" t="str">
        <f aca="false">IFERROR(INDEX(分录收入!$E:$E,MATCH($L1687,分录收入!$L:$L,0)),"")</f>
        <v/>
      </c>
      <c r="E1687" s="23" t="str">
        <f aca="false">IFERROR(INDEX(分录收入!$F:$F,MATCH($L1687,分录收入!$L:$L,0)),"")</f>
        <v/>
      </c>
      <c r="F1687" s="68" t="str">
        <f aca="false">IFERROR(INDEX(分录收入!$H:$H,MATCH($L1687,分录收入!$L:$L,0)),"")</f>
        <v/>
      </c>
      <c r="G1687" s="69" t="str">
        <f aca="false">IFERROR(INDEX(分录收入!$I:$I,MATCH($L1687,分录收入!$L:$L,0)),"")</f>
        <v/>
      </c>
      <c r="H1687" s="23"/>
      <c r="I1687" s="70"/>
      <c r="L1687" s="71" t="n">
        <f aca="false">IF(助手收入!$R$114="",-1,助手收入!$R$114*100+(助手收入!$S$114-1)*6+2)</f>
        <v>-1</v>
      </c>
    </row>
    <row r="1688" customFormat="false" ht="23.25" hidden="false" customHeight="true" outlineLevel="0" collapsed="false">
      <c r="B1688" s="67" t="str">
        <f aca="false">""</f>
        <v/>
      </c>
      <c r="C1688" s="67"/>
      <c r="D1688" s="23" t="str">
        <f aca="false">IFERROR(INDEX(分录收入!$E:$E,MATCH($L1688,分录收入!$L:$L,0)),"")</f>
        <v/>
      </c>
      <c r="E1688" s="23" t="str">
        <f aca="false">IFERROR(INDEX(分录收入!$F:$F,MATCH($L1688,分录收入!$L:$L,0)),"")</f>
        <v/>
      </c>
      <c r="F1688" s="68" t="str">
        <f aca="false">IFERROR(INDEX(分录收入!$H:$H,MATCH($L1688,分录收入!$L:$L,0)),"")</f>
        <v/>
      </c>
      <c r="G1688" s="69" t="str">
        <f aca="false">IFERROR(INDEX(分录收入!$I:$I,MATCH($L1688,分录收入!$L:$L,0)),"")</f>
        <v/>
      </c>
      <c r="H1688" s="23"/>
      <c r="I1688" s="70"/>
      <c r="L1688" s="71" t="n">
        <f aca="false">IF(助手收入!$R$114="",-1,助手收入!$R$114*100+(助手收入!$S$114-1)*6+3)</f>
        <v>-1</v>
      </c>
    </row>
    <row r="1689" customFormat="false" ht="23.25" hidden="false" customHeight="true" outlineLevel="0" collapsed="false">
      <c r="B1689" s="67" t="str">
        <f aca="false">""</f>
        <v/>
      </c>
      <c r="C1689" s="67"/>
      <c r="D1689" s="23" t="str">
        <f aca="false">IFERROR(INDEX(分录收入!$E:$E,MATCH($L1689,分录收入!$L:$L,0)),"")</f>
        <v/>
      </c>
      <c r="E1689" s="23" t="str">
        <f aca="false">IFERROR(INDEX(分录收入!$F:$F,MATCH($L1689,分录收入!$L:$L,0)),"")</f>
        <v/>
      </c>
      <c r="F1689" s="68" t="str">
        <f aca="false">IFERROR(INDEX(分录收入!$H:$H,MATCH($L1689,分录收入!$L:$L,0)),"")</f>
        <v/>
      </c>
      <c r="G1689" s="69" t="str">
        <f aca="false">IFERROR(INDEX(分录收入!$I:$I,MATCH($L1689,分录收入!$L:$L,0)),"")</f>
        <v/>
      </c>
      <c r="H1689" s="23"/>
      <c r="I1689" s="70"/>
      <c r="L1689" s="71" t="n">
        <f aca="false">IF(助手收入!$R$114="",-1,助手收入!$R$114*100+(助手收入!$S$114-1)*6+4)</f>
        <v>-1</v>
      </c>
    </row>
    <row r="1690" customFormat="false" ht="23.25" hidden="false" customHeight="true" outlineLevel="0" collapsed="false">
      <c r="B1690" s="67" t="str">
        <f aca="false">""</f>
        <v/>
      </c>
      <c r="C1690" s="67"/>
      <c r="D1690" s="23" t="str">
        <f aca="false">IFERROR(INDEX(分录收入!$E:$E,MATCH($L1690,分录收入!$L:$L,0)),"")</f>
        <v/>
      </c>
      <c r="E1690" s="23" t="str">
        <f aca="false">IFERROR(INDEX(分录收入!$F:$F,MATCH($L1690,分录收入!$L:$L,0)),"")</f>
        <v/>
      </c>
      <c r="F1690" s="68" t="str">
        <f aca="false">IFERROR(INDEX(分录收入!$H:$H,MATCH($L1690,分录收入!$L:$L,0)),"")</f>
        <v/>
      </c>
      <c r="G1690" s="69" t="str">
        <f aca="false">IFERROR(INDEX(分录收入!$I:$I,MATCH($L1690,分录收入!$L:$L,0)),"")</f>
        <v/>
      </c>
      <c r="H1690" s="23"/>
      <c r="I1690" s="70"/>
      <c r="L1690" s="71" t="n">
        <f aca="false">IF(助手收入!$R$114="",-1,助手收入!$R$114*100+(助手收入!$S$114-1)*6+5)</f>
        <v>-1</v>
      </c>
    </row>
    <row r="1691" customFormat="false" ht="23.25" hidden="false" customHeight="true" outlineLevel="0" collapsed="false">
      <c r="B1691" s="67" t="str">
        <f aca="false">""</f>
        <v/>
      </c>
      <c r="C1691" s="67"/>
      <c r="D1691" s="23" t="str">
        <f aca="false">IFERROR(INDEX(分录收入!$E:$E,MATCH($L1691,分录收入!$L:$L,0)),"")</f>
        <v/>
      </c>
      <c r="E1691" s="23" t="str">
        <f aca="false">IFERROR(INDEX(分录收入!$F:$F,MATCH($L1691,分录收入!$L:$L,0)),"")</f>
        <v/>
      </c>
      <c r="F1691" s="68" t="str">
        <f aca="false">IFERROR(INDEX(分录收入!$H:$H,MATCH($L1691,分录收入!$L:$L,0)),"")</f>
        <v/>
      </c>
      <c r="G1691" s="69" t="str">
        <f aca="false">IFERROR(INDEX(分录收入!$I:$I,MATCH($L1691,分录收入!$L:$L,0)),"")</f>
        <v/>
      </c>
      <c r="H1691" s="23"/>
      <c r="I1691" s="70"/>
      <c r="L1691" s="71" t="n">
        <f aca="false">IF(助手收入!$R$114="",-1,助手收入!$R$114*100+(助手收入!$S$114-1)*6+6)</f>
        <v>-1</v>
      </c>
    </row>
    <row r="1692" customFormat="false" ht="23.25" hidden="false" customHeight="true" outlineLevel="0" collapsed="false">
      <c r="B1692" s="72" t="str">
        <f aca="false">IF(助手收入!$T$114=1,"合计：","")</f>
        <v/>
      </c>
      <c r="C1692" s="73" t="str">
        <f aca="false">IF(助手收入!$T$114=1,$F1692,"")</f>
        <v/>
      </c>
      <c r="D1692" s="74"/>
      <c r="E1692" s="74"/>
      <c r="F1692" s="75" t="str">
        <f aca="false">IF(助手收入!$T$114=1,INDEX(助手收入!$N$2:$N$66,助手收入!$R$114),"")</f>
        <v/>
      </c>
      <c r="G1692" s="76" t="str">
        <f aca="false">IF(助手收入!$T$114=1,INDEX(助手收入!$O$2:$O$66,助手收入!$R$114),"")</f>
        <v/>
      </c>
      <c r="H1692" s="74"/>
      <c r="I1692" s="77"/>
    </row>
    <row r="1693" customFormat="false" ht="6" hidden="false" customHeight="true" outlineLevel="0" collapsed="false"/>
    <row r="1694" customFormat="false" ht="13.5" hidden="false" customHeight="false" outlineLevel="0" collapsed="false">
      <c r="B1694" s="78" t="str">
        <f aca="false">IF(助手收入!$R$114&lt;&gt;"","会计主管：","")</f>
        <v/>
      </c>
      <c r="D1694" s="78" t="str">
        <f aca="false">IF(助手收入!$R$114&lt;&gt;"","会计：","")</f>
        <v/>
      </c>
      <c r="E1694" s="78" t="str">
        <f aca="false">IF(助手收入!$R$114&lt;&gt;"","出纳：","")</f>
        <v/>
      </c>
      <c r="F1694" s="78" t="str">
        <f aca="false">IF(助手收入!$R$114&lt;&gt;"","复核：","")</f>
        <v/>
      </c>
      <c r="G1694" s="78" t="str">
        <f aca="false">IF(助手收入!$R$114&lt;&gt;"","制单：","")</f>
        <v/>
      </c>
    </row>
    <row r="1695" customFormat="false" ht="3" hidden="false" customHeight="true" outlineLevel="0" collapsed="false"/>
    <row r="1696" customFormat="false" ht="19.5" hidden="false" customHeight="true" outlineLevel="0" collapsed="false">
      <c r="B1696" s="53" t="str">
        <f aca="false">IF(助手收入!$R$115&lt;&gt;"","记  账  凭  证","")</f>
        <v/>
      </c>
      <c r="C1696" s="53"/>
      <c r="D1696" s="53"/>
      <c r="E1696" s="53"/>
      <c r="F1696" s="53"/>
      <c r="G1696" s="53"/>
      <c r="H1696" s="53"/>
      <c r="I1696" s="53"/>
    </row>
    <row r="1697" customFormat="false" ht="3" hidden="false" customHeight="true" outlineLevel="0" collapsed="false"/>
    <row r="1698" customFormat="false" ht="15" hidden="false" customHeight="true" outlineLevel="0" collapsed="false">
      <c r="C1698" s="56" t="str">
        <f aca="false">IF(助手收入!$R$115&lt;&gt;"",INDEX(助手收入!$B$2:$B$66,助手收入!$R$115),"")</f>
        <v/>
      </c>
      <c r="D1698" s="57" t="str">
        <f aca="false">IF(助手收入!$R$115&lt;&gt;"",参数!$B$2,"")</f>
        <v/>
      </c>
      <c r="E1698" s="57"/>
      <c r="F1698" s="58" t="str">
        <f aca="false">IF(助手收入!$R$115&lt;&gt;"",INDEX(助手收入!$C$2:$C$66,助手收入!$R$115)&amp;"  字第 "&amp;IF(参数!$B$9="是",INDEX(助手收入!$P$2:$P$66,助手收入!$R$115),"　　　　")&amp;" 号"&amp;IF(INDEX(助手收入!$L$2:$L$66,助手收入!$R$115)&gt;1,"  (共"&amp;INDEX(助手收入!$L$2:$L$66,助手收入!$R$115)&amp;"页 第"&amp;助手收入!$S$115&amp;"页)",""),"")</f>
        <v/>
      </c>
      <c r="G1698" s="58"/>
      <c r="H1698" s="58"/>
      <c r="I1698" s="58"/>
      <c r="M1698" s="79" t="str">
        <f aca="false">IF(助手收入!$R$115="","",助手收入!$Q$115)</f>
        <v/>
      </c>
      <c r="N1698" s="80" t="str">
        <f aca="false">IF(助手收入!$R$115="","",INDEX(助手收入!$P$2:$P$66,助手收入!$R$115))</f>
        <v/>
      </c>
      <c r="O1698" s="55" t="str">
        <f aca="false">IF(助手收入!$R$115="","",INDEX(助手收入!$C$2:$C$66,助手收入!$R$115)&amp;"  字第 "&amp;INDEX(助手收入!$P$2:$P$66,助手收入!$R$115)&amp;" 号"&amp;IF(INDEX(助手收入!$L$2:$L$66,助手收入!$R$115)&gt;1,"  (共"&amp;INDEX(助手收入!$L$2:$L$66,助手收入!$R$115)&amp;"页 第"&amp;助手收入!$S$115&amp;"页)",""))</f>
        <v/>
      </c>
    </row>
    <row r="1699" customFormat="false" ht="12.75" hidden="false" customHeight="true" outlineLevel="0" collapsed="false">
      <c r="B1699" s="61" t="str">
        <f aca="false">IF(助手收入!$R$115&lt;&gt;"","摘　　要","")</f>
        <v/>
      </c>
      <c r="C1699" s="61"/>
      <c r="D1699" s="62" t="str">
        <f aca="false">IF(助手收入!$R$115&lt;&gt;"","科　　　　目","")</f>
        <v/>
      </c>
      <c r="E1699" s="62"/>
      <c r="F1699" s="61" t="str">
        <f aca="false">IF(助手收入!$R$115&lt;&gt;"","借 方 金 额","")</f>
        <v/>
      </c>
      <c r="G1699" s="62" t="str">
        <f aca="false">IF(助手收入!$R$115&lt;&gt;"","贷 方 金 额","")</f>
        <v/>
      </c>
      <c r="H1699" s="63" t="str">
        <f aca="false">IF(助手收入!$R$115&lt;&gt;"","√","")</f>
        <v/>
      </c>
      <c r="I1699" s="64" t="str">
        <f aca="false">IF(助手收入!$R$115&lt;&gt;"","附单据  张","")</f>
        <v/>
      </c>
    </row>
    <row r="1700" customFormat="false" ht="12.75" hidden="false" customHeight="true" outlineLevel="0" collapsed="false">
      <c r="B1700" s="61"/>
      <c r="C1700" s="61"/>
      <c r="D1700" s="23" t="str">
        <f aca="false">IF(助手收入!$R$115&lt;&gt;"","总 账 科 目","")</f>
        <v/>
      </c>
      <c r="E1700" s="23" t="str">
        <f aca="false">IF(助手收入!$R$115&lt;&gt;"","明 细 科 目","")</f>
        <v/>
      </c>
      <c r="F1700" s="65"/>
      <c r="G1700" s="66"/>
      <c r="H1700" s="63"/>
      <c r="I1700" s="64"/>
    </row>
    <row r="1701" customFormat="false" ht="23.25" hidden="false" customHeight="true" outlineLevel="0" collapsed="false">
      <c r="B1701" s="67" t="str">
        <f aca="false">IFERROR(INDEX(分录收入!$M:$M,MATCH($L1701,分录收入!$L:$L,0)),"")</f>
        <v/>
      </c>
      <c r="C1701" s="67"/>
      <c r="D1701" s="23" t="str">
        <f aca="false">IFERROR(INDEX(分录收入!$E:$E,MATCH($L1701,分录收入!$L:$L,0)),"")</f>
        <v/>
      </c>
      <c r="E1701" s="23" t="str">
        <f aca="false">IFERROR(INDEX(分录收入!$F:$F,MATCH($L1701,分录收入!$L:$L,0)),"")</f>
        <v/>
      </c>
      <c r="F1701" s="68" t="str">
        <f aca="false">IFERROR(INDEX(分录收入!$H:$H,MATCH($L1701,分录收入!$L:$L,0)),"")</f>
        <v/>
      </c>
      <c r="G1701" s="69" t="str">
        <f aca="false">IFERROR(INDEX(分录收入!$I:$I,MATCH($L1701,分录收入!$L:$L,0)),"")</f>
        <v/>
      </c>
      <c r="H1701" s="23"/>
      <c r="I1701" s="70"/>
      <c r="L1701" s="71" t="n">
        <f aca="false">IF(助手收入!$R$115="",-1,助手收入!$R$115*100+(助手收入!$S$115-1)*6+1)</f>
        <v>-1</v>
      </c>
    </row>
    <row r="1702" customFormat="false" ht="23.25" hidden="false" customHeight="true" outlineLevel="0" collapsed="false">
      <c r="B1702" s="67" t="str">
        <f aca="false">""</f>
        <v/>
      </c>
      <c r="C1702" s="67"/>
      <c r="D1702" s="23" t="str">
        <f aca="false">IFERROR(INDEX(分录收入!$E:$E,MATCH($L1702,分录收入!$L:$L,0)),"")</f>
        <v/>
      </c>
      <c r="E1702" s="23" t="str">
        <f aca="false">IFERROR(INDEX(分录收入!$F:$F,MATCH($L1702,分录收入!$L:$L,0)),"")</f>
        <v/>
      </c>
      <c r="F1702" s="68" t="str">
        <f aca="false">IFERROR(INDEX(分录收入!$H:$H,MATCH($L1702,分录收入!$L:$L,0)),"")</f>
        <v/>
      </c>
      <c r="G1702" s="69" t="str">
        <f aca="false">IFERROR(INDEX(分录收入!$I:$I,MATCH($L1702,分录收入!$L:$L,0)),"")</f>
        <v/>
      </c>
      <c r="H1702" s="23"/>
      <c r="I1702" s="70"/>
      <c r="L1702" s="71" t="n">
        <f aca="false">IF(助手收入!$R$115="",-1,助手收入!$R$115*100+(助手收入!$S$115-1)*6+2)</f>
        <v>-1</v>
      </c>
    </row>
    <row r="1703" customFormat="false" ht="23.25" hidden="false" customHeight="true" outlineLevel="0" collapsed="false">
      <c r="B1703" s="67" t="str">
        <f aca="false">""</f>
        <v/>
      </c>
      <c r="C1703" s="67"/>
      <c r="D1703" s="23" t="str">
        <f aca="false">IFERROR(INDEX(分录收入!$E:$E,MATCH($L1703,分录收入!$L:$L,0)),"")</f>
        <v/>
      </c>
      <c r="E1703" s="23" t="str">
        <f aca="false">IFERROR(INDEX(分录收入!$F:$F,MATCH($L1703,分录收入!$L:$L,0)),"")</f>
        <v/>
      </c>
      <c r="F1703" s="68" t="str">
        <f aca="false">IFERROR(INDEX(分录收入!$H:$H,MATCH($L1703,分录收入!$L:$L,0)),"")</f>
        <v/>
      </c>
      <c r="G1703" s="69" t="str">
        <f aca="false">IFERROR(INDEX(分录收入!$I:$I,MATCH($L1703,分录收入!$L:$L,0)),"")</f>
        <v/>
      </c>
      <c r="H1703" s="23"/>
      <c r="I1703" s="70"/>
      <c r="L1703" s="71" t="n">
        <f aca="false">IF(助手收入!$R$115="",-1,助手收入!$R$115*100+(助手收入!$S$115-1)*6+3)</f>
        <v>-1</v>
      </c>
    </row>
    <row r="1704" customFormat="false" ht="23.25" hidden="false" customHeight="true" outlineLevel="0" collapsed="false">
      <c r="B1704" s="67" t="str">
        <f aca="false">""</f>
        <v/>
      </c>
      <c r="C1704" s="67"/>
      <c r="D1704" s="23" t="str">
        <f aca="false">IFERROR(INDEX(分录收入!$E:$E,MATCH($L1704,分录收入!$L:$L,0)),"")</f>
        <v/>
      </c>
      <c r="E1704" s="23" t="str">
        <f aca="false">IFERROR(INDEX(分录收入!$F:$F,MATCH($L1704,分录收入!$L:$L,0)),"")</f>
        <v/>
      </c>
      <c r="F1704" s="68" t="str">
        <f aca="false">IFERROR(INDEX(分录收入!$H:$H,MATCH($L1704,分录收入!$L:$L,0)),"")</f>
        <v/>
      </c>
      <c r="G1704" s="69" t="str">
        <f aca="false">IFERROR(INDEX(分录收入!$I:$I,MATCH($L1704,分录收入!$L:$L,0)),"")</f>
        <v/>
      </c>
      <c r="H1704" s="23"/>
      <c r="I1704" s="70"/>
      <c r="L1704" s="71" t="n">
        <f aca="false">IF(助手收入!$R$115="",-1,助手收入!$R$115*100+(助手收入!$S$115-1)*6+4)</f>
        <v>-1</v>
      </c>
    </row>
    <row r="1705" customFormat="false" ht="23.25" hidden="false" customHeight="true" outlineLevel="0" collapsed="false">
      <c r="B1705" s="67" t="str">
        <f aca="false">""</f>
        <v/>
      </c>
      <c r="C1705" s="67"/>
      <c r="D1705" s="23" t="str">
        <f aca="false">IFERROR(INDEX(分录收入!$E:$E,MATCH($L1705,分录收入!$L:$L,0)),"")</f>
        <v/>
      </c>
      <c r="E1705" s="23" t="str">
        <f aca="false">IFERROR(INDEX(分录收入!$F:$F,MATCH($L1705,分录收入!$L:$L,0)),"")</f>
        <v/>
      </c>
      <c r="F1705" s="68" t="str">
        <f aca="false">IFERROR(INDEX(分录收入!$H:$H,MATCH($L1705,分录收入!$L:$L,0)),"")</f>
        <v/>
      </c>
      <c r="G1705" s="69" t="str">
        <f aca="false">IFERROR(INDEX(分录收入!$I:$I,MATCH($L1705,分录收入!$L:$L,0)),"")</f>
        <v/>
      </c>
      <c r="H1705" s="23"/>
      <c r="I1705" s="70"/>
      <c r="L1705" s="71" t="n">
        <f aca="false">IF(助手收入!$R$115="",-1,助手收入!$R$115*100+(助手收入!$S$115-1)*6+5)</f>
        <v>-1</v>
      </c>
    </row>
    <row r="1706" customFormat="false" ht="23.25" hidden="false" customHeight="true" outlineLevel="0" collapsed="false">
      <c r="B1706" s="67" t="str">
        <f aca="false">""</f>
        <v/>
      </c>
      <c r="C1706" s="67"/>
      <c r="D1706" s="23" t="str">
        <f aca="false">IFERROR(INDEX(分录收入!$E:$E,MATCH($L1706,分录收入!$L:$L,0)),"")</f>
        <v/>
      </c>
      <c r="E1706" s="23" t="str">
        <f aca="false">IFERROR(INDEX(分录收入!$F:$F,MATCH($L1706,分录收入!$L:$L,0)),"")</f>
        <v/>
      </c>
      <c r="F1706" s="68" t="str">
        <f aca="false">IFERROR(INDEX(分录收入!$H:$H,MATCH($L1706,分录收入!$L:$L,0)),"")</f>
        <v/>
      </c>
      <c r="G1706" s="69" t="str">
        <f aca="false">IFERROR(INDEX(分录收入!$I:$I,MATCH($L1706,分录收入!$L:$L,0)),"")</f>
        <v/>
      </c>
      <c r="H1706" s="23"/>
      <c r="I1706" s="70"/>
      <c r="L1706" s="71" t="n">
        <f aca="false">IF(助手收入!$R$115="",-1,助手收入!$R$115*100+(助手收入!$S$115-1)*6+6)</f>
        <v>-1</v>
      </c>
    </row>
    <row r="1707" customFormat="false" ht="23.25" hidden="false" customHeight="true" outlineLevel="0" collapsed="false">
      <c r="B1707" s="72" t="str">
        <f aca="false">IF(助手收入!$T$115=1,"合计：","")</f>
        <v/>
      </c>
      <c r="C1707" s="73" t="str">
        <f aca="false">IF(助手收入!$T$115=1,$F1707,"")</f>
        <v/>
      </c>
      <c r="D1707" s="74"/>
      <c r="E1707" s="74"/>
      <c r="F1707" s="75" t="str">
        <f aca="false">IF(助手收入!$T$115=1,INDEX(助手收入!$N$2:$N$66,助手收入!$R$115),"")</f>
        <v/>
      </c>
      <c r="G1707" s="76" t="str">
        <f aca="false">IF(助手收入!$T$115=1,INDEX(助手收入!$O$2:$O$66,助手收入!$R$115),"")</f>
        <v/>
      </c>
      <c r="H1707" s="74"/>
      <c r="I1707" s="77"/>
    </row>
    <row r="1708" customFormat="false" ht="6" hidden="false" customHeight="true" outlineLevel="0" collapsed="false"/>
    <row r="1709" customFormat="false" ht="13.5" hidden="false" customHeight="false" outlineLevel="0" collapsed="false">
      <c r="B1709" s="78" t="str">
        <f aca="false">IF(助手收入!$R$115&lt;&gt;"","会计主管：","")</f>
        <v/>
      </c>
      <c r="D1709" s="78" t="str">
        <f aca="false">IF(助手收入!$R$115&lt;&gt;"","会计：","")</f>
        <v/>
      </c>
      <c r="E1709" s="78" t="str">
        <f aca="false">IF(助手收入!$R$115&lt;&gt;"","出纳：","")</f>
        <v/>
      </c>
      <c r="F1709" s="78" t="str">
        <f aca="false">IF(助手收入!$R$115&lt;&gt;"","复核：","")</f>
        <v/>
      </c>
      <c r="G1709" s="78" t="str">
        <f aca="false">IF(助手收入!$R$115&lt;&gt;"","制单：","")</f>
        <v/>
      </c>
    </row>
    <row r="1710" customFormat="false" ht="3" hidden="false" customHeight="true" outlineLevel="0" collapsed="false"/>
    <row r="1711" customFormat="false" ht="19.5" hidden="false" customHeight="true" outlineLevel="0" collapsed="false">
      <c r="B1711" s="53" t="str">
        <f aca="false">IF(助手收入!$R$116&lt;&gt;"","记  账  凭  证","")</f>
        <v/>
      </c>
      <c r="C1711" s="53"/>
      <c r="D1711" s="53"/>
      <c r="E1711" s="53"/>
      <c r="F1711" s="53"/>
      <c r="G1711" s="53"/>
      <c r="H1711" s="53"/>
      <c r="I1711" s="53"/>
    </row>
    <row r="1712" customFormat="false" ht="3" hidden="false" customHeight="true" outlineLevel="0" collapsed="false"/>
    <row r="1713" customFormat="false" ht="15" hidden="false" customHeight="true" outlineLevel="0" collapsed="false">
      <c r="C1713" s="56" t="str">
        <f aca="false">IF(助手收入!$R$116&lt;&gt;"",INDEX(助手收入!$B$2:$B$66,助手收入!$R$116),"")</f>
        <v/>
      </c>
      <c r="D1713" s="57" t="str">
        <f aca="false">IF(助手收入!$R$116&lt;&gt;"",参数!$B$2,"")</f>
        <v/>
      </c>
      <c r="E1713" s="57"/>
      <c r="F1713" s="58" t="str">
        <f aca="false">IF(助手收入!$R$116&lt;&gt;"",INDEX(助手收入!$C$2:$C$66,助手收入!$R$116)&amp;"  字第 "&amp;IF(参数!$B$9="是",INDEX(助手收入!$P$2:$P$66,助手收入!$R$116),"　　　　")&amp;" 号"&amp;IF(INDEX(助手收入!$L$2:$L$66,助手收入!$R$116)&gt;1,"  (共"&amp;INDEX(助手收入!$L$2:$L$66,助手收入!$R$116)&amp;"页 第"&amp;助手收入!$S$116&amp;"页)",""),"")</f>
        <v/>
      </c>
      <c r="G1713" s="58"/>
      <c r="H1713" s="58"/>
      <c r="I1713" s="58"/>
      <c r="M1713" s="79" t="str">
        <f aca="false">IF(助手收入!$R$116="","",助手收入!$Q$116)</f>
        <v/>
      </c>
      <c r="N1713" s="80" t="str">
        <f aca="false">IF(助手收入!$R$116="","",INDEX(助手收入!$P$2:$P$66,助手收入!$R$116))</f>
        <v/>
      </c>
      <c r="O1713" s="55" t="str">
        <f aca="false">IF(助手收入!$R$116="","",INDEX(助手收入!$C$2:$C$66,助手收入!$R$116)&amp;"  字第 "&amp;INDEX(助手收入!$P$2:$P$66,助手收入!$R$116)&amp;" 号"&amp;IF(INDEX(助手收入!$L$2:$L$66,助手收入!$R$116)&gt;1,"  (共"&amp;INDEX(助手收入!$L$2:$L$66,助手收入!$R$116)&amp;"页 第"&amp;助手收入!$S$116&amp;"页)",""))</f>
        <v/>
      </c>
    </row>
    <row r="1714" customFormat="false" ht="12.75" hidden="false" customHeight="true" outlineLevel="0" collapsed="false">
      <c r="B1714" s="61" t="str">
        <f aca="false">IF(助手收入!$R$116&lt;&gt;"","摘　　要","")</f>
        <v/>
      </c>
      <c r="C1714" s="61"/>
      <c r="D1714" s="62" t="str">
        <f aca="false">IF(助手收入!$R$116&lt;&gt;"","科　　　　目","")</f>
        <v/>
      </c>
      <c r="E1714" s="62"/>
      <c r="F1714" s="61" t="str">
        <f aca="false">IF(助手收入!$R$116&lt;&gt;"","借 方 金 额","")</f>
        <v/>
      </c>
      <c r="G1714" s="62" t="str">
        <f aca="false">IF(助手收入!$R$116&lt;&gt;"","贷 方 金 额","")</f>
        <v/>
      </c>
      <c r="H1714" s="63" t="str">
        <f aca="false">IF(助手收入!$R$116&lt;&gt;"","√","")</f>
        <v/>
      </c>
      <c r="I1714" s="64" t="str">
        <f aca="false">IF(助手收入!$R$116&lt;&gt;"","附单据  张","")</f>
        <v/>
      </c>
    </row>
    <row r="1715" customFormat="false" ht="12.75" hidden="false" customHeight="true" outlineLevel="0" collapsed="false">
      <c r="B1715" s="61"/>
      <c r="C1715" s="61"/>
      <c r="D1715" s="23" t="str">
        <f aca="false">IF(助手收入!$R$116&lt;&gt;"","总 账 科 目","")</f>
        <v/>
      </c>
      <c r="E1715" s="23" t="str">
        <f aca="false">IF(助手收入!$R$116&lt;&gt;"","明 细 科 目","")</f>
        <v/>
      </c>
      <c r="F1715" s="65"/>
      <c r="G1715" s="66"/>
      <c r="H1715" s="63"/>
      <c r="I1715" s="64"/>
    </row>
    <row r="1716" customFormat="false" ht="23.25" hidden="false" customHeight="true" outlineLevel="0" collapsed="false">
      <c r="B1716" s="67" t="str">
        <f aca="false">IFERROR(INDEX(分录收入!$M:$M,MATCH($L1716,分录收入!$L:$L,0)),"")</f>
        <v/>
      </c>
      <c r="C1716" s="67"/>
      <c r="D1716" s="23" t="str">
        <f aca="false">IFERROR(INDEX(分录收入!$E:$E,MATCH($L1716,分录收入!$L:$L,0)),"")</f>
        <v/>
      </c>
      <c r="E1716" s="23" t="str">
        <f aca="false">IFERROR(INDEX(分录收入!$F:$F,MATCH($L1716,分录收入!$L:$L,0)),"")</f>
        <v/>
      </c>
      <c r="F1716" s="68" t="str">
        <f aca="false">IFERROR(INDEX(分录收入!$H:$H,MATCH($L1716,分录收入!$L:$L,0)),"")</f>
        <v/>
      </c>
      <c r="G1716" s="69" t="str">
        <f aca="false">IFERROR(INDEX(分录收入!$I:$I,MATCH($L1716,分录收入!$L:$L,0)),"")</f>
        <v/>
      </c>
      <c r="H1716" s="23"/>
      <c r="I1716" s="70"/>
      <c r="L1716" s="71" t="n">
        <f aca="false">IF(助手收入!$R$116="",-1,助手收入!$R$116*100+(助手收入!$S$116-1)*6+1)</f>
        <v>-1</v>
      </c>
    </row>
    <row r="1717" customFormat="false" ht="23.25" hidden="false" customHeight="true" outlineLevel="0" collapsed="false">
      <c r="B1717" s="67" t="str">
        <f aca="false">""</f>
        <v/>
      </c>
      <c r="C1717" s="67"/>
      <c r="D1717" s="23" t="str">
        <f aca="false">IFERROR(INDEX(分录收入!$E:$E,MATCH($L1717,分录收入!$L:$L,0)),"")</f>
        <v/>
      </c>
      <c r="E1717" s="23" t="str">
        <f aca="false">IFERROR(INDEX(分录收入!$F:$F,MATCH($L1717,分录收入!$L:$L,0)),"")</f>
        <v/>
      </c>
      <c r="F1717" s="68" t="str">
        <f aca="false">IFERROR(INDEX(分录收入!$H:$H,MATCH($L1717,分录收入!$L:$L,0)),"")</f>
        <v/>
      </c>
      <c r="G1717" s="69" t="str">
        <f aca="false">IFERROR(INDEX(分录收入!$I:$I,MATCH($L1717,分录收入!$L:$L,0)),"")</f>
        <v/>
      </c>
      <c r="H1717" s="23"/>
      <c r="I1717" s="70"/>
      <c r="L1717" s="71" t="n">
        <f aca="false">IF(助手收入!$R$116="",-1,助手收入!$R$116*100+(助手收入!$S$116-1)*6+2)</f>
        <v>-1</v>
      </c>
    </row>
    <row r="1718" customFormat="false" ht="23.25" hidden="false" customHeight="true" outlineLevel="0" collapsed="false">
      <c r="B1718" s="67" t="str">
        <f aca="false">""</f>
        <v/>
      </c>
      <c r="C1718" s="67"/>
      <c r="D1718" s="23" t="str">
        <f aca="false">IFERROR(INDEX(分录收入!$E:$E,MATCH($L1718,分录收入!$L:$L,0)),"")</f>
        <v/>
      </c>
      <c r="E1718" s="23" t="str">
        <f aca="false">IFERROR(INDEX(分录收入!$F:$F,MATCH($L1718,分录收入!$L:$L,0)),"")</f>
        <v/>
      </c>
      <c r="F1718" s="68" t="str">
        <f aca="false">IFERROR(INDEX(分录收入!$H:$H,MATCH($L1718,分录收入!$L:$L,0)),"")</f>
        <v/>
      </c>
      <c r="G1718" s="69" t="str">
        <f aca="false">IFERROR(INDEX(分录收入!$I:$I,MATCH($L1718,分录收入!$L:$L,0)),"")</f>
        <v/>
      </c>
      <c r="H1718" s="23"/>
      <c r="I1718" s="70"/>
      <c r="L1718" s="71" t="n">
        <f aca="false">IF(助手收入!$R$116="",-1,助手收入!$R$116*100+(助手收入!$S$116-1)*6+3)</f>
        <v>-1</v>
      </c>
    </row>
    <row r="1719" customFormat="false" ht="23.25" hidden="false" customHeight="true" outlineLevel="0" collapsed="false">
      <c r="B1719" s="67" t="str">
        <f aca="false">""</f>
        <v/>
      </c>
      <c r="C1719" s="67"/>
      <c r="D1719" s="23" t="str">
        <f aca="false">IFERROR(INDEX(分录收入!$E:$E,MATCH($L1719,分录收入!$L:$L,0)),"")</f>
        <v/>
      </c>
      <c r="E1719" s="23" t="str">
        <f aca="false">IFERROR(INDEX(分录收入!$F:$F,MATCH($L1719,分录收入!$L:$L,0)),"")</f>
        <v/>
      </c>
      <c r="F1719" s="68" t="str">
        <f aca="false">IFERROR(INDEX(分录收入!$H:$H,MATCH($L1719,分录收入!$L:$L,0)),"")</f>
        <v/>
      </c>
      <c r="G1719" s="69" t="str">
        <f aca="false">IFERROR(INDEX(分录收入!$I:$I,MATCH($L1719,分录收入!$L:$L,0)),"")</f>
        <v/>
      </c>
      <c r="H1719" s="23"/>
      <c r="I1719" s="70"/>
      <c r="L1719" s="71" t="n">
        <f aca="false">IF(助手收入!$R$116="",-1,助手收入!$R$116*100+(助手收入!$S$116-1)*6+4)</f>
        <v>-1</v>
      </c>
    </row>
    <row r="1720" customFormat="false" ht="23.25" hidden="false" customHeight="true" outlineLevel="0" collapsed="false">
      <c r="B1720" s="67" t="str">
        <f aca="false">""</f>
        <v/>
      </c>
      <c r="C1720" s="67"/>
      <c r="D1720" s="23" t="str">
        <f aca="false">IFERROR(INDEX(分录收入!$E:$E,MATCH($L1720,分录收入!$L:$L,0)),"")</f>
        <v/>
      </c>
      <c r="E1720" s="23" t="str">
        <f aca="false">IFERROR(INDEX(分录收入!$F:$F,MATCH($L1720,分录收入!$L:$L,0)),"")</f>
        <v/>
      </c>
      <c r="F1720" s="68" t="str">
        <f aca="false">IFERROR(INDEX(分录收入!$H:$H,MATCH($L1720,分录收入!$L:$L,0)),"")</f>
        <v/>
      </c>
      <c r="G1720" s="69" t="str">
        <f aca="false">IFERROR(INDEX(分录收入!$I:$I,MATCH($L1720,分录收入!$L:$L,0)),"")</f>
        <v/>
      </c>
      <c r="H1720" s="23"/>
      <c r="I1720" s="70"/>
      <c r="L1720" s="71" t="n">
        <f aca="false">IF(助手收入!$R$116="",-1,助手收入!$R$116*100+(助手收入!$S$116-1)*6+5)</f>
        <v>-1</v>
      </c>
    </row>
    <row r="1721" customFormat="false" ht="23.25" hidden="false" customHeight="true" outlineLevel="0" collapsed="false">
      <c r="B1721" s="67" t="str">
        <f aca="false">""</f>
        <v/>
      </c>
      <c r="C1721" s="67"/>
      <c r="D1721" s="23" t="str">
        <f aca="false">IFERROR(INDEX(分录收入!$E:$E,MATCH($L1721,分录收入!$L:$L,0)),"")</f>
        <v/>
      </c>
      <c r="E1721" s="23" t="str">
        <f aca="false">IFERROR(INDEX(分录收入!$F:$F,MATCH($L1721,分录收入!$L:$L,0)),"")</f>
        <v/>
      </c>
      <c r="F1721" s="68" t="str">
        <f aca="false">IFERROR(INDEX(分录收入!$H:$H,MATCH($L1721,分录收入!$L:$L,0)),"")</f>
        <v/>
      </c>
      <c r="G1721" s="69" t="str">
        <f aca="false">IFERROR(INDEX(分录收入!$I:$I,MATCH($L1721,分录收入!$L:$L,0)),"")</f>
        <v/>
      </c>
      <c r="H1721" s="23"/>
      <c r="I1721" s="70"/>
      <c r="L1721" s="71" t="n">
        <f aca="false">IF(助手收入!$R$116="",-1,助手收入!$R$116*100+(助手收入!$S$116-1)*6+6)</f>
        <v>-1</v>
      </c>
    </row>
    <row r="1722" customFormat="false" ht="23.25" hidden="false" customHeight="true" outlineLevel="0" collapsed="false">
      <c r="B1722" s="72" t="str">
        <f aca="false">IF(助手收入!$T$116=1,"合计：","")</f>
        <v/>
      </c>
      <c r="C1722" s="73" t="str">
        <f aca="false">IF(助手收入!$T$116=1,$F1722,"")</f>
        <v/>
      </c>
      <c r="D1722" s="74"/>
      <c r="E1722" s="74"/>
      <c r="F1722" s="75" t="str">
        <f aca="false">IF(助手收入!$T$116=1,INDEX(助手收入!$N$2:$N$66,助手收入!$R$116),"")</f>
        <v/>
      </c>
      <c r="G1722" s="76" t="str">
        <f aca="false">IF(助手收入!$T$116=1,INDEX(助手收入!$O$2:$O$66,助手收入!$R$116),"")</f>
        <v/>
      </c>
      <c r="H1722" s="74"/>
      <c r="I1722" s="77"/>
    </row>
    <row r="1723" customFormat="false" ht="6" hidden="false" customHeight="true" outlineLevel="0" collapsed="false"/>
    <row r="1724" customFormat="false" ht="13.5" hidden="false" customHeight="false" outlineLevel="0" collapsed="false">
      <c r="B1724" s="78" t="str">
        <f aca="false">IF(助手收入!$R$116&lt;&gt;"","会计主管：","")</f>
        <v/>
      </c>
      <c r="D1724" s="78" t="str">
        <f aca="false">IF(助手收入!$R$116&lt;&gt;"","会计：","")</f>
        <v/>
      </c>
      <c r="E1724" s="78" t="str">
        <f aca="false">IF(助手收入!$R$116&lt;&gt;"","出纳：","")</f>
        <v/>
      </c>
      <c r="F1724" s="78" t="str">
        <f aca="false">IF(助手收入!$R$116&lt;&gt;"","复核：","")</f>
        <v/>
      </c>
      <c r="G1724" s="78" t="str">
        <f aca="false">IF(助手收入!$R$116&lt;&gt;"","制单：","")</f>
        <v/>
      </c>
    </row>
    <row r="1725" customFormat="false" ht="3" hidden="false" customHeight="true" outlineLevel="0" collapsed="false"/>
    <row r="1726" customFormat="false" ht="19.5" hidden="false" customHeight="true" outlineLevel="0" collapsed="false">
      <c r="B1726" s="53" t="str">
        <f aca="false">IF(助手收入!$R$117&lt;&gt;"","记  账  凭  证","")</f>
        <v/>
      </c>
      <c r="C1726" s="53"/>
      <c r="D1726" s="53"/>
      <c r="E1726" s="53"/>
      <c r="F1726" s="53"/>
      <c r="G1726" s="53"/>
      <c r="H1726" s="53"/>
      <c r="I1726" s="53"/>
    </row>
    <row r="1727" customFormat="false" ht="3" hidden="false" customHeight="true" outlineLevel="0" collapsed="false"/>
    <row r="1728" customFormat="false" ht="15" hidden="false" customHeight="true" outlineLevel="0" collapsed="false">
      <c r="C1728" s="56" t="str">
        <f aca="false">IF(助手收入!$R$117&lt;&gt;"",INDEX(助手收入!$B$2:$B$66,助手收入!$R$117),"")</f>
        <v/>
      </c>
      <c r="D1728" s="57" t="str">
        <f aca="false">IF(助手收入!$R$117&lt;&gt;"",参数!$B$2,"")</f>
        <v/>
      </c>
      <c r="E1728" s="57"/>
      <c r="F1728" s="58" t="str">
        <f aca="false">IF(助手收入!$R$117&lt;&gt;"",INDEX(助手收入!$C$2:$C$66,助手收入!$R$117)&amp;"  字第 "&amp;IF(参数!$B$9="是",INDEX(助手收入!$P$2:$P$66,助手收入!$R$117),"　　　　")&amp;" 号"&amp;IF(INDEX(助手收入!$L$2:$L$66,助手收入!$R$117)&gt;1,"  (共"&amp;INDEX(助手收入!$L$2:$L$66,助手收入!$R$117)&amp;"页 第"&amp;助手收入!$S$117&amp;"页)",""),"")</f>
        <v/>
      </c>
      <c r="G1728" s="58"/>
      <c r="H1728" s="58"/>
      <c r="I1728" s="58"/>
      <c r="M1728" s="79" t="str">
        <f aca="false">IF(助手收入!$R$117="","",助手收入!$Q$117)</f>
        <v/>
      </c>
      <c r="N1728" s="80" t="str">
        <f aca="false">IF(助手收入!$R$117="","",INDEX(助手收入!$P$2:$P$66,助手收入!$R$117))</f>
        <v/>
      </c>
      <c r="O1728" s="55" t="str">
        <f aca="false">IF(助手收入!$R$117="","",INDEX(助手收入!$C$2:$C$66,助手收入!$R$117)&amp;"  字第 "&amp;INDEX(助手收入!$P$2:$P$66,助手收入!$R$117)&amp;" 号"&amp;IF(INDEX(助手收入!$L$2:$L$66,助手收入!$R$117)&gt;1,"  (共"&amp;INDEX(助手收入!$L$2:$L$66,助手收入!$R$117)&amp;"页 第"&amp;助手收入!$S$117&amp;"页)",""))</f>
        <v/>
      </c>
    </row>
    <row r="1729" customFormat="false" ht="12.75" hidden="false" customHeight="true" outlineLevel="0" collapsed="false">
      <c r="B1729" s="61" t="str">
        <f aca="false">IF(助手收入!$R$117&lt;&gt;"","摘　　要","")</f>
        <v/>
      </c>
      <c r="C1729" s="61"/>
      <c r="D1729" s="62" t="str">
        <f aca="false">IF(助手收入!$R$117&lt;&gt;"","科　　　　目","")</f>
        <v/>
      </c>
      <c r="E1729" s="62"/>
      <c r="F1729" s="61" t="str">
        <f aca="false">IF(助手收入!$R$117&lt;&gt;"","借 方 金 额","")</f>
        <v/>
      </c>
      <c r="G1729" s="62" t="str">
        <f aca="false">IF(助手收入!$R$117&lt;&gt;"","贷 方 金 额","")</f>
        <v/>
      </c>
      <c r="H1729" s="63" t="str">
        <f aca="false">IF(助手收入!$R$117&lt;&gt;"","√","")</f>
        <v/>
      </c>
      <c r="I1729" s="64" t="str">
        <f aca="false">IF(助手收入!$R$117&lt;&gt;"","附单据  张","")</f>
        <v/>
      </c>
    </row>
    <row r="1730" customFormat="false" ht="12.75" hidden="false" customHeight="true" outlineLevel="0" collapsed="false">
      <c r="B1730" s="61"/>
      <c r="C1730" s="61"/>
      <c r="D1730" s="23" t="str">
        <f aca="false">IF(助手收入!$R$117&lt;&gt;"","总 账 科 目","")</f>
        <v/>
      </c>
      <c r="E1730" s="23" t="str">
        <f aca="false">IF(助手收入!$R$117&lt;&gt;"","明 细 科 目","")</f>
        <v/>
      </c>
      <c r="F1730" s="65"/>
      <c r="G1730" s="66"/>
      <c r="H1730" s="63"/>
      <c r="I1730" s="64"/>
    </row>
    <row r="1731" customFormat="false" ht="23.25" hidden="false" customHeight="true" outlineLevel="0" collapsed="false">
      <c r="B1731" s="67" t="str">
        <f aca="false">IFERROR(INDEX(分录收入!$M:$M,MATCH($L1731,分录收入!$L:$L,0)),"")</f>
        <v/>
      </c>
      <c r="C1731" s="67"/>
      <c r="D1731" s="23" t="str">
        <f aca="false">IFERROR(INDEX(分录收入!$E:$E,MATCH($L1731,分录收入!$L:$L,0)),"")</f>
        <v/>
      </c>
      <c r="E1731" s="23" t="str">
        <f aca="false">IFERROR(INDEX(分录收入!$F:$F,MATCH($L1731,分录收入!$L:$L,0)),"")</f>
        <v/>
      </c>
      <c r="F1731" s="68" t="str">
        <f aca="false">IFERROR(INDEX(分录收入!$H:$H,MATCH($L1731,分录收入!$L:$L,0)),"")</f>
        <v/>
      </c>
      <c r="G1731" s="69" t="str">
        <f aca="false">IFERROR(INDEX(分录收入!$I:$I,MATCH($L1731,分录收入!$L:$L,0)),"")</f>
        <v/>
      </c>
      <c r="H1731" s="23"/>
      <c r="I1731" s="70"/>
      <c r="L1731" s="71" t="n">
        <f aca="false">IF(助手收入!$R$117="",-1,助手收入!$R$117*100+(助手收入!$S$117-1)*6+1)</f>
        <v>-1</v>
      </c>
    </row>
    <row r="1732" customFormat="false" ht="23.25" hidden="false" customHeight="true" outlineLevel="0" collapsed="false">
      <c r="B1732" s="67" t="str">
        <f aca="false">""</f>
        <v/>
      </c>
      <c r="C1732" s="67"/>
      <c r="D1732" s="23" t="str">
        <f aca="false">IFERROR(INDEX(分录收入!$E:$E,MATCH($L1732,分录收入!$L:$L,0)),"")</f>
        <v/>
      </c>
      <c r="E1732" s="23" t="str">
        <f aca="false">IFERROR(INDEX(分录收入!$F:$F,MATCH($L1732,分录收入!$L:$L,0)),"")</f>
        <v/>
      </c>
      <c r="F1732" s="68" t="str">
        <f aca="false">IFERROR(INDEX(分录收入!$H:$H,MATCH($L1732,分录收入!$L:$L,0)),"")</f>
        <v/>
      </c>
      <c r="G1732" s="69" t="str">
        <f aca="false">IFERROR(INDEX(分录收入!$I:$I,MATCH($L1732,分录收入!$L:$L,0)),"")</f>
        <v/>
      </c>
      <c r="H1732" s="23"/>
      <c r="I1732" s="70"/>
      <c r="L1732" s="71" t="n">
        <f aca="false">IF(助手收入!$R$117="",-1,助手收入!$R$117*100+(助手收入!$S$117-1)*6+2)</f>
        <v>-1</v>
      </c>
    </row>
    <row r="1733" customFormat="false" ht="23.25" hidden="false" customHeight="true" outlineLevel="0" collapsed="false">
      <c r="B1733" s="67" t="str">
        <f aca="false">""</f>
        <v/>
      </c>
      <c r="C1733" s="67"/>
      <c r="D1733" s="23" t="str">
        <f aca="false">IFERROR(INDEX(分录收入!$E:$E,MATCH($L1733,分录收入!$L:$L,0)),"")</f>
        <v/>
      </c>
      <c r="E1733" s="23" t="str">
        <f aca="false">IFERROR(INDEX(分录收入!$F:$F,MATCH($L1733,分录收入!$L:$L,0)),"")</f>
        <v/>
      </c>
      <c r="F1733" s="68" t="str">
        <f aca="false">IFERROR(INDEX(分录收入!$H:$H,MATCH($L1733,分录收入!$L:$L,0)),"")</f>
        <v/>
      </c>
      <c r="G1733" s="69" t="str">
        <f aca="false">IFERROR(INDEX(分录收入!$I:$I,MATCH($L1733,分录收入!$L:$L,0)),"")</f>
        <v/>
      </c>
      <c r="H1733" s="23"/>
      <c r="I1733" s="70"/>
      <c r="L1733" s="71" t="n">
        <f aca="false">IF(助手收入!$R$117="",-1,助手收入!$R$117*100+(助手收入!$S$117-1)*6+3)</f>
        <v>-1</v>
      </c>
    </row>
    <row r="1734" customFormat="false" ht="23.25" hidden="false" customHeight="true" outlineLevel="0" collapsed="false">
      <c r="B1734" s="67" t="str">
        <f aca="false">""</f>
        <v/>
      </c>
      <c r="C1734" s="67"/>
      <c r="D1734" s="23" t="str">
        <f aca="false">IFERROR(INDEX(分录收入!$E:$E,MATCH($L1734,分录收入!$L:$L,0)),"")</f>
        <v/>
      </c>
      <c r="E1734" s="23" t="str">
        <f aca="false">IFERROR(INDEX(分录收入!$F:$F,MATCH($L1734,分录收入!$L:$L,0)),"")</f>
        <v/>
      </c>
      <c r="F1734" s="68" t="str">
        <f aca="false">IFERROR(INDEX(分录收入!$H:$H,MATCH($L1734,分录收入!$L:$L,0)),"")</f>
        <v/>
      </c>
      <c r="G1734" s="69" t="str">
        <f aca="false">IFERROR(INDEX(分录收入!$I:$I,MATCH($L1734,分录收入!$L:$L,0)),"")</f>
        <v/>
      </c>
      <c r="H1734" s="23"/>
      <c r="I1734" s="70"/>
      <c r="L1734" s="71" t="n">
        <f aca="false">IF(助手收入!$R$117="",-1,助手收入!$R$117*100+(助手收入!$S$117-1)*6+4)</f>
        <v>-1</v>
      </c>
    </row>
    <row r="1735" customFormat="false" ht="23.25" hidden="false" customHeight="true" outlineLevel="0" collapsed="false">
      <c r="B1735" s="67" t="str">
        <f aca="false">""</f>
        <v/>
      </c>
      <c r="C1735" s="67"/>
      <c r="D1735" s="23" t="str">
        <f aca="false">IFERROR(INDEX(分录收入!$E:$E,MATCH($L1735,分录收入!$L:$L,0)),"")</f>
        <v/>
      </c>
      <c r="E1735" s="23" t="str">
        <f aca="false">IFERROR(INDEX(分录收入!$F:$F,MATCH($L1735,分录收入!$L:$L,0)),"")</f>
        <v/>
      </c>
      <c r="F1735" s="68" t="str">
        <f aca="false">IFERROR(INDEX(分录收入!$H:$H,MATCH($L1735,分录收入!$L:$L,0)),"")</f>
        <v/>
      </c>
      <c r="G1735" s="69" t="str">
        <f aca="false">IFERROR(INDEX(分录收入!$I:$I,MATCH($L1735,分录收入!$L:$L,0)),"")</f>
        <v/>
      </c>
      <c r="H1735" s="23"/>
      <c r="I1735" s="70"/>
      <c r="L1735" s="71" t="n">
        <f aca="false">IF(助手收入!$R$117="",-1,助手收入!$R$117*100+(助手收入!$S$117-1)*6+5)</f>
        <v>-1</v>
      </c>
    </row>
    <row r="1736" customFormat="false" ht="23.25" hidden="false" customHeight="true" outlineLevel="0" collapsed="false">
      <c r="B1736" s="67" t="str">
        <f aca="false">""</f>
        <v/>
      </c>
      <c r="C1736" s="67"/>
      <c r="D1736" s="23" t="str">
        <f aca="false">IFERROR(INDEX(分录收入!$E:$E,MATCH($L1736,分录收入!$L:$L,0)),"")</f>
        <v/>
      </c>
      <c r="E1736" s="23" t="str">
        <f aca="false">IFERROR(INDEX(分录收入!$F:$F,MATCH($L1736,分录收入!$L:$L,0)),"")</f>
        <v/>
      </c>
      <c r="F1736" s="68" t="str">
        <f aca="false">IFERROR(INDEX(分录收入!$H:$H,MATCH($L1736,分录收入!$L:$L,0)),"")</f>
        <v/>
      </c>
      <c r="G1736" s="69" t="str">
        <f aca="false">IFERROR(INDEX(分录收入!$I:$I,MATCH($L1736,分录收入!$L:$L,0)),"")</f>
        <v/>
      </c>
      <c r="H1736" s="23"/>
      <c r="I1736" s="70"/>
      <c r="L1736" s="71" t="n">
        <f aca="false">IF(助手收入!$R$117="",-1,助手收入!$R$117*100+(助手收入!$S$117-1)*6+6)</f>
        <v>-1</v>
      </c>
    </row>
    <row r="1737" customFormat="false" ht="23.25" hidden="false" customHeight="true" outlineLevel="0" collapsed="false">
      <c r="B1737" s="72" t="str">
        <f aca="false">IF(助手收入!$T$117=1,"合计：","")</f>
        <v/>
      </c>
      <c r="C1737" s="73" t="str">
        <f aca="false">IF(助手收入!$T$117=1,$F1737,"")</f>
        <v/>
      </c>
      <c r="D1737" s="74"/>
      <c r="E1737" s="74"/>
      <c r="F1737" s="75" t="str">
        <f aca="false">IF(助手收入!$T$117=1,INDEX(助手收入!$N$2:$N$66,助手收入!$R$117),"")</f>
        <v/>
      </c>
      <c r="G1737" s="76" t="str">
        <f aca="false">IF(助手收入!$T$117=1,INDEX(助手收入!$O$2:$O$66,助手收入!$R$117),"")</f>
        <v/>
      </c>
      <c r="H1737" s="74"/>
      <c r="I1737" s="77"/>
    </row>
    <row r="1738" customFormat="false" ht="6" hidden="false" customHeight="true" outlineLevel="0" collapsed="false"/>
    <row r="1739" customFormat="false" ht="13.5" hidden="false" customHeight="false" outlineLevel="0" collapsed="false">
      <c r="B1739" s="78" t="str">
        <f aca="false">IF(助手收入!$R$117&lt;&gt;"","会计主管：","")</f>
        <v/>
      </c>
      <c r="D1739" s="78" t="str">
        <f aca="false">IF(助手收入!$R$117&lt;&gt;"","会计：","")</f>
        <v/>
      </c>
      <c r="E1739" s="78" t="str">
        <f aca="false">IF(助手收入!$R$117&lt;&gt;"","出纳：","")</f>
        <v/>
      </c>
      <c r="F1739" s="78" t="str">
        <f aca="false">IF(助手收入!$R$117&lt;&gt;"","复核：","")</f>
        <v/>
      </c>
      <c r="G1739" s="78" t="str">
        <f aca="false">IF(助手收入!$R$117&lt;&gt;"","制单：","")</f>
        <v/>
      </c>
    </row>
    <row r="1740" customFormat="false" ht="3" hidden="false" customHeight="true" outlineLevel="0" collapsed="false"/>
    <row r="1741" customFormat="false" ht="19.5" hidden="false" customHeight="true" outlineLevel="0" collapsed="false">
      <c r="B1741" s="53" t="str">
        <f aca="false">IF(助手收入!$R$118&lt;&gt;"","记  账  凭  证","")</f>
        <v/>
      </c>
      <c r="C1741" s="53"/>
      <c r="D1741" s="53"/>
      <c r="E1741" s="53"/>
      <c r="F1741" s="53"/>
      <c r="G1741" s="53"/>
      <c r="H1741" s="53"/>
      <c r="I1741" s="53"/>
    </row>
    <row r="1742" customFormat="false" ht="3" hidden="false" customHeight="true" outlineLevel="0" collapsed="false"/>
    <row r="1743" customFormat="false" ht="15" hidden="false" customHeight="true" outlineLevel="0" collapsed="false">
      <c r="C1743" s="56" t="str">
        <f aca="false">IF(助手收入!$R$118&lt;&gt;"",INDEX(助手收入!$B$2:$B$66,助手收入!$R$118),"")</f>
        <v/>
      </c>
      <c r="D1743" s="57" t="str">
        <f aca="false">IF(助手收入!$R$118&lt;&gt;"",参数!$B$2,"")</f>
        <v/>
      </c>
      <c r="E1743" s="57"/>
      <c r="F1743" s="58" t="str">
        <f aca="false">IF(助手收入!$R$118&lt;&gt;"",INDEX(助手收入!$C$2:$C$66,助手收入!$R$118)&amp;"  字第 "&amp;IF(参数!$B$9="是",INDEX(助手收入!$P$2:$P$66,助手收入!$R$118),"　　　　")&amp;" 号"&amp;IF(INDEX(助手收入!$L$2:$L$66,助手收入!$R$118)&gt;1,"  (共"&amp;INDEX(助手收入!$L$2:$L$66,助手收入!$R$118)&amp;"页 第"&amp;助手收入!$S$118&amp;"页)",""),"")</f>
        <v/>
      </c>
      <c r="G1743" s="58"/>
      <c r="H1743" s="58"/>
      <c r="I1743" s="58"/>
      <c r="M1743" s="79" t="str">
        <f aca="false">IF(助手收入!$R$118="","",助手收入!$Q$118)</f>
        <v/>
      </c>
      <c r="N1743" s="80" t="str">
        <f aca="false">IF(助手收入!$R$118="","",INDEX(助手收入!$P$2:$P$66,助手收入!$R$118))</f>
        <v/>
      </c>
      <c r="O1743" s="55" t="str">
        <f aca="false">IF(助手收入!$R$118="","",INDEX(助手收入!$C$2:$C$66,助手收入!$R$118)&amp;"  字第 "&amp;INDEX(助手收入!$P$2:$P$66,助手收入!$R$118)&amp;" 号"&amp;IF(INDEX(助手收入!$L$2:$L$66,助手收入!$R$118)&gt;1,"  (共"&amp;INDEX(助手收入!$L$2:$L$66,助手收入!$R$118)&amp;"页 第"&amp;助手收入!$S$118&amp;"页)",""))</f>
        <v/>
      </c>
    </row>
    <row r="1744" customFormat="false" ht="12.75" hidden="false" customHeight="true" outlineLevel="0" collapsed="false">
      <c r="B1744" s="61" t="str">
        <f aca="false">IF(助手收入!$R$118&lt;&gt;"","摘　　要","")</f>
        <v/>
      </c>
      <c r="C1744" s="61"/>
      <c r="D1744" s="62" t="str">
        <f aca="false">IF(助手收入!$R$118&lt;&gt;"","科　　　　目","")</f>
        <v/>
      </c>
      <c r="E1744" s="62"/>
      <c r="F1744" s="61" t="str">
        <f aca="false">IF(助手收入!$R$118&lt;&gt;"","借 方 金 额","")</f>
        <v/>
      </c>
      <c r="G1744" s="62" t="str">
        <f aca="false">IF(助手收入!$R$118&lt;&gt;"","贷 方 金 额","")</f>
        <v/>
      </c>
      <c r="H1744" s="63" t="str">
        <f aca="false">IF(助手收入!$R$118&lt;&gt;"","√","")</f>
        <v/>
      </c>
      <c r="I1744" s="64" t="str">
        <f aca="false">IF(助手收入!$R$118&lt;&gt;"","附单据  张","")</f>
        <v/>
      </c>
    </row>
    <row r="1745" customFormat="false" ht="12.75" hidden="false" customHeight="true" outlineLevel="0" collapsed="false">
      <c r="B1745" s="61"/>
      <c r="C1745" s="61"/>
      <c r="D1745" s="23" t="str">
        <f aca="false">IF(助手收入!$R$118&lt;&gt;"","总 账 科 目","")</f>
        <v/>
      </c>
      <c r="E1745" s="23" t="str">
        <f aca="false">IF(助手收入!$R$118&lt;&gt;"","明 细 科 目","")</f>
        <v/>
      </c>
      <c r="F1745" s="65"/>
      <c r="G1745" s="66"/>
      <c r="H1745" s="63"/>
      <c r="I1745" s="64"/>
    </row>
    <row r="1746" customFormat="false" ht="23.25" hidden="false" customHeight="true" outlineLevel="0" collapsed="false">
      <c r="B1746" s="67" t="str">
        <f aca="false">IFERROR(INDEX(分录收入!$M:$M,MATCH($L1746,分录收入!$L:$L,0)),"")</f>
        <v/>
      </c>
      <c r="C1746" s="67"/>
      <c r="D1746" s="23" t="str">
        <f aca="false">IFERROR(INDEX(分录收入!$E:$E,MATCH($L1746,分录收入!$L:$L,0)),"")</f>
        <v/>
      </c>
      <c r="E1746" s="23" t="str">
        <f aca="false">IFERROR(INDEX(分录收入!$F:$F,MATCH($L1746,分录收入!$L:$L,0)),"")</f>
        <v/>
      </c>
      <c r="F1746" s="68" t="str">
        <f aca="false">IFERROR(INDEX(分录收入!$H:$H,MATCH($L1746,分录收入!$L:$L,0)),"")</f>
        <v/>
      </c>
      <c r="G1746" s="69" t="str">
        <f aca="false">IFERROR(INDEX(分录收入!$I:$I,MATCH($L1746,分录收入!$L:$L,0)),"")</f>
        <v/>
      </c>
      <c r="H1746" s="23"/>
      <c r="I1746" s="70"/>
      <c r="L1746" s="71" t="n">
        <f aca="false">IF(助手收入!$R$118="",-1,助手收入!$R$118*100+(助手收入!$S$118-1)*6+1)</f>
        <v>-1</v>
      </c>
    </row>
    <row r="1747" customFormat="false" ht="23.25" hidden="false" customHeight="true" outlineLevel="0" collapsed="false">
      <c r="B1747" s="67" t="str">
        <f aca="false">""</f>
        <v/>
      </c>
      <c r="C1747" s="67"/>
      <c r="D1747" s="23" t="str">
        <f aca="false">IFERROR(INDEX(分录收入!$E:$E,MATCH($L1747,分录收入!$L:$L,0)),"")</f>
        <v/>
      </c>
      <c r="E1747" s="23" t="str">
        <f aca="false">IFERROR(INDEX(分录收入!$F:$F,MATCH($L1747,分录收入!$L:$L,0)),"")</f>
        <v/>
      </c>
      <c r="F1747" s="68" t="str">
        <f aca="false">IFERROR(INDEX(分录收入!$H:$H,MATCH($L1747,分录收入!$L:$L,0)),"")</f>
        <v/>
      </c>
      <c r="G1747" s="69" t="str">
        <f aca="false">IFERROR(INDEX(分录收入!$I:$I,MATCH($L1747,分录收入!$L:$L,0)),"")</f>
        <v/>
      </c>
      <c r="H1747" s="23"/>
      <c r="I1747" s="70"/>
      <c r="L1747" s="71" t="n">
        <f aca="false">IF(助手收入!$R$118="",-1,助手收入!$R$118*100+(助手收入!$S$118-1)*6+2)</f>
        <v>-1</v>
      </c>
    </row>
    <row r="1748" customFormat="false" ht="23.25" hidden="false" customHeight="true" outlineLevel="0" collapsed="false">
      <c r="B1748" s="67" t="str">
        <f aca="false">""</f>
        <v/>
      </c>
      <c r="C1748" s="67"/>
      <c r="D1748" s="23" t="str">
        <f aca="false">IFERROR(INDEX(分录收入!$E:$E,MATCH($L1748,分录收入!$L:$L,0)),"")</f>
        <v/>
      </c>
      <c r="E1748" s="23" t="str">
        <f aca="false">IFERROR(INDEX(分录收入!$F:$F,MATCH($L1748,分录收入!$L:$L,0)),"")</f>
        <v/>
      </c>
      <c r="F1748" s="68" t="str">
        <f aca="false">IFERROR(INDEX(分录收入!$H:$H,MATCH($L1748,分录收入!$L:$L,0)),"")</f>
        <v/>
      </c>
      <c r="G1748" s="69" t="str">
        <f aca="false">IFERROR(INDEX(分录收入!$I:$I,MATCH($L1748,分录收入!$L:$L,0)),"")</f>
        <v/>
      </c>
      <c r="H1748" s="23"/>
      <c r="I1748" s="70"/>
      <c r="L1748" s="71" t="n">
        <f aca="false">IF(助手收入!$R$118="",-1,助手收入!$R$118*100+(助手收入!$S$118-1)*6+3)</f>
        <v>-1</v>
      </c>
    </row>
    <row r="1749" customFormat="false" ht="23.25" hidden="false" customHeight="true" outlineLevel="0" collapsed="false">
      <c r="B1749" s="67" t="str">
        <f aca="false">""</f>
        <v/>
      </c>
      <c r="C1749" s="67"/>
      <c r="D1749" s="23" t="str">
        <f aca="false">IFERROR(INDEX(分录收入!$E:$E,MATCH($L1749,分录收入!$L:$L,0)),"")</f>
        <v/>
      </c>
      <c r="E1749" s="23" t="str">
        <f aca="false">IFERROR(INDEX(分录收入!$F:$F,MATCH($L1749,分录收入!$L:$L,0)),"")</f>
        <v/>
      </c>
      <c r="F1749" s="68" t="str">
        <f aca="false">IFERROR(INDEX(分录收入!$H:$H,MATCH($L1749,分录收入!$L:$L,0)),"")</f>
        <v/>
      </c>
      <c r="G1749" s="69" t="str">
        <f aca="false">IFERROR(INDEX(分录收入!$I:$I,MATCH($L1749,分录收入!$L:$L,0)),"")</f>
        <v/>
      </c>
      <c r="H1749" s="23"/>
      <c r="I1749" s="70"/>
      <c r="L1749" s="71" t="n">
        <f aca="false">IF(助手收入!$R$118="",-1,助手收入!$R$118*100+(助手收入!$S$118-1)*6+4)</f>
        <v>-1</v>
      </c>
    </row>
    <row r="1750" customFormat="false" ht="23.25" hidden="false" customHeight="true" outlineLevel="0" collapsed="false">
      <c r="B1750" s="67" t="str">
        <f aca="false">""</f>
        <v/>
      </c>
      <c r="C1750" s="67"/>
      <c r="D1750" s="23" t="str">
        <f aca="false">IFERROR(INDEX(分录收入!$E:$E,MATCH($L1750,分录收入!$L:$L,0)),"")</f>
        <v/>
      </c>
      <c r="E1750" s="23" t="str">
        <f aca="false">IFERROR(INDEX(分录收入!$F:$F,MATCH($L1750,分录收入!$L:$L,0)),"")</f>
        <v/>
      </c>
      <c r="F1750" s="68" t="str">
        <f aca="false">IFERROR(INDEX(分录收入!$H:$H,MATCH($L1750,分录收入!$L:$L,0)),"")</f>
        <v/>
      </c>
      <c r="G1750" s="69" t="str">
        <f aca="false">IFERROR(INDEX(分录收入!$I:$I,MATCH($L1750,分录收入!$L:$L,0)),"")</f>
        <v/>
      </c>
      <c r="H1750" s="23"/>
      <c r="I1750" s="70"/>
      <c r="L1750" s="71" t="n">
        <f aca="false">IF(助手收入!$R$118="",-1,助手收入!$R$118*100+(助手收入!$S$118-1)*6+5)</f>
        <v>-1</v>
      </c>
    </row>
    <row r="1751" customFormat="false" ht="23.25" hidden="false" customHeight="true" outlineLevel="0" collapsed="false">
      <c r="B1751" s="67" t="str">
        <f aca="false">""</f>
        <v/>
      </c>
      <c r="C1751" s="67"/>
      <c r="D1751" s="23" t="str">
        <f aca="false">IFERROR(INDEX(分录收入!$E:$E,MATCH($L1751,分录收入!$L:$L,0)),"")</f>
        <v/>
      </c>
      <c r="E1751" s="23" t="str">
        <f aca="false">IFERROR(INDEX(分录收入!$F:$F,MATCH($L1751,分录收入!$L:$L,0)),"")</f>
        <v/>
      </c>
      <c r="F1751" s="68" t="str">
        <f aca="false">IFERROR(INDEX(分录收入!$H:$H,MATCH($L1751,分录收入!$L:$L,0)),"")</f>
        <v/>
      </c>
      <c r="G1751" s="69" t="str">
        <f aca="false">IFERROR(INDEX(分录收入!$I:$I,MATCH($L1751,分录收入!$L:$L,0)),"")</f>
        <v/>
      </c>
      <c r="H1751" s="23"/>
      <c r="I1751" s="70"/>
      <c r="L1751" s="71" t="n">
        <f aca="false">IF(助手收入!$R$118="",-1,助手收入!$R$118*100+(助手收入!$S$118-1)*6+6)</f>
        <v>-1</v>
      </c>
    </row>
    <row r="1752" customFormat="false" ht="23.25" hidden="false" customHeight="true" outlineLevel="0" collapsed="false">
      <c r="B1752" s="72" t="str">
        <f aca="false">IF(助手收入!$T$118=1,"合计：","")</f>
        <v/>
      </c>
      <c r="C1752" s="73" t="str">
        <f aca="false">IF(助手收入!$T$118=1,$F1752,"")</f>
        <v/>
      </c>
      <c r="D1752" s="74"/>
      <c r="E1752" s="74"/>
      <c r="F1752" s="75" t="str">
        <f aca="false">IF(助手收入!$T$118=1,INDEX(助手收入!$N$2:$N$66,助手收入!$R$118),"")</f>
        <v/>
      </c>
      <c r="G1752" s="76" t="str">
        <f aca="false">IF(助手收入!$T$118=1,INDEX(助手收入!$O$2:$O$66,助手收入!$R$118),"")</f>
        <v/>
      </c>
      <c r="H1752" s="74"/>
      <c r="I1752" s="77"/>
    </row>
    <row r="1753" customFormat="false" ht="6" hidden="false" customHeight="true" outlineLevel="0" collapsed="false"/>
    <row r="1754" customFormat="false" ht="13.5" hidden="false" customHeight="false" outlineLevel="0" collapsed="false">
      <c r="B1754" s="78" t="str">
        <f aca="false">IF(助手收入!$R$118&lt;&gt;"","会计主管：","")</f>
        <v/>
      </c>
      <c r="D1754" s="78" t="str">
        <f aca="false">IF(助手收入!$R$118&lt;&gt;"","会计：","")</f>
        <v/>
      </c>
      <c r="E1754" s="78" t="str">
        <f aca="false">IF(助手收入!$R$118&lt;&gt;"","出纳：","")</f>
        <v/>
      </c>
      <c r="F1754" s="78" t="str">
        <f aca="false">IF(助手收入!$R$118&lt;&gt;"","复核：","")</f>
        <v/>
      </c>
      <c r="G1754" s="78" t="str">
        <f aca="false">IF(助手收入!$R$118&lt;&gt;"","制单：","")</f>
        <v/>
      </c>
    </row>
    <row r="1755" customFormat="false" ht="3" hidden="false" customHeight="true" outlineLevel="0" collapsed="false"/>
    <row r="1756" customFormat="false" ht="19.5" hidden="false" customHeight="true" outlineLevel="0" collapsed="false">
      <c r="B1756" s="53" t="str">
        <f aca="false">IF(助手收入!$R$119&lt;&gt;"","记  账  凭  证","")</f>
        <v/>
      </c>
      <c r="C1756" s="53"/>
      <c r="D1756" s="53"/>
      <c r="E1756" s="53"/>
      <c r="F1756" s="53"/>
      <c r="G1756" s="53"/>
      <c r="H1756" s="53"/>
      <c r="I1756" s="53"/>
    </row>
    <row r="1757" customFormat="false" ht="3" hidden="false" customHeight="true" outlineLevel="0" collapsed="false"/>
    <row r="1758" customFormat="false" ht="15" hidden="false" customHeight="true" outlineLevel="0" collapsed="false">
      <c r="C1758" s="56" t="str">
        <f aca="false">IF(助手收入!$R$119&lt;&gt;"",INDEX(助手收入!$B$2:$B$66,助手收入!$R$119),"")</f>
        <v/>
      </c>
      <c r="D1758" s="57" t="str">
        <f aca="false">IF(助手收入!$R$119&lt;&gt;"",参数!$B$2,"")</f>
        <v/>
      </c>
      <c r="E1758" s="57"/>
      <c r="F1758" s="58" t="str">
        <f aca="false">IF(助手收入!$R$119&lt;&gt;"",INDEX(助手收入!$C$2:$C$66,助手收入!$R$119)&amp;"  字第 "&amp;IF(参数!$B$9="是",INDEX(助手收入!$P$2:$P$66,助手收入!$R$119),"　　　　")&amp;" 号"&amp;IF(INDEX(助手收入!$L$2:$L$66,助手收入!$R$119)&gt;1,"  (共"&amp;INDEX(助手收入!$L$2:$L$66,助手收入!$R$119)&amp;"页 第"&amp;助手收入!$S$119&amp;"页)",""),"")</f>
        <v/>
      </c>
      <c r="G1758" s="58"/>
      <c r="H1758" s="58"/>
      <c r="I1758" s="58"/>
      <c r="M1758" s="79" t="str">
        <f aca="false">IF(助手收入!$R$119="","",助手收入!$Q$119)</f>
        <v/>
      </c>
      <c r="N1758" s="80" t="str">
        <f aca="false">IF(助手收入!$R$119="","",INDEX(助手收入!$P$2:$P$66,助手收入!$R$119))</f>
        <v/>
      </c>
      <c r="O1758" s="55" t="str">
        <f aca="false">IF(助手收入!$R$119="","",INDEX(助手收入!$C$2:$C$66,助手收入!$R$119)&amp;"  字第 "&amp;INDEX(助手收入!$P$2:$P$66,助手收入!$R$119)&amp;" 号"&amp;IF(INDEX(助手收入!$L$2:$L$66,助手收入!$R$119)&gt;1,"  (共"&amp;INDEX(助手收入!$L$2:$L$66,助手收入!$R$119)&amp;"页 第"&amp;助手收入!$S$119&amp;"页)",""))</f>
        <v/>
      </c>
    </row>
    <row r="1759" customFormat="false" ht="12.75" hidden="false" customHeight="true" outlineLevel="0" collapsed="false">
      <c r="B1759" s="61" t="str">
        <f aca="false">IF(助手收入!$R$119&lt;&gt;"","摘　　要","")</f>
        <v/>
      </c>
      <c r="C1759" s="61"/>
      <c r="D1759" s="62" t="str">
        <f aca="false">IF(助手收入!$R$119&lt;&gt;"","科　　　　目","")</f>
        <v/>
      </c>
      <c r="E1759" s="62"/>
      <c r="F1759" s="61" t="str">
        <f aca="false">IF(助手收入!$R$119&lt;&gt;"","借 方 金 额","")</f>
        <v/>
      </c>
      <c r="G1759" s="62" t="str">
        <f aca="false">IF(助手收入!$R$119&lt;&gt;"","贷 方 金 额","")</f>
        <v/>
      </c>
      <c r="H1759" s="63" t="str">
        <f aca="false">IF(助手收入!$R$119&lt;&gt;"","√","")</f>
        <v/>
      </c>
      <c r="I1759" s="64" t="str">
        <f aca="false">IF(助手收入!$R$119&lt;&gt;"","附单据  张","")</f>
        <v/>
      </c>
    </row>
    <row r="1760" customFormat="false" ht="12.75" hidden="false" customHeight="true" outlineLevel="0" collapsed="false">
      <c r="B1760" s="61"/>
      <c r="C1760" s="61"/>
      <c r="D1760" s="23" t="str">
        <f aca="false">IF(助手收入!$R$119&lt;&gt;"","总 账 科 目","")</f>
        <v/>
      </c>
      <c r="E1760" s="23" t="str">
        <f aca="false">IF(助手收入!$R$119&lt;&gt;"","明 细 科 目","")</f>
        <v/>
      </c>
      <c r="F1760" s="65"/>
      <c r="G1760" s="66"/>
      <c r="H1760" s="63"/>
      <c r="I1760" s="64"/>
    </row>
    <row r="1761" customFormat="false" ht="23.25" hidden="false" customHeight="true" outlineLevel="0" collapsed="false">
      <c r="B1761" s="67" t="str">
        <f aca="false">IFERROR(INDEX(分录收入!$M:$M,MATCH($L1761,分录收入!$L:$L,0)),"")</f>
        <v/>
      </c>
      <c r="C1761" s="67"/>
      <c r="D1761" s="23" t="str">
        <f aca="false">IFERROR(INDEX(分录收入!$E:$E,MATCH($L1761,分录收入!$L:$L,0)),"")</f>
        <v/>
      </c>
      <c r="E1761" s="23" t="str">
        <f aca="false">IFERROR(INDEX(分录收入!$F:$F,MATCH($L1761,分录收入!$L:$L,0)),"")</f>
        <v/>
      </c>
      <c r="F1761" s="68" t="str">
        <f aca="false">IFERROR(INDEX(分录收入!$H:$H,MATCH($L1761,分录收入!$L:$L,0)),"")</f>
        <v/>
      </c>
      <c r="G1761" s="69" t="str">
        <f aca="false">IFERROR(INDEX(分录收入!$I:$I,MATCH($L1761,分录收入!$L:$L,0)),"")</f>
        <v/>
      </c>
      <c r="H1761" s="23"/>
      <c r="I1761" s="70"/>
      <c r="L1761" s="71" t="n">
        <f aca="false">IF(助手收入!$R$119="",-1,助手收入!$R$119*100+(助手收入!$S$119-1)*6+1)</f>
        <v>-1</v>
      </c>
    </row>
    <row r="1762" customFormat="false" ht="23.25" hidden="false" customHeight="true" outlineLevel="0" collapsed="false">
      <c r="B1762" s="67" t="str">
        <f aca="false">""</f>
        <v/>
      </c>
      <c r="C1762" s="67"/>
      <c r="D1762" s="23" t="str">
        <f aca="false">IFERROR(INDEX(分录收入!$E:$E,MATCH($L1762,分录收入!$L:$L,0)),"")</f>
        <v/>
      </c>
      <c r="E1762" s="23" t="str">
        <f aca="false">IFERROR(INDEX(分录收入!$F:$F,MATCH($L1762,分录收入!$L:$L,0)),"")</f>
        <v/>
      </c>
      <c r="F1762" s="68" t="str">
        <f aca="false">IFERROR(INDEX(分录收入!$H:$H,MATCH($L1762,分录收入!$L:$L,0)),"")</f>
        <v/>
      </c>
      <c r="G1762" s="69" t="str">
        <f aca="false">IFERROR(INDEX(分录收入!$I:$I,MATCH($L1762,分录收入!$L:$L,0)),"")</f>
        <v/>
      </c>
      <c r="H1762" s="23"/>
      <c r="I1762" s="70"/>
      <c r="L1762" s="71" t="n">
        <f aca="false">IF(助手收入!$R$119="",-1,助手收入!$R$119*100+(助手收入!$S$119-1)*6+2)</f>
        <v>-1</v>
      </c>
    </row>
    <row r="1763" customFormat="false" ht="23.25" hidden="false" customHeight="true" outlineLevel="0" collapsed="false">
      <c r="B1763" s="67" t="str">
        <f aca="false">""</f>
        <v/>
      </c>
      <c r="C1763" s="67"/>
      <c r="D1763" s="23" t="str">
        <f aca="false">IFERROR(INDEX(分录收入!$E:$E,MATCH($L1763,分录收入!$L:$L,0)),"")</f>
        <v/>
      </c>
      <c r="E1763" s="23" t="str">
        <f aca="false">IFERROR(INDEX(分录收入!$F:$F,MATCH($L1763,分录收入!$L:$L,0)),"")</f>
        <v/>
      </c>
      <c r="F1763" s="68" t="str">
        <f aca="false">IFERROR(INDEX(分录收入!$H:$H,MATCH($L1763,分录收入!$L:$L,0)),"")</f>
        <v/>
      </c>
      <c r="G1763" s="69" t="str">
        <f aca="false">IFERROR(INDEX(分录收入!$I:$I,MATCH($L1763,分录收入!$L:$L,0)),"")</f>
        <v/>
      </c>
      <c r="H1763" s="23"/>
      <c r="I1763" s="70"/>
      <c r="L1763" s="71" t="n">
        <f aca="false">IF(助手收入!$R$119="",-1,助手收入!$R$119*100+(助手收入!$S$119-1)*6+3)</f>
        <v>-1</v>
      </c>
    </row>
    <row r="1764" customFormat="false" ht="23.25" hidden="false" customHeight="true" outlineLevel="0" collapsed="false">
      <c r="B1764" s="67" t="str">
        <f aca="false">""</f>
        <v/>
      </c>
      <c r="C1764" s="67"/>
      <c r="D1764" s="23" t="str">
        <f aca="false">IFERROR(INDEX(分录收入!$E:$E,MATCH($L1764,分录收入!$L:$L,0)),"")</f>
        <v/>
      </c>
      <c r="E1764" s="23" t="str">
        <f aca="false">IFERROR(INDEX(分录收入!$F:$F,MATCH($L1764,分录收入!$L:$L,0)),"")</f>
        <v/>
      </c>
      <c r="F1764" s="68" t="str">
        <f aca="false">IFERROR(INDEX(分录收入!$H:$H,MATCH($L1764,分录收入!$L:$L,0)),"")</f>
        <v/>
      </c>
      <c r="G1764" s="69" t="str">
        <f aca="false">IFERROR(INDEX(分录收入!$I:$I,MATCH($L1764,分录收入!$L:$L,0)),"")</f>
        <v/>
      </c>
      <c r="H1764" s="23"/>
      <c r="I1764" s="70"/>
      <c r="L1764" s="71" t="n">
        <f aca="false">IF(助手收入!$R$119="",-1,助手收入!$R$119*100+(助手收入!$S$119-1)*6+4)</f>
        <v>-1</v>
      </c>
    </row>
    <row r="1765" customFormat="false" ht="23.25" hidden="false" customHeight="true" outlineLevel="0" collapsed="false">
      <c r="B1765" s="67" t="str">
        <f aca="false">""</f>
        <v/>
      </c>
      <c r="C1765" s="67"/>
      <c r="D1765" s="23" t="str">
        <f aca="false">IFERROR(INDEX(分录收入!$E:$E,MATCH($L1765,分录收入!$L:$L,0)),"")</f>
        <v/>
      </c>
      <c r="E1765" s="23" t="str">
        <f aca="false">IFERROR(INDEX(分录收入!$F:$F,MATCH($L1765,分录收入!$L:$L,0)),"")</f>
        <v/>
      </c>
      <c r="F1765" s="68" t="str">
        <f aca="false">IFERROR(INDEX(分录收入!$H:$H,MATCH($L1765,分录收入!$L:$L,0)),"")</f>
        <v/>
      </c>
      <c r="G1765" s="69" t="str">
        <f aca="false">IFERROR(INDEX(分录收入!$I:$I,MATCH($L1765,分录收入!$L:$L,0)),"")</f>
        <v/>
      </c>
      <c r="H1765" s="23"/>
      <c r="I1765" s="70"/>
      <c r="L1765" s="71" t="n">
        <f aca="false">IF(助手收入!$R$119="",-1,助手收入!$R$119*100+(助手收入!$S$119-1)*6+5)</f>
        <v>-1</v>
      </c>
    </row>
    <row r="1766" customFormat="false" ht="23.25" hidden="false" customHeight="true" outlineLevel="0" collapsed="false">
      <c r="B1766" s="67" t="str">
        <f aca="false">""</f>
        <v/>
      </c>
      <c r="C1766" s="67"/>
      <c r="D1766" s="23" t="str">
        <f aca="false">IFERROR(INDEX(分录收入!$E:$E,MATCH($L1766,分录收入!$L:$L,0)),"")</f>
        <v/>
      </c>
      <c r="E1766" s="23" t="str">
        <f aca="false">IFERROR(INDEX(分录收入!$F:$F,MATCH($L1766,分录收入!$L:$L,0)),"")</f>
        <v/>
      </c>
      <c r="F1766" s="68" t="str">
        <f aca="false">IFERROR(INDEX(分录收入!$H:$H,MATCH($L1766,分录收入!$L:$L,0)),"")</f>
        <v/>
      </c>
      <c r="G1766" s="69" t="str">
        <f aca="false">IFERROR(INDEX(分录收入!$I:$I,MATCH($L1766,分录收入!$L:$L,0)),"")</f>
        <v/>
      </c>
      <c r="H1766" s="23"/>
      <c r="I1766" s="70"/>
      <c r="L1766" s="71" t="n">
        <f aca="false">IF(助手收入!$R$119="",-1,助手收入!$R$119*100+(助手收入!$S$119-1)*6+6)</f>
        <v>-1</v>
      </c>
    </row>
    <row r="1767" customFormat="false" ht="23.25" hidden="false" customHeight="true" outlineLevel="0" collapsed="false">
      <c r="B1767" s="72" t="str">
        <f aca="false">IF(助手收入!$T$119=1,"合计：","")</f>
        <v/>
      </c>
      <c r="C1767" s="73" t="str">
        <f aca="false">IF(助手收入!$T$119=1,$F1767,"")</f>
        <v/>
      </c>
      <c r="D1767" s="74"/>
      <c r="E1767" s="74"/>
      <c r="F1767" s="75" t="str">
        <f aca="false">IF(助手收入!$T$119=1,INDEX(助手收入!$N$2:$N$66,助手收入!$R$119),"")</f>
        <v/>
      </c>
      <c r="G1767" s="76" t="str">
        <f aca="false">IF(助手收入!$T$119=1,INDEX(助手收入!$O$2:$O$66,助手收入!$R$119),"")</f>
        <v/>
      </c>
      <c r="H1767" s="74"/>
      <c r="I1767" s="77"/>
    </row>
    <row r="1768" customFormat="false" ht="6" hidden="false" customHeight="true" outlineLevel="0" collapsed="false"/>
    <row r="1769" customFormat="false" ht="13.5" hidden="false" customHeight="false" outlineLevel="0" collapsed="false">
      <c r="B1769" s="78" t="str">
        <f aca="false">IF(助手收入!$R$119&lt;&gt;"","会计主管：","")</f>
        <v/>
      </c>
      <c r="D1769" s="78" t="str">
        <f aca="false">IF(助手收入!$R$119&lt;&gt;"","会计：","")</f>
        <v/>
      </c>
      <c r="E1769" s="78" t="str">
        <f aca="false">IF(助手收入!$R$119&lt;&gt;"","出纳：","")</f>
        <v/>
      </c>
      <c r="F1769" s="78" t="str">
        <f aca="false">IF(助手收入!$R$119&lt;&gt;"","复核：","")</f>
        <v/>
      </c>
      <c r="G1769" s="78" t="str">
        <f aca="false">IF(助手收入!$R$119&lt;&gt;"","制单：","")</f>
        <v/>
      </c>
    </row>
    <row r="1770" customFormat="false" ht="3" hidden="false" customHeight="true" outlineLevel="0" collapsed="false"/>
    <row r="1771" customFormat="false" ht="19.5" hidden="false" customHeight="true" outlineLevel="0" collapsed="false">
      <c r="B1771" s="53" t="str">
        <f aca="false">IF(助手收入!$R$120&lt;&gt;"","记  账  凭  证","")</f>
        <v/>
      </c>
      <c r="C1771" s="53"/>
      <c r="D1771" s="53"/>
      <c r="E1771" s="53"/>
      <c r="F1771" s="53"/>
      <c r="G1771" s="53"/>
      <c r="H1771" s="53"/>
      <c r="I1771" s="53"/>
    </row>
    <row r="1772" customFormat="false" ht="3" hidden="false" customHeight="true" outlineLevel="0" collapsed="false"/>
    <row r="1773" customFormat="false" ht="15" hidden="false" customHeight="true" outlineLevel="0" collapsed="false">
      <c r="C1773" s="56" t="str">
        <f aca="false">IF(助手收入!$R$120&lt;&gt;"",INDEX(助手收入!$B$2:$B$66,助手收入!$R$120),"")</f>
        <v/>
      </c>
      <c r="D1773" s="57" t="str">
        <f aca="false">IF(助手收入!$R$120&lt;&gt;"",参数!$B$2,"")</f>
        <v/>
      </c>
      <c r="E1773" s="57"/>
      <c r="F1773" s="58" t="str">
        <f aca="false">IF(助手收入!$R$120&lt;&gt;"",INDEX(助手收入!$C$2:$C$66,助手收入!$R$120)&amp;"  字第 "&amp;IF(参数!$B$9="是",INDEX(助手收入!$P$2:$P$66,助手收入!$R$120),"　　　　")&amp;" 号"&amp;IF(INDEX(助手收入!$L$2:$L$66,助手收入!$R$120)&gt;1,"  (共"&amp;INDEX(助手收入!$L$2:$L$66,助手收入!$R$120)&amp;"页 第"&amp;助手收入!$S$120&amp;"页)",""),"")</f>
        <v/>
      </c>
      <c r="G1773" s="58"/>
      <c r="H1773" s="58"/>
      <c r="I1773" s="58"/>
      <c r="M1773" s="79" t="str">
        <f aca="false">IF(助手收入!$R$120="","",助手收入!$Q$120)</f>
        <v/>
      </c>
      <c r="N1773" s="80" t="str">
        <f aca="false">IF(助手收入!$R$120="","",INDEX(助手收入!$P$2:$P$66,助手收入!$R$120))</f>
        <v/>
      </c>
      <c r="O1773" s="55" t="str">
        <f aca="false">IF(助手收入!$R$120="","",INDEX(助手收入!$C$2:$C$66,助手收入!$R$120)&amp;"  字第 "&amp;INDEX(助手收入!$P$2:$P$66,助手收入!$R$120)&amp;" 号"&amp;IF(INDEX(助手收入!$L$2:$L$66,助手收入!$R$120)&gt;1,"  (共"&amp;INDEX(助手收入!$L$2:$L$66,助手收入!$R$120)&amp;"页 第"&amp;助手收入!$S$120&amp;"页)",""))</f>
        <v/>
      </c>
    </row>
    <row r="1774" customFormat="false" ht="12.75" hidden="false" customHeight="true" outlineLevel="0" collapsed="false">
      <c r="B1774" s="61" t="str">
        <f aca="false">IF(助手收入!$R$120&lt;&gt;"","摘　　要","")</f>
        <v/>
      </c>
      <c r="C1774" s="61"/>
      <c r="D1774" s="62" t="str">
        <f aca="false">IF(助手收入!$R$120&lt;&gt;"","科　　　　目","")</f>
        <v/>
      </c>
      <c r="E1774" s="62"/>
      <c r="F1774" s="61" t="str">
        <f aca="false">IF(助手收入!$R$120&lt;&gt;"","借 方 金 额","")</f>
        <v/>
      </c>
      <c r="G1774" s="62" t="str">
        <f aca="false">IF(助手收入!$R$120&lt;&gt;"","贷 方 金 额","")</f>
        <v/>
      </c>
      <c r="H1774" s="63" t="str">
        <f aca="false">IF(助手收入!$R$120&lt;&gt;"","√","")</f>
        <v/>
      </c>
      <c r="I1774" s="64" t="str">
        <f aca="false">IF(助手收入!$R$120&lt;&gt;"","附单据  张","")</f>
        <v/>
      </c>
    </row>
    <row r="1775" customFormat="false" ht="12.75" hidden="false" customHeight="true" outlineLevel="0" collapsed="false">
      <c r="B1775" s="61"/>
      <c r="C1775" s="61"/>
      <c r="D1775" s="23" t="str">
        <f aca="false">IF(助手收入!$R$120&lt;&gt;"","总 账 科 目","")</f>
        <v/>
      </c>
      <c r="E1775" s="23" t="str">
        <f aca="false">IF(助手收入!$R$120&lt;&gt;"","明 细 科 目","")</f>
        <v/>
      </c>
      <c r="F1775" s="65"/>
      <c r="G1775" s="66"/>
      <c r="H1775" s="63"/>
      <c r="I1775" s="64"/>
    </row>
    <row r="1776" customFormat="false" ht="23.25" hidden="false" customHeight="true" outlineLevel="0" collapsed="false">
      <c r="B1776" s="67" t="str">
        <f aca="false">IFERROR(INDEX(分录收入!$M:$M,MATCH($L1776,分录收入!$L:$L,0)),"")</f>
        <v/>
      </c>
      <c r="C1776" s="67"/>
      <c r="D1776" s="23" t="str">
        <f aca="false">IFERROR(INDEX(分录收入!$E:$E,MATCH($L1776,分录收入!$L:$L,0)),"")</f>
        <v/>
      </c>
      <c r="E1776" s="23" t="str">
        <f aca="false">IFERROR(INDEX(分录收入!$F:$F,MATCH($L1776,分录收入!$L:$L,0)),"")</f>
        <v/>
      </c>
      <c r="F1776" s="68" t="str">
        <f aca="false">IFERROR(INDEX(分录收入!$H:$H,MATCH($L1776,分录收入!$L:$L,0)),"")</f>
        <v/>
      </c>
      <c r="G1776" s="69" t="str">
        <f aca="false">IFERROR(INDEX(分录收入!$I:$I,MATCH($L1776,分录收入!$L:$L,0)),"")</f>
        <v/>
      </c>
      <c r="H1776" s="23"/>
      <c r="I1776" s="70"/>
      <c r="L1776" s="71" t="n">
        <f aca="false">IF(助手收入!$R$120="",-1,助手收入!$R$120*100+(助手收入!$S$120-1)*6+1)</f>
        <v>-1</v>
      </c>
    </row>
    <row r="1777" customFormat="false" ht="23.25" hidden="false" customHeight="true" outlineLevel="0" collapsed="false">
      <c r="B1777" s="67" t="str">
        <f aca="false">""</f>
        <v/>
      </c>
      <c r="C1777" s="67"/>
      <c r="D1777" s="23" t="str">
        <f aca="false">IFERROR(INDEX(分录收入!$E:$E,MATCH($L1777,分录收入!$L:$L,0)),"")</f>
        <v/>
      </c>
      <c r="E1777" s="23" t="str">
        <f aca="false">IFERROR(INDEX(分录收入!$F:$F,MATCH($L1777,分录收入!$L:$L,0)),"")</f>
        <v/>
      </c>
      <c r="F1777" s="68" t="str">
        <f aca="false">IFERROR(INDEX(分录收入!$H:$H,MATCH($L1777,分录收入!$L:$L,0)),"")</f>
        <v/>
      </c>
      <c r="G1777" s="69" t="str">
        <f aca="false">IFERROR(INDEX(分录收入!$I:$I,MATCH($L1777,分录收入!$L:$L,0)),"")</f>
        <v/>
      </c>
      <c r="H1777" s="23"/>
      <c r="I1777" s="70"/>
      <c r="L1777" s="71" t="n">
        <f aca="false">IF(助手收入!$R$120="",-1,助手收入!$R$120*100+(助手收入!$S$120-1)*6+2)</f>
        <v>-1</v>
      </c>
    </row>
    <row r="1778" customFormat="false" ht="23.25" hidden="false" customHeight="true" outlineLevel="0" collapsed="false">
      <c r="B1778" s="67" t="str">
        <f aca="false">""</f>
        <v/>
      </c>
      <c r="C1778" s="67"/>
      <c r="D1778" s="23" t="str">
        <f aca="false">IFERROR(INDEX(分录收入!$E:$E,MATCH($L1778,分录收入!$L:$L,0)),"")</f>
        <v/>
      </c>
      <c r="E1778" s="23" t="str">
        <f aca="false">IFERROR(INDEX(分录收入!$F:$F,MATCH($L1778,分录收入!$L:$L,0)),"")</f>
        <v/>
      </c>
      <c r="F1778" s="68" t="str">
        <f aca="false">IFERROR(INDEX(分录收入!$H:$H,MATCH($L1778,分录收入!$L:$L,0)),"")</f>
        <v/>
      </c>
      <c r="G1778" s="69" t="str">
        <f aca="false">IFERROR(INDEX(分录收入!$I:$I,MATCH($L1778,分录收入!$L:$L,0)),"")</f>
        <v/>
      </c>
      <c r="H1778" s="23"/>
      <c r="I1778" s="70"/>
      <c r="L1778" s="71" t="n">
        <f aca="false">IF(助手收入!$R$120="",-1,助手收入!$R$120*100+(助手收入!$S$120-1)*6+3)</f>
        <v>-1</v>
      </c>
    </row>
    <row r="1779" customFormat="false" ht="23.25" hidden="false" customHeight="true" outlineLevel="0" collapsed="false">
      <c r="B1779" s="67" t="str">
        <f aca="false">""</f>
        <v/>
      </c>
      <c r="C1779" s="67"/>
      <c r="D1779" s="23" t="str">
        <f aca="false">IFERROR(INDEX(分录收入!$E:$E,MATCH($L1779,分录收入!$L:$L,0)),"")</f>
        <v/>
      </c>
      <c r="E1779" s="23" t="str">
        <f aca="false">IFERROR(INDEX(分录收入!$F:$F,MATCH($L1779,分录收入!$L:$L,0)),"")</f>
        <v/>
      </c>
      <c r="F1779" s="68" t="str">
        <f aca="false">IFERROR(INDEX(分录收入!$H:$H,MATCH($L1779,分录收入!$L:$L,0)),"")</f>
        <v/>
      </c>
      <c r="G1779" s="69" t="str">
        <f aca="false">IFERROR(INDEX(分录收入!$I:$I,MATCH($L1779,分录收入!$L:$L,0)),"")</f>
        <v/>
      </c>
      <c r="H1779" s="23"/>
      <c r="I1779" s="70"/>
      <c r="L1779" s="71" t="n">
        <f aca="false">IF(助手收入!$R$120="",-1,助手收入!$R$120*100+(助手收入!$S$120-1)*6+4)</f>
        <v>-1</v>
      </c>
    </row>
    <row r="1780" customFormat="false" ht="23.25" hidden="false" customHeight="true" outlineLevel="0" collapsed="false">
      <c r="B1780" s="67" t="str">
        <f aca="false">""</f>
        <v/>
      </c>
      <c r="C1780" s="67"/>
      <c r="D1780" s="23" t="str">
        <f aca="false">IFERROR(INDEX(分录收入!$E:$E,MATCH($L1780,分录收入!$L:$L,0)),"")</f>
        <v/>
      </c>
      <c r="E1780" s="23" t="str">
        <f aca="false">IFERROR(INDEX(分录收入!$F:$F,MATCH($L1780,分录收入!$L:$L,0)),"")</f>
        <v/>
      </c>
      <c r="F1780" s="68" t="str">
        <f aca="false">IFERROR(INDEX(分录收入!$H:$H,MATCH($L1780,分录收入!$L:$L,0)),"")</f>
        <v/>
      </c>
      <c r="G1780" s="69" t="str">
        <f aca="false">IFERROR(INDEX(分录收入!$I:$I,MATCH($L1780,分录收入!$L:$L,0)),"")</f>
        <v/>
      </c>
      <c r="H1780" s="23"/>
      <c r="I1780" s="70"/>
      <c r="L1780" s="71" t="n">
        <f aca="false">IF(助手收入!$R$120="",-1,助手收入!$R$120*100+(助手收入!$S$120-1)*6+5)</f>
        <v>-1</v>
      </c>
    </row>
    <row r="1781" customFormat="false" ht="23.25" hidden="false" customHeight="true" outlineLevel="0" collapsed="false">
      <c r="B1781" s="67" t="str">
        <f aca="false">""</f>
        <v/>
      </c>
      <c r="C1781" s="67"/>
      <c r="D1781" s="23" t="str">
        <f aca="false">IFERROR(INDEX(分录收入!$E:$E,MATCH($L1781,分录收入!$L:$L,0)),"")</f>
        <v/>
      </c>
      <c r="E1781" s="23" t="str">
        <f aca="false">IFERROR(INDEX(分录收入!$F:$F,MATCH($L1781,分录收入!$L:$L,0)),"")</f>
        <v/>
      </c>
      <c r="F1781" s="68" t="str">
        <f aca="false">IFERROR(INDEX(分录收入!$H:$H,MATCH($L1781,分录收入!$L:$L,0)),"")</f>
        <v/>
      </c>
      <c r="G1781" s="69" t="str">
        <f aca="false">IFERROR(INDEX(分录收入!$I:$I,MATCH($L1781,分录收入!$L:$L,0)),"")</f>
        <v/>
      </c>
      <c r="H1781" s="23"/>
      <c r="I1781" s="70"/>
      <c r="L1781" s="71" t="n">
        <f aca="false">IF(助手收入!$R$120="",-1,助手收入!$R$120*100+(助手收入!$S$120-1)*6+6)</f>
        <v>-1</v>
      </c>
    </row>
    <row r="1782" customFormat="false" ht="23.25" hidden="false" customHeight="true" outlineLevel="0" collapsed="false">
      <c r="B1782" s="72" t="str">
        <f aca="false">IF(助手收入!$T$120=1,"合计：","")</f>
        <v/>
      </c>
      <c r="C1782" s="73" t="str">
        <f aca="false">IF(助手收入!$T$120=1,$F1782,"")</f>
        <v/>
      </c>
      <c r="D1782" s="74"/>
      <c r="E1782" s="74"/>
      <c r="F1782" s="75" t="str">
        <f aca="false">IF(助手收入!$T$120=1,INDEX(助手收入!$N$2:$N$66,助手收入!$R$120),"")</f>
        <v/>
      </c>
      <c r="G1782" s="76" t="str">
        <f aca="false">IF(助手收入!$T$120=1,INDEX(助手收入!$O$2:$O$66,助手收入!$R$120),"")</f>
        <v/>
      </c>
      <c r="H1782" s="74"/>
      <c r="I1782" s="77"/>
    </row>
    <row r="1783" customFormat="false" ht="6" hidden="false" customHeight="true" outlineLevel="0" collapsed="false"/>
    <row r="1784" customFormat="false" ht="13.5" hidden="false" customHeight="false" outlineLevel="0" collapsed="false">
      <c r="B1784" s="78" t="str">
        <f aca="false">IF(助手收入!$R$120&lt;&gt;"","会计主管：","")</f>
        <v/>
      </c>
      <c r="D1784" s="78" t="str">
        <f aca="false">IF(助手收入!$R$120&lt;&gt;"","会计：","")</f>
        <v/>
      </c>
      <c r="E1784" s="78" t="str">
        <f aca="false">IF(助手收入!$R$120&lt;&gt;"","出纳：","")</f>
        <v/>
      </c>
      <c r="F1784" s="78" t="str">
        <f aca="false">IF(助手收入!$R$120&lt;&gt;"","复核：","")</f>
        <v/>
      </c>
      <c r="G1784" s="78" t="str">
        <f aca="false">IF(助手收入!$R$120&lt;&gt;"","制单：","")</f>
        <v/>
      </c>
    </row>
    <row r="1785" customFormat="false" ht="3" hidden="false" customHeight="true" outlineLevel="0" collapsed="false"/>
    <row r="1786" customFormat="false" ht="19.5" hidden="false" customHeight="true" outlineLevel="0" collapsed="false">
      <c r="B1786" s="53" t="str">
        <f aca="false">IF(助手收入!$R$121&lt;&gt;"","记  账  凭  证","")</f>
        <v/>
      </c>
      <c r="C1786" s="53"/>
      <c r="D1786" s="53"/>
      <c r="E1786" s="53"/>
      <c r="F1786" s="53"/>
      <c r="G1786" s="53"/>
      <c r="H1786" s="53"/>
      <c r="I1786" s="53"/>
    </row>
    <row r="1787" customFormat="false" ht="3" hidden="false" customHeight="true" outlineLevel="0" collapsed="false"/>
    <row r="1788" customFormat="false" ht="15" hidden="false" customHeight="true" outlineLevel="0" collapsed="false">
      <c r="C1788" s="56" t="str">
        <f aca="false">IF(助手收入!$R$121&lt;&gt;"",INDEX(助手收入!$B$2:$B$66,助手收入!$R$121),"")</f>
        <v/>
      </c>
      <c r="D1788" s="57" t="str">
        <f aca="false">IF(助手收入!$R$121&lt;&gt;"",参数!$B$2,"")</f>
        <v/>
      </c>
      <c r="E1788" s="57"/>
      <c r="F1788" s="58" t="str">
        <f aca="false">IF(助手收入!$R$121&lt;&gt;"",INDEX(助手收入!$C$2:$C$66,助手收入!$R$121)&amp;"  字第 "&amp;IF(参数!$B$9="是",INDEX(助手收入!$P$2:$P$66,助手收入!$R$121),"　　　　")&amp;" 号"&amp;IF(INDEX(助手收入!$L$2:$L$66,助手收入!$R$121)&gt;1,"  (共"&amp;INDEX(助手收入!$L$2:$L$66,助手收入!$R$121)&amp;"页 第"&amp;助手收入!$S$121&amp;"页)",""),"")</f>
        <v/>
      </c>
      <c r="G1788" s="58"/>
      <c r="H1788" s="58"/>
      <c r="I1788" s="58"/>
      <c r="M1788" s="79" t="str">
        <f aca="false">IF(助手收入!$R$121="","",助手收入!$Q$121)</f>
        <v/>
      </c>
      <c r="N1788" s="80" t="str">
        <f aca="false">IF(助手收入!$R$121="","",INDEX(助手收入!$P$2:$P$66,助手收入!$R$121))</f>
        <v/>
      </c>
      <c r="O1788" s="55" t="str">
        <f aca="false">IF(助手收入!$R$121="","",INDEX(助手收入!$C$2:$C$66,助手收入!$R$121)&amp;"  字第 "&amp;INDEX(助手收入!$P$2:$P$66,助手收入!$R$121)&amp;" 号"&amp;IF(INDEX(助手收入!$L$2:$L$66,助手收入!$R$121)&gt;1,"  (共"&amp;INDEX(助手收入!$L$2:$L$66,助手收入!$R$121)&amp;"页 第"&amp;助手收入!$S$121&amp;"页)",""))</f>
        <v/>
      </c>
    </row>
    <row r="1789" customFormat="false" ht="12.75" hidden="false" customHeight="true" outlineLevel="0" collapsed="false">
      <c r="B1789" s="61" t="str">
        <f aca="false">IF(助手收入!$R$121&lt;&gt;"","摘　　要","")</f>
        <v/>
      </c>
      <c r="C1789" s="61"/>
      <c r="D1789" s="62" t="str">
        <f aca="false">IF(助手收入!$R$121&lt;&gt;"","科　　　　目","")</f>
        <v/>
      </c>
      <c r="E1789" s="62"/>
      <c r="F1789" s="61" t="str">
        <f aca="false">IF(助手收入!$R$121&lt;&gt;"","借 方 金 额","")</f>
        <v/>
      </c>
      <c r="G1789" s="62" t="str">
        <f aca="false">IF(助手收入!$R$121&lt;&gt;"","贷 方 金 额","")</f>
        <v/>
      </c>
      <c r="H1789" s="63" t="str">
        <f aca="false">IF(助手收入!$R$121&lt;&gt;"","√","")</f>
        <v/>
      </c>
      <c r="I1789" s="64" t="str">
        <f aca="false">IF(助手收入!$R$121&lt;&gt;"","附单据  张","")</f>
        <v/>
      </c>
    </row>
    <row r="1790" customFormat="false" ht="12.75" hidden="false" customHeight="true" outlineLevel="0" collapsed="false">
      <c r="B1790" s="61"/>
      <c r="C1790" s="61"/>
      <c r="D1790" s="23" t="str">
        <f aca="false">IF(助手收入!$R$121&lt;&gt;"","总 账 科 目","")</f>
        <v/>
      </c>
      <c r="E1790" s="23" t="str">
        <f aca="false">IF(助手收入!$R$121&lt;&gt;"","明 细 科 目","")</f>
        <v/>
      </c>
      <c r="F1790" s="65"/>
      <c r="G1790" s="66"/>
      <c r="H1790" s="63"/>
      <c r="I1790" s="64"/>
    </row>
    <row r="1791" customFormat="false" ht="23.25" hidden="false" customHeight="true" outlineLevel="0" collapsed="false">
      <c r="B1791" s="67" t="str">
        <f aca="false">IFERROR(INDEX(分录收入!$M:$M,MATCH($L1791,分录收入!$L:$L,0)),"")</f>
        <v/>
      </c>
      <c r="C1791" s="67"/>
      <c r="D1791" s="23" t="str">
        <f aca="false">IFERROR(INDEX(分录收入!$E:$E,MATCH($L1791,分录收入!$L:$L,0)),"")</f>
        <v/>
      </c>
      <c r="E1791" s="23" t="str">
        <f aca="false">IFERROR(INDEX(分录收入!$F:$F,MATCH($L1791,分录收入!$L:$L,0)),"")</f>
        <v/>
      </c>
      <c r="F1791" s="68" t="str">
        <f aca="false">IFERROR(INDEX(分录收入!$H:$H,MATCH($L1791,分录收入!$L:$L,0)),"")</f>
        <v/>
      </c>
      <c r="G1791" s="69" t="str">
        <f aca="false">IFERROR(INDEX(分录收入!$I:$I,MATCH($L1791,分录收入!$L:$L,0)),"")</f>
        <v/>
      </c>
      <c r="H1791" s="23"/>
      <c r="I1791" s="70"/>
      <c r="L1791" s="71" t="n">
        <f aca="false">IF(助手收入!$R$121="",-1,助手收入!$R$121*100+(助手收入!$S$121-1)*6+1)</f>
        <v>-1</v>
      </c>
    </row>
    <row r="1792" customFormat="false" ht="23.25" hidden="false" customHeight="true" outlineLevel="0" collapsed="false">
      <c r="B1792" s="67" t="str">
        <f aca="false">""</f>
        <v/>
      </c>
      <c r="C1792" s="67"/>
      <c r="D1792" s="23" t="str">
        <f aca="false">IFERROR(INDEX(分录收入!$E:$E,MATCH($L1792,分录收入!$L:$L,0)),"")</f>
        <v/>
      </c>
      <c r="E1792" s="23" t="str">
        <f aca="false">IFERROR(INDEX(分录收入!$F:$F,MATCH($L1792,分录收入!$L:$L,0)),"")</f>
        <v/>
      </c>
      <c r="F1792" s="68" t="str">
        <f aca="false">IFERROR(INDEX(分录收入!$H:$H,MATCH($L1792,分录收入!$L:$L,0)),"")</f>
        <v/>
      </c>
      <c r="G1792" s="69" t="str">
        <f aca="false">IFERROR(INDEX(分录收入!$I:$I,MATCH($L1792,分录收入!$L:$L,0)),"")</f>
        <v/>
      </c>
      <c r="H1792" s="23"/>
      <c r="I1792" s="70"/>
      <c r="L1792" s="71" t="n">
        <f aca="false">IF(助手收入!$R$121="",-1,助手收入!$R$121*100+(助手收入!$S$121-1)*6+2)</f>
        <v>-1</v>
      </c>
    </row>
    <row r="1793" customFormat="false" ht="23.25" hidden="false" customHeight="true" outlineLevel="0" collapsed="false">
      <c r="B1793" s="67" t="str">
        <f aca="false">""</f>
        <v/>
      </c>
      <c r="C1793" s="67"/>
      <c r="D1793" s="23" t="str">
        <f aca="false">IFERROR(INDEX(分录收入!$E:$E,MATCH($L1793,分录收入!$L:$L,0)),"")</f>
        <v/>
      </c>
      <c r="E1793" s="23" t="str">
        <f aca="false">IFERROR(INDEX(分录收入!$F:$F,MATCH($L1793,分录收入!$L:$L,0)),"")</f>
        <v/>
      </c>
      <c r="F1793" s="68" t="str">
        <f aca="false">IFERROR(INDEX(分录收入!$H:$H,MATCH($L1793,分录收入!$L:$L,0)),"")</f>
        <v/>
      </c>
      <c r="G1793" s="69" t="str">
        <f aca="false">IFERROR(INDEX(分录收入!$I:$I,MATCH($L1793,分录收入!$L:$L,0)),"")</f>
        <v/>
      </c>
      <c r="H1793" s="23"/>
      <c r="I1793" s="70"/>
      <c r="L1793" s="71" t="n">
        <f aca="false">IF(助手收入!$R$121="",-1,助手收入!$R$121*100+(助手收入!$S$121-1)*6+3)</f>
        <v>-1</v>
      </c>
    </row>
    <row r="1794" customFormat="false" ht="23.25" hidden="false" customHeight="true" outlineLevel="0" collapsed="false">
      <c r="B1794" s="67" t="str">
        <f aca="false">""</f>
        <v/>
      </c>
      <c r="C1794" s="67"/>
      <c r="D1794" s="23" t="str">
        <f aca="false">IFERROR(INDEX(分录收入!$E:$E,MATCH($L1794,分录收入!$L:$L,0)),"")</f>
        <v/>
      </c>
      <c r="E1794" s="23" t="str">
        <f aca="false">IFERROR(INDEX(分录收入!$F:$F,MATCH($L1794,分录收入!$L:$L,0)),"")</f>
        <v/>
      </c>
      <c r="F1794" s="68" t="str">
        <f aca="false">IFERROR(INDEX(分录收入!$H:$H,MATCH($L1794,分录收入!$L:$L,0)),"")</f>
        <v/>
      </c>
      <c r="G1794" s="69" t="str">
        <f aca="false">IFERROR(INDEX(分录收入!$I:$I,MATCH($L1794,分录收入!$L:$L,0)),"")</f>
        <v/>
      </c>
      <c r="H1794" s="23"/>
      <c r="I1794" s="70"/>
      <c r="L1794" s="71" t="n">
        <f aca="false">IF(助手收入!$R$121="",-1,助手收入!$R$121*100+(助手收入!$S$121-1)*6+4)</f>
        <v>-1</v>
      </c>
    </row>
    <row r="1795" customFormat="false" ht="23.25" hidden="false" customHeight="true" outlineLevel="0" collapsed="false">
      <c r="B1795" s="67" t="str">
        <f aca="false">""</f>
        <v/>
      </c>
      <c r="C1795" s="67"/>
      <c r="D1795" s="23" t="str">
        <f aca="false">IFERROR(INDEX(分录收入!$E:$E,MATCH($L1795,分录收入!$L:$L,0)),"")</f>
        <v/>
      </c>
      <c r="E1795" s="23" t="str">
        <f aca="false">IFERROR(INDEX(分录收入!$F:$F,MATCH($L1795,分录收入!$L:$L,0)),"")</f>
        <v/>
      </c>
      <c r="F1795" s="68" t="str">
        <f aca="false">IFERROR(INDEX(分录收入!$H:$H,MATCH($L1795,分录收入!$L:$L,0)),"")</f>
        <v/>
      </c>
      <c r="G1795" s="69" t="str">
        <f aca="false">IFERROR(INDEX(分录收入!$I:$I,MATCH($L1795,分录收入!$L:$L,0)),"")</f>
        <v/>
      </c>
      <c r="H1795" s="23"/>
      <c r="I1795" s="70"/>
      <c r="L1795" s="71" t="n">
        <f aca="false">IF(助手收入!$R$121="",-1,助手收入!$R$121*100+(助手收入!$S$121-1)*6+5)</f>
        <v>-1</v>
      </c>
    </row>
    <row r="1796" customFormat="false" ht="23.25" hidden="false" customHeight="true" outlineLevel="0" collapsed="false">
      <c r="B1796" s="67" t="str">
        <f aca="false">""</f>
        <v/>
      </c>
      <c r="C1796" s="67"/>
      <c r="D1796" s="23" t="str">
        <f aca="false">IFERROR(INDEX(分录收入!$E:$E,MATCH($L1796,分录收入!$L:$L,0)),"")</f>
        <v/>
      </c>
      <c r="E1796" s="23" t="str">
        <f aca="false">IFERROR(INDEX(分录收入!$F:$F,MATCH($L1796,分录收入!$L:$L,0)),"")</f>
        <v/>
      </c>
      <c r="F1796" s="68" t="str">
        <f aca="false">IFERROR(INDEX(分录收入!$H:$H,MATCH($L1796,分录收入!$L:$L,0)),"")</f>
        <v/>
      </c>
      <c r="G1796" s="69" t="str">
        <f aca="false">IFERROR(INDEX(分录收入!$I:$I,MATCH($L1796,分录收入!$L:$L,0)),"")</f>
        <v/>
      </c>
      <c r="H1796" s="23"/>
      <c r="I1796" s="70"/>
      <c r="L1796" s="71" t="n">
        <f aca="false">IF(助手收入!$R$121="",-1,助手收入!$R$121*100+(助手收入!$S$121-1)*6+6)</f>
        <v>-1</v>
      </c>
    </row>
    <row r="1797" customFormat="false" ht="23.25" hidden="false" customHeight="true" outlineLevel="0" collapsed="false">
      <c r="B1797" s="72" t="str">
        <f aca="false">IF(助手收入!$T$121=1,"合计：","")</f>
        <v/>
      </c>
      <c r="C1797" s="73" t="str">
        <f aca="false">IF(助手收入!$T$121=1,$F1797,"")</f>
        <v/>
      </c>
      <c r="D1797" s="74"/>
      <c r="E1797" s="74"/>
      <c r="F1797" s="75" t="str">
        <f aca="false">IF(助手收入!$T$121=1,INDEX(助手收入!$N$2:$N$66,助手收入!$R$121),"")</f>
        <v/>
      </c>
      <c r="G1797" s="76" t="str">
        <f aca="false">IF(助手收入!$T$121=1,INDEX(助手收入!$O$2:$O$66,助手收入!$R$121),"")</f>
        <v/>
      </c>
      <c r="H1797" s="74"/>
      <c r="I1797" s="77"/>
    </row>
    <row r="1798" customFormat="false" ht="6" hidden="false" customHeight="true" outlineLevel="0" collapsed="false"/>
    <row r="1799" customFormat="false" ht="13.5" hidden="false" customHeight="false" outlineLevel="0" collapsed="false">
      <c r="B1799" s="78" t="str">
        <f aca="false">IF(助手收入!$R$121&lt;&gt;"","会计主管：","")</f>
        <v/>
      </c>
      <c r="D1799" s="78" t="str">
        <f aca="false">IF(助手收入!$R$121&lt;&gt;"","会计：","")</f>
        <v/>
      </c>
      <c r="E1799" s="78" t="str">
        <f aca="false">IF(助手收入!$R$121&lt;&gt;"","出纳：","")</f>
        <v/>
      </c>
      <c r="F1799" s="78" t="str">
        <f aca="false">IF(助手收入!$R$121&lt;&gt;"","复核：","")</f>
        <v/>
      </c>
      <c r="G1799" s="78" t="str">
        <f aca="false">IF(助手收入!$R$121&lt;&gt;"","制单：","")</f>
        <v/>
      </c>
    </row>
    <row r="1800" customFormat="false" ht="3" hidden="false" customHeight="true" outlineLevel="0" collapsed="false"/>
    <row r="1801" customFormat="false" ht="19.5" hidden="false" customHeight="true" outlineLevel="0" collapsed="false">
      <c r="B1801" s="53" t="str">
        <f aca="false">IF(助手收入!$R$122&lt;&gt;"","记  账  凭  证","")</f>
        <v/>
      </c>
      <c r="C1801" s="53"/>
      <c r="D1801" s="53"/>
      <c r="E1801" s="53"/>
      <c r="F1801" s="53"/>
      <c r="G1801" s="53"/>
      <c r="H1801" s="53"/>
      <c r="I1801" s="53"/>
    </row>
    <row r="1802" customFormat="false" ht="3" hidden="false" customHeight="true" outlineLevel="0" collapsed="false"/>
    <row r="1803" customFormat="false" ht="15" hidden="false" customHeight="true" outlineLevel="0" collapsed="false">
      <c r="C1803" s="56" t="str">
        <f aca="false">IF(助手收入!$R$122&lt;&gt;"",INDEX(助手收入!$B$2:$B$66,助手收入!$R$122),"")</f>
        <v/>
      </c>
      <c r="D1803" s="57" t="str">
        <f aca="false">IF(助手收入!$R$122&lt;&gt;"",参数!$B$2,"")</f>
        <v/>
      </c>
      <c r="E1803" s="57"/>
      <c r="F1803" s="58" t="str">
        <f aca="false">IF(助手收入!$R$122&lt;&gt;"",INDEX(助手收入!$C$2:$C$66,助手收入!$R$122)&amp;"  字第 "&amp;IF(参数!$B$9="是",INDEX(助手收入!$P$2:$P$66,助手收入!$R$122),"　　　　")&amp;" 号"&amp;IF(INDEX(助手收入!$L$2:$L$66,助手收入!$R$122)&gt;1,"  (共"&amp;INDEX(助手收入!$L$2:$L$66,助手收入!$R$122)&amp;"页 第"&amp;助手收入!$S$122&amp;"页)",""),"")</f>
        <v/>
      </c>
      <c r="G1803" s="58"/>
      <c r="H1803" s="58"/>
      <c r="I1803" s="58"/>
      <c r="M1803" s="79" t="str">
        <f aca="false">IF(助手收入!$R$122="","",助手收入!$Q$122)</f>
        <v/>
      </c>
      <c r="N1803" s="80" t="str">
        <f aca="false">IF(助手收入!$R$122="","",INDEX(助手收入!$P$2:$P$66,助手收入!$R$122))</f>
        <v/>
      </c>
      <c r="O1803" s="55" t="str">
        <f aca="false">IF(助手收入!$R$122="","",INDEX(助手收入!$C$2:$C$66,助手收入!$R$122)&amp;"  字第 "&amp;INDEX(助手收入!$P$2:$P$66,助手收入!$R$122)&amp;" 号"&amp;IF(INDEX(助手收入!$L$2:$L$66,助手收入!$R$122)&gt;1,"  (共"&amp;INDEX(助手收入!$L$2:$L$66,助手收入!$R$122)&amp;"页 第"&amp;助手收入!$S$122&amp;"页)",""))</f>
        <v/>
      </c>
    </row>
    <row r="1804" customFormat="false" ht="12.75" hidden="false" customHeight="true" outlineLevel="0" collapsed="false">
      <c r="B1804" s="61" t="str">
        <f aca="false">IF(助手收入!$R$122&lt;&gt;"","摘　　要","")</f>
        <v/>
      </c>
      <c r="C1804" s="61"/>
      <c r="D1804" s="62" t="str">
        <f aca="false">IF(助手收入!$R$122&lt;&gt;"","科　　　　目","")</f>
        <v/>
      </c>
      <c r="E1804" s="62"/>
      <c r="F1804" s="61" t="str">
        <f aca="false">IF(助手收入!$R$122&lt;&gt;"","借 方 金 额","")</f>
        <v/>
      </c>
      <c r="G1804" s="62" t="str">
        <f aca="false">IF(助手收入!$R$122&lt;&gt;"","贷 方 金 额","")</f>
        <v/>
      </c>
      <c r="H1804" s="63" t="str">
        <f aca="false">IF(助手收入!$R$122&lt;&gt;"","√","")</f>
        <v/>
      </c>
      <c r="I1804" s="64" t="str">
        <f aca="false">IF(助手收入!$R$122&lt;&gt;"","附单据  张","")</f>
        <v/>
      </c>
    </row>
    <row r="1805" customFormat="false" ht="12.75" hidden="false" customHeight="true" outlineLevel="0" collapsed="false">
      <c r="B1805" s="61"/>
      <c r="C1805" s="61"/>
      <c r="D1805" s="23" t="str">
        <f aca="false">IF(助手收入!$R$122&lt;&gt;"","总 账 科 目","")</f>
        <v/>
      </c>
      <c r="E1805" s="23" t="str">
        <f aca="false">IF(助手收入!$R$122&lt;&gt;"","明 细 科 目","")</f>
        <v/>
      </c>
      <c r="F1805" s="65"/>
      <c r="G1805" s="66"/>
      <c r="H1805" s="63"/>
      <c r="I1805" s="64"/>
    </row>
    <row r="1806" customFormat="false" ht="23.25" hidden="false" customHeight="true" outlineLevel="0" collapsed="false">
      <c r="B1806" s="67" t="str">
        <f aca="false">IFERROR(INDEX(分录收入!$M:$M,MATCH($L1806,分录收入!$L:$L,0)),"")</f>
        <v/>
      </c>
      <c r="C1806" s="67"/>
      <c r="D1806" s="23" t="str">
        <f aca="false">IFERROR(INDEX(分录收入!$E:$E,MATCH($L1806,分录收入!$L:$L,0)),"")</f>
        <v/>
      </c>
      <c r="E1806" s="23" t="str">
        <f aca="false">IFERROR(INDEX(分录收入!$F:$F,MATCH($L1806,分录收入!$L:$L,0)),"")</f>
        <v/>
      </c>
      <c r="F1806" s="68" t="str">
        <f aca="false">IFERROR(INDEX(分录收入!$H:$H,MATCH($L1806,分录收入!$L:$L,0)),"")</f>
        <v/>
      </c>
      <c r="G1806" s="69" t="str">
        <f aca="false">IFERROR(INDEX(分录收入!$I:$I,MATCH($L1806,分录收入!$L:$L,0)),"")</f>
        <v/>
      </c>
      <c r="H1806" s="23"/>
      <c r="I1806" s="70"/>
      <c r="L1806" s="71" t="n">
        <f aca="false">IF(助手收入!$R$122="",-1,助手收入!$R$122*100+(助手收入!$S$122-1)*6+1)</f>
        <v>-1</v>
      </c>
    </row>
    <row r="1807" customFormat="false" ht="23.25" hidden="false" customHeight="true" outlineLevel="0" collapsed="false">
      <c r="B1807" s="67" t="str">
        <f aca="false">""</f>
        <v/>
      </c>
      <c r="C1807" s="67"/>
      <c r="D1807" s="23" t="str">
        <f aca="false">IFERROR(INDEX(分录收入!$E:$E,MATCH($L1807,分录收入!$L:$L,0)),"")</f>
        <v/>
      </c>
      <c r="E1807" s="23" t="str">
        <f aca="false">IFERROR(INDEX(分录收入!$F:$F,MATCH($L1807,分录收入!$L:$L,0)),"")</f>
        <v/>
      </c>
      <c r="F1807" s="68" t="str">
        <f aca="false">IFERROR(INDEX(分录收入!$H:$H,MATCH($L1807,分录收入!$L:$L,0)),"")</f>
        <v/>
      </c>
      <c r="G1807" s="69" t="str">
        <f aca="false">IFERROR(INDEX(分录收入!$I:$I,MATCH($L1807,分录收入!$L:$L,0)),"")</f>
        <v/>
      </c>
      <c r="H1807" s="23"/>
      <c r="I1807" s="70"/>
      <c r="L1807" s="71" t="n">
        <f aca="false">IF(助手收入!$R$122="",-1,助手收入!$R$122*100+(助手收入!$S$122-1)*6+2)</f>
        <v>-1</v>
      </c>
    </row>
    <row r="1808" customFormat="false" ht="23.25" hidden="false" customHeight="true" outlineLevel="0" collapsed="false">
      <c r="B1808" s="67" t="str">
        <f aca="false">""</f>
        <v/>
      </c>
      <c r="C1808" s="67"/>
      <c r="D1808" s="23" t="str">
        <f aca="false">IFERROR(INDEX(分录收入!$E:$E,MATCH($L1808,分录收入!$L:$L,0)),"")</f>
        <v/>
      </c>
      <c r="E1808" s="23" t="str">
        <f aca="false">IFERROR(INDEX(分录收入!$F:$F,MATCH($L1808,分录收入!$L:$L,0)),"")</f>
        <v/>
      </c>
      <c r="F1808" s="68" t="str">
        <f aca="false">IFERROR(INDEX(分录收入!$H:$H,MATCH($L1808,分录收入!$L:$L,0)),"")</f>
        <v/>
      </c>
      <c r="G1808" s="69" t="str">
        <f aca="false">IFERROR(INDEX(分录收入!$I:$I,MATCH($L1808,分录收入!$L:$L,0)),"")</f>
        <v/>
      </c>
      <c r="H1808" s="23"/>
      <c r="I1808" s="70"/>
      <c r="L1808" s="71" t="n">
        <f aca="false">IF(助手收入!$R$122="",-1,助手收入!$R$122*100+(助手收入!$S$122-1)*6+3)</f>
        <v>-1</v>
      </c>
    </row>
    <row r="1809" customFormat="false" ht="23.25" hidden="false" customHeight="true" outlineLevel="0" collapsed="false">
      <c r="B1809" s="67" t="str">
        <f aca="false">""</f>
        <v/>
      </c>
      <c r="C1809" s="67"/>
      <c r="D1809" s="23" t="str">
        <f aca="false">IFERROR(INDEX(分录收入!$E:$E,MATCH($L1809,分录收入!$L:$L,0)),"")</f>
        <v/>
      </c>
      <c r="E1809" s="23" t="str">
        <f aca="false">IFERROR(INDEX(分录收入!$F:$F,MATCH($L1809,分录收入!$L:$L,0)),"")</f>
        <v/>
      </c>
      <c r="F1809" s="68" t="str">
        <f aca="false">IFERROR(INDEX(分录收入!$H:$H,MATCH($L1809,分录收入!$L:$L,0)),"")</f>
        <v/>
      </c>
      <c r="G1809" s="69" t="str">
        <f aca="false">IFERROR(INDEX(分录收入!$I:$I,MATCH($L1809,分录收入!$L:$L,0)),"")</f>
        <v/>
      </c>
      <c r="H1809" s="23"/>
      <c r="I1809" s="70"/>
      <c r="L1809" s="71" t="n">
        <f aca="false">IF(助手收入!$R$122="",-1,助手收入!$R$122*100+(助手收入!$S$122-1)*6+4)</f>
        <v>-1</v>
      </c>
    </row>
    <row r="1810" customFormat="false" ht="23.25" hidden="false" customHeight="true" outlineLevel="0" collapsed="false">
      <c r="B1810" s="67" t="str">
        <f aca="false">""</f>
        <v/>
      </c>
      <c r="C1810" s="67"/>
      <c r="D1810" s="23" t="str">
        <f aca="false">IFERROR(INDEX(分录收入!$E:$E,MATCH($L1810,分录收入!$L:$L,0)),"")</f>
        <v/>
      </c>
      <c r="E1810" s="23" t="str">
        <f aca="false">IFERROR(INDEX(分录收入!$F:$F,MATCH($L1810,分录收入!$L:$L,0)),"")</f>
        <v/>
      </c>
      <c r="F1810" s="68" t="str">
        <f aca="false">IFERROR(INDEX(分录收入!$H:$H,MATCH($L1810,分录收入!$L:$L,0)),"")</f>
        <v/>
      </c>
      <c r="G1810" s="69" t="str">
        <f aca="false">IFERROR(INDEX(分录收入!$I:$I,MATCH($L1810,分录收入!$L:$L,0)),"")</f>
        <v/>
      </c>
      <c r="H1810" s="23"/>
      <c r="I1810" s="70"/>
      <c r="L1810" s="71" t="n">
        <f aca="false">IF(助手收入!$R$122="",-1,助手收入!$R$122*100+(助手收入!$S$122-1)*6+5)</f>
        <v>-1</v>
      </c>
    </row>
    <row r="1811" customFormat="false" ht="23.25" hidden="false" customHeight="true" outlineLevel="0" collapsed="false">
      <c r="B1811" s="67" t="str">
        <f aca="false">""</f>
        <v/>
      </c>
      <c r="C1811" s="67"/>
      <c r="D1811" s="23" t="str">
        <f aca="false">IFERROR(INDEX(分录收入!$E:$E,MATCH($L1811,分录收入!$L:$L,0)),"")</f>
        <v/>
      </c>
      <c r="E1811" s="23" t="str">
        <f aca="false">IFERROR(INDEX(分录收入!$F:$F,MATCH($L1811,分录收入!$L:$L,0)),"")</f>
        <v/>
      </c>
      <c r="F1811" s="68" t="str">
        <f aca="false">IFERROR(INDEX(分录收入!$H:$H,MATCH($L1811,分录收入!$L:$L,0)),"")</f>
        <v/>
      </c>
      <c r="G1811" s="69" t="str">
        <f aca="false">IFERROR(INDEX(分录收入!$I:$I,MATCH($L1811,分录收入!$L:$L,0)),"")</f>
        <v/>
      </c>
      <c r="H1811" s="23"/>
      <c r="I1811" s="70"/>
      <c r="L1811" s="71" t="n">
        <f aca="false">IF(助手收入!$R$122="",-1,助手收入!$R$122*100+(助手收入!$S$122-1)*6+6)</f>
        <v>-1</v>
      </c>
    </row>
    <row r="1812" customFormat="false" ht="23.25" hidden="false" customHeight="true" outlineLevel="0" collapsed="false">
      <c r="B1812" s="72" t="str">
        <f aca="false">IF(助手收入!$T$122=1,"合计：","")</f>
        <v/>
      </c>
      <c r="C1812" s="73" t="str">
        <f aca="false">IF(助手收入!$T$122=1,$F1812,"")</f>
        <v/>
      </c>
      <c r="D1812" s="74"/>
      <c r="E1812" s="74"/>
      <c r="F1812" s="75" t="str">
        <f aca="false">IF(助手收入!$T$122=1,INDEX(助手收入!$N$2:$N$66,助手收入!$R$122),"")</f>
        <v/>
      </c>
      <c r="G1812" s="76" t="str">
        <f aca="false">IF(助手收入!$T$122=1,INDEX(助手收入!$O$2:$O$66,助手收入!$R$122),"")</f>
        <v/>
      </c>
      <c r="H1812" s="74"/>
      <c r="I1812" s="77"/>
    </row>
    <row r="1813" customFormat="false" ht="6" hidden="false" customHeight="true" outlineLevel="0" collapsed="false"/>
    <row r="1814" customFormat="false" ht="13.5" hidden="false" customHeight="false" outlineLevel="0" collapsed="false">
      <c r="B1814" s="78" t="str">
        <f aca="false">IF(助手收入!$R$122&lt;&gt;"","会计主管：","")</f>
        <v/>
      </c>
      <c r="D1814" s="78" t="str">
        <f aca="false">IF(助手收入!$R$122&lt;&gt;"","会计：","")</f>
        <v/>
      </c>
      <c r="E1814" s="78" t="str">
        <f aca="false">IF(助手收入!$R$122&lt;&gt;"","出纳：","")</f>
        <v/>
      </c>
      <c r="F1814" s="78" t="str">
        <f aca="false">IF(助手收入!$R$122&lt;&gt;"","复核：","")</f>
        <v/>
      </c>
      <c r="G1814" s="78" t="str">
        <f aca="false">IF(助手收入!$R$122&lt;&gt;"","制单：","")</f>
        <v/>
      </c>
    </row>
    <row r="1815" customFormat="false" ht="3" hidden="false" customHeight="true" outlineLevel="0" collapsed="false"/>
    <row r="1816" customFormat="false" ht="19.5" hidden="false" customHeight="true" outlineLevel="0" collapsed="false">
      <c r="B1816" s="53" t="str">
        <f aca="false">IF(助手收入!$R$123&lt;&gt;"","记  账  凭  证","")</f>
        <v/>
      </c>
      <c r="C1816" s="53"/>
      <c r="D1816" s="53"/>
      <c r="E1816" s="53"/>
      <c r="F1816" s="53"/>
      <c r="G1816" s="53"/>
      <c r="H1816" s="53"/>
      <c r="I1816" s="53"/>
    </row>
    <row r="1817" customFormat="false" ht="3" hidden="false" customHeight="true" outlineLevel="0" collapsed="false"/>
    <row r="1818" customFormat="false" ht="15" hidden="false" customHeight="true" outlineLevel="0" collapsed="false">
      <c r="C1818" s="56" t="str">
        <f aca="false">IF(助手收入!$R$123&lt;&gt;"",INDEX(助手收入!$B$2:$B$66,助手收入!$R$123),"")</f>
        <v/>
      </c>
      <c r="D1818" s="57" t="str">
        <f aca="false">IF(助手收入!$R$123&lt;&gt;"",参数!$B$2,"")</f>
        <v/>
      </c>
      <c r="E1818" s="57"/>
      <c r="F1818" s="58" t="str">
        <f aca="false">IF(助手收入!$R$123&lt;&gt;"",INDEX(助手收入!$C$2:$C$66,助手收入!$R$123)&amp;"  字第 "&amp;IF(参数!$B$9="是",INDEX(助手收入!$P$2:$P$66,助手收入!$R$123),"　　　　")&amp;" 号"&amp;IF(INDEX(助手收入!$L$2:$L$66,助手收入!$R$123)&gt;1,"  (共"&amp;INDEX(助手收入!$L$2:$L$66,助手收入!$R$123)&amp;"页 第"&amp;助手收入!$S$123&amp;"页)",""),"")</f>
        <v/>
      </c>
      <c r="G1818" s="58"/>
      <c r="H1818" s="58"/>
      <c r="I1818" s="58"/>
      <c r="M1818" s="79" t="str">
        <f aca="false">IF(助手收入!$R$123="","",助手收入!$Q$123)</f>
        <v/>
      </c>
      <c r="N1818" s="80" t="str">
        <f aca="false">IF(助手收入!$R$123="","",INDEX(助手收入!$P$2:$P$66,助手收入!$R$123))</f>
        <v/>
      </c>
      <c r="O1818" s="55" t="str">
        <f aca="false">IF(助手收入!$R$123="","",INDEX(助手收入!$C$2:$C$66,助手收入!$R$123)&amp;"  字第 "&amp;INDEX(助手收入!$P$2:$P$66,助手收入!$R$123)&amp;" 号"&amp;IF(INDEX(助手收入!$L$2:$L$66,助手收入!$R$123)&gt;1,"  (共"&amp;INDEX(助手收入!$L$2:$L$66,助手收入!$R$123)&amp;"页 第"&amp;助手收入!$S$123&amp;"页)",""))</f>
        <v/>
      </c>
    </row>
    <row r="1819" customFormat="false" ht="12.75" hidden="false" customHeight="true" outlineLevel="0" collapsed="false">
      <c r="B1819" s="61" t="str">
        <f aca="false">IF(助手收入!$R$123&lt;&gt;"","摘　　要","")</f>
        <v/>
      </c>
      <c r="C1819" s="61"/>
      <c r="D1819" s="62" t="str">
        <f aca="false">IF(助手收入!$R$123&lt;&gt;"","科　　　　目","")</f>
        <v/>
      </c>
      <c r="E1819" s="62"/>
      <c r="F1819" s="61" t="str">
        <f aca="false">IF(助手收入!$R$123&lt;&gt;"","借 方 金 额","")</f>
        <v/>
      </c>
      <c r="G1819" s="62" t="str">
        <f aca="false">IF(助手收入!$R$123&lt;&gt;"","贷 方 金 额","")</f>
        <v/>
      </c>
      <c r="H1819" s="63" t="str">
        <f aca="false">IF(助手收入!$R$123&lt;&gt;"","√","")</f>
        <v/>
      </c>
      <c r="I1819" s="64" t="str">
        <f aca="false">IF(助手收入!$R$123&lt;&gt;"","附单据  张","")</f>
        <v/>
      </c>
    </row>
    <row r="1820" customFormat="false" ht="12.75" hidden="false" customHeight="true" outlineLevel="0" collapsed="false">
      <c r="B1820" s="61"/>
      <c r="C1820" s="61"/>
      <c r="D1820" s="23" t="str">
        <f aca="false">IF(助手收入!$R$123&lt;&gt;"","总 账 科 目","")</f>
        <v/>
      </c>
      <c r="E1820" s="23" t="str">
        <f aca="false">IF(助手收入!$R$123&lt;&gt;"","明 细 科 目","")</f>
        <v/>
      </c>
      <c r="F1820" s="65"/>
      <c r="G1820" s="66"/>
      <c r="H1820" s="63"/>
      <c r="I1820" s="64"/>
    </row>
    <row r="1821" customFormat="false" ht="23.25" hidden="false" customHeight="true" outlineLevel="0" collapsed="false">
      <c r="B1821" s="67" t="str">
        <f aca="false">IFERROR(INDEX(分录收入!$M:$M,MATCH($L1821,分录收入!$L:$L,0)),"")</f>
        <v/>
      </c>
      <c r="C1821" s="67"/>
      <c r="D1821" s="23" t="str">
        <f aca="false">IFERROR(INDEX(分录收入!$E:$E,MATCH($L1821,分录收入!$L:$L,0)),"")</f>
        <v/>
      </c>
      <c r="E1821" s="23" t="str">
        <f aca="false">IFERROR(INDEX(分录收入!$F:$F,MATCH($L1821,分录收入!$L:$L,0)),"")</f>
        <v/>
      </c>
      <c r="F1821" s="68" t="str">
        <f aca="false">IFERROR(INDEX(分录收入!$H:$H,MATCH($L1821,分录收入!$L:$L,0)),"")</f>
        <v/>
      </c>
      <c r="G1821" s="69" t="str">
        <f aca="false">IFERROR(INDEX(分录收入!$I:$I,MATCH($L1821,分录收入!$L:$L,0)),"")</f>
        <v/>
      </c>
      <c r="H1821" s="23"/>
      <c r="I1821" s="70"/>
      <c r="L1821" s="71" t="n">
        <f aca="false">IF(助手收入!$R$123="",-1,助手收入!$R$123*100+(助手收入!$S$123-1)*6+1)</f>
        <v>-1</v>
      </c>
    </row>
    <row r="1822" customFormat="false" ht="23.25" hidden="false" customHeight="true" outlineLevel="0" collapsed="false">
      <c r="B1822" s="67" t="str">
        <f aca="false">""</f>
        <v/>
      </c>
      <c r="C1822" s="67"/>
      <c r="D1822" s="23" t="str">
        <f aca="false">IFERROR(INDEX(分录收入!$E:$E,MATCH($L1822,分录收入!$L:$L,0)),"")</f>
        <v/>
      </c>
      <c r="E1822" s="23" t="str">
        <f aca="false">IFERROR(INDEX(分录收入!$F:$F,MATCH($L1822,分录收入!$L:$L,0)),"")</f>
        <v/>
      </c>
      <c r="F1822" s="68" t="str">
        <f aca="false">IFERROR(INDEX(分录收入!$H:$H,MATCH($L1822,分录收入!$L:$L,0)),"")</f>
        <v/>
      </c>
      <c r="G1822" s="69" t="str">
        <f aca="false">IFERROR(INDEX(分录收入!$I:$I,MATCH($L1822,分录收入!$L:$L,0)),"")</f>
        <v/>
      </c>
      <c r="H1822" s="23"/>
      <c r="I1822" s="70"/>
      <c r="L1822" s="71" t="n">
        <f aca="false">IF(助手收入!$R$123="",-1,助手收入!$R$123*100+(助手收入!$S$123-1)*6+2)</f>
        <v>-1</v>
      </c>
    </row>
    <row r="1823" customFormat="false" ht="23.25" hidden="false" customHeight="true" outlineLevel="0" collapsed="false">
      <c r="B1823" s="67" t="str">
        <f aca="false">""</f>
        <v/>
      </c>
      <c r="C1823" s="67"/>
      <c r="D1823" s="23" t="str">
        <f aca="false">IFERROR(INDEX(分录收入!$E:$E,MATCH($L1823,分录收入!$L:$L,0)),"")</f>
        <v/>
      </c>
      <c r="E1823" s="23" t="str">
        <f aca="false">IFERROR(INDEX(分录收入!$F:$F,MATCH($L1823,分录收入!$L:$L,0)),"")</f>
        <v/>
      </c>
      <c r="F1823" s="68" t="str">
        <f aca="false">IFERROR(INDEX(分录收入!$H:$H,MATCH($L1823,分录收入!$L:$L,0)),"")</f>
        <v/>
      </c>
      <c r="G1823" s="69" t="str">
        <f aca="false">IFERROR(INDEX(分录收入!$I:$I,MATCH($L1823,分录收入!$L:$L,0)),"")</f>
        <v/>
      </c>
      <c r="H1823" s="23"/>
      <c r="I1823" s="70"/>
      <c r="L1823" s="71" t="n">
        <f aca="false">IF(助手收入!$R$123="",-1,助手收入!$R$123*100+(助手收入!$S$123-1)*6+3)</f>
        <v>-1</v>
      </c>
    </row>
    <row r="1824" customFormat="false" ht="23.25" hidden="false" customHeight="true" outlineLevel="0" collapsed="false">
      <c r="B1824" s="67" t="str">
        <f aca="false">""</f>
        <v/>
      </c>
      <c r="C1824" s="67"/>
      <c r="D1824" s="23" t="str">
        <f aca="false">IFERROR(INDEX(分录收入!$E:$E,MATCH($L1824,分录收入!$L:$L,0)),"")</f>
        <v/>
      </c>
      <c r="E1824" s="23" t="str">
        <f aca="false">IFERROR(INDEX(分录收入!$F:$F,MATCH($L1824,分录收入!$L:$L,0)),"")</f>
        <v/>
      </c>
      <c r="F1824" s="68" t="str">
        <f aca="false">IFERROR(INDEX(分录收入!$H:$H,MATCH($L1824,分录收入!$L:$L,0)),"")</f>
        <v/>
      </c>
      <c r="G1824" s="69" t="str">
        <f aca="false">IFERROR(INDEX(分录收入!$I:$I,MATCH($L1824,分录收入!$L:$L,0)),"")</f>
        <v/>
      </c>
      <c r="H1824" s="23"/>
      <c r="I1824" s="70"/>
      <c r="L1824" s="71" t="n">
        <f aca="false">IF(助手收入!$R$123="",-1,助手收入!$R$123*100+(助手收入!$S$123-1)*6+4)</f>
        <v>-1</v>
      </c>
    </row>
    <row r="1825" customFormat="false" ht="23.25" hidden="false" customHeight="true" outlineLevel="0" collapsed="false">
      <c r="B1825" s="67" t="str">
        <f aca="false">""</f>
        <v/>
      </c>
      <c r="C1825" s="67"/>
      <c r="D1825" s="23" t="str">
        <f aca="false">IFERROR(INDEX(分录收入!$E:$E,MATCH($L1825,分录收入!$L:$L,0)),"")</f>
        <v/>
      </c>
      <c r="E1825" s="23" t="str">
        <f aca="false">IFERROR(INDEX(分录收入!$F:$F,MATCH($L1825,分录收入!$L:$L,0)),"")</f>
        <v/>
      </c>
      <c r="F1825" s="68" t="str">
        <f aca="false">IFERROR(INDEX(分录收入!$H:$H,MATCH($L1825,分录收入!$L:$L,0)),"")</f>
        <v/>
      </c>
      <c r="G1825" s="69" t="str">
        <f aca="false">IFERROR(INDEX(分录收入!$I:$I,MATCH($L1825,分录收入!$L:$L,0)),"")</f>
        <v/>
      </c>
      <c r="H1825" s="23"/>
      <c r="I1825" s="70"/>
      <c r="L1825" s="71" t="n">
        <f aca="false">IF(助手收入!$R$123="",-1,助手收入!$R$123*100+(助手收入!$S$123-1)*6+5)</f>
        <v>-1</v>
      </c>
    </row>
    <row r="1826" customFormat="false" ht="23.25" hidden="false" customHeight="true" outlineLevel="0" collapsed="false">
      <c r="B1826" s="67" t="str">
        <f aca="false">""</f>
        <v/>
      </c>
      <c r="C1826" s="67"/>
      <c r="D1826" s="23" t="str">
        <f aca="false">IFERROR(INDEX(分录收入!$E:$E,MATCH($L1826,分录收入!$L:$L,0)),"")</f>
        <v/>
      </c>
      <c r="E1826" s="23" t="str">
        <f aca="false">IFERROR(INDEX(分录收入!$F:$F,MATCH($L1826,分录收入!$L:$L,0)),"")</f>
        <v/>
      </c>
      <c r="F1826" s="68" t="str">
        <f aca="false">IFERROR(INDEX(分录收入!$H:$H,MATCH($L1826,分录收入!$L:$L,0)),"")</f>
        <v/>
      </c>
      <c r="G1826" s="69" t="str">
        <f aca="false">IFERROR(INDEX(分录收入!$I:$I,MATCH($L1826,分录收入!$L:$L,0)),"")</f>
        <v/>
      </c>
      <c r="H1826" s="23"/>
      <c r="I1826" s="70"/>
      <c r="L1826" s="71" t="n">
        <f aca="false">IF(助手收入!$R$123="",-1,助手收入!$R$123*100+(助手收入!$S$123-1)*6+6)</f>
        <v>-1</v>
      </c>
    </row>
    <row r="1827" customFormat="false" ht="23.25" hidden="false" customHeight="true" outlineLevel="0" collapsed="false">
      <c r="B1827" s="72" t="str">
        <f aca="false">IF(助手收入!$T$123=1,"合计：","")</f>
        <v/>
      </c>
      <c r="C1827" s="73" t="str">
        <f aca="false">IF(助手收入!$T$123=1,$F1827,"")</f>
        <v/>
      </c>
      <c r="D1827" s="74"/>
      <c r="E1827" s="74"/>
      <c r="F1827" s="75" t="str">
        <f aca="false">IF(助手收入!$T$123=1,INDEX(助手收入!$N$2:$N$66,助手收入!$R$123),"")</f>
        <v/>
      </c>
      <c r="G1827" s="76" t="str">
        <f aca="false">IF(助手收入!$T$123=1,INDEX(助手收入!$O$2:$O$66,助手收入!$R$123),"")</f>
        <v/>
      </c>
      <c r="H1827" s="74"/>
      <c r="I1827" s="77"/>
    </row>
    <row r="1828" customFormat="false" ht="6" hidden="false" customHeight="true" outlineLevel="0" collapsed="false"/>
    <row r="1829" customFormat="false" ht="13.5" hidden="false" customHeight="false" outlineLevel="0" collapsed="false">
      <c r="B1829" s="78" t="str">
        <f aca="false">IF(助手收入!$R$123&lt;&gt;"","会计主管：","")</f>
        <v/>
      </c>
      <c r="D1829" s="78" t="str">
        <f aca="false">IF(助手收入!$R$123&lt;&gt;"","会计：","")</f>
        <v/>
      </c>
      <c r="E1829" s="78" t="str">
        <f aca="false">IF(助手收入!$R$123&lt;&gt;"","出纳：","")</f>
        <v/>
      </c>
      <c r="F1829" s="78" t="str">
        <f aca="false">IF(助手收入!$R$123&lt;&gt;"","复核：","")</f>
        <v/>
      </c>
      <c r="G1829" s="78" t="str">
        <f aca="false">IF(助手收入!$R$123&lt;&gt;"","制单：","")</f>
        <v/>
      </c>
    </row>
    <row r="1830" customFormat="false" ht="3" hidden="false" customHeight="true" outlineLevel="0" collapsed="false"/>
    <row r="1831" customFormat="false" ht="19.5" hidden="false" customHeight="true" outlineLevel="0" collapsed="false">
      <c r="B1831" s="53" t="str">
        <f aca="false">IF(助手收入!$R$124&lt;&gt;"","记  账  凭  证","")</f>
        <v/>
      </c>
      <c r="C1831" s="53"/>
      <c r="D1831" s="53"/>
      <c r="E1831" s="53"/>
      <c r="F1831" s="53"/>
      <c r="G1831" s="53"/>
      <c r="H1831" s="53"/>
      <c r="I1831" s="53"/>
    </row>
    <row r="1832" customFormat="false" ht="3" hidden="false" customHeight="true" outlineLevel="0" collapsed="false"/>
    <row r="1833" customFormat="false" ht="15" hidden="false" customHeight="true" outlineLevel="0" collapsed="false">
      <c r="C1833" s="56" t="str">
        <f aca="false">IF(助手收入!$R$124&lt;&gt;"",INDEX(助手收入!$B$2:$B$66,助手收入!$R$124),"")</f>
        <v/>
      </c>
      <c r="D1833" s="57" t="str">
        <f aca="false">IF(助手收入!$R$124&lt;&gt;"",参数!$B$2,"")</f>
        <v/>
      </c>
      <c r="E1833" s="57"/>
      <c r="F1833" s="58" t="str">
        <f aca="false">IF(助手收入!$R$124&lt;&gt;"",INDEX(助手收入!$C$2:$C$66,助手收入!$R$124)&amp;"  字第 "&amp;IF(参数!$B$9="是",INDEX(助手收入!$P$2:$P$66,助手收入!$R$124),"　　　　")&amp;" 号"&amp;IF(INDEX(助手收入!$L$2:$L$66,助手收入!$R$124)&gt;1,"  (共"&amp;INDEX(助手收入!$L$2:$L$66,助手收入!$R$124)&amp;"页 第"&amp;助手收入!$S$124&amp;"页)",""),"")</f>
        <v/>
      </c>
      <c r="G1833" s="58"/>
      <c r="H1833" s="58"/>
      <c r="I1833" s="58"/>
      <c r="M1833" s="79" t="str">
        <f aca="false">IF(助手收入!$R$124="","",助手收入!$Q$124)</f>
        <v/>
      </c>
      <c r="N1833" s="80" t="str">
        <f aca="false">IF(助手收入!$R$124="","",INDEX(助手收入!$P$2:$P$66,助手收入!$R$124))</f>
        <v/>
      </c>
      <c r="O1833" s="55" t="str">
        <f aca="false">IF(助手收入!$R$124="","",INDEX(助手收入!$C$2:$C$66,助手收入!$R$124)&amp;"  字第 "&amp;INDEX(助手收入!$P$2:$P$66,助手收入!$R$124)&amp;" 号"&amp;IF(INDEX(助手收入!$L$2:$L$66,助手收入!$R$124)&gt;1,"  (共"&amp;INDEX(助手收入!$L$2:$L$66,助手收入!$R$124)&amp;"页 第"&amp;助手收入!$S$124&amp;"页)",""))</f>
        <v/>
      </c>
    </row>
    <row r="1834" customFormat="false" ht="12.75" hidden="false" customHeight="true" outlineLevel="0" collapsed="false">
      <c r="B1834" s="61" t="str">
        <f aca="false">IF(助手收入!$R$124&lt;&gt;"","摘　　要","")</f>
        <v/>
      </c>
      <c r="C1834" s="61"/>
      <c r="D1834" s="62" t="str">
        <f aca="false">IF(助手收入!$R$124&lt;&gt;"","科　　　　目","")</f>
        <v/>
      </c>
      <c r="E1834" s="62"/>
      <c r="F1834" s="61" t="str">
        <f aca="false">IF(助手收入!$R$124&lt;&gt;"","借 方 金 额","")</f>
        <v/>
      </c>
      <c r="G1834" s="62" t="str">
        <f aca="false">IF(助手收入!$R$124&lt;&gt;"","贷 方 金 额","")</f>
        <v/>
      </c>
      <c r="H1834" s="63" t="str">
        <f aca="false">IF(助手收入!$R$124&lt;&gt;"","√","")</f>
        <v/>
      </c>
      <c r="I1834" s="64" t="str">
        <f aca="false">IF(助手收入!$R$124&lt;&gt;"","附单据  张","")</f>
        <v/>
      </c>
    </row>
    <row r="1835" customFormat="false" ht="12.75" hidden="false" customHeight="true" outlineLevel="0" collapsed="false">
      <c r="B1835" s="61"/>
      <c r="C1835" s="61"/>
      <c r="D1835" s="23" t="str">
        <f aca="false">IF(助手收入!$R$124&lt;&gt;"","总 账 科 目","")</f>
        <v/>
      </c>
      <c r="E1835" s="23" t="str">
        <f aca="false">IF(助手收入!$R$124&lt;&gt;"","明 细 科 目","")</f>
        <v/>
      </c>
      <c r="F1835" s="65"/>
      <c r="G1835" s="66"/>
      <c r="H1835" s="63"/>
      <c r="I1835" s="64"/>
    </row>
    <row r="1836" customFormat="false" ht="23.25" hidden="false" customHeight="true" outlineLevel="0" collapsed="false">
      <c r="B1836" s="67" t="str">
        <f aca="false">IFERROR(INDEX(分录收入!$M:$M,MATCH($L1836,分录收入!$L:$L,0)),"")</f>
        <v/>
      </c>
      <c r="C1836" s="67"/>
      <c r="D1836" s="23" t="str">
        <f aca="false">IFERROR(INDEX(分录收入!$E:$E,MATCH($L1836,分录收入!$L:$L,0)),"")</f>
        <v/>
      </c>
      <c r="E1836" s="23" t="str">
        <f aca="false">IFERROR(INDEX(分录收入!$F:$F,MATCH($L1836,分录收入!$L:$L,0)),"")</f>
        <v/>
      </c>
      <c r="F1836" s="68" t="str">
        <f aca="false">IFERROR(INDEX(分录收入!$H:$H,MATCH($L1836,分录收入!$L:$L,0)),"")</f>
        <v/>
      </c>
      <c r="G1836" s="69" t="str">
        <f aca="false">IFERROR(INDEX(分录收入!$I:$I,MATCH($L1836,分录收入!$L:$L,0)),"")</f>
        <v/>
      </c>
      <c r="H1836" s="23"/>
      <c r="I1836" s="70"/>
      <c r="L1836" s="71" t="n">
        <f aca="false">IF(助手收入!$R$124="",-1,助手收入!$R$124*100+(助手收入!$S$124-1)*6+1)</f>
        <v>-1</v>
      </c>
    </row>
    <row r="1837" customFormat="false" ht="23.25" hidden="false" customHeight="true" outlineLevel="0" collapsed="false">
      <c r="B1837" s="67" t="str">
        <f aca="false">""</f>
        <v/>
      </c>
      <c r="C1837" s="67"/>
      <c r="D1837" s="23" t="str">
        <f aca="false">IFERROR(INDEX(分录收入!$E:$E,MATCH($L1837,分录收入!$L:$L,0)),"")</f>
        <v/>
      </c>
      <c r="E1837" s="23" t="str">
        <f aca="false">IFERROR(INDEX(分录收入!$F:$F,MATCH($L1837,分录收入!$L:$L,0)),"")</f>
        <v/>
      </c>
      <c r="F1837" s="68" t="str">
        <f aca="false">IFERROR(INDEX(分录收入!$H:$H,MATCH($L1837,分录收入!$L:$L,0)),"")</f>
        <v/>
      </c>
      <c r="G1837" s="69" t="str">
        <f aca="false">IFERROR(INDEX(分录收入!$I:$I,MATCH($L1837,分录收入!$L:$L,0)),"")</f>
        <v/>
      </c>
      <c r="H1837" s="23"/>
      <c r="I1837" s="70"/>
      <c r="L1837" s="71" t="n">
        <f aca="false">IF(助手收入!$R$124="",-1,助手收入!$R$124*100+(助手收入!$S$124-1)*6+2)</f>
        <v>-1</v>
      </c>
    </row>
    <row r="1838" customFormat="false" ht="23.25" hidden="false" customHeight="true" outlineLevel="0" collapsed="false">
      <c r="B1838" s="67" t="str">
        <f aca="false">""</f>
        <v/>
      </c>
      <c r="C1838" s="67"/>
      <c r="D1838" s="23" t="str">
        <f aca="false">IFERROR(INDEX(分录收入!$E:$E,MATCH($L1838,分录收入!$L:$L,0)),"")</f>
        <v/>
      </c>
      <c r="E1838" s="23" t="str">
        <f aca="false">IFERROR(INDEX(分录收入!$F:$F,MATCH($L1838,分录收入!$L:$L,0)),"")</f>
        <v/>
      </c>
      <c r="F1838" s="68" t="str">
        <f aca="false">IFERROR(INDEX(分录收入!$H:$H,MATCH($L1838,分录收入!$L:$L,0)),"")</f>
        <v/>
      </c>
      <c r="G1838" s="69" t="str">
        <f aca="false">IFERROR(INDEX(分录收入!$I:$I,MATCH($L1838,分录收入!$L:$L,0)),"")</f>
        <v/>
      </c>
      <c r="H1838" s="23"/>
      <c r="I1838" s="70"/>
      <c r="L1838" s="71" t="n">
        <f aca="false">IF(助手收入!$R$124="",-1,助手收入!$R$124*100+(助手收入!$S$124-1)*6+3)</f>
        <v>-1</v>
      </c>
    </row>
    <row r="1839" customFormat="false" ht="23.25" hidden="false" customHeight="true" outlineLevel="0" collapsed="false">
      <c r="B1839" s="67" t="str">
        <f aca="false">""</f>
        <v/>
      </c>
      <c r="C1839" s="67"/>
      <c r="D1839" s="23" t="str">
        <f aca="false">IFERROR(INDEX(分录收入!$E:$E,MATCH($L1839,分录收入!$L:$L,0)),"")</f>
        <v/>
      </c>
      <c r="E1839" s="23" t="str">
        <f aca="false">IFERROR(INDEX(分录收入!$F:$F,MATCH($L1839,分录收入!$L:$L,0)),"")</f>
        <v/>
      </c>
      <c r="F1839" s="68" t="str">
        <f aca="false">IFERROR(INDEX(分录收入!$H:$H,MATCH($L1839,分录收入!$L:$L,0)),"")</f>
        <v/>
      </c>
      <c r="G1839" s="69" t="str">
        <f aca="false">IFERROR(INDEX(分录收入!$I:$I,MATCH($L1839,分录收入!$L:$L,0)),"")</f>
        <v/>
      </c>
      <c r="H1839" s="23"/>
      <c r="I1839" s="70"/>
      <c r="L1839" s="71" t="n">
        <f aca="false">IF(助手收入!$R$124="",-1,助手收入!$R$124*100+(助手收入!$S$124-1)*6+4)</f>
        <v>-1</v>
      </c>
    </row>
    <row r="1840" customFormat="false" ht="23.25" hidden="false" customHeight="true" outlineLevel="0" collapsed="false">
      <c r="B1840" s="67" t="str">
        <f aca="false">""</f>
        <v/>
      </c>
      <c r="C1840" s="67"/>
      <c r="D1840" s="23" t="str">
        <f aca="false">IFERROR(INDEX(分录收入!$E:$E,MATCH($L1840,分录收入!$L:$L,0)),"")</f>
        <v/>
      </c>
      <c r="E1840" s="23" t="str">
        <f aca="false">IFERROR(INDEX(分录收入!$F:$F,MATCH($L1840,分录收入!$L:$L,0)),"")</f>
        <v/>
      </c>
      <c r="F1840" s="68" t="str">
        <f aca="false">IFERROR(INDEX(分录收入!$H:$H,MATCH($L1840,分录收入!$L:$L,0)),"")</f>
        <v/>
      </c>
      <c r="G1840" s="69" t="str">
        <f aca="false">IFERROR(INDEX(分录收入!$I:$I,MATCH($L1840,分录收入!$L:$L,0)),"")</f>
        <v/>
      </c>
      <c r="H1840" s="23"/>
      <c r="I1840" s="70"/>
      <c r="L1840" s="71" t="n">
        <f aca="false">IF(助手收入!$R$124="",-1,助手收入!$R$124*100+(助手收入!$S$124-1)*6+5)</f>
        <v>-1</v>
      </c>
    </row>
    <row r="1841" customFormat="false" ht="23.25" hidden="false" customHeight="true" outlineLevel="0" collapsed="false">
      <c r="B1841" s="67" t="str">
        <f aca="false">""</f>
        <v/>
      </c>
      <c r="C1841" s="67"/>
      <c r="D1841" s="23" t="str">
        <f aca="false">IFERROR(INDEX(分录收入!$E:$E,MATCH($L1841,分录收入!$L:$L,0)),"")</f>
        <v/>
      </c>
      <c r="E1841" s="23" t="str">
        <f aca="false">IFERROR(INDEX(分录收入!$F:$F,MATCH($L1841,分录收入!$L:$L,0)),"")</f>
        <v/>
      </c>
      <c r="F1841" s="68" t="str">
        <f aca="false">IFERROR(INDEX(分录收入!$H:$H,MATCH($L1841,分录收入!$L:$L,0)),"")</f>
        <v/>
      </c>
      <c r="G1841" s="69" t="str">
        <f aca="false">IFERROR(INDEX(分录收入!$I:$I,MATCH($L1841,分录收入!$L:$L,0)),"")</f>
        <v/>
      </c>
      <c r="H1841" s="23"/>
      <c r="I1841" s="70"/>
      <c r="L1841" s="71" t="n">
        <f aca="false">IF(助手收入!$R$124="",-1,助手收入!$R$124*100+(助手收入!$S$124-1)*6+6)</f>
        <v>-1</v>
      </c>
    </row>
    <row r="1842" customFormat="false" ht="23.25" hidden="false" customHeight="true" outlineLevel="0" collapsed="false">
      <c r="B1842" s="72" t="str">
        <f aca="false">IF(助手收入!$T$124=1,"合计：","")</f>
        <v/>
      </c>
      <c r="C1842" s="73" t="str">
        <f aca="false">IF(助手收入!$T$124=1,$F1842,"")</f>
        <v/>
      </c>
      <c r="D1842" s="74"/>
      <c r="E1842" s="74"/>
      <c r="F1842" s="75" t="str">
        <f aca="false">IF(助手收入!$T$124=1,INDEX(助手收入!$N$2:$N$66,助手收入!$R$124),"")</f>
        <v/>
      </c>
      <c r="G1842" s="76" t="str">
        <f aca="false">IF(助手收入!$T$124=1,INDEX(助手收入!$O$2:$O$66,助手收入!$R$124),"")</f>
        <v/>
      </c>
      <c r="H1842" s="74"/>
      <c r="I1842" s="77"/>
    </row>
    <row r="1843" customFormat="false" ht="6" hidden="false" customHeight="true" outlineLevel="0" collapsed="false"/>
    <row r="1844" customFormat="false" ht="13.5" hidden="false" customHeight="false" outlineLevel="0" collapsed="false">
      <c r="B1844" s="78" t="str">
        <f aca="false">IF(助手收入!$R$124&lt;&gt;"","会计主管：","")</f>
        <v/>
      </c>
      <c r="D1844" s="78" t="str">
        <f aca="false">IF(助手收入!$R$124&lt;&gt;"","会计：","")</f>
        <v/>
      </c>
      <c r="E1844" s="78" t="str">
        <f aca="false">IF(助手收入!$R$124&lt;&gt;"","出纳：","")</f>
        <v/>
      </c>
      <c r="F1844" s="78" t="str">
        <f aca="false">IF(助手收入!$R$124&lt;&gt;"","复核：","")</f>
        <v/>
      </c>
      <c r="G1844" s="78" t="str">
        <f aca="false">IF(助手收入!$R$124&lt;&gt;"","制单：","")</f>
        <v/>
      </c>
    </row>
    <row r="1845" customFormat="false" ht="3" hidden="false" customHeight="true" outlineLevel="0" collapsed="false"/>
    <row r="1846" customFormat="false" ht="19.5" hidden="false" customHeight="true" outlineLevel="0" collapsed="false">
      <c r="B1846" s="53" t="str">
        <f aca="false">IF(助手收入!$R$125&lt;&gt;"","记  账  凭  证","")</f>
        <v/>
      </c>
      <c r="C1846" s="53"/>
      <c r="D1846" s="53"/>
      <c r="E1846" s="53"/>
      <c r="F1846" s="53"/>
      <c r="G1846" s="53"/>
      <c r="H1846" s="53"/>
      <c r="I1846" s="53"/>
    </row>
    <row r="1847" customFormat="false" ht="3" hidden="false" customHeight="true" outlineLevel="0" collapsed="false"/>
    <row r="1848" customFormat="false" ht="15" hidden="false" customHeight="true" outlineLevel="0" collapsed="false">
      <c r="C1848" s="56" t="str">
        <f aca="false">IF(助手收入!$R$125&lt;&gt;"",INDEX(助手收入!$B$2:$B$66,助手收入!$R$125),"")</f>
        <v/>
      </c>
      <c r="D1848" s="57" t="str">
        <f aca="false">IF(助手收入!$R$125&lt;&gt;"",参数!$B$2,"")</f>
        <v/>
      </c>
      <c r="E1848" s="57"/>
      <c r="F1848" s="58" t="str">
        <f aca="false">IF(助手收入!$R$125&lt;&gt;"",INDEX(助手收入!$C$2:$C$66,助手收入!$R$125)&amp;"  字第 "&amp;IF(参数!$B$9="是",INDEX(助手收入!$P$2:$P$66,助手收入!$R$125),"　　　　")&amp;" 号"&amp;IF(INDEX(助手收入!$L$2:$L$66,助手收入!$R$125)&gt;1,"  (共"&amp;INDEX(助手收入!$L$2:$L$66,助手收入!$R$125)&amp;"页 第"&amp;助手收入!$S$125&amp;"页)",""),"")</f>
        <v/>
      </c>
      <c r="G1848" s="58"/>
      <c r="H1848" s="58"/>
      <c r="I1848" s="58"/>
      <c r="M1848" s="79" t="str">
        <f aca="false">IF(助手收入!$R$125="","",助手收入!$Q$125)</f>
        <v/>
      </c>
      <c r="N1848" s="80" t="str">
        <f aca="false">IF(助手收入!$R$125="","",INDEX(助手收入!$P$2:$P$66,助手收入!$R$125))</f>
        <v/>
      </c>
      <c r="O1848" s="55" t="str">
        <f aca="false">IF(助手收入!$R$125="","",INDEX(助手收入!$C$2:$C$66,助手收入!$R$125)&amp;"  字第 "&amp;INDEX(助手收入!$P$2:$P$66,助手收入!$R$125)&amp;" 号"&amp;IF(INDEX(助手收入!$L$2:$L$66,助手收入!$R$125)&gt;1,"  (共"&amp;INDEX(助手收入!$L$2:$L$66,助手收入!$R$125)&amp;"页 第"&amp;助手收入!$S$125&amp;"页)",""))</f>
        <v/>
      </c>
    </row>
    <row r="1849" customFormat="false" ht="12.75" hidden="false" customHeight="true" outlineLevel="0" collapsed="false">
      <c r="B1849" s="61" t="str">
        <f aca="false">IF(助手收入!$R$125&lt;&gt;"","摘　　要","")</f>
        <v/>
      </c>
      <c r="C1849" s="61"/>
      <c r="D1849" s="62" t="str">
        <f aca="false">IF(助手收入!$R$125&lt;&gt;"","科　　　　目","")</f>
        <v/>
      </c>
      <c r="E1849" s="62"/>
      <c r="F1849" s="61" t="str">
        <f aca="false">IF(助手收入!$R$125&lt;&gt;"","借 方 金 额","")</f>
        <v/>
      </c>
      <c r="G1849" s="62" t="str">
        <f aca="false">IF(助手收入!$R$125&lt;&gt;"","贷 方 金 额","")</f>
        <v/>
      </c>
      <c r="H1849" s="63" t="str">
        <f aca="false">IF(助手收入!$R$125&lt;&gt;"","√","")</f>
        <v/>
      </c>
      <c r="I1849" s="64" t="str">
        <f aca="false">IF(助手收入!$R$125&lt;&gt;"","附单据  张","")</f>
        <v/>
      </c>
    </row>
    <row r="1850" customFormat="false" ht="12.75" hidden="false" customHeight="true" outlineLevel="0" collapsed="false">
      <c r="B1850" s="61"/>
      <c r="C1850" s="61"/>
      <c r="D1850" s="23" t="str">
        <f aca="false">IF(助手收入!$R$125&lt;&gt;"","总 账 科 目","")</f>
        <v/>
      </c>
      <c r="E1850" s="23" t="str">
        <f aca="false">IF(助手收入!$R$125&lt;&gt;"","明 细 科 目","")</f>
        <v/>
      </c>
      <c r="F1850" s="65"/>
      <c r="G1850" s="66"/>
      <c r="H1850" s="63"/>
      <c r="I1850" s="64"/>
    </row>
    <row r="1851" customFormat="false" ht="23.25" hidden="false" customHeight="true" outlineLevel="0" collapsed="false">
      <c r="B1851" s="67" t="str">
        <f aca="false">IFERROR(INDEX(分录收入!$M:$M,MATCH($L1851,分录收入!$L:$L,0)),"")</f>
        <v/>
      </c>
      <c r="C1851" s="67"/>
      <c r="D1851" s="23" t="str">
        <f aca="false">IFERROR(INDEX(分录收入!$E:$E,MATCH($L1851,分录收入!$L:$L,0)),"")</f>
        <v/>
      </c>
      <c r="E1851" s="23" t="str">
        <f aca="false">IFERROR(INDEX(分录收入!$F:$F,MATCH($L1851,分录收入!$L:$L,0)),"")</f>
        <v/>
      </c>
      <c r="F1851" s="68" t="str">
        <f aca="false">IFERROR(INDEX(分录收入!$H:$H,MATCH($L1851,分录收入!$L:$L,0)),"")</f>
        <v/>
      </c>
      <c r="G1851" s="69" t="str">
        <f aca="false">IFERROR(INDEX(分录收入!$I:$I,MATCH($L1851,分录收入!$L:$L,0)),"")</f>
        <v/>
      </c>
      <c r="H1851" s="23"/>
      <c r="I1851" s="70"/>
      <c r="L1851" s="71" t="n">
        <f aca="false">IF(助手收入!$R$125="",-1,助手收入!$R$125*100+(助手收入!$S$125-1)*6+1)</f>
        <v>-1</v>
      </c>
    </row>
    <row r="1852" customFormat="false" ht="23.25" hidden="false" customHeight="true" outlineLevel="0" collapsed="false">
      <c r="B1852" s="67" t="str">
        <f aca="false">""</f>
        <v/>
      </c>
      <c r="C1852" s="67"/>
      <c r="D1852" s="23" t="str">
        <f aca="false">IFERROR(INDEX(分录收入!$E:$E,MATCH($L1852,分录收入!$L:$L,0)),"")</f>
        <v/>
      </c>
      <c r="E1852" s="23" t="str">
        <f aca="false">IFERROR(INDEX(分录收入!$F:$F,MATCH($L1852,分录收入!$L:$L,0)),"")</f>
        <v/>
      </c>
      <c r="F1852" s="68" t="str">
        <f aca="false">IFERROR(INDEX(分录收入!$H:$H,MATCH($L1852,分录收入!$L:$L,0)),"")</f>
        <v/>
      </c>
      <c r="G1852" s="69" t="str">
        <f aca="false">IFERROR(INDEX(分录收入!$I:$I,MATCH($L1852,分录收入!$L:$L,0)),"")</f>
        <v/>
      </c>
      <c r="H1852" s="23"/>
      <c r="I1852" s="70"/>
      <c r="L1852" s="71" t="n">
        <f aca="false">IF(助手收入!$R$125="",-1,助手收入!$R$125*100+(助手收入!$S$125-1)*6+2)</f>
        <v>-1</v>
      </c>
    </row>
    <row r="1853" customFormat="false" ht="23.25" hidden="false" customHeight="true" outlineLevel="0" collapsed="false">
      <c r="B1853" s="67" t="str">
        <f aca="false">""</f>
        <v/>
      </c>
      <c r="C1853" s="67"/>
      <c r="D1853" s="23" t="str">
        <f aca="false">IFERROR(INDEX(分录收入!$E:$E,MATCH($L1853,分录收入!$L:$L,0)),"")</f>
        <v/>
      </c>
      <c r="E1853" s="23" t="str">
        <f aca="false">IFERROR(INDEX(分录收入!$F:$F,MATCH($L1853,分录收入!$L:$L,0)),"")</f>
        <v/>
      </c>
      <c r="F1853" s="68" t="str">
        <f aca="false">IFERROR(INDEX(分录收入!$H:$H,MATCH($L1853,分录收入!$L:$L,0)),"")</f>
        <v/>
      </c>
      <c r="G1853" s="69" t="str">
        <f aca="false">IFERROR(INDEX(分录收入!$I:$I,MATCH($L1853,分录收入!$L:$L,0)),"")</f>
        <v/>
      </c>
      <c r="H1853" s="23"/>
      <c r="I1853" s="70"/>
      <c r="L1853" s="71" t="n">
        <f aca="false">IF(助手收入!$R$125="",-1,助手收入!$R$125*100+(助手收入!$S$125-1)*6+3)</f>
        <v>-1</v>
      </c>
    </row>
    <row r="1854" customFormat="false" ht="23.25" hidden="false" customHeight="true" outlineLevel="0" collapsed="false">
      <c r="B1854" s="67" t="str">
        <f aca="false">""</f>
        <v/>
      </c>
      <c r="C1854" s="67"/>
      <c r="D1854" s="23" t="str">
        <f aca="false">IFERROR(INDEX(分录收入!$E:$E,MATCH($L1854,分录收入!$L:$L,0)),"")</f>
        <v/>
      </c>
      <c r="E1854" s="23" t="str">
        <f aca="false">IFERROR(INDEX(分录收入!$F:$F,MATCH($L1854,分录收入!$L:$L,0)),"")</f>
        <v/>
      </c>
      <c r="F1854" s="68" t="str">
        <f aca="false">IFERROR(INDEX(分录收入!$H:$H,MATCH($L1854,分录收入!$L:$L,0)),"")</f>
        <v/>
      </c>
      <c r="G1854" s="69" t="str">
        <f aca="false">IFERROR(INDEX(分录收入!$I:$I,MATCH($L1854,分录收入!$L:$L,0)),"")</f>
        <v/>
      </c>
      <c r="H1854" s="23"/>
      <c r="I1854" s="70"/>
      <c r="L1854" s="71" t="n">
        <f aca="false">IF(助手收入!$R$125="",-1,助手收入!$R$125*100+(助手收入!$S$125-1)*6+4)</f>
        <v>-1</v>
      </c>
    </row>
    <row r="1855" customFormat="false" ht="23.25" hidden="false" customHeight="true" outlineLevel="0" collapsed="false">
      <c r="B1855" s="67" t="str">
        <f aca="false">""</f>
        <v/>
      </c>
      <c r="C1855" s="67"/>
      <c r="D1855" s="23" t="str">
        <f aca="false">IFERROR(INDEX(分录收入!$E:$E,MATCH($L1855,分录收入!$L:$L,0)),"")</f>
        <v/>
      </c>
      <c r="E1855" s="23" t="str">
        <f aca="false">IFERROR(INDEX(分录收入!$F:$F,MATCH($L1855,分录收入!$L:$L,0)),"")</f>
        <v/>
      </c>
      <c r="F1855" s="68" t="str">
        <f aca="false">IFERROR(INDEX(分录收入!$H:$H,MATCH($L1855,分录收入!$L:$L,0)),"")</f>
        <v/>
      </c>
      <c r="G1855" s="69" t="str">
        <f aca="false">IFERROR(INDEX(分录收入!$I:$I,MATCH($L1855,分录收入!$L:$L,0)),"")</f>
        <v/>
      </c>
      <c r="H1855" s="23"/>
      <c r="I1855" s="70"/>
      <c r="L1855" s="71" t="n">
        <f aca="false">IF(助手收入!$R$125="",-1,助手收入!$R$125*100+(助手收入!$S$125-1)*6+5)</f>
        <v>-1</v>
      </c>
    </row>
    <row r="1856" customFormat="false" ht="23.25" hidden="false" customHeight="true" outlineLevel="0" collapsed="false">
      <c r="B1856" s="67" t="str">
        <f aca="false">""</f>
        <v/>
      </c>
      <c r="C1856" s="67"/>
      <c r="D1856" s="23" t="str">
        <f aca="false">IFERROR(INDEX(分录收入!$E:$E,MATCH($L1856,分录收入!$L:$L,0)),"")</f>
        <v/>
      </c>
      <c r="E1856" s="23" t="str">
        <f aca="false">IFERROR(INDEX(分录收入!$F:$F,MATCH($L1856,分录收入!$L:$L,0)),"")</f>
        <v/>
      </c>
      <c r="F1856" s="68" t="str">
        <f aca="false">IFERROR(INDEX(分录收入!$H:$H,MATCH($L1856,分录收入!$L:$L,0)),"")</f>
        <v/>
      </c>
      <c r="G1856" s="69" t="str">
        <f aca="false">IFERROR(INDEX(分录收入!$I:$I,MATCH($L1856,分录收入!$L:$L,0)),"")</f>
        <v/>
      </c>
      <c r="H1856" s="23"/>
      <c r="I1856" s="70"/>
      <c r="L1856" s="71" t="n">
        <f aca="false">IF(助手收入!$R$125="",-1,助手收入!$R$125*100+(助手收入!$S$125-1)*6+6)</f>
        <v>-1</v>
      </c>
    </row>
    <row r="1857" customFormat="false" ht="23.25" hidden="false" customHeight="true" outlineLevel="0" collapsed="false">
      <c r="B1857" s="72" t="str">
        <f aca="false">IF(助手收入!$T$125=1,"合计：","")</f>
        <v/>
      </c>
      <c r="C1857" s="73" t="str">
        <f aca="false">IF(助手收入!$T$125=1,$F1857,"")</f>
        <v/>
      </c>
      <c r="D1857" s="74"/>
      <c r="E1857" s="74"/>
      <c r="F1857" s="75" t="str">
        <f aca="false">IF(助手收入!$T$125=1,INDEX(助手收入!$N$2:$N$66,助手收入!$R$125),"")</f>
        <v/>
      </c>
      <c r="G1857" s="76" t="str">
        <f aca="false">IF(助手收入!$T$125=1,INDEX(助手收入!$O$2:$O$66,助手收入!$R$125),"")</f>
        <v/>
      </c>
      <c r="H1857" s="74"/>
      <c r="I1857" s="77"/>
    </row>
    <row r="1858" customFormat="false" ht="6" hidden="false" customHeight="true" outlineLevel="0" collapsed="false"/>
    <row r="1859" customFormat="false" ht="13.5" hidden="false" customHeight="false" outlineLevel="0" collapsed="false">
      <c r="B1859" s="78" t="str">
        <f aca="false">IF(助手收入!$R$125&lt;&gt;"","会计主管：","")</f>
        <v/>
      </c>
      <c r="D1859" s="78" t="str">
        <f aca="false">IF(助手收入!$R$125&lt;&gt;"","会计：","")</f>
        <v/>
      </c>
      <c r="E1859" s="78" t="str">
        <f aca="false">IF(助手收入!$R$125&lt;&gt;"","出纳：","")</f>
        <v/>
      </c>
      <c r="F1859" s="78" t="str">
        <f aca="false">IF(助手收入!$R$125&lt;&gt;"","复核：","")</f>
        <v/>
      </c>
      <c r="G1859" s="78" t="str">
        <f aca="false">IF(助手收入!$R$125&lt;&gt;"","制单：","")</f>
        <v/>
      </c>
    </row>
    <row r="1860" customFormat="false" ht="3" hidden="false" customHeight="true" outlineLevel="0" collapsed="false"/>
    <row r="1861" customFormat="false" ht="19.5" hidden="false" customHeight="true" outlineLevel="0" collapsed="false">
      <c r="B1861" s="53" t="str">
        <f aca="false">IF(助手收入!$R$126&lt;&gt;"","记  账  凭  证","")</f>
        <v/>
      </c>
      <c r="C1861" s="53"/>
      <c r="D1861" s="53"/>
      <c r="E1861" s="53"/>
      <c r="F1861" s="53"/>
      <c r="G1861" s="53"/>
      <c r="H1861" s="53"/>
      <c r="I1861" s="53"/>
    </row>
    <row r="1862" customFormat="false" ht="3" hidden="false" customHeight="true" outlineLevel="0" collapsed="false"/>
    <row r="1863" customFormat="false" ht="15" hidden="false" customHeight="true" outlineLevel="0" collapsed="false">
      <c r="C1863" s="56" t="str">
        <f aca="false">IF(助手收入!$R$126&lt;&gt;"",INDEX(助手收入!$B$2:$B$66,助手收入!$R$126),"")</f>
        <v/>
      </c>
      <c r="D1863" s="57" t="str">
        <f aca="false">IF(助手收入!$R$126&lt;&gt;"",参数!$B$2,"")</f>
        <v/>
      </c>
      <c r="E1863" s="57"/>
      <c r="F1863" s="58" t="str">
        <f aca="false">IF(助手收入!$R$126&lt;&gt;"",INDEX(助手收入!$C$2:$C$66,助手收入!$R$126)&amp;"  字第 "&amp;IF(参数!$B$9="是",INDEX(助手收入!$P$2:$P$66,助手收入!$R$126),"　　　　")&amp;" 号"&amp;IF(INDEX(助手收入!$L$2:$L$66,助手收入!$R$126)&gt;1,"  (共"&amp;INDEX(助手收入!$L$2:$L$66,助手收入!$R$126)&amp;"页 第"&amp;助手收入!$S$126&amp;"页)",""),"")</f>
        <v/>
      </c>
      <c r="G1863" s="58"/>
      <c r="H1863" s="58"/>
      <c r="I1863" s="58"/>
      <c r="M1863" s="79" t="str">
        <f aca="false">IF(助手收入!$R$126="","",助手收入!$Q$126)</f>
        <v/>
      </c>
      <c r="N1863" s="80" t="str">
        <f aca="false">IF(助手收入!$R$126="","",INDEX(助手收入!$P$2:$P$66,助手收入!$R$126))</f>
        <v/>
      </c>
      <c r="O1863" s="55" t="str">
        <f aca="false">IF(助手收入!$R$126="","",INDEX(助手收入!$C$2:$C$66,助手收入!$R$126)&amp;"  字第 "&amp;INDEX(助手收入!$P$2:$P$66,助手收入!$R$126)&amp;" 号"&amp;IF(INDEX(助手收入!$L$2:$L$66,助手收入!$R$126)&gt;1,"  (共"&amp;INDEX(助手收入!$L$2:$L$66,助手收入!$R$126)&amp;"页 第"&amp;助手收入!$S$126&amp;"页)",""))</f>
        <v/>
      </c>
    </row>
    <row r="1864" customFormat="false" ht="12.75" hidden="false" customHeight="true" outlineLevel="0" collapsed="false">
      <c r="B1864" s="61" t="str">
        <f aca="false">IF(助手收入!$R$126&lt;&gt;"","摘　　要","")</f>
        <v/>
      </c>
      <c r="C1864" s="61"/>
      <c r="D1864" s="62" t="str">
        <f aca="false">IF(助手收入!$R$126&lt;&gt;"","科　　　　目","")</f>
        <v/>
      </c>
      <c r="E1864" s="62"/>
      <c r="F1864" s="61" t="str">
        <f aca="false">IF(助手收入!$R$126&lt;&gt;"","借 方 金 额","")</f>
        <v/>
      </c>
      <c r="G1864" s="62" t="str">
        <f aca="false">IF(助手收入!$R$126&lt;&gt;"","贷 方 金 额","")</f>
        <v/>
      </c>
      <c r="H1864" s="63" t="str">
        <f aca="false">IF(助手收入!$R$126&lt;&gt;"","√","")</f>
        <v/>
      </c>
      <c r="I1864" s="64" t="str">
        <f aca="false">IF(助手收入!$R$126&lt;&gt;"","附单据  张","")</f>
        <v/>
      </c>
    </row>
    <row r="1865" customFormat="false" ht="12.75" hidden="false" customHeight="true" outlineLevel="0" collapsed="false">
      <c r="B1865" s="61"/>
      <c r="C1865" s="61"/>
      <c r="D1865" s="23" t="str">
        <f aca="false">IF(助手收入!$R$126&lt;&gt;"","总 账 科 目","")</f>
        <v/>
      </c>
      <c r="E1865" s="23" t="str">
        <f aca="false">IF(助手收入!$R$126&lt;&gt;"","明 细 科 目","")</f>
        <v/>
      </c>
      <c r="F1865" s="65"/>
      <c r="G1865" s="66"/>
      <c r="H1865" s="63"/>
      <c r="I1865" s="64"/>
    </row>
    <row r="1866" customFormat="false" ht="23.25" hidden="false" customHeight="true" outlineLevel="0" collapsed="false">
      <c r="B1866" s="67" t="str">
        <f aca="false">IFERROR(INDEX(分录收入!$M:$M,MATCH($L1866,分录收入!$L:$L,0)),"")</f>
        <v/>
      </c>
      <c r="C1866" s="67"/>
      <c r="D1866" s="23" t="str">
        <f aca="false">IFERROR(INDEX(分录收入!$E:$E,MATCH($L1866,分录收入!$L:$L,0)),"")</f>
        <v/>
      </c>
      <c r="E1866" s="23" t="str">
        <f aca="false">IFERROR(INDEX(分录收入!$F:$F,MATCH($L1866,分录收入!$L:$L,0)),"")</f>
        <v/>
      </c>
      <c r="F1866" s="68" t="str">
        <f aca="false">IFERROR(INDEX(分录收入!$H:$H,MATCH($L1866,分录收入!$L:$L,0)),"")</f>
        <v/>
      </c>
      <c r="G1866" s="69" t="str">
        <f aca="false">IFERROR(INDEX(分录收入!$I:$I,MATCH($L1866,分录收入!$L:$L,0)),"")</f>
        <v/>
      </c>
      <c r="H1866" s="23"/>
      <c r="I1866" s="70"/>
      <c r="L1866" s="71" t="n">
        <f aca="false">IF(助手收入!$R$126="",-1,助手收入!$R$126*100+(助手收入!$S$126-1)*6+1)</f>
        <v>-1</v>
      </c>
    </row>
    <row r="1867" customFormat="false" ht="23.25" hidden="false" customHeight="true" outlineLevel="0" collapsed="false">
      <c r="B1867" s="67" t="str">
        <f aca="false">""</f>
        <v/>
      </c>
      <c r="C1867" s="67"/>
      <c r="D1867" s="23" t="str">
        <f aca="false">IFERROR(INDEX(分录收入!$E:$E,MATCH($L1867,分录收入!$L:$L,0)),"")</f>
        <v/>
      </c>
      <c r="E1867" s="23" t="str">
        <f aca="false">IFERROR(INDEX(分录收入!$F:$F,MATCH($L1867,分录收入!$L:$L,0)),"")</f>
        <v/>
      </c>
      <c r="F1867" s="68" t="str">
        <f aca="false">IFERROR(INDEX(分录收入!$H:$H,MATCH($L1867,分录收入!$L:$L,0)),"")</f>
        <v/>
      </c>
      <c r="G1867" s="69" t="str">
        <f aca="false">IFERROR(INDEX(分录收入!$I:$I,MATCH($L1867,分录收入!$L:$L,0)),"")</f>
        <v/>
      </c>
      <c r="H1867" s="23"/>
      <c r="I1867" s="70"/>
      <c r="L1867" s="71" t="n">
        <f aca="false">IF(助手收入!$R$126="",-1,助手收入!$R$126*100+(助手收入!$S$126-1)*6+2)</f>
        <v>-1</v>
      </c>
    </row>
    <row r="1868" customFormat="false" ht="23.25" hidden="false" customHeight="true" outlineLevel="0" collapsed="false">
      <c r="B1868" s="67" t="str">
        <f aca="false">""</f>
        <v/>
      </c>
      <c r="C1868" s="67"/>
      <c r="D1868" s="23" t="str">
        <f aca="false">IFERROR(INDEX(分录收入!$E:$E,MATCH($L1868,分录收入!$L:$L,0)),"")</f>
        <v/>
      </c>
      <c r="E1868" s="23" t="str">
        <f aca="false">IFERROR(INDEX(分录收入!$F:$F,MATCH($L1868,分录收入!$L:$L,0)),"")</f>
        <v/>
      </c>
      <c r="F1868" s="68" t="str">
        <f aca="false">IFERROR(INDEX(分录收入!$H:$H,MATCH($L1868,分录收入!$L:$L,0)),"")</f>
        <v/>
      </c>
      <c r="G1868" s="69" t="str">
        <f aca="false">IFERROR(INDEX(分录收入!$I:$I,MATCH($L1868,分录收入!$L:$L,0)),"")</f>
        <v/>
      </c>
      <c r="H1868" s="23"/>
      <c r="I1868" s="70"/>
      <c r="L1868" s="71" t="n">
        <f aca="false">IF(助手收入!$R$126="",-1,助手收入!$R$126*100+(助手收入!$S$126-1)*6+3)</f>
        <v>-1</v>
      </c>
    </row>
    <row r="1869" customFormat="false" ht="23.25" hidden="false" customHeight="true" outlineLevel="0" collapsed="false">
      <c r="B1869" s="67" t="str">
        <f aca="false">""</f>
        <v/>
      </c>
      <c r="C1869" s="67"/>
      <c r="D1869" s="23" t="str">
        <f aca="false">IFERROR(INDEX(分录收入!$E:$E,MATCH($L1869,分录收入!$L:$L,0)),"")</f>
        <v/>
      </c>
      <c r="E1869" s="23" t="str">
        <f aca="false">IFERROR(INDEX(分录收入!$F:$F,MATCH($L1869,分录收入!$L:$L,0)),"")</f>
        <v/>
      </c>
      <c r="F1869" s="68" t="str">
        <f aca="false">IFERROR(INDEX(分录收入!$H:$H,MATCH($L1869,分录收入!$L:$L,0)),"")</f>
        <v/>
      </c>
      <c r="G1869" s="69" t="str">
        <f aca="false">IFERROR(INDEX(分录收入!$I:$I,MATCH($L1869,分录收入!$L:$L,0)),"")</f>
        <v/>
      </c>
      <c r="H1869" s="23"/>
      <c r="I1869" s="70"/>
      <c r="L1869" s="71" t="n">
        <f aca="false">IF(助手收入!$R$126="",-1,助手收入!$R$126*100+(助手收入!$S$126-1)*6+4)</f>
        <v>-1</v>
      </c>
    </row>
    <row r="1870" customFormat="false" ht="23.25" hidden="false" customHeight="true" outlineLevel="0" collapsed="false">
      <c r="B1870" s="67" t="str">
        <f aca="false">""</f>
        <v/>
      </c>
      <c r="C1870" s="67"/>
      <c r="D1870" s="23" t="str">
        <f aca="false">IFERROR(INDEX(分录收入!$E:$E,MATCH($L1870,分录收入!$L:$L,0)),"")</f>
        <v/>
      </c>
      <c r="E1870" s="23" t="str">
        <f aca="false">IFERROR(INDEX(分录收入!$F:$F,MATCH($L1870,分录收入!$L:$L,0)),"")</f>
        <v/>
      </c>
      <c r="F1870" s="68" t="str">
        <f aca="false">IFERROR(INDEX(分录收入!$H:$H,MATCH($L1870,分录收入!$L:$L,0)),"")</f>
        <v/>
      </c>
      <c r="G1870" s="69" t="str">
        <f aca="false">IFERROR(INDEX(分录收入!$I:$I,MATCH($L1870,分录收入!$L:$L,0)),"")</f>
        <v/>
      </c>
      <c r="H1870" s="23"/>
      <c r="I1870" s="70"/>
      <c r="L1870" s="71" t="n">
        <f aca="false">IF(助手收入!$R$126="",-1,助手收入!$R$126*100+(助手收入!$S$126-1)*6+5)</f>
        <v>-1</v>
      </c>
    </row>
    <row r="1871" customFormat="false" ht="23.25" hidden="false" customHeight="true" outlineLevel="0" collapsed="false">
      <c r="B1871" s="67" t="str">
        <f aca="false">""</f>
        <v/>
      </c>
      <c r="C1871" s="67"/>
      <c r="D1871" s="23" t="str">
        <f aca="false">IFERROR(INDEX(分录收入!$E:$E,MATCH($L1871,分录收入!$L:$L,0)),"")</f>
        <v/>
      </c>
      <c r="E1871" s="23" t="str">
        <f aca="false">IFERROR(INDEX(分录收入!$F:$F,MATCH($L1871,分录收入!$L:$L,0)),"")</f>
        <v/>
      </c>
      <c r="F1871" s="68" t="str">
        <f aca="false">IFERROR(INDEX(分录收入!$H:$H,MATCH($L1871,分录收入!$L:$L,0)),"")</f>
        <v/>
      </c>
      <c r="G1871" s="69" t="str">
        <f aca="false">IFERROR(INDEX(分录收入!$I:$I,MATCH($L1871,分录收入!$L:$L,0)),"")</f>
        <v/>
      </c>
      <c r="H1871" s="23"/>
      <c r="I1871" s="70"/>
      <c r="L1871" s="71" t="n">
        <f aca="false">IF(助手收入!$R$126="",-1,助手收入!$R$126*100+(助手收入!$S$126-1)*6+6)</f>
        <v>-1</v>
      </c>
    </row>
    <row r="1872" customFormat="false" ht="23.25" hidden="false" customHeight="true" outlineLevel="0" collapsed="false">
      <c r="B1872" s="72" t="str">
        <f aca="false">IF(助手收入!$T$126=1,"合计：","")</f>
        <v/>
      </c>
      <c r="C1872" s="73" t="str">
        <f aca="false">IF(助手收入!$T$126=1,$F1872,"")</f>
        <v/>
      </c>
      <c r="D1872" s="74"/>
      <c r="E1872" s="74"/>
      <c r="F1872" s="75" t="str">
        <f aca="false">IF(助手收入!$T$126=1,INDEX(助手收入!$N$2:$N$66,助手收入!$R$126),"")</f>
        <v/>
      </c>
      <c r="G1872" s="76" t="str">
        <f aca="false">IF(助手收入!$T$126=1,INDEX(助手收入!$O$2:$O$66,助手收入!$R$126),"")</f>
        <v/>
      </c>
      <c r="H1872" s="74"/>
      <c r="I1872" s="77"/>
    </row>
    <row r="1873" customFormat="false" ht="6" hidden="false" customHeight="true" outlineLevel="0" collapsed="false"/>
    <row r="1874" customFormat="false" ht="13.5" hidden="false" customHeight="false" outlineLevel="0" collapsed="false">
      <c r="B1874" s="78" t="str">
        <f aca="false">IF(助手收入!$R$126&lt;&gt;"","会计主管：","")</f>
        <v/>
      </c>
      <c r="D1874" s="78" t="str">
        <f aca="false">IF(助手收入!$R$126&lt;&gt;"","会计：","")</f>
        <v/>
      </c>
      <c r="E1874" s="78" t="str">
        <f aca="false">IF(助手收入!$R$126&lt;&gt;"","出纳：","")</f>
        <v/>
      </c>
      <c r="F1874" s="78" t="str">
        <f aca="false">IF(助手收入!$R$126&lt;&gt;"","复核：","")</f>
        <v/>
      </c>
      <c r="G1874" s="78" t="str">
        <f aca="false">IF(助手收入!$R$126&lt;&gt;"","制单：","")</f>
        <v/>
      </c>
    </row>
    <row r="1875" customFormat="false" ht="3" hidden="false" customHeight="true" outlineLevel="0" collapsed="false"/>
    <row r="1876" customFormat="false" ht="19.5" hidden="false" customHeight="true" outlineLevel="0" collapsed="false">
      <c r="B1876" s="53" t="str">
        <f aca="false">IF(助手收入!$R$127&lt;&gt;"","记  账  凭  证","")</f>
        <v/>
      </c>
      <c r="C1876" s="53"/>
      <c r="D1876" s="53"/>
      <c r="E1876" s="53"/>
      <c r="F1876" s="53"/>
      <c r="G1876" s="53"/>
      <c r="H1876" s="53"/>
      <c r="I1876" s="53"/>
    </row>
    <row r="1877" customFormat="false" ht="3" hidden="false" customHeight="true" outlineLevel="0" collapsed="false"/>
    <row r="1878" customFormat="false" ht="15" hidden="false" customHeight="true" outlineLevel="0" collapsed="false">
      <c r="C1878" s="56" t="str">
        <f aca="false">IF(助手收入!$R$127&lt;&gt;"",INDEX(助手收入!$B$2:$B$66,助手收入!$R$127),"")</f>
        <v/>
      </c>
      <c r="D1878" s="57" t="str">
        <f aca="false">IF(助手收入!$R$127&lt;&gt;"",参数!$B$2,"")</f>
        <v/>
      </c>
      <c r="E1878" s="57"/>
      <c r="F1878" s="58" t="str">
        <f aca="false">IF(助手收入!$R$127&lt;&gt;"",INDEX(助手收入!$C$2:$C$66,助手收入!$R$127)&amp;"  字第 "&amp;IF(参数!$B$9="是",INDEX(助手收入!$P$2:$P$66,助手收入!$R$127),"　　　　")&amp;" 号"&amp;IF(INDEX(助手收入!$L$2:$L$66,助手收入!$R$127)&gt;1,"  (共"&amp;INDEX(助手收入!$L$2:$L$66,助手收入!$R$127)&amp;"页 第"&amp;助手收入!$S$127&amp;"页)",""),"")</f>
        <v/>
      </c>
      <c r="G1878" s="58"/>
      <c r="H1878" s="58"/>
      <c r="I1878" s="58"/>
      <c r="M1878" s="79" t="str">
        <f aca="false">IF(助手收入!$R$127="","",助手收入!$Q$127)</f>
        <v/>
      </c>
      <c r="N1878" s="80" t="str">
        <f aca="false">IF(助手收入!$R$127="","",INDEX(助手收入!$P$2:$P$66,助手收入!$R$127))</f>
        <v/>
      </c>
      <c r="O1878" s="55" t="str">
        <f aca="false">IF(助手收入!$R$127="","",INDEX(助手收入!$C$2:$C$66,助手收入!$R$127)&amp;"  字第 "&amp;INDEX(助手收入!$P$2:$P$66,助手收入!$R$127)&amp;" 号"&amp;IF(INDEX(助手收入!$L$2:$L$66,助手收入!$R$127)&gt;1,"  (共"&amp;INDEX(助手收入!$L$2:$L$66,助手收入!$R$127)&amp;"页 第"&amp;助手收入!$S$127&amp;"页)",""))</f>
        <v/>
      </c>
    </row>
    <row r="1879" customFormat="false" ht="12.75" hidden="false" customHeight="true" outlineLevel="0" collapsed="false">
      <c r="B1879" s="61" t="str">
        <f aca="false">IF(助手收入!$R$127&lt;&gt;"","摘　　要","")</f>
        <v/>
      </c>
      <c r="C1879" s="61"/>
      <c r="D1879" s="62" t="str">
        <f aca="false">IF(助手收入!$R$127&lt;&gt;"","科　　　　目","")</f>
        <v/>
      </c>
      <c r="E1879" s="62"/>
      <c r="F1879" s="61" t="str">
        <f aca="false">IF(助手收入!$R$127&lt;&gt;"","借 方 金 额","")</f>
        <v/>
      </c>
      <c r="G1879" s="62" t="str">
        <f aca="false">IF(助手收入!$R$127&lt;&gt;"","贷 方 金 额","")</f>
        <v/>
      </c>
      <c r="H1879" s="63" t="str">
        <f aca="false">IF(助手收入!$R$127&lt;&gt;"","√","")</f>
        <v/>
      </c>
      <c r="I1879" s="64" t="str">
        <f aca="false">IF(助手收入!$R$127&lt;&gt;"","附单据  张","")</f>
        <v/>
      </c>
    </row>
    <row r="1880" customFormat="false" ht="12.75" hidden="false" customHeight="true" outlineLevel="0" collapsed="false">
      <c r="B1880" s="61"/>
      <c r="C1880" s="61"/>
      <c r="D1880" s="23" t="str">
        <f aca="false">IF(助手收入!$R$127&lt;&gt;"","总 账 科 目","")</f>
        <v/>
      </c>
      <c r="E1880" s="23" t="str">
        <f aca="false">IF(助手收入!$R$127&lt;&gt;"","明 细 科 目","")</f>
        <v/>
      </c>
      <c r="F1880" s="65"/>
      <c r="G1880" s="66"/>
      <c r="H1880" s="63"/>
      <c r="I1880" s="64"/>
    </row>
    <row r="1881" customFormat="false" ht="23.25" hidden="false" customHeight="true" outlineLevel="0" collapsed="false">
      <c r="B1881" s="67" t="str">
        <f aca="false">IFERROR(INDEX(分录收入!$M:$M,MATCH($L1881,分录收入!$L:$L,0)),"")</f>
        <v/>
      </c>
      <c r="C1881" s="67"/>
      <c r="D1881" s="23" t="str">
        <f aca="false">IFERROR(INDEX(分录收入!$E:$E,MATCH($L1881,分录收入!$L:$L,0)),"")</f>
        <v/>
      </c>
      <c r="E1881" s="23" t="str">
        <f aca="false">IFERROR(INDEX(分录收入!$F:$F,MATCH($L1881,分录收入!$L:$L,0)),"")</f>
        <v/>
      </c>
      <c r="F1881" s="68" t="str">
        <f aca="false">IFERROR(INDEX(分录收入!$H:$H,MATCH($L1881,分录收入!$L:$L,0)),"")</f>
        <v/>
      </c>
      <c r="G1881" s="69" t="str">
        <f aca="false">IFERROR(INDEX(分录收入!$I:$I,MATCH($L1881,分录收入!$L:$L,0)),"")</f>
        <v/>
      </c>
      <c r="H1881" s="23"/>
      <c r="I1881" s="70"/>
      <c r="L1881" s="71" t="n">
        <f aca="false">IF(助手收入!$R$127="",-1,助手收入!$R$127*100+(助手收入!$S$127-1)*6+1)</f>
        <v>-1</v>
      </c>
    </row>
    <row r="1882" customFormat="false" ht="23.25" hidden="false" customHeight="true" outlineLevel="0" collapsed="false">
      <c r="B1882" s="67" t="str">
        <f aca="false">""</f>
        <v/>
      </c>
      <c r="C1882" s="67"/>
      <c r="D1882" s="23" t="str">
        <f aca="false">IFERROR(INDEX(分录收入!$E:$E,MATCH($L1882,分录收入!$L:$L,0)),"")</f>
        <v/>
      </c>
      <c r="E1882" s="23" t="str">
        <f aca="false">IFERROR(INDEX(分录收入!$F:$F,MATCH($L1882,分录收入!$L:$L,0)),"")</f>
        <v/>
      </c>
      <c r="F1882" s="68" t="str">
        <f aca="false">IFERROR(INDEX(分录收入!$H:$H,MATCH($L1882,分录收入!$L:$L,0)),"")</f>
        <v/>
      </c>
      <c r="G1882" s="69" t="str">
        <f aca="false">IFERROR(INDEX(分录收入!$I:$I,MATCH($L1882,分录收入!$L:$L,0)),"")</f>
        <v/>
      </c>
      <c r="H1882" s="23"/>
      <c r="I1882" s="70"/>
      <c r="L1882" s="71" t="n">
        <f aca="false">IF(助手收入!$R$127="",-1,助手收入!$R$127*100+(助手收入!$S$127-1)*6+2)</f>
        <v>-1</v>
      </c>
    </row>
    <row r="1883" customFormat="false" ht="23.25" hidden="false" customHeight="true" outlineLevel="0" collapsed="false">
      <c r="B1883" s="67" t="str">
        <f aca="false">""</f>
        <v/>
      </c>
      <c r="C1883" s="67"/>
      <c r="D1883" s="23" t="str">
        <f aca="false">IFERROR(INDEX(分录收入!$E:$E,MATCH($L1883,分录收入!$L:$L,0)),"")</f>
        <v/>
      </c>
      <c r="E1883" s="23" t="str">
        <f aca="false">IFERROR(INDEX(分录收入!$F:$F,MATCH($L1883,分录收入!$L:$L,0)),"")</f>
        <v/>
      </c>
      <c r="F1883" s="68" t="str">
        <f aca="false">IFERROR(INDEX(分录收入!$H:$H,MATCH($L1883,分录收入!$L:$L,0)),"")</f>
        <v/>
      </c>
      <c r="G1883" s="69" t="str">
        <f aca="false">IFERROR(INDEX(分录收入!$I:$I,MATCH($L1883,分录收入!$L:$L,0)),"")</f>
        <v/>
      </c>
      <c r="H1883" s="23"/>
      <c r="I1883" s="70"/>
      <c r="L1883" s="71" t="n">
        <f aca="false">IF(助手收入!$R$127="",-1,助手收入!$R$127*100+(助手收入!$S$127-1)*6+3)</f>
        <v>-1</v>
      </c>
    </row>
    <row r="1884" customFormat="false" ht="23.25" hidden="false" customHeight="true" outlineLevel="0" collapsed="false">
      <c r="B1884" s="67" t="str">
        <f aca="false">""</f>
        <v/>
      </c>
      <c r="C1884" s="67"/>
      <c r="D1884" s="23" t="str">
        <f aca="false">IFERROR(INDEX(分录收入!$E:$E,MATCH($L1884,分录收入!$L:$L,0)),"")</f>
        <v/>
      </c>
      <c r="E1884" s="23" t="str">
        <f aca="false">IFERROR(INDEX(分录收入!$F:$F,MATCH($L1884,分录收入!$L:$L,0)),"")</f>
        <v/>
      </c>
      <c r="F1884" s="68" t="str">
        <f aca="false">IFERROR(INDEX(分录收入!$H:$H,MATCH($L1884,分录收入!$L:$L,0)),"")</f>
        <v/>
      </c>
      <c r="G1884" s="69" t="str">
        <f aca="false">IFERROR(INDEX(分录收入!$I:$I,MATCH($L1884,分录收入!$L:$L,0)),"")</f>
        <v/>
      </c>
      <c r="H1884" s="23"/>
      <c r="I1884" s="70"/>
      <c r="L1884" s="71" t="n">
        <f aca="false">IF(助手收入!$R$127="",-1,助手收入!$R$127*100+(助手收入!$S$127-1)*6+4)</f>
        <v>-1</v>
      </c>
    </row>
    <row r="1885" customFormat="false" ht="23.25" hidden="false" customHeight="true" outlineLevel="0" collapsed="false">
      <c r="B1885" s="67" t="str">
        <f aca="false">""</f>
        <v/>
      </c>
      <c r="C1885" s="67"/>
      <c r="D1885" s="23" t="str">
        <f aca="false">IFERROR(INDEX(分录收入!$E:$E,MATCH($L1885,分录收入!$L:$L,0)),"")</f>
        <v/>
      </c>
      <c r="E1885" s="23" t="str">
        <f aca="false">IFERROR(INDEX(分录收入!$F:$F,MATCH($L1885,分录收入!$L:$L,0)),"")</f>
        <v/>
      </c>
      <c r="F1885" s="68" t="str">
        <f aca="false">IFERROR(INDEX(分录收入!$H:$H,MATCH($L1885,分录收入!$L:$L,0)),"")</f>
        <v/>
      </c>
      <c r="G1885" s="69" t="str">
        <f aca="false">IFERROR(INDEX(分录收入!$I:$I,MATCH($L1885,分录收入!$L:$L,0)),"")</f>
        <v/>
      </c>
      <c r="H1885" s="23"/>
      <c r="I1885" s="70"/>
      <c r="L1885" s="71" t="n">
        <f aca="false">IF(助手收入!$R$127="",-1,助手收入!$R$127*100+(助手收入!$S$127-1)*6+5)</f>
        <v>-1</v>
      </c>
    </row>
    <row r="1886" customFormat="false" ht="23.25" hidden="false" customHeight="true" outlineLevel="0" collapsed="false">
      <c r="B1886" s="67" t="str">
        <f aca="false">""</f>
        <v/>
      </c>
      <c r="C1886" s="67"/>
      <c r="D1886" s="23" t="str">
        <f aca="false">IFERROR(INDEX(分录收入!$E:$E,MATCH($L1886,分录收入!$L:$L,0)),"")</f>
        <v/>
      </c>
      <c r="E1886" s="23" t="str">
        <f aca="false">IFERROR(INDEX(分录收入!$F:$F,MATCH($L1886,分录收入!$L:$L,0)),"")</f>
        <v/>
      </c>
      <c r="F1886" s="68" t="str">
        <f aca="false">IFERROR(INDEX(分录收入!$H:$H,MATCH($L1886,分录收入!$L:$L,0)),"")</f>
        <v/>
      </c>
      <c r="G1886" s="69" t="str">
        <f aca="false">IFERROR(INDEX(分录收入!$I:$I,MATCH($L1886,分录收入!$L:$L,0)),"")</f>
        <v/>
      </c>
      <c r="H1886" s="23"/>
      <c r="I1886" s="70"/>
      <c r="L1886" s="71" t="n">
        <f aca="false">IF(助手收入!$R$127="",-1,助手收入!$R$127*100+(助手收入!$S$127-1)*6+6)</f>
        <v>-1</v>
      </c>
    </row>
    <row r="1887" customFormat="false" ht="23.25" hidden="false" customHeight="true" outlineLevel="0" collapsed="false">
      <c r="B1887" s="72" t="str">
        <f aca="false">IF(助手收入!$T$127=1,"合计：","")</f>
        <v/>
      </c>
      <c r="C1887" s="73" t="str">
        <f aca="false">IF(助手收入!$T$127=1,$F1887,"")</f>
        <v/>
      </c>
      <c r="D1887" s="74"/>
      <c r="E1887" s="74"/>
      <c r="F1887" s="75" t="str">
        <f aca="false">IF(助手收入!$T$127=1,INDEX(助手收入!$N$2:$N$66,助手收入!$R$127),"")</f>
        <v/>
      </c>
      <c r="G1887" s="76" t="str">
        <f aca="false">IF(助手收入!$T$127=1,INDEX(助手收入!$O$2:$O$66,助手收入!$R$127),"")</f>
        <v/>
      </c>
      <c r="H1887" s="74"/>
      <c r="I1887" s="77"/>
    </row>
    <row r="1888" customFormat="false" ht="6" hidden="false" customHeight="true" outlineLevel="0" collapsed="false"/>
    <row r="1889" customFormat="false" ht="13.5" hidden="false" customHeight="false" outlineLevel="0" collapsed="false">
      <c r="B1889" s="78" t="str">
        <f aca="false">IF(助手收入!$R$127&lt;&gt;"","会计主管：","")</f>
        <v/>
      </c>
      <c r="D1889" s="78" t="str">
        <f aca="false">IF(助手收入!$R$127&lt;&gt;"","会计：","")</f>
        <v/>
      </c>
      <c r="E1889" s="78" t="str">
        <f aca="false">IF(助手收入!$R$127&lt;&gt;"","出纳：","")</f>
        <v/>
      </c>
      <c r="F1889" s="78" t="str">
        <f aca="false">IF(助手收入!$R$127&lt;&gt;"","复核：","")</f>
        <v/>
      </c>
      <c r="G1889" s="78" t="str">
        <f aca="false">IF(助手收入!$R$127&lt;&gt;"","制单：","")</f>
        <v/>
      </c>
    </row>
    <row r="1890" customFormat="false" ht="3" hidden="false" customHeight="true" outlineLevel="0" collapsed="false"/>
    <row r="1891" customFormat="false" ht="19.5" hidden="false" customHeight="true" outlineLevel="0" collapsed="false">
      <c r="B1891" s="53" t="str">
        <f aca="false">IF(助手收入!$R$128&lt;&gt;"","记  账  凭  证","")</f>
        <v/>
      </c>
      <c r="C1891" s="53"/>
      <c r="D1891" s="53"/>
      <c r="E1891" s="53"/>
      <c r="F1891" s="53"/>
      <c r="G1891" s="53"/>
      <c r="H1891" s="53"/>
      <c r="I1891" s="53"/>
    </row>
    <row r="1892" customFormat="false" ht="3" hidden="false" customHeight="true" outlineLevel="0" collapsed="false"/>
    <row r="1893" customFormat="false" ht="15" hidden="false" customHeight="true" outlineLevel="0" collapsed="false">
      <c r="C1893" s="56" t="str">
        <f aca="false">IF(助手收入!$R$128&lt;&gt;"",INDEX(助手收入!$B$2:$B$66,助手收入!$R$128),"")</f>
        <v/>
      </c>
      <c r="D1893" s="57" t="str">
        <f aca="false">IF(助手收入!$R$128&lt;&gt;"",参数!$B$2,"")</f>
        <v/>
      </c>
      <c r="E1893" s="57"/>
      <c r="F1893" s="58" t="str">
        <f aca="false">IF(助手收入!$R$128&lt;&gt;"",INDEX(助手收入!$C$2:$C$66,助手收入!$R$128)&amp;"  字第 "&amp;IF(参数!$B$9="是",INDEX(助手收入!$P$2:$P$66,助手收入!$R$128),"　　　　")&amp;" 号"&amp;IF(INDEX(助手收入!$L$2:$L$66,助手收入!$R$128)&gt;1,"  (共"&amp;INDEX(助手收入!$L$2:$L$66,助手收入!$R$128)&amp;"页 第"&amp;助手收入!$S$128&amp;"页)",""),"")</f>
        <v/>
      </c>
      <c r="G1893" s="58"/>
      <c r="H1893" s="58"/>
      <c r="I1893" s="58"/>
      <c r="M1893" s="79" t="str">
        <f aca="false">IF(助手收入!$R$128="","",助手收入!$Q$128)</f>
        <v/>
      </c>
      <c r="N1893" s="80" t="str">
        <f aca="false">IF(助手收入!$R$128="","",INDEX(助手收入!$P$2:$P$66,助手收入!$R$128))</f>
        <v/>
      </c>
      <c r="O1893" s="55" t="str">
        <f aca="false">IF(助手收入!$R$128="","",INDEX(助手收入!$C$2:$C$66,助手收入!$R$128)&amp;"  字第 "&amp;INDEX(助手收入!$P$2:$P$66,助手收入!$R$128)&amp;" 号"&amp;IF(INDEX(助手收入!$L$2:$L$66,助手收入!$R$128)&gt;1,"  (共"&amp;INDEX(助手收入!$L$2:$L$66,助手收入!$R$128)&amp;"页 第"&amp;助手收入!$S$128&amp;"页)",""))</f>
        <v/>
      </c>
    </row>
    <row r="1894" customFormat="false" ht="12.75" hidden="false" customHeight="true" outlineLevel="0" collapsed="false">
      <c r="B1894" s="61" t="str">
        <f aca="false">IF(助手收入!$R$128&lt;&gt;"","摘　　要","")</f>
        <v/>
      </c>
      <c r="C1894" s="61"/>
      <c r="D1894" s="62" t="str">
        <f aca="false">IF(助手收入!$R$128&lt;&gt;"","科　　　　目","")</f>
        <v/>
      </c>
      <c r="E1894" s="62"/>
      <c r="F1894" s="61" t="str">
        <f aca="false">IF(助手收入!$R$128&lt;&gt;"","借 方 金 额","")</f>
        <v/>
      </c>
      <c r="G1894" s="62" t="str">
        <f aca="false">IF(助手收入!$R$128&lt;&gt;"","贷 方 金 额","")</f>
        <v/>
      </c>
      <c r="H1894" s="63" t="str">
        <f aca="false">IF(助手收入!$R$128&lt;&gt;"","√","")</f>
        <v/>
      </c>
      <c r="I1894" s="64" t="str">
        <f aca="false">IF(助手收入!$R$128&lt;&gt;"","附单据  张","")</f>
        <v/>
      </c>
    </row>
    <row r="1895" customFormat="false" ht="12.75" hidden="false" customHeight="true" outlineLevel="0" collapsed="false">
      <c r="B1895" s="61"/>
      <c r="C1895" s="61"/>
      <c r="D1895" s="23" t="str">
        <f aca="false">IF(助手收入!$R$128&lt;&gt;"","总 账 科 目","")</f>
        <v/>
      </c>
      <c r="E1895" s="23" t="str">
        <f aca="false">IF(助手收入!$R$128&lt;&gt;"","明 细 科 目","")</f>
        <v/>
      </c>
      <c r="F1895" s="65"/>
      <c r="G1895" s="66"/>
      <c r="H1895" s="63"/>
      <c r="I1895" s="64"/>
    </row>
    <row r="1896" customFormat="false" ht="23.25" hidden="false" customHeight="true" outlineLevel="0" collapsed="false">
      <c r="B1896" s="67" t="str">
        <f aca="false">IFERROR(INDEX(分录收入!$M:$M,MATCH($L1896,分录收入!$L:$L,0)),"")</f>
        <v/>
      </c>
      <c r="C1896" s="67"/>
      <c r="D1896" s="23" t="str">
        <f aca="false">IFERROR(INDEX(分录收入!$E:$E,MATCH($L1896,分录收入!$L:$L,0)),"")</f>
        <v/>
      </c>
      <c r="E1896" s="23" t="str">
        <f aca="false">IFERROR(INDEX(分录收入!$F:$F,MATCH($L1896,分录收入!$L:$L,0)),"")</f>
        <v/>
      </c>
      <c r="F1896" s="68" t="str">
        <f aca="false">IFERROR(INDEX(分录收入!$H:$H,MATCH($L1896,分录收入!$L:$L,0)),"")</f>
        <v/>
      </c>
      <c r="G1896" s="69" t="str">
        <f aca="false">IFERROR(INDEX(分录收入!$I:$I,MATCH($L1896,分录收入!$L:$L,0)),"")</f>
        <v/>
      </c>
      <c r="H1896" s="23"/>
      <c r="I1896" s="70"/>
      <c r="L1896" s="71" t="n">
        <f aca="false">IF(助手收入!$R$128="",-1,助手收入!$R$128*100+(助手收入!$S$128-1)*6+1)</f>
        <v>-1</v>
      </c>
    </row>
    <row r="1897" customFormat="false" ht="23.25" hidden="false" customHeight="true" outlineLevel="0" collapsed="false">
      <c r="B1897" s="67" t="str">
        <f aca="false">""</f>
        <v/>
      </c>
      <c r="C1897" s="67"/>
      <c r="D1897" s="23" t="str">
        <f aca="false">IFERROR(INDEX(分录收入!$E:$E,MATCH($L1897,分录收入!$L:$L,0)),"")</f>
        <v/>
      </c>
      <c r="E1897" s="23" t="str">
        <f aca="false">IFERROR(INDEX(分录收入!$F:$F,MATCH($L1897,分录收入!$L:$L,0)),"")</f>
        <v/>
      </c>
      <c r="F1897" s="68" t="str">
        <f aca="false">IFERROR(INDEX(分录收入!$H:$H,MATCH($L1897,分录收入!$L:$L,0)),"")</f>
        <v/>
      </c>
      <c r="G1897" s="69" t="str">
        <f aca="false">IFERROR(INDEX(分录收入!$I:$I,MATCH($L1897,分录收入!$L:$L,0)),"")</f>
        <v/>
      </c>
      <c r="H1897" s="23"/>
      <c r="I1897" s="70"/>
      <c r="L1897" s="71" t="n">
        <f aca="false">IF(助手收入!$R$128="",-1,助手收入!$R$128*100+(助手收入!$S$128-1)*6+2)</f>
        <v>-1</v>
      </c>
    </row>
    <row r="1898" customFormat="false" ht="23.25" hidden="false" customHeight="true" outlineLevel="0" collapsed="false">
      <c r="B1898" s="67" t="str">
        <f aca="false">""</f>
        <v/>
      </c>
      <c r="C1898" s="67"/>
      <c r="D1898" s="23" t="str">
        <f aca="false">IFERROR(INDEX(分录收入!$E:$E,MATCH($L1898,分录收入!$L:$L,0)),"")</f>
        <v/>
      </c>
      <c r="E1898" s="23" t="str">
        <f aca="false">IFERROR(INDEX(分录收入!$F:$F,MATCH($L1898,分录收入!$L:$L,0)),"")</f>
        <v/>
      </c>
      <c r="F1898" s="68" t="str">
        <f aca="false">IFERROR(INDEX(分录收入!$H:$H,MATCH($L1898,分录收入!$L:$L,0)),"")</f>
        <v/>
      </c>
      <c r="G1898" s="69" t="str">
        <f aca="false">IFERROR(INDEX(分录收入!$I:$I,MATCH($L1898,分录收入!$L:$L,0)),"")</f>
        <v/>
      </c>
      <c r="H1898" s="23"/>
      <c r="I1898" s="70"/>
      <c r="L1898" s="71" t="n">
        <f aca="false">IF(助手收入!$R$128="",-1,助手收入!$R$128*100+(助手收入!$S$128-1)*6+3)</f>
        <v>-1</v>
      </c>
    </row>
    <row r="1899" customFormat="false" ht="23.25" hidden="false" customHeight="true" outlineLevel="0" collapsed="false">
      <c r="B1899" s="67" t="str">
        <f aca="false">""</f>
        <v/>
      </c>
      <c r="C1899" s="67"/>
      <c r="D1899" s="23" t="str">
        <f aca="false">IFERROR(INDEX(分录收入!$E:$E,MATCH($L1899,分录收入!$L:$L,0)),"")</f>
        <v/>
      </c>
      <c r="E1899" s="23" t="str">
        <f aca="false">IFERROR(INDEX(分录收入!$F:$F,MATCH($L1899,分录收入!$L:$L,0)),"")</f>
        <v/>
      </c>
      <c r="F1899" s="68" t="str">
        <f aca="false">IFERROR(INDEX(分录收入!$H:$H,MATCH($L1899,分录收入!$L:$L,0)),"")</f>
        <v/>
      </c>
      <c r="G1899" s="69" t="str">
        <f aca="false">IFERROR(INDEX(分录收入!$I:$I,MATCH($L1899,分录收入!$L:$L,0)),"")</f>
        <v/>
      </c>
      <c r="H1899" s="23"/>
      <c r="I1899" s="70"/>
      <c r="L1899" s="71" t="n">
        <f aca="false">IF(助手收入!$R$128="",-1,助手收入!$R$128*100+(助手收入!$S$128-1)*6+4)</f>
        <v>-1</v>
      </c>
    </row>
    <row r="1900" customFormat="false" ht="23.25" hidden="false" customHeight="true" outlineLevel="0" collapsed="false">
      <c r="B1900" s="67" t="str">
        <f aca="false">""</f>
        <v/>
      </c>
      <c r="C1900" s="67"/>
      <c r="D1900" s="23" t="str">
        <f aca="false">IFERROR(INDEX(分录收入!$E:$E,MATCH($L1900,分录收入!$L:$L,0)),"")</f>
        <v/>
      </c>
      <c r="E1900" s="23" t="str">
        <f aca="false">IFERROR(INDEX(分录收入!$F:$F,MATCH($L1900,分录收入!$L:$L,0)),"")</f>
        <v/>
      </c>
      <c r="F1900" s="68" t="str">
        <f aca="false">IFERROR(INDEX(分录收入!$H:$H,MATCH($L1900,分录收入!$L:$L,0)),"")</f>
        <v/>
      </c>
      <c r="G1900" s="69" t="str">
        <f aca="false">IFERROR(INDEX(分录收入!$I:$I,MATCH($L1900,分录收入!$L:$L,0)),"")</f>
        <v/>
      </c>
      <c r="H1900" s="23"/>
      <c r="I1900" s="70"/>
      <c r="L1900" s="71" t="n">
        <f aca="false">IF(助手收入!$R$128="",-1,助手收入!$R$128*100+(助手收入!$S$128-1)*6+5)</f>
        <v>-1</v>
      </c>
    </row>
    <row r="1901" customFormat="false" ht="23.25" hidden="false" customHeight="true" outlineLevel="0" collapsed="false">
      <c r="B1901" s="67" t="str">
        <f aca="false">""</f>
        <v/>
      </c>
      <c r="C1901" s="67"/>
      <c r="D1901" s="23" t="str">
        <f aca="false">IFERROR(INDEX(分录收入!$E:$E,MATCH($L1901,分录收入!$L:$L,0)),"")</f>
        <v/>
      </c>
      <c r="E1901" s="23" t="str">
        <f aca="false">IFERROR(INDEX(分录收入!$F:$F,MATCH($L1901,分录收入!$L:$L,0)),"")</f>
        <v/>
      </c>
      <c r="F1901" s="68" t="str">
        <f aca="false">IFERROR(INDEX(分录收入!$H:$H,MATCH($L1901,分录收入!$L:$L,0)),"")</f>
        <v/>
      </c>
      <c r="G1901" s="69" t="str">
        <f aca="false">IFERROR(INDEX(分录收入!$I:$I,MATCH($L1901,分录收入!$L:$L,0)),"")</f>
        <v/>
      </c>
      <c r="H1901" s="23"/>
      <c r="I1901" s="70"/>
      <c r="L1901" s="71" t="n">
        <f aca="false">IF(助手收入!$R$128="",-1,助手收入!$R$128*100+(助手收入!$S$128-1)*6+6)</f>
        <v>-1</v>
      </c>
    </row>
    <row r="1902" customFormat="false" ht="23.25" hidden="false" customHeight="true" outlineLevel="0" collapsed="false">
      <c r="B1902" s="72" t="str">
        <f aca="false">IF(助手收入!$T$128=1,"合计：","")</f>
        <v/>
      </c>
      <c r="C1902" s="73" t="str">
        <f aca="false">IF(助手收入!$T$128=1,$F1902,"")</f>
        <v/>
      </c>
      <c r="D1902" s="74"/>
      <c r="E1902" s="74"/>
      <c r="F1902" s="75" t="str">
        <f aca="false">IF(助手收入!$T$128=1,INDEX(助手收入!$N$2:$N$66,助手收入!$R$128),"")</f>
        <v/>
      </c>
      <c r="G1902" s="76" t="str">
        <f aca="false">IF(助手收入!$T$128=1,INDEX(助手收入!$O$2:$O$66,助手收入!$R$128),"")</f>
        <v/>
      </c>
      <c r="H1902" s="74"/>
      <c r="I1902" s="77"/>
    </row>
    <row r="1903" customFormat="false" ht="6" hidden="false" customHeight="true" outlineLevel="0" collapsed="false"/>
    <row r="1904" customFormat="false" ht="13.5" hidden="false" customHeight="false" outlineLevel="0" collapsed="false">
      <c r="B1904" s="78" t="str">
        <f aca="false">IF(助手收入!$R$128&lt;&gt;"","会计主管：","")</f>
        <v/>
      </c>
      <c r="D1904" s="78" t="str">
        <f aca="false">IF(助手收入!$R$128&lt;&gt;"","会计：","")</f>
        <v/>
      </c>
      <c r="E1904" s="78" t="str">
        <f aca="false">IF(助手收入!$R$128&lt;&gt;"","出纳：","")</f>
        <v/>
      </c>
      <c r="F1904" s="78" t="str">
        <f aca="false">IF(助手收入!$R$128&lt;&gt;"","复核：","")</f>
        <v/>
      </c>
      <c r="G1904" s="78" t="str">
        <f aca="false">IF(助手收入!$R$128&lt;&gt;"","制单：","")</f>
        <v/>
      </c>
    </row>
    <row r="1905" customFormat="false" ht="3" hidden="false" customHeight="true" outlineLevel="0" collapsed="false"/>
    <row r="1906" customFormat="false" ht="19.5" hidden="false" customHeight="true" outlineLevel="0" collapsed="false">
      <c r="B1906" s="53" t="str">
        <f aca="false">IF(助手收入!$R$129&lt;&gt;"","记  账  凭  证","")</f>
        <v/>
      </c>
      <c r="C1906" s="53"/>
      <c r="D1906" s="53"/>
      <c r="E1906" s="53"/>
      <c r="F1906" s="53"/>
      <c r="G1906" s="53"/>
      <c r="H1906" s="53"/>
      <c r="I1906" s="53"/>
    </row>
    <row r="1907" customFormat="false" ht="3" hidden="false" customHeight="true" outlineLevel="0" collapsed="false"/>
    <row r="1908" customFormat="false" ht="15" hidden="false" customHeight="true" outlineLevel="0" collapsed="false">
      <c r="C1908" s="56" t="str">
        <f aca="false">IF(助手收入!$R$129&lt;&gt;"",INDEX(助手收入!$B$2:$B$66,助手收入!$R$129),"")</f>
        <v/>
      </c>
      <c r="D1908" s="57" t="str">
        <f aca="false">IF(助手收入!$R$129&lt;&gt;"",参数!$B$2,"")</f>
        <v/>
      </c>
      <c r="E1908" s="57"/>
      <c r="F1908" s="58" t="str">
        <f aca="false">IF(助手收入!$R$129&lt;&gt;"",INDEX(助手收入!$C$2:$C$66,助手收入!$R$129)&amp;"  字第 "&amp;IF(参数!$B$9="是",INDEX(助手收入!$P$2:$P$66,助手收入!$R$129),"　　　　")&amp;" 号"&amp;IF(INDEX(助手收入!$L$2:$L$66,助手收入!$R$129)&gt;1,"  (共"&amp;INDEX(助手收入!$L$2:$L$66,助手收入!$R$129)&amp;"页 第"&amp;助手收入!$S$129&amp;"页)",""),"")</f>
        <v/>
      </c>
      <c r="G1908" s="58"/>
      <c r="H1908" s="58"/>
      <c r="I1908" s="58"/>
      <c r="M1908" s="79" t="str">
        <f aca="false">IF(助手收入!$R$129="","",助手收入!$Q$129)</f>
        <v/>
      </c>
      <c r="N1908" s="80" t="str">
        <f aca="false">IF(助手收入!$R$129="","",INDEX(助手收入!$P$2:$P$66,助手收入!$R$129))</f>
        <v/>
      </c>
      <c r="O1908" s="55" t="str">
        <f aca="false">IF(助手收入!$R$129="","",INDEX(助手收入!$C$2:$C$66,助手收入!$R$129)&amp;"  字第 "&amp;INDEX(助手收入!$P$2:$P$66,助手收入!$R$129)&amp;" 号"&amp;IF(INDEX(助手收入!$L$2:$L$66,助手收入!$R$129)&gt;1,"  (共"&amp;INDEX(助手收入!$L$2:$L$66,助手收入!$R$129)&amp;"页 第"&amp;助手收入!$S$129&amp;"页)",""))</f>
        <v/>
      </c>
    </row>
    <row r="1909" customFormat="false" ht="12.75" hidden="false" customHeight="true" outlineLevel="0" collapsed="false">
      <c r="B1909" s="61" t="str">
        <f aca="false">IF(助手收入!$R$129&lt;&gt;"","摘　　要","")</f>
        <v/>
      </c>
      <c r="C1909" s="61"/>
      <c r="D1909" s="62" t="str">
        <f aca="false">IF(助手收入!$R$129&lt;&gt;"","科　　　　目","")</f>
        <v/>
      </c>
      <c r="E1909" s="62"/>
      <c r="F1909" s="61" t="str">
        <f aca="false">IF(助手收入!$R$129&lt;&gt;"","借 方 金 额","")</f>
        <v/>
      </c>
      <c r="G1909" s="62" t="str">
        <f aca="false">IF(助手收入!$R$129&lt;&gt;"","贷 方 金 额","")</f>
        <v/>
      </c>
      <c r="H1909" s="63" t="str">
        <f aca="false">IF(助手收入!$R$129&lt;&gt;"","√","")</f>
        <v/>
      </c>
      <c r="I1909" s="64" t="str">
        <f aca="false">IF(助手收入!$R$129&lt;&gt;"","附单据  张","")</f>
        <v/>
      </c>
    </row>
    <row r="1910" customFormat="false" ht="12.75" hidden="false" customHeight="true" outlineLevel="0" collapsed="false">
      <c r="B1910" s="61"/>
      <c r="C1910" s="61"/>
      <c r="D1910" s="23" t="str">
        <f aca="false">IF(助手收入!$R$129&lt;&gt;"","总 账 科 目","")</f>
        <v/>
      </c>
      <c r="E1910" s="23" t="str">
        <f aca="false">IF(助手收入!$R$129&lt;&gt;"","明 细 科 目","")</f>
        <v/>
      </c>
      <c r="F1910" s="65"/>
      <c r="G1910" s="66"/>
      <c r="H1910" s="63"/>
      <c r="I1910" s="64"/>
    </row>
    <row r="1911" customFormat="false" ht="23.25" hidden="false" customHeight="true" outlineLevel="0" collapsed="false">
      <c r="B1911" s="67" t="str">
        <f aca="false">IFERROR(INDEX(分录收入!$M:$M,MATCH($L1911,分录收入!$L:$L,0)),"")</f>
        <v/>
      </c>
      <c r="C1911" s="67"/>
      <c r="D1911" s="23" t="str">
        <f aca="false">IFERROR(INDEX(分录收入!$E:$E,MATCH($L1911,分录收入!$L:$L,0)),"")</f>
        <v/>
      </c>
      <c r="E1911" s="23" t="str">
        <f aca="false">IFERROR(INDEX(分录收入!$F:$F,MATCH($L1911,分录收入!$L:$L,0)),"")</f>
        <v/>
      </c>
      <c r="F1911" s="68" t="str">
        <f aca="false">IFERROR(INDEX(分录收入!$H:$H,MATCH($L1911,分录收入!$L:$L,0)),"")</f>
        <v/>
      </c>
      <c r="G1911" s="69" t="str">
        <f aca="false">IFERROR(INDEX(分录收入!$I:$I,MATCH($L1911,分录收入!$L:$L,0)),"")</f>
        <v/>
      </c>
      <c r="H1911" s="23"/>
      <c r="I1911" s="70"/>
      <c r="L1911" s="71" t="n">
        <f aca="false">IF(助手收入!$R$129="",-1,助手收入!$R$129*100+(助手收入!$S$129-1)*6+1)</f>
        <v>-1</v>
      </c>
    </row>
    <row r="1912" customFormat="false" ht="23.25" hidden="false" customHeight="true" outlineLevel="0" collapsed="false">
      <c r="B1912" s="67" t="str">
        <f aca="false">""</f>
        <v/>
      </c>
      <c r="C1912" s="67"/>
      <c r="D1912" s="23" t="str">
        <f aca="false">IFERROR(INDEX(分录收入!$E:$E,MATCH($L1912,分录收入!$L:$L,0)),"")</f>
        <v/>
      </c>
      <c r="E1912" s="23" t="str">
        <f aca="false">IFERROR(INDEX(分录收入!$F:$F,MATCH($L1912,分录收入!$L:$L,0)),"")</f>
        <v/>
      </c>
      <c r="F1912" s="68" t="str">
        <f aca="false">IFERROR(INDEX(分录收入!$H:$H,MATCH($L1912,分录收入!$L:$L,0)),"")</f>
        <v/>
      </c>
      <c r="G1912" s="69" t="str">
        <f aca="false">IFERROR(INDEX(分录收入!$I:$I,MATCH($L1912,分录收入!$L:$L,0)),"")</f>
        <v/>
      </c>
      <c r="H1912" s="23"/>
      <c r="I1912" s="70"/>
      <c r="L1912" s="71" t="n">
        <f aca="false">IF(助手收入!$R$129="",-1,助手收入!$R$129*100+(助手收入!$S$129-1)*6+2)</f>
        <v>-1</v>
      </c>
    </row>
    <row r="1913" customFormat="false" ht="23.25" hidden="false" customHeight="true" outlineLevel="0" collapsed="false">
      <c r="B1913" s="67" t="str">
        <f aca="false">""</f>
        <v/>
      </c>
      <c r="C1913" s="67"/>
      <c r="D1913" s="23" t="str">
        <f aca="false">IFERROR(INDEX(分录收入!$E:$E,MATCH($L1913,分录收入!$L:$L,0)),"")</f>
        <v/>
      </c>
      <c r="E1913" s="23" t="str">
        <f aca="false">IFERROR(INDEX(分录收入!$F:$F,MATCH($L1913,分录收入!$L:$L,0)),"")</f>
        <v/>
      </c>
      <c r="F1913" s="68" t="str">
        <f aca="false">IFERROR(INDEX(分录收入!$H:$H,MATCH($L1913,分录收入!$L:$L,0)),"")</f>
        <v/>
      </c>
      <c r="G1913" s="69" t="str">
        <f aca="false">IFERROR(INDEX(分录收入!$I:$I,MATCH($L1913,分录收入!$L:$L,0)),"")</f>
        <v/>
      </c>
      <c r="H1913" s="23"/>
      <c r="I1913" s="70"/>
      <c r="L1913" s="71" t="n">
        <f aca="false">IF(助手收入!$R$129="",-1,助手收入!$R$129*100+(助手收入!$S$129-1)*6+3)</f>
        <v>-1</v>
      </c>
    </row>
    <row r="1914" customFormat="false" ht="23.25" hidden="false" customHeight="true" outlineLevel="0" collapsed="false">
      <c r="B1914" s="67" t="str">
        <f aca="false">""</f>
        <v/>
      </c>
      <c r="C1914" s="67"/>
      <c r="D1914" s="23" t="str">
        <f aca="false">IFERROR(INDEX(分录收入!$E:$E,MATCH($L1914,分录收入!$L:$L,0)),"")</f>
        <v/>
      </c>
      <c r="E1914" s="23" t="str">
        <f aca="false">IFERROR(INDEX(分录收入!$F:$F,MATCH($L1914,分录收入!$L:$L,0)),"")</f>
        <v/>
      </c>
      <c r="F1914" s="68" t="str">
        <f aca="false">IFERROR(INDEX(分录收入!$H:$H,MATCH($L1914,分录收入!$L:$L,0)),"")</f>
        <v/>
      </c>
      <c r="G1914" s="69" t="str">
        <f aca="false">IFERROR(INDEX(分录收入!$I:$I,MATCH($L1914,分录收入!$L:$L,0)),"")</f>
        <v/>
      </c>
      <c r="H1914" s="23"/>
      <c r="I1914" s="70"/>
      <c r="L1914" s="71" t="n">
        <f aca="false">IF(助手收入!$R$129="",-1,助手收入!$R$129*100+(助手收入!$S$129-1)*6+4)</f>
        <v>-1</v>
      </c>
    </row>
    <row r="1915" customFormat="false" ht="23.25" hidden="false" customHeight="true" outlineLevel="0" collapsed="false">
      <c r="B1915" s="67" t="str">
        <f aca="false">""</f>
        <v/>
      </c>
      <c r="C1915" s="67"/>
      <c r="D1915" s="23" t="str">
        <f aca="false">IFERROR(INDEX(分录收入!$E:$E,MATCH($L1915,分录收入!$L:$L,0)),"")</f>
        <v/>
      </c>
      <c r="E1915" s="23" t="str">
        <f aca="false">IFERROR(INDEX(分录收入!$F:$F,MATCH($L1915,分录收入!$L:$L,0)),"")</f>
        <v/>
      </c>
      <c r="F1915" s="68" t="str">
        <f aca="false">IFERROR(INDEX(分录收入!$H:$H,MATCH($L1915,分录收入!$L:$L,0)),"")</f>
        <v/>
      </c>
      <c r="G1915" s="69" t="str">
        <f aca="false">IFERROR(INDEX(分录收入!$I:$I,MATCH($L1915,分录收入!$L:$L,0)),"")</f>
        <v/>
      </c>
      <c r="H1915" s="23"/>
      <c r="I1915" s="70"/>
      <c r="L1915" s="71" t="n">
        <f aca="false">IF(助手收入!$R$129="",-1,助手收入!$R$129*100+(助手收入!$S$129-1)*6+5)</f>
        <v>-1</v>
      </c>
    </row>
    <row r="1916" customFormat="false" ht="23.25" hidden="false" customHeight="true" outlineLevel="0" collapsed="false">
      <c r="B1916" s="67" t="str">
        <f aca="false">""</f>
        <v/>
      </c>
      <c r="C1916" s="67"/>
      <c r="D1916" s="23" t="str">
        <f aca="false">IFERROR(INDEX(分录收入!$E:$E,MATCH($L1916,分录收入!$L:$L,0)),"")</f>
        <v/>
      </c>
      <c r="E1916" s="23" t="str">
        <f aca="false">IFERROR(INDEX(分录收入!$F:$F,MATCH($L1916,分录收入!$L:$L,0)),"")</f>
        <v/>
      </c>
      <c r="F1916" s="68" t="str">
        <f aca="false">IFERROR(INDEX(分录收入!$H:$H,MATCH($L1916,分录收入!$L:$L,0)),"")</f>
        <v/>
      </c>
      <c r="G1916" s="69" t="str">
        <f aca="false">IFERROR(INDEX(分录收入!$I:$I,MATCH($L1916,分录收入!$L:$L,0)),"")</f>
        <v/>
      </c>
      <c r="H1916" s="23"/>
      <c r="I1916" s="70"/>
      <c r="L1916" s="71" t="n">
        <f aca="false">IF(助手收入!$R$129="",-1,助手收入!$R$129*100+(助手收入!$S$129-1)*6+6)</f>
        <v>-1</v>
      </c>
    </row>
    <row r="1917" customFormat="false" ht="23.25" hidden="false" customHeight="true" outlineLevel="0" collapsed="false">
      <c r="B1917" s="72" t="str">
        <f aca="false">IF(助手收入!$T$129=1,"合计：","")</f>
        <v/>
      </c>
      <c r="C1917" s="73" t="str">
        <f aca="false">IF(助手收入!$T$129=1,$F1917,"")</f>
        <v/>
      </c>
      <c r="D1917" s="74"/>
      <c r="E1917" s="74"/>
      <c r="F1917" s="75" t="str">
        <f aca="false">IF(助手收入!$T$129=1,INDEX(助手收入!$N$2:$N$66,助手收入!$R$129),"")</f>
        <v/>
      </c>
      <c r="G1917" s="76" t="str">
        <f aca="false">IF(助手收入!$T$129=1,INDEX(助手收入!$O$2:$O$66,助手收入!$R$129),"")</f>
        <v/>
      </c>
      <c r="H1917" s="74"/>
      <c r="I1917" s="77"/>
    </row>
    <row r="1918" customFormat="false" ht="6" hidden="false" customHeight="true" outlineLevel="0" collapsed="false"/>
    <row r="1919" customFormat="false" ht="13.5" hidden="false" customHeight="false" outlineLevel="0" collapsed="false">
      <c r="B1919" s="78" t="str">
        <f aca="false">IF(助手收入!$R$129&lt;&gt;"","会计主管：","")</f>
        <v/>
      </c>
      <c r="D1919" s="78" t="str">
        <f aca="false">IF(助手收入!$R$129&lt;&gt;"","会计：","")</f>
        <v/>
      </c>
      <c r="E1919" s="78" t="str">
        <f aca="false">IF(助手收入!$R$129&lt;&gt;"","出纳：","")</f>
        <v/>
      </c>
      <c r="F1919" s="78" t="str">
        <f aca="false">IF(助手收入!$R$129&lt;&gt;"","复核：","")</f>
        <v/>
      </c>
      <c r="G1919" s="78" t="str">
        <f aca="false">IF(助手收入!$R$129&lt;&gt;"","制单：","")</f>
        <v/>
      </c>
    </row>
    <row r="1920" customFormat="false" ht="3" hidden="false" customHeight="true" outlineLevel="0" collapsed="false"/>
    <row r="1921" customFormat="false" ht="19.5" hidden="false" customHeight="true" outlineLevel="0" collapsed="false">
      <c r="B1921" s="53" t="str">
        <f aca="false">IF(助手收入!$R$130&lt;&gt;"","记  账  凭  证","")</f>
        <v/>
      </c>
      <c r="C1921" s="53"/>
      <c r="D1921" s="53"/>
      <c r="E1921" s="53"/>
      <c r="F1921" s="53"/>
      <c r="G1921" s="53"/>
      <c r="H1921" s="53"/>
      <c r="I1921" s="53"/>
    </row>
    <row r="1922" customFormat="false" ht="3" hidden="false" customHeight="true" outlineLevel="0" collapsed="false"/>
    <row r="1923" customFormat="false" ht="15" hidden="false" customHeight="true" outlineLevel="0" collapsed="false">
      <c r="C1923" s="56" t="str">
        <f aca="false">IF(助手收入!$R$130&lt;&gt;"",INDEX(助手收入!$B$2:$B$66,助手收入!$R$130),"")</f>
        <v/>
      </c>
      <c r="D1923" s="57" t="str">
        <f aca="false">IF(助手收入!$R$130&lt;&gt;"",参数!$B$2,"")</f>
        <v/>
      </c>
      <c r="E1923" s="57"/>
      <c r="F1923" s="58" t="str">
        <f aca="false">IF(助手收入!$R$130&lt;&gt;"",INDEX(助手收入!$C$2:$C$66,助手收入!$R$130)&amp;"  字第 "&amp;IF(参数!$B$9="是",INDEX(助手收入!$P$2:$P$66,助手收入!$R$130),"　　　　")&amp;" 号"&amp;IF(INDEX(助手收入!$L$2:$L$66,助手收入!$R$130)&gt;1,"  (共"&amp;INDEX(助手收入!$L$2:$L$66,助手收入!$R$130)&amp;"页 第"&amp;助手收入!$S$130&amp;"页)",""),"")</f>
        <v/>
      </c>
      <c r="G1923" s="58"/>
      <c r="H1923" s="58"/>
      <c r="I1923" s="58"/>
      <c r="M1923" s="79" t="str">
        <f aca="false">IF(助手收入!$R$130="","",助手收入!$Q$130)</f>
        <v/>
      </c>
      <c r="N1923" s="80" t="str">
        <f aca="false">IF(助手收入!$R$130="","",INDEX(助手收入!$P$2:$P$66,助手收入!$R$130))</f>
        <v/>
      </c>
      <c r="O1923" s="55" t="str">
        <f aca="false">IF(助手收入!$R$130="","",INDEX(助手收入!$C$2:$C$66,助手收入!$R$130)&amp;"  字第 "&amp;INDEX(助手收入!$P$2:$P$66,助手收入!$R$130)&amp;" 号"&amp;IF(INDEX(助手收入!$L$2:$L$66,助手收入!$R$130)&gt;1,"  (共"&amp;INDEX(助手收入!$L$2:$L$66,助手收入!$R$130)&amp;"页 第"&amp;助手收入!$S$130&amp;"页)",""))</f>
        <v/>
      </c>
    </row>
    <row r="1924" customFormat="false" ht="12.75" hidden="false" customHeight="true" outlineLevel="0" collapsed="false">
      <c r="B1924" s="61" t="str">
        <f aca="false">IF(助手收入!$R$130&lt;&gt;"","摘　　要","")</f>
        <v/>
      </c>
      <c r="C1924" s="61"/>
      <c r="D1924" s="62" t="str">
        <f aca="false">IF(助手收入!$R$130&lt;&gt;"","科　　　　目","")</f>
        <v/>
      </c>
      <c r="E1924" s="62"/>
      <c r="F1924" s="61" t="str">
        <f aca="false">IF(助手收入!$R$130&lt;&gt;"","借 方 金 额","")</f>
        <v/>
      </c>
      <c r="G1924" s="62" t="str">
        <f aca="false">IF(助手收入!$R$130&lt;&gt;"","贷 方 金 额","")</f>
        <v/>
      </c>
      <c r="H1924" s="63" t="str">
        <f aca="false">IF(助手收入!$R$130&lt;&gt;"","√","")</f>
        <v/>
      </c>
      <c r="I1924" s="64" t="str">
        <f aca="false">IF(助手收入!$R$130&lt;&gt;"","附单据  张","")</f>
        <v/>
      </c>
    </row>
    <row r="1925" customFormat="false" ht="12.75" hidden="false" customHeight="true" outlineLevel="0" collapsed="false">
      <c r="B1925" s="61"/>
      <c r="C1925" s="61"/>
      <c r="D1925" s="23" t="str">
        <f aca="false">IF(助手收入!$R$130&lt;&gt;"","总 账 科 目","")</f>
        <v/>
      </c>
      <c r="E1925" s="23" t="str">
        <f aca="false">IF(助手收入!$R$130&lt;&gt;"","明 细 科 目","")</f>
        <v/>
      </c>
      <c r="F1925" s="65"/>
      <c r="G1925" s="66"/>
      <c r="H1925" s="63"/>
      <c r="I1925" s="64"/>
    </row>
    <row r="1926" customFormat="false" ht="23.25" hidden="false" customHeight="true" outlineLevel="0" collapsed="false">
      <c r="B1926" s="67" t="str">
        <f aca="false">IFERROR(INDEX(分录收入!$M:$M,MATCH($L1926,分录收入!$L:$L,0)),"")</f>
        <v/>
      </c>
      <c r="C1926" s="67"/>
      <c r="D1926" s="23" t="str">
        <f aca="false">IFERROR(INDEX(分录收入!$E:$E,MATCH($L1926,分录收入!$L:$L,0)),"")</f>
        <v/>
      </c>
      <c r="E1926" s="23" t="str">
        <f aca="false">IFERROR(INDEX(分录收入!$F:$F,MATCH($L1926,分录收入!$L:$L,0)),"")</f>
        <v/>
      </c>
      <c r="F1926" s="68" t="str">
        <f aca="false">IFERROR(INDEX(分录收入!$H:$H,MATCH($L1926,分录收入!$L:$L,0)),"")</f>
        <v/>
      </c>
      <c r="G1926" s="69" t="str">
        <f aca="false">IFERROR(INDEX(分录收入!$I:$I,MATCH($L1926,分录收入!$L:$L,0)),"")</f>
        <v/>
      </c>
      <c r="H1926" s="23"/>
      <c r="I1926" s="70"/>
      <c r="L1926" s="71" t="n">
        <f aca="false">IF(助手收入!$R$130="",-1,助手收入!$R$130*100+(助手收入!$S$130-1)*6+1)</f>
        <v>-1</v>
      </c>
    </row>
    <row r="1927" customFormat="false" ht="23.25" hidden="false" customHeight="true" outlineLevel="0" collapsed="false">
      <c r="B1927" s="67" t="str">
        <f aca="false">""</f>
        <v/>
      </c>
      <c r="C1927" s="67"/>
      <c r="D1927" s="23" t="str">
        <f aca="false">IFERROR(INDEX(分录收入!$E:$E,MATCH($L1927,分录收入!$L:$L,0)),"")</f>
        <v/>
      </c>
      <c r="E1927" s="23" t="str">
        <f aca="false">IFERROR(INDEX(分录收入!$F:$F,MATCH($L1927,分录收入!$L:$L,0)),"")</f>
        <v/>
      </c>
      <c r="F1927" s="68" t="str">
        <f aca="false">IFERROR(INDEX(分录收入!$H:$H,MATCH($L1927,分录收入!$L:$L,0)),"")</f>
        <v/>
      </c>
      <c r="G1927" s="69" t="str">
        <f aca="false">IFERROR(INDEX(分录收入!$I:$I,MATCH($L1927,分录收入!$L:$L,0)),"")</f>
        <v/>
      </c>
      <c r="H1927" s="23"/>
      <c r="I1927" s="70"/>
      <c r="L1927" s="71" t="n">
        <f aca="false">IF(助手收入!$R$130="",-1,助手收入!$R$130*100+(助手收入!$S$130-1)*6+2)</f>
        <v>-1</v>
      </c>
    </row>
    <row r="1928" customFormat="false" ht="23.25" hidden="false" customHeight="true" outlineLevel="0" collapsed="false">
      <c r="B1928" s="67" t="str">
        <f aca="false">""</f>
        <v/>
      </c>
      <c r="C1928" s="67"/>
      <c r="D1928" s="23" t="str">
        <f aca="false">IFERROR(INDEX(分录收入!$E:$E,MATCH($L1928,分录收入!$L:$L,0)),"")</f>
        <v/>
      </c>
      <c r="E1928" s="23" t="str">
        <f aca="false">IFERROR(INDEX(分录收入!$F:$F,MATCH($L1928,分录收入!$L:$L,0)),"")</f>
        <v/>
      </c>
      <c r="F1928" s="68" t="str">
        <f aca="false">IFERROR(INDEX(分录收入!$H:$H,MATCH($L1928,分录收入!$L:$L,0)),"")</f>
        <v/>
      </c>
      <c r="G1928" s="69" t="str">
        <f aca="false">IFERROR(INDEX(分录收入!$I:$I,MATCH($L1928,分录收入!$L:$L,0)),"")</f>
        <v/>
      </c>
      <c r="H1928" s="23"/>
      <c r="I1928" s="70"/>
      <c r="L1928" s="71" t="n">
        <f aca="false">IF(助手收入!$R$130="",-1,助手收入!$R$130*100+(助手收入!$S$130-1)*6+3)</f>
        <v>-1</v>
      </c>
    </row>
    <row r="1929" customFormat="false" ht="23.25" hidden="false" customHeight="true" outlineLevel="0" collapsed="false">
      <c r="B1929" s="67" t="str">
        <f aca="false">""</f>
        <v/>
      </c>
      <c r="C1929" s="67"/>
      <c r="D1929" s="23" t="str">
        <f aca="false">IFERROR(INDEX(分录收入!$E:$E,MATCH($L1929,分录收入!$L:$L,0)),"")</f>
        <v/>
      </c>
      <c r="E1929" s="23" t="str">
        <f aca="false">IFERROR(INDEX(分录收入!$F:$F,MATCH($L1929,分录收入!$L:$L,0)),"")</f>
        <v/>
      </c>
      <c r="F1929" s="68" t="str">
        <f aca="false">IFERROR(INDEX(分录收入!$H:$H,MATCH($L1929,分录收入!$L:$L,0)),"")</f>
        <v/>
      </c>
      <c r="G1929" s="69" t="str">
        <f aca="false">IFERROR(INDEX(分录收入!$I:$I,MATCH($L1929,分录收入!$L:$L,0)),"")</f>
        <v/>
      </c>
      <c r="H1929" s="23"/>
      <c r="I1929" s="70"/>
      <c r="L1929" s="71" t="n">
        <f aca="false">IF(助手收入!$R$130="",-1,助手收入!$R$130*100+(助手收入!$S$130-1)*6+4)</f>
        <v>-1</v>
      </c>
    </row>
    <row r="1930" customFormat="false" ht="23.25" hidden="false" customHeight="true" outlineLevel="0" collapsed="false">
      <c r="B1930" s="67" t="str">
        <f aca="false">""</f>
        <v/>
      </c>
      <c r="C1930" s="67"/>
      <c r="D1930" s="23" t="str">
        <f aca="false">IFERROR(INDEX(分录收入!$E:$E,MATCH($L1930,分录收入!$L:$L,0)),"")</f>
        <v/>
      </c>
      <c r="E1930" s="23" t="str">
        <f aca="false">IFERROR(INDEX(分录收入!$F:$F,MATCH($L1930,分录收入!$L:$L,0)),"")</f>
        <v/>
      </c>
      <c r="F1930" s="68" t="str">
        <f aca="false">IFERROR(INDEX(分录收入!$H:$H,MATCH($L1930,分录收入!$L:$L,0)),"")</f>
        <v/>
      </c>
      <c r="G1930" s="69" t="str">
        <f aca="false">IFERROR(INDEX(分录收入!$I:$I,MATCH($L1930,分录收入!$L:$L,0)),"")</f>
        <v/>
      </c>
      <c r="H1930" s="23"/>
      <c r="I1930" s="70"/>
      <c r="L1930" s="71" t="n">
        <f aca="false">IF(助手收入!$R$130="",-1,助手收入!$R$130*100+(助手收入!$S$130-1)*6+5)</f>
        <v>-1</v>
      </c>
    </row>
    <row r="1931" customFormat="false" ht="23.25" hidden="false" customHeight="true" outlineLevel="0" collapsed="false">
      <c r="B1931" s="67" t="str">
        <f aca="false">""</f>
        <v/>
      </c>
      <c r="C1931" s="67"/>
      <c r="D1931" s="23" t="str">
        <f aca="false">IFERROR(INDEX(分录收入!$E:$E,MATCH($L1931,分录收入!$L:$L,0)),"")</f>
        <v/>
      </c>
      <c r="E1931" s="23" t="str">
        <f aca="false">IFERROR(INDEX(分录收入!$F:$F,MATCH($L1931,分录收入!$L:$L,0)),"")</f>
        <v/>
      </c>
      <c r="F1931" s="68" t="str">
        <f aca="false">IFERROR(INDEX(分录收入!$H:$H,MATCH($L1931,分录收入!$L:$L,0)),"")</f>
        <v/>
      </c>
      <c r="G1931" s="69" t="str">
        <f aca="false">IFERROR(INDEX(分录收入!$I:$I,MATCH($L1931,分录收入!$L:$L,0)),"")</f>
        <v/>
      </c>
      <c r="H1931" s="23"/>
      <c r="I1931" s="70"/>
      <c r="L1931" s="71" t="n">
        <f aca="false">IF(助手收入!$R$130="",-1,助手收入!$R$130*100+(助手收入!$S$130-1)*6+6)</f>
        <v>-1</v>
      </c>
    </row>
    <row r="1932" customFormat="false" ht="23.25" hidden="false" customHeight="true" outlineLevel="0" collapsed="false">
      <c r="B1932" s="72" t="str">
        <f aca="false">IF(助手收入!$T$130=1,"合计：","")</f>
        <v/>
      </c>
      <c r="C1932" s="73" t="str">
        <f aca="false">IF(助手收入!$T$130=1,$F1932,"")</f>
        <v/>
      </c>
      <c r="D1932" s="74"/>
      <c r="E1932" s="74"/>
      <c r="F1932" s="75" t="str">
        <f aca="false">IF(助手收入!$T$130=1,INDEX(助手收入!$N$2:$N$66,助手收入!$R$130),"")</f>
        <v/>
      </c>
      <c r="G1932" s="76" t="str">
        <f aca="false">IF(助手收入!$T$130=1,INDEX(助手收入!$O$2:$O$66,助手收入!$R$130),"")</f>
        <v/>
      </c>
      <c r="H1932" s="74"/>
      <c r="I1932" s="77"/>
    </row>
    <row r="1933" customFormat="false" ht="6" hidden="false" customHeight="true" outlineLevel="0" collapsed="false"/>
    <row r="1934" customFormat="false" ht="13.5" hidden="false" customHeight="false" outlineLevel="0" collapsed="false">
      <c r="B1934" s="78" t="str">
        <f aca="false">IF(助手收入!$R$130&lt;&gt;"","会计主管：","")</f>
        <v/>
      </c>
      <c r="D1934" s="78" t="str">
        <f aca="false">IF(助手收入!$R$130&lt;&gt;"","会计：","")</f>
        <v/>
      </c>
      <c r="E1934" s="78" t="str">
        <f aca="false">IF(助手收入!$R$130&lt;&gt;"","出纳：","")</f>
        <v/>
      </c>
      <c r="F1934" s="78" t="str">
        <f aca="false">IF(助手收入!$R$130&lt;&gt;"","复核：","")</f>
        <v/>
      </c>
      <c r="G1934" s="78" t="str">
        <f aca="false">IF(助手收入!$R$130&lt;&gt;"","制单：","")</f>
        <v/>
      </c>
    </row>
    <row r="1935" customFormat="false" ht="3" hidden="false" customHeight="true" outlineLevel="0" collapsed="false"/>
    <row r="1936" customFormat="false" ht="19.5" hidden="false" customHeight="true" outlineLevel="0" collapsed="false">
      <c r="B1936" s="53" t="str">
        <f aca="false">IF(助手收入!$R$131&lt;&gt;"","记  账  凭  证","")</f>
        <v/>
      </c>
      <c r="C1936" s="53"/>
      <c r="D1936" s="53"/>
      <c r="E1936" s="53"/>
      <c r="F1936" s="53"/>
      <c r="G1936" s="53"/>
      <c r="H1936" s="53"/>
      <c r="I1936" s="53"/>
    </row>
    <row r="1937" customFormat="false" ht="3" hidden="false" customHeight="true" outlineLevel="0" collapsed="false"/>
    <row r="1938" customFormat="false" ht="15" hidden="false" customHeight="true" outlineLevel="0" collapsed="false">
      <c r="C1938" s="56" t="str">
        <f aca="false">IF(助手收入!$R$131&lt;&gt;"",INDEX(助手收入!$B$2:$B$66,助手收入!$R$131),"")</f>
        <v/>
      </c>
      <c r="D1938" s="57" t="str">
        <f aca="false">IF(助手收入!$R$131&lt;&gt;"",参数!$B$2,"")</f>
        <v/>
      </c>
      <c r="E1938" s="57"/>
      <c r="F1938" s="58" t="str">
        <f aca="false">IF(助手收入!$R$131&lt;&gt;"",INDEX(助手收入!$C$2:$C$66,助手收入!$R$131)&amp;"  字第 "&amp;IF(参数!$B$9="是",INDEX(助手收入!$P$2:$P$66,助手收入!$R$131),"　　　　")&amp;" 号"&amp;IF(INDEX(助手收入!$L$2:$L$66,助手收入!$R$131)&gt;1,"  (共"&amp;INDEX(助手收入!$L$2:$L$66,助手收入!$R$131)&amp;"页 第"&amp;助手收入!$S$131&amp;"页)",""),"")</f>
        <v/>
      </c>
      <c r="G1938" s="58"/>
      <c r="H1938" s="58"/>
      <c r="I1938" s="58"/>
      <c r="M1938" s="79" t="str">
        <f aca="false">IF(助手收入!$R$131="","",助手收入!$Q$131)</f>
        <v/>
      </c>
      <c r="N1938" s="80" t="str">
        <f aca="false">IF(助手收入!$R$131="","",INDEX(助手收入!$P$2:$P$66,助手收入!$R$131))</f>
        <v/>
      </c>
      <c r="O1938" s="55" t="str">
        <f aca="false">IF(助手收入!$R$131="","",INDEX(助手收入!$C$2:$C$66,助手收入!$R$131)&amp;"  字第 "&amp;INDEX(助手收入!$P$2:$P$66,助手收入!$R$131)&amp;" 号"&amp;IF(INDEX(助手收入!$L$2:$L$66,助手收入!$R$131)&gt;1,"  (共"&amp;INDEX(助手收入!$L$2:$L$66,助手收入!$R$131)&amp;"页 第"&amp;助手收入!$S$131&amp;"页)",""))</f>
        <v/>
      </c>
    </row>
    <row r="1939" customFormat="false" ht="12.75" hidden="false" customHeight="true" outlineLevel="0" collapsed="false">
      <c r="B1939" s="61" t="str">
        <f aca="false">IF(助手收入!$R$131&lt;&gt;"","摘　　要","")</f>
        <v/>
      </c>
      <c r="C1939" s="61"/>
      <c r="D1939" s="62" t="str">
        <f aca="false">IF(助手收入!$R$131&lt;&gt;"","科　　　　目","")</f>
        <v/>
      </c>
      <c r="E1939" s="62"/>
      <c r="F1939" s="61" t="str">
        <f aca="false">IF(助手收入!$R$131&lt;&gt;"","借 方 金 额","")</f>
        <v/>
      </c>
      <c r="G1939" s="62" t="str">
        <f aca="false">IF(助手收入!$R$131&lt;&gt;"","贷 方 金 额","")</f>
        <v/>
      </c>
      <c r="H1939" s="63" t="str">
        <f aca="false">IF(助手收入!$R$131&lt;&gt;"","√","")</f>
        <v/>
      </c>
      <c r="I1939" s="64" t="str">
        <f aca="false">IF(助手收入!$R$131&lt;&gt;"","附单据  张","")</f>
        <v/>
      </c>
    </row>
    <row r="1940" customFormat="false" ht="12.75" hidden="false" customHeight="true" outlineLevel="0" collapsed="false">
      <c r="B1940" s="61"/>
      <c r="C1940" s="61"/>
      <c r="D1940" s="23" t="str">
        <f aca="false">IF(助手收入!$R$131&lt;&gt;"","总 账 科 目","")</f>
        <v/>
      </c>
      <c r="E1940" s="23" t="str">
        <f aca="false">IF(助手收入!$R$131&lt;&gt;"","明 细 科 目","")</f>
        <v/>
      </c>
      <c r="F1940" s="65"/>
      <c r="G1940" s="66"/>
      <c r="H1940" s="63"/>
      <c r="I1940" s="64"/>
    </row>
    <row r="1941" customFormat="false" ht="23.25" hidden="false" customHeight="true" outlineLevel="0" collapsed="false">
      <c r="B1941" s="67" t="str">
        <f aca="false">IFERROR(INDEX(分录收入!$M:$M,MATCH($L1941,分录收入!$L:$L,0)),"")</f>
        <v/>
      </c>
      <c r="C1941" s="67"/>
      <c r="D1941" s="23" t="str">
        <f aca="false">IFERROR(INDEX(分录收入!$E:$E,MATCH($L1941,分录收入!$L:$L,0)),"")</f>
        <v/>
      </c>
      <c r="E1941" s="23" t="str">
        <f aca="false">IFERROR(INDEX(分录收入!$F:$F,MATCH($L1941,分录收入!$L:$L,0)),"")</f>
        <v/>
      </c>
      <c r="F1941" s="68" t="str">
        <f aca="false">IFERROR(INDEX(分录收入!$H:$H,MATCH($L1941,分录收入!$L:$L,0)),"")</f>
        <v/>
      </c>
      <c r="G1941" s="69" t="str">
        <f aca="false">IFERROR(INDEX(分录收入!$I:$I,MATCH($L1941,分录收入!$L:$L,0)),"")</f>
        <v/>
      </c>
      <c r="H1941" s="23"/>
      <c r="I1941" s="70"/>
      <c r="L1941" s="71" t="n">
        <f aca="false">IF(助手收入!$R$131="",-1,助手收入!$R$131*100+(助手收入!$S$131-1)*6+1)</f>
        <v>-1</v>
      </c>
    </row>
    <row r="1942" customFormat="false" ht="23.25" hidden="false" customHeight="true" outlineLevel="0" collapsed="false">
      <c r="B1942" s="67" t="str">
        <f aca="false">""</f>
        <v/>
      </c>
      <c r="C1942" s="67"/>
      <c r="D1942" s="23" t="str">
        <f aca="false">IFERROR(INDEX(分录收入!$E:$E,MATCH($L1942,分录收入!$L:$L,0)),"")</f>
        <v/>
      </c>
      <c r="E1942" s="23" t="str">
        <f aca="false">IFERROR(INDEX(分录收入!$F:$F,MATCH($L1942,分录收入!$L:$L,0)),"")</f>
        <v/>
      </c>
      <c r="F1942" s="68" t="str">
        <f aca="false">IFERROR(INDEX(分录收入!$H:$H,MATCH($L1942,分录收入!$L:$L,0)),"")</f>
        <v/>
      </c>
      <c r="G1942" s="69" t="str">
        <f aca="false">IFERROR(INDEX(分录收入!$I:$I,MATCH($L1942,分录收入!$L:$L,0)),"")</f>
        <v/>
      </c>
      <c r="H1942" s="23"/>
      <c r="I1942" s="70"/>
      <c r="L1942" s="71" t="n">
        <f aca="false">IF(助手收入!$R$131="",-1,助手收入!$R$131*100+(助手收入!$S$131-1)*6+2)</f>
        <v>-1</v>
      </c>
    </row>
    <row r="1943" customFormat="false" ht="23.25" hidden="false" customHeight="true" outlineLevel="0" collapsed="false">
      <c r="B1943" s="67" t="str">
        <f aca="false">""</f>
        <v/>
      </c>
      <c r="C1943" s="67"/>
      <c r="D1943" s="23" t="str">
        <f aca="false">IFERROR(INDEX(分录收入!$E:$E,MATCH($L1943,分录收入!$L:$L,0)),"")</f>
        <v/>
      </c>
      <c r="E1943" s="23" t="str">
        <f aca="false">IFERROR(INDEX(分录收入!$F:$F,MATCH($L1943,分录收入!$L:$L,0)),"")</f>
        <v/>
      </c>
      <c r="F1943" s="68" t="str">
        <f aca="false">IFERROR(INDEX(分录收入!$H:$H,MATCH($L1943,分录收入!$L:$L,0)),"")</f>
        <v/>
      </c>
      <c r="G1943" s="69" t="str">
        <f aca="false">IFERROR(INDEX(分录收入!$I:$I,MATCH($L1943,分录收入!$L:$L,0)),"")</f>
        <v/>
      </c>
      <c r="H1943" s="23"/>
      <c r="I1943" s="70"/>
      <c r="L1943" s="71" t="n">
        <f aca="false">IF(助手收入!$R$131="",-1,助手收入!$R$131*100+(助手收入!$S$131-1)*6+3)</f>
        <v>-1</v>
      </c>
    </row>
    <row r="1944" customFormat="false" ht="23.25" hidden="false" customHeight="true" outlineLevel="0" collapsed="false">
      <c r="B1944" s="67" t="str">
        <f aca="false">""</f>
        <v/>
      </c>
      <c r="C1944" s="67"/>
      <c r="D1944" s="23" t="str">
        <f aca="false">IFERROR(INDEX(分录收入!$E:$E,MATCH($L1944,分录收入!$L:$L,0)),"")</f>
        <v/>
      </c>
      <c r="E1944" s="23" t="str">
        <f aca="false">IFERROR(INDEX(分录收入!$F:$F,MATCH($L1944,分录收入!$L:$L,0)),"")</f>
        <v/>
      </c>
      <c r="F1944" s="68" t="str">
        <f aca="false">IFERROR(INDEX(分录收入!$H:$H,MATCH($L1944,分录收入!$L:$L,0)),"")</f>
        <v/>
      </c>
      <c r="G1944" s="69" t="str">
        <f aca="false">IFERROR(INDEX(分录收入!$I:$I,MATCH($L1944,分录收入!$L:$L,0)),"")</f>
        <v/>
      </c>
      <c r="H1944" s="23"/>
      <c r="I1944" s="70"/>
      <c r="L1944" s="71" t="n">
        <f aca="false">IF(助手收入!$R$131="",-1,助手收入!$R$131*100+(助手收入!$S$131-1)*6+4)</f>
        <v>-1</v>
      </c>
    </row>
    <row r="1945" customFormat="false" ht="23.25" hidden="false" customHeight="true" outlineLevel="0" collapsed="false">
      <c r="B1945" s="67" t="str">
        <f aca="false">""</f>
        <v/>
      </c>
      <c r="C1945" s="67"/>
      <c r="D1945" s="23" t="str">
        <f aca="false">IFERROR(INDEX(分录收入!$E:$E,MATCH($L1945,分录收入!$L:$L,0)),"")</f>
        <v/>
      </c>
      <c r="E1945" s="23" t="str">
        <f aca="false">IFERROR(INDEX(分录收入!$F:$F,MATCH($L1945,分录收入!$L:$L,0)),"")</f>
        <v/>
      </c>
      <c r="F1945" s="68" t="str">
        <f aca="false">IFERROR(INDEX(分录收入!$H:$H,MATCH($L1945,分录收入!$L:$L,0)),"")</f>
        <v/>
      </c>
      <c r="G1945" s="69" t="str">
        <f aca="false">IFERROR(INDEX(分录收入!$I:$I,MATCH($L1945,分录收入!$L:$L,0)),"")</f>
        <v/>
      </c>
      <c r="H1945" s="23"/>
      <c r="I1945" s="70"/>
      <c r="L1945" s="71" t="n">
        <f aca="false">IF(助手收入!$R$131="",-1,助手收入!$R$131*100+(助手收入!$S$131-1)*6+5)</f>
        <v>-1</v>
      </c>
    </row>
    <row r="1946" customFormat="false" ht="23.25" hidden="false" customHeight="true" outlineLevel="0" collapsed="false">
      <c r="B1946" s="67" t="str">
        <f aca="false">""</f>
        <v/>
      </c>
      <c r="C1946" s="67"/>
      <c r="D1946" s="23" t="str">
        <f aca="false">IFERROR(INDEX(分录收入!$E:$E,MATCH($L1946,分录收入!$L:$L,0)),"")</f>
        <v/>
      </c>
      <c r="E1946" s="23" t="str">
        <f aca="false">IFERROR(INDEX(分录收入!$F:$F,MATCH($L1946,分录收入!$L:$L,0)),"")</f>
        <v/>
      </c>
      <c r="F1946" s="68" t="str">
        <f aca="false">IFERROR(INDEX(分录收入!$H:$H,MATCH($L1946,分录收入!$L:$L,0)),"")</f>
        <v/>
      </c>
      <c r="G1946" s="69" t="str">
        <f aca="false">IFERROR(INDEX(分录收入!$I:$I,MATCH($L1946,分录收入!$L:$L,0)),"")</f>
        <v/>
      </c>
      <c r="H1946" s="23"/>
      <c r="I1946" s="70"/>
      <c r="L1946" s="71" t="n">
        <f aca="false">IF(助手收入!$R$131="",-1,助手收入!$R$131*100+(助手收入!$S$131-1)*6+6)</f>
        <v>-1</v>
      </c>
    </row>
    <row r="1947" customFormat="false" ht="23.25" hidden="false" customHeight="true" outlineLevel="0" collapsed="false">
      <c r="B1947" s="72" t="str">
        <f aca="false">IF(助手收入!$T$131=1,"合计：","")</f>
        <v/>
      </c>
      <c r="C1947" s="73" t="str">
        <f aca="false">IF(助手收入!$T$131=1,$F1947,"")</f>
        <v/>
      </c>
      <c r="D1947" s="74"/>
      <c r="E1947" s="74"/>
      <c r="F1947" s="75" t="str">
        <f aca="false">IF(助手收入!$T$131=1,INDEX(助手收入!$N$2:$N$66,助手收入!$R$131),"")</f>
        <v/>
      </c>
      <c r="G1947" s="76" t="str">
        <f aca="false">IF(助手收入!$T$131=1,INDEX(助手收入!$O$2:$O$66,助手收入!$R$131),"")</f>
        <v/>
      </c>
      <c r="H1947" s="74"/>
      <c r="I1947" s="77"/>
    </row>
    <row r="1948" customFormat="false" ht="6" hidden="false" customHeight="true" outlineLevel="0" collapsed="false"/>
    <row r="1949" customFormat="false" ht="13.5" hidden="false" customHeight="false" outlineLevel="0" collapsed="false">
      <c r="B1949" s="78" t="str">
        <f aca="false">IF(助手收入!$R$131&lt;&gt;"","会计主管：","")</f>
        <v/>
      </c>
      <c r="D1949" s="78" t="str">
        <f aca="false">IF(助手收入!$R$131&lt;&gt;"","会计：","")</f>
        <v/>
      </c>
      <c r="E1949" s="78" t="str">
        <f aca="false">IF(助手收入!$R$131&lt;&gt;"","出纳：","")</f>
        <v/>
      </c>
      <c r="F1949" s="78" t="str">
        <f aca="false">IF(助手收入!$R$131&lt;&gt;"","复核：","")</f>
        <v/>
      </c>
      <c r="G1949" s="78" t="str">
        <f aca="false">IF(助手收入!$R$131&lt;&gt;"","制单：","")</f>
        <v/>
      </c>
    </row>
    <row r="1950" customFormat="false" ht="3" hidden="false" customHeight="true" outlineLevel="0" collapsed="false"/>
    <row r="1951" customFormat="false" ht="19.5" hidden="false" customHeight="true" outlineLevel="0" collapsed="false">
      <c r="B1951" s="53" t="str">
        <f aca="false">IF(助手收入!$R$132&lt;&gt;"","记  账  凭  证","")</f>
        <v/>
      </c>
      <c r="C1951" s="53"/>
      <c r="D1951" s="53"/>
      <c r="E1951" s="53"/>
      <c r="F1951" s="53"/>
      <c r="G1951" s="53"/>
      <c r="H1951" s="53"/>
      <c r="I1951" s="53"/>
    </row>
    <row r="1952" customFormat="false" ht="3" hidden="false" customHeight="true" outlineLevel="0" collapsed="false"/>
    <row r="1953" customFormat="false" ht="15" hidden="false" customHeight="true" outlineLevel="0" collapsed="false">
      <c r="C1953" s="56" t="str">
        <f aca="false">IF(助手收入!$R$132&lt;&gt;"",INDEX(助手收入!$B$2:$B$66,助手收入!$R$132),"")</f>
        <v/>
      </c>
      <c r="D1953" s="57" t="str">
        <f aca="false">IF(助手收入!$R$132&lt;&gt;"",参数!$B$2,"")</f>
        <v/>
      </c>
      <c r="E1953" s="57"/>
      <c r="F1953" s="58" t="str">
        <f aca="false">IF(助手收入!$R$132&lt;&gt;"",INDEX(助手收入!$C$2:$C$66,助手收入!$R$132)&amp;"  字第 "&amp;IF(参数!$B$9="是",INDEX(助手收入!$P$2:$P$66,助手收入!$R$132),"　　　　")&amp;" 号"&amp;IF(INDEX(助手收入!$L$2:$L$66,助手收入!$R$132)&gt;1,"  (共"&amp;INDEX(助手收入!$L$2:$L$66,助手收入!$R$132)&amp;"页 第"&amp;助手收入!$S$132&amp;"页)",""),"")</f>
        <v/>
      </c>
      <c r="G1953" s="58"/>
      <c r="H1953" s="58"/>
      <c r="I1953" s="58"/>
      <c r="M1953" s="79" t="str">
        <f aca="false">IF(助手收入!$R$132="","",助手收入!$Q$132)</f>
        <v/>
      </c>
      <c r="N1953" s="80" t="str">
        <f aca="false">IF(助手收入!$R$132="","",INDEX(助手收入!$P$2:$P$66,助手收入!$R$132))</f>
        <v/>
      </c>
      <c r="O1953" s="55" t="str">
        <f aca="false">IF(助手收入!$R$132="","",INDEX(助手收入!$C$2:$C$66,助手收入!$R$132)&amp;"  字第 "&amp;INDEX(助手收入!$P$2:$P$66,助手收入!$R$132)&amp;" 号"&amp;IF(INDEX(助手收入!$L$2:$L$66,助手收入!$R$132)&gt;1,"  (共"&amp;INDEX(助手收入!$L$2:$L$66,助手收入!$R$132)&amp;"页 第"&amp;助手收入!$S$132&amp;"页)",""))</f>
        <v/>
      </c>
    </row>
    <row r="1954" customFormat="false" ht="12.75" hidden="false" customHeight="true" outlineLevel="0" collapsed="false">
      <c r="B1954" s="61" t="str">
        <f aca="false">IF(助手收入!$R$132&lt;&gt;"","摘　　要","")</f>
        <v/>
      </c>
      <c r="C1954" s="61"/>
      <c r="D1954" s="62" t="str">
        <f aca="false">IF(助手收入!$R$132&lt;&gt;"","科　　　　目","")</f>
        <v/>
      </c>
      <c r="E1954" s="62"/>
      <c r="F1954" s="61" t="str">
        <f aca="false">IF(助手收入!$R$132&lt;&gt;"","借 方 金 额","")</f>
        <v/>
      </c>
      <c r="G1954" s="62" t="str">
        <f aca="false">IF(助手收入!$R$132&lt;&gt;"","贷 方 金 额","")</f>
        <v/>
      </c>
      <c r="H1954" s="63" t="str">
        <f aca="false">IF(助手收入!$R$132&lt;&gt;"","√","")</f>
        <v/>
      </c>
      <c r="I1954" s="64" t="str">
        <f aca="false">IF(助手收入!$R$132&lt;&gt;"","附单据  张","")</f>
        <v/>
      </c>
    </row>
    <row r="1955" customFormat="false" ht="12.75" hidden="false" customHeight="true" outlineLevel="0" collapsed="false">
      <c r="B1955" s="61"/>
      <c r="C1955" s="61"/>
      <c r="D1955" s="23" t="str">
        <f aca="false">IF(助手收入!$R$132&lt;&gt;"","总 账 科 目","")</f>
        <v/>
      </c>
      <c r="E1955" s="23" t="str">
        <f aca="false">IF(助手收入!$R$132&lt;&gt;"","明 细 科 目","")</f>
        <v/>
      </c>
      <c r="F1955" s="65"/>
      <c r="G1955" s="66"/>
      <c r="H1955" s="63"/>
      <c r="I1955" s="64"/>
    </row>
    <row r="1956" customFormat="false" ht="23.25" hidden="false" customHeight="true" outlineLevel="0" collapsed="false">
      <c r="B1956" s="67" t="str">
        <f aca="false">IFERROR(INDEX(分录收入!$M:$M,MATCH($L1956,分录收入!$L:$L,0)),"")</f>
        <v/>
      </c>
      <c r="C1956" s="67"/>
      <c r="D1956" s="23" t="str">
        <f aca="false">IFERROR(INDEX(分录收入!$E:$E,MATCH($L1956,分录收入!$L:$L,0)),"")</f>
        <v/>
      </c>
      <c r="E1956" s="23" t="str">
        <f aca="false">IFERROR(INDEX(分录收入!$F:$F,MATCH($L1956,分录收入!$L:$L,0)),"")</f>
        <v/>
      </c>
      <c r="F1956" s="68" t="str">
        <f aca="false">IFERROR(INDEX(分录收入!$H:$H,MATCH($L1956,分录收入!$L:$L,0)),"")</f>
        <v/>
      </c>
      <c r="G1956" s="69" t="str">
        <f aca="false">IFERROR(INDEX(分录收入!$I:$I,MATCH($L1956,分录收入!$L:$L,0)),"")</f>
        <v/>
      </c>
      <c r="H1956" s="23"/>
      <c r="I1956" s="70"/>
      <c r="L1956" s="71" t="n">
        <f aca="false">IF(助手收入!$R$132="",-1,助手收入!$R$132*100+(助手收入!$S$132-1)*6+1)</f>
        <v>-1</v>
      </c>
    </row>
    <row r="1957" customFormat="false" ht="23.25" hidden="false" customHeight="true" outlineLevel="0" collapsed="false">
      <c r="B1957" s="67" t="str">
        <f aca="false">""</f>
        <v/>
      </c>
      <c r="C1957" s="67"/>
      <c r="D1957" s="23" t="str">
        <f aca="false">IFERROR(INDEX(分录收入!$E:$E,MATCH($L1957,分录收入!$L:$L,0)),"")</f>
        <v/>
      </c>
      <c r="E1957" s="23" t="str">
        <f aca="false">IFERROR(INDEX(分录收入!$F:$F,MATCH($L1957,分录收入!$L:$L,0)),"")</f>
        <v/>
      </c>
      <c r="F1957" s="68" t="str">
        <f aca="false">IFERROR(INDEX(分录收入!$H:$H,MATCH($L1957,分录收入!$L:$L,0)),"")</f>
        <v/>
      </c>
      <c r="G1957" s="69" t="str">
        <f aca="false">IFERROR(INDEX(分录收入!$I:$I,MATCH($L1957,分录收入!$L:$L,0)),"")</f>
        <v/>
      </c>
      <c r="H1957" s="23"/>
      <c r="I1957" s="70"/>
      <c r="L1957" s="71" t="n">
        <f aca="false">IF(助手收入!$R$132="",-1,助手收入!$R$132*100+(助手收入!$S$132-1)*6+2)</f>
        <v>-1</v>
      </c>
    </row>
    <row r="1958" customFormat="false" ht="23.25" hidden="false" customHeight="true" outlineLevel="0" collapsed="false">
      <c r="B1958" s="67" t="str">
        <f aca="false">""</f>
        <v/>
      </c>
      <c r="C1958" s="67"/>
      <c r="D1958" s="23" t="str">
        <f aca="false">IFERROR(INDEX(分录收入!$E:$E,MATCH($L1958,分录收入!$L:$L,0)),"")</f>
        <v/>
      </c>
      <c r="E1958" s="23" t="str">
        <f aca="false">IFERROR(INDEX(分录收入!$F:$F,MATCH($L1958,分录收入!$L:$L,0)),"")</f>
        <v/>
      </c>
      <c r="F1958" s="68" t="str">
        <f aca="false">IFERROR(INDEX(分录收入!$H:$H,MATCH($L1958,分录收入!$L:$L,0)),"")</f>
        <v/>
      </c>
      <c r="G1958" s="69" t="str">
        <f aca="false">IFERROR(INDEX(分录收入!$I:$I,MATCH($L1958,分录收入!$L:$L,0)),"")</f>
        <v/>
      </c>
      <c r="H1958" s="23"/>
      <c r="I1958" s="70"/>
      <c r="L1958" s="71" t="n">
        <f aca="false">IF(助手收入!$R$132="",-1,助手收入!$R$132*100+(助手收入!$S$132-1)*6+3)</f>
        <v>-1</v>
      </c>
    </row>
    <row r="1959" customFormat="false" ht="23.25" hidden="false" customHeight="true" outlineLevel="0" collapsed="false">
      <c r="B1959" s="67" t="str">
        <f aca="false">""</f>
        <v/>
      </c>
      <c r="C1959" s="67"/>
      <c r="D1959" s="23" t="str">
        <f aca="false">IFERROR(INDEX(分录收入!$E:$E,MATCH($L1959,分录收入!$L:$L,0)),"")</f>
        <v/>
      </c>
      <c r="E1959" s="23" t="str">
        <f aca="false">IFERROR(INDEX(分录收入!$F:$F,MATCH($L1959,分录收入!$L:$L,0)),"")</f>
        <v/>
      </c>
      <c r="F1959" s="68" t="str">
        <f aca="false">IFERROR(INDEX(分录收入!$H:$H,MATCH($L1959,分录收入!$L:$L,0)),"")</f>
        <v/>
      </c>
      <c r="G1959" s="69" t="str">
        <f aca="false">IFERROR(INDEX(分录收入!$I:$I,MATCH($L1959,分录收入!$L:$L,0)),"")</f>
        <v/>
      </c>
      <c r="H1959" s="23"/>
      <c r="I1959" s="70"/>
      <c r="L1959" s="71" t="n">
        <f aca="false">IF(助手收入!$R$132="",-1,助手收入!$R$132*100+(助手收入!$S$132-1)*6+4)</f>
        <v>-1</v>
      </c>
    </row>
    <row r="1960" customFormat="false" ht="23.25" hidden="false" customHeight="true" outlineLevel="0" collapsed="false">
      <c r="B1960" s="67" t="str">
        <f aca="false">""</f>
        <v/>
      </c>
      <c r="C1960" s="67"/>
      <c r="D1960" s="23" t="str">
        <f aca="false">IFERROR(INDEX(分录收入!$E:$E,MATCH($L1960,分录收入!$L:$L,0)),"")</f>
        <v/>
      </c>
      <c r="E1960" s="23" t="str">
        <f aca="false">IFERROR(INDEX(分录收入!$F:$F,MATCH($L1960,分录收入!$L:$L,0)),"")</f>
        <v/>
      </c>
      <c r="F1960" s="68" t="str">
        <f aca="false">IFERROR(INDEX(分录收入!$H:$H,MATCH($L1960,分录收入!$L:$L,0)),"")</f>
        <v/>
      </c>
      <c r="G1960" s="69" t="str">
        <f aca="false">IFERROR(INDEX(分录收入!$I:$I,MATCH($L1960,分录收入!$L:$L,0)),"")</f>
        <v/>
      </c>
      <c r="H1960" s="23"/>
      <c r="I1960" s="70"/>
      <c r="L1960" s="71" t="n">
        <f aca="false">IF(助手收入!$R$132="",-1,助手收入!$R$132*100+(助手收入!$S$132-1)*6+5)</f>
        <v>-1</v>
      </c>
    </row>
    <row r="1961" customFormat="false" ht="23.25" hidden="false" customHeight="true" outlineLevel="0" collapsed="false">
      <c r="B1961" s="67" t="str">
        <f aca="false">""</f>
        <v/>
      </c>
      <c r="C1961" s="67"/>
      <c r="D1961" s="23" t="str">
        <f aca="false">IFERROR(INDEX(分录收入!$E:$E,MATCH($L1961,分录收入!$L:$L,0)),"")</f>
        <v/>
      </c>
      <c r="E1961" s="23" t="str">
        <f aca="false">IFERROR(INDEX(分录收入!$F:$F,MATCH($L1961,分录收入!$L:$L,0)),"")</f>
        <v/>
      </c>
      <c r="F1961" s="68" t="str">
        <f aca="false">IFERROR(INDEX(分录收入!$H:$H,MATCH($L1961,分录收入!$L:$L,0)),"")</f>
        <v/>
      </c>
      <c r="G1961" s="69" t="str">
        <f aca="false">IFERROR(INDEX(分录收入!$I:$I,MATCH($L1961,分录收入!$L:$L,0)),"")</f>
        <v/>
      </c>
      <c r="H1961" s="23"/>
      <c r="I1961" s="70"/>
      <c r="L1961" s="71" t="n">
        <f aca="false">IF(助手收入!$R$132="",-1,助手收入!$R$132*100+(助手收入!$S$132-1)*6+6)</f>
        <v>-1</v>
      </c>
    </row>
    <row r="1962" customFormat="false" ht="23.25" hidden="false" customHeight="true" outlineLevel="0" collapsed="false">
      <c r="B1962" s="72" t="str">
        <f aca="false">IF(助手收入!$T$132=1,"合计：","")</f>
        <v/>
      </c>
      <c r="C1962" s="73" t="str">
        <f aca="false">IF(助手收入!$T$132=1,$F1962,"")</f>
        <v/>
      </c>
      <c r="D1962" s="74"/>
      <c r="E1962" s="74"/>
      <c r="F1962" s="75" t="str">
        <f aca="false">IF(助手收入!$T$132=1,INDEX(助手收入!$N$2:$N$66,助手收入!$R$132),"")</f>
        <v/>
      </c>
      <c r="G1962" s="76" t="str">
        <f aca="false">IF(助手收入!$T$132=1,INDEX(助手收入!$O$2:$O$66,助手收入!$R$132),"")</f>
        <v/>
      </c>
      <c r="H1962" s="74"/>
      <c r="I1962" s="77"/>
    </row>
    <row r="1963" customFormat="false" ht="6" hidden="false" customHeight="true" outlineLevel="0" collapsed="false"/>
    <row r="1964" customFormat="false" ht="13.5" hidden="false" customHeight="false" outlineLevel="0" collapsed="false">
      <c r="B1964" s="78" t="str">
        <f aca="false">IF(助手收入!$R$132&lt;&gt;"","会计主管：","")</f>
        <v/>
      </c>
      <c r="D1964" s="78" t="str">
        <f aca="false">IF(助手收入!$R$132&lt;&gt;"","会计：","")</f>
        <v/>
      </c>
      <c r="E1964" s="78" t="str">
        <f aca="false">IF(助手收入!$R$132&lt;&gt;"","出纳：","")</f>
        <v/>
      </c>
      <c r="F1964" s="78" t="str">
        <f aca="false">IF(助手收入!$R$132&lt;&gt;"","复核：","")</f>
        <v/>
      </c>
      <c r="G1964" s="78" t="str">
        <f aca="false">IF(助手收入!$R$132&lt;&gt;"","制单：","")</f>
        <v/>
      </c>
    </row>
    <row r="1965" customFormat="false" ht="3" hidden="false" customHeight="true" outlineLevel="0" collapsed="false"/>
    <row r="1966" customFormat="false" ht="19.5" hidden="false" customHeight="true" outlineLevel="0" collapsed="false">
      <c r="B1966" s="53" t="str">
        <f aca="false">IF(助手收入!$R$133&lt;&gt;"","记  账  凭  证","")</f>
        <v/>
      </c>
      <c r="C1966" s="53"/>
      <c r="D1966" s="53"/>
      <c r="E1966" s="53"/>
      <c r="F1966" s="53"/>
      <c r="G1966" s="53"/>
      <c r="H1966" s="53"/>
      <c r="I1966" s="53"/>
    </row>
    <row r="1967" customFormat="false" ht="3" hidden="false" customHeight="true" outlineLevel="0" collapsed="false"/>
    <row r="1968" customFormat="false" ht="15" hidden="false" customHeight="true" outlineLevel="0" collapsed="false">
      <c r="C1968" s="56" t="str">
        <f aca="false">IF(助手收入!$R$133&lt;&gt;"",INDEX(助手收入!$B$2:$B$66,助手收入!$R$133),"")</f>
        <v/>
      </c>
      <c r="D1968" s="57" t="str">
        <f aca="false">IF(助手收入!$R$133&lt;&gt;"",参数!$B$2,"")</f>
        <v/>
      </c>
      <c r="E1968" s="57"/>
      <c r="F1968" s="58" t="str">
        <f aca="false">IF(助手收入!$R$133&lt;&gt;"",INDEX(助手收入!$C$2:$C$66,助手收入!$R$133)&amp;"  字第 "&amp;IF(参数!$B$9="是",INDEX(助手收入!$P$2:$P$66,助手收入!$R$133),"　　　　")&amp;" 号"&amp;IF(INDEX(助手收入!$L$2:$L$66,助手收入!$R$133)&gt;1,"  (共"&amp;INDEX(助手收入!$L$2:$L$66,助手收入!$R$133)&amp;"页 第"&amp;助手收入!$S$133&amp;"页)",""),"")</f>
        <v/>
      </c>
      <c r="G1968" s="58"/>
      <c r="H1968" s="58"/>
      <c r="I1968" s="58"/>
      <c r="M1968" s="79" t="str">
        <f aca="false">IF(助手收入!$R$133="","",助手收入!$Q$133)</f>
        <v/>
      </c>
      <c r="N1968" s="80" t="str">
        <f aca="false">IF(助手收入!$R$133="","",INDEX(助手收入!$P$2:$P$66,助手收入!$R$133))</f>
        <v/>
      </c>
      <c r="O1968" s="55" t="str">
        <f aca="false">IF(助手收入!$R$133="","",INDEX(助手收入!$C$2:$C$66,助手收入!$R$133)&amp;"  字第 "&amp;INDEX(助手收入!$P$2:$P$66,助手收入!$R$133)&amp;" 号"&amp;IF(INDEX(助手收入!$L$2:$L$66,助手收入!$R$133)&gt;1,"  (共"&amp;INDEX(助手收入!$L$2:$L$66,助手收入!$R$133)&amp;"页 第"&amp;助手收入!$S$133&amp;"页)",""))</f>
        <v/>
      </c>
    </row>
    <row r="1969" customFormat="false" ht="12.75" hidden="false" customHeight="true" outlineLevel="0" collapsed="false">
      <c r="B1969" s="61" t="str">
        <f aca="false">IF(助手收入!$R$133&lt;&gt;"","摘　　要","")</f>
        <v/>
      </c>
      <c r="C1969" s="61"/>
      <c r="D1969" s="62" t="str">
        <f aca="false">IF(助手收入!$R$133&lt;&gt;"","科　　　　目","")</f>
        <v/>
      </c>
      <c r="E1969" s="62"/>
      <c r="F1969" s="61" t="str">
        <f aca="false">IF(助手收入!$R$133&lt;&gt;"","借 方 金 额","")</f>
        <v/>
      </c>
      <c r="G1969" s="62" t="str">
        <f aca="false">IF(助手收入!$R$133&lt;&gt;"","贷 方 金 额","")</f>
        <v/>
      </c>
      <c r="H1969" s="63" t="str">
        <f aca="false">IF(助手收入!$R$133&lt;&gt;"","√","")</f>
        <v/>
      </c>
      <c r="I1969" s="64" t="str">
        <f aca="false">IF(助手收入!$R$133&lt;&gt;"","附单据  张","")</f>
        <v/>
      </c>
    </row>
    <row r="1970" customFormat="false" ht="12.75" hidden="false" customHeight="true" outlineLevel="0" collapsed="false">
      <c r="B1970" s="61"/>
      <c r="C1970" s="61"/>
      <c r="D1970" s="23" t="str">
        <f aca="false">IF(助手收入!$R$133&lt;&gt;"","总 账 科 目","")</f>
        <v/>
      </c>
      <c r="E1970" s="23" t="str">
        <f aca="false">IF(助手收入!$R$133&lt;&gt;"","明 细 科 目","")</f>
        <v/>
      </c>
      <c r="F1970" s="65"/>
      <c r="G1970" s="66"/>
      <c r="H1970" s="63"/>
      <c r="I1970" s="64"/>
    </row>
    <row r="1971" customFormat="false" ht="23.25" hidden="false" customHeight="true" outlineLevel="0" collapsed="false">
      <c r="B1971" s="67" t="str">
        <f aca="false">IFERROR(INDEX(分录收入!$M:$M,MATCH($L1971,分录收入!$L:$L,0)),"")</f>
        <v/>
      </c>
      <c r="C1971" s="67"/>
      <c r="D1971" s="23" t="str">
        <f aca="false">IFERROR(INDEX(分录收入!$E:$E,MATCH($L1971,分录收入!$L:$L,0)),"")</f>
        <v/>
      </c>
      <c r="E1971" s="23" t="str">
        <f aca="false">IFERROR(INDEX(分录收入!$F:$F,MATCH($L1971,分录收入!$L:$L,0)),"")</f>
        <v/>
      </c>
      <c r="F1971" s="68" t="str">
        <f aca="false">IFERROR(INDEX(分录收入!$H:$H,MATCH($L1971,分录收入!$L:$L,0)),"")</f>
        <v/>
      </c>
      <c r="G1971" s="69" t="str">
        <f aca="false">IFERROR(INDEX(分录收入!$I:$I,MATCH($L1971,分录收入!$L:$L,0)),"")</f>
        <v/>
      </c>
      <c r="H1971" s="23"/>
      <c r="I1971" s="70"/>
      <c r="L1971" s="71" t="n">
        <f aca="false">IF(助手收入!$R$133="",-1,助手收入!$R$133*100+(助手收入!$S$133-1)*6+1)</f>
        <v>-1</v>
      </c>
    </row>
    <row r="1972" customFormat="false" ht="23.25" hidden="false" customHeight="true" outlineLevel="0" collapsed="false">
      <c r="B1972" s="67" t="str">
        <f aca="false">""</f>
        <v/>
      </c>
      <c r="C1972" s="67"/>
      <c r="D1972" s="23" t="str">
        <f aca="false">IFERROR(INDEX(分录收入!$E:$E,MATCH($L1972,分录收入!$L:$L,0)),"")</f>
        <v/>
      </c>
      <c r="E1972" s="23" t="str">
        <f aca="false">IFERROR(INDEX(分录收入!$F:$F,MATCH($L1972,分录收入!$L:$L,0)),"")</f>
        <v/>
      </c>
      <c r="F1972" s="68" t="str">
        <f aca="false">IFERROR(INDEX(分录收入!$H:$H,MATCH($L1972,分录收入!$L:$L,0)),"")</f>
        <v/>
      </c>
      <c r="G1972" s="69" t="str">
        <f aca="false">IFERROR(INDEX(分录收入!$I:$I,MATCH($L1972,分录收入!$L:$L,0)),"")</f>
        <v/>
      </c>
      <c r="H1972" s="23"/>
      <c r="I1972" s="70"/>
      <c r="L1972" s="71" t="n">
        <f aca="false">IF(助手收入!$R$133="",-1,助手收入!$R$133*100+(助手收入!$S$133-1)*6+2)</f>
        <v>-1</v>
      </c>
    </row>
    <row r="1973" customFormat="false" ht="23.25" hidden="false" customHeight="true" outlineLevel="0" collapsed="false">
      <c r="B1973" s="67" t="str">
        <f aca="false">""</f>
        <v/>
      </c>
      <c r="C1973" s="67"/>
      <c r="D1973" s="23" t="str">
        <f aca="false">IFERROR(INDEX(分录收入!$E:$E,MATCH($L1973,分录收入!$L:$L,0)),"")</f>
        <v/>
      </c>
      <c r="E1973" s="23" t="str">
        <f aca="false">IFERROR(INDEX(分录收入!$F:$F,MATCH($L1973,分录收入!$L:$L,0)),"")</f>
        <v/>
      </c>
      <c r="F1973" s="68" t="str">
        <f aca="false">IFERROR(INDEX(分录收入!$H:$H,MATCH($L1973,分录收入!$L:$L,0)),"")</f>
        <v/>
      </c>
      <c r="G1973" s="69" t="str">
        <f aca="false">IFERROR(INDEX(分录收入!$I:$I,MATCH($L1973,分录收入!$L:$L,0)),"")</f>
        <v/>
      </c>
      <c r="H1973" s="23"/>
      <c r="I1973" s="70"/>
      <c r="L1973" s="71" t="n">
        <f aca="false">IF(助手收入!$R$133="",-1,助手收入!$R$133*100+(助手收入!$S$133-1)*6+3)</f>
        <v>-1</v>
      </c>
    </row>
    <row r="1974" customFormat="false" ht="23.25" hidden="false" customHeight="true" outlineLevel="0" collapsed="false">
      <c r="B1974" s="67" t="str">
        <f aca="false">""</f>
        <v/>
      </c>
      <c r="C1974" s="67"/>
      <c r="D1974" s="23" t="str">
        <f aca="false">IFERROR(INDEX(分录收入!$E:$E,MATCH($L1974,分录收入!$L:$L,0)),"")</f>
        <v/>
      </c>
      <c r="E1974" s="23" t="str">
        <f aca="false">IFERROR(INDEX(分录收入!$F:$F,MATCH($L1974,分录收入!$L:$L,0)),"")</f>
        <v/>
      </c>
      <c r="F1974" s="68" t="str">
        <f aca="false">IFERROR(INDEX(分录收入!$H:$H,MATCH($L1974,分录收入!$L:$L,0)),"")</f>
        <v/>
      </c>
      <c r="G1974" s="69" t="str">
        <f aca="false">IFERROR(INDEX(分录收入!$I:$I,MATCH($L1974,分录收入!$L:$L,0)),"")</f>
        <v/>
      </c>
      <c r="H1974" s="23"/>
      <c r="I1974" s="70"/>
      <c r="L1974" s="71" t="n">
        <f aca="false">IF(助手收入!$R$133="",-1,助手收入!$R$133*100+(助手收入!$S$133-1)*6+4)</f>
        <v>-1</v>
      </c>
    </row>
    <row r="1975" customFormat="false" ht="23.25" hidden="false" customHeight="true" outlineLevel="0" collapsed="false">
      <c r="B1975" s="67" t="str">
        <f aca="false">""</f>
        <v/>
      </c>
      <c r="C1975" s="67"/>
      <c r="D1975" s="23" t="str">
        <f aca="false">IFERROR(INDEX(分录收入!$E:$E,MATCH($L1975,分录收入!$L:$L,0)),"")</f>
        <v/>
      </c>
      <c r="E1975" s="23" t="str">
        <f aca="false">IFERROR(INDEX(分录收入!$F:$F,MATCH($L1975,分录收入!$L:$L,0)),"")</f>
        <v/>
      </c>
      <c r="F1975" s="68" t="str">
        <f aca="false">IFERROR(INDEX(分录收入!$H:$H,MATCH($L1975,分录收入!$L:$L,0)),"")</f>
        <v/>
      </c>
      <c r="G1975" s="69" t="str">
        <f aca="false">IFERROR(INDEX(分录收入!$I:$I,MATCH($L1975,分录收入!$L:$L,0)),"")</f>
        <v/>
      </c>
      <c r="H1975" s="23"/>
      <c r="I1975" s="70"/>
      <c r="L1975" s="71" t="n">
        <f aca="false">IF(助手收入!$R$133="",-1,助手收入!$R$133*100+(助手收入!$S$133-1)*6+5)</f>
        <v>-1</v>
      </c>
    </row>
    <row r="1976" customFormat="false" ht="23.25" hidden="false" customHeight="true" outlineLevel="0" collapsed="false">
      <c r="B1976" s="67" t="str">
        <f aca="false">""</f>
        <v/>
      </c>
      <c r="C1976" s="67"/>
      <c r="D1976" s="23" t="str">
        <f aca="false">IFERROR(INDEX(分录收入!$E:$E,MATCH($L1976,分录收入!$L:$L,0)),"")</f>
        <v/>
      </c>
      <c r="E1976" s="23" t="str">
        <f aca="false">IFERROR(INDEX(分录收入!$F:$F,MATCH($L1976,分录收入!$L:$L,0)),"")</f>
        <v/>
      </c>
      <c r="F1976" s="68" t="str">
        <f aca="false">IFERROR(INDEX(分录收入!$H:$H,MATCH($L1976,分录收入!$L:$L,0)),"")</f>
        <v/>
      </c>
      <c r="G1976" s="69" t="str">
        <f aca="false">IFERROR(INDEX(分录收入!$I:$I,MATCH($L1976,分录收入!$L:$L,0)),"")</f>
        <v/>
      </c>
      <c r="H1976" s="23"/>
      <c r="I1976" s="70"/>
      <c r="L1976" s="71" t="n">
        <f aca="false">IF(助手收入!$R$133="",-1,助手收入!$R$133*100+(助手收入!$S$133-1)*6+6)</f>
        <v>-1</v>
      </c>
    </row>
    <row r="1977" customFormat="false" ht="23.25" hidden="false" customHeight="true" outlineLevel="0" collapsed="false">
      <c r="B1977" s="72" t="str">
        <f aca="false">IF(助手收入!$T$133=1,"合计：","")</f>
        <v/>
      </c>
      <c r="C1977" s="73" t="str">
        <f aca="false">IF(助手收入!$T$133=1,$F1977,"")</f>
        <v/>
      </c>
      <c r="D1977" s="74"/>
      <c r="E1977" s="74"/>
      <c r="F1977" s="75" t="str">
        <f aca="false">IF(助手收入!$T$133=1,INDEX(助手收入!$N$2:$N$66,助手收入!$R$133),"")</f>
        <v/>
      </c>
      <c r="G1977" s="76" t="str">
        <f aca="false">IF(助手收入!$T$133=1,INDEX(助手收入!$O$2:$O$66,助手收入!$R$133),"")</f>
        <v/>
      </c>
      <c r="H1977" s="74"/>
      <c r="I1977" s="77"/>
    </row>
    <row r="1978" customFormat="false" ht="6" hidden="false" customHeight="true" outlineLevel="0" collapsed="false"/>
    <row r="1979" customFormat="false" ht="13.5" hidden="false" customHeight="false" outlineLevel="0" collapsed="false">
      <c r="B1979" s="78" t="str">
        <f aca="false">IF(助手收入!$R$133&lt;&gt;"","会计主管：","")</f>
        <v/>
      </c>
      <c r="D1979" s="78" t="str">
        <f aca="false">IF(助手收入!$R$133&lt;&gt;"","会计：","")</f>
        <v/>
      </c>
      <c r="E1979" s="78" t="str">
        <f aca="false">IF(助手收入!$R$133&lt;&gt;"","出纳：","")</f>
        <v/>
      </c>
      <c r="F1979" s="78" t="str">
        <f aca="false">IF(助手收入!$R$133&lt;&gt;"","复核：","")</f>
        <v/>
      </c>
      <c r="G1979" s="78" t="str">
        <f aca="false">IF(助手收入!$R$133&lt;&gt;"","制单：","")</f>
        <v/>
      </c>
    </row>
    <row r="1980" customFormat="false" ht="3" hidden="false" customHeight="true" outlineLevel="0" collapsed="false"/>
    <row r="1981" customFormat="false" ht="19.5" hidden="false" customHeight="true" outlineLevel="0" collapsed="false">
      <c r="B1981" s="53" t="str">
        <f aca="false">IF(助手收入!$R$134&lt;&gt;"","记  账  凭  证","")</f>
        <v/>
      </c>
      <c r="C1981" s="53"/>
      <c r="D1981" s="53"/>
      <c r="E1981" s="53"/>
      <c r="F1981" s="53"/>
      <c r="G1981" s="53"/>
      <c r="H1981" s="53"/>
      <c r="I1981" s="53"/>
    </row>
    <row r="1982" customFormat="false" ht="3" hidden="false" customHeight="true" outlineLevel="0" collapsed="false"/>
    <row r="1983" customFormat="false" ht="15" hidden="false" customHeight="true" outlineLevel="0" collapsed="false">
      <c r="C1983" s="56" t="str">
        <f aca="false">IF(助手收入!$R$134&lt;&gt;"",INDEX(助手收入!$B$2:$B$66,助手收入!$R$134),"")</f>
        <v/>
      </c>
      <c r="D1983" s="57" t="str">
        <f aca="false">IF(助手收入!$R$134&lt;&gt;"",参数!$B$2,"")</f>
        <v/>
      </c>
      <c r="E1983" s="57"/>
      <c r="F1983" s="58" t="str">
        <f aca="false">IF(助手收入!$R$134&lt;&gt;"",INDEX(助手收入!$C$2:$C$66,助手收入!$R$134)&amp;"  字第 "&amp;IF(参数!$B$9="是",INDEX(助手收入!$P$2:$P$66,助手收入!$R$134),"　　　　")&amp;" 号"&amp;IF(INDEX(助手收入!$L$2:$L$66,助手收入!$R$134)&gt;1,"  (共"&amp;INDEX(助手收入!$L$2:$L$66,助手收入!$R$134)&amp;"页 第"&amp;助手收入!$S$134&amp;"页)",""),"")</f>
        <v/>
      </c>
      <c r="G1983" s="58"/>
      <c r="H1983" s="58"/>
      <c r="I1983" s="58"/>
      <c r="M1983" s="79" t="str">
        <f aca="false">IF(助手收入!$R$134="","",助手收入!$Q$134)</f>
        <v/>
      </c>
      <c r="N1983" s="80" t="str">
        <f aca="false">IF(助手收入!$R$134="","",INDEX(助手收入!$P$2:$P$66,助手收入!$R$134))</f>
        <v/>
      </c>
      <c r="O1983" s="55" t="str">
        <f aca="false">IF(助手收入!$R$134="","",INDEX(助手收入!$C$2:$C$66,助手收入!$R$134)&amp;"  字第 "&amp;INDEX(助手收入!$P$2:$P$66,助手收入!$R$134)&amp;" 号"&amp;IF(INDEX(助手收入!$L$2:$L$66,助手收入!$R$134)&gt;1,"  (共"&amp;INDEX(助手收入!$L$2:$L$66,助手收入!$R$134)&amp;"页 第"&amp;助手收入!$S$134&amp;"页)",""))</f>
        <v/>
      </c>
    </row>
    <row r="1984" customFormat="false" ht="12.75" hidden="false" customHeight="true" outlineLevel="0" collapsed="false">
      <c r="B1984" s="61" t="str">
        <f aca="false">IF(助手收入!$R$134&lt;&gt;"","摘　　要","")</f>
        <v/>
      </c>
      <c r="C1984" s="61"/>
      <c r="D1984" s="62" t="str">
        <f aca="false">IF(助手收入!$R$134&lt;&gt;"","科　　　　目","")</f>
        <v/>
      </c>
      <c r="E1984" s="62"/>
      <c r="F1984" s="61" t="str">
        <f aca="false">IF(助手收入!$R$134&lt;&gt;"","借 方 金 额","")</f>
        <v/>
      </c>
      <c r="G1984" s="62" t="str">
        <f aca="false">IF(助手收入!$R$134&lt;&gt;"","贷 方 金 额","")</f>
        <v/>
      </c>
      <c r="H1984" s="63" t="str">
        <f aca="false">IF(助手收入!$R$134&lt;&gt;"","√","")</f>
        <v/>
      </c>
      <c r="I1984" s="64" t="str">
        <f aca="false">IF(助手收入!$R$134&lt;&gt;"","附单据  张","")</f>
        <v/>
      </c>
    </row>
    <row r="1985" customFormat="false" ht="12.75" hidden="false" customHeight="true" outlineLevel="0" collapsed="false">
      <c r="B1985" s="61"/>
      <c r="C1985" s="61"/>
      <c r="D1985" s="23" t="str">
        <f aca="false">IF(助手收入!$R$134&lt;&gt;"","总 账 科 目","")</f>
        <v/>
      </c>
      <c r="E1985" s="23" t="str">
        <f aca="false">IF(助手收入!$R$134&lt;&gt;"","明 细 科 目","")</f>
        <v/>
      </c>
      <c r="F1985" s="65"/>
      <c r="G1985" s="66"/>
      <c r="H1985" s="63"/>
      <c r="I1985" s="64"/>
    </row>
    <row r="1986" customFormat="false" ht="23.25" hidden="false" customHeight="true" outlineLevel="0" collapsed="false">
      <c r="B1986" s="67" t="str">
        <f aca="false">IFERROR(INDEX(分录收入!$M:$M,MATCH($L1986,分录收入!$L:$L,0)),"")</f>
        <v/>
      </c>
      <c r="C1986" s="67"/>
      <c r="D1986" s="23" t="str">
        <f aca="false">IFERROR(INDEX(分录收入!$E:$E,MATCH($L1986,分录收入!$L:$L,0)),"")</f>
        <v/>
      </c>
      <c r="E1986" s="23" t="str">
        <f aca="false">IFERROR(INDEX(分录收入!$F:$F,MATCH($L1986,分录收入!$L:$L,0)),"")</f>
        <v/>
      </c>
      <c r="F1986" s="68" t="str">
        <f aca="false">IFERROR(INDEX(分录收入!$H:$H,MATCH($L1986,分录收入!$L:$L,0)),"")</f>
        <v/>
      </c>
      <c r="G1986" s="69" t="str">
        <f aca="false">IFERROR(INDEX(分录收入!$I:$I,MATCH($L1986,分录收入!$L:$L,0)),"")</f>
        <v/>
      </c>
      <c r="H1986" s="23"/>
      <c r="I1986" s="70"/>
      <c r="L1986" s="71" t="n">
        <f aca="false">IF(助手收入!$R$134="",-1,助手收入!$R$134*100+(助手收入!$S$134-1)*6+1)</f>
        <v>-1</v>
      </c>
    </row>
    <row r="1987" customFormat="false" ht="23.25" hidden="false" customHeight="true" outlineLevel="0" collapsed="false">
      <c r="B1987" s="67" t="str">
        <f aca="false">""</f>
        <v/>
      </c>
      <c r="C1987" s="67"/>
      <c r="D1987" s="23" t="str">
        <f aca="false">IFERROR(INDEX(分录收入!$E:$E,MATCH($L1987,分录收入!$L:$L,0)),"")</f>
        <v/>
      </c>
      <c r="E1987" s="23" t="str">
        <f aca="false">IFERROR(INDEX(分录收入!$F:$F,MATCH($L1987,分录收入!$L:$L,0)),"")</f>
        <v/>
      </c>
      <c r="F1987" s="68" t="str">
        <f aca="false">IFERROR(INDEX(分录收入!$H:$H,MATCH($L1987,分录收入!$L:$L,0)),"")</f>
        <v/>
      </c>
      <c r="G1987" s="69" t="str">
        <f aca="false">IFERROR(INDEX(分录收入!$I:$I,MATCH($L1987,分录收入!$L:$L,0)),"")</f>
        <v/>
      </c>
      <c r="H1987" s="23"/>
      <c r="I1987" s="70"/>
      <c r="L1987" s="71" t="n">
        <f aca="false">IF(助手收入!$R$134="",-1,助手收入!$R$134*100+(助手收入!$S$134-1)*6+2)</f>
        <v>-1</v>
      </c>
    </row>
    <row r="1988" customFormat="false" ht="23.25" hidden="false" customHeight="true" outlineLevel="0" collapsed="false">
      <c r="B1988" s="67" t="str">
        <f aca="false">""</f>
        <v/>
      </c>
      <c r="C1988" s="67"/>
      <c r="D1988" s="23" t="str">
        <f aca="false">IFERROR(INDEX(分录收入!$E:$E,MATCH($L1988,分录收入!$L:$L,0)),"")</f>
        <v/>
      </c>
      <c r="E1988" s="23" t="str">
        <f aca="false">IFERROR(INDEX(分录收入!$F:$F,MATCH($L1988,分录收入!$L:$L,0)),"")</f>
        <v/>
      </c>
      <c r="F1988" s="68" t="str">
        <f aca="false">IFERROR(INDEX(分录收入!$H:$H,MATCH($L1988,分录收入!$L:$L,0)),"")</f>
        <v/>
      </c>
      <c r="G1988" s="69" t="str">
        <f aca="false">IFERROR(INDEX(分录收入!$I:$I,MATCH($L1988,分录收入!$L:$L,0)),"")</f>
        <v/>
      </c>
      <c r="H1988" s="23"/>
      <c r="I1988" s="70"/>
      <c r="L1988" s="71" t="n">
        <f aca="false">IF(助手收入!$R$134="",-1,助手收入!$R$134*100+(助手收入!$S$134-1)*6+3)</f>
        <v>-1</v>
      </c>
    </row>
    <row r="1989" customFormat="false" ht="23.25" hidden="false" customHeight="true" outlineLevel="0" collapsed="false">
      <c r="B1989" s="67" t="str">
        <f aca="false">""</f>
        <v/>
      </c>
      <c r="C1989" s="67"/>
      <c r="D1989" s="23" t="str">
        <f aca="false">IFERROR(INDEX(分录收入!$E:$E,MATCH($L1989,分录收入!$L:$L,0)),"")</f>
        <v/>
      </c>
      <c r="E1989" s="23" t="str">
        <f aca="false">IFERROR(INDEX(分录收入!$F:$F,MATCH($L1989,分录收入!$L:$L,0)),"")</f>
        <v/>
      </c>
      <c r="F1989" s="68" t="str">
        <f aca="false">IFERROR(INDEX(分录收入!$H:$H,MATCH($L1989,分录收入!$L:$L,0)),"")</f>
        <v/>
      </c>
      <c r="G1989" s="69" t="str">
        <f aca="false">IFERROR(INDEX(分录收入!$I:$I,MATCH($L1989,分录收入!$L:$L,0)),"")</f>
        <v/>
      </c>
      <c r="H1989" s="23"/>
      <c r="I1989" s="70"/>
      <c r="L1989" s="71" t="n">
        <f aca="false">IF(助手收入!$R$134="",-1,助手收入!$R$134*100+(助手收入!$S$134-1)*6+4)</f>
        <v>-1</v>
      </c>
    </row>
    <row r="1990" customFormat="false" ht="23.25" hidden="false" customHeight="true" outlineLevel="0" collapsed="false">
      <c r="B1990" s="67" t="str">
        <f aca="false">""</f>
        <v/>
      </c>
      <c r="C1990" s="67"/>
      <c r="D1990" s="23" t="str">
        <f aca="false">IFERROR(INDEX(分录收入!$E:$E,MATCH($L1990,分录收入!$L:$L,0)),"")</f>
        <v/>
      </c>
      <c r="E1990" s="23" t="str">
        <f aca="false">IFERROR(INDEX(分录收入!$F:$F,MATCH($L1990,分录收入!$L:$L,0)),"")</f>
        <v/>
      </c>
      <c r="F1990" s="68" t="str">
        <f aca="false">IFERROR(INDEX(分录收入!$H:$H,MATCH($L1990,分录收入!$L:$L,0)),"")</f>
        <v/>
      </c>
      <c r="G1990" s="69" t="str">
        <f aca="false">IFERROR(INDEX(分录收入!$I:$I,MATCH($L1990,分录收入!$L:$L,0)),"")</f>
        <v/>
      </c>
      <c r="H1990" s="23"/>
      <c r="I1990" s="70"/>
      <c r="L1990" s="71" t="n">
        <f aca="false">IF(助手收入!$R$134="",-1,助手收入!$R$134*100+(助手收入!$S$134-1)*6+5)</f>
        <v>-1</v>
      </c>
    </row>
    <row r="1991" customFormat="false" ht="23.25" hidden="false" customHeight="true" outlineLevel="0" collapsed="false">
      <c r="B1991" s="67" t="str">
        <f aca="false">""</f>
        <v/>
      </c>
      <c r="C1991" s="67"/>
      <c r="D1991" s="23" t="str">
        <f aca="false">IFERROR(INDEX(分录收入!$E:$E,MATCH($L1991,分录收入!$L:$L,0)),"")</f>
        <v/>
      </c>
      <c r="E1991" s="23" t="str">
        <f aca="false">IFERROR(INDEX(分录收入!$F:$F,MATCH($L1991,分录收入!$L:$L,0)),"")</f>
        <v/>
      </c>
      <c r="F1991" s="68" t="str">
        <f aca="false">IFERROR(INDEX(分录收入!$H:$H,MATCH($L1991,分录收入!$L:$L,0)),"")</f>
        <v/>
      </c>
      <c r="G1991" s="69" t="str">
        <f aca="false">IFERROR(INDEX(分录收入!$I:$I,MATCH($L1991,分录收入!$L:$L,0)),"")</f>
        <v/>
      </c>
      <c r="H1991" s="23"/>
      <c r="I1991" s="70"/>
      <c r="L1991" s="71" t="n">
        <f aca="false">IF(助手收入!$R$134="",-1,助手收入!$R$134*100+(助手收入!$S$134-1)*6+6)</f>
        <v>-1</v>
      </c>
    </row>
    <row r="1992" customFormat="false" ht="23.25" hidden="false" customHeight="true" outlineLevel="0" collapsed="false">
      <c r="B1992" s="72" t="str">
        <f aca="false">IF(助手收入!$T$134=1,"合计：","")</f>
        <v/>
      </c>
      <c r="C1992" s="73" t="str">
        <f aca="false">IF(助手收入!$T$134=1,$F1992,"")</f>
        <v/>
      </c>
      <c r="D1992" s="74"/>
      <c r="E1992" s="74"/>
      <c r="F1992" s="75" t="str">
        <f aca="false">IF(助手收入!$T$134=1,INDEX(助手收入!$N$2:$N$66,助手收入!$R$134),"")</f>
        <v/>
      </c>
      <c r="G1992" s="76" t="str">
        <f aca="false">IF(助手收入!$T$134=1,INDEX(助手收入!$O$2:$O$66,助手收入!$R$134),"")</f>
        <v/>
      </c>
      <c r="H1992" s="74"/>
      <c r="I1992" s="77"/>
    </row>
    <row r="1993" customFormat="false" ht="6" hidden="false" customHeight="true" outlineLevel="0" collapsed="false"/>
    <row r="1994" customFormat="false" ht="13.5" hidden="false" customHeight="false" outlineLevel="0" collapsed="false">
      <c r="B1994" s="78" t="str">
        <f aca="false">IF(助手收入!$R$134&lt;&gt;"","会计主管：","")</f>
        <v/>
      </c>
      <c r="D1994" s="78" t="str">
        <f aca="false">IF(助手收入!$R$134&lt;&gt;"","会计：","")</f>
        <v/>
      </c>
      <c r="E1994" s="78" t="str">
        <f aca="false">IF(助手收入!$R$134&lt;&gt;"","出纳：","")</f>
        <v/>
      </c>
      <c r="F1994" s="78" t="str">
        <f aca="false">IF(助手收入!$R$134&lt;&gt;"","复核：","")</f>
        <v/>
      </c>
      <c r="G1994" s="78" t="str">
        <f aca="false">IF(助手收入!$R$134&lt;&gt;"","制单：","")</f>
        <v/>
      </c>
    </row>
    <row r="1995" customFormat="false" ht="3" hidden="false" customHeight="true" outlineLevel="0" collapsed="false"/>
    <row r="1996" customFormat="false" ht="19.5" hidden="false" customHeight="true" outlineLevel="0" collapsed="false">
      <c r="B1996" s="53" t="str">
        <f aca="false">IF(助手收入!$R$135&lt;&gt;"","记  账  凭  证","")</f>
        <v/>
      </c>
      <c r="C1996" s="53"/>
      <c r="D1996" s="53"/>
      <c r="E1996" s="53"/>
      <c r="F1996" s="53"/>
      <c r="G1996" s="53"/>
      <c r="H1996" s="53"/>
      <c r="I1996" s="53"/>
    </row>
    <row r="1997" customFormat="false" ht="3" hidden="false" customHeight="true" outlineLevel="0" collapsed="false"/>
    <row r="1998" customFormat="false" ht="15" hidden="false" customHeight="true" outlineLevel="0" collapsed="false">
      <c r="C1998" s="56" t="str">
        <f aca="false">IF(助手收入!$R$135&lt;&gt;"",INDEX(助手收入!$B$2:$B$66,助手收入!$R$135),"")</f>
        <v/>
      </c>
      <c r="D1998" s="57" t="str">
        <f aca="false">IF(助手收入!$R$135&lt;&gt;"",参数!$B$2,"")</f>
        <v/>
      </c>
      <c r="E1998" s="57"/>
      <c r="F1998" s="58" t="str">
        <f aca="false">IF(助手收入!$R$135&lt;&gt;"",INDEX(助手收入!$C$2:$C$66,助手收入!$R$135)&amp;"  字第 "&amp;IF(参数!$B$9="是",INDEX(助手收入!$P$2:$P$66,助手收入!$R$135),"　　　　")&amp;" 号"&amp;IF(INDEX(助手收入!$L$2:$L$66,助手收入!$R$135)&gt;1,"  (共"&amp;INDEX(助手收入!$L$2:$L$66,助手收入!$R$135)&amp;"页 第"&amp;助手收入!$S$135&amp;"页)",""),"")</f>
        <v/>
      </c>
      <c r="G1998" s="58"/>
      <c r="H1998" s="58"/>
      <c r="I1998" s="58"/>
      <c r="M1998" s="79" t="str">
        <f aca="false">IF(助手收入!$R$135="","",助手收入!$Q$135)</f>
        <v/>
      </c>
      <c r="N1998" s="80" t="str">
        <f aca="false">IF(助手收入!$R$135="","",INDEX(助手收入!$P$2:$P$66,助手收入!$R$135))</f>
        <v/>
      </c>
      <c r="O1998" s="55" t="str">
        <f aca="false">IF(助手收入!$R$135="","",INDEX(助手收入!$C$2:$C$66,助手收入!$R$135)&amp;"  字第 "&amp;INDEX(助手收入!$P$2:$P$66,助手收入!$R$135)&amp;" 号"&amp;IF(INDEX(助手收入!$L$2:$L$66,助手收入!$R$135)&gt;1,"  (共"&amp;INDEX(助手收入!$L$2:$L$66,助手收入!$R$135)&amp;"页 第"&amp;助手收入!$S$135&amp;"页)",""))</f>
        <v/>
      </c>
    </row>
    <row r="1999" customFormat="false" ht="12.75" hidden="false" customHeight="true" outlineLevel="0" collapsed="false">
      <c r="B1999" s="61" t="str">
        <f aca="false">IF(助手收入!$R$135&lt;&gt;"","摘　　要","")</f>
        <v/>
      </c>
      <c r="C1999" s="61"/>
      <c r="D1999" s="62" t="str">
        <f aca="false">IF(助手收入!$R$135&lt;&gt;"","科　　　　目","")</f>
        <v/>
      </c>
      <c r="E1999" s="62"/>
      <c r="F1999" s="61" t="str">
        <f aca="false">IF(助手收入!$R$135&lt;&gt;"","借 方 金 额","")</f>
        <v/>
      </c>
      <c r="G1999" s="62" t="str">
        <f aca="false">IF(助手收入!$R$135&lt;&gt;"","贷 方 金 额","")</f>
        <v/>
      </c>
      <c r="H1999" s="63" t="str">
        <f aca="false">IF(助手收入!$R$135&lt;&gt;"","√","")</f>
        <v/>
      </c>
      <c r="I1999" s="64" t="str">
        <f aca="false">IF(助手收入!$R$135&lt;&gt;"","附单据  张","")</f>
        <v/>
      </c>
    </row>
    <row r="2000" customFormat="false" ht="12.75" hidden="false" customHeight="true" outlineLevel="0" collapsed="false">
      <c r="B2000" s="61"/>
      <c r="C2000" s="61"/>
      <c r="D2000" s="23" t="str">
        <f aca="false">IF(助手收入!$R$135&lt;&gt;"","总 账 科 目","")</f>
        <v/>
      </c>
      <c r="E2000" s="23" t="str">
        <f aca="false">IF(助手收入!$R$135&lt;&gt;"","明 细 科 目","")</f>
        <v/>
      </c>
      <c r="F2000" s="65"/>
      <c r="G2000" s="66"/>
      <c r="H2000" s="63"/>
      <c r="I2000" s="64"/>
    </row>
    <row r="2001" customFormat="false" ht="23.25" hidden="false" customHeight="true" outlineLevel="0" collapsed="false">
      <c r="B2001" s="67" t="str">
        <f aca="false">IFERROR(INDEX(分录收入!$M:$M,MATCH($L2001,分录收入!$L:$L,0)),"")</f>
        <v/>
      </c>
      <c r="C2001" s="67"/>
      <c r="D2001" s="23" t="str">
        <f aca="false">IFERROR(INDEX(分录收入!$E:$E,MATCH($L2001,分录收入!$L:$L,0)),"")</f>
        <v/>
      </c>
      <c r="E2001" s="23" t="str">
        <f aca="false">IFERROR(INDEX(分录收入!$F:$F,MATCH($L2001,分录收入!$L:$L,0)),"")</f>
        <v/>
      </c>
      <c r="F2001" s="68" t="str">
        <f aca="false">IFERROR(INDEX(分录收入!$H:$H,MATCH($L2001,分录收入!$L:$L,0)),"")</f>
        <v/>
      </c>
      <c r="G2001" s="69" t="str">
        <f aca="false">IFERROR(INDEX(分录收入!$I:$I,MATCH($L2001,分录收入!$L:$L,0)),"")</f>
        <v/>
      </c>
      <c r="H2001" s="23"/>
      <c r="I2001" s="70"/>
      <c r="L2001" s="71" t="n">
        <f aca="false">IF(助手收入!$R$135="",-1,助手收入!$R$135*100+(助手收入!$S$135-1)*6+1)</f>
        <v>-1</v>
      </c>
    </row>
    <row r="2002" customFormat="false" ht="23.25" hidden="false" customHeight="true" outlineLevel="0" collapsed="false">
      <c r="B2002" s="67" t="str">
        <f aca="false">""</f>
        <v/>
      </c>
      <c r="C2002" s="67"/>
      <c r="D2002" s="23" t="str">
        <f aca="false">IFERROR(INDEX(分录收入!$E:$E,MATCH($L2002,分录收入!$L:$L,0)),"")</f>
        <v/>
      </c>
      <c r="E2002" s="23" t="str">
        <f aca="false">IFERROR(INDEX(分录收入!$F:$F,MATCH($L2002,分录收入!$L:$L,0)),"")</f>
        <v/>
      </c>
      <c r="F2002" s="68" t="str">
        <f aca="false">IFERROR(INDEX(分录收入!$H:$H,MATCH($L2002,分录收入!$L:$L,0)),"")</f>
        <v/>
      </c>
      <c r="G2002" s="69" t="str">
        <f aca="false">IFERROR(INDEX(分录收入!$I:$I,MATCH($L2002,分录收入!$L:$L,0)),"")</f>
        <v/>
      </c>
      <c r="H2002" s="23"/>
      <c r="I2002" s="70"/>
      <c r="L2002" s="71" t="n">
        <f aca="false">IF(助手收入!$R$135="",-1,助手收入!$R$135*100+(助手收入!$S$135-1)*6+2)</f>
        <v>-1</v>
      </c>
    </row>
    <row r="2003" customFormat="false" ht="23.25" hidden="false" customHeight="true" outlineLevel="0" collapsed="false">
      <c r="B2003" s="67" t="str">
        <f aca="false">""</f>
        <v/>
      </c>
      <c r="C2003" s="67"/>
      <c r="D2003" s="23" t="str">
        <f aca="false">IFERROR(INDEX(分录收入!$E:$E,MATCH($L2003,分录收入!$L:$L,0)),"")</f>
        <v/>
      </c>
      <c r="E2003" s="23" t="str">
        <f aca="false">IFERROR(INDEX(分录收入!$F:$F,MATCH($L2003,分录收入!$L:$L,0)),"")</f>
        <v/>
      </c>
      <c r="F2003" s="68" t="str">
        <f aca="false">IFERROR(INDEX(分录收入!$H:$H,MATCH($L2003,分录收入!$L:$L,0)),"")</f>
        <v/>
      </c>
      <c r="G2003" s="69" t="str">
        <f aca="false">IFERROR(INDEX(分录收入!$I:$I,MATCH($L2003,分录收入!$L:$L,0)),"")</f>
        <v/>
      </c>
      <c r="H2003" s="23"/>
      <c r="I2003" s="70"/>
      <c r="L2003" s="71" t="n">
        <f aca="false">IF(助手收入!$R$135="",-1,助手收入!$R$135*100+(助手收入!$S$135-1)*6+3)</f>
        <v>-1</v>
      </c>
    </row>
    <row r="2004" customFormat="false" ht="23.25" hidden="false" customHeight="true" outlineLevel="0" collapsed="false">
      <c r="B2004" s="67" t="str">
        <f aca="false">""</f>
        <v/>
      </c>
      <c r="C2004" s="67"/>
      <c r="D2004" s="23" t="str">
        <f aca="false">IFERROR(INDEX(分录收入!$E:$E,MATCH($L2004,分录收入!$L:$L,0)),"")</f>
        <v/>
      </c>
      <c r="E2004" s="23" t="str">
        <f aca="false">IFERROR(INDEX(分录收入!$F:$F,MATCH($L2004,分录收入!$L:$L,0)),"")</f>
        <v/>
      </c>
      <c r="F2004" s="68" t="str">
        <f aca="false">IFERROR(INDEX(分录收入!$H:$H,MATCH($L2004,分录收入!$L:$L,0)),"")</f>
        <v/>
      </c>
      <c r="G2004" s="69" t="str">
        <f aca="false">IFERROR(INDEX(分录收入!$I:$I,MATCH($L2004,分录收入!$L:$L,0)),"")</f>
        <v/>
      </c>
      <c r="H2004" s="23"/>
      <c r="I2004" s="70"/>
      <c r="L2004" s="71" t="n">
        <f aca="false">IF(助手收入!$R$135="",-1,助手收入!$R$135*100+(助手收入!$S$135-1)*6+4)</f>
        <v>-1</v>
      </c>
    </row>
    <row r="2005" customFormat="false" ht="23.25" hidden="false" customHeight="true" outlineLevel="0" collapsed="false">
      <c r="B2005" s="67" t="str">
        <f aca="false">""</f>
        <v/>
      </c>
      <c r="C2005" s="67"/>
      <c r="D2005" s="23" t="str">
        <f aca="false">IFERROR(INDEX(分录收入!$E:$E,MATCH($L2005,分录收入!$L:$L,0)),"")</f>
        <v/>
      </c>
      <c r="E2005" s="23" t="str">
        <f aca="false">IFERROR(INDEX(分录收入!$F:$F,MATCH($L2005,分录收入!$L:$L,0)),"")</f>
        <v/>
      </c>
      <c r="F2005" s="68" t="str">
        <f aca="false">IFERROR(INDEX(分录收入!$H:$H,MATCH($L2005,分录收入!$L:$L,0)),"")</f>
        <v/>
      </c>
      <c r="G2005" s="69" t="str">
        <f aca="false">IFERROR(INDEX(分录收入!$I:$I,MATCH($L2005,分录收入!$L:$L,0)),"")</f>
        <v/>
      </c>
      <c r="H2005" s="23"/>
      <c r="I2005" s="70"/>
      <c r="L2005" s="71" t="n">
        <f aca="false">IF(助手收入!$R$135="",-1,助手收入!$R$135*100+(助手收入!$S$135-1)*6+5)</f>
        <v>-1</v>
      </c>
    </row>
    <row r="2006" customFormat="false" ht="23.25" hidden="false" customHeight="true" outlineLevel="0" collapsed="false">
      <c r="B2006" s="67" t="str">
        <f aca="false">""</f>
        <v/>
      </c>
      <c r="C2006" s="67"/>
      <c r="D2006" s="23" t="str">
        <f aca="false">IFERROR(INDEX(分录收入!$E:$E,MATCH($L2006,分录收入!$L:$L,0)),"")</f>
        <v/>
      </c>
      <c r="E2006" s="23" t="str">
        <f aca="false">IFERROR(INDEX(分录收入!$F:$F,MATCH($L2006,分录收入!$L:$L,0)),"")</f>
        <v/>
      </c>
      <c r="F2006" s="68" t="str">
        <f aca="false">IFERROR(INDEX(分录收入!$H:$H,MATCH($L2006,分录收入!$L:$L,0)),"")</f>
        <v/>
      </c>
      <c r="G2006" s="69" t="str">
        <f aca="false">IFERROR(INDEX(分录收入!$I:$I,MATCH($L2006,分录收入!$L:$L,0)),"")</f>
        <v/>
      </c>
      <c r="H2006" s="23"/>
      <c r="I2006" s="70"/>
      <c r="L2006" s="71" t="n">
        <f aca="false">IF(助手收入!$R$135="",-1,助手收入!$R$135*100+(助手收入!$S$135-1)*6+6)</f>
        <v>-1</v>
      </c>
    </row>
    <row r="2007" customFormat="false" ht="23.25" hidden="false" customHeight="true" outlineLevel="0" collapsed="false">
      <c r="B2007" s="72" t="str">
        <f aca="false">IF(助手收入!$T$135=1,"合计：","")</f>
        <v/>
      </c>
      <c r="C2007" s="73" t="str">
        <f aca="false">IF(助手收入!$T$135=1,$F2007,"")</f>
        <v/>
      </c>
      <c r="D2007" s="74"/>
      <c r="E2007" s="74"/>
      <c r="F2007" s="75" t="str">
        <f aca="false">IF(助手收入!$T$135=1,INDEX(助手收入!$N$2:$N$66,助手收入!$R$135),"")</f>
        <v/>
      </c>
      <c r="G2007" s="76" t="str">
        <f aca="false">IF(助手收入!$T$135=1,INDEX(助手收入!$O$2:$O$66,助手收入!$R$135),"")</f>
        <v/>
      </c>
      <c r="H2007" s="74"/>
      <c r="I2007" s="77"/>
    </row>
    <row r="2008" customFormat="false" ht="6" hidden="false" customHeight="true" outlineLevel="0" collapsed="false"/>
    <row r="2009" customFormat="false" ht="13.5" hidden="false" customHeight="false" outlineLevel="0" collapsed="false">
      <c r="B2009" s="78" t="str">
        <f aca="false">IF(助手收入!$R$135&lt;&gt;"","会计主管：","")</f>
        <v/>
      </c>
      <c r="D2009" s="78" t="str">
        <f aca="false">IF(助手收入!$R$135&lt;&gt;"","会计：","")</f>
        <v/>
      </c>
      <c r="E2009" s="78" t="str">
        <f aca="false">IF(助手收入!$R$135&lt;&gt;"","出纳：","")</f>
        <v/>
      </c>
      <c r="F2009" s="78" t="str">
        <f aca="false">IF(助手收入!$R$135&lt;&gt;"","复核：","")</f>
        <v/>
      </c>
      <c r="G2009" s="78" t="str">
        <f aca="false">IF(助手收入!$R$135&lt;&gt;"","制单：","")</f>
        <v/>
      </c>
    </row>
    <row r="2010" customFormat="false" ht="3" hidden="false" customHeight="true" outlineLevel="0" collapsed="false"/>
    <row r="2011" customFormat="false" ht="19.5" hidden="false" customHeight="true" outlineLevel="0" collapsed="false">
      <c r="B2011" s="53" t="str">
        <f aca="false">IF(助手收入!$R$136&lt;&gt;"","记  账  凭  证","")</f>
        <v/>
      </c>
      <c r="C2011" s="53"/>
      <c r="D2011" s="53"/>
      <c r="E2011" s="53"/>
      <c r="F2011" s="53"/>
      <c r="G2011" s="53"/>
      <c r="H2011" s="53"/>
      <c r="I2011" s="53"/>
    </row>
    <row r="2012" customFormat="false" ht="3" hidden="false" customHeight="true" outlineLevel="0" collapsed="false"/>
    <row r="2013" customFormat="false" ht="15" hidden="false" customHeight="true" outlineLevel="0" collapsed="false">
      <c r="C2013" s="56" t="str">
        <f aca="false">IF(助手收入!$R$136&lt;&gt;"",INDEX(助手收入!$B$2:$B$66,助手收入!$R$136),"")</f>
        <v/>
      </c>
      <c r="D2013" s="57" t="str">
        <f aca="false">IF(助手收入!$R$136&lt;&gt;"",参数!$B$2,"")</f>
        <v/>
      </c>
      <c r="E2013" s="57"/>
      <c r="F2013" s="58" t="str">
        <f aca="false">IF(助手收入!$R$136&lt;&gt;"",INDEX(助手收入!$C$2:$C$66,助手收入!$R$136)&amp;"  字第 "&amp;IF(参数!$B$9="是",INDEX(助手收入!$P$2:$P$66,助手收入!$R$136),"　　　　")&amp;" 号"&amp;IF(INDEX(助手收入!$L$2:$L$66,助手收入!$R$136)&gt;1,"  (共"&amp;INDEX(助手收入!$L$2:$L$66,助手收入!$R$136)&amp;"页 第"&amp;助手收入!$S$136&amp;"页)",""),"")</f>
        <v/>
      </c>
      <c r="G2013" s="58"/>
      <c r="H2013" s="58"/>
      <c r="I2013" s="58"/>
      <c r="M2013" s="79" t="str">
        <f aca="false">IF(助手收入!$R$136="","",助手收入!$Q$136)</f>
        <v/>
      </c>
      <c r="N2013" s="80" t="str">
        <f aca="false">IF(助手收入!$R$136="","",INDEX(助手收入!$P$2:$P$66,助手收入!$R$136))</f>
        <v/>
      </c>
      <c r="O2013" s="55" t="str">
        <f aca="false">IF(助手收入!$R$136="","",INDEX(助手收入!$C$2:$C$66,助手收入!$R$136)&amp;"  字第 "&amp;INDEX(助手收入!$P$2:$P$66,助手收入!$R$136)&amp;" 号"&amp;IF(INDEX(助手收入!$L$2:$L$66,助手收入!$R$136)&gt;1,"  (共"&amp;INDEX(助手收入!$L$2:$L$66,助手收入!$R$136)&amp;"页 第"&amp;助手收入!$S$136&amp;"页)",""))</f>
        <v/>
      </c>
    </row>
    <row r="2014" customFormat="false" ht="12.75" hidden="false" customHeight="true" outlineLevel="0" collapsed="false">
      <c r="B2014" s="61" t="str">
        <f aca="false">IF(助手收入!$R$136&lt;&gt;"","摘　　要","")</f>
        <v/>
      </c>
      <c r="C2014" s="61"/>
      <c r="D2014" s="62" t="str">
        <f aca="false">IF(助手收入!$R$136&lt;&gt;"","科　　　　目","")</f>
        <v/>
      </c>
      <c r="E2014" s="62"/>
      <c r="F2014" s="61" t="str">
        <f aca="false">IF(助手收入!$R$136&lt;&gt;"","借 方 金 额","")</f>
        <v/>
      </c>
      <c r="G2014" s="62" t="str">
        <f aca="false">IF(助手收入!$R$136&lt;&gt;"","贷 方 金 额","")</f>
        <v/>
      </c>
      <c r="H2014" s="63" t="str">
        <f aca="false">IF(助手收入!$R$136&lt;&gt;"","√","")</f>
        <v/>
      </c>
      <c r="I2014" s="64" t="str">
        <f aca="false">IF(助手收入!$R$136&lt;&gt;"","附单据  张","")</f>
        <v/>
      </c>
    </row>
    <row r="2015" customFormat="false" ht="12.75" hidden="false" customHeight="true" outlineLevel="0" collapsed="false">
      <c r="B2015" s="61"/>
      <c r="C2015" s="61"/>
      <c r="D2015" s="23" t="str">
        <f aca="false">IF(助手收入!$R$136&lt;&gt;"","总 账 科 目","")</f>
        <v/>
      </c>
      <c r="E2015" s="23" t="str">
        <f aca="false">IF(助手收入!$R$136&lt;&gt;"","明 细 科 目","")</f>
        <v/>
      </c>
      <c r="F2015" s="65"/>
      <c r="G2015" s="66"/>
      <c r="H2015" s="63"/>
      <c r="I2015" s="64"/>
    </row>
    <row r="2016" customFormat="false" ht="23.25" hidden="false" customHeight="true" outlineLevel="0" collapsed="false">
      <c r="B2016" s="67" t="str">
        <f aca="false">IFERROR(INDEX(分录收入!$M:$M,MATCH($L2016,分录收入!$L:$L,0)),"")</f>
        <v/>
      </c>
      <c r="C2016" s="67"/>
      <c r="D2016" s="23" t="str">
        <f aca="false">IFERROR(INDEX(分录收入!$E:$E,MATCH($L2016,分录收入!$L:$L,0)),"")</f>
        <v/>
      </c>
      <c r="E2016" s="23" t="str">
        <f aca="false">IFERROR(INDEX(分录收入!$F:$F,MATCH($L2016,分录收入!$L:$L,0)),"")</f>
        <v/>
      </c>
      <c r="F2016" s="68" t="str">
        <f aca="false">IFERROR(INDEX(分录收入!$H:$H,MATCH($L2016,分录收入!$L:$L,0)),"")</f>
        <v/>
      </c>
      <c r="G2016" s="69" t="str">
        <f aca="false">IFERROR(INDEX(分录收入!$I:$I,MATCH($L2016,分录收入!$L:$L,0)),"")</f>
        <v/>
      </c>
      <c r="H2016" s="23"/>
      <c r="I2016" s="70"/>
      <c r="L2016" s="71" t="n">
        <f aca="false">IF(助手收入!$R$136="",-1,助手收入!$R$136*100+(助手收入!$S$136-1)*6+1)</f>
        <v>-1</v>
      </c>
    </row>
    <row r="2017" customFormat="false" ht="23.25" hidden="false" customHeight="true" outlineLevel="0" collapsed="false">
      <c r="B2017" s="67" t="str">
        <f aca="false">""</f>
        <v/>
      </c>
      <c r="C2017" s="67"/>
      <c r="D2017" s="23" t="str">
        <f aca="false">IFERROR(INDEX(分录收入!$E:$E,MATCH($L2017,分录收入!$L:$L,0)),"")</f>
        <v/>
      </c>
      <c r="E2017" s="23" t="str">
        <f aca="false">IFERROR(INDEX(分录收入!$F:$F,MATCH($L2017,分录收入!$L:$L,0)),"")</f>
        <v/>
      </c>
      <c r="F2017" s="68" t="str">
        <f aca="false">IFERROR(INDEX(分录收入!$H:$H,MATCH($L2017,分录收入!$L:$L,0)),"")</f>
        <v/>
      </c>
      <c r="G2017" s="69" t="str">
        <f aca="false">IFERROR(INDEX(分录收入!$I:$I,MATCH($L2017,分录收入!$L:$L,0)),"")</f>
        <v/>
      </c>
      <c r="H2017" s="23"/>
      <c r="I2017" s="70"/>
      <c r="L2017" s="71" t="n">
        <f aca="false">IF(助手收入!$R$136="",-1,助手收入!$R$136*100+(助手收入!$S$136-1)*6+2)</f>
        <v>-1</v>
      </c>
    </row>
    <row r="2018" customFormat="false" ht="23.25" hidden="false" customHeight="true" outlineLevel="0" collapsed="false">
      <c r="B2018" s="67" t="str">
        <f aca="false">""</f>
        <v/>
      </c>
      <c r="C2018" s="67"/>
      <c r="D2018" s="23" t="str">
        <f aca="false">IFERROR(INDEX(分录收入!$E:$E,MATCH($L2018,分录收入!$L:$L,0)),"")</f>
        <v/>
      </c>
      <c r="E2018" s="23" t="str">
        <f aca="false">IFERROR(INDEX(分录收入!$F:$F,MATCH($L2018,分录收入!$L:$L,0)),"")</f>
        <v/>
      </c>
      <c r="F2018" s="68" t="str">
        <f aca="false">IFERROR(INDEX(分录收入!$H:$H,MATCH($L2018,分录收入!$L:$L,0)),"")</f>
        <v/>
      </c>
      <c r="G2018" s="69" t="str">
        <f aca="false">IFERROR(INDEX(分录收入!$I:$I,MATCH($L2018,分录收入!$L:$L,0)),"")</f>
        <v/>
      </c>
      <c r="H2018" s="23"/>
      <c r="I2018" s="70"/>
      <c r="L2018" s="71" t="n">
        <f aca="false">IF(助手收入!$R$136="",-1,助手收入!$R$136*100+(助手收入!$S$136-1)*6+3)</f>
        <v>-1</v>
      </c>
    </row>
    <row r="2019" customFormat="false" ht="23.25" hidden="false" customHeight="true" outlineLevel="0" collapsed="false">
      <c r="B2019" s="67" t="str">
        <f aca="false">""</f>
        <v/>
      </c>
      <c r="C2019" s="67"/>
      <c r="D2019" s="23" t="str">
        <f aca="false">IFERROR(INDEX(分录收入!$E:$E,MATCH($L2019,分录收入!$L:$L,0)),"")</f>
        <v/>
      </c>
      <c r="E2019" s="23" t="str">
        <f aca="false">IFERROR(INDEX(分录收入!$F:$F,MATCH($L2019,分录收入!$L:$L,0)),"")</f>
        <v/>
      </c>
      <c r="F2019" s="68" t="str">
        <f aca="false">IFERROR(INDEX(分录收入!$H:$H,MATCH($L2019,分录收入!$L:$L,0)),"")</f>
        <v/>
      </c>
      <c r="G2019" s="69" t="str">
        <f aca="false">IFERROR(INDEX(分录收入!$I:$I,MATCH($L2019,分录收入!$L:$L,0)),"")</f>
        <v/>
      </c>
      <c r="H2019" s="23"/>
      <c r="I2019" s="70"/>
      <c r="L2019" s="71" t="n">
        <f aca="false">IF(助手收入!$R$136="",-1,助手收入!$R$136*100+(助手收入!$S$136-1)*6+4)</f>
        <v>-1</v>
      </c>
    </row>
    <row r="2020" customFormat="false" ht="23.25" hidden="false" customHeight="true" outlineLevel="0" collapsed="false">
      <c r="B2020" s="67" t="str">
        <f aca="false">""</f>
        <v/>
      </c>
      <c r="C2020" s="67"/>
      <c r="D2020" s="23" t="str">
        <f aca="false">IFERROR(INDEX(分录收入!$E:$E,MATCH($L2020,分录收入!$L:$L,0)),"")</f>
        <v/>
      </c>
      <c r="E2020" s="23" t="str">
        <f aca="false">IFERROR(INDEX(分录收入!$F:$F,MATCH($L2020,分录收入!$L:$L,0)),"")</f>
        <v/>
      </c>
      <c r="F2020" s="68" t="str">
        <f aca="false">IFERROR(INDEX(分录收入!$H:$H,MATCH($L2020,分录收入!$L:$L,0)),"")</f>
        <v/>
      </c>
      <c r="G2020" s="69" t="str">
        <f aca="false">IFERROR(INDEX(分录收入!$I:$I,MATCH($L2020,分录收入!$L:$L,0)),"")</f>
        <v/>
      </c>
      <c r="H2020" s="23"/>
      <c r="I2020" s="70"/>
      <c r="L2020" s="71" t="n">
        <f aca="false">IF(助手收入!$R$136="",-1,助手收入!$R$136*100+(助手收入!$S$136-1)*6+5)</f>
        <v>-1</v>
      </c>
    </row>
    <row r="2021" customFormat="false" ht="23.25" hidden="false" customHeight="true" outlineLevel="0" collapsed="false">
      <c r="B2021" s="67" t="str">
        <f aca="false">""</f>
        <v/>
      </c>
      <c r="C2021" s="67"/>
      <c r="D2021" s="23" t="str">
        <f aca="false">IFERROR(INDEX(分录收入!$E:$E,MATCH($L2021,分录收入!$L:$L,0)),"")</f>
        <v/>
      </c>
      <c r="E2021" s="23" t="str">
        <f aca="false">IFERROR(INDEX(分录收入!$F:$F,MATCH($L2021,分录收入!$L:$L,0)),"")</f>
        <v/>
      </c>
      <c r="F2021" s="68" t="str">
        <f aca="false">IFERROR(INDEX(分录收入!$H:$H,MATCH($L2021,分录收入!$L:$L,0)),"")</f>
        <v/>
      </c>
      <c r="G2021" s="69" t="str">
        <f aca="false">IFERROR(INDEX(分录收入!$I:$I,MATCH($L2021,分录收入!$L:$L,0)),"")</f>
        <v/>
      </c>
      <c r="H2021" s="23"/>
      <c r="I2021" s="70"/>
      <c r="L2021" s="71" t="n">
        <f aca="false">IF(助手收入!$R$136="",-1,助手收入!$R$136*100+(助手收入!$S$136-1)*6+6)</f>
        <v>-1</v>
      </c>
    </row>
    <row r="2022" customFormat="false" ht="23.25" hidden="false" customHeight="true" outlineLevel="0" collapsed="false">
      <c r="B2022" s="72" t="str">
        <f aca="false">IF(助手收入!$T$136=1,"合计：","")</f>
        <v/>
      </c>
      <c r="C2022" s="73" t="str">
        <f aca="false">IF(助手收入!$T$136=1,$F2022,"")</f>
        <v/>
      </c>
      <c r="D2022" s="74"/>
      <c r="E2022" s="74"/>
      <c r="F2022" s="75" t="str">
        <f aca="false">IF(助手收入!$T$136=1,INDEX(助手收入!$N$2:$N$66,助手收入!$R$136),"")</f>
        <v/>
      </c>
      <c r="G2022" s="76" t="str">
        <f aca="false">IF(助手收入!$T$136=1,INDEX(助手收入!$O$2:$O$66,助手收入!$R$136),"")</f>
        <v/>
      </c>
      <c r="H2022" s="74"/>
      <c r="I2022" s="77"/>
    </row>
    <row r="2023" customFormat="false" ht="6" hidden="false" customHeight="true" outlineLevel="0" collapsed="false"/>
    <row r="2024" customFormat="false" ht="13.5" hidden="false" customHeight="false" outlineLevel="0" collapsed="false">
      <c r="B2024" s="78" t="str">
        <f aca="false">IF(助手收入!$R$136&lt;&gt;"","会计主管：","")</f>
        <v/>
      </c>
      <c r="D2024" s="78" t="str">
        <f aca="false">IF(助手收入!$R$136&lt;&gt;"","会计：","")</f>
        <v/>
      </c>
      <c r="E2024" s="78" t="str">
        <f aca="false">IF(助手收入!$R$136&lt;&gt;"","出纳：","")</f>
        <v/>
      </c>
      <c r="F2024" s="78" t="str">
        <f aca="false">IF(助手收入!$R$136&lt;&gt;"","复核：","")</f>
        <v/>
      </c>
      <c r="G2024" s="78" t="str">
        <f aca="false">IF(助手收入!$R$136&lt;&gt;"","制单：","")</f>
        <v/>
      </c>
    </row>
    <row r="2025" customFormat="false" ht="3" hidden="false" customHeight="true" outlineLevel="0" collapsed="false"/>
    <row r="2026" customFormat="false" ht="19.5" hidden="false" customHeight="true" outlineLevel="0" collapsed="false">
      <c r="B2026" s="53" t="str">
        <f aca="false">IF(助手收入!$R$137&lt;&gt;"","记  账  凭  证","")</f>
        <v/>
      </c>
      <c r="C2026" s="53"/>
      <c r="D2026" s="53"/>
      <c r="E2026" s="53"/>
      <c r="F2026" s="53"/>
      <c r="G2026" s="53"/>
      <c r="H2026" s="53"/>
      <c r="I2026" s="53"/>
    </row>
    <row r="2027" customFormat="false" ht="3" hidden="false" customHeight="true" outlineLevel="0" collapsed="false"/>
    <row r="2028" customFormat="false" ht="15" hidden="false" customHeight="true" outlineLevel="0" collapsed="false">
      <c r="C2028" s="56" t="str">
        <f aca="false">IF(助手收入!$R$137&lt;&gt;"",INDEX(助手收入!$B$2:$B$66,助手收入!$R$137),"")</f>
        <v/>
      </c>
      <c r="D2028" s="57" t="str">
        <f aca="false">IF(助手收入!$R$137&lt;&gt;"",参数!$B$2,"")</f>
        <v/>
      </c>
      <c r="E2028" s="57"/>
      <c r="F2028" s="58" t="str">
        <f aca="false">IF(助手收入!$R$137&lt;&gt;"",INDEX(助手收入!$C$2:$C$66,助手收入!$R$137)&amp;"  字第 "&amp;IF(参数!$B$9="是",INDEX(助手收入!$P$2:$P$66,助手收入!$R$137),"　　　　")&amp;" 号"&amp;IF(INDEX(助手收入!$L$2:$L$66,助手收入!$R$137)&gt;1,"  (共"&amp;INDEX(助手收入!$L$2:$L$66,助手收入!$R$137)&amp;"页 第"&amp;助手收入!$S$137&amp;"页)",""),"")</f>
        <v/>
      </c>
      <c r="G2028" s="58"/>
      <c r="H2028" s="58"/>
      <c r="I2028" s="58"/>
      <c r="M2028" s="79" t="str">
        <f aca="false">IF(助手收入!$R$137="","",助手收入!$Q$137)</f>
        <v/>
      </c>
      <c r="N2028" s="80" t="str">
        <f aca="false">IF(助手收入!$R$137="","",INDEX(助手收入!$P$2:$P$66,助手收入!$R$137))</f>
        <v/>
      </c>
      <c r="O2028" s="55" t="str">
        <f aca="false">IF(助手收入!$R$137="","",INDEX(助手收入!$C$2:$C$66,助手收入!$R$137)&amp;"  字第 "&amp;INDEX(助手收入!$P$2:$P$66,助手收入!$R$137)&amp;" 号"&amp;IF(INDEX(助手收入!$L$2:$L$66,助手收入!$R$137)&gt;1,"  (共"&amp;INDEX(助手收入!$L$2:$L$66,助手收入!$R$137)&amp;"页 第"&amp;助手收入!$S$137&amp;"页)",""))</f>
        <v/>
      </c>
    </row>
    <row r="2029" customFormat="false" ht="12.75" hidden="false" customHeight="true" outlineLevel="0" collapsed="false">
      <c r="B2029" s="61" t="str">
        <f aca="false">IF(助手收入!$R$137&lt;&gt;"","摘　　要","")</f>
        <v/>
      </c>
      <c r="C2029" s="61"/>
      <c r="D2029" s="62" t="str">
        <f aca="false">IF(助手收入!$R$137&lt;&gt;"","科　　　　目","")</f>
        <v/>
      </c>
      <c r="E2029" s="62"/>
      <c r="F2029" s="61" t="str">
        <f aca="false">IF(助手收入!$R$137&lt;&gt;"","借 方 金 额","")</f>
        <v/>
      </c>
      <c r="G2029" s="62" t="str">
        <f aca="false">IF(助手收入!$R$137&lt;&gt;"","贷 方 金 额","")</f>
        <v/>
      </c>
      <c r="H2029" s="63" t="str">
        <f aca="false">IF(助手收入!$R$137&lt;&gt;"","√","")</f>
        <v/>
      </c>
      <c r="I2029" s="64" t="str">
        <f aca="false">IF(助手收入!$R$137&lt;&gt;"","附单据  张","")</f>
        <v/>
      </c>
    </row>
    <row r="2030" customFormat="false" ht="12.75" hidden="false" customHeight="true" outlineLevel="0" collapsed="false">
      <c r="B2030" s="61"/>
      <c r="C2030" s="61"/>
      <c r="D2030" s="23" t="str">
        <f aca="false">IF(助手收入!$R$137&lt;&gt;"","总 账 科 目","")</f>
        <v/>
      </c>
      <c r="E2030" s="23" t="str">
        <f aca="false">IF(助手收入!$R$137&lt;&gt;"","明 细 科 目","")</f>
        <v/>
      </c>
      <c r="F2030" s="65"/>
      <c r="G2030" s="66"/>
      <c r="H2030" s="63"/>
      <c r="I2030" s="64"/>
    </row>
    <row r="2031" customFormat="false" ht="23.25" hidden="false" customHeight="true" outlineLevel="0" collapsed="false">
      <c r="B2031" s="67" t="str">
        <f aca="false">IFERROR(INDEX(分录收入!$M:$M,MATCH($L2031,分录收入!$L:$L,0)),"")</f>
        <v/>
      </c>
      <c r="C2031" s="67"/>
      <c r="D2031" s="23" t="str">
        <f aca="false">IFERROR(INDEX(分录收入!$E:$E,MATCH($L2031,分录收入!$L:$L,0)),"")</f>
        <v/>
      </c>
      <c r="E2031" s="23" t="str">
        <f aca="false">IFERROR(INDEX(分录收入!$F:$F,MATCH($L2031,分录收入!$L:$L,0)),"")</f>
        <v/>
      </c>
      <c r="F2031" s="68" t="str">
        <f aca="false">IFERROR(INDEX(分录收入!$H:$H,MATCH($L2031,分录收入!$L:$L,0)),"")</f>
        <v/>
      </c>
      <c r="G2031" s="69" t="str">
        <f aca="false">IFERROR(INDEX(分录收入!$I:$I,MATCH($L2031,分录收入!$L:$L,0)),"")</f>
        <v/>
      </c>
      <c r="H2031" s="23"/>
      <c r="I2031" s="70"/>
      <c r="L2031" s="71" t="n">
        <f aca="false">IF(助手收入!$R$137="",-1,助手收入!$R$137*100+(助手收入!$S$137-1)*6+1)</f>
        <v>-1</v>
      </c>
    </row>
    <row r="2032" customFormat="false" ht="23.25" hidden="false" customHeight="true" outlineLevel="0" collapsed="false">
      <c r="B2032" s="67" t="str">
        <f aca="false">""</f>
        <v/>
      </c>
      <c r="C2032" s="67"/>
      <c r="D2032" s="23" t="str">
        <f aca="false">IFERROR(INDEX(分录收入!$E:$E,MATCH($L2032,分录收入!$L:$L,0)),"")</f>
        <v/>
      </c>
      <c r="E2032" s="23" t="str">
        <f aca="false">IFERROR(INDEX(分录收入!$F:$F,MATCH($L2032,分录收入!$L:$L,0)),"")</f>
        <v/>
      </c>
      <c r="F2032" s="68" t="str">
        <f aca="false">IFERROR(INDEX(分录收入!$H:$H,MATCH($L2032,分录收入!$L:$L,0)),"")</f>
        <v/>
      </c>
      <c r="G2032" s="69" t="str">
        <f aca="false">IFERROR(INDEX(分录收入!$I:$I,MATCH($L2032,分录收入!$L:$L,0)),"")</f>
        <v/>
      </c>
      <c r="H2032" s="23"/>
      <c r="I2032" s="70"/>
      <c r="L2032" s="71" t="n">
        <f aca="false">IF(助手收入!$R$137="",-1,助手收入!$R$137*100+(助手收入!$S$137-1)*6+2)</f>
        <v>-1</v>
      </c>
    </row>
    <row r="2033" customFormat="false" ht="23.25" hidden="false" customHeight="true" outlineLevel="0" collapsed="false">
      <c r="B2033" s="67" t="str">
        <f aca="false">""</f>
        <v/>
      </c>
      <c r="C2033" s="67"/>
      <c r="D2033" s="23" t="str">
        <f aca="false">IFERROR(INDEX(分录收入!$E:$E,MATCH($L2033,分录收入!$L:$L,0)),"")</f>
        <v/>
      </c>
      <c r="E2033" s="23" t="str">
        <f aca="false">IFERROR(INDEX(分录收入!$F:$F,MATCH($L2033,分录收入!$L:$L,0)),"")</f>
        <v/>
      </c>
      <c r="F2033" s="68" t="str">
        <f aca="false">IFERROR(INDEX(分录收入!$H:$H,MATCH($L2033,分录收入!$L:$L,0)),"")</f>
        <v/>
      </c>
      <c r="G2033" s="69" t="str">
        <f aca="false">IFERROR(INDEX(分录收入!$I:$I,MATCH($L2033,分录收入!$L:$L,0)),"")</f>
        <v/>
      </c>
      <c r="H2033" s="23"/>
      <c r="I2033" s="70"/>
      <c r="L2033" s="71" t="n">
        <f aca="false">IF(助手收入!$R$137="",-1,助手收入!$R$137*100+(助手收入!$S$137-1)*6+3)</f>
        <v>-1</v>
      </c>
    </row>
    <row r="2034" customFormat="false" ht="23.25" hidden="false" customHeight="true" outlineLevel="0" collapsed="false">
      <c r="B2034" s="67" t="str">
        <f aca="false">""</f>
        <v/>
      </c>
      <c r="C2034" s="67"/>
      <c r="D2034" s="23" t="str">
        <f aca="false">IFERROR(INDEX(分录收入!$E:$E,MATCH($L2034,分录收入!$L:$L,0)),"")</f>
        <v/>
      </c>
      <c r="E2034" s="23" t="str">
        <f aca="false">IFERROR(INDEX(分录收入!$F:$F,MATCH($L2034,分录收入!$L:$L,0)),"")</f>
        <v/>
      </c>
      <c r="F2034" s="68" t="str">
        <f aca="false">IFERROR(INDEX(分录收入!$H:$H,MATCH($L2034,分录收入!$L:$L,0)),"")</f>
        <v/>
      </c>
      <c r="G2034" s="69" t="str">
        <f aca="false">IFERROR(INDEX(分录收入!$I:$I,MATCH($L2034,分录收入!$L:$L,0)),"")</f>
        <v/>
      </c>
      <c r="H2034" s="23"/>
      <c r="I2034" s="70"/>
      <c r="L2034" s="71" t="n">
        <f aca="false">IF(助手收入!$R$137="",-1,助手收入!$R$137*100+(助手收入!$S$137-1)*6+4)</f>
        <v>-1</v>
      </c>
    </row>
    <row r="2035" customFormat="false" ht="23.25" hidden="false" customHeight="true" outlineLevel="0" collapsed="false">
      <c r="B2035" s="67" t="str">
        <f aca="false">""</f>
        <v/>
      </c>
      <c r="C2035" s="67"/>
      <c r="D2035" s="23" t="str">
        <f aca="false">IFERROR(INDEX(分录收入!$E:$E,MATCH($L2035,分录收入!$L:$L,0)),"")</f>
        <v/>
      </c>
      <c r="E2035" s="23" t="str">
        <f aca="false">IFERROR(INDEX(分录收入!$F:$F,MATCH($L2035,分录收入!$L:$L,0)),"")</f>
        <v/>
      </c>
      <c r="F2035" s="68" t="str">
        <f aca="false">IFERROR(INDEX(分录收入!$H:$H,MATCH($L2035,分录收入!$L:$L,0)),"")</f>
        <v/>
      </c>
      <c r="G2035" s="69" t="str">
        <f aca="false">IFERROR(INDEX(分录收入!$I:$I,MATCH($L2035,分录收入!$L:$L,0)),"")</f>
        <v/>
      </c>
      <c r="H2035" s="23"/>
      <c r="I2035" s="70"/>
      <c r="L2035" s="71" t="n">
        <f aca="false">IF(助手收入!$R$137="",-1,助手收入!$R$137*100+(助手收入!$S$137-1)*6+5)</f>
        <v>-1</v>
      </c>
    </row>
    <row r="2036" customFormat="false" ht="23.25" hidden="false" customHeight="true" outlineLevel="0" collapsed="false">
      <c r="B2036" s="67" t="str">
        <f aca="false">""</f>
        <v/>
      </c>
      <c r="C2036" s="67"/>
      <c r="D2036" s="23" t="str">
        <f aca="false">IFERROR(INDEX(分录收入!$E:$E,MATCH($L2036,分录收入!$L:$L,0)),"")</f>
        <v/>
      </c>
      <c r="E2036" s="23" t="str">
        <f aca="false">IFERROR(INDEX(分录收入!$F:$F,MATCH($L2036,分录收入!$L:$L,0)),"")</f>
        <v/>
      </c>
      <c r="F2036" s="68" t="str">
        <f aca="false">IFERROR(INDEX(分录收入!$H:$H,MATCH($L2036,分录收入!$L:$L,0)),"")</f>
        <v/>
      </c>
      <c r="G2036" s="69" t="str">
        <f aca="false">IFERROR(INDEX(分录收入!$I:$I,MATCH($L2036,分录收入!$L:$L,0)),"")</f>
        <v/>
      </c>
      <c r="H2036" s="23"/>
      <c r="I2036" s="70"/>
      <c r="L2036" s="71" t="n">
        <f aca="false">IF(助手收入!$R$137="",-1,助手收入!$R$137*100+(助手收入!$S$137-1)*6+6)</f>
        <v>-1</v>
      </c>
    </row>
    <row r="2037" customFormat="false" ht="23.25" hidden="false" customHeight="true" outlineLevel="0" collapsed="false">
      <c r="B2037" s="72" t="str">
        <f aca="false">IF(助手收入!$T$137=1,"合计：","")</f>
        <v/>
      </c>
      <c r="C2037" s="73" t="str">
        <f aca="false">IF(助手收入!$T$137=1,$F2037,"")</f>
        <v/>
      </c>
      <c r="D2037" s="74"/>
      <c r="E2037" s="74"/>
      <c r="F2037" s="75" t="str">
        <f aca="false">IF(助手收入!$T$137=1,INDEX(助手收入!$N$2:$N$66,助手收入!$R$137),"")</f>
        <v/>
      </c>
      <c r="G2037" s="76" t="str">
        <f aca="false">IF(助手收入!$T$137=1,INDEX(助手收入!$O$2:$O$66,助手收入!$R$137),"")</f>
        <v/>
      </c>
      <c r="H2037" s="74"/>
      <c r="I2037" s="77"/>
    </row>
    <row r="2038" customFormat="false" ht="6" hidden="false" customHeight="true" outlineLevel="0" collapsed="false"/>
    <row r="2039" customFormat="false" ht="13.5" hidden="false" customHeight="false" outlineLevel="0" collapsed="false">
      <c r="B2039" s="78" t="str">
        <f aca="false">IF(助手收入!$R$137&lt;&gt;"","会计主管：","")</f>
        <v/>
      </c>
      <c r="D2039" s="78" t="str">
        <f aca="false">IF(助手收入!$R$137&lt;&gt;"","会计：","")</f>
        <v/>
      </c>
      <c r="E2039" s="78" t="str">
        <f aca="false">IF(助手收入!$R$137&lt;&gt;"","出纳：","")</f>
        <v/>
      </c>
      <c r="F2039" s="78" t="str">
        <f aca="false">IF(助手收入!$R$137&lt;&gt;"","复核：","")</f>
        <v/>
      </c>
      <c r="G2039" s="78" t="str">
        <f aca="false">IF(助手收入!$R$137&lt;&gt;"","制单：","")</f>
        <v/>
      </c>
    </row>
    <row r="2040" customFormat="false" ht="3" hidden="false" customHeight="true" outlineLevel="0" collapsed="false"/>
    <row r="2041" customFormat="false" ht="19.5" hidden="false" customHeight="true" outlineLevel="0" collapsed="false">
      <c r="B2041" s="53" t="str">
        <f aca="false">IF(助手收入!$R$138&lt;&gt;"","记  账  凭  证","")</f>
        <v/>
      </c>
      <c r="C2041" s="53"/>
      <c r="D2041" s="53"/>
      <c r="E2041" s="53"/>
      <c r="F2041" s="53"/>
      <c r="G2041" s="53"/>
      <c r="H2041" s="53"/>
      <c r="I2041" s="53"/>
    </row>
    <row r="2042" customFormat="false" ht="3" hidden="false" customHeight="true" outlineLevel="0" collapsed="false"/>
    <row r="2043" customFormat="false" ht="15" hidden="false" customHeight="true" outlineLevel="0" collapsed="false">
      <c r="C2043" s="56" t="str">
        <f aca="false">IF(助手收入!$R$138&lt;&gt;"",INDEX(助手收入!$B$2:$B$66,助手收入!$R$138),"")</f>
        <v/>
      </c>
      <c r="D2043" s="57" t="str">
        <f aca="false">IF(助手收入!$R$138&lt;&gt;"",参数!$B$2,"")</f>
        <v/>
      </c>
      <c r="E2043" s="57"/>
      <c r="F2043" s="58" t="str">
        <f aca="false">IF(助手收入!$R$138&lt;&gt;"",INDEX(助手收入!$C$2:$C$66,助手收入!$R$138)&amp;"  字第 "&amp;IF(参数!$B$9="是",INDEX(助手收入!$P$2:$P$66,助手收入!$R$138),"　　　　")&amp;" 号"&amp;IF(INDEX(助手收入!$L$2:$L$66,助手收入!$R$138)&gt;1,"  (共"&amp;INDEX(助手收入!$L$2:$L$66,助手收入!$R$138)&amp;"页 第"&amp;助手收入!$S$138&amp;"页)",""),"")</f>
        <v/>
      </c>
      <c r="G2043" s="58"/>
      <c r="H2043" s="58"/>
      <c r="I2043" s="58"/>
      <c r="M2043" s="79" t="str">
        <f aca="false">IF(助手收入!$R$138="","",助手收入!$Q$138)</f>
        <v/>
      </c>
      <c r="N2043" s="80" t="str">
        <f aca="false">IF(助手收入!$R$138="","",INDEX(助手收入!$P$2:$P$66,助手收入!$R$138))</f>
        <v/>
      </c>
      <c r="O2043" s="55" t="str">
        <f aca="false">IF(助手收入!$R$138="","",INDEX(助手收入!$C$2:$C$66,助手收入!$R$138)&amp;"  字第 "&amp;INDEX(助手收入!$P$2:$P$66,助手收入!$R$138)&amp;" 号"&amp;IF(INDEX(助手收入!$L$2:$L$66,助手收入!$R$138)&gt;1,"  (共"&amp;INDEX(助手收入!$L$2:$L$66,助手收入!$R$138)&amp;"页 第"&amp;助手收入!$S$138&amp;"页)",""))</f>
        <v/>
      </c>
    </row>
    <row r="2044" customFormat="false" ht="12.75" hidden="false" customHeight="true" outlineLevel="0" collapsed="false">
      <c r="B2044" s="61" t="str">
        <f aca="false">IF(助手收入!$R$138&lt;&gt;"","摘　　要","")</f>
        <v/>
      </c>
      <c r="C2044" s="61"/>
      <c r="D2044" s="62" t="str">
        <f aca="false">IF(助手收入!$R$138&lt;&gt;"","科　　　　目","")</f>
        <v/>
      </c>
      <c r="E2044" s="62"/>
      <c r="F2044" s="61" t="str">
        <f aca="false">IF(助手收入!$R$138&lt;&gt;"","借 方 金 额","")</f>
        <v/>
      </c>
      <c r="G2044" s="62" t="str">
        <f aca="false">IF(助手收入!$R$138&lt;&gt;"","贷 方 金 额","")</f>
        <v/>
      </c>
      <c r="H2044" s="63" t="str">
        <f aca="false">IF(助手收入!$R$138&lt;&gt;"","√","")</f>
        <v/>
      </c>
      <c r="I2044" s="64" t="str">
        <f aca="false">IF(助手收入!$R$138&lt;&gt;"","附单据  张","")</f>
        <v/>
      </c>
    </row>
    <row r="2045" customFormat="false" ht="12.75" hidden="false" customHeight="true" outlineLevel="0" collapsed="false">
      <c r="B2045" s="61"/>
      <c r="C2045" s="61"/>
      <c r="D2045" s="23" t="str">
        <f aca="false">IF(助手收入!$R$138&lt;&gt;"","总 账 科 目","")</f>
        <v/>
      </c>
      <c r="E2045" s="23" t="str">
        <f aca="false">IF(助手收入!$R$138&lt;&gt;"","明 细 科 目","")</f>
        <v/>
      </c>
      <c r="F2045" s="65"/>
      <c r="G2045" s="66"/>
      <c r="H2045" s="63"/>
      <c r="I2045" s="64"/>
    </row>
    <row r="2046" customFormat="false" ht="23.25" hidden="false" customHeight="true" outlineLevel="0" collapsed="false">
      <c r="B2046" s="67" t="str">
        <f aca="false">IFERROR(INDEX(分录收入!$M:$M,MATCH($L2046,分录收入!$L:$L,0)),"")</f>
        <v/>
      </c>
      <c r="C2046" s="67"/>
      <c r="D2046" s="23" t="str">
        <f aca="false">IFERROR(INDEX(分录收入!$E:$E,MATCH($L2046,分录收入!$L:$L,0)),"")</f>
        <v/>
      </c>
      <c r="E2046" s="23" t="str">
        <f aca="false">IFERROR(INDEX(分录收入!$F:$F,MATCH($L2046,分录收入!$L:$L,0)),"")</f>
        <v/>
      </c>
      <c r="F2046" s="68" t="str">
        <f aca="false">IFERROR(INDEX(分录收入!$H:$H,MATCH($L2046,分录收入!$L:$L,0)),"")</f>
        <v/>
      </c>
      <c r="G2046" s="69" t="str">
        <f aca="false">IFERROR(INDEX(分录收入!$I:$I,MATCH($L2046,分录收入!$L:$L,0)),"")</f>
        <v/>
      </c>
      <c r="H2046" s="23"/>
      <c r="I2046" s="70"/>
      <c r="L2046" s="71" t="n">
        <f aca="false">IF(助手收入!$R$138="",-1,助手收入!$R$138*100+(助手收入!$S$138-1)*6+1)</f>
        <v>-1</v>
      </c>
    </row>
    <row r="2047" customFormat="false" ht="23.25" hidden="false" customHeight="true" outlineLevel="0" collapsed="false">
      <c r="B2047" s="67" t="str">
        <f aca="false">""</f>
        <v/>
      </c>
      <c r="C2047" s="67"/>
      <c r="D2047" s="23" t="str">
        <f aca="false">IFERROR(INDEX(分录收入!$E:$E,MATCH($L2047,分录收入!$L:$L,0)),"")</f>
        <v/>
      </c>
      <c r="E2047" s="23" t="str">
        <f aca="false">IFERROR(INDEX(分录收入!$F:$F,MATCH($L2047,分录收入!$L:$L,0)),"")</f>
        <v/>
      </c>
      <c r="F2047" s="68" t="str">
        <f aca="false">IFERROR(INDEX(分录收入!$H:$H,MATCH($L2047,分录收入!$L:$L,0)),"")</f>
        <v/>
      </c>
      <c r="G2047" s="69" t="str">
        <f aca="false">IFERROR(INDEX(分录收入!$I:$I,MATCH($L2047,分录收入!$L:$L,0)),"")</f>
        <v/>
      </c>
      <c r="H2047" s="23"/>
      <c r="I2047" s="70"/>
      <c r="L2047" s="71" t="n">
        <f aca="false">IF(助手收入!$R$138="",-1,助手收入!$R$138*100+(助手收入!$S$138-1)*6+2)</f>
        <v>-1</v>
      </c>
    </row>
    <row r="2048" customFormat="false" ht="23.25" hidden="false" customHeight="true" outlineLevel="0" collapsed="false">
      <c r="B2048" s="67" t="str">
        <f aca="false">""</f>
        <v/>
      </c>
      <c r="C2048" s="67"/>
      <c r="D2048" s="23" t="str">
        <f aca="false">IFERROR(INDEX(分录收入!$E:$E,MATCH($L2048,分录收入!$L:$L,0)),"")</f>
        <v/>
      </c>
      <c r="E2048" s="23" t="str">
        <f aca="false">IFERROR(INDEX(分录收入!$F:$F,MATCH($L2048,分录收入!$L:$L,0)),"")</f>
        <v/>
      </c>
      <c r="F2048" s="68" t="str">
        <f aca="false">IFERROR(INDEX(分录收入!$H:$H,MATCH($L2048,分录收入!$L:$L,0)),"")</f>
        <v/>
      </c>
      <c r="G2048" s="69" t="str">
        <f aca="false">IFERROR(INDEX(分录收入!$I:$I,MATCH($L2048,分录收入!$L:$L,0)),"")</f>
        <v/>
      </c>
      <c r="H2048" s="23"/>
      <c r="I2048" s="70"/>
      <c r="L2048" s="71" t="n">
        <f aca="false">IF(助手收入!$R$138="",-1,助手收入!$R$138*100+(助手收入!$S$138-1)*6+3)</f>
        <v>-1</v>
      </c>
    </row>
    <row r="2049" customFormat="false" ht="23.25" hidden="false" customHeight="true" outlineLevel="0" collapsed="false">
      <c r="B2049" s="67" t="str">
        <f aca="false">""</f>
        <v/>
      </c>
      <c r="C2049" s="67"/>
      <c r="D2049" s="23" t="str">
        <f aca="false">IFERROR(INDEX(分录收入!$E:$E,MATCH($L2049,分录收入!$L:$L,0)),"")</f>
        <v/>
      </c>
      <c r="E2049" s="23" t="str">
        <f aca="false">IFERROR(INDEX(分录收入!$F:$F,MATCH($L2049,分录收入!$L:$L,0)),"")</f>
        <v/>
      </c>
      <c r="F2049" s="68" t="str">
        <f aca="false">IFERROR(INDEX(分录收入!$H:$H,MATCH($L2049,分录收入!$L:$L,0)),"")</f>
        <v/>
      </c>
      <c r="G2049" s="69" t="str">
        <f aca="false">IFERROR(INDEX(分录收入!$I:$I,MATCH($L2049,分录收入!$L:$L,0)),"")</f>
        <v/>
      </c>
      <c r="H2049" s="23"/>
      <c r="I2049" s="70"/>
      <c r="L2049" s="71" t="n">
        <f aca="false">IF(助手收入!$R$138="",-1,助手收入!$R$138*100+(助手收入!$S$138-1)*6+4)</f>
        <v>-1</v>
      </c>
    </row>
    <row r="2050" customFormat="false" ht="23.25" hidden="false" customHeight="true" outlineLevel="0" collapsed="false">
      <c r="B2050" s="67" t="str">
        <f aca="false">""</f>
        <v/>
      </c>
      <c r="C2050" s="67"/>
      <c r="D2050" s="23" t="str">
        <f aca="false">IFERROR(INDEX(分录收入!$E:$E,MATCH($L2050,分录收入!$L:$L,0)),"")</f>
        <v/>
      </c>
      <c r="E2050" s="23" t="str">
        <f aca="false">IFERROR(INDEX(分录收入!$F:$F,MATCH($L2050,分录收入!$L:$L,0)),"")</f>
        <v/>
      </c>
      <c r="F2050" s="68" t="str">
        <f aca="false">IFERROR(INDEX(分录收入!$H:$H,MATCH($L2050,分录收入!$L:$L,0)),"")</f>
        <v/>
      </c>
      <c r="G2050" s="69" t="str">
        <f aca="false">IFERROR(INDEX(分录收入!$I:$I,MATCH($L2050,分录收入!$L:$L,0)),"")</f>
        <v/>
      </c>
      <c r="H2050" s="23"/>
      <c r="I2050" s="70"/>
      <c r="L2050" s="71" t="n">
        <f aca="false">IF(助手收入!$R$138="",-1,助手收入!$R$138*100+(助手收入!$S$138-1)*6+5)</f>
        <v>-1</v>
      </c>
    </row>
    <row r="2051" customFormat="false" ht="23.25" hidden="false" customHeight="true" outlineLevel="0" collapsed="false">
      <c r="B2051" s="67" t="str">
        <f aca="false">""</f>
        <v/>
      </c>
      <c r="C2051" s="67"/>
      <c r="D2051" s="23" t="str">
        <f aca="false">IFERROR(INDEX(分录收入!$E:$E,MATCH($L2051,分录收入!$L:$L,0)),"")</f>
        <v/>
      </c>
      <c r="E2051" s="23" t="str">
        <f aca="false">IFERROR(INDEX(分录收入!$F:$F,MATCH($L2051,分录收入!$L:$L,0)),"")</f>
        <v/>
      </c>
      <c r="F2051" s="68" t="str">
        <f aca="false">IFERROR(INDEX(分录收入!$H:$H,MATCH($L2051,分录收入!$L:$L,0)),"")</f>
        <v/>
      </c>
      <c r="G2051" s="69" t="str">
        <f aca="false">IFERROR(INDEX(分录收入!$I:$I,MATCH($L2051,分录收入!$L:$L,0)),"")</f>
        <v/>
      </c>
      <c r="H2051" s="23"/>
      <c r="I2051" s="70"/>
      <c r="L2051" s="71" t="n">
        <f aca="false">IF(助手收入!$R$138="",-1,助手收入!$R$138*100+(助手收入!$S$138-1)*6+6)</f>
        <v>-1</v>
      </c>
    </row>
    <row r="2052" customFormat="false" ht="23.25" hidden="false" customHeight="true" outlineLevel="0" collapsed="false">
      <c r="B2052" s="72" t="str">
        <f aca="false">IF(助手收入!$T$138=1,"合计：","")</f>
        <v/>
      </c>
      <c r="C2052" s="73" t="str">
        <f aca="false">IF(助手收入!$T$138=1,$F2052,"")</f>
        <v/>
      </c>
      <c r="D2052" s="74"/>
      <c r="E2052" s="74"/>
      <c r="F2052" s="75" t="str">
        <f aca="false">IF(助手收入!$T$138=1,INDEX(助手收入!$N$2:$N$66,助手收入!$R$138),"")</f>
        <v/>
      </c>
      <c r="G2052" s="76" t="str">
        <f aca="false">IF(助手收入!$T$138=1,INDEX(助手收入!$O$2:$O$66,助手收入!$R$138),"")</f>
        <v/>
      </c>
      <c r="H2052" s="74"/>
      <c r="I2052" s="77"/>
    </row>
    <row r="2053" customFormat="false" ht="6" hidden="false" customHeight="true" outlineLevel="0" collapsed="false"/>
    <row r="2054" customFormat="false" ht="13.5" hidden="false" customHeight="false" outlineLevel="0" collapsed="false">
      <c r="B2054" s="78" t="str">
        <f aca="false">IF(助手收入!$R$138&lt;&gt;"","会计主管：","")</f>
        <v/>
      </c>
      <c r="D2054" s="78" t="str">
        <f aca="false">IF(助手收入!$R$138&lt;&gt;"","会计：","")</f>
        <v/>
      </c>
      <c r="E2054" s="78" t="str">
        <f aca="false">IF(助手收入!$R$138&lt;&gt;"","出纳：","")</f>
        <v/>
      </c>
      <c r="F2054" s="78" t="str">
        <f aca="false">IF(助手收入!$R$138&lt;&gt;"","复核：","")</f>
        <v/>
      </c>
      <c r="G2054" s="78" t="str">
        <f aca="false">IF(助手收入!$R$138&lt;&gt;"","制单：","")</f>
        <v/>
      </c>
    </row>
    <row r="2055" customFormat="false" ht="3" hidden="false" customHeight="true" outlineLevel="0" collapsed="false"/>
    <row r="2056" customFormat="false" ht="19.5" hidden="false" customHeight="true" outlineLevel="0" collapsed="false">
      <c r="B2056" s="53" t="str">
        <f aca="false">IF(助手收入!$R$139&lt;&gt;"","记  账  凭  证","")</f>
        <v/>
      </c>
      <c r="C2056" s="53"/>
      <c r="D2056" s="53"/>
      <c r="E2056" s="53"/>
      <c r="F2056" s="53"/>
      <c r="G2056" s="53"/>
      <c r="H2056" s="53"/>
      <c r="I2056" s="53"/>
    </row>
    <row r="2057" customFormat="false" ht="3" hidden="false" customHeight="true" outlineLevel="0" collapsed="false"/>
    <row r="2058" customFormat="false" ht="15" hidden="false" customHeight="true" outlineLevel="0" collapsed="false">
      <c r="C2058" s="56" t="str">
        <f aca="false">IF(助手收入!$R$139&lt;&gt;"",INDEX(助手收入!$B$2:$B$66,助手收入!$R$139),"")</f>
        <v/>
      </c>
      <c r="D2058" s="57" t="str">
        <f aca="false">IF(助手收入!$R$139&lt;&gt;"",参数!$B$2,"")</f>
        <v/>
      </c>
      <c r="E2058" s="57"/>
      <c r="F2058" s="58" t="str">
        <f aca="false">IF(助手收入!$R$139&lt;&gt;"",INDEX(助手收入!$C$2:$C$66,助手收入!$R$139)&amp;"  字第 "&amp;IF(参数!$B$9="是",INDEX(助手收入!$P$2:$P$66,助手收入!$R$139),"　　　　")&amp;" 号"&amp;IF(INDEX(助手收入!$L$2:$L$66,助手收入!$R$139)&gt;1,"  (共"&amp;INDEX(助手收入!$L$2:$L$66,助手收入!$R$139)&amp;"页 第"&amp;助手收入!$S$139&amp;"页)",""),"")</f>
        <v/>
      </c>
      <c r="G2058" s="58"/>
      <c r="H2058" s="58"/>
      <c r="I2058" s="58"/>
      <c r="M2058" s="79" t="str">
        <f aca="false">IF(助手收入!$R$139="","",助手收入!$Q$139)</f>
        <v/>
      </c>
      <c r="N2058" s="80" t="str">
        <f aca="false">IF(助手收入!$R$139="","",INDEX(助手收入!$P$2:$P$66,助手收入!$R$139))</f>
        <v/>
      </c>
      <c r="O2058" s="55" t="str">
        <f aca="false">IF(助手收入!$R$139="","",INDEX(助手收入!$C$2:$C$66,助手收入!$R$139)&amp;"  字第 "&amp;INDEX(助手收入!$P$2:$P$66,助手收入!$R$139)&amp;" 号"&amp;IF(INDEX(助手收入!$L$2:$L$66,助手收入!$R$139)&gt;1,"  (共"&amp;INDEX(助手收入!$L$2:$L$66,助手收入!$R$139)&amp;"页 第"&amp;助手收入!$S$139&amp;"页)",""))</f>
        <v/>
      </c>
    </row>
    <row r="2059" customFormat="false" ht="12.75" hidden="false" customHeight="true" outlineLevel="0" collapsed="false">
      <c r="B2059" s="61" t="str">
        <f aca="false">IF(助手收入!$R$139&lt;&gt;"","摘　　要","")</f>
        <v/>
      </c>
      <c r="C2059" s="61"/>
      <c r="D2059" s="62" t="str">
        <f aca="false">IF(助手收入!$R$139&lt;&gt;"","科　　　　目","")</f>
        <v/>
      </c>
      <c r="E2059" s="62"/>
      <c r="F2059" s="61" t="str">
        <f aca="false">IF(助手收入!$R$139&lt;&gt;"","借 方 金 额","")</f>
        <v/>
      </c>
      <c r="G2059" s="62" t="str">
        <f aca="false">IF(助手收入!$R$139&lt;&gt;"","贷 方 金 额","")</f>
        <v/>
      </c>
      <c r="H2059" s="63" t="str">
        <f aca="false">IF(助手收入!$R$139&lt;&gt;"","√","")</f>
        <v/>
      </c>
      <c r="I2059" s="64" t="str">
        <f aca="false">IF(助手收入!$R$139&lt;&gt;"","附单据  张","")</f>
        <v/>
      </c>
    </row>
    <row r="2060" customFormat="false" ht="12.75" hidden="false" customHeight="true" outlineLevel="0" collapsed="false">
      <c r="B2060" s="61"/>
      <c r="C2060" s="61"/>
      <c r="D2060" s="23" t="str">
        <f aca="false">IF(助手收入!$R$139&lt;&gt;"","总 账 科 目","")</f>
        <v/>
      </c>
      <c r="E2060" s="23" t="str">
        <f aca="false">IF(助手收入!$R$139&lt;&gt;"","明 细 科 目","")</f>
        <v/>
      </c>
      <c r="F2060" s="65"/>
      <c r="G2060" s="66"/>
      <c r="H2060" s="63"/>
      <c r="I2060" s="64"/>
    </row>
    <row r="2061" customFormat="false" ht="23.25" hidden="false" customHeight="true" outlineLevel="0" collapsed="false">
      <c r="B2061" s="67" t="str">
        <f aca="false">IFERROR(INDEX(分录收入!$M:$M,MATCH($L2061,分录收入!$L:$L,0)),"")</f>
        <v/>
      </c>
      <c r="C2061" s="67"/>
      <c r="D2061" s="23" t="str">
        <f aca="false">IFERROR(INDEX(分录收入!$E:$E,MATCH($L2061,分录收入!$L:$L,0)),"")</f>
        <v/>
      </c>
      <c r="E2061" s="23" t="str">
        <f aca="false">IFERROR(INDEX(分录收入!$F:$F,MATCH($L2061,分录收入!$L:$L,0)),"")</f>
        <v/>
      </c>
      <c r="F2061" s="68" t="str">
        <f aca="false">IFERROR(INDEX(分录收入!$H:$H,MATCH($L2061,分录收入!$L:$L,0)),"")</f>
        <v/>
      </c>
      <c r="G2061" s="69" t="str">
        <f aca="false">IFERROR(INDEX(分录收入!$I:$I,MATCH($L2061,分录收入!$L:$L,0)),"")</f>
        <v/>
      </c>
      <c r="H2061" s="23"/>
      <c r="I2061" s="70"/>
      <c r="L2061" s="71" t="n">
        <f aca="false">IF(助手收入!$R$139="",-1,助手收入!$R$139*100+(助手收入!$S$139-1)*6+1)</f>
        <v>-1</v>
      </c>
    </row>
    <row r="2062" customFormat="false" ht="23.25" hidden="false" customHeight="true" outlineLevel="0" collapsed="false">
      <c r="B2062" s="67" t="str">
        <f aca="false">""</f>
        <v/>
      </c>
      <c r="C2062" s="67"/>
      <c r="D2062" s="23" t="str">
        <f aca="false">IFERROR(INDEX(分录收入!$E:$E,MATCH($L2062,分录收入!$L:$L,0)),"")</f>
        <v/>
      </c>
      <c r="E2062" s="23" t="str">
        <f aca="false">IFERROR(INDEX(分录收入!$F:$F,MATCH($L2062,分录收入!$L:$L,0)),"")</f>
        <v/>
      </c>
      <c r="F2062" s="68" t="str">
        <f aca="false">IFERROR(INDEX(分录收入!$H:$H,MATCH($L2062,分录收入!$L:$L,0)),"")</f>
        <v/>
      </c>
      <c r="G2062" s="69" t="str">
        <f aca="false">IFERROR(INDEX(分录收入!$I:$I,MATCH($L2062,分录收入!$L:$L,0)),"")</f>
        <v/>
      </c>
      <c r="H2062" s="23"/>
      <c r="I2062" s="70"/>
      <c r="L2062" s="71" t="n">
        <f aca="false">IF(助手收入!$R$139="",-1,助手收入!$R$139*100+(助手收入!$S$139-1)*6+2)</f>
        <v>-1</v>
      </c>
    </row>
    <row r="2063" customFormat="false" ht="23.25" hidden="false" customHeight="true" outlineLevel="0" collapsed="false">
      <c r="B2063" s="67" t="str">
        <f aca="false">""</f>
        <v/>
      </c>
      <c r="C2063" s="67"/>
      <c r="D2063" s="23" t="str">
        <f aca="false">IFERROR(INDEX(分录收入!$E:$E,MATCH($L2063,分录收入!$L:$L,0)),"")</f>
        <v/>
      </c>
      <c r="E2063" s="23" t="str">
        <f aca="false">IFERROR(INDEX(分录收入!$F:$F,MATCH($L2063,分录收入!$L:$L,0)),"")</f>
        <v/>
      </c>
      <c r="F2063" s="68" t="str">
        <f aca="false">IFERROR(INDEX(分录收入!$H:$H,MATCH($L2063,分录收入!$L:$L,0)),"")</f>
        <v/>
      </c>
      <c r="G2063" s="69" t="str">
        <f aca="false">IFERROR(INDEX(分录收入!$I:$I,MATCH($L2063,分录收入!$L:$L,0)),"")</f>
        <v/>
      </c>
      <c r="H2063" s="23"/>
      <c r="I2063" s="70"/>
      <c r="L2063" s="71" t="n">
        <f aca="false">IF(助手收入!$R$139="",-1,助手收入!$R$139*100+(助手收入!$S$139-1)*6+3)</f>
        <v>-1</v>
      </c>
    </row>
    <row r="2064" customFormat="false" ht="23.25" hidden="false" customHeight="true" outlineLevel="0" collapsed="false">
      <c r="B2064" s="67" t="str">
        <f aca="false">""</f>
        <v/>
      </c>
      <c r="C2064" s="67"/>
      <c r="D2064" s="23" t="str">
        <f aca="false">IFERROR(INDEX(分录收入!$E:$E,MATCH($L2064,分录收入!$L:$L,0)),"")</f>
        <v/>
      </c>
      <c r="E2064" s="23" t="str">
        <f aca="false">IFERROR(INDEX(分录收入!$F:$F,MATCH($L2064,分录收入!$L:$L,0)),"")</f>
        <v/>
      </c>
      <c r="F2064" s="68" t="str">
        <f aca="false">IFERROR(INDEX(分录收入!$H:$H,MATCH($L2064,分录收入!$L:$L,0)),"")</f>
        <v/>
      </c>
      <c r="G2064" s="69" t="str">
        <f aca="false">IFERROR(INDEX(分录收入!$I:$I,MATCH($L2064,分录收入!$L:$L,0)),"")</f>
        <v/>
      </c>
      <c r="H2064" s="23"/>
      <c r="I2064" s="70"/>
      <c r="L2064" s="71" t="n">
        <f aca="false">IF(助手收入!$R$139="",-1,助手收入!$R$139*100+(助手收入!$S$139-1)*6+4)</f>
        <v>-1</v>
      </c>
    </row>
    <row r="2065" customFormat="false" ht="23.25" hidden="false" customHeight="true" outlineLevel="0" collapsed="false">
      <c r="B2065" s="67" t="str">
        <f aca="false">""</f>
        <v/>
      </c>
      <c r="C2065" s="67"/>
      <c r="D2065" s="23" t="str">
        <f aca="false">IFERROR(INDEX(分录收入!$E:$E,MATCH($L2065,分录收入!$L:$L,0)),"")</f>
        <v/>
      </c>
      <c r="E2065" s="23" t="str">
        <f aca="false">IFERROR(INDEX(分录收入!$F:$F,MATCH($L2065,分录收入!$L:$L,0)),"")</f>
        <v/>
      </c>
      <c r="F2065" s="68" t="str">
        <f aca="false">IFERROR(INDEX(分录收入!$H:$H,MATCH($L2065,分录收入!$L:$L,0)),"")</f>
        <v/>
      </c>
      <c r="G2065" s="69" t="str">
        <f aca="false">IFERROR(INDEX(分录收入!$I:$I,MATCH($L2065,分录收入!$L:$L,0)),"")</f>
        <v/>
      </c>
      <c r="H2065" s="23"/>
      <c r="I2065" s="70"/>
      <c r="L2065" s="71" t="n">
        <f aca="false">IF(助手收入!$R$139="",-1,助手收入!$R$139*100+(助手收入!$S$139-1)*6+5)</f>
        <v>-1</v>
      </c>
    </row>
    <row r="2066" customFormat="false" ht="23.25" hidden="false" customHeight="true" outlineLevel="0" collapsed="false">
      <c r="B2066" s="67" t="str">
        <f aca="false">""</f>
        <v/>
      </c>
      <c r="C2066" s="67"/>
      <c r="D2066" s="23" t="str">
        <f aca="false">IFERROR(INDEX(分录收入!$E:$E,MATCH($L2066,分录收入!$L:$L,0)),"")</f>
        <v/>
      </c>
      <c r="E2066" s="23" t="str">
        <f aca="false">IFERROR(INDEX(分录收入!$F:$F,MATCH($L2066,分录收入!$L:$L,0)),"")</f>
        <v/>
      </c>
      <c r="F2066" s="68" t="str">
        <f aca="false">IFERROR(INDEX(分录收入!$H:$H,MATCH($L2066,分录收入!$L:$L,0)),"")</f>
        <v/>
      </c>
      <c r="G2066" s="69" t="str">
        <f aca="false">IFERROR(INDEX(分录收入!$I:$I,MATCH($L2066,分录收入!$L:$L,0)),"")</f>
        <v/>
      </c>
      <c r="H2066" s="23"/>
      <c r="I2066" s="70"/>
      <c r="L2066" s="71" t="n">
        <f aca="false">IF(助手收入!$R$139="",-1,助手收入!$R$139*100+(助手收入!$S$139-1)*6+6)</f>
        <v>-1</v>
      </c>
    </row>
    <row r="2067" customFormat="false" ht="23.25" hidden="false" customHeight="true" outlineLevel="0" collapsed="false">
      <c r="B2067" s="72" t="str">
        <f aca="false">IF(助手收入!$T$139=1,"合计：","")</f>
        <v/>
      </c>
      <c r="C2067" s="73" t="str">
        <f aca="false">IF(助手收入!$T$139=1,$F2067,"")</f>
        <v/>
      </c>
      <c r="D2067" s="74"/>
      <c r="E2067" s="74"/>
      <c r="F2067" s="75" t="str">
        <f aca="false">IF(助手收入!$T$139=1,INDEX(助手收入!$N$2:$N$66,助手收入!$R$139),"")</f>
        <v/>
      </c>
      <c r="G2067" s="76" t="str">
        <f aca="false">IF(助手收入!$T$139=1,INDEX(助手收入!$O$2:$O$66,助手收入!$R$139),"")</f>
        <v/>
      </c>
      <c r="H2067" s="74"/>
      <c r="I2067" s="77"/>
    </row>
    <row r="2068" customFormat="false" ht="6" hidden="false" customHeight="true" outlineLevel="0" collapsed="false"/>
    <row r="2069" customFormat="false" ht="13.5" hidden="false" customHeight="false" outlineLevel="0" collapsed="false">
      <c r="B2069" s="78" t="str">
        <f aca="false">IF(助手收入!$R$139&lt;&gt;"","会计主管：","")</f>
        <v/>
      </c>
      <c r="D2069" s="78" t="str">
        <f aca="false">IF(助手收入!$R$139&lt;&gt;"","会计：","")</f>
        <v/>
      </c>
      <c r="E2069" s="78" t="str">
        <f aca="false">IF(助手收入!$R$139&lt;&gt;"","出纳：","")</f>
        <v/>
      </c>
      <c r="F2069" s="78" t="str">
        <f aca="false">IF(助手收入!$R$139&lt;&gt;"","复核：","")</f>
        <v/>
      </c>
      <c r="G2069" s="78" t="str">
        <f aca="false">IF(助手收入!$R$139&lt;&gt;"","制单：","")</f>
        <v/>
      </c>
    </row>
    <row r="2070" customFormat="false" ht="3" hidden="false" customHeight="true" outlineLevel="0" collapsed="false"/>
    <row r="2071" customFormat="false" ht="19.5" hidden="false" customHeight="true" outlineLevel="0" collapsed="false">
      <c r="B2071" s="53" t="str">
        <f aca="false">IF(助手收入!$R$140&lt;&gt;"","记  账  凭  证","")</f>
        <v/>
      </c>
      <c r="C2071" s="53"/>
      <c r="D2071" s="53"/>
      <c r="E2071" s="53"/>
      <c r="F2071" s="53"/>
      <c r="G2071" s="53"/>
      <c r="H2071" s="53"/>
      <c r="I2071" s="53"/>
    </row>
    <row r="2072" customFormat="false" ht="3" hidden="false" customHeight="true" outlineLevel="0" collapsed="false"/>
    <row r="2073" customFormat="false" ht="15" hidden="false" customHeight="true" outlineLevel="0" collapsed="false">
      <c r="C2073" s="56" t="str">
        <f aca="false">IF(助手收入!$R$140&lt;&gt;"",INDEX(助手收入!$B$2:$B$66,助手收入!$R$140),"")</f>
        <v/>
      </c>
      <c r="D2073" s="57" t="str">
        <f aca="false">IF(助手收入!$R$140&lt;&gt;"",参数!$B$2,"")</f>
        <v/>
      </c>
      <c r="E2073" s="57"/>
      <c r="F2073" s="58" t="str">
        <f aca="false">IF(助手收入!$R$140&lt;&gt;"",INDEX(助手收入!$C$2:$C$66,助手收入!$R$140)&amp;"  字第 "&amp;IF(参数!$B$9="是",INDEX(助手收入!$P$2:$P$66,助手收入!$R$140),"　　　　")&amp;" 号"&amp;IF(INDEX(助手收入!$L$2:$L$66,助手收入!$R$140)&gt;1,"  (共"&amp;INDEX(助手收入!$L$2:$L$66,助手收入!$R$140)&amp;"页 第"&amp;助手收入!$S$140&amp;"页)",""),"")</f>
        <v/>
      </c>
      <c r="G2073" s="58"/>
      <c r="H2073" s="58"/>
      <c r="I2073" s="58"/>
      <c r="M2073" s="79" t="str">
        <f aca="false">IF(助手收入!$R$140="","",助手收入!$Q$140)</f>
        <v/>
      </c>
      <c r="N2073" s="80" t="str">
        <f aca="false">IF(助手收入!$R$140="","",INDEX(助手收入!$P$2:$P$66,助手收入!$R$140))</f>
        <v/>
      </c>
      <c r="O2073" s="55" t="str">
        <f aca="false">IF(助手收入!$R$140="","",INDEX(助手收入!$C$2:$C$66,助手收入!$R$140)&amp;"  字第 "&amp;INDEX(助手收入!$P$2:$P$66,助手收入!$R$140)&amp;" 号"&amp;IF(INDEX(助手收入!$L$2:$L$66,助手收入!$R$140)&gt;1,"  (共"&amp;INDEX(助手收入!$L$2:$L$66,助手收入!$R$140)&amp;"页 第"&amp;助手收入!$S$140&amp;"页)",""))</f>
        <v/>
      </c>
    </row>
    <row r="2074" customFormat="false" ht="12.75" hidden="false" customHeight="true" outlineLevel="0" collapsed="false">
      <c r="B2074" s="61" t="str">
        <f aca="false">IF(助手收入!$R$140&lt;&gt;"","摘　　要","")</f>
        <v/>
      </c>
      <c r="C2074" s="61"/>
      <c r="D2074" s="62" t="str">
        <f aca="false">IF(助手收入!$R$140&lt;&gt;"","科　　　　目","")</f>
        <v/>
      </c>
      <c r="E2074" s="62"/>
      <c r="F2074" s="61" t="str">
        <f aca="false">IF(助手收入!$R$140&lt;&gt;"","借 方 金 额","")</f>
        <v/>
      </c>
      <c r="G2074" s="62" t="str">
        <f aca="false">IF(助手收入!$R$140&lt;&gt;"","贷 方 金 额","")</f>
        <v/>
      </c>
      <c r="H2074" s="63" t="str">
        <f aca="false">IF(助手收入!$R$140&lt;&gt;"","√","")</f>
        <v/>
      </c>
      <c r="I2074" s="64" t="str">
        <f aca="false">IF(助手收入!$R$140&lt;&gt;"","附单据  张","")</f>
        <v/>
      </c>
    </row>
    <row r="2075" customFormat="false" ht="12.75" hidden="false" customHeight="true" outlineLevel="0" collapsed="false">
      <c r="B2075" s="61"/>
      <c r="C2075" s="61"/>
      <c r="D2075" s="23" t="str">
        <f aca="false">IF(助手收入!$R$140&lt;&gt;"","总 账 科 目","")</f>
        <v/>
      </c>
      <c r="E2075" s="23" t="str">
        <f aca="false">IF(助手收入!$R$140&lt;&gt;"","明 细 科 目","")</f>
        <v/>
      </c>
      <c r="F2075" s="65"/>
      <c r="G2075" s="66"/>
      <c r="H2075" s="63"/>
      <c r="I2075" s="64"/>
    </row>
    <row r="2076" customFormat="false" ht="23.25" hidden="false" customHeight="true" outlineLevel="0" collapsed="false">
      <c r="B2076" s="67" t="str">
        <f aca="false">IFERROR(INDEX(分录收入!$M:$M,MATCH($L2076,分录收入!$L:$L,0)),"")</f>
        <v/>
      </c>
      <c r="C2076" s="67"/>
      <c r="D2076" s="23" t="str">
        <f aca="false">IFERROR(INDEX(分录收入!$E:$E,MATCH($L2076,分录收入!$L:$L,0)),"")</f>
        <v/>
      </c>
      <c r="E2076" s="23" t="str">
        <f aca="false">IFERROR(INDEX(分录收入!$F:$F,MATCH($L2076,分录收入!$L:$L,0)),"")</f>
        <v/>
      </c>
      <c r="F2076" s="68" t="str">
        <f aca="false">IFERROR(INDEX(分录收入!$H:$H,MATCH($L2076,分录收入!$L:$L,0)),"")</f>
        <v/>
      </c>
      <c r="G2076" s="69" t="str">
        <f aca="false">IFERROR(INDEX(分录收入!$I:$I,MATCH($L2076,分录收入!$L:$L,0)),"")</f>
        <v/>
      </c>
      <c r="H2076" s="23"/>
      <c r="I2076" s="70"/>
      <c r="L2076" s="71" t="n">
        <f aca="false">IF(助手收入!$R$140="",-1,助手收入!$R$140*100+(助手收入!$S$140-1)*6+1)</f>
        <v>-1</v>
      </c>
    </row>
    <row r="2077" customFormat="false" ht="23.25" hidden="false" customHeight="true" outlineLevel="0" collapsed="false">
      <c r="B2077" s="67" t="str">
        <f aca="false">""</f>
        <v/>
      </c>
      <c r="C2077" s="67"/>
      <c r="D2077" s="23" t="str">
        <f aca="false">IFERROR(INDEX(分录收入!$E:$E,MATCH($L2077,分录收入!$L:$L,0)),"")</f>
        <v/>
      </c>
      <c r="E2077" s="23" t="str">
        <f aca="false">IFERROR(INDEX(分录收入!$F:$F,MATCH($L2077,分录收入!$L:$L,0)),"")</f>
        <v/>
      </c>
      <c r="F2077" s="68" t="str">
        <f aca="false">IFERROR(INDEX(分录收入!$H:$H,MATCH($L2077,分录收入!$L:$L,0)),"")</f>
        <v/>
      </c>
      <c r="G2077" s="69" t="str">
        <f aca="false">IFERROR(INDEX(分录收入!$I:$I,MATCH($L2077,分录收入!$L:$L,0)),"")</f>
        <v/>
      </c>
      <c r="H2077" s="23"/>
      <c r="I2077" s="70"/>
      <c r="L2077" s="71" t="n">
        <f aca="false">IF(助手收入!$R$140="",-1,助手收入!$R$140*100+(助手收入!$S$140-1)*6+2)</f>
        <v>-1</v>
      </c>
    </row>
    <row r="2078" customFormat="false" ht="23.25" hidden="false" customHeight="true" outlineLevel="0" collapsed="false">
      <c r="B2078" s="67" t="str">
        <f aca="false">""</f>
        <v/>
      </c>
      <c r="C2078" s="67"/>
      <c r="D2078" s="23" t="str">
        <f aca="false">IFERROR(INDEX(分录收入!$E:$E,MATCH($L2078,分录收入!$L:$L,0)),"")</f>
        <v/>
      </c>
      <c r="E2078" s="23" t="str">
        <f aca="false">IFERROR(INDEX(分录收入!$F:$F,MATCH($L2078,分录收入!$L:$L,0)),"")</f>
        <v/>
      </c>
      <c r="F2078" s="68" t="str">
        <f aca="false">IFERROR(INDEX(分录收入!$H:$H,MATCH($L2078,分录收入!$L:$L,0)),"")</f>
        <v/>
      </c>
      <c r="G2078" s="69" t="str">
        <f aca="false">IFERROR(INDEX(分录收入!$I:$I,MATCH($L2078,分录收入!$L:$L,0)),"")</f>
        <v/>
      </c>
      <c r="H2078" s="23"/>
      <c r="I2078" s="70"/>
      <c r="L2078" s="71" t="n">
        <f aca="false">IF(助手收入!$R$140="",-1,助手收入!$R$140*100+(助手收入!$S$140-1)*6+3)</f>
        <v>-1</v>
      </c>
    </row>
    <row r="2079" customFormat="false" ht="23.25" hidden="false" customHeight="true" outlineLevel="0" collapsed="false">
      <c r="B2079" s="67" t="str">
        <f aca="false">""</f>
        <v/>
      </c>
      <c r="C2079" s="67"/>
      <c r="D2079" s="23" t="str">
        <f aca="false">IFERROR(INDEX(分录收入!$E:$E,MATCH($L2079,分录收入!$L:$L,0)),"")</f>
        <v/>
      </c>
      <c r="E2079" s="23" t="str">
        <f aca="false">IFERROR(INDEX(分录收入!$F:$F,MATCH($L2079,分录收入!$L:$L,0)),"")</f>
        <v/>
      </c>
      <c r="F2079" s="68" t="str">
        <f aca="false">IFERROR(INDEX(分录收入!$H:$H,MATCH($L2079,分录收入!$L:$L,0)),"")</f>
        <v/>
      </c>
      <c r="G2079" s="69" t="str">
        <f aca="false">IFERROR(INDEX(分录收入!$I:$I,MATCH($L2079,分录收入!$L:$L,0)),"")</f>
        <v/>
      </c>
      <c r="H2079" s="23"/>
      <c r="I2079" s="70"/>
      <c r="L2079" s="71" t="n">
        <f aca="false">IF(助手收入!$R$140="",-1,助手收入!$R$140*100+(助手收入!$S$140-1)*6+4)</f>
        <v>-1</v>
      </c>
    </row>
    <row r="2080" customFormat="false" ht="23.25" hidden="false" customHeight="true" outlineLevel="0" collapsed="false">
      <c r="B2080" s="67" t="str">
        <f aca="false">""</f>
        <v/>
      </c>
      <c r="C2080" s="67"/>
      <c r="D2080" s="23" t="str">
        <f aca="false">IFERROR(INDEX(分录收入!$E:$E,MATCH($L2080,分录收入!$L:$L,0)),"")</f>
        <v/>
      </c>
      <c r="E2080" s="23" t="str">
        <f aca="false">IFERROR(INDEX(分录收入!$F:$F,MATCH($L2080,分录收入!$L:$L,0)),"")</f>
        <v/>
      </c>
      <c r="F2080" s="68" t="str">
        <f aca="false">IFERROR(INDEX(分录收入!$H:$H,MATCH($L2080,分录收入!$L:$L,0)),"")</f>
        <v/>
      </c>
      <c r="G2080" s="69" t="str">
        <f aca="false">IFERROR(INDEX(分录收入!$I:$I,MATCH($L2080,分录收入!$L:$L,0)),"")</f>
        <v/>
      </c>
      <c r="H2080" s="23"/>
      <c r="I2080" s="70"/>
      <c r="L2080" s="71" t="n">
        <f aca="false">IF(助手收入!$R$140="",-1,助手收入!$R$140*100+(助手收入!$S$140-1)*6+5)</f>
        <v>-1</v>
      </c>
    </row>
    <row r="2081" customFormat="false" ht="23.25" hidden="false" customHeight="true" outlineLevel="0" collapsed="false">
      <c r="B2081" s="67" t="str">
        <f aca="false">""</f>
        <v/>
      </c>
      <c r="C2081" s="67"/>
      <c r="D2081" s="23" t="str">
        <f aca="false">IFERROR(INDEX(分录收入!$E:$E,MATCH($L2081,分录收入!$L:$L,0)),"")</f>
        <v/>
      </c>
      <c r="E2081" s="23" t="str">
        <f aca="false">IFERROR(INDEX(分录收入!$F:$F,MATCH($L2081,分录收入!$L:$L,0)),"")</f>
        <v/>
      </c>
      <c r="F2081" s="68" t="str">
        <f aca="false">IFERROR(INDEX(分录收入!$H:$H,MATCH($L2081,分录收入!$L:$L,0)),"")</f>
        <v/>
      </c>
      <c r="G2081" s="69" t="str">
        <f aca="false">IFERROR(INDEX(分录收入!$I:$I,MATCH($L2081,分录收入!$L:$L,0)),"")</f>
        <v/>
      </c>
      <c r="H2081" s="23"/>
      <c r="I2081" s="70"/>
      <c r="L2081" s="71" t="n">
        <f aca="false">IF(助手收入!$R$140="",-1,助手收入!$R$140*100+(助手收入!$S$140-1)*6+6)</f>
        <v>-1</v>
      </c>
    </row>
    <row r="2082" customFormat="false" ht="23.25" hidden="false" customHeight="true" outlineLevel="0" collapsed="false">
      <c r="B2082" s="72" t="str">
        <f aca="false">IF(助手收入!$T$140=1,"合计：","")</f>
        <v/>
      </c>
      <c r="C2082" s="73" t="str">
        <f aca="false">IF(助手收入!$T$140=1,$F2082,"")</f>
        <v/>
      </c>
      <c r="D2082" s="74"/>
      <c r="E2082" s="74"/>
      <c r="F2082" s="75" t="str">
        <f aca="false">IF(助手收入!$T$140=1,INDEX(助手收入!$N$2:$N$66,助手收入!$R$140),"")</f>
        <v/>
      </c>
      <c r="G2082" s="76" t="str">
        <f aca="false">IF(助手收入!$T$140=1,INDEX(助手收入!$O$2:$O$66,助手收入!$R$140),"")</f>
        <v/>
      </c>
      <c r="H2082" s="74"/>
      <c r="I2082" s="77"/>
    </row>
    <row r="2083" customFormat="false" ht="6" hidden="false" customHeight="true" outlineLevel="0" collapsed="false"/>
    <row r="2084" customFormat="false" ht="13.5" hidden="false" customHeight="false" outlineLevel="0" collapsed="false">
      <c r="B2084" s="78" t="str">
        <f aca="false">IF(助手收入!$R$140&lt;&gt;"","会计主管：","")</f>
        <v/>
      </c>
      <c r="D2084" s="78" t="str">
        <f aca="false">IF(助手收入!$R$140&lt;&gt;"","会计：","")</f>
        <v/>
      </c>
      <c r="E2084" s="78" t="str">
        <f aca="false">IF(助手收入!$R$140&lt;&gt;"","出纳：","")</f>
        <v/>
      </c>
      <c r="F2084" s="78" t="str">
        <f aca="false">IF(助手收入!$R$140&lt;&gt;"","复核：","")</f>
        <v/>
      </c>
      <c r="G2084" s="78" t="str">
        <f aca="false">IF(助手收入!$R$140&lt;&gt;"","制单：","")</f>
        <v/>
      </c>
    </row>
    <row r="2085" customFormat="false" ht="3" hidden="false" customHeight="true" outlineLevel="0" collapsed="false"/>
    <row r="2086" customFormat="false" ht="19.5" hidden="false" customHeight="true" outlineLevel="0" collapsed="false">
      <c r="B2086" s="53" t="str">
        <f aca="false">IF(助手收入!$R$141&lt;&gt;"","记  账  凭  证","")</f>
        <v/>
      </c>
      <c r="C2086" s="53"/>
      <c r="D2086" s="53"/>
      <c r="E2086" s="53"/>
      <c r="F2086" s="53"/>
      <c r="G2086" s="53"/>
      <c r="H2086" s="53"/>
      <c r="I2086" s="53"/>
    </row>
    <row r="2087" customFormat="false" ht="3" hidden="false" customHeight="true" outlineLevel="0" collapsed="false"/>
    <row r="2088" customFormat="false" ht="15" hidden="false" customHeight="true" outlineLevel="0" collapsed="false">
      <c r="C2088" s="56" t="str">
        <f aca="false">IF(助手收入!$R$141&lt;&gt;"",INDEX(助手收入!$B$2:$B$66,助手收入!$R$141),"")</f>
        <v/>
      </c>
      <c r="D2088" s="57" t="str">
        <f aca="false">IF(助手收入!$R$141&lt;&gt;"",参数!$B$2,"")</f>
        <v/>
      </c>
      <c r="E2088" s="57"/>
      <c r="F2088" s="58" t="str">
        <f aca="false">IF(助手收入!$R$141&lt;&gt;"",INDEX(助手收入!$C$2:$C$66,助手收入!$R$141)&amp;"  字第 "&amp;IF(参数!$B$9="是",INDEX(助手收入!$P$2:$P$66,助手收入!$R$141),"　　　　")&amp;" 号"&amp;IF(INDEX(助手收入!$L$2:$L$66,助手收入!$R$141)&gt;1,"  (共"&amp;INDEX(助手收入!$L$2:$L$66,助手收入!$R$141)&amp;"页 第"&amp;助手收入!$S$141&amp;"页)",""),"")</f>
        <v/>
      </c>
      <c r="G2088" s="58"/>
      <c r="H2088" s="58"/>
      <c r="I2088" s="58"/>
      <c r="M2088" s="79" t="str">
        <f aca="false">IF(助手收入!$R$141="","",助手收入!$Q$141)</f>
        <v/>
      </c>
      <c r="N2088" s="80" t="str">
        <f aca="false">IF(助手收入!$R$141="","",INDEX(助手收入!$P$2:$P$66,助手收入!$R$141))</f>
        <v/>
      </c>
      <c r="O2088" s="55" t="str">
        <f aca="false">IF(助手收入!$R$141="","",INDEX(助手收入!$C$2:$C$66,助手收入!$R$141)&amp;"  字第 "&amp;INDEX(助手收入!$P$2:$P$66,助手收入!$R$141)&amp;" 号"&amp;IF(INDEX(助手收入!$L$2:$L$66,助手收入!$R$141)&gt;1,"  (共"&amp;INDEX(助手收入!$L$2:$L$66,助手收入!$R$141)&amp;"页 第"&amp;助手收入!$S$141&amp;"页)",""))</f>
        <v/>
      </c>
    </row>
    <row r="2089" customFormat="false" ht="12.75" hidden="false" customHeight="true" outlineLevel="0" collapsed="false">
      <c r="B2089" s="61" t="str">
        <f aca="false">IF(助手收入!$R$141&lt;&gt;"","摘　　要","")</f>
        <v/>
      </c>
      <c r="C2089" s="61"/>
      <c r="D2089" s="62" t="str">
        <f aca="false">IF(助手收入!$R$141&lt;&gt;"","科　　　　目","")</f>
        <v/>
      </c>
      <c r="E2089" s="62"/>
      <c r="F2089" s="61" t="str">
        <f aca="false">IF(助手收入!$R$141&lt;&gt;"","借 方 金 额","")</f>
        <v/>
      </c>
      <c r="G2089" s="62" t="str">
        <f aca="false">IF(助手收入!$R$141&lt;&gt;"","贷 方 金 额","")</f>
        <v/>
      </c>
      <c r="H2089" s="63" t="str">
        <f aca="false">IF(助手收入!$R$141&lt;&gt;"","√","")</f>
        <v/>
      </c>
      <c r="I2089" s="64" t="str">
        <f aca="false">IF(助手收入!$R$141&lt;&gt;"","附单据  张","")</f>
        <v/>
      </c>
    </row>
    <row r="2090" customFormat="false" ht="12.75" hidden="false" customHeight="true" outlineLevel="0" collapsed="false">
      <c r="B2090" s="61"/>
      <c r="C2090" s="61"/>
      <c r="D2090" s="23" t="str">
        <f aca="false">IF(助手收入!$R$141&lt;&gt;"","总 账 科 目","")</f>
        <v/>
      </c>
      <c r="E2090" s="23" t="str">
        <f aca="false">IF(助手收入!$R$141&lt;&gt;"","明 细 科 目","")</f>
        <v/>
      </c>
      <c r="F2090" s="65"/>
      <c r="G2090" s="66"/>
      <c r="H2090" s="63"/>
      <c r="I2090" s="64"/>
    </row>
    <row r="2091" customFormat="false" ht="23.25" hidden="false" customHeight="true" outlineLevel="0" collapsed="false">
      <c r="B2091" s="67" t="str">
        <f aca="false">IFERROR(INDEX(分录收入!$M:$M,MATCH($L2091,分录收入!$L:$L,0)),"")</f>
        <v/>
      </c>
      <c r="C2091" s="67"/>
      <c r="D2091" s="23" t="str">
        <f aca="false">IFERROR(INDEX(分录收入!$E:$E,MATCH($L2091,分录收入!$L:$L,0)),"")</f>
        <v/>
      </c>
      <c r="E2091" s="23" t="str">
        <f aca="false">IFERROR(INDEX(分录收入!$F:$F,MATCH($L2091,分录收入!$L:$L,0)),"")</f>
        <v/>
      </c>
      <c r="F2091" s="68" t="str">
        <f aca="false">IFERROR(INDEX(分录收入!$H:$H,MATCH($L2091,分录收入!$L:$L,0)),"")</f>
        <v/>
      </c>
      <c r="G2091" s="69" t="str">
        <f aca="false">IFERROR(INDEX(分录收入!$I:$I,MATCH($L2091,分录收入!$L:$L,0)),"")</f>
        <v/>
      </c>
      <c r="H2091" s="23"/>
      <c r="I2091" s="70"/>
      <c r="L2091" s="71" t="n">
        <f aca="false">IF(助手收入!$R$141="",-1,助手收入!$R$141*100+(助手收入!$S$141-1)*6+1)</f>
        <v>-1</v>
      </c>
    </row>
    <row r="2092" customFormat="false" ht="23.25" hidden="false" customHeight="true" outlineLevel="0" collapsed="false">
      <c r="B2092" s="67" t="str">
        <f aca="false">""</f>
        <v/>
      </c>
      <c r="C2092" s="67"/>
      <c r="D2092" s="23" t="str">
        <f aca="false">IFERROR(INDEX(分录收入!$E:$E,MATCH($L2092,分录收入!$L:$L,0)),"")</f>
        <v/>
      </c>
      <c r="E2092" s="23" t="str">
        <f aca="false">IFERROR(INDEX(分录收入!$F:$F,MATCH($L2092,分录收入!$L:$L,0)),"")</f>
        <v/>
      </c>
      <c r="F2092" s="68" t="str">
        <f aca="false">IFERROR(INDEX(分录收入!$H:$H,MATCH($L2092,分录收入!$L:$L,0)),"")</f>
        <v/>
      </c>
      <c r="G2092" s="69" t="str">
        <f aca="false">IFERROR(INDEX(分录收入!$I:$I,MATCH($L2092,分录收入!$L:$L,0)),"")</f>
        <v/>
      </c>
      <c r="H2092" s="23"/>
      <c r="I2092" s="70"/>
      <c r="L2092" s="71" t="n">
        <f aca="false">IF(助手收入!$R$141="",-1,助手收入!$R$141*100+(助手收入!$S$141-1)*6+2)</f>
        <v>-1</v>
      </c>
    </row>
    <row r="2093" customFormat="false" ht="23.25" hidden="false" customHeight="true" outlineLevel="0" collapsed="false">
      <c r="B2093" s="67" t="str">
        <f aca="false">""</f>
        <v/>
      </c>
      <c r="C2093" s="67"/>
      <c r="D2093" s="23" t="str">
        <f aca="false">IFERROR(INDEX(分录收入!$E:$E,MATCH($L2093,分录收入!$L:$L,0)),"")</f>
        <v/>
      </c>
      <c r="E2093" s="23" t="str">
        <f aca="false">IFERROR(INDEX(分录收入!$F:$F,MATCH($L2093,分录收入!$L:$L,0)),"")</f>
        <v/>
      </c>
      <c r="F2093" s="68" t="str">
        <f aca="false">IFERROR(INDEX(分录收入!$H:$H,MATCH($L2093,分录收入!$L:$L,0)),"")</f>
        <v/>
      </c>
      <c r="G2093" s="69" t="str">
        <f aca="false">IFERROR(INDEX(分录收入!$I:$I,MATCH($L2093,分录收入!$L:$L,0)),"")</f>
        <v/>
      </c>
      <c r="H2093" s="23"/>
      <c r="I2093" s="70"/>
      <c r="L2093" s="71" t="n">
        <f aca="false">IF(助手收入!$R$141="",-1,助手收入!$R$141*100+(助手收入!$S$141-1)*6+3)</f>
        <v>-1</v>
      </c>
    </row>
    <row r="2094" customFormat="false" ht="23.25" hidden="false" customHeight="true" outlineLevel="0" collapsed="false">
      <c r="B2094" s="67" t="str">
        <f aca="false">""</f>
        <v/>
      </c>
      <c r="C2094" s="67"/>
      <c r="D2094" s="23" t="str">
        <f aca="false">IFERROR(INDEX(分录收入!$E:$E,MATCH($L2094,分录收入!$L:$L,0)),"")</f>
        <v/>
      </c>
      <c r="E2094" s="23" t="str">
        <f aca="false">IFERROR(INDEX(分录收入!$F:$F,MATCH($L2094,分录收入!$L:$L,0)),"")</f>
        <v/>
      </c>
      <c r="F2094" s="68" t="str">
        <f aca="false">IFERROR(INDEX(分录收入!$H:$H,MATCH($L2094,分录收入!$L:$L,0)),"")</f>
        <v/>
      </c>
      <c r="G2094" s="69" t="str">
        <f aca="false">IFERROR(INDEX(分录收入!$I:$I,MATCH($L2094,分录收入!$L:$L,0)),"")</f>
        <v/>
      </c>
      <c r="H2094" s="23"/>
      <c r="I2094" s="70"/>
      <c r="L2094" s="71" t="n">
        <f aca="false">IF(助手收入!$R$141="",-1,助手收入!$R$141*100+(助手收入!$S$141-1)*6+4)</f>
        <v>-1</v>
      </c>
    </row>
    <row r="2095" customFormat="false" ht="23.25" hidden="false" customHeight="true" outlineLevel="0" collapsed="false">
      <c r="B2095" s="67" t="str">
        <f aca="false">""</f>
        <v/>
      </c>
      <c r="C2095" s="67"/>
      <c r="D2095" s="23" t="str">
        <f aca="false">IFERROR(INDEX(分录收入!$E:$E,MATCH($L2095,分录收入!$L:$L,0)),"")</f>
        <v/>
      </c>
      <c r="E2095" s="23" t="str">
        <f aca="false">IFERROR(INDEX(分录收入!$F:$F,MATCH($L2095,分录收入!$L:$L,0)),"")</f>
        <v/>
      </c>
      <c r="F2095" s="68" t="str">
        <f aca="false">IFERROR(INDEX(分录收入!$H:$H,MATCH($L2095,分录收入!$L:$L,0)),"")</f>
        <v/>
      </c>
      <c r="G2095" s="69" t="str">
        <f aca="false">IFERROR(INDEX(分录收入!$I:$I,MATCH($L2095,分录收入!$L:$L,0)),"")</f>
        <v/>
      </c>
      <c r="H2095" s="23"/>
      <c r="I2095" s="70"/>
      <c r="L2095" s="71" t="n">
        <f aca="false">IF(助手收入!$R$141="",-1,助手收入!$R$141*100+(助手收入!$S$141-1)*6+5)</f>
        <v>-1</v>
      </c>
    </row>
    <row r="2096" customFormat="false" ht="23.25" hidden="false" customHeight="true" outlineLevel="0" collapsed="false">
      <c r="B2096" s="67" t="str">
        <f aca="false">""</f>
        <v/>
      </c>
      <c r="C2096" s="67"/>
      <c r="D2096" s="23" t="str">
        <f aca="false">IFERROR(INDEX(分录收入!$E:$E,MATCH($L2096,分录收入!$L:$L,0)),"")</f>
        <v/>
      </c>
      <c r="E2096" s="23" t="str">
        <f aca="false">IFERROR(INDEX(分录收入!$F:$F,MATCH($L2096,分录收入!$L:$L,0)),"")</f>
        <v/>
      </c>
      <c r="F2096" s="68" t="str">
        <f aca="false">IFERROR(INDEX(分录收入!$H:$H,MATCH($L2096,分录收入!$L:$L,0)),"")</f>
        <v/>
      </c>
      <c r="G2096" s="69" t="str">
        <f aca="false">IFERROR(INDEX(分录收入!$I:$I,MATCH($L2096,分录收入!$L:$L,0)),"")</f>
        <v/>
      </c>
      <c r="H2096" s="23"/>
      <c r="I2096" s="70"/>
      <c r="L2096" s="71" t="n">
        <f aca="false">IF(助手收入!$R$141="",-1,助手收入!$R$141*100+(助手收入!$S$141-1)*6+6)</f>
        <v>-1</v>
      </c>
    </row>
    <row r="2097" customFormat="false" ht="23.25" hidden="false" customHeight="true" outlineLevel="0" collapsed="false">
      <c r="B2097" s="72" t="str">
        <f aca="false">IF(助手收入!$T$141=1,"合计：","")</f>
        <v/>
      </c>
      <c r="C2097" s="73" t="str">
        <f aca="false">IF(助手收入!$T$141=1,$F2097,"")</f>
        <v/>
      </c>
      <c r="D2097" s="74"/>
      <c r="E2097" s="74"/>
      <c r="F2097" s="75" t="str">
        <f aca="false">IF(助手收入!$T$141=1,INDEX(助手收入!$N$2:$N$66,助手收入!$R$141),"")</f>
        <v/>
      </c>
      <c r="G2097" s="76" t="str">
        <f aca="false">IF(助手收入!$T$141=1,INDEX(助手收入!$O$2:$O$66,助手收入!$R$141),"")</f>
        <v/>
      </c>
      <c r="H2097" s="74"/>
      <c r="I2097" s="77"/>
    </row>
    <row r="2098" customFormat="false" ht="6" hidden="false" customHeight="true" outlineLevel="0" collapsed="false"/>
    <row r="2099" customFormat="false" ht="13.5" hidden="false" customHeight="false" outlineLevel="0" collapsed="false">
      <c r="B2099" s="78" t="str">
        <f aca="false">IF(助手收入!$R$141&lt;&gt;"","会计主管：","")</f>
        <v/>
      </c>
      <c r="D2099" s="78" t="str">
        <f aca="false">IF(助手收入!$R$141&lt;&gt;"","会计：","")</f>
        <v/>
      </c>
      <c r="E2099" s="78" t="str">
        <f aca="false">IF(助手收入!$R$141&lt;&gt;"","出纳：","")</f>
        <v/>
      </c>
      <c r="F2099" s="78" t="str">
        <f aca="false">IF(助手收入!$R$141&lt;&gt;"","复核：","")</f>
        <v/>
      </c>
      <c r="G2099" s="78" t="str">
        <f aca="false">IF(助手收入!$R$141&lt;&gt;"","制单：","")</f>
        <v/>
      </c>
    </row>
    <row r="2100" customFormat="false" ht="3" hidden="false" customHeight="true" outlineLevel="0" collapsed="false"/>
    <row r="2101" customFormat="false" ht="19.5" hidden="false" customHeight="true" outlineLevel="0" collapsed="false">
      <c r="B2101" s="53" t="str">
        <f aca="false">IF(助手收入!$R$142&lt;&gt;"","记  账  凭  证","")</f>
        <v/>
      </c>
      <c r="C2101" s="53"/>
      <c r="D2101" s="53"/>
      <c r="E2101" s="53"/>
      <c r="F2101" s="53"/>
      <c r="G2101" s="53"/>
      <c r="H2101" s="53"/>
      <c r="I2101" s="53"/>
    </row>
    <row r="2102" customFormat="false" ht="3" hidden="false" customHeight="true" outlineLevel="0" collapsed="false"/>
    <row r="2103" customFormat="false" ht="15" hidden="false" customHeight="true" outlineLevel="0" collapsed="false">
      <c r="C2103" s="56" t="str">
        <f aca="false">IF(助手收入!$R$142&lt;&gt;"",INDEX(助手收入!$B$2:$B$66,助手收入!$R$142),"")</f>
        <v/>
      </c>
      <c r="D2103" s="57" t="str">
        <f aca="false">IF(助手收入!$R$142&lt;&gt;"",参数!$B$2,"")</f>
        <v/>
      </c>
      <c r="E2103" s="57"/>
      <c r="F2103" s="58" t="str">
        <f aca="false">IF(助手收入!$R$142&lt;&gt;"",INDEX(助手收入!$C$2:$C$66,助手收入!$R$142)&amp;"  字第 "&amp;IF(参数!$B$9="是",INDEX(助手收入!$P$2:$P$66,助手收入!$R$142),"　　　　")&amp;" 号"&amp;IF(INDEX(助手收入!$L$2:$L$66,助手收入!$R$142)&gt;1,"  (共"&amp;INDEX(助手收入!$L$2:$L$66,助手收入!$R$142)&amp;"页 第"&amp;助手收入!$S$142&amp;"页)",""),"")</f>
        <v/>
      </c>
      <c r="G2103" s="58"/>
      <c r="H2103" s="58"/>
      <c r="I2103" s="58"/>
      <c r="M2103" s="79" t="str">
        <f aca="false">IF(助手收入!$R$142="","",助手收入!$Q$142)</f>
        <v/>
      </c>
      <c r="N2103" s="80" t="str">
        <f aca="false">IF(助手收入!$R$142="","",INDEX(助手收入!$P$2:$P$66,助手收入!$R$142))</f>
        <v/>
      </c>
      <c r="O2103" s="55" t="str">
        <f aca="false">IF(助手收入!$R$142="","",INDEX(助手收入!$C$2:$C$66,助手收入!$R$142)&amp;"  字第 "&amp;INDEX(助手收入!$P$2:$P$66,助手收入!$R$142)&amp;" 号"&amp;IF(INDEX(助手收入!$L$2:$L$66,助手收入!$R$142)&gt;1,"  (共"&amp;INDEX(助手收入!$L$2:$L$66,助手收入!$R$142)&amp;"页 第"&amp;助手收入!$S$142&amp;"页)",""))</f>
        <v/>
      </c>
    </row>
    <row r="2104" customFormat="false" ht="12.75" hidden="false" customHeight="true" outlineLevel="0" collapsed="false">
      <c r="B2104" s="61" t="str">
        <f aca="false">IF(助手收入!$R$142&lt;&gt;"","摘　　要","")</f>
        <v/>
      </c>
      <c r="C2104" s="61"/>
      <c r="D2104" s="62" t="str">
        <f aca="false">IF(助手收入!$R$142&lt;&gt;"","科　　　　目","")</f>
        <v/>
      </c>
      <c r="E2104" s="62"/>
      <c r="F2104" s="61" t="str">
        <f aca="false">IF(助手收入!$R$142&lt;&gt;"","借 方 金 额","")</f>
        <v/>
      </c>
      <c r="G2104" s="62" t="str">
        <f aca="false">IF(助手收入!$R$142&lt;&gt;"","贷 方 金 额","")</f>
        <v/>
      </c>
      <c r="H2104" s="63" t="str">
        <f aca="false">IF(助手收入!$R$142&lt;&gt;"","√","")</f>
        <v/>
      </c>
      <c r="I2104" s="64" t="str">
        <f aca="false">IF(助手收入!$R$142&lt;&gt;"","附单据  张","")</f>
        <v/>
      </c>
    </row>
    <row r="2105" customFormat="false" ht="12.75" hidden="false" customHeight="true" outlineLevel="0" collapsed="false">
      <c r="B2105" s="61"/>
      <c r="C2105" s="61"/>
      <c r="D2105" s="23" t="str">
        <f aca="false">IF(助手收入!$R$142&lt;&gt;"","总 账 科 目","")</f>
        <v/>
      </c>
      <c r="E2105" s="23" t="str">
        <f aca="false">IF(助手收入!$R$142&lt;&gt;"","明 细 科 目","")</f>
        <v/>
      </c>
      <c r="F2105" s="65"/>
      <c r="G2105" s="66"/>
      <c r="H2105" s="63"/>
      <c r="I2105" s="64"/>
    </row>
    <row r="2106" customFormat="false" ht="23.25" hidden="false" customHeight="true" outlineLevel="0" collapsed="false">
      <c r="B2106" s="67" t="str">
        <f aca="false">IFERROR(INDEX(分录收入!$M:$M,MATCH($L2106,分录收入!$L:$L,0)),"")</f>
        <v/>
      </c>
      <c r="C2106" s="67"/>
      <c r="D2106" s="23" t="str">
        <f aca="false">IFERROR(INDEX(分录收入!$E:$E,MATCH($L2106,分录收入!$L:$L,0)),"")</f>
        <v/>
      </c>
      <c r="E2106" s="23" t="str">
        <f aca="false">IFERROR(INDEX(分录收入!$F:$F,MATCH($L2106,分录收入!$L:$L,0)),"")</f>
        <v/>
      </c>
      <c r="F2106" s="68" t="str">
        <f aca="false">IFERROR(INDEX(分录收入!$H:$H,MATCH($L2106,分录收入!$L:$L,0)),"")</f>
        <v/>
      </c>
      <c r="G2106" s="69" t="str">
        <f aca="false">IFERROR(INDEX(分录收入!$I:$I,MATCH($L2106,分录收入!$L:$L,0)),"")</f>
        <v/>
      </c>
      <c r="H2106" s="23"/>
      <c r="I2106" s="70"/>
      <c r="L2106" s="71" t="n">
        <f aca="false">IF(助手收入!$R$142="",-1,助手收入!$R$142*100+(助手收入!$S$142-1)*6+1)</f>
        <v>-1</v>
      </c>
    </row>
    <row r="2107" customFormat="false" ht="23.25" hidden="false" customHeight="true" outlineLevel="0" collapsed="false">
      <c r="B2107" s="67" t="str">
        <f aca="false">""</f>
        <v/>
      </c>
      <c r="C2107" s="67"/>
      <c r="D2107" s="23" t="str">
        <f aca="false">IFERROR(INDEX(分录收入!$E:$E,MATCH($L2107,分录收入!$L:$L,0)),"")</f>
        <v/>
      </c>
      <c r="E2107" s="23" t="str">
        <f aca="false">IFERROR(INDEX(分录收入!$F:$F,MATCH($L2107,分录收入!$L:$L,0)),"")</f>
        <v/>
      </c>
      <c r="F2107" s="68" t="str">
        <f aca="false">IFERROR(INDEX(分录收入!$H:$H,MATCH($L2107,分录收入!$L:$L,0)),"")</f>
        <v/>
      </c>
      <c r="G2107" s="69" t="str">
        <f aca="false">IFERROR(INDEX(分录收入!$I:$I,MATCH($L2107,分录收入!$L:$L,0)),"")</f>
        <v/>
      </c>
      <c r="H2107" s="23"/>
      <c r="I2107" s="70"/>
      <c r="L2107" s="71" t="n">
        <f aca="false">IF(助手收入!$R$142="",-1,助手收入!$R$142*100+(助手收入!$S$142-1)*6+2)</f>
        <v>-1</v>
      </c>
    </row>
    <row r="2108" customFormat="false" ht="23.25" hidden="false" customHeight="true" outlineLevel="0" collapsed="false">
      <c r="B2108" s="67" t="str">
        <f aca="false">""</f>
        <v/>
      </c>
      <c r="C2108" s="67"/>
      <c r="D2108" s="23" t="str">
        <f aca="false">IFERROR(INDEX(分录收入!$E:$E,MATCH($L2108,分录收入!$L:$L,0)),"")</f>
        <v/>
      </c>
      <c r="E2108" s="23" t="str">
        <f aca="false">IFERROR(INDEX(分录收入!$F:$F,MATCH($L2108,分录收入!$L:$L,0)),"")</f>
        <v/>
      </c>
      <c r="F2108" s="68" t="str">
        <f aca="false">IFERROR(INDEX(分录收入!$H:$H,MATCH($L2108,分录收入!$L:$L,0)),"")</f>
        <v/>
      </c>
      <c r="G2108" s="69" t="str">
        <f aca="false">IFERROR(INDEX(分录收入!$I:$I,MATCH($L2108,分录收入!$L:$L,0)),"")</f>
        <v/>
      </c>
      <c r="H2108" s="23"/>
      <c r="I2108" s="70"/>
      <c r="L2108" s="71" t="n">
        <f aca="false">IF(助手收入!$R$142="",-1,助手收入!$R$142*100+(助手收入!$S$142-1)*6+3)</f>
        <v>-1</v>
      </c>
    </row>
    <row r="2109" customFormat="false" ht="23.25" hidden="false" customHeight="true" outlineLevel="0" collapsed="false">
      <c r="B2109" s="67" t="str">
        <f aca="false">""</f>
        <v/>
      </c>
      <c r="C2109" s="67"/>
      <c r="D2109" s="23" t="str">
        <f aca="false">IFERROR(INDEX(分录收入!$E:$E,MATCH($L2109,分录收入!$L:$L,0)),"")</f>
        <v/>
      </c>
      <c r="E2109" s="23" t="str">
        <f aca="false">IFERROR(INDEX(分录收入!$F:$F,MATCH($L2109,分录收入!$L:$L,0)),"")</f>
        <v/>
      </c>
      <c r="F2109" s="68" t="str">
        <f aca="false">IFERROR(INDEX(分录收入!$H:$H,MATCH($L2109,分录收入!$L:$L,0)),"")</f>
        <v/>
      </c>
      <c r="G2109" s="69" t="str">
        <f aca="false">IFERROR(INDEX(分录收入!$I:$I,MATCH($L2109,分录收入!$L:$L,0)),"")</f>
        <v/>
      </c>
      <c r="H2109" s="23"/>
      <c r="I2109" s="70"/>
      <c r="L2109" s="71" t="n">
        <f aca="false">IF(助手收入!$R$142="",-1,助手收入!$R$142*100+(助手收入!$S$142-1)*6+4)</f>
        <v>-1</v>
      </c>
    </row>
    <row r="2110" customFormat="false" ht="23.25" hidden="false" customHeight="true" outlineLevel="0" collapsed="false">
      <c r="B2110" s="67" t="str">
        <f aca="false">""</f>
        <v/>
      </c>
      <c r="C2110" s="67"/>
      <c r="D2110" s="23" t="str">
        <f aca="false">IFERROR(INDEX(分录收入!$E:$E,MATCH($L2110,分录收入!$L:$L,0)),"")</f>
        <v/>
      </c>
      <c r="E2110" s="23" t="str">
        <f aca="false">IFERROR(INDEX(分录收入!$F:$F,MATCH($L2110,分录收入!$L:$L,0)),"")</f>
        <v/>
      </c>
      <c r="F2110" s="68" t="str">
        <f aca="false">IFERROR(INDEX(分录收入!$H:$H,MATCH($L2110,分录收入!$L:$L,0)),"")</f>
        <v/>
      </c>
      <c r="G2110" s="69" t="str">
        <f aca="false">IFERROR(INDEX(分录收入!$I:$I,MATCH($L2110,分录收入!$L:$L,0)),"")</f>
        <v/>
      </c>
      <c r="H2110" s="23"/>
      <c r="I2110" s="70"/>
      <c r="L2110" s="71" t="n">
        <f aca="false">IF(助手收入!$R$142="",-1,助手收入!$R$142*100+(助手收入!$S$142-1)*6+5)</f>
        <v>-1</v>
      </c>
    </row>
    <row r="2111" customFormat="false" ht="23.25" hidden="false" customHeight="true" outlineLevel="0" collapsed="false">
      <c r="B2111" s="67" t="str">
        <f aca="false">""</f>
        <v/>
      </c>
      <c r="C2111" s="67"/>
      <c r="D2111" s="23" t="str">
        <f aca="false">IFERROR(INDEX(分录收入!$E:$E,MATCH($L2111,分录收入!$L:$L,0)),"")</f>
        <v/>
      </c>
      <c r="E2111" s="23" t="str">
        <f aca="false">IFERROR(INDEX(分录收入!$F:$F,MATCH($L2111,分录收入!$L:$L,0)),"")</f>
        <v/>
      </c>
      <c r="F2111" s="68" t="str">
        <f aca="false">IFERROR(INDEX(分录收入!$H:$H,MATCH($L2111,分录收入!$L:$L,0)),"")</f>
        <v/>
      </c>
      <c r="G2111" s="69" t="str">
        <f aca="false">IFERROR(INDEX(分录收入!$I:$I,MATCH($L2111,分录收入!$L:$L,0)),"")</f>
        <v/>
      </c>
      <c r="H2111" s="23"/>
      <c r="I2111" s="70"/>
      <c r="L2111" s="71" t="n">
        <f aca="false">IF(助手收入!$R$142="",-1,助手收入!$R$142*100+(助手收入!$S$142-1)*6+6)</f>
        <v>-1</v>
      </c>
    </row>
    <row r="2112" customFormat="false" ht="23.25" hidden="false" customHeight="true" outlineLevel="0" collapsed="false">
      <c r="B2112" s="72" t="str">
        <f aca="false">IF(助手收入!$T$142=1,"合计：","")</f>
        <v/>
      </c>
      <c r="C2112" s="73" t="str">
        <f aca="false">IF(助手收入!$T$142=1,$F2112,"")</f>
        <v/>
      </c>
      <c r="D2112" s="74"/>
      <c r="E2112" s="74"/>
      <c r="F2112" s="75" t="str">
        <f aca="false">IF(助手收入!$T$142=1,INDEX(助手收入!$N$2:$N$66,助手收入!$R$142),"")</f>
        <v/>
      </c>
      <c r="G2112" s="76" t="str">
        <f aca="false">IF(助手收入!$T$142=1,INDEX(助手收入!$O$2:$O$66,助手收入!$R$142),"")</f>
        <v/>
      </c>
      <c r="H2112" s="74"/>
      <c r="I2112" s="77"/>
    </row>
    <row r="2113" customFormat="false" ht="6" hidden="false" customHeight="true" outlineLevel="0" collapsed="false"/>
    <row r="2114" customFormat="false" ht="13.5" hidden="false" customHeight="false" outlineLevel="0" collapsed="false">
      <c r="B2114" s="78" t="str">
        <f aca="false">IF(助手收入!$R$142&lt;&gt;"","会计主管：","")</f>
        <v/>
      </c>
      <c r="D2114" s="78" t="str">
        <f aca="false">IF(助手收入!$R$142&lt;&gt;"","会计：","")</f>
        <v/>
      </c>
      <c r="E2114" s="78" t="str">
        <f aca="false">IF(助手收入!$R$142&lt;&gt;"","出纳：","")</f>
        <v/>
      </c>
      <c r="F2114" s="78" t="str">
        <f aca="false">IF(助手收入!$R$142&lt;&gt;"","复核：","")</f>
        <v/>
      </c>
      <c r="G2114" s="78" t="str">
        <f aca="false">IF(助手收入!$R$142&lt;&gt;"","制单：","")</f>
        <v/>
      </c>
    </row>
    <row r="2115" customFormat="false" ht="3" hidden="false" customHeight="true" outlineLevel="0" collapsed="false"/>
    <row r="2116" customFormat="false" ht="19.5" hidden="false" customHeight="true" outlineLevel="0" collapsed="false">
      <c r="B2116" s="53" t="str">
        <f aca="false">IF(助手收入!$R$143&lt;&gt;"","记  账  凭  证","")</f>
        <v/>
      </c>
      <c r="C2116" s="53"/>
      <c r="D2116" s="53"/>
      <c r="E2116" s="53"/>
      <c r="F2116" s="53"/>
      <c r="G2116" s="53"/>
      <c r="H2116" s="53"/>
      <c r="I2116" s="53"/>
    </row>
    <row r="2117" customFormat="false" ht="3" hidden="false" customHeight="true" outlineLevel="0" collapsed="false"/>
    <row r="2118" customFormat="false" ht="15" hidden="false" customHeight="true" outlineLevel="0" collapsed="false">
      <c r="C2118" s="56" t="str">
        <f aca="false">IF(助手收入!$R$143&lt;&gt;"",INDEX(助手收入!$B$2:$B$66,助手收入!$R$143),"")</f>
        <v/>
      </c>
      <c r="D2118" s="57" t="str">
        <f aca="false">IF(助手收入!$R$143&lt;&gt;"",参数!$B$2,"")</f>
        <v/>
      </c>
      <c r="E2118" s="57"/>
      <c r="F2118" s="58" t="str">
        <f aca="false">IF(助手收入!$R$143&lt;&gt;"",INDEX(助手收入!$C$2:$C$66,助手收入!$R$143)&amp;"  字第 "&amp;IF(参数!$B$9="是",INDEX(助手收入!$P$2:$P$66,助手收入!$R$143),"　　　　")&amp;" 号"&amp;IF(INDEX(助手收入!$L$2:$L$66,助手收入!$R$143)&gt;1,"  (共"&amp;INDEX(助手收入!$L$2:$L$66,助手收入!$R$143)&amp;"页 第"&amp;助手收入!$S$143&amp;"页)",""),"")</f>
        <v/>
      </c>
      <c r="G2118" s="58"/>
      <c r="H2118" s="58"/>
      <c r="I2118" s="58"/>
      <c r="M2118" s="79" t="str">
        <f aca="false">IF(助手收入!$R$143="","",助手收入!$Q$143)</f>
        <v/>
      </c>
      <c r="N2118" s="80" t="str">
        <f aca="false">IF(助手收入!$R$143="","",INDEX(助手收入!$P$2:$P$66,助手收入!$R$143))</f>
        <v/>
      </c>
      <c r="O2118" s="55" t="str">
        <f aca="false">IF(助手收入!$R$143="","",INDEX(助手收入!$C$2:$C$66,助手收入!$R$143)&amp;"  字第 "&amp;INDEX(助手收入!$P$2:$P$66,助手收入!$R$143)&amp;" 号"&amp;IF(INDEX(助手收入!$L$2:$L$66,助手收入!$R$143)&gt;1,"  (共"&amp;INDEX(助手收入!$L$2:$L$66,助手收入!$R$143)&amp;"页 第"&amp;助手收入!$S$143&amp;"页)",""))</f>
        <v/>
      </c>
    </row>
    <row r="2119" customFormat="false" ht="12.75" hidden="false" customHeight="true" outlineLevel="0" collapsed="false">
      <c r="B2119" s="61" t="str">
        <f aca="false">IF(助手收入!$R$143&lt;&gt;"","摘　　要","")</f>
        <v/>
      </c>
      <c r="C2119" s="61"/>
      <c r="D2119" s="62" t="str">
        <f aca="false">IF(助手收入!$R$143&lt;&gt;"","科　　　　目","")</f>
        <v/>
      </c>
      <c r="E2119" s="62"/>
      <c r="F2119" s="61" t="str">
        <f aca="false">IF(助手收入!$R$143&lt;&gt;"","借 方 金 额","")</f>
        <v/>
      </c>
      <c r="G2119" s="62" t="str">
        <f aca="false">IF(助手收入!$R$143&lt;&gt;"","贷 方 金 额","")</f>
        <v/>
      </c>
      <c r="H2119" s="63" t="str">
        <f aca="false">IF(助手收入!$R$143&lt;&gt;"","√","")</f>
        <v/>
      </c>
      <c r="I2119" s="64" t="str">
        <f aca="false">IF(助手收入!$R$143&lt;&gt;"","附单据  张","")</f>
        <v/>
      </c>
    </row>
    <row r="2120" customFormat="false" ht="12.75" hidden="false" customHeight="true" outlineLevel="0" collapsed="false">
      <c r="B2120" s="61"/>
      <c r="C2120" s="61"/>
      <c r="D2120" s="23" t="str">
        <f aca="false">IF(助手收入!$R$143&lt;&gt;"","总 账 科 目","")</f>
        <v/>
      </c>
      <c r="E2120" s="23" t="str">
        <f aca="false">IF(助手收入!$R$143&lt;&gt;"","明 细 科 目","")</f>
        <v/>
      </c>
      <c r="F2120" s="65"/>
      <c r="G2120" s="66"/>
      <c r="H2120" s="63"/>
      <c r="I2120" s="64"/>
    </row>
    <row r="2121" customFormat="false" ht="23.25" hidden="false" customHeight="true" outlineLevel="0" collapsed="false">
      <c r="B2121" s="67" t="str">
        <f aca="false">IFERROR(INDEX(分录收入!$M:$M,MATCH($L2121,分录收入!$L:$L,0)),"")</f>
        <v/>
      </c>
      <c r="C2121" s="67"/>
      <c r="D2121" s="23" t="str">
        <f aca="false">IFERROR(INDEX(分录收入!$E:$E,MATCH($L2121,分录收入!$L:$L,0)),"")</f>
        <v/>
      </c>
      <c r="E2121" s="23" t="str">
        <f aca="false">IFERROR(INDEX(分录收入!$F:$F,MATCH($L2121,分录收入!$L:$L,0)),"")</f>
        <v/>
      </c>
      <c r="F2121" s="68" t="str">
        <f aca="false">IFERROR(INDEX(分录收入!$H:$H,MATCH($L2121,分录收入!$L:$L,0)),"")</f>
        <v/>
      </c>
      <c r="G2121" s="69" t="str">
        <f aca="false">IFERROR(INDEX(分录收入!$I:$I,MATCH($L2121,分录收入!$L:$L,0)),"")</f>
        <v/>
      </c>
      <c r="H2121" s="23"/>
      <c r="I2121" s="70"/>
      <c r="L2121" s="71" t="n">
        <f aca="false">IF(助手收入!$R$143="",-1,助手收入!$R$143*100+(助手收入!$S$143-1)*6+1)</f>
        <v>-1</v>
      </c>
    </row>
    <row r="2122" customFormat="false" ht="23.25" hidden="false" customHeight="true" outlineLevel="0" collapsed="false">
      <c r="B2122" s="67" t="str">
        <f aca="false">""</f>
        <v/>
      </c>
      <c r="C2122" s="67"/>
      <c r="D2122" s="23" t="str">
        <f aca="false">IFERROR(INDEX(分录收入!$E:$E,MATCH($L2122,分录收入!$L:$L,0)),"")</f>
        <v/>
      </c>
      <c r="E2122" s="23" t="str">
        <f aca="false">IFERROR(INDEX(分录收入!$F:$F,MATCH($L2122,分录收入!$L:$L,0)),"")</f>
        <v/>
      </c>
      <c r="F2122" s="68" t="str">
        <f aca="false">IFERROR(INDEX(分录收入!$H:$H,MATCH($L2122,分录收入!$L:$L,0)),"")</f>
        <v/>
      </c>
      <c r="G2122" s="69" t="str">
        <f aca="false">IFERROR(INDEX(分录收入!$I:$I,MATCH($L2122,分录收入!$L:$L,0)),"")</f>
        <v/>
      </c>
      <c r="H2122" s="23"/>
      <c r="I2122" s="70"/>
      <c r="L2122" s="71" t="n">
        <f aca="false">IF(助手收入!$R$143="",-1,助手收入!$R$143*100+(助手收入!$S$143-1)*6+2)</f>
        <v>-1</v>
      </c>
    </row>
    <row r="2123" customFormat="false" ht="23.25" hidden="false" customHeight="true" outlineLevel="0" collapsed="false">
      <c r="B2123" s="67" t="str">
        <f aca="false">""</f>
        <v/>
      </c>
      <c r="C2123" s="67"/>
      <c r="D2123" s="23" t="str">
        <f aca="false">IFERROR(INDEX(分录收入!$E:$E,MATCH($L2123,分录收入!$L:$L,0)),"")</f>
        <v/>
      </c>
      <c r="E2123" s="23" t="str">
        <f aca="false">IFERROR(INDEX(分录收入!$F:$F,MATCH($L2123,分录收入!$L:$L,0)),"")</f>
        <v/>
      </c>
      <c r="F2123" s="68" t="str">
        <f aca="false">IFERROR(INDEX(分录收入!$H:$H,MATCH($L2123,分录收入!$L:$L,0)),"")</f>
        <v/>
      </c>
      <c r="G2123" s="69" t="str">
        <f aca="false">IFERROR(INDEX(分录收入!$I:$I,MATCH($L2123,分录收入!$L:$L,0)),"")</f>
        <v/>
      </c>
      <c r="H2123" s="23"/>
      <c r="I2123" s="70"/>
      <c r="L2123" s="71" t="n">
        <f aca="false">IF(助手收入!$R$143="",-1,助手收入!$R$143*100+(助手收入!$S$143-1)*6+3)</f>
        <v>-1</v>
      </c>
    </row>
    <row r="2124" customFormat="false" ht="23.25" hidden="false" customHeight="true" outlineLevel="0" collapsed="false">
      <c r="B2124" s="67" t="str">
        <f aca="false">""</f>
        <v/>
      </c>
      <c r="C2124" s="67"/>
      <c r="D2124" s="23" t="str">
        <f aca="false">IFERROR(INDEX(分录收入!$E:$E,MATCH($L2124,分录收入!$L:$L,0)),"")</f>
        <v/>
      </c>
      <c r="E2124" s="23" t="str">
        <f aca="false">IFERROR(INDEX(分录收入!$F:$F,MATCH($L2124,分录收入!$L:$L,0)),"")</f>
        <v/>
      </c>
      <c r="F2124" s="68" t="str">
        <f aca="false">IFERROR(INDEX(分录收入!$H:$H,MATCH($L2124,分录收入!$L:$L,0)),"")</f>
        <v/>
      </c>
      <c r="G2124" s="69" t="str">
        <f aca="false">IFERROR(INDEX(分录收入!$I:$I,MATCH($L2124,分录收入!$L:$L,0)),"")</f>
        <v/>
      </c>
      <c r="H2124" s="23"/>
      <c r="I2124" s="70"/>
      <c r="L2124" s="71" t="n">
        <f aca="false">IF(助手收入!$R$143="",-1,助手收入!$R$143*100+(助手收入!$S$143-1)*6+4)</f>
        <v>-1</v>
      </c>
    </row>
    <row r="2125" customFormat="false" ht="23.25" hidden="false" customHeight="true" outlineLevel="0" collapsed="false">
      <c r="B2125" s="67" t="str">
        <f aca="false">""</f>
        <v/>
      </c>
      <c r="C2125" s="67"/>
      <c r="D2125" s="23" t="str">
        <f aca="false">IFERROR(INDEX(分录收入!$E:$E,MATCH($L2125,分录收入!$L:$L,0)),"")</f>
        <v/>
      </c>
      <c r="E2125" s="23" t="str">
        <f aca="false">IFERROR(INDEX(分录收入!$F:$F,MATCH($L2125,分录收入!$L:$L,0)),"")</f>
        <v/>
      </c>
      <c r="F2125" s="68" t="str">
        <f aca="false">IFERROR(INDEX(分录收入!$H:$H,MATCH($L2125,分录收入!$L:$L,0)),"")</f>
        <v/>
      </c>
      <c r="G2125" s="69" t="str">
        <f aca="false">IFERROR(INDEX(分录收入!$I:$I,MATCH($L2125,分录收入!$L:$L,0)),"")</f>
        <v/>
      </c>
      <c r="H2125" s="23"/>
      <c r="I2125" s="70"/>
      <c r="L2125" s="71" t="n">
        <f aca="false">IF(助手收入!$R$143="",-1,助手收入!$R$143*100+(助手收入!$S$143-1)*6+5)</f>
        <v>-1</v>
      </c>
    </row>
    <row r="2126" customFormat="false" ht="23.25" hidden="false" customHeight="true" outlineLevel="0" collapsed="false">
      <c r="B2126" s="67" t="str">
        <f aca="false">""</f>
        <v/>
      </c>
      <c r="C2126" s="67"/>
      <c r="D2126" s="23" t="str">
        <f aca="false">IFERROR(INDEX(分录收入!$E:$E,MATCH($L2126,分录收入!$L:$L,0)),"")</f>
        <v/>
      </c>
      <c r="E2126" s="23" t="str">
        <f aca="false">IFERROR(INDEX(分录收入!$F:$F,MATCH($L2126,分录收入!$L:$L,0)),"")</f>
        <v/>
      </c>
      <c r="F2126" s="68" t="str">
        <f aca="false">IFERROR(INDEX(分录收入!$H:$H,MATCH($L2126,分录收入!$L:$L,0)),"")</f>
        <v/>
      </c>
      <c r="G2126" s="69" t="str">
        <f aca="false">IFERROR(INDEX(分录收入!$I:$I,MATCH($L2126,分录收入!$L:$L,0)),"")</f>
        <v/>
      </c>
      <c r="H2126" s="23"/>
      <c r="I2126" s="70"/>
      <c r="L2126" s="71" t="n">
        <f aca="false">IF(助手收入!$R$143="",-1,助手收入!$R$143*100+(助手收入!$S$143-1)*6+6)</f>
        <v>-1</v>
      </c>
    </row>
    <row r="2127" customFormat="false" ht="23.25" hidden="false" customHeight="true" outlineLevel="0" collapsed="false">
      <c r="B2127" s="72" t="str">
        <f aca="false">IF(助手收入!$T$143=1,"合计：","")</f>
        <v/>
      </c>
      <c r="C2127" s="73" t="str">
        <f aca="false">IF(助手收入!$T$143=1,$F2127,"")</f>
        <v/>
      </c>
      <c r="D2127" s="74"/>
      <c r="E2127" s="74"/>
      <c r="F2127" s="75" t="str">
        <f aca="false">IF(助手收入!$T$143=1,INDEX(助手收入!$N$2:$N$66,助手收入!$R$143),"")</f>
        <v/>
      </c>
      <c r="G2127" s="76" t="str">
        <f aca="false">IF(助手收入!$T$143=1,INDEX(助手收入!$O$2:$O$66,助手收入!$R$143),"")</f>
        <v/>
      </c>
      <c r="H2127" s="74"/>
      <c r="I2127" s="77"/>
    </row>
    <row r="2128" customFormat="false" ht="6" hidden="false" customHeight="true" outlineLevel="0" collapsed="false"/>
    <row r="2129" customFormat="false" ht="13.5" hidden="false" customHeight="false" outlineLevel="0" collapsed="false">
      <c r="B2129" s="78" t="str">
        <f aca="false">IF(助手收入!$R$143&lt;&gt;"","会计主管：","")</f>
        <v/>
      </c>
      <c r="D2129" s="78" t="str">
        <f aca="false">IF(助手收入!$R$143&lt;&gt;"","会计：","")</f>
        <v/>
      </c>
      <c r="E2129" s="78" t="str">
        <f aca="false">IF(助手收入!$R$143&lt;&gt;"","出纳：","")</f>
        <v/>
      </c>
      <c r="F2129" s="78" t="str">
        <f aca="false">IF(助手收入!$R$143&lt;&gt;"","复核：","")</f>
        <v/>
      </c>
      <c r="G2129" s="78" t="str">
        <f aca="false">IF(助手收入!$R$143&lt;&gt;"","制单：","")</f>
        <v/>
      </c>
    </row>
    <row r="2130" customFormat="false" ht="3" hidden="false" customHeight="true" outlineLevel="0" collapsed="false"/>
    <row r="2131" customFormat="false" ht="19.5" hidden="false" customHeight="true" outlineLevel="0" collapsed="false">
      <c r="B2131" s="53" t="str">
        <f aca="false">IF(助手收入!$R$144&lt;&gt;"","记  账  凭  证","")</f>
        <v/>
      </c>
      <c r="C2131" s="53"/>
      <c r="D2131" s="53"/>
      <c r="E2131" s="53"/>
      <c r="F2131" s="53"/>
      <c r="G2131" s="53"/>
      <c r="H2131" s="53"/>
      <c r="I2131" s="53"/>
    </row>
    <row r="2132" customFormat="false" ht="3" hidden="false" customHeight="true" outlineLevel="0" collapsed="false"/>
    <row r="2133" customFormat="false" ht="15" hidden="false" customHeight="true" outlineLevel="0" collapsed="false">
      <c r="C2133" s="56" t="str">
        <f aca="false">IF(助手收入!$R$144&lt;&gt;"",INDEX(助手收入!$B$2:$B$66,助手收入!$R$144),"")</f>
        <v/>
      </c>
      <c r="D2133" s="57" t="str">
        <f aca="false">IF(助手收入!$R$144&lt;&gt;"",参数!$B$2,"")</f>
        <v/>
      </c>
      <c r="E2133" s="57"/>
      <c r="F2133" s="58" t="str">
        <f aca="false">IF(助手收入!$R$144&lt;&gt;"",INDEX(助手收入!$C$2:$C$66,助手收入!$R$144)&amp;"  字第 "&amp;IF(参数!$B$9="是",INDEX(助手收入!$P$2:$P$66,助手收入!$R$144),"　　　　")&amp;" 号"&amp;IF(INDEX(助手收入!$L$2:$L$66,助手收入!$R$144)&gt;1,"  (共"&amp;INDEX(助手收入!$L$2:$L$66,助手收入!$R$144)&amp;"页 第"&amp;助手收入!$S$144&amp;"页)",""),"")</f>
        <v/>
      </c>
      <c r="G2133" s="58"/>
      <c r="H2133" s="58"/>
      <c r="I2133" s="58"/>
      <c r="M2133" s="79" t="str">
        <f aca="false">IF(助手收入!$R$144="","",助手收入!$Q$144)</f>
        <v/>
      </c>
      <c r="N2133" s="80" t="str">
        <f aca="false">IF(助手收入!$R$144="","",INDEX(助手收入!$P$2:$P$66,助手收入!$R$144))</f>
        <v/>
      </c>
      <c r="O2133" s="55" t="str">
        <f aca="false">IF(助手收入!$R$144="","",INDEX(助手收入!$C$2:$C$66,助手收入!$R$144)&amp;"  字第 "&amp;INDEX(助手收入!$P$2:$P$66,助手收入!$R$144)&amp;" 号"&amp;IF(INDEX(助手收入!$L$2:$L$66,助手收入!$R$144)&gt;1,"  (共"&amp;INDEX(助手收入!$L$2:$L$66,助手收入!$R$144)&amp;"页 第"&amp;助手收入!$S$144&amp;"页)",""))</f>
        <v/>
      </c>
    </row>
    <row r="2134" customFormat="false" ht="12.75" hidden="false" customHeight="true" outlineLevel="0" collapsed="false">
      <c r="B2134" s="61" t="str">
        <f aca="false">IF(助手收入!$R$144&lt;&gt;"","摘　　要","")</f>
        <v/>
      </c>
      <c r="C2134" s="61"/>
      <c r="D2134" s="62" t="str">
        <f aca="false">IF(助手收入!$R$144&lt;&gt;"","科　　　　目","")</f>
        <v/>
      </c>
      <c r="E2134" s="62"/>
      <c r="F2134" s="61" t="str">
        <f aca="false">IF(助手收入!$R$144&lt;&gt;"","借 方 金 额","")</f>
        <v/>
      </c>
      <c r="G2134" s="62" t="str">
        <f aca="false">IF(助手收入!$R$144&lt;&gt;"","贷 方 金 额","")</f>
        <v/>
      </c>
      <c r="H2134" s="63" t="str">
        <f aca="false">IF(助手收入!$R$144&lt;&gt;"","√","")</f>
        <v/>
      </c>
      <c r="I2134" s="64" t="str">
        <f aca="false">IF(助手收入!$R$144&lt;&gt;"","附单据  张","")</f>
        <v/>
      </c>
    </row>
    <row r="2135" customFormat="false" ht="12.75" hidden="false" customHeight="true" outlineLevel="0" collapsed="false">
      <c r="B2135" s="61"/>
      <c r="C2135" s="61"/>
      <c r="D2135" s="23" t="str">
        <f aca="false">IF(助手收入!$R$144&lt;&gt;"","总 账 科 目","")</f>
        <v/>
      </c>
      <c r="E2135" s="23" t="str">
        <f aca="false">IF(助手收入!$R$144&lt;&gt;"","明 细 科 目","")</f>
        <v/>
      </c>
      <c r="F2135" s="65"/>
      <c r="G2135" s="66"/>
      <c r="H2135" s="63"/>
      <c r="I2135" s="64"/>
    </row>
    <row r="2136" customFormat="false" ht="23.25" hidden="false" customHeight="true" outlineLevel="0" collapsed="false">
      <c r="B2136" s="67" t="str">
        <f aca="false">IFERROR(INDEX(分录收入!$M:$M,MATCH($L2136,分录收入!$L:$L,0)),"")</f>
        <v/>
      </c>
      <c r="C2136" s="67"/>
      <c r="D2136" s="23" t="str">
        <f aca="false">IFERROR(INDEX(分录收入!$E:$E,MATCH($L2136,分录收入!$L:$L,0)),"")</f>
        <v/>
      </c>
      <c r="E2136" s="23" t="str">
        <f aca="false">IFERROR(INDEX(分录收入!$F:$F,MATCH($L2136,分录收入!$L:$L,0)),"")</f>
        <v/>
      </c>
      <c r="F2136" s="68" t="str">
        <f aca="false">IFERROR(INDEX(分录收入!$H:$H,MATCH($L2136,分录收入!$L:$L,0)),"")</f>
        <v/>
      </c>
      <c r="G2136" s="69" t="str">
        <f aca="false">IFERROR(INDEX(分录收入!$I:$I,MATCH($L2136,分录收入!$L:$L,0)),"")</f>
        <v/>
      </c>
      <c r="H2136" s="23"/>
      <c r="I2136" s="70"/>
      <c r="L2136" s="71" t="n">
        <f aca="false">IF(助手收入!$R$144="",-1,助手收入!$R$144*100+(助手收入!$S$144-1)*6+1)</f>
        <v>-1</v>
      </c>
    </row>
    <row r="2137" customFormat="false" ht="23.25" hidden="false" customHeight="true" outlineLevel="0" collapsed="false">
      <c r="B2137" s="67" t="str">
        <f aca="false">""</f>
        <v/>
      </c>
      <c r="C2137" s="67"/>
      <c r="D2137" s="23" t="str">
        <f aca="false">IFERROR(INDEX(分录收入!$E:$E,MATCH($L2137,分录收入!$L:$L,0)),"")</f>
        <v/>
      </c>
      <c r="E2137" s="23" t="str">
        <f aca="false">IFERROR(INDEX(分录收入!$F:$F,MATCH($L2137,分录收入!$L:$L,0)),"")</f>
        <v/>
      </c>
      <c r="F2137" s="68" t="str">
        <f aca="false">IFERROR(INDEX(分录收入!$H:$H,MATCH($L2137,分录收入!$L:$L,0)),"")</f>
        <v/>
      </c>
      <c r="G2137" s="69" t="str">
        <f aca="false">IFERROR(INDEX(分录收入!$I:$I,MATCH($L2137,分录收入!$L:$L,0)),"")</f>
        <v/>
      </c>
      <c r="H2137" s="23"/>
      <c r="I2137" s="70"/>
      <c r="L2137" s="71" t="n">
        <f aca="false">IF(助手收入!$R$144="",-1,助手收入!$R$144*100+(助手收入!$S$144-1)*6+2)</f>
        <v>-1</v>
      </c>
    </row>
    <row r="2138" customFormat="false" ht="23.25" hidden="false" customHeight="true" outlineLevel="0" collapsed="false">
      <c r="B2138" s="67" t="str">
        <f aca="false">""</f>
        <v/>
      </c>
      <c r="C2138" s="67"/>
      <c r="D2138" s="23" t="str">
        <f aca="false">IFERROR(INDEX(分录收入!$E:$E,MATCH($L2138,分录收入!$L:$L,0)),"")</f>
        <v/>
      </c>
      <c r="E2138" s="23" t="str">
        <f aca="false">IFERROR(INDEX(分录收入!$F:$F,MATCH($L2138,分录收入!$L:$L,0)),"")</f>
        <v/>
      </c>
      <c r="F2138" s="68" t="str">
        <f aca="false">IFERROR(INDEX(分录收入!$H:$H,MATCH($L2138,分录收入!$L:$L,0)),"")</f>
        <v/>
      </c>
      <c r="G2138" s="69" t="str">
        <f aca="false">IFERROR(INDEX(分录收入!$I:$I,MATCH($L2138,分录收入!$L:$L,0)),"")</f>
        <v/>
      </c>
      <c r="H2138" s="23"/>
      <c r="I2138" s="70"/>
      <c r="L2138" s="71" t="n">
        <f aca="false">IF(助手收入!$R$144="",-1,助手收入!$R$144*100+(助手收入!$S$144-1)*6+3)</f>
        <v>-1</v>
      </c>
    </row>
    <row r="2139" customFormat="false" ht="23.25" hidden="false" customHeight="true" outlineLevel="0" collapsed="false">
      <c r="B2139" s="67" t="str">
        <f aca="false">""</f>
        <v/>
      </c>
      <c r="C2139" s="67"/>
      <c r="D2139" s="23" t="str">
        <f aca="false">IFERROR(INDEX(分录收入!$E:$E,MATCH($L2139,分录收入!$L:$L,0)),"")</f>
        <v/>
      </c>
      <c r="E2139" s="23" t="str">
        <f aca="false">IFERROR(INDEX(分录收入!$F:$F,MATCH($L2139,分录收入!$L:$L,0)),"")</f>
        <v/>
      </c>
      <c r="F2139" s="68" t="str">
        <f aca="false">IFERROR(INDEX(分录收入!$H:$H,MATCH($L2139,分录收入!$L:$L,0)),"")</f>
        <v/>
      </c>
      <c r="G2139" s="69" t="str">
        <f aca="false">IFERROR(INDEX(分录收入!$I:$I,MATCH($L2139,分录收入!$L:$L,0)),"")</f>
        <v/>
      </c>
      <c r="H2139" s="23"/>
      <c r="I2139" s="70"/>
      <c r="L2139" s="71" t="n">
        <f aca="false">IF(助手收入!$R$144="",-1,助手收入!$R$144*100+(助手收入!$S$144-1)*6+4)</f>
        <v>-1</v>
      </c>
    </row>
    <row r="2140" customFormat="false" ht="23.25" hidden="false" customHeight="true" outlineLevel="0" collapsed="false">
      <c r="B2140" s="67" t="str">
        <f aca="false">""</f>
        <v/>
      </c>
      <c r="C2140" s="67"/>
      <c r="D2140" s="23" t="str">
        <f aca="false">IFERROR(INDEX(分录收入!$E:$E,MATCH($L2140,分录收入!$L:$L,0)),"")</f>
        <v/>
      </c>
      <c r="E2140" s="23" t="str">
        <f aca="false">IFERROR(INDEX(分录收入!$F:$F,MATCH($L2140,分录收入!$L:$L,0)),"")</f>
        <v/>
      </c>
      <c r="F2140" s="68" t="str">
        <f aca="false">IFERROR(INDEX(分录收入!$H:$H,MATCH($L2140,分录收入!$L:$L,0)),"")</f>
        <v/>
      </c>
      <c r="G2140" s="69" t="str">
        <f aca="false">IFERROR(INDEX(分录收入!$I:$I,MATCH($L2140,分录收入!$L:$L,0)),"")</f>
        <v/>
      </c>
      <c r="H2140" s="23"/>
      <c r="I2140" s="70"/>
      <c r="L2140" s="71" t="n">
        <f aca="false">IF(助手收入!$R$144="",-1,助手收入!$R$144*100+(助手收入!$S$144-1)*6+5)</f>
        <v>-1</v>
      </c>
    </row>
    <row r="2141" customFormat="false" ht="23.25" hidden="false" customHeight="true" outlineLevel="0" collapsed="false">
      <c r="B2141" s="67" t="str">
        <f aca="false">""</f>
        <v/>
      </c>
      <c r="C2141" s="67"/>
      <c r="D2141" s="23" t="str">
        <f aca="false">IFERROR(INDEX(分录收入!$E:$E,MATCH($L2141,分录收入!$L:$L,0)),"")</f>
        <v/>
      </c>
      <c r="E2141" s="23" t="str">
        <f aca="false">IFERROR(INDEX(分录收入!$F:$F,MATCH($L2141,分录收入!$L:$L,0)),"")</f>
        <v/>
      </c>
      <c r="F2141" s="68" t="str">
        <f aca="false">IFERROR(INDEX(分录收入!$H:$H,MATCH($L2141,分录收入!$L:$L,0)),"")</f>
        <v/>
      </c>
      <c r="G2141" s="69" t="str">
        <f aca="false">IFERROR(INDEX(分录收入!$I:$I,MATCH($L2141,分录收入!$L:$L,0)),"")</f>
        <v/>
      </c>
      <c r="H2141" s="23"/>
      <c r="I2141" s="70"/>
      <c r="L2141" s="71" t="n">
        <f aca="false">IF(助手收入!$R$144="",-1,助手收入!$R$144*100+(助手收入!$S$144-1)*6+6)</f>
        <v>-1</v>
      </c>
    </row>
    <row r="2142" customFormat="false" ht="23.25" hidden="false" customHeight="true" outlineLevel="0" collapsed="false">
      <c r="B2142" s="72" t="str">
        <f aca="false">IF(助手收入!$T$144=1,"合计：","")</f>
        <v/>
      </c>
      <c r="C2142" s="73" t="str">
        <f aca="false">IF(助手收入!$T$144=1,$F2142,"")</f>
        <v/>
      </c>
      <c r="D2142" s="74"/>
      <c r="E2142" s="74"/>
      <c r="F2142" s="75" t="str">
        <f aca="false">IF(助手收入!$T$144=1,INDEX(助手收入!$N$2:$N$66,助手收入!$R$144),"")</f>
        <v/>
      </c>
      <c r="G2142" s="76" t="str">
        <f aca="false">IF(助手收入!$T$144=1,INDEX(助手收入!$O$2:$O$66,助手收入!$R$144),"")</f>
        <v/>
      </c>
      <c r="H2142" s="74"/>
      <c r="I2142" s="77"/>
    </row>
    <row r="2143" customFormat="false" ht="6" hidden="false" customHeight="true" outlineLevel="0" collapsed="false"/>
    <row r="2144" customFormat="false" ht="13.5" hidden="false" customHeight="false" outlineLevel="0" collapsed="false">
      <c r="B2144" s="78" t="str">
        <f aca="false">IF(助手收入!$R$144&lt;&gt;"","会计主管：","")</f>
        <v/>
      </c>
      <c r="D2144" s="78" t="str">
        <f aca="false">IF(助手收入!$R$144&lt;&gt;"","会计：","")</f>
        <v/>
      </c>
      <c r="E2144" s="78" t="str">
        <f aca="false">IF(助手收入!$R$144&lt;&gt;"","出纳：","")</f>
        <v/>
      </c>
      <c r="F2144" s="78" t="str">
        <f aca="false">IF(助手收入!$R$144&lt;&gt;"","复核：","")</f>
        <v/>
      </c>
      <c r="G2144" s="78" t="str">
        <f aca="false">IF(助手收入!$R$144&lt;&gt;"","制单：","")</f>
        <v/>
      </c>
    </row>
    <row r="2145" customFormat="false" ht="3" hidden="false" customHeight="true" outlineLevel="0" collapsed="false"/>
    <row r="2146" customFormat="false" ht="19.5" hidden="false" customHeight="true" outlineLevel="0" collapsed="false">
      <c r="B2146" s="53" t="str">
        <f aca="false">IF(助手收入!$R$145&lt;&gt;"","记  账  凭  证","")</f>
        <v/>
      </c>
      <c r="C2146" s="53"/>
      <c r="D2146" s="53"/>
      <c r="E2146" s="53"/>
      <c r="F2146" s="53"/>
      <c r="G2146" s="53"/>
      <c r="H2146" s="53"/>
      <c r="I2146" s="53"/>
    </row>
    <row r="2147" customFormat="false" ht="3" hidden="false" customHeight="true" outlineLevel="0" collapsed="false"/>
    <row r="2148" customFormat="false" ht="15" hidden="false" customHeight="true" outlineLevel="0" collapsed="false">
      <c r="C2148" s="56" t="str">
        <f aca="false">IF(助手收入!$R$145&lt;&gt;"",INDEX(助手收入!$B$2:$B$66,助手收入!$R$145),"")</f>
        <v/>
      </c>
      <c r="D2148" s="57" t="str">
        <f aca="false">IF(助手收入!$R$145&lt;&gt;"",参数!$B$2,"")</f>
        <v/>
      </c>
      <c r="E2148" s="57"/>
      <c r="F2148" s="58" t="str">
        <f aca="false">IF(助手收入!$R$145&lt;&gt;"",INDEX(助手收入!$C$2:$C$66,助手收入!$R$145)&amp;"  字第 "&amp;IF(参数!$B$9="是",INDEX(助手收入!$P$2:$P$66,助手收入!$R$145),"　　　　")&amp;" 号"&amp;IF(INDEX(助手收入!$L$2:$L$66,助手收入!$R$145)&gt;1,"  (共"&amp;INDEX(助手收入!$L$2:$L$66,助手收入!$R$145)&amp;"页 第"&amp;助手收入!$S$145&amp;"页)",""),"")</f>
        <v/>
      </c>
      <c r="G2148" s="58"/>
      <c r="H2148" s="58"/>
      <c r="I2148" s="58"/>
      <c r="M2148" s="79" t="str">
        <f aca="false">IF(助手收入!$R$145="","",助手收入!$Q$145)</f>
        <v/>
      </c>
      <c r="N2148" s="80" t="str">
        <f aca="false">IF(助手收入!$R$145="","",INDEX(助手收入!$P$2:$P$66,助手收入!$R$145))</f>
        <v/>
      </c>
      <c r="O2148" s="55" t="str">
        <f aca="false">IF(助手收入!$R$145="","",INDEX(助手收入!$C$2:$C$66,助手收入!$R$145)&amp;"  字第 "&amp;INDEX(助手收入!$P$2:$P$66,助手收入!$R$145)&amp;" 号"&amp;IF(INDEX(助手收入!$L$2:$L$66,助手收入!$R$145)&gt;1,"  (共"&amp;INDEX(助手收入!$L$2:$L$66,助手收入!$R$145)&amp;"页 第"&amp;助手收入!$S$145&amp;"页)",""))</f>
        <v/>
      </c>
    </row>
    <row r="2149" customFormat="false" ht="12.75" hidden="false" customHeight="true" outlineLevel="0" collapsed="false">
      <c r="B2149" s="61" t="str">
        <f aca="false">IF(助手收入!$R$145&lt;&gt;"","摘　　要","")</f>
        <v/>
      </c>
      <c r="C2149" s="61"/>
      <c r="D2149" s="62" t="str">
        <f aca="false">IF(助手收入!$R$145&lt;&gt;"","科　　　　目","")</f>
        <v/>
      </c>
      <c r="E2149" s="62"/>
      <c r="F2149" s="61" t="str">
        <f aca="false">IF(助手收入!$R$145&lt;&gt;"","借 方 金 额","")</f>
        <v/>
      </c>
      <c r="G2149" s="62" t="str">
        <f aca="false">IF(助手收入!$R$145&lt;&gt;"","贷 方 金 额","")</f>
        <v/>
      </c>
      <c r="H2149" s="63" t="str">
        <f aca="false">IF(助手收入!$R$145&lt;&gt;"","√","")</f>
        <v/>
      </c>
      <c r="I2149" s="64" t="str">
        <f aca="false">IF(助手收入!$R$145&lt;&gt;"","附单据  张","")</f>
        <v/>
      </c>
    </row>
    <row r="2150" customFormat="false" ht="12.75" hidden="false" customHeight="true" outlineLevel="0" collapsed="false">
      <c r="B2150" s="61"/>
      <c r="C2150" s="61"/>
      <c r="D2150" s="23" t="str">
        <f aca="false">IF(助手收入!$R$145&lt;&gt;"","总 账 科 目","")</f>
        <v/>
      </c>
      <c r="E2150" s="23" t="str">
        <f aca="false">IF(助手收入!$R$145&lt;&gt;"","明 细 科 目","")</f>
        <v/>
      </c>
      <c r="F2150" s="65"/>
      <c r="G2150" s="66"/>
      <c r="H2150" s="63"/>
      <c r="I2150" s="64"/>
    </row>
    <row r="2151" customFormat="false" ht="23.25" hidden="false" customHeight="true" outlineLevel="0" collapsed="false">
      <c r="B2151" s="67" t="str">
        <f aca="false">IFERROR(INDEX(分录收入!$M:$M,MATCH($L2151,分录收入!$L:$L,0)),"")</f>
        <v/>
      </c>
      <c r="C2151" s="67"/>
      <c r="D2151" s="23" t="str">
        <f aca="false">IFERROR(INDEX(分录收入!$E:$E,MATCH($L2151,分录收入!$L:$L,0)),"")</f>
        <v/>
      </c>
      <c r="E2151" s="23" t="str">
        <f aca="false">IFERROR(INDEX(分录收入!$F:$F,MATCH($L2151,分录收入!$L:$L,0)),"")</f>
        <v/>
      </c>
      <c r="F2151" s="68" t="str">
        <f aca="false">IFERROR(INDEX(分录收入!$H:$H,MATCH($L2151,分录收入!$L:$L,0)),"")</f>
        <v/>
      </c>
      <c r="G2151" s="69" t="str">
        <f aca="false">IFERROR(INDEX(分录收入!$I:$I,MATCH($L2151,分录收入!$L:$L,0)),"")</f>
        <v/>
      </c>
      <c r="H2151" s="23"/>
      <c r="I2151" s="70"/>
      <c r="L2151" s="71" t="n">
        <f aca="false">IF(助手收入!$R$145="",-1,助手收入!$R$145*100+(助手收入!$S$145-1)*6+1)</f>
        <v>-1</v>
      </c>
    </row>
    <row r="2152" customFormat="false" ht="23.25" hidden="false" customHeight="true" outlineLevel="0" collapsed="false">
      <c r="B2152" s="67" t="str">
        <f aca="false">""</f>
        <v/>
      </c>
      <c r="C2152" s="67"/>
      <c r="D2152" s="23" t="str">
        <f aca="false">IFERROR(INDEX(分录收入!$E:$E,MATCH($L2152,分录收入!$L:$L,0)),"")</f>
        <v/>
      </c>
      <c r="E2152" s="23" t="str">
        <f aca="false">IFERROR(INDEX(分录收入!$F:$F,MATCH($L2152,分录收入!$L:$L,0)),"")</f>
        <v/>
      </c>
      <c r="F2152" s="68" t="str">
        <f aca="false">IFERROR(INDEX(分录收入!$H:$H,MATCH($L2152,分录收入!$L:$L,0)),"")</f>
        <v/>
      </c>
      <c r="G2152" s="69" t="str">
        <f aca="false">IFERROR(INDEX(分录收入!$I:$I,MATCH($L2152,分录收入!$L:$L,0)),"")</f>
        <v/>
      </c>
      <c r="H2152" s="23"/>
      <c r="I2152" s="70"/>
      <c r="L2152" s="71" t="n">
        <f aca="false">IF(助手收入!$R$145="",-1,助手收入!$R$145*100+(助手收入!$S$145-1)*6+2)</f>
        <v>-1</v>
      </c>
    </row>
    <row r="2153" customFormat="false" ht="23.25" hidden="false" customHeight="true" outlineLevel="0" collapsed="false">
      <c r="B2153" s="67" t="str">
        <f aca="false">""</f>
        <v/>
      </c>
      <c r="C2153" s="67"/>
      <c r="D2153" s="23" t="str">
        <f aca="false">IFERROR(INDEX(分录收入!$E:$E,MATCH($L2153,分录收入!$L:$L,0)),"")</f>
        <v/>
      </c>
      <c r="E2153" s="23" t="str">
        <f aca="false">IFERROR(INDEX(分录收入!$F:$F,MATCH($L2153,分录收入!$L:$L,0)),"")</f>
        <v/>
      </c>
      <c r="F2153" s="68" t="str">
        <f aca="false">IFERROR(INDEX(分录收入!$H:$H,MATCH($L2153,分录收入!$L:$L,0)),"")</f>
        <v/>
      </c>
      <c r="G2153" s="69" t="str">
        <f aca="false">IFERROR(INDEX(分录收入!$I:$I,MATCH($L2153,分录收入!$L:$L,0)),"")</f>
        <v/>
      </c>
      <c r="H2153" s="23"/>
      <c r="I2153" s="70"/>
      <c r="L2153" s="71" t="n">
        <f aca="false">IF(助手收入!$R$145="",-1,助手收入!$R$145*100+(助手收入!$S$145-1)*6+3)</f>
        <v>-1</v>
      </c>
    </row>
    <row r="2154" customFormat="false" ht="23.25" hidden="false" customHeight="true" outlineLevel="0" collapsed="false">
      <c r="B2154" s="67" t="str">
        <f aca="false">""</f>
        <v/>
      </c>
      <c r="C2154" s="67"/>
      <c r="D2154" s="23" t="str">
        <f aca="false">IFERROR(INDEX(分录收入!$E:$E,MATCH($L2154,分录收入!$L:$L,0)),"")</f>
        <v/>
      </c>
      <c r="E2154" s="23" t="str">
        <f aca="false">IFERROR(INDEX(分录收入!$F:$F,MATCH($L2154,分录收入!$L:$L,0)),"")</f>
        <v/>
      </c>
      <c r="F2154" s="68" t="str">
        <f aca="false">IFERROR(INDEX(分录收入!$H:$H,MATCH($L2154,分录收入!$L:$L,0)),"")</f>
        <v/>
      </c>
      <c r="G2154" s="69" t="str">
        <f aca="false">IFERROR(INDEX(分录收入!$I:$I,MATCH($L2154,分录收入!$L:$L,0)),"")</f>
        <v/>
      </c>
      <c r="H2154" s="23"/>
      <c r="I2154" s="70"/>
      <c r="L2154" s="71" t="n">
        <f aca="false">IF(助手收入!$R$145="",-1,助手收入!$R$145*100+(助手收入!$S$145-1)*6+4)</f>
        <v>-1</v>
      </c>
    </row>
    <row r="2155" customFormat="false" ht="23.25" hidden="false" customHeight="true" outlineLevel="0" collapsed="false">
      <c r="B2155" s="67" t="str">
        <f aca="false">""</f>
        <v/>
      </c>
      <c r="C2155" s="67"/>
      <c r="D2155" s="23" t="str">
        <f aca="false">IFERROR(INDEX(分录收入!$E:$E,MATCH($L2155,分录收入!$L:$L,0)),"")</f>
        <v/>
      </c>
      <c r="E2155" s="23" t="str">
        <f aca="false">IFERROR(INDEX(分录收入!$F:$F,MATCH($L2155,分录收入!$L:$L,0)),"")</f>
        <v/>
      </c>
      <c r="F2155" s="68" t="str">
        <f aca="false">IFERROR(INDEX(分录收入!$H:$H,MATCH($L2155,分录收入!$L:$L,0)),"")</f>
        <v/>
      </c>
      <c r="G2155" s="69" t="str">
        <f aca="false">IFERROR(INDEX(分录收入!$I:$I,MATCH($L2155,分录收入!$L:$L,0)),"")</f>
        <v/>
      </c>
      <c r="H2155" s="23"/>
      <c r="I2155" s="70"/>
      <c r="L2155" s="71" t="n">
        <f aca="false">IF(助手收入!$R$145="",-1,助手收入!$R$145*100+(助手收入!$S$145-1)*6+5)</f>
        <v>-1</v>
      </c>
    </row>
    <row r="2156" customFormat="false" ht="23.25" hidden="false" customHeight="true" outlineLevel="0" collapsed="false">
      <c r="B2156" s="67" t="str">
        <f aca="false">""</f>
        <v/>
      </c>
      <c r="C2156" s="67"/>
      <c r="D2156" s="23" t="str">
        <f aca="false">IFERROR(INDEX(分录收入!$E:$E,MATCH($L2156,分录收入!$L:$L,0)),"")</f>
        <v/>
      </c>
      <c r="E2156" s="23" t="str">
        <f aca="false">IFERROR(INDEX(分录收入!$F:$F,MATCH($L2156,分录收入!$L:$L,0)),"")</f>
        <v/>
      </c>
      <c r="F2156" s="68" t="str">
        <f aca="false">IFERROR(INDEX(分录收入!$H:$H,MATCH($L2156,分录收入!$L:$L,0)),"")</f>
        <v/>
      </c>
      <c r="G2156" s="69" t="str">
        <f aca="false">IFERROR(INDEX(分录收入!$I:$I,MATCH($L2156,分录收入!$L:$L,0)),"")</f>
        <v/>
      </c>
      <c r="H2156" s="23"/>
      <c r="I2156" s="70"/>
      <c r="L2156" s="71" t="n">
        <f aca="false">IF(助手收入!$R$145="",-1,助手收入!$R$145*100+(助手收入!$S$145-1)*6+6)</f>
        <v>-1</v>
      </c>
    </row>
    <row r="2157" customFormat="false" ht="23.25" hidden="false" customHeight="true" outlineLevel="0" collapsed="false">
      <c r="B2157" s="72" t="str">
        <f aca="false">IF(助手收入!$T$145=1,"合计：","")</f>
        <v/>
      </c>
      <c r="C2157" s="73" t="str">
        <f aca="false">IF(助手收入!$T$145=1,$F2157,"")</f>
        <v/>
      </c>
      <c r="D2157" s="74"/>
      <c r="E2157" s="74"/>
      <c r="F2157" s="75" t="str">
        <f aca="false">IF(助手收入!$T$145=1,INDEX(助手收入!$N$2:$N$66,助手收入!$R$145),"")</f>
        <v/>
      </c>
      <c r="G2157" s="76" t="str">
        <f aca="false">IF(助手收入!$T$145=1,INDEX(助手收入!$O$2:$O$66,助手收入!$R$145),"")</f>
        <v/>
      </c>
      <c r="H2157" s="74"/>
      <c r="I2157" s="77"/>
    </row>
    <row r="2158" customFormat="false" ht="6" hidden="false" customHeight="true" outlineLevel="0" collapsed="false"/>
    <row r="2159" customFormat="false" ht="13.5" hidden="false" customHeight="false" outlineLevel="0" collapsed="false">
      <c r="B2159" s="78" t="str">
        <f aca="false">IF(助手收入!$R$145&lt;&gt;"","会计主管：","")</f>
        <v/>
      </c>
      <c r="D2159" s="78" t="str">
        <f aca="false">IF(助手收入!$R$145&lt;&gt;"","会计：","")</f>
        <v/>
      </c>
      <c r="E2159" s="78" t="str">
        <f aca="false">IF(助手收入!$R$145&lt;&gt;"","出纳：","")</f>
        <v/>
      </c>
      <c r="F2159" s="78" t="str">
        <f aca="false">IF(助手收入!$R$145&lt;&gt;"","复核：","")</f>
        <v/>
      </c>
      <c r="G2159" s="78" t="str">
        <f aca="false">IF(助手收入!$R$145&lt;&gt;"","制单：","")</f>
        <v/>
      </c>
    </row>
    <row r="2160" customFormat="false" ht="3" hidden="false" customHeight="true" outlineLevel="0" collapsed="false"/>
    <row r="2161" customFormat="false" ht="19.5" hidden="false" customHeight="true" outlineLevel="0" collapsed="false">
      <c r="B2161" s="53" t="str">
        <f aca="false">IF(助手收入!$R$146&lt;&gt;"","记  账  凭  证","")</f>
        <v/>
      </c>
      <c r="C2161" s="53"/>
      <c r="D2161" s="53"/>
      <c r="E2161" s="53"/>
      <c r="F2161" s="53"/>
      <c r="G2161" s="53"/>
      <c r="H2161" s="53"/>
      <c r="I2161" s="53"/>
    </row>
    <row r="2162" customFormat="false" ht="3" hidden="false" customHeight="true" outlineLevel="0" collapsed="false"/>
    <row r="2163" customFormat="false" ht="15" hidden="false" customHeight="true" outlineLevel="0" collapsed="false">
      <c r="C2163" s="56" t="str">
        <f aca="false">IF(助手收入!$R$146&lt;&gt;"",INDEX(助手收入!$B$2:$B$66,助手收入!$R$146),"")</f>
        <v/>
      </c>
      <c r="D2163" s="57" t="str">
        <f aca="false">IF(助手收入!$R$146&lt;&gt;"",参数!$B$2,"")</f>
        <v/>
      </c>
      <c r="E2163" s="57"/>
      <c r="F2163" s="58" t="str">
        <f aca="false">IF(助手收入!$R$146&lt;&gt;"",INDEX(助手收入!$C$2:$C$66,助手收入!$R$146)&amp;"  字第 "&amp;IF(参数!$B$9="是",INDEX(助手收入!$P$2:$P$66,助手收入!$R$146),"　　　　")&amp;" 号"&amp;IF(INDEX(助手收入!$L$2:$L$66,助手收入!$R$146)&gt;1,"  (共"&amp;INDEX(助手收入!$L$2:$L$66,助手收入!$R$146)&amp;"页 第"&amp;助手收入!$S$146&amp;"页)",""),"")</f>
        <v/>
      </c>
      <c r="G2163" s="58"/>
      <c r="H2163" s="58"/>
      <c r="I2163" s="58"/>
      <c r="M2163" s="79" t="str">
        <f aca="false">IF(助手收入!$R$146="","",助手收入!$Q$146)</f>
        <v/>
      </c>
      <c r="N2163" s="80" t="str">
        <f aca="false">IF(助手收入!$R$146="","",INDEX(助手收入!$P$2:$P$66,助手收入!$R$146))</f>
        <v/>
      </c>
      <c r="O2163" s="55" t="str">
        <f aca="false">IF(助手收入!$R$146="","",INDEX(助手收入!$C$2:$C$66,助手收入!$R$146)&amp;"  字第 "&amp;INDEX(助手收入!$P$2:$P$66,助手收入!$R$146)&amp;" 号"&amp;IF(INDEX(助手收入!$L$2:$L$66,助手收入!$R$146)&gt;1,"  (共"&amp;INDEX(助手收入!$L$2:$L$66,助手收入!$R$146)&amp;"页 第"&amp;助手收入!$S$146&amp;"页)",""))</f>
        <v/>
      </c>
    </row>
    <row r="2164" customFormat="false" ht="12.75" hidden="false" customHeight="true" outlineLevel="0" collapsed="false">
      <c r="B2164" s="61" t="str">
        <f aca="false">IF(助手收入!$R$146&lt;&gt;"","摘　　要","")</f>
        <v/>
      </c>
      <c r="C2164" s="61"/>
      <c r="D2164" s="62" t="str">
        <f aca="false">IF(助手收入!$R$146&lt;&gt;"","科　　　　目","")</f>
        <v/>
      </c>
      <c r="E2164" s="62"/>
      <c r="F2164" s="61" t="str">
        <f aca="false">IF(助手收入!$R$146&lt;&gt;"","借 方 金 额","")</f>
        <v/>
      </c>
      <c r="G2164" s="62" t="str">
        <f aca="false">IF(助手收入!$R$146&lt;&gt;"","贷 方 金 额","")</f>
        <v/>
      </c>
      <c r="H2164" s="63" t="str">
        <f aca="false">IF(助手收入!$R$146&lt;&gt;"","√","")</f>
        <v/>
      </c>
      <c r="I2164" s="64" t="str">
        <f aca="false">IF(助手收入!$R$146&lt;&gt;"","附单据  张","")</f>
        <v/>
      </c>
    </row>
    <row r="2165" customFormat="false" ht="12.75" hidden="false" customHeight="true" outlineLevel="0" collapsed="false">
      <c r="B2165" s="61"/>
      <c r="C2165" s="61"/>
      <c r="D2165" s="23" t="str">
        <f aca="false">IF(助手收入!$R$146&lt;&gt;"","总 账 科 目","")</f>
        <v/>
      </c>
      <c r="E2165" s="23" t="str">
        <f aca="false">IF(助手收入!$R$146&lt;&gt;"","明 细 科 目","")</f>
        <v/>
      </c>
      <c r="F2165" s="65"/>
      <c r="G2165" s="66"/>
      <c r="H2165" s="63"/>
      <c r="I2165" s="64"/>
    </row>
    <row r="2166" customFormat="false" ht="23.25" hidden="false" customHeight="true" outlineLevel="0" collapsed="false">
      <c r="B2166" s="67" t="str">
        <f aca="false">IFERROR(INDEX(分录收入!$M:$M,MATCH($L2166,分录收入!$L:$L,0)),"")</f>
        <v/>
      </c>
      <c r="C2166" s="67"/>
      <c r="D2166" s="23" t="str">
        <f aca="false">IFERROR(INDEX(分录收入!$E:$E,MATCH($L2166,分录收入!$L:$L,0)),"")</f>
        <v/>
      </c>
      <c r="E2166" s="23" t="str">
        <f aca="false">IFERROR(INDEX(分录收入!$F:$F,MATCH($L2166,分录收入!$L:$L,0)),"")</f>
        <v/>
      </c>
      <c r="F2166" s="68" t="str">
        <f aca="false">IFERROR(INDEX(分录收入!$H:$H,MATCH($L2166,分录收入!$L:$L,0)),"")</f>
        <v/>
      </c>
      <c r="G2166" s="69" t="str">
        <f aca="false">IFERROR(INDEX(分录收入!$I:$I,MATCH($L2166,分录收入!$L:$L,0)),"")</f>
        <v/>
      </c>
      <c r="H2166" s="23"/>
      <c r="I2166" s="70"/>
      <c r="L2166" s="71" t="n">
        <f aca="false">IF(助手收入!$R$146="",-1,助手收入!$R$146*100+(助手收入!$S$146-1)*6+1)</f>
        <v>-1</v>
      </c>
    </row>
    <row r="2167" customFormat="false" ht="23.25" hidden="false" customHeight="true" outlineLevel="0" collapsed="false">
      <c r="B2167" s="67" t="str">
        <f aca="false">""</f>
        <v/>
      </c>
      <c r="C2167" s="67"/>
      <c r="D2167" s="23" t="str">
        <f aca="false">IFERROR(INDEX(分录收入!$E:$E,MATCH($L2167,分录收入!$L:$L,0)),"")</f>
        <v/>
      </c>
      <c r="E2167" s="23" t="str">
        <f aca="false">IFERROR(INDEX(分录收入!$F:$F,MATCH($L2167,分录收入!$L:$L,0)),"")</f>
        <v/>
      </c>
      <c r="F2167" s="68" t="str">
        <f aca="false">IFERROR(INDEX(分录收入!$H:$H,MATCH($L2167,分录收入!$L:$L,0)),"")</f>
        <v/>
      </c>
      <c r="G2167" s="69" t="str">
        <f aca="false">IFERROR(INDEX(分录收入!$I:$I,MATCH($L2167,分录收入!$L:$L,0)),"")</f>
        <v/>
      </c>
      <c r="H2167" s="23"/>
      <c r="I2167" s="70"/>
      <c r="L2167" s="71" t="n">
        <f aca="false">IF(助手收入!$R$146="",-1,助手收入!$R$146*100+(助手收入!$S$146-1)*6+2)</f>
        <v>-1</v>
      </c>
    </row>
    <row r="2168" customFormat="false" ht="23.25" hidden="false" customHeight="true" outlineLevel="0" collapsed="false">
      <c r="B2168" s="67" t="str">
        <f aca="false">""</f>
        <v/>
      </c>
      <c r="C2168" s="67"/>
      <c r="D2168" s="23" t="str">
        <f aca="false">IFERROR(INDEX(分录收入!$E:$E,MATCH($L2168,分录收入!$L:$L,0)),"")</f>
        <v/>
      </c>
      <c r="E2168" s="23" t="str">
        <f aca="false">IFERROR(INDEX(分录收入!$F:$F,MATCH($L2168,分录收入!$L:$L,0)),"")</f>
        <v/>
      </c>
      <c r="F2168" s="68" t="str">
        <f aca="false">IFERROR(INDEX(分录收入!$H:$H,MATCH($L2168,分录收入!$L:$L,0)),"")</f>
        <v/>
      </c>
      <c r="G2168" s="69" t="str">
        <f aca="false">IFERROR(INDEX(分录收入!$I:$I,MATCH($L2168,分录收入!$L:$L,0)),"")</f>
        <v/>
      </c>
      <c r="H2168" s="23"/>
      <c r="I2168" s="70"/>
      <c r="L2168" s="71" t="n">
        <f aca="false">IF(助手收入!$R$146="",-1,助手收入!$R$146*100+(助手收入!$S$146-1)*6+3)</f>
        <v>-1</v>
      </c>
    </row>
    <row r="2169" customFormat="false" ht="23.25" hidden="false" customHeight="true" outlineLevel="0" collapsed="false">
      <c r="B2169" s="67" t="str">
        <f aca="false">""</f>
        <v/>
      </c>
      <c r="C2169" s="67"/>
      <c r="D2169" s="23" t="str">
        <f aca="false">IFERROR(INDEX(分录收入!$E:$E,MATCH($L2169,分录收入!$L:$L,0)),"")</f>
        <v/>
      </c>
      <c r="E2169" s="23" t="str">
        <f aca="false">IFERROR(INDEX(分录收入!$F:$F,MATCH($L2169,分录收入!$L:$L,0)),"")</f>
        <v/>
      </c>
      <c r="F2169" s="68" t="str">
        <f aca="false">IFERROR(INDEX(分录收入!$H:$H,MATCH($L2169,分录收入!$L:$L,0)),"")</f>
        <v/>
      </c>
      <c r="G2169" s="69" t="str">
        <f aca="false">IFERROR(INDEX(分录收入!$I:$I,MATCH($L2169,分录收入!$L:$L,0)),"")</f>
        <v/>
      </c>
      <c r="H2169" s="23"/>
      <c r="I2169" s="70"/>
      <c r="L2169" s="71" t="n">
        <f aca="false">IF(助手收入!$R$146="",-1,助手收入!$R$146*100+(助手收入!$S$146-1)*6+4)</f>
        <v>-1</v>
      </c>
    </row>
    <row r="2170" customFormat="false" ht="23.25" hidden="false" customHeight="true" outlineLevel="0" collapsed="false">
      <c r="B2170" s="67" t="str">
        <f aca="false">""</f>
        <v/>
      </c>
      <c r="C2170" s="67"/>
      <c r="D2170" s="23" t="str">
        <f aca="false">IFERROR(INDEX(分录收入!$E:$E,MATCH($L2170,分录收入!$L:$L,0)),"")</f>
        <v/>
      </c>
      <c r="E2170" s="23" t="str">
        <f aca="false">IFERROR(INDEX(分录收入!$F:$F,MATCH($L2170,分录收入!$L:$L,0)),"")</f>
        <v/>
      </c>
      <c r="F2170" s="68" t="str">
        <f aca="false">IFERROR(INDEX(分录收入!$H:$H,MATCH($L2170,分录收入!$L:$L,0)),"")</f>
        <v/>
      </c>
      <c r="G2170" s="69" t="str">
        <f aca="false">IFERROR(INDEX(分录收入!$I:$I,MATCH($L2170,分录收入!$L:$L,0)),"")</f>
        <v/>
      </c>
      <c r="H2170" s="23"/>
      <c r="I2170" s="70"/>
      <c r="L2170" s="71" t="n">
        <f aca="false">IF(助手收入!$R$146="",-1,助手收入!$R$146*100+(助手收入!$S$146-1)*6+5)</f>
        <v>-1</v>
      </c>
    </row>
    <row r="2171" customFormat="false" ht="23.25" hidden="false" customHeight="true" outlineLevel="0" collapsed="false">
      <c r="B2171" s="67" t="str">
        <f aca="false">""</f>
        <v/>
      </c>
      <c r="C2171" s="67"/>
      <c r="D2171" s="23" t="str">
        <f aca="false">IFERROR(INDEX(分录收入!$E:$E,MATCH($L2171,分录收入!$L:$L,0)),"")</f>
        <v/>
      </c>
      <c r="E2171" s="23" t="str">
        <f aca="false">IFERROR(INDEX(分录收入!$F:$F,MATCH($L2171,分录收入!$L:$L,0)),"")</f>
        <v/>
      </c>
      <c r="F2171" s="68" t="str">
        <f aca="false">IFERROR(INDEX(分录收入!$H:$H,MATCH($L2171,分录收入!$L:$L,0)),"")</f>
        <v/>
      </c>
      <c r="G2171" s="69" t="str">
        <f aca="false">IFERROR(INDEX(分录收入!$I:$I,MATCH($L2171,分录收入!$L:$L,0)),"")</f>
        <v/>
      </c>
      <c r="H2171" s="23"/>
      <c r="I2171" s="70"/>
      <c r="L2171" s="71" t="n">
        <f aca="false">IF(助手收入!$R$146="",-1,助手收入!$R$146*100+(助手收入!$S$146-1)*6+6)</f>
        <v>-1</v>
      </c>
    </row>
    <row r="2172" customFormat="false" ht="23.25" hidden="false" customHeight="true" outlineLevel="0" collapsed="false">
      <c r="B2172" s="72" t="str">
        <f aca="false">IF(助手收入!$T$146=1,"合计：","")</f>
        <v/>
      </c>
      <c r="C2172" s="73" t="str">
        <f aca="false">IF(助手收入!$T$146=1,$F2172,"")</f>
        <v/>
      </c>
      <c r="D2172" s="74"/>
      <c r="E2172" s="74"/>
      <c r="F2172" s="75" t="str">
        <f aca="false">IF(助手收入!$T$146=1,INDEX(助手收入!$N$2:$N$66,助手收入!$R$146),"")</f>
        <v/>
      </c>
      <c r="G2172" s="76" t="str">
        <f aca="false">IF(助手收入!$T$146=1,INDEX(助手收入!$O$2:$O$66,助手收入!$R$146),"")</f>
        <v/>
      </c>
      <c r="H2172" s="74"/>
      <c r="I2172" s="77"/>
    </row>
    <row r="2173" customFormat="false" ht="6" hidden="false" customHeight="true" outlineLevel="0" collapsed="false"/>
    <row r="2174" customFormat="false" ht="13.5" hidden="false" customHeight="false" outlineLevel="0" collapsed="false">
      <c r="B2174" s="78" t="str">
        <f aca="false">IF(助手收入!$R$146&lt;&gt;"","会计主管：","")</f>
        <v/>
      </c>
      <c r="D2174" s="78" t="str">
        <f aca="false">IF(助手收入!$R$146&lt;&gt;"","会计：","")</f>
        <v/>
      </c>
      <c r="E2174" s="78" t="str">
        <f aca="false">IF(助手收入!$R$146&lt;&gt;"","出纳：","")</f>
        <v/>
      </c>
      <c r="F2174" s="78" t="str">
        <f aca="false">IF(助手收入!$R$146&lt;&gt;"","复核：","")</f>
        <v/>
      </c>
      <c r="G2174" s="78" t="str">
        <f aca="false">IF(助手收入!$R$146&lt;&gt;"","制单：","")</f>
        <v/>
      </c>
    </row>
    <row r="2175" customFormat="false" ht="3" hidden="false" customHeight="true" outlineLevel="0" collapsed="false"/>
    <row r="2176" customFormat="false" ht="19.5" hidden="false" customHeight="true" outlineLevel="0" collapsed="false">
      <c r="B2176" s="53" t="str">
        <f aca="false">IF(助手收入!$R$147&lt;&gt;"","记  账  凭  证","")</f>
        <v/>
      </c>
      <c r="C2176" s="53"/>
      <c r="D2176" s="53"/>
      <c r="E2176" s="53"/>
      <c r="F2176" s="53"/>
      <c r="G2176" s="53"/>
      <c r="H2176" s="53"/>
      <c r="I2176" s="53"/>
    </row>
    <row r="2177" customFormat="false" ht="3" hidden="false" customHeight="true" outlineLevel="0" collapsed="false"/>
    <row r="2178" customFormat="false" ht="15" hidden="false" customHeight="true" outlineLevel="0" collapsed="false">
      <c r="C2178" s="56" t="str">
        <f aca="false">IF(助手收入!$R$147&lt;&gt;"",INDEX(助手收入!$B$2:$B$66,助手收入!$R$147),"")</f>
        <v/>
      </c>
      <c r="D2178" s="57" t="str">
        <f aca="false">IF(助手收入!$R$147&lt;&gt;"",参数!$B$2,"")</f>
        <v/>
      </c>
      <c r="E2178" s="57"/>
      <c r="F2178" s="58" t="str">
        <f aca="false">IF(助手收入!$R$147&lt;&gt;"",INDEX(助手收入!$C$2:$C$66,助手收入!$R$147)&amp;"  字第 "&amp;IF(参数!$B$9="是",INDEX(助手收入!$P$2:$P$66,助手收入!$R$147),"　　　　")&amp;" 号"&amp;IF(INDEX(助手收入!$L$2:$L$66,助手收入!$R$147)&gt;1,"  (共"&amp;INDEX(助手收入!$L$2:$L$66,助手收入!$R$147)&amp;"页 第"&amp;助手收入!$S$147&amp;"页)",""),"")</f>
        <v/>
      </c>
      <c r="G2178" s="58"/>
      <c r="H2178" s="58"/>
      <c r="I2178" s="58"/>
      <c r="M2178" s="79" t="str">
        <f aca="false">IF(助手收入!$R$147="","",助手收入!$Q$147)</f>
        <v/>
      </c>
      <c r="N2178" s="80" t="str">
        <f aca="false">IF(助手收入!$R$147="","",INDEX(助手收入!$P$2:$P$66,助手收入!$R$147))</f>
        <v/>
      </c>
      <c r="O2178" s="55" t="str">
        <f aca="false">IF(助手收入!$R$147="","",INDEX(助手收入!$C$2:$C$66,助手收入!$R$147)&amp;"  字第 "&amp;INDEX(助手收入!$P$2:$P$66,助手收入!$R$147)&amp;" 号"&amp;IF(INDEX(助手收入!$L$2:$L$66,助手收入!$R$147)&gt;1,"  (共"&amp;INDEX(助手收入!$L$2:$L$66,助手收入!$R$147)&amp;"页 第"&amp;助手收入!$S$147&amp;"页)",""))</f>
        <v/>
      </c>
    </row>
    <row r="2179" customFormat="false" ht="12.75" hidden="false" customHeight="true" outlineLevel="0" collapsed="false">
      <c r="B2179" s="61" t="str">
        <f aca="false">IF(助手收入!$R$147&lt;&gt;"","摘　　要","")</f>
        <v/>
      </c>
      <c r="C2179" s="61"/>
      <c r="D2179" s="62" t="str">
        <f aca="false">IF(助手收入!$R$147&lt;&gt;"","科　　　　目","")</f>
        <v/>
      </c>
      <c r="E2179" s="62"/>
      <c r="F2179" s="61" t="str">
        <f aca="false">IF(助手收入!$R$147&lt;&gt;"","借 方 金 额","")</f>
        <v/>
      </c>
      <c r="G2179" s="62" t="str">
        <f aca="false">IF(助手收入!$R$147&lt;&gt;"","贷 方 金 额","")</f>
        <v/>
      </c>
      <c r="H2179" s="63" t="str">
        <f aca="false">IF(助手收入!$R$147&lt;&gt;"","√","")</f>
        <v/>
      </c>
      <c r="I2179" s="64" t="str">
        <f aca="false">IF(助手收入!$R$147&lt;&gt;"","附单据  张","")</f>
        <v/>
      </c>
    </row>
    <row r="2180" customFormat="false" ht="12.75" hidden="false" customHeight="true" outlineLevel="0" collapsed="false">
      <c r="B2180" s="61"/>
      <c r="C2180" s="61"/>
      <c r="D2180" s="23" t="str">
        <f aca="false">IF(助手收入!$R$147&lt;&gt;"","总 账 科 目","")</f>
        <v/>
      </c>
      <c r="E2180" s="23" t="str">
        <f aca="false">IF(助手收入!$R$147&lt;&gt;"","明 细 科 目","")</f>
        <v/>
      </c>
      <c r="F2180" s="65"/>
      <c r="G2180" s="66"/>
      <c r="H2180" s="63"/>
      <c r="I2180" s="64"/>
    </row>
    <row r="2181" customFormat="false" ht="23.25" hidden="false" customHeight="true" outlineLevel="0" collapsed="false">
      <c r="B2181" s="67" t="str">
        <f aca="false">IFERROR(INDEX(分录收入!$M:$M,MATCH($L2181,分录收入!$L:$L,0)),"")</f>
        <v/>
      </c>
      <c r="C2181" s="67"/>
      <c r="D2181" s="23" t="str">
        <f aca="false">IFERROR(INDEX(分录收入!$E:$E,MATCH($L2181,分录收入!$L:$L,0)),"")</f>
        <v/>
      </c>
      <c r="E2181" s="23" t="str">
        <f aca="false">IFERROR(INDEX(分录收入!$F:$F,MATCH($L2181,分录收入!$L:$L,0)),"")</f>
        <v/>
      </c>
      <c r="F2181" s="68" t="str">
        <f aca="false">IFERROR(INDEX(分录收入!$H:$H,MATCH($L2181,分录收入!$L:$L,0)),"")</f>
        <v/>
      </c>
      <c r="G2181" s="69" t="str">
        <f aca="false">IFERROR(INDEX(分录收入!$I:$I,MATCH($L2181,分录收入!$L:$L,0)),"")</f>
        <v/>
      </c>
      <c r="H2181" s="23"/>
      <c r="I2181" s="70"/>
      <c r="L2181" s="71" t="n">
        <f aca="false">IF(助手收入!$R$147="",-1,助手收入!$R$147*100+(助手收入!$S$147-1)*6+1)</f>
        <v>-1</v>
      </c>
    </row>
    <row r="2182" customFormat="false" ht="23.25" hidden="false" customHeight="true" outlineLevel="0" collapsed="false">
      <c r="B2182" s="67" t="str">
        <f aca="false">""</f>
        <v/>
      </c>
      <c r="C2182" s="67"/>
      <c r="D2182" s="23" t="str">
        <f aca="false">IFERROR(INDEX(分录收入!$E:$E,MATCH($L2182,分录收入!$L:$L,0)),"")</f>
        <v/>
      </c>
      <c r="E2182" s="23" t="str">
        <f aca="false">IFERROR(INDEX(分录收入!$F:$F,MATCH($L2182,分录收入!$L:$L,0)),"")</f>
        <v/>
      </c>
      <c r="F2182" s="68" t="str">
        <f aca="false">IFERROR(INDEX(分录收入!$H:$H,MATCH($L2182,分录收入!$L:$L,0)),"")</f>
        <v/>
      </c>
      <c r="G2182" s="69" t="str">
        <f aca="false">IFERROR(INDEX(分录收入!$I:$I,MATCH($L2182,分录收入!$L:$L,0)),"")</f>
        <v/>
      </c>
      <c r="H2182" s="23"/>
      <c r="I2182" s="70"/>
      <c r="L2182" s="71" t="n">
        <f aca="false">IF(助手收入!$R$147="",-1,助手收入!$R$147*100+(助手收入!$S$147-1)*6+2)</f>
        <v>-1</v>
      </c>
    </row>
    <row r="2183" customFormat="false" ht="23.25" hidden="false" customHeight="true" outlineLevel="0" collapsed="false">
      <c r="B2183" s="67" t="str">
        <f aca="false">""</f>
        <v/>
      </c>
      <c r="C2183" s="67"/>
      <c r="D2183" s="23" t="str">
        <f aca="false">IFERROR(INDEX(分录收入!$E:$E,MATCH($L2183,分录收入!$L:$L,0)),"")</f>
        <v/>
      </c>
      <c r="E2183" s="23" t="str">
        <f aca="false">IFERROR(INDEX(分录收入!$F:$F,MATCH($L2183,分录收入!$L:$L,0)),"")</f>
        <v/>
      </c>
      <c r="F2183" s="68" t="str">
        <f aca="false">IFERROR(INDEX(分录收入!$H:$H,MATCH($L2183,分录收入!$L:$L,0)),"")</f>
        <v/>
      </c>
      <c r="G2183" s="69" t="str">
        <f aca="false">IFERROR(INDEX(分录收入!$I:$I,MATCH($L2183,分录收入!$L:$L,0)),"")</f>
        <v/>
      </c>
      <c r="H2183" s="23"/>
      <c r="I2183" s="70"/>
      <c r="L2183" s="71" t="n">
        <f aca="false">IF(助手收入!$R$147="",-1,助手收入!$R$147*100+(助手收入!$S$147-1)*6+3)</f>
        <v>-1</v>
      </c>
    </row>
    <row r="2184" customFormat="false" ht="23.25" hidden="false" customHeight="true" outlineLevel="0" collapsed="false">
      <c r="B2184" s="67" t="str">
        <f aca="false">""</f>
        <v/>
      </c>
      <c r="C2184" s="67"/>
      <c r="D2184" s="23" t="str">
        <f aca="false">IFERROR(INDEX(分录收入!$E:$E,MATCH($L2184,分录收入!$L:$L,0)),"")</f>
        <v/>
      </c>
      <c r="E2184" s="23" t="str">
        <f aca="false">IFERROR(INDEX(分录收入!$F:$F,MATCH($L2184,分录收入!$L:$L,0)),"")</f>
        <v/>
      </c>
      <c r="F2184" s="68" t="str">
        <f aca="false">IFERROR(INDEX(分录收入!$H:$H,MATCH($L2184,分录收入!$L:$L,0)),"")</f>
        <v/>
      </c>
      <c r="G2184" s="69" t="str">
        <f aca="false">IFERROR(INDEX(分录收入!$I:$I,MATCH($L2184,分录收入!$L:$L,0)),"")</f>
        <v/>
      </c>
      <c r="H2184" s="23"/>
      <c r="I2184" s="70"/>
      <c r="L2184" s="71" t="n">
        <f aca="false">IF(助手收入!$R$147="",-1,助手收入!$R$147*100+(助手收入!$S$147-1)*6+4)</f>
        <v>-1</v>
      </c>
    </row>
    <row r="2185" customFormat="false" ht="23.25" hidden="false" customHeight="true" outlineLevel="0" collapsed="false">
      <c r="B2185" s="67" t="str">
        <f aca="false">""</f>
        <v/>
      </c>
      <c r="C2185" s="67"/>
      <c r="D2185" s="23" t="str">
        <f aca="false">IFERROR(INDEX(分录收入!$E:$E,MATCH($L2185,分录收入!$L:$L,0)),"")</f>
        <v/>
      </c>
      <c r="E2185" s="23" t="str">
        <f aca="false">IFERROR(INDEX(分录收入!$F:$F,MATCH($L2185,分录收入!$L:$L,0)),"")</f>
        <v/>
      </c>
      <c r="F2185" s="68" t="str">
        <f aca="false">IFERROR(INDEX(分录收入!$H:$H,MATCH($L2185,分录收入!$L:$L,0)),"")</f>
        <v/>
      </c>
      <c r="G2185" s="69" t="str">
        <f aca="false">IFERROR(INDEX(分录收入!$I:$I,MATCH($L2185,分录收入!$L:$L,0)),"")</f>
        <v/>
      </c>
      <c r="H2185" s="23"/>
      <c r="I2185" s="70"/>
      <c r="L2185" s="71" t="n">
        <f aca="false">IF(助手收入!$R$147="",-1,助手收入!$R$147*100+(助手收入!$S$147-1)*6+5)</f>
        <v>-1</v>
      </c>
    </row>
    <row r="2186" customFormat="false" ht="23.25" hidden="false" customHeight="true" outlineLevel="0" collapsed="false">
      <c r="B2186" s="67" t="str">
        <f aca="false">""</f>
        <v/>
      </c>
      <c r="C2186" s="67"/>
      <c r="D2186" s="23" t="str">
        <f aca="false">IFERROR(INDEX(分录收入!$E:$E,MATCH($L2186,分录收入!$L:$L,0)),"")</f>
        <v/>
      </c>
      <c r="E2186" s="23" t="str">
        <f aca="false">IFERROR(INDEX(分录收入!$F:$F,MATCH($L2186,分录收入!$L:$L,0)),"")</f>
        <v/>
      </c>
      <c r="F2186" s="68" t="str">
        <f aca="false">IFERROR(INDEX(分录收入!$H:$H,MATCH($L2186,分录收入!$L:$L,0)),"")</f>
        <v/>
      </c>
      <c r="G2186" s="69" t="str">
        <f aca="false">IFERROR(INDEX(分录收入!$I:$I,MATCH($L2186,分录收入!$L:$L,0)),"")</f>
        <v/>
      </c>
      <c r="H2186" s="23"/>
      <c r="I2186" s="70"/>
      <c r="L2186" s="71" t="n">
        <f aca="false">IF(助手收入!$R$147="",-1,助手收入!$R$147*100+(助手收入!$S$147-1)*6+6)</f>
        <v>-1</v>
      </c>
    </row>
    <row r="2187" customFormat="false" ht="23.25" hidden="false" customHeight="true" outlineLevel="0" collapsed="false">
      <c r="B2187" s="72" t="str">
        <f aca="false">IF(助手收入!$T$147=1,"合计：","")</f>
        <v/>
      </c>
      <c r="C2187" s="73" t="str">
        <f aca="false">IF(助手收入!$T$147=1,$F2187,"")</f>
        <v/>
      </c>
      <c r="D2187" s="74"/>
      <c r="E2187" s="74"/>
      <c r="F2187" s="75" t="str">
        <f aca="false">IF(助手收入!$T$147=1,INDEX(助手收入!$N$2:$N$66,助手收入!$R$147),"")</f>
        <v/>
      </c>
      <c r="G2187" s="76" t="str">
        <f aca="false">IF(助手收入!$T$147=1,INDEX(助手收入!$O$2:$O$66,助手收入!$R$147),"")</f>
        <v/>
      </c>
      <c r="H2187" s="74"/>
      <c r="I2187" s="77"/>
    </row>
    <row r="2188" customFormat="false" ht="6" hidden="false" customHeight="true" outlineLevel="0" collapsed="false"/>
    <row r="2189" customFormat="false" ht="13.5" hidden="false" customHeight="false" outlineLevel="0" collapsed="false">
      <c r="B2189" s="78" t="str">
        <f aca="false">IF(助手收入!$R$147&lt;&gt;"","会计主管：","")</f>
        <v/>
      </c>
      <c r="D2189" s="78" t="str">
        <f aca="false">IF(助手收入!$R$147&lt;&gt;"","会计：","")</f>
        <v/>
      </c>
      <c r="E2189" s="78" t="str">
        <f aca="false">IF(助手收入!$R$147&lt;&gt;"","出纳：","")</f>
        <v/>
      </c>
      <c r="F2189" s="78" t="str">
        <f aca="false">IF(助手收入!$R$147&lt;&gt;"","复核：","")</f>
        <v/>
      </c>
      <c r="G2189" s="78" t="str">
        <f aca="false">IF(助手收入!$R$147&lt;&gt;"","制单：","")</f>
        <v/>
      </c>
    </row>
    <row r="2190" customFormat="false" ht="3" hidden="false" customHeight="true" outlineLevel="0" collapsed="false"/>
    <row r="2191" customFormat="false" ht="19.5" hidden="false" customHeight="true" outlineLevel="0" collapsed="false">
      <c r="B2191" s="53" t="str">
        <f aca="false">IF(助手收入!$R$148&lt;&gt;"","记  账  凭  证","")</f>
        <v/>
      </c>
      <c r="C2191" s="53"/>
      <c r="D2191" s="53"/>
      <c r="E2191" s="53"/>
      <c r="F2191" s="53"/>
      <c r="G2191" s="53"/>
      <c r="H2191" s="53"/>
      <c r="I2191" s="53"/>
    </row>
    <row r="2192" customFormat="false" ht="3" hidden="false" customHeight="true" outlineLevel="0" collapsed="false"/>
    <row r="2193" customFormat="false" ht="15" hidden="false" customHeight="true" outlineLevel="0" collapsed="false">
      <c r="C2193" s="56" t="str">
        <f aca="false">IF(助手收入!$R$148&lt;&gt;"",INDEX(助手收入!$B$2:$B$66,助手收入!$R$148),"")</f>
        <v/>
      </c>
      <c r="D2193" s="57" t="str">
        <f aca="false">IF(助手收入!$R$148&lt;&gt;"",参数!$B$2,"")</f>
        <v/>
      </c>
      <c r="E2193" s="57"/>
      <c r="F2193" s="58" t="str">
        <f aca="false">IF(助手收入!$R$148&lt;&gt;"",INDEX(助手收入!$C$2:$C$66,助手收入!$R$148)&amp;"  字第 "&amp;IF(参数!$B$9="是",INDEX(助手收入!$P$2:$P$66,助手收入!$R$148),"　　　　")&amp;" 号"&amp;IF(INDEX(助手收入!$L$2:$L$66,助手收入!$R$148)&gt;1,"  (共"&amp;INDEX(助手收入!$L$2:$L$66,助手收入!$R$148)&amp;"页 第"&amp;助手收入!$S$148&amp;"页)",""),"")</f>
        <v/>
      </c>
      <c r="G2193" s="58"/>
      <c r="H2193" s="58"/>
      <c r="I2193" s="58"/>
      <c r="M2193" s="79" t="str">
        <f aca="false">IF(助手收入!$R$148="","",助手收入!$Q$148)</f>
        <v/>
      </c>
      <c r="N2193" s="80" t="str">
        <f aca="false">IF(助手收入!$R$148="","",INDEX(助手收入!$P$2:$P$66,助手收入!$R$148))</f>
        <v/>
      </c>
      <c r="O2193" s="55" t="str">
        <f aca="false">IF(助手收入!$R$148="","",INDEX(助手收入!$C$2:$C$66,助手收入!$R$148)&amp;"  字第 "&amp;INDEX(助手收入!$P$2:$P$66,助手收入!$R$148)&amp;" 号"&amp;IF(INDEX(助手收入!$L$2:$L$66,助手收入!$R$148)&gt;1,"  (共"&amp;INDEX(助手收入!$L$2:$L$66,助手收入!$R$148)&amp;"页 第"&amp;助手收入!$S$148&amp;"页)",""))</f>
        <v/>
      </c>
    </row>
    <row r="2194" customFormat="false" ht="12.75" hidden="false" customHeight="true" outlineLevel="0" collapsed="false">
      <c r="B2194" s="61" t="str">
        <f aca="false">IF(助手收入!$R$148&lt;&gt;"","摘　　要","")</f>
        <v/>
      </c>
      <c r="C2194" s="61"/>
      <c r="D2194" s="62" t="str">
        <f aca="false">IF(助手收入!$R$148&lt;&gt;"","科　　　　目","")</f>
        <v/>
      </c>
      <c r="E2194" s="62"/>
      <c r="F2194" s="61" t="str">
        <f aca="false">IF(助手收入!$R$148&lt;&gt;"","借 方 金 额","")</f>
        <v/>
      </c>
      <c r="G2194" s="62" t="str">
        <f aca="false">IF(助手收入!$R$148&lt;&gt;"","贷 方 金 额","")</f>
        <v/>
      </c>
      <c r="H2194" s="63" t="str">
        <f aca="false">IF(助手收入!$R$148&lt;&gt;"","√","")</f>
        <v/>
      </c>
      <c r="I2194" s="64" t="str">
        <f aca="false">IF(助手收入!$R$148&lt;&gt;"","附单据  张","")</f>
        <v/>
      </c>
    </row>
    <row r="2195" customFormat="false" ht="12.75" hidden="false" customHeight="true" outlineLevel="0" collapsed="false">
      <c r="B2195" s="61"/>
      <c r="C2195" s="61"/>
      <c r="D2195" s="23" t="str">
        <f aca="false">IF(助手收入!$R$148&lt;&gt;"","总 账 科 目","")</f>
        <v/>
      </c>
      <c r="E2195" s="23" t="str">
        <f aca="false">IF(助手收入!$R$148&lt;&gt;"","明 细 科 目","")</f>
        <v/>
      </c>
      <c r="F2195" s="65"/>
      <c r="G2195" s="66"/>
      <c r="H2195" s="63"/>
      <c r="I2195" s="64"/>
    </row>
    <row r="2196" customFormat="false" ht="23.25" hidden="false" customHeight="true" outlineLevel="0" collapsed="false">
      <c r="B2196" s="67" t="str">
        <f aca="false">IFERROR(INDEX(分录收入!$M:$M,MATCH($L2196,分录收入!$L:$L,0)),"")</f>
        <v/>
      </c>
      <c r="C2196" s="67"/>
      <c r="D2196" s="23" t="str">
        <f aca="false">IFERROR(INDEX(分录收入!$E:$E,MATCH($L2196,分录收入!$L:$L,0)),"")</f>
        <v/>
      </c>
      <c r="E2196" s="23" t="str">
        <f aca="false">IFERROR(INDEX(分录收入!$F:$F,MATCH($L2196,分录收入!$L:$L,0)),"")</f>
        <v/>
      </c>
      <c r="F2196" s="68" t="str">
        <f aca="false">IFERROR(INDEX(分录收入!$H:$H,MATCH($L2196,分录收入!$L:$L,0)),"")</f>
        <v/>
      </c>
      <c r="G2196" s="69" t="str">
        <f aca="false">IFERROR(INDEX(分录收入!$I:$I,MATCH($L2196,分录收入!$L:$L,0)),"")</f>
        <v/>
      </c>
      <c r="H2196" s="23"/>
      <c r="I2196" s="70"/>
      <c r="L2196" s="71" t="n">
        <f aca="false">IF(助手收入!$R$148="",-1,助手收入!$R$148*100+(助手收入!$S$148-1)*6+1)</f>
        <v>-1</v>
      </c>
    </row>
    <row r="2197" customFormat="false" ht="23.25" hidden="false" customHeight="true" outlineLevel="0" collapsed="false">
      <c r="B2197" s="67" t="str">
        <f aca="false">""</f>
        <v/>
      </c>
      <c r="C2197" s="67"/>
      <c r="D2197" s="23" t="str">
        <f aca="false">IFERROR(INDEX(分录收入!$E:$E,MATCH($L2197,分录收入!$L:$L,0)),"")</f>
        <v/>
      </c>
      <c r="E2197" s="23" t="str">
        <f aca="false">IFERROR(INDEX(分录收入!$F:$F,MATCH($L2197,分录收入!$L:$L,0)),"")</f>
        <v/>
      </c>
      <c r="F2197" s="68" t="str">
        <f aca="false">IFERROR(INDEX(分录收入!$H:$H,MATCH($L2197,分录收入!$L:$L,0)),"")</f>
        <v/>
      </c>
      <c r="G2197" s="69" t="str">
        <f aca="false">IFERROR(INDEX(分录收入!$I:$I,MATCH($L2197,分录收入!$L:$L,0)),"")</f>
        <v/>
      </c>
      <c r="H2197" s="23"/>
      <c r="I2197" s="70"/>
      <c r="L2197" s="71" t="n">
        <f aca="false">IF(助手收入!$R$148="",-1,助手收入!$R$148*100+(助手收入!$S$148-1)*6+2)</f>
        <v>-1</v>
      </c>
    </row>
    <row r="2198" customFormat="false" ht="23.25" hidden="false" customHeight="true" outlineLevel="0" collapsed="false">
      <c r="B2198" s="67" t="str">
        <f aca="false">""</f>
        <v/>
      </c>
      <c r="C2198" s="67"/>
      <c r="D2198" s="23" t="str">
        <f aca="false">IFERROR(INDEX(分录收入!$E:$E,MATCH($L2198,分录收入!$L:$L,0)),"")</f>
        <v/>
      </c>
      <c r="E2198" s="23" t="str">
        <f aca="false">IFERROR(INDEX(分录收入!$F:$F,MATCH($L2198,分录收入!$L:$L,0)),"")</f>
        <v/>
      </c>
      <c r="F2198" s="68" t="str">
        <f aca="false">IFERROR(INDEX(分录收入!$H:$H,MATCH($L2198,分录收入!$L:$L,0)),"")</f>
        <v/>
      </c>
      <c r="G2198" s="69" t="str">
        <f aca="false">IFERROR(INDEX(分录收入!$I:$I,MATCH($L2198,分录收入!$L:$L,0)),"")</f>
        <v/>
      </c>
      <c r="H2198" s="23"/>
      <c r="I2198" s="70"/>
      <c r="L2198" s="71" t="n">
        <f aca="false">IF(助手收入!$R$148="",-1,助手收入!$R$148*100+(助手收入!$S$148-1)*6+3)</f>
        <v>-1</v>
      </c>
    </row>
    <row r="2199" customFormat="false" ht="23.25" hidden="false" customHeight="true" outlineLevel="0" collapsed="false">
      <c r="B2199" s="67" t="str">
        <f aca="false">""</f>
        <v/>
      </c>
      <c r="C2199" s="67"/>
      <c r="D2199" s="23" t="str">
        <f aca="false">IFERROR(INDEX(分录收入!$E:$E,MATCH($L2199,分录收入!$L:$L,0)),"")</f>
        <v/>
      </c>
      <c r="E2199" s="23" t="str">
        <f aca="false">IFERROR(INDEX(分录收入!$F:$F,MATCH($L2199,分录收入!$L:$L,0)),"")</f>
        <v/>
      </c>
      <c r="F2199" s="68" t="str">
        <f aca="false">IFERROR(INDEX(分录收入!$H:$H,MATCH($L2199,分录收入!$L:$L,0)),"")</f>
        <v/>
      </c>
      <c r="G2199" s="69" t="str">
        <f aca="false">IFERROR(INDEX(分录收入!$I:$I,MATCH($L2199,分录收入!$L:$L,0)),"")</f>
        <v/>
      </c>
      <c r="H2199" s="23"/>
      <c r="I2199" s="70"/>
      <c r="L2199" s="71" t="n">
        <f aca="false">IF(助手收入!$R$148="",-1,助手收入!$R$148*100+(助手收入!$S$148-1)*6+4)</f>
        <v>-1</v>
      </c>
    </row>
    <row r="2200" customFormat="false" ht="23.25" hidden="false" customHeight="true" outlineLevel="0" collapsed="false">
      <c r="B2200" s="67" t="str">
        <f aca="false">""</f>
        <v/>
      </c>
      <c r="C2200" s="67"/>
      <c r="D2200" s="23" t="str">
        <f aca="false">IFERROR(INDEX(分录收入!$E:$E,MATCH($L2200,分录收入!$L:$L,0)),"")</f>
        <v/>
      </c>
      <c r="E2200" s="23" t="str">
        <f aca="false">IFERROR(INDEX(分录收入!$F:$F,MATCH($L2200,分录收入!$L:$L,0)),"")</f>
        <v/>
      </c>
      <c r="F2200" s="68" t="str">
        <f aca="false">IFERROR(INDEX(分录收入!$H:$H,MATCH($L2200,分录收入!$L:$L,0)),"")</f>
        <v/>
      </c>
      <c r="G2200" s="69" t="str">
        <f aca="false">IFERROR(INDEX(分录收入!$I:$I,MATCH($L2200,分录收入!$L:$L,0)),"")</f>
        <v/>
      </c>
      <c r="H2200" s="23"/>
      <c r="I2200" s="70"/>
      <c r="L2200" s="71" t="n">
        <f aca="false">IF(助手收入!$R$148="",-1,助手收入!$R$148*100+(助手收入!$S$148-1)*6+5)</f>
        <v>-1</v>
      </c>
    </row>
    <row r="2201" customFormat="false" ht="23.25" hidden="false" customHeight="true" outlineLevel="0" collapsed="false">
      <c r="B2201" s="67" t="str">
        <f aca="false">""</f>
        <v/>
      </c>
      <c r="C2201" s="67"/>
      <c r="D2201" s="23" t="str">
        <f aca="false">IFERROR(INDEX(分录收入!$E:$E,MATCH($L2201,分录收入!$L:$L,0)),"")</f>
        <v/>
      </c>
      <c r="E2201" s="23" t="str">
        <f aca="false">IFERROR(INDEX(分录收入!$F:$F,MATCH($L2201,分录收入!$L:$L,0)),"")</f>
        <v/>
      </c>
      <c r="F2201" s="68" t="str">
        <f aca="false">IFERROR(INDEX(分录收入!$H:$H,MATCH($L2201,分录收入!$L:$L,0)),"")</f>
        <v/>
      </c>
      <c r="G2201" s="69" t="str">
        <f aca="false">IFERROR(INDEX(分录收入!$I:$I,MATCH($L2201,分录收入!$L:$L,0)),"")</f>
        <v/>
      </c>
      <c r="H2201" s="23"/>
      <c r="I2201" s="70"/>
      <c r="L2201" s="71" t="n">
        <f aca="false">IF(助手收入!$R$148="",-1,助手收入!$R$148*100+(助手收入!$S$148-1)*6+6)</f>
        <v>-1</v>
      </c>
    </row>
    <row r="2202" customFormat="false" ht="23.25" hidden="false" customHeight="true" outlineLevel="0" collapsed="false">
      <c r="B2202" s="72" t="str">
        <f aca="false">IF(助手收入!$T$148=1,"合计：","")</f>
        <v/>
      </c>
      <c r="C2202" s="73" t="str">
        <f aca="false">IF(助手收入!$T$148=1,$F2202,"")</f>
        <v/>
      </c>
      <c r="D2202" s="74"/>
      <c r="E2202" s="74"/>
      <c r="F2202" s="75" t="str">
        <f aca="false">IF(助手收入!$T$148=1,INDEX(助手收入!$N$2:$N$66,助手收入!$R$148),"")</f>
        <v/>
      </c>
      <c r="G2202" s="76" t="str">
        <f aca="false">IF(助手收入!$T$148=1,INDEX(助手收入!$O$2:$O$66,助手收入!$R$148),"")</f>
        <v/>
      </c>
      <c r="H2202" s="74"/>
      <c r="I2202" s="77"/>
    </row>
    <row r="2203" customFormat="false" ht="6" hidden="false" customHeight="true" outlineLevel="0" collapsed="false"/>
    <row r="2204" customFormat="false" ht="13.5" hidden="false" customHeight="false" outlineLevel="0" collapsed="false">
      <c r="B2204" s="78" t="str">
        <f aca="false">IF(助手收入!$R$148&lt;&gt;"","会计主管：","")</f>
        <v/>
      </c>
      <c r="D2204" s="78" t="str">
        <f aca="false">IF(助手收入!$R$148&lt;&gt;"","会计：","")</f>
        <v/>
      </c>
      <c r="E2204" s="78" t="str">
        <f aca="false">IF(助手收入!$R$148&lt;&gt;"","出纳：","")</f>
        <v/>
      </c>
      <c r="F2204" s="78" t="str">
        <f aca="false">IF(助手收入!$R$148&lt;&gt;"","复核：","")</f>
        <v/>
      </c>
      <c r="G2204" s="78" t="str">
        <f aca="false">IF(助手收入!$R$148&lt;&gt;"","制单：","")</f>
        <v/>
      </c>
    </row>
    <row r="2205" customFormat="false" ht="3" hidden="false" customHeight="true" outlineLevel="0" collapsed="false"/>
    <row r="2206" customFormat="false" ht="19.5" hidden="false" customHeight="true" outlineLevel="0" collapsed="false">
      <c r="B2206" s="53" t="str">
        <f aca="false">IF(助手收入!$R$149&lt;&gt;"","记  账  凭  证","")</f>
        <v/>
      </c>
      <c r="C2206" s="53"/>
      <c r="D2206" s="53"/>
      <c r="E2206" s="53"/>
      <c r="F2206" s="53"/>
      <c r="G2206" s="53"/>
      <c r="H2206" s="53"/>
      <c r="I2206" s="53"/>
    </row>
    <row r="2207" customFormat="false" ht="3" hidden="false" customHeight="true" outlineLevel="0" collapsed="false"/>
    <row r="2208" customFormat="false" ht="15" hidden="false" customHeight="true" outlineLevel="0" collapsed="false">
      <c r="C2208" s="56" t="str">
        <f aca="false">IF(助手收入!$R$149&lt;&gt;"",INDEX(助手收入!$B$2:$B$66,助手收入!$R$149),"")</f>
        <v/>
      </c>
      <c r="D2208" s="57" t="str">
        <f aca="false">IF(助手收入!$R$149&lt;&gt;"",参数!$B$2,"")</f>
        <v/>
      </c>
      <c r="E2208" s="57"/>
      <c r="F2208" s="58" t="str">
        <f aca="false">IF(助手收入!$R$149&lt;&gt;"",INDEX(助手收入!$C$2:$C$66,助手收入!$R$149)&amp;"  字第 "&amp;IF(参数!$B$9="是",INDEX(助手收入!$P$2:$P$66,助手收入!$R$149),"　　　　")&amp;" 号"&amp;IF(INDEX(助手收入!$L$2:$L$66,助手收入!$R$149)&gt;1,"  (共"&amp;INDEX(助手收入!$L$2:$L$66,助手收入!$R$149)&amp;"页 第"&amp;助手收入!$S$149&amp;"页)",""),"")</f>
        <v/>
      </c>
      <c r="G2208" s="58"/>
      <c r="H2208" s="58"/>
      <c r="I2208" s="58"/>
      <c r="M2208" s="79" t="str">
        <f aca="false">IF(助手收入!$R$149="","",助手收入!$Q$149)</f>
        <v/>
      </c>
      <c r="N2208" s="80" t="str">
        <f aca="false">IF(助手收入!$R$149="","",INDEX(助手收入!$P$2:$P$66,助手收入!$R$149))</f>
        <v/>
      </c>
      <c r="O2208" s="55" t="str">
        <f aca="false">IF(助手收入!$R$149="","",INDEX(助手收入!$C$2:$C$66,助手收入!$R$149)&amp;"  字第 "&amp;INDEX(助手收入!$P$2:$P$66,助手收入!$R$149)&amp;" 号"&amp;IF(INDEX(助手收入!$L$2:$L$66,助手收入!$R$149)&gt;1,"  (共"&amp;INDEX(助手收入!$L$2:$L$66,助手收入!$R$149)&amp;"页 第"&amp;助手收入!$S$149&amp;"页)",""))</f>
        <v/>
      </c>
    </row>
    <row r="2209" customFormat="false" ht="12.75" hidden="false" customHeight="true" outlineLevel="0" collapsed="false">
      <c r="B2209" s="61" t="str">
        <f aca="false">IF(助手收入!$R$149&lt;&gt;"","摘　　要","")</f>
        <v/>
      </c>
      <c r="C2209" s="61"/>
      <c r="D2209" s="62" t="str">
        <f aca="false">IF(助手收入!$R$149&lt;&gt;"","科　　　　目","")</f>
        <v/>
      </c>
      <c r="E2209" s="62"/>
      <c r="F2209" s="61" t="str">
        <f aca="false">IF(助手收入!$R$149&lt;&gt;"","借 方 金 额","")</f>
        <v/>
      </c>
      <c r="G2209" s="62" t="str">
        <f aca="false">IF(助手收入!$R$149&lt;&gt;"","贷 方 金 额","")</f>
        <v/>
      </c>
      <c r="H2209" s="63" t="str">
        <f aca="false">IF(助手收入!$R$149&lt;&gt;"","√","")</f>
        <v/>
      </c>
      <c r="I2209" s="64" t="str">
        <f aca="false">IF(助手收入!$R$149&lt;&gt;"","附单据  张","")</f>
        <v/>
      </c>
    </row>
    <row r="2210" customFormat="false" ht="12.75" hidden="false" customHeight="true" outlineLevel="0" collapsed="false">
      <c r="B2210" s="61"/>
      <c r="C2210" s="61"/>
      <c r="D2210" s="23" t="str">
        <f aca="false">IF(助手收入!$R$149&lt;&gt;"","总 账 科 目","")</f>
        <v/>
      </c>
      <c r="E2210" s="23" t="str">
        <f aca="false">IF(助手收入!$R$149&lt;&gt;"","明 细 科 目","")</f>
        <v/>
      </c>
      <c r="F2210" s="65"/>
      <c r="G2210" s="66"/>
      <c r="H2210" s="63"/>
      <c r="I2210" s="64"/>
    </row>
    <row r="2211" customFormat="false" ht="23.25" hidden="false" customHeight="true" outlineLevel="0" collapsed="false">
      <c r="B2211" s="67" t="str">
        <f aca="false">IFERROR(INDEX(分录收入!$M:$M,MATCH($L2211,分录收入!$L:$L,0)),"")</f>
        <v/>
      </c>
      <c r="C2211" s="67"/>
      <c r="D2211" s="23" t="str">
        <f aca="false">IFERROR(INDEX(分录收入!$E:$E,MATCH($L2211,分录收入!$L:$L,0)),"")</f>
        <v/>
      </c>
      <c r="E2211" s="23" t="str">
        <f aca="false">IFERROR(INDEX(分录收入!$F:$F,MATCH($L2211,分录收入!$L:$L,0)),"")</f>
        <v/>
      </c>
      <c r="F2211" s="68" t="str">
        <f aca="false">IFERROR(INDEX(分录收入!$H:$H,MATCH($L2211,分录收入!$L:$L,0)),"")</f>
        <v/>
      </c>
      <c r="G2211" s="69" t="str">
        <f aca="false">IFERROR(INDEX(分录收入!$I:$I,MATCH($L2211,分录收入!$L:$L,0)),"")</f>
        <v/>
      </c>
      <c r="H2211" s="23"/>
      <c r="I2211" s="70"/>
      <c r="L2211" s="71" t="n">
        <f aca="false">IF(助手收入!$R$149="",-1,助手收入!$R$149*100+(助手收入!$S$149-1)*6+1)</f>
        <v>-1</v>
      </c>
    </row>
    <row r="2212" customFormat="false" ht="23.25" hidden="false" customHeight="true" outlineLevel="0" collapsed="false">
      <c r="B2212" s="67" t="str">
        <f aca="false">""</f>
        <v/>
      </c>
      <c r="C2212" s="67"/>
      <c r="D2212" s="23" t="str">
        <f aca="false">IFERROR(INDEX(分录收入!$E:$E,MATCH($L2212,分录收入!$L:$L,0)),"")</f>
        <v/>
      </c>
      <c r="E2212" s="23" t="str">
        <f aca="false">IFERROR(INDEX(分录收入!$F:$F,MATCH($L2212,分录收入!$L:$L,0)),"")</f>
        <v/>
      </c>
      <c r="F2212" s="68" t="str">
        <f aca="false">IFERROR(INDEX(分录收入!$H:$H,MATCH($L2212,分录收入!$L:$L,0)),"")</f>
        <v/>
      </c>
      <c r="G2212" s="69" t="str">
        <f aca="false">IFERROR(INDEX(分录收入!$I:$I,MATCH($L2212,分录收入!$L:$L,0)),"")</f>
        <v/>
      </c>
      <c r="H2212" s="23"/>
      <c r="I2212" s="70"/>
      <c r="L2212" s="71" t="n">
        <f aca="false">IF(助手收入!$R$149="",-1,助手收入!$R$149*100+(助手收入!$S$149-1)*6+2)</f>
        <v>-1</v>
      </c>
    </row>
    <row r="2213" customFormat="false" ht="23.25" hidden="false" customHeight="true" outlineLevel="0" collapsed="false">
      <c r="B2213" s="67" t="str">
        <f aca="false">""</f>
        <v/>
      </c>
      <c r="C2213" s="67"/>
      <c r="D2213" s="23" t="str">
        <f aca="false">IFERROR(INDEX(分录收入!$E:$E,MATCH($L2213,分录收入!$L:$L,0)),"")</f>
        <v/>
      </c>
      <c r="E2213" s="23" t="str">
        <f aca="false">IFERROR(INDEX(分录收入!$F:$F,MATCH($L2213,分录收入!$L:$L,0)),"")</f>
        <v/>
      </c>
      <c r="F2213" s="68" t="str">
        <f aca="false">IFERROR(INDEX(分录收入!$H:$H,MATCH($L2213,分录收入!$L:$L,0)),"")</f>
        <v/>
      </c>
      <c r="G2213" s="69" t="str">
        <f aca="false">IFERROR(INDEX(分录收入!$I:$I,MATCH($L2213,分录收入!$L:$L,0)),"")</f>
        <v/>
      </c>
      <c r="H2213" s="23"/>
      <c r="I2213" s="70"/>
      <c r="L2213" s="71" t="n">
        <f aca="false">IF(助手收入!$R$149="",-1,助手收入!$R$149*100+(助手收入!$S$149-1)*6+3)</f>
        <v>-1</v>
      </c>
    </row>
    <row r="2214" customFormat="false" ht="23.25" hidden="false" customHeight="true" outlineLevel="0" collapsed="false">
      <c r="B2214" s="67" t="str">
        <f aca="false">""</f>
        <v/>
      </c>
      <c r="C2214" s="67"/>
      <c r="D2214" s="23" t="str">
        <f aca="false">IFERROR(INDEX(分录收入!$E:$E,MATCH($L2214,分录收入!$L:$L,0)),"")</f>
        <v/>
      </c>
      <c r="E2214" s="23" t="str">
        <f aca="false">IFERROR(INDEX(分录收入!$F:$F,MATCH($L2214,分录收入!$L:$L,0)),"")</f>
        <v/>
      </c>
      <c r="F2214" s="68" t="str">
        <f aca="false">IFERROR(INDEX(分录收入!$H:$H,MATCH($L2214,分录收入!$L:$L,0)),"")</f>
        <v/>
      </c>
      <c r="G2214" s="69" t="str">
        <f aca="false">IFERROR(INDEX(分录收入!$I:$I,MATCH($L2214,分录收入!$L:$L,0)),"")</f>
        <v/>
      </c>
      <c r="H2214" s="23"/>
      <c r="I2214" s="70"/>
      <c r="L2214" s="71" t="n">
        <f aca="false">IF(助手收入!$R$149="",-1,助手收入!$R$149*100+(助手收入!$S$149-1)*6+4)</f>
        <v>-1</v>
      </c>
    </row>
    <row r="2215" customFormat="false" ht="23.25" hidden="false" customHeight="true" outlineLevel="0" collapsed="false">
      <c r="B2215" s="67" t="str">
        <f aca="false">""</f>
        <v/>
      </c>
      <c r="C2215" s="67"/>
      <c r="D2215" s="23" t="str">
        <f aca="false">IFERROR(INDEX(分录收入!$E:$E,MATCH($L2215,分录收入!$L:$L,0)),"")</f>
        <v/>
      </c>
      <c r="E2215" s="23" t="str">
        <f aca="false">IFERROR(INDEX(分录收入!$F:$F,MATCH($L2215,分录收入!$L:$L,0)),"")</f>
        <v/>
      </c>
      <c r="F2215" s="68" t="str">
        <f aca="false">IFERROR(INDEX(分录收入!$H:$H,MATCH($L2215,分录收入!$L:$L,0)),"")</f>
        <v/>
      </c>
      <c r="G2215" s="69" t="str">
        <f aca="false">IFERROR(INDEX(分录收入!$I:$I,MATCH($L2215,分录收入!$L:$L,0)),"")</f>
        <v/>
      </c>
      <c r="H2215" s="23"/>
      <c r="I2215" s="70"/>
      <c r="L2215" s="71" t="n">
        <f aca="false">IF(助手收入!$R$149="",-1,助手收入!$R$149*100+(助手收入!$S$149-1)*6+5)</f>
        <v>-1</v>
      </c>
    </row>
    <row r="2216" customFormat="false" ht="23.25" hidden="false" customHeight="true" outlineLevel="0" collapsed="false">
      <c r="B2216" s="67" t="str">
        <f aca="false">""</f>
        <v/>
      </c>
      <c r="C2216" s="67"/>
      <c r="D2216" s="23" t="str">
        <f aca="false">IFERROR(INDEX(分录收入!$E:$E,MATCH($L2216,分录收入!$L:$L,0)),"")</f>
        <v/>
      </c>
      <c r="E2216" s="23" t="str">
        <f aca="false">IFERROR(INDEX(分录收入!$F:$F,MATCH($L2216,分录收入!$L:$L,0)),"")</f>
        <v/>
      </c>
      <c r="F2216" s="68" t="str">
        <f aca="false">IFERROR(INDEX(分录收入!$H:$H,MATCH($L2216,分录收入!$L:$L,0)),"")</f>
        <v/>
      </c>
      <c r="G2216" s="69" t="str">
        <f aca="false">IFERROR(INDEX(分录收入!$I:$I,MATCH($L2216,分录收入!$L:$L,0)),"")</f>
        <v/>
      </c>
      <c r="H2216" s="23"/>
      <c r="I2216" s="70"/>
      <c r="L2216" s="71" t="n">
        <f aca="false">IF(助手收入!$R$149="",-1,助手收入!$R$149*100+(助手收入!$S$149-1)*6+6)</f>
        <v>-1</v>
      </c>
    </row>
    <row r="2217" customFormat="false" ht="23.25" hidden="false" customHeight="true" outlineLevel="0" collapsed="false">
      <c r="B2217" s="72" t="str">
        <f aca="false">IF(助手收入!$T$149=1,"合计：","")</f>
        <v/>
      </c>
      <c r="C2217" s="73" t="str">
        <f aca="false">IF(助手收入!$T$149=1,$F2217,"")</f>
        <v/>
      </c>
      <c r="D2217" s="74"/>
      <c r="E2217" s="74"/>
      <c r="F2217" s="75" t="str">
        <f aca="false">IF(助手收入!$T$149=1,INDEX(助手收入!$N$2:$N$66,助手收入!$R$149),"")</f>
        <v/>
      </c>
      <c r="G2217" s="76" t="str">
        <f aca="false">IF(助手收入!$T$149=1,INDEX(助手收入!$O$2:$O$66,助手收入!$R$149),"")</f>
        <v/>
      </c>
      <c r="H2217" s="74"/>
      <c r="I2217" s="77"/>
    </row>
    <row r="2218" customFormat="false" ht="6" hidden="false" customHeight="true" outlineLevel="0" collapsed="false"/>
    <row r="2219" customFormat="false" ht="13.5" hidden="false" customHeight="false" outlineLevel="0" collapsed="false">
      <c r="B2219" s="78" t="str">
        <f aca="false">IF(助手收入!$R$149&lt;&gt;"","会计主管：","")</f>
        <v/>
      </c>
      <c r="D2219" s="78" t="str">
        <f aca="false">IF(助手收入!$R$149&lt;&gt;"","会计：","")</f>
        <v/>
      </c>
      <c r="E2219" s="78" t="str">
        <f aca="false">IF(助手收入!$R$149&lt;&gt;"","出纳：","")</f>
        <v/>
      </c>
      <c r="F2219" s="78" t="str">
        <f aca="false">IF(助手收入!$R$149&lt;&gt;"","复核：","")</f>
        <v/>
      </c>
      <c r="G2219" s="78" t="str">
        <f aca="false">IF(助手收入!$R$149&lt;&gt;"","制单：","")</f>
        <v/>
      </c>
    </row>
    <row r="2220" customFormat="false" ht="3" hidden="false" customHeight="true" outlineLevel="0" collapsed="false"/>
    <row r="2221" customFormat="false" ht="19.5" hidden="false" customHeight="true" outlineLevel="0" collapsed="false">
      <c r="B2221" s="53" t="str">
        <f aca="false">IF(助手收入!$R$150&lt;&gt;"","记  账  凭  证","")</f>
        <v/>
      </c>
      <c r="C2221" s="53"/>
      <c r="D2221" s="53"/>
      <c r="E2221" s="53"/>
      <c r="F2221" s="53"/>
      <c r="G2221" s="53"/>
      <c r="H2221" s="53"/>
      <c r="I2221" s="53"/>
    </row>
    <row r="2222" customFormat="false" ht="3" hidden="false" customHeight="true" outlineLevel="0" collapsed="false"/>
    <row r="2223" customFormat="false" ht="15" hidden="false" customHeight="true" outlineLevel="0" collapsed="false">
      <c r="C2223" s="56" t="str">
        <f aca="false">IF(助手收入!$R$150&lt;&gt;"",INDEX(助手收入!$B$2:$B$66,助手收入!$R$150),"")</f>
        <v/>
      </c>
      <c r="D2223" s="57" t="str">
        <f aca="false">IF(助手收入!$R$150&lt;&gt;"",参数!$B$2,"")</f>
        <v/>
      </c>
      <c r="E2223" s="57"/>
      <c r="F2223" s="58" t="str">
        <f aca="false">IF(助手收入!$R$150&lt;&gt;"",INDEX(助手收入!$C$2:$C$66,助手收入!$R$150)&amp;"  字第 "&amp;IF(参数!$B$9="是",INDEX(助手收入!$P$2:$P$66,助手收入!$R$150),"　　　　")&amp;" 号"&amp;IF(INDEX(助手收入!$L$2:$L$66,助手收入!$R$150)&gt;1,"  (共"&amp;INDEX(助手收入!$L$2:$L$66,助手收入!$R$150)&amp;"页 第"&amp;助手收入!$S$150&amp;"页)",""),"")</f>
        <v/>
      </c>
      <c r="G2223" s="58"/>
      <c r="H2223" s="58"/>
      <c r="I2223" s="58"/>
      <c r="M2223" s="79" t="str">
        <f aca="false">IF(助手收入!$R$150="","",助手收入!$Q$150)</f>
        <v/>
      </c>
      <c r="N2223" s="80" t="str">
        <f aca="false">IF(助手收入!$R$150="","",INDEX(助手收入!$P$2:$P$66,助手收入!$R$150))</f>
        <v/>
      </c>
      <c r="O2223" s="55" t="str">
        <f aca="false">IF(助手收入!$R$150="","",INDEX(助手收入!$C$2:$C$66,助手收入!$R$150)&amp;"  字第 "&amp;INDEX(助手收入!$P$2:$P$66,助手收入!$R$150)&amp;" 号"&amp;IF(INDEX(助手收入!$L$2:$L$66,助手收入!$R$150)&gt;1,"  (共"&amp;INDEX(助手收入!$L$2:$L$66,助手收入!$R$150)&amp;"页 第"&amp;助手收入!$S$150&amp;"页)",""))</f>
        <v/>
      </c>
    </row>
    <row r="2224" customFormat="false" ht="12.75" hidden="false" customHeight="true" outlineLevel="0" collapsed="false">
      <c r="B2224" s="61" t="str">
        <f aca="false">IF(助手收入!$R$150&lt;&gt;"","摘　　要","")</f>
        <v/>
      </c>
      <c r="C2224" s="61"/>
      <c r="D2224" s="62" t="str">
        <f aca="false">IF(助手收入!$R$150&lt;&gt;"","科　　　　目","")</f>
        <v/>
      </c>
      <c r="E2224" s="62"/>
      <c r="F2224" s="61" t="str">
        <f aca="false">IF(助手收入!$R$150&lt;&gt;"","借 方 金 额","")</f>
        <v/>
      </c>
      <c r="G2224" s="62" t="str">
        <f aca="false">IF(助手收入!$R$150&lt;&gt;"","贷 方 金 额","")</f>
        <v/>
      </c>
      <c r="H2224" s="63" t="str">
        <f aca="false">IF(助手收入!$R$150&lt;&gt;"","√","")</f>
        <v/>
      </c>
      <c r="I2224" s="64" t="str">
        <f aca="false">IF(助手收入!$R$150&lt;&gt;"","附单据  张","")</f>
        <v/>
      </c>
    </row>
    <row r="2225" customFormat="false" ht="12.75" hidden="false" customHeight="true" outlineLevel="0" collapsed="false">
      <c r="B2225" s="61"/>
      <c r="C2225" s="61"/>
      <c r="D2225" s="23" t="str">
        <f aca="false">IF(助手收入!$R$150&lt;&gt;"","总 账 科 目","")</f>
        <v/>
      </c>
      <c r="E2225" s="23" t="str">
        <f aca="false">IF(助手收入!$R$150&lt;&gt;"","明 细 科 目","")</f>
        <v/>
      </c>
      <c r="F2225" s="65"/>
      <c r="G2225" s="66"/>
      <c r="H2225" s="63"/>
      <c r="I2225" s="64"/>
    </row>
    <row r="2226" customFormat="false" ht="23.25" hidden="false" customHeight="true" outlineLevel="0" collapsed="false">
      <c r="B2226" s="67" t="str">
        <f aca="false">IFERROR(INDEX(分录收入!$M:$M,MATCH($L2226,分录收入!$L:$L,0)),"")</f>
        <v/>
      </c>
      <c r="C2226" s="67"/>
      <c r="D2226" s="23" t="str">
        <f aca="false">IFERROR(INDEX(分录收入!$E:$E,MATCH($L2226,分录收入!$L:$L,0)),"")</f>
        <v/>
      </c>
      <c r="E2226" s="23" t="str">
        <f aca="false">IFERROR(INDEX(分录收入!$F:$F,MATCH($L2226,分录收入!$L:$L,0)),"")</f>
        <v/>
      </c>
      <c r="F2226" s="68" t="str">
        <f aca="false">IFERROR(INDEX(分录收入!$H:$H,MATCH($L2226,分录收入!$L:$L,0)),"")</f>
        <v/>
      </c>
      <c r="G2226" s="69" t="str">
        <f aca="false">IFERROR(INDEX(分录收入!$I:$I,MATCH($L2226,分录收入!$L:$L,0)),"")</f>
        <v/>
      </c>
      <c r="H2226" s="23"/>
      <c r="I2226" s="70"/>
      <c r="L2226" s="71" t="n">
        <f aca="false">IF(助手收入!$R$150="",-1,助手收入!$R$150*100+(助手收入!$S$150-1)*6+1)</f>
        <v>-1</v>
      </c>
    </row>
    <row r="2227" customFormat="false" ht="23.25" hidden="false" customHeight="true" outlineLevel="0" collapsed="false">
      <c r="B2227" s="67" t="str">
        <f aca="false">""</f>
        <v/>
      </c>
      <c r="C2227" s="67"/>
      <c r="D2227" s="23" t="str">
        <f aca="false">IFERROR(INDEX(分录收入!$E:$E,MATCH($L2227,分录收入!$L:$L,0)),"")</f>
        <v/>
      </c>
      <c r="E2227" s="23" t="str">
        <f aca="false">IFERROR(INDEX(分录收入!$F:$F,MATCH($L2227,分录收入!$L:$L,0)),"")</f>
        <v/>
      </c>
      <c r="F2227" s="68" t="str">
        <f aca="false">IFERROR(INDEX(分录收入!$H:$H,MATCH($L2227,分录收入!$L:$L,0)),"")</f>
        <v/>
      </c>
      <c r="G2227" s="69" t="str">
        <f aca="false">IFERROR(INDEX(分录收入!$I:$I,MATCH($L2227,分录收入!$L:$L,0)),"")</f>
        <v/>
      </c>
      <c r="H2227" s="23"/>
      <c r="I2227" s="70"/>
      <c r="L2227" s="71" t="n">
        <f aca="false">IF(助手收入!$R$150="",-1,助手收入!$R$150*100+(助手收入!$S$150-1)*6+2)</f>
        <v>-1</v>
      </c>
    </row>
    <row r="2228" customFormat="false" ht="23.25" hidden="false" customHeight="true" outlineLevel="0" collapsed="false">
      <c r="B2228" s="67" t="str">
        <f aca="false">""</f>
        <v/>
      </c>
      <c r="C2228" s="67"/>
      <c r="D2228" s="23" t="str">
        <f aca="false">IFERROR(INDEX(分录收入!$E:$E,MATCH($L2228,分录收入!$L:$L,0)),"")</f>
        <v/>
      </c>
      <c r="E2228" s="23" t="str">
        <f aca="false">IFERROR(INDEX(分录收入!$F:$F,MATCH($L2228,分录收入!$L:$L,0)),"")</f>
        <v/>
      </c>
      <c r="F2228" s="68" t="str">
        <f aca="false">IFERROR(INDEX(分录收入!$H:$H,MATCH($L2228,分录收入!$L:$L,0)),"")</f>
        <v/>
      </c>
      <c r="G2228" s="69" t="str">
        <f aca="false">IFERROR(INDEX(分录收入!$I:$I,MATCH($L2228,分录收入!$L:$L,0)),"")</f>
        <v/>
      </c>
      <c r="H2228" s="23"/>
      <c r="I2228" s="70"/>
      <c r="L2228" s="71" t="n">
        <f aca="false">IF(助手收入!$R$150="",-1,助手收入!$R$150*100+(助手收入!$S$150-1)*6+3)</f>
        <v>-1</v>
      </c>
    </row>
    <row r="2229" customFormat="false" ht="23.25" hidden="false" customHeight="true" outlineLevel="0" collapsed="false">
      <c r="B2229" s="67" t="str">
        <f aca="false">""</f>
        <v/>
      </c>
      <c r="C2229" s="67"/>
      <c r="D2229" s="23" t="str">
        <f aca="false">IFERROR(INDEX(分录收入!$E:$E,MATCH($L2229,分录收入!$L:$L,0)),"")</f>
        <v/>
      </c>
      <c r="E2229" s="23" t="str">
        <f aca="false">IFERROR(INDEX(分录收入!$F:$F,MATCH($L2229,分录收入!$L:$L,0)),"")</f>
        <v/>
      </c>
      <c r="F2229" s="68" t="str">
        <f aca="false">IFERROR(INDEX(分录收入!$H:$H,MATCH($L2229,分录收入!$L:$L,0)),"")</f>
        <v/>
      </c>
      <c r="G2229" s="69" t="str">
        <f aca="false">IFERROR(INDEX(分录收入!$I:$I,MATCH($L2229,分录收入!$L:$L,0)),"")</f>
        <v/>
      </c>
      <c r="H2229" s="23"/>
      <c r="I2229" s="70"/>
      <c r="L2229" s="71" t="n">
        <f aca="false">IF(助手收入!$R$150="",-1,助手收入!$R$150*100+(助手收入!$S$150-1)*6+4)</f>
        <v>-1</v>
      </c>
    </row>
    <row r="2230" customFormat="false" ht="23.25" hidden="false" customHeight="true" outlineLevel="0" collapsed="false">
      <c r="B2230" s="67" t="str">
        <f aca="false">""</f>
        <v/>
      </c>
      <c r="C2230" s="67"/>
      <c r="D2230" s="23" t="str">
        <f aca="false">IFERROR(INDEX(分录收入!$E:$E,MATCH($L2230,分录收入!$L:$L,0)),"")</f>
        <v/>
      </c>
      <c r="E2230" s="23" t="str">
        <f aca="false">IFERROR(INDEX(分录收入!$F:$F,MATCH($L2230,分录收入!$L:$L,0)),"")</f>
        <v/>
      </c>
      <c r="F2230" s="68" t="str">
        <f aca="false">IFERROR(INDEX(分录收入!$H:$H,MATCH($L2230,分录收入!$L:$L,0)),"")</f>
        <v/>
      </c>
      <c r="G2230" s="69" t="str">
        <f aca="false">IFERROR(INDEX(分录收入!$I:$I,MATCH($L2230,分录收入!$L:$L,0)),"")</f>
        <v/>
      </c>
      <c r="H2230" s="23"/>
      <c r="I2230" s="70"/>
      <c r="L2230" s="71" t="n">
        <f aca="false">IF(助手收入!$R$150="",-1,助手收入!$R$150*100+(助手收入!$S$150-1)*6+5)</f>
        <v>-1</v>
      </c>
    </row>
    <row r="2231" customFormat="false" ht="23.25" hidden="false" customHeight="true" outlineLevel="0" collapsed="false">
      <c r="B2231" s="67" t="str">
        <f aca="false">""</f>
        <v/>
      </c>
      <c r="C2231" s="67"/>
      <c r="D2231" s="23" t="str">
        <f aca="false">IFERROR(INDEX(分录收入!$E:$E,MATCH($L2231,分录收入!$L:$L,0)),"")</f>
        <v/>
      </c>
      <c r="E2231" s="23" t="str">
        <f aca="false">IFERROR(INDEX(分录收入!$F:$F,MATCH($L2231,分录收入!$L:$L,0)),"")</f>
        <v/>
      </c>
      <c r="F2231" s="68" t="str">
        <f aca="false">IFERROR(INDEX(分录收入!$H:$H,MATCH($L2231,分录收入!$L:$L,0)),"")</f>
        <v/>
      </c>
      <c r="G2231" s="69" t="str">
        <f aca="false">IFERROR(INDEX(分录收入!$I:$I,MATCH($L2231,分录收入!$L:$L,0)),"")</f>
        <v/>
      </c>
      <c r="H2231" s="23"/>
      <c r="I2231" s="70"/>
      <c r="L2231" s="71" t="n">
        <f aca="false">IF(助手收入!$R$150="",-1,助手收入!$R$150*100+(助手收入!$S$150-1)*6+6)</f>
        <v>-1</v>
      </c>
    </row>
    <row r="2232" customFormat="false" ht="23.25" hidden="false" customHeight="true" outlineLevel="0" collapsed="false">
      <c r="B2232" s="72" t="str">
        <f aca="false">IF(助手收入!$T$150=1,"合计：","")</f>
        <v/>
      </c>
      <c r="C2232" s="73" t="str">
        <f aca="false">IF(助手收入!$T$150=1,$F2232,"")</f>
        <v/>
      </c>
      <c r="D2232" s="74"/>
      <c r="E2232" s="74"/>
      <c r="F2232" s="75" t="str">
        <f aca="false">IF(助手收入!$T$150=1,INDEX(助手收入!$N$2:$N$66,助手收入!$R$150),"")</f>
        <v/>
      </c>
      <c r="G2232" s="76" t="str">
        <f aca="false">IF(助手收入!$T$150=1,INDEX(助手收入!$O$2:$O$66,助手收入!$R$150),"")</f>
        <v/>
      </c>
      <c r="H2232" s="74"/>
      <c r="I2232" s="77"/>
    </row>
    <row r="2233" customFormat="false" ht="6" hidden="false" customHeight="true" outlineLevel="0" collapsed="false"/>
    <row r="2234" customFormat="false" ht="13.5" hidden="false" customHeight="false" outlineLevel="0" collapsed="false">
      <c r="B2234" s="78" t="str">
        <f aca="false">IF(助手收入!$R$150&lt;&gt;"","会计主管：","")</f>
        <v/>
      </c>
      <c r="D2234" s="78" t="str">
        <f aca="false">IF(助手收入!$R$150&lt;&gt;"","会计：","")</f>
        <v/>
      </c>
      <c r="E2234" s="78" t="str">
        <f aca="false">IF(助手收入!$R$150&lt;&gt;"","出纳：","")</f>
        <v/>
      </c>
      <c r="F2234" s="78" t="str">
        <f aca="false">IF(助手收入!$R$150&lt;&gt;"","复核：","")</f>
        <v/>
      </c>
      <c r="G2234" s="78" t="str">
        <f aca="false">IF(助手收入!$R$150&lt;&gt;"","制单：","")</f>
        <v/>
      </c>
    </row>
    <row r="2235" customFormat="false" ht="3" hidden="false" customHeight="true" outlineLevel="0" collapsed="false"/>
    <row r="2236" customFormat="false" ht="19.5" hidden="false" customHeight="true" outlineLevel="0" collapsed="false">
      <c r="B2236" s="53" t="str">
        <f aca="false">IF(助手收入!$R$151&lt;&gt;"","记  账  凭  证","")</f>
        <v/>
      </c>
      <c r="C2236" s="53"/>
      <c r="D2236" s="53"/>
      <c r="E2236" s="53"/>
      <c r="F2236" s="53"/>
      <c r="G2236" s="53"/>
      <c r="H2236" s="53"/>
      <c r="I2236" s="53"/>
    </row>
    <row r="2237" customFormat="false" ht="3" hidden="false" customHeight="true" outlineLevel="0" collapsed="false"/>
    <row r="2238" customFormat="false" ht="15" hidden="false" customHeight="true" outlineLevel="0" collapsed="false">
      <c r="C2238" s="56" t="str">
        <f aca="false">IF(助手收入!$R$151&lt;&gt;"",INDEX(助手收入!$B$2:$B$66,助手收入!$R$151),"")</f>
        <v/>
      </c>
      <c r="D2238" s="57" t="str">
        <f aca="false">IF(助手收入!$R$151&lt;&gt;"",参数!$B$2,"")</f>
        <v/>
      </c>
      <c r="E2238" s="57"/>
      <c r="F2238" s="58" t="str">
        <f aca="false">IF(助手收入!$R$151&lt;&gt;"",INDEX(助手收入!$C$2:$C$66,助手收入!$R$151)&amp;"  字第 "&amp;IF(参数!$B$9="是",INDEX(助手收入!$P$2:$P$66,助手收入!$R$151),"　　　　")&amp;" 号"&amp;IF(INDEX(助手收入!$L$2:$L$66,助手收入!$R$151)&gt;1,"  (共"&amp;INDEX(助手收入!$L$2:$L$66,助手收入!$R$151)&amp;"页 第"&amp;助手收入!$S$151&amp;"页)",""),"")</f>
        <v/>
      </c>
      <c r="G2238" s="58"/>
      <c r="H2238" s="58"/>
      <c r="I2238" s="58"/>
      <c r="M2238" s="79" t="str">
        <f aca="false">IF(助手收入!$R$151="","",助手收入!$Q$151)</f>
        <v/>
      </c>
      <c r="N2238" s="80" t="str">
        <f aca="false">IF(助手收入!$R$151="","",INDEX(助手收入!$P$2:$P$66,助手收入!$R$151))</f>
        <v/>
      </c>
      <c r="O2238" s="55" t="str">
        <f aca="false">IF(助手收入!$R$151="","",INDEX(助手收入!$C$2:$C$66,助手收入!$R$151)&amp;"  字第 "&amp;INDEX(助手收入!$P$2:$P$66,助手收入!$R$151)&amp;" 号"&amp;IF(INDEX(助手收入!$L$2:$L$66,助手收入!$R$151)&gt;1,"  (共"&amp;INDEX(助手收入!$L$2:$L$66,助手收入!$R$151)&amp;"页 第"&amp;助手收入!$S$151&amp;"页)",""))</f>
        <v/>
      </c>
    </row>
    <row r="2239" customFormat="false" ht="12.75" hidden="false" customHeight="true" outlineLevel="0" collapsed="false">
      <c r="B2239" s="61" t="str">
        <f aca="false">IF(助手收入!$R$151&lt;&gt;"","摘　　要","")</f>
        <v/>
      </c>
      <c r="C2239" s="61"/>
      <c r="D2239" s="62" t="str">
        <f aca="false">IF(助手收入!$R$151&lt;&gt;"","科　　　　目","")</f>
        <v/>
      </c>
      <c r="E2239" s="62"/>
      <c r="F2239" s="61" t="str">
        <f aca="false">IF(助手收入!$R$151&lt;&gt;"","借 方 金 额","")</f>
        <v/>
      </c>
      <c r="G2239" s="62" t="str">
        <f aca="false">IF(助手收入!$R$151&lt;&gt;"","贷 方 金 额","")</f>
        <v/>
      </c>
      <c r="H2239" s="63" t="str">
        <f aca="false">IF(助手收入!$R$151&lt;&gt;"","√","")</f>
        <v/>
      </c>
      <c r="I2239" s="64" t="str">
        <f aca="false">IF(助手收入!$R$151&lt;&gt;"","附单据  张","")</f>
        <v/>
      </c>
    </row>
    <row r="2240" customFormat="false" ht="12.75" hidden="false" customHeight="true" outlineLevel="0" collapsed="false">
      <c r="B2240" s="61"/>
      <c r="C2240" s="61"/>
      <c r="D2240" s="23" t="str">
        <f aca="false">IF(助手收入!$R$151&lt;&gt;"","总 账 科 目","")</f>
        <v/>
      </c>
      <c r="E2240" s="23" t="str">
        <f aca="false">IF(助手收入!$R$151&lt;&gt;"","明 细 科 目","")</f>
        <v/>
      </c>
      <c r="F2240" s="65"/>
      <c r="G2240" s="66"/>
      <c r="H2240" s="63"/>
      <c r="I2240" s="64"/>
    </row>
    <row r="2241" customFormat="false" ht="23.25" hidden="false" customHeight="true" outlineLevel="0" collapsed="false">
      <c r="B2241" s="67" t="str">
        <f aca="false">IFERROR(INDEX(分录收入!$M:$M,MATCH($L2241,分录收入!$L:$L,0)),"")</f>
        <v/>
      </c>
      <c r="C2241" s="67"/>
      <c r="D2241" s="23" t="str">
        <f aca="false">IFERROR(INDEX(分录收入!$E:$E,MATCH($L2241,分录收入!$L:$L,0)),"")</f>
        <v/>
      </c>
      <c r="E2241" s="23" t="str">
        <f aca="false">IFERROR(INDEX(分录收入!$F:$F,MATCH($L2241,分录收入!$L:$L,0)),"")</f>
        <v/>
      </c>
      <c r="F2241" s="68" t="str">
        <f aca="false">IFERROR(INDEX(分录收入!$H:$H,MATCH($L2241,分录收入!$L:$L,0)),"")</f>
        <v/>
      </c>
      <c r="G2241" s="69" t="str">
        <f aca="false">IFERROR(INDEX(分录收入!$I:$I,MATCH($L2241,分录收入!$L:$L,0)),"")</f>
        <v/>
      </c>
      <c r="H2241" s="23"/>
      <c r="I2241" s="70"/>
      <c r="L2241" s="71" t="n">
        <f aca="false">IF(助手收入!$R$151="",-1,助手收入!$R$151*100+(助手收入!$S$151-1)*6+1)</f>
        <v>-1</v>
      </c>
    </row>
    <row r="2242" customFormat="false" ht="23.25" hidden="false" customHeight="true" outlineLevel="0" collapsed="false">
      <c r="B2242" s="67" t="str">
        <f aca="false">""</f>
        <v/>
      </c>
      <c r="C2242" s="67"/>
      <c r="D2242" s="23" t="str">
        <f aca="false">IFERROR(INDEX(分录收入!$E:$E,MATCH($L2242,分录收入!$L:$L,0)),"")</f>
        <v/>
      </c>
      <c r="E2242" s="23" t="str">
        <f aca="false">IFERROR(INDEX(分录收入!$F:$F,MATCH($L2242,分录收入!$L:$L,0)),"")</f>
        <v/>
      </c>
      <c r="F2242" s="68" t="str">
        <f aca="false">IFERROR(INDEX(分录收入!$H:$H,MATCH($L2242,分录收入!$L:$L,0)),"")</f>
        <v/>
      </c>
      <c r="G2242" s="69" t="str">
        <f aca="false">IFERROR(INDEX(分录收入!$I:$I,MATCH($L2242,分录收入!$L:$L,0)),"")</f>
        <v/>
      </c>
      <c r="H2242" s="23"/>
      <c r="I2242" s="70"/>
      <c r="L2242" s="71" t="n">
        <f aca="false">IF(助手收入!$R$151="",-1,助手收入!$R$151*100+(助手收入!$S$151-1)*6+2)</f>
        <v>-1</v>
      </c>
    </row>
    <row r="2243" customFormat="false" ht="23.25" hidden="false" customHeight="true" outlineLevel="0" collapsed="false">
      <c r="B2243" s="67" t="str">
        <f aca="false">""</f>
        <v/>
      </c>
      <c r="C2243" s="67"/>
      <c r="D2243" s="23" t="str">
        <f aca="false">IFERROR(INDEX(分录收入!$E:$E,MATCH($L2243,分录收入!$L:$L,0)),"")</f>
        <v/>
      </c>
      <c r="E2243" s="23" t="str">
        <f aca="false">IFERROR(INDEX(分录收入!$F:$F,MATCH($L2243,分录收入!$L:$L,0)),"")</f>
        <v/>
      </c>
      <c r="F2243" s="68" t="str">
        <f aca="false">IFERROR(INDEX(分录收入!$H:$H,MATCH($L2243,分录收入!$L:$L,0)),"")</f>
        <v/>
      </c>
      <c r="G2243" s="69" t="str">
        <f aca="false">IFERROR(INDEX(分录收入!$I:$I,MATCH($L2243,分录收入!$L:$L,0)),"")</f>
        <v/>
      </c>
      <c r="H2243" s="23"/>
      <c r="I2243" s="70"/>
      <c r="L2243" s="71" t="n">
        <f aca="false">IF(助手收入!$R$151="",-1,助手收入!$R$151*100+(助手收入!$S$151-1)*6+3)</f>
        <v>-1</v>
      </c>
    </row>
    <row r="2244" customFormat="false" ht="23.25" hidden="false" customHeight="true" outlineLevel="0" collapsed="false">
      <c r="B2244" s="67" t="str">
        <f aca="false">""</f>
        <v/>
      </c>
      <c r="C2244" s="67"/>
      <c r="D2244" s="23" t="str">
        <f aca="false">IFERROR(INDEX(分录收入!$E:$E,MATCH($L2244,分录收入!$L:$L,0)),"")</f>
        <v/>
      </c>
      <c r="E2244" s="23" t="str">
        <f aca="false">IFERROR(INDEX(分录收入!$F:$F,MATCH($L2244,分录收入!$L:$L,0)),"")</f>
        <v/>
      </c>
      <c r="F2244" s="68" t="str">
        <f aca="false">IFERROR(INDEX(分录收入!$H:$H,MATCH($L2244,分录收入!$L:$L,0)),"")</f>
        <v/>
      </c>
      <c r="G2244" s="69" t="str">
        <f aca="false">IFERROR(INDEX(分录收入!$I:$I,MATCH($L2244,分录收入!$L:$L,0)),"")</f>
        <v/>
      </c>
      <c r="H2244" s="23"/>
      <c r="I2244" s="70"/>
      <c r="L2244" s="71" t="n">
        <f aca="false">IF(助手收入!$R$151="",-1,助手收入!$R$151*100+(助手收入!$S$151-1)*6+4)</f>
        <v>-1</v>
      </c>
    </row>
    <row r="2245" customFormat="false" ht="23.25" hidden="false" customHeight="true" outlineLevel="0" collapsed="false">
      <c r="B2245" s="67" t="str">
        <f aca="false">""</f>
        <v/>
      </c>
      <c r="C2245" s="67"/>
      <c r="D2245" s="23" t="str">
        <f aca="false">IFERROR(INDEX(分录收入!$E:$E,MATCH($L2245,分录收入!$L:$L,0)),"")</f>
        <v/>
      </c>
      <c r="E2245" s="23" t="str">
        <f aca="false">IFERROR(INDEX(分录收入!$F:$F,MATCH($L2245,分录收入!$L:$L,0)),"")</f>
        <v/>
      </c>
      <c r="F2245" s="68" t="str">
        <f aca="false">IFERROR(INDEX(分录收入!$H:$H,MATCH($L2245,分录收入!$L:$L,0)),"")</f>
        <v/>
      </c>
      <c r="G2245" s="69" t="str">
        <f aca="false">IFERROR(INDEX(分录收入!$I:$I,MATCH($L2245,分录收入!$L:$L,0)),"")</f>
        <v/>
      </c>
      <c r="H2245" s="23"/>
      <c r="I2245" s="70"/>
      <c r="L2245" s="71" t="n">
        <f aca="false">IF(助手收入!$R$151="",-1,助手收入!$R$151*100+(助手收入!$S$151-1)*6+5)</f>
        <v>-1</v>
      </c>
    </row>
    <row r="2246" customFormat="false" ht="23.25" hidden="false" customHeight="true" outlineLevel="0" collapsed="false">
      <c r="B2246" s="67" t="str">
        <f aca="false">""</f>
        <v/>
      </c>
      <c r="C2246" s="67"/>
      <c r="D2246" s="23" t="str">
        <f aca="false">IFERROR(INDEX(分录收入!$E:$E,MATCH($L2246,分录收入!$L:$L,0)),"")</f>
        <v/>
      </c>
      <c r="E2246" s="23" t="str">
        <f aca="false">IFERROR(INDEX(分录收入!$F:$F,MATCH($L2246,分录收入!$L:$L,0)),"")</f>
        <v/>
      </c>
      <c r="F2246" s="68" t="str">
        <f aca="false">IFERROR(INDEX(分录收入!$H:$H,MATCH($L2246,分录收入!$L:$L,0)),"")</f>
        <v/>
      </c>
      <c r="G2246" s="69" t="str">
        <f aca="false">IFERROR(INDEX(分录收入!$I:$I,MATCH($L2246,分录收入!$L:$L,0)),"")</f>
        <v/>
      </c>
      <c r="H2246" s="23"/>
      <c r="I2246" s="70"/>
      <c r="L2246" s="71" t="n">
        <f aca="false">IF(助手收入!$R$151="",-1,助手收入!$R$151*100+(助手收入!$S$151-1)*6+6)</f>
        <v>-1</v>
      </c>
    </row>
    <row r="2247" customFormat="false" ht="23.25" hidden="false" customHeight="true" outlineLevel="0" collapsed="false">
      <c r="B2247" s="72" t="str">
        <f aca="false">IF(助手收入!$T$151=1,"合计：","")</f>
        <v/>
      </c>
      <c r="C2247" s="73" t="str">
        <f aca="false">IF(助手收入!$T$151=1,$F2247,"")</f>
        <v/>
      </c>
      <c r="D2247" s="74"/>
      <c r="E2247" s="74"/>
      <c r="F2247" s="75" t="str">
        <f aca="false">IF(助手收入!$T$151=1,INDEX(助手收入!$N$2:$N$66,助手收入!$R$151),"")</f>
        <v/>
      </c>
      <c r="G2247" s="76" t="str">
        <f aca="false">IF(助手收入!$T$151=1,INDEX(助手收入!$O$2:$O$66,助手收入!$R$151),"")</f>
        <v/>
      </c>
      <c r="H2247" s="74"/>
      <c r="I2247" s="77"/>
    </row>
    <row r="2248" customFormat="false" ht="6" hidden="false" customHeight="true" outlineLevel="0" collapsed="false"/>
    <row r="2249" customFormat="false" ht="13.5" hidden="false" customHeight="false" outlineLevel="0" collapsed="false">
      <c r="B2249" s="78" t="str">
        <f aca="false">IF(助手收入!$R$151&lt;&gt;"","会计主管：","")</f>
        <v/>
      </c>
      <c r="D2249" s="78" t="str">
        <f aca="false">IF(助手收入!$R$151&lt;&gt;"","会计：","")</f>
        <v/>
      </c>
      <c r="E2249" s="78" t="str">
        <f aca="false">IF(助手收入!$R$151&lt;&gt;"","出纳：","")</f>
        <v/>
      </c>
      <c r="F2249" s="78" t="str">
        <f aca="false">IF(助手收入!$R$151&lt;&gt;"","复核：","")</f>
        <v/>
      </c>
      <c r="G2249" s="78" t="str">
        <f aca="false">IF(助手收入!$R$151&lt;&gt;"","制单：","")</f>
        <v/>
      </c>
    </row>
    <row r="2250" customFormat="false" ht="3" hidden="false" customHeight="true" outlineLevel="0" collapsed="false"/>
    <row r="2251" customFormat="false" ht="19.5" hidden="false" customHeight="true" outlineLevel="0" collapsed="false">
      <c r="B2251" s="53" t="str">
        <f aca="false">IF(助手收入!$R$152&lt;&gt;"","记  账  凭  证","")</f>
        <v/>
      </c>
      <c r="C2251" s="53"/>
      <c r="D2251" s="53"/>
      <c r="E2251" s="53"/>
      <c r="F2251" s="53"/>
      <c r="G2251" s="53"/>
      <c r="H2251" s="53"/>
      <c r="I2251" s="53"/>
    </row>
    <row r="2252" customFormat="false" ht="3" hidden="false" customHeight="true" outlineLevel="0" collapsed="false"/>
    <row r="2253" customFormat="false" ht="15" hidden="false" customHeight="true" outlineLevel="0" collapsed="false">
      <c r="C2253" s="56" t="str">
        <f aca="false">IF(助手收入!$R$152&lt;&gt;"",INDEX(助手收入!$B$2:$B$66,助手收入!$R$152),"")</f>
        <v/>
      </c>
      <c r="D2253" s="57" t="str">
        <f aca="false">IF(助手收入!$R$152&lt;&gt;"",参数!$B$2,"")</f>
        <v/>
      </c>
      <c r="E2253" s="57"/>
      <c r="F2253" s="58" t="str">
        <f aca="false">IF(助手收入!$R$152&lt;&gt;"",INDEX(助手收入!$C$2:$C$66,助手收入!$R$152)&amp;"  字第 "&amp;IF(参数!$B$9="是",INDEX(助手收入!$P$2:$P$66,助手收入!$R$152),"　　　　")&amp;" 号"&amp;IF(INDEX(助手收入!$L$2:$L$66,助手收入!$R$152)&gt;1,"  (共"&amp;INDEX(助手收入!$L$2:$L$66,助手收入!$R$152)&amp;"页 第"&amp;助手收入!$S$152&amp;"页)",""),"")</f>
        <v/>
      </c>
      <c r="G2253" s="58"/>
      <c r="H2253" s="58"/>
      <c r="I2253" s="58"/>
      <c r="M2253" s="79" t="str">
        <f aca="false">IF(助手收入!$R$152="","",助手收入!$Q$152)</f>
        <v/>
      </c>
      <c r="N2253" s="80" t="str">
        <f aca="false">IF(助手收入!$R$152="","",INDEX(助手收入!$P$2:$P$66,助手收入!$R$152))</f>
        <v/>
      </c>
      <c r="O2253" s="55" t="str">
        <f aca="false">IF(助手收入!$R$152="","",INDEX(助手收入!$C$2:$C$66,助手收入!$R$152)&amp;"  字第 "&amp;INDEX(助手收入!$P$2:$P$66,助手收入!$R$152)&amp;" 号"&amp;IF(INDEX(助手收入!$L$2:$L$66,助手收入!$R$152)&gt;1,"  (共"&amp;INDEX(助手收入!$L$2:$L$66,助手收入!$R$152)&amp;"页 第"&amp;助手收入!$S$152&amp;"页)",""))</f>
        <v/>
      </c>
    </row>
    <row r="2254" customFormat="false" ht="12.75" hidden="false" customHeight="true" outlineLevel="0" collapsed="false">
      <c r="B2254" s="61" t="str">
        <f aca="false">IF(助手收入!$R$152&lt;&gt;"","摘　　要","")</f>
        <v/>
      </c>
      <c r="C2254" s="61"/>
      <c r="D2254" s="62" t="str">
        <f aca="false">IF(助手收入!$R$152&lt;&gt;"","科　　　　目","")</f>
        <v/>
      </c>
      <c r="E2254" s="62"/>
      <c r="F2254" s="61" t="str">
        <f aca="false">IF(助手收入!$R$152&lt;&gt;"","借 方 金 额","")</f>
        <v/>
      </c>
      <c r="G2254" s="62" t="str">
        <f aca="false">IF(助手收入!$R$152&lt;&gt;"","贷 方 金 额","")</f>
        <v/>
      </c>
      <c r="H2254" s="63" t="str">
        <f aca="false">IF(助手收入!$R$152&lt;&gt;"","√","")</f>
        <v/>
      </c>
      <c r="I2254" s="64" t="str">
        <f aca="false">IF(助手收入!$R$152&lt;&gt;"","附单据  张","")</f>
        <v/>
      </c>
    </row>
    <row r="2255" customFormat="false" ht="12.75" hidden="false" customHeight="true" outlineLevel="0" collapsed="false">
      <c r="B2255" s="61"/>
      <c r="C2255" s="61"/>
      <c r="D2255" s="23" t="str">
        <f aca="false">IF(助手收入!$R$152&lt;&gt;"","总 账 科 目","")</f>
        <v/>
      </c>
      <c r="E2255" s="23" t="str">
        <f aca="false">IF(助手收入!$R$152&lt;&gt;"","明 细 科 目","")</f>
        <v/>
      </c>
      <c r="F2255" s="65"/>
      <c r="G2255" s="66"/>
      <c r="H2255" s="63"/>
      <c r="I2255" s="64"/>
    </row>
    <row r="2256" customFormat="false" ht="23.25" hidden="false" customHeight="true" outlineLevel="0" collapsed="false">
      <c r="B2256" s="67" t="str">
        <f aca="false">IFERROR(INDEX(分录收入!$M:$M,MATCH($L2256,分录收入!$L:$L,0)),"")</f>
        <v/>
      </c>
      <c r="C2256" s="67"/>
      <c r="D2256" s="23" t="str">
        <f aca="false">IFERROR(INDEX(分录收入!$E:$E,MATCH($L2256,分录收入!$L:$L,0)),"")</f>
        <v/>
      </c>
      <c r="E2256" s="23" t="str">
        <f aca="false">IFERROR(INDEX(分录收入!$F:$F,MATCH($L2256,分录收入!$L:$L,0)),"")</f>
        <v/>
      </c>
      <c r="F2256" s="68" t="str">
        <f aca="false">IFERROR(INDEX(分录收入!$H:$H,MATCH($L2256,分录收入!$L:$L,0)),"")</f>
        <v/>
      </c>
      <c r="G2256" s="69" t="str">
        <f aca="false">IFERROR(INDEX(分录收入!$I:$I,MATCH($L2256,分录收入!$L:$L,0)),"")</f>
        <v/>
      </c>
      <c r="H2256" s="23"/>
      <c r="I2256" s="70"/>
      <c r="L2256" s="71" t="n">
        <f aca="false">IF(助手收入!$R$152="",-1,助手收入!$R$152*100+(助手收入!$S$152-1)*6+1)</f>
        <v>-1</v>
      </c>
    </row>
    <row r="2257" customFormat="false" ht="23.25" hidden="false" customHeight="true" outlineLevel="0" collapsed="false">
      <c r="B2257" s="67" t="str">
        <f aca="false">""</f>
        <v/>
      </c>
      <c r="C2257" s="67"/>
      <c r="D2257" s="23" t="str">
        <f aca="false">IFERROR(INDEX(分录收入!$E:$E,MATCH($L2257,分录收入!$L:$L,0)),"")</f>
        <v/>
      </c>
      <c r="E2257" s="23" t="str">
        <f aca="false">IFERROR(INDEX(分录收入!$F:$F,MATCH($L2257,分录收入!$L:$L,0)),"")</f>
        <v/>
      </c>
      <c r="F2257" s="68" t="str">
        <f aca="false">IFERROR(INDEX(分录收入!$H:$H,MATCH($L2257,分录收入!$L:$L,0)),"")</f>
        <v/>
      </c>
      <c r="G2257" s="69" t="str">
        <f aca="false">IFERROR(INDEX(分录收入!$I:$I,MATCH($L2257,分录收入!$L:$L,0)),"")</f>
        <v/>
      </c>
      <c r="H2257" s="23"/>
      <c r="I2257" s="70"/>
      <c r="L2257" s="71" t="n">
        <f aca="false">IF(助手收入!$R$152="",-1,助手收入!$R$152*100+(助手收入!$S$152-1)*6+2)</f>
        <v>-1</v>
      </c>
    </row>
    <row r="2258" customFormat="false" ht="23.25" hidden="false" customHeight="true" outlineLevel="0" collapsed="false">
      <c r="B2258" s="67" t="str">
        <f aca="false">""</f>
        <v/>
      </c>
      <c r="C2258" s="67"/>
      <c r="D2258" s="23" t="str">
        <f aca="false">IFERROR(INDEX(分录收入!$E:$E,MATCH($L2258,分录收入!$L:$L,0)),"")</f>
        <v/>
      </c>
      <c r="E2258" s="23" t="str">
        <f aca="false">IFERROR(INDEX(分录收入!$F:$F,MATCH($L2258,分录收入!$L:$L,0)),"")</f>
        <v/>
      </c>
      <c r="F2258" s="68" t="str">
        <f aca="false">IFERROR(INDEX(分录收入!$H:$H,MATCH($L2258,分录收入!$L:$L,0)),"")</f>
        <v/>
      </c>
      <c r="G2258" s="69" t="str">
        <f aca="false">IFERROR(INDEX(分录收入!$I:$I,MATCH($L2258,分录收入!$L:$L,0)),"")</f>
        <v/>
      </c>
      <c r="H2258" s="23"/>
      <c r="I2258" s="70"/>
      <c r="L2258" s="71" t="n">
        <f aca="false">IF(助手收入!$R$152="",-1,助手收入!$R$152*100+(助手收入!$S$152-1)*6+3)</f>
        <v>-1</v>
      </c>
    </row>
    <row r="2259" customFormat="false" ht="23.25" hidden="false" customHeight="true" outlineLevel="0" collapsed="false">
      <c r="B2259" s="67" t="str">
        <f aca="false">""</f>
        <v/>
      </c>
      <c r="C2259" s="67"/>
      <c r="D2259" s="23" t="str">
        <f aca="false">IFERROR(INDEX(分录收入!$E:$E,MATCH($L2259,分录收入!$L:$L,0)),"")</f>
        <v/>
      </c>
      <c r="E2259" s="23" t="str">
        <f aca="false">IFERROR(INDEX(分录收入!$F:$F,MATCH($L2259,分录收入!$L:$L,0)),"")</f>
        <v/>
      </c>
      <c r="F2259" s="68" t="str">
        <f aca="false">IFERROR(INDEX(分录收入!$H:$H,MATCH($L2259,分录收入!$L:$L,0)),"")</f>
        <v/>
      </c>
      <c r="G2259" s="69" t="str">
        <f aca="false">IFERROR(INDEX(分录收入!$I:$I,MATCH($L2259,分录收入!$L:$L,0)),"")</f>
        <v/>
      </c>
      <c r="H2259" s="23"/>
      <c r="I2259" s="70"/>
      <c r="L2259" s="71" t="n">
        <f aca="false">IF(助手收入!$R$152="",-1,助手收入!$R$152*100+(助手收入!$S$152-1)*6+4)</f>
        <v>-1</v>
      </c>
    </row>
    <row r="2260" customFormat="false" ht="23.25" hidden="false" customHeight="true" outlineLevel="0" collapsed="false">
      <c r="B2260" s="67" t="str">
        <f aca="false">""</f>
        <v/>
      </c>
      <c r="C2260" s="67"/>
      <c r="D2260" s="23" t="str">
        <f aca="false">IFERROR(INDEX(分录收入!$E:$E,MATCH($L2260,分录收入!$L:$L,0)),"")</f>
        <v/>
      </c>
      <c r="E2260" s="23" t="str">
        <f aca="false">IFERROR(INDEX(分录收入!$F:$F,MATCH($L2260,分录收入!$L:$L,0)),"")</f>
        <v/>
      </c>
      <c r="F2260" s="68" t="str">
        <f aca="false">IFERROR(INDEX(分录收入!$H:$H,MATCH($L2260,分录收入!$L:$L,0)),"")</f>
        <v/>
      </c>
      <c r="G2260" s="69" t="str">
        <f aca="false">IFERROR(INDEX(分录收入!$I:$I,MATCH($L2260,分录收入!$L:$L,0)),"")</f>
        <v/>
      </c>
      <c r="H2260" s="23"/>
      <c r="I2260" s="70"/>
      <c r="L2260" s="71" t="n">
        <f aca="false">IF(助手收入!$R$152="",-1,助手收入!$R$152*100+(助手收入!$S$152-1)*6+5)</f>
        <v>-1</v>
      </c>
    </row>
    <row r="2261" customFormat="false" ht="23.25" hidden="false" customHeight="true" outlineLevel="0" collapsed="false">
      <c r="B2261" s="67" t="str">
        <f aca="false">""</f>
        <v/>
      </c>
      <c r="C2261" s="67"/>
      <c r="D2261" s="23" t="str">
        <f aca="false">IFERROR(INDEX(分录收入!$E:$E,MATCH($L2261,分录收入!$L:$L,0)),"")</f>
        <v/>
      </c>
      <c r="E2261" s="23" t="str">
        <f aca="false">IFERROR(INDEX(分录收入!$F:$F,MATCH($L2261,分录收入!$L:$L,0)),"")</f>
        <v/>
      </c>
      <c r="F2261" s="68" t="str">
        <f aca="false">IFERROR(INDEX(分录收入!$H:$H,MATCH($L2261,分录收入!$L:$L,0)),"")</f>
        <v/>
      </c>
      <c r="G2261" s="69" t="str">
        <f aca="false">IFERROR(INDEX(分录收入!$I:$I,MATCH($L2261,分录收入!$L:$L,0)),"")</f>
        <v/>
      </c>
      <c r="H2261" s="23"/>
      <c r="I2261" s="70"/>
      <c r="L2261" s="71" t="n">
        <f aca="false">IF(助手收入!$R$152="",-1,助手收入!$R$152*100+(助手收入!$S$152-1)*6+6)</f>
        <v>-1</v>
      </c>
    </row>
    <row r="2262" customFormat="false" ht="23.25" hidden="false" customHeight="true" outlineLevel="0" collapsed="false">
      <c r="B2262" s="72" t="str">
        <f aca="false">IF(助手收入!$T$152=1,"合计：","")</f>
        <v/>
      </c>
      <c r="C2262" s="73" t="str">
        <f aca="false">IF(助手收入!$T$152=1,$F2262,"")</f>
        <v/>
      </c>
      <c r="D2262" s="74"/>
      <c r="E2262" s="74"/>
      <c r="F2262" s="75" t="str">
        <f aca="false">IF(助手收入!$T$152=1,INDEX(助手收入!$N$2:$N$66,助手收入!$R$152),"")</f>
        <v/>
      </c>
      <c r="G2262" s="76" t="str">
        <f aca="false">IF(助手收入!$T$152=1,INDEX(助手收入!$O$2:$O$66,助手收入!$R$152),"")</f>
        <v/>
      </c>
      <c r="H2262" s="74"/>
      <c r="I2262" s="77"/>
    </row>
    <row r="2263" customFormat="false" ht="6" hidden="false" customHeight="true" outlineLevel="0" collapsed="false"/>
    <row r="2264" customFormat="false" ht="13.5" hidden="false" customHeight="false" outlineLevel="0" collapsed="false">
      <c r="B2264" s="78" t="str">
        <f aca="false">IF(助手收入!$R$152&lt;&gt;"","会计主管：","")</f>
        <v/>
      </c>
      <c r="D2264" s="78" t="str">
        <f aca="false">IF(助手收入!$R$152&lt;&gt;"","会计：","")</f>
        <v/>
      </c>
      <c r="E2264" s="78" t="str">
        <f aca="false">IF(助手收入!$R$152&lt;&gt;"","出纳：","")</f>
        <v/>
      </c>
      <c r="F2264" s="78" t="str">
        <f aca="false">IF(助手收入!$R$152&lt;&gt;"","复核：","")</f>
        <v/>
      </c>
      <c r="G2264" s="78" t="str">
        <f aca="false">IF(助手收入!$R$152&lt;&gt;"","制单：","")</f>
        <v/>
      </c>
    </row>
    <row r="2265" customFormat="false" ht="3" hidden="false" customHeight="true" outlineLevel="0" collapsed="false"/>
    <row r="2266" customFormat="false" ht="19.5" hidden="false" customHeight="true" outlineLevel="0" collapsed="false">
      <c r="B2266" s="53" t="str">
        <f aca="false">IF(助手收入!$R$153&lt;&gt;"","记  账  凭  证","")</f>
        <v/>
      </c>
      <c r="C2266" s="53"/>
      <c r="D2266" s="53"/>
      <c r="E2266" s="53"/>
      <c r="F2266" s="53"/>
      <c r="G2266" s="53"/>
      <c r="H2266" s="53"/>
      <c r="I2266" s="53"/>
    </row>
    <row r="2267" customFormat="false" ht="3" hidden="false" customHeight="true" outlineLevel="0" collapsed="false"/>
    <row r="2268" customFormat="false" ht="15" hidden="false" customHeight="true" outlineLevel="0" collapsed="false">
      <c r="C2268" s="56" t="str">
        <f aca="false">IF(助手收入!$R$153&lt;&gt;"",INDEX(助手收入!$B$2:$B$66,助手收入!$R$153),"")</f>
        <v/>
      </c>
      <c r="D2268" s="57" t="str">
        <f aca="false">IF(助手收入!$R$153&lt;&gt;"",参数!$B$2,"")</f>
        <v/>
      </c>
      <c r="E2268" s="57"/>
      <c r="F2268" s="58" t="str">
        <f aca="false">IF(助手收入!$R$153&lt;&gt;"",INDEX(助手收入!$C$2:$C$66,助手收入!$R$153)&amp;"  字第 "&amp;IF(参数!$B$9="是",INDEX(助手收入!$P$2:$P$66,助手收入!$R$153),"　　　　")&amp;" 号"&amp;IF(INDEX(助手收入!$L$2:$L$66,助手收入!$R$153)&gt;1,"  (共"&amp;INDEX(助手收入!$L$2:$L$66,助手收入!$R$153)&amp;"页 第"&amp;助手收入!$S$153&amp;"页)",""),"")</f>
        <v/>
      </c>
      <c r="G2268" s="58"/>
      <c r="H2268" s="58"/>
      <c r="I2268" s="58"/>
      <c r="M2268" s="79" t="str">
        <f aca="false">IF(助手收入!$R$153="","",助手收入!$Q$153)</f>
        <v/>
      </c>
      <c r="N2268" s="80" t="str">
        <f aca="false">IF(助手收入!$R$153="","",INDEX(助手收入!$P$2:$P$66,助手收入!$R$153))</f>
        <v/>
      </c>
      <c r="O2268" s="55" t="str">
        <f aca="false">IF(助手收入!$R$153="","",INDEX(助手收入!$C$2:$C$66,助手收入!$R$153)&amp;"  字第 "&amp;INDEX(助手收入!$P$2:$P$66,助手收入!$R$153)&amp;" 号"&amp;IF(INDEX(助手收入!$L$2:$L$66,助手收入!$R$153)&gt;1,"  (共"&amp;INDEX(助手收入!$L$2:$L$66,助手收入!$R$153)&amp;"页 第"&amp;助手收入!$S$153&amp;"页)",""))</f>
        <v/>
      </c>
    </row>
    <row r="2269" customFormat="false" ht="12.75" hidden="false" customHeight="true" outlineLevel="0" collapsed="false">
      <c r="B2269" s="61" t="str">
        <f aca="false">IF(助手收入!$R$153&lt;&gt;"","摘　　要","")</f>
        <v/>
      </c>
      <c r="C2269" s="61"/>
      <c r="D2269" s="62" t="str">
        <f aca="false">IF(助手收入!$R$153&lt;&gt;"","科　　　　目","")</f>
        <v/>
      </c>
      <c r="E2269" s="62"/>
      <c r="F2269" s="61" t="str">
        <f aca="false">IF(助手收入!$R$153&lt;&gt;"","借 方 金 额","")</f>
        <v/>
      </c>
      <c r="G2269" s="62" t="str">
        <f aca="false">IF(助手收入!$R$153&lt;&gt;"","贷 方 金 额","")</f>
        <v/>
      </c>
      <c r="H2269" s="63" t="str">
        <f aca="false">IF(助手收入!$R$153&lt;&gt;"","√","")</f>
        <v/>
      </c>
      <c r="I2269" s="64" t="str">
        <f aca="false">IF(助手收入!$R$153&lt;&gt;"","附单据  张","")</f>
        <v/>
      </c>
    </row>
    <row r="2270" customFormat="false" ht="12.75" hidden="false" customHeight="true" outlineLevel="0" collapsed="false">
      <c r="B2270" s="61"/>
      <c r="C2270" s="61"/>
      <c r="D2270" s="23" t="str">
        <f aca="false">IF(助手收入!$R$153&lt;&gt;"","总 账 科 目","")</f>
        <v/>
      </c>
      <c r="E2270" s="23" t="str">
        <f aca="false">IF(助手收入!$R$153&lt;&gt;"","明 细 科 目","")</f>
        <v/>
      </c>
      <c r="F2270" s="65"/>
      <c r="G2270" s="66"/>
      <c r="H2270" s="63"/>
      <c r="I2270" s="64"/>
    </row>
    <row r="2271" customFormat="false" ht="23.25" hidden="false" customHeight="true" outlineLevel="0" collapsed="false">
      <c r="B2271" s="67" t="str">
        <f aca="false">IFERROR(INDEX(分录收入!$M:$M,MATCH($L2271,分录收入!$L:$L,0)),"")</f>
        <v/>
      </c>
      <c r="C2271" s="67"/>
      <c r="D2271" s="23" t="str">
        <f aca="false">IFERROR(INDEX(分录收入!$E:$E,MATCH($L2271,分录收入!$L:$L,0)),"")</f>
        <v/>
      </c>
      <c r="E2271" s="23" t="str">
        <f aca="false">IFERROR(INDEX(分录收入!$F:$F,MATCH($L2271,分录收入!$L:$L,0)),"")</f>
        <v/>
      </c>
      <c r="F2271" s="68" t="str">
        <f aca="false">IFERROR(INDEX(分录收入!$H:$H,MATCH($L2271,分录收入!$L:$L,0)),"")</f>
        <v/>
      </c>
      <c r="G2271" s="69" t="str">
        <f aca="false">IFERROR(INDEX(分录收入!$I:$I,MATCH($L2271,分录收入!$L:$L,0)),"")</f>
        <v/>
      </c>
      <c r="H2271" s="23"/>
      <c r="I2271" s="70"/>
      <c r="L2271" s="71" t="n">
        <f aca="false">IF(助手收入!$R$153="",-1,助手收入!$R$153*100+(助手收入!$S$153-1)*6+1)</f>
        <v>-1</v>
      </c>
    </row>
    <row r="2272" customFormat="false" ht="23.25" hidden="false" customHeight="true" outlineLevel="0" collapsed="false">
      <c r="B2272" s="67" t="str">
        <f aca="false">""</f>
        <v/>
      </c>
      <c r="C2272" s="67"/>
      <c r="D2272" s="23" t="str">
        <f aca="false">IFERROR(INDEX(分录收入!$E:$E,MATCH($L2272,分录收入!$L:$L,0)),"")</f>
        <v/>
      </c>
      <c r="E2272" s="23" t="str">
        <f aca="false">IFERROR(INDEX(分录收入!$F:$F,MATCH($L2272,分录收入!$L:$L,0)),"")</f>
        <v/>
      </c>
      <c r="F2272" s="68" t="str">
        <f aca="false">IFERROR(INDEX(分录收入!$H:$H,MATCH($L2272,分录收入!$L:$L,0)),"")</f>
        <v/>
      </c>
      <c r="G2272" s="69" t="str">
        <f aca="false">IFERROR(INDEX(分录收入!$I:$I,MATCH($L2272,分录收入!$L:$L,0)),"")</f>
        <v/>
      </c>
      <c r="H2272" s="23"/>
      <c r="I2272" s="70"/>
      <c r="L2272" s="71" t="n">
        <f aca="false">IF(助手收入!$R$153="",-1,助手收入!$R$153*100+(助手收入!$S$153-1)*6+2)</f>
        <v>-1</v>
      </c>
    </row>
    <row r="2273" customFormat="false" ht="23.25" hidden="false" customHeight="true" outlineLevel="0" collapsed="false">
      <c r="B2273" s="67" t="str">
        <f aca="false">""</f>
        <v/>
      </c>
      <c r="C2273" s="67"/>
      <c r="D2273" s="23" t="str">
        <f aca="false">IFERROR(INDEX(分录收入!$E:$E,MATCH($L2273,分录收入!$L:$L,0)),"")</f>
        <v/>
      </c>
      <c r="E2273" s="23" t="str">
        <f aca="false">IFERROR(INDEX(分录收入!$F:$F,MATCH($L2273,分录收入!$L:$L,0)),"")</f>
        <v/>
      </c>
      <c r="F2273" s="68" t="str">
        <f aca="false">IFERROR(INDEX(分录收入!$H:$H,MATCH($L2273,分录收入!$L:$L,0)),"")</f>
        <v/>
      </c>
      <c r="G2273" s="69" t="str">
        <f aca="false">IFERROR(INDEX(分录收入!$I:$I,MATCH($L2273,分录收入!$L:$L,0)),"")</f>
        <v/>
      </c>
      <c r="H2273" s="23"/>
      <c r="I2273" s="70"/>
      <c r="L2273" s="71" t="n">
        <f aca="false">IF(助手收入!$R$153="",-1,助手收入!$R$153*100+(助手收入!$S$153-1)*6+3)</f>
        <v>-1</v>
      </c>
    </row>
    <row r="2274" customFormat="false" ht="23.25" hidden="false" customHeight="true" outlineLevel="0" collapsed="false">
      <c r="B2274" s="67" t="str">
        <f aca="false">""</f>
        <v/>
      </c>
      <c r="C2274" s="67"/>
      <c r="D2274" s="23" t="str">
        <f aca="false">IFERROR(INDEX(分录收入!$E:$E,MATCH($L2274,分录收入!$L:$L,0)),"")</f>
        <v/>
      </c>
      <c r="E2274" s="23" t="str">
        <f aca="false">IFERROR(INDEX(分录收入!$F:$F,MATCH($L2274,分录收入!$L:$L,0)),"")</f>
        <v/>
      </c>
      <c r="F2274" s="68" t="str">
        <f aca="false">IFERROR(INDEX(分录收入!$H:$H,MATCH($L2274,分录收入!$L:$L,0)),"")</f>
        <v/>
      </c>
      <c r="G2274" s="69" t="str">
        <f aca="false">IFERROR(INDEX(分录收入!$I:$I,MATCH($L2274,分录收入!$L:$L,0)),"")</f>
        <v/>
      </c>
      <c r="H2274" s="23"/>
      <c r="I2274" s="70"/>
      <c r="L2274" s="71" t="n">
        <f aca="false">IF(助手收入!$R$153="",-1,助手收入!$R$153*100+(助手收入!$S$153-1)*6+4)</f>
        <v>-1</v>
      </c>
    </row>
    <row r="2275" customFormat="false" ht="23.25" hidden="false" customHeight="true" outlineLevel="0" collapsed="false">
      <c r="B2275" s="67" t="str">
        <f aca="false">""</f>
        <v/>
      </c>
      <c r="C2275" s="67"/>
      <c r="D2275" s="23" t="str">
        <f aca="false">IFERROR(INDEX(分录收入!$E:$E,MATCH($L2275,分录收入!$L:$L,0)),"")</f>
        <v/>
      </c>
      <c r="E2275" s="23" t="str">
        <f aca="false">IFERROR(INDEX(分录收入!$F:$F,MATCH($L2275,分录收入!$L:$L,0)),"")</f>
        <v/>
      </c>
      <c r="F2275" s="68" t="str">
        <f aca="false">IFERROR(INDEX(分录收入!$H:$H,MATCH($L2275,分录收入!$L:$L,0)),"")</f>
        <v/>
      </c>
      <c r="G2275" s="69" t="str">
        <f aca="false">IFERROR(INDEX(分录收入!$I:$I,MATCH($L2275,分录收入!$L:$L,0)),"")</f>
        <v/>
      </c>
      <c r="H2275" s="23"/>
      <c r="I2275" s="70"/>
      <c r="L2275" s="71" t="n">
        <f aca="false">IF(助手收入!$R$153="",-1,助手收入!$R$153*100+(助手收入!$S$153-1)*6+5)</f>
        <v>-1</v>
      </c>
    </row>
    <row r="2276" customFormat="false" ht="23.25" hidden="false" customHeight="true" outlineLevel="0" collapsed="false">
      <c r="B2276" s="67" t="str">
        <f aca="false">""</f>
        <v/>
      </c>
      <c r="C2276" s="67"/>
      <c r="D2276" s="23" t="str">
        <f aca="false">IFERROR(INDEX(分录收入!$E:$E,MATCH($L2276,分录收入!$L:$L,0)),"")</f>
        <v/>
      </c>
      <c r="E2276" s="23" t="str">
        <f aca="false">IFERROR(INDEX(分录收入!$F:$F,MATCH($L2276,分录收入!$L:$L,0)),"")</f>
        <v/>
      </c>
      <c r="F2276" s="68" t="str">
        <f aca="false">IFERROR(INDEX(分录收入!$H:$H,MATCH($L2276,分录收入!$L:$L,0)),"")</f>
        <v/>
      </c>
      <c r="G2276" s="69" t="str">
        <f aca="false">IFERROR(INDEX(分录收入!$I:$I,MATCH($L2276,分录收入!$L:$L,0)),"")</f>
        <v/>
      </c>
      <c r="H2276" s="23"/>
      <c r="I2276" s="70"/>
      <c r="L2276" s="71" t="n">
        <f aca="false">IF(助手收入!$R$153="",-1,助手收入!$R$153*100+(助手收入!$S$153-1)*6+6)</f>
        <v>-1</v>
      </c>
    </row>
    <row r="2277" customFormat="false" ht="23.25" hidden="false" customHeight="true" outlineLevel="0" collapsed="false">
      <c r="B2277" s="72" t="str">
        <f aca="false">IF(助手收入!$T$153=1,"合计：","")</f>
        <v/>
      </c>
      <c r="C2277" s="73" t="str">
        <f aca="false">IF(助手收入!$T$153=1,$F2277,"")</f>
        <v/>
      </c>
      <c r="D2277" s="74"/>
      <c r="E2277" s="74"/>
      <c r="F2277" s="75" t="str">
        <f aca="false">IF(助手收入!$T$153=1,INDEX(助手收入!$N$2:$N$66,助手收入!$R$153),"")</f>
        <v/>
      </c>
      <c r="G2277" s="76" t="str">
        <f aca="false">IF(助手收入!$T$153=1,INDEX(助手收入!$O$2:$O$66,助手收入!$R$153),"")</f>
        <v/>
      </c>
      <c r="H2277" s="74"/>
      <c r="I2277" s="77"/>
    </row>
    <row r="2278" customFormat="false" ht="6" hidden="false" customHeight="true" outlineLevel="0" collapsed="false"/>
    <row r="2279" customFormat="false" ht="13.5" hidden="false" customHeight="false" outlineLevel="0" collapsed="false">
      <c r="B2279" s="78" t="str">
        <f aca="false">IF(助手收入!$R$153&lt;&gt;"","会计主管：","")</f>
        <v/>
      </c>
      <c r="D2279" s="78" t="str">
        <f aca="false">IF(助手收入!$R$153&lt;&gt;"","会计：","")</f>
        <v/>
      </c>
      <c r="E2279" s="78" t="str">
        <f aca="false">IF(助手收入!$R$153&lt;&gt;"","出纳：","")</f>
        <v/>
      </c>
      <c r="F2279" s="78" t="str">
        <f aca="false">IF(助手收入!$R$153&lt;&gt;"","复核：","")</f>
        <v/>
      </c>
      <c r="G2279" s="78" t="str">
        <f aca="false">IF(助手收入!$R$153&lt;&gt;"","制单：","")</f>
        <v/>
      </c>
    </row>
    <row r="2280" customFormat="false" ht="3" hidden="false" customHeight="true" outlineLevel="0" collapsed="false"/>
    <row r="2281" customFormat="false" ht="19.5" hidden="false" customHeight="true" outlineLevel="0" collapsed="false">
      <c r="B2281" s="53" t="str">
        <f aca="false">IF(助手收入!$R$154&lt;&gt;"","记  账  凭  证","")</f>
        <v/>
      </c>
      <c r="C2281" s="53"/>
      <c r="D2281" s="53"/>
      <c r="E2281" s="53"/>
      <c r="F2281" s="53"/>
      <c r="G2281" s="53"/>
      <c r="H2281" s="53"/>
      <c r="I2281" s="53"/>
    </row>
    <row r="2282" customFormat="false" ht="3" hidden="false" customHeight="true" outlineLevel="0" collapsed="false"/>
    <row r="2283" customFormat="false" ht="15" hidden="false" customHeight="true" outlineLevel="0" collapsed="false">
      <c r="C2283" s="56" t="str">
        <f aca="false">IF(助手收入!$R$154&lt;&gt;"",INDEX(助手收入!$B$2:$B$66,助手收入!$R$154),"")</f>
        <v/>
      </c>
      <c r="D2283" s="57" t="str">
        <f aca="false">IF(助手收入!$R$154&lt;&gt;"",参数!$B$2,"")</f>
        <v/>
      </c>
      <c r="E2283" s="57"/>
      <c r="F2283" s="58" t="str">
        <f aca="false">IF(助手收入!$R$154&lt;&gt;"",INDEX(助手收入!$C$2:$C$66,助手收入!$R$154)&amp;"  字第 "&amp;IF(参数!$B$9="是",INDEX(助手收入!$P$2:$P$66,助手收入!$R$154),"　　　　")&amp;" 号"&amp;IF(INDEX(助手收入!$L$2:$L$66,助手收入!$R$154)&gt;1,"  (共"&amp;INDEX(助手收入!$L$2:$L$66,助手收入!$R$154)&amp;"页 第"&amp;助手收入!$S$154&amp;"页)",""),"")</f>
        <v/>
      </c>
      <c r="G2283" s="58"/>
      <c r="H2283" s="58"/>
      <c r="I2283" s="58"/>
      <c r="M2283" s="79" t="str">
        <f aca="false">IF(助手收入!$R$154="","",助手收入!$Q$154)</f>
        <v/>
      </c>
      <c r="N2283" s="80" t="str">
        <f aca="false">IF(助手收入!$R$154="","",INDEX(助手收入!$P$2:$P$66,助手收入!$R$154))</f>
        <v/>
      </c>
      <c r="O2283" s="55" t="str">
        <f aca="false">IF(助手收入!$R$154="","",INDEX(助手收入!$C$2:$C$66,助手收入!$R$154)&amp;"  字第 "&amp;INDEX(助手收入!$P$2:$P$66,助手收入!$R$154)&amp;" 号"&amp;IF(INDEX(助手收入!$L$2:$L$66,助手收入!$R$154)&gt;1,"  (共"&amp;INDEX(助手收入!$L$2:$L$66,助手收入!$R$154)&amp;"页 第"&amp;助手收入!$S$154&amp;"页)",""))</f>
        <v/>
      </c>
    </row>
    <row r="2284" customFormat="false" ht="12.75" hidden="false" customHeight="true" outlineLevel="0" collapsed="false">
      <c r="B2284" s="61" t="str">
        <f aca="false">IF(助手收入!$R$154&lt;&gt;"","摘　　要","")</f>
        <v/>
      </c>
      <c r="C2284" s="61"/>
      <c r="D2284" s="62" t="str">
        <f aca="false">IF(助手收入!$R$154&lt;&gt;"","科　　　　目","")</f>
        <v/>
      </c>
      <c r="E2284" s="62"/>
      <c r="F2284" s="61" t="str">
        <f aca="false">IF(助手收入!$R$154&lt;&gt;"","借 方 金 额","")</f>
        <v/>
      </c>
      <c r="G2284" s="62" t="str">
        <f aca="false">IF(助手收入!$R$154&lt;&gt;"","贷 方 金 额","")</f>
        <v/>
      </c>
      <c r="H2284" s="63" t="str">
        <f aca="false">IF(助手收入!$R$154&lt;&gt;"","√","")</f>
        <v/>
      </c>
      <c r="I2284" s="64" t="str">
        <f aca="false">IF(助手收入!$R$154&lt;&gt;"","附单据  张","")</f>
        <v/>
      </c>
    </row>
    <row r="2285" customFormat="false" ht="12.75" hidden="false" customHeight="true" outlineLevel="0" collapsed="false">
      <c r="B2285" s="61"/>
      <c r="C2285" s="61"/>
      <c r="D2285" s="23" t="str">
        <f aca="false">IF(助手收入!$R$154&lt;&gt;"","总 账 科 目","")</f>
        <v/>
      </c>
      <c r="E2285" s="23" t="str">
        <f aca="false">IF(助手收入!$R$154&lt;&gt;"","明 细 科 目","")</f>
        <v/>
      </c>
      <c r="F2285" s="65"/>
      <c r="G2285" s="66"/>
      <c r="H2285" s="63"/>
      <c r="I2285" s="64"/>
    </row>
    <row r="2286" customFormat="false" ht="23.25" hidden="false" customHeight="true" outlineLevel="0" collapsed="false">
      <c r="B2286" s="67" t="str">
        <f aca="false">IFERROR(INDEX(分录收入!$M:$M,MATCH($L2286,分录收入!$L:$L,0)),"")</f>
        <v/>
      </c>
      <c r="C2286" s="67"/>
      <c r="D2286" s="23" t="str">
        <f aca="false">IFERROR(INDEX(分录收入!$E:$E,MATCH($L2286,分录收入!$L:$L,0)),"")</f>
        <v/>
      </c>
      <c r="E2286" s="23" t="str">
        <f aca="false">IFERROR(INDEX(分录收入!$F:$F,MATCH($L2286,分录收入!$L:$L,0)),"")</f>
        <v/>
      </c>
      <c r="F2286" s="68" t="str">
        <f aca="false">IFERROR(INDEX(分录收入!$H:$H,MATCH($L2286,分录收入!$L:$L,0)),"")</f>
        <v/>
      </c>
      <c r="G2286" s="69" t="str">
        <f aca="false">IFERROR(INDEX(分录收入!$I:$I,MATCH($L2286,分录收入!$L:$L,0)),"")</f>
        <v/>
      </c>
      <c r="H2286" s="23"/>
      <c r="I2286" s="70"/>
      <c r="L2286" s="71" t="n">
        <f aca="false">IF(助手收入!$R$154="",-1,助手收入!$R$154*100+(助手收入!$S$154-1)*6+1)</f>
        <v>-1</v>
      </c>
    </row>
    <row r="2287" customFormat="false" ht="23.25" hidden="false" customHeight="true" outlineLevel="0" collapsed="false">
      <c r="B2287" s="67" t="str">
        <f aca="false">""</f>
        <v/>
      </c>
      <c r="C2287" s="67"/>
      <c r="D2287" s="23" t="str">
        <f aca="false">IFERROR(INDEX(分录收入!$E:$E,MATCH($L2287,分录收入!$L:$L,0)),"")</f>
        <v/>
      </c>
      <c r="E2287" s="23" t="str">
        <f aca="false">IFERROR(INDEX(分录收入!$F:$F,MATCH($L2287,分录收入!$L:$L,0)),"")</f>
        <v/>
      </c>
      <c r="F2287" s="68" t="str">
        <f aca="false">IFERROR(INDEX(分录收入!$H:$H,MATCH($L2287,分录收入!$L:$L,0)),"")</f>
        <v/>
      </c>
      <c r="G2287" s="69" t="str">
        <f aca="false">IFERROR(INDEX(分录收入!$I:$I,MATCH($L2287,分录收入!$L:$L,0)),"")</f>
        <v/>
      </c>
      <c r="H2287" s="23"/>
      <c r="I2287" s="70"/>
      <c r="L2287" s="71" t="n">
        <f aca="false">IF(助手收入!$R$154="",-1,助手收入!$R$154*100+(助手收入!$S$154-1)*6+2)</f>
        <v>-1</v>
      </c>
    </row>
    <row r="2288" customFormat="false" ht="23.25" hidden="false" customHeight="true" outlineLevel="0" collapsed="false">
      <c r="B2288" s="67" t="str">
        <f aca="false">""</f>
        <v/>
      </c>
      <c r="C2288" s="67"/>
      <c r="D2288" s="23" t="str">
        <f aca="false">IFERROR(INDEX(分录收入!$E:$E,MATCH($L2288,分录收入!$L:$L,0)),"")</f>
        <v/>
      </c>
      <c r="E2288" s="23" t="str">
        <f aca="false">IFERROR(INDEX(分录收入!$F:$F,MATCH($L2288,分录收入!$L:$L,0)),"")</f>
        <v/>
      </c>
      <c r="F2288" s="68" t="str">
        <f aca="false">IFERROR(INDEX(分录收入!$H:$H,MATCH($L2288,分录收入!$L:$L,0)),"")</f>
        <v/>
      </c>
      <c r="G2288" s="69" t="str">
        <f aca="false">IFERROR(INDEX(分录收入!$I:$I,MATCH($L2288,分录收入!$L:$L,0)),"")</f>
        <v/>
      </c>
      <c r="H2288" s="23"/>
      <c r="I2288" s="70"/>
      <c r="L2288" s="71" t="n">
        <f aca="false">IF(助手收入!$R$154="",-1,助手收入!$R$154*100+(助手收入!$S$154-1)*6+3)</f>
        <v>-1</v>
      </c>
    </row>
    <row r="2289" customFormat="false" ht="23.25" hidden="false" customHeight="true" outlineLevel="0" collapsed="false">
      <c r="B2289" s="67" t="str">
        <f aca="false">""</f>
        <v/>
      </c>
      <c r="C2289" s="67"/>
      <c r="D2289" s="23" t="str">
        <f aca="false">IFERROR(INDEX(分录收入!$E:$E,MATCH($L2289,分录收入!$L:$L,0)),"")</f>
        <v/>
      </c>
      <c r="E2289" s="23" t="str">
        <f aca="false">IFERROR(INDEX(分录收入!$F:$F,MATCH($L2289,分录收入!$L:$L,0)),"")</f>
        <v/>
      </c>
      <c r="F2289" s="68" t="str">
        <f aca="false">IFERROR(INDEX(分录收入!$H:$H,MATCH($L2289,分录收入!$L:$L,0)),"")</f>
        <v/>
      </c>
      <c r="G2289" s="69" t="str">
        <f aca="false">IFERROR(INDEX(分录收入!$I:$I,MATCH($L2289,分录收入!$L:$L,0)),"")</f>
        <v/>
      </c>
      <c r="H2289" s="23"/>
      <c r="I2289" s="70"/>
      <c r="L2289" s="71" t="n">
        <f aca="false">IF(助手收入!$R$154="",-1,助手收入!$R$154*100+(助手收入!$S$154-1)*6+4)</f>
        <v>-1</v>
      </c>
    </row>
    <row r="2290" customFormat="false" ht="23.25" hidden="false" customHeight="true" outlineLevel="0" collapsed="false">
      <c r="B2290" s="67" t="str">
        <f aca="false">""</f>
        <v/>
      </c>
      <c r="C2290" s="67"/>
      <c r="D2290" s="23" t="str">
        <f aca="false">IFERROR(INDEX(分录收入!$E:$E,MATCH($L2290,分录收入!$L:$L,0)),"")</f>
        <v/>
      </c>
      <c r="E2290" s="23" t="str">
        <f aca="false">IFERROR(INDEX(分录收入!$F:$F,MATCH($L2290,分录收入!$L:$L,0)),"")</f>
        <v/>
      </c>
      <c r="F2290" s="68" t="str">
        <f aca="false">IFERROR(INDEX(分录收入!$H:$H,MATCH($L2290,分录收入!$L:$L,0)),"")</f>
        <v/>
      </c>
      <c r="G2290" s="69" t="str">
        <f aca="false">IFERROR(INDEX(分录收入!$I:$I,MATCH($L2290,分录收入!$L:$L,0)),"")</f>
        <v/>
      </c>
      <c r="H2290" s="23"/>
      <c r="I2290" s="70"/>
      <c r="L2290" s="71" t="n">
        <f aca="false">IF(助手收入!$R$154="",-1,助手收入!$R$154*100+(助手收入!$S$154-1)*6+5)</f>
        <v>-1</v>
      </c>
    </row>
    <row r="2291" customFormat="false" ht="23.25" hidden="false" customHeight="true" outlineLevel="0" collapsed="false">
      <c r="B2291" s="67" t="str">
        <f aca="false">""</f>
        <v/>
      </c>
      <c r="C2291" s="67"/>
      <c r="D2291" s="23" t="str">
        <f aca="false">IFERROR(INDEX(分录收入!$E:$E,MATCH($L2291,分录收入!$L:$L,0)),"")</f>
        <v/>
      </c>
      <c r="E2291" s="23" t="str">
        <f aca="false">IFERROR(INDEX(分录收入!$F:$F,MATCH($L2291,分录收入!$L:$L,0)),"")</f>
        <v/>
      </c>
      <c r="F2291" s="68" t="str">
        <f aca="false">IFERROR(INDEX(分录收入!$H:$H,MATCH($L2291,分录收入!$L:$L,0)),"")</f>
        <v/>
      </c>
      <c r="G2291" s="69" t="str">
        <f aca="false">IFERROR(INDEX(分录收入!$I:$I,MATCH($L2291,分录收入!$L:$L,0)),"")</f>
        <v/>
      </c>
      <c r="H2291" s="23"/>
      <c r="I2291" s="70"/>
      <c r="L2291" s="71" t="n">
        <f aca="false">IF(助手收入!$R$154="",-1,助手收入!$R$154*100+(助手收入!$S$154-1)*6+6)</f>
        <v>-1</v>
      </c>
    </row>
    <row r="2292" customFormat="false" ht="23.25" hidden="false" customHeight="true" outlineLevel="0" collapsed="false">
      <c r="B2292" s="72" t="str">
        <f aca="false">IF(助手收入!$T$154=1,"合计：","")</f>
        <v/>
      </c>
      <c r="C2292" s="73" t="str">
        <f aca="false">IF(助手收入!$T$154=1,$F2292,"")</f>
        <v/>
      </c>
      <c r="D2292" s="74"/>
      <c r="E2292" s="74"/>
      <c r="F2292" s="75" t="str">
        <f aca="false">IF(助手收入!$T$154=1,INDEX(助手收入!$N$2:$N$66,助手收入!$R$154),"")</f>
        <v/>
      </c>
      <c r="G2292" s="76" t="str">
        <f aca="false">IF(助手收入!$T$154=1,INDEX(助手收入!$O$2:$O$66,助手收入!$R$154),"")</f>
        <v/>
      </c>
      <c r="H2292" s="74"/>
      <c r="I2292" s="77"/>
    </row>
    <row r="2293" customFormat="false" ht="6" hidden="false" customHeight="true" outlineLevel="0" collapsed="false"/>
    <row r="2294" customFormat="false" ht="13.5" hidden="false" customHeight="false" outlineLevel="0" collapsed="false">
      <c r="B2294" s="78" t="str">
        <f aca="false">IF(助手收入!$R$154&lt;&gt;"","会计主管：","")</f>
        <v/>
      </c>
      <c r="D2294" s="78" t="str">
        <f aca="false">IF(助手收入!$R$154&lt;&gt;"","会计：","")</f>
        <v/>
      </c>
      <c r="E2294" s="78" t="str">
        <f aca="false">IF(助手收入!$R$154&lt;&gt;"","出纳：","")</f>
        <v/>
      </c>
      <c r="F2294" s="78" t="str">
        <f aca="false">IF(助手收入!$R$154&lt;&gt;"","复核：","")</f>
        <v/>
      </c>
      <c r="G2294" s="78" t="str">
        <f aca="false">IF(助手收入!$R$154&lt;&gt;"","制单：","")</f>
        <v/>
      </c>
    </row>
    <row r="2295" customFormat="false" ht="3" hidden="false" customHeight="true" outlineLevel="0" collapsed="false"/>
    <row r="2296" customFormat="false" ht="19.5" hidden="false" customHeight="true" outlineLevel="0" collapsed="false">
      <c r="B2296" s="53" t="str">
        <f aca="false">IF(助手收入!$R$155&lt;&gt;"","记  账  凭  证","")</f>
        <v/>
      </c>
      <c r="C2296" s="53"/>
      <c r="D2296" s="53"/>
      <c r="E2296" s="53"/>
      <c r="F2296" s="53"/>
      <c r="G2296" s="53"/>
      <c r="H2296" s="53"/>
      <c r="I2296" s="53"/>
    </row>
    <row r="2297" customFormat="false" ht="3" hidden="false" customHeight="true" outlineLevel="0" collapsed="false"/>
    <row r="2298" customFormat="false" ht="15" hidden="false" customHeight="true" outlineLevel="0" collapsed="false">
      <c r="C2298" s="56" t="str">
        <f aca="false">IF(助手收入!$R$155&lt;&gt;"",INDEX(助手收入!$B$2:$B$66,助手收入!$R$155),"")</f>
        <v/>
      </c>
      <c r="D2298" s="57" t="str">
        <f aca="false">IF(助手收入!$R$155&lt;&gt;"",参数!$B$2,"")</f>
        <v/>
      </c>
      <c r="E2298" s="57"/>
      <c r="F2298" s="58" t="str">
        <f aca="false">IF(助手收入!$R$155&lt;&gt;"",INDEX(助手收入!$C$2:$C$66,助手收入!$R$155)&amp;"  字第 "&amp;IF(参数!$B$9="是",INDEX(助手收入!$P$2:$P$66,助手收入!$R$155),"　　　　")&amp;" 号"&amp;IF(INDEX(助手收入!$L$2:$L$66,助手收入!$R$155)&gt;1,"  (共"&amp;INDEX(助手收入!$L$2:$L$66,助手收入!$R$155)&amp;"页 第"&amp;助手收入!$S$155&amp;"页)",""),"")</f>
        <v/>
      </c>
      <c r="G2298" s="58"/>
      <c r="H2298" s="58"/>
      <c r="I2298" s="58"/>
      <c r="M2298" s="79" t="str">
        <f aca="false">IF(助手收入!$R$155="","",助手收入!$Q$155)</f>
        <v/>
      </c>
      <c r="N2298" s="80" t="str">
        <f aca="false">IF(助手收入!$R$155="","",INDEX(助手收入!$P$2:$P$66,助手收入!$R$155))</f>
        <v/>
      </c>
      <c r="O2298" s="55" t="str">
        <f aca="false">IF(助手收入!$R$155="","",INDEX(助手收入!$C$2:$C$66,助手收入!$R$155)&amp;"  字第 "&amp;INDEX(助手收入!$P$2:$P$66,助手收入!$R$155)&amp;" 号"&amp;IF(INDEX(助手收入!$L$2:$L$66,助手收入!$R$155)&gt;1,"  (共"&amp;INDEX(助手收入!$L$2:$L$66,助手收入!$R$155)&amp;"页 第"&amp;助手收入!$S$155&amp;"页)",""))</f>
        <v/>
      </c>
    </row>
    <row r="2299" customFormat="false" ht="12.75" hidden="false" customHeight="true" outlineLevel="0" collapsed="false">
      <c r="B2299" s="61" t="str">
        <f aca="false">IF(助手收入!$R$155&lt;&gt;"","摘　　要","")</f>
        <v/>
      </c>
      <c r="C2299" s="61"/>
      <c r="D2299" s="62" t="str">
        <f aca="false">IF(助手收入!$R$155&lt;&gt;"","科　　　　目","")</f>
        <v/>
      </c>
      <c r="E2299" s="62"/>
      <c r="F2299" s="61" t="str">
        <f aca="false">IF(助手收入!$R$155&lt;&gt;"","借 方 金 额","")</f>
        <v/>
      </c>
      <c r="G2299" s="62" t="str">
        <f aca="false">IF(助手收入!$R$155&lt;&gt;"","贷 方 金 额","")</f>
        <v/>
      </c>
      <c r="H2299" s="63" t="str">
        <f aca="false">IF(助手收入!$R$155&lt;&gt;"","√","")</f>
        <v/>
      </c>
      <c r="I2299" s="64" t="str">
        <f aca="false">IF(助手收入!$R$155&lt;&gt;"","附单据  张","")</f>
        <v/>
      </c>
    </row>
    <row r="2300" customFormat="false" ht="12.75" hidden="false" customHeight="true" outlineLevel="0" collapsed="false">
      <c r="B2300" s="61"/>
      <c r="C2300" s="61"/>
      <c r="D2300" s="23" t="str">
        <f aca="false">IF(助手收入!$R$155&lt;&gt;"","总 账 科 目","")</f>
        <v/>
      </c>
      <c r="E2300" s="23" t="str">
        <f aca="false">IF(助手收入!$R$155&lt;&gt;"","明 细 科 目","")</f>
        <v/>
      </c>
      <c r="F2300" s="65"/>
      <c r="G2300" s="66"/>
      <c r="H2300" s="63"/>
      <c r="I2300" s="64"/>
    </row>
    <row r="2301" customFormat="false" ht="23.25" hidden="false" customHeight="true" outlineLevel="0" collapsed="false">
      <c r="B2301" s="67" t="str">
        <f aca="false">IFERROR(INDEX(分录收入!$M:$M,MATCH($L2301,分录收入!$L:$L,0)),"")</f>
        <v/>
      </c>
      <c r="C2301" s="67"/>
      <c r="D2301" s="23" t="str">
        <f aca="false">IFERROR(INDEX(分录收入!$E:$E,MATCH($L2301,分录收入!$L:$L,0)),"")</f>
        <v/>
      </c>
      <c r="E2301" s="23" t="str">
        <f aca="false">IFERROR(INDEX(分录收入!$F:$F,MATCH($L2301,分录收入!$L:$L,0)),"")</f>
        <v/>
      </c>
      <c r="F2301" s="68" t="str">
        <f aca="false">IFERROR(INDEX(分录收入!$H:$H,MATCH($L2301,分录收入!$L:$L,0)),"")</f>
        <v/>
      </c>
      <c r="G2301" s="69" t="str">
        <f aca="false">IFERROR(INDEX(分录收入!$I:$I,MATCH($L2301,分录收入!$L:$L,0)),"")</f>
        <v/>
      </c>
      <c r="H2301" s="23"/>
      <c r="I2301" s="70"/>
      <c r="L2301" s="71" t="n">
        <f aca="false">IF(助手收入!$R$155="",-1,助手收入!$R$155*100+(助手收入!$S$155-1)*6+1)</f>
        <v>-1</v>
      </c>
    </row>
    <row r="2302" customFormat="false" ht="23.25" hidden="false" customHeight="true" outlineLevel="0" collapsed="false">
      <c r="B2302" s="67" t="str">
        <f aca="false">""</f>
        <v/>
      </c>
      <c r="C2302" s="67"/>
      <c r="D2302" s="23" t="str">
        <f aca="false">IFERROR(INDEX(分录收入!$E:$E,MATCH($L2302,分录收入!$L:$L,0)),"")</f>
        <v/>
      </c>
      <c r="E2302" s="23" t="str">
        <f aca="false">IFERROR(INDEX(分录收入!$F:$F,MATCH($L2302,分录收入!$L:$L,0)),"")</f>
        <v/>
      </c>
      <c r="F2302" s="68" t="str">
        <f aca="false">IFERROR(INDEX(分录收入!$H:$H,MATCH($L2302,分录收入!$L:$L,0)),"")</f>
        <v/>
      </c>
      <c r="G2302" s="69" t="str">
        <f aca="false">IFERROR(INDEX(分录收入!$I:$I,MATCH($L2302,分录收入!$L:$L,0)),"")</f>
        <v/>
      </c>
      <c r="H2302" s="23"/>
      <c r="I2302" s="70"/>
      <c r="L2302" s="71" t="n">
        <f aca="false">IF(助手收入!$R$155="",-1,助手收入!$R$155*100+(助手收入!$S$155-1)*6+2)</f>
        <v>-1</v>
      </c>
    </row>
    <row r="2303" customFormat="false" ht="23.25" hidden="false" customHeight="true" outlineLevel="0" collapsed="false">
      <c r="B2303" s="67" t="str">
        <f aca="false">""</f>
        <v/>
      </c>
      <c r="C2303" s="67"/>
      <c r="D2303" s="23" t="str">
        <f aca="false">IFERROR(INDEX(分录收入!$E:$E,MATCH($L2303,分录收入!$L:$L,0)),"")</f>
        <v/>
      </c>
      <c r="E2303" s="23" t="str">
        <f aca="false">IFERROR(INDEX(分录收入!$F:$F,MATCH($L2303,分录收入!$L:$L,0)),"")</f>
        <v/>
      </c>
      <c r="F2303" s="68" t="str">
        <f aca="false">IFERROR(INDEX(分录收入!$H:$H,MATCH($L2303,分录收入!$L:$L,0)),"")</f>
        <v/>
      </c>
      <c r="G2303" s="69" t="str">
        <f aca="false">IFERROR(INDEX(分录收入!$I:$I,MATCH($L2303,分录收入!$L:$L,0)),"")</f>
        <v/>
      </c>
      <c r="H2303" s="23"/>
      <c r="I2303" s="70"/>
      <c r="L2303" s="71" t="n">
        <f aca="false">IF(助手收入!$R$155="",-1,助手收入!$R$155*100+(助手收入!$S$155-1)*6+3)</f>
        <v>-1</v>
      </c>
    </row>
    <row r="2304" customFormat="false" ht="23.25" hidden="false" customHeight="true" outlineLevel="0" collapsed="false">
      <c r="B2304" s="67" t="str">
        <f aca="false">""</f>
        <v/>
      </c>
      <c r="C2304" s="67"/>
      <c r="D2304" s="23" t="str">
        <f aca="false">IFERROR(INDEX(分录收入!$E:$E,MATCH($L2304,分录收入!$L:$L,0)),"")</f>
        <v/>
      </c>
      <c r="E2304" s="23" t="str">
        <f aca="false">IFERROR(INDEX(分录收入!$F:$F,MATCH($L2304,分录收入!$L:$L,0)),"")</f>
        <v/>
      </c>
      <c r="F2304" s="68" t="str">
        <f aca="false">IFERROR(INDEX(分录收入!$H:$H,MATCH($L2304,分录收入!$L:$L,0)),"")</f>
        <v/>
      </c>
      <c r="G2304" s="69" t="str">
        <f aca="false">IFERROR(INDEX(分录收入!$I:$I,MATCH($L2304,分录收入!$L:$L,0)),"")</f>
        <v/>
      </c>
      <c r="H2304" s="23"/>
      <c r="I2304" s="70"/>
      <c r="L2304" s="71" t="n">
        <f aca="false">IF(助手收入!$R$155="",-1,助手收入!$R$155*100+(助手收入!$S$155-1)*6+4)</f>
        <v>-1</v>
      </c>
    </row>
    <row r="2305" customFormat="false" ht="23.25" hidden="false" customHeight="true" outlineLevel="0" collapsed="false">
      <c r="B2305" s="67" t="str">
        <f aca="false">""</f>
        <v/>
      </c>
      <c r="C2305" s="67"/>
      <c r="D2305" s="23" t="str">
        <f aca="false">IFERROR(INDEX(分录收入!$E:$E,MATCH($L2305,分录收入!$L:$L,0)),"")</f>
        <v/>
      </c>
      <c r="E2305" s="23" t="str">
        <f aca="false">IFERROR(INDEX(分录收入!$F:$F,MATCH($L2305,分录收入!$L:$L,0)),"")</f>
        <v/>
      </c>
      <c r="F2305" s="68" t="str">
        <f aca="false">IFERROR(INDEX(分录收入!$H:$H,MATCH($L2305,分录收入!$L:$L,0)),"")</f>
        <v/>
      </c>
      <c r="G2305" s="69" t="str">
        <f aca="false">IFERROR(INDEX(分录收入!$I:$I,MATCH($L2305,分录收入!$L:$L,0)),"")</f>
        <v/>
      </c>
      <c r="H2305" s="23"/>
      <c r="I2305" s="70"/>
      <c r="L2305" s="71" t="n">
        <f aca="false">IF(助手收入!$R$155="",-1,助手收入!$R$155*100+(助手收入!$S$155-1)*6+5)</f>
        <v>-1</v>
      </c>
    </row>
    <row r="2306" customFormat="false" ht="23.25" hidden="false" customHeight="true" outlineLevel="0" collapsed="false">
      <c r="B2306" s="67" t="str">
        <f aca="false">""</f>
        <v/>
      </c>
      <c r="C2306" s="67"/>
      <c r="D2306" s="23" t="str">
        <f aca="false">IFERROR(INDEX(分录收入!$E:$E,MATCH($L2306,分录收入!$L:$L,0)),"")</f>
        <v/>
      </c>
      <c r="E2306" s="23" t="str">
        <f aca="false">IFERROR(INDEX(分录收入!$F:$F,MATCH($L2306,分录收入!$L:$L,0)),"")</f>
        <v/>
      </c>
      <c r="F2306" s="68" t="str">
        <f aca="false">IFERROR(INDEX(分录收入!$H:$H,MATCH($L2306,分录收入!$L:$L,0)),"")</f>
        <v/>
      </c>
      <c r="G2306" s="69" t="str">
        <f aca="false">IFERROR(INDEX(分录收入!$I:$I,MATCH($L2306,分录收入!$L:$L,0)),"")</f>
        <v/>
      </c>
      <c r="H2306" s="23"/>
      <c r="I2306" s="70"/>
      <c r="L2306" s="71" t="n">
        <f aca="false">IF(助手收入!$R$155="",-1,助手收入!$R$155*100+(助手收入!$S$155-1)*6+6)</f>
        <v>-1</v>
      </c>
    </row>
    <row r="2307" customFormat="false" ht="23.25" hidden="false" customHeight="true" outlineLevel="0" collapsed="false">
      <c r="B2307" s="72" t="str">
        <f aca="false">IF(助手收入!$T$155=1,"合计：","")</f>
        <v/>
      </c>
      <c r="C2307" s="73" t="str">
        <f aca="false">IF(助手收入!$T$155=1,$F2307,"")</f>
        <v/>
      </c>
      <c r="D2307" s="74"/>
      <c r="E2307" s="74"/>
      <c r="F2307" s="75" t="str">
        <f aca="false">IF(助手收入!$T$155=1,INDEX(助手收入!$N$2:$N$66,助手收入!$R$155),"")</f>
        <v/>
      </c>
      <c r="G2307" s="76" t="str">
        <f aca="false">IF(助手收入!$T$155=1,INDEX(助手收入!$O$2:$O$66,助手收入!$R$155),"")</f>
        <v/>
      </c>
      <c r="H2307" s="74"/>
      <c r="I2307" s="77"/>
    </row>
    <row r="2308" customFormat="false" ht="6" hidden="false" customHeight="true" outlineLevel="0" collapsed="false"/>
    <row r="2309" customFormat="false" ht="13.5" hidden="false" customHeight="false" outlineLevel="0" collapsed="false">
      <c r="B2309" s="78" t="str">
        <f aca="false">IF(助手收入!$R$155&lt;&gt;"","会计主管：","")</f>
        <v/>
      </c>
      <c r="D2309" s="78" t="str">
        <f aca="false">IF(助手收入!$R$155&lt;&gt;"","会计：","")</f>
        <v/>
      </c>
      <c r="E2309" s="78" t="str">
        <f aca="false">IF(助手收入!$R$155&lt;&gt;"","出纳：","")</f>
        <v/>
      </c>
      <c r="F2309" s="78" t="str">
        <f aca="false">IF(助手收入!$R$155&lt;&gt;"","复核：","")</f>
        <v/>
      </c>
      <c r="G2309" s="78" t="str">
        <f aca="false">IF(助手收入!$R$155&lt;&gt;"","制单：","")</f>
        <v/>
      </c>
    </row>
    <row r="2310" customFormat="false" ht="3" hidden="false" customHeight="true" outlineLevel="0" collapsed="false"/>
    <row r="2311" customFormat="false" ht="19.5" hidden="false" customHeight="true" outlineLevel="0" collapsed="false">
      <c r="B2311" s="53" t="str">
        <f aca="false">IF(助手收入!$R$156&lt;&gt;"","记  账  凭  证","")</f>
        <v/>
      </c>
      <c r="C2311" s="53"/>
      <c r="D2311" s="53"/>
      <c r="E2311" s="53"/>
      <c r="F2311" s="53"/>
      <c r="G2311" s="53"/>
      <c r="H2311" s="53"/>
      <c r="I2311" s="53"/>
    </row>
    <row r="2312" customFormat="false" ht="3" hidden="false" customHeight="true" outlineLevel="0" collapsed="false"/>
    <row r="2313" customFormat="false" ht="15" hidden="false" customHeight="true" outlineLevel="0" collapsed="false">
      <c r="C2313" s="56" t="str">
        <f aca="false">IF(助手收入!$R$156&lt;&gt;"",INDEX(助手收入!$B$2:$B$66,助手收入!$R$156),"")</f>
        <v/>
      </c>
      <c r="D2313" s="57" t="str">
        <f aca="false">IF(助手收入!$R$156&lt;&gt;"",参数!$B$2,"")</f>
        <v/>
      </c>
      <c r="E2313" s="57"/>
      <c r="F2313" s="58" t="str">
        <f aca="false">IF(助手收入!$R$156&lt;&gt;"",INDEX(助手收入!$C$2:$C$66,助手收入!$R$156)&amp;"  字第 "&amp;IF(参数!$B$9="是",INDEX(助手收入!$P$2:$P$66,助手收入!$R$156),"　　　　")&amp;" 号"&amp;IF(INDEX(助手收入!$L$2:$L$66,助手收入!$R$156)&gt;1,"  (共"&amp;INDEX(助手收入!$L$2:$L$66,助手收入!$R$156)&amp;"页 第"&amp;助手收入!$S$156&amp;"页)",""),"")</f>
        <v/>
      </c>
      <c r="G2313" s="58"/>
      <c r="H2313" s="58"/>
      <c r="I2313" s="58"/>
      <c r="M2313" s="79" t="str">
        <f aca="false">IF(助手收入!$R$156="","",助手收入!$Q$156)</f>
        <v/>
      </c>
      <c r="N2313" s="80" t="str">
        <f aca="false">IF(助手收入!$R$156="","",INDEX(助手收入!$P$2:$P$66,助手收入!$R$156))</f>
        <v/>
      </c>
      <c r="O2313" s="55" t="str">
        <f aca="false">IF(助手收入!$R$156="","",INDEX(助手收入!$C$2:$C$66,助手收入!$R$156)&amp;"  字第 "&amp;INDEX(助手收入!$P$2:$P$66,助手收入!$R$156)&amp;" 号"&amp;IF(INDEX(助手收入!$L$2:$L$66,助手收入!$R$156)&gt;1,"  (共"&amp;INDEX(助手收入!$L$2:$L$66,助手收入!$R$156)&amp;"页 第"&amp;助手收入!$S$156&amp;"页)",""))</f>
        <v/>
      </c>
    </row>
    <row r="2314" customFormat="false" ht="12.75" hidden="false" customHeight="true" outlineLevel="0" collapsed="false">
      <c r="B2314" s="61" t="str">
        <f aca="false">IF(助手收入!$R$156&lt;&gt;"","摘　　要","")</f>
        <v/>
      </c>
      <c r="C2314" s="61"/>
      <c r="D2314" s="62" t="str">
        <f aca="false">IF(助手收入!$R$156&lt;&gt;"","科　　　　目","")</f>
        <v/>
      </c>
      <c r="E2314" s="62"/>
      <c r="F2314" s="61" t="str">
        <f aca="false">IF(助手收入!$R$156&lt;&gt;"","借 方 金 额","")</f>
        <v/>
      </c>
      <c r="G2314" s="62" t="str">
        <f aca="false">IF(助手收入!$R$156&lt;&gt;"","贷 方 金 额","")</f>
        <v/>
      </c>
      <c r="H2314" s="63" t="str">
        <f aca="false">IF(助手收入!$R$156&lt;&gt;"","√","")</f>
        <v/>
      </c>
      <c r="I2314" s="64" t="str">
        <f aca="false">IF(助手收入!$R$156&lt;&gt;"","附单据  张","")</f>
        <v/>
      </c>
    </row>
    <row r="2315" customFormat="false" ht="12.75" hidden="false" customHeight="true" outlineLevel="0" collapsed="false">
      <c r="B2315" s="61"/>
      <c r="C2315" s="61"/>
      <c r="D2315" s="23" t="str">
        <f aca="false">IF(助手收入!$R$156&lt;&gt;"","总 账 科 目","")</f>
        <v/>
      </c>
      <c r="E2315" s="23" t="str">
        <f aca="false">IF(助手收入!$R$156&lt;&gt;"","明 细 科 目","")</f>
        <v/>
      </c>
      <c r="F2315" s="65"/>
      <c r="G2315" s="66"/>
      <c r="H2315" s="63"/>
      <c r="I2315" s="64"/>
    </row>
    <row r="2316" customFormat="false" ht="23.25" hidden="false" customHeight="true" outlineLevel="0" collapsed="false">
      <c r="B2316" s="67" t="str">
        <f aca="false">IFERROR(INDEX(分录收入!$M:$M,MATCH($L2316,分录收入!$L:$L,0)),"")</f>
        <v/>
      </c>
      <c r="C2316" s="67"/>
      <c r="D2316" s="23" t="str">
        <f aca="false">IFERROR(INDEX(分录收入!$E:$E,MATCH($L2316,分录收入!$L:$L,0)),"")</f>
        <v/>
      </c>
      <c r="E2316" s="23" t="str">
        <f aca="false">IFERROR(INDEX(分录收入!$F:$F,MATCH($L2316,分录收入!$L:$L,0)),"")</f>
        <v/>
      </c>
      <c r="F2316" s="68" t="str">
        <f aca="false">IFERROR(INDEX(分录收入!$H:$H,MATCH($L2316,分录收入!$L:$L,0)),"")</f>
        <v/>
      </c>
      <c r="G2316" s="69" t="str">
        <f aca="false">IFERROR(INDEX(分录收入!$I:$I,MATCH($L2316,分录收入!$L:$L,0)),"")</f>
        <v/>
      </c>
      <c r="H2316" s="23"/>
      <c r="I2316" s="70"/>
      <c r="L2316" s="71" t="n">
        <f aca="false">IF(助手收入!$R$156="",-1,助手收入!$R$156*100+(助手收入!$S$156-1)*6+1)</f>
        <v>-1</v>
      </c>
    </row>
    <row r="2317" customFormat="false" ht="23.25" hidden="false" customHeight="true" outlineLevel="0" collapsed="false">
      <c r="B2317" s="67" t="str">
        <f aca="false">""</f>
        <v/>
      </c>
      <c r="C2317" s="67"/>
      <c r="D2317" s="23" t="str">
        <f aca="false">IFERROR(INDEX(分录收入!$E:$E,MATCH($L2317,分录收入!$L:$L,0)),"")</f>
        <v/>
      </c>
      <c r="E2317" s="23" t="str">
        <f aca="false">IFERROR(INDEX(分录收入!$F:$F,MATCH($L2317,分录收入!$L:$L,0)),"")</f>
        <v/>
      </c>
      <c r="F2317" s="68" t="str">
        <f aca="false">IFERROR(INDEX(分录收入!$H:$H,MATCH($L2317,分录收入!$L:$L,0)),"")</f>
        <v/>
      </c>
      <c r="G2317" s="69" t="str">
        <f aca="false">IFERROR(INDEX(分录收入!$I:$I,MATCH($L2317,分录收入!$L:$L,0)),"")</f>
        <v/>
      </c>
      <c r="H2317" s="23"/>
      <c r="I2317" s="70"/>
      <c r="L2317" s="71" t="n">
        <f aca="false">IF(助手收入!$R$156="",-1,助手收入!$R$156*100+(助手收入!$S$156-1)*6+2)</f>
        <v>-1</v>
      </c>
    </row>
    <row r="2318" customFormat="false" ht="23.25" hidden="false" customHeight="true" outlineLevel="0" collapsed="false">
      <c r="B2318" s="67" t="str">
        <f aca="false">""</f>
        <v/>
      </c>
      <c r="C2318" s="67"/>
      <c r="D2318" s="23" t="str">
        <f aca="false">IFERROR(INDEX(分录收入!$E:$E,MATCH($L2318,分录收入!$L:$L,0)),"")</f>
        <v/>
      </c>
      <c r="E2318" s="23" t="str">
        <f aca="false">IFERROR(INDEX(分录收入!$F:$F,MATCH($L2318,分录收入!$L:$L,0)),"")</f>
        <v/>
      </c>
      <c r="F2318" s="68" t="str">
        <f aca="false">IFERROR(INDEX(分录收入!$H:$H,MATCH($L2318,分录收入!$L:$L,0)),"")</f>
        <v/>
      </c>
      <c r="G2318" s="69" t="str">
        <f aca="false">IFERROR(INDEX(分录收入!$I:$I,MATCH($L2318,分录收入!$L:$L,0)),"")</f>
        <v/>
      </c>
      <c r="H2318" s="23"/>
      <c r="I2318" s="70"/>
      <c r="L2318" s="71" t="n">
        <f aca="false">IF(助手收入!$R$156="",-1,助手收入!$R$156*100+(助手收入!$S$156-1)*6+3)</f>
        <v>-1</v>
      </c>
    </row>
    <row r="2319" customFormat="false" ht="23.25" hidden="false" customHeight="true" outlineLevel="0" collapsed="false">
      <c r="B2319" s="67" t="str">
        <f aca="false">""</f>
        <v/>
      </c>
      <c r="C2319" s="67"/>
      <c r="D2319" s="23" t="str">
        <f aca="false">IFERROR(INDEX(分录收入!$E:$E,MATCH($L2319,分录收入!$L:$L,0)),"")</f>
        <v/>
      </c>
      <c r="E2319" s="23" t="str">
        <f aca="false">IFERROR(INDEX(分录收入!$F:$F,MATCH($L2319,分录收入!$L:$L,0)),"")</f>
        <v/>
      </c>
      <c r="F2319" s="68" t="str">
        <f aca="false">IFERROR(INDEX(分录收入!$H:$H,MATCH($L2319,分录收入!$L:$L,0)),"")</f>
        <v/>
      </c>
      <c r="G2319" s="69" t="str">
        <f aca="false">IFERROR(INDEX(分录收入!$I:$I,MATCH($L2319,分录收入!$L:$L,0)),"")</f>
        <v/>
      </c>
      <c r="H2319" s="23"/>
      <c r="I2319" s="70"/>
      <c r="L2319" s="71" t="n">
        <f aca="false">IF(助手收入!$R$156="",-1,助手收入!$R$156*100+(助手收入!$S$156-1)*6+4)</f>
        <v>-1</v>
      </c>
    </row>
    <row r="2320" customFormat="false" ht="23.25" hidden="false" customHeight="true" outlineLevel="0" collapsed="false">
      <c r="B2320" s="67" t="str">
        <f aca="false">""</f>
        <v/>
      </c>
      <c r="C2320" s="67"/>
      <c r="D2320" s="23" t="str">
        <f aca="false">IFERROR(INDEX(分录收入!$E:$E,MATCH($L2320,分录收入!$L:$L,0)),"")</f>
        <v/>
      </c>
      <c r="E2320" s="23" t="str">
        <f aca="false">IFERROR(INDEX(分录收入!$F:$F,MATCH($L2320,分录收入!$L:$L,0)),"")</f>
        <v/>
      </c>
      <c r="F2320" s="68" t="str">
        <f aca="false">IFERROR(INDEX(分录收入!$H:$H,MATCH($L2320,分录收入!$L:$L,0)),"")</f>
        <v/>
      </c>
      <c r="G2320" s="69" t="str">
        <f aca="false">IFERROR(INDEX(分录收入!$I:$I,MATCH($L2320,分录收入!$L:$L,0)),"")</f>
        <v/>
      </c>
      <c r="H2320" s="23"/>
      <c r="I2320" s="70"/>
      <c r="L2320" s="71" t="n">
        <f aca="false">IF(助手收入!$R$156="",-1,助手收入!$R$156*100+(助手收入!$S$156-1)*6+5)</f>
        <v>-1</v>
      </c>
    </row>
    <row r="2321" customFormat="false" ht="23.25" hidden="false" customHeight="true" outlineLevel="0" collapsed="false">
      <c r="B2321" s="67" t="str">
        <f aca="false">""</f>
        <v/>
      </c>
      <c r="C2321" s="67"/>
      <c r="D2321" s="23" t="str">
        <f aca="false">IFERROR(INDEX(分录收入!$E:$E,MATCH($L2321,分录收入!$L:$L,0)),"")</f>
        <v/>
      </c>
      <c r="E2321" s="23" t="str">
        <f aca="false">IFERROR(INDEX(分录收入!$F:$F,MATCH($L2321,分录收入!$L:$L,0)),"")</f>
        <v/>
      </c>
      <c r="F2321" s="68" t="str">
        <f aca="false">IFERROR(INDEX(分录收入!$H:$H,MATCH($L2321,分录收入!$L:$L,0)),"")</f>
        <v/>
      </c>
      <c r="G2321" s="69" t="str">
        <f aca="false">IFERROR(INDEX(分录收入!$I:$I,MATCH($L2321,分录收入!$L:$L,0)),"")</f>
        <v/>
      </c>
      <c r="H2321" s="23"/>
      <c r="I2321" s="70"/>
      <c r="L2321" s="71" t="n">
        <f aca="false">IF(助手收入!$R$156="",-1,助手收入!$R$156*100+(助手收入!$S$156-1)*6+6)</f>
        <v>-1</v>
      </c>
    </row>
    <row r="2322" customFormat="false" ht="23.25" hidden="false" customHeight="true" outlineLevel="0" collapsed="false">
      <c r="B2322" s="72" t="str">
        <f aca="false">IF(助手收入!$T$156=1,"合计：","")</f>
        <v/>
      </c>
      <c r="C2322" s="73" t="str">
        <f aca="false">IF(助手收入!$T$156=1,$F2322,"")</f>
        <v/>
      </c>
      <c r="D2322" s="74"/>
      <c r="E2322" s="74"/>
      <c r="F2322" s="75" t="str">
        <f aca="false">IF(助手收入!$T$156=1,INDEX(助手收入!$N$2:$N$66,助手收入!$R$156),"")</f>
        <v/>
      </c>
      <c r="G2322" s="76" t="str">
        <f aca="false">IF(助手收入!$T$156=1,INDEX(助手收入!$O$2:$O$66,助手收入!$R$156),"")</f>
        <v/>
      </c>
      <c r="H2322" s="74"/>
      <c r="I2322" s="77"/>
    </row>
    <row r="2323" customFormat="false" ht="6" hidden="false" customHeight="true" outlineLevel="0" collapsed="false"/>
    <row r="2324" customFormat="false" ht="13.5" hidden="false" customHeight="false" outlineLevel="0" collapsed="false">
      <c r="B2324" s="78" t="str">
        <f aca="false">IF(助手收入!$R$156&lt;&gt;"","会计主管：","")</f>
        <v/>
      </c>
      <c r="D2324" s="78" t="str">
        <f aca="false">IF(助手收入!$R$156&lt;&gt;"","会计：","")</f>
        <v/>
      </c>
      <c r="E2324" s="78" t="str">
        <f aca="false">IF(助手收入!$R$156&lt;&gt;"","出纳：","")</f>
        <v/>
      </c>
      <c r="F2324" s="78" t="str">
        <f aca="false">IF(助手收入!$R$156&lt;&gt;"","复核：","")</f>
        <v/>
      </c>
      <c r="G2324" s="78" t="str">
        <f aca="false">IF(助手收入!$R$156&lt;&gt;"","制单：","")</f>
        <v/>
      </c>
    </row>
    <row r="2325" customFormat="false" ht="3" hidden="false" customHeight="true" outlineLevel="0" collapsed="false"/>
    <row r="2326" customFormat="false" ht="19.5" hidden="false" customHeight="true" outlineLevel="0" collapsed="false">
      <c r="B2326" s="53" t="str">
        <f aca="false">IF(助手收入!$R$157&lt;&gt;"","记  账  凭  证","")</f>
        <v/>
      </c>
      <c r="C2326" s="53"/>
      <c r="D2326" s="53"/>
      <c r="E2326" s="53"/>
      <c r="F2326" s="53"/>
      <c r="G2326" s="53"/>
      <c r="H2326" s="53"/>
      <c r="I2326" s="53"/>
    </row>
    <row r="2327" customFormat="false" ht="3" hidden="false" customHeight="true" outlineLevel="0" collapsed="false"/>
    <row r="2328" customFormat="false" ht="15" hidden="false" customHeight="true" outlineLevel="0" collapsed="false">
      <c r="C2328" s="56" t="str">
        <f aca="false">IF(助手收入!$R$157&lt;&gt;"",INDEX(助手收入!$B$2:$B$66,助手收入!$R$157),"")</f>
        <v/>
      </c>
      <c r="D2328" s="57" t="str">
        <f aca="false">IF(助手收入!$R$157&lt;&gt;"",参数!$B$2,"")</f>
        <v/>
      </c>
      <c r="E2328" s="57"/>
      <c r="F2328" s="58" t="str">
        <f aca="false">IF(助手收入!$R$157&lt;&gt;"",INDEX(助手收入!$C$2:$C$66,助手收入!$R$157)&amp;"  字第 "&amp;IF(参数!$B$9="是",INDEX(助手收入!$P$2:$P$66,助手收入!$R$157),"　　　　")&amp;" 号"&amp;IF(INDEX(助手收入!$L$2:$L$66,助手收入!$R$157)&gt;1,"  (共"&amp;INDEX(助手收入!$L$2:$L$66,助手收入!$R$157)&amp;"页 第"&amp;助手收入!$S$157&amp;"页)",""),"")</f>
        <v/>
      </c>
      <c r="G2328" s="58"/>
      <c r="H2328" s="58"/>
      <c r="I2328" s="58"/>
      <c r="M2328" s="79" t="str">
        <f aca="false">IF(助手收入!$R$157="","",助手收入!$Q$157)</f>
        <v/>
      </c>
      <c r="N2328" s="80" t="str">
        <f aca="false">IF(助手收入!$R$157="","",INDEX(助手收入!$P$2:$P$66,助手收入!$R$157))</f>
        <v/>
      </c>
      <c r="O2328" s="55" t="str">
        <f aca="false">IF(助手收入!$R$157="","",INDEX(助手收入!$C$2:$C$66,助手收入!$R$157)&amp;"  字第 "&amp;INDEX(助手收入!$P$2:$P$66,助手收入!$R$157)&amp;" 号"&amp;IF(INDEX(助手收入!$L$2:$L$66,助手收入!$R$157)&gt;1,"  (共"&amp;INDEX(助手收入!$L$2:$L$66,助手收入!$R$157)&amp;"页 第"&amp;助手收入!$S$157&amp;"页)",""))</f>
        <v/>
      </c>
    </row>
    <row r="2329" customFormat="false" ht="12.75" hidden="false" customHeight="true" outlineLevel="0" collapsed="false">
      <c r="B2329" s="61" t="str">
        <f aca="false">IF(助手收入!$R$157&lt;&gt;"","摘　　要","")</f>
        <v/>
      </c>
      <c r="C2329" s="61"/>
      <c r="D2329" s="62" t="str">
        <f aca="false">IF(助手收入!$R$157&lt;&gt;"","科　　　　目","")</f>
        <v/>
      </c>
      <c r="E2329" s="62"/>
      <c r="F2329" s="61" t="str">
        <f aca="false">IF(助手收入!$R$157&lt;&gt;"","借 方 金 额","")</f>
        <v/>
      </c>
      <c r="G2329" s="62" t="str">
        <f aca="false">IF(助手收入!$R$157&lt;&gt;"","贷 方 金 额","")</f>
        <v/>
      </c>
      <c r="H2329" s="63" t="str">
        <f aca="false">IF(助手收入!$R$157&lt;&gt;"","√","")</f>
        <v/>
      </c>
      <c r="I2329" s="64" t="str">
        <f aca="false">IF(助手收入!$R$157&lt;&gt;"","附单据  张","")</f>
        <v/>
      </c>
    </row>
    <row r="2330" customFormat="false" ht="12.75" hidden="false" customHeight="true" outlineLevel="0" collapsed="false">
      <c r="B2330" s="61"/>
      <c r="C2330" s="61"/>
      <c r="D2330" s="23" t="str">
        <f aca="false">IF(助手收入!$R$157&lt;&gt;"","总 账 科 目","")</f>
        <v/>
      </c>
      <c r="E2330" s="23" t="str">
        <f aca="false">IF(助手收入!$R$157&lt;&gt;"","明 细 科 目","")</f>
        <v/>
      </c>
      <c r="F2330" s="65"/>
      <c r="G2330" s="66"/>
      <c r="H2330" s="63"/>
      <c r="I2330" s="64"/>
    </row>
    <row r="2331" customFormat="false" ht="23.25" hidden="false" customHeight="true" outlineLevel="0" collapsed="false">
      <c r="B2331" s="67" t="str">
        <f aca="false">IFERROR(INDEX(分录收入!$M:$M,MATCH($L2331,分录收入!$L:$L,0)),"")</f>
        <v/>
      </c>
      <c r="C2331" s="67"/>
      <c r="D2331" s="23" t="str">
        <f aca="false">IFERROR(INDEX(分录收入!$E:$E,MATCH($L2331,分录收入!$L:$L,0)),"")</f>
        <v/>
      </c>
      <c r="E2331" s="23" t="str">
        <f aca="false">IFERROR(INDEX(分录收入!$F:$F,MATCH($L2331,分录收入!$L:$L,0)),"")</f>
        <v/>
      </c>
      <c r="F2331" s="68" t="str">
        <f aca="false">IFERROR(INDEX(分录收入!$H:$H,MATCH($L2331,分录收入!$L:$L,0)),"")</f>
        <v/>
      </c>
      <c r="G2331" s="69" t="str">
        <f aca="false">IFERROR(INDEX(分录收入!$I:$I,MATCH($L2331,分录收入!$L:$L,0)),"")</f>
        <v/>
      </c>
      <c r="H2331" s="23"/>
      <c r="I2331" s="70"/>
      <c r="L2331" s="71" t="n">
        <f aca="false">IF(助手收入!$R$157="",-1,助手收入!$R$157*100+(助手收入!$S$157-1)*6+1)</f>
        <v>-1</v>
      </c>
    </row>
    <row r="2332" customFormat="false" ht="23.25" hidden="false" customHeight="true" outlineLevel="0" collapsed="false">
      <c r="B2332" s="67" t="str">
        <f aca="false">""</f>
        <v/>
      </c>
      <c r="C2332" s="67"/>
      <c r="D2332" s="23" t="str">
        <f aca="false">IFERROR(INDEX(分录收入!$E:$E,MATCH($L2332,分录收入!$L:$L,0)),"")</f>
        <v/>
      </c>
      <c r="E2332" s="23" t="str">
        <f aca="false">IFERROR(INDEX(分录收入!$F:$F,MATCH($L2332,分录收入!$L:$L,0)),"")</f>
        <v/>
      </c>
      <c r="F2332" s="68" t="str">
        <f aca="false">IFERROR(INDEX(分录收入!$H:$H,MATCH($L2332,分录收入!$L:$L,0)),"")</f>
        <v/>
      </c>
      <c r="G2332" s="69" t="str">
        <f aca="false">IFERROR(INDEX(分录收入!$I:$I,MATCH($L2332,分录收入!$L:$L,0)),"")</f>
        <v/>
      </c>
      <c r="H2332" s="23"/>
      <c r="I2332" s="70"/>
      <c r="L2332" s="71" t="n">
        <f aca="false">IF(助手收入!$R$157="",-1,助手收入!$R$157*100+(助手收入!$S$157-1)*6+2)</f>
        <v>-1</v>
      </c>
    </row>
    <row r="2333" customFormat="false" ht="23.25" hidden="false" customHeight="true" outlineLevel="0" collapsed="false">
      <c r="B2333" s="67" t="str">
        <f aca="false">""</f>
        <v/>
      </c>
      <c r="C2333" s="67"/>
      <c r="D2333" s="23" t="str">
        <f aca="false">IFERROR(INDEX(分录收入!$E:$E,MATCH($L2333,分录收入!$L:$L,0)),"")</f>
        <v/>
      </c>
      <c r="E2333" s="23" t="str">
        <f aca="false">IFERROR(INDEX(分录收入!$F:$F,MATCH($L2333,分录收入!$L:$L,0)),"")</f>
        <v/>
      </c>
      <c r="F2333" s="68" t="str">
        <f aca="false">IFERROR(INDEX(分录收入!$H:$H,MATCH($L2333,分录收入!$L:$L,0)),"")</f>
        <v/>
      </c>
      <c r="G2333" s="69" t="str">
        <f aca="false">IFERROR(INDEX(分录收入!$I:$I,MATCH($L2333,分录收入!$L:$L,0)),"")</f>
        <v/>
      </c>
      <c r="H2333" s="23"/>
      <c r="I2333" s="70"/>
      <c r="L2333" s="71" t="n">
        <f aca="false">IF(助手收入!$R$157="",-1,助手收入!$R$157*100+(助手收入!$S$157-1)*6+3)</f>
        <v>-1</v>
      </c>
    </row>
    <row r="2334" customFormat="false" ht="23.25" hidden="false" customHeight="true" outlineLevel="0" collapsed="false">
      <c r="B2334" s="67" t="str">
        <f aca="false">""</f>
        <v/>
      </c>
      <c r="C2334" s="67"/>
      <c r="D2334" s="23" t="str">
        <f aca="false">IFERROR(INDEX(分录收入!$E:$E,MATCH($L2334,分录收入!$L:$L,0)),"")</f>
        <v/>
      </c>
      <c r="E2334" s="23" t="str">
        <f aca="false">IFERROR(INDEX(分录收入!$F:$F,MATCH($L2334,分录收入!$L:$L,0)),"")</f>
        <v/>
      </c>
      <c r="F2334" s="68" t="str">
        <f aca="false">IFERROR(INDEX(分录收入!$H:$H,MATCH($L2334,分录收入!$L:$L,0)),"")</f>
        <v/>
      </c>
      <c r="G2334" s="69" t="str">
        <f aca="false">IFERROR(INDEX(分录收入!$I:$I,MATCH($L2334,分录收入!$L:$L,0)),"")</f>
        <v/>
      </c>
      <c r="H2334" s="23"/>
      <c r="I2334" s="70"/>
      <c r="L2334" s="71" t="n">
        <f aca="false">IF(助手收入!$R$157="",-1,助手收入!$R$157*100+(助手收入!$S$157-1)*6+4)</f>
        <v>-1</v>
      </c>
    </row>
    <row r="2335" customFormat="false" ht="23.25" hidden="false" customHeight="true" outlineLevel="0" collapsed="false">
      <c r="B2335" s="67" t="str">
        <f aca="false">""</f>
        <v/>
      </c>
      <c r="C2335" s="67"/>
      <c r="D2335" s="23" t="str">
        <f aca="false">IFERROR(INDEX(分录收入!$E:$E,MATCH($L2335,分录收入!$L:$L,0)),"")</f>
        <v/>
      </c>
      <c r="E2335" s="23" t="str">
        <f aca="false">IFERROR(INDEX(分录收入!$F:$F,MATCH($L2335,分录收入!$L:$L,0)),"")</f>
        <v/>
      </c>
      <c r="F2335" s="68" t="str">
        <f aca="false">IFERROR(INDEX(分录收入!$H:$H,MATCH($L2335,分录收入!$L:$L,0)),"")</f>
        <v/>
      </c>
      <c r="G2335" s="69" t="str">
        <f aca="false">IFERROR(INDEX(分录收入!$I:$I,MATCH($L2335,分录收入!$L:$L,0)),"")</f>
        <v/>
      </c>
      <c r="H2335" s="23"/>
      <c r="I2335" s="70"/>
      <c r="L2335" s="71" t="n">
        <f aca="false">IF(助手收入!$R$157="",-1,助手收入!$R$157*100+(助手收入!$S$157-1)*6+5)</f>
        <v>-1</v>
      </c>
    </row>
    <row r="2336" customFormat="false" ht="23.25" hidden="false" customHeight="true" outlineLevel="0" collapsed="false">
      <c r="B2336" s="67" t="str">
        <f aca="false">""</f>
        <v/>
      </c>
      <c r="C2336" s="67"/>
      <c r="D2336" s="23" t="str">
        <f aca="false">IFERROR(INDEX(分录收入!$E:$E,MATCH($L2336,分录收入!$L:$L,0)),"")</f>
        <v/>
      </c>
      <c r="E2336" s="23" t="str">
        <f aca="false">IFERROR(INDEX(分录收入!$F:$F,MATCH($L2336,分录收入!$L:$L,0)),"")</f>
        <v/>
      </c>
      <c r="F2336" s="68" t="str">
        <f aca="false">IFERROR(INDEX(分录收入!$H:$H,MATCH($L2336,分录收入!$L:$L,0)),"")</f>
        <v/>
      </c>
      <c r="G2336" s="69" t="str">
        <f aca="false">IFERROR(INDEX(分录收入!$I:$I,MATCH($L2336,分录收入!$L:$L,0)),"")</f>
        <v/>
      </c>
      <c r="H2336" s="23"/>
      <c r="I2336" s="70"/>
      <c r="L2336" s="71" t="n">
        <f aca="false">IF(助手收入!$R$157="",-1,助手收入!$R$157*100+(助手收入!$S$157-1)*6+6)</f>
        <v>-1</v>
      </c>
    </row>
    <row r="2337" customFormat="false" ht="23.25" hidden="false" customHeight="true" outlineLevel="0" collapsed="false">
      <c r="B2337" s="72" t="str">
        <f aca="false">IF(助手收入!$T$157=1,"合计：","")</f>
        <v/>
      </c>
      <c r="C2337" s="73" t="str">
        <f aca="false">IF(助手收入!$T$157=1,$F2337,"")</f>
        <v/>
      </c>
      <c r="D2337" s="74"/>
      <c r="E2337" s="74"/>
      <c r="F2337" s="75" t="str">
        <f aca="false">IF(助手收入!$T$157=1,INDEX(助手收入!$N$2:$N$66,助手收入!$R$157),"")</f>
        <v/>
      </c>
      <c r="G2337" s="76" t="str">
        <f aca="false">IF(助手收入!$T$157=1,INDEX(助手收入!$O$2:$O$66,助手收入!$R$157),"")</f>
        <v/>
      </c>
      <c r="H2337" s="74"/>
      <c r="I2337" s="77"/>
    </row>
    <row r="2338" customFormat="false" ht="6" hidden="false" customHeight="true" outlineLevel="0" collapsed="false"/>
    <row r="2339" customFormat="false" ht="13.5" hidden="false" customHeight="false" outlineLevel="0" collapsed="false">
      <c r="B2339" s="78" t="str">
        <f aca="false">IF(助手收入!$R$157&lt;&gt;"","会计主管：","")</f>
        <v/>
      </c>
      <c r="D2339" s="78" t="str">
        <f aca="false">IF(助手收入!$R$157&lt;&gt;"","会计：","")</f>
        <v/>
      </c>
      <c r="E2339" s="78" t="str">
        <f aca="false">IF(助手收入!$R$157&lt;&gt;"","出纳：","")</f>
        <v/>
      </c>
      <c r="F2339" s="78" t="str">
        <f aca="false">IF(助手收入!$R$157&lt;&gt;"","复核：","")</f>
        <v/>
      </c>
      <c r="G2339" s="78" t="str">
        <f aca="false">IF(助手收入!$R$157&lt;&gt;"","制单：","")</f>
        <v/>
      </c>
    </row>
    <row r="2340" customFormat="false" ht="3" hidden="false" customHeight="true" outlineLevel="0" collapsed="false"/>
    <row r="2341" customFormat="false" ht="19.5" hidden="false" customHeight="true" outlineLevel="0" collapsed="false">
      <c r="B2341" s="53" t="str">
        <f aca="false">IF(助手收入!$R$158&lt;&gt;"","记  账  凭  证","")</f>
        <v/>
      </c>
      <c r="C2341" s="53"/>
      <c r="D2341" s="53"/>
      <c r="E2341" s="53"/>
      <c r="F2341" s="53"/>
      <c r="G2341" s="53"/>
      <c r="H2341" s="53"/>
      <c r="I2341" s="53"/>
    </row>
    <row r="2342" customFormat="false" ht="3" hidden="false" customHeight="true" outlineLevel="0" collapsed="false"/>
    <row r="2343" customFormat="false" ht="15" hidden="false" customHeight="true" outlineLevel="0" collapsed="false">
      <c r="C2343" s="56" t="str">
        <f aca="false">IF(助手收入!$R$158&lt;&gt;"",INDEX(助手收入!$B$2:$B$66,助手收入!$R$158),"")</f>
        <v/>
      </c>
      <c r="D2343" s="57" t="str">
        <f aca="false">IF(助手收入!$R$158&lt;&gt;"",参数!$B$2,"")</f>
        <v/>
      </c>
      <c r="E2343" s="57"/>
      <c r="F2343" s="58" t="str">
        <f aca="false">IF(助手收入!$R$158&lt;&gt;"",INDEX(助手收入!$C$2:$C$66,助手收入!$R$158)&amp;"  字第 "&amp;IF(参数!$B$9="是",INDEX(助手收入!$P$2:$P$66,助手收入!$R$158),"　　　　")&amp;" 号"&amp;IF(INDEX(助手收入!$L$2:$L$66,助手收入!$R$158)&gt;1,"  (共"&amp;INDEX(助手收入!$L$2:$L$66,助手收入!$R$158)&amp;"页 第"&amp;助手收入!$S$158&amp;"页)",""),"")</f>
        <v/>
      </c>
      <c r="G2343" s="58"/>
      <c r="H2343" s="58"/>
      <c r="I2343" s="58"/>
      <c r="M2343" s="79" t="str">
        <f aca="false">IF(助手收入!$R$158="","",助手收入!$Q$158)</f>
        <v/>
      </c>
      <c r="N2343" s="80" t="str">
        <f aca="false">IF(助手收入!$R$158="","",INDEX(助手收入!$P$2:$P$66,助手收入!$R$158))</f>
        <v/>
      </c>
      <c r="O2343" s="55" t="str">
        <f aca="false">IF(助手收入!$R$158="","",INDEX(助手收入!$C$2:$C$66,助手收入!$R$158)&amp;"  字第 "&amp;INDEX(助手收入!$P$2:$P$66,助手收入!$R$158)&amp;" 号"&amp;IF(INDEX(助手收入!$L$2:$L$66,助手收入!$R$158)&gt;1,"  (共"&amp;INDEX(助手收入!$L$2:$L$66,助手收入!$R$158)&amp;"页 第"&amp;助手收入!$S$158&amp;"页)",""))</f>
        <v/>
      </c>
    </row>
    <row r="2344" customFormat="false" ht="12.75" hidden="false" customHeight="true" outlineLevel="0" collapsed="false">
      <c r="B2344" s="61" t="str">
        <f aca="false">IF(助手收入!$R$158&lt;&gt;"","摘　　要","")</f>
        <v/>
      </c>
      <c r="C2344" s="61"/>
      <c r="D2344" s="62" t="str">
        <f aca="false">IF(助手收入!$R$158&lt;&gt;"","科　　　　目","")</f>
        <v/>
      </c>
      <c r="E2344" s="62"/>
      <c r="F2344" s="61" t="str">
        <f aca="false">IF(助手收入!$R$158&lt;&gt;"","借 方 金 额","")</f>
        <v/>
      </c>
      <c r="G2344" s="62" t="str">
        <f aca="false">IF(助手收入!$R$158&lt;&gt;"","贷 方 金 额","")</f>
        <v/>
      </c>
      <c r="H2344" s="63" t="str">
        <f aca="false">IF(助手收入!$R$158&lt;&gt;"","√","")</f>
        <v/>
      </c>
      <c r="I2344" s="64" t="str">
        <f aca="false">IF(助手收入!$R$158&lt;&gt;"","附单据  张","")</f>
        <v/>
      </c>
    </row>
    <row r="2345" customFormat="false" ht="12.75" hidden="false" customHeight="true" outlineLevel="0" collapsed="false">
      <c r="B2345" s="61"/>
      <c r="C2345" s="61"/>
      <c r="D2345" s="23" t="str">
        <f aca="false">IF(助手收入!$R$158&lt;&gt;"","总 账 科 目","")</f>
        <v/>
      </c>
      <c r="E2345" s="23" t="str">
        <f aca="false">IF(助手收入!$R$158&lt;&gt;"","明 细 科 目","")</f>
        <v/>
      </c>
      <c r="F2345" s="65"/>
      <c r="G2345" s="66"/>
      <c r="H2345" s="63"/>
      <c r="I2345" s="64"/>
    </row>
    <row r="2346" customFormat="false" ht="23.25" hidden="false" customHeight="true" outlineLevel="0" collapsed="false">
      <c r="B2346" s="67" t="str">
        <f aca="false">IFERROR(INDEX(分录收入!$M:$M,MATCH($L2346,分录收入!$L:$L,0)),"")</f>
        <v/>
      </c>
      <c r="C2346" s="67"/>
      <c r="D2346" s="23" t="str">
        <f aca="false">IFERROR(INDEX(分录收入!$E:$E,MATCH($L2346,分录收入!$L:$L,0)),"")</f>
        <v/>
      </c>
      <c r="E2346" s="23" t="str">
        <f aca="false">IFERROR(INDEX(分录收入!$F:$F,MATCH($L2346,分录收入!$L:$L,0)),"")</f>
        <v/>
      </c>
      <c r="F2346" s="68" t="str">
        <f aca="false">IFERROR(INDEX(分录收入!$H:$H,MATCH($L2346,分录收入!$L:$L,0)),"")</f>
        <v/>
      </c>
      <c r="G2346" s="69" t="str">
        <f aca="false">IFERROR(INDEX(分录收入!$I:$I,MATCH($L2346,分录收入!$L:$L,0)),"")</f>
        <v/>
      </c>
      <c r="H2346" s="23"/>
      <c r="I2346" s="70"/>
      <c r="L2346" s="71" t="n">
        <f aca="false">IF(助手收入!$R$158="",-1,助手收入!$R$158*100+(助手收入!$S$158-1)*6+1)</f>
        <v>-1</v>
      </c>
    </row>
    <row r="2347" customFormat="false" ht="23.25" hidden="false" customHeight="true" outlineLevel="0" collapsed="false">
      <c r="B2347" s="67" t="str">
        <f aca="false">""</f>
        <v/>
      </c>
      <c r="C2347" s="67"/>
      <c r="D2347" s="23" t="str">
        <f aca="false">IFERROR(INDEX(分录收入!$E:$E,MATCH($L2347,分录收入!$L:$L,0)),"")</f>
        <v/>
      </c>
      <c r="E2347" s="23" t="str">
        <f aca="false">IFERROR(INDEX(分录收入!$F:$F,MATCH($L2347,分录收入!$L:$L,0)),"")</f>
        <v/>
      </c>
      <c r="F2347" s="68" t="str">
        <f aca="false">IFERROR(INDEX(分录收入!$H:$H,MATCH($L2347,分录收入!$L:$L,0)),"")</f>
        <v/>
      </c>
      <c r="G2347" s="69" t="str">
        <f aca="false">IFERROR(INDEX(分录收入!$I:$I,MATCH($L2347,分录收入!$L:$L,0)),"")</f>
        <v/>
      </c>
      <c r="H2347" s="23"/>
      <c r="I2347" s="70"/>
      <c r="L2347" s="71" t="n">
        <f aca="false">IF(助手收入!$R$158="",-1,助手收入!$R$158*100+(助手收入!$S$158-1)*6+2)</f>
        <v>-1</v>
      </c>
    </row>
    <row r="2348" customFormat="false" ht="23.25" hidden="false" customHeight="true" outlineLevel="0" collapsed="false">
      <c r="B2348" s="67" t="str">
        <f aca="false">""</f>
        <v/>
      </c>
      <c r="C2348" s="67"/>
      <c r="D2348" s="23" t="str">
        <f aca="false">IFERROR(INDEX(分录收入!$E:$E,MATCH($L2348,分录收入!$L:$L,0)),"")</f>
        <v/>
      </c>
      <c r="E2348" s="23" t="str">
        <f aca="false">IFERROR(INDEX(分录收入!$F:$F,MATCH($L2348,分录收入!$L:$L,0)),"")</f>
        <v/>
      </c>
      <c r="F2348" s="68" t="str">
        <f aca="false">IFERROR(INDEX(分录收入!$H:$H,MATCH($L2348,分录收入!$L:$L,0)),"")</f>
        <v/>
      </c>
      <c r="G2348" s="69" t="str">
        <f aca="false">IFERROR(INDEX(分录收入!$I:$I,MATCH($L2348,分录收入!$L:$L,0)),"")</f>
        <v/>
      </c>
      <c r="H2348" s="23"/>
      <c r="I2348" s="70"/>
      <c r="L2348" s="71" t="n">
        <f aca="false">IF(助手收入!$R$158="",-1,助手收入!$R$158*100+(助手收入!$S$158-1)*6+3)</f>
        <v>-1</v>
      </c>
    </row>
    <row r="2349" customFormat="false" ht="23.25" hidden="false" customHeight="true" outlineLevel="0" collapsed="false">
      <c r="B2349" s="67" t="str">
        <f aca="false">""</f>
        <v/>
      </c>
      <c r="C2349" s="67"/>
      <c r="D2349" s="23" t="str">
        <f aca="false">IFERROR(INDEX(分录收入!$E:$E,MATCH($L2349,分录收入!$L:$L,0)),"")</f>
        <v/>
      </c>
      <c r="E2349" s="23" t="str">
        <f aca="false">IFERROR(INDEX(分录收入!$F:$F,MATCH($L2349,分录收入!$L:$L,0)),"")</f>
        <v/>
      </c>
      <c r="F2349" s="68" t="str">
        <f aca="false">IFERROR(INDEX(分录收入!$H:$H,MATCH($L2349,分录收入!$L:$L,0)),"")</f>
        <v/>
      </c>
      <c r="G2349" s="69" t="str">
        <f aca="false">IFERROR(INDEX(分录收入!$I:$I,MATCH($L2349,分录收入!$L:$L,0)),"")</f>
        <v/>
      </c>
      <c r="H2349" s="23"/>
      <c r="I2349" s="70"/>
      <c r="L2349" s="71" t="n">
        <f aca="false">IF(助手收入!$R$158="",-1,助手收入!$R$158*100+(助手收入!$S$158-1)*6+4)</f>
        <v>-1</v>
      </c>
    </row>
    <row r="2350" customFormat="false" ht="23.25" hidden="false" customHeight="true" outlineLevel="0" collapsed="false">
      <c r="B2350" s="67" t="str">
        <f aca="false">""</f>
        <v/>
      </c>
      <c r="C2350" s="67"/>
      <c r="D2350" s="23" t="str">
        <f aca="false">IFERROR(INDEX(分录收入!$E:$E,MATCH($L2350,分录收入!$L:$L,0)),"")</f>
        <v/>
      </c>
      <c r="E2350" s="23" t="str">
        <f aca="false">IFERROR(INDEX(分录收入!$F:$F,MATCH($L2350,分录收入!$L:$L,0)),"")</f>
        <v/>
      </c>
      <c r="F2350" s="68" t="str">
        <f aca="false">IFERROR(INDEX(分录收入!$H:$H,MATCH($L2350,分录收入!$L:$L,0)),"")</f>
        <v/>
      </c>
      <c r="G2350" s="69" t="str">
        <f aca="false">IFERROR(INDEX(分录收入!$I:$I,MATCH($L2350,分录收入!$L:$L,0)),"")</f>
        <v/>
      </c>
      <c r="H2350" s="23"/>
      <c r="I2350" s="70"/>
      <c r="L2350" s="71" t="n">
        <f aca="false">IF(助手收入!$R$158="",-1,助手收入!$R$158*100+(助手收入!$S$158-1)*6+5)</f>
        <v>-1</v>
      </c>
    </row>
    <row r="2351" customFormat="false" ht="23.25" hidden="false" customHeight="true" outlineLevel="0" collapsed="false">
      <c r="B2351" s="67" t="str">
        <f aca="false">""</f>
        <v/>
      </c>
      <c r="C2351" s="67"/>
      <c r="D2351" s="23" t="str">
        <f aca="false">IFERROR(INDEX(分录收入!$E:$E,MATCH($L2351,分录收入!$L:$L,0)),"")</f>
        <v/>
      </c>
      <c r="E2351" s="23" t="str">
        <f aca="false">IFERROR(INDEX(分录收入!$F:$F,MATCH($L2351,分录收入!$L:$L,0)),"")</f>
        <v/>
      </c>
      <c r="F2351" s="68" t="str">
        <f aca="false">IFERROR(INDEX(分录收入!$H:$H,MATCH($L2351,分录收入!$L:$L,0)),"")</f>
        <v/>
      </c>
      <c r="G2351" s="69" t="str">
        <f aca="false">IFERROR(INDEX(分录收入!$I:$I,MATCH($L2351,分录收入!$L:$L,0)),"")</f>
        <v/>
      </c>
      <c r="H2351" s="23"/>
      <c r="I2351" s="70"/>
      <c r="L2351" s="71" t="n">
        <f aca="false">IF(助手收入!$R$158="",-1,助手收入!$R$158*100+(助手收入!$S$158-1)*6+6)</f>
        <v>-1</v>
      </c>
    </row>
    <row r="2352" customFormat="false" ht="23.25" hidden="false" customHeight="true" outlineLevel="0" collapsed="false">
      <c r="B2352" s="72" t="str">
        <f aca="false">IF(助手收入!$T$158=1,"合计：","")</f>
        <v/>
      </c>
      <c r="C2352" s="73" t="str">
        <f aca="false">IF(助手收入!$T$158=1,$F2352,"")</f>
        <v/>
      </c>
      <c r="D2352" s="74"/>
      <c r="E2352" s="74"/>
      <c r="F2352" s="75" t="str">
        <f aca="false">IF(助手收入!$T$158=1,INDEX(助手收入!$N$2:$N$66,助手收入!$R$158),"")</f>
        <v/>
      </c>
      <c r="G2352" s="76" t="str">
        <f aca="false">IF(助手收入!$T$158=1,INDEX(助手收入!$O$2:$O$66,助手收入!$R$158),"")</f>
        <v/>
      </c>
      <c r="H2352" s="74"/>
      <c r="I2352" s="77"/>
    </row>
    <row r="2353" customFormat="false" ht="6" hidden="false" customHeight="true" outlineLevel="0" collapsed="false"/>
    <row r="2354" customFormat="false" ht="13.5" hidden="false" customHeight="false" outlineLevel="0" collapsed="false">
      <c r="B2354" s="78" t="str">
        <f aca="false">IF(助手收入!$R$158&lt;&gt;"","会计主管：","")</f>
        <v/>
      </c>
      <c r="D2354" s="78" t="str">
        <f aca="false">IF(助手收入!$R$158&lt;&gt;"","会计：","")</f>
        <v/>
      </c>
      <c r="E2354" s="78" t="str">
        <f aca="false">IF(助手收入!$R$158&lt;&gt;"","出纳：","")</f>
        <v/>
      </c>
      <c r="F2354" s="78" t="str">
        <f aca="false">IF(助手收入!$R$158&lt;&gt;"","复核：","")</f>
        <v/>
      </c>
      <c r="G2354" s="78" t="str">
        <f aca="false">IF(助手收入!$R$158&lt;&gt;"","制单：","")</f>
        <v/>
      </c>
    </row>
    <row r="2355" customFormat="false" ht="3" hidden="false" customHeight="true" outlineLevel="0" collapsed="false"/>
    <row r="2356" customFormat="false" ht="19.5" hidden="false" customHeight="true" outlineLevel="0" collapsed="false">
      <c r="B2356" s="53" t="str">
        <f aca="false">IF(助手收入!$R$159&lt;&gt;"","记  账  凭  证","")</f>
        <v/>
      </c>
      <c r="C2356" s="53"/>
      <c r="D2356" s="53"/>
      <c r="E2356" s="53"/>
      <c r="F2356" s="53"/>
      <c r="G2356" s="53"/>
      <c r="H2356" s="53"/>
      <c r="I2356" s="53"/>
    </row>
    <row r="2357" customFormat="false" ht="3" hidden="false" customHeight="true" outlineLevel="0" collapsed="false"/>
    <row r="2358" customFormat="false" ht="15" hidden="false" customHeight="true" outlineLevel="0" collapsed="false">
      <c r="C2358" s="56" t="str">
        <f aca="false">IF(助手收入!$R$159&lt;&gt;"",INDEX(助手收入!$B$2:$B$66,助手收入!$R$159),"")</f>
        <v/>
      </c>
      <c r="D2358" s="57" t="str">
        <f aca="false">IF(助手收入!$R$159&lt;&gt;"",参数!$B$2,"")</f>
        <v/>
      </c>
      <c r="E2358" s="57"/>
      <c r="F2358" s="58" t="str">
        <f aca="false">IF(助手收入!$R$159&lt;&gt;"",INDEX(助手收入!$C$2:$C$66,助手收入!$R$159)&amp;"  字第 "&amp;IF(参数!$B$9="是",INDEX(助手收入!$P$2:$P$66,助手收入!$R$159),"　　　　")&amp;" 号"&amp;IF(INDEX(助手收入!$L$2:$L$66,助手收入!$R$159)&gt;1,"  (共"&amp;INDEX(助手收入!$L$2:$L$66,助手收入!$R$159)&amp;"页 第"&amp;助手收入!$S$159&amp;"页)",""),"")</f>
        <v/>
      </c>
      <c r="G2358" s="58"/>
      <c r="H2358" s="58"/>
      <c r="I2358" s="58"/>
      <c r="M2358" s="79" t="str">
        <f aca="false">IF(助手收入!$R$159="","",助手收入!$Q$159)</f>
        <v/>
      </c>
      <c r="N2358" s="80" t="str">
        <f aca="false">IF(助手收入!$R$159="","",INDEX(助手收入!$P$2:$P$66,助手收入!$R$159))</f>
        <v/>
      </c>
      <c r="O2358" s="55" t="str">
        <f aca="false">IF(助手收入!$R$159="","",INDEX(助手收入!$C$2:$C$66,助手收入!$R$159)&amp;"  字第 "&amp;INDEX(助手收入!$P$2:$P$66,助手收入!$R$159)&amp;" 号"&amp;IF(INDEX(助手收入!$L$2:$L$66,助手收入!$R$159)&gt;1,"  (共"&amp;INDEX(助手收入!$L$2:$L$66,助手收入!$R$159)&amp;"页 第"&amp;助手收入!$S$159&amp;"页)",""))</f>
        <v/>
      </c>
    </row>
    <row r="2359" customFormat="false" ht="12.75" hidden="false" customHeight="true" outlineLevel="0" collapsed="false">
      <c r="B2359" s="61" t="str">
        <f aca="false">IF(助手收入!$R$159&lt;&gt;"","摘　　要","")</f>
        <v/>
      </c>
      <c r="C2359" s="61"/>
      <c r="D2359" s="62" t="str">
        <f aca="false">IF(助手收入!$R$159&lt;&gt;"","科　　　　目","")</f>
        <v/>
      </c>
      <c r="E2359" s="62"/>
      <c r="F2359" s="61" t="str">
        <f aca="false">IF(助手收入!$R$159&lt;&gt;"","借 方 金 额","")</f>
        <v/>
      </c>
      <c r="G2359" s="62" t="str">
        <f aca="false">IF(助手收入!$R$159&lt;&gt;"","贷 方 金 额","")</f>
        <v/>
      </c>
      <c r="H2359" s="63" t="str">
        <f aca="false">IF(助手收入!$R$159&lt;&gt;"","√","")</f>
        <v/>
      </c>
      <c r="I2359" s="64" t="str">
        <f aca="false">IF(助手收入!$R$159&lt;&gt;"","附单据  张","")</f>
        <v/>
      </c>
    </row>
    <row r="2360" customFormat="false" ht="12.75" hidden="false" customHeight="true" outlineLevel="0" collapsed="false">
      <c r="B2360" s="61"/>
      <c r="C2360" s="61"/>
      <c r="D2360" s="23" t="str">
        <f aca="false">IF(助手收入!$R$159&lt;&gt;"","总 账 科 目","")</f>
        <v/>
      </c>
      <c r="E2360" s="23" t="str">
        <f aca="false">IF(助手收入!$R$159&lt;&gt;"","明 细 科 目","")</f>
        <v/>
      </c>
      <c r="F2360" s="65"/>
      <c r="G2360" s="66"/>
      <c r="H2360" s="63"/>
      <c r="I2360" s="64"/>
    </row>
    <row r="2361" customFormat="false" ht="23.25" hidden="false" customHeight="true" outlineLevel="0" collapsed="false">
      <c r="B2361" s="67" t="str">
        <f aca="false">IFERROR(INDEX(分录收入!$M:$M,MATCH($L2361,分录收入!$L:$L,0)),"")</f>
        <v/>
      </c>
      <c r="C2361" s="67"/>
      <c r="D2361" s="23" t="str">
        <f aca="false">IFERROR(INDEX(分录收入!$E:$E,MATCH($L2361,分录收入!$L:$L,0)),"")</f>
        <v/>
      </c>
      <c r="E2361" s="23" t="str">
        <f aca="false">IFERROR(INDEX(分录收入!$F:$F,MATCH($L2361,分录收入!$L:$L,0)),"")</f>
        <v/>
      </c>
      <c r="F2361" s="68" t="str">
        <f aca="false">IFERROR(INDEX(分录收入!$H:$H,MATCH($L2361,分录收入!$L:$L,0)),"")</f>
        <v/>
      </c>
      <c r="G2361" s="69" t="str">
        <f aca="false">IFERROR(INDEX(分录收入!$I:$I,MATCH($L2361,分录收入!$L:$L,0)),"")</f>
        <v/>
      </c>
      <c r="H2361" s="23"/>
      <c r="I2361" s="70"/>
      <c r="L2361" s="71" t="n">
        <f aca="false">IF(助手收入!$R$159="",-1,助手收入!$R$159*100+(助手收入!$S$159-1)*6+1)</f>
        <v>-1</v>
      </c>
    </row>
    <row r="2362" customFormat="false" ht="23.25" hidden="false" customHeight="true" outlineLevel="0" collapsed="false">
      <c r="B2362" s="67" t="str">
        <f aca="false">""</f>
        <v/>
      </c>
      <c r="C2362" s="67"/>
      <c r="D2362" s="23" t="str">
        <f aca="false">IFERROR(INDEX(分录收入!$E:$E,MATCH($L2362,分录收入!$L:$L,0)),"")</f>
        <v/>
      </c>
      <c r="E2362" s="23" t="str">
        <f aca="false">IFERROR(INDEX(分录收入!$F:$F,MATCH($L2362,分录收入!$L:$L,0)),"")</f>
        <v/>
      </c>
      <c r="F2362" s="68" t="str">
        <f aca="false">IFERROR(INDEX(分录收入!$H:$H,MATCH($L2362,分录收入!$L:$L,0)),"")</f>
        <v/>
      </c>
      <c r="G2362" s="69" t="str">
        <f aca="false">IFERROR(INDEX(分录收入!$I:$I,MATCH($L2362,分录收入!$L:$L,0)),"")</f>
        <v/>
      </c>
      <c r="H2362" s="23"/>
      <c r="I2362" s="70"/>
      <c r="L2362" s="71" t="n">
        <f aca="false">IF(助手收入!$R$159="",-1,助手收入!$R$159*100+(助手收入!$S$159-1)*6+2)</f>
        <v>-1</v>
      </c>
    </row>
    <row r="2363" customFormat="false" ht="23.25" hidden="false" customHeight="true" outlineLevel="0" collapsed="false">
      <c r="B2363" s="67" t="str">
        <f aca="false">""</f>
        <v/>
      </c>
      <c r="C2363" s="67"/>
      <c r="D2363" s="23" t="str">
        <f aca="false">IFERROR(INDEX(分录收入!$E:$E,MATCH($L2363,分录收入!$L:$L,0)),"")</f>
        <v/>
      </c>
      <c r="E2363" s="23" t="str">
        <f aca="false">IFERROR(INDEX(分录收入!$F:$F,MATCH($L2363,分录收入!$L:$L,0)),"")</f>
        <v/>
      </c>
      <c r="F2363" s="68" t="str">
        <f aca="false">IFERROR(INDEX(分录收入!$H:$H,MATCH($L2363,分录收入!$L:$L,0)),"")</f>
        <v/>
      </c>
      <c r="G2363" s="69" t="str">
        <f aca="false">IFERROR(INDEX(分录收入!$I:$I,MATCH($L2363,分录收入!$L:$L,0)),"")</f>
        <v/>
      </c>
      <c r="H2363" s="23"/>
      <c r="I2363" s="70"/>
      <c r="L2363" s="71" t="n">
        <f aca="false">IF(助手收入!$R$159="",-1,助手收入!$R$159*100+(助手收入!$S$159-1)*6+3)</f>
        <v>-1</v>
      </c>
    </row>
    <row r="2364" customFormat="false" ht="23.25" hidden="false" customHeight="true" outlineLevel="0" collapsed="false">
      <c r="B2364" s="67" t="str">
        <f aca="false">""</f>
        <v/>
      </c>
      <c r="C2364" s="67"/>
      <c r="D2364" s="23" t="str">
        <f aca="false">IFERROR(INDEX(分录收入!$E:$E,MATCH($L2364,分录收入!$L:$L,0)),"")</f>
        <v/>
      </c>
      <c r="E2364" s="23" t="str">
        <f aca="false">IFERROR(INDEX(分录收入!$F:$F,MATCH($L2364,分录收入!$L:$L,0)),"")</f>
        <v/>
      </c>
      <c r="F2364" s="68" t="str">
        <f aca="false">IFERROR(INDEX(分录收入!$H:$H,MATCH($L2364,分录收入!$L:$L,0)),"")</f>
        <v/>
      </c>
      <c r="G2364" s="69" t="str">
        <f aca="false">IFERROR(INDEX(分录收入!$I:$I,MATCH($L2364,分录收入!$L:$L,0)),"")</f>
        <v/>
      </c>
      <c r="H2364" s="23"/>
      <c r="I2364" s="70"/>
      <c r="L2364" s="71" t="n">
        <f aca="false">IF(助手收入!$R$159="",-1,助手收入!$R$159*100+(助手收入!$S$159-1)*6+4)</f>
        <v>-1</v>
      </c>
    </row>
    <row r="2365" customFormat="false" ht="23.25" hidden="false" customHeight="true" outlineLevel="0" collapsed="false">
      <c r="B2365" s="67" t="str">
        <f aca="false">""</f>
        <v/>
      </c>
      <c r="C2365" s="67"/>
      <c r="D2365" s="23" t="str">
        <f aca="false">IFERROR(INDEX(分录收入!$E:$E,MATCH($L2365,分录收入!$L:$L,0)),"")</f>
        <v/>
      </c>
      <c r="E2365" s="23" t="str">
        <f aca="false">IFERROR(INDEX(分录收入!$F:$F,MATCH($L2365,分录收入!$L:$L,0)),"")</f>
        <v/>
      </c>
      <c r="F2365" s="68" t="str">
        <f aca="false">IFERROR(INDEX(分录收入!$H:$H,MATCH($L2365,分录收入!$L:$L,0)),"")</f>
        <v/>
      </c>
      <c r="G2365" s="69" t="str">
        <f aca="false">IFERROR(INDEX(分录收入!$I:$I,MATCH($L2365,分录收入!$L:$L,0)),"")</f>
        <v/>
      </c>
      <c r="H2365" s="23"/>
      <c r="I2365" s="70"/>
      <c r="L2365" s="71" t="n">
        <f aca="false">IF(助手收入!$R$159="",-1,助手收入!$R$159*100+(助手收入!$S$159-1)*6+5)</f>
        <v>-1</v>
      </c>
    </row>
    <row r="2366" customFormat="false" ht="23.25" hidden="false" customHeight="true" outlineLevel="0" collapsed="false">
      <c r="B2366" s="67" t="str">
        <f aca="false">""</f>
        <v/>
      </c>
      <c r="C2366" s="67"/>
      <c r="D2366" s="23" t="str">
        <f aca="false">IFERROR(INDEX(分录收入!$E:$E,MATCH($L2366,分录收入!$L:$L,0)),"")</f>
        <v/>
      </c>
      <c r="E2366" s="23" t="str">
        <f aca="false">IFERROR(INDEX(分录收入!$F:$F,MATCH($L2366,分录收入!$L:$L,0)),"")</f>
        <v/>
      </c>
      <c r="F2366" s="68" t="str">
        <f aca="false">IFERROR(INDEX(分录收入!$H:$H,MATCH($L2366,分录收入!$L:$L,0)),"")</f>
        <v/>
      </c>
      <c r="G2366" s="69" t="str">
        <f aca="false">IFERROR(INDEX(分录收入!$I:$I,MATCH($L2366,分录收入!$L:$L,0)),"")</f>
        <v/>
      </c>
      <c r="H2366" s="23"/>
      <c r="I2366" s="70"/>
      <c r="L2366" s="71" t="n">
        <f aca="false">IF(助手收入!$R$159="",-1,助手收入!$R$159*100+(助手收入!$S$159-1)*6+6)</f>
        <v>-1</v>
      </c>
    </row>
    <row r="2367" customFormat="false" ht="23.25" hidden="false" customHeight="true" outlineLevel="0" collapsed="false">
      <c r="B2367" s="72" t="str">
        <f aca="false">IF(助手收入!$T$159=1,"合计：","")</f>
        <v/>
      </c>
      <c r="C2367" s="73" t="str">
        <f aca="false">IF(助手收入!$T$159=1,$F2367,"")</f>
        <v/>
      </c>
      <c r="D2367" s="74"/>
      <c r="E2367" s="74"/>
      <c r="F2367" s="75" t="str">
        <f aca="false">IF(助手收入!$T$159=1,INDEX(助手收入!$N$2:$N$66,助手收入!$R$159),"")</f>
        <v/>
      </c>
      <c r="G2367" s="76" t="str">
        <f aca="false">IF(助手收入!$T$159=1,INDEX(助手收入!$O$2:$O$66,助手收入!$R$159),"")</f>
        <v/>
      </c>
      <c r="H2367" s="74"/>
      <c r="I2367" s="77"/>
    </row>
    <row r="2368" customFormat="false" ht="6" hidden="false" customHeight="true" outlineLevel="0" collapsed="false"/>
    <row r="2369" customFormat="false" ht="13.5" hidden="false" customHeight="false" outlineLevel="0" collapsed="false">
      <c r="B2369" s="78" t="str">
        <f aca="false">IF(助手收入!$R$159&lt;&gt;"","会计主管：","")</f>
        <v/>
      </c>
      <c r="D2369" s="78" t="str">
        <f aca="false">IF(助手收入!$R$159&lt;&gt;"","会计：","")</f>
        <v/>
      </c>
      <c r="E2369" s="78" t="str">
        <f aca="false">IF(助手收入!$R$159&lt;&gt;"","出纳：","")</f>
        <v/>
      </c>
      <c r="F2369" s="78" t="str">
        <f aca="false">IF(助手收入!$R$159&lt;&gt;"","复核：","")</f>
        <v/>
      </c>
      <c r="G2369" s="78" t="str">
        <f aca="false">IF(助手收入!$R$159&lt;&gt;"","制单：","")</f>
        <v/>
      </c>
    </row>
    <row r="2370" customFormat="false" ht="3" hidden="false" customHeight="true" outlineLevel="0" collapsed="false"/>
    <row r="2371" customFormat="false" ht="19.5" hidden="false" customHeight="true" outlineLevel="0" collapsed="false">
      <c r="B2371" s="53" t="str">
        <f aca="false">IF(助手收入!$R$160&lt;&gt;"","记  账  凭  证","")</f>
        <v/>
      </c>
      <c r="C2371" s="53"/>
      <c r="D2371" s="53"/>
      <c r="E2371" s="53"/>
      <c r="F2371" s="53"/>
      <c r="G2371" s="53"/>
      <c r="H2371" s="53"/>
      <c r="I2371" s="53"/>
    </row>
    <row r="2372" customFormat="false" ht="3" hidden="false" customHeight="true" outlineLevel="0" collapsed="false"/>
    <row r="2373" customFormat="false" ht="15" hidden="false" customHeight="true" outlineLevel="0" collapsed="false">
      <c r="C2373" s="56" t="str">
        <f aca="false">IF(助手收入!$R$160&lt;&gt;"",INDEX(助手收入!$B$2:$B$66,助手收入!$R$160),"")</f>
        <v/>
      </c>
      <c r="D2373" s="57" t="str">
        <f aca="false">IF(助手收入!$R$160&lt;&gt;"",参数!$B$2,"")</f>
        <v/>
      </c>
      <c r="E2373" s="57"/>
      <c r="F2373" s="58" t="str">
        <f aca="false">IF(助手收入!$R$160&lt;&gt;"",INDEX(助手收入!$C$2:$C$66,助手收入!$R$160)&amp;"  字第 "&amp;IF(参数!$B$9="是",INDEX(助手收入!$P$2:$P$66,助手收入!$R$160),"　　　　")&amp;" 号"&amp;IF(INDEX(助手收入!$L$2:$L$66,助手收入!$R$160)&gt;1,"  (共"&amp;INDEX(助手收入!$L$2:$L$66,助手收入!$R$160)&amp;"页 第"&amp;助手收入!$S$160&amp;"页)",""),"")</f>
        <v/>
      </c>
      <c r="G2373" s="58"/>
      <c r="H2373" s="58"/>
      <c r="I2373" s="58"/>
      <c r="M2373" s="79" t="str">
        <f aca="false">IF(助手收入!$R$160="","",助手收入!$Q$160)</f>
        <v/>
      </c>
      <c r="N2373" s="80" t="str">
        <f aca="false">IF(助手收入!$R$160="","",INDEX(助手收入!$P$2:$P$66,助手收入!$R$160))</f>
        <v/>
      </c>
      <c r="O2373" s="55" t="str">
        <f aca="false">IF(助手收入!$R$160="","",INDEX(助手收入!$C$2:$C$66,助手收入!$R$160)&amp;"  字第 "&amp;INDEX(助手收入!$P$2:$P$66,助手收入!$R$160)&amp;" 号"&amp;IF(INDEX(助手收入!$L$2:$L$66,助手收入!$R$160)&gt;1,"  (共"&amp;INDEX(助手收入!$L$2:$L$66,助手收入!$R$160)&amp;"页 第"&amp;助手收入!$S$160&amp;"页)",""))</f>
        <v/>
      </c>
    </row>
    <row r="2374" customFormat="false" ht="12.75" hidden="false" customHeight="true" outlineLevel="0" collapsed="false">
      <c r="B2374" s="61" t="str">
        <f aca="false">IF(助手收入!$R$160&lt;&gt;"","摘　　要","")</f>
        <v/>
      </c>
      <c r="C2374" s="61"/>
      <c r="D2374" s="62" t="str">
        <f aca="false">IF(助手收入!$R$160&lt;&gt;"","科　　　　目","")</f>
        <v/>
      </c>
      <c r="E2374" s="62"/>
      <c r="F2374" s="61" t="str">
        <f aca="false">IF(助手收入!$R$160&lt;&gt;"","借 方 金 额","")</f>
        <v/>
      </c>
      <c r="G2374" s="62" t="str">
        <f aca="false">IF(助手收入!$R$160&lt;&gt;"","贷 方 金 额","")</f>
        <v/>
      </c>
      <c r="H2374" s="63" t="str">
        <f aca="false">IF(助手收入!$R$160&lt;&gt;"","√","")</f>
        <v/>
      </c>
      <c r="I2374" s="64" t="str">
        <f aca="false">IF(助手收入!$R$160&lt;&gt;"","附单据  张","")</f>
        <v/>
      </c>
    </row>
    <row r="2375" customFormat="false" ht="12.75" hidden="false" customHeight="true" outlineLevel="0" collapsed="false">
      <c r="B2375" s="61"/>
      <c r="C2375" s="61"/>
      <c r="D2375" s="23" t="str">
        <f aca="false">IF(助手收入!$R$160&lt;&gt;"","总 账 科 目","")</f>
        <v/>
      </c>
      <c r="E2375" s="23" t="str">
        <f aca="false">IF(助手收入!$R$160&lt;&gt;"","明 细 科 目","")</f>
        <v/>
      </c>
      <c r="F2375" s="65"/>
      <c r="G2375" s="66"/>
      <c r="H2375" s="63"/>
      <c r="I2375" s="64"/>
    </row>
    <row r="2376" customFormat="false" ht="23.25" hidden="false" customHeight="true" outlineLevel="0" collapsed="false">
      <c r="B2376" s="67" t="str">
        <f aca="false">IFERROR(INDEX(分录收入!$M:$M,MATCH($L2376,分录收入!$L:$L,0)),"")</f>
        <v/>
      </c>
      <c r="C2376" s="67"/>
      <c r="D2376" s="23" t="str">
        <f aca="false">IFERROR(INDEX(分录收入!$E:$E,MATCH($L2376,分录收入!$L:$L,0)),"")</f>
        <v/>
      </c>
      <c r="E2376" s="23" t="str">
        <f aca="false">IFERROR(INDEX(分录收入!$F:$F,MATCH($L2376,分录收入!$L:$L,0)),"")</f>
        <v/>
      </c>
      <c r="F2376" s="68" t="str">
        <f aca="false">IFERROR(INDEX(分录收入!$H:$H,MATCH($L2376,分录收入!$L:$L,0)),"")</f>
        <v/>
      </c>
      <c r="G2376" s="69" t="str">
        <f aca="false">IFERROR(INDEX(分录收入!$I:$I,MATCH($L2376,分录收入!$L:$L,0)),"")</f>
        <v/>
      </c>
      <c r="H2376" s="23"/>
      <c r="I2376" s="70"/>
      <c r="L2376" s="71" t="n">
        <f aca="false">IF(助手收入!$R$160="",-1,助手收入!$R$160*100+(助手收入!$S$160-1)*6+1)</f>
        <v>-1</v>
      </c>
    </row>
    <row r="2377" customFormat="false" ht="23.25" hidden="false" customHeight="true" outlineLevel="0" collapsed="false">
      <c r="B2377" s="67" t="str">
        <f aca="false">""</f>
        <v/>
      </c>
      <c r="C2377" s="67"/>
      <c r="D2377" s="23" t="str">
        <f aca="false">IFERROR(INDEX(分录收入!$E:$E,MATCH($L2377,分录收入!$L:$L,0)),"")</f>
        <v/>
      </c>
      <c r="E2377" s="23" t="str">
        <f aca="false">IFERROR(INDEX(分录收入!$F:$F,MATCH($L2377,分录收入!$L:$L,0)),"")</f>
        <v/>
      </c>
      <c r="F2377" s="68" t="str">
        <f aca="false">IFERROR(INDEX(分录收入!$H:$H,MATCH($L2377,分录收入!$L:$L,0)),"")</f>
        <v/>
      </c>
      <c r="G2377" s="69" t="str">
        <f aca="false">IFERROR(INDEX(分录收入!$I:$I,MATCH($L2377,分录收入!$L:$L,0)),"")</f>
        <v/>
      </c>
      <c r="H2377" s="23"/>
      <c r="I2377" s="70"/>
      <c r="L2377" s="71" t="n">
        <f aca="false">IF(助手收入!$R$160="",-1,助手收入!$R$160*100+(助手收入!$S$160-1)*6+2)</f>
        <v>-1</v>
      </c>
    </row>
    <row r="2378" customFormat="false" ht="23.25" hidden="false" customHeight="true" outlineLevel="0" collapsed="false">
      <c r="B2378" s="67" t="str">
        <f aca="false">""</f>
        <v/>
      </c>
      <c r="C2378" s="67"/>
      <c r="D2378" s="23" t="str">
        <f aca="false">IFERROR(INDEX(分录收入!$E:$E,MATCH($L2378,分录收入!$L:$L,0)),"")</f>
        <v/>
      </c>
      <c r="E2378" s="23" t="str">
        <f aca="false">IFERROR(INDEX(分录收入!$F:$F,MATCH($L2378,分录收入!$L:$L,0)),"")</f>
        <v/>
      </c>
      <c r="F2378" s="68" t="str">
        <f aca="false">IFERROR(INDEX(分录收入!$H:$H,MATCH($L2378,分录收入!$L:$L,0)),"")</f>
        <v/>
      </c>
      <c r="G2378" s="69" t="str">
        <f aca="false">IFERROR(INDEX(分录收入!$I:$I,MATCH($L2378,分录收入!$L:$L,0)),"")</f>
        <v/>
      </c>
      <c r="H2378" s="23"/>
      <c r="I2378" s="70"/>
      <c r="L2378" s="71" t="n">
        <f aca="false">IF(助手收入!$R$160="",-1,助手收入!$R$160*100+(助手收入!$S$160-1)*6+3)</f>
        <v>-1</v>
      </c>
    </row>
    <row r="2379" customFormat="false" ht="23.25" hidden="false" customHeight="true" outlineLevel="0" collapsed="false">
      <c r="B2379" s="67" t="str">
        <f aca="false">""</f>
        <v/>
      </c>
      <c r="C2379" s="67"/>
      <c r="D2379" s="23" t="str">
        <f aca="false">IFERROR(INDEX(分录收入!$E:$E,MATCH($L2379,分录收入!$L:$L,0)),"")</f>
        <v/>
      </c>
      <c r="E2379" s="23" t="str">
        <f aca="false">IFERROR(INDEX(分录收入!$F:$F,MATCH($L2379,分录收入!$L:$L,0)),"")</f>
        <v/>
      </c>
      <c r="F2379" s="68" t="str">
        <f aca="false">IFERROR(INDEX(分录收入!$H:$H,MATCH($L2379,分录收入!$L:$L,0)),"")</f>
        <v/>
      </c>
      <c r="G2379" s="69" t="str">
        <f aca="false">IFERROR(INDEX(分录收入!$I:$I,MATCH($L2379,分录收入!$L:$L,0)),"")</f>
        <v/>
      </c>
      <c r="H2379" s="23"/>
      <c r="I2379" s="70"/>
      <c r="L2379" s="71" t="n">
        <f aca="false">IF(助手收入!$R$160="",-1,助手收入!$R$160*100+(助手收入!$S$160-1)*6+4)</f>
        <v>-1</v>
      </c>
    </row>
    <row r="2380" customFormat="false" ht="23.25" hidden="false" customHeight="true" outlineLevel="0" collapsed="false">
      <c r="B2380" s="67" t="str">
        <f aca="false">""</f>
        <v/>
      </c>
      <c r="C2380" s="67"/>
      <c r="D2380" s="23" t="str">
        <f aca="false">IFERROR(INDEX(分录收入!$E:$E,MATCH($L2380,分录收入!$L:$L,0)),"")</f>
        <v/>
      </c>
      <c r="E2380" s="23" t="str">
        <f aca="false">IFERROR(INDEX(分录收入!$F:$F,MATCH($L2380,分录收入!$L:$L,0)),"")</f>
        <v/>
      </c>
      <c r="F2380" s="68" t="str">
        <f aca="false">IFERROR(INDEX(分录收入!$H:$H,MATCH($L2380,分录收入!$L:$L,0)),"")</f>
        <v/>
      </c>
      <c r="G2380" s="69" t="str">
        <f aca="false">IFERROR(INDEX(分录收入!$I:$I,MATCH($L2380,分录收入!$L:$L,0)),"")</f>
        <v/>
      </c>
      <c r="H2380" s="23"/>
      <c r="I2380" s="70"/>
      <c r="L2380" s="71" t="n">
        <f aca="false">IF(助手收入!$R$160="",-1,助手收入!$R$160*100+(助手收入!$S$160-1)*6+5)</f>
        <v>-1</v>
      </c>
    </row>
    <row r="2381" customFormat="false" ht="23.25" hidden="false" customHeight="true" outlineLevel="0" collapsed="false">
      <c r="B2381" s="67" t="str">
        <f aca="false">""</f>
        <v/>
      </c>
      <c r="C2381" s="67"/>
      <c r="D2381" s="23" t="str">
        <f aca="false">IFERROR(INDEX(分录收入!$E:$E,MATCH($L2381,分录收入!$L:$L,0)),"")</f>
        <v/>
      </c>
      <c r="E2381" s="23" t="str">
        <f aca="false">IFERROR(INDEX(分录收入!$F:$F,MATCH($L2381,分录收入!$L:$L,0)),"")</f>
        <v/>
      </c>
      <c r="F2381" s="68" t="str">
        <f aca="false">IFERROR(INDEX(分录收入!$H:$H,MATCH($L2381,分录收入!$L:$L,0)),"")</f>
        <v/>
      </c>
      <c r="G2381" s="69" t="str">
        <f aca="false">IFERROR(INDEX(分录收入!$I:$I,MATCH($L2381,分录收入!$L:$L,0)),"")</f>
        <v/>
      </c>
      <c r="H2381" s="23"/>
      <c r="I2381" s="70"/>
      <c r="L2381" s="71" t="n">
        <f aca="false">IF(助手收入!$R$160="",-1,助手收入!$R$160*100+(助手收入!$S$160-1)*6+6)</f>
        <v>-1</v>
      </c>
    </row>
    <row r="2382" customFormat="false" ht="23.25" hidden="false" customHeight="true" outlineLevel="0" collapsed="false">
      <c r="B2382" s="72" t="str">
        <f aca="false">IF(助手收入!$T$160=1,"合计：","")</f>
        <v/>
      </c>
      <c r="C2382" s="73" t="str">
        <f aca="false">IF(助手收入!$T$160=1,$F2382,"")</f>
        <v/>
      </c>
      <c r="D2382" s="74"/>
      <c r="E2382" s="74"/>
      <c r="F2382" s="75" t="str">
        <f aca="false">IF(助手收入!$T$160=1,INDEX(助手收入!$N$2:$N$66,助手收入!$R$160),"")</f>
        <v/>
      </c>
      <c r="G2382" s="76" t="str">
        <f aca="false">IF(助手收入!$T$160=1,INDEX(助手收入!$O$2:$O$66,助手收入!$R$160),"")</f>
        <v/>
      </c>
      <c r="H2382" s="74"/>
      <c r="I2382" s="77"/>
    </row>
    <row r="2383" customFormat="false" ht="6" hidden="false" customHeight="true" outlineLevel="0" collapsed="false"/>
    <row r="2384" customFormat="false" ht="13.5" hidden="false" customHeight="false" outlineLevel="0" collapsed="false">
      <c r="B2384" s="78" t="str">
        <f aca="false">IF(助手收入!$R$160&lt;&gt;"","会计主管：","")</f>
        <v/>
      </c>
      <c r="D2384" s="78" t="str">
        <f aca="false">IF(助手收入!$R$160&lt;&gt;"","会计：","")</f>
        <v/>
      </c>
      <c r="E2384" s="78" t="str">
        <f aca="false">IF(助手收入!$R$160&lt;&gt;"","出纳：","")</f>
        <v/>
      </c>
      <c r="F2384" s="78" t="str">
        <f aca="false">IF(助手收入!$R$160&lt;&gt;"","复核：","")</f>
        <v/>
      </c>
      <c r="G2384" s="78" t="str">
        <f aca="false">IF(助手收入!$R$160&lt;&gt;"","制单：","")</f>
        <v/>
      </c>
    </row>
    <row r="2385" customFormat="false" ht="3" hidden="false" customHeight="true" outlineLevel="0" collapsed="false"/>
    <row r="2386" customFormat="false" ht="19.5" hidden="false" customHeight="true" outlineLevel="0" collapsed="false">
      <c r="B2386" s="53" t="str">
        <f aca="false">IF(助手收入!$R$161&lt;&gt;"","记  账  凭  证","")</f>
        <v/>
      </c>
      <c r="C2386" s="53"/>
      <c r="D2386" s="53"/>
      <c r="E2386" s="53"/>
      <c r="F2386" s="53"/>
      <c r="G2386" s="53"/>
      <c r="H2386" s="53"/>
      <c r="I2386" s="53"/>
    </row>
    <row r="2387" customFormat="false" ht="3" hidden="false" customHeight="true" outlineLevel="0" collapsed="false"/>
    <row r="2388" customFormat="false" ht="15" hidden="false" customHeight="true" outlineLevel="0" collapsed="false">
      <c r="C2388" s="56" t="str">
        <f aca="false">IF(助手收入!$R$161&lt;&gt;"",INDEX(助手收入!$B$2:$B$66,助手收入!$R$161),"")</f>
        <v/>
      </c>
      <c r="D2388" s="57" t="str">
        <f aca="false">IF(助手收入!$R$161&lt;&gt;"",参数!$B$2,"")</f>
        <v/>
      </c>
      <c r="E2388" s="57"/>
      <c r="F2388" s="58" t="str">
        <f aca="false">IF(助手收入!$R$161&lt;&gt;"",INDEX(助手收入!$C$2:$C$66,助手收入!$R$161)&amp;"  字第 "&amp;IF(参数!$B$9="是",INDEX(助手收入!$P$2:$P$66,助手收入!$R$161),"　　　　")&amp;" 号"&amp;IF(INDEX(助手收入!$L$2:$L$66,助手收入!$R$161)&gt;1,"  (共"&amp;INDEX(助手收入!$L$2:$L$66,助手收入!$R$161)&amp;"页 第"&amp;助手收入!$S$161&amp;"页)",""),"")</f>
        <v/>
      </c>
      <c r="G2388" s="58"/>
      <c r="H2388" s="58"/>
      <c r="I2388" s="58"/>
      <c r="M2388" s="79" t="str">
        <f aca="false">IF(助手收入!$R$161="","",助手收入!$Q$161)</f>
        <v/>
      </c>
      <c r="N2388" s="80" t="str">
        <f aca="false">IF(助手收入!$R$161="","",INDEX(助手收入!$P$2:$P$66,助手收入!$R$161))</f>
        <v/>
      </c>
      <c r="O2388" s="55" t="str">
        <f aca="false">IF(助手收入!$R$161="","",INDEX(助手收入!$C$2:$C$66,助手收入!$R$161)&amp;"  字第 "&amp;INDEX(助手收入!$P$2:$P$66,助手收入!$R$161)&amp;" 号"&amp;IF(INDEX(助手收入!$L$2:$L$66,助手收入!$R$161)&gt;1,"  (共"&amp;INDEX(助手收入!$L$2:$L$66,助手收入!$R$161)&amp;"页 第"&amp;助手收入!$S$161&amp;"页)",""))</f>
        <v/>
      </c>
    </row>
    <row r="2389" customFormat="false" ht="12.75" hidden="false" customHeight="true" outlineLevel="0" collapsed="false">
      <c r="B2389" s="61" t="str">
        <f aca="false">IF(助手收入!$R$161&lt;&gt;"","摘　　要","")</f>
        <v/>
      </c>
      <c r="C2389" s="61"/>
      <c r="D2389" s="62" t="str">
        <f aca="false">IF(助手收入!$R$161&lt;&gt;"","科　　　　目","")</f>
        <v/>
      </c>
      <c r="E2389" s="62"/>
      <c r="F2389" s="61" t="str">
        <f aca="false">IF(助手收入!$R$161&lt;&gt;"","借 方 金 额","")</f>
        <v/>
      </c>
      <c r="G2389" s="62" t="str">
        <f aca="false">IF(助手收入!$R$161&lt;&gt;"","贷 方 金 额","")</f>
        <v/>
      </c>
      <c r="H2389" s="63" t="str">
        <f aca="false">IF(助手收入!$R$161&lt;&gt;"","√","")</f>
        <v/>
      </c>
      <c r="I2389" s="64" t="str">
        <f aca="false">IF(助手收入!$R$161&lt;&gt;"","附单据  张","")</f>
        <v/>
      </c>
    </row>
    <row r="2390" customFormat="false" ht="12.75" hidden="false" customHeight="true" outlineLevel="0" collapsed="false">
      <c r="B2390" s="61"/>
      <c r="C2390" s="61"/>
      <c r="D2390" s="23" t="str">
        <f aca="false">IF(助手收入!$R$161&lt;&gt;"","总 账 科 目","")</f>
        <v/>
      </c>
      <c r="E2390" s="23" t="str">
        <f aca="false">IF(助手收入!$R$161&lt;&gt;"","明 细 科 目","")</f>
        <v/>
      </c>
      <c r="F2390" s="65"/>
      <c r="G2390" s="66"/>
      <c r="H2390" s="63"/>
      <c r="I2390" s="64"/>
    </row>
    <row r="2391" customFormat="false" ht="23.25" hidden="false" customHeight="true" outlineLevel="0" collapsed="false">
      <c r="B2391" s="67" t="str">
        <f aca="false">IFERROR(INDEX(分录收入!$M:$M,MATCH($L2391,分录收入!$L:$L,0)),"")</f>
        <v/>
      </c>
      <c r="C2391" s="67"/>
      <c r="D2391" s="23" t="str">
        <f aca="false">IFERROR(INDEX(分录收入!$E:$E,MATCH($L2391,分录收入!$L:$L,0)),"")</f>
        <v/>
      </c>
      <c r="E2391" s="23" t="str">
        <f aca="false">IFERROR(INDEX(分录收入!$F:$F,MATCH($L2391,分录收入!$L:$L,0)),"")</f>
        <v/>
      </c>
      <c r="F2391" s="68" t="str">
        <f aca="false">IFERROR(INDEX(分录收入!$H:$H,MATCH($L2391,分录收入!$L:$L,0)),"")</f>
        <v/>
      </c>
      <c r="G2391" s="69" t="str">
        <f aca="false">IFERROR(INDEX(分录收入!$I:$I,MATCH($L2391,分录收入!$L:$L,0)),"")</f>
        <v/>
      </c>
      <c r="H2391" s="23"/>
      <c r="I2391" s="70"/>
      <c r="L2391" s="71" t="n">
        <f aca="false">IF(助手收入!$R$161="",-1,助手收入!$R$161*100+(助手收入!$S$161-1)*6+1)</f>
        <v>-1</v>
      </c>
    </row>
    <row r="2392" customFormat="false" ht="23.25" hidden="false" customHeight="true" outlineLevel="0" collapsed="false">
      <c r="B2392" s="67" t="str">
        <f aca="false">""</f>
        <v/>
      </c>
      <c r="C2392" s="67"/>
      <c r="D2392" s="23" t="str">
        <f aca="false">IFERROR(INDEX(分录收入!$E:$E,MATCH($L2392,分录收入!$L:$L,0)),"")</f>
        <v/>
      </c>
      <c r="E2392" s="23" t="str">
        <f aca="false">IFERROR(INDEX(分录收入!$F:$F,MATCH($L2392,分录收入!$L:$L,0)),"")</f>
        <v/>
      </c>
      <c r="F2392" s="68" t="str">
        <f aca="false">IFERROR(INDEX(分录收入!$H:$H,MATCH($L2392,分录收入!$L:$L,0)),"")</f>
        <v/>
      </c>
      <c r="G2392" s="69" t="str">
        <f aca="false">IFERROR(INDEX(分录收入!$I:$I,MATCH($L2392,分录收入!$L:$L,0)),"")</f>
        <v/>
      </c>
      <c r="H2392" s="23"/>
      <c r="I2392" s="70"/>
      <c r="L2392" s="71" t="n">
        <f aca="false">IF(助手收入!$R$161="",-1,助手收入!$R$161*100+(助手收入!$S$161-1)*6+2)</f>
        <v>-1</v>
      </c>
    </row>
    <row r="2393" customFormat="false" ht="23.25" hidden="false" customHeight="true" outlineLevel="0" collapsed="false">
      <c r="B2393" s="67" t="str">
        <f aca="false">""</f>
        <v/>
      </c>
      <c r="C2393" s="67"/>
      <c r="D2393" s="23" t="str">
        <f aca="false">IFERROR(INDEX(分录收入!$E:$E,MATCH($L2393,分录收入!$L:$L,0)),"")</f>
        <v/>
      </c>
      <c r="E2393" s="23" t="str">
        <f aca="false">IFERROR(INDEX(分录收入!$F:$F,MATCH($L2393,分录收入!$L:$L,0)),"")</f>
        <v/>
      </c>
      <c r="F2393" s="68" t="str">
        <f aca="false">IFERROR(INDEX(分录收入!$H:$H,MATCH($L2393,分录收入!$L:$L,0)),"")</f>
        <v/>
      </c>
      <c r="G2393" s="69" t="str">
        <f aca="false">IFERROR(INDEX(分录收入!$I:$I,MATCH($L2393,分录收入!$L:$L,0)),"")</f>
        <v/>
      </c>
      <c r="H2393" s="23"/>
      <c r="I2393" s="70"/>
      <c r="L2393" s="71" t="n">
        <f aca="false">IF(助手收入!$R$161="",-1,助手收入!$R$161*100+(助手收入!$S$161-1)*6+3)</f>
        <v>-1</v>
      </c>
    </row>
    <row r="2394" customFormat="false" ht="23.25" hidden="false" customHeight="true" outlineLevel="0" collapsed="false">
      <c r="B2394" s="67" t="str">
        <f aca="false">""</f>
        <v/>
      </c>
      <c r="C2394" s="67"/>
      <c r="D2394" s="23" t="str">
        <f aca="false">IFERROR(INDEX(分录收入!$E:$E,MATCH($L2394,分录收入!$L:$L,0)),"")</f>
        <v/>
      </c>
      <c r="E2394" s="23" t="str">
        <f aca="false">IFERROR(INDEX(分录收入!$F:$F,MATCH($L2394,分录收入!$L:$L,0)),"")</f>
        <v/>
      </c>
      <c r="F2394" s="68" t="str">
        <f aca="false">IFERROR(INDEX(分录收入!$H:$H,MATCH($L2394,分录收入!$L:$L,0)),"")</f>
        <v/>
      </c>
      <c r="G2394" s="69" t="str">
        <f aca="false">IFERROR(INDEX(分录收入!$I:$I,MATCH($L2394,分录收入!$L:$L,0)),"")</f>
        <v/>
      </c>
      <c r="H2394" s="23"/>
      <c r="I2394" s="70"/>
      <c r="L2394" s="71" t="n">
        <f aca="false">IF(助手收入!$R$161="",-1,助手收入!$R$161*100+(助手收入!$S$161-1)*6+4)</f>
        <v>-1</v>
      </c>
    </row>
    <row r="2395" customFormat="false" ht="23.25" hidden="false" customHeight="true" outlineLevel="0" collapsed="false">
      <c r="B2395" s="67" t="str">
        <f aca="false">""</f>
        <v/>
      </c>
      <c r="C2395" s="67"/>
      <c r="D2395" s="23" t="str">
        <f aca="false">IFERROR(INDEX(分录收入!$E:$E,MATCH($L2395,分录收入!$L:$L,0)),"")</f>
        <v/>
      </c>
      <c r="E2395" s="23" t="str">
        <f aca="false">IFERROR(INDEX(分录收入!$F:$F,MATCH($L2395,分录收入!$L:$L,0)),"")</f>
        <v/>
      </c>
      <c r="F2395" s="68" t="str">
        <f aca="false">IFERROR(INDEX(分录收入!$H:$H,MATCH($L2395,分录收入!$L:$L,0)),"")</f>
        <v/>
      </c>
      <c r="G2395" s="69" t="str">
        <f aca="false">IFERROR(INDEX(分录收入!$I:$I,MATCH($L2395,分录收入!$L:$L,0)),"")</f>
        <v/>
      </c>
      <c r="H2395" s="23"/>
      <c r="I2395" s="70"/>
      <c r="L2395" s="71" t="n">
        <f aca="false">IF(助手收入!$R$161="",-1,助手收入!$R$161*100+(助手收入!$S$161-1)*6+5)</f>
        <v>-1</v>
      </c>
    </row>
    <row r="2396" customFormat="false" ht="23.25" hidden="false" customHeight="true" outlineLevel="0" collapsed="false">
      <c r="B2396" s="67" t="str">
        <f aca="false">""</f>
        <v/>
      </c>
      <c r="C2396" s="67"/>
      <c r="D2396" s="23" t="str">
        <f aca="false">IFERROR(INDEX(分录收入!$E:$E,MATCH($L2396,分录收入!$L:$L,0)),"")</f>
        <v/>
      </c>
      <c r="E2396" s="23" t="str">
        <f aca="false">IFERROR(INDEX(分录收入!$F:$F,MATCH($L2396,分录收入!$L:$L,0)),"")</f>
        <v/>
      </c>
      <c r="F2396" s="68" t="str">
        <f aca="false">IFERROR(INDEX(分录收入!$H:$H,MATCH($L2396,分录收入!$L:$L,0)),"")</f>
        <v/>
      </c>
      <c r="G2396" s="69" t="str">
        <f aca="false">IFERROR(INDEX(分录收入!$I:$I,MATCH($L2396,分录收入!$L:$L,0)),"")</f>
        <v/>
      </c>
      <c r="H2396" s="23"/>
      <c r="I2396" s="70"/>
      <c r="L2396" s="71" t="n">
        <f aca="false">IF(助手收入!$R$161="",-1,助手收入!$R$161*100+(助手收入!$S$161-1)*6+6)</f>
        <v>-1</v>
      </c>
    </row>
    <row r="2397" customFormat="false" ht="23.25" hidden="false" customHeight="true" outlineLevel="0" collapsed="false">
      <c r="B2397" s="72" t="str">
        <f aca="false">IF(助手收入!$T$161=1,"合计：","")</f>
        <v/>
      </c>
      <c r="C2397" s="73" t="str">
        <f aca="false">IF(助手收入!$T$161=1,$F2397,"")</f>
        <v/>
      </c>
      <c r="D2397" s="74"/>
      <c r="E2397" s="74"/>
      <c r="F2397" s="75" t="str">
        <f aca="false">IF(助手收入!$T$161=1,INDEX(助手收入!$N$2:$N$66,助手收入!$R$161),"")</f>
        <v/>
      </c>
      <c r="G2397" s="76" t="str">
        <f aca="false">IF(助手收入!$T$161=1,INDEX(助手收入!$O$2:$O$66,助手收入!$R$161),"")</f>
        <v/>
      </c>
      <c r="H2397" s="74"/>
      <c r="I2397" s="77"/>
    </row>
    <row r="2398" customFormat="false" ht="6" hidden="false" customHeight="true" outlineLevel="0" collapsed="false"/>
    <row r="2399" customFormat="false" ht="13.5" hidden="false" customHeight="false" outlineLevel="0" collapsed="false">
      <c r="B2399" s="78" t="str">
        <f aca="false">IF(助手收入!$R$161&lt;&gt;"","会计主管：","")</f>
        <v/>
      </c>
      <c r="D2399" s="78" t="str">
        <f aca="false">IF(助手收入!$R$161&lt;&gt;"","会计：","")</f>
        <v/>
      </c>
      <c r="E2399" s="78" t="str">
        <f aca="false">IF(助手收入!$R$161&lt;&gt;"","出纳：","")</f>
        <v/>
      </c>
      <c r="F2399" s="78" t="str">
        <f aca="false">IF(助手收入!$R$161&lt;&gt;"","复核：","")</f>
        <v/>
      </c>
      <c r="G2399" s="78" t="str">
        <f aca="false">IF(助手收入!$R$161&lt;&gt;"","制单：","")</f>
        <v/>
      </c>
    </row>
    <row r="2400" customFormat="false" ht="3" hidden="false" customHeight="true" outlineLevel="0" collapsed="false"/>
    <row r="2401" customFormat="false" ht="19.5" hidden="false" customHeight="true" outlineLevel="0" collapsed="false">
      <c r="B2401" s="53" t="str">
        <f aca="false">IF(助手收入!$R$162&lt;&gt;"","记  账  凭  证","")</f>
        <v/>
      </c>
      <c r="C2401" s="53"/>
      <c r="D2401" s="53"/>
      <c r="E2401" s="53"/>
      <c r="F2401" s="53"/>
      <c r="G2401" s="53"/>
      <c r="H2401" s="53"/>
      <c r="I2401" s="53"/>
    </row>
    <row r="2402" customFormat="false" ht="3" hidden="false" customHeight="true" outlineLevel="0" collapsed="false"/>
    <row r="2403" customFormat="false" ht="15" hidden="false" customHeight="true" outlineLevel="0" collapsed="false">
      <c r="C2403" s="56" t="str">
        <f aca="false">IF(助手收入!$R$162&lt;&gt;"",INDEX(助手收入!$B$2:$B$66,助手收入!$R$162),"")</f>
        <v/>
      </c>
      <c r="D2403" s="57" t="str">
        <f aca="false">IF(助手收入!$R$162&lt;&gt;"",参数!$B$2,"")</f>
        <v/>
      </c>
      <c r="E2403" s="57"/>
      <c r="F2403" s="58" t="str">
        <f aca="false">IF(助手收入!$R$162&lt;&gt;"",INDEX(助手收入!$C$2:$C$66,助手收入!$R$162)&amp;"  字第 "&amp;IF(参数!$B$9="是",INDEX(助手收入!$P$2:$P$66,助手收入!$R$162),"　　　　")&amp;" 号"&amp;IF(INDEX(助手收入!$L$2:$L$66,助手收入!$R$162)&gt;1,"  (共"&amp;INDEX(助手收入!$L$2:$L$66,助手收入!$R$162)&amp;"页 第"&amp;助手收入!$S$162&amp;"页)",""),"")</f>
        <v/>
      </c>
      <c r="G2403" s="58"/>
      <c r="H2403" s="58"/>
      <c r="I2403" s="58"/>
      <c r="M2403" s="79" t="str">
        <f aca="false">IF(助手收入!$R$162="","",助手收入!$Q$162)</f>
        <v/>
      </c>
      <c r="N2403" s="80" t="str">
        <f aca="false">IF(助手收入!$R$162="","",INDEX(助手收入!$P$2:$P$66,助手收入!$R$162))</f>
        <v/>
      </c>
      <c r="O2403" s="55" t="str">
        <f aca="false">IF(助手收入!$R$162="","",INDEX(助手收入!$C$2:$C$66,助手收入!$R$162)&amp;"  字第 "&amp;INDEX(助手收入!$P$2:$P$66,助手收入!$R$162)&amp;" 号"&amp;IF(INDEX(助手收入!$L$2:$L$66,助手收入!$R$162)&gt;1,"  (共"&amp;INDEX(助手收入!$L$2:$L$66,助手收入!$R$162)&amp;"页 第"&amp;助手收入!$S$162&amp;"页)",""))</f>
        <v/>
      </c>
    </row>
    <row r="2404" customFormat="false" ht="12.75" hidden="false" customHeight="true" outlineLevel="0" collapsed="false">
      <c r="B2404" s="61" t="str">
        <f aca="false">IF(助手收入!$R$162&lt;&gt;"","摘　　要","")</f>
        <v/>
      </c>
      <c r="C2404" s="61"/>
      <c r="D2404" s="62" t="str">
        <f aca="false">IF(助手收入!$R$162&lt;&gt;"","科　　　　目","")</f>
        <v/>
      </c>
      <c r="E2404" s="62"/>
      <c r="F2404" s="61" t="str">
        <f aca="false">IF(助手收入!$R$162&lt;&gt;"","借 方 金 额","")</f>
        <v/>
      </c>
      <c r="G2404" s="62" t="str">
        <f aca="false">IF(助手收入!$R$162&lt;&gt;"","贷 方 金 额","")</f>
        <v/>
      </c>
      <c r="H2404" s="63" t="str">
        <f aca="false">IF(助手收入!$R$162&lt;&gt;"","√","")</f>
        <v/>
      </c>
      <c r="I2404" s="64" t="str">
        <f aca="false">IF(助手收入!$R$162&lt;&gt;"","附单据  张","")</f>
        <v/>
      </c>
    </row>
    <row r="2405" customFormat="false" ht="12.75" hidden="false" customHeight="true" outlineLevel="0" collapsed="false">
      <c r="B2405" s="61"/>
      <c r="C2405" s="61"/>
      <c r="D2405" s="23" t="str">
        <f aca="false">IF(助手收入!$R$162&lt;&gt;"","总 账 科 目","")</f>
        <v/>
      </c>
      <c r="E2405" s="23" t="str">
        <f aca="false">IF(助手收入!$R$162&lt;&gt;"","明 细 科 目","")</f>
        <v/>
      </c>
      <c r="F2405" s="65"/>
      <c r="G2405" s="66"/>
      <c r="H2405" s="63"/>
      <c r="I2405" s="64"/>
    </row>
    <row r="2406" customFormat="false" ht="23.25" hidden="false" customHeight="true" outlineLevel="0" collapsed="false">
      <c r="B2406" s="67" t="str">
        <f aca="false">IFERROR(INDEX(分录收入!$M:$M,MATCH($L2406,分录收入!$L:$L,0)),"")</f>
        <v/>
      </c>
      <c r="C2406" s="67"/>
      <c r="D2406" s="23" t="str">
        <f aca="false">IFERROR(INDEX(分录收入!$E:$E,MATCH($L2406,分录收入!$L:$L,0)),"")</f>
        <v/>
      </c>
      <c r="E2406" s="23" t="str">
        <f aca="false">IFERROR(INDEX(分录收入!$F:$F,MATCH($L2406,分录收入!$L:$L,0)),"")</f>
        <v/>
      </c>
      <c r="F2406" s="68" t="str">
        <f aca="false">IFERROR(INDEX(分录收入!$H:$H,MATCH($L2406,分录收入!$L:$L,0)),"")</f>
        <v/>
      </c>
      <c r="G2406" s="69" t="str">
        <f aca="false">IFERROR(INDEX(分录收入!$I:$I,MATCH($L2406,分录收入!$L:$L,0)),"")</f>
        <v/>
      </c>
      <c r="H2406" s="23"/>
      <c r="I2406" s="70"/>
      <c r="L2406" s="71" t="n">
        <f aca="false">IF(助手收入!$R$162="",-1,助手收入!$R$162*100+(助手收入!$S$162-1)*6+1)</f>
        <v>-1</v>
      </c>
    </row>
    <row r="2407" customFormat="false" ht="23.25" hidden="false" customHeight="true" outlineLevel="0" collapsed="false">
      <c r="B2407" s="67" t="str">
        <f aca="false">""</f>
        <v/>
      </c>
      <c r="C2407" s="67"/>
      <c r="D2407" s="23" t="str">
        <f aca="false">IFERROR(INDEX(分录收入!$E:$E,MATCH($L2407,分录收入!$L:$L,0)),"")</f>
        <v/>
      </c>
      <c r="E2407" s="23" t="str">
        <f aca="false">IFERROR(INDEX(分录收入!$F:$F,MATCH($L2407,分录收入!$L:$L,0)),"")</f>
        <v/>
      </c>
      <c r="F2407" s="68" t="str">
        <f aca="false">IFERROR(INDEX(分录收入!$H:$H,MATCH($L2407,分录收入!$L:$L,0)),"")</f>
        <v/>
      </c>
      <c r="G2407" s="69" t="str">
        <f aca="false">IFERROR(INDEX(分录收入!$I:$I,MATCH($L2407,分录收入!$L:$L,0)),"")</f>
        <v/>
      </c>
      <c r="H2407" s="23"/>
      <c r="I2407" s="70"/>
      <c r="L2407" s="71" t="n">
        <f aca="false">IF(助手收入!$R$162="",-1,助手收入!$R$162*100+(助手收入!$S$162-1)*6+2)</f>
        <v>-1</v>
      </c>
    </row>
    <row r="2408" customFormat="false" ht="23.25" hidden="false" customHeight="true" outlineLevel="0" collapsed="false">
      <c r="B2408" s="67" t="str">
        <f aca="false">""</f>
        <v/>
      </c>
      <c r="C2408" s="67"/>
      <c r="D2408" s="23" t="str">
        <f aca="false">IFERROR(INDEX(分录收入!$E:$E,MATCH($L2408,分录收入!$L:$L,0)),"")</f>
        <v/>
      </c>
      <c r="E2408" s="23" t="str">
        <f aca="false">IFERROR(INDEX(分录收入!$F:$F,MATCH($L2408,分录收入!$L:$L,0)),"")</f>
        <v/>
      </c>
      <c r="F2408" s="68" t="str">
        <f aca="false">IFERROR(INDEX(分录收入!$H:$H,MATCH($L2408,分录收入!$L:$L,0)),"")</f>
        <v/>
      </c>
      <c r="G2408" s="69" t="str">
        <f aca="false">IFERROR(INDEX(分录收入!$I:$I,MATCH($L2408,分录收入!$L:$L,0)),"")</f>
        <v/>
      </c>
      <c r="H2408" s="23"/>
      <c r="I2408" s="70"/>
      <c r="L2408" s="71" t="n">
        <f aca="false">IF(助手收入!$R$162="",-1,助手收入!$R$162*100+(助手收入!$S$162-1)*6+3)</f>
        <v>-1</v>
      </c>
    </row>
    <row r="2409" customFormat="false" ht="23.25" hidden="false" customHeight="true" outlineLevel="0" collapsed="false">
      <c r="B2409" s="67" t="str">
        <f aca="false">""</f>
        <v/>
      </c>
      <c r="C2409" s="67"/>
      <c r="D2409" s="23" t="str">
        <f aca="false">IFERROR(INDEX(分录收入!$E:$E,MATCH($L2409,分录收入!$L:$L,0)),"")</f>
        <v/>
      </c>
      <c r="E2409" s="23" t="str">
        <f aca="false">IFERROR(INDEX(分录收入!$F:$F,MATCH($L2409,分录收入!$L:$L,0)),"")</f>
        <v/>
      </c>
      <c r="F2409" s="68" t="str">
        <f aca="false">IFERROR(INDEX(分录收入!$H:$H,MATCH($L2409,分录收入!$L:$L,0)),"")</f>
        <v/>
      </c>
      <c r="G2409" s="69" t="str">
        <f aca="false">IFERROR(INDEX(分录收入!$I:$I,MATCH($L2409,分录收入!$L:$L,0)),"")</f>
        <v/>
      </c>
      <c r="H2409" s="23"/>
      <c r="I2409" s="70"/>
      <c r="L2409" s="71" t="n">
        <f aca="false">IF(助手收入!$R$162="",-1,助手收入!$R$162*100+(助手收入!$S$162-1)*6+4)</f>
        <v>-1</v>
      </c>
    </row>
    <row r="2410" customFormat="false" ht="23.25" hidden="false" customHeight="true" outlineLevel="0" collapsed="false">
      <c r="B2410" s="67" t="str">
        <f aca="false">""</f>
        <v/>
      </c>
      <c r="C2410" s="67"/>
      <c r="D2410" s="23" t="str">
        <f aca="false">IFERROR(INDEX(分录收入!$E:$E,MATCH($L2410,分录收入!$L:$L,0)),"")</f>
        <v/>
      </c>
      <c r="E2410" s="23" t="str">
        <f aca="false">IFERROR(INDEX(分录收入!$F:$F,MATCH($L2410,分录收入!$L:$L,0)),"")</f>
        <v/>
      </c>
      <c r="F2410" s="68" t="str">
        <f aca="false">IFERROR(INDEX(分录收入!$H:$H,MATCH($L2410,分录收入!$L:$L,0)),"")</f>
        <v/>
      </c>
      <c r="G2410" s="69" t="str">
        <f aca="false">IFERROR(INDEX(分录收入!$I:$I,MATCH($L2410,分录收入!$L:$L,0)),"")</f>
        <v/>
      </c>
      <c r="H2410" s="23"/>
      <c r="I2410" s="70"/>
      <c r="L2410" s="71" t="n">
        <f aca="false">IF(助手收入!$R$162="",-1,助手收入!$R$162*100+(助手收入!$S$162-1)*6+5)</f>
        <v>-1</v>
      </c>
    </row>
    <row r="2411" customFormat="false" ht="23.25" hidden="false" customHeight="true" outlineLevel="0" collapsed="false">
      <c r="B2411" s="67" t="str">
        <f aca="false">""</f>
        <v/>
      </c>
      <c r="C2411" s="67"/>
      <c r="D2411" s="23" t="str">
        <f aca="false">IFERROR(INDEX(分录收入!$E:$E,MATCH($L2411,分录收入!$L:$L,0)),"")</f>
        <v/>
      </c>
      <c r="E2411" s="23" t="str">
        <f aca="false">IFERROR(INDEX(分录收入!$F:$F,MATCH($L2411,分录收入!$L:$L,0)),"")</f>
        <v/>
      </c>
      <c r="F2411" s="68" t="str">
        <f aca="false">IFERROR(INDEX(分录收入!$H:$H,MATCH($L2411,分录收入!$L:$L,0)),"")</f>
        <v/>
      </c>
      <c r="G2411" s="69" t="str">
        <f aca="false">IFERROR(INDEX(分录收入!$I:$I,MATCH($L2411,分录收入!$L:$L,0)),"")</f>
        <v/>
      </c>
      <c r="H2411" s="23"/>
      <c r="I2411" s="70"/>
      <c r="L2411" s="71" t="n">
        <f aca="false">IF(助手收入!$R$162="",-1,助手收入!$R$162*100+(助手收入!$S$162-1)*6+6)</f>
        <v>-1</v>
      </c>
    </row>
    <row r="2412" customFormat="false" ht="23.25" hidden="false" customHeight="true" outlineLevel="0" collapsed="false">
      <c r="B2412" s="72" t="str">
        <f aca="false">IF(助手收入!$T$162=1,"合计：","")</f>
        <v/>
      </c>
      <c r="C2412" s="73" t="str">
        <f aca="false">IF(助手收入!$T$162=1,$F2412,"")</f>
        <v/>
      </c>
      <c r="D2412" s="74"/>
      <c r="E2412" s="74"/>
      <c r="F2412" s="75" t="str">
        <f aca="false">IF(助手收入!$T$162=1,INDEX(助手收入!$N$2:$N$66,助手收入!$R$162),"")</f>
        <v/>
      </c>
      <c r="G2412" s="76" t="str">
        <f aca="false">IF(助手收入!$T$162=1,INDEX(助手收入!$O$2:$O$66,助手收入!$R$162),"")</f>
        <v/>
      </c>
      <c r="H2412" s="74"/>
      <c r="I2412" s="77"/>
    </row>
    <row r="2413" customFormat="false" ht="6" hidden="false" customHeight="true" outlineLevel="0" collapsed="false"/>
    <row r="2414" customFormat="false" ht="13.5" hidden="false" customHeight="false" outlineLevel="0" collapsed="false">
      <c r="B2414" s="78" t="str">
        <f aca="false">IF(助手收入!$R$162&lt;&gt;"","会计主管：","")</f>
        <v/>
      </c>
      <c r="D2414" s="78" t="str">
        <f aca="false">IF(助手收入!$R$162&lt;&gt;"","会计：","")</f>
        <v/>
      </c>
      <c r="E2414" s="78" t="str">
        <f aca="false">IF(助手收入!$R$162&lt;&gt;"","出纳：","")</f>
        <v/>
      </c>
      <c r="F2414" s="78" t="str">
        <f aca="false">IF(助手收入!$R$162&lt;&gt;"","复核：","")</f>
        <v/>
      </c>
      <c r="G2414" s="78" t="str">
        <f aca="false">IF(助手收入!$R$162&lt;&gt;"","制单：","")</f>
        <v/>
      </c>
    </row>
    <row r="2415" customFormat="false" ht="3" hidden="false" customHeight="true" outlineLevel="0" collapsed="false"/>
    <row r="2416" customFormat="false" ht="19.5" hidden="false" customHeight="true" outlineLevel="0" collapsed="false">
      <c r="B2416" s="53" t="str">
        <f aca="false">IF(助手收入!$R$163&lt;&gt;"","记  账  凭  证","")</f>
        <v/>
      </c>
      <c r="C2416" s="53"/>
      <c r="D2416" s="53"/>
      <c r="E2416" s="53"/>
      <c r="F2416" s="53"/>
      <c r="G2416" s="53"/>
      <c r="H2416" s="53"/>
      <c r="I2416" s="53"/>
    </row>
    <row r="2417" customFormat="false" ht="3" hidden="false" customHeight="true" outlineLevel="0" collapsed="false"/>
    <row r="2418" customFormat="false" ht="15" hidden="false" customHeight="true" outlineLevel="0" collapsed="false">
      <c r="C2418" s="56" t="str">
        <f aca="false">IF(助手收入!$R$163&lt;&gt;"",INDEX(助手收入!$B$2:$B$66,助手收入!$R$163),"")</f>
        <v/>
      </c>
      <c r="D2418" s="57" t="str">
        <f aca="false">IF(助手收入!$R$163&lt;&gt;"",参数!$B$2,"")</f>
        <v/>
      </c>
      <c r="E2418" s="57"/>
      <c r="F2418" s="58" t="str">
        <f aca="false">IF(助手收入!$R$163&lt;&gt;"",INDEX(助手收入!$C$2:$C$66,助手收入!$R$163)&amp;"  字第 "&amp;IF(参数!$B$9="是",INDEX(助手收入!$P$2:$P$66,助手收入!$R$163),"　　　　")&amp;" 号"&amp;IF(INDEX(助手收入!$L$2:$L$66,助手收入!$R$163)&gt;1,"  (共"&amp;INDEX(助手收入!$L$2:$L$66,助手收入!$R$163)&amp;"页 第"&amp;助手收入!$S$163&amp;"页)",""),"")</f>
        <v/>
      </c>
      <c r="G2418" s="58"/>
      <c r="H2418" s="58"/>
      <c r="I2418" s="58"/>
      <c r="M2418" s="79" t="str">
        <f aca="false">IF(助手收入!$R$163="","",助手收入!$Q$163)</f>
        <v/>
      </c>
      <c r="N2418" s="80" t="str">
        <f aca="false">IF(助手收入!$R$163="","",INDEX(助手收入!$P$2:$P$66,助手收入!$R$163))</f>
        <v/>
      </c>
      <c r="O2418" s="55" t="str">
        <f aca="false">IF(助手收入!$R$163="","",INDEX(助手收入!$C$2:$C$66,助手收入!$R$163)&amp;"  字第 "&amp;INDEX(助手收入!$P$2:$P$66,助手收入!$R$163)&amp;" 号"&amp;IF(INDEX(助手收入!$L$2:$L$66,助手收入!$R$163)&gt;1,"  (共"&amp;INDEX(助手收入!$L$2:$L$66,助手收入!$R$163)&amp;"页 第"&amp;助手收入!$S$163&amp;"页)",""))</f>
        <v/>
      </c>
    </row>
    <row r="2419" customFormat="false" ht="12.75" hidden="false" customHeight="true" outlineLevel="0" collapsed="false">
      <c r="B2419" s="61" t="str">
        <f aca="false">IF(助手收入!$R$163&lt;&gt;"","摘　　要","")</f>
        <v/>
      </c>
      <c r="C2419" s="61"/>
      <c r="D2419" s="62" t="str">
        <f aca="false">IF(助手收入!$R$163&lt;&gt;"","科　　　　目","")</f>
        <v/>
      </c>
      <c r="E2419" s="62"/>
      <c r="F2419" s="61" t="str">
        <f aca="false">IF(助手收入!$R$163&lt;&gt;"","借 方 金 额","")</f>
        <v/>
      </c>
      <c r="G2419" s="62" t="str">
        <f aca="false">IF(助手收入!$R$163&lt;&gt;"","贷 方 金 额","")</f>
        <v/>
      </c>
      <c r="H2419" s="63" t="str">
        <f aca="false">IF(助手收入!$R$163&lt;&gt;"","√","")</f>
        <v/>
      </c>
      <c r="I2419" s="64" t="str">
        <f aca="false">IF(助手收入!$R$163&lt;&gt;"","附单据  张","")</f>
        <v/>
      </c>
    </row>
    <row r="2420" customFormat="false" ht="12.75" hidden="false" customHeight="true" outlineLevel="0" collapsed="false">
      <c r="B2420" s="61"/>
      <c r="C2420" s="61"/>
      <c r="D2420" s="23" t="str">
        <f aca="false">IF(助手收入!$R$163&lt;&gt;"","总 账 科 目","")</f>
        <v/>
      </c>
      <c r="E2420" s="23" t="str">
        <f aca="false">IF(助手收入!$R$163&lt;&gt;"","明 细 科 目","")</f>
        <v/>
      </c>
      <c r="F2420" s="65"/>
      <c r="G2420" s="66"/>
      <c r="H2420" s="63"/>
      <c r="I2420" s="64"/>
    </row>
    <row r="2421" customFormat="false" ht="23.25" hidden="false" customHeight="true" outlineLevel="0" collapsed="false">
      <c r="B2421" s="67" t="str">
        <f aca="false">IFERROR(INDEX(分录收入!$M:$M,MATCH($L2421,分录收入!$L:$L,0)),"")</f>
        <v/>
      </c>
      <c r="C2421" s="67"/>
      <c r="D2421" s="23" t="str">
        <f aca="false">IFERROR(INDEX(分录收入!$E:$E,MATCH($L2421,分录收入!$L:$L,0)),"")</f>
        <v/>
      </c>
      <c r="E2421" s="23" t="str">
        <f aca="false">IFERROR(INDEX(分录收入!$F:$F,MATCH($L2421,分录收入!$L:$L,0)),"")</f>
        <v/>
      </c>
      <c r="F2421" s="68" t="str">
        <f aca="false">IFERROR(INDEX(分录收入!$H:$H,MATCH($L2421,分录收入!$L:$L,0)),"")</f>
        <v/>
      </c>
      <c r="G2421" s="69" t="str">
        <f aca="false">IFERROR(INDEX(分录收入!$I:$I,MATCH($L2421,分录收入!$L:$L,0)),"")</f>
        <v/>
      </c>
      <c r="H2421" s="23"/>
      <c r="I2421" s="70"/>
      <c r="L2421" s="71" t="n">
        <f aca="false">IF(助手收入!$R$163="",-1,助手收入!$R$163*100+(助手收入!$S$163-1)*6+1)</f>
        <v>-1</v>
      </c>
    </row>
    <row r="2422" customFormat="false" ht="23.25" hidden="false" customHeight="true" outlineLevel="0" collapsed="false">
      <c r="B2422" s="67" t="str">
        <f aca="false">""</f>
        <v/>
      </c>
      <c r="C2422" s="67"/>
      <c r="D2422" s="23" t="str">
        <f aca="false">IFERROR(INDEX(分录收入!$E:$E,MATCH($L2422,分录收入!$L:$L,0)),"")</f>
        <v/>
      </c>
      <c r="E2422" s="23" t="str">
        <f aca="false">IFERROR(INDEX(分录收入!$F:$F,MATCH($L2422,分录收入!$L:$L,0)),"")</f>
        <v/>
      </c>
      <c r="F2422" s="68" t="str">
        <f aca="false">IFERROR(INDEX(分录收入!$H:$H,MATCH($L2422,分录收入!$L:$L,0)),"")</f>
        <v/>
      </c>
      <c r="G2422" s="69" t="str">
        <f aca="false">IFERROR(INDEX(分录收入!$I:$I,MATCH($L2422,分录收入!$L:$L,0)),"")</f>
        <v/>
      </c>
      <c r="H2422" s="23"/>
      <c r="I2422" s="70"/>
      <c r="L2422" s="71" t="n">
        <f aca="false">IF(助手收入!$R$163="",-1,助手收入!$R$163*100+(助手收入!$S$163-1)*6+2)</f>
        <v>-1</v>
      </c>
    </row>
    <row r="2423" customFormat="false" ht="23.25" hidden="false" customHeight="true" outlineLevel="0" collapsed="false">
      <c r="B2423" s="67" t="str">
        <f aca="false">""</f>
        <v/>
      </c>
      <c r="C2423" s="67"/>
      <c r="D2423" s="23" t="str">
        <f aca="false">IFERROR(INDEX(分录收入!$E:$E,MATCH($L2423,分录收入!$L:$L,0)),"")</f>
        <v/>
      </c>
      <c r="E2423" s="23" t="str">
        <f aca="false">IFERROR(INDEX(分录收入!$F:$F,MATCH($L2423,分录收入!$L:$L,0)),"")</f>
        <v/>
      </c>
      <c r="F2423" s="68" t="str">
        <f aca="false">IFERROR(INDEX(分录收入!$H:$H,MATCH($L2423,分录收入!$L:$L,0)),"")</f>
        <v/>
      </c>
      <c r="G2423" s="69" t="str">
        <f aca="false">IFERROR(INDEX(分录收入!$I:$I,MATCH($L2423,分录收入!$L:$L,0)),"")</f>
        <v/>
      </c>
      <c r="H2423" s="23"/>
      <c r="I2423" s="70"/>
      <c r="L2423" s="71" t="n">
        <f aca="false">IF(助手收入!$R$163="",-1,助手收入!$R$163*100+(助手收入!$S$163-1)*6+3)</f>
        <v>-1</v>
      </c>
    </row>
    <row r="2424" customFormat="false" ht="23.25" hidden="false" customHeight="true" outlineLevel="0" collapsed="false">
      <c r="B2424" s="67" t="str">
        <f aca="false">""</f>
        <v/>
      </c>
      <c r="C2424" s="67"/>
      <c r="D2424" s="23" t="str">
        <f aca="false">IFERROR(INDEX(分录收入!$E:$E,MATCH($L2424,分录收入!$L:$L,0)),"")</f>
        <v/>
      </c>
      <c r="E2424" s="23" t="str">
        <f aca="false">IFERROR(INDEX(分录收入!$F:$F,MATCH($L2424,分录收入!$L:$L,0)),"")</f>
        <v/>
      </c>
      <c r="F2424" s="68" t="str">
        <f aca="false">IFERROR(INDEX(分录收入!$H:$H,MATCH($L2424,分录收入!$L:$L,0)),"")</f>
        <v/>
      </c>
      <c r="G2424" s="69" t="str">
        <f aca="false">IFERROR(INDEX(分录收入!$I:$I,MATCH($L2424,分录收入!$L:$L,0)),"")</f>
        <v/>
      </c>
      <c r="H2424" s="23"/>
      <c r="I2424" s="70"/>
      <c r="L2424" s="71" t="n">
        <f aca="false">IF(助手收入!$R$163="",-1,助手收入!$R$163*100+(助手收入!$S$163-1)*6+4)</f>
        <v>-1</v>
      </c>
    </row>
    <row r="2425" customFormat="false" ht="23.25" hidden="false" customHeight="true" outlineLevel="0" collapsed="false">
      <c r="B2425" s="67" t="str">
        <f aca="false">""</f>
        <v/>
      </c>
      <c r="C2425" s="67"/>
      <c r="D2425" s="23" t="str">
        <f aca="false">IFERROR(INDEX(分录收入!$E:$E,MATCH($L2425,分录收入!$L:$L,0)),"")</f>
        <v/>
      </c>
      <c r="E2425" s="23" t="str">
        <f aca="false">IFERROR(INDEX(分录收入!$F:$F,MATCH($L2425,分录收入!$L:$L,0)),"")</f>
        <v/>
      </c>
      <c r="F2425" s="68" t="str">
        <f aca="false">IFERROR(INDEX(分录收入!$H:$H,MATCH($L2425,分录收入!$L:$L,0)),"")</f>
        <v/>
      </c>
      <c r="G2425" s="69" t="str">
        <f aca="false">IFERROR(INDEX(分录收入!$I:$I,MATCH($L2425,分录收入!$L:$L,0)),"")</f>
        <v/>
      </c>
      <c r="H2425" s="23"/>
      <c r="I2425" s="70"/>
      <c r="L2425" s="71" t="n">
        <f aca="false">IF(助手收入!$R$163="",-1,助手收入!$R$163*100+(助手收入!$S$163-1)*6+5)</f>
        <v>-1</v>
      </c>
    </row>
    <row r="2426" customFormat="false" ht="23.25" hidden="false" customHeight="true" outlineLevel="0" collapsed="false">
      <c r="B2426" s="67" t="str">
        <f aca="false">""</f>
        <v/>
      </c>
      <c r="C2426" s="67"/>
      <c r="D2426" s="23" t="str">
        <f aca="false">IFERROR(INDEX(分录收入!$E:$E,MATCH($L2426,分录收入!$L:$L,0)),"")</f>
        <v/>
      </c>
      <c r="E2426" s="23" t="str">
        <f aca="false">IFERROR(INDEX(分录收入!$F:$F,MATCH($L2426,分录收入!$L:$L,0)),"")</f>
        <v/>
      </c>
      <c r="F2426" s="68" t="str">
        <f aca="false">IFERROR(INDEX(分录收入!$H:$H,MATCH($L2426,分录收入!$L:$L,0)),"")</f>
        <v/>
      </c>
      <c r="G2426" s="69" t="str">
        <f aca="false">IFERROR(INDEX(分录收入!$I:$I,MATCH($L2426,分录收入!$L:$L,0)),"")</f>
        <v/>
      </c>
      <c r="H2426" s="23"/>
      <c r="I2426" s="70"/>
      <c r="L2426" s="71" t="n">
        <f aca="false">IF(助手收入!$R$163="",-1,助手收入!$R$163*100+(助手收入!$S$163-1)*6+6)</f>
        <v>-1</v>
      </c>
    </row>
    <row r="2427" customFormat="false" ht="23.25" hidden="false" customHeight="true" outlineLevel="0" collapsed="false">
      <c r="B2427" s="72" t="str">
        <f aca="false">IF(助手收入!$T$163=1,"合计：","")</f>
        <v/>
      </c>
      <c r="C2427" s="73" t="str">
        <f aca="false">IF(助手收入!$T$163=1,$F2427,"")</f>
        <v/>
      </c>
      <c r="D2427" s="74"/>
      <c r="E2427" s="74"/>
      <c r="F2427" s="75" t="str">
        <f aca="false">IF(助手收入!$T$163=1,INDEX(助手收入!$N$2:$N$66,助手收入!$R$163),"")</f>
        <v/>
      </c>
      <c r="G2427" s="76" t="str">
        <f aca="false">IF(助手收入!$T$163=1,INDEX(助手收入!$O$2:$O$66,助手收入!$R$163),"")</f>
        <v/>
      </c>
      <c r="H2427" s="74"/>
      <c r="I2427" s="77"/>
    </row>
    <row r="2428" customFormat="false" ht="6" hidden="false" customHeight="true" outlineLevel="0" collapsed="false"/>
    <row r="2429" customFormat="false" ht="13.5" hidden="false" customHeight="false" outlineLevel="0" collapsed="false">
      <c r="B2429" s="78" t="str">
        <f aca="false">IF(助手收入!$R$163&lt;&gt;"","会计主管：","")</f>
        <v/>
      </c>
      <c r="D2429" s="78" t="str">
        <f aca="false">IF(助手收入!$R$163&lt;&gt;"","会计：","")</f>
        <v/>
      </c>
      <c r="E2429" s="78" t="str">
        <f aca="false">IF(助手收入!$R$163&lt;&gt;"","出纳：","")</f>
        <v/>
      </c>
      <c r="F2429" s="78" t="str">
        <f aca="false">IF(助手收入!$R$163&lt;&gt;"","复核：","")</f>
        <v/>
      </c>
      <c r="G2429" s="78" t="str">
        <f aca="false">IF(助手收入!$R$163&lt;&gt;"","制单：","")</f>
        <v/>
      </c>
    </row>
    <row r="2430" customFormat="false" ht="3" hidden="false" customHeight="true" outlineLevel="0" collapsed="false"/>
    <row r="2431" customFormat="false" ht="19.5" hidden="false" customHeight="true" outlineLevel="0" collapsed="false">
      <c r="B2431" s="53" t="str">
        <f aca="false">IF(助手收入!$R$164&lt;&gt;"","记  账  凭  证","")</f>
        <v/>
      </c>
      <c r="C2431" s="53"/>
      <c r="D2431" s="53"/>
      <c r="E2431" s="53"/>
      <c r="F2431" s="53"/>
      <c r="G2431" s="53"/>
      <c r="H2431" s="53"/>
      <c r="I2431" s="53"/>
    </row>
    <row r="2432" customFormat="false" ht="3" hidden="false" customHeight="true" outlineLevel="0" collapsed="false"/>
    <row r="2433" customFormat="false" ht="15" hidden="false" customHeight="true" outlineLevel="0" collapsed="false">
      <c r="C2433" s="56" t="str">
        <f aca="false">IF(助手收入!$R$164&lt;&gt;"",INDEX(助手收入!$B$2:$B$66,助手收入!$R$164),"")</f>
        <v/>
      </c>
      <c r="D2433" s="57" t="str">
        <f aca="false">IF(助手收入!$R$164&lt;&gt;"",参数!$B$2,"")</f>
        <v/>
      </c>
      <c r="E2433" s="57"/>
      <c r="F2433" s="58" t="str">
        <f aca="false">IF(助手收入!$R$164&lt;&gt;"",INDEX(助手收入!$C$2:$C$66,助手收入!$R$164)&amp;"  字第 "&amp;IF(参数!$B$9="是",INDEX(助手收入!$P$2:$P$66,助手收入!$R$164),"　　　　")&amp;" 号"&amp;IF(INDEX(助手收入!$L$2:$L$66,助手收入!$R$164)&gt;1,"  (共"&amp;INDEX(助手收入!$L$2:$L$66,助手收入!$R$164)&amp;"页 第"&amp;助手收入!$S$164&amp;"页)",""),"")</f>
        <v/>
      </c>
      <c r="G2433" s="58"/>
      <c r="H2433" s="58"/>
      <c r="I2433" s="58"/>
      <c r="M2433" s="79" t="str">
        <f aca="false">IF(助手收入!$R$164="","",助手收入!$Q$164)</f>
        <v/>
      </c>
      <c r="N2433" s="80" t="str">
        <f aca="false">IF(助手收入!$R$164="","",INDEX(助手收入!$P$2:$P$66,助手收入!$R$164))</f>
        <v/>
      </c>
      <c r="O2433" s="55" t="str">
        <f aca="false">IF(助手收入!$R$164="","",INDEX(助手收入!$C$2:$C$66,助手收入!$R$164)&amp;"  字第 "&amp;INDEX(助手收入!$P$2:$P$66,助手收入!$R$164)&amp;" 号"&amp;IF(INDEX(助手收入!$L$2:$L$66,助手收入!$R$164)&gt;1,"  (共"&amp;INDEX(助手收入!$L$2:$L$66,助手收入!$R$164)&amp;"页 第"&amp;助手收入!$S$164&amp;"页)",""))</f>
        <v/>
      </c>
    </row>
    <row r="2434" customFormat="false" ht="12.75" hidden="false" customHeight="true" outlineLevel="0" collapsed="false">
      <c r="B2434" s="61" t="str">
        <f aca="false">IF(助手收入!$R$164&lt;&gt;"","摘　　要","")</f>
        <v/>
      </c>
      <c r="C2434" s="61"/>
      <c r="D2434" s="62" t="str">
        <f aca="false">IF(助手收入!$R$164&lt;&gt;"","科　　　　目","")</f>
        <v/>
      </c>
      <c r="E2434" s="62"/>
      <c r="F2434" s="61" t="str">
        <f aca="false">IF(助手收入!$R$164&lt;&gt;"","借 方 金 额","")</f>
        <v/>
      </c>
      <c r="G2434" s="62" t="str">
        <f aca="false">IF(助手收入!$R$164&lt;&gt;"","贷 方 金 额","")</f>
        <v/>
      </c>
      <c r="H2434" s="63" t="str">
        <f aca="false">IF(助手收入!$R$164&lt;&gt;"","√","")</f>
        <v/>
      </c>
      <c r="I2434" s="64" t="str">
        <f aca="false">IF(助手收入!$R$164&lt;&gt;"","附单据  张","")</f>
        <v/>
      </c>
    </row>
    <row r="2435" customFormat="false" ht="12.75" hidden="false" customHeight="true" outlineLevel="0" collapsed="false">
      <c r="B2435" s="61"/>
      <c r="C2435" s="61"/>
      <c r="D2435" s="23" t="str">
        <f aca="false">IF(助手收入!$R$164&lt;&gt;"","总 账 科 目","")</f>
        <v/>
      </c>
      <c r="E2435" s="23" t="str">
        <f aca="false">IF(助手收入!$R$164&lt;&gt;"","明 细 科 目","")</f>
        <v/>
      </c>
      <c r="F2435" s="65"/>
      <c r="G2435" s="66"/>
      <c r="H2435" s="63"/>
      <c r="I2435" s="64"/>
    </row>
    <row r="2436" customFormat="false" ht="23.25" hidden="false" customHeight="true" outlineLevel="0" collapsed="false">
      <c r="B2436" s="67" t="str">
        <f aca="false">IFERROR(INDEX(分录收入!$M:$M,MATCH($L2436,分录收入!$L:$L,0)),"")</f>
        <v/>
      </c>
      <c r="C2436" s="67"/>
      <c r="D2436" s="23" t="str">
        <f aca="false">IFERROR(INDEX(分录收入!$E:$E,MATCH($L2436,分录收入!$L:$L,0)),"")</f>
        <v/>
      </c>
      <c r="E2436" s="23" t="str">
        <f aca="false">IFERROR(INDEX(分录收入!$F:$F,MATCH($L2436,分录收入!$L:$L,0)),"")</f>
        <v/>
      </c>
      <c r="F2436" s="68" t="str">
        <f aca="false">IFERROR(INDEX(分录收入!$H:$H,MATCH($L2436,分录收入!$L:$L,0)),"")</f>
        <v/>
      </c>
      <c r="G2436" s="69" t="str">
        <f aca="false">IFERROR(INDEX(分录收入!$I:$I,MATCH($L2436,分录收入!$L:$L,0)),"")</f>
        <v/>
      </c>
      <c r="H2436" s="23"/>
      <c r="I2436" s="70"/>
      <c r="L2436" s="71" t="n">
        <f aca="false">IF(助手收入!$R$164="",-1,助手收入!$R$164*100+(助手收入!$S$164-1)*6+1)</f>
        <v>-1</v>
      </c>
    </row>
    <row r="2437" customFormat="false" ht="23.25" hidden="false" customHeight="true" outlineLevel="0" collapsed="false">
      <c r="B2437" s="67" t="str">
        <f aca="false">""</f>
        <v/>
      </c>
      <c r="C2437" s="67"/>
      <c r="D2437" s="23" t="str">
        <f aca="false">IFERROR(INDEX(分录收入!$E:$E,MATCH($L2437,分录收入!$L:$L,0)),"")</f>
        <v/>
      </c>
      <c r="E2437" s="23" t="str">
        <f aca="false">IFERROR(INDEX(分录收入!$F:$F,MATCH($L2437,分录收入!$L:$L,0)),"")</f>
        <v/>
      </c>
      <c r="F2437" s="68" t="str">
        <f aca="false">IFERROR(INDEX(分录收入!$H:$H,MATCH($L2437,分录收入!$L:$L,0)),"")</f>
        <v/>
      </c>
      <c r="G2437" s="69" t="str">
        <f aca="false">IFERROR(INDEX(分录收入!$I:$I,MATCH($L2437,分录收入!$L:$L,0)),"")</f>
        <v/>
      </c>
      <c r="H2437" s="23"/>
      <c r="I2437" s="70"/>
      <c r="L2437" s="71" t="n">
        <f aca="false">IF(助手收入!$R$164="",-1,助手收入!$R$164*100+(助手收入!$S$164-1)*6+2)</f>
        <v>-1</v>
      </c>
    </row>
    <row r="2438" customFormat="false" ht="23.25" hidden="false" customHeight="true" outlineLevel="0" collapsed="false">
      <c r="B2438" s="67" t="str">
        <f aca="false">""</f>
        <v/>
      </c>
      <c r="C2438" s="67"/>
      <c r="D2438" s="23" t="str">
        <f aca="false">IFERROR(INDEX(分录收入!$E:$E,MATCH($L2438,分录收入!$L:$L,0)),"")</f>
        <v/>
      </c>
      <c r="E2438" s="23" t="str">
        <f aca="false">IFERROR(INDEX(分录收入!$F:$F,MATCH($L2438,分录收入!$L:$L,0)),"")</f>
        <v/>
      </c>
      <c r="F2438" s="68" t="str">
        <f aca="false">IFERROR(INDEX(分录收入!$H:$H,MATCH($L2438,分录收入!$L:$L,0)),"")</f>
        <v/>
      </c>
      <c r="G2438" s="69" t="str">
        <f aca="false">IFERROR(INDEX(分录收入!$I:$I,MATCH($L2438,分录收入!$L:$L,0)),"")</f>
        <v/>
      </c>
      <c r="H2438" s="23"/>
      <c r="I2438" s="70"/>
      <c r="L2438" s="71" t="n">
        <f aca="false">IF(助手收入!$R$164="",-1,助手收入!$R$164*100+(助手收入!$S$164-1)*6+3)</f>
        <v>-1</v>
      </c>
    </row>
    <row r="2439" customFormat="false" ht="23.25" hidden="false" customHeight="true" outlineLevel="0" collapsed="false">
      <c r="B2439" s="67" t="str">
        <f aca="false">""</f>
        <v/>
      </c>
      <c r="C2439" s="67"/>
      <c r="D2439" s="23" t="str">
        <f aca="false">IFERROR(INDEX(分录收入!$E:$E,MATCH($L2439,分录收入!$L:$L,0)),"")</f>
        <v/>
      </c>
      <c r="E2439" s="23" t="str">
        <f aca="false">IFERROR(INDEX(分录收入!$F:$F,MATCH($L2439,分录收入!$L:$L,0)),"")</f>
        <v/>
      </c>
      <c r="F2439" s="68" t="str">
        <f aca="false">IFERROR(INDEX(分录收入!$H:$H,MATCH($L2439,分录收入!$L:$L,0)),"")</f>
        <v/>
      </c>
      <c r="G2439" s="69" t="str">
        <f aca="false">IFERROR(INDEX(分录收入!$I:$I,MATCH($L2439,分录收入!$L:$L,0)),"")</f>
        <v/>
      </c>
      <c r="H2439" s="23"/>
      <c r="I2439" s="70"/>
      <c r="L2439" s="71" t="n">
        <f aca="false">IF(助手收入!$R$164="",-1,助手收入!$R$164*100+(助手收入!$S$164-1)*6+4)</f>
        <v>-1</v>
      </c>
    </row>
    <row r="2440" customFormat="false" ht="23.25" hidden="false" customHeight="true" outlineLevel="0" collapsed="false">
      <c r="B2440" s="67" t="str">
        <f aca="false">""</f>
        <v/>
      </c>
      <c r="C2440" s="67"/>
      <c r="D2440" s="23" t="str">
        <f aca="false">IFERROR(INDEX(分录收入!$E:$E,MATCH($L2440,分录收入!$L:$L,0)),"")</f>
        <v/>
      </c>
      <c r="E2440" s="23" t="str">
        <f aca="false">IFERROR(INDEX(分录收入!$F:$F,MATCH($L2440,分录收入!$L:$L,0)),"")</f>
        <v/>
      </c>
      <c r="F2440" s="68" t="str">
        <f aca="false">IFERROR(INDEX(分录收入!$H:$H,MATCH($L2440,分录收入!$L:$L,0)),"")</f>
        <v/>
      </c>
      <c r="G2440" s="69" t="str">
        <f aca="false">IFERROR(INDEX(分录收入!$I:$I,MATCH($L2440,分录收入!$L:$L,0)),"")</f>
        <v/>
      </c>
      <c r="H2440" s="23"/>
      <c r="I2440" s="70"/>
      <c r="L2440" s="71" t="n">
        <f aca="false">IF(助手收入!$R$164="",-1,助手收入!$R$164*100+(助手收入!$S$164-1)*6+5)</f>
        <v>-1</v>
      </c>
    </row>
    <row r="2441" customFormat="false" ht="23.25" hidden="false" customHeight="true" outlineLevel="0" collapsed="false">
      <c r="B2441" s="67" t="str">
        <f aca="false">""</f>
        <v/>
      </c>
      <c r="C2441" s="67"/>
      <c r="D2441" s="23" t="str">
        <f aca="false">IFERROR(INDEX(分录收入!$E:$E,MATCH($L2441,分录收入!$L:$L,0)),"")</f>
        <v/>
      </c>
      <c r="E2441" s="23" t="str">
        <f aca="false">IFERROR(INDEX(分录收入!$F:$F,MATCH($L2441,分录收入!$L:$L,0)),"")</f>
        <v/>
      </c>
      <c r="F2441" s="68" t="str">
        <f aca="false">IFERROR(INDEX(分录收入!$H:$H,MATCH($L2441,分录收入!$L:$L,0)),"")</f>
        <v/>
      </c>
      <c r="G2441" s="69" t="str">
        <f aca="false">IFERROR(INDEX(分录收入!$I:$I,MATCH($L2441,分录收入!$L:$L,0)),"")</f>
        <v/>
      </c>
      <c r="H2441" s="23"/>
      <c r="I2441" s="70"/>
      <c r="L2441" s="71" t="n">
        <f aca="false">IF(助手收入!$R$164="",-1,助手收入!$R$164*100+(助手收入!$S$164-1)*6+6)</f>
        <v>-1</v>
      </c>
    </row>
    <row r="2442" customFormat="false" ht="23.25" hidden="false" customHeight="true" outlineLevel="0" collapsed="false">
      <c r="B2442" s="72" t="str">
        <f aca="false">IF(助手收入!$T$164=1,"合计：","")</f>
        <v/>
      </c>
      <c r="C2442" s="73" t="str">
        <f aca="false">IF(助手收入!$T$164=1,$F2442,"")</f>
        <v/>
      </c>
      <c r="D2442" s="74"/>
      <c r="E2442" s="74"/>
      <c r="F2442" s="75" t="str">
        <f aca="false">IF(助手收入!$T$164=1,INDEX(助手收入!$N$2:$N$66,助手收入!$R$164),"")</f>
        <v/>
      </c>
      <c r="G2442" s="76" t="str">
        <f aca="false">IF(助手收入!$T$164=1,INDEX(助手收入!$O$2:$O$66,助手收入!$R$164),"")</f>
        <v/>
      </c>
      <c r="H2442" s="74"/>
      <c r="I2442" s="77"/>
    </row>
    <row r="2443" customFormat="false" ht="6" hidden="false" customHeight="true" outlineLevel="0" collapsed="false"/>
    <row r="2444" customFormat="false" ht="13.5" hidden="false" customHeight="false" outlineLevel="0" collapsed="false">
      <c r="B2444" s="78" t="str">
        <f aca="false">IF(助手收入!$R$164&lt;&gt;"","会计主管：","")</f>
        <v/>
      </c>
      <c r="D2444" s="78" t="str">
        <f aca="false">IF(助手收入!$R$164&lt;&gt;"","会计：","")</f>
        <v/>
      </c>
      <c r="E2444" s="78" t="str">
        <f aca="false">IF(助手收入!$R$164&lt;&gt;"","出纳：","")</f>
        <v/>
      </c>
      <c r="F2444" s="78" t="str">
        <f aca="false">IF(助手收入!$R$164&lt;&gt;"","复核：","")</f>
        <v/>
      </c>
      <c r="G2444" s="78" t="str">
        <f aca="false">IF(助手收入!$R$164&lt;&gt;"","制单：","")</f>
        <v/>
      </c>
    </row>
    <row r="2445" customFormat="false" ht="3" hidden="false" customHeight="true" outlineLevel="0" collapsed="false"/>
    <row r="2446" customFormat="false" ht="19.5" hidden="false" customHeight="true" outlineLevel="0" collapsed="false">
      <c r="B2446" s="53" t="str">
        <f aca="false">IF(助手收入!$R$165&lt;&gt;"","记  账  凭  证","")</f>
        <v/>
      </c>
      <c r="C2446" s="53"/>
      <c r="D2446" s="53"/>
      <c r="E2446" s="53"/>
      <c r="F2446" s="53"/>
      <c r="G2446" s="53"/>
      <c r="H2446" s="53"/>
      <c r="I2446" s="53"/>
    </row>
    <row r="2447" customFormat="false" ht="3" hidden="false" customHeight="true" outlineLevel="0" collapsed="false"/>
    <row r="2448" customFormat="false" ht="15" hidden="false" customHeight="true" outlineLevel="0" collapsed="false">
      <c r="C2448" s="56" t="str">
        <f aca="false">IF(助手收入!$R$165&lt;&gt;"",INDEX(助手收入!$B$2:$B$66,助手收入!$R$165),"")</f>
        <v/>
      </c>
      <c r="D2448" s="57" t="str">
        <f aca="false">IF(助手收入!$R$165&lt;&gt;"",参数!$B$2,"")</f>
        <v/>
      </c>
      <c r="E2448" s="57"/>
      <c r="F2448" s="58" t="str">
        <f aca="false">IF(助手收入!$R$165&lt;&gt;"",INDEX(助手收入!$C$2:$C$66,助手收入!$R$165)&amp;"  字第 "&amp;IF(参数!$B$9="是",INDEX(助手收入!$P$2:$P$66,助手收入!$R$165),"　　　　")&amp;" 号"&amp;IF(INDEX(助手收入!$L$2:$L$66,助手收入!$R$165)&gt;1,"  (共"&amp;INDEX(助手收入!$L$2:$L$66,助手收入!$R$165)&amp;"页 第"&amp;助手收入!$S$165&amp;"页)",""),"")</f>
        <v/>
      </c>
      <c r="G2448" s="58"/>
      <c r="H2448" s="58"/>
      <c r="I2448" s="58"/>
      <c r="M2448" s="79" t="str">
        <f aca="false">IF(助手收入!$R$165="","",助手收入!$Q$165)</f>
        <v/>
      </c>
      <c r="N2448" s="80" t="str">
        <f aca="false">IF(助手收入!$R$165="","",INDEX(助手收入!$P$2:$P$66,助手收入!$R$165))</f>
        <v/>
      </c>
      <c r="O2448" s="55" t="str">
        <f aca="false">IF(助手收入!$R$165="","",INDEX(助手收入!$C$2:$C$66,助手收入!$R$165)&amp;"  字第 "&amp;INDEX(助手收入!$P$2:$P$66,助手收入!$R$165)&amp;" 号"&amp;IF(INDEX(助手收入!$L$2:$L$66,助手收入!$R$165)&gt;1,"  (共"&amp;INDEX(助手收入!$L$2:$L$66,助手收入!$R$165)&amp;"页 第"&amp;助手收入!$S$165&amp;"页)",""))</f>
        <v/>
      </c>
    </row>
    <row r="2449" customFormat="false" ht="12.75" hidden="false" customHeight="true" outlineLevel="0" collapsed="false">
      <c r="B2449" s="61" t="str">
        <f aca="false">IF(助手收入!$R$165&lt;&gt;"","摘　　要","")</f>
        <v/>
      </c>
      <c r="C2449" s="61"/>
      <c r="D2449" s="62" t="str">
        <f aca="false">IF(助手收入!$R$165&lt;&gt;"","科　　　　目","")</f>
        <v/>
      </c>
      <c r="E2449" s="62"/>
      <c r="F2449" s="61" t="str">
        <f aca="false">IF(助手收入!$R$165&lt;&gt;"","借 方 金 额","")</f>
        <v/>
      </c>
      <c r="G2449" s="62" t="str">
        <f aca="false">IF(助手收入!$R$165&lt;&gt;"","贷 方 金 额","")</f>
        <v/>
      </c>
      <c r="H2449" s="63" t="str">
        <f aca="false">IF(助手收入!$R$165&lt;&gt;"","√","")</f>
        <v/>
      </c>
      <c r="I2449" s="64" t="str">
        <f aca="false">IF(助手收入!$R$165&lt;&gt;"","附单据  张","")</f>
        <v/>
      </c>
    </row>
    <row r="2450" customFormat="false" ht="12.75" hidden="false" customHeight="true" outlineLevel="0" collapsed="false">
      <c r="B2450" s="61"/>
      <c r="C2450" s="61"/>
      <c r="D2450" s="23" t="str">
        <f aca="false">IF(助手收入!$R$165&lt;&gt;"","总 账 科 目","")</f>
        <v/>
      </c>
      <c r="E2450" s="23" t="str">
        <f aca="false">IF(助手收入!$R$165&lt;&gt;"","明 细 科 目","")</f>
        <v/>
      </c>
      <c r="F2450" s="65"/>
      <c r="G2450" s="66"/>
      <c r="H2450" s="63"/>
      <c r="I2450" s="64"/>
    </row>
    <row r="2451" customFormat="false" ht="23.25" hidden="false" customHeight="true" outlineLevel="0" collapsed="false">
      <c r="B2451" s="67" t="str">
        <f aca="false">IFERROR(INDEX(分录收入!$M:$M,MATCH($L2451,分录收入!$L:$L,0)),"")</f>
        <v/>
      </c>
      <c r="C2451" s="67"/>
      <c r="D2451" s="23" t="str">
        <f aca="false">IFERROR(INDEX(分录收入!$E:$E,MATCH($L2451,分录收入!$L:$L,0)),"")</f>
        <v/>
      </c>
      <c r="E2451" s="23" t="str">
        <f aca="false">IFERROR(INDEX(分录收入!$F:$F,MATCH($L2451,分录收入!$L:$L,0)),"")</f>
        <v/>
      </c>
      <c r="F2451" s="68" t="str">
        <f aca="false">IFERROR(INDEX(分录收入!$H:$H,MATCH($L2451,分录收入!$L:$L,0)),"")</f>
        <v/>
      </c>
      <c r="G2451" s="69" t="str">
        <f aca="false">IFERROR(INDEX(分录收入!$I:$I,MATCH($L2451,分录收入!$L:$L,0)),"")</f>
        <v/>
      </c>
      <c r="H2451" s="23"/>
      <c r="I2451" s="70"/>
      <c r="L2451" s="71" t="n">
        <f aca="false">IF(助手收入!$R$165="",-1,助手收入!$R$165*100+(助手收入!$S$165-1)*6+1)</f>
        <v>-1</v>
      </c>
    </row>
    <row r="2452" customFormat="false" ht="23.25" hidden="false" customHeight="true" outlineLevel="0" collapsed="false">
      <c r="B2452" s="67" t="str">
        <f aca="false">""</f>
        <v/>
      </c>
      <c r="C2452" s="67"/>
      <c r="D2452" s="23" t="str">
        <f aca="false">IFERROR(INDEX(分录收入!$E:$E,MATCH($L2452,分录收入!$L:$L,0)),"")</f>
        <v/>
      </c>
      <c r="E2452" s="23" t="str">
        <f aca="false">IFERROR(INDEX(分录收入!$F:$F,MATCH($L2452,分录收入!$L:$L,0)),"")</f>
        <v/>
      </c>
      <c r="F2452" s="68" t="str">
        <f aca="false">IFERROR(INDEX(分录收入!$H:$H,MATCH($L2452,分录收入!$L:$L,0)),"")</f>
        <v/>
      </c>
      <c r="G2452" s="69" t="str">
        <f aca="false">IFERROR(INDEX(分录收入!$I:$I,MATCH($L2452,分录收入!$L:$L,0)),"")</f>
        <v/>
      </c>
      <c r="H2452" s="23"/>
      <c r="I2452" s="70"/>
      <c r="L2452" s="71" t="n">
        <f aca="false">IF(助手收入!$R$165="",-1,助手收入!$R$165*100+(助手收入!$S$165-1)*6+2)</f>
        <v>-1</v>
      </c>
    </row>
    <row r="2453" customFormat="false" ht="23.25" hidden="false" customHeight="true" outlineLevel="0" collapsed="false">
      <c r="B2453" s="67" t="str">
        <f aca="false">""</f>
        <v/>
      </c>
      <c r="C2453" s="67"/>
      <c r="D2453" s="23" t="str">
        <f aca="false">IFERROR(INDEX(分录收入!$E:$E,MATCH($L2453,分录收入!$L:$L,0)),"")</f>
        <v/>
      </c>
      <c r="E2453" s="23" t="str">
        <f aca="false">IFERROR(INDEX(分录收入!$F:$F,MATCH($L2453,分录收入!$L:$L,0)),"")</f>
        <v/>
      </c>
      <c r="F2453" s="68" t="str">
        <f aca="false">IFERROR(INDEX(分录收入!$H:$H,MATCH($L2453,分录收入!$L:$L,0)),"")</f>
        <v/>
      </c>
      <c r="G2453" s="69" t="str">
        <f aca="false">IFERROR(INDEX(分录收入!$I:$I,MATCH($L2453,分录收入!$L:$L,0)),"")</f>
        <v/>
      </c>
      <c r="H2453" s="23"/>
      <c r="I2453" s="70"/>
      <c r="L2453" s="71" t="n">
        <f aca="false">IF(助手收入!$R$165="",-1,助手收入!$R$165*100+(助手收入!$S$165-1)*6+3)</f>
        <v>-1</v>
      </c>
    </row>
    <row r="2454" customFormat="false" ht="23.25" hidden="false" customHeight="true" outlineLevel="0" collapsed="false">
      <c r="B2454" s="67" t="str">
        <f aca="false">""</f>
        <v/>
      </c>
      <c r="C2454" s="67"/>
      <c r="D2454" s="23" t="str">
        <f aca="false">IFERROR(INDEX(分录收入!$E:$E,MATCH($L2454,分录收入!$L:$L,0)),"")</f>
        <v/>
      </c>
      <c r="E2454" s="23" t="str">
        <f aca="false">IFERROR(INDEX(分录收入!$F:$F,MATCH($L2454,分录收入!$L:$L,0)),"")</f>
        <v/>
      </c>
      <c r="F2454" s="68" t="str">
        <f aca="false">IFERROR(INDEX(分录收入!$H:$H,MATCH($L2454,分录收入!$L:$L,0)),"")</f>
        <v/>
      </c>
      <c r="G2454" s="69" t="str">
        <f aca="false">IFERROR(INDEX(分录收入!$I:$I,MATCH($L2454,分录收入!$L:$L,0)),"")</f>
        <v/>
      </c>
      <c r="H2454" s="23"/>
      <c r="I2454" s="70"/>
      <c r="L2454" s="71" t="n">
        <f aca="false">IF(助手收入!$R$165="",-1,助手收入!$R$165*100+(助手收入!$S$165-1)*6+4)</f>
        <v>-1</v>
      </c>
    </row>
    <row r="2455" customFormat="false" ht="23.25" hidden="false" customHeight="true" outlineLevel="0" collapsed="false">
      <c r="B2455" s="67" t="str">
        <f aca="false">""</f>
        <v/>
      </c>
      <c r="C2455" s="67"/>
      <c r="D2455" s="23" t="str">
        <f aca="false">IFERROR(INDEX(分录收入!$E:$E,MATCH($L2455,分录收入!$L:$L,0)),"")</f>
        <v/>
      </c>
      <c r="E2455" s="23" t="str">
        <f aca="false">IFERROR(INDEX(分录收入!$F:$F,MATCH($L2455,分录收入!$L:$L,0)),"")</f>
        <v/>
      </c>
      <c r="F2455" s="68" t="str">
        <f aca="false">IFERROR(INDEX(分录收入!$H:$H,MATCH($L2455,分录收入!$L:$L,0)),"")</f>
        <v/>
      </c>
      <c r="G2455" s="69" t="str">
        <f aca="false">IFERROR(INDEX(分录收入!$I:$I,MATCH($L2455,分录收入!$L:$L,0)),"")</f>
        <v/>
      </c>
      <c r="H2455" s="23"/>
      <c r="I2455" s="70"/>
      <c r="L2455" s="71" t="n">
        <f aca="false">IF(助手收入!$R$165="",-1,助手收入!$R$165*100+(助手收入!$S$165-1)*6+5)</f>
        <v>-1</v>
      </c>
    </row>
    <row r="2456" customFormat="false" ht="23.25" hidden="false" customHeight="true" outlineLevel="0" collapsed="false">
      <c r="B2456" s="67" t="str">
        <f aca="false">""</f>
        <v/>
      </c>
      <c r="C2456" s="67"/>
      <c r="D2456" s="23" t="str">
        <f aca="false">IFERROR(INDEX(分录收入!$E:$E,MATCH($L2456,分录收入!$L:$L,0)),"")</f>
        <v/>
      </c>
      <c r="E2456" s="23" t="str">
        <f aca="false">IFERROR(INDEX(分录收入!$F:$F,MATCH($L2456,分录收入!$L:$L,0)),"")</f>
        <v/>
      </c>
      <c r="F2456" s="68" t="str">
        <f aca="false">IFERROR(INDEX(分录收入!$H:$H,MATCH($L2456,分录收入!$L:$L,0)),"")</f>
        <v/>
      </c>
      <c r="G2456" s="69" t="str">
        <f aca="false">IFERROR(INDEX(分录收入!$I:$I,MATCH($L2456,分录收入!$L:$L,0)),"")</f>
        <v/>
      </c>
      <c r="H2456" s="23"/>
      <c r="I2456" s="70"/>
      <c r="L2456" s="71" t="n">
        <f aca="false">IF(助手收入!$R$165="",-1,助手收入!$R$165*100+(助手收入!$S$165-1)*6+6)</f>
        <v>-1</v>
      </c>
    </row>
    <row r="2457" customFormat="false" ht="23.25" hidden="false" customHeight="true" outlineLevel="0" collapsed="false">
      <c r="B2457" s="72" t="str">
        <f aca="false">IF(助手收入!$T$165=1,"合计：","")</f>
        <v/>
      </c>
      <c r="C2457" s="73" t="str">
        <f aca="false">IF(助手收入!$T$165=1,$F2457,"")</f>
        <v/>
      </c>
      <c r="D2457" s="74"/>
      <c r="E2457" s="74"/>
      <c r="F2457" s="75" t="str">
        <f aca="false">IF(助手收入!$T$165=1,INDEX(助手收入!$N$2:$N$66,助手收入!$R$165),"")</f>
        <v/>
      </c>
      <c r="G2457" s="76" t="str">
        <f aca="false">IF(助手收入!$T$165=1,INDEX(助手收入!$O$2:$O$66,助手收入!$R$165),"")</f>
        <v/>
      </c>
      <c r="H2457" s="74"/>
      <c r="I2457" s="77"/>
    </row>
    <row r="2458" customFormat="false" ht="6" hidden="false" customHeight="true" outlineLevel="0" collapsed="false"/>
    <row r="2459" customFormat="false" ht="13.5" hidden="false" customHeight="false" outlineLevel="0" collapsed="false">
      <c r="B2459" s="78" t="str">
        <f aca="false">IF(助手收入!$R$165&lt;&gt;"","会计主管：","")</f>
        <v/>
      </c>
      <c r="D2459" s="78" t="str">
        <f aca="false">IF(助手收入!$R$165&lt;&gt;"","会计：","")</f>
        <v/>
      </c>
      <c r="E2459" s="78" t="str">
        <f aca="false">IF(助手收入!$R$165&lt;&gt;"","出纳：","")</f>
        <v/>
      </c>
      <c r="F2459" s="78" t="str">
        <f aca="false">IF(助手收入!$R$165&lt;&gt;"","复核：","")</f>
        <v/>
      </c>
      <c r="G2459" s="78" t="str">
        <f aca="false">IF(助手收入!$R$165&lt;&gt;"","制单：","")</f>
        <v/>
      </c>
    </row>
    <row r="2460" customFormat="false" ht="3" hidden="false" customHeight="true" outlineLevel="0" collapsed="false"/>
    <row r="2461" customFormat="false" ht="19.5" hidden="false" customHeight="true" outlineLevel="0" collapsed="false">
      <c r="B2461" s="53" t="str">
        <f aca="false">IF(助手收入!$R$166&lt;&gt;"","记  账  凭  证","")</f>
        <v/>
      </c>
      <c r="C2461" s="53"/>
      <c r="D2461" s="53"/>
      <c r="E2461" s="53"/>
      <c r="F2461" s="53"/>
      <c r="G2461" s="53"/>
      <c r="H2461" s="53"/>
      <c r="I2461" s="53"/>
    </row>
    <row r="2462" customFormat="false" ht="3" hidden="false" customHeight="true" outlineLevel="0" collapsed="false"/>
    <row r="2463" customFormat="false" ht="15" hidden="false" customHeight="true" outlineLevel="0" collapsed="false">
      <c r="C2463" s="56" t="str">
        <f aca="false">IF(助手收入!$R$166&lt;&gt;"",INDEX(助手收入!$B$2:$B$66,助手收入!$R$166),"")</f>
        <v/>
      </c>
      <c r="D2463" s="57" t="str">
        <f aca="false">IF(助手收入!$R$166&lt;&gt;"",参数!$B$2,"")</f>
        <v/>
      </c>
      <c r="E2463" s="57"/>
      <c r="F2463" s="58" t="str">
        <f aca="false">IF(助手收入!$R$166&lt;&gt;"",INDEX(助手收入!$C$2:$C$66,助手收入!$R$166)&amp;"  字第 "&amp;IF(参数!$B$9="是",INDEX(助手收入!$P$2:$P$66,助手收入!$R$166),"　　　　")&amp;" 号"&amp;IF(INDEX(助手收入!$L$2:$L$66,助手收入!$R$166)&gt;1,"  (共"&amp;INDEX(助手收入!$L$2:$L$66,助手收入!$R$166)&amp;"页 第"&amp;助手收入!$S$166&amp;"页)",""),"")</f>
        <v/>
      </c>
      <c r="G2463" s="58"/>
      <c r="H2463" s="58"/>
      <c r="I2463" s="58"/>
      <c r="M2463" s="79" t="str">
        <f aca="false">IF(助手收入!$R$166="","",助手收入!$Q$166)</f>
        <v/>
      </c>
      <c r="N2463" s="80" t="str">
        <f aca="false">IF(助手收入!$R$166="","",INDEX(助手收入!$P$2:$P$66,助手收入!$R$166))</f>
        <v/>
      </c>
      <c r="O2463" s="55" t="str">
        <f aca="false">IF(助手收入!$R$166="","",INDEX(助手收入!$C$2:$C$66,助手收入!$R$166)&amp;"  字第 "&amp;INDEX(助手收入!$P$2:$P$66,助手收入!$R$166)&amp;" 号"&amp;IF(INDEX(助手收入!$L$2:$L$66,助手收入!$R$166)&gt;1,"  (共"&amp;INDEX(助手收入!$L$2:$L$66,助手收入!$R$166)&amp;"页 第"&amp;助手收入!$S$166&amp;"页)",""))</f>
        <v/>
      </c>
    </row>
    <row r="2464" customFormat="false" ht="12.75" hidden="false" customHeight="true" outlineLevel="0" collapsed="false">
      <c r="B2464" s="61" t="str">
        <f aca="false">IF(助手收入!$R$166&lt;&gt;"","摘　　要","")</f>
        <v/>
      </c>
      <c r="C2464" s="61"/>
      <c r="D2464" s="62" t="str">
        <f aca="false">IF(助手收入!$R$166&lt;&gt;"","科　　　　目","")</f>
        <v/>
      </c>
      <c r="E2464" s="62"/>
      <c r="F2464" s="61" t="str">
        <f aca="false">IF(助手收入!$R$166&lt;&gt;"","借 方 金 额","")</f>
        <v/>
      </c>
      <c r="G2464" s="62" t="str">
        <f aca="false">IF(助手收入!$R$166&lt;&gt;"","贷 方 金 额","")</f>
        <v/>
      </c>
      <c r="H2464" s="63" t="str">
        <f aca="false">IF(助手收入!$R$166&lt;&gt;"","√","")</f>
        <v/>
      </c>
      <c r="I2464" s="64" t="str">
        <f aca="false">IF(助手收入!$R$166&lt;&gt;"","附单据  张","")</f>
        <v/>
      </c>
    </row>
    <row r="2465" customFormat="false" ht="12.75" hidden="false" customHeight="true" outlineLevel="0" collapsed="false">
      <c r="B2465" s="61"/>
      <c r="C2465" s="61"/>
      <c r="D2465" s="23" t="str">
        <f aca="false">IF(助手收入!$R$166&lt;&gt;"","总 账 科 目","")</f>
        <v/>
      </c>
      <c r="E2465" s="23" t="str">
        <f aca="false">IF(助手收入!$R$166&lt;&gt;"","明 细 科 目","")</f>
        <v/>
      </c>
      <c r="F2465" s="65"/>
      <c r="G2465" s="66"/>
      <c r="H2465" s="63"/>
      <c r="I2465" s="64"/>
    </row>
    <row r="2466" customFormat="false" ht="23.25" hidden="false" customHeight="true" outlineLevel="0" collapsed="false">
      <c r="B2466" s="67" t="str">
        <f aca="false">IFERROR(INDEX(分录收入!$M:$M,MATCH($L2466,分录收入!$L:$L,0)),"")</f>
        <v/>
      </c>
      <c r="C2466" s="67"/>
      <c r="D2466" s="23" t="str">
        <f aca="false">IFERROR(INDEX(分录收入!$E:$E,MATCH($L2466,分录收入!$L:$L,0)),"")</f>
        <v/>
      </c>
      <c r="E2466" s="23" t="str">
        <f aca="false">IFERROR(INDEX(分录收入!$F:$F,MATCH($L2466,分录收入!$L:$L,0)),"")</f>
        <v/>
      </c>
      <c r="F2466" s="68" t="str">
        <f aca="false">IFERROR(INDEX(分录收入!$H:$H,MATCH($L2466,分录收入!$L:$L,0)),"")</f>
        <v/>
      </c>
      <c r="G2466" s="69" t="str">
        <f aca="false">IFERROR(INDEX(分录收入!$I:$I,MATCH($L2466,分录收入!$L:$L,0)),"")</f>
        <v/>
      </c>
      <c r="H2466" s="23"/>
      <c r="I2466" s="70"/>
      <c r="L2466" s="71" t="n">
        <f aca="false">IF(助手收入!$R$166="",-1,助手收入!$R$166*100+(助手收入!$S$166-1)*6+1)</f>
        <v>-1</v>
      </c>
    </row>
    <row r="2467" customFormat="false" ht="23.25" hidden="false" customHeight="true" outlineLevel="0" collapsed="false">
      <c r="B2467" s="67" t="str">
        <f aca="false">""</f>
        <v/>
      </c>
      <c r="C2467" s="67"/>
      <c r="D2467" s="23" t="str">
        <f aca="false">IFERROR(INDEX(分录收入!$E:$E,MATCH($L2467,分录收入!$L:$L,0)),"")</f>
        <v/>
      </c>
      <c r="E2467" s="23" t="str">
        <f aca="false">IFERROR(INDEX(分录收入!$F:$F,MATCH($L2467,分录收入!$L:$L,0)),"")</f>
        <v/>
      </c>
      <c r="F2467" s="68" t="str">
        <f aca="false">IFERROR(INDEX(分录收入!$H:$H,MATCH($L2467,分录收入!$L:$L,0)),"")</f>
        <v/>
      </c>
      <c r="G2467" s="69" t="str">
        <f aca="false">IFERROR(INDEX(分录收入!$I:$I,MATCH($L2467,分录收入!$L:$L,0)),"")</f>
        <v/>
      </c>
      <c r="H2467" s="23"/>
      <c r="I2467" s="70"/>
      <c r="L2467" s="71" t="n">
        <f aca="false">IF(助手收入!$R$166="",-1,助手收入!$R$166*100+(助手收入!$S$166-1)*6+2)</f>
        <v>-1</v>
      </c>
    </row>
    <row r="2468" customFormat="false" ht="23.25" hidden="false" customHeight="true" outlineLevel="0" collapsed="false">
      <c r="B2468" s="67" t="str">
        <f aca="false">""</f>
        <v/>
      </c>
      <c r="C2468" s="67"/>
      <c r="D2468" s="23" t="str">
        <f aca="false">IFERROR(INDEX(分录收入!$E:$E,MATCH($L2468,分录收入!$L:$L,0)),"")</f>
        <v/>
      </c>
      <c r="E2468" s="23" t="str">
        <f aca="false">IFERROR(INDEX(分录收入!$F:$F,MATCH($L2468,分录收入!$L:$L,0)),"")</f>
        <v/>
      </c>
      <c r="F2468" s="68" t="str">
        <f aca="false">IFERROR(INDEX(分录收入!$H:$H,MATCH($L2468,分录收入!$L:$L,0)),"")</f>
        <v/>
      </c>
      <c r="G2468" s="69" t="str">
        <f aca="false">IFERROR(INDEX(分录收入!$I:$I,MATCH($L2468,分录收入!$L:$L,0)),"")</f>
        <v/>
      </c>
      <c r="H2468" s="23"/>
      <c r="I2468" s="70"/>
      <c r="L2468" s="71" t="n">
        <f aca="false">IF(助手收入!$R$166="",-1,助手收入!$R$166*100+(助手收入!$S$166-1)*6+3)</f>
        <v>-1</v>
      </c>
    </row>
    <row r="2469" customFormat="false" ht="23.25" hidden="false" customHeight="true" outlineLevel="0" collapsed="false">
      <c r="B2469" s="67" t="str">
        <f aca="false">""</f>
        <v/>
      </c>
      <c r="C2469" s="67"/>
      <c r="D2469" s="23" t="str">
        <f aca="false">IFERROR(INDEX(分录收入!$E:$E,MATCH($L2469,分录收入!$L:$L,0)),"")</f>
        <v/>
      </c>
      <c r="E2469" s="23" t="str">
        <f aca="false">IFERROR(INDEX(分录收入!$F:$F,MATCH($L2469,分录收入!$L:$L,0)),"")</f>
        <v/>
      </c>
      <c r="F2469" s="68" t="str">
        <f aca="false">IFERROR(INDEX(分录收入!$H:$H,MATCH($L2469,分录收入!$L:$L,0)),"")</f>
        <v/>
      </c>
      <c r="G2469" s="69" t="str">
        <f aca="false">IFERROR(INDEX(分录收入!$I:$I,MATCH($L2469,分录收入!$L:$L,0)),"")</f>
        <v/>
      </c>
      <c r="H2469" s="23"/>
      <c r="I2469" s="70"/>
      <c r="L2469" s="71" t="n">
        <f aca="false">IF(助手收入!$R$166="",-1,助手收入!$R$166*100+(助手收入!$S$166-1)*6+4)</f>
        <v>-1</v>
      </c>
    </row>
    <row r="2470" customFormat="false" ht="23.25" hidden="false" customHeight="true" outlineLevel="0" collapsed="false">
      <c r="B2470" s="67" t="str">
        <f aca="false">""</f>
        <v/>
      </c>
      <c r="C2470" s="67"/>
      <c r="D2470" s="23" t="str">
        <f aca="false">IFERROR(INDEX(分录收入!$E:$E,MATCH($L2470,分录收入!$L:$L,0)),"")</f>
        <v/>
      </c>
      <c r="E2470" s="23" t="str">
        <f aca="false">IFERROR(INDEX(分录收入!$F:$F,MATCH($L2470,分录收入!$L:$L,0)),"")</f>
        <v/>
      </c>
      <c r="F2470" s="68" t="str">
        <f aca="false">IFERROR(INDEX(分录收入!$H:$H,MATCH($L2470,分录收入!$L:$L,0)),"")</f>
        <v/>
      </c>
      <c r="G2470" s="69" t="str">
        <f aca="false">IFERROR(INDEX(分录收入!$I:$I,MATCH($L2470,分录收入!$L:$L,0)),"")</f>
        <v/>
      </c>
      <c r="H2470" s="23"/>
      <c r="I2470" s="70"/>
      <c r="L2470" s="71" t="n">
        <f aca="false">IF(助手收入!$R$166="",-1,助手收入!$R$166*100+(助手收入!$S$166-1)*6+5)</f>
        <v>-1</v>
      </c>
    </row>
    <row r="2471" customFormat="false" ht="23.25" hidden="false" customHeight="true" outlineLevel="0" collapsed="false">
      <c r="B2471" s="67" t="str">
        <f aca="false">""</f>
        <v/>
      </c>
      <c r="C2471" s="67"/>
      <c r="D2471" s="23" t="str">
        <f aca="false">IFERROR(INDEX(分录收入!$E:$E,MATCH($L2471,分录收入!$L:$L,0)),"")</f>
        <v/>
      </c>
      <c r="E2471" s="23" t="str">
        <f aca="false">IFERROR(INDEX(分录收入!$F:$F,MATCH($L2471,分录收入!$L:$L,0)),"")</f>
        <v/>
      </c>
      <c r="F2471" s="68" t="str">
        <f aca="false">IFERROR(INDEX(分录收入!$H:$H,MATCH($L2471,分录收入!$L:$L,0)),"")</f>
        <v/>
      </c>
      <c r="G2471" s="69" t="str">
        <f aca="false">IFERROR(INDEX(分录收入!$I:$I,MATCH($L2471,分录收入!$L:$L,0)),"")</f>
        <v/>
      </c>
      <c r="H2471" s="23"/>
      <c r="I2471" s="70"/>
      <c r="L2471" s="71" t="n">
        <f aca="false">IF(助手收入!$R$166="",-1,助手收入!$R$166*100+(助手收入!$S$166-1)*6+6)</f>
        <v>-1</v>
      </c>
    </row>
    <row r="2472" customFormat="false" ht="23.25" hidden="false" customHeight="true" outlineLevel="0" collapsed="false">
      <c r="B2472" s="72" t="str">
        <f aca="false">IF(助手收入!$T$166=1,"合计：","")</f>
        <v/>
      </c>
      <c r="C2472" s="73" t="str">
        <f aca="false">IF(助手收入!$T$166=1,$F2472,"")</f>
        <v/>
      </c>
      <c r="D2472" s="74"/>
      <c r="E2472" s="74"/>
      <c r="F2472" s="75" t="str">
        <f aca="false">IF(助手收入!$T$166=1,INDEX(助手收入!$N$2:$N$66,助手收入!$R$166),"")</f>
        <v/>
      </c>
      <c r="G2472" s="76" t="str">
        <f aca="false">IF(助手收入!$T$166=1,INDEX(助手收入!$O$2:$O$66,助手收入!$R$166),"")</f>
        <v/>
      </c>
      <c r="H2472" s="74"/>
      <c r="I2472" s="77"/>
    </row>
    <row r="2473" customFormat="false" ht="6" hidden="false" customHeight="true" outlineLevel="0" collapsed="false"/>
    <row r="2474" customFormat="false" ht="13.5" hidden="false" customHeight="false" outlineLevel="0" collapsed="false">
      <c r="B2474" s="78" t="str">
        <f aca="false">IF(助手收入!$R$166&lt;&gt;"","会计主管：","")</f>
        <v/>
      </c>
      <c r="D2474" s="78" t="str">
        <f aca="false">IF(助手收入!$R$166&lt;&gt;"","会计：","")</f>
        <v/>
      </c>
      <c r="E2474" s="78" t="str">
        <f aca="false">IF(助手收入!$R$166&lt;&gt;"","出纳：","")</f>
        <v/>
      </c>
      <c r="F2474" s="78" t="str">
        <f aca="false">IF(助手收入!$R$166&lt;&gt;"","复核：","")</f>
        <v/>
      </c>
      <c r="G2474" s="78" t="str">
        <f aca="false">IF(助手收入!$R$166&lt;&gt;"","制单：","")</f>
        <v/>
      </c>
    </row>
    <row r="2475" customFormat="false" ht="3" hidden="false" customHeight="true" outlineLevel="0" collapsed="false"/>
    <row r="2476" customFormat="false" ht="19.5" hidden="false" customHeight="true" outlineLevel="0" collapsed="false">
      <c r="B2476" s="53" t="str">
        <f aca="false">IF(助手收入!$R$167&lt;&gt;"","记  账  凭  证","")</f>
        <v/>
      </c>
      <c r="C2476" s="53"/>
      <c r="D2476" s="53"/>
      <c r="E2476" s="53"/>
      <c r="F2476" s="53"/>
      <c r="G2476" s="53"/>
      <c r="H2476" s="53"/>
      <c r="I2476" s="53"/>
    </row>
    <row r="2477" customFormat="false" ht="3" hidden="false" customHeight="true" outlineLevel="0" collapsed="false"/>
    <row r="2478" customFormat="false" ht="15" hidden="false" customHeight="true" outlineLevel="0" collapsed="false">
      <c r="C2478" s="56" t="str">
        <f aca="false">IF(助手收入!$R$167&lt;&gt;"",INDEX(助手收入!$B$2:$B$66,助手收入!$R$167),"")</f>
        <v/>
      </c>
      <c r="D2478" s="57" t="str">
        <f aca="false">IF(助手收入!$R$167&lt;&gt;"",参数!$B$2,"")</f>
        <v/>
      </c>
      <c r="E2478" s="57"/>
      <c r="F2478" s="58" t="str">
        <f aca="false">IF(助手收入!$R$167&lt;&gt;"",INDEX(助手收入!$C$2:$C$66,助手收入!$R$167)&amp;"  字第 "&amp;IF(参数!$B$9="是",INDEX(助手收入!$P$2:$P$66,助手收入!$R$167),"　　　　")&amp;" 号"&amp;IF(INDEX(助手收入!$L$2:$L$66,助手收入!$R$167)&gt;1,"  (共"&amp;INDEX(助手收入!$L$2:$L$66,助手收入!$R$167)&amp;"页 第"&amp;助手收入!$S$167&amp;"页)",""),"")</f>
        <v/>
      </c>
      <c r="G2478" s="58"/>
      <c r="H2478" s="58"/>
      <c r="I2478" s="58"/>
      <c r="M2478" s="79" t="str">
        <f aca="false">IF(助手收入!$R$167="","",助手收入!$Q$167)</f>
        <v/>
      </c>
      <c r="N2478" s="80" t="str">
        <f aca="false">IF(助手收入!$R$167="","",INDEX(助手收入!$P$2:$P$66,助手收入!$R$167))</f>
        <v/>
      </c>
      <c r="O2478" s="55" t="str">
        <f aca="false">IF(助手收入!$R$167="","",INDEX(助手收入!$C$2:$C$66,助手收入!$R$167)&amp;"  字第 "&amp;INDEX(助手收入!$P$2:$P$66,助手收入!$R$167)&amp;" 号"&amp;IF(INDEX(助手收入!$L$2:$L$66,助手收入!$R$167)&gt;1,"  (共"&amp;INDEX(助手收入!$L$2:$L$66,助手收入!$R$167)&amp;"页 第"&amp;助手收入!$S$167&amp;"页)",""))</f>
        <v/>
      </c>
    </row>
    <row r="2479" customFormat="false" ht="12.75" hidden="false" customHeight="true" outlineLevel="0" collapsed="false">
      <c r="B2479" s="61" t="str">
        <f aca="false">IF(助手收入!$R$167&lt;&gt;"","摘　　要","")</f>
        <v/>
      </c>
      <c r="C2479" s="61"/>
      <c r="D2479" s="62" t="str">
        <f aca="false">IF(助手收入!$R$167&lt;&gt;"","科　　　　目","")</f>
        <v/>
      </c>
      <c r="E2479" s="62"/>
      <c r="F2479" s="61" t="str">
        <f aca="false">IF(助手收入!$R$167&lt;&gt;"","借 方 金 额","")</f>
        <v/>
      </c>
      <c r="G2479" s="62" t="str">
        <f aca="false">IF(助手收入!$R$167&lt;&gt;"","贷 方 金 额","")</f>
        <v/>
      </c>
      <c r="H2479" s="63" t="str">
        <f aca="false">IF(助手收入!$R$167&lt;&gt;"","√","")</f>
        <v/>
      </c>
      <c r="I2479" s="64" t="str">
        <f aca="false">IF(助手收入!$R$167&lt;&gt;"","附单据  张","")</f>
        <v/>
      </c>
    </row>
    <row r="2480" customFormat="false" ht="12.75" hidden="false" customHeight="true" outlineLevel="0" collapsed="false">
      <c r="B2480" s="61"/>
      <c r="C2480" s="61"/>
      <c r="D2480" s="23" t="str">
        <f aca="false">IF(助手收入!$R$167&lt;&gt;"","总 账 科 目","")</f>
        <v/>
      </c>
      <c r="E2480" s="23" t="str">
        <f aca="false">IF(助手收入!$R$167&lt;&gt;"","明 细 科 目","")</f>
        <v/>
      </c>
      <c r="F2480" s="65"/>
      <c r="G2480" s="66"/>
      <c r="H2480" s="63"/>
      <c r="I2480" s="64"/>
    </row>
    <row r="2481" customFormat="false" ht="23.25" hidden="false" customHeight="true" outlineLevel="0" collapsed="false">
      <c r="B2481" s="67" t="str">
        <f aca="false">IFERROR(INDEX(分录收入!$M:$M,MATCH($L2481,分录收入!$L:$L,0)),"")</f>
        <v/>
      </c>
      <c r="C2481" s="67"/>
      <c r="D2481" s="23" t="str">
        <f aca="false">IFERROR(INDEX(分录收入!$E:$E,MATCH($L2481,分录收入!$L:$L,0)),"")</f>
        <v/>
      </c>
      <c r="E2481" s="23" t="str">
        <f aca="false">IFERROR(INDEX(分录收入!$F:$F,MATCH($L2481,分录收入!$L:$L,0)),"")</f>
        <v/>
      </c>
      <c r="F2481" s="68" t="str">
        <f aca="false">IFERROR(INDEX(分录收入!$H:$H,MATCH($L2481,分录收入!$L:$L,0)),"")</f>
        <v/>
      </c>
      <c r="G2481" s="69" t="str">
        <f aca="false">IFERROR(INDEX(分录收入!$I:$I,MATCH($L2481,分录收入!$L:$L,0)),"")</f>
        <v/>
      </c>
      <c r="H2481" s="23"/>
      <c r="I2481" s="70"/>
      <c r="L2481" s="71" t="n">
        <f aca="false">IF(助手收入!$R$167="",-1,助手收入!$R$167*100+(助手收入!$S$167-1)*6+1)</f>
        <v>-1</v>
      </c>
    </row>
    <row r="2482" customFormat="false" ht="23.25" hidden="false" customHeight="true" outlineLevel="0" collapsed="false">
      <c r="B2482" s="67" t="str">
        <f aca="false">""</f>
        <v/>
      </c>
      <c r="C2482" s="67"/>
      <c r="D2482" s="23" t="str">
        <f aca="false">IFERROR(INDEX(分录收入!$E:$E,MATCH($L2482,分录收入!$L:$L,0)),"")</f>
        <v/>
      </c>
      <c r="E2482" s="23" t="str">
        <f aca="false">IFERROR(INDEX(分录收入!$F:$F,MATCH($L2482,分录收入!$L:$L,0)),"")</f>
        <v/>
      </c>
      <c r="F2482" s="68" t="str">
        <f aca="false">IFERROR(INDEX(分录收入!$H:$H,MATCH($L2482,分录收入!$L:$L,0)),"")</f>
        <v/>
      </c>
      <c r="G2482" s="69" t="str">
        <f aca="false">IFERROR(INDEX(分录收入!$I:$I,MATCH($L2482,分录收入!$L:$L,0)),"")</f>
        <v/>
      </c>
      <c r="H2482" s="23"/>
      <c r="I2482" s="70"/>
      <c r="L2482" s="71" t="n">
        <f aca="false">IF(助手收入!$R$167="",-1,助手收入!$R$167*100+(助手收入!$S$167-1)*6+2)</f>
        <v>-1</v>
      </c>
    </row>
    <row r="2483" customFormat="false" ht="23.25" hidden="false" customHeight="true" outlineLevel="0" collapsed="false">
      <c r="B2483" s="67" t="str">
        <f aca="false">""</f>
        <v/>
      </c>
      <c r="C2483" s="67"/>
      <c r="D2483" s="23" t="str">
        <f aca="false">IFERROR(INDEX(分录收入!$E:$E,MATCH($L2483,分录收入!$L:$L,0)),"")</f>
        <v/>
      </c>
      <c r="E2483" s="23" t="str">
        <f aca="false">IFERROR(INDEX(分录收入!$F:$F,MATCH($L2483,分录收入!$L:$L,0)),"")</f>
        <v/>
      </c>
      <c r="F2483" s="68" t="str">
        <f aca="false">IFERROR(INDEX(分录收入!$H:$H,MATCH($L2483,分录收入!$L:$L,0)),"")</f>
        <v/>
      </c>
      <c r="G2483" s="69" t="str">
        <f aca="false">IFERROR(INDEX(分录收入!$I:$I,MATCH($L2483,分录收入!$L:$L,0)),"")</f>
        <v/>
      </c>
      <c r="H2483" s="23"/>
      <c r="I2483" s="70"/>
      <c r="L2483" s="71" t="n">
        <f aca="false">IF(助手收入!$R$167="",-1,助手收入!$R$167*100+(助手收入!$S$167-1)*6+3)</f>
        <v>-1</v>
      </c>
    </row>
    <row r="2484" customFormat="false" ht="23.25" hidden="false" customHeight="true" outlineLevel="0" collapsed="false">
      <c r="B2484" s="67" t="str">
        <f aca="false">""</f>
        <v/>
      </c>
      <c r="C2484" s="67"/>
      <c r="D2484" s="23" t="str">
        <f aca="false">IFERROR(INDEX(分录收入!$E:$E,MATCH($L2484,分录收入!$L:$L,0)),"")</f>
        <v/>
      </c>
      <c r="E2484" s="23" t="str">
        <f aca="false">IFERROR(INDEX(分录收入!$F:$F,MATCH($L2484,分录收入!$L:$L,0)),"")</f>
        <v/>
      </c>
      <c r="F2484" s="68" t="str">
        <f aca="false">IFERROR(INDEX(分录收入!$H:$H,MATCH($L2484,分录收入!$L:$L,0)),"")</f>
        <v/>
      </c>
      <c r="G2484" s="69" t="str">
        <f aca="false">IFERROR(INDEX(分录收入!$I:$I,MATCH($L2484,分录收入!$L:$L,0)),"")</f>
        <v/>
      </c>
      <c r="H2484" s="23"/>
      <c r="I2484" s="70"/>
      <c r="L2484" s="71" t="n">
        <f aca="false">IF(助手收入!$R$167="",-1,助手收入!$R$167*100+(助手收入!$S$167-1)*6+4)</f>
        <v>-1</v>
      </c>
    </row>
    <row r="2485" customFormat="false" ht="23.25" hidden="false" customHeight="true" outlineLevel="0" collapsed="false">
      <c r="B2485" s="67" t="str">
        <f aca="false">""</f>
        <v/>
      </c>
      <c r="C2485" s="67"/>
      <c r="D2485" s="23" t="str">
        <f aca="false">IFERROR(INDEX(分录收入!$E:$E,MATCH($L2485,分录收入!$L:$L,0)),"")</f>
        <v/>
      </c>
      <c r="E2485" s="23" t="str">
        <f aca="false">IFERROR(INDEX(分录收入!$F:$F,MATCH($L2485,分录收入!$L:$L,0)),"")</f>
        <v/>
      </c>
      <c r="F2485" s="68" t="str">
        <f aca="false">IFERROR(INDEX(分录收入!$H:$H,MATCH($L2485,分录收入!$L:$L,0)),"")</f>
        <v/>
      </c>
      <c r="G2485" s="69" t="str">
        <f aca="false">IFERROR(INDEX(分录收入!$I:$I,MATCH($L2485,分录收入!$L:$L,0)),"")</f>
        <v/>
      </c>
      <c r="H2485" s="23"/>
      <c r="I2485" s="70"/>
      <c r="L2485" s="71" t="n">
        <f aca="false">IF(助手收入!$R$167="",-1,助手收入!$R$167*100+(助手收入!$S$167-1)*6+5)</f>
        <v>-1</v>
      </c>
    </row>
    <row r="2486" customFormat="false" ht="23.25" hidden="false" customHeight="true" outlineLevel="0" collapsed="false">
      <c r="B2486" s="67" t="str">
        <f aca="false">""</f>
        <v/>
      </c>
      <c r="C2486" s="67"/>
      <c r="D2486" s="23" t="str">
        <f aca="false">IFERROR(INDEX(分录收入!$E:$E,MATCH($L2486,分录收入!$L:$L,0)),"")</f>
        <v/>
      </c>
      <c r="E2486" s="23" t="str">
        <f aca="false">IFERROR(INDEX(分录收入!$F:$F,MATCH($L2486,分录收入!$L:$L,0)),"")</f>
        <v/>
      </c>
      <c r="F2486" s="68" t="str">
        <f aca="false">IFERROR(INDEX(分录收入!$H:$H,MATCH($L2486,分录收入!$L:$L,0)),"")</f>
        <v/>
      </c>
      <c r="G2486" s="69" t="str">
        <f aca="false">IFERROR(INDEX(分录收入!$I:$I,MATCH($L2486,分录收入!$L:$L,0)),"")</f>
        <v/>
      </c>
      <c r="H2486" s="23"/>
      <c r="I2486" s="70"/>
      <c r="L2486" s="71" t="n">
        <f aca="false">IF(助手收入!$R$167="",-1,助手收入!$R$167*100+(助手收入!$S$167-1)*6+6)</f>
        <v>-1</v>
      </c>
    </row>
    <row r="2487" customFormat="false" ht="23.25" hidden="false" customHeight="true" outlineLevel="0" collapsed="false">
      <c r="B2487" s="72" t="str">
        <f aca="false">IF(助手收入!$T$167=1,"合计：","")</f>
        <v/>
      </c>
      <c r="C2487" s="73" t="str">
        <f aca="false">IF(助手收入!$T$167=1,$F2487,"")</f>
        <v/>
      </c>
      <c r="D2487" s="74"/>
      <c r="E2487" s="74"/>
      <c r="F2487" s="75" t="str">
        <f aca="false">IF(助手收入!$T$167=1,INDEX(助手收入!$N$2:$N$66,助手收入!$R$167),"")</f>
        <v/>
      </c>
      <c r="G2487" s="76" t="str">
        <f aca="false">IF(助手收入!$T$167=1,INDEX(助手收入!$O$2:$O$66,助手收入!$R$167),"")</f>
        <v/>
      </c>
      <c r="H2487" s="74"/>
      <c r="I2487" s="77"/>
    </row>
    <row r="2488" customFormat="false" ht="6" hidden="false" customHeight="true" outlineLevel="0" collapsed="false"/>
    <row r="2489" customFormat="false" ht="13.5" hidden="false" customHeight="false" outlineLevel="0" collapsed="false">
      <c r="B2489" s="78" t="str">
        <f aca="false">IF(助手收入!$R$167&lt;&gt;"","会计主管：","")</f>
        <v/>
      </c>
      <c r="D2489" s="78" t="str">
        <f aca="false">IF(助手收入!$R$167&lt;&gt;"","会计：","")</f>
        <v/>
      </c>
      <c r="E2489" s="78" t="str">
        <f aca="false">IF(助手收入!$R$167&lt;&gt;"","出纳：","")</f>
        <v/>
      </c>
      <c r="F2489" s="78" t="str">
        <f aca="false">IF(助手收入!$R$167&lt;&gt;"","复核：","")</f>
        <v/>
      </c>
      <c r="G2489" s="78" t="str">
        <f aca="false">IF(助手收入!$R$167&lt;&gt;"","制单：","")</f>
        <v/>
      </c>
    </row>
    <row r="2490" customFormat="false" ht="3" hidden="false" customHeight="true" outlineLevel="0" collapsed="false"/>
    <row r="2491" customFormat="false" ht="19.5" hidden="false" customHeight="true" outlineLevel="0" collapsed="false">
      <c r="B2491" s="53" t="str">
        <f aca="false">IF(助手收入!$R$168&lt;&gt;"","记  账  凭  证","")</f>
        <v/>
      </c>
      <c r="C2491" s="53"/>
      <c r="D2491" s="53"/>
      <c r="E2491" s="53"/>
      <c r="F2491" s="53"/>
      <c r="G2491" s="53"/>
      <c r="H2491" s="53"/>
      <c r="I2491" s="53"/>
    </row>
    <row r="2492" customFormat="false" ht="3" hidden="false" customHeight="true" outlineLevel="0" collapsed="false"/>
    <row r="2493" customFormat="false" ht="15" hidden="false" customHeight="true" outlineLevel="0" collapsed="false">
      <c r="C2493" s="56" t="str">
        <f aca="false">IF(助手收入!$R$168&lt;&gt;"",INDEX(助手收入!$B$2:$B$66,助手收入!$R$168),"")</f>
        <v/>
      </c>
      <c r="D2493" s="57" t="str">
        <f aca="false">IF(助手收入!$R$168&lt;&gt;"",参数!$B$2,"")</f>
        <v/>
      </c>
      <c r="E2493" s="57"/>
      <c r="F2493" s="58" t="str">
        <f aca="false">IF(助手收入!$R$168&lt;&gt;"",INDEX(助手收入!$C$2:$C$66,助手收入!$R$168)&amp;"  字第 "&amp;IF(参数!$B$9="是",INDEX(助手收入!$P$2:$P$66,助手收入!$R$168),"　　　　")&amp;" 号"&amp;IF(INDEX(助手收入!$L$2:$L$66,助手收入!$R$168)&gt;1,"  (共"&amp;INDEX(助手收入!$L$2:$L$66,助手收入!$R$168)&amp;"页 第"&amp;助手收入!$S$168&amp;"页)",""),"")</f>
        <v/>
      </c>
      <c r="G2493" s="58"/>
      <c r="H2493" s="58"/>
      <c r="I2493" s="58"/>
      <c r="M2493" s="79" t="str">
        <f aca="false">IF(助手收入!$R$168="","",助手收入!$Q$168)</f>
        <v/>
      </c>
      <c r="N2493" s="80" t="str">
        <f aca="false">IF(助手收入!$R$168="","",INDEX(助手收入!$P$2:$P$66,助手收入!$R$168))</f>
        <v/>
      </c>
      <c r="O2493" s="55" t="str">
        <f aca="false">IF(助手收入!$R$168="","",INDEX(助手收入!$C$2:$C$66,助手收入!$R$168)&amp;"  字第 "&amp;INDEX(助手收入!$P$2:$P$66,助手收入!$R$168)&amp;" 号"&amp;IF(INDEX(助手收入!$L$2:$L$66,助手收入!$R$168)&gt;1,"  (共"&amp;INDEX(助手收入!$L$2:$L$66,助手收入!$R$168)&amp;"页 第"&amp;助手收入!$S$168&amp;"页)",""))</f>
        <v/>
      </c>
    </row>
    <row r="2494" customFormat="false" ht="12.75" hidden="false" customHeight="true" outlineLevel="0" collapsed="false">
      <c r="B2494" s="61" t="str">
        <f aca="false">IF(助手收入!$R$168&lt;&gt;"","摘　　要","")</f>
        <v/>
      </c>
      <c r="C2494" s="61"/>
      <c r="D2494" s="62" t="str">
        <f aca="false">IF(助手收入!$R$168&lt;&gt;"","科　　　　目","")</f>
        <v/>
      </c>
      <c r="E2494" s="62"/>
      <c r="F2494" s="61" t="str">
        <f aca="false">IF(助手收入!$R$168&lt;&gt;"","借 方 金 额","")</f>
        <v/>
      </c>
      <c r="G2494" s="62" t="str">
        <f aca="false">IF(助手收入!$R$168&lt;&gt;"","贷 方 金 额","")</f>
        <v/>
      </c>
      <c r="H2494" s="63" t="str">
        <f aca="false">IF(助手收入!$R$168&lt;&gt;"","√","")</f>
        <v/>
      </c>
      <c r="I2494" s="64" t="str">
        <f aca="false">IF(助手收入!$R$168&lt;&gt;"","附单据  张","")</f>
        <v/>
      </c>
    </row>
    <row r="2495" customFormat="false" ht="12.75" hidden="false" customHeight="true" outlineLevel="0" collapsed="false">
      <c r="B2495" s="61"/>
      <c r="C2495" s="61"/>
      <c r="D2495" s="23" t="str">
        <f aca="false">IF(助手收入!$R$168&lt;&gt;"","总 账 科 目","")</f>
        <v/>
      </c>
      <c r="E2495" s="23" t="str">
        <f aca="false">IF(助手收入!$R$168&lt;&gt;"","明 细 科 目","")</f>
        <v/>
      </c>
      <c r="F2495" s="65"/>
      <c r="G2495" s="66"/>
      <c r="H2495" s="63"/>
      <c r="I2495" s="64"/>
    </row>
    <row r="2496" customFormat="false" ht="23.25" hidden="false" customHeight="true" outlineLevel="0" collapsed="false">
      <c r="B2496" s="67" t="str">
        <f aca="false">IFERROR(INDEX(分录收入!$M:$M,MATCH($L2496,分录收入!$L:$L,0)),"")</f>
        <v/>
      </c>
      <c r="C2496" s="67"/>
      <c r="D2496" s="23" t="str">
        <f aca="false">IFERROR(INDEX(分录收入!$E:$E,MATCH($L2496,分录收入!$L:$L,0)),"")</f>
        <v/>
      </c>
      <c r="E2496" s="23" t="str">
        <f aca="false">IFERROR(INDEX(分录收入!$F:$F,MATCH($L2496,分录收入!$L:$L,0)),"")</f>
        <v/>
      </c>
      <c r="F2496" s="68" t="str">
        <f aca="false">IFERROR(INDEX(分录收入!$H:$H,MATCH($L2496,分录收入!$L:$L,0)),"")</f>
        <v/>
      </c>
      <c r="G2496" s="69" t="str">
        <f aca="false">IFERROR(INDEX(分录收入!$I:$I,MATCH($L2496,分录收入!$L:$L,0)),"")</f>
        <v/>
      </c>
      <c r="H2496" s="23"/>
      <c r="I2496" s="70"/>
      <c r="L2496" s="71" t="n">
        <f aca="false">IF(助手收入!$R$168="",-1,助手收入!$R$168*100+(助手收入!$S$168-1)*6+1)</f>
        <v>-1</v>
      </c>
    </row>
    <row r="2497" customFormat="false" ht="23.25" hidden="false" customHeight="true" outlineLevel="0" collapsed="false">
      <c r="B2497" s="67" t="str">
        <f aca="false">""</f>
        <v/>
      </c>
      <c r="C2497" s="67"/>
      <c r="D2497" s="23" t="str">
        <f aca="false">IFERROR(INDEX(分录收入!$E:$E,MATCH($L2497,分录收入!$L:$L,0)),"")</f>
        <v/>
      </c>
      <c r="E2497" s="23" t="str">
        <f aca="false">IFERROR(INDEX(分录收入!$F:$F,MATCH($L2497,分录收入!$L:$L,0)),"")</f>
        <v/>
      </c>
      <c r="F2497" s="68" t="str">
        <f aca="false">IFERROR(INDEX(分录收入!$H:$H,MATCH($L2497,分录收入!$L:$L,0)),"")</f>
        <v/>
      </c>
      <c r="G2497" s="69" t="str">
        <f aca="false">IFERROR(INDEX(分录收入!$I:$I,MATCH($L2497,分录收入!$L:$L,0)),"")</f>
        <v/>
      </c>
      <c r="H2497" s="23"/>
      <c r="I2497" s="70"/>
      <c r="L2497" s="71" t="n">
        <f aca="false">IF(助手收入!$R$168="",-1,助手收入!$R$168*100+(助手收入!$S$168-1)*6+2)</f>
        <v>-1</v>
      </c>
    </row>
    <row r="2498" customFormat="false" ht="23.25" hidden="false" customHeight="true" outlineLevel="0" collapsed="false">
      <c r="B2498" s="67" t="str">
        <f aca="false">""</f>
        <v/>
      </c>
      <c r="C2498" s="67"/>
      <c r="D2498" s="23" t="str">
        <f aca="false">IFERROR(INDEX(分录收入!$E:$E,MATCH($L2498,分录收入!$L:$L,0)),"")</f>
        <v/>
      </c>
      <c r="E2498" s="23" t="str">
        <f aca="false">IFERROR(INDEX(分录收入!$F:$F,MATCH($L2498,分录收入!$L:$L,0)),"")</f>
        <v/>
      </c>
      <c r="F2498" s="68" t="str">
        <f aca="false">IFERROR(INDEX(分录收入!$H:$H,MATCH($L2498,分录收入!$L:$L,0)),"")</f>
        <v/>
      </c>
      <c r="G2498" s="69" t="str">
        <f aca="false">IFERROR(INDEX(分录收入!$I:$I,MATCH($L2498,分录收入!$L:$L,0)),"")</f>
        <v/>
      </c>
      <c r="H2498" s="23"/>
      <c r="I2498" s="70"/>
      <c r="L2498" s="71" t="n">
        <f aca="false">IF(助手收入!$R$168="",-1,助手收入!$R$168*100+(助手收入!$S$168-1)*6+3)</f>
        <v>-1</v>
      </c>
    </row>
    <row r="2499" customFormat="false" ht="23.25" hidden="false" customHeight="true" outlineLevel="0" collapsed="false">
      <c r="B2499" s="67" t="str">
        <f aca="false">""</f>
        <v/>
      </c>
      <c r="C2499" s="67"/>
      <c r="D2499" s="23" t="str">
        <f aca="false">IFERROR(INDEX(分录收入!$E:$E,MATCH($L2499,分录收入!$L:$L,0)),"")</f>
        <v/>
      </c>
      <c r="E2499" s="23" t="str">
        <f aca="false">IFERROR(INDEX(分录收入!$F:$F,MATCH($L2499,分录收入!$L:$L,0)),"")</f>
        <v/>
      </c>
      <c r="F2499" s="68" t="str">
        <f aca="false">IFERROR(INDEX(分录收入!$H:$H,MATCH($L2499,分录收入!$L:$L,0)),"")</f>
        <v/>
      </c>
      <c r="G2499" s="69" t="str">
        <f aca="false">IFERROR(INDEX(分录收入!$I:$I,MATCH($L2499,分录收入!$L:$L,0)),"")</f>
        <v/>
      </c>
      <c r="H2499" s="23"/>
      <c r="I2499" s="70"/>
      <c r="L2499" s="71" t="n">
        <f aca="false">IF(助手收入!$R$168="",-1,助手收入!$R$168*100+(助手收入!$S$168-1)*6+4)</f>
        <v>-1</v>
      </c>
    </row>
    <row r="2500" customFormat="false" ht="23.25" hidden="false" customHeight="true" outlineLevel="0" collapsed="false">
      <c r="B2500" s="67" t="str">
        <f aca="false">""</f>
        <v/>
      </c>
      <c r="C2500" s="67"/>
      <c r="D2500" s="23" t="str">
        <f aca="false">IFERROR(INDEX(分录收入!$E:$E,MATCH($L2500,分录收入!$L:$L,0)),"")</f>
        <v/>
      </c>
      <c r="E2500" s="23" t="str">
        <f aca="false">IFERROR(INDEX(分录收入!$F:$F,MATCH($L2500,分录收入!$L:$L,0)),"")</f>
        <v/>
      </c>
      <c r="F2500" s="68" t="str">
        <f aca="false">IFERROR(INDEX(分录收入!$H:$H,MATCH($L2500,分录收入!$L:$L,0)),"")</f>
        <v/>
      </c>
      <c r="G2500" s="69" t="str">
        <f aca="false">IFERROR(INDEX(分录收入!$I:$I,MATCH($L2500,分录收入!$L:$L,0)),"")</f>
        <v/>
      </c>
      <c r="H2500" s="23"/>
      <c r="I2500" s="70"/>
      <c r="L2500" s="71" t="n">
        <f aca="false">IF(助手收入!$R$168="",-1,助手收入!$R$168*100+(助手收入!$S$168-1)*6+5)</f>
        <v>-1</v>
      </c>
    </row>
    <row r="2501" customFormat="false" ht="23.25" hidden="false" customHeight="true" outlineLevel="0" collapsed="false">
      <c r="B2501" s="67" t="str">
        <f aca="false">""</f>
        <v/>
      </c>
      <c r="C2501" s="67"/>
      <c r="D2501" s="23" t="str">
        <f aca="false">IFERROR(INDEX(分录收入!$E:$E,MATCH($L2501,分录收入!$L:$L,0)),"")</f>
        <v/>
      </c>
      <c r="E2501" s="23" t="str">
        <f aca="false">IFERROR(INDEX(分录收入!$F:$F,MATCH($L2501,分录收入!$L:$L,0)),"")</f>
        <v/>
      </c>
      <c r="F2501" s="68" t="str">
        <f aca="false">IFERROR(INDEX(分录收入!$H:$H,MATCH($L2501,分录收入!$L:$L,0)),"")</f>
        <v/>
      </c>
      <c r="G2501" s="69" t="str">
        <f aca="false">IFERROR(INDEX(分录收入!$I:$I,MATCH($L2501,分录收入!$L:$L,0)),"")</f>
        <v/>
      </c>
      <c r="H2501" s="23"/>
      <c r="I2501" s="70"/>
      <c r="L2501" s="71" t="n">
        <f aca="false">IF(助手收入!$R$168="",-1,助手收入!$R$168*100+(助手收入!$S$168-1)*6+6)</f>
        <v>-1</v>
      </c>
    </row>
    <row r="2502" customFormat="false" ht="23.25" hidden="false" customHeight="true" outlineLevel="0" collapsed="false">
      <c r="B2502" s="72" t="str">
        <f aca="false">IF(助手收入!$T$168=1,"合计：","")</f>
        <v/>
      </c>
      <c r="C2502" s="73" t="str">
        <f aca="false">IF(助手收入!$T$168=1,$F2502,"")</f>
        <v/>
      </c>
      <c r="D2502" s="74"/>
      <c r="E2502" s="74"/>
      <c r="F2502" s="75" t="str">
        <f aca="false">IF(助手收入!$T$168=1,INDEX(助手收入!$N$2:$N$66,助手收入!$R$168),"")</f>
        <v/>
      </c>
      <c r="G2502" s="76" t="str">
        <f aca="false">IF(助手收入!$T$168=1,INDEX(助手收入!$O$2:$O$66,助手收入!$R$168),"")</f>
        <v/>
      </c>
      <c r="H2502" s="74"/>
      <c r="I2502" s="77"/>
    </row>
    <row r="2503" customFormat="false" ht="6" hidden="false" customHeight="true" outlineLevel="0" collapsed="false"/>
    <row r="2504" customFormat="false" ht="13.5" hidden="false" customHeight="false" outlineLevel="0" collapsed="false">
      <c r="B2504" s="78" t="str">
        <f aca="false">IF(助手收入!$R$168&lt;&gt;"","会计主管：","")</f>
        <v/>
      </c>
      <c r="D2504" s="78" t="str">
        <f aca="false">IF(助手收入!$R$168&lt;&gt;"","会计：","")</f>
        <v/>
      </c>
      <c r="E2504" s="78" t="str">
        <f aca="false">IF(助手收入!$R$168&lt;&gt;"","出纳：","")</f>
        <v/>
      </c>
      <c r="F2504" s="78" t="str">
        <f aca="false">IF(助手收入!$R$168&lt;&gt;"","复核：","")</f>
        <v/>
      </c>
      <c r="G2504" s="78" t="str">
        <f aca="false">IF(助手收入!$R$168&lt;&gt;"","制单：","")</f>
        <v/>
      </c>
    </row>
    <row r="2505" customFormat="false" ht="3" hidden="false" customHeight="true" outlineLevel="0" collapsed="false"/>
    <row r="2506" customFormat="false" ht="19.5" hidden="false" customHeight="true" outlineLevel="0" collapsed="false">
      <c r="B2506" s="53" t="str">
        <f aca="false">IF(助手收入!$R$169&lt;&gt;"","记  账  凭  证","")</f>
        <v/>
      </c>
      <c r="C2506" s="53"/>
      <c r="D2506" s="53"/>
      <c r="E2506" s="53"/>
      <c r="F2506" s="53"/>
      <c r="G2506" s="53"/>
      <c r="H2506" s="53"/>
      <c r="I2506" s="53"/>
    </row>
    <row r="2507" customFormat="false" ht="3" hidden="false" customHeight="true" outlineLevel="0" collapsed="false"/>
    <row r="2508" customFormat="false" ht="15" hidden="false" customHeight="true" outlineLevel="0" collapsed="false">
      <c r="C2508" s="56" t="str">
        <f aca="false">IF(助手收入!$R$169&lt;&gt;"",INDEX(助手收入!$B$2:$B$66,助手收入!$R$169),"")</f>
        <v/>
      </c>
      <c r="D2508" s="57" t="str">
        <f aca="false">IF(助手收入!$R$169&lt;&gt;"",参数!$B$2,"")</f>
        <v/>
      </c>
      <c r="E2508" s="57"/>
      <c r="F2508" s="58" t="str">
        <f aca="false">IF(助手收入!$R$169&lt;&gt;"",INDEX(助手收入!$C$2:$C$66,助手收入!$R$169)&amp;"  字第 "&amp;IF(参数!$B$9="是",INDEX(助手收入!$P$2:$P$66,助手收入!$R$169),"　　　　")&amp;" 号"&amp;IF(INDEX(助手收入!$L$2:$L$66,助手收入!$R$169)&gt;1,"  (共"&amp;INDEX(助手收入!$L$2:$L$66,助手收入!$R$169)&amp;"页 第"&amp;助手收入!$S$169&amp;"页)",""),"")</f>
        <v/>
      </c>
      <c r="G2508" s="58"/>
      <c r="H2508" s="58"/>
      <c r="I2508" s="58"/>
      <c r="M2508" s="79" t="str">
        <f aca="false">IF(助手收入!$R$169="","",助手收入!$Q$169)</f>
        <v/>
      </c>
      <c r="N2508" s="80" t="str">
        <f aca="false">IF(助手收入!$R$169="","",INDEX(助手收入!$P$2:$P$66,助手收入!$R$169))</f>
        <v/>
      </c>
      <c r="O2508" s="55" t="str">
        <f aca="false">IF(助手收入!$R$169="","",INDEX(助手收入!$C$2:$C$66,助手收入!$R$169)&amp;"  字第 "&amp;INDEX(助手收入!$P$2:$P$66,助手收入!$R$169)&amp;" 号"&amp;IF(INDEX(助手收入!$L$2:$L$66,助手收入!$R$169)&gt;1,"  (共"&amp;INDEX(助手收入!$L$2:$L$66,助手收入!$R$169)&amp;"页 第"&amp;助手收入!$S$169&amp;"页)",""))</f>
        <v/>
      </c>
    </row>
    <row r="2509" customFormat="false" ht="12.75" hidden="false" customHeight="true" outlineLevel="0" collapsed="false">
      <c r="B2509" s="61" t="str">
        <f aca="false">IF(助手收入!$R$169&lt;&gt;"","摘　　要","")</f>
        <v/>
      </c>
      <c r="C2509" s="61"/>
      <c r="D2509" s="62" t="str">
        <f aca="false">IF(助手收入!$R$169&lt;&gt;"","科　　　　目","")</f>
        <v/>
      </c>
      <c r="E2509" s="62"/>
      <c r="F2509" s="61" t="str">
        <f aca="false">IF(助手收入!$R$169&lt;&gt;"","借 方 金 额","")</f>
        <v/>
      </c>
      <c r="G2509" s="62" t="str">
        <f aca="false">IF(助手收入!$R$169&lt;&gt;"","贷 方 金 额","")</f>
        <v/>
      </c>
      <c r="H2509" s="63" t="str">
        <f aca="false">IF(助手收入!$R$169&lt;&gt;"","√","")</f>
        <v/>
      </c>
      <c r="I2509" s="64" t="str">
        <f aca="false">IF(助手收入!$R$169&lt;&gt;"","附单据  张","")</f>
        <v/>
      </c>
    </row>
    <row r="2510" customFormat="false" ht="12.75" hidden="false" customHeight="true" outlineLevel="0" collapsed="false">
      <c r="B2510" s="61"/>
      <c r="C2510" s="61"/>
      <c r="D2510" s="23" t="str">
        <f aca="false">IF(助手收入!$R$169&lt;&gt;"","总 账 科 目","")</f>
        <v/>
      </c>
      <c r="E2510" s="23" t="str">
        <f aca="false">IF(助手收入!$R$169&lt;&gt;"","明 细 科 目","")</f>
        <v/>
      </c>
      <c r="F2510" s="65"/>
      <c r="G2510" s="66"/>
      <c r="H2510" s="63"/>
      <c r="I2510" s="64"/>
    </row>
    <row r="2511" customFormat="false" ht="23.25" hidden="false" customHeight="true" outlineLevel="0" collapsed="false">
      <c r="B2511" s="67" t="str">
        <f aca="false">IFERROR(INDEX(分录收入!$M:$M,MATCH($L2511,分录收入!$L:$L,0)),"")</f>
        <v/>
      </c>
      <c r="C2511" s="67"/>
      <c r="D2511" s="23" t="str">
        <f aca="false">IFERROR(INDEX(分录收入!$E:$E,MATCH($L2511,分录收入!$L:$L,0)),"")</f>
        <v/>
      </c>
      <c r="E2511" s="23" t="str">
        <f aca="false">IFERROR(INDEX(分录收入!$F:$F,MATCH($L2511,分录收入!$L:$L,0)),"")</f>
        <v/>
      </c>
      <c r="F2511" s="68" t="str">
        <f aca="false">IFERROR(INDEX(分录收入!$H:$H,MATCH($L2511,分录收入!$L:$L,0)),"")</f>
        <v/>
      </c>
      <c r="G2511" s="69" t="str">
        <f aca="false">IFERROR(INDEX(分录收入!$I:$I,MATCH($L2511,分录收入!$L:$L,0)),"")</f>
        <v/>
      </c>
      <c r="H2511" s="23"/>
      <c r="I2511" s="70"/>
      <c r="L2511" s="71" t="n">
        <f aca="false">IF(助手收入!$R$169="",-1,助手收入!$R$169*100+(助手收入!$S$169-1)*6+1)</f>
        <v>-1</v>
      </c>
    </row>
    <row r="2512" customFormat="false" ht="23.25" hidden="false" customHeight="true" outlineLevel="0" collapsed="false">
      <c r="B2512" s="67" t="str">
        <f aca="false">""</f>
        <v/>
      </c>
      <c r="C2512" s="67"/>
      <c r="D2512" s="23" t="str">
        <f aca="false">IFERROR(INDEX(分录收入!$E:$E,MATCH($L2512,分录收入!$L:$L,0)),"")</f>
        <v/>
      </c>
      <c r="E2512" s="23" t="str">
        <f aca="false">IFERROR(INDEX(分录收入!$F:$F,MATCH($L2512,分录收入!$L:$L,0)),"")</f>
        <v/>
      </c>
      <c r="F2512" s="68" t="str">
        <f aca="false">IFERROR(INDEX(分录收入!$H:$H,MATCH($L2512,分录收入!$L:$L,0)),"")</f>
        <v/>
      </c>
      <c r="G2512" s="69" t="str">
        <f aca="false">IFERROR(INDEX(分录收入!$I:$I,MATCH($L2512,分录收入!$L:$L,0)),"")</f>
        <v/>
      </c>
      <c r="H2512" s="23"/>
      <c r="I2512" s="70"/>
      <c r="L2512" s="71" t="n">
        <f aca="false">IF(助手收入!$R$169="",-1,助手收入!$R$169*100+(助手收入!$S$169-1)*6+2)</f>
        <v>-1</v>
      </c>
    </row>
    <row r="2513" customFormat="false" ht="23.25" hidden="false" customHeight="true" outlineLevel="0" collapsed="false">
      <c r="B2513" s="67" t="str">
        <f aca="false">""</f>
        <v/>
      </c>
      <c r="C2513" s="67"/>
      <c r="D2513" s="23" t="str">
        <f aca="false">IFERROR(INDEX(分录收入!$E:$E,MATCH($L2513,分录收入!$L:$L,0)),"")</f>
        <v/>
      </c>
      <c r="E2513" s="23" t="str">
        <f aca="false">IFERROR(INDEX(分录收入!$F:$F,MATCH($L2513,分录收入!$L:$L,0)),"")</f>
        <v/>
      </c>
      <c r="F2513" s="68" t="str">
        <f aca="false">IFERROR(INDEX(分录收入!$H:$H,MATCH($L2513,分录收入!$L:$L,0)),"")</f>
        <v/>
      </c>
      <c r="G2513" s="69" t="str">
        <f aca="false">IFERROR(INDEX(分录收入!$I:$I,MATCH($L2513,分录收入!$L:$L,0)),"")</f>
        <v/>
      </c>
      <c r="H2513" s="23"/>
      <c r="I2513" s="70"/>
      <c r="L2513" s="71" t="n">
        <f aca="false">IF(助手收入!$R$169="",-1,助手收入!$R$169*100+(助手收入!$S$169-1)*6+3)</f>
        <v>-1</v>
      </c>
    </row>
    <row r="2514" customFormat="false" ht="23.25" hidden="false" customHeight="true" outlineLevel="0" collapsed="false">
      <c r="B2514" s="67" t="str">
        <f aca="false">""</f>
        <v/>
      </c>
      <c r="C2514" s="67"/>
      <c r="D2514" s="23" t="str">
        <f aca="false">IFERROR(INDEX(分录收入!$E:$E,MATCH($L2514,分录收入!$L:$L,0)),"")</f>
        <v/>
      </c>
      <c r="E2514" s="23" t="str">
        <f aca="false">IFERROR(INDEX(分录收入!$F:$F,MATCH($L2514,分录收入!$L:$L,0)),"")</f>
        <v/>
      </c>
      <c r="F2514" s="68" t="str">
        <f aca="false">IFERROR(INDEX(分录收入!$H:$H,MATCH($L2514,分录收入!$L:$L,0)),"")</f>
        <v/>
      </c>
      <c r="G2514" s="69" t="str">
        <f aca="false">IFERROR(INDEX(分录收入!$I:$I,MATCH($L2514,分录收入!$L:$L,0)),"")</f>
        <v/>
      </c>
      <c r="H2514" s="23"/>
      <c r="I2514" s="70"/>
      <c r="L2514" s="71" t="n">
        <f aca="false">IF(助手收入!$R$169="",-1,助手收入!$R$169*100+(助手收入!$S$169-1)*6+4)</f>
        <v>-1</v>
      </c>
    </row>
    <row r="2515" customFormat="false" ht="23.25" hidden="false" customHeight="true" outlineLevel="0" collapsed="false">
      <c r="B2515" s="67" t="str">
        <f aca="false">""</f>
        <v/>
      </c>
      <c r="C2515" s="67"/>
      <c r="D2515" s="23" t="str">
        <f aca="false">IFERROR(INDEX(分录收入!$E:$E,MATCH($L2515,分录收入!$L:$L,0)),"")</f>
        <v/>
      </c>
      <c r="E2515" s="23" t="str">
        <f aca="false">IFERROR(INDEX(分录收入!$F:$F,MATCH($L2515,分录收入!$L:$L,0)),"")</f>
        <v/>
      </c>
      <c r="F2515" s="68" t="str">
        <f aca="false">IFERROR(INDEX(分录收入!$H:$H,MATCH($L2515,分录收入!$L:$L,0)),"")</f>
        <v/>
      </c>
      <c r="G2515" s="69" t="str">
        <f aca="false">IFERROR(INDEX(分录收入!$I:$I,MATCH($L2515,分录收入!$L:$L,0)),"")</f>
        <v/>
      </c>
      <c r="H2515" s="23"/>
      <c r="I2515" s="70"/>
      <c r="L2515" s="71" t="n">
        <f aca="false">IF(助手收入!$R$169="",-1,助手收入!$R$169*100+(助手收入!$S$169-1)*6+5)</f>
        <v>-1</v>
      </c>
    </row>
    <row r="2516" customFormat="false" ht="23.25" hidden="false" customHeight="true" outlineLevel="0" collapsed="false">
      <c r="B2516" s="67" t="str">
        <f aca="false">""</f>
        <v/>
      </c>
      <c r="C2516" s="67"/>
      <c r="D2516" s="23" t="str">
        <f aca="false">IFERROR(INDEX(分录收入!$E:$E,MATCH($L2516,分录收入!$L:$L,0)),"")</f>
        <v/>
      </c>
      <c r="E2516" s="23" t="str">
        <f aca="false">IFERROR(INDEX(分录收入!$F:$F,MATCH($L2516,分录收入!$L:$L,0)),"")</f>
        <v/>
      </c>
      <c r="F2516" s="68" t="str">
        <f aca="false">IFERROR(INDEX(分录收入!$H:$H,MATCH($L2516,分录收入!$L:$L,0)),"")</f>
        <v/>
      </c>
      <c r="G2516" s="69" t="str">
        <f aca="false">IFERROR(INDEX(分录收入!$I:$I,MATCH($L2516,分录收入!$L:$L,0)),"")</f>
        <v/>
      </c>
      <c r="H2516" s="23"/>
      <c r="I2516" s="70"/>
      <c r="L2516" s="71" t="n">
        <f aca="false">IF(助手收入!$R$169="",-1,助手收入!$R$169*100+(助手收入!$S$169-1)*6+6)</f>
        <v>-1</v>
      </c>
    </row>
    <row r="2517" customFormat="false" ht="23.25" hidden="false" customHeight="true" outlineLevel="0" collapsed="false">
      <c r="B2517" s="72" t="str">
        <f aca="false">IF(助手收入!$T$169=1,"合计：","")</f>
        <v/>
      </c>
      <c r="C2517" s="73" t="str">
        <f aca="false">IF(助手收入!$T$169=1,$F2517,"")</f>
        <v/>
      </c>
      <c r="D2517" s="74"/>
      <c r="E2517" s="74"/>
      <c r="F2517" s="75" t="str">
        <f aca="false">IF(助手收入!$T$169=1,INDEX(助手收入!$N$2:$N$66,助手收入!$R$169),"")</f>
        <v/>
      </c>
      <c r="G2517" s="76" t="str">
        <f aca="false">IF(助手收入!$T$169=1,INDEX(助手收入!$O$2:$O$66,助手收入!$R$169),"")</f>
        <v/>
      </c>
      <c r="H2517" s="74"/>
      <c r="I2517" s="77"/>
    </row>
    <row r="2518" customFormat="false" ht="6" hidden="false" customHeight="true" outlineLevel="0" collapsed="false"/>
    <row r="2519" customFormat="false" ht="13.5" hidden="false" customHeight="false" outlineLevel="0" collapsed="false">
      <c r="B2519" s="78" t="str">
        <f aca="false">IF(助手收入!$R$169&lt;&gt;"","会计主管：","")</f>
        <v/>
      </c>
      <c r="D2519" s="78" t="str">
        <f aca="false">IF(助手收入!$R$169&lt;&gt;"","会计：","")</f>
        <v/>
      </c>
      <c r="E2519" s="78" t="str">
        <f aca="false">IF(助手收入!$R$169&lt;&gt;"","出纳：","")</f>
        <v/>
      </c>
      <c r="F2519" s="78" t="str">
        <f aca="false">IF(助手收入!$R$169&lt;&gt;"","复核：","")</f>
        <v/>
      </c>
      <c r="G2519" s="78" t="str">
        <f aca="false">IF(助手收入!$R$169&lt;&gt;"","制单：","")</f>
        <v/>
      </c>
    </row>
    <row r="2520" customFormat="false" ht="3" hidden="false" customHeight="true" outlineLevel="0" collapsed="false"/>
    <row r="2521" customFormat="false" ht="19.5" hidden="false" customHeight="true" outlineLevel="0" collapsed="false">
      <c r="B2521" s="53" t="str">
        <f aca="false">IF(助手收入!$R$170&lt;&gt;"","记  账  凭  证","")</f>
        <v/>
      </c>
      <c r="C2521" s="53"/>
      <c r="D2521" s="53"/>
      <c r="E2521" s="53"/>
      <c r="F2521" s="53"/>
      <c r="G2521" s="53"/>
      <c r="H2521" s="53"/>
      <c r="I2521" s="53"/>
    </row>
    <row r="2522" customFormat="false" ht="3" hidden="false" customHeight="true" outlineLevel="0" collapsed="false"/>
    <row r="2523" customFormat="false" ht="15" hidden="false" customHeight="true" outlineLevel="0" collapsed="false">
      <c r="C2523" s="56" t="str">
        <f aca="false">IF(助手收入!$R$170&lt;&gt;"",INDEX(助手收入!$B$2:$B$66,助手收入!$R$170),"")</f>
        <v/>
      </c>
      <c r="D2523" s="57" t="str">
        <f aca="false">IF(助手收入!$R$170&lt;&gt;"",参数!$B$2,"")</f>
        <v/>
      </c>
      <c r="E2523" s="57"/>
      <c r="F2523" s="58" t="str">
        <f aca="false">IF(助手收入!$R$170&lt;&gt;"",INDEX(助手收入!$C$2:$C$66,助手收入!$R$170)&amp;"  字第 "&amp;IF(参数!$B$9="是",INDEX(助手收入!$P$2:$P$66,助手收入!$R$170),"　　　　")&amp;" 号"&amp;IF(INDEX(助手收入!$L$2:$L$66,助手收入!$R$170)&gt;1,"  (共"&amp;INDEX(助手收入!$L$2:$L$66,助手收入!$R$170)&amp;"页 第"&amp;助手收入!$S$170&amp;"页)",""),"")</f>
        <v/>
      </c>
      <c r="G2523" s="58"/>
      <c r="H2523" s="58"/>
      <c r="I2523" s="58"/>
      <c r="M2523" s="79" t="str">
        <f aca="false">IF(助手收入!$R$170="","",助手收入!$Q$170)</f>
        <v/>
      </c>
      <c r="N2523" s="80" t="str">
        <f aca="false">IF(助手收入!$R$170="","",INDEX(助手收入!$P$2:$P$66,助手收入!$R$170))</f>
        <v/>
      </c>
      <c r="O2523" s="55" t="str">
        <f aca="false">IF(助手收入!$R$170="","",INDEX(助手收入!$C$2:$C$66,助手收入!$R$170)&amp;"  字第 "&amp;INDEX(助手收入!$P$2:$P$66,助手收入!$R$170)&amp;" 号"&amp;IF(INDEX(助手收入!$L$2:$L$66,助手收入!$R$170)&gt;1,"  (共"&amp;INDEX(助手收入!$L$2:$L$66,助手收入!$R$170)&amp;"页 第"&amp;助手收入!$S$170&amp;"页)",""))</f>
        <v/>
      </c>
    </row>
    <row r="2524" customFormat="false" ht="12.75" hidden="false" customHeight="true" outlineLevel="0" collapsed="false">
      <c r="B2524" s="61" t="str">
        <f aca="false">IF(助手收入!$R$170&lt;&gt;"","摘　　要","")</f>
        <v/>
      </c>
      <c r="C2524" s="61"/>
      <c r="D2524" s="62" t="str">
        <f aca="false">IF(助手收入!$R$170&lt;&gt;"","科　　　　目","")</f>
        <v/>
      </c>
      <c r="E2524" s="62"/>
      <c r="F2524" s="61" t="str">
        <f aca="false">IF(助手收入!$R$170&lt;&gt;"","借 方 金 额","")</f>
        <v/>
      </c>
      <c r="G2524" s="62" t="str">
        <f aca="false">IF(助手收入!$R$170&lt;&gt;"","贷 方 金 额","")</f>
        <v/>
      </c>
      <c r="H2524" s="63" t="str">
        <f aca="false">IF(助手收入!$R$170&lt;&gt;"","√","")</f>
        <v/>
      </c>
      <c r="I2524" s="64" t="str">
        <f aca="false">IF(助手收入!$R$170&lt;&gt;"","附单据  张","")</f>
        <v/>
      </c>
    </row>
    <row r="2525" customFormat="false" ht="12.75" hidden="false" customHeight="true" outlineLevel="0" collapsed="false">
      <c r="B2525" s="61"/>
      <c r="C2525" s="61"/>
      <c r="D2525" s="23" t="str">
        <f aca="false">IF(助手收入!$R$170&lt;&gt;"","总 账 科 目","")</f>
        <v/>
      </c>
      <c r="E2525" s="23" t="str">
        <f aca="false">IF(助手收入!$R$170&lt;&gt;"","明 细 科 目","")</f>
        <v/>
      </c>
      <c r="F2525" s="65"/>
      <c r="G2525" s="66"/>
      <c r="H2525" s="63"/>
      <c r="I2525" s="64"/>
    </row>
    <row r="2526" customFormat="false" ht="23.25" hidden="false" customHeight="true" outlineLevel="0" collapsed="false">
      <c r="B2526" s="67" t="str">
        <f aca="false">IFERROR(INDEX(分录收入!$M:$M,MATCH($L2526,分录收入!$L:$L,0)),"")</f>
        <v/>
      </c>
      <c r="C2526" s="67"/>
      <c r="D2526" s="23" t="str">
        <f aca="false">IFERROR(INDEX(分录收入!$E:$E,MATCH($L2526,分录收入!$L:$L,0)),"")</f>
        <v/>
      </c>
      <c r="E2526" s="23" t="str">
        <f aca="false">IFERROR(INDEX(分录收入!$F:$F,MATCH($L2526,分录收入!$L:$L,0)),"")</f>
        <v/>
      </c>
      <c r="F2526" s="68" t="str">
        <f aca="false">IFERROR(INDEX(分录收入!$H:$H,MATCH($L2526,分录收入!$L:$L,0)),"")</f>
        <v/>
      </c>
      <c r="G2526" s="69" t="str">
        <f aca="false">IFERROR(INDEX(分录收入!$I:$I,MATCH($L2526,分录收入!$L:$L,0)),"")</f>
        <v/>
      </c>
      <c r="H2526" s="23"/>
      <c r="I2526" s="70"/>
      <c r="L2526" s="71" t="n">
        <f aca="false">IF(助手收入!$R$170="",-1,助手收入!$R$170*100+(助手收入!$S$170-1)*6+1)</f>
        <v>-1</v>
      </c>
    </row>
    <row r="2527" customFormat="false" ht="23.25" hidden="false" customHeight="true" outlineLevel="0" collapsed="false">
      <c r="B2527" s="67" t="str">
        <f aca="false">""</f>
        <v/>
      </c>
      <c r="C2527" s="67"/>
      <c r="D2527" s="23" t="str">
        <f aca="false">IFERROR(INDEX(分录收入!$E:$E,MATCH($L2527,分录收入!$L:$L,0)),"")</f>
        <v/>
      </c>
      <c r="E2527" s="23" t="str">
        <f aca="false">IFERROR(INDEX(分录收入!$F:$F,MATCH($L2527,分录收入!$L:$L,0)),"")</f>
        <v/>
      </c>
      <c r="F2527" s="68" t="str">
        <f aca="false">IFERROR(INDEX(分录收入!$H:$H,MATCH($L2527,分录收入!$L:$L,0)),"")</f>
        <v/>
      </c>
      <c r="G2527" s="69" t="str">
        <f aca="false">IFERROR(INDEX(分录收入!$I:$I,MATCH($L2527,分录收入!$L:$L,0)),"")</f>
        <v/>
      </c>
      <c r="H2527" s="23"/>
      <c r="I2527" s="70"/>
      <c r="L2527" s="71" t="n">
        <f aca="false">IF(助手收入!$R$170="",-1,助手收入!$R$170*100+(助手收入!$S$170-1)*6+2)</f>
        <v>-1</v>
      </c>
    </row>
    <row r="2528" customFormat="false" ht="23.25" hidden="false" customHeight="true" outlineLevel="0" collapsed="false">
      <c r="B2528" s="67" t="str">
        <f aca="false">""</f>
        <v/>
      </c>
      <c r="C2528" s="67"/>
      <c r="D2528" s="23" t="str">
        <f aca="false">IFERROR(INDEX(分录收入!$E:$E,MATCH($L2528,分录收入!$L:$L,0)),"")</f>
        <v/>
      </c>
      <c r="E2528" s="23" t="str">
        <f aca="false">IFERROR(INDEX(分录收入!$F:$F,MATCH($L2528,分录收入!$L:$L,0)),"")</f>
        <v/>
      </c>
      <c r="F2528" s="68" t="str">
        <f aca="false">IFERROR(INDEX(分录收入!$H:$H,MATCH($L2528,分录收入!$L:$L,0)),"")</f>
        <v/>
      </c>
      <c r="G2528" s="69" t="str">
        <f aca="false">IFERROR(INDEX(分录收入!$I:$I,MATCH($L2528,分录收入!$L:$L,0)),"")</f>
        <v/>
      </c>
      <c r="H2528" s="23"/>
      <c r="I2528" s="70"/>
      <c r="L2528" s="71" t="n">
        <f aca="false">IF(助手收入!$R$170="",-1,助手收入!$R$170*100+(助手收入!$S$170-1)*6+3)</f>
        <v>-1</v>
      </c>
    </row>
    <row r="2529" customFormat="false" ht="23.25" hidden="false" customHeight="true" outlineLevel="0" collapsed="false">
      <c r="B2529" s="67" t="str">
        <f aca="false">""</f>
        <v/>
      </c>
      <c r="C2529" s="67"/>
      <c r="D2529" s="23" t="str">
        <f aca="false">IFERROR(INDEX(分录收入!$E:$E,MATCH($L2529,分录收入!$L:$L,0)),"")</f>
        <v/>
      </c>
      <c r="E2529" s="23" t="str">
        <f aca="false">IFERROR(INDEX(分录收入!$F:$F,MATCH($L2529,分录收入!$L:$L,0)),"")</f>
        <v/>
      </c>
      <c r="F2529" s="68" t="str">
        <f aca="false">IFERROR(INDEX(分录收入!$H:$H,MATCH($L2529,分录收入!$L:$L,0)),"")</f>
        <v/>
      </c>
      <c r="G2529" s="69" t="str">
        <f aca="false">IFERROR(INDEX(分录收入!$I:$I,MATCH($L2529,分录收入!$L:$L,0)),"")</f>
        <v/>
      </c>
      <c r="H2529" s="23"/>
      <c r="I2529" s="70"/>
      <c r="L2529" s="71" t="n">
        <f aca="false">IF(助手收入!$R$170="",-1,助手收入!$R$170*100+(助手收入!$S$170-1)*6+4)</f>
        <v>-1</v>
      </c>
    </row>
    <row r="2530" customFormat="false" ht="23.25" hidden="false" customHeight="true" outlineLevel="0" collapsed="false">
      <c r="B2530" s="67" t="str">
        <f aca="false">""</f>
        <v/>
      </c>
      <c r="C2530" s="67"/>
      <c r="D2530" s="23" t="str">
        <f aca="false">IFERROR(INDEX(分录收入!$E:$E,MATCH($L2530,分录收入!$L:$L,0)),"")</f>
        <v/>
      </c>
      <c r="E2530" s="23" t="str">
        <f aca="false">IFERROR(INDEX(分录收入!$F:$F,MATCH($L2530,分录收入!$L:$L,0)),"")</f>
        <v/>
      </c>
      <c r="F2530" s="68" t="str">
        <f aca="false">IFERROR(INDEX(分录收入!$H:$H,MATCH($L2530,分录收入!$L:$L,0)),"")</f>
        <v/>
      </c>
      <c r="G2530" s="69" t="str">
        <f aca="false">IFERROR(INDEX(分录收入!$I:$I,MATCH($L2530,分录收入!$L:$L,0)),"")</f>
        <v/>
      </c>
      <c r="H2530" s="23"/>
      <c r="I2530" s="70"/>
      <c r="L2530" s="71" t="n">
        <f aca="false">IF(助手收入!$R$170="",-1,助手收入!$R$170*100+(助手收入!$S$170-1)*6+5)</f>
        <v>-1</v>
      </c>
    </row>
    <row r="2531" customFormat="false" ht="23.25" hidden="false" customHeight="true" outlineLevel="0" collapsed="false">
      <c r="B2531" s="67" t="str">
        <f aca="false">""</f>
        <v/>
      </c>
      <c r="C2531" s="67"/>
      <c r="D2531" s="23" t="str">
        <f aca="false">IFERROR(INDEX(分录收入!$E:$E,MATCH($L2531,分录收入!$L:$L,0)),"")</f>
        <v/>
      </c>
      <c r="E2531" s="23" t="str">
        <f aca="false">IFERROR(INDEX(分录收入!$F:$F,MATCH($L2531,分录收入!$L:$L,0)),"")</f>
        <v/>
      </c>
      <c r="F2531" s="68" t="str">
        <f aca="false">IFERROR(INDEX(分录收入!$H:$H,MATCH($L2531,分录收入!$L:$L,0)),"")</f>
        <v/>
      </c>
      <c r="G2531" s="69" t="str">
        <f aca="false">IFERROR(INDEX(分录收入!$I:$I,MATCH($L2531,分录收入!$L:$L,0)),"")</f>
        <v/>
      </c>
      <c r="H2531" s="23"/>
      <c r="I2531" s="70"/>
      <c r="L2531" s="71" t="n">
        <f aca="false">IF(助手收入!$R$170="",-1,助手收入!$R$170*100+(助手收入!$S$170-1)*6+6)</f>
        <v>-1</v>
      </c>
    </row>
    <row r="2532" customFormat="false" ht="23.25" hidden="false" customHeight="true" outlineLevel="0" collapsed="false">
      <c r="B2532" s="72" t="str">
        <f aca="false">IF(助手收入!$T$170=1,"合计：","")</f>
        <v/>
      </c>
      <c r="C2532" s="73" t="str">
        <f aca="false">IF(助手收入!$T$170=1,$F2532,"")</f>
        <v/>
      </c>
      <c r="D2532" s="74"/>
      <c r="E2532" s="74"/>
      <c r="F2532" s="75" t="str">
        <f aca="false">IF(助手收入!$T$170=1,INDEX(助手收入!$N$2:$N$66,助手收入!$R$170),"")</f>
        <v/>
      </c>
      <c r="G2532" s="76" t="str">
        <f aca="false">IF(助手收入!$T$170=1,INDEX(助手收入!$O$2:$O$66,助手收入!$R$170),"")</f>
        <v/>
      </c>
      <c r="H2532" s="74"/>
      <c r="I2532" s="77"/>
    </row>
    <row r="2533" customFormat="false" ht="6" hidden="false" customHeight="true" outlineLevel="0" collapsed="false"/>
    <row r="2534" customFormat="false" ht="13.5" hidden="false" customHeight="false" outlineLevel="0" collapsed="false">
      <c r="B2534" s="78" t="str">
        <f aca="false">IF(助手收入!$R$170&lt;&gt;"","会计主管：","")</f>
        <v/>
      </c>
      <c r="D2534" s="78" t="str">
        <f aca="false">IF(助手收入!$R$170&lt;&gt;"","会计：","")</f>
        <v/>
      </c>
      <c r="E2534" s="78" t="str">
        <f aca="false">IF(助手收入!$R$170&lt;&gt;"","出纳：","")</f>
        <v/>
      </c>
      <c r="F2534" s="78" t="str">
        <f aca="false">IF(助手收入!$R$170&lt;&gt;"","复核：","")</f>
        <v/>
      </c>
      <c r="G2534" s="78" t="str">
        <f aca="false">IF(助手收入!$R$170&lt;&gt;"","制单：","")</f>
        <v/>
      </c>
    </row>
    <row r="2535" customFormat="false" ht="3" hidden="false" customHeight="true" outlineLevel="0" collapsed="false"/>
    <row r="2536" customFormat="false" ht="19.5" hidden="false" customHeight="true" outlineLevel="0" collapsed="false">
      <c r="B2536" s="53" t="str">
        <f aca="false">IF(助手收入!$R$171&lt;&gt;"","记  账  凭  证","")</f>
        <v/>
      </c>
      <c r="C2536" s="53"/>
      <c r="D2536" s="53"/>
      <c r="E2536" s="53"/>
      <c r="F2536" s="53"/>
      <c r="G2536" s="53"/>
      <c r="H2536" s="53"/>
      <c r="I2536" s="53"/>
    </row>
    <row r="2537" customFormat="false" ht="3" hidden="false" customHeight="true" outlineLevel="0" collapsed="false"/>
    <row r="2538" customFormat="false" ht="15" hidden="false" customHeight="true" outlineLevel="0" collapsed="false">
      <c r="C2538" s="56" t="str">
        <f aca="false">IF(助手收入!$R$171&lt;&gt;"",INDEX(助手收入!$B$2:$B$66,助手收入!$R$171),"")</f>
        <v/>
      </c>
      <c r="D2538" s="57" t="str">
        <f aca="false">IF(助手收入!$R$171&lt;&gt;"",参数!$B$2,"")</f>
        <v/>
      </c>
      <c r="E2538" s="57"/>
      <c r="F2538" s="58" t="str">
        <f aca="false">IF(助手收入!$R$171&lt;&gt;"",INDEX(助手收入!$C$2:$C$66,助手收入!$R$171)&amp;"  字第 "&amp;IF(参数!$B$9="是",INDEX(助手收入!$P$2:$P$66,助手收入!$R$171),"　　　　")&amp;" 号"&amp;IF(INDEX(助手收入!$L$2:$L$66,助手收入!$R$171)&gt;1,"  (共"&amp;INDEX(助手收入!$L$2:$L$66,助手收入!$R$171)&amp;"页 第"&amp;助手收入!$S$171&amp;"页)",""),"")</f>
        <v/>
      </c>
      <c r="G2538" s="58"/>
      <c r="H2538" s="58"/>
      <c r="I2538" s="58"/>
      <c r="M2538" s="79" t="str">
        <f aca="false">IF(助手收入!$R$171="","",助手收入!$Q$171)</f>
        <v/>
      </c>
      <c r="N2538" s="80" t="str">
        <f aca="false">IF(助手收入!$R$171="","",INDEX(助手收入!$P$2:$P$66,助手收入!$R$171))</f>
        <v/>
      </c>
      <c r="O2538" s="55" t="str">
        <f aca="false">IF(助手收入!$R$171="","",INDEX(助手收入!$C$2:$C$66,助手收入!$R$171)&amp;"  字第 "&amp;INDEX(助手收入!$P$2:$P$66,助手收入!$R$171)&amp;" 号"&amp;IF(INDEX(助手收入!$L$2:$L$66,助手收入!$R$171)&gt;1,"  (共"&amp;INDEX(助手收入!$L$2:$L$66,助手收入!$R$171)&amp;"页 第"&amp;助手收入!$S$171&amp;"页)",""))</f>
        <v/>
      </c>
    </row>
    <row r="2539" customFormat="false" ht="12.75" hidden="false" customHeight="true" outlineLevel="0" collapsed="false">
      <c r="B2539" s="61" t="str">
        <f aca="false">IF(助手收入!$R$171&lt;&gt;"","摘　　要","")</f>
        <v/>
      </c>
      <c r="C2539" s="61"/>
      <c r="D2539" s="62" t="str">
        <f aca="false">IF(助手收入!$R$171&lt;&gt;"","科　　　　目","")</f>
        <v/>
      </c>
      <c r="E2539" s="62"/>
      <c r="F2539" s="61" t="str">
        <f aca="false">IF(助手收入!$R$171&lt;&gt;"","借 方 金 额","")</f>
        <v/>
      </c>
      <c r="G2539" s="62" t="str">
        <f aca="false">IF(助手收入!$R$171&lt;&gt;"","贷 方 金 额","")</f>
        <v/>
      </c>
      <c r="H2539" s="63" t="str">
        <f aca="false">IF(助手收入!$R$171&lt;&gt;"","√","")</f>
        <v/>
      </c>
      <c r="I2539" s="64" t="str">
        <f aca="false">IF(助手收入!$R$171&lt;&gt;"","附单据  张","")</f>
        <v/>
      </c>
    </row>
    <row r="2540" customFormat="false" ht="12.75" hidden="false" customHeight="true" outlineLevel="0" collapsed="false">
      <c r="B2540" s="61"/>
      <c r="C2540" s="61"/>
      <c r="D2540" s="23" t="str">
        <f aca="false">IF(助手收入!$R$171&lt;&gt;"","总 账 科 目","")</f>
        <v/>
      </c>
      <c r="E2540" s="23" t="str">
        <f aca="false">IF(助手收入!$R$171&lt;&gt;"","明 细 科 目","")</f>
        <v/>
      </c>
      <c r="F2540" s="65"/>
      <c r="G2540" s="66"/>
      <c r="H2540" s="63"/>
      <c r="I2540" s="64"/>
    </row>
    <row r="2541" customFormat="false" ht="23.25" hidden="false" customHeight="true" outlineLevel="0" collapsed="false">
      <c r="B2541" s="67" t="str">
        <f aca="false">IFERROR(INDEX(分录收入!$M:$M,MATCH($L2541,分录收入!$L:$L,0)),"")</f>
        <v/>
      </c>
      <c r="C2541" s="67"/>
      <c r="D2541" s="23" t="str">
        <f aca="false">IFERROR(INDEX(分录收入!$E:$E,MATCH($L2541,分录收入!$L:$L,0)),"")</f>
        <v/>
      </c>
      <c r="E2541" s="23" t="str">
        <f aca="false">IFERROR(INDEX(分录收入!$F:$F,MATCH($L2541,分录收入!$L:$L,0)),"")</f>
        <v/>
      </c>
      <c r="F2541" s="68" t="str">
        <f aca="false">IFERROR(INDEX(分录收入!$H:$H,MATCH($L2541,分录收入!$L:$L,0)),"")</f>
        <v/>
      </c>
      <c r="G2541" s="69" t="str">
        <f aca="false">IFERROR(INDEX(分录收入!$I:$I,MATCH($L2541,分录收入!$L:$L,0)),"")</f>
        <v/>
      </c>
      <c r="H2541" s="23"/>
      <c r="I2541" s="70"/>
      <c r="L2541" s="71" t="n">
        <f aca="false">IF(助手收入!$R$171="",-1,助手收入!$R$171*100+(助手收入!$S$171-1)*6+1)</f>
        <v>-1</v>
      </c>
    </row>
    <row r="2542" customFormat="false" ht="23.25" hidden="false" customHeight="true" outlineLevel="0" collapsed="false">
      <c r="B2542" s="67" t="str">
        <f aca="false">""</f>
        <v/>
      </c>
      <c r="C2542" s="67"/>
      <c r="D2542" s="23" t="str">
        <f aca="false">IFERROR(INDEX(分录收入!$E:$E,MATCH($L2542,分录收入!$L:$L,0)),"")</f>
        <v/>
      </c>
      <c r="E2542" s="23" t="str">
        <f aca="false">IFERROR(INDEX(分录收入!$F:$F,MATCH($L2542,分录收入!$L:$L,0)),"")</f>
        <v/>
      </c>
      <c r="F2542" s="68" t="str">
        <f aca="false">IFERROR(INDEX(分录收入!$H:$H,MATCH($L2542,分录收入!$L:$L,0)),"")</f>
        <v/>
      </c>
      <c r="G2542" s="69" t="str">
        <f aca="false">IFERROR(INDEX(分录收入!$I:$I,MATCH($L2542,分录收入!$L:$L,0)),"")</f>
        <v/>
      </c>
      <c r="H2542" s="23"/>
      <c r="I2542" s="70"/>
      <c r="L2542" s="71" t="n">
        <f aca="false">IF(助手收入!$R$171="",-1,助手收入!$R$171*100+(助手收入!$S$171-1)*6+2)</f>
        <v>-1</v>
      </c>
    </row>
    <row r="2543" customFormat="false" ht="23.25" hidden="false" customHeight="true" outlineLevel="0" collapsed="false">
      <c r="B2543" s="67" t="str">
        <f aca="false">""</f>
        <v/>
      </c>
      <c r="C2543" s="67"/>
      <c r="D2543" s="23" t="str">
        <f aca="false">IFERROR(INDEX(分录收入!$E:$E,MATCH($L2543,分录收入!$L:$L,0)),"")</f>
        <v/>
      </c>
      <c r="E2543" s="23" t="str">
        <f aca="false">IFERROR(INDEX(分录收入!$F:$F,MATCH($L2543,分录收入!$L:$L,0)),"")</f>
        <v/>
      </c>
      <c r="F2543" s="68" t="str">
        <f aca="false">IFERROR(INDEX(分录收入!$H:$H,MATCH($L2543,分录收入!$L:$L,0)),"")</f>
        <v/>
      </c>
      <c r="G2543" s="69" t="str">
        <f aca="false">IFERROR(INDEX(分录收入!$I:$I,MATCH($L2543,分录收入!$L:$L,0)),"")</f>
        <v/>
      </c>
      <c r="H2543" s="23"/>
      <c r="I2543" s="70"/>
      <c r="L2543" s="71" t="n">
        <f aca="false">IF(助手收入!$R$171="",-1,助手收入!$R$171*100+(助手收入!$S$171-1)*6+3)</f>
        <v>-1</v>
      </c>
    </row>
    <row r="2544" customFormat="false" ht="23.25" hidden="false" customHeight="true" outlineLevel="0" collapsed="false">
      <c r="B2544" s="67" t="str">
        <f aca="false">""</f>
        <v/>
      </c>
      <c r="C2544" s="67"/>
      <c r="D2544" s="23" t="str">
        <f aca="false">IFERROR(INDEX(分录收入!$E:$E,MATCH($L2544,分录收入!$L:$L,0)),"")</f>
        <v/>
      </c>
      <c r="E2544" s="23" t="str">
        <f aca="false">IFERROR(INDEX(分录收入!$F:$F,MATCH($L2544,分录收入!$L:$L,0)),"")</f>
        <v/>
      </c>
      <c r="F2544" s="68" t="str">
        <f aca="false">IFERROR(INDEX(分录收入!$H:$H,MATCH($L2544,分录收入!$L:$L,0)),"")</f>
        <v/>
      </c>
      <c r="G2544" s="69" t="str">
        <f aca="false">IFERROR(INDEX(分录收入!$I:$I,MATCH($L2544,分录收入!$L:$L,0)),"")</f>
        <v/>
      </c>
      <c r="H2544" s="23"/>
      <c r="I2544" s="70"/>
      <c r="L2544" s="71" t="n">
        <f aca="false">IF(助手收入!$R$171="",-1,助手收入!$R$171*100+(助手收入!$S$171-1)*6+4)</f>
        <v>-1</v>
      </c>
    </row>
    <row r="2545" customFormat="false" ht="23.25" hidden="false" customHeight="true" outlineLevel="0" collapsed="false">
      <c r="B2545" s="67" t="str">
        <f aca="false">""</f>
        <v/>
      </c>
      <c r="C2545" s="67"/>
      <c r="D2545" s="23" t="str">
        <f aca="false">IFERROR(INDEX(分录收入!$E:$E,MATCH($L2545,分录收入!$L:$L,0)),"")</f>
        <v/>
      </c>
      <c r="E2545" s="23" t="str">
        <f aca="false">IFERROR(INDEX(分录收入!$F:$F,MATCH($L2545,分录收入!$L:$L,0)),"")</f>
        <v/>
      </c>
      <c r="F2545" s="68" t="str">
        <f aca="false">IFERROR(INDEX(分录收入!$H:$H,MATCH($L2545,分录收入!$L:$L,0)),"")</f>
        <v/>
      </c>
      <c r="G2545" s="69" t="str">
        <f aca="false">IFERROR(INDEX(分录收入!$I:$I,MATCH($L2545,分录收入!$L:$L,0)),"")</f>
        <v/>
      </c>
      <c r="H2545" s="23"/>
      <c r="I2545" s="70"/>
      <c r="L2545" s="71" t="n">
        <f aca="false">IF(助手收入!$R$171="",-1,助手收入!$R$171*100+(助手收入!$S$171-1)*6+5)</f>
        <v>-1</v>
      </c>
    </row>
    <row r="2546" customFormat="false" ht="23.25" hidden="false" customHeight="true" outlineLevel="0" collapsed="false">
      <c r="B2546" s="67" t="str">
        <f aca="false">""</f>
        <v/>
      </c>
      <c r="C2546" s="67"/>
      <c r="D2546" s="23" t="str">
        <f aca="false">IFERROR(INDEX(分录收入!$E:$E,MATCH($L2546,分录收入!$L:$L,0)),"")</f>
        <v/>
      </c>
      <c r="E2546" s="23" t="str">
        <f aca="false">IFERROR(INDEX(分录收入!$F:$F,MATCH($L2546,分录收入!$L:$L,0)),"")</f>
        <v/>
      </c>
      <c r="F2546" s="68" t="str">
        <f aca="false">IFERROR(INDEX(分录收入!$H:$H,MATCH($L2546,分录收入!$L:$L,0)),"")</f>
        <v/>
      </c>
      <c r="G2546" s="69" t="str">
        <f aca="false">IFERROR(INDEX(分录收入!$I:$I,MATCH($L2546,分录收入!$L:$L,0)),"")</f>
        <v/>
      </c>
      <c r="H2546" s="23"/>
      <c r="I2546" s="70"/>
      <c r="L2546" s="71" t="n">
        <f aca="false">IF(助手收入!$R$171="",-1,助手收入!$R$171*100+(助手收入!$S$171-1)*6+6)</f>
        <v>-1</v>
      </c>
    </row>
    <row r="2547" customFormat="false" ht="23.25" hidden="false" customHeight="true" outlineLevel="0" collapsed="false">
      <c r="B2547" s="72" t="str">
        <f aca="false">IF(助手收入!$T$171=1,"合计：","")</f>
        <v/>
      </c>
      <c r="C2547" s="73" t="str">
        <f aca="false">IF(助手收入!$T$171=1,$F2547,"")</f>
        <v/>
      </c>
      <c r="D2547" s="74"/>
      <c r="E2547" s="74"/>
      <c r="F2547" s="75" t="str">
        <f aca="false">IF(助手收入!$T$171=1,INDEX(助手收入!$N$2:$N$66,助手收入!$R$171),"")</f>
        <v/>
      </c>
      <c r="G2547" s="76" t="str">
        <f aca="false">IF(助手收入!$T$171=1,INDEX(助手收入!$O$2:$O$66,助手收入!$R$171),"")</f>
        <v/>
      </c>
      <c r="H2547" s="74"/>
      <c r="I2547" s="77"/>
    </row>
    <row r="2548" customFormat="false" ht="6" hidden="false" customHeight="true" outlineLevel="0" collapsed="false"/>
    <row r="2549" customFormat="false" ht="13.5" hidden="false" customHeight="false" outlineLevel="0" collapsed="false">
      <c r="B2549" s="78" t="str">
        <f aca="false">IF(助手收入!$R$171&lt;&gt;"","会计主管：","")</f>
        <v/>
      </c>
      <c r="D2549" s="78" t="str">
        <f aca="false">IF(助手收入!$R$171&lt;&gt;"","会计：","")</f>
        <v/>
      </c>
      <c r="E2549" s="78" t="str">
        <f aca="false">IF(助手收入!$R$171&lt;&gt;"","出纳：","")</f>
        <v/>
      </c>
      <c r="F2549" s="78" t="str">
        <f aca="false">IF(助手收入!$R$171&lt;&gt;"","复核：","")</f>
        <v/>
      </c>
      <c r="G2549" s="78" t="str">
        <f aca="false">IF(助手收入!$R$171&lt;&gt;"","制单：","")</f>
        <v/>
      </c>
    </row>
    <row r="2550" customFormat="false" ht="3" hidden="false" customHeight="true" outlineLevel="0" collapsed="false"/>
    <row r="2551" customFormat="false" ht="19.5" hidden="false" customHeight="true" outlineLevel="0" collapsed="false">
      <c r="B2551" s="53" t="str">
        <f aca="false">IF(助手收入!$R$172&lt;&gt;"","记  账  凭  证","")</f>
        <v/>
      </c>
      <c r="C2551" s="53"/>
      <c r="D2551" s="53"/>
      <c r="E2551" s="53"/>
      <c r="F2551" s="53"/>
      <c r="G2551" s="53"/>
      <c r="H2551" s="53"/>
      <c r="I2551" s="53"/>
    </row>
    <row r="2552" customFormat="false" ht="3" hidden="false" customHeight="true" outlineLevel="0" collapsed="false"/>
    <row r="2553" customFormat="false" ht="15" hidden="false" customHeight="true" outlineLevel="0" collapsed="false">
      <c r="C2553" s="56" t="str">
        <f aca="false">IF(助手收入!$R$172&lt;&gt;"",INDEX(助手收入!$B$2:$B$66,助手收入!$R$172),"")</f>
        <v/>
      </c>
      <c r="D2553" s="57" t="str">
        <f aca="false">IF(助手收入!$R$172&lt;&gt;"",参数!$B$2,"")</f>
        <v/>
      </c>
      <c r="E2553" s="57"/>
      <c r="F2553" s="58" t="str">
        <f aca="false">IF(助手收入!$R$172&lt;&gt;"",INDEX(助手收入!$C$2:$C$66,助手收入!$R$172)&amp;"  字第 "&amp;IF(参数!$B$9="是",INDEX(助手收入!$P$2:$P$66,助手收入!$R$172),"　　　　")&amp;" 号"&amp;IF(INDEX(助手收入!$L$2:$L$66,助手收入!$R$172)&gt;1,"  (共"&amp;INDEX(助手收入!$L$2:$L$66,助手收入!$R$172)&amp;"页 第"&amp;助手收入!$S$172&amp;"页)",""),"")</f>
        <v/>
      </c>
      <c r="G2553" s="58"/>
      <c r="H2553" s="58"/>
      <c r="I2553" s="58"/>
      <c r="M2553" s="79" t="str">
        <f aca="false">IF(助手收入!$R$172="","",助手收入!$Q$172)</f>
        <v/>
      </c>
      <c r="N2553" s="80" t="str">
        <f aca="false">IF(助手收入!$R$172="","",INDEX(助手收入!$P$2:$P$66,助手收入!$R$172))</f>
        <v/>
      </c>
      <c r="O2553" s="55" t="str">
        <f aca="false">IF(助手收入!$R$172="","",INDEX(助手收入!$C$2:$C$66,助手收入!$R$172)&amp;"  字第 "&amp;INDEX(助手收入!$P$2:$P$66,助手收入!$R$172)&amp;" 号"&amp;IF(INDEX(助手收入!$L$2:$L$66,助手收入!$R$172)&gt;1,"  (共"&amp;INDEX(助手收入!$L$2:$L$66,助手收入!$R$172)&amp;"页 第"&amp;助手收入!$S$172&amp;"页)",""))</f>
        <v/>
      </c>
    </row>
    <row r="2554" customFormat="false" ht="12.75" hidden="false" customHeight="true" outlineLevel="0" collapsed="false">
      <c r="B2554" s="61" t="str">
        <f aca="false">IF(助手收入!$R$172&lt;&gt;"","摘　　要","")</f>
        <v/>
      </c>
      <c r="C2554" s="61"/>
      <c r="D2554" s="62" t="str">
        <f aca="false">IF(助手收入!$R$172&lt;&gt;"","科　　　　目","")</f>
        <v/>
      </c>
      <c r="E2554" s="62"/>
      <c r="F2554" s="61" t="str">
        <f aca="false">IF(助手收入!$R$172&lt;&gt;"","借 方 金 额","")</f>
        <v/>
      </c>
      <c r="G2554" s="62" t="str">
        <f aca="false">IF(助手收入!$R$172&lt;&gt;"","贷 方 金 额","")</f>
        <v/>
      </c>
      <c r="H2554" s="63" t="str">
        <f aca="false">IF(助手收入!$R$172&lt;&gt;"","√","")</f>
        <v/>
      </c>
      <c r="I2554" s="64" t="str">
        <f aca="false">IF(助手收入!$R$172&lt;&gt;"","附单据  张","")</f>
        <v/>
      </c>
    </row>
    <row r="2555" customFormat="false" ht="12.75" hidden="false" customHeight="true" outlineLevel="0" collapsed="false">
      <c r="B2555" s="61"/>
      <c r="C2555" s="61"/>
      <c r="D2555" s="23" t="str">
        <f aca="false">IF(助手收入!$R$172&lt;&gt;"","总 账 科 目","")</f>
        <v/>
      </c>
      <c r="E2555" s="23" t="str">
        <f aca="false">IF(助手收入!$R$172&lt;&gt;"","明 细 科 目","")</f>
        <v/>
      </c>
      <c r="F2555" s="65"/>
      <c r="G2555" s="66"/>
      <c r="H2555" s="63"/>
      <c r="I2555" s="64"/>
    </row>
    <row r="2556" customFormat="false" ht="23.25" hidden="false" customHeight="true" outlineLevel="0" collapsed="false">
      <c r="B2556" s="67" t="str">
        <f aca="false">IFERROR(INDEX(分录收入!$M:$M,MATCH($L2556,分录收入!$L:$L,0)),"")</f>
        <v/>
      </c>
      <c r="C2556" s="67"/>
      <c r="D2556" s="23" t="str">
        <f aca="false">IFERROR(INDEX(分录收入!$E:$E,MATCH($L2556,分录收入!$L:$L,0)),"")</f>
        <v/>
      </c>
      <c r="E2556" s="23" t="str">
        <f aca="false">IFERROR(INDEX(分录收入!$F:$F,MATCH($L2556,分录收入!$L:$L,0)),"")</f>
        <v/>
      </c>
      <c r="F2556" s="68" t="str">
        <f aca="false">IFERROR(INDEX(分录收入!$H:$H,MATCH($L2556,分录收入!$L:$L,0)),"")</f>
        <v/>
      </c>
      <c r="G2556" s="69" t="str">
        <f aca="false">IFERROR(INDEX(分录收入!$I:$I,MATCH($L2556,分录收入!$L:$L,0)),"")</f>
        <v/>
      </c>
      <c r="H2556" s="23"/>
      <c r="I2556" s="70"/>
      <c r="L2556" s="71" t="n">
        <f aca="false">IF(助手收入!$R$172="",-1,助手收入!$R$172*100+(助手收入!$S$172-1)*6+1)</f>
        <v>-1</v>
      </c>
    </row>
    <row r="2557" customFormat="false" ht="23.25" hidden="false" customHeight="true" outlineLevel="0" collapsed="false">
      <c r="B2557" s="67" t="str">
        <f aca="false">""</f>
        <v/>
      </c>
      <c r="C2557" s="67"/>
      <c r="D2557" s="23" t="str">
        <f aca="false">IFERROR(INDEX(分录收入!$E:$E,MATCH($L2557,分录收入!$L:$L,0)),"")</f>
        <v/>
      </c>
      <c r="E2557" s="23" t="str">
        <f aca="false">IFERROR(INDEX(分录收入!$F:$F,MATCH($L2557,分录收入!$L:$L,0)),"")</f>
        <v/>
      </c>
      <c r="F2557" s="68" t="str">
        <f aca="false">IFERROR(INDEX(分录收入!$H:$H,MATCH($L2557,分录收入!$L:$L,0)),"")</f>
        <v/>
      </c>
      <c r="G2557" s="69" t="str">
        <f aca="false">IFERROR(INDEX(分录收入!$I:$I,MATCH($L2557,分录收入!$L:$L,0)),"")</f>
        <v/>
      </c>
      <c r="H2557" s="23"/>
      <c r="I2557" s="70"/>
      <c r="L2557" s="71" t="n">
        <f aca="false">IF(助手收入!$R$172="",-1,助手收入!$R$172*100+(助手收入!$S$172-1)*6+2)</f>
        <v>-1</v>
      </c>
    </row>
    <row r="2558" customFormat="false" ht="23.25" hidden="false" customHeight="true" outlineLevel="0" collapsed="false">
      <c r="B2558" s="67" t="str">
        <f aca="false">""</f>
        <v/>
      </c>
      <c r="C2558" s="67"/>
      <c r="D2558" s="23" t="str">
        <f aca="false">IFERROR(INDEX(分录收入!$E:$E,MATCH($L2558,分录收入!$L:$L,0)),"")</f>
        <v/>
      </c>
      <c r="E2558" s="23" t="str">
        <f aca="false">IFERROR(INDEX(分录收入!$F:$F,MATCH($L2558,分录收入!$L:$L,0)),"")</f>
        <v/>
      </c>
      <c r="F2558" s="68" t="str">
        <f aca="false">IFERROR(INDEX(分录收入!$H:$H,MATCH($L2558,分录收入!$L:$L,0)),"")</f>
        <v/>
      </c>
      <c r="G2558" s="69" t="str">
        <f aca="false">IFERROR(INDEX(分录收入!$I:$I,MATCH($L2558,分录收入!$L:$L,0)),"")</f>
        <v/>
      </c>
      <c r="H2558" s="23"/>
      <c r="I2558" s="70"/>
      <c r="L2558" s="71" t="n">
        <f aca="false">IF(助手收入!$R$172="",-1,助手收入!$R$172*100+(助手收入!$S$172-1)*6+3)</f>
        <v>-1</v>
      </c>
    </row>
    <row r="2559" customFormat="false" ht="23.25" hidden="false" customHeight="true" outlineLevel="0" collapsed="false">
      <c r="B2559" s="67" t="str">
        <f aca="false">""</f>
        <v/>
      </c>
      <c r="C2559" s="67"/>
      <c r="D2559" s="23" t="str">
        <f aca="false">IFERROR(INDEX(分录收入!$E:$E,MATCH($L2559,分录收入!$L:$L,0)),"")</f>
        <v/>
      </c>
      <c r="E2559" s="23" t="str">
        <f aca="false">IFERROR(INDEX(分录收入!$F:$F,MATCH($L2559,分录收入!$L:$L,0)),"")</f>
        <v/>
      </c>
      <c r="F2559" s="68" t="str">
        <f aca="false">IFERROR(INDEX(分录收入!$H:$H,MATCH($L2559,分录收入!$L:$L,0)),"")</f>
        <v/>
      </c>
      <c r="G2559" s="69" t="str">
        <f aca="false">IFERROR(INDEX(分录收入!$I:$I,MATCH($L2559,分录收入!$L:$L,0)),"")</f>
        <v/>
      </c>
      <c r="H2559" s="23"/>
      <c r="I2559" s="70"/>
      <c r="L2559" s="71" t="n">
        <f aca="false">IF(助手收入!$R$172="",-1,助手收入!$R$172*100+(助手收入!$S$172-1)*6+4)</f>
        <v>-1</v>
      </c>
    </row>
    <row r="2560" customFormat="false" ht="23.25" hidden="false" customHeight="true" outlineLevel="0" collapsed="false">
      <c r="B2560" s="67" t="str">
        <f aca="false">""</f>
        <v/>
      </c>
      <c r="C2560" s="67"/>
      <c r="D2560" s="23" t="str">
        <f aca="false">IFERROR(INDEX(分录收入!$E:$E,MATCH($L2560,分录收入!$L:$L,0)),"")</f>
        <v/>
      </c>
      <c r="E2560" s="23" t="str">
        <f aca="false">IFERROR(INDEX(分录收入!$F:$F,MATCH($L2560,分录收入!$L:$L,0)),"")</f>
        <v/>
      </c>
      <c r="F2560" s="68" t="str">
        <f aca="false">IFERROR(INDEX(分录收入!$H:$H,MATCH($L2560,分录收入!$L:$L,0)),"")</f>
        <v/>
      </c>
      <c r="G2560" s="69" t="str">
        <f aca="false">IFERROR(INDEX(分录收入!$I:$I,MATCH($L2560,分录收入!$L:$L,0)),"")</f>
        <v/>
      </c>
      <c r="H2560" s="23"/>
      <c r="I2560" s="70"/>
      <c r="L2560" s="71" t="n">
        <f aca="false">IF(助手收入!$R$172="",-1,助手收入!$R$172*100+(助手收入!$S$172-1)*6+5)</f>
        <v>-1</v>
      </c>
    </row>
    <row r="2561" customFormat="false" ht="23.25" hidden="false" customHeight="true" outlineLevel="0" collapsed="false">
      <c r="B2561" s="67" t="str">
        <f aca="false">""</f>
        <v/>
      </c>
      <c r="C2561" s="67"/>
      <c r="D2561" s="23" t="str">
        <f aca="false">IFERROR(INDEX(分录收入!$E:$E,MATCH($L2561,分录收入!$L:$L,0)),"")</f>
        <v/>
      </c>
      <c r="E2561" s="23" t="str">
        <f aca="false">IFERROR(INDEX(分录收入!$F:$F,MATCH($L2561,分录收入!$L:$L,0)),"")</f>
        <v/>
      </c>
      <c r="F2561" s="68" t="str">
        <f aca="false">IFERROR(INDEX(分录收入!$H:$H,MATCH($L2561,分录收入!$L:$L,0)),"")</f>
        <v/>
      </c>
      <c r="G2561" s="69" t="str">
        <f aca="false">IFERROR(INDEX(分录收入!$I:$I,MATCH($L2561,分录收入!$L:$L,0)),"")</f>
        <v/>
      </c>
      <c r="H2561" s="23"/>
      <c r="I2561" s="70"/>
      <c r="L2561" s="71" t="n">
        <f aca="false">IF(助手收入!$R$172="",-1,助手收入!$R$172*100+(助手收入!$S$172-1)*6+6)</f>
        <v>-1</v>
      </c>
    </row>
    <row r="2562" customFormat="false" ht="23.25" hidden="false" customHeight="true" outlineLevel="0" collapsed="false">
      <c r="B2562" s="72" t="str">
        <f aca="false">IF(助手收入!$T$172=1,"合计：","")</f>
        <v/>
      </c>
      <c r="C2562" s="73" t="str">
        <f aca="false">IF(助手收入!$T$172=1,$F2562,"")</f>
        <v/>
      </c>
      <c r="D2562" s="74"/>
      <c r="E2562" s="74"/>
      <c r="F2562" s="75" t="str">
        <f aca="false">IF(助手收入!$T$172=1,INDEX(助手收入!$N$2:$N$66,助手收入!$R$172),"")</f>
        <v/>
      </c>
      <c r="G2562" s="76" t="str">
        <f aca="false">IF(助手收入!$T$172=1,INDEX(助手收入!$O$2:$O$66,助手收入!$R$172),"")</f>
        <v/>
      </c>
      <c r="H2562" s="74"/>
      <c r="I2562" s="77"/>
    </row>
    <row r="2563" customFormat="false" ht="6" hidden="false" customHeight="true" outlineLevel="0" collapsed="false"/>
    <row r="2564" customFormat="false" ht="13.5" hidden="false" customHeight="false" outlineLevel="0" collapsed="false">
      <c r="B2564" s="78" t="str">
        <f aca="false">IF(助手收入!$R$172&lt;&gt;"","会计主管：","")</f>
        <v/>
      </c>
      <c r="D2564" s="78" t="str">
        <f aca="false">IF(助手收入!$R$172&lt;&gt;"","会计：","")</f>
        <v/>
      </c>
      <c r="E2564" s="78" t="str">
        <f aca="false">IF(助手收入!$R$172&lt;&gt;"","出纳：","")</f>
        <v/>
      </c>
      <c r="F2564" s="78" t="str">
        <f aca="false">IF(助手收入!$R$172&lt;&gt;"","复核：","")</f>
        <v/>
      </c>
      <c r="G2564" s="78" t="str">
        <f aca="false">IF(助手收入!$R$172&lt;&gt;"","制单：","")</f>
        <v/>
      </c>
    </row>
    <row r="2565" customFormat="false" ht="3" hidden="false" customHeight="true" outlineLevel="0" collapsed="false"/>
    <row r="2566" customFormat="false" ht="19.5" hidden="false" customHeight="true" outlineLevel="0" collapsed="false">
      <c r="B2566" s="53" t="str">
        <f aca="false">IF(助手收入!$R$173&lt;&gt;"","记  账  凭  证","")</f>
        <v/>
      </c>
      <c r="C2566" s="53"/>
      <c r="D2566" s="53"/>
      <c r="E2566" s="53"/>
      <c r="F2566" s="53"/>
      <c r="G2566" s="53"/>
      <c r="H2566" s="53"/>
      <c r="I2566" s="53"/>
    </row>
    <row r="2567" customFormat="false" ht="3" hidden="false" customHeight="true" outlineLevel="0" collapsed="false"/>
    <row r="2568" customFormat="false" ht="15" hidden="false" customHeight="true" outlineLevel="0" collapsed="false">
      <c r="C2568" s="56" t="str">
        <f aca="false">IF(助手收入!$R$173&lt;&gt;"",INDEX(助手收入!$B$2:$B$66,助手收入!$R$173),"")</f>
        <v/>
      </c>
      <c r="D2568" s="57" t="str">
        <f aca="false">IF(助手收入!$R$173&lt;&gt;"",参数!$B$2,"")</f>
        <v/>
      </c>
      <c r="E2568" s="57"/>
      <c r="F2568" s="58" t="str">
        <f aca="false">IF(助手收入!$R$173&lt;&gt;"",INDEX(助手收入!$C$2:$C$66,助手收入!$R$173)&amp;"  字第 "&amp;IF(参数!$B$9="是",INDEX(助手收入!$P$2:$P$66,助手收入!$R$173),"　　　　")&amp;" 号"&amp;IF(INDEX(助手收入!$L$2:$L$66,助手收入!$R$173)&gt;1,"  (共"&amp;INDEX(助手收入!$L$2:$L$66,助手收入!$R$173)&amp;"页 第"&amp;助手收入!$S$173&amp;"页)",""),"")</f>
        <v/>
      </c>
      <c r="G2568" s="58"/>
      <c r="H2568" s="58"/>
      <c r="I2568" s="58"/>
      <c r="M2568" s="79" t="str">
        <f aca="false">IF(助手收入!$R$173="","",助手收入!$Q$173)</f>
        <v/>
      </c>
      <c r="N2568" s="80" t="str">
        <f aca="false">IF(助手收入!$R$173="","",INDEX(助手收入!$P$2:$P$66,助手收入!$R$173))</f>
        <v/>
      </c>
      <c r="O2568" s="55" t="str">
        <f aca="false">IF(助手收入!$R$173="","",INDEX(助手收入!$C$2:$C$66,助手收入!$R$173)&amp;"  字第 "&amp;INDEX(助手收入!$P$2:$P$66,助手收入!$R$173)&amp;" 号"&amp;IF(INDEX(助手收入!$L$2:$L$66,助手收入!$R$173)&gt;1,"  (共"&amp;INDEX(助手收入!$L$2:$L$66,助手收入!$R$173)&amp;"页 第"&amp;助手收入!$S$173&amp;"页)",""))</f>
        <v/>
      </c>
    </row>
    <row r="2569" customFormat="false" ht="12.75" hidden="false" customHeight="true" outlineLevel="0" collapsed="false">
      <c r="B2569" s="61" t="str">
        <f aca="false">IF(助手收入!$R$173&lt;&gt;"","摘　　要","")</f>
        <v/>
      </c>
      <c r="C2569" s="61"/>
      <c r="D2569" s="62" t="str">
        <f aca="false">IF(助手收入!$R$173&lt;&gt;"","科　　　　目","")</f>
        <v/>
      </c>
      <c r="E2569" s="62"/>
      <c r="F2569" s="61" t="str">
        <f aca="false">IF(助手收入!$R$173&lt;&gt;"","借 方 金 额","")</f>
        <v/>
      </c>
      <c r="G2569" s="62" t="str">
        <f aca="false">IF(助手收入!$R$173&lt;&gt;"","贷 方 金 额","")</f>
        <v/>
      </c>
      <c r="H2569" s="63" t="str">
        <f aca="false">IF(助手收入!$R$173&lt;&gt;"","√","")</f>
        <v/>
      </c>
      <c r="I2569" s="64" t="str">
        <f aca="false">IF(助手收入!$R$173&lt;&gt;"","附单据  张","")</f>
        <v/>
      </c>
    </row>
    <row r="2570" customFormat="false" ht="12.75" hidden="false" customHeight="true" outlineLevel="0" collapsed="false">
      <c r="B2570" s="61"/>
      <c r="C2570" s="61"/>
      <c r="D2570" s="23" t="str">
        <f aca="false">IF(助手收入!$R$173&lt;&gt;"","总 账 科 目","")</f>
        <v/>
      </c>
      <c r="E2570" s="23" t="str">
        <f aca="false">IF(助手收入!$R$173&lt;&gt;"","明 细 科 目","")</f>
        <v/>
      </c>
      <c r="F2570" s="65"/>
      <c r="G2570" s="66"/>
      <c r="H2570" s="63"/>
      <c r="I2570" s="64"/>
    </row>
    <row r="2571" customFormat="false" ht="23.25" hidden="false" customHeight="true" outlineLevel="0" collapsed="false">
      <c r="B2571" s="67" t="str">
        <f aca="false">IFERROR(INDEX(分录收入!$M:$M,MATCH($L2571,分录收入!$L:$L,0)),"")</f>
        <v/>
      </c>
      <c r="C2571" s="67"/>
      <c r="D2571" s="23" t="str">
        <f aca="false">IFERROR(INDEX(分录收入!$E:$E,MATCH($L2571,分录收入!$L:$L,0)),"")</f>
        <v/>
      </c>
      <c r="E2571" s="23" t="str">
        <f aca="false">IFERROR(INDEX(分录收入!$F:$F,MATCH($L2571,分录收入!$L:$L,0)),"")</f>
        <v/>
      </c>
      <c r="F2571" s="68" t="str">
        <f aca="false">IFERROR(INDEX(分录收入!$H:$H,MATCH($L2571,分录收入!$L:$L,0)),"")</f>
        <v/>
      </c>
      <c r="G2571" s="69" t="str">
        <f aca="false">IFERROR(INDEX(分录收入!$I:$I,MATCH($L2571,分录收入!$L:$L,0)),"")</f>
        <v/>
      </c>
      <c r="H2571" s="23"/>
      <c r="I2571" s="70"/>
      <c r="L2571" s="71" t="n">
        <f aca="false">IF(助手收入!$R$173="",-1,助手收入!$R$173*100+(助手收入!$S$173-1)*6+1)</f>
        <v>-1</v>
      </c>
    </row>
    <row r="2572" customFormat="false" ht="23.25" hidden="false" customHeight="true" outlineLevel="0" collapsed="false">
      <c r="B2572" s="67" t="str">
        <f aca="false">""</f>
        <v/>
      </c>
      <c r="C2572" s="67"/>
      <c r="D2572" s="23" t="str">
        <f aca="false">IFERROR(INDEX(分录收入!$E:$E,MATCH($L2572,分录收入!$L:$L,0)),"")</f>
        <v/>
      </c>
      <c r="E2572" s="23" t="str">
        <f aca="false">IFERROR(INDEX(分录收入!$F:$F,MATCH($L2572,分录收入!$L:$L,0)),"")</f>
        <v/>
      </c>
      <c r="F2572" s="68" t="str">
        <f aca="false">IFERROR(INDEX(分录收入!$H:$H,MATCH($L2572,分录收入!$L:$L,0)),"")</f>
        <v/>
      </c>
      <c r="G2572" s="69" t="str">
        <f aca="false">IFERROR(INDEX(分录收入!$I:$I,MATCH($L2572,分录收入!$L:$L,0)),"")</f>
        <v/>
      </c>
      <c r="H2572" s="23"/>
      <c r="I2572" s="70"/>
      <c r="L2572" s="71" t="n">
        <f aca="false">IF(助手收入!$R$173="",-1,助手收入!$R$173*100+(助手收入!$S$173-1)*6+2)</f>
        <v>-1</v>
      </c>
    </row>
    <row r="2573" customFormat="false" ht="23.25" hidden="false" customHeight="true" outlineLevel="0" collapsed="false">
      <c r="B2573" s="67" t="str">
        <f aca="false">""</f>
        <v/>
      </c>
      <c r="C2573" s="67"/>
      <c r="D2573" s="23" t="str">
        <f aca="false">IFERROR(INDEX(分录收入!$E:$E,MATCH($L2573,分录收入!$L:$L,0)),"")</f>
        <v/>
      </c>
      <c r="E2573" s="23" t="str">
        <f aca="false">IFERROR(INDEX(分录收入!$F:$F,MATCH($L2573,分录收入!$L:$L,0)),"")</f>
        <v/>
      </c>
      <c r="F2573" s="68" t="str">
        <f aca="false">IFERROR(INDEX(分录收入!$H:$H,MATCH($L2573,分录收入!$L:$L,0)),"")</f>
        <v/>
      </c>
      <c r="G2573" s="69" t="str">
        <f aca="false">IFERROR(INDEX(分录收入!$I:$I,MATCH($L2573,分录收入!$L:$L,0)),"")</f>
        <v/>
      </c>
      <c r="H2573" s="23"/>
      <c r="I2573" s="70"/>
      <c r="L2573" s="71" t="n">
        <f aca="false">IF(助手收入!$R$173="",-1,助手收入!$R$173*100+(助手收入!$S$173-1)*6+3)</f>
        <v>-1</v>
      </c>
    </row>
    <row r="2574" customFormat="false" ht="23.25" hidden="false" customHeight="true" outlineLevel="0" collapsed="false">
      <c r="B2574" s="67" t="str">
        <f aca="false">""</f>
        <v/>
      </c>
      <c r="C2574" s="67"/>
      <c r="D2574" s="23" t="str">
        <f aca="false">IFERROR(INDEX(分录收入!$E:$E,MATCH($L2574,分录收入!$L:$L,0)),"")</f>
        <v/>
      </c>
      <c r="E2574" s="23" t="str">
        <f aca="false">IFERROR(INDEX(分录收入!$F:$F,MATCH($L2574,分录收入!$L:$L,0)),"")</f>
        <v/>
      </c>
      <c r="F2574" s="68" t="str">
        <f aca="false">IFERROR(INDEX(分录收入!$H:$H,MATCH($L2574,分录收入!$L:$L,0)),"")</f>
        <v/>
      </c>
      <c r="G2574" s="69" t="str">
        <f aca="false">IFERROR(INDEX(分录收入!$I:$I,MATCH($L2574,分录收入!$L:$L,0)),"")</f>
        <v/>
      </c>
      <c r="H2574" s="23"/>
      <c r="I2574" s="70"/>
      <c r="L2574" s="71" t="n">
        <f aca="false">IF(助手收入!$R$173="",-1,助手收入!$R$173*100+(助手收入!$S$173-1)*6+4)</f>
        <v>-1</v>
      </c>
    </row>
    <row r="2575" customFormat="false" ht="23.25" hidden="false" customHeight="true" outlineLevel="0" collapsed="false">
      <c r="B2575" s="67" t="str">
        <f aca="false">""</f>
        <v/>
      </c>
      <c r="C2575" s="67"/>
      <c r="D2575" s="23" t="str">
        <f aca="false">IFERROR(INDEX(分录收入!$E:$E,MATCH($L2575,分录收入!$L:$L,0)),"")</f>
        <v/>
      </c>
      <c r="E2575" s="23" t="str">
        <f aca="false">IFERROR(INDEX(分录收入!$F:$F,MATCH($L2575,分录收入!$L:$L,0)),"")</f>
        <v/>
      </c>
      <c r="F2575" s="68" t="str">
        <f aca="false">IFERROR(INDEX(分录收入!$H:$H,MATCH($L2575,分录收入!$L:$L,0)),"")</f>
        <v/>
      </c>
      <c r="G2575" s="69" t="str">
        <f aca="false">IFERROR(INDEX(分录收入!$I:$I,MATCH($L2575,分录收入!$L:$L,0)),"")</f>
        <v/>
      </c>
      <c r="H2575" s="23"/>
      <c r="I2575" s="70"/>
      <c r="L2575" s="71" t="n">
        <f aca="false">IF(助手收入!$R$173="",-1,助手收入!$R$173*100+(助手收入!$S$173-1)*6+5)</f>
        <v>-1</v>
      </c>
    </row>
    <row r="2576" customFormat="false" ht="23.25" hidden="false" customHeight="true" outlineLevel="0" collapsed="false">
      <c r="B2576" s="67" t="str">
        <f aca="false">""</f>
        <v/>
      </c>
      <c r="C2576" s="67"/>
      <c r="D2576" s="23" t="str">
        <f aca="false">IFERROR(INDEX(分录收入!$E:$E,MATCH($L2576,分录收入!$L:$L,0)),"")</f>
        <v/>
      </c>
      <c r="E2576" s="23" t="str">
        <f aca="false">IFERROR(INDEX(分录收入!$F:$F,MATCH($L2576,分录收入!$L:$L,0)),"")</f>
        <v/>
      </c>
      <c r="F2576" s="68" t="str">
        <f aca="false">IFERROR(INDEX(分录收入!$H:$H,MATCH($L2576,分录收入!$L:$L,0)),"")</f>
        <v/>
      </c>
      <c r="G2576" s="69" t="str">
        <f aca="false">IFERROR(INDEX(分录收入!$I:$I,MATCH($L2576,分录收入!$L:$L,0)),"")</f>
        <v/>
      </c>
      <c r="H2576" s="23"/>
      <c r="I2576" s="70"/>
      <c r="L2576" s="71" t="n">
        <f aca="false">IF(助手收入!$R$173="",-1,助手收入!$R$173*100+(助手收入!$S$173-1)*6+6)</f>
        <v>-1</v>
      </c>
    </row>
    <row r="2577" customFormat="false" ht="23.25" hidden="false" customHeight="true" outlineLevel="0" collapsed="false">
      <c r="B2577" s="72" t="str">
        <f aca="false">IF(助手收入!$T$173=1,"合计：","")</f>
        <v/>
      </c>
      <c r="C2577" s="73" t="str">
        <f aca="false">IF(助手收入!$T$173=1,$F2577,"")</f>
        <v/>
      </c>
      <c r="D2577" s="74"/>
      <c r="E2577" s="74"/>
      <c r="F2577" s="75" t="str">
        <f aca="false">IF(助手收入!$T$173=1,INDEX(助手收入!$N$2:$N$66,助手收入!$R$173),"")</f>
        <v/>
      </c>
      <c r="G2577" s="76" t="str">
        <f aca="false">IF(助手收入!$T$173=1,INDEX(助手收入!$O$2:$O$66,助手收入!$R$173),"")</f>
        <v/>
      </c>
      <c r="H2577" s="74"/>
      <c r="I2577" s="77"/>
    </row>
    <row r="2578" customFormat="false" ht="6" hidden="false" customHeight="true" outlineLevel="0" collapsed="false"/>
    <row r="2579" customFormat="false" ht="13.5" hidden="false" customHeight="false" outlineLevel="0" collapsed="false">
      <c r="B2579" s="78" t="str">
        <f aca="false">IF(助手收入!$R$173&lt;&gt;"","会计主管：","")</f>
        <v/>
      </c>
      <c r="D2579" s="78" t="str">
        <f aca="false">IF(助手收入!$R$173&lt;&gt;"","会计：","")</f>
        <v/>
      </c>
      <c r="E2579" s="78" t="str">
        <f aca="false">IF(助手收入!$R$173&lt;&gt;"","出纳：","")</f>
        <v/>
      </c>
      <c r="F2579" s="78" t="str">
        <f aca="false">IF(助手收入!$R$173&lt;&gt;"","复核：","")</f>
        <v/>
      </c>
      <c r="G2579" s="78" t="str">
        <f aca="false">IF(助手收入!$R$173&lt;&gt;"","制单：","")</f>
        <v/>
      </c>
    </row>
    <row r="2580" customFormat="false" ht="3" hidden="false" customHeight="true" outlineLevel="0" collapsed="false"/>
    <row r="2581" customFormat="false" ht="19.5" hidden="false" customHeight="true" outlineLevel="0" collapsed="false">
      <c r="B2581" s="53" t="str">
        <f aca="false">IF(助手收入!$R$174&lt;&gt;"","记  账  凭  证","")</f>
        <v/>
      </c>
      <c r="C2581" s="53"/>
      <c r="D2581" s="53"/>
      <c r="E2581" s="53"/>
      <c r="F2581" s="53"/>
      <c r="G2581" s="53"/>
      <c r="H2581" s="53"/>
      <c r="I2581" s="53"/>
    </row>
    <row r="2582" customFormat="false" ht="3" hidden="false" customHeight="true" outlineLevel="0" collapsed="false"/>
    <row r="2583" customFormat="false" ht="15" hidden="false" customHeight="true" outlineLevel="0" collapsed="false">
      <c r="C2583" s="56" t="str">
        <f aca="false">IF(助手收入!$R$174&lt;&gt;"",INDEX(助手收入!$B$2:$B$66,助手收入!$R$174),"")</f>
        <v/>
      </c>
      <c r="D2583" s="57" t="str">
        <f aca="false">IF(助手收入!$R$174&lt;&gt;"",参数!$B$2,"")</f>
        <v/>
      </c>
      <c r="E2583" s="57"/>
      <c r="F2583" s="58" t="str">
        <f aca="false">IF(助手收入!$R$174&lt;&gt;"",INDEX(助手收入!$C$2:$C$66,助手收入!$R$174)&amp;"  字第 "&amp;IF(参数!$B$9="是",INDEX(助手收入!$P$2:$P$66,助手收入!$R$174),"　　　　")&amp;" 号"&amp;IF(INDEX(助手收入!$L$2:$L$66,助手收入!$R$174)&gt;1,"  (共"&amp;INDEX(助手收入!$L$2:$L$66,助手收入!$R$174)&amp;"页 第"&amp;助手收入!$S$174&amp;"页)",""),"")</f>
        <v/>
      </c>
      <c r="G2583" s="58"/>
      <c r="H2583" s="58"/>
      <c r="I2583" s="58"/>
      <c r="M2583" s="79" t="str">
        <f aca="false">IF(助手收入!$R$174="","",助手收入!$Q$174)</f>
        <v/>
      </c>
      <c r="N2583" s="80" t="str">
        <f aca="false">IF(助手收入!$R$174="","",INDEX(助手收入!$P$2:$P$66,助手收入!$R$174))</f>
        <v/>
      </c>
      <c r="O2583" s="55" t="str">
        <f aca="false">IF(助手收入!$R$174="","",INDEX(助手收入!$C$2:$C$66,助手收入!$R$174)&amp;"  字第 "&amp;INDEX(助手收入!$P$2:$P$66,助手收入!$R$174)&amp;" 号"&amp;IF(INDEX(助手收入!$L$2:$L$66,助手收入!$R$174)&gt;1,"  (共"&amp;INDEX(助手收入!$L$2:$L$66,助手收入!$R$174)&amp;"页 第"&amp;助手收入!$S$174&amp;"页)",""))</f>
        <v/>
      </c>
    </row>
    <row r="2584" customFormat="false" ht="12.75" hidden="false" customHeight="true" outlineLevel="0" collapsed="false">
      <c r="B2584" s="61" t="str">
        <f aca="false">IF(助手收入!$R$174&lt;&gt;"","摘　　要","")</f>
        <v/>
      </c>
      <c r="C2584" s="61"/>
      <c r="D2584" s="62" t="str">
        <f aca="false">IF(助手收入!$R$174&lt;&gt;"","科　　　　目","")</f>
        <v/>
      </c>
      <c r="E2584" s="62"/>
      <c r="F2584" s="61" t="str">
        <f aca="false">IF(助手收入!$R$174&lt;&gt;"","借 方 金 额","")</f>
        <v/>
      </c>
      <c r="G2584" s="62" t="str">
        <f aca="false">IF(助手收入!$R$174&lt;&gt;"","贷 方 金 额","")</f>
        <v/>
      </c>
      <c r="H2584" s="63" t="str">
        <f aca="false">IF(助手收入!$R$174&lt;&gt;"","√","")</f>
        <v/>
      </c>
      <c r="I2584" s="64" t="str">
        <f aca="false">IF(助手收入!$R$174&lt;&gt;"","附单据  张","")</f>
        <v/>
      </c>
    </row>
    <row r="2585" customFormat="false" ht="12.75" hidden="false" customHeight="true" outlineLevel="0" collapsed="false">
      <c r="B2585" s="61"/>
      <c r="C2585" s="61"/>
      <c r="D2585" s="23" t="str">
        <f aca="false">IF(助手收入!$R$174&lt;&gt;"","总 账 科 目","")</f>
        <v/>
      </c>
      <c r="E2585" s="23" t="str">
        <f aca="false">IF(助手收入!$R$174&lt;&gt;"","明 细 科 目","")</f>
        <v/>
      </c>
      <c r="F2585" s="65"/>
      <c r="G2585" s="66"/>
      <c r="H2585" s="63"/>
      <c r="I2585" s="64"/>
    </row>
    <row r="2586" customFormat="false" ht="23.25" hidden="false" customHeight="true" outlineLevel="0" collapsed="false">
      <c r="B2586" s="67" t="str">
        <f aca="false">IFERROR(INDEX(分录收入!$M:$M,MATCH($L2586,分录收入!$L:$L,0)),"")</f>
        <v/>
      </c>
      <c r="C2586" s="67"/>
      <c r="D2586" s="23" t="str">
        <f aca="false">IFERROR(INDEX(分录收入!$E:$E,MATCH($L2586,分录收入!$L:$L,0)),"")</f>
        <v/>
      </c>
      <c r="E2586" s="23" t="str">
        <f aca="false">IFERROR(INDEX(分录收入!$F:$F,MATCH($L2586,分录收入!$L:$L,0)),"")</f>
        <v/>
      </c>
      <c r="F2586" s="68" t="str">
        <f aca="false">IFERROR(INDEX(分录收入!$H:$H,MATCH($L2586,分录收入!$L:$L,0)),"")</f>
        <v/>
      </c>
      <c r="G2586" s="69" t="str">
        <f aca="false">IFERROR(INDEX(分录收入!$I:$I,MATCH($L2586,分录收入!$L:$L,0)),"")</f>
        <v/>
      </c>
      <c r="H2586" s="23"/>
      <c r="I2586" s="70"/>
      <c r="L2586" s="71" t="n">
        <f aca="false">IF(助手收入!$R$174="",-1,助手收入!$R$174*100+(助手收入!$S$174-1)*6+1)</f>
        <v>-1</v>
      </c>
    </row>
    <row r="2587" customFormat="false" ht="23.25" hidden="false" customHeight="true" outlineLevel="0" collapsed="false">
      <c r="B2587" s="67" t="str">
        <f aca="false">""</f>
        <v/>
      </c>
      <c r="C2587" s="67"/>
      <c r="D2587" s="23" t="str">
        <f aca="false">IFERROR(INDEX(分录收入!$E:$E,MATCH($L2587,分录收入!$L:$L,0)),"")</f>
        <v/>
      </c>
      <c r="E2587" s="23" t="str">
        <f aca="false">IFERROR(INDEX(分录收入!$F:$F,MATCH($L2587,分录收入!$L:$L,0)),"")</f>
        <v/>
      </c>
      <c r="F2587" s="68" t="str">
        <f aca="false">IFERROR(INDEX(分录收入!$H:$H,MATCH($L2587,分录收入!$L:$L,0)),"")</f>
        <v/>
      </c>
      <c r="G2587" s="69" t="str">
        <f aca="false">IFERROR(INDEX(分录收入!$I:$I,MATCH($L2587,分录收入!$L:$L,0)),"")</f>
        <v/>
      </c>
      <c r="H2587" s="23"/>
      <c r="I2587" s="70"/>
      <c r="L2587" s="71" t="n">
        <f aca="false">IF(助手收入!$R$174="",-1,助手收入!$R$174*100+(助手收入!$S$174-1)*6+2)</f>
        <v>-1</v>
      </c>
    </row>
    <row r="2588" customFormat="false" ht="23.25" hidden="false" customHeight="true" outlineLevel="0" collapsed="false">
      <c r="B2588" s="67" t="str">
        <f aca="false">""</f>
        <v/>
      </c>
      <c r="C2588" s="67"/>
      <c r="D2588" s="23" t="str">
        <f aca="false">IFERROR(INDEX(分录收入!$E:$E,MATCH($L2588,分录收入!$L:$L,0)),"")</f>
        <v/>
      </c>
      <c r="E2588" s="23" t="str">
        <f aca="false">IFERROR(INDEX(分录收入!$F:$F,MATCH($L2588,分录收入!$L:$L,0)),"")</f>
        <v/>
      </c>
      <c r="F2588" s="68" t="str">
        <f aca="false">IFERROR(INDEX(分录收入!$H:$H,MATCH($L2588,分录收入!$L:$L,0)),"")</f>
        <v/>
      </c>
      <c r="G2588" s="69" t="str">
        <f aca="false">IFERROR(INDEX(分录收入!$I:$I,MATCH($L2588,分录收入!$L:$L,0)),"")</f>
        <v/>
      </c>
      <c r="H2588" s="23"/>
      <c r="I2588" s="70"/>
      <c r="L2588" s="71" t="n">
        <f aca="false">IF(助手收入!$R$174="",-1,助手收入!$R$174*100+(助手收入!$S$174-1)*6+3)</f>
        <v>-1</v>
      </c>
    </row>
    <row r="2589" customFormat="false" ht="23.25" hidden="false" customHeight="true" outlineLevel="0" collapsed="false">
      <c r="B2589" s="67" t="str">
        <f aca="false">""</f>
        <v/>
      </c>
      <c r="C2589" s="67"/>
      <c r="D2589" s="23" t="str">
        <f aca="false">IFERROR(INDEX(分录收入!$E:$E,MATCH($L2589,分录收入!$L:$L,0)),"")</f>
        <v/>
      </c>
      <c r="E2589" s="23" t="str">
        <f aca="false">IFERROR(INDEX(分录收入!$F:$F,MATCH($L2589,分录收入!$L:$L,0)),"")</f>
        <v/>
      </c>
      <c r="F2589" s="68" t="str">
        <f aca="false">IFERROR(INDEX(分录收入!$H:$H,MATCH($L2589,分录收入!$L:$L,0)),"")</f>
        <v/>
      </c>
      <c r="G2589" s="69" t="str">
        <f aca="false">IFERROR(INDEX(分录收入!$I:$I,MATCH($L2589,分录收入!$L:$L,0)),"")</f>
        <v/>
      </c>
      <c r="H2589" s="23"/>
      <c r="I2589" s="70"/>
      <c r="L2589" s="71" t="n">
        <f aca="false">IF(助手收入!$R$174="",-1,助手收入!$R$174*100+(助手收入!$S$174-1)*6+4)</f>
        <v>-1</v>
      </c>
    </row>
    <row r="2590" customFormat="false" ht="23.25" hidden="false" customHeight="true" outlineLevel="0" collapsed="false">
      <c r="B2590" s="67" t="str">
        <f aca="false">""</f>
        <v/>
      </c>
      <c r="C2590" s="67"/>
      <c r="D2590" s="23" t="str">
        <f aca="false">IFERROR(INDEX(分录收入!$E:$E,MATCH($L2590,分录收入!$L:$L,0)),"")</f>
        <v/>
      </c>
      <c r="E2590" s="23" t="str">
        <f aca="false">IFERROR(INDEX(分录收入!$F:$F,MATCH($L2590,分录收入!$L:$L,0)),"")</f>
        <v/>
      </c>
      <c r="F2590" s="68" t="str">
        <f aca="false">IFERROR(INDEX(分录收入!$H:$H,MATCH($L2590,分录收入!$L:$L,0)),"")</f>
        <v/>
      </c>
      <c r="G2590" s="69" t="str">
        <f aca="false">IFERROR(INDEX(分录收入!$I:$I,MATCH($L2590,分录收入!$L:$L,0)),"")</f>
        <v/>
      </c>
      <c r="H2590" s="23"/>
      <c r="I2590" s="70"/>
      <c r="L2590" s="71" t="n">
        <f aca="false">IF(助手收入!$R$174="",-1,助手收入!$R$174*100+(助手收入!$S$174-1)*6+5)</f>
        <v>-1</v>
      </c>
    </row>
    <row r="2591" customFormat="false" ht="23.25" hidden="false" customHeight="true" outlineLevel="0" collapsed="false">
      <c r="B2591" s="67" t="str">
        <f aca="false">""</f>
        <v/>
      </c>
      <c r="C2591" s="67"/>
      <c r="D2591" s="23" t="str">
        <f aca="false">IFERROR(INDEX(分录收入!$E:$E,MATCH($L2591,分录收入!$L:$L,0)),"")</f>
        <v/>
      </c>
      <c r="E2591" s="23" t="str">
        <f aca="false">IFERROR(INDEX(分录收入!$F:$F,MATCH($L2591,分录收入!$L:$L,0)),"")</f>
        <v/>
      </c>
      <c r="F2591" s="68" t="str">
        <f aca="false">IFERROR(INDEX(分录收入!$H:$H,MATCH($L2591,分录收入!$L:$L,0)),"")</f>
        <v/>
      </c>
      <c r="G2591" s="69" t="str">
        <f aca="false">IFERROR(INDEX(分录收入!$I:$I,MATCH($L2591,分录收入!$L:$L,0)),"")</f>
        <v/>
      </c>
      <c r="H2591" s="23"/>
      <c r="I2591" s="70"/>
      <c r="L2591" s="71" t="n">
        <f aca="false">IF(助手收入!$R$174="",-1,助手收入!$R$174*100+(助手收入!$S$174-1)*6+6)</f>
        <v>-1</v>
      </c>
    </row>
    <row r="2592" customFormat="false" ht="23.25" hidden="false" customHeight="true" outlineLevel="0" collapsed="false">
      <c r="B2592" s="72" t="str">
        <f aca="false">IF(助手收入!$T$174=1,"合计：","")</f>
        <v/>
      </c>
      <c r="C2592" s="73" t="str">
        <f aca="false">IF(助手收入!$T$174=1,$F2592,"")</f>
        <v/>
      </c>
      <c r="D2592" s="74"/>
      <c r="E2592" s="74"/>
      <c r="F2592" s="75" t="str">
        <f aca="false">IF(助手收入!$T$174=1,INDEX(助手收入!$N$2:$N$66,助手收入!$R$174),"")</f>
        <v/>
      </c>
      <c r="G2592" s="76" t="str">
        <f aca="false">IF(助手收入!$T$174=1,INDEX(助手收入!$O$2:$O$66,助手收入!$R$174),"")</f>
        <v/>
      </c>
      <c r="H2592" s="74"/>
      <c r="I2592" s="77"/>
    </row>
    <row r="2593" customFormat="false" ht="6" hidden="false" customHeight="true" outlineLevel="0" collapsed="false"/>
    <row r="2594" customFormat="false" ht="13.5" hidden="false" customHeight="false" outlineLevel="0" collapsed="false">
      <c r="B2594" s="78" t="str">
        <f aca="false">IF(助手收入!$R$174&lt;&gt;"","会计主管：","")</f>
        <v/>
      </c>
      <c r="D2594" s="78" t="str">
        <f aca="false">IF(助手收入!$R$174&lt;&gt;"","会计：","")</f>
        <v/>
      </c>
      <c r="E2594" s="78" t="str">
        <f aca="false">IF(助手收入!$R$174&lt;&gt;"","出纳：","")</f>
        <v/>
      </c>
      <c r="F2594" s="78" t="str">
        <f aca="false">IF(助手收入!$R$174&lt;&gt;"","复核：","")</f>
        <v/>
      </c>
      <c r="G2594" s="78" t="str">
        <f aca="false">IF(助手收入!$R$174&lt;&gt;"","制单：","")</f>
        <v/>
      </c>
    </row>
    <row r="2595" customFormat="false" ht="3" hidden="false" customHeight="true" outlineLevel="0" collapsed="false"/>
    <row r="2596" customFormat="false" ht="19.5" hidden="false" customHeight="true" outlineLevel="0" collapsed="false">
      <c r="B2596" s="53" t="str">
        <f aca="false">IF(助手收入!$R$175&lt;&gt;"","记  账  凭  证","")</f>
        <v/>
      </c>
      <c r="C2596" s="53"/>
      <c r="D2596" s="53"/>
      <c r="E2596" s="53"/>
      <c r="F2596" s="53"/>
      <c r="G2596" s="53"/>
      <c r="H2596" s="53"/>
      <c r="I2596" s="53"/>
    </row>
    <row r="2597" customFormat="false" ht="3" hidden="false" customHeight="true" outlineLevel="0" collapsed="false"/>
    <row r="2598" customFormat="false" ht="15" hidden="false" customHeight="true" outlineLevel="0" collapsed="false">
      <c r="C2598" s="56" t="str">
        <f aca="false">IF(助手收入!$R$175&lt;&gt;"",INDEX(助手收入!$B$2:$B$66,助手收入!$R$175),"")</f>
        <v/>
      </c>
      <c r="D2598" s="57" t="str">
        <f aca="false">IF(助手收入!$R$175&lt;&gt;"",参数!$B$2,"")</f>
        <v/>
      </c>
      <c r="E2598" s="57"/>
      <c r="F2598" s="58" t="str">
        <f aca="false">IF(助手收入!$R$175&lt;&gt;"",INDEX(助手收入!$C$2:$C$66,助手收入!$R$175)&amp;"  字第 "&amp;IF(参数!$B$9="是",INDEX(助手收入!$P$2:$P$66,助手收入!$R$175),"　　　　")&amp;" 号"&amp;IF(INDEX(助手收入!$L$2:$L$66,助手收入!$R$175)&gt;1,"  (共"&amp;INDEX(助手收入!$L$2:$L$66,助手收入!$R$175)&amp;"页 第"&amp;助手收入!$S$175&amp;"页)",""),"")</f>
        <v/>
      </c>
      <c r="G2598" s="58"/>
      <c r="H2598" s="58"/>
      <c r="I2598" s="58"/>
      <c r="M2598" s="79" t="str">
        <f aca="false">IF(助手收入!$R$175="","",助手收入!$Q$175)</f>
        <v/>
      </c>
      <c r="N2598" s="80" t="str">
        <f aca="false">IF(助手收入!$R$175="","",INDEX(助手收入!$P$2:$P$66,助手收入!$R$175))</f>
        <v/>
      </c>
      <c r="O2598" s="55" t="str">
        <f aca="false">IF(助手收入!$R$175="","",INDEX(助手收入!$C$2:$C$66,助手收入!$R$175)&amp;"  字第 "&amp;INDEX(助手收入!$P$2:$P$66,助手收入!$R$175)&amp;" 号"&amp;IF(INDEX(助手收入!$L$2:$L$66,助手收入!$R$175)&gt;1,"  (共"&amp;INDEX(助手收入!$L$2:$L$66,助手收入!$R$175)&amp;"页 第"&amp;助手收入!$S$175&amp;"页)",""))</f>
        <v/>
      </c>
    </row>
    <row r="2599" customFormat="false" ht="12.75" hidden="false" customHeight="true" outlineLevel="0" collapsed="false">
      <c r="B2599" s="61" t="str">
        <f aca="false">IF(助手收入!$R$175&lt;&gt;"","摘　　要","")</f>
        <v/>
      </c>
      <c r="C2599" s="61"/>
      <c r="D2599" s="62" t="str">
        <f aca="false">IF(助手收入!$R$175&lt;&gt;"","科　　　　目","")</f>
        <v/>
      </c>
      <c r="E2599" s="62"/>
      <c r="F2599" s="61" t="str">
        <f aca="false">IF(助手收入!$R$175&lt;&gt;"","借 方 金 额","")</f>
        <v/>
      </c>
      <c r="G2599" s="62" t="str">
        <f aca="false">IF(助手收入!$R$175&lt;&gt;"","贷 方 金 额","")</f>
        <v/>
      </c>
      <c r="H2599" s="63" t="str">
        <f aca="false">IF(助手收入!$R$175&lt;&gt;"","√","")</f>
        <v/>
      </c>
      <c r="I2599" s="64" t="str">
        <f aca="false">IF(助手收入!$R$175&lt;&gt;"","附单据  张","")</f>
        <v/>
      </c>
    </row>
    <row r="2600" customFormat="false" ht="12.75" hidden="false" customHeight="true" outlineLevel="0" collapsed="false">
      <c r="B2600" s="61"/>
      <c r="C2600" s="61"/>
      <c r="D2600" s="23" t="str">
        <f aca="false">IF(助手收入!$R$175&lt;&gt;"","总 账 科 目","")</f>
        <v/>
      </c>
      <c r="E2600" s="23" t="str">
        <f aca="false">IF(助手收入!$R$175&lt;&gt;"","明 细 科 目","")</f>
        <v/>
      </c>
      <c r="F2600" s="65"/>
      <c r="G2600" s="66"/>
      <c r="H2600" s="63"/>
      <c r="I2600" s="64"/>
    </row>
    <row r="2601" customFormat="false" ht="23.25" hidden="false" customHeight="true" outlineLevel="0" collapsed="false">
      <c r="B2601" s="67" t="str">
        <f aca="false">IFERROR(INDEX(分录收入!$M:$M,MATCH($L2601,分录收入!$L:$L,0)),"")</f>
        <v/>
      </c>
      <c r="C2601" s="67"/>
      <c r="D2601" s="23" t="str">
        <f aca="false">IFERROR(INDEX(分录收入!$E:$E,MATCH($L2601,分录收入!$L:$L,0)),"")</f>
        <v/>
      </c>
      <c r="E2601" s="23" t="str">
        <f aca="false">IFERROR(INDEX(分录收入!$F:$F,MATCH($L2601,分录收入!$L:$L,0)),"")</f>
        <v/>
      </c>
      <c r="F2601" s="68" t="str">
        <f aca="false">IFERROR(INDEX(分录收入!$H:$H,MATCH($L2601,分录收入!$L:$L,0)),"")</f>
        <v/>
      </c>
      <c r="G2601" s="69" t="str">
        <f aca="false">IFERROR(INDEX(分录收入!$I:$I,MATCH($L2601,分录收入!$L:$L,0)),"")</f>
        <v/>
      </c>
      <c r="H2601" s="23"/>
      <c r="I2601" s="70"/>
      <c r="L2601" s="71" t="n">
        <f aca="false">IF(助手收入!$R$175="",-1,助手收入!$R$175*100+(助手收入!$S$175-1)*6+1)</f>
        <v>-1</v>
      </c>
    </row>
    <row r="2602" customFormat="false" ht="23.25" hidden="false" customHeight="true" outlineLevel="0" collapsed="false">
      <c r="B2602" s="67" t="str">
        <f aca="false">""</f>
        <v/>
      </c>
      <c r="C2602" s="67"/>
      <c r="D2602" s="23" t="str">
        <f aca="false">IFERROR(INDEX(分录收入!$E:$E,MATCH($L2602,分录收入!$L:$L,0)),"")</f>
        <v/>
      </c>
      <c r="E2602" s="23" t="str">
        <f aca="false">IFERROR(INDEX(分录收入!$F:$F,MATCH($L2602,分录收入!$L:$L,0)),"")</f>
        <v/>
      </c>
      <c r="F2602" s="68" t="str">
        <f aca="false">IFERROR(INDEX(分录收入!$H:$H,MATCH($L2602,分录收入!$L:$L,0)),"")</f>
        <v/>
      </c>
      <c r="G2602" s="69" t="str">
        <f aca="false">IFERROR(INDEX(分录收入!$I:$I,MATCH($L2602,分录收入!$L:$L,0)),"")</f>
        <v/>
      </c>
      <c r="H2602" s="23"/>
      <c r="I2602" s="70"/>
      <c r="L2602" s="71" t="n">
        <f aca="false">IF(助手收入!$R$175="",-1,助手收入!$R$175*100+(助手收入!$S$175-1)*6+2)</f>
        <v>-1</v>
      </c>
    </row>
    <row r="2603" customFormat="false" ht="23.25" hidden="false" customHeight="true" outlineLevel="0" collapsed="false">
      <c r="B2603" s="67" t="str">
        <f aca="false">""</f>
        <v/>
      </c>
      <c r="C2603" s="67"/>
      <c r="D2603" s="23" t="str">
        <f aca="false">IFERROR(INDEX(分录收入!$E:$E,MATCH($L2603,分录收入!$L:$L,0)),"")</f>
        <v/>
      </c>
      <c r="E2603" s="23" t="str">
        <f aca="false">IFERROR(INDEX(分录收入!$F:$F,MATCH($L2603,分录收入!$L:$L,0)),"")</f>
        <v/>
      </c>
      <c r="F2603" s="68" t="str">
        <f aca="false">IFERROR(INDEX(分录收入!$H:$H,MATCH($L2603,分录收入!$L:$L,0)),"")</f>
        <v/>
      </c>
      <c r="G2603" s="69" t="str">
        <f aca="false">IFERROR(INDEX(分录收入!$I:$I,MATCH($L2603,分录收入!$L:$L,0)),"")</f>
        <v/>
      </c>
      <c r="H2603" s="23"/>
      <c r="I2603" s="70"/>
      <c r="L2603" s="71" t="n">
        <f aca="false">IF(助手收入!$R$175="",-1,助手收入!$R$175*100+(助手收入!$S$175-1)*6+3)</f>
        <v>-1</v>
      </c>
    </row>
    <row r="2604" customFormat="false" ht="23.25" hidden="false" customHeight="true" outlineLevel="0" collapsed="false">
      <c r="B2604" s="67" t="str">
        <f aca="false">""</f>
        <v/>
      </c>
      <c r="C2604" s="67"/>
      <c r="D2604" s="23" t="str">
        <f aca="false">IFERROR(INDEX(分录收入!$E:$E,MATCH($L2604,分录收入!$L:$L,0)),"")</f>
        <v/>
      </c>
      <c r="E2604" s="23" t="str">
        <f aca="false">IFERROR(INDEX(分录收入!$F:$F,MATCH($L2604,分录收入!$L:$L,0)),"")</f>
        <v/>
      </c>
      <c r="F2604" s="68" t="str">
        <f aca="false">IFERROR(INDEX(分录收入!$H:$H,MATCH($L2604,分录收入!$L:$L,0)),"")</f>
        <v/>
      </c>
      <c r="G2604" s="69" t="str">
        <f aca="false">IFERROR(INDEX(分录收入!$I:$I,MATCH($L2604,分录收入!$L:$L,0)),"")</f>
        <v/>
      </c>
      <c r="H2604" s="23"/>
      <c r="I2604" s="70"/>
      <c r="L2604" s="71" t="n">
        <f aca="false">IF(助手收入!$R$175="",-1,助手收入!$R$175*100+(助手收入!$S$175-1)*6+4)</f>
        <v>-1</v>
      </c>
    </row>
    <row r="2605" customFormat="false" ht="23.25" hidden="false" customHeight="true" outlineLevel="0" collapsed="false">
      <c r="B2605" s="67" t="str">
        <f aca="false">""</f>
        <v/>
      </c>
      <c r="C2605" s="67"/>
      <c r="D2605" s="23" t="str">
        <f aca="false">IFERROR(INDEX(分录收入!$E:$E,MATCH($L2605,分录收入!$L:$L,0)),"")</f>
        <v/>
      </c>
      <c r="E2605" s="23" t="str">
        <f aca="false">IFERROR(INDEX(分录收入!$F:$F,MATCH($L2605,分录收入!$L:$L,0)),"")</f>
        <v/>
      </c>
      <c r="F2605" s="68" t="str">
        <f aca="false">IFERROR(INDEX(分录收入!$H:$H,MATCH($L2605,分录收入!$L:$L,0)),"")</f>
        <v/>
      </c>
      <c r="G2605" s="69" t="str">
        <f aca="false">IFERROR(INDEX(分录收入!$I:$I,MATCH($L2605,分录收入!$L:$L,0)),"")</f>
        <v/>
      </c>
      <c r="H2605" s="23"/>
      <c r="I2605" s="70"/>
      <c r="L2605" s="71" t="n">
        <f aca="false">IF(助手收入!$R$175="",-1,助手收入!$R$175*100+(助手收入!$S$175-1)*6+5)</f>
        <v>-1</v>
      </c>
    </row>
    <row r="2606" customFormat="false" ht="23.25" hidden="false" customHeight="true" outlineLevel="0" collapsed="false">
      <c r="B2606" s="67" t="str">
        <f aca="false">""</f>
        <v/>
      </c>
      <c r="C2606" s="67"/>
      <c r="D2606" s="23" t="str">
        <f aca="false">IFERROR(INDEX(分录收入!$E:$E,MATCH($L2606,分录收入!$L:$L,0)),"")</f>
        <v/>
      </c>
      <c r="E2606" s="23" t="str">
        <f aca="false">IFERROR(INDEX(分录收入!$F:$F,MATCH($L2606,分录收入!$L:$L,0)),"")</f>
        <v/>
      </c>
      <c r="F2606" s="68" t="str">
        <f aca="false">IFERROR(INDEX(分录收入!$H:$H,MATCH($L2606,分录收入!$L:$L,0)),"")</f>
        <v/>
      </c>
      <c r="G2606" s="69" t="str">
        <f aca="false">IFERROR(INDEX(分录收入!$I:$I,MATCH($L2606,分录收入!$L:$L,0)),"")</f>
        <v/>
      </c>
      <c r="H2606" s="23"/>
      <c r="I2606" s="70"/>
      <c r="L2606" s="71" t="n">
        <f aca="false">IF(助手收入!$R$175="",-1,助手收入!$R$175*100+(助手收入!$S$175-1)*6+6)</f>
        <v>-1</v>
      </c>
    </row>
    <row r="2607" customFormat="false" ht="23.25" hidden="false" customHeight="true" outlineLevel="0" collapsed="false">
      <c r="B2607" s="72" t="str">
        <f aca="false">IF(助手收入!$T$175=1,"合计：","")</f>
        <v/>
      </c>
      <c r="C2607" s="73" t="str">
        <f aca="false">IF(助手收入!$T$175=1,$F2607,"")</f>
        <v/>
      </c>
      <c r="D2607" s="74"/>
      <c r="E2607" s="74"/>
      <c r="F2607" s="75" t="str">
        <f aca="false">IF(助手收入!$T$175=1,INDEX(助手收入!$N$2:$N$66,助手收入!$R$175),"")</f>
        <v/>
      </c>
      <c r="G2607" s="76" t="str">
        <f aca="false">IF(助手收入!$T$175=1,INDEX(助手收入!$O$2:$O$66,助手收入!$R$175),"")</f>
        <v/>
      </c>
      <c r="H2607" s="74"/>
      <c r="I2607" s="77"/>
    </row>
    <row r="2608" customFormat="false" ht="6" hidden="false" customHeight="true" outlineLevel="0" collapsed="false"/>
    <row r="2609" customFormat="false" ht="13.5" hidden="false" customHeight="false" outlineLevel="0" collapsed="false">
      <c r="B2609" s="78" t="str">
        <f aca="false">IF(助手收入!$R$175&lt;&gt;"","会计主管：","")</f>
        <v/>
      </c>
      <c r="D2609" s="78" t="str">
        <f aca="false">IF(助手收入!$R$175&lt;&gt;"","会计：","")</f>
        <v/>
      </c>
      <c r="E2609" s="78" t="str">
        <f aca="false">IF(助手收入!$R$175&lt;&gt;"","出纳：","")</f>
        <v/>
      </c>
      <c r="F2609" s="78" t="str">
        <f aca="false">IF(助手收入!$R$175&lt;&gt;"","复核：","")</f>
        <v/>
      </c>
      <c r="G2609" s="78" t="str">
        <f aca="false">IF(助手收入!$R$175&lt;&gt;"","制单：","")</f>
        <v/>
      </c>
    </row>
    <row r="2610" customFormat="false" ht="3" hidden="false" customHeight="true" outlineLevel="0" collapsed="false"/>
    <row r="2611" customFormat="false" ht="19.5" hidden="false" customHeight="true" outlineLevel="0" collapsed="false">
      <c r="B2611" s="53" t="str">
        <f aca="false">IF(助手收入!$R$176&lt;&gt;"","记  账  凭  证","")</f>
        <v/>
      </c>
      <c r="C2611" s="53"/>
      <c r="D2611" s="53"/>
      <c r="E2611" s="53"/>
      <c r="F2611" s="53"/>
      <c r="G2611" s="53"/>
      <c r="H2611" s="53"/>
      <c r="I2611" s="53"/>
    </row>
    <row r="2612" customFormat="false" ht="3" hidden="false" customHeight="true" outlineLevel="0" collapsed="false"/>
    <row r="2613" customFormat="false" ht="15" hidden="false" customHeight="true" outlineLevel="0" collapsed="false">
      <c r="C2613" s="56" t="str">
        <f aca="false">IF(助手收入!$R$176&lt;&gt;"",INDEX(助手收入!$B$2:$B$66,助手收入!$R$176),"")</f>
        <v/>
      </c>
      <c r="D2613" s="57" t="str">
        <f aca="false">IF(助手收入!$R$176&lt;&gt;"",参数!$B$2,"")</f>
        <v/>
      </c>
      <c r="E2613" s="57"/>
      <c r="F2613" s="58" t="str">
        <f aca="false">IF(助手收入!$R$176&lt;&gt;"",INDEX(助手收入!$C$2:$C$66,助手收入!$R$176)&amp;"  字第 "&amp;IF(参数!$B$9="是",INDEX(助手收入!$P$2:$P$66,助手收入!$R$176),"　　　　")&amp;" 号"&amp;IF(INDEX(助手收入!$L$2:$L$66,助手收入!$R$176)&gt;1,"  (共"&amp;INDEX(助手收入!$L$2:$L$66,助手收入!$R$176)&amp;"页 第"&amp;助手收入!$S$176&amp;"页)",""),"")</f>
        <v/>
      </c>
      <c r="G2613" s="58"/>
      <c r="H2613" s="58"/>
      <c r="I2613" s="58"/>
      <c r="M2613" s="79" t="str">
        <f aca="false">IF(助手收入!$R$176="","",助手收入!$Q$176)</f>
        <v/>
      </c>
      <c r="N2613" s="80" t="str">
        <f aca="false">IF(助手收入!$R$176="","",INDEX(助手收入!$P$2:$P$66,助手收入!$R$176))</f>
        <v/>
      </c>
      <c r="O2613" s="55" t="str">
        <f aca="false">IF(助手收入!$R$176="","",INDEX(助手收入!$C$2:$C$66,助手收入!$R$176)&amp;"  字第 "&amp;INDEX(助手收入!$P$2:$P$66,助手收入!$R$176)&amp;" 号"&amp;IF(INDEX(助手收入!$L$2:$L$66,助手收入!$R$176)&gt;1,"  (共"&amp;INDEX(助手收入!$L$2:$L$66,助手收入!$R$176)&amp;"页 第"&amp;助手收入!$S$176&amp;"页)",""))</f>
        <v/>
      </c>
    </row>
    <row r="2614" customFormat="false" ht="12.75" hidden="false" customHeight="true" outlineLevel="0" collapsed="false">
      <c r="B2614" s="61" t="str">
        <f aca="false">IF(助手收入!$R$176&lt;&gt;"","摘　　要","")</f>
        <v/>
      </c>
      <c r="C2614" s="61"/>
      <c r="D2614" s="62" t="str">
        <f aca="false">IF(助手收入!$R$176&lt;&gt;"","科　　　　目","")</f>
        <v/>
      </c>
      <c r="E2614" s="62"/>
      <c r="F2614" s="61" t="str">
        <f aca="false">IF(助手收入!$R$176&lt;&gt;"","借 方 金 额","")</f>
        <v/>
      </c>
      <c r="G2614" s="62" t="str">
        <f aca="false">IF(助手收入!$R$176&lt;&gt;"","贷 方 金 额","")</f>
        <v/>
      </c>
      <c r="H2614" s="63" t="str">
        <f aca="false">IF(助手收入!$R$176&lt;&gt;"","√","")</f>
        <v/>
      </c>
      <c r="I2614" s="64" t="str">
        <f aca="false">IF(助手收入!$R$176&lt;&gt;"","附单据  张","")</f>
        <v/>
      </c>
    </row>
    <row r="2615" customFormat="false" ht="12.75" hidden="false" customHeight="true" outlineLevel="0" collapsed="false">
      <c r="B2615" s="61"/>
      <c r="C2615" s="61"/>
      <c r="D2615" s="23" t="str">
        <f aca="false">IF(助手收入!$R$176&lt;&gt;"","总 账 科 目","")</f>
        <v/>
      </c>
      <c r="E2615" s="23" t="str">
        <f aca="false">IF(助手收入!$R$176&lt;&gt;"","明 细 科 目","")</f>
        <v/>
      </c>
      <c r="F2615" s="65"/>
      <c r="G2615" s="66"/>
      <c r="H2615" s="63"/>
      <c r="I2615" s="64"/>
    </row>
    <row r="2616" customFormat="false" ht="23.25" hidden="false" customHeight="true" outlineLevel="0" collapsed="false">
      <c r="B2616" s="67" t="str">
        <f aca="false">IFERROR(INDEX(分录收入!$M:$M,MATCH($L2616,分录收入!$L:$L,0)),"")</f>
        <v/>
      </c>
      <c r="C2616" s="67"/>
      <c r="D2616" s="23" t="str">
        <f aca="false">IFERROR(INDEX(分录收入!$E:$E,MATCH($L2616,分录收入!$L:$L,0)),"")</f>
        <v/>
      </c>
      <c r="E2616" s="23" t="str">
        <f aca="false">IFERROR(INDEX(分录收入!$F:$F,MATCH($L2616,分录收入!$L:$L,0)),"")</f>
        <v/>
      </c>
      <c r="F2616" s="68" t="str">
        <f aca="false">IFERROR(INDEX(分录收入!$H:$H,MATCH($L2616,分录收入!$L:$L,0)),"")</f>
        <v/>
      </c>
      <c r="G2616" s="69" t="str">
        <f aca="false">IFERROR(INDEX(分录收入!$I:$I,MATCH($L2616,分录收入!$L:$L,0)),"")</f>
        <v/>
      </c>
      <c r="H2616" s="23"/>
      <c r="I2616" s="70"/>
      <c r="L2616" s="71" t="n">
        <f aca="false">IF(助手收入!$R$176="",-1,助手收入!$R$176*100+(助手收入!$S$176-1)*6+1)</f>
        <v>-1</v>
      </c>
    </row>
    <row r="2617" customFormat="false" ht="23.25" hidden="false" customHeight="true" outlineLevel="0" collapsed="false">
      <c r="B2617" s="67" t="str">
        <f aca="false">""</f>
        <v/>
      </c>
      <c r="C2617" s="67"/>
      <c r="D2617" s="23" t="str">
        <f aca="false">IFERROR(INDEX(分录收入!$E:$E,MATCH($L2617,分录收入!$L:$L,0)),"")</f>
        <v/>
      </c>
      <c r="E2617" s="23" t="str">
        <f aca="false">IFERROR(INDEX(分录收入!$F:$F,MATCH($L2617,分录收入!$L:$L,0)),"")</f>
        <v/>
      </c>
      <c r="F2617" s="68" t="str">
        <f aca="false">IFERROR(INDEX(分录收入!$H:$H,MATCH($L2617,分录收入!$L:$L,0)),"")</f>
        <v/>
      </c>
      <c r="G2617" s="69" t="str">
        <f aca="false">IFERROR(INDEX(分录收入!$I:$I,MATCH($L2617,分录收入!$L:$L,0)),"")</f>
        <v/>
      </c>
      <c r="H2617" s="23"/>
      <c r="I2617" s="70"/>
      <c r="L2617" s="71" t="n">
        <f aca="false">IF(助手收入!$R$176="",-1,助手收入!$R$176*100+(助手收入!$S$176-1)*6+2)</f>
        <v>-1</v>
      </c>
    </row>
    <row r="2618" customFormat="false" ht="23.25" hidden="false" customHeight="true" outlineLevel="0" collapsed="false">
      <c r="B2618" s="67" t="str">
        <f aca="false">""</f>
        <v/>
      </c>
      <c r="C2618" s="67"/>
      <c r="D2618" s="23" t="str">
        <f aca="false">IFERROR(INDEX(分录收入!$E:$E,MATCH($L2618,分录收入!$L:$L,0)),"")</f>
        <v/>
      </c>
      <c r="E2618" s="23" t="str">
        <f aca="false">IFERROR(INDEX(分录收入!$F:$F,MATCH($L2618,分录收入!$L:$L,0)),"")</f>
        <v/>
      </c>
      <c r="F2618" s="68" t="str">
        <f aca="false">IFERROR(INDEX(分录收入!$H:$H,MATCH($L2618,分录收入!$L:$L,0)),"")</f>
        <v/>
      </c>
      <c r="G2618" s="69" t="str">
        <f aca="false">IFERROR(INDEX(分录收入!$I:$I,MATCH($L2618,分录收入!$L:$L,0)),"")</f>
        <v/>
      </c>
      <c r="H2618" s="23"/>
      <c r="I2618" s="70"/>
      <c r="L2618" s="71" t="n">
        <f aca="false">IF(助手收入!$R$176="",-1,助手收入!$R$176*100+(助手收入!$S$176-1)*6+3)</f>
        <v>-1</v>
      </c>
    </row>
    <row r="2619" customFormat="false" ht="23.25" hidden="false" customHeight="true" outlineLevel="0" collapsed="false">
      <c r="B2619" s="67" t="str">
        <f aca="false">""</f>
        <v/>
      </c>
      <c r="C2619" s="67"/>
      <c r="D2619" s="23" t="str">
        <f aca="false">IFERROR(INDEX(分录收入!$E:$E,MATCH($L2619,分录收入!$L:$L,0)),"")</f>
        <v/>
      </c>
      <c r="E2619" s="23" t="str">
        <f aca="false">IFERROR(INDEX(分录收入!$F:$F,MATCH($L2619,分录收入!$L:$L,0)),"")</f>
        <v/>
      </c>
      <c r="F2619" s="68" t="str">
        <f aca="false">IFERROR(INDEX(分录收入!$H:$H,MATCH($L2619,分录收入!$L:$L,0)),"")</f>
        <v/>
      </c>
      <c r="G2619" s="69" t="str">
        <f aca="false">IFERROR(INDEX(分录收入!$I:$I,MATCH($L2619,分录收入!$L:$L,0)),"")</f>
        <v/>
      </c>
      <c r="H2619" s="23"/>
      <c r="I2619" s="70"/>
      <c r="L2619" s="71" t="n">
        <f aca="false">IF(助手收入!$R$176="",-1,助手收入!$R$176*100+(助手收入!$S$176-1)*6+4)</f>
        <v>-1</v>
      </c>
    </row>
    <row r="2620" customFormat="false" ht="23.25" hidden="false" customHeight="true" outlineLevel="0" collapsed="false">
      <c r="B2620" s="67" t="str">
        <f aca="false">""</f>
        <v/>
      </c>
      <c r="C2620" s="67"/>
      <c r="D2620" s="23" t="str">
        <f aca="false">IFERROR(INDEX(分录收入!$E:$E,MATCH($L2620,分录收入!$L:$L,0)),"")</f>
        <v/>
      </c>
      <c r="E2620" s="23" t="str">
        <f aca="false">IFERROR(INDEX(分录收入!$F:$F,MATCH($L2620,分录收入!$L:$L,0)),"")</f>
        <v/>
      </c>
      <c r="F2620" s="68" t="str">
        <f aca="false">IFERROR(INDEX(分录收入!$H:$H,MATCH($L2620,分录收入!$L:$L,0)),"")</f>
        <v/>
      </c>
      <c r="G2620" s="69" t="str">
        <f aca="false">IFERROR(INDEX(分录收入!$I:$I,MATCH($L2620,分录收入!$L:$L,0)),"")</f>
        <v/>
      </c>
      <c r="H2620" s="23"/>
      <c r="I2620" s="70"/>
      <c r="L2620" s="71" t="n">
        <f aca="false">IF(助手收入!$R$176="",-1,助手收入!$R$176*100+(助手收入!$S$176-1)*6+5)</f>
        <v>-1</v>
      </c>
    </row>
    <row r="2621" customFormat="false" ht="23.25" hidden="false" customHeight="true" outlineLevel="0" collapsed="false">
      <c r="B2621" s="67" t="str">
        <f aca="false">""</f>
        <v/>
      </c>
      <c r="C2621" s="67"/>
      <c r="D2621" s="23" t="str">
        <f aca="false">IFERROR(INDEX(分录收入!$E:$E,MATCH($L2621,分录收入!$L:$L,0)),"")</f>
        <v/>
      </c>
      <c r="E2621" s="23" t="str">
        <f aca="false">IFERROR(INDEX(分录收入!$F:$F,MATCH($L2621,分录收入!$L:$L,0)),"")</f>
        <v/>
      </c>
      <c r="F2621" s="68" t="str">
        <f aca="false">IFERROR(INDEX(分录收入!$H:$H,MATCH($L2621,分录收入!$L:$L,0)),"")</f>
        <v/>
      </c>
      <c r="G2621" s="69" t="str">
        <f aca="false">IFERROR(INDEX(分录收入!$I:$I,MATCH($L2621,分录收入!$L:$L,0)),"")</f>
        <v/>
      </c>
      <c r="H2621" s="23"/>
      <c r="I2621" s="70"/>
      <c r="L2621" s="71" t="n">
        <f aca="false">IF(助手收入!$R$176="",-1,助手收入!$R$176*100+(助手收入!$S$176-1)*6+6)</f>
        <v>-1</v>
      </c>
    </row>
    <row r="2622" customFormat="false" ht="23.25" hidden="false" customHeight="true" outlineLevel="0" collapsed="false">
      <c r="B2622" s="72" t="str">
        <f aca="false">IF(助手收入!$T$176=1,"合计：","")</f>
        <v/>
      </c>
      <c r="C2622" s="73" t="str">
        <f aca="false">IF(助手收入!$T$176=1,$F2622,"")</f>
        <v/>
      </c>
      <c r="D2622" s="74"/>
      <c r="E2622" s="74"/>
      <c r="F2622" s="75" t="str">
        <f aca="false">IF(助手收入!$T$176=1,INDEX(助手收入!$N$2:$N$66,助手收入!$R$176),"")</f>
        <v/>
      </c>
      <c r="G2622" s="76" t="str">
        <f aca="false">IF(助手收入!$T$176=1,INDEX(助手收入!$O$2:$O$66,助手收入!$R$176),"")</f>
        <v/>
      </c>
      <c r="H2622" s="74"/>
      <c r="I2622" s="77"/>
    </row>
    <row r="2623" customFormat="false" ht="6" hidden="false" customHeight="true" outlineLevel="0" collapsed="false"/>
    <row r="2624" customFormat="false" ht="13.5" hidden="false" customHeight="false" outlineLevel="0" collapsed="false">
      <c r="B2624" s="78" t="str">
        <f aca="false">IF(助手收入!$R$176&lt;&gt;"","会计主管：","")</f>
        <v/>
      </c>
      <c r="D2624" s="78" t="str">
        <f aca="false">IF(助手收入!$R$176&lt;&gt;"","会计：","")</f>
        <v/>
      </c>
      <c r="E2624" s="78" t="str">
        <f aca="false">IF(助手收入!$R$176&lt;&gt;"","出纳：","")</f>
        <v/>
      </c>
      <c r="F2624" s="78" t="str">
        <f aca="false">IF(助手收入!$R$176&lt;&gt;"","复核：","")</f>
        <v/>
      </c>
      <c r="G2624" s="78" t="str">
        <f aca="false">IF(助手收入!$R$176&lt;&gt;"","制单：","")</f>
        <v/>
      </c>
    </row>
    <row r="2625" customFormat="false" ht="3" hidden="false" customHeight="true" outlineLevel="0" collapsed="false"/>
    <row r="2626" customFormat="false" ht="19.5" hidden="false" customHeight="true" outlineLevel="0" collapsed="false">
      <c r="B2626" s="53" t="str">
        <f aca="false">IF(助手收入!$R$177&lt;&gt;"","记  账  凭  证","")</f>
        <v/>
      </c>
      <c r="C2626" s="53"/>
      <c r="D2626" s="53"/>
      <c r="E2626" s="53"/>
      <c r="F2626" s="53"/>
      <c r="G2626" s="53"/>
      <c r="H2626" s="53"/>
      <c r="I2626" s="53"/>
    </row>
    <row r="2627" customFormat="false" ht="3" hidden="false" customHeight="true" outlineLevel="0" collapsed="false"/>
    <row r="2628" customFormat="false" ht="15" hidden="false" customHeight="true" outlineLevel="0" collapsed="false">
      <c r="C2628" s="56" t="str">
        <f aca="false">IF(助手收入!$R$177&lt;&gt;"",INDEX(助手收入!$B$2:$B$66,助手收入!$R$177),"")</f>
        <v/>
      </c>
      <c r="D2628" s="57" t="str">
        <f aca="false">IF(助手收入!$R$177&lt;&gt;"",参数!$B$2,"")</f>
        <v/>
      </c>
      <c r="E2628" s="57"/>
      <c r="F2628" s="58" t="str">
        <f aca="false">IF(助手收入!$R$177&lt;&gt;"",INDEX(助手收入!$C$2:$C$66,助手收入!$R$177)&amp;"  字第 "&amp;IF(参数!$B$9="是",INDEX(助手收入!$P$2:$P$66,助手收入!$R$177),"　　　　")&amp;" 号"&amp;IF(INDEX(助手收入!$L$2:$L$66,助手收入!$R$177)&gt;1,"  (共"&amp;INDEX(助手收入!$L$2:$L$66,助手收入!$R$177)&amp;"页 第"&amp;助手收入!$S$177&amp;"页)",""),"")</f>
        <v/>
      </c>
      <c r="G2628" s="58"/>
      <c r="H2628" s="58"/>
      <c r="I2628" s="58"/>
      <c r="M2628" s="79" t="str">
        <f aca="false">IF(助手收入!$R$177="","",助手收入!$Q$177)</f>
        <v/>
      </c>
      <c r="N2628" s="80" t="str">
        <f aca="false">IF(助手收入!$R$177="","",INDEX(助手收入!$P$2:$P$66,助手收入!$R$177))</f>
        <v/>
      </c>
      <c r="O2628" s="55" t="str">
        <f aca="false">IF(助手收入!$R$177="","",INDEX(助手收入!$C$2:$C$66,助手收入!$R$177)&amp;"  字第 "&amp;INDEX(助手收入!$P$2:$P$66,助手收入!$R$177)&amp;" 号"&amp;IF(INDEX(助手收入!$L$2:$L$66,助手收入!$R$177)&gt;1,"  (共"&amp;INDEX(助手收入!$L$2:$L$66,助手收入!$R$177)&amp;"页 第"&amp;助手收入!$S$177&amp;"页)",""))</f>
        <v/>
      </c>
    </row>
    <row r="2629" customFormat="false" ht="12.75" hidden="false" customHeight="true" outlineLevel="0" collapsed="false">
      <c r="B2629" s="61" t="str">
        <f aca="false">IF(助手收入!$R$177&lt;&gt;"","摘　　要","")</f>
        <v/>
      </c>
      <c r="C2629" s="61"/>
      <c r="D2629" s="62" t="str">
        <f aca="false">IF(助手收入!$R$177&lt;&gt;"","科　　　　目","")</f>
        <v/>
      </c>
      <c r="E2629" s="62"/>
      <c r="F2629" s="61" t="str">
        <f aca="false">IF(助手收入!$R$177&lt;&gt;"","借 方 金 额","")</f>
        <v/>
      </c>
      <c r="G2629" s="62" t="str">
        <f aca="false">IF(助手收入!$R$177&lt;&gt;"","贷 方 金 额","")</f>
        <v/>
      </c>
      <c r="H2629" s="63" t="str">
        <f aca="false">IF(助手收入!$R$177&lt;&gt;"","√","")</f>
        <v/>
      </c>
      <c r="I2629" s="64" t="str">
        <f aca="false">IF(助手收入!$R$177&lt;&gt;"","附单据  张","")</f>
        <v/>
      </c>
    </row>
    <row r="2630" customFormat="false" ht="12.75" hidden="false" customHeight="true" outlineLevel="0" collapsed="false">
      <c r="B2630" s="61"/>
      <c r="C2630" s="61"/>
      <c r="D2630" s="23" t="str">
        <f aca="false">IF(助手收入!$R$177&lt;&gt;"","总 账 科 目","")</f>
        <v/>
      </c>
      <c r="E2630" s="23" t="str">
        <f aca="false">IF(助手收入!$R$177&lt;&gt;"","明 细 科 目","")</f>
        <v/>
      </c>
      <c r="F2630" s="65"/>
      <c r="G2630" s="66"/>
      <c r="H2630" s="63"/>
      <c r="I2630" s="64"/>
    </row>
    <row r="2631" customFormat="false" ht="23.25" hidden="false" customHeight="true" outlineLevel="0" collapsed="false">
      <c r="B2631" s="67" t="str">
        <f aca="false">IFERROR(INDEX(分录收入!$M:$M,MATCH($L2631,分录收入!$L:$L,0)),"")</f>
        <v/>
      </c>
      <c r="C2631" s="67"/>
      <c r="D2631" s="23" t="str">
        <f aca="false">IFERROR(INDEX(分录收入!$E:$E,MATCH($L2631,分录收入!$L:$L,0)),"")</f>
        <v/>
      </c>
      <c r="E2631" s="23" t="str">
        <f aca="false">IFERROR(INDEX(分录收入!$F:$F,MATCH($L2631,分录收入!$L:$L,0)),"")</f>
        <v/>
      </c>
      <c r="F2631" s="68" t="str">
        <f aca="false">IFERROR(INDEX(分录收入!$H:$H,MATCH($L2631,分录收入!$L:$L,0)),"")</f>
        <v/>
      </c>
      <c r="G2631" s="69" t="str">
        <f aca="false">IFERROR(INDEX(分录收入!$I:$I,MATCH($L2631,分录收入!$L:$L,0)),"")</f>
        <v/>
      </c>
      <c r="H2631" s="23"/>
      <c r="I2631" s="70"/>
      <c r="L2631" s="71" t="n">
        <f aca="false">IF(助手收入!$R$177="",-1,助手收入!$R$177*100+(助手收入!$S$177-1)*6+1)</f>
        <v>-1</v>
      </c>
    </row>
    <row r="2632" customFormat="false" ht="23.25" hidden="false" customHeight="true" outlineLevel="0" collapsed="false">
      <c r="B2632" s="67" t="str">
        <f aca="false">""</f>
        <v/>
      </c>
      <c r="C2632" s="67"/>
      <c r="D2632" s="23" t="str">
        <f aca="false">IFERROR(INDEX(分录收入!$E:$E,MATCH($L2632,分录收入!$L:$L,0)),"")</f>
        <v/>
      </c>
      <c r="E2632" s="23" t="str">
        <f aca="false">IFERROR(INDEX(分录收入!$F:$F,MATCH($L2632,分录收入!$L:$L,0)),"")</f>
        <v/>
      </c>
      <c r="F2632" s="68" t="str">
        <f aca="false">IFERROR(INDEX(分录收入!$H:$H,MATCH($L2632,分录收入!$L:$L,0)),"")</f>
        <v/>
      </c>
      <c r="G2632" s="69" t="str">
        <f aca="false">IFERROR(INDEX(分录收入!$I:$I,MATCH($L2632,分录收入!$L:$L,0)),"")</f>
        <v/>
      </c>
      <c r="H2632" s="23"/>
      <c r="I2632" s="70"/>
      <c r="L2632" s="71" t="n">
        <f aca="false">IF(助手收入!$R$177="",-1,助手收入!$R$177*100+(助手收入!$S$177-1)*6+2)</f>
        <v>-1</v>
      </c>
    </row>
    <row r="2633" customFormat="false" ht="23.25" hidden="false" customHeight="true" outlineLevel="0" collapsed="false">
      <c r="B2633" s="67" t="str">
        <f aca="false">""</f>
        <v/>
      </c>
      <c r="C2633" s="67"/>
      <c r="D2633" s="23" t="str">
        <f aca="false">IFERROR(INDEX(分录收入!$E:$E,MATCH($L2633,分录收入!$L:$L,0)),"")</f>
        <v/>
      </c>
      <c r="E2633" s="23" t="str">
        <f aca="false">IFERROR(INDEX(分录收入!$F:$F,MATCH($L2633,分录收入!$L:$L,0)),"")</f>
        <v/>
      </c>
      <c r="F2633" s="68" t="str">
        <f aca="false">IFERROR(INDEX(分录收入!$H:$H,MATCH($L2633,分录收入!$L:$L,0)),"")</f>
        <v/>
      </c>
      <c r="G2633" s="69" t="str">
        <f aca="false">IFERROR(INDEX(分录收入!$I:$I,MATCH($L2633,分录收入!$L:$L,0)),"")</f>
        <v/>
      </c>
      <c r="H2633" s="23"/>
      <c r="I2633" s="70"/>
      <c r="L2633" s="71" t="n">
        <f aca="false">IF(助手收入!$R$177="",-1,助手收入!$R$177*100+(助手收入!$S$177-1)*6+3)</f>
        <v>-1</v>
      </c>
    </row>
    <row r="2634" customFormat="false" ht="23.25" hidden="false" customHeight="true" outlineLevel="0" collapsed="false">
      <c r="B2634" s="67" t="str">
        <f aca="false">""</f>
        <v/>
      </c>
      <c r="C2634" s="67"/>
      <c r="D2634" s="23" t="str">
        <f aca="false">IFERROR(INDEX(分录收入!$E:$E,MATCH($L2634,分录收入!$L:$L,0)),"")</f>
        <v/>
      </c>
      <c r="E2634" s="23" t="str">
        <f aca="false">IFERROR(INDEX(分录收入!$F:$F,MATCH($L2634,分录收入!$L:$L,0)),"")</f>
        <v/>
      </c>
      <c r="F2634" s="68" t="str">
        <f aca="false">IFERROR(INDEX(分录收入!$H:$H,MATCH($L2634,分录收入!$L:$L,0)),"")</f>
        <v/>
      </c>
      <c r="G2634" s="69" t="str">
        <f aca="false">IFERROR(INDEX(分录收入!$I:$I,MATCH($L2634,分录收入!$L:$L,0)),"")</f>
        <v/>
      </c>
      <c r="H2634" s="23"/>
      <c r="I2634" s="70"/>
      <c r="L2634" s="71" t="n">
        <f aca="false">IF(助手收入!$R$177="",-1,助手收入!$R$177*100+(助手收入!$S$177-1)*6+4)</f>
        <v>-1</v>
      </c>
    </row>
    <row r="2635" customFormat="false" ht="23.25" hidden="false" customHeight="true" outlineLevel="0" collapsed="false">
      <c r="B2635" s="67" t="str">
        <f aca="false">""</f>
        <v/>
      </c>
      <c r="C2635" s="67"/>
      <c r="D2635" s="23" t="str">
        <f aca="false">IFERROR(INDEX(分录收入!$E:$E,MATCH($L2635,分录收入!$L:$L,0)),"")</f>
        <v/>
      </c>
      <c r="E2635" s="23" t="str">
        <f aca="false">IFERROR(INDEX(分录收入!$F:$F,MATCH($L2635,分录收入!$L:$L,0)),"")</f>
        <v/>
      </c>
      <c r="F2635" s="68" t="str">
        <f aca="false">IFERROR(INDEX(分录收入!$H:$H,MATCH($L2635,分录收入!$L:$L,0)),"")</f>
        <v/>
      </c>
      <c r="G2635" s="69" t="str">
        <f aca="false">IFERROR(INDEX(分录收入!$I:$I,MATCH($L2635,分录收入!$L:$L,0)),"")</f>
        <v/>
      </c>
      <c r="H2635" s="23"/>
      <c r="I2635" s="70"/>
      <c r="L2635" s="71" t="n">
        <f aca="false">IF(助手收入!$R$177="",-1,助手收入!$R$177*100+(助手收入!$S$177-1)*6+5)</f>
        <v>-1</v>
      </c>
    </row>
    <row r="2636" customFormat="false" ht="23.25" hidden="false" customHeight="true" outlineLevel="0" collapsed="false">
      <c r="B2636" s="67" t="str">
        <f aca="false">""</f>
        <v/>
      </c>
      <c r="C2636" s="67"/>
      <c r="D2636" s="23" t="str">
        <f aca="false">IFERROR(INDEX(分录收入!$E:$E,MATCH($L2636,分录收入!$L:$L,0)),"")</f>
        <v/>
      </c>
      <c r="E2636" s="23" t="str">
        <f aca="false">IFERROR(INDEX(分录收入!$F:$F,MATCH($L2636,分录收入!$L:$L,0)),"")</f>
        <v/>
      </c>
      <c r="F2636" s="68" t="str">
        <f aca="false">IFERROR(INDEX(分录收入!$H:$H,MATCH($L2636,分录收入!$L:$L,0)),"")</f>
        <v/>
      </c>
      <c r="G2636" s="69" t="str">
        <f aca="false">IFERROR(INDEX(分录收入!$I:$I,MATCH($L2636,分录收入!$L:$L,0)),"")</f>
        <v/>
      </c>
      <c r="H2636" s="23"/>
      <c r="I2636" s="70"/>
      <c r="L2636" s="71" t="n">
        <f aca="false">IF(助手收入!$R$177="",-1,助手收入!$R$177*100+(助手收入!$S$177-1)*6+6)</f>
        <v>-1</v>
      </c>
    </row>
    <row r="2637" customFormat="false" ht="23.25" hidden="false" customHeight="true" outlineLevel="0" collapsed="false">
      <c r="B2637" s="72" t="str">
        <f aca="false">IF(助手收入!$T$177=1,"合计：","")</f>
        <v/>
      </c>
      <c r="C2637" s="73" t="str">
        <f aca="false">IF(助手收入!$T$177=1,$F2637,"")</f>
        <v/>
      </c>
      <c r="D2637" s="74"/>
      <c r="E2637" s="74"/>
      <c r="F2637" s="75" t="str">
        <f aca="false">IF(助手收入!$T$177=1,INDEX(助手收入!$N$2:$N$66,助手收入!$R$177),"")</f>
        <v/>
      </c>
      <c r="G2637" s="76" t="str">
        <f aca="false">IF(助手收入!$T$177=1,INDEX(助手收入!$O$2:$O$66,助手收入!$R$177),"")</f>
        <v/>
      </c>
      <c r="H2637" s="74"/>
      <c r="I2637" s="77"/>
    </row>
    <row r="2638" customFormat="false" ht="6" hidden="false" customHeight="true" outlineLevel="0" collapsed="false"/>
    <row r="2639" customFormat="false" ht="13.5" hidden="false" customHeight="false" outlineLevel="0" collapsed="false">
      <c r="B2639" s="78" t="str">
        <f aca="false">IF(助手收入!$R$177&lt;&gt;"","会计主管：","")</f>
        <v/>
      </c>
      <c r="D2639" s="78" t="str">
        <f aca="false">IF(助手收入!$R$177&lt;&gt;"","会计：","")</f>
        <v/>
      </c>
      <c r="E2639" s="78" t="str">
        <f aca="false">IF(助手收入!$R$177&lt;&gt;"","出纳：","")</f>
        <v/>
      </c>
      <c r="F2639" s="78" t="str">
        <f aca="false">IF(助手收入!$R$177&lt;&gt;"","复核：","")</f>
        <v/>
      </c>
      <c r="G2639" s="78" t="str">
        <f aca="false">IF(助手收入!$R$177&lt;&gt;"","制单：","")</f>
        <v/>
      </c>
    </row>
    <row r="2640" customFormat="false" ht="3" hidden="false" customHeight="true" outlineLevel="0" collapsed="false"/>
    <row r="2641" customFormat="false" ht="19.5" hidden="false" customHeight="true" outlineLevel="0" collapsed="false">
      <c r="B2641" s="53" t="str">
        <f aca="false">IF(助手收入!$R$178&lt;&gt;"","记  账  凭  证","")</f>
        <v/>
      </c>
      <c r="C2641" s="53"/>
      <c r="D2641" s="53"/>
      <c r="E2641" s="53"/>
      <c r="F2641" s="53"/>
      <c r="G2641" s="53"/>
      <c r="H2641" s="53"/>
      <c r="I2641" s="53"/>
    </row>
    <row r="2642" customFormat="false" ht="3" hidden="false" customHeight="true" outlineLevel="0" collapsed="false"/>
    <row r="2643" customFormat="false" ht="15" hidden="false" customHeight="true" outlineLevel="0" collapsed="false">
      <c r="C2643" s="56" t="str">
        <f aca="false">IF(助手收入!$R$178&lt;&gt;"",INDEX(助手收入!$B$2:$B$66,助手收入!$R$178),"")</f>
        <v/>
      </c>
      <c r="D2643" s="57" t="str">
        <f aca="false">IF(助手收入!$R$178&lt;&gt;"",参数!$B$2,"")</f>
        <v/>
      </c>
      <c r="E2643" s="57"/>
      <c r="F2643" s="58" t="str">
        <f aca="false">IF(助手收入!$R$178&lt;&gt;"",INDEX(助手收入!$C$2:$C$66,助手收入!$R$178)&amp;"  字第 "&amp;IF(参数!$B$9="是",INDEX(助手收入!$P$2:$P$66,助手收入!$R$178),"　　　　")&amp;" 号"&amp;IF(INDEX(助手收入!$L$2:$L$66,助手收入!$R$178)&gt;1,"  (共"&amp;INDEX(助手收入!$L$2:$L$66,助手收入!$R$178)&amp;"页 第"&amp;助手收入!$S$178&amp;"页)",""),"")</f>
        <v/>
      </c>
      <c r="G2643" s="58"/>
      <c r="H2643" s="58"/>
      <c r="I2643" s="58"/>
      <c r="M2643" s="79" t="str">
        <f aca="false">IF(助手收入!$R$178="","",助手收入!$Q$178)</f>
        <v/>
      </c>
      <c r="N2643" s="80" t="str">
        <f aca="false">IF(助手收入!$R$178="","",INDEX(助手收入!$P$2:$P$66,助手收入!$R$178))</f>
        <v/>
      </c>
      <c r="O2643" s="55" t="str">
        <f aca="false">IF(助手收入!$R$178="","",INDEX(助手收入!$C$2:$C$66,助手收入!$R$178)&amp;"  字第 "&amp;INDEX(助手收入!$P$2:$P$66,助手收入!$R$178)&amp;" 号"&amp;IF(INDEX(助手收入!$L$2:$L$66,助手收入!$R$178)&gt;1,"  (共"&amp;INDEX(助手收入!$L$2:$L$66,助手收入!$R$178)&amp;"页 第"&amp;助手收入!$S$178&amp;"页)",""))</f>
        <v/>
      </c>
    </row>
    <row r="2644" customFormat="false" ht="12.75" hidden="false" customHeight="true" outlineLevel="0" collapsed="false">
      <c r="B2644" s="61" t="str">
        <f aca="false">IF(助手收入!$R$178&lt;&gt;"","摘　　要","")</f>
        <v/>
      </c>
      <c r="C2644" s="61"/>
      <c r="D2644" s="62" t="str">
        <f aca="false">IF(助手收入!$R$178&lt;&gt;"","科　　　　目","")</f>
        <v/>
      </c>
      <c r="E2644" s="62"/>
      <c r="F2644" s="61" t="str">
        <f aca="false">IF(助手收入!$R$178&lt;&gt;"","借 方 金 额","")</f>
        <v/>
      </c>
      <c r="G2644" s="62" t="str">
        <f aca="false">IF(助手收入!$R$178&lt;&gt;"","贷 方 金 额","")</f>
        <v/>
      </c>
      <c r="H2644" s="63" t="str">
        <f aca="false">IF(助手收入!$R$178&lt;&gt;"","√","")</f>
        <v/>
      </c>
      <c r="I2644" s="64" t="str">
        <f aca="false">IF(助手收入!$R$178&lt;&gt;"","附单据  张","")</f>
        <v/>
      </c>
    </row>
    <row r="2645" customFormat="false" ht="12.75" hidden="false" customHeight="true" outlineLevel="0" collapsed="false">
      <c r="B2645" s="61"/>
      <c r="C2645" s="61"/>
      <c r="D2645" s="23" t="str">
        <f aca="false">IF(助手收入!$R$178&lt;&gt;"","总 账 科 目","")</f>
        <v/>
      </c>
      <c r="E2645" s="23" t="str">
        <f aca="false">IF(助手收入!$R$178&lt;&gt;"","明 细 科 目","")</f>
        <v/>
      </c>
      <c r="F2645" s="65"/>
      <c r="G2645" s="66"/>
      <c r="H2645" s="63"/>
      <c r="I2645" s="64"/>
    </row>
    <row r="2646" customFormat="false" ht="23.25" hidden="false" customHeight="true" outlineLevel="0" collapsed="false">
      <c r="B2646" s="67" t="str">
        <f aca="false">IFERROR(INDEX(分录收入!$M:$M,MATCH($L2646,分录收入!$L:$L,0)),"")</f>
        <v/>
      </c>
      <c r="C2646" s="67"/>
      <c r="D2646" s="23" t="str">
        <f aca="false">IFERROR(INDEX(分录收入!$E:$E,MATCH($L2646,分录收入!$L:$L,0)),"")</f>
        <v/>
      </c>
      <c r="E2646" s="23" t="str">
        <f aca="false">IFERROR(INDEX(分录收入!$F:$F,MATCH($L2646,分录收入!$L:$L,0)),"")</f>
        <v/>
      </c>
      <c r="F2646" s="68" t="str">
        <f aca="false">IFERROR(INDEX(分录收入!$H:$H,MATCH($L2646,分录收入!$L:$L,0)),"")</f>
        <v/>
      </c>
      <c r="G2646" s="69" t="str">
        <f aca="false">IFERROR(INDEX(分录收入!$I:$I,MATCH($L2646,分录收入!$L:$L,0)),"")</f>
        <v/>
      </c>
      <c r="H2646" s="23"/>
      <c r="I2646" s="70"/>
      <c r="L2646" s="71" t="n">
        <f aca="false">IF(助手收入!$R$178="",-1,助手收入!$R$178*100+(助手收入!$S$178-1)*6+1)</f>
        <v>-1</v>
      </c>
    </row>
    <row r="2647" customFormat="false" ht="23.25" hidden="false" customHeight="true" outlineLevel="0" collapsed="false">
      <c r="B2647" s="67" t="str">
        <f aca="false">""</f>
        <v/>
      </c>
      <c r="C2647" s="67"/>
      <c r="D2647" s="23" t="str">
        <f aca="false">IFERROR(INDEX(分录收入!$E:$E,MATCH($L2647,分录收入!$L:$L,0)),"")</f>
        <v/>
      </c>
      <c r="E2647" s="23" t="str">
        <f aca="false">IFERROR(INDEX(分录收入!$F:$F,MATCH($L2647,分录收入!$L:$L,0)),"")</f>
        <v/>
      </c>
      <c r="F2647" s="68" t="str">
        <f aca="false">IFERROR(INDEX(分录收入!$H:$H,MATCH($L2647,分录收入!$L:$L,0)),"")</f>
        <v/>
      </c>
      <c r="G2647" s="69" t="str">
        <f aca="false">IFERROR(INDEX(分录收入!$I:$I,MATCH($L2647,分录收入!$L:$L,0)),"")</f>
        <v/>
      </c>
      <c r="H2647" s="23"/>
      <c r="I2647" s="70"/>
      <c r="L2647" s="71" t="n">
        <f aca="false">IF(助手收入!$R$178="",-1,助手收入!$R$178*100+(助手收入!$S$178-1)*6+2)</f>
        <v>-1</v>
      </c>
    </row>
    <row r="2648" customFormat="false" ht="23.25" hidden="false" customHeight="true" outlineLevel="0" collapsed="false">
      <c r="B2648" s="67" t="str">
        <f aca="false">""</f>
        <v/>
      </c>
      <c r="C2648" s="67"/>
      <c r="D2648" s="23" t="str">
        <f aca="false">IFERROR(INDEX(分录收入!$E:$E,MATCH($L2648,分录收入!$L:$L,0)),"")</f>
        <v/>
      </c>
      <c r="E2648" s="23" t="str">
        <f aca="false">IFERROR(INDEX(分录收入!$F:$F,MATCH($L2648,分录收入!$L:$L,0)),"")</f>
        <v/>
      </c>
      <c r="F2648" s="68" t="str">
        <f aca="false">IFERROR(INDEX(分录收入!$H:$H,MATCH($L2648,分录收入!$L:$L,0)),"")</f>
        <v/>
      </c>
      <c r="G2648" s="69" t="str">
        <f aca="false">IFERROR(INDEX(分录收入!$I:$I,MATCH($L2648,分录收入!$L:$L,0)),"")</f>
        <v/>
      </c>
      <c r="H2648" s="23"/>
      <c r="I2648" s="70"/>
      <c r="L2648" s="71" t="n">
        <f aca="false">IF(助手收入!$R$178="",-1,助手收入!$R$178*100+(助手收入!$S$178-1)*6+3)</f>
        <v>-1</v>
      </c>
    </row>
    <row r="2649" customFormat="false" ht="23.25" hidden="false" customHeight="true" outlineLevel="0" collapsed="false">
      <c r="B2649" s="67" t="str">
        <f aca="false">""</f>
        <v/>
      </c>
      <c r="C2649" s="67"/>
      <c r="D2649" s="23" t="str">
        <f aca="false">IFERROR(INDEX(分录收入!$E:$E,MATCH($L2649,分录收入!$L:$L,0)),"")</f>
        <v/>
      </c>
      <c r="E2649" s="23" t="str">
        <f aca="false">IFERROR(INDEX(分录收入!$F:$F,MATCH($L2649,分录收入!$L:$L,0)),"")</f>
        <v/>
      </c>
      <c r="F2649" s="68" t="str">
        <f aca="false">IFERROR(INDEX(分录收入!$H:$H,MATCH($L2649,分录收入!$L:$L,0)),"")</f>
        <v/>
      </c>
      <c r="G2649" s="69" t="str">
        <f aca="false">IFERROR(INDEX(分录收入!$I:$I,MATCH($L2649,分录收入!$L:$L,0)),"")</f>
        <v/>
      </c>
      <c r="H2649" s="23"/>
      <c r="I2649" s="70"/>
      <c r="L2649" s="71" t="n">
        <f aca="false">IF(助手收入!$R$178="",-1,助手收入!$R$178*100+(助手收入!$S$178-1)*6+4)</f>
        <v>-1</v>
      </c>
    </row>
    <row r="2650" customFormat="false" ht="23.25" hidden="false" customHeight="true" outlineLevel="0" collapsed="false">
      <c r="B2650" s="67" t="str">
        <f aca="false">""</f>
        <v/>
      </c>
      <c r="C2650" s="67"/>
      <c r="D2650" s="23" t="str">
        <f aca="false">IFERROR(INDEX(分录收入!$E:$E,MATCH($L2650,分录收入!$L:$L,0)),"")</f>
        <v/>
      </c>
      <c r="E2650" s="23" t="str">
        <f aca="false">IFERROR(INDEX(分录收入!$F:$F,MATCH($L2650,分录收入!$L:$L,0)),"")</f>
        <v/>
      </c>
      <c r="F2650" s="68" t="str">
        <f aca="false">IFERROR(INDEX(分录收入!$H:$H,MATCH($L2650,分录收入!$L:$L,0)),"")</f>
        <v/>
      </c>
      <c r="G2650" s="69" t="str">
        <f aca="false">IFERROR(INDEX(分录收入!$I:$I,MATCH($L2650,分录收入!$L:$L,0)),"")</f>
        <v/>
      </c>
      <c r="H2650" s="23"/>
      <c r="I2650" s="70"/>
      <c r="L2650" s="71" t="n">
        <f aca="false">IF(助手收入!$R$178="",-1,助手收入!$R$178*100+(助手收入!$S$178-1)*6+5)</f>
        <v>-1</v>
      </c>
    </row>
    <row r="2651" customFormat="false" ht="23.25" hidden="false" customHeight="true" outlineLevel="0" collapsed="false">
      <c r="B2651" s="67" t="str">
        <f aca="false">""</f>
        <v/>
      </c>
      <c r="C2651" s="67"/>
      <c r="D2651" s="23" t="str">
        <f aca="false">IFERROR(INDEX(分录收入!$E:$E,MATCH($L2651,分录收入!$L:$L,0)),"")</f>
        <v/>
      </c>
      <c r="E2651" s="23" t="str">
        <f aca="false">IFERROR(INDEX(分录收入!$F:$F,MATCH($L2651,分录收入!$L:$L,0)),"")</f>
        <v/>
      </c>
      <c r="F2651" s="68" t="str">
        <f aca="false">IFERROR(INDEX(分录收入!$H:$H,MATCH($L2651,分录收入!$L:$L,0)),"")</f>
        <v/>
      </c>
      <c r="G2651" s="69" t="str">
        <f aca="false">IFERROR(INDEX(分录收入!$I:$I,MATCH($L2651,分录收入!$L:$L,0)),"")</f>
        <v/>
      </c>
      <c r="H2651" s="23"/>
      <c r="I2651" s="70"/>
      <c r="L2651" s="71" t="n">
        <f aca="false">IF(助手收入!$R$178="",-1,助手收入!$R$178*100+(助手收入!$S$178-1)*6+6)</f>
        <v>-1</v>
      </c>
    </row>
    <row r="2652" customFormat="false" ht="23.25" hidden="false" customHeight="true" outlineLevel="0" collapsed="false">
      <c r="B2652" s="72" t="str">
        <f aca="false">IF(助手收入!$T$178=1,"合计：","")</f>
        <v/>
      </c>
      <c r="C2652" s="73" t="str">
        <f aca="false">IF(助手收入!$T$178=1,$F2652,"")</f>
        <v/>
      </c>
      <c r="D2652" s="74"/>
      <c r="E2652" s="74"/>
      <c r="F2652" s="75" t="str">
        <f aca="false">IF(助手收入!$T$178=1,INDEX(助手收入!$N$2:$N$66,助手收入!$R$178),"")</f>
        <v/>
      </c>
      <c r="G2652" s="76" t="str">
        <f aca="false">IF(助手收入!$T$178=1,INDEX(助手收入!$O$2:$O$66,助手收入!$R$178),"")</f>
        <v/>
      </c>
      <c r="H2652" s="74"/>
      <c r="I2652" s="77"/>
    </row>
    <row r="2653" customFormat="false" ht="6" hidden="false" customHeight="true" outlineLevel="0" collapsed="false"/>
    <row r="2654" customFormat="false" ht="13.5" hidden="false" customHeight="false" outlineLevel="0" collapsed="false">
      <c r="B2654" s="78" t="str">
        <f aca="false">IF(助手收入!$R$178&lt;&gt;"","会计主管：","")</f>
        <v/>
      </c>
      <c r="D2654" s="78" t="str">
        <f aca="false">IF(助手收入!$R$178&lt;&gt;"","会计：","")</f>
        <v/>
      </c>
      <c r="E2654" s="78" t="str">
        <f aca="false">IF(助手收入!$R$178&lt;&gt;"","出纳：","")</f>
        <v/>
      </c>
      <c r="F2654" s="78" t="str">
        <f aca="false">IF(助手收入!$R$178&lt;&gt;"","复核：","")</f>
        <v/>
      </c>
      <c r="G2654" s="78" t="str">
        <f aca="false">IF(助手收入!$R$178&lt;&gt;"","制单：","")</f>
        <v/>
      </c>
    </row>
    <row r="2655" customFormat="false" ht="3" hidden="false" customHeight="true" outlineLevel="0" collapsed="false"/>
    <row r="2656" customFormat="false" ht="19.5" hidden="false" customHeight="true" outlineLevel="0" collapsed="false">
      <c r="B2656" s="53" t="str">
        <f aca="false">IF(助手收入!$R$179&lt;&gt;"","记  账  凭  证","")</f>
        <v/>
      </c>
      <c r="C2656" s="53"/>
      <c r="D2656" s="53"/>
      <c r="E2656" s="53"/>
      <c r="F2656" s="53"/>
      <c r="G2656" s="53"/>
      <c r="H2656" s="53"/>
      <c r="I2656" s="53"/>
    </row>
    <row r="2657" customFormat="false" ht="3" hidden="false" customHeight="true" outlineLevel="0" collapsed="false"/>
    <row r="2658" customFormat="false" ht="15" hidden="false" customHeight="true" outlineLevel="0" collapsed="false">
      <c r="C2658" s="56" t="str">
        <f aca="false">IF(助手收入!$R$179&lt;&gt;"",INDEX(助手收入!$B$2:$B$66,助手收入!$R$179),"")</f>
        <v/>
      </c>
      <c r="D2658" s="57" t="str">
        <f aca="false">IF(助手收入!$R$179&lt;&gt;"",参数!$B$2,"")</f>
        <v/>
      </c>
      <c r="E2658" s="57"/>
      <c r="F2658" s="58" t="str">
        <f aca="false">IF(助手收入!$R$179&lt;&gt;"",INDEX(助手收入!$C$2:$C$66,助手收入!$R$179)&amp;"  字第 "&amp;IF(参数!$B$9="是",INDEX(助手收入!$P$2:$P$66,助手收入!$R$179),"　　　　")&amp;" 号"&amp;IF(INDEX(助手收入!$L$2:$L$66,助手收入!$R$179)&gt;1,"  (共"&amp;INDEX(助手收入!$L$2:$L$66,助手收入!$R$179)&amp;"页 第"&amp;助手收入!$S$179&amp;"页)",""),"")</f>
        <v/>
      </c>
      <c r="G2658" s="58"/>
      <c r="H2658" s="58"/>
      <c r="I2658" s="58"/>
      <c r="M2658" s="79" t="str">
        <f aca="false">IF(助手收入!$R$179="","",助手收入!$Q$179)</f>
        <v/>
      </c>
      <c r="N2658" s="80" t="str">
        <f aca="false">IF(助手收入!$R$179="","",INDEX(助手收入!$P$2:$P$66,助手收入!$R$179))</f>
        <v/>
      </c>
      <c r="O2658" s="55" t="str">
        <f aca="false">IF(助手收入!$R$179="","",INDEX(助手收入!$C$2:$C$66,助手收入!$R$179)&amp;"  字第 "&amp;INDEX(助手收入!$P$2:$P$66,助手收入!$R$179)&amp;" 号"&amp;IF(INDEX(助手收入!$L$2:$L$66,助手收入!$R$179)&gt;1,"  (共"&amp;INDEX(助手收入!$L$2:$L$66,助手收入!$R$179)&amp;"页 第"&amp;助手收入!$S$179&amp;"页)",""))</f>
        <v/>
      </c>
    </row>
    <row r="2659" customFormat="false" ht="12.75" hidden="false" customHeight="true" outlineLevel="0" collapsed="false">
      <c r="B2659" s="61" t="str">
        <f aca="false">IF(助手收入!$R$179&lt;&gt;"","摘　　要","")</f>
        <v/>
      </c>
      <c r="C2659" s="61"/>
      <c r="D2659" s="62" t="str">
        <f aca="false">IF(助手收入!$R$179&lt;&gt;"","科　　　　目","")</f>
        <v/>
      </c>
      <c r="E2659" s="62"/>
      <c r="F2659" s="61" t="str">
        <f aca="false">IF(助手收入!$R$179&lt;&gt;"","借 方 金 额","")</f>
        <v/>
      </c>
      <c r="G2659" s="62" t="str">
        <f aca="false">IF(助手收入!$R$179&lt;&gt;"","贷 方 金 额","")</f>
        <v/>
      </c>
      <c r="H2659" s="63" t="str">
        <f aca="false">IF(助手收入!$R$179&lt;&gt;"","√","")</f>
        <v/>
      </c>
      <c r="I2659" s="64" t="str">
        <f aca="false">IF(助手收入!$R$179&lt;&gt;"","附单据  张","")</f>
        <v/>
      </c>
    </row>
    <row r="2660" customFormat="false" ht="12.75" hidden="false" customHeight="true" outlineLevel="0" collapsed="false">
      <c r="B2660" s="61"/>
      <c r="C2660" s="61"/>
      <c r="D2660" s="23" t="str">
        <f aca="false">IF(助手收入!$R$179&lt;&gt;"","总 账 科 目","")</f>
        <v/>
      </c>
      <c r="E2660" s="23" t="str">
        <f aca="false">IF(助手收入!$R$179&lt;&gt;"","明 细 科 目","")</f>
        <v/>
      </c>
      <c r="F2660" s="65"/>
      <c r="G2660" s="66"/>
      <c r="H2660" s="63"/>
      <c r="I2660" s="64"/>
    </row>
    <row r="2661" customFormat="false" ht="23.25" hidden="false" customHeight="true" outlineLevel="0" collapsed="false">
      <c r="B2661" s="67" t="str">
        <f aca="false">IFERROR(INDEX(分录收入!$M:$M,MATCH($L2661,分录收入!$L:$L,0)),"")</f>
        <v/>
      </c>
      <c r="C2661" s="67"/>
      <c r="D2661" s="23" t="str">
        <f aca="false">IFERROR(INDEX(分录收入!$E:$E,MATCH($L2661,分录收入!$L:$L,0)),"")</f>
        <v/>
      </c>
      <c r="E2661" s="23" t="str">
        <f aca="false">IFERROR(INDEX(分录收入!$F:$F,MATCH($L2661,分录收入!$L:$L,0)),"")</f>
        <v/>
      </c>
      <c r="F2661" s="68" t="str">
        <f aca="false">IFERROR(INDEX(分录收入!$H:$H,MATCH($L2661,分录收入!$L:$L,0)),"")</f>
        <v/>
      </c>
      <c r="G2661" s="69" t="str">
        <f aca="false">IFERROR(INDEX(分录收入!$I:$I,MATCH($L2661,分录收入!$L:$L,0)),"")</f>
        <v/>
      </c>
      <c r="H2661" s="23"/>
      <c r="I2661" s="70"/>
      <c r="L2661" s="71" t="n">
        <f aca="false">IF(助手收入!$R$179="",-1,助手收入!$R$179*100+(助手收入!$S$179-1)*6+1)</f>
        <v>-1</v>
      </c>
    </row>
    <row r="2662" customFormat="false" ht="23.25" hidden="false" customHeight="true" outlineLevel="0" collapsed="false">
      <c r="B2662" s="67" t="str">
        <f aca="false">""</f>
        <v/>
      </c>
      <c r="C2662" s="67"/>
      <c r="D2662" s="23" t="str">
        <f aca="false">IFERROR(INDEX(分录收入!$E:$E,MATCH($L2662,分录收入!$L:$L,0)),"")</f>
        <v/>
      </c>
      <c r="E2662" s="23" t="str">
        <f aca="false">IFERROR(INDEX(分录收入!$F:$F,MATCH($L2662,分录收入!$L:$L,0)),"")</f>
        <v/>
      </c>
      <c r="F2662" s="68" t="str">
        <f aca="false">IFERROR(INDEX(分录收入!$H:$H,MATCH($L2662,分录收入!$L:$L,0)),"")</f>
        <v/>
      </c>
      <c r="G2662" s="69" t="str">
        <f aca="false">IFERROR(INDEX(分录收入!$I:$I,MATCH($L2662,分录收入!$L:$L,0)),"")</f>
        <v/>
      </c>
      <c r="H2662" s="23"/>
      <c r="I2662" s="70"/>
      <c r="L2662" s="71" t="n">
        <f aca="false">IF(助手收入!$R$179="",-1,助手收入!$R$179*100+(助手收入!$S$179-1)*6+2)</f>
        <v>-1</v>
      </c>
    </row>
    <row r="2663" customFormat="false" ht="23.25" hidden="false" customHeight="true" outlineLevel="0" collapsed="false">
      <c r="B2663" s="67" t="str">
        <f aca="false">""</f>
        <v/>
      </c>
      <c r="C2663" s="67"/>
      <c r="D2663" s="23" t="str">
        <f aca="false">IFERROR(INDEX(分录收入!$E:$E,MATCH($L2663,分录收入!$L:$L,0)),"")</f>
        <v/>
      </c>
      <c r="E2663" s="23" t="str">
        <f aca="false">IFERROR(INDEX(分录收入!$F:$F,MATCH($L2663,分录收入!$L:$L,0)),"")</f>
        <v/>
      </c>
      <c r="F2663" s="68" t="str">
        <f aca="false">IFERROR(INDEX(分录收入!$H:$H,MATCH($L2663,分录收入!$L:$L,0)),"")</f>
        <v/>
      </c>
      <c r="G2663" s="69" t="str">
        <f aca="false">IFERROR(INDEX(分录收入!$I:$I,MATCH($L2663,分录收入!$L:$L,0)),"")</f>
        <v/>
      </c>
      <c r="H2663" s="23"/>
      <c r="I2663" s="70"/>
      <c r="L2663" s="71" t="n">
        <f aca="false">IF(助手收入!$R$179="",-1,助手收入!$R$179*100+(助手收入!$S$179-1)*6+3)</f>
        <v>-1</v>
      </c>
    </row>
    <row r="2664" customFormat="false" ht="23.25" hidden="false" customHeight="true" outlineLevel="0" collapsed="false">
      <c r="B2664" s="67" t="str">
        <f aca="false">""</f>
        <v/>
      </c>
      <c r="C2664" s="67"/>
      <c r="D2664" s="23" t="str">
        <f aca="false">IFERROR(INDEX(分录收入!$E:$E,MATCH($L2664,分录收入!$L:$L,0)),"")</f>
        <v/>
      </c>
      <c r="E2664" s="23" t="str">
        <f aca="false">IFERROR(INDEX(分录收入!$F:$F,MATCH($L2664,分录收入!$L:$L,0)),"")</f>
        <v/>
      </c>
      <c r="F2664" s="68" t="str">
        <f aca="false">IFERROR(INDEX(分录收入!$H:$H,MATCH($L2664,分录收入!$L:$L,0)),"")</f>
        <v/>
      </c>
      <c r="G2664" s="69" t="str">
        <f aca="false">IFERROR(INDEX(分录收入!$I:$I,MATCH($L2664,分录收入!$L:$L,0)),"")</f>
        <v/>
      </c>
      <c r="H2664" s="23"/>
      <c r="I2664" s="70"/>
      <c r="L2664" s="71" t="n">
        <f aca="false">IF(助手收入!$R$179="",-1,助手收入!$R$179*100+(助手收入!$S$179-1)*6+4)</f>
        <v>-1</v>
      </c>
    </row>
    <row r="2665" customFormat="false" ht="23.25" hidden="false" customHeight="true" outlineLevel="0" collapsed="false">
      <c r="B2665" s="67" t="str">
        <f aca="false">""</f>
        <v/>
      </c>
      <c r="C2665" s="67"/>
      <c r="D2665" s="23" t="str">
        <f aca="false">IFERROR(INDEX(分录收入!$E:$E,MATCH($L2665,分录收入!$L:$L,0)),"")</f>
        <v/>
      </c>
      <c r="E2665" s="23" t="str">
        <f aca="false">IFERROR(INDEX(分录收入!$F:$F,MATCH($L2665,分录收入!$L:$L,0)),"")</f>
        <v/>
      </c>
      <c r="F2665" s="68" t="str">
        <f aca="false">IFERROR(INDEX(分录收入!$H:$H,MATCH($L2665,分录收入!$L:$L,0)),"")</f>
        <v/>
      </c>
      <c r="G2665" s="69" t="str">
        <f aca="false">IFERROR(INDEX(分录收入!$I:$I,MATCH($L2665,分录收入!$L:$L,0)),"")</f>
        <v/>
      </c>
      <c r="H2665" s="23"/>
      <c r="I2665" s="70"/>
      <c r="L2665" s="71" t="n">
        <f aca="false">IF(助手收入!$R$179="",-1,助手收入!$R$179*100+(助手收入!$S$179-1)*6+5)</f>
        <v>-1</v>
      </c>
    </row>
    <row r="2666" customFormat="false" ht="23.25" hidden="false" customHeight="true" outlineLevel="0" collapsed="false">
      <c r="B2666" s="67" t="str">
        <f aca="false">""</f>
        <v/>
      </c>
      <c r="C2666" s="67"/>
      <c r="D2666" s="23" t="str">
        <f aca="false">IFERROR(INDEX(分录收入!$E:$E,MATCH($L2666,分录收入!$L:$L,0)),"")</f>
        <v/>
      </c>
      <c r="E2666" s="23" t="str">
        <f aca="false">IFERROR(INDEX(分录收入!$F:$F,MATCH($L2666,分录收入!$L:$L,0)),"")</f>
        <v/>
      </c>
      <c r="F2666" s="68" t="str">
        <f aca="false">IFERROR(INDEX(分录收入!$H:$H,MATCH($L2666,分录收入!$L:$L,0)),"")</f>
        <v/>
      </c>
      <c r="G2666" s="69" t="str">
        <f aca="false">IFERROR(INDEX(分录收入!$I:$I,MATCH($L2666,分录收入!$L:$L,0)),"")</f>
        <v/>
      </c>
      <c r="H2666" s="23"/>
      <c r="I2666" s="70"/>
      <c r="L2666" s="71" t="n">
        <f aca="false">IF(助手收入!$R$179="",-1,助手收入!$R$179*100+(助手收入!$S$179-1)*6+6)</f>
        <v>-1</v>
      </c>
    </row>
    <row r="2667" customFormat="false" ht="23.25" hidden="false" customHeight="true" outlineLevel="0" collapsed="false">
      <c r="B2667" s="72" t="str">
        <f aca="false">IF(助手收入!$T$179=1,"合计：","")</f>
        <v/>
      </c>
      <c r="C2667" s="73" t="str">
        <f aca="false">IF(助手收入!$T$179=1,$F2667,"")</f>
        <v/>
      </c>
      <c r="D2667" s="74"/>
      <c r="E2667" s="74"/>
      <c r="F2667" s="75" t="str">
        <f aca="false">IF(助手收入!$T$179=1,INDEX(助手收入!$N$2:$N$66,助手收入!$R$179),"")</f>
        <v/>
      </c>
      <c r="G2667" s="76" t="str">
        <f aca="false">IF(助手收入!$T$179=1,INDEX(助手收入!$O$2:$O$66,助手收入!$R$179),"")</f>
        <v/>
      </c>
      <c r="H2667" s="74"/>
      <c r="I2667" s="77"/>
    </row>
    <row r="2668" customFormat="false" ht="6" hidden="false" customHeight="true" outlineLevel="0" collapsed="false"/>
    <row r="2669" customFormat="false" ht="13.5" hidden="false" customHeight="false" outlineLevel="0" collapsed="false">
      <c r="B2669" s="78" t="str">
        <f aca="false">IF(助手收入!$R$179&lt;&gt;"","会计主管：","")</f>
        <v/>
      </c>
      <c r="D2669" s="78" t="str">
        <f aca="false">IF(助手收入!$R$179&lt;&gt;"","会计：","")</f>
        <v/>
      </c>
      <c r="E2669" s="78" t="str">
        <f aca="false">IF(助手收入!$R$179&lt;&gt;"","出纳：","")</f>
        <v/>
      </c>
      <c r="F2669" s="78" t="str">
        <f aca="false">IF(助手收入!$R$179&lt;&gt;"","复核：","")</f>
        <v/>
      </c>
      <c r="G2669" s="78" t="str">
        <f aca="false">IF(助手收入!$R$179&lt;&gt;"","制单：","")</f>
        <v/>
      </c>
    </row>
    <row r="2670" customFormat="false" ht="3" hidden="false" customHeight="true" outlineLevel="0" collapsed="false"/>
    <row r="2671" customFormat="false" ht="19.5" hidden="false" customHeight="true" outlineLevel="0" collapsed="false">
      <c r="B2671" s="53" t="str">
        <f aca="false">IF(助手收入!$R$180&lt;&gt;"","记  账  凭  证","")</f>
        <v/>
      </c>
      <c r="C2671" s="53"/>
      <c r="D2671" s="53"/>
      <c r="E2671" s="53"/>
      <c r="F2671" s="53"/>
      <c r="G2671" s="53"/>
      <c r="H2671" s="53"/>
      <c r="I2671" s="53"/>
    </row>
    <row r="2672" customFormat="false" ht="3" hidden="false" customHeight="true" outlineLevel="0" collapsed="false"/>
    <row r="2673" customFormat="false" ht="15" hidden="false" customHeight="true" outlineLevel="0" collapsed="false">
      <c r="C2673" s="56" t="str">
        <f aca="false">IF(助手收入!$R$180&lt;&gt;"",INDEX(助手收入!$B$2:$B$66,助手收入!$R$180),"")</f>
        <v/>
      </c>
      <c r="D2673" s="57" t="str">
        <f aca="false">IF(助手收入!$R$180&lt;&gt;"",参数!$B$2,"")</f>
        <v/>
      </c>
      <c r="E2673" s="57"/>
      <c r="F2673" s="58" t="str">
        <f aca="false">IF(助手收入!$R$180&lt;&gt;"",INDEX(助手收入!$C$2:$C$66,助手收入!$R$180)&amp;"  字第 "&amp;IF(参数!$B$9="是",INDEX(助手收入!$P$2:$P$66,助手收入!$R$180),"　　　　")&amp;" 号"&amp;IF(INDEX(助手收入!$L$2:$L$66,助手收入!$R$180)&gt;1,"  (共"&amp;INDEX(助手收入!$L$2:$L$66,助手收入!$R$180)&amp;"页 第"&amp;助手收入!$S$180&amp;"页)",""),"")</f>
        <v/>
      </c>
      <c r="G2673" s="58"/>
      <c r="H2673" s="58"/>
      <c r="I2673" s="58"/>
      <c r="M2673" s="79" t="str">
        <f aca="false">IF(助手收入!$R$180="","",助手收入!$Q$180)</f>
        <v/>
      </c>
      <c r="N2673" s="80" t="str">
        <f aca="false">IF(助手收入!$R$180="","",INDEX(助手收入!$P$2:$P$66,助手收入!$R$180))</f>
        <v/>
      </c>
      <c r="O2673" s="55" t="str">
        <f aca="false">IF(助手收入!$R$180="","",INDEX(助手收入!$C$2:$C$66,助手收入!$R$180)&amp;"  字第 "&amp;INDEX(助手收入!$P$2:$P$66,助手收入!$R$180)&amp;" 号"&amp;IF(INDEX(助手收入!$L$2:$L$66,助手收入!$R$180)&gt;1,"  (共"&amp;INDEX(助手收入!$L$2:$L$66,助手收入!$R$180)&amp;"页 第"&amp;助手收入!$S$180&amp;"页)",""))</f>
        <v/>
      </c>
    </row>
    <row r="2674" customFormat="false" ht="12.75" hidden="false" customHeight="true" outlineLevel="0" collapsed="false">
      <c r="B2674" s="61" t="str">
        <f aca="false">IF(助手收入!$R$180&lt;&gt;"","摘　　要","")</f>
        <v/>
      </c>
      <c r="C2674" s="61"/>
      <c r="D2674" s="62" t="str">
        <f aca="false">IF(助手收入!$R$180&lt;&gt;"","科　　　　目","")</f>
        <v/>
      </c>
      <c r="E2674" s="62"/>
      <c r="F2674" s="61" t="str">
        <f aca="false">IF(助手收入!$R$180&lt;&gt;"","借 方 金 额","")</f>
        <v/>
      </c>
      <c r="G2674" s="62" t="str">
        <f aca="false">IF(助手收入!$R$180&lt;&gt;"","贷 方 金 额","")</f>
        <v/>
      </c>
      <c r="H2674" s="63" t="str">
        <f aca="false">IF(助手收入!$R$180&lt;&gt;"","√","")</f>
        <v/>
      </c>
      <c r="I2674" s="64" t="str">
        <f aca="false">IF(助手收入!$R$180&lt;&gt;"","附单据  张","")</f>
        <v/>
      </c>
    </row>
    <row r="2675" customFormat="false" ht="12.75" hidden="false" customHeight="true" outlineLevel="0" collapsed="false">
      <c r="B2675" s="61"/>
      <c r="C2675" s="61"/>
      <c r="D2675" s="23" t="str">
        <f aca="false">IF(助手收入!$R$180&lt;&gt;"","总 账 科 目","")</f>
        <v/>
      </c>
      <c r="E2675" s="23" t="str">
        <f aca="false">IF(助手收入!$R$180&lt;&gt;"","明 细 科 目","")</f>
        <v/>
      </c>
      <c r="F2675" s="65"/>
      <c r="G2675" s="66"/>
      <c r="H2675" s="63"/>
      <c r="I2675" s="64"/>
    </row>
    <row r="2676" customFormat="false" ht="23.25" hidden="false" customHeight="true" outlineLevel="0" collapsed="false">
      <c r="B2676" s="67" t="str">
        <f aca="false">IFERROR(INDEX(分录收入!$M:$M,MATCH($L2676,分录收入!$L:$L,0)),"")</f>
        <v/>
      </c>
      <c r="C2676" s="67"/>
      <c r="D2676" s="23" t="str">
        <f aca="false">IFERROR(INDEX(分录收入!$E:$E,MATCH($L2676,分录收入!$L:$L,0)),"")</f>
        <v/>
      </c>
      <c r="E2676" s="23" t="str">
        <f aca="false">IFERROR(INDEX(分录收入!$F:$F,MATCH($L2676,分录收入!$L:$L,0)),"")</f>
        <v/>
      </c>
      <c r="F2676" s="68" t="str">
        <f aca="false">IFERROR(INDEX(分录收入!$H:$H,MATCH($L2676,分录收入!$L:$L,0)),"")</f>
        <v/>
      </c>
      <c r="G2676" s="69" t="str">
        <f aca="false">IFERROR(INDEX(分录收入!$I:$I,MATCH($L2676,分录收入!$L:$L,0)),"")</f>
        <v/>
      </c>
      <c r="H2676" s="23"/>
      <c r="I2676" s="70"/>
      <c r="L2676" s="71" t="n">
        <f aca="false">IF(助手收入!$R$180="",-1,助手收入!$R$180*100+(助手收入!$S$180-1)*6+1)</f>
        <v>-1</v>
      </c>
    </row>
    <row r="2677" customFormat="false" ht="23.25" hidden="false" customHeight="true" outlineLevel="0" collapsed="false">
      <c r="B2677" s="67" t="str">
        <f aca="false">""</f>
        <v/>
      </c>
      <c r="C2677" s="67"/>
      <c r="D2677" s="23" t="str">
        <f aca="false">IFERROR(INDEX(分录收入!$E:$E,MATCH($L2677,分录收入!$L:$L,0)),"")</f>
        <v/>
      </c>
      <c r="E2677" s="23" t="str">
        <f aca="false">IFERROR(INDEX(分录收入!$F:$F,MATCH($L2677,分录收入!$L:$L,0)),"")</f>
        <v/>
      </c>
      <c r="F2677" s="68" t="str">
        <f aca="false">IFERROR(INDEX(分录收入!$H:$H,MATCH($L2677,分录收入!$L:$L,0)),"")</f>
        <v/>
      </c>
      <c r="G2677" s="69" t="str">
        <f aca="false">IFERROR(INDEX(分录收入!$I:$I,MATCH($L2677,分录收入!$L:$L,0)),"")</f>
        <v/>
      </c>
      <c r="H2677" s="23"/>
      <c r="I2677" s="70"/>
      <c r="L2677" s="71" t="n">
        <f aca="false">IF(助手收入!$R$180="",-1,助手收入!$R$180*100+(助手收入!$S$180-1)*6+2)</f>
        <v>-1</v>
      </c>
    </row>
    <row r="2678" customFormat="false" ht="23.25" hidden="false" customHeight="true" outlineLevel="0" collapsed="false">
      <c r="B2678" s="67" t="str">
        <f aca="false">""</f>
        <v/>
      </c>
      <c r="C2678" s="67"/>
      <c r="D2678" s="23" t="str">
        <f aca="false">IFERROR(INDEX(分录收入!$E:$E,MATCH($L2678,分录收入!$L:$L,0)),"")</f>
        <v/>
      </c>
      <c r="E2678" s="23" t="str">
        <f aca="false">IFERROR(INDEX(分录收入!$F:$F,MATCH($L2678,分录收入!$L:$L,0)),"")</f>
        <v/>
      </c>
      <c r="F2678" s="68" t="str">
        <f aca="false">IFERROR(INDEX(分录收入!$H:$H,MATCH($L2678,分录收入!$L:$L,0)),"")</f>
        <v/>
      </c>
      <c r="G2678" s="69" t="str">
        <f aca="false">IFERROR(INDEX(分录收入!$I:$I,MATCH($L2678,分录收入!$L:$L,0)),"")</f>
        <v/>
      </c>
      <c r="H2678" s="23"/>
      <c r="I2678" s="70"/>
      <c r="L2678" s="71" t="n">
        <f aca="false">IF(助手收入!$R$180="",-1,助手收入!$R$180*100+(助手收入!$S$180-1)*6+3)</f>
        <v>-1</v>
      </c>
    </row>
    <row r="2679" customFormat="false" ht="23.25" hidden="false" customHeight="true" outlineLevel="0" collapsed="false">
      <c r="B2679" s="67" t="str">
        <f aca="false">""</f>
        <v/>
      </c>
      <c r="C2679" s="67"/>
      <c r="D2679" s="23" t="str">
        <f aca="false">IFERROR(INDEX(分录收入!$E:$E,MATCH($L2679,分录收入!$L:$L,0)),"")</f>
        <v/>
      </c>
      <c r="E2679" s="23" t="str">
        <f aca="false">IFERROR(INDEX(分录收入!$F:$F,MATCH($L2679,分录收入!$L:$L,0)),"")</f>
        <v/>
      </c>
      <c r="F2679" s="68" t="str">
        <f aca="false">IFERROR(INDEX(分录收入!$H:$H,MATCH($L2679,分录收入!$L:$L,0)),"")</f>
        <v/>
      </c>
      <c r="G2679" s="69" t="str">
        <f aca="false">IFERROR(INDEX(分录收入!$I:$I,MATCH($L2679,分录收入!$L:$L,0)),"")</f>
        <v/>
      </c>
      <c r="H2679" s="23"/>
      <c r="I2679" s="70"/>
      <c r="L2679" s="71" t="n">
        <f aca="false">IF(助手收入!$R$180="",-1,助手收入!$R$180*100+(助手收入!$S$180-1)*6+4)</f>
        <v>-1</v>
      </c>
    </row>
    <row r="2680" customFormat="false" ht="23.25" hidden="false" customHeight="true" outlineLevel="0" collapsed="false">
      <c r="B2680" s="67" t="str">
        <f aca="false">""</f>
        <v/>
      </c>
      <c r="C2680" s="67"/>
      <c r="D2680" s="23" t="str">
        <f aca="false">IFERROR(INDEX(分录收入!$E:$E,MATCH($L2680,分录收入!$L:$L,0)),"")</f>
        <v/>
      </c>
      <c r="E2680" s="23" t="str">
        <f aca="false">IFERROR(INDEX(分录收入!$F:$F,MATCH($L2680,分录收入!$L:$L,0)),"")</f>
        <v/>
      </c>
      <c r="F2680" s="68" t="str">
        <f aca="false">IFERROR(INDEX(分录收入!$H:$H,MATCH($L2680,分录收入!$L:$L,0)),"")</f>
        <v/>
      </c>
      <c r="G2680" s="69" t="str">
        <f aca="false">IFERROR(INDEX(分录收入!$I:$I,MATCH($L2680,分录收入!$L:$L,0)),"")</f>
        <v/>
      </c>
      <c r="H2680" s="23"/>
      <c r="I2680" s="70"/>
      <c r="L2680" s="71" t="n">
        <f aca="false">IF(助手收入!$R$180="",-1,助手收入!$R$180*100+(助手收入!$S$180-1)*6+5)</f>
        <v>-1</v>
      </c>
    </row>
    <row r="2681" customFormat="false" ht="23.25" hidden="false" customHeight="true" outlineLevel="0" collapsed="false">
      <c r="B2681" s="67" t="str">
        <f aca="false">""</f>
        <v/>
      </c>
      <c r="C2681" s="67"/>
      <c r="D2681" s="23" t="str">
        <f aca="false">IFERROR(INDEX(分录收入!$E:$E,MATCH($L2681,分录收入!$L:$L,0)),"")</f>
        <v/>
      </c>
      <c r="E2681" s="23" t="str">
        <f aca="false">IFERROR(INDEX(分录收入!$F:$F,MATCH($L2681,分录收入!$L:$L,0)),"")</f>
        <v/>
      </c>
      <c r="F2681" s="68" t="str">
        <f aca="false">IFERROR(INDEX(分录收入!$H:$H,MATCH($L2681,分录收入!$L:$L,0)),"")</f>
        <v/>
      </c>
      <c r="G2681" s="69" t="str">
        <f aca="false">IFERROR(INDEX(分录收入!$I:$I,MATCH($L2681,分录收入!$L:$L,0)),"")</f>
        <v/>
      </c>
      <c r="H2681" s="23"/>
      <c r="I2681" s="70"/>
      <c r="L2681" s="71" t="n">
        <f aca="false">IF(助手收入!$R$180="",-1,助手收入!$R$180*100+(助手收入!$S$180-1)*6+6)</f>
        <v>-1</v>
      </c>
    </row>
    <row r="2682" customFormat="false" ht="23.25" hidden="false" customHeight="true" outlineLevel="0" collapsed="false">
      <c r="B2682" s="72" t="str">
        <f aca="false">IF(助手收入!$T$180=1,"合计：","")</f>
        <v/>
      </c>
      <c r="C2682" s="73" t="str">
        <f aca="false">IF(助手收入!$T$180=1,$F2682,"")</f>
        <v/>
      </c>
      <c r="D2682" s="74"/>
      <c r="E2682" s="74"/>
      <c r="F2682" s="75" t="str">
        <f aca="false">IF(助手收入!$T$180=1,INDEX(助手收入!$N$2:$N$66,助手收入!$R$180),"")</f>
        <v/>
      </c>
      <c r="G2682" s="76" t="str">
        <f aca="false">IF(助手收入!$T$180=1,INDEX(助手收入!$O$2:$O$66,助手收入!$R$180),"")</f>
        <v/>
      </c>
      <c r="H2682" s="74"/>
      <c r="I2682" s="77"/>
    </row>
    <row r="2683" customFormat="false" ht="6" hidden="false" customHeight="true" outlineLevel="0" collapsed="false"/>
    <row r="2684" customFormat="false" ht="13.5" hidden="false" customHeight="false" outlineLevel="0" collapsed="false">
      <c r="B2684" s="78" t="str">
        <f aca="false">IF(助手收入!$R$180&lt;&gt;"","会计主管：","")</f>
        <v/>
      </c>
      <c r="D2684" s="78" t="str">
        <f aca="false">IF(助手收入!$R$180&lt;&gt;"","会计：","")</f>
        <v/>
      </c>
      <c r="E2684" s="78" t="str">
        <f aca="false">IF(助手收入!$R$180&lt;&gt;"","出纳：","")</f>
        <v/>
      </c>
      <c r="F2684" s="78" t="str">
        <f aca="false">IF(助手收入!$R$180&lt;&gt;"","复核：","")</f>
        <v/>
      </c>
      <c r="G2684" s="78" t="str">
        <f aca="false">IF(助手收入!$R$180&lt;&gt;"","制单：","")</f>
        <v/>
      </c>
    </row>
    <row r="2685" customFormat="false" ht="3" hidden="false" customHeight="true" outlineLevel="0" collapsed="false"/>
    <row r="2686" customFormat="false" ht="19.5" hidden="false" customHeight="true" outlineLevel="0" collapsed="false">
      <c r="B2686" s="53" t="str">
        <f aca="false">IF(助手收入!$R$181&lt;&gt;"","记  账  凭  证","")</f>
        <v/>
      </c>
      <c r="C2686" s="53"/>
      <c r="D2686" s="53"/>
      <c r="E2686" s="53"/>
      <c r="F2686" s="53"/>
      <c r="G2686" s="53"/>
      <c r="H2686" s="53"/>
      <c r="I2686" s="53"/>
    </row>
    <row r="2687" customFormat="false" ht="3" hidden="false" customHeight="true" outlineLevel="0" collapsed="false"/>
    <row r="2688" customFormat="false" ht="15" hidden="false" customHeight="true" outlineLevel="0" collapsed="false">
      <c r="C2688" s="56" t="str">
        <f aca="false">IF(助手收入!$R$181&lt;&gt;"",INDEX(助手收入!$B$2:$B$66,助手收入!$R$181),"")</f>
        <v/>
      </c>
      <c r="D2688" s="57" t="str">
        <f aca="false">IF(助手收入!$R$181&lt;&gt;"",参数!$B$2,"")</f>
        <v/>
      </c>
      <c r="E2688" s="57"/>
      <c r="F2688" s="58" t="str">
        <f aca="false">IF(助手收入!$R$181&lt;&gt;"",INDEX(助手收入!$C$2:$C$66,助手收入!$R$181)&amp;"  字第 "&amp;IF(参数!$B$9="是",INDEX(助手收入!$P$2:$P$66,助手收入!$R$181),"　　　　")&amp;" 号"&amp;IF(INDEX(助手收入!$L$2:$L$66,助手收入!$R$181)&gt;1,"  (共"&amp;INDEX(助手收入!$L$2:$L$66,助手收入!$R$181)&amp;"页 第"&amp;助手收入!$S$181&amp;"页)",""),"")</f>
        <v/>
      </c>
      <c r="G2688" s="58"/>
      <c r="H2688" s="58"/>
      <c r="I2688" s="58"/>
      <c r="M2688" s="79" t="str">
        <f aca="false">IF(助手收入!$R$181="","",助手收入!$Q$181)</f>
        <v/>
      </c>
      <c r="N2688" s="80" t="str">
        <f aca="false">IF(助手收入!$R$181="","",INDEX(助手收入!$P$2:$P$66,助手收入!$R$181))</f>
        <v/>
      </c>
      <c r="O2688" s="55" t="str">
        <f aca="false">IF(助手收入!$R$181="","",INDEX(助手收入!$C$2:$C$66,助手收入!$R$181)&amp;"  字第 "&amp;INDEX(助手收入!$P$2:$P$66,助手收入!$R$181)&amp;" 号"&amp;IF(INDEX(助手收入!$L$2:$L$66,助手收入!$R$181)&gt;1,"  (共"&amp;INDEX(助手收入!$L$2:$L$66,助手收入!$R$181)&amp;"页 第"&amp;助手收入!$S$181&amp;"页)",""))</f>
        <v/>
      </c>
    </row>
    <row r="2689" customFormat="false" ht="12.75" hidden="false" customHeight="true" outlineLevel="0" collapsed="false">
      <c r="B2689" s="61" t="str">
        <f aca="false">IF(助手收入!$R$181&lt;&gt;"","摘　　要","")</f>
        <v/>
      </c>
      <c r="C2689" s="61"/>
      <c r="D2689" s="62" t="str">
        <f aca="false">IF(助手收入!$R$181&lt;&gt;"","科　　　　目","")</f>
        <v/>
      </c>
      <c r="E2689" s="62"/>
      <c r="F2689" s="61" t="str">
        <f aca="false">IF(助手收入!$R$181&lt;&gt;"","借 方 金 额","")</f>
        <v/>
      </c>
      <c r="G2689" s="62" t="str">
        <f aca="false">IF(助手收入!$R$181&lt;&gt;"","贷 方 金 额","")</f>
        <v/>
      </c>
      <c r="H2689" s="63" t="str">
        <f aca="false">IF(助手收入!$R$181&lt;&gt;"","√","")</f>
        <v/>
      </c>
      <c r="I2689" s="64" t="str">
        <f aca="false">IF(助手收入!$R$181&lt;&gt;"","附单据  张","")</f>
        <v/>
      </c>
    </row>
    <row r="2690" customFormat="false" ht="12.75" hidden="false" customHeight="true" outlineLevel="0" collapsed="false">
      <c r="B2690" s="61"/>
      <c r="C2690" s="61"/>
      <c r="D2690" s="23" t="str">
        <f aca="false">IF(助手收入!$R$181&lt;&gt;"","总 账 科 目","")</f>
        <v/>
      </c>
      <c r="E2690" s="23" t="str">
        <f aca="false">IF(助手收入!$R$181&lt;&gt;"","明 细 科 目","")</f>
        <v/>
      </c>
      <c r="F2690" s="65"/>
      <c r="G2690" s="66"/>
      <c r="H2690" s="63"/>
      <c r="I2690" s="64"/>
    </row>
    <row r="2691" customFormat="false" ht="23.25" hidden="false" customHeight="true" outlineLevel="0" collapsed="false">
      <c r="B2691" s="67" t="str">
        <f aca="false">IFERROR(INDEX(分录收入!$M:$M,MATCH($L2691,分录收入!$L:$L,0)),"")</f>
        <v/>
      </c>
      <c r="C2691" s="67"/>
      <c r="D2691" s="23" t="str">
        <f aca="false">IFERROR(INDEX(分录收入!$E:$E,MATCH($L2691,分录收入!$L:$L,0)),"")</f>
        <v/>
      </c>
      <c r="E2691" s="23" t="str">
        <f aca="false">IFERROR(INDEX(分录收入!$F:$F,MATCH($L2691,分录收入!$L:$L,0)),"")</f>
        <v/>
      </c>
      <c r="F2691" s="68" t="str">
        <f aca="false">IFERROR(INDEX(分录收入!$H:$H,MATCH($L2691,分录收入!$L:$L,0)),"")</f>
        <v/>
      </c>
      <c r="G2691" s="69" t="str">
        <f aca="false">IFERROR(INDEX(分录收入!$I:$I,MATCH($L2691,分录收入!$L:$L,0)),"")</f>
        <v/>
      </c>
      <c r="H2691" s="23"/>
      <c r="I2691" s="70"/>
      <c r="L2691" s="71" t="n">
        <f aca="false">IF(助手收入!$R$181="",-1,助手收入!$R$181*100+(助手收入!$S$181-1)*6+1)</f>
        <v>-1</v>
      </c>
    </row>
    <row r="2692" customFormat="false" ht="23.25" hidden="false" customHeight="true" outlineLevel="0" collapsed="false">
      <c r="B2692" s="67" t="str">
        <f aca="false">""</f>
        <v/>
      </c>
      <c r="C2692" s="67"/>
      <c r="D2692" s="23" t="str">
        <f aca="false">IFERROR(INDEX(分录收入!$E:$E,MATCH($L2692,分录收入!$L:$L,0)),"")</f>
        <v/>
      </c>
      <c r="E2692" s="23" t="str">
        <f aca="false">IFERROR(INDEX(分录收入!$F:$F,MATCH($L2692,分录收入!$L:$L,0)),"")</f>
        <v/>
      </c>
      <c r="F2692" s="68" t="str">
        <f aca="false">IFERROR(INDEX(分录收入!$H:$H,MATCH($L2692,分录收入!$L:$L,0)),"")</f>
        <v/>
      </c>
      <c r="G2692" s="69" t="str">
        <f aca="false">IFERROR(INDEX(分录收入!$I:$I,MATCH($L2692,分录收入!$L:$L,0)),"")</f>
        <v/>
      </c>
      <c r="H2692" s="23"/>
      <c r="I2692" s="70"/>
      <c r="L2692" s="71" t="n">
        <f aca="false">IF(助手收入!$R$181="",-1,助手收入!$R$181*100+(助手收入!$S$181-1)*6+2)</f>
        <v>-1</v>
      </c>
    </row>
    <row r="2693" customFormat="false" ht="23.25" hidden="false" customHeight="true" outlineLevel="0" collapsed="false">
      <c r="B2693" s="67" t="str">
        <f aca="false">""</f>
        <v/>
      </c>
      <c r="C2693" s="67"/>
      <c r="D2693" s="23" t="str">
        <f aca="false">IFERROR(INDEX(分录收入!$E:$E,MATCH($L2693,分录收入!$L:$L,0)),"")</f>
        <v/>
      </c>
      <c r="E2693" s="23" t="str">
        <f aca="false">IFERROR(INDEX(分录收入!$F:$F,MATCH($L2693,分录收入!$L:$L,0)),"")</f>
        <v/>
      </c>
      <c r="F2693" s="68" t="str">
        <f aca="false">IFERROR(INDEX(分录收入!$H:$H,MATCH($L2693,分录收入!$L:$L,0)),"")</f>
        <v/>
      </c>
      <c r="G2693" s="69" t="str">
        <f aca="false">IFERROR(INDEX(分录收入!$I:$I,MATCH($L2693,分录收入!$L:$L,0)),"")</f>
        <v/>
      </c>
      <c r="H2693" s="23"/>
      <c r="I2693" s="70"/>
      <c r="L2693" s="71" t="n">
        <f aca="false">IF(助手收入!$R$181="",-1,助手收入!$R$181*100+(助手收入!$S$181-1)*6+3)</f>
        <v>-1</v>
      </c>
    </row>
    <row r="2694" customFormat="false" ht="23.25" hidden="false" customHeight="true" outlineLevel="0" collapsed="false">
      <c r="B2694" s="67" t="str">
        <f aca="false">""</f>
        <v/>
      </c>
      <c r="C2694" s="67"/>
      <c r="D2694" s="23" t="str">
        <f aca="false">IFERROR(INDEX(分录收入!$E:$E,MATCH($L2694,分录收入!$L:$L,0)),"")</f>
        <v/>
      </c>
      <c r="E2694" s="23" t="str">
        <f aca="false">IFERROR(INDEX(分录收入!$F:$F,MATCH($L2694,分录收入!$L:$L,0)),"")</f>
        <v/>
      </c>
      <c r="F2694" s="68" t="str">
        <f aca="false">IFERROR(INDEX(分录收入!$H:$H,MATCH($L2694,分录收入!$L:$L,0)),"")</f>
        <v/>
      </c>
      <c r="G2694" s="69" t="str">
        <f aca="false">IFERROR(INDEX(分录收入!$I:$I,MATCH($L2694,分录收入!$L:$L,0)),"")</f>
        <v/>
      </c>
      <c r="H2694" s="23"/>
      <c r="I2694" s="70"/>
      <c r="L2694" s="71" t="n">
        <f aca="false">IF(助手收入!$R$181="",-1,助手收入!$R$181*100+(助手收入!$S$181-1)*6+4)</f>
        <v>-1</v>
      </c>
    </row>
    <row r="2695" customFormat="false" ht="23.25" hidden="false" customHeight="true" outlineLevel="0" collapsed="false">
      <c r="B2695" s="67" t="str">
        <f aca="false">""</f>
        <v/>
      </c>
      <c r="C2695" s="67"/>
      <c r="D2695" s="23" t="str">
        <f aca="false">IFERROR(INDEX(分录收入!$E:$E,MATCH($L2695,分录收入!$L:$L,0)),"")</f>
        <v/>
      </c>
      <c r="E2695" s="23" t="str">
        <f aca="false">IFERROR(INDEX(分录收入!$F:$F,MATCH($L2695,分录收入!$L:$L,0)),"")</f>
        <v/>
      </c>
      <c r="F2695" s="68" t="str">
        <f aca="false">IFERROR(INDEX(分录收入!$H:$H,MATCH($L2695,分录收入!$L:$L,0)),"")</f>
        <v/>
      </c>
      <c r="G2695" s="69" t="str">
        <f aca="false">IFERROR(INDEX(分录收入!$I:$I,MATCH($L2695,分录收入!$L:$L,0)),"")</f>
        <v/>
      </c>
      <c r="H2695" s="23"/>
      <c r="I2695" s="70"/>
      <c r="L2695" s="71" t="n">
        <f aca="false">IF(助手收入!$R$181="",-1,助手收入!$R$181*100+(助手收入!$S$181-1)*6+5)</f>
        <v>-1</v>
      </c>
    </row>
    <row r="2696" customFormat="false" ht="23.25" hidden="false" customHeight="true" outlineLevel="0" collapsed="false">
      <c r="B2696" s="67" t="str">
        <f aca="false">""</f>
        <v/>
      </c>
      <c r="C2696" s="67"/>
      <c r="D2696" s="23" t="str">
        <f aca="false">IFERROR(INDEX(分录收入!$E:$E,MATCH($L2696,分录收入!$L:$L,0)),"")</f>
        <v/>
      </c>
      <c r="E2696" s="23" t="str">
        <f aca="false">IFERROR(INDEX(分录收入!$F:$F,MATCH($L2696,分录收入!$L:$L,0)),"")</f>
        <v/>
      </c>
      <c r="F2696" s="68" t="str">
        <f aca="false">IFERROR(INDEX(分录收入!$H:$H,MATCH($L2696,分录收入!$L:$L,0)),"")</f>
        <v/>
      </c>
      <c r="G2696" s="69" t="str">
        <f aca="false">IFERROR(INDEX(分录收入!$I:$I,MATCH($L2696,分录收入!$L:$L,0)),"")</f>
        <v/>
      </c>
      <c r="H2696" s="23"/>
      <c r="I2696" s="70"/>
      <c r="L2696" s="71" t="n">
        <f aca="false">IF(助手收入!$R$181="",-1,助手收入!$R$181*100+(助手收入!$S$181-1)*6+6)</f>
        <v>-1</v>
      </c>
    </row>
    <row r="2697" customFormat="false" ht="23.25" hidden="false" customHeight="true" outlineLevel="0" collapsed="false">
      <c r="B2697" s="72" t="str">
        <f aca="false">IF(助手收入!$T$181=1,"合计：","")</f>
        <v/>
      </c>
      <c r="C2697" s="73" t="str">
        <f aca="false">IF(助手收入!$T$181=1,$F2697,"")</f>
        <v/>
      </c>
      <c r="D2697" s="74"/>
      <c r="E2697" s="74"/>
      <c r="F2697" s="75" t="str">
        <f aca="false">IF(助手收入!$T$181=1,INDEX(助手收入!$N$2:$N$66,助手收入!$R$181),"")</f>
        <v/>
      </c>
      <c r="G2697" s="76" t="str">
        <f aca="false">IF(助手收入!$T$181=1,INDEX(助手收入!$O$2:$O$66,助手收入!$R$181),"")</f>
        <v/>
      </c>
      <c r="H2697" s="74"/>
      <c r="I2697" s="77"/>
    </row>
    <row r="2698" customFormat="false" ht="6" hidden="false" customHeight="true" outlineLevel="0" collapsed="false"/>
    <row r="2699" customFormat="false" ht="13.5" hidden="false" customHeight="false" outlineLevel="0" collapsed="false">
      <c r="B2699" s="78" t="str">
        <f aca="false">IF(助手收入!$R$181&lt;&gt;"","会计主管：","")</f>
        <v/>
      </c>
      <c r="D2699" s="78" t="str">
        <f aca="false">IF(助手收入!$R$181&lt;&gt;"","会计：","")</f>
        <v/>
      </c>
      <c r="E2699" s="78" t="str">
        <f aca="false">IF(助手收入!$R$181&lt;&gt;"","出纳：","")</f>
        <v/>
      </c>
      <c r="F2699" s="78" t="str">
        <f aca="false">IF(助手收入!$R$181&lt;&gt;"","复核：","")</f>
        <v/>
      </c>
      <c r="G2699" s="78" t="str">
        <f aca="false">IF(助手收入!$R$181&lt;&gt;"","制单：","")</f>
        <v/>
      </c>
    </row>
    <row r="2700" customFormat="false" ht="3" hidden="false" customHeight="true" outlineLevel="0" collapsed="false"/>
    <row r="2701" customFormat="false" ht="19.5" hidden="false" customHeight="true" outlineLevel="0" collapsed="false">
      <c r="B2701" s="53" t="str">
        <f aca="false">IF(助手收入!$R$182&lt;&gt;"","记  账  凭  证","")</f>
        <v/>
      </c>
      <c r="C2701" s="53"/>
      <c r="D2701" s="53"/>
      <c r="E2701" s="53"/>
      <c r="F2701" s="53"/>
      <c r="G2701" s="53"/>
      <c r="H2701" s="53"/>
      <c r="I2701" s="53"/>
    </row>
    <row r="2702" customFormat="false" ht="3" hidden="false" customHeight="true" outlineLevel="0" collapsed="false"/>
    <row r="2703" customFormat="false" ht="15" hidden="false" customHeight="true" outlineLevel="0" collapsed="false">
      <c r="C2703" s="56" t="str">
        <f aca="false">IF(助手收入!$R$182&lt;&gt;"",INDEX(助手收入!$B$2:$B$66,助手收入!$R$182),"")</f>
        <v/>
      </c>
      <c r="D2703" s="57" t="str">
        <f aca="false">IF(助手收入!$R$182&lt;&gt;"",参数!$B$2,"")</f>
        <v/>
      </c>
      <c r="E2703" s="57"/>
      <c r="F2703" s="58" t="str">
        <f aca="false">IF(助手收入!$R$182&lt;&gt;"",INDEX(助手收入!$C$2:$C$66,助手收入!$R$182)&amp;"  字第 "&amp;IF(参数!$B$9="是",INDEX(助手收入!$P$2:$P$66,助手收入!$R$182),"　　　　")&amp;" 号"&amp;IF(INDEX(助手收入!$L$2:$L$66,助手收入!$R$182)&gt;1,"  (共"&amp;INDEX(助手收入!$L$2:$L$66,助手收入!$R$182)&amp;"页 第"&amp;助手收入!$S$182&amp;"页)",""),"")</f>
        <v/>
      </c>
      <c r="G2703" s="58"/>
      <c r="H2703" s="58"/>
      <c r="I2703" s="58"/>
      <c r="M2703" s="79" t="str">
        <f aca="false">IF(助手收入!$R$182="","",助手收入!$Q$182)</f>
        <v/>
      </c>
      <c r="N2703" s="80" t="str">
        <f aca="false">IF(助手收入!$R$182="","",INDEX(助手收入!$P$2:$P$66,助手收入!$R$182))</f>
        <v/>
      </c>
      <c r="O2703" s="55" t="str">
        <f aca="false">IF(助手收入!$R$182="","",INDEX(助手收入!$C$2:$C$66,助手收入!$R$182)&amp;"  字第 "&amp;INDEX(助手收入!$P$2:$P$66,助手收入!$R$182)&amp;" 号"&amp;IF(INDEX(助手收入!$L$2:$L$66,助手收入!$R$182)&gt;1,"  (共"&amp;INDEX(助手收入!$L$2:$L$66,助手收入!$R$182)&amp;"页 第"&amp;助手收入!$S$182&amp;"页)",""))</f>
        <v/>
      </c>
    </row>
    <row r="2704" customFormat="false" ht="12.75" hidden="false" customHeight="true" outlineLevel="0" collapsed="false">
      <c r="B2704" s="61" t="str">
        <f aca="false">IF(助手收入!$R$182&lt;&gt;"","摘　　要","")</f>
        <v/>
      </c>
      <c r="C2704" s="61"/>
      <c r="D2704" s="62" t="str">
        <f aca="false">IF(助手收入!$R$182&lt;&gt;"","科　　　　目","")</f>
        <v/>
      </c>
      <c r="E2704" s="62"/>
      <c r="F2704" s="61" t="str">
        <f aca="false">IF(助手收入!$R$182&lt;&gt;"","借 方 金 额","")</f>
        <v/>
      </c>
      <c r="G2704" s="62" t="str">
        <f aca="false">IF(助手收入!$R$182&lt;&gt;"","贷 方 金 额","")</f>
        <v/>
      </c>
      <c r="H2704" s="63" t="str">
        <f aca="false">IF(助手收入!$R$182&lt;&gt;"","√","")</f>
        <v/>
      </c>
      <c r="I2704" s="64" t="str">
        <f aca="false">IF(助手收入!$R$182&lt;&gt;"","附单据  张","")</f>
        <v/>
      </c>
    </row>
    <row r="2705" customFormat="false" ht="12.75" hidden="false" customHeight="true" outlineLevel="0" collapsed="false">
      <c r="B2705" s="61"/>
      <c r="C2705" s="61"/>
      <c r="D2705" s="23" t="str">
        <f aca="false">IF(助手收入!$R$182&lt;&gt;"","总 账 科 目","")</f>
        <v/>
      </c>
      <c r="E2705" s="23" t="str">
        <f aca="false">IF(助手收入!$R$182&lt;&gt;"","明 细 科 目","")</f>
        <v/>
      </c>
      <c r="F2705" s="65"/>
      <c r="G2705" s="66"/>
      <c r="H2705" s="63"/>
      <c r="I2705" s="64"/>
    </row>
    <row r="2706" customFormat="false" ht="23.25" hidden="false" customHeight="true" outlineLevel="0" collapsed="false">
      <c r="B2706" s="67" t="str">
        <f aca="false">IFERROR(INDEX(分录收入!$M:$M,MATCH($L2706,分录收入!$L:$L,0)),"")</f>
        <v/>
      </c>
      <c r="C2706" s="67"/>
      <c r="D2706" s="23" t="str">
        <f aca="false">IFERROR(INDEX(分录收入!$E:$E,MATCH($L2706,分录收入!$L:$L,0)),"")</f>
        <v/>
      </c>
      <c r="E2706" s="23" t="str">
        <f aca="false">IFERROR(INDEX(分录收入!$F:$F,MATCH($L2706,分录收入!$L:$L,0)),"")</f>
        <v/>
      </c>
      <c r="F2706" s="68" t="str">
        <f aca="false">IFERROR(INDEX(分录收入!$H:$H,MATCH($L2706,分录收入!$L:$L,0)),"")</f>
        <v/>
      </c>
      <c r="G2706" s="69" t="str">
        <f aca="false">IFERROR(INDEX(分录收入!$I:$I,MATCH($L2706,分录收入!$L:$L,0)),"")</f>
        <v/>
      </c>
      <c r="H2706" s="23"/>
      <c r="I2706" s="70"/>
      <c r="L2706" s="71" t="n">
        <f aca="false">IF(助手收入!$R$182="",-1,助手收入!$R$182*100+(助手收入!$S$182-1)*6+1)</f>
        <v>-1</v>
      </c>
    </row>
    <row r="2707" customFormat="false" ht="23.25" hidden="false" customHeight="true" outlineLevel="0" collapsed="false">
      <c r="B2707" s="67" t="str">
        <f aca="false">""</f>
        <v/>
      </c>
      <c r="C2707" s="67"/>
      <c r="D2707" s="23" t="str">
        <f aca="false">IFERROR(INDEX(分录收入!$E:$E,MATCH($L2707,分录收入!$L:$L,0)),"")</f>
        <v/>
      </c>
      <c r="E2707" s="23" t="str">
        <f aca="false">IFERROR(INDEX(分录收入!$F:$F,MATCH($L2707,分录收入!$L:$L,0)),"")</f>
        <v/>
      </c>
      <c r="F2707" s="68" t="str">
        <f aca="false">IFERROR(INDEX(分录收入!$H:$H,MATCH($L2707,分录收入!$L:$L,0)),"")</f>
        <v/>
      </c>
      <c r="G2707" s="69" t="str">
        <f aca="false">IFERROR(INDEX(分录收入!$I:$I,MATCH($L2707,分录收入!$L:$L,0)),"")</f>
        <v/>
      </c>
      <c r="H2707" s="23"/>
      <c r="I2707" s="70"/>
      <c r="L2707" s="71" t="n">
        <f aca="false">IF(助手收入!$R$182="",-1,助手收入!$R$182*100+(助手收入!$S$182-1)*6+2)</f>
        <v>-1</v>
      </c>
    </row>
    <row r="2708" customFormat="false" ht="23.25" hidden="false" customHeight="true" outlineLevel="0" collapsed="false">
      <c r="B2708" s="67" t="str">
        <f aca="false">""</f>
        <v/>
      </c>
      <c r="C2708" s="67"/>
      <c r="D2708" s="23" t="str">
        <f aca="false">IFERROR(INDEX(分录收入!$E:$E,MATCH($L2708,分录收入!$L:$L,0)),"")</f>
        <v/>
      </c>
      <c r="E2708" s="23" t="str">
        <f aca="false">IFERROR(INDEX(分录收入!$F:$F,MATCH($L2708,分录收入!$L:$L,0)),"")</f>
        <v/>
      </c>
      <c r="F2708" s="68" t="str">
        <f aca="false">IFERROR(INDEX(分录收入!$H:$H,MATCH($L2708,分录收入!$L:$L,0)),"")</f>
        <v/>
      </c>
      <c r="G2708" s="69" t="str">
        <f aca="false">IFERROR(INDEX(分录收入!$I:$I,MATCH($L2708,分录收入!$L:$L,0)),"")</f>
        <v/>
      </c>
      <c r="H2708" s="23"/>
      <c r="I2708" s="70"/>
      <c r="L2708" s="71" t="n">
        <f aca="false">IF(助手收入!$R$182="",-1,助手收入!$R$182*100+(助手收入!$S$182-1)*6+3)</f>
        <v>-1</v>
      </c>
    </row>
    <row r="2709" customFormat="false" ht="23.25" hidden="false" customHeight="true" outlineLevel="0" collapsed="false">
      <c r="B2709" s="67" t="str">
        <f aca="false">""</f>
        <v/>
      </c>
      <c r="C2709" s="67"/>
      <c r="D2709" s="23" t="str">
        <f aca="false">IFERROR(INDEX(分录收入!$E:$E,MATCH($L2709,分录收入!$L:$L,0)),"")</f>
        <v/>
      </c>
      <c r="E2709" s="23" t="str">
        <f aca="false">IFERROR(INDEX(分录收入!$F:$F,MATCH($L2709,分录收入!$L:$L,0)),"")</f>
        <v/>
      </c>
      <c r="F2709" s="68" t="str">
        <f aca="false">IFERROR(INDEX(分录收入!$H:$H,MATCH($L2709,分录收入!$L:$L,0)),"")</f>
        <v/>
      </c>
      <c r="G2709" s="69" t="str">
        <f aca="false">IFERROR(INDEX(分录收入!$I:$I,MATCH($L2709,分录收入!$L:$L,0)),"")</f>
        <v/>
      </c>
      <c r="H2709" s="23"/>
      <c r="I2709" s="70"/>
      <c r="L2709" s="71" t="n">
        <f aca="false">IF(助手收入!$R$182="",-1,助手收入!$R$182*100+(助手收入!$S$182-1)*6+4)</f>
        <v>-1</v>
      </c>
    </row>
    <row r="2710" customFormat="false" ht="23.25" hidden="false" customHeight="true" outlineLevel="0" collapsed="false">
      <c r="B2710" s="67" t="str">
        <f aca="false">""</f>
        <v/>
      </c>
      <c r="C2710" s="67"/>
      <c r="D2710" s="23" t="str">
        <f aca="false">IFERROR(INDEX(分录收入!$E:$E,MATCH($L2710,分录收入!$L:$L,0)),"")</f>
        <v/>
      </c>
      <c r="E2710" s="23" t="str">
        <f aca="false">IFERROR(INDEX(分录收入!$F:$F,MATCH($L2710,分录收入!$L:$L,0)),"")</f>
        <v/>
      </c>
      <c r="F2710" s="68" t="str">
        <f aca="false">IFERROR(INDEX(分录收入!$H:$H,MATCH($L2710,分录收入!$L:$L,0)),"")</f>
        <v/>
      </c>
      <c r="G2710" s="69" t="str">
        <f aca="false">IFERROR(INDEX(分录收入!$I:$I,MATCH($L2710,分录收入!$L:$L,0)),"")</f>
        <v/>
      </c>
      <c r="H2710" s="23"/>
      <c r="I2710" s="70"/>
      <c r="L2710" s="71" t="n">
        <f aca="false">IF(助手收入!$R$182="",-1,助手收入!$R$182*100+(助手收入!$S$182-1)*6+5)</f>
        <v>-1</v>
      </c>
    </row>
    <row r="2711" customFormat="false" ht="23.25" hidden="false" customHeight="true" outlineLevel="0" collapsed="false">
      <c r="B2711" s="67" t="str">
        <f aca="false">""</f>
        <v/>
      </c>
      <c r="C2711" s="67"/>
      <c r="D2711" s="23" t="str">
        <f aca="false">IFERROR(INDEX(分录收入!$E:$E,MATCH($L2711,分录收入!$L:$L,0)),"")</f>
        <v/>
      </c>
      <c r="E2711" s="23" t="str">
        <f aca="false">IFERROR(INDEX(分录收入!$F:$F,MATCH($L2711,分录收入!$L:$L,0)),"")</f>
        <v/>
      </c>
      <c r="F2711" s="68" t="str">
        <f aca="false">IFERROR(INDEX(分录收入!$H:$H,MATCH($L2711,分录收入!$L:$L,0)),"")</f>
        <v/>
      </c>
      <c r="G2711" s="69" t="str">
        <f aca="false">IFERROR(INDEX(分录收入!$I:$I,MATCH($L2711,分录收入!$L:$L,0)),"")</f>
        <v/>
      </c>
      <c r="H2711" s="23"/>
      <c r="I2711" s="70"/>
      <c r="L2711" s="71" t="n">
        <f aca="false">IF(助手收入!$R$182="",-1,助手收入!$R$182*100+(助手收入!$S$182-1)*6+6)</f>
        <v>-1</v>
      </c>
    </row>
    <row r="2712" customFormat="false" ht="23.25" hidden="false" customHeight="true" outlineLevel="0" collapsed="false">
      <c r="B2712" s="72" t="str">
        <f aca="false">IF(助手收入!$T$182=1,"合计：","")</f>
        <v/>
      </c>
      <c r="C2712" s="73" t="str">
        <f aca="false">IF(助手收入!$T$182=1,$F2712,"")</f>
        <v/>
      </c>
      <c r="D2712" s="74"/>
      <c r="E2712" s="74"/>
      <c r="F2712" s="75" t="str">
        <f aca="false">IF(助手收入!$T$182=1,INDEX(助手收入!$N$2:$N$66,助手收入!$R$182),"")</f>
        <v/>
      </c>
      <c r="G2712" s="76" t="str">
        <f aca="false">IF(助手收入!$T$182=1,INDEX(助手收入!$O$2:$O$66,助手收入!$R$182),"")</f>
        <v/>
      </c>
      <c r="H2712" s="74"/>
      <c r="I2712" s="77"/>
    </row>
    <row r="2713" customFormat="false" ht="6" hidden="false" customHeight="true" outlineLevel="0" collapsed="false"/>
    <row r="2714" customFormat="false" ht="13.5" hidden="false" customHeight="false" outlineLevel="0" collapsed="false">
      <c r="B2714" s="78" t="str">
        <f aca="false">IF(助手收入!$R$182&lt;&gt;"","会计主管：","")</f>
        <v/>
      </c>
      <c r="D2714" s="78" t="str">
        <f aca="false">IF(助手收入!$R$182&lt;&gt;"","会计：","")</f>
        <v/>
      </c>
      <c r="E2714" s="78" t="str">
        <f aca="false">IF(助手收入!$R$182&lt;&gt;"","出纳：","")</f>
        <v/>
      </c>
      <c r="F2714" s="78" t="str">
        <f aca="false">IF(助手收入!$R$182&lt;&gt;"","复核：","")</f>
        <v/>
      </c>
      <c r="G2714" s="78" t="str">
        <f aca="false">IF(助手收入!$R$182&lt;&gt;"","制单：","")</f>
        <v/>
      </c>
    </row>
    <row r="2715" customFormat="false" ht="3" hidden="false" customHeight="true" outlineLevel="0" collapsed="false"/>
    <row r="2716" customFormat="false" ht="19.5" hidden="false" customHeight="true" outlineLevel="0" collapsed="false">
      <c r="B2716" s="53" t="str">
        <f aca="false">IF(助手收入!$R$183&lt;&gt;"","记  账  凭  证","")</f>
        <v/>
      </c>
      <c r="C2716" s="53"/>
      <c r="D2716" s="53"/>
      <c r="E2716" s="53"/>
      <c r="F2716" s="53"/>
      <c r="G2716" s="53"/>
      <c r="H2716" s="53"/>
      <c r="I2716" s="53"/>
    </row>
    <row r="2717" customFormat="false" ht="3" hidden="false" customHeight="true" outlineLevel="0" collapsed="false"/>
    <row r="2718" customFormat="false" ht="15" hidden="false" customHeight="true" outlineLevel="0" collapsed="false">
      <c r="C2718" s="56" t="str">
        <f aca="false">IF(助手收入!$R$183&lt;&gt;"",INDEX(助手收入!$B$2:$B$66,助手收入!$R$183),"")</f>
        <v/>
      </c>
      <c r="D2718" s="57" t="str">
        <f aca="false">IF(助手收入!$R$183&lt;&gt;"",参数!$B$2,"")</f>
        <v/>
      </c>
      <c r="E2718" s="57"/>
      <c r="F2718" s="58" t="str">
        <f aca="false">IF(助手收入!$R$183&lt;&gt;"",INDEX(助手收入!$C$2:$C$66,助手收入!$R$183)&amp;"  字第 "&amp;IF(参数!$B$9="是",INDEX(助手收入!$P$2:$P$66,助手收入!$R$183),"　　　　")&amp;" 号"&amp;IF(INDEX(助手收入!$L$2:$L$66,助手收入!$R$183)&gt;1,"  (共"&amp;INDEX(助手收入!$L$2:$L$66,助手收入!$R$183)&amp;"页 第"&amp;助手收入!$S$183&amp;"页)",""),"")</f>
        <v/>
      </c>
      <c r="G2718" s="58"/>
      <c r="H2718" s="58"/>
      <c r="I2718" s="58"/>
      <c r="M2718" s="79" t="str">
        <f aca="false">IF(助手收入!$R$183="","",助手收入!$Q$183)</f>
        <v/>
      </c>
      <c r="N2718" s="80" t="str">
        <f aca="false">IF(助手收入!$R$183="","",INDEX(助手收入!$P$2:$P$66,助手收入!$R$183))</f>
        <v/>
      </c>
      <c r="O2718" s="55" t="str">
        <f aca="false">IF(助手收入!$R$183="","",INDEX(助手收入!$C$2:$C$66,助手收入!$R$183)&amp;"  字第 "&amp;INDEX(助手收入!$P$2:$P$66,助手收入!$R$183)&amp;" 号"&amp;IF(INDEX(助手收入!$L$2:$L$66,助手收入!$R$183)&gt;1,"  (共"&amp;INDEX(助手收入!$L$2:$L$66,助手收入!$R$183)&amp;"页 第"&amp;助手收入!$S$183&amp;"页)",""))</f>
        <v/>
      </c>
    </row>
    <row r="2719" customFormat="false" ht="12.75" hidden="false" customHeight="true" outlineLevel="0" collapsed="false">
      <c r="B2719" s="61" t="str">
        <f aca="false">IF(助手收入!$R$183&lt;&gt;"","摘　　要","")</f>
        <v/>
      </c>
      <c r="C2719" s="61"/>
      <c r="D2719" s="62" t="str">
        <f aca="false">IF(助手收入!$R$183&lt;&gt;"","科　　　　目","")</f>
        <v/>
      </c>
      <c r="E2719" s="62"/>
      <c r="F2719" s="61" t="str">
        <f aca="false">IF(助手收入!$R$183&lt;&gt;"","借 方 金 额","")</f>
        <v/>
      </c>
      <c r="G2719" s="62" t="str">
        <f aca="false">IF(助手收入!$R$183&lt;&gt;"","贷 方 金 额","")</f>
        <v/>
      </c>
      <c r="H2719" s="63" t="str">
        <f aca="false">IF(助手收入!$R$183&lt;&gt;"","√","")</f>
        <v/>
      </c>
      <c r="I2719" s="64" t="str">
        <f aca="false">IF(助手收入!$R$183&lt;&gt;"","附单据  张","")</f>
        <v/>
      </c>
    </row>
    <row r="2720" customFormat="false" ht="12.75" hidden="false" customHeight="true" outlineLevel="0" collapsed="false">
      <c r="B2720" s="61"/>
      <c r="C2720" s="61"/>
      <c r="D2720" s="23" t="str">
        <f aca="false">IF(助手收入!$R$183&lt;&gt;"","总 账 科 目","")</f>
        <v/>
      </c>
      <c r="E2720" s="23" t="str">
        <f aca="false">IF(助手收入!$R$183&lt;&gt;"","明 细 科 目","")</f>
        <v/>
      </c>
      <c r="F2720" s="65"/>
      <c r="G2720" s="66"/>
      <c r="H2720" s="63"/>
      <c r="I2720" s="64"/>
    </row>
    <row r="2721" customFormat="false" ht="23.25" hidden="false" customHeight="true" outlineLevel="0" collapsed="false">
      <c r="B2721" s="67" t="str">
        <f aca="false">IFERROR(INDEX(分录收入!$M:$M,MATCH($L2721,分录收入!$L:$L,0)),"")</f>
        <v/>
      </c>
      <c r="C2721" s="67"/>
      <c r="D2721" s="23" t="str">
        <f aca="false">IFERROR(INDEX(分录收入!$E:$E,MATCH($L2721,分录收入!$L:$L,0)),"")</f>
        <v/>
      </c>
      <c r="E2721" s="23" t="str">
        <f aca="false">IFERROR(INDEX(分录收入!$F:$F,MATCH($L2721,分录收入!$L:$L,0)),"")</f>
        <v/>
      </c>
      <c r="F2721" s="68" t="str">
        <f aca="false">IFERROR(INDEX(分录收入!$H:$H,MATCH($L2721,分录收入!$L:$L,0)),"")</f>
        <v/>
      </c>
      <c r="G2721" s="69" t="str">
        <f aca="false">IFERROR(INDEX(分录收入!$I:$I,MATCH($L2721,分录收入!$L:$L,0)),"")</f>
        <v/>
      </c>
      <c r="H2721" s="23"/>
      <c r="I2721" s="70"/>
      <c r="L2721" s="71" t="n">
        <f aca="false">IF(助手收入!$R$183="",-1,助手收入!$R$183*100+(助手收入!$S$183-1)*6+1)</f>
        <v>-1</v>
      </c>
    </row>
    <row r="2722" customFormat="false" ht="23.25" hidden="false" customHeight="true" outlineLevel="0" collapsed="false">
      <c r="B2722" s="67" t="str">
        <f aca="false">""</f>
        <v/>
      </c>
      <c r="C2722" s="67"/>
      <c r="D2722" s="23" t="str">
        <f aca="false">IFERROR(INDEX(分录收入!$E:$E,MATCH($L2722,分录收入!$L:$L,0)),"")</f>
        <v/>
      </c>
      <c r="E2722" s="23" t="str">
        <f aca="false">IFERROR(INDEX(分录收入!$F:$F,MATCH($L2722,分录收入!$L:$L,0)),"")</f>
        <v/>
      </c>
      <c r="F2722" s="68" t="str">
        <f aca="false">IFERROR(INDEX(分录收入!$H:$H,MATCH($L2722,分录收入!$L:$L,0)),"")</f>
        <v/>
      </c>
      <c r="G2722" s="69" t="str">
        <f aca="false">IFERROR(INDEX(分录收入!$I:$I,MATCH($L2722,分录收入!$L:$L,0)),"")</f>
        <v/>
      </c>
      <c r="H2722" s="23"/>
      <c r="I2722" s="70"/>
      <c r="L2722" s="71" t="n">
        <f aca="false">IF(助手收入!$R$183="",-1,助手收入!$R$183*100+(助手收入!$S$183-1)*6+2)</f>
        <v>-1</v>
      </c>
    </row>
    <row r="2723" customFormat="false" ht="23.25" hidden="false" customHeight="true" outlineLevel="0" collapsed="false">
      <c r="B2723" s="67" t="str">
        <f aca="false">""</f>
        <v/>
      </c>
      <c r="C2723" s="67"/>
      <c r="D2723" s="23" t="str">
        <f aca="false">IFERROR(INDEX(分录收入!$E:$E,MATCH($L2723,分录收入!$L:$L,0)),"")</f>
        <v/>
      </c>
      <c r="E2723" s="23" t="str">
        <f aca="false">IFERROR(INDEX(分录收入!$F:$F,MATCH($L2723,分录收入!$L:$L,0)),"")</f>
        <v/>
      </c>
      <c r="F2723" s="68" t="str">
        <f aca="false">IFERROR(INDEX(分录收入!$H:$H,MATCH($L2723,分录收入!$L:$L,0)),"")</f>
        <v/>
      </c>
      <c r="G2723" s="69" t="str">
        <f aca="false">IFERROR(INDEX(分录收入!$I:$I,MATCH($L2723,分录收入!$L:$L,0)),"")</f>
        <v/>
      </c>
      <c r="H2723" s="23"/>
      <c r="I2723" s="70"/>
      <c r="L2723" s="71" t="n">
        <f aca="false">IF(助手收入!$R$183="",-1,助手收入!$R$183*100+(助手收入!$S$183-1)*6+3)</f>
        <v>-1</v>
      </c>
    </row>
    <row r="2724" customFormat="false" ht="23.25" hidden="false" customHeight="true" outlineLevel="0" collapsed="false">
      <c r="B2724" s="67" t="str">
        <f aca="false">""</f>
        <v/>
      </c>
      <c r="C2724" s="67"/>
      <c r="D2724" s="23" t="str">
        <f aca="false">IFERROR(INDEX(分录收入!$E:$E,MATCH($L2724,分录收入!$L:$L,0)),"")</f>
        <v/>
      </c>
      <c r="E2724" s="23" t="str">
        <f aca="false">IFERROR(INDEX(分录收入!$F:$F,MATCH($L2724,分录收入!$L:$L,0)),"")</f>
        <v/>
      </c>
      <c r="F2724" s="68" t="str">
        <f aca="false">IFERROR(INDEX(分录收入!$H:$H,MATCH($L2724,分录收入!$L:$L,0)),"")</f>
        <v/>
      </c>
      <c r="G2724" s="69" t="str">
        <f aca="false">IFERROR(INDEX(分录收入!$I:$I,MATCH($L2724,分录收入!$L:$L,0)),"")</f>
        <v/>
      </c>
      <c r="H2724" s="23"/>
      <c r="I2724" s="70"/>
      <c r="L2724" s="71" t="n">
        <f aca="false">IF(助手收入!$R$183="",-1,助手收入!$R$183*100+(助手收入!$S$183-1)*6+4)</f>
        <v>-1</v>
      </c>
    </row>
    <row r="2725" customFormat="false" ht="23.25" hidden="false" customHeight="true" outlineLevel="0" collapsed="false">
      <c r="B2725" s="67" t="str">
        <f aca="false">""</f>
        <v/>
      </c>
      <c r="C2725" s="67"/>
      <c r="D2725" s="23" t="str">
        <f aca="false">IFERROR(INDEX(分录收入!$E:$E,MATCH($L2725,分录收入!$L:$L,0)),"")</f>
        <v/>
      </c>
      <c r="E2725" s="23" t="str">
        <f aca="false">IFERROR(INDEX(分录收入!$F:$F,MATCH($L2725,分录收入!$L:$L,0)),"")</f>
        <v/>
      </c>
      <c r="F2725" s="68" t="str">
        <f aca="false">IFERROR(INDEX(分录收入!$H:$H,MATCH($L2725,分录收入!$L:$L,0)),"")</f>
        <v/>
      </c>
      <c r="G2725" s="69" t="str">
        <f aca="false">IFERROR(INDEX(分录收入!$I:$I,MATCH($L2725,分录收入!$L:$L,0)),"")</f>
        <v/>
      </c>
      <c r="H2725" s="23"/>
      <c r="I2725" s="70"/>
      <c r="L2725" s="71" t="n">
        <f aca="false">IF(助手收入!$R$183="",-1,助手收入!$R$183*100+(助手收入!$S$183-1)*6+5)</f>
        <v>-1</v>
      </c>
    </row>
    <row r="2726" customFormat="false" ht="23.25" hidden="false" customHeight="true" outlineLevel="0" collapsed="false">
      <c r="B2726" s="67" t="str">
        <f aca="false">""</f>
        <v/>
      </c>
      <c r="C2726" s="67"/>
      <c r="D2726" s="23" t="str">
        <f aca="false">IFERROR(INDEX(分录收入!$E:$E,MATCH($L2726,分录收入!$L:$L,0)),"")</f>
        <v/>
      </c>
      <c r="E2726" s="23" t="str">
        <f aca="false">IFERROR(INDEX(分录收入!$F:$F,MATCH($L2726,分录收入!$L:$L,0)),"")</f>
        <v/>
      </c>
      <c r="F2726" s="68" t="str">
        <f aca="false">IFERROR(INDEX(分录收入!$H:$H,MATCH($L2726,分录收入!$L:$L,0)),"")</f>
        <v/>
      </c>
      <c r="G2726" s="69" t="str">
        <f aca="false">IFERROR(INDEX(分录收入!$I:$I,MATCH($L2726,分录收入!$L:$L,0)),"")</f>
        <v/>
      </c>
      <c r="H2726" s="23"/>
      <c r="I2726" s="70"/>
      <c r="L2726" s="71" t="n">
        <f aca="false">IF(助手收入!$R$183="",-1,助手收入!$R$183*100+(助手收入!$S$183-1)*6+6)</f>
        <v>-1</v>
      </c>
    </row>
    <row r="2727" customFormat="false" ht="23.25" hidden="false" customHeight="true" outlineLevel="0" collapsed="false">
      <c r="B2727" s="72" t="str">
        <f aca="false">IF(助手收入!$T$183=1,"合计：","")</f>
        <v/>
      </c>
      <c r="C2727" s="73" t="str">
        <f aca="false">IF(助手收入!$T$183=1,$F2727,"")</f>
        <v/>
      </c>
      <c r="D2727" s="74"/>
      <c r="E2727" s="74"/>
      <c r="F2727" s="75" t="str">
        <f aca="false">IF(助手收入!$T$183=1,INDEX(助手收入!$N$2:$N$66,助手收入!$R$183),"")</f>
        <v/>
      </c>
      <c r="G2727" s="76" t="str">
        <f aca="false">IF(助手收入!$T$183=1,INDEX(助手收入!$O$2:$O$66,助手收入!$R$183),"")</f>
        <v/>
      </c>
      <c r="H2727" s="74"/>
      <c r="I2727" s="77"/>
    </row>
    <row r="2728" customFormat="false" ht="6" hidden="false" customHeight="true" outlineLevel="0" collapsed="false"/>
    <row r="2729" customFormat="false" ht="13.5" hidden="false" customHeight="false" outlineLevel="0" collapsed="false">
      <c r="B2729" s="78" t="str">
        <f aca="false">IF(助手收入!$R$183&lt;&gt;"","会计主管：","")</f>
        <v/>
      </c>
      <c r="D2729" s="78" t="str">
        <f aca="false">IF(助手收入!$R$183&lt;&gt;"","会计：","")</f>
        <v/>
      </c>
      <c r="E2729" s="78" t="str">
        <f aca="false">IF(助手收入!$R$183&lt;&gt;"","出纳：","")</f>
        <v/>
      </c>
      <c r="F2729" s="78" t="str">
        <f aca="false">IF(助手收入!$R$183&lt;&gt;"","复核：","")</f>
        <v/>
      </c>
      <c r="G2729" s="78" t="str">
        <f aca="false">IF(助手收入!$R$183&lt;&gt;"","制单：","")</f>
        <v/>
      </c>
    </row>
    <row r="2730" customFormat="false" ht="3" hidden="false" customHeight="true" outlineLevel="0" collapsed="false"/>
    <row r="2731" customFormat="false" ht="19.5" hidden="false" customHeight="true" outlineLevel="0" collapsed="false">
      <c r="B2731" s="53" t="str">
        <f aca="false">IF(助手收入!$R$184&lt;&gt;"","记  账  凭  证","")</f>
        <v/>
      </c>
      <c r="C2731" s="53"/>
      <c r="D2731" s="53"/>
      <c r="E2731" s="53"/>
      <c r="F2731" s="53"/>
      <c r="G2731" s="53"/>
      <c r="H2731" s="53"/>
      <c r="I2731" s="53"/>
    </row>
    <row r="2732" customFormat="false" ht="3" hidden="false" customHeight="true" outlineLevel="0" collapsed="false"/>
    <row r="2733" customFormat="false" ht="15" hidden="false" customHeight="true" outlineLevel="0" collapsed="false">
      <c r="C2733" s="56" t="str">
        <f aca="false">IF(助手收入!$R$184&lt;&gt;"",INDEX(助手收入!$B$2:$B$66,助手收入!$R$184),"")</f>
        <v/>
      </c>
      <c r="D2733" s="57" t="str">
        <f aca="false">IF(助手收入!$R$184&lt;&gt;"",参数!$B$2,"")</f>
        <v/>
      </c>
      <c r="E2733" s="57"/>
      <c r="F2733" s="58" t="str">
        <f aca="false">IF(助手收入!$R$184&lt;&gt;"",INDEX(助手收入!$C$2:$C$66,助手收入!$R$184)&amp;"  字第 "&amp;IF(参数!$B$9="是",INDEX(助手收入!$P$2:$P$66,助手收入!$R$184),"　　　　")&amp;" 号"&amp;IF(INDEX(助手收入!$L$2:$L$66,助手收入!$R$184)&gt;1,"  (共"&amp;INDEX(助手收入!$L$2:$L$66,助手收入!$R$184)&amp;"页 第"&amp;助手收入!$S$184&amp;"页)",""),"")</f>
        <v/>
      </c>
      <c r="G2733" s="58"/>
      <c r="H2733" s="58"/>
      <c r="I2733" s="58"/>
      <c r="M2733" s="79" t="str">
        <f aca="false">IF(助手收入!$R$184="","",助手收入!$Q$184)</f>
        <v/>
      </c>
      <c r="N2733" s="80" t="str">
        <f aca="false">IF(助手收入!$R$184="","",INDEX(助手收入!$P$2:$P$66,助手收入!$R$184))</f>
        <v/>
      </c>
      <c r="O2733" s="55" t="str">
        <f aca="false">IF(助手收入!$R$184="","",INDEX(助手收入!$C$2:$C$66,助手收入!$R$184)&amp;"  字第 "&amp;INDEX(助手收入!$P$2:$P$66,助手收入!$R$184)&amp;" 号"&amp;IF(INDEX(助手收入!$L$2:$L$66,助手收入!$R$184)&gt;1,"  (共"&amp;INDEX(助手收入!$L$2:$L$66,助手收入!$R$184)&amp;"页 第"&amp;助手收入!$S$184&amp;"页)",""))</f>
        <v/>
      </c>
    </row>
    <row r="2734" customFormat="false" ht="12.75" hidden="false" customHeight="true" outlineLevel="0" collapsed="false">
      <c r="B2734" s="61" t="str">
        <f aca="false">IF(助手收入!$R$184&lt;&gt;"","摘　　要","")</f>
        <v/>
      </c>
      <c r="C2734" s="61"/>
      <c r="D2734" s="62" t="str">
        <f aca="false">IF(助手收入!$R$184&lt;&gt;"","科　　　　目","")</f>
        <v/>
      </c>
      <c r="E2734" s="62"/>
      <c r="F2734" s="61" t="str">
        <f aca="false">IF(助手收入!$R$184&lt;&gt;"","借 方 金 额","")</f>
        <v/>
      </c>
      <c r="G2734" s="62" t="str">
        <f aca="false">IF(助手收入!$R$184&lt;&gt;"","贷 方 金 额","")</f>
        <v/>
      </c>
      <c r="H2734" s="63" t="str">
        <f aca="false">IF(助手收入!$R$184&lt;&gt;"","√","")</f>
        <v/>
      </c>
      <c r="I2734" s="64" t="str">
        <f aca="false">IF(助手收入!$R$184&lt;&gt;"","附单据  张","")</f>
        <v/>
      </c>
    </row>
    <row r="2735" customFormat="false" ht="12.75" hidden="false" customHeight="true" outlineLevel="0" collapsed="false">
      <c r="B2735" s="61"/>
      <c r="C2735" s="61"/>
      <c r="D2735" s="23" t="str">
        <f aca="false">IF(助手收入!$R$184&lt;&gt;"","总 账 科 目","")</f>
        <v/>
      </c>
      <c r="E2735" s="23" t="str">
        <f aca="false">IF(助手收入!$R$184&lt;&gt;"","明 细 科 目","")</f>
        <v/>
      </c>
      <c r="F2735" s="65"/>
      <c r="G2735" s="66"/>
      <c r="H2735" s="63"/>
      <c r="I2735" s="64"/>
    </row>
    <row r="2736" customFormat="false" ht="23.25" hidden="false" customHeight="true" outlineLevel="0" collapsed="false">
      <c r="B2736" s="67" t="str">
        <f aca="false">IFERROR(INDEX(分录收入!$M:$M,MATCH($L2736,分录收入!$L:$L,0)),"")</f>
        <v/>
      </c>
      <c r="C2736" s="67"/>
      <c r="D2736" s="23" t="str">
        <f aca="false">IFERROR(INDEX(分录收入!$E:$E,MATCH($L2736,分录收入!$L:$L,0)),"")</f>
        <v/>
      </c>
      <c r="E2736" s="23" t="str">
        <f aca="false">IFERROR(INDEX(分录收入!$F:$F,MATCH($L2736,分录收入!$L:$L,0)),"")</f>
        <v/>
      </c>
      <c r="F2736" s="68" t="str">
        <f aca="false">IFERROR(INDEX(分录收入!$H:$H,MATCH($L2736,分录收入!$L:$L,0)),"")</f>
        <v/>
      </c>
      <c r="G2736" s="69" t="str">
        <f aca="false">IFERROR(INDEX(分录收入!$I:$I,MATCH($L2736,分录收入!$L:$L,0)),"")</f>
        <v/>
      </c>
      <c r="H2736" s="23"/>
      <c r="I2736" s="70"/>
      <c r="L2736" s="71" t="n">
        <f aca="false">IF(助手收入!$R$184="",-1,助手收入!$R$184*100+(助手收入!$S$184-1)*6+1)</f>
        <v>-1</v>
      </c>
    </row>
    <row r="2737" customFormat="false" ht="23.25" hidden="false" customHeight="true" outlineLevel="0" collapsed="false">
      <c r="B2737" s="67" t="str">
        <f aca="false">""</f>
        <v/>
      </c>
      <c r="C2737" s="67"/>
      <c r="D2737" s="23" t="str">
        <f aca="false">IFERROR(INDEX(分录收入!$E:$E,MATCH($L2737,分录收入!$L:$L,0)),"")</f>
        <v/>
      </c>
      <c r="E2737" s="23" t="str">
        <f aca="false">IFERROR(INDEX(分录收入!$F:$F,MATCH($L2737,分录收入!$L:$L,0)),"")</f>
        <v/>
      </c>
      <c r="F2737" s="68" t="str">
        <f aca="false">IFERROR(INDEX(分录收入!$H:$H,MATCH($L2737,分录收入!$L:$L,0)),"")</f>
        <v/>
      </c>
      <c r="G2737" s="69" t="str">
        <f aca="false">IFERROR(INDEX(分录收入!$I:$I,MATCH($L2737,分录收入!$L:$L,0)),"")</f>
        <v/>
      </c>
      <c r="H2737" s="23"/>
      <c r="I2737" s="70"/>
      <c r="L2737" s="71" t="n">
        <f aca="false">IF(助手收入!$R$184="",-1,助手收入!$R$184*100+(助手收入!$S$184-1)*6+2)</f>
        <v>-1</v>
      </c>
    </row>
    <row r="2738" customFormat="false" ht="23.25" hidden="false" customHeight="true" outlineLevel="0" collapsed="false">
      <c r="B2738" s="67" t="str">
        <f aca="false">""</f>
        <v/>
      </c>
      <c r="C2738" s="67"/>
      <c r="D2738" s="23" t="str">
        <f aca="false">IFERROR(INDEX(分录收入!$E:$E,MATCH($L2738,分录收入!$L:$L,0)),"")</f>
        <v/>
      </c>
      <c r="E2738" s="23" t="str">
        <f aca="false">IFERROR(INDEX(分录收入!$F:$F,MATCH($L2738,分录收入!$L:$L,0)),"")</f>
        <v/>
      </c>
      <c r="F2738" s="68" t="str">
        <f aca="false">IFERROR(INDEX(分录收入!$H:$H,MATCH($L2738,分录收入!$L:$L,0)),"")</f>
        <v/>
      </c>
      <c r="G2738" s="69" t="str">
        <f aca="false">IFERROR(INDEX(分录收入!$I:$I,MATCH($L2738,分录收入!$L:$L,0)),"")</f>
        <v/>
      </c>
      <c r="H2738" s="23"/>
      <c r="I2738" s="70"/>
      <c r="L2738" s="71" t="n">
        <f aca="false">IF(助手收入!$R$184="",-1,助手收入!$R$184*100+(助手收入!$S$184-1)*6+3)</f>
        <v>-1</v>
      </c>
    </row>
    <row r="2739" customFormat="false" ht="23.25" hidden="false" customHeight="true" outlineLevel="0" collapsed="false">
      <c r="B2739" s="67" t="str">
        <f aca="false">""</f>
        <v/>
      </c>
      <c r="C2739" s="67"/>
      <c r="D2739" s="23" t="str">
        <f aca="false">IFERROR(INDEX(分录收入!$E:$E,MATCH($L2739,分录收入!$L:$L,0)),"")</f>
        <v/>
      </c>
      <c r="E2739" s="23" t="str">
        <f aca="false">IFERROR(INDEX(分录收入!$F:$F,MATCH($L2739,分录收入!$L:$L,0)),"")</f>
        <v/>
      </c>
      <c r="F2739" s="68" t="str">
        <f aca="false">IFERROR(INDEX(分录收入!$H:$H,MATCH($L2739,分录收入!$L:$L,0)),"")</f>
        <v/>
      </c>
      <c r="G2739" s="69" t="str">
        <f aca="false">IFERROR(INDEX(分录收入!$I:$I,MATCH($L2739,分录收入!$L:$L,0)),"")</f>
        <v/>
      </c>
      <c r="H2739" s="23"/>
      <c r="I2739" s="70"/>
      <c r="L2739" s="71" t="n">
        <f aca="false">IF(助手收入!$R$184="",-1,助手收入!$R$184*100+(助手收入!$S$184-1)*6+4)</f>
        <v>-1</v>
      </c>
    </row>
    <row r="2740" customFormat="false" ht="23.25" hidden="false" customHeight="true" outlineLevel="0" collapsed="false">
      <c r="B2740" s="67" t="str">
        <f aca="false">""</f>
        <v/>
      </c>
      <c r="C2740" s="67"/>
      <c r="D2740" s="23" t="str">
        <f aca="false">IFERROR(INDEX(分录收入!$E:$E,MATCH($L2740,分录收入!$L:$L,0)),"")</f>
        <v/>
      </c>
      <c r="E2740" s="23" t="str">
        <f aca="false">IFERROR(INDEX(分录收入!$F:$F,MATCH($L2740,分录收入!$L:$L,0)),"")</f>
        <v/>
      </c>
      <c r="F2740" s="68" t="str">
        <f aca="false">IFERROR(INDEX(分录收入!$H:$H,MATCH($L2740,分录收入!$L:$L,0)),"")</f>
        <v/>
      </c>
      <c r="G2740" s="69" t="str">
        <f aca="false">IFERROR(INDEX(分录收入!$I:$I,MATCH($L2740,分录收入!$L:$L,0)),"")</f>
        <v/>
      </c>
      <c r="H2740" s="23"/>
      <c r="I2740" s="70"/>
      <c r="L2740" s="71" t="n">
        <f aca="false">IF(助手收入!$R$184="",-1,助手收入!$R$184*100+(助手收入!$S$184-1)*6+5)</f>
        <v>-1</v>
      </c>
    </row>
    <row r="2741" customFormat="false" ht="23.25" hidden="false" customHeight="true" outlineLevel="0" collapsed="false">
      <c r="B2741" s="67" t="str">
        <f aca="false">""</f>
        <v/>
      </c>
      <c r="C2741" s="67"/>
      <c r="D2741" s="23" t="str">
        <f aca="false">IFERROR(INDEX(分录收入!$E:$E,MATCH($L2741,分录收入!$L:$L,0)),"")</f>
        <v/>
      </c>
      <c r="E2741" s="23" t="str">
        <f aca="false">IFERROR(INDEX(分录收入!$F:$F,MATCH($L2741,分录收入!$L:$L,0)),"")</f>
        <v/>
      </c>
      <c r="F2741" s="68" t="str">
        <f aca="false">IFERROR(INDEX(分录收入!$H:$H,MATCH($L2741,分录收入!$L:$L,0)),"")</f>
        <v/>
      </c>
      <c r="G2741" s="69" t="str">
        <f aca="false">IFERROR(INDEX(分录收入!$I:$I,MATCH($L2741,分录收入!$L:$L,0)),"")</f>
        <v/>
      </c>
      <c r="H2741" s="23"/>
      <c r="I2741" s="70"/>
      <c r="L2741" s="71" t="n">
        <f aca="false">IF(助手收入!$R$184="",-1,助手收入!$R$184*100+(助手收入!$S$184-1)*6+6)</f>
        <v>-1</v>
      </c>
    </row>
    <row r="2742" customFormat="false" ht="23.25" hidden="false" customHeight="true" outlineLevel="0" collapsed="false">
      <c r="B2742" s="72" t="str">
        <f aca="false">IF(助手收入!$T$184=1,"合计：","")</f>
        <v/>
      </c>
      <c r="C2742" s="73" t="str">
        <f aca="false">IF(助手收入!$T$184=1,$F2742,"")</f>
        <v/>
      </c>
      <c r="D2742" s="74"/>
      <c r="E2742" s="74"/>
      <c r="F2742" s="75" t="str">
        <f aca="false">IF(助手收入!$T$184=1,INDEX(助手收入!$N$2:$N$66,助手收入!$R$184),"")</f>
        <v/>
      </c>
      <c r="G2742" s="76" t="str">
        <f aca="false">IF(助手收入!$T$184=1,INDEX(助手收入!$O$2:$O$66,助手收入!$R$184),"")</f>
        <v/>
      </c>
      <c r="H2742" s="74"/>
      <c r="I2742" s="77"/>
    </row>
    <row r="2743" customFormat="false" ht="6" hidden="false" customHeight="true" outlineLevel="0" collapsed="false"/>
    <row r="2744" customFormat="false" ht="13.5" hidden="false" customHeight="false" outlineLevel="0" collapsed="false">
      <c r="B2744" s="78" t="str">
        <f aca="false">IF(助手收入!$R$184&lt;&gt;"","会计主管：","")</f>
        <v/>
      </c>
      <c r="D2744" s="78" t="str">
        <f aca="false">IF(助手收入!$R$184&lt;&gt;"","会计：","")</f>
        <v/>
      </c>
      <c r="E2744" s="78" t="str">
        <f aca="false">IF(助手收入!$R$184&lt;&gt;"","出纳：","")</f>
        <v/>
      </c>
      <c r="F2744" s="78" t="str">
        <f aca="false">IF(助手收入!$R$184&lt;&gt;"","复核：","")</f>
        <v/>
      </c>
      <c r="G2744" s="78" t="str">
        <f aca="false">IF(助手收入!$R$184&lt;&gt;"","制单：","")</f>
        <v/>
      </c>
    </row>
    <row r="2745" customFormat="false" ht="3" hidden="false" customHeight="true" outlineLevel="0" collapsed="false"/>
    <row r="2746" customFormat="false" ht="19.5" hidden="false" customHeight="true" outlineLevel="0" collapsed="false">
      <c r="B2746" s="53" t="str">
        <f aca="false">IF(助手收入!$R$185&lt;&gt;"","记  账  凭  证","")</f>
        <v/>
      </c>
      <c r="C2746" s="53"/>
      <c r="D2746" s="53"/>
      <c r="E2746" s="53"/>
      <c r="F2746" s="53"/>
      <c r="G2746" s="53"/>
      <c r="H2746" s="53"/>
      <c r="I2746" s="53"/>
    </row>
    <row r="2747" customFormat="false" ht="3" hidden="false" customHeight="true" outlineLevel="0" collapsed="false"/>
    <row r="2748" customFormat="false" ht="15" hidden="false" customHeight="true" outlineLevel="0" collapsed="false">
      <c r="C2748" s="56" t="str">
        <f aca="false">IF(助手收入!$R$185&lt;&gt;"",INDEX(助手收入!$B$2:$B$66,助手收入!$R$185),"")</f>
        <v/>
      </c>
      <c r="D2748" s="57" t="str">
        <f aca="false">IF(助手收入!$R$185&lt;&gt;"",参数!$B$2,"")</f>
        <v/>
      </c>
      <c r="E2748" s="57"/>
      <c r="F2748" s="58" t="str">
        <f aca="false">IF(助手收入!$R$185&lt;&gt;"",INDEX(助手收入!$C$2:$C$66,助手收入!$R$185)&amp;"  字第 "&amp;IF(参数!$B$9="是",INDEX(助手收入!$P$2:$P$66,助手收入!$R$185),"　　　　")&amp;" 号"&amp;IF(INDEX(助手收入!$L$2:$L$66,助手收入!$R$185)&gt;1,"  (共"&amp;INDEX(助手收入!$L$2:$L$66,助手收入!$R$185)&amp;"页 第"&amp;助手收入!$S$185&amp;"页)",""),"")</f>
        <v/>
      </c>
      <c r="G2748" s="58"/>
      <c r="H2748" s="58"/>
      <c r="I2748" s="58"/>
      <c r="M2748" s="79" t="str">
        <f aca="false">IF(助手收入!$R$185="","",助手收入!$Q$185)</f>
        <v/>
      </c>
      <c r="N2748" s="80" t="str">
        <f aca="false">IF(助手收入!$R$185="","",INDEX(助手收入!$P$2:$P$66,助手收入!$R$185))</f>
        <v/>
      </c>
      <c r="O2748" s="55" t="str">
        <f aca="false">IF(助手收入!$R$185="","",INDEX(助手收入!$C$2:$C$66,助手收入!$R$185)&amp;"  字第 "&amp;INDEX(助手收入!$P$2:$P$66,助手收入!$R$185)&amp;" 号"&amp;IF(INDEX(助手收入!$L$2:$L$66,助手收入!$R$185)&gt;1,"  (共"&amp;INDEX(助手收入!$L$2:$L$66,助手收入!$R$185)&amp;"页 第"&amp;助手收入!$S$185&amp;"页)",""))</f>
        <v/>
      </c>
    </row>
    <row r="2749" customFormat="false" ht="12.75" hidden="false" customHeight="true" outlineLevel="0" collapsed="false">
      <c r="B2749" s="61" t="str">
        <f aca="false">IF(助手收入!$R$185&lt;&gt;"","摘　　要","")</f>
        <v/>
      </c>
      <c r="C2749" s="61"/>
      <c r="D2749" s="62" t="str">
        <f aca="false">IF(助手收入!$R$185&lt;&gt;"","科　　　　目","")</f>
        <v/>
      </c>
      <c r="E2749" s="62"/>
      <c r="F2749" s="61" t="str">
        <f aca="false">IF(助手收入!$R$185&lt;&gt;"","借 方 金 额","")</f>
        <v/>
      </c>
      <c r="G2749" s="62" t="str">
        <f aca="false">IF(助手收入!$R$185&lt;&gt;"","贷 方 金 额","")</f>
        <v/>
      </c>
      <c r="H2749" s="63" t="str">
        <f aca="false">IF(助手收入!$R$185&lt;&gt;"","√","")</f>
        <v/>
      </c>
      <c r="I2749" s="64" t="str">
        <f aca="false">IF(助手收入!$R$185&lt;&gt;"","附单据  张","")</f>
        <v/>
      </c>
    </row>
    <row r="2750" customFormat="false" ht="12.75" hidden="false" customHeight="true" outlineLevel="0" collapsed="false">
      <c r="B2750" s="61"/>
      <c r="C2750" s="61"/>
      <c r="D2750" s="23" t="str">
        <f aca="false">IF(助手收入!$R$185&lt;&gt;"","总 账 科 目","")</f>
        <v/>
      </c>
      <c r="E2750" s="23" t="str">
        <f aca="false">IF(助手收入!$R$185&lt;&gt;"","明 细 科 目","")</f>
        <v/>
      </c>
      <c r="F2750" s="65"/>
      <c r="G2750" s="66"/>
      <c r="H2750" s="63"/>
      <c r="I2750" s="64"/>
    </row>
    <row r="2751" customFormat="false" ht="23.25" hidden="false" customHeight="true" outlineLevel="0" collapsed="false">
      <c r="B2751" s="67" t="str">
        <f aca="false">IFERROR(INDEX(分录收入!$M:$M,MATCH($L2751,分录收入!$L:$L,0)),"")</f>
        <v/>
      </c>
      <c r="C2751" s="67"/>
      <c r="D2751" s="23" t="str">
        <f aca="false">IFERROR(INDEX(分录收入!$E:$E,MATCH($L2751,分录收入!$L:$L,0)),"")</f>
        <v/>
      </c>
      <c r="E2751" s="23" t="str">
        <f aca="false">IFERROR(INDEX(分录收入!$F:$F,MATCH($L2751,分录收入!$L:$L,0)),"")</f>
        <v/>
      </c>
      <c r="F2751" s="68" t="str">
        <f aca="false">IFERROR(INDEX(分录收入!$H:$H,MATCH($L2751,分录收入!$L:$L,0)),"")</f>
        <v/>
      </c>
      <c r="G2751" s="69" t="str">
        <f aca="false">IFERROR(INDEX(分录收入!$I:$I,MATCH($L2751,分录收入!$L:$L,0)),"")</f>
        <v/>
      </c>
      <c r="H2751" s="23"/>
      <c r="I2751" s="70"/>
      <c r="L2751" s="71" t="n">
        <f aca="false">IF(助手收入!$R$185="",-1,助手收入!$R$185*100+(助手收入!$S$185-1)*6+1)</f>
        <v>-1</v>
      </c>
    </row>
    <row r="2752" customFormat="false" ht="23.25" hidden="false" customHeight="true" outlineLevel="0" collapsed="false">
      <c r="B2752" s="67" t="str">
        <f aca="false">""</f>
        <v/>
      </c>
      <c r="C2752" s="67"/>
      <c r="D2752" s="23" t="str">
        <f aca="false">IFERROR(INDEX(分录收入!$E:$E,MATCH($L2752,分录收入!$L:$L,0)),"")</f>
        <v/>
      </c>
      <c r="E2752" s="23" t="str">
        <f aca="false">IFERROR(INDEX(分录收入!$F:$F,MATCH($L2752,分录收入!$L:$L,0)),"")</f>
        <v/>
      </c>
      <c r="F2752" s="68" t="str">
        <f aca="false">IFERROR(INDEX(分录收入!$H:$H,MATCH($L2752,分录收入!$L:$L,0)),"")</f>
        <v/>
      </c>
      <c r="G2752" s="69" t="str">
        <f aca="false">IFERROR(INDEX(分录收入!$I:$I,MATCH($L2752,分录收入!$L:$L,0)),"")</f>
        <v/>
      </c>
      <c r="H2752" s="23"/>
      <c r="I2752" s="70"/>
      <c r="L2752" s="71" t="n">
        <f aca="false">IF(助手收入!$R$185="",-1,助手收入!$R$185*100+(助手收入!$S$185-1)*6+2)</f>
        <v>-1</v>
      </c>
    </row>
    <row r="2753" customFormat="false" ht="23.25" hidden="false" customHeight="true" outlineLevel="0" collapsed="false">
      <c r="B2753" s="67" t="str">
        <f aca="false">""</f>
        <v/>
      </c>
      <c r="C2753" s="67"/>
      <c r="D2753" s="23" t="str">
        <f aca="false">IFERROR(INDEX(分录收入!$E:$E,MATCH($L2753,分录收入!$L:$L,0)),"")</f>
        <v/>
      </c>
      <c r="E2753" s="23" t="str">
        <f aca="false">IFERROR(INDEX(分录收入!$F:$F,MATCH($L2753,分录收入!$L:$L,0)),"")</f>
        <v/>
      </c>
      <c r="F2753" s="68" t="str">
        <f aca="false">IFERROR(INDEX(分录收入!$H:$H,MATCH($L2753,分录收入!$L:$L,0)),"")</f>
        <v/>
      </c>
      <c r="G2753" s="69" t="str">
        <f aca="false">IFERROR(INDEX(分录收入!$I:$I,MATCH($L2753,分录收入!$L:$L,0)),"")</f>
        <v/>
      </c>
      <c r="H2753" s="23"/>
      <c r="I2753" s="70"/>
      <c r="L2753" s="71" t="n">
        <f aca="false">IF(助手收入!$R$185="",-1,助手收入!$R$185*100+(助手收入!$S$185-1)*6+3)</f>
        <v>-1</v>
      </c>
    </row>
    <row r="2754" customFormat="false" ht="23.25" hidden="false" customHeight="true" outlineLevel="0" collapsed="false">
      <c r="B2754" s="67" t="str">
        <f aca="false">""</f>
        <v/>
      </c>
      <c r="C2754" s="67"/>
      <c r="D2754" s="23" t="str">
        <f aca="false">IFERROR(INDEX(分录收入!$E:$E,MATCH($L2754,分录收入!$L:$L,0)),"")</f>
        <v/>
      </c>
      <c r="E2754" s="23" t="str">
        <f aca="false">IFERROR(INDEX(分录收入!$F:$F,MATCH($L2754,分录收入!$L:$L,0)),"")</f>
        <v/>
      </c>
      <c r="F2754" s="68" t="str">
        <f aca="false">IFERROR(INDEX(分录收入!$H:$H,MATCH($L2754,分录收入!$L:$L,0)),"")</f>
        <v/>
      </c>
      <c r="G2754" s="69" t="str">
        <f aca="false">IFERROR(INDEX(分录收入!$I:$I,MATCH($L2754,分录收入!$L:$L,0)),"")</f>
        <v/>
      </c>
      <c r="H2754" s="23"/>
      <c r="I2754" s="70"/>
      <c r="L2754" s="71" t="n">
        <f aca="false">IF(助手收入!$R$185="",-1,助手收入!$R$185*100+(助手收入!$S$185-1)*6+4)</f>
        <v>-1</v>
      </c>
    </row>
    <row r="2755" customFormat="false" ht="23.25" hidden="false" customHeight="true" outlineLevel="0" collapsed="false">
      <c r="B2755" s="67" t="str">
        <f aca="false">""</f>
        <v/>
      </c>
      <c r="C2755" s="67"/>
      <c r="D2755" s="23" t="str">
        <f aca="false">IFERROR(INDEX(分录收入!$E:$E,MATCH($L2755,分录收入!$L:$L,0)),"")</f>
        <v/>
      </c>
      <c r="E2755" s="23" t="str">
        <f aca="false">IFERROR(INDEX(分录收入!$F:$F,MATCH($L2755,分录收入!$L:$L,0)),"")</f>
        <v/>
      </c>
      <c r="F2755" s="68" t="str">
        <f aca="false">IFERROR(INDEX(分录收入!$H:$H,MATCH($L2755,分录收入!$L:$L,0)),"")</f>
        <v/>
      </c>
      <c r="G2755" s="69" t="str">
        <f aca="false">IFERROR(INDEX(分录收入!$I:$I,MATCH($L2755,分录收入!$L:$L,0)),"")</f>
        <v/>
      </c>
      <c r="H2755" s="23"/>
      <c r="I2755" s="70"/>
      <c r="L2755" s="71" t="n">
        <f aca="false">IF(助手收入!$R$185="",-1,助手收入!$R$185*100+(助手收入!$S$185-1)*6+5)</f>
        <v>-1</v>
      </c>
    </row>
    <row r="2756" customFormat="false" ht="23.25" hidden="false" customHeight="true" outlineLevel="0" collapsed="false">
      <c r="B2756" s="67" t="str">
        <f aca="false">""</f>
        <v/>
      </c>
      <c r="C2756" s="67"/>
      <c r="D2756" s="23" t="str">
        <f aca="false">IFERROR(INDEX(分录收入!$E:$E,MATCH($L2756,分录收入!$L:$L,0)),"")</f>
        <v/>
      </c>
      <c r="E2756" s="23" t="str">
        <f aca="false">IFERROR(INDEX(分录收入!$F:$F,MATCH($L2756,分录收入!$L:$L,0)),"")</f>
        <v/>
      </c>
      <c r="F2756" s="68" t="str">
        <f aca="false">IFERROR(INDEX(分录收入!$H:$H,MATCH($L2756,分录收入!$L:$L,0)),"")</f>
        <v/>
      </c>
      <c r="G2756" s="69" t="str">
        <f aca="false">IFERROR(INDEX(分录收入!$I:$I,MATCH($L2756,分录收入!$L:$L,0)),"")</f>
        <v/>
      </c>
      <c r="H2756" s="23"/>
      <c r="I2756" s="70"/>
      <c r="L2756" s="71" t="n">
        <f aca="false">IF(助手收入!$R$185="",-1,助手收入!$R$185*100+(助手收入!$S$185-1)*6+6)</f>
        <v>-1</v>
      </c>
    </row>
    <row r="2757" customFormat="false" ht="23.25" hidden="false" customHeight="true" outlineLevel="0" collapsed="false">
      <c r="B2757" s="72" t="str">
        <f aca="false">IF(助手收入!$T$185=1,"合计：","")</f>
        <v/>
      </c>
      <c r="C2757" s="73" t="str">
        <f aca="false">IF(助手收入!$T$185=1,$F2757,"")</f>
        <v/>
      </c>
      <c r="D2757" s="74"/>
      <c r="E2757" s="74"/>
      <c r="F2757" s="75" t="str">
        <f aca="false">IF(助手收入!$T$185=1,INDEX(助手收入!$N$2:$N$66,助手收入!$R$185),"")</f>
        <v/>
      </c>
      <c r="G2757" s="76" t="str">
        <f aca="false">IF(助手收入!$T$185=1,INDEX(助手收入!$O$2:$O$66,助手收入!$R$185),"")</f>
        <v/>
      </c>
      <c r="H2757" s="74"/>
      <c r="I2757" s="77"/>
    </row>
    <row r="2758" customFormat="false" ht="6" hidden="false" customHeight="true" outlineLevel="0" collapsed="false"/>
    <row r="2759" customFormat="false" ht="13.5" hidden="false" customHeight="false" outlineLevel="0" collapsed="false">
      <c r="B2759" s="78" t="str">
        <f aca="false">IF(助手收入!$R$185&lt;&gt;"","会计主管：","")</f>
        <v/>
      </c>
      <c r="D2759" s="78" t="str">
        <f aca="false">IF(助手收入!$R$185&lt;&gt;"","会计：","")</f>
        <v/>
      </c>
      <c r="E2759" s="78" t="str">
        <f aca="false">IF(助手收入!$R$185&lt;&gt;"","出纳：","")</f>
        <v/>
      </c>
      <c r="F2759" s="78" t="str">
        <f aca="false">IF(助手收入!$R$185&lt;&gt;"","复核：","")</f>
        <v/>
      </c>
      <c r="G2759" s="78" t="str">
        <f aca="false">IF(助手收入!$R$185&lt;&gt;"","制单：","")</f>
        <v/>
      </c>
    </row>
    <row r="2760" customFormat="false" ht="3" hidden="false" customHeight="true" outlineLevel="0" collapsed="false"/>
    <row r="2761" customFormat="false" ht="19.5" hidden="false" customHeight="true" outlineLevel="0" collapsed="false">
      <c r="B2761" s="53" t="str">
        <f aca="false">IF(助手收入!$R$186&lt;&gt;"","记  账  凭  证","")</f>
        <v/>
      </c>
      <c r="C2761" s="53"/>
      <c r="D2761" s="53"/>
      <c r="E2761" s="53"/>
      <c r="F2761" s="53"/>
      <c r="G2761" s="53"/>
      <c r="H2761" s="53"/>
      <c r="I2761" s="53"/>
    </row>
    <row r="2762" customFormat="false" ht="3" hidden="false" customHeight="true" outlineLevel="0" collapsed="false"/>
    <row r="2763" customFormat="false" ht="15" hidden="false" customHeight="true" outlineLevel="0" collapsed="false">
      <c r="C2763" s="56" t="str">
        <f aca="false">IF(助手收入!$R$186&lt;&gt;"",INDEX(助手收入!$B$2:$B$66,助手收入!$R$186),"")</f>
        <v/>
      </c>
      <c r="D2763" s="57" t="str">
        <f aca="false">IF(助手收入!$R$186&lt;&gt;"",参数!$B$2,"")</f>
        <v/>
      </c>
      <c r="E2763" s="57"/>
      <c r="F2763" s="58" t="str">
        <f aca="false">IF(助手收入!$R$186&lt;&gt;"",INDEX(助手收入!$C$2:$C$66,助手收入!$R$186)&amp;"  字第 "&amp;IF(参数!$B$9="是",INDEX(助手收入!$P$2:$P$66,助手收入!$R$186),"　　　　")&amp;" 号"&amp;IF(INDEX(助手收入!$L$2:$L$66,助手收入!$R$186)&gt;1,"  (共"&amp;INDEX(助手收入!$L$2:$L$66,助手收入!$R$186)&amp;"页 第"&amp;助手收入!$S$186&amp;"页)",""),"")</f>
        <v/>
      </c>
      <c r="G2763" s="58"/>
      <c r="H2763" s="58"/>
      <c r="I2763" s="58"/>
      <c r="M2763" s="79" t="str">
        <f aca="false">IF(助手收入!$R$186="","",助手收入!$Q$186)</f>
        <v/>
      </c>
      <c r="N2763" s="80" t="str">
        <f aca="false">IF(助手收入!$R$186="","",INDEX(助手收入!$P$2:$P$66,助手收入!$R$186))</f>
        <v/>
      </c>
      <c r="O2763" s="55" t="str">
        <f aca="false">IF(助手收入!$R$186="","",INDEX(助手收入!$C$2:$C$66,助手收入!$R$186)&amp;"  字第 "&amp;INDEX(助手收入!$P$2:$P$66,助手收入!$R$186)&amp;" 号"&amp;IF(INDEX(助手收入!$L$2:$L$66,助手收入!$R$186)&gt;1,"  (共"&amp;INDEX(助手收入!$L$2:$L$66,助手收入!$R$186)&amp;"页 第"&amp;助手收入!$S$186&amp;"页)",""))</f>
        <v/>
      </c>
    </row>
    <row r="2764" customFormat="false" ht="12.75" hidden="false" customHeight="true" outlineLevel="0" collapsed="false">
      <c r="B2764" s="61" t="str">
        <f aca="false">IF(助手收入!$R$186&lt;&gt;"","摘　　要","")</f>
        <v/>
      </c>
      <c r="C2764" s="61"/>
      <c r="D2764" s="62" t="str">
        <f aca="false">IF(助手收入!$R$186&lt;&gt;"","科　　　　目","")</f>
        <v/>
      </c>
      <c r="E2764" s="62"/>
      <c r="F2764" s="61" t="str">
        <f aca="false">IF(助手收入!$R$186&lt;&gt;"","借 方 金 额","")</f>
        <v/>
      </c>
      <c r="G2764" s="62" t="str">
        <f aca="false">IF(助手收入!$R$186&lt;&gt;"","贷 方 金 额","")</f>
        <v/>
      </c>
      <c r="H2764" s="63" t="str">
        <f aca="false">IF(助手收入!$R$186&lt;&gt;"","√","")</f>
        <v/>
      </c>
      <c r="I2764" s="64" t="str">
        <f aca="false">IF(助手收入!$R$186&lt;&gt;"","附单据  张","")</f>
        <v/>
      </c>
    </row>
    <row r="2765" customFormat="false" ht="12.75" hidden="false" customHeight="true" outlineLevel="0" collapsed="false">
      <c r="B2765" s="61"/>
      <c r="C2765" s="61"/>
      <c r="D2765" s="23" t="str">
        <f aca="false">IF(助手收入!$R$186&lt;&gt;"","总 账 科 目","")</f>
        <v/>
      </c>
      <c r="E2765" s="23" t="str">
        <f aca="false">IF(助手收入!$R$186&lt;&gt;"","明 细 科 目","")</f>
        <v/>
      </c>
      <c r="F2765" s="65"/>
      <c r="G2765" s="66"/>
      <c r="H2765" s="63"/>
      <c r="I2765" s="64"/>
    </row>
    <row r="2766" customFormat="false" ht="23.25" hidden="false" customHeight="true" outlineLevel="0" collapsed="false">
      <c r="B2766" s="67" t="str">
        <f aca="false">IFERROR(INDEX(分录收入!$M:$M,MATCH($L2766,分录收入!$L:$L,0)),"")</f>
        <v/>
      </c>
      <c r="C2766" s="67"/>
      <c r="D2766" s="23" t="str">
        <f aca="false">IFERROR(INDEX(分录收入!$E:$E,MATCH($L2766,分录收入!$L:$L,0)),"")</f>
        <v/>
      </c>
      <c r="E2766" s="23" t="str">
        <f aca="false">IFERROR(INDEX(分录收入!$F:$F,MATCH($L2766,分录收入!$L:$L,0)),"")</f>
        <v/>
      </c>
      <c r="F2766" s="68" t="str">
        <f aca="false">IFERROR(INDEX(分录收入!$H:$H,MATCH($L2766,分录收入!$L:$L,0)),"")</f>
        <v/>
      </c>
      <c r="G2766" s="69" t="str">
        <f aca="false">IFERROR(INDEX(分录收入!$I:$I,MATCH($L2766,分录收入!$L:$L,0)),"")</f>
        <v/>
      </c>
      <c r="H2766" s="23"/>
      <c r="I2766" s="70"/>
      <c r="L2766" s="71" t="n">
        <f aca="false">IF(助手收入!$R$186="",-1,助手收入!$R$186*100+(助手收入!$S$186-1)*6+1)</f>
        <v>-1</v>
      </c>
    </row>
    <row r="2767" customFormat="false" ht="23.25" hidden="false" customHeight="true" outlineLevel="0" collapsed="false">
      <c r="B2767" s="67" t="str">
        <f aca="false">""</f>
        <v/>
      </c>
      <c r="C2767" s="67"/>
      <c r="D2767" s="23" t="str">
        <f aca="false">IFERROR(INDEX(分录收入!$E:$E,MATCH($L2767,分录收入!$L:$L,0)),"")</f>
        <v/>
      </c>
      <c r="E2767" s="23" t="str">
        <f aca="false">IFERROR(INDEX(分录收入!$F:$F,MATCH($L2767,分录收入!$L:$L,0)),"")</f>
        <v/>
      </c>
      <c r="F2767" s="68" t="str">
        <f aca="false">IFERROR(INDEX(分录收入!$H:$H,MATCH($L2767,分录收入!$L:$L,0)),"")</f>
        <v/>
      </c>
      <c r="G2767" s="69" t="str">
        <f aca="false">IFERROR(INDEX(分录收入!$I:$I,MATCH($L2767,分录收入!$L:$L,0)),"")</f>
        <v/>
      </c>
      <c r="H2767" s="23"/>
      <c r="I2767" s="70"/>
      <c r="L2767" s="71" t="n">
        <f aca="false">IF(助手收入!$R$186="",-1,助手收入!$R$186*100+(助手收入!$S$186-1)*6+2)</f>
        <v>-1</v>
      </c>
    </row>
    <row r="2768" customFormat="false" ht="23.25" hidden="false" customHeight="true" outlineLevel="0" collapsed="false">
      <c r="B2768" s="67" t="str">
        <f aca="false">""</f>
        <v/>
      </c>
      <c r="C2768" s="67"/>
      <c r="D2768" s="23" t="str">
        <f aca="false">IFERROR(INDEX(分录收入!$E:$E,MATCH($L2768,分录收入!$L:$L,0)),"")</f>
        <v/>
      </c>
      <c r="E2768" s="23" t="str">
        <f aca="false">IFERROR(INDEX(分录收入!$F:$F,MATCH($L2768,分录收入!$L:$L,0)),"")</f>
        <v/>
      </c>
      <c r="F2768" s="68" t="str">
        <f aca="false">IFERROR(INDEX(分录收入!$H:$H,MATCH($L2768,分录收入!$L:$L,0)),"")</f>
        <v/>
      </c>
      <c r="G2768" s="69" t="str">
        <f aca="false">IFERROR(INDEX(分录收入!$I:$I,MATCH($L2768,分录收入!$L:$L,0)),"")</f>
        <v/>
      </c>
      <c r="H2768" s="23"/>
      <c r="I2768" s="70"/>
      <c r="L2768" s="71" t="n">
        <f aca="false">IF(助手收入!$R$186="",-1,助手收入!$R$186*100+(助手收入!$S$186-1)*6+3)</f>
        <v>-1</v>
      </c>
    </row>
    <row r="2769" customFormat="false" ht="23.25" hidden="false" customHeight="true" outlineLevel="0" collapsed="false">
      <c r="B2769" s="67" t="str">
        <f aca="false">""</f>
        <v/>
      </c>
      <c r="C2769" s="67"/>
      <c r="D2769" s="23" t="str">
        <f aca="false">IFERROR(INDEX(分录收入!$E:$E,MATCH($L2769,分录收入!$L:$L,0)),"")</f>
        <v/>
      </c>
      <c r="E2769" s="23" t="str">
        <f aca="false">IFERROR(INDEX(分录收入!$F:$F,MATCH($L2769,分录收入!$L:$L,0)),"")</f>
        <v/>
      </c>
      <c r="F2769" s="68" t="str">
        <f aca="false">IFERROR(INDEX(分录收入!$H:$H,MATCH($L2769,分录收入!$L:$L,0)),"")</f>
        <v/>
      </c>
      <c r="G2769" s="69" t="str">
        <f aca="false">IFERROR(INDEX(分录收入!$I:$I,MATCH($L2769,分录收入!$L:$L,0)),"")</f>
        <v/>
      </c>
      <c r="H2769" s="23"/>
      <c r="I2769" s="70"/>
      <c r="L2769" s="71" t="n">
        <f aca="false">IF(助手收入!$R$186="",-1,助手收入!$R$186*100+(助手收入!$S$186-1)*6+4)</f>
        <v>-1</v>
      </c>
    </row>
    <row r="2770" customFormat="false" ht="23.25" hidden="false" customHeight="true" outlineLevel="0" collapsed="false">
      <c r="B2770" s="67" t="str">
        <f aca="false">""</f>
        <v/>
      </c>
      <c r="C2770" s="67"/>
      <c r="D2770" s="23" t="str">
        <f aca="false">IFERROR(INDEX(分录收入!$E:$E,MATCH($L2770,分录收入!$L:$L,0)),"")</f>
        <v/>
      </c>
      <c r="E2770" s="23" t="str">
        <f aca="false">IFERROR(INDEX(分录收入!$F:$F,MATCH($L2770,分录收入!$L:$L,0)),"")</f>
        <v/>
      </c>
      <c r="F2770" s="68" t="str">
        <f aca="false">IFERROR(INDEX(分录收入!$H:$H,MATCH($L2770,分录收入!$L:$L,0)),"")</f>
        <v/>
      </c>
      <c r="G2770" s="69" t="str">
        <f aca="false">IFERROR(INDEX(分录收入!$I:$I,MATCH($L2770,分录收入!$L:$L,0)),"")</f>
        <v/>
      </c>
      <c r="H2770" s="23"/>
      <c r="I2770" s="70"/>
      <c r="L2770" s="71" t="n">
        <f aca="false">IF(助手收入!$R$186="",-1,助手收入!$R$186*100+(助手收入!$S$186-1)*6+5)</f>
        <v>-1</v>
      </c>
    </row>
    <row r="2771" customFormat="false" ht="23.25" hidden="false" customHeight="true" outlineLevel="0" collapsed="false">
      <c r="B2771" s="67" t="str">
        <f aca="false">""</f>
        <v/>
      </c>
      <c r="C2771" s="67"/>
      <c r="D2771" s="23" t="str">
        <f aca="false">IFERROR(INDEX(分录收入!$E:$E,MATCH($L2771,分录收入!$L:$L,0)),"")</f>
        <v/>
      </c>
      <c r="E2771" s="23" t="str">
        <f aca="false">IFERROR(INDEX(分录收入!$F:$F,MATCH($L2771,分录收入!$L:$L,0)),"")</f>
        <v/>
      </c>
      <c r="F2771" s="68" t="str">
        <f aca="false">IFERROR(INDEX(分录收入!$H:$H,MATCH($L2771,分录收入!$L:$L,0)),"")</f>
        <v/>
      </c>
      <c r="G2771" s="69" t="str">
        <f aca="false">IFERROR(INDEX(分录收入!$I:$I,MATCH($L2771,分录收入!$L:$L,0)),"")</f>
        <v/>
      </c>
      <c r="H2771" s="23"/>
      <c r="I2771" s="70"/>
      <c r="L2771" s="71" t="n">
        <f aca="false">IF(助手收入!$R$186="",-1,助手收入!$R$186*100+(助手收入!$S$186-1)*6+6)</f>
        <v>-1</v>
      </c>
    </row>
    <row r="2772" customFormat="false" ht="23.25" hidden="false" customHeight="true" outlineLevel="0" collapsed="false">
      <c r="B2772" s="72" t="str">
        <f aca="false">IF(助手收入!$T$186=1,"合计：","")</f>
        <v/>
      </c>
      <c r="C2772" s="73" t="str">
        <f aca="false">IF(助手收入!$T$186=1,$F2772,"")</f>
        <v/>
      </c>
      <c r="D2772" s="74"/>
      <c r="E2772" s="74"/>
      <c r="F2772" s="75" t="str">
        <f aca="false">IF(助手收入!$T$186=1,INDEX(助手收入!$N$2:$N$66,助手收入!$R$186),"")</f>
        <v/>
      </c>
      <c r="G2772" s="76" t="str">
        <f aca="false">IF(助手收入!$T$186=1,INDEX(助手收入!$O$2:$O$66,助手收入!$R$186),"")</f>
        <v/>
      </c>
      <c r="H2772" s="74"/>
      <c r="I2772" s="77"/>
    </row>
    <row r="2773" customFormat="false" ht="6" hidden="false" customHeight="true" outlineLevel="0" collapsed="false"/>
    <row r="2774" customFormat="false" ht="13.5" hidden="false" customHeight="false" outlineLevel="0" collapsed="false">
      <c r="B2774" s="78" t="str">
        <f aca="false">IF(助手收入!$R$186&lt;&gt;"","会计主管：","")</f>
        <v/>
      </c>
      <c r="D2774" s="78" t="str">
        <f aca="false">IF(助手收入!$R$186&lt;&gt;"","会计：","")</f>
        <v/>
      </c>
      <c r="E2774" s="78" t="str">
        <f aca="false">IF(助手收入!$R$186&lt;&gt;"","出纳：","")</f>
        <v/>
      </c>
      <c r="F2774" s="78" t="str">
        <f aca="false">IF(助手收入!$R$186&lt;&gt;"","复核：","")</f>
        <v/>
      </c>
      <c r="G2774" s="78" t="str">
        <f aca="false">IF(助手收入!$R$186&lt;&gt;"","制单：","")</f>
        <v/>
      </c>
    </row>
    <row r="2775" customFormat="false" ht="3" hidden="false" customHeight="true" outlineLevel="0" collapsed="false"/>
    <row r="2776" customFormat="false" ht="19.5" hidden="false" customHeight="true" outlineLevel="0" collapsed="false">
      <c r="B2776" s="53" t="str">
        <f aca="false">IF(助手收入!$R$187&lt;&gt;"","记  账  凭  证","")</f>
        <v/>
      </c>
      <c r="C2776" s="53"/>
      <c r="D2776" s="53"/>
      <c r="E2776" s="53"/>
      <c r="F2776" s="53"/>
      <c r="G2776" s="53"/>
      <c r="H2776" s="53"/>
      <c r="I2776" s="53"/>
    </row>
    <row r="2777" customFormat="false" ht="3" hidden="false" customHeight="true" outlineLevel="0" collapsed="false"/>
    <row r="2778" customFormat="false" ht="15" hidden="false" customHeight="true" outlineLevel="0" collapsed="false">
      <c r="C2778" s="56" t="str">
        <f aca="false">IF(助手收入!$R$187&lt;&gt;"",INDEX(助手收入!$B$2:$B$66,助手收入!$R$187),"")</f>
        <v/>
      </c>
      <c r="D2778" s="57" t="str">
        <f aca="false">IF(助手收入!$R$187&lt;&gt;"",参数!$B$2,"")</f>
        <v/>
      </c>
      <c r="E2778" s="57"/>
      <c r="F2778" s="58" t="str">
        <f aca="false">IF(助手收入!$R$187&lt;&gt;"",INDEX(助手收入!$C$2:$C$66,助手收入!$R$187)&amp;"  字第 "&amp;IF(参数!$B$9="是",INDEX(助手收入!$P$2:$P$66,助手收入!$R$187),"　　　　")&amp;" 号"&amp;IF(INDEX(助手收入!$L$2:$L$66,助手收入!$R$187)&gt;1,"  (共"&amp;INDEX(助手收入!$L$2:$L$66,助手收入!$R$187)&amp;"页 第"&amp;助手收入!$S$187&amp;"页)",""),"")</f>
        <v/>
      </c>
      <c r="G2778" s="58"/>
      <c r="H2778" s="58"/>
      <c r="I2778" s="58"/>
      <c r="M2778" s="79" t="str">
        <f aca="false">IF(助手收入!$R$187="","",助手收入!$Q$187)</f>
        <v/>
      </c>
      <c r="N2778" s="80" t="str">
        <f aca="false">IF(助手收入!$R$187="","",INDEX(助手收入!$P$2:$P$66,助手收入!$R$187))</f>
        <v/>
      </c>
      <c r="O2778" s="55" t="str">
        <f aca="false">IF(助手收入!$R$187="","",INDEX(助手收入!$C$2:$C$66,助手收入!$R$187)&amp;"  字第 "&amp;INDEX(助手收入!$P$2:$P$66,助手收入!$R$187)&amp;" 号"&amp;IF(INDEX(助手收入!$L$2:$L$66,助手收入!$R$187)&gt;1,"  (共"&amp;INDEX(助手收入!$L$2:$L$66,助手收入!$R$187)&amp;"页 第"&amp;助手收入!$S$187&amp;"页)",""))</f>
        <v/>
      </c>
    </row>
    <row r="2779" customFormat="false" ht="12.75" hidden="false" customHeight="true" outlineLevel="0" collapsed="false">
      <c r="B2779" s="61" t="str">
        <f aca="false">IF(助手收入!$R$187&lt;&gt;"","摘　　要","")</f>
        <v/>
      </c>
      <c r="C2779" s="61"/>
      <c r="D2779" s="62" t="str">
        <f aca="false">IF(助手收入!$R$187&lt;&gt;"","科　　　　目","")</f>
        <v/>
      </c>
      <c r="E2779" s="62"/>
      <c r="F2779" s="61" t="str">
        <f aca="false">IF(助手收入!$R$187&lt;&gt;"","借 方 金 额","")</f>
        <v/>
      </c>
      <c r="G2779" s="62" t="str">
        <f aca="false">IF(助手收入!$R$187&lt;&gt;"","贷 方 金 额","")</f>
        <v/>
      </c>
      <c r="H2779" s="63" t="str">
        <f aca="false">IF(助手收入!$R$187&lt;&gt;"","√","")</f>
        <v/>
      </c>
      <c r="I2779" s="64" t="str">
        <f aca="false">IF(助手收入!$R$187&lt;&gt;"","附单据  张","")</f>
        <v/>
      </c>
    </row>
    <row r="2780" customFormat="false" ht="12.75" hidden="false" customHeight="true" outlineLevel="0" collapsed="false">
      <c r="B2780" s="61"/>
      <c r="C2780" s="61"/>
      <c r="D2780" s="23" t="str">
        <f aca="false">IF(助手收入!$R$187&lt;&gt;"","总 账 科 目","")</f>
        <v/>
      </c>
      <c r="E2780" s="23" t="str">
        <f aca="false">IF(助手收入!$R$187&lt;&gt;"","明 细 科 目","")</f>
        <v/>
      </c>
      <c r="F2780" s="65"/>
      <c r="G2780" s="66"/>
      <c r="H2780" s="63"/>
      <c r="I2780" s="64"/>
    </row>
    <row r="2781" customFormat="false" ht="23.25" hidden="false" customHeight="true" outlineLevel="0" collapsed="false">
      <c r="B2781" s="67" t="str">
        <f aca="false">IFERROR(INDEX(分录收入!$M:$M,MATCH($L2781,分录收入!$L:$L,0)),"")</f>
        <v/>
      </c>
      <c r="C2781" s="67"/>
      <c r="D2781" s="23" t="str">
        <f aca="false">IFERROR(INDEX(分录收入!$E:$E,MATCH($L2781,分录收入!$L:$L,0)),"")</f>
        <v/>
      </c>
      <c r="E2781" s="23" t="str">
        <f aca="false">IFERROR(INDEX(分录收入!$F:$F,MATCH($L2781,分录收入!$L:$L,0)),"")</f>
        <v/>
      </c>
      <c r="F2781" s="68" t="str">
        <f aca="false">IFERROR(INDEX(分录收入!$H:$H,MATCH($L2781,分录收入!$L:$L,0)),"")</f>
        <v/>
      </c>
      <c r="G2781" s="69" t="str">
        <f aca="false">IFERROR(INDEX(分录收入!$I:$I,MATCH($L2781,分录收入!$L:$L,0)),"")</f>
        <v/>
      </c>
      <c r="H2781" s="23"/>
      <c r="I2781" s="70"/>
      <c r="L2781" s="71" t="n">
        <f aca="false">IF(助手收入!$R$187="",-1,助手收入!$R$187*100+(助手收入!$S$187-1)*6+1)</f>
        <v>-1</v>
      </c>
    </row>
    <row r="2782" customFormat="false" ht="23.25" hidden="false" customHeight="true" outlineLevel="0" collapsed="false">
      <c r="B2782" s="67" t="str">
        <f aca="false">""</f>
        <v/>
      </c>
      <c r="C2782" s="67"/>
      <c r="D2782" s="23" t="str">
        <f aca="false">IFERROR(INDEX(分录收入!$E:$E,MATCH($L2782,分录收入!$L:$L,0)),"")</f>
        <v/>
      </c>
      <c r="E2782" s="23" t="str">
        <f aca="false">IFERROR(INDEX(分录收入!$F:$F,MATCH($L2782,分录收入!$L:$L,0)),"")</f>
        <v/>
      </c>
      <c r="F2782" s="68" t="str">
        <f aca="false">IFERROR(INDEX(分录收入!$H:$H,MATCH($L2782,分录收入!$L:$L,0)),"")</f>
        <v/>
      </c>
      <c r="G2782" s="69" t="str">
        <f aca="false">IFERROR(INDEX(分录收入!$I:$I,MATCH($L2782,分录收入!$L:$L,0)),"")</f>
        <v/>
      </c>
      <c r="H2782" s="23"/>
      <c r="I2782" s="70"/>
      <c r="L2782" s="71" t="n">
        <f aca="false">IF(助手收入!$R$187="",-1,助手收入!$R$187*100+(助手收入!$S$187-1)*6+2)</f>
        <v>-1</v>
      </c>
    </row>
    <row r="2783" customFormat="false" ht="23.25" hidden="false" customHeight="true" outlineLevel="0" collapsed="false">
      <c r="B2783" s="67" t="str">
        <f aca="false">""</f>
        <v/>
      </c>
      <c r="C2783" s="67"/>
      <c r="D2783" s="23" t="str">
        <f aca="false">IFERROR(INDEX(分录收入!$E:$E,MATCH($L2783,分录收入!$L:$L,0)),"")</f>
        <v/>
      </c>
      <c r="E2783" s="23" t="str">
        <f aca="false">IFERROR(INDEX(分录收入!$F:$F,MATCH($L2783,分录收入!$L:$L,0)),"")</f>
        <v/>
      </c>
      <c r="F2783" s="68" t="str">
        <f aca="false">IFERROR(INDEX(分录收入!$H:$H,MATCH($L2783,分录收入!$L:$L,0)),"")</f>
        <v/>
      </c>
      <c r="G2783" s="69" t="str">
        <f aca="false">IFERROR(INDEX(分录收入!$I:$I,MATCH($L2783,分录收入!$L:$L,0)),"")</f>
        <v/>
      </c>
      <c r="H2783" s="23"/>
      <c r="I2783" s="70"/>
      <c r="L2783" s="71" t="n">
        <f aca="false">IF(助手收入!$R$187="",-1,助手收入!$R$187*100+(助手收入!$S$187-1)*6+3)</f>
        <v>-1</v>
      </c>
    </row>
    <row r="2784" customFormat="false" ht="23.25" hidden="false" customHeight="true" outlineLevel="0" collapsed="false">
      <c r="B2784" s="67" t="str">
        <f aca="false">""</f>
        <v/>
      </c>
      <c r="C2784" s="67"/>
      <c r="D2784" s="23" t="str">
        <f aca="false">IFERROR(INDEX(分录收入!$E:$E,MATCH($L2784,分录收入!$L:$L,0)),"")</f>
        <v/>
      </c>
      <c r="E2784" s="23" t="str">
        <f aca="false">IFERROR(INDEX(分录收入!$F:$F,MATCH($L2784,分录收入!$L:$L,0)),"")</f>
        <v/>
      </c>
      <c r="F2784" s="68" t="str">
        <f aca="false">IFERROR(INDEX(分录收入!$H:$H,MATCH($L2784,分录收入!$L:$L,0)),"")</f>
        <v/>
      </c>
      <c r="G2784" s="69" t="str">
        <f aca="false">IFERROR(INDEX(分录收入!$I:$I,MATCH($L2784,分录收入!$L:$L,0)),"")</f>
        <v/>
      </c>
      <c r="H2784" s="23"/>
      <c r="I2784" s="70"/>
      <c r="L2784" s="71" t="n">
        <f aca="false">IF(助手收入!$R$187="",-1,助手收入!$R$187*100+(助手收入!$S$187-1)*6+4)</f>
        <v>-1</v>
      </c>
    </row>
    <row r="2785" customFormat="false" ht="23.25" hidden="false" customHeight="true" outlineLevel="0" collapsed="false">
      <c r="B2785" s="67" t="str">
        <f aca="false">""</f>
        <v/>
      </c>
      <c r="C2785" s="67"/>
      <c r="D2785" s="23" t="str">
        <f aca="false">IFERROR(INDEX(分录收入!$E:$E,MATCH($L2785,分录收入!$L:$L,0)),"")</f>
        <v/>
      </c>
      <c r="E2785" s="23" t="str">
        <f aca="false">IFERROR(INDEX(分录收入!$F:$F,MATCH($L2785,分录收入!$L:$L,0)),"")</f>
        <v/>
      </c>
      <c r="F2785" s="68" t="str">
        <f aca="false">IFERROR(INDEX(分录收入!$H:$H,MATCH($L2785,分录收入!$L:$L,0)),"")</f>
        <v/>
      </c>
      <c r="G2785" s="69" t="str">
        <f aca="false">IFERROR(INDEX(分录收入!$I:$I,MATCH($L2785,分录收入!$L:$L,0)),"")</f>
        <v/>
      </c>
      <c r="H2785" s="23"/>
      <c r="I2785" s="70"/>
      <c r="L2785" s="71" t="n">
        <f aca="false">IF(助手收入!$R$187="",-1,助手收入!$R$187*100+(助手收入!$S$187-1)*6+5)</f>
        <v>-1</v>
      </c>
    </row>
    <row r="2786" customFormat="false" ht="23.25" hidden="false" customHeight="true" outlineLevel="0" collapsed="false">
      <c r="B2786" s="67" t="str">
        <f aca="false">""</f>
        <v/>
      </c>
      <c r="C2786" s="67"/>
      <c r="D2786" s="23" t="str">
        <f aca="false">IFERROR(INDEX(分录收入!$E:$E,MATCH($L2786,分录收入!$L:$L,0)),"")</f>
        <v/>
      </c>
      <c r="E2786" s="23" t="str">
        <f aca="false">IFERROR(INDEX(分录收入!$F:$F,MATCH($L2786,分录收入!$L:$L,0)),"")</f>
        <v/>
      </c>
      <c r="F2786" s="68" t="str">
        <f aca="false">IFERROR(INDEX(分录收入!$H:$H,MATCH($L2786,分录收入!$L:$L,0)),"")</f>
        <v/>
      </c>
      <c r="G2786" s="69" t="str">
        <f aca="false">IFERROR(INDEX(分录收入!$I:$I,MATCH($L2786,分录收入!$L:$L,0)),"")</f>
        <v/>
      </c>
      <c r="H2786" s="23"/>
      <c r="I2786" s="70"/>
      <c r="L2786" s="71" t="n">
        <f aca="false">IF(助手收入!$R$187="",-1,助手收入!$R$187*100+(助手收入!$S$187-1)*6+6)</f>
        <v>-1</v>
      </c>
    </row>
    <row r="2787" customFormat="false" ht="23.25" hidden="false" customHeight="true" outlineLevel="0" collapsed="false">
      <c r="B2787" s="72" t="str">
        <f aca="false">IF(助手收入!$T$187=1,"合计：","")</f>
        <v/>
      </c>
      <c r="C2787" s="73" t="str">
        <f aca="false">IF(助手收入!$T$187=1,$F2787,"")</f>
        <v/>
      </c>
      <c r="D2787" s="74"/>
      <c r="E2787" s="74"/>
      <c r="F2787" s="75" t="str">
        <f aca="false">IF(助手收入!$T$187=1,INDEX(助手收入!$N$2:$N$66,助手收入!$R$187),"")</f>
        <v/>
      </c>
      <c r="G2787" s="76" t="str">
        <f aca="false">IF(助手收入!$T$187=1,INDEX(助手收入!$O$2:$O$66,助手收入!$R$187),"")</f>
        <v/>
      </c>
      <c r="H2787" s="74"/>
      <c r="I2787" s="77"/>
    </row>
    <row r="2788" customFormat="false" ht="6" hidden="false" customHeight="true" outlineLevel="0" collapsed="false"/>
    <row r="2789" customFormat="false" ht="13.5" hidden="false" customHeight="false" outlineLevel="0" collapsed="false">
      <c r="B2789" s="78" t="str">
        <f aca="false">IF(助手收入!$R$187&lt;&gt;"","会计主管：","")</f>
        <v/>
      </c>
      <c r="D2789" s="78" t="str">
        <f aca="false">IF(助手收入!$R$187&lt;&gt;"","会计：","")</f>
        <v/>
      </c>
      <c r="E2789" s="78" t="str">
        <f aca="false">IF(助手收入!$R$187&lt;&gt;"","出纳：","")</f>
        <v/>
      </c>
      <c r="F2789" s="78" t="str">
        <f aca="false">IF(助手收入!$R$187&lt;&gt;"","复核：","")</f>
        <v/>
      </c>
      <c r="G2789" s="78" t="str">
        <f aca="false">IF(助手收入!$R$187&lt;&gt;"","制单：","")</f>
        <v/>
      </c>
    </row>
    <row r="2790" customFormat="false" ht="3" hidden="false" customHeight="true" outlineLevel="0" collapsed="false"/>
    <row r="2791" customFormat="false" ht="19.5" hidden="false" customHeight="true" outlineLevel="0" collapsed="false">
      <c r="B2791" s="53" t="str">
        <f aca="false">IF(助手收入!$R$188&lt;&gt;"","记  账  凭  证","")</f>
        <v/>
      </c>
      <c r="C2791" s="53"/>
      <c r="D2791" s="53"/>
      <c r="E2791" s="53"/>
      <c r="F2791" s="53"/>
      <c r="G2791" s="53"/>
      <c r="H2791" s="53"/>
      <c r="I2791" s="53"/>
    </row>
    <row r="2792" customFormat="false" ht="3" hidden="false" customHeight="true" outlineLevel="0" collapsed="false"/>
    <row r="2793" customFormat="false" ht="15" hidden="false" customHeight="true" outlineLevel="0" collapsed="false">
      <c r="C2793" s="56" t="str">
        <f aca="false">IF(助手收入!$R$188&lt;&gt;"",INDEX(助手收入!$B$2:$B$66,助手收入!$R$188),"")</f>
        <v/>
      </c>
      <c r="D2793" s="57" t="str">
        <f aca="false">IF(助手收入!$R$188&lt;&gt;"",参数!$B$2,"")</f>
        <v/>
      </c>
      <c r="E2793" s="57"/>
      <c r="F2793" s="58" t="str">
        <f aca="false">IF(助手收入!$R$188&lt;&gt;"",INDEX(助手收入!$C$2:$C$66,助手收入!$R$188)&amp;"  字第 "&amp;IF(参数!$B$9="是",INDEX(助手收入!$P$2:$P$66,助手收入!$R$188),"　　　　")&amp;" 号"&amp;IF(INDEX(助手收入!$L$2:$L$66,助手收入!$R$188)&gt;1,"  (共"&amp;INDEX(助手收入!$L$2:$L$66,助手收入!$R$188)&amp;"页 第"&amp;助手收入!$S$188&amp;"页)",""),"")</f>
        <v/>
      </c>
      <c r="G2793" s="58"/>
      <c r="H2793" s="58"/>
      <c r="I2793" s="58"/>
      <c r="M2793" s="79" t="str">
        <f aca="false">IF(助手收入!$R$188="","",助手收入!$Q$188)</f>
        <v/>
      </c>
      <c r="N2793" s="80" t="str">
        <f aca="false">IF(助手收入!$R$188="","",INDEX(助手收入!$P$2:$P$66,助手收入!$R$188))</f>
        <v/>
      </c>
      <c r="O2793" s="55" t="str">
        <f aca="false">IF(助手收入!$R$188="","",INDEX(助手收入!$C$2:$C$66,助手收入!$R$188)&amp;"  字第 "&amp;INDEX(助手收入!$P$2:$P$66,助手收入!$R$188)&amp;" 号"&amp;IF(INDEX(助手收入!$L$2:$L$66,助手收入!$R$188)&gt;1,"  (共"&amp;INDEX(助手收入!$L$2:$L$66,助手收入!$R$188)&amp;"页 第"&amp;助手收入!$S$188&amp;"页)",""))</f>
        <v/>
      </c>
    </row>
    <row r="2794" customFormat="false" ht="12.75" hidden="false" customHeight="true" outlineLevel="0" collapsed="false">
      <c r="B2794" s="61" t="str">
        <f aca="false">IF(助手收入!$R$188&lt;&gt;"","摘　　要","")</f>
        <v/>
      </c>
      <c r="C2794" s="61"/>
      <c r="D2794" s="62" t="str">
        <f aca="false">IF(助手收入!$R$188&lt;&gt;"","科　　　　目","")</f>
        <v/>
      </c>
      <c r="E2794" s="62"/>
      <c r="F2794" s="61" t="str">
        <f aca="false">IF(助手收入!$R$188&lt;&gt;"","借 方 金 额","")</f>
        <v/>
      </c>
      <c r="G2794" s="62" t="str">
        <f aca="false">IF(助手收入!$R$188&lt;&gt;"","贷 方 金 额","")</f>
        <v/>
      </c>
      <c r="H2794" s="63" t="str">
        <f aca="false">IF(助手收入!$R$188&lt;&gt;"","√","")</f>
        <v/>
      </c>
      <c r="I2794" s="64" t="str">
        <f aca="false">IF(助手收入!$R$188&lt;&gt;"","附单据  张","")</f>
        <v/>
      </c>
    </row>
    <row r="2795" customFormat="false" ht="12.75" hidden="false" customHeight="true" outlineLevel="0" collapsed="false">
      <c r="B2795" s="61"/>
      <c r="C2795" s="61"/>
      <c r="D2795" s="23" t="str">
        <f aca="false">IF(助手收入!$R$188&lt;&gt;"","总 账 科 目","")</f>
        <v/>
      </c>
      <c r="E2795" s="23" t="str">
        <f aca="false">IF(助手收入!$R$188&lt;&gt;"","明 细 科 目","")</f>
        <v/>
      </c>
      <c r="F2795" s="65"/>
      <c r="G2795" s="66"/>
      <c r="H2795" s="63"/>
      <c r="I2795" s="64"/>
    </row>
    <row r="2796" customFormat="false" ht="23.25" hidden="false" customHeight="true" outlineLevel="0" collapsed="false">
      <c r="B2796" s="67" t="str">
        <f aca="false">IFERROR(INDEX(分录收入!$M:$M,MATCH($L2796,分录收入!$L:$L,0)),"")</f>
        <v/>
      </c>
      <c r="C2796" s="67"/>
      <c r="D2796" s="23" t="str">
        <f aca="false">IFERROR(INDEX(分录收入!$E:$E,MATCH($L2796,分录收入!$L:$L,0)),"")</f>
        <v/>
      </c>
      <c r="E2796" s="23" t="str">
        <f aca="false">IFERROR(INDEX(分录收入!$F:$F,MATCH($L2796,分录收入!$L:$L,0)),"")</f>
        <v/>
      </c>
      <c r="F2796" s="68" t="str">
        <f aca="false">IFERROR(INDEX(分录收入!$H:$H,MATCH($L2796,分录收入!$L:$L,0)),"")</f>
        <v/>
      </c>
      <c r="G2796" s="69" t="str">
        <f aca="false">IFERROR(INDEX(分录收入!$I:$I,MATCH($L2796,分录收入!$L:$L,0)),"")</f>
        <v/>
      </c>
      <c r="H2796" s="23"/>
      <c r="I2796" s="70"/>
      <c r="L2796" s="71" t="n">
        <f aca="false">IF(助手收入!$R$188="",-1,助手收入!$R$188*100+(助手收入!$S$188-1)*6+1)</f>
        <v>-1</v>
      </c>
    </row>
    <row r="2797" customFormat="false" ht="23.25" hidden="false" customHeight="true" outlineLevel="0" collapsed="false">
      <c r="B2797" s="67" t="str">
        <f aca="false">""</f>
        <v/>
      </c>
      <c r="C2797" s="67"/>
      <c r="D2797" s="23" t="str">
        <f aca="false">IFERROR(INDEX(分录收入!$E:$E,MATCH($L2797,分录收入!$L:$L,0)),"")</f>
        <v/>
      </c>
      <c r="E2797" s="23" t="str">
        <f aca="false">IFERROR(INDEX(分录收入!$F:$F,MATCH($L2797,分录收入!$L:$L,0)),"")</f>
        <v/>
      </c>
      <c r="F2797" s="68" t="str">
        <f aca="false">IFERROR(INDEX(分录收入!$H:$H,MATCH($L2797,分录收入!$L:$L,0)),"")</f>
        <v/>
      </c>
      <c r="G2797" s="69" t="str">
        <f aca="false">IFERROR(INDEX(分录收入!$I:$I,MATCH($L2797,分录收入!$L:$L,0)),"")</f>
        <v/>
      </c>
      <c r="H2797" s="23"/>
      <c r="I2797" s="70"/>
      <c r="L2797" s="71" t="n">
        <f aca="false">IF(助手收入!$R$188="",-1,助手收入!$R$188*100+(助手收入!$S$188-1)*6+2)</f>
        <v>-1</v>
      </c>
    </row>
    <row r="2798" customFormat="false" ht="23.25" hidden="false" customHeight="true" outlineLevel="0" collapsed="false">
      <c r="B2798" s="67" t="str">
        <f aca="false">""</f>
        <v/>
      </c>
      <c r="C2798" s="67"/>
      <c r="D2798" s="23" t="str">
        <f aca="false">IFERROR(INDEX(分录收入!$E:$E,MATCH($L2798,分录收入!$L:$L,0)),"")</f>
        <v/>
      </c>
      <c r="E2798" s="23" t="str">
        <f aca="false">IFERROR(INDEX(分录收入!$F:$F,MATCH($L2798,分录收入!$L:$L,0)),"")</f>
        <v/>
      </c>
      <c r="F2798" s="68" t="str">
        <f aca="false">IFERROR(INDEX(分录收入!$H:$H,MATCH($L2798,分录收入!$L:$L,0)),"")</f>
        <v/>
      </c>
      <c r="G2798" s="69" t="str">
        <f aca="false">IFERROR(INDEX(分录收入!$I:$I,MATCH($L2798,分录收入!$L:$L,0)),"")</f>
        <v/>
      </c>
      <c r="H2798" s="23"/>
      <c r="I2798" s="70"/>
      <c r="L2798" s="71" t="n">
        <f aca="false">IF(助手收入!$R$188="",-1,助手收入!$R$188*100+(助手收入!$S$188-1)*6+3)</f>
        <v>-1</v>
      </c>
    </row>
    <row r="2799" customFormat="false" ht="23.25" hidden="false" customHeight="true" outlineLevel="0" collapsed="false">
      <c r="B2799" s="67" t="str">
        <f aca="false">""</f>
        <v/>
      </c>
      <c r="C2799" s="67"/>
      <c r="D2799" s="23" t="str">
        <f aca="false">IFERROR(INDEX(分录收入!$E:$E,MATCH($L2799,分录收入!$L:$L,0)),"")</f>
        <v/>
      </c>
      <c r="E2799" s="23" t="str">
        <f aca="false">IFERROR(INDEX(分录收入!$F:$F,MATCH($L2799,分录收入!$L:$L,0)),"")</f>
        <v/>
      </c>
      <c r="F2799" s="68" t="str">
        <f aca="false">IFERROR(INDEX(分录收入!$H:$H,MATCH($L2799,分录收入!$L:$L,0)),"")</f>
        <v/>
      </c>
      <c r="G2799" s="69" t="str">
        <f aca="false">IFERROR(INDEX(分录收入!$I:$I,MATCH($L2799,分录收入!$L:$L,0)),"")</f>
        <v/>
      </c>
      <c r="H2799" s="23"/>
      <c r="I2799" s="70"/>
      <c r="L2799" s="71" t="n">
        <f aca="false">IF(助手收入!$R$188="",-1,助手收入!$R$188*100+(助手收入!$S$188-1)*6+4)</f>
        <v>-1</v>
      </c>
    </row>
    <row r="2800" customFormat="false" ht="23.25" hidden="false" customHeight="true" outlineLevel="0" collapsed="false">
      <c r="B2800" s="67" t="str">
        <f aca="false">""</f>
        <v/>
      </c>
      <c r="C2800" s="67"/>
      <c r="D2800" s="23" t="str">
        <f aca="false">IFERROR(INDEX(分录收入!$E:$E,MATCH($L2800,分录收入!$L:$L,0)),"")</f>
        <v/>
      </c>
      <c r="E2800" s="23" t="str">
        <f aca="false">IFERROR(INDEX(分录收入!$F:$F,MATCH($L2800,分录收入!$L:$L,0)),"")</f>
        <v/>
      </c>
      <c r="F2800" s="68" t="str">
        <f aca="false">IFERROR(INDEX(分录收入!$H:$H,MATCH($L2800,分录收入!$L:$L,0)),"")</f>
        <v/>
      </c>
      <c r="G2800" s="69" t="str">
        <f aca="false">IFERROR(INDEX(分录收入!$I:$I,MATCH($L2800,分录收入!$L:$L,0)),"")</f>
        <v/>
      </c>
      <c r="H2800" s="23"/>
      <c r="I2800" s="70"/>
      <c r="L2800" s="71" t="n">
        <f aca="false">IF(助手收入!$R$188="",-1,助手收入!$R$188*100+(助手收入!$S$188-1)*6+5)</f>
        <v>-1</v>
      </c>
    </row>
    <row r="2801" customFormat="false" ht="23.25" hidden="false" customHeight="true" outlineLevel="0" collapsed="false">
      <c r="B2801" s="67" t="str">
        <f aca="false">""</f>
        <v/>
      </c>
      <c r="C2801" s="67"/>
      <c r="D2801" s="23" t="str">
        <f aca="false">IFERROR(INDEX(分录收入!$E:$E,MATCH($L2801,分录收入!$L:$L,0)),"")</f>
        <v/>
      </c>
      <c r="E2801" s="23" t="str">
        <f aca="false">IFERROR(INDEX(分录收入!$F:$F,MATCH($L2801,分录收入!$L:$L,0)),"")</f>
        <v/>
      </c>
      <c r="F2801" s="68" t="str">
        <f aca="false">IFERROR(INDEX(分录收入!$H:$H,MATCH($L2801,分录收入!$L:$L,0)),"")</f>
        <v/>
      </c>
      <c r="G2801" s="69" t="str">
        <f aca="false">IFERROR(INDEX(分录收入!$I:$I,MATCH($L2801,分录收入!$L:$L,0)),"")</f>
        <v/>
      </c>
      <c r="H2801" s="23"/>
      <c r="I2801" s="70"/>
      <c r="L2801" s="71" t="n">
        <f aca="false">IF(助手收入!$R$188="",-1,助手收入!$R$188*100+(助手收入!$S$188-1)*6+6)</f>
        <v>-1</v>
      </c>
    </row>
    <row r="2802" customFormat="false" ht="23.25" hidden="false" customHeight="true" outlineLevel="0" collapsed="false">
      <c r="B2802" s="72" t="str">
        <f aca="false">IF(助手收入!$T$188=1,"合计：","")</f>
        <v/>
      </c>
      <c r="C2802" s="73" t="str">
        <f aca="false">IF(助手收入!$T$188=1,$F2802,"")</f>
        <v/>
      </c>
      <c r="D2802" s="74"/>
      <c r="E2802" s="74"/>
      <c r="F2802" s="75" t="str">
        <f aca="false">IF(助手收入!$T$188=1,INDEX(助手收入!$N$2:$N$66,助手收入!$R$188),"")</f>
        <v/>
      </c>
      <c r="G2802" s="76" t="str">
        <f aca="false">IF(助手收入!$T$188=1,INDEX(助手收入!$O$2:$O$66,助手收入!$R$188),"")</f>
        <v/>
      </c>
      <c r="H2802" s="74"/>
      <c r="I2802" s="77"/>
    </row>
    <row r="2803" customFormat="false" ht="6" hidden="false" customHeight="true" outlineLevel="0" collapsed="false"/>
    <row r="2804" customFormat="false" ht="13.5" hidden="false" customHeight="false" outlineLevel="0" collapsed="false">
      <c r="B2804" s="78" t="str">
        <f aca="false">IF(助手收入!$R$188&lt;&gt;"","会计主管：","")</f>
        <v/>
      </c>
      <c r="D2804" s="78" t="str">
        <f aca="false">IF(助手收入!$R$188&lt;&gt;"","会计：","")</f>
        <v/>
      </c>
      <c r="E2804" s="78" t="str">
        <f aca="false">IF(助手收入!$R$188&lt;&gt;"","出纳：","")</f>
        <v/>
      </c>
      <c r="F2804" s="78" t="str">
        <f aca="false">IF(助手收入!$R$188&lt;&gt;"","复核：","")</f>
        <v/>
      </c>
      <c r="G2804" s="78" t="str">
        <f aca="false">IF(助手收入!$R$188&lt;&gt;"","制单：","")</f>
        <v/>
      </c>
    </row>
    <row r="2805" customFormat="false" ht="3" hidden="false" customHeight="true" outlineLevel="0" collapsed="false"/>
    <row r="2806" customFormat="false" ht="19.5" hidden="false" customHeight="true" outlineLevel="0" collapsed="false">
      <c r="B2806" s="53" t="str">
        <f aca="false">IF(助手收入!$R$189&lt;&gt;"","记  账  凭  证","")</f>
        <v/>
      </c>
      <c r="C2806" s="53"/>
      <c r="D2806" s="53"/>
      <c r="E2806" s="53"/>
      <c r="F2806" s="53"/>
      <c r="G2806" s="53"/>
      <c r="H2806" s="53"/>
      <c r="I2806" s="53"/>
    </row>
    <row r="2807" customFormat="false" ht="3" hidden="false" customHeight="true" outlineLevel="0" collapsed="false"/>
    <row r="2808" customFormat="false" ht="15" hidden="false" customHeight="true" outlineLevel="0" collapsed="false">
      <c r="C2808" s="56" t="str">
        <f aca="false">IF(助手收入!$R$189&lt;&gt;"",INDEX(助手收入!$B$2:$B$66,助手收入!$R$189),"")</f>
        <v/>
      </c>
      <c r="D2808" s="57" t="str">
        <f aca="false">IF(助手收入!$R$189&lt;&gt;"",参数!$B$2,"")</f>
        <v/>
      </c>
      <c r="E2808" s="57"/>
      <c r="F2808" s="58" t="str">
        <f aca="false">IF(助手收入!$R$189&lt;&gt;"",INDEX(助手收入!$C$2:$C$66,助手收入!$R$189)&amp;"  字第 "&amp;IF(参数!$B$9="是",INDEX(助手收入!$P$2:$P$66,助手收入!$R$189),"　　　　")&amp;" 号"&amp;IF(INDEX(助手收入!$L$2:$L$66,助手收入!$R$189)&gt;1,"  (共"&amp;INDEX(助手收入!$L$2:$L$66,助手收入!$R$189)&amp;"页 第"&amp;助手收入!$S$189&amp;"页)",""),"")</f>
        <v/>
      </c>
      <c r="G2808" s="58"/>
      <c r="H2808" s="58"/>
      <c r="I2808" s="58"/>
      <c r="M2808" s="79" t="str">
        <f aca="false">IF(助手收入!$R$189="","",助手收入!$Q$189)</f>
        <v/>
      </c>
      <c r="N2808" s="80" t="str">
        <f aca="false">IF(助手收入!$R$189="","",INDEX(助手收入!$P$2:$P$66,助手收入!$R$189))</f>
        <v/>
      </c>
      <c r="O2808" s="55" t="str">
        <f aca="false">IF(助手收入!$R$189="","",INDEX(助手收入!$C$2:$C$66,助手收入!$R$189)&amp;"  字第 "&amp;INDEX(助手收入!$P$2:$P$66,助手收入!$R$189)&amp;" 号"&amp;IF(INDEX(助手收入!$L$2:$L$66,助手收入!$R$189)&gt;1,"  (共"&amp;INDEX(助手收入!$L$2:$L$66,助手收入!$R$189)&amp;"页 第"&amp;助手收入!$S$189&amp;"页)",""))</f>
        <v/>
      </c>
    </row>
    <row r="2809" customFormat="false" ht="12.75" hidden="false" customHeight="true" outlineLevel="0" collapsed="false">
      <c r="B2809" s="61" t="str">
        <f aca="false">IF(助手收入!$R$189&lt;&gt;"","摘　　要","")</f>
        <v/>
      </c>
      <c r="C2809" s="61"/>
      <c r="D2809" s="62" t="str">
        <f aca="false">IF(助手收入!$R$189&lt;&gt;"","科　　　　目","")</f>
        <v/>
      </c>
      <c r="E2809" s="62"/>
      <c r="F2809" s="61" t="str">
        <f aca="false">IF(助手收入!$R$189&lt;&gt;"","借 方 金 额","")</f>
        <v/>
      </c>
      <c r="G2809" s="62" t="str">
        <f aca="false">IF(助手收入!$R$189&lt;&gt;"","贷 方 金 额","")</f>
        <v/>
      </c>
      <c r="H2809" s="63" t="str">
        <f aca="false">IF(助手收入!$R$189&lt;&gt;"","√","")</f>
        <v/>
      </c>
      <c r="I2809" s="64" t="str">
        <f aca="false">IF(助手收入!$R$189&lt;&gt;"","附单据  张","")</f>
        <v/>
      </c>
    </row>
    <row r="2810" customFormat="false" ht="12.75" hidden="false" customHeight="true" outlineLevel="0" collapsed="false">
      <c r="B2810" s="61"/>
      <c r="C2810" s="61"/>
      <c r="D2810" s="23" t="str">
        <f aca="false">IF(助手收入!$R$189&lt;&gt;"","总 账 科 目","")</f>
        <v/>
      </c>
      <c r="E2810" s="23" t="str">
        <f aca="false">IF(助手收入!$R$189&lt;&gt;"","明 细 科 目","")</f>
        <v/>
      </c>
      <c r="F2810" s="65"/>
      <c r="G2810" s="66"/>
      <c r="H2810" s="63"/>
      <c r="I2810" s="64"/>
    </row>
    <row r="2811" customFormat="false" ht="23.25" hidden="false" customHeight="true" outlineLevel="0" collapsed="false">
      <c r="B2811" s="67" t="str">
        <f aca="false">IFERROR(INDEX(分录收入!$M:$M,MATCH($L2811,分录收入!$L:$L,0)),"")</f>
        <v/>
      </c>
      <c r="C2811" s="67"/>
      <c r="D2811" s="23" t="str">
        <f aca="false">IFERROR(INDEX(分录收入!$E:$E,MATCH($L2811,分录收入!$L:$L,0)),"")</f>
        <v/>
      </c>
      <c r="E2811" s="23" t="str">
        <f aca="false">IFERROR(INDEX(分录收入!$F:$F,MATCH($L2811,分录收入!$L:$L,0)),"")</f>
        <v/>
      </c>
      <c r="F2811" s="68" t="str">
        <f aca="false">IFERROR(INDEX(分录收入!$H:$H,MATCH($L2811,分录收入!$L:$L,0)),"")</f>
        <v/>
      </c>
      <c r="G2811" s="69" t="str">
        <f aca="false">IFERROR(INDEX(分录收入!$I:$I,MATCH($L2811,分录收入!$L:$L,0)),"")</f>
        <v/>
      </c>
      <c r="H2811" s="23"/>
      <c r="I2811" s="70"/>
      <c r="L2811" s="71" t="n">
        <f aca="false">IF(助手收入!$R$189="",-1,助手收入!$R$189*100+(助手收入!$S$189-1)*6+1)</f>
        <v>-1</v>
      </c>
    </row>
    <row r="2812" customFormat="false" ht="23.25" hidden="false" customHeight="true" outlineLevel="0" collapsed="false">
      <c r="B2812" s="67" t="str">
        <f aca="false">""</f>
        <v/>
      </c>
      <c r="C2812" s="67"/>
      <c r="D2812" s="23" t="str">
        <f aca="false">IFERROR(INDEX(分录收入!$E:$E,MATCH($L2812,分录收入!$L:$L,0)),"")</f>
        <v/>
      </c>
      <c r="E2812" s="23" t="str">
        <f aca="false">IFERROR(INDEX(分录收入!$F:$F,MATCH($L2812,分录收入!$L:$L,0)),"")</f>
        <v/>
      </c>
      <c r="F2812" s="68" t="str">
        <f aca="false">IFERROR(INDEX(分录收入!$H:$H,MATCH($L2812,分录收入!$L:$L,0)),"")</f>
        <v/>
      </c>
      <c r="G2812" s="69" t="str">
        <f aca="false">IFERROR(INDEX(分录收入!$I:$I,MATCH($L2812,分录收入!$L:$L,0)),"")</f>
        <v/>
      </c>
      <c r="H2812" s="23"/>
      <c r="I2812" s="70"/>
      <c r="L2812" s="71" t="n">
        <f aca="false">IF(助手收入!$R$189="",-1,助手收入!$R$189*100+(助手收入!$S$189-1)*6+2)</f>
        <v>-1</v>
      </c>
    </row>
    <row r="2813" customFormat="false" ht="23.25" hidden="false" customHeight="true" outlineLevel="0" collapsed="false">
      <c r="B2813" s="67" t="str">
        <f aca="false">""</f>
        <v/>
      </c>
      <c r="C2813" s="67"/>
      <c r="D2813" s="23" t="str">
        <f aca="false">IFERROR(INDEX(分录收入!$E:$E,MATCH($L2813,分录收入!$L:$L,0)),"")</f>
        <v/>
      </c>
      <c r="E2813" s="23" t="str">
        <f aca="false">IFERROR(INDEX(分录收入!$F:$F,MATCH($L2813,分录收入!$L:$L,0)),"")</f>
        <v/>
      </c>
      <c r="F2813" s="68" t="str">
        <f aca="false">IFERROR(INDEX(分录收入!$H:$H,MATCH($L2813,分录收入!$L:$L,0)),"")</f>
        <v/>
      </c>
      <c r="G2813" s="69" t="str">
        <f aca="false">IFERROR(INDEX(分录收入!$I:$I,MATCH($L2813,分录收入!$L:$L,0)),"")</f>
        <v/>
      </c>
      <c r="H2813" s="23"/>
      <c r="I2813" s="70"/>
      <c r="L2813" s="71" t="n">
        <f aca="false">IF(助手收入!$R$189="",-1,助手收入!$R$189*100+(助手收入!$S$189-1)*6+3)</f>
        <v>-1</v>
      </c>
    </row>
    <row r="2814" customFormat="false" ht="23.25" hidden="false" customHeight="true" outlineLevel="0" collapsed="false">
      <c r="B2814" s="67" t="str">
        <f aca="false">""</f>
        <v/>
      </c>
      <c r="C2814" s="67"/>
      <c r="D2814" s="23" t="str">
        <f aca="false">IFERROR(INDEX(分录收入!$E:$E,MATCH($L2814,分录收入!$L:$L,0)),"")</f>
        <v/>
      </c>
      <c r="E2814" s="23" t="str">
        <f aca="false">IFERROR(INDEX(分录收入!$F:$F,MATCH($L2814,分录收入!$L:$L,0)),"")</f>
        <v/>
      </c>
      <c r="F2814" s="68" t="str">
        <f aca="false">IFERROR(INDEX(分录收入!$H:$H,MATCH($L2814,分录收入!$L:$L,0)),"")</f>
        <v/>
      </c>
      <c r="G2814" s="69" t="str">
        <f aca="false">IFERROR(INDEX(分录收入!$I:$I,MATCH($L2814,分录收入!$L:$L,0)),"")</f>
        <v/>
      </c>
      <c r="H2814" s="23"/>
      <c r="I2814" s="70"/>
      <c r="L2814" s="71" t="n">
        <f aca="false">IF(助手收入!$R$189="",-1,助手收入!$R$189*100+(助手收入!$S$189-1)*6+4)</f>
        <v>-1</v>
      </c>
    </row>
    <row r="2815" customFormat="false" ht="23.25" hidden="false" customHeight="true" outlineLevel="0" collapsed="false">
      <c r="B2815" s="67" t="str">
        <f aca="false">""</f>
        <v/>
      </c>
      <c r="C2815" s="67"/>
      <c r="D2815" s="23" t="str">
        <f aca="false">IFERROR(INDEX(分录收入!$E:$E,MATCH($L2815,分录收入!$L:$L,0)),"")</f>
        <v/>
      </c>
      <c r="E2815" s="23" t="str">
        <f aca="false">IFERROR(INDEX(分录收入!$F:$F,MATCH($L2815,分录收入!$L:$L,0)),"")</f>
        <v/>
      </c>
      <c r="F2815" s="68" t="str">
        <f aca="false">IFERROR(INDEX(分录收入!$H:$H,MATCH($L2815,分录收入!$L:$L,0)),"")</f>
        <v/>
      </c>
      <c r="G2815" s="69" t="str">
        <f aca="false">IFERROR(INDEX(分录收入!$I:$I,MATCH($L2815,分录收入!$L:$L,0)),"")</f>
        <v/>
      </c>
      <c r="H2815" s="23"/>
      <c r="I2815" s="70"/>
      <c r="L2815" s="71" t="n">
        <f aca="false">IF(助手收入!$R$189="",-1,助手收入!$R$189*100+(助手收入!$S$189-1)*6+5)</f>
        <v>-1</v>
      </c>
    </row>
    <row r="2816" customFormat="false" ht="23.25" hidden="false" customHeight="true" outlineLevel="0" collapsed="false">
      <c r="B2816" s="67" t="str">
        <f aca="false">""</f>
        <v/>
      </c>
      <c r="C2816" s="67"/>
      <c r="D2816" s="23" t="str">
        <f aca="false">IFERROR(INDEX(分录收入!$E:$E,MATCH($L2816,分录收入!$L:$L,0)),"")</f>
        <v/>
      </c>
      <c r="E2816" s="23" t="str">
        <f aca="false">IFERROR(INDEX(分录收入!$F:$F,MATCH($L2816,分录收入!$L:$L,0)),"")</f>
        <v/>
      </c>
      <c r="F2816" s="68" t="str">
        <f aca="false">IFERROR(INDEX(分录收入!$H:$H,MATCH($L2816,分录收入!$L:$L,0)),"")</f>
        <v/>
      </c>
      <c r="G2816" s="69" t="str">
        <f aca="false">IFERROR(INDEX(分录收入!$I:$I,MATCH($L2816,分录收入!$L:$L,0)),"")</f>
        <v/>
      </c>
      <c r="H2816" s="23"/>
      <c r="I2816" s="70"/>
      <c r="L2816" s="71" t="n">
        <f aca="false">IF(助手收入!$R$189="",-1,助手收入!$R$189*100+(助手收入!$S$189-1)*6+6)</f>
        <v>-1</v>
      </c>
    </row>
    <row r="2817" customFormat="false" ht="23.25" hidden="false" customHeight="true" outlineLevel="0" collapsed="false">
      <c r="B2817" s="72" t="str">
        <f aca="false">IF(助手收入!$T$189=1,"合计：","")</f>
        <v/>
      </c>
      <c r="C2817" s="73" t="str">
        <f aca="false">IF(助手收入!$T$189=1,$F2817,"")</f>
        <v/>
      </c>
      <c r="D2817" s="74"/>
      <c r="E2817" s="74"/>
      <c r="F2817" s="75" t="str">
        <f aca="false">IF(助手收入!$T$189=1,INDEX(助手收入!$N$2:$N$66,助手收入!$R$189),"")</f>
        <v/>
      </c>
      <c r="G2817" s="76" t="str">
        <f aca="false">IF(助手收入!$T$189=1,INDEX(助手收入!$O$2:$O$66,助手收入!$R$189),"")</f>
        <v/>
      </c>
      <c r="H2817" s="74"/>
      <c r="I2817" s="77"/>
    </row>
    <row r="2818" customFormat="false" ht="6" hidden="false" customHeight="true" outlineLevel="0" collapsed="false"/>
    <row r="2819" customFormat="false" ht="13.5" hidden="false" customHeight="false" outlineLevel="0" collapsed="false">
      <c r="B2819" s="78" t="str">
        <f aca="false">IF(助手收入!$R$189&lt;&gt;"","会计主管：","")</f>
        <v/>
      </c>
      <c r="D2819" s="78" t="str">
        <f aca="false">IF(助手收入!$R$189&lt;&gt;"","会计：","")</f>
        <v/>
      </c>
      <c r="E2819" s="78" t="str">
        <f aca="false">IF(助手收入!$R$189&lt;&gt;"","出纳：","")</f>
        <v/>
      </c>
      <c r="F2819" s="78" t="str">
        <f aca="false">IF(助手收入!$R$189&lt;&gt;"","复核：","")</f>
        <v/>
      </c>
      <c r="G2819" s="78" t="str">
        <f aca="false">IF(助手收入!$R$189&lt;&gt;"","制单：","")</f>
        <v/>
      </c>
    </row>
    <row r="2820" customFormat="false" ht="3" hidden="false" customHeight="true" outlineLevel="0" collapsed="false"/>
    <row r="2821" customFormat="false" ht="19.5" hidden="false" customHeight="true" outlineLevel="0" collapsed="false">
      <c r="B2821" s="53" t="str">
        <f aca="false">IF(助手收入!$R$190&lt;&gt;"","记  账  凭  证","")</f>
        <v/>
      </c>
      <c r="C2821" s="53"/>
      <c r="D2821" s="53"/>
      <c r="E2821" s="53"/>
      <c r="F2821" s="53"/>
      <c r="G2821" s="53"/>
      <c r="H2821" s="53"/>
      <c r="I2821" s="53"/>
    </row>
    <row r="2822" customFormat="false" ht="3" hidden="false" customHeight="true" outlineLevel="0" collapsed="false"/>
    <row r="2823" customFormat="false" ht="15" hidden="false" customHeight="true" outlineLevel="0" collapsed="false">
      <c r="C2823" s="56" t="str">
        <f aca="false">IF(助手收入!$R$190&lt;&gt;"",INDEX(助手收入!$B$2:$B$66,助手收入!$R$190),"")</f>
        <v/>
      </c>
      <c r="D2823" s="57" t="str">
        <f aca="false">IF(助手收入!$R$190&lt;&gt;"",参数!$B$2,"")</f>
        <v/>
      </c>
      <c r="E2823" s="57"/>
      <c r="F2823" s="58" t="str">
        <f aca="false">IF(助手收入!$R$190&lt;&gt;"",INDEX(助手收入!$C$2:$C$66,助手收入!$R$190)&amp;"  字第 "&amp;IF(参数!$B$9="是",INDEX(助手收入!$P$2:$P$66,助手收入!$R$190),"　　　　")&amp;" 号"&amp;IF(INDEX(助手收入!$L$2:$L$66,助手收入!$R$190)&gt;1,"  (共"&amp;INDEX(助手收入!$L$2:$L$66,助手收入!$R$190)&amp;"页 第"&amp;助手收入!$S$190&amp;"页)",""),"")</f>
        <v/>
      </c>
      <c r="G2823" s="58"/>
      <c r="H2823" s="58"/>
      <c r="I2823" s="58"/>
      <c r="M2823" s="79" t="str">
        <f aca="false">IF(助手收入!$R$190="","",助手收入!$Q$190)</f>
        <v/>
      </c>
      <c r="N2823" s="80" t="str">
        <f aca="false">IF(助手收入!$R$190="","",INDEX(助手收入!$P$2:$P$66,助手收入!$R$190))</f>
        <v/>
      </c>
      <c r="O2823" s="55" t="str">
        <f aca="false">IF(助手收入!$R$190="","",INDEX(助手收入!$C$2:$C$66,助手收入!$R$190)&amp;"  字第 "&amp;INDEX(助手收入!$P$2:$P$66,助手收入!$R$190)&amp;" 号"&amp;IF(INDEX(助手收入!$L$2:$L$66,助手收入!$R$190)&gt;1,"  (共"&amp;INDEX(助手收入!$L$2:$L$66,助手收入!$R$190)&amp;"页 第"&amp;助手收入!$S$190&amp;"页)",""))</f>
        <v/>
      </c>
    </row>
    <row r="2824" customFormat="false" ht="12.75" hidden="false" customHeight="true" outlineLevel="0" collapsed="false">
      <c r="B2824" s="61" t="str">
        <f aca="false">IF(助手收入!$R$190&lt;&gt;"","摘　　要","")</f>
        <v/>
      </c>
      <c r="C2824" s="61"/>
      <c r="D2824" s="62" t="str">
        <f aca="false">IF(助手收入!$R$190&lt;&gt;"","科　　　　目","")</f>
        <v/>
      </c>
      <c r="E2824" s="62"/>
      <c r="F2824" s="61" t="str">
        <f aca="false">IF(助手收入!$R$190&lt;&gt;"","借 方 金 额","")</f>
        <v/>
      </c>
      <c r="G2824" s="62" t="str">
        <f aca="false">IF(助手收入!$R$190&lt;&gt;"","贷 方 金 额","")</f>
        <v/>
      </c>
      <c r="H2824" s="63" t="str">
        <f aca="false">IF(助手收入!$R$190&lt;&gt;"","√","")</f>
        <v/>
      </c>
      <c r="I2824" s="64" t="str">
        <f aca="false">IF(助手收入!$R$190&lt;&gt;"","附单据  张","")</f>
        <v/>
      </c>
    </row>
    <row r="2825" customFormat="false" ht="12.75" hidden="false" customHeight="true" outlineLevel="0" collapsed="false">
      <c r="B2825" s="61"/>
      <c r="C2825" s="61"/>
      <c r="D2825" s="23" t="str">
        <f aca="false">IF(助手收入!$R$190&lt;&gt;"","总 账 科 目","")</f>
        <v/>
      </c>
      <c r="E2825" s="23" t="str">
        <f aca="false">IF(助手收入!$R$190&lt;&gt;"","明 细 科 目","")</f>
        <v/>
      </c>
      <c r="F2825" s="65"/>
      <c r="G2825" s="66"/>
      <c r="H2825" s="63"/>
      <c r="I2825" s="64"/>
    </row>
    <row r="2826" customFormat="false" ht="23.25" hidden="false" customHeight="true" outlineLevel="0" collapsed="false">
      <c r="B2826" s="67" t="str">
        <f aca="false">IFERROR(INDEX(分录收入!$M:$M,MATCH($L2826,分录收入!$L:$L,0)),"")</f>
        <v/>
      </c>
      <c r="C2826" s="67"/>
      <c r="D2826" s="23" t="str">
        <f aca="false">IFERROR(INDEX(分录收入!$E:$E,MATCH($L2826,分录收入!$L:$L,0)),"")</f>
        <v/>
      </c>
      <c r="E2826" s="23" t="str">
        <f aca="false">IFERROR(INDEX(分录收入!$F:$F,MATCH($L2826,分录收入!$L:$L,0)),"")</f>
        <v/>
      </c>
      <c r="F2826" s="68" t="str">
        <f aca="false">IFERROR(INDEX(分录收入!$H:$H,MATCH($L2826,分录收入!$L:$L,0)),"")</f>
        <v/>
      </c>
      <c r="G2826" s="69" t="str">
        <f aca="false">IFERROR(INDEX(分录收入!$I:$I,MATCH($L2826,分录收入!$L:$L,0)),"")</f>
        <v/>
      </c>
      <c r="H2826" s="23"/>
      <c r="I2826" s="70"/>
      <c r="L2826" s="71" t="n">
        <f aca="false">IF(助手收入!$R$190="",-1,助手收入!$R$190*100+(助手收入!$S$190-1)*6+1)</f>
        <v>-1</v>
      </c>
    </row>
    <row r="2827" customFormat="false" ht="23.25" hidden="false" customHeight="true" outlineLevel="0" collapsed="false">
      <c r="B2827" s="67" t="str">
        <f aca="false">""</f>
        <v/>
      </c>
      <c r="C2827" s="67"/>
      <c r="D2827" s="23" t="str">
        <f aca="false">IFERROR(INDEX(分录收入!$E:$E,MATCH($L2827,分录收入!$L:$L,0)),"")</f>
        <v/>
      </c>
      <c r="E2827" s="23" t="str">
        <f aca="false">IFERROR(INDEX(分录收入!$F:$F,MATCH($L2827,分录收入!$L:$L,0)),"")</f>
        <v/>
      </c>
      <c r="F2827" s="68" t="str">
        <f aca="false">IFERROR(INDEX(分录收入!$H:$H,MATCH($L2827,分录收入!$L:$L,0)),"")</f>
        <v/>
      </c>
      <c r="G2827" s="69" t="str">
        <f aca="false">IFERROR(INDEX(分录收入!$I:$I,MATCH($L2827,分录收入!$L:$L,0)),"")</f>
        <v/>
      </c>
      <c r="H2827" s="23"/>
      <c r="I2827" s="70"/>
      <c r="L2827" s="71" t="n">
        <f aca="false">IF(助手收入!$R$190="",-1,助手收入!$R$190*100+(助手收入!$S$190-1)*6+2)</f>
        <v>-1</v>
      </c>
    </row>
    <row r="2828" customFormat="false" ht="23.25" hidden="false" customHeight="true" outlineLevel="0" collapsed="false">
      <c r="B2828" s="67" t="str">
        <f aca="false">""</f>
        <v/>
      </c>
      <c r="C2828" s="67"/>
      <c r="D2828" s="23" t="str">
        <f aca="false">IFERROR(INDEX(分录收入!$E:$E,MATCH($L2828,分录收入!$L:$L,0)),"")</f>
        <v/>
      </c>
      <c r="E2828" s="23" t="str">
        <f aca="false">IFERROR(INDEX(分录收入!$F:$F,MATCH($L2828,分录收入!$L:$L,0)),"")</f>
        <v/>
      </c>
      <c r="F2828" s="68" t="str">
        <f aca="false">IFERROR(INDEX(分录收入!$H:$H,MATCH($L2828,分录收入!$L:$L,0)),"")</f>
        <v/>
      </c>
      <c r="G2828" s="69" t="str">
        <f aca="false">IFERROR(INDEX(分录收入!$I:$I,MATCH($L2828,分录收入!$L:$L,0)),"")</f>
        <v/>
      </c>
      <c r="H2828" s="23"/>
      <c r="I2828" s="70"/>
      <c r="L2828" s="71" t="n">
        <f aca="false">IF(助手收入!$R$190="",-1,助手收入!$R$190*100+(助手收入!$S$190-1)*6+3)</f>
        <v>-1</v>
      </c>
    </row>
    <row r="2829" customFormat="false" ht="23.25" hidden="false" customHeight="true" outlineLevel="0" collapsed="false">
      <c r="B2829" s="67" t="str">
        <f aca="false">""</f>
        <v/>
      </c>
      <c r="C2829" s="67"/>
      <c r="D2829" s="23" t="str">
        <f aca="false">IFERROR(INDEX(分录收入!$E:$E,MATCH($L2829,分录收入!$L:$L,0)),"")</f>
        <v/>
      </c>
      <c r="E2829" s="23" t="str">
        <f aca="false">IFERROR(INDEX(分录收入!$F:$F,MATCH($L2829,分录收入!$L:$L,0)),"")</f>
        <v/>
      </c>
      <c r="F2829" s="68" t="str">
        <f aca="false">IFERROR(INDEX(分录收入!$H:$H,MATCH($L2829,分录收入!$L:$L,0)),"")</f>
        <v/>
      </c>
      <c r="G2829" s="69" t="str">
        <f aca="false">IFERROR(INDEX(分录收入!$I:$I,MATCH($L2829,分录收入!$L:$L,0)),"")</f>
        <v/>
      </c>
      <c r="H2829" s="23"/>
      <c r="I2829" s="70"/>
      <c r="L2829" s="71" t="n">
        <f aca="false">IF(助手收入!$R$190="",-1,助手收入!$R$190*100+(助手收入!$S$190-1)*6+4)</f>
        <v>-1</v>
      </c>
    </row>
    <row r="2830" customFormat="false" ht="23.25" hidden="false" customHeight="true" outlineLevel="0" collapsed="false">
      <c r="B2830" s="67" t="str">
        <f aca="false">""</f>
        <v/>
      </c>
      <c r="C2830" s="67"/>
      <c r="D2830" s="23" t="str">
        <f aca="false">IFERROR(INDEX(分录收入!$E:$E,MATCH($L2830,分录收入!$L:$L,0)),"")</f>
        <v/>
      </c>
      <c r="E2830" s="23" t="str">
        <f aca="false">IFERROR(INDEX(分录收入!$F:$F,MATCH($L2830,分录收入!$L:$L,0)),"")</f>
        <v/>
      </c>
      <c r="F2830" s="68" t="str">
        <f aca="false">IFERROR(INDEX(分录收入!$H:$H,MATCH($L2830,分录收入!$L:$L,0)),"")</f>
        <v/>
      </c>
      <c r="G2830" s="69" t="str">
        <f aca="false">IFERROR(INDEX(分录收入!$I:$I,MATCH($L2830,分录收入!$L:$L,0)),"")</f>
        <v/>
      </c>
      <c r="H2830" s="23"/>
      <c r="I2830" s="70"/>
      <c r="L2830" s="71" t="n">
        <f aca="false">IF(助手收入!$R$190="",-1,助手收入!$R$190*100+(助手收入!$S$190-1)*6+5)</f>
        <v>-1</v>
      </c>
    </row>
    <row r="2831" customFormat="false" ht="23.25" hidden="false" customHeight="true" outlineLevel="0" collapsed="false">
      <c r="B2831" s="67" t="str">
        <f aca="false">""</f>
        <v/>
      </c>
      <c r="C2831" s="67"/>
      <c r="D2831" s="23" t="str">
        <f aca="false">IFERROR(INDEX(分录收入!$E:$E,MATCH($L2831,分录收入!$L:$L,0)),"")</f>
        <v/>
      </c>
      <c r="E2831" s="23" t="str">
        <f aca="false">IFERROR(INDEX(分录收入!$F:$F,MATCH($L2831,分录收入!$L:$L,0)),"")</f>
        <v/>
      </c>
      <c r="F2831" s="68" t="str">
        <f aca="false">IFERROR(INDEX(分录收入!$H:$H,MATCH($L2831,分录收入!$L:$L,0)),"")</f>
        <v/>
      </c>
      <c r="G2831" s="69" t="str">
        <f aca="false">IFERROR(INDEX(分录收入!$I:$I,MATCH($L2831,分录收入!$L:$L,0)),"")</f>
        <v/>
      </c>
      <c r="H2831" s="23"/>
      <c r="I2831" s="70"/>
      <c r="L2831" s="71" t="n">
        <f aca="false">IF(助手收入!$R$190="",-1,助手收入!$R$190*100+(助手收入!$S$190-1)*6+6)</f>
        <v>-1</v>
      </c>
    </row>
    <row r="2832" customFormat="false" ht="23.25" hidden="false" customHeight="true" outlineLevel="0" collapsed="false">
      <c r="B2832" s="72" t="str">
        <f aca="false">IF(助手收入!$T$190=1,"合计：","")</f>
        <v/>
      </c>
      <c r="C2832" s="73" t="str">
        <f aca="false">IF(助手收入!$T$190=1,$F2832,"")</f>
        <v/>
      </c>
      <c r="D2832" s="74"/>
      <c r="E2832" s="74"/>
      <c r="F2832" s="75" t="str">
        <f aca="false">IF(助手收入!$T$190=1,INDEX(助手收入!$N$2:$N$66,助手收入!$R$190),"")</f>
        <v/>
      </c>
      <c r="G2832" s="76" t="str">
        <f aca="false">IF(助手收入!$T$190=1,INDEX(助手收入!$O$2:$O$66,助手收入!$R$190),"")</f>
        <v/>
      </c>
      <c r="H2832" s="74"/>
      <c r="I2832" s="77"/>
    </row>
    <row r="2833" customFormat="false" ht="6" hidden="false" customHeight="true" outlineLevel="0" collapsed="false"/>
    <row r="2834" customFormat="false" ht="13.5" hidden="false" customHeight="false" outlineLevel="0" collapsed="false">
      <c r="B2834" s="78" t="str">
        <f aca="false">IF(助手收入!$R$190&lt;&gt;"","会计主管：","")</f>
        <v/>
      </c>
      <c r="D2834" s="78" t="str">
        <f aca="false">IF(助手收入!$R$190&lt;&gt;"","会计：","")</f>
        <v/>
      </c>
      <c r="E2834" s="78" t="str">
        <f aca="false">IF(助手收入!$R$190&lt;&gt;"","出纳：","")</f>
        <v/>
      </c>
      <c r="F2834" s="78" t="str">
        <f aca="false">IF(助手收入!$R$190&lt;&gt;"","复核：","")</f>
        <v/>
      </c>
      <c r="G2834" s="78" t="str">
        <f aca="false">IF(助手收入!$R$190&lt;&gt;"","制单：","")</f>
        <v/>
      </c>
    </row>
    <row r="2835" customFormat="false" ht="3" hidden="false" customHeight="true" outlineLevel="0" collapsed="false"/>
    <row r="2836" customFormat="false" ht="19.5" hidden="false" customHeight="true" outlineLevel="0" collapsed="false">
      <c r="B2836" s="53" t="str">
        <f aca="false">IF(助手收入!$R$191&lt;&gt;"","记  账  凭  证","")</f>
        <v/>
      </c>
      <c r="C2836" s="53"/>
      <c r="D2836" s="53"/>
      <c r="E2836" s="53"/>
      <c r="F2836" s="53"/>
      <c r="G2836" s="53"/>
      <c r="H2836" s="53"/>
      <c r="I2836" s="53"/>
    </row>
    <row r="2837" customFormat="false" ht="3" hidden="false" customHeight="true" outlineLevel="0" collapsed="false"/>
    <row r="2838" customFormat="false" ht="15" hidden="false" customHeight="true" outlineLevel="0" collapsed="false">
      <c r="C2838" s="56" t="str">
        <f aca="false">IF(助手收入!$R$191&lt;&gt;"",INDEX(助手收入!$B$2:$B$66,助手收入!$R$191),"")</f>
        <v/>
      </c>
      <c r="D2838" s="57" t="str">
        <f aca="false">IF(助手收入!$R$191&lt;&gt;"",参数!$B$2,"")</f>
        <v/>
      </c>
      <c r="E2838" s="57"/>
      <c r="F2838" s="58" t="str">
        <f aca="false">IF(助手收入!$R$191&lt;&gt;"",INDEX(助手收入!$C$2:$C$66,助手收入!$R$191)&amp;"  字第 "&amp;IF(参数!$B$9="是",INDEX(助手收入!$P$2:$P$66,助手收入!$R$191),"　　　　")&amp;" 号"&amp;IF(INDEX(助手收入!$L$2:$L$66,助手收入!$R$191)&gt;1,"  (共"&amp;INDEX(助手收入!$L$2:$L$66,助手收入!$R$191)&amp;"页 第"&amp;助手收入!$S$191&amp;"页)",""),"")</f>
        <v/>
      </c>
      <c r="G2838" s="58"/>
      <c r="H2838" s="58"/>
      <c r="I2838" s="58"/>
      <c r="M2838" s="79" t="str">
        <f aca="false">IF(助手收入!$R$191="","",助手收入!$Q$191)</f>
        <v/>
      </c>
      <c r="N2838" s="80" t="str">
        <f aca="false">IF(助手收入!$R$191="","",INDEX(助手收入!$P$2:$P$66,助手收入!$R$191))</f>
        <v/>
      </c>
      <c r="O2838" s="55" t="str">
        <f aca="false">IF(助手收入!$R$191="","",INDEX(助手收入!$C$2:$C$66,助手收入!$R$191)&amp;"  字第 "&amp;INDEX(助手收入!$P$2:$P$66,助手收入!$R$191)&amp;" 号"&amp;IF(INDEX(助手收入!$L$2:$L$66,助手收入!$R$191)&gt;1,"  (共"&amp;INDEX(助手收入!$L$2:$L$66,助手收入!$R$191)&amp;"页 第"&amp;助手收入!$S$191&amp;"页)",""))</f>
        <v/>
      </c>
    </row>
    <row r="2839" customFormat="false" ht="12.75" hidden="false" customHeight="true" outlineLevel="0" collapsed="false">
      <c r="B2839" s="61" t="str">
        <f aca="false">IF(助手收入!$R$191&lt;&gt;"","摘　　要","")</f>
        <v/>
      </c>
      <c r="C2839" s="61"/>
      <c r="D2839" s="62" t="str">
        <f aca="false">IF(助手收入!$R$191&lt;&gt;"","科　　　　目","")</f>
        <v/>
      </c>
      <c r="E2839" s="62"/>
      <c r="F2839" s="61" t="str">
        <f aca="false">IF(助手收入!$R$191&lt;&gt;"","借 方 金 额","")</f>
        <v/>
      </c>
      <c r="G2839" s="62" t="str">
        <f aca="false">IF(助手收入!$R$191&lt;&gt;"","贷 方 金 额","")</f>
        <v/>
      </c>
      <c r="H2839" s="63" t="str">
        <f aca="false">IF(助手收入!$R$191&lt;&gt;"","√","")</f>
        <v/>
      </c>
      <c r="I2839" s="64" t="str">
        <f aca="false">IF(助手收入!$R$191&lt;&gt;"","附单据  张","")</f>
        <v/>
      </c>
    </row>
    <row r="2840" customFormat="false" ht="12.75" hidden="false" customHeight="true" outlineLevel="0" collapsed="false">
      <c r="B2840" s="61"/>
      <c r="C2840" s="61"/>
      <c r="D2840" s="23" t="str">
        <f aca="false">IF(助手收入!$R$191&lt;&gt;"","总 账 科 目","")</f>
        <v/>
      </c>
      <c r="E2840" s="23" t="str">
        <f aca="false">IF(助手收入!$R$191&lt;&gt;"","明 细 科 目","")</f>
        <v/>
      </c>
      <c r="F2840" s="65"/>
      <c r="G2840" s="66"/>
      <c r="H2840" s="63"/>
      <c r="I2840" s="64"/>
    </row>
    <row r="2841" customFormat="false" ht="23.25" hidden="false" customHeight="true" outlineLevel="0" collapsed="false">
      <c r="B2841" s="67" t="str">
        <f aca="false">IFERROR(INDEX(分录收入!$M:$M,MATCH($L2841,分录收入!$L:$L,0)),"")</f>
        <v/>
      </c>
      <c r="C2841" s="67"/>
      <c r="D2841" s="23" t="str">
        <f aca="false">IFERROR(INDEX(分录收入!$E:$E,MATCH($L2841,分录收入!$L:$L,0)),"")</f>
        <v/>
      </c>
      <c r="E2841" s="23" t="str">
        <f aca="false">IFERROR(INDEX(分录收入!$F:$F,MATCH($L2841,分录收入!$L:$L,0)),"")</f>
        <v/>
      </c>
      <c r="F2841" s="68" t="str">
        <f aca="false">IFERROR(INDEX(分录收入!$H:$H,MATCH($L2841,分录收入!$L:$L,0)),"")</f>
        <v/>
      </c>
      <c r="G2841" s="69" t="str">
        <f aca="false">IFERROR(INDEX(分录收入!$I:$I,MATCH($L2841,分录收入!$L:$L,0)),"")</f>
        <v/>
      </c>
      <c r="H2841" s="23"/>
      <c r="I2841" s="70"/>
      <c r="L2841" s="71" t="n">
        <f aca="false">IF(助手收入!$R$191="",-1,助手收入!$R$191*100+(助手收入!$S$191-1)*6+1)</f>
        <v>-1</v>
      </c>
    </row>
    <row r="2842" customFormat="false" ht="23.25" hidden="false" customHeight="true" outlineLevel="0" collapsed="false">
      <c r="B2842" s="67" t="str">
        <f aca="false">""</f>
        <v/>
      </c>
      <c r="C2842" s="67"/>
      <c r="D2842" s="23" t="str">
        <f aca="false">IFERROR(INDEX(分录收入!$E:$E,MATCH($L2842,分录收入!$L:$L,0)),"")</f>
        <v/>
      </c>
      <c r="E2842" s="23" t="str">
        <f aca="false">IFERROR(INDEX(分录收入!$F:$F,MATCH($L2842,分录收入!$L:$L,0)),"")</f>
        <v/>
      </c>
      <c r="F2842" s="68" t="str">
        <f aca="false">IFERROR(INDEX(分录收入!$H:$H,MATCH($L2842,分录收入!$L:$L,0)),"")</f>
        <v/>
      </c>
      <c r="G2842" s="69" t="str">
        <f aca="false">IFERROR(INDEX(分录收入!$I:$I,MATCH($L2842,分录收入!$L:$L,0)),"")</f>
        <v/>
      </c>
      <c r="H2842" s="23"/>
      <c r="I2842" s="70"/>
      <c r="L2842" s="71" t="n">
        <f aca="false">IF(助手收入!$R$191="",-1,助手收入!$R$191*100+(助手收入!$S$191-1)*6+2)</f>
        <v>-1</v>
      </c>
    </row>
    <row r="2843" customFormat="false" ht="23.25" hidden="false" customHeight="true" outlineLevel="0" collapsed="false">
      <c r="B2843" s="67" t="str">
        <f aca="false">""</f>
        <v/>
      </c>
      <c r="C2843" s="67"/>
      <c r="D2843" s="23" t="str">
        <f aca="false">IFERROR(INDEX(分录收入!$E:$E,MATCH($L2843,分录收入!$L:$L,0)),"")</f>
        <v/>
      </c>
      <c r="E2843" s="23" t="str">
        <f aca="false">IFERROR(INDEX(分录收入!$F:$F,MATCH($L2843,分录收入!$L:$L,0)),"")</f>
        <v/>
      </c>
      <c r="F2843" s="68" t="str">
        <f aca="false">IFERROR(INDEX(分录收入!$H:$H,MATCH($L2843,分录收入!$L:$L,0)),"")</f>
        <v/>
      </c>
      <c r="G2843" s="69" t="str">
        <f aca="false">IFERROR(INDEX(分录收入!$I:$I,MATCH($L2843,分录收入!$L:$L,0)),"")</f>
        <v/>
      </c>
      <c r="H2843" s="23"/>
      <c r="I2843" s="70"/>
      <c r="L2843" s="71" t="n">
        <f aca="false">IF(助手收入!$R$191="",-1,助手收入!$R$191*100+(助手收入!$S$191-1)*6+3)</f>
        <v>-1</v>
      </c>
    </row>
    <row r="2844" customFormat="false" ht="23.25" hidden="false" customHeight="true" outlineLevel="0" collapsed="false">
      <c r="B2844" s="67" t="str">
        <f aca="false">""</f>
        <v/>
      </c>
      <c r="C2844" s="67"/>
      <c r="D2844" s="23" t="str">
        <f aca="false">IFERROR(INDEX(分录收入!$E:$E,MATCH($L2844,分录收入!$L:$L,0)),"")</f>
        <v/>
      </c>
      <c r="E2844" s="23" t="str">
        <f aca="false">IFERROR(INDEX(分录收入!$F:$F,MATCH($L2844,分录收入!$L:$L,0)),"")</f>
        <v/>
      </c>
      <c r="F2844" s="68" t="str">
        <f aca="false">IFERROR(INDEX(分录收入!$H:$H,MATCH($L2844,分录收入!$L:$L,0)),"")</f>
        <v/>
      </c>
      <c r="G2844" s="69" t="str">
        <f aca="false">IFERROR(INDEX(分录收入!$I:$I,MATCH($L2844,分录收入!$L:$L,0)),"")</f>
        <v/>
      </c>
      <c r="H2844" s="23"/>
      <c r="I2844" s="70"/>
      <c r="L2844" s="71" t="n">
        <f aca="false">IF(助手收入!$R$191="",-1,助手收入!$R$191*100+(助手收入!$S$191-1)*6+4)</f>
        <v>-1</v>
      </c>
    </row>
    <row r="2845" customFormat="false" ht="23.25" hidden="false" customHeight="true" outlineLevel="0" collapsed="false">
      <c r="B2845" s="67" t="str">
        <f aca="false">""</f>
        <v/>
      </c>
      <c r="C2845" s="67"/>
      <c r="D2845" s="23" t="str">
        <f aca="false">IFERROR(INDEX(分录收入!$E:$E,MATCH($L2845,分录收入!$L:$L,0)),"")</f>
        <v/>
      </c>
      <c r="E2845" s="23" t="str">
        <f aca="false">IFERROR(INDEX(分录收入!$F:$F,MATCH($L2845,分录收入!$L:$L,0)),"")</f>
        <v/>
      </c>
      <c r="F2845" s="68" t="str">
        <f aca="false">IFERROR(INDEX(分录收入!$H:$H,MATCH($L2845,分录收入!$L:$L,0)),"")</f>
        <v/>
      </c>
      <c r="G2845" s="69" t="str">
        <f aca="false">IFERROR(INDEX(分录收入!$I:$I,MATCH($L2845,分录收入!$L:$L,0)),"")</f>
        <v/>
      </c>
      <c r="H2845" s="23"/>
      <c r="I2845" s="70"/>
      <c r="L2845" s="71" t="n">
        <f aca="false">IF(助手收入!$R$191="",-1,助手收入!$R$191*100+(助手收入!$S$191-1)*6+5)</f>
        <v>-1</v>
      </c>
    </row>
    <row r="2846" customFormat="false" ht="23.25" hidden="false" customHeight="true" outlineLevel="0" collapsed="false">
      <c r="B2846" s="67" t="str">
        <f aca="false">""</f>
        <v/>
      </c>
      <c r="C2846" s="67"/>
      <c r="D2846" s="23" t="str">
        <f aca="false">IFERROR(INDEX(分录收入!$E:$E,MATCH($L2846,分录收入!$L:$L,0)),"")</f>
        <v/>
      </c>
      <c r="E2846" s="23" t="str">
        <f aca="false">IFERROR(INDEX(分录收入!$F:$F,MATCH($L2846,分录收入!$L:$L,0)),"")</f>
        <v/>
      </c>
      <c r="F2846" s="68" t="str">
        <f aca="false">IFERROR(INDEX(分录收入!$H:$H,MATCH($L2846,分录收入!$L:$L,0)),"")</f>
        <v/>
      </c>
      <c r="G2846" s="69" t="str">
        <f aca="false">IFERROR(INDEX(分录收入!$I:$I,MATCH($L2846,分录收入!$L:$L,0)),"")</f>
        <v/>
      </c>
      <c r="H2846" s="23"/>
      <c r="I2846" s="70"/>
      <c r="L2846" s="71" t="n">
        <f aca="false">IF(助手收入!$R$191="",-1,助手收入!$R$191*100+(助手收入!$S$191-1)*6+6)</f>
        <v>-1</v>
      </c>
    </row>
    <row r="2847" customFormat="false" ht="23.25" hidden="false" customHeight="true" outlineLevel="0" collapsed="false">
      <c r="B2847" s="72" t="str">
        <f aca="false">IF(助手收入!$T$191=1,"合计：","")</f>
        <v/>
      </c>
      <c r="C2847" s="73" t="str">
        <f aca="false">IF(助手收入!$T$191=1,$F2847,"")</f>
        <v/>
      </c>
      <c r="D2847" s="74"/>
      <c r="E2847" s="74"/>
      <c r="F2847" s="75" t="str">
        <f aca="false">IF(助手收入!$T$191=1,INDEX(助手收入!$N$2:$N$66,助手收入!$R$191),"")</f>
        <v/>
      </c>
      <c r="G2847" s="76" t="str">
        <f aca="false">IF(助手收入!$T$191=1,INDEX(助手收入!$O$2:$O$66,助手收入!$R$191),"")</f>
        <v/>
      </c>
      <c r="H2847" s="74"/>
      <c r="I2847" s="77"/>
    </row>
    <row r="2848" customFormat="false" ht="6" hidden="false" customHeight="true" outlineLevel="0" collapsed="false"/>
    <row r="2849" customFormat="false" ht="13.5" hidden="false" customHeight="false" outlineLevel="0" collapsed="false">
      <c r="B2849" s="78" t="str">
        <f aca="false">IF(助手收入!$R$191&lt;&gt;"","会计主管：","")</f>
        <v/>
      </c>
      <c r="D2849" s="78" t="str">
        <f aca="false">IF(助手收入!$R$191&lt;&gt;"","会计：","")</f>
        <v/>
      </c>
      <c r="E2849" s="78" t="str">
        <f aca="false">IF(助手收入!$R$191&lt;&gt;"","出纳：","")</f>
        <v/>
      </c>
      <c r="F2849" s="78" t="str">
        <f aca="false">IF(助手收入!$R$191&lt;&gt;"","复核：","")</f>
        <v/>
      </c>
      <c r="G2849" s="78" t="str">
        <f aca="false">IF(助手收入!$R$191&lt;&gt;"","制单：","")</f>
        <v/>
      </c>
    </row>
    <row r="2850" customFormat="false" ht="3" hidden="false" customHeight="true" outlineLevel="0" collapsed="false"/>
    <row r="2851" customFormat="false" ht="19.5" hidden="false" customHeight="true" outlineLevel="0" collapsed="false">
      <c r="B2851" s="53" t="str">
        <f aca="false">IF(助手收入!$R$192&lt;&gt;"","记  账  凭  证","")</f>
        <v/>
      </c>
      <c r="C2851" s="53"/>
      <c r="D2851" s="53"/>
      <c r="E2851" s="53"/>
      <c r="F2851" s="53"/>
      <c r="G2851" s="53"/>
      <c r="H2851" s="53"/>
      <c r="I2851" s="53"/>
    </row>
    <row r="2852" customFormat="false" ht="3" hidden="false" customHeight="true" outlineLevel="0" collapsed="false"/>
    <row r="2853" customFormat="false" ht="15" hidden="false" customHeight="true" outlineLevel="0" collapsed="false">
      <c r="C2853" s="56" t="str">
        <f aca="false">IF(助手收入!$R$192&lt;&gt;"",INDEX(助手收入!$B$2:$B$66,助手收入!$R$192),"")</f>
        <v/>
      </c>
      <c r="D2853" s="57" t="str">
        <f aca="false">IF(助手收入!$R$192&lt;&gt;"",参数!$B$2,"")</f>
        <v/>
      </c>
      <c r="E2853" s="57"/>
      <c r="F2853" s="58" t="str">
        <f aca="false">IF(助手收入!$R$192&lt;&gt;"",INDEX(助手收入!$C$2:$C$66,助手收入!$R$192)&amp;"  字第 "&amp;IF(参数!$B$9="是",INDEX(助手收入!$P$2:$P$66,助手收入!$R$192),"　　　　")&amp;" 号"&amp;IF(INDEX(助手收入!$L$2:$L$66,助手收入!$R$192)&gt;1,"  (共"&amp;INDEX(助手收入!$L$2:$L$66,助手收入!$R$192)&amp;"页 第"&amp;助手收入!$S$192&amp;"页)",""),"")</f>
        <v/>
      </c>
      <c r="G2853" s="58"/>
      <c r="H2853" s="58"/>
      <c r="I2853" s="58"/>
      <c r="M2853" s="79" t="str">
        <f aca="false">IF(助手收入!$R$192="","",助手收入!$Q$192)</f>
        <v/>
      </c>
      <c r="N2853" s="80" t="str">
        <f aca="false">IF(助手收入!$R$192="","",INDEX(助手收入!$P$2:$P$66,助手收入!$R$192))</f>
        <v/>
      </c>
      <c r="O2853" s="55" t="str">
        <f aca="false">IF(助手收入!$R$192="","",INDEX(助手收入!$C$2:$C$66,助手收入!$R$192)&amp;"  字第 "&amp;INDEX(助手收入!$P$2:$P$66,助手收入!$R$192)&amp;" 号"&amp;IF(INDEX(助手收入!$L$2:$L$66,助手收入!$R$192)&gt;1,"  (共"&amp;INDEX(助手收入!$L$2:$L$66,助手收入!$R$192)&amp;"页 第"&amp;助手收入!$S$192&amp;"页)",""))</f>
        <v/>
      </c>
    </row>
    <row r="2854" customFormat="false" ht="12.75" hidden="false" customHeight="true" outlineLevel="0" collapsed="false">
      <c r="B2854" s="61" t="str">
        <f aca="false">IF(助手收入!$R$192&lt;&gt;"","摘　　要","")</f>
        <v/>
      </c>
      <c r="C2854" s="61"/>
      <c r="D2854" s="62" t="str">
        <f aca="false">IF(助手收入!$R$192&lt;&gt;"","科　　　　目","")</f>
        <v/>
      </c>
      <c r="E2854" s="62"/>
      <c r="F2854" s="61" t="str">
        <f aca="false">IF(助手收入!$R$192&lt;&gt;"","借 方 金 额","")</f>
        <v/>
      </c>
      <c r="G2854" s="62" t="str">
        <f aca="false">IF(助手收入!$R$192&lt;&gt;"","贷 方 金 额","")</f>
        <v/>
      </c>
      <c r="H2854" s="63" t="str">
        <f aca="false">IF(助手收入!$R$192&lt;&gt;"","√","")</f>
        <v/>
      </c>
      <c r="I2854" s="64" t="str">
        <f aca="false">IF(助手收入!$R$192&lt;&gt;"","附单据  张","")</f>
        <v/>
      </c>
    </row>
    <row r="2855" customFormat="false" ht="12.75" hidden="false" customHeight="true" outlineLevel="0" collapsed="false">
      <c r="B2855" s="61"/>
      <c r="C2855" s="61"/>
      <c r="D2855" s="23" t="str">
        <f aca="false">IF(助手收入!$R$192&lt;&gt;"","总 账 科 目","")</f>
        <v/>
      </c>
      <c r="E2855" s="23" t="str">
        <f aca="false">IF(助手收入!$R$192&lt;&gt;"","明 细 科 目","")</f>
        <v/>
      </c>
      <c r="F2855" s="65"/>
      <c r="G2855" s="66"/>
      <c r="H2855" s="63"/>
      <c r="I2855" s="64"/>
    </row>
    <row r="2856" customFormat="false" ht="23.25" hidden="false" customHeight="true" outlineLevel="0" collapsed="false">
      <c r="B2856" s="67" t="str">
        <f aca="false">IFERROR(INDEX(分录收入!$M:$M,MATCH($L2856,分录收入!$L:$L,0)),"")</f>
        <v/>
      </c>
      <c r="C2856" s="67"/>
      <c r="D2856" s="23" t="str">
        <f aca="false">IFERROR(INDEX(分录收入!$E:$E,MATCH($L2856,分录收入!$L:$L,0)),"")</f>
        <v/>
      </c>
      <c r="E2856" s="23" t="str">
        <f aca="false">IFERROR(INDEX(分录收入!$F:$F,MATCH($L2856,分录收入!$L:$L,0)),"")</f>
        <v/>
      </c>
      <c r="F2856" s="68" t="str">
        <f aca="false">IFERROR(INDEX(分录收入!$H:$H,MATCH($L2856,分录收入!$L:$L,0)),"")</f>
        <v/>
      </c>
      <c r="G2856" s="69" t="str">
        <f aca="false">IFERROR(INDEX(分录收入!$I:$I,MATCH($L2856,分录收入!$L:$L,0)),"")</f>
        <v/>
      </c>
      <c r="H2856" s="23"/>
      <c r="I2856" s="70"/>
      <c r="L2856" s="71" t="n">
        <f aca="false">IF(助手收入!$R$192="",-1,助手收入!$R$192*100+(助手收入!$S$192-1)*6+1)</f>
        <v>-1</v>
      </c>
    </row>
    <row r="2857" customFormat="false" ht="23.25" hidden="false" customHeight="true" outlineLevel="0" collapsed="false">
      <c r="B2857" s="67" t="str">
        <f aca="false">""</f>
        <v/>
      </c>
      <c r="C2857" s="67"/>
      <c r="D2857" s="23" t="str">
        <f aca="false">IFERROR(INDEX(分录收入!$E:$E,MATCH($L2857,分录收入!$L:$L,0)),"")</f>
        <v/>
      </c>
      <c r="E2857" s="23" t="str">
        <f aca="false">IFERROR(INDEX(分录收入!$F:$F,MATCH($L2857,分录收入!$L:$L,0)),"")</f>
        <v/>
      </c>
      <c r="F2857" s="68" t="str">
        <f aca="false">IFERROR(INDEX(分录收入!$H:$H,MATCH($L2857,分录收入!$L:$L,0)),"")</f>
        <v/>
      </c>
      <c r="G2857" s="69" t="str">
        <f aca="false">IFERROR(INDEX(分录收入!$I:$I,MATCH($L2857,分录收入!$L:$L,0)),"")</f>
        <v/>
      </c>
      <c r="H2857" s="23"/>
      <c r="I2857" s="70"/>
      <c r="L2857" s="71" t="n">
        <f aca="false">IF(助手收入!$R$192="",-1,助手收入!$R$192*100+(助手收入!$S$192-1)*6+2)</f>
        <v>-1</v>
      </c>
    </row>
    <row r="2858" customFormat="false" ht="23.25" hidden="false" customHeight="true" outlineLevel="0" collapsed="false">
      <c r="B2858" s="67" t="str">
        <f aca="false">""</f>
        <v/>
      </c>
      <c r="C2858" s="67"/>
      <c r="D2858" s="23" t="str">
        <f aca="false">IFERROR(INDEX(分录收入!$E:$E,MATCH($L2858,分录收入!$L:$L,0)),"")</f>
        <v/>
      </c>
      <c r="E2858" s="23" t="str">
        <f aca="false">IFERROR(INDEX(分录收入!$F:$F,MATCH($L2858,分录收入!$L:$L,0)),"")</f>
        <v/>
      </c>
      <c r="F2858" s="68" t="str">
        <f aca="false">IFERROR(INDEX(分录收入!$H:$H,MATCH($L2858,分录收入!$L:$L,0)),"")</f>
        <v/>
      </c>
      <c r="G2858" s="69" t="str">
        <f aca="false">IFERROR(INDEX(分录收入!$I:$I,MATCH($L2858,分录收入!$L:$L,0)),"")</f>
        <v/>
      </c>
      <c r="H2858" s="23"/>
      <c r="I2858" s="70"/>
      <c r="L2858" s="71" t="n">
        <f aca="false">IF(助手收入!$R$192="",-1,助手收入!$R$192*100+(助手收入!$S$192-1)*6+3)</f>
        <v>-1</v>
      </c>
    </row>
    <row r="2859" customFormat="false" ht="23.25" hidden="false" customHeight="true" outlineLevel="0" collapsed="false">
      <c r="B2859" s="67" t="str">
        <f aca="false">""</f>
        <v/>
      </c>
      <c r="C2859" s="67"/>
      <c r="D2859" s="23" t="str">
        <f aca="false">IFERROR(INDEX(分录收入!$E:$E,MATCH($L2859,分录收入!$L:$L,0)),"")</f>
        <v/>
      </c>
      <c r="E2859" s="23" t="str">
        <f aca="false">IFERROR(INDEX(分录收入!$F:$F,MATCH($L2859,分录收入!$L:$L,0)),"")</f>
        <v/>
      </c>
      <c r="F2859" s="68" t="str">
        <f aca="false">IFERROR(INDEX(分录收入!$H:$H,MATCH($L2859,分录收入!$L:$L,0)),"")</f>
        <v/>
      </c>
      <c r="G2859" s="69" t="str">
        <f aca="false">IFERROR(INDEX(分录收入!$I:$I,MATCH($L2859,分录收入!$L:$L,0)),"")</f>
        <v/>
      </c>
      <c r="H2859" s="23"/>
      <c r="I2859" s="70"/>
      <c r="L2859" s="71" t="n">
        <f aca="false">IF(助手收入!$R$192="",-1,助手收入!$R$192*100+(助手收入!$S$192-1)*6+4)</f>
        <v>-1</v>
      </c>
    </row>
    <row r="2860" customFormat="false" ht="23.25" hidden="false" customHeight="true" outlineLevel="0" collapsed="false">
      <c r="B2860" s="67" t="str">
        <f aca="false">""</f>
        <v/>
      </c>
      <c r="C2860" s="67"/>
      <c r="D2860" s="23" t="str">
        <f aca="false">IFERROR(INDEX(分录收入!$E:$E,MATCH($L2860,分录收入!$L:$L,0)),"")</f>
        <v/>
      </c>
      <c r="E2860" s="23" t="str">
        <f aca="false">IFERROR(INDEX(分录收入!$F:$F,MATCH($L2860,分录收入!$L:$L,0)),"")</f>
        <v/>
      </c>
      <c r="F2860" s="68" t="str">
        <f aca="false">IFERROR(INDEX(分录收入!$H:$H,MATCH($L2860,分录收入!$L:$L,0)),"")</f>
        <v/>
      </c>
      <c r="G2860" s="69" t="str">
        <f aca="false">IFERROR(INDEX(分录收入!$I:$I,MATCH($L2860,分录收入!$L:$L,0)),"")</f>
        <v/>
      </c>
      <c r="H2860" s="23"/>
      <c r="I2860" s="70"/>
      <c r="L2860" s="71" t="n">
        <f aca="false">IF(助手收入!$R$192="",-1,助手收入!$R$192*100+(助手收入!$S$192-1)*6+5)</f>
        <v>-1</v>
      </c>
    </row>
    <row r="2861" customFormat="false" ht="23.25" hidden="false" customHeight="true" outlineLevel="0" collapsed="false">
      <c r="B2861" s="67" t="str">
        <f aca="false">""</f>
        <v/>
      </c>
      <c r="C2861" s="67"/>
      <c r="D2861" s="23" t="str">
        <f aca="false">IFERROR(INDEX(分录收入!$E:$E,MATCH($L2861,分录收入!$L:$L,0)),"")</f>
        <v/>
      </c>
      <c r="E2861" s="23" t="str">
        <f aca="false">IFERROR(INDEX(分录收入!$F:$F,MATCH($L2861,分录收入!$L:$L,0)),"")</f>
        <v/>
      </c>
      <c r="F2861" s="68" t="str">
        <f aca="false">IFERROR(INDEX(分录收入!$H:$H,MATCH($L2861,分录收入!$L:$L,0)),"")</f>
        <v/>
      </c>
      <c r="G2861" s="69" t="str">
        <f aca="false">IFERROR(INDEX(分录收入!$I:$I,MATCH($L2861,分录收入!$L:$L,0)),"")</f>
        <v/>
      </c>
      <c r="H2861" s="23"/>
      <c r="I2861" s="70"/>
      <c r="L2861" s="71" t="n">
        <f aca="false">IF(助手收入!$R$192="",-1,助手收入!$R$192*100+(助手收入!$S$192-1)*6+6)</f>
        <v>-1</v>
      </c>
    </row>
    <row r="2862" customFormat="false" ht="23.25" hidden="false" customHeight="true" outlineLevel="0" collapsed="false">
      <c r="B2862" s="72" t="str">
        <f aca="false">IF(助手收入!$T$192=1,"合计：","")</f>
        <v/>
      </c>
      <c r="C2862" s="73" t="str">
        <f aca="false">IF(助手收入!$T$192=1,$F2862,"")</f>
        <v/>
      </c>
      <c r="D2862" s="74"/>
      <c r="E2862" s="74"/>
      <c r="F2862" s="75" t="str">
        <f aca="false">IF(助手收入!$T$192=1,INDEX(助手收入!$N$2:$N$66,助手收入!$R$192),"")</f>
        <v/>
      </c>
      <c r="G2862" s="76" t="str">
        <f aca="false">IF(助手收入!$T$192=1,INDEX(助手收入!$O$2:$O$66,助手收入!$R$192),"")</f>
        <v/>
      </c>
      <c r="H2862" s="74"/>
      <c r="I2862" s="77"/>
    </row>
    <row r="2863" customFormat="false" ht="6" hidden="false" customHeight="true" outlineLevel="0" collapsed="false"/>
    <row r="2864" customFormat="false" ht="13.5" hidden="false" customHeight="false" outlineLevel="0" collapsed="false">
      <c r="B2864" s="78" t="str">
        <f aca="false">IF(助手收入!$R$192&lt;&gt;"","会计主管：","")</f>
        <v/>
      </c>
      <c r="D2864" s="78" t="str">
        <f aca="false">IF(助手收入!$R$192&lt;&gt;"","会计：","")</f>
        <v/>
      </c>
      <c r="E2864" s="78" t="str">
        <f aca="false">IF(助手收入!$R$192&lt;&gt;"","出纳：","")</f>
        <v/>
      </c>
      <c r="F2864" s="78" t="str">
        <f aca="false">IF(助手收入!$R$192&lt;&gt;"","复核：","")</f>
        <v/>
      </c>
      <c r="G2864" s="78" t="str">
        <f aca="false">IF(助手收入!$R$192&lt;&gt;"","制单：","")</f>
        <v/>
      </c>
    </row>
    <row r="2865" customFormat="false" ht="3" hidden="false" customHeight="true" outlineLevel="0" collapsed="false"/>
    <row r="2866" customFormat="false" ht="19.5" hidden="false" customHeight="true" outlineLevel="0" collapsed="false">
      <c r="B2866" s="53" t="str">
        <f aca="false">IF(助手收入!$R$193&lt;&gt;"","记  账  凭  证","")</f>
        <v/>
      </c>
      <c r="C2866" s="53"/>
      <c r="D2866" s="53"/>
      <c r="E2866" s="53"/>
      <c r="F2866" s="53"/>
      <c r="G2866" s="53"/>
      <c r="H2866" s="53"/>
      <c r="I2866" s="53"/>
    </row>
    <row r="2867" customFormat="false" ht="3" hidden="false" customHeight="true" outlineLevel="0" collapsed="false"/>
    <row r="2868" customFormat="false" ht="15" hidden="false" customHeight="true" outlineLevel="0" collapsed="false">
      <c r="C2868" s="56" t="str">
        <f aca="false">IF(助手收入!$R$193&lt;&gt;"",INDEX(助手收入!$B$2:$B$66,助手收入!$R$193),"")</f>
        <v/>
      </c>
      <c r="D2868" s="57" t="str">
        <f aca="false">IF(助手收入!$R$193&lt;&gt;"",参数!$B$2,"")</f>
        <v/>
      </c>
      <c r="E2868" s="57"/>
      <c r="F2868" s="58" t="str">
        <f aca="false">IF(助手收入!$R$193&lt;&gt;"",INDEX(助手收入!$C$2:$C$66,助手收入!$R$193)&amp;"  字第 "&amp;IF(参数!$B$9="是",INDEX(助手收入!$P$2:$P$66,助手收入!$R$193),"　　　　")&amp;" 号"&amp;IF(INDEX(助手收入!$L$2:$L$66,助手收入!$R$193)&gt;1,"  (共"&amp;INDEX(助手收入!$L$2:$L$66,助手收入!$R$193)&amp;"页 第"&amp;助手收入!$S$193&amp;"页)",""),"")</f>
        <v/>
      </c>
      <c r="G2868" s="58"/>
      <c r="H2868" s="58"/>
      <c r="I2868" s="58"/>
      <c r="M2868" s="79" t="str">
        <f aca="false">IF(助手收入!$R$193="","",助手收入!$Q$193)</f>
        <v/>
      </c>
      <c r="N2868" s="80" t="str">
        <f aca="false">IF(助手收入!$R$193="","",INDEX(助手收入!$P$2:$P$66,助手收入!$R$193))</f>
        <v/>
      </c>
      <c r="O2868" s="55" t="str">
        <f aca="false">IF(助手收入!$R$193="","",INDEX(助手收入!$C$2:$C$66,助手收入!$R$193)&amp;"  字第 "&amp;INDEX(助手收入!$P$2:$P$66,助手收入!$R$193)&amp;" 号"&amp;IF(INDEX(助手收入!$L$2:$L$66,助手收入!$R$193)&gt;1,"  (共"&amp;INDEX(助手收入!$L$2:$L$66,助手收入!$R$193)&amp;"页 第"&amp;助手收入!$S$193&amp;"页)",""))</f>
        <v/>
      </c>
    </row>
    <row r="2869" customFormat="false" ht="12.75" hidden="false" customHeight="true" outlineLevel="0" collapsed="false">
      <c r="B2869" s="61" t="str">
        <f aca="false">IF(助手收入!$R$193&lt;&gt;"","摘　　要","")</f>
        <v/>
      </c>
      <c r="C2869" s="61"/>
      <c r="D2869" s="62" t="str">
        <f aca="false">IF(助手收入!$R$193&lt;&gt;"","科　　　　目","")</f>
        <v/>
      </c>
      <c r="E2869" s="62"/>
      <c r="F2869" s="61" t="str">
        <f aca="false">IF(助手收入!$R$193&lt;&gt;"","借 方 金 额","")</f>
        <v/>
      </c>
      <c r="G2869" s="62" t="str">
        <f aca="false">IF(助手收入!$R$193&lt;&gt;"","贷 方 金 额","")</f>
        <v/>
      </c>
      <c r="H2869" s="63" t="str">
        <f aca="false">IF(助手收入!$R$193&lt;&gt;"","√","")</f>
        <v/>
      </c>
      <c r="I2869" s="64" t="str">
        <f aca="false">IF(助手收入!$R$193&lt;&gt;"","附单据  张","")</f>
        <v/>
      </c>
    </row>
    <row r="2870" customFormat="false" ht="12.75" hidden="false" customHeight="true" outlineLevel="0" collapsed="false">
      <c r="B2870" s="61"/>
      <c r="C2870" s="61"/>
      <c r="D2870" s="23" t="str">
        <f aca="false">IF(助手收入!$R$193&lt;&gt;"","总 账 科 目","")</f>
        <v/>
      </c>
      <c r="E2870" s="23" t="str">
        <f aca="false">IF(助手收入!$R$193&lt;&gt;"","明 细 科 目","")</f>
        <v/>
      </c>
      <c r="F2870" s="65"/>
      <c r="G2870" s="66"/>
      <c r="H2870" s="63"/>
      <c r="I2870" s="64"/>
    </row>
    <row r="2871" customFormat="false" ht="23.25" hidden="false" customHeight="true" outlineLevel="0" collapsed="false">
      <c r="B2871" s="67" t="str">
        <f aca="false">IFERROR(INDEX(分录收入!$M:$M,MATCH($L2871,分录收入!$L:$L,0)),"")</f>
        <v/>
      </c>
      <c r="C2871" s="67"/>
      <c r="D2871" s="23" t="str">
        <f aca="false">IFERROR(INDEX(分录收入!$E:$E,MATCH($L2871,分录收入!$L:$L,0)),"")</f>
        <v/>
      </c>
      <c r="E2871" s="23" t="str">
        <f aca="false">IFERROR(INDEX(分录收入!$F:$F,MATCH($L2871,分录收入!$L:$L,0)),"")</f>
        <v/>
      </c>
      <c r="F2871" s="68" t="str">
        <f aca="false">IFERROR(INDEX(分录收入!$H:$H,MATCH($L2871,分录收入!$L:$L,0)),"")</f>
        <v/>
      </c>
      <c r="G2871" s="69" t="str">
        <f aca="false">IFERROR(INDEX(分录收入!$I:$I,MATCH($L2871,分录收入!$L:$L,0)),"")</f>
        <v/>
      </c>
      <c r="H2871" s="23"/>
      <c r="I2871" s="70"/>
      <c r="L2871" s="71" t="n">
        <f aca="false">IF(助手收入!$R$193="",-1,助手收入!$R$193*100+(助手收入!$S$193-1)*6+1)</f>
        <v>-1</v>
      </c>
    </row>
    <row r="2872" customFormat="false" ht="23.25" hidden="false" customHeight="true" outlineLevel="0" collapsed="false">
      <c r="B2872" s="67" t="str">
        <f aca="false">""</f>
        <v/>
      </c>
      <c r="C2872" s="67"/>
      <c r="D2872" s="23" t="str">
        <f aca="false">IFERROR(INDEX(分录收入!$E:$E,MATCH($L2872,分录收入!$L:$L,0)),"")</f>
        <v/>
      </c>
      <c r="E2872" s="23" t="str">
        <f aca="false">IFERROR(INDEX(分录收入!$F:$F,MATCH($L2872,分录收入!$L:$L,0)),"")</f>
        <v/>
      </c>
      <c r="F2872" s="68" t="str">
        <f aca="false">IFERROR(INDEX(分录收入!$H:$H,MATCH($L2872,分录收入!$L:$L,0)),"")</f>
        <v/>
      </c>
      <c r="G2872" s="69" t="str">
        <f aca="false">IFERROR(INDEX(分录收入!$I:$I,MATCH($L2872,分录收入!$L:$L,0)),"")</f>
        <v/>
      </c>
      <c r="H2872" s="23"/>
      <c r="I2872" s="70"/>
      <c r="L2872" s="71" t="n">
        <f aca="false">IF(助手收入!$R$193="",-1,助手收入!$R$193*100+(助手收入!$S$193-1)*6+2)</f>
        <v>-1</v>
      </c>
    </row>
    <row r="2873" customFormat="false" ht="23.25" hidden="false" customHeight="true" outlineLevel="0" collapsed="false">
      <c r="B2873" s="67" t="str">
        <f aca="false">""</f>
        <v/>
      </c>
      <c r="C2873" s="67"/>
      <c r="D2873" s="23" t="str">
        <f aca="false">IFERROR(INDEX(分录收入!$E:$E,MATCH($L2873,分录收入!$L:$L,0)),"")</f>
        <v/>
      </c>
      <c r="E2873" s="23" t="str">
        <f aca="false">IFERROR(INDEX(分录收入!$F:$F,MATCH($L2873,分录收入!$L:$L,0)),"")</f>
        <v/>
      </c>
      <c r="F2873" s="68" t="str">
        <f aca="false">IFERROR(INDEX(分录收入!$H:$H,MATCH($L2873,分录收入!$L:$L,0)),"")</f>
        <v/>
      </c>
      <c r="G2873" s="69" t="str">
        <f aca="false">IFERROR(INDEX(分录收入!$I:$I,MATCH($L2873,分录收入!$L:$L,0)),"")</f>
        <v/>
      </c>
      <c r="H2873" s="23"/>
      <c r="I2873" s="70"/>
      <c r="L2873" s="71" t="n">
        <f aca="false">IF(助手收入!$R$193="",-1,助手收入!$R$193*100+(助手收入!$S$193-1)*6+3)</f>
        <v>-1</v>
      </c>
    </row>
    <row r="2874" customFormat="false" ht="23.25" hidden="false" customHeight="true" outlineLevel="0" collapsed="false">
      <c r="B2874" s="67" t="str">
        <f aca="false">""</f>
        <v/>
      </c>
      <c r="C2874" s="67"/>
      <c r="D2874" s="23" t="str">
        <f aca="false">IFERROR(INDEX(分录收入!$E:$E,MATCH($L2874,分录收入!$L:$L,0)),"")</f>
        <v/>
      </c>
      <c r="E2874" s="23" t="str">
        <f aca="false">IFERROR(INDEX(分录收入!$F:$F,MATCH($L2874,分录收入!$L:$L,0)),"")</f>
        <v/>
      </c>
      <c r="F2874" s="68" t="str">
        <f aca="false">IFERROR(INDEX(分录收入!$H:$H,MATCH($L2874,分录收入!$L:$L,0)),"")</f>
        <v/>
      </c>
      <c r="G2874" s="69" t="str">
        <f aca="false">IFERROR(INDEX(分录收入!$I:$I,MATCH($L2874,分录收入!$L:$L,0)),"")</f>
        <v/>
      </c>
      <c r="H2874" s="23"/>
      <c r="I2874" s="70"/>
      <c r="L2874" s="71" t="n">
        <f aca="false">IF(助手收入!$R$193="",-1,助手收入!$R$193*100+(助手收入!$S$193-1)*6+4)</f>
        <v>-1</v>
      </c>
    </row>
    <row r="2875" customFormat="false" ht="23.25" hidden="false" customHeight="true" outlineLevel="0" collapsed="false">
      <c r="B2875" s="67" t="str">
        <f aca="false">""</f>
        <v/>
      </c>
      <c r="C2875" s="67"/>
      <c r="D2875" s="23" t="str">
        <f aca="false">IFERROR(INDEX(分录收入!$E:$E,MATCH($L2875,分录收入!$L:$L,0)),"")</f>
        <v/>
      </c>
      <c r="E2875" s="23" t="str">
        <f aca="false">IFERROR(INDEX(分录收入!$F:$F,MATCH($L2875,分录收入!$L:$L,0)),"")</f>
        <v/>
      </c>
      <c r="F2875" s="68" t="str">
        <f aca="false">IFERROR(INDEX(分录收入!$H:$H,MATCH($L2875,分录收入!$L:$L,0)),"")</f>
        <v/>
      </c>
      <c r="G2875" s="69" t="str">
        <f aca="false">IFERROR(INDEX(分录收入!$I:$I,MATCH($L2875,分录收入!$L:$L,0)),"")</f>
        <v/>
      </c>
      <c r="H2875" s="23"/>
      <c r="I2875" s="70"/>
      <c r="L2875" s="71" t="n">
        <f aca="false">IF(助手收入!$R$193="",-1,助手收入!$R$193*100+(助手收入!$S$193-1)*6+5)</f>
        <v>-1</v>
      </c>
    </row>
    <row r="2876" customFormat="false" ht="23.25" hidden="false" customHeight="true" outlineLevel="0" collapsed="false">
      <c r="B2876" s="67" t="str">
        <f aca="false">""</f>
        <v/>
      </c>
      <c r="C2876" s="67"/>
      <c r="D2876" s="23" t="str">
        <f aca="false">IFERROR(INDEX(分录收入!$E:$E,MATCH($L2876,分录收入!$L:$L,0)),"")</f>
        <v/>
      </c>
      <c r="E2876" s="23" t="str">
        <f aca="false">IFERROR(INDEX(分录收入!$F:$F,MATCH($L2876,分录收入!$L:$L,0)),"")</f>
        <v/>
      </c>
      <c r="F2876" s="68" t="str">
        <f aca="false">IFERROR(INDEX(分录收入!$H:$H,MATCH($L2876,分录收入!$L:$L,0)),"")</f>
        <v/>
      </c>
      <c r="G2876" s="69" t="str">
        <f aca="false">IFERROR(INDEX(分录收入!$I:$I,MATCH($L2876,分录收入!$L:$L,0)),"")</f>
        <v/>
      </c>
      <c r="H2876" s="23"/>
      <c r="I2876" s="70"/>
      <c r="L2876" s="71" t="n">
        <f aca="false">IF(助手收入!$R$193="",-1,助手收入!$R$193*100+(助手收入!$S$193-1)*6+6)</f>
        <v>-1</v>
      </c>
    </row>
    <row r="2877" customFormat="false" ht="23.25" hidden="false" customHeight="true" outlineLevel="0" collapsed="false">
      <c r="B2877" s="72" t="str">
        <f aca="false">IF(助手收入!$T$193=1,"合计：","")</f>
        <v/>
      </c>
      <c r="C2877" s="73" t="str">
        <f aca="false">IF(助手收入!$T$193=1,$F2877,"")</f>
        <v/>
      </c>
      <c r="D2877" s="74"/>
      <c r="E2877" s="74"/>
      <c r="F2877" s="75" t="str">
        <f aca="false">IF(助手收入!$T$193=1,INDEX(助手收入!$N$2:$N$66,助手收入!$R$193),"")</f>
        <v/>
      </c>
      <c r="G2877" s="76" t="str">
        <f aca="false">IF(助手收入!$T$193=1,INDEX(助手收入!$O$2:$O$66,助手收入!$R$193),"")</f>
        <v/>
      </c>
      <c r="H2877" s="74"/>
      <c r="I2877" s="77"/>
    </row>
    <row r="2878" customFormat="false" ht="6" hidden="false" customHeight="true" outlineLevel="0" collapsed="false"/>
    <row r="2879" customFormat="false" ht="13.5" hidden="false" customHeight="false" outlineLevel="0" collapsed="false">
      <c r="B2879" s="78" t="str">
        <f aca="false">IF(助手收入!$R$193&lt;&gt;"","会计主管：","")</f>
        <v/>
      </c>
      <c r="D2879" s="78" t="str">
        <f aca="false">IF(助手收入!$R$193&lt;&gt;"","会计：","")</f>
        <v/>
      </c>
      <c r="E2879" s="78" t="str">
        <f aca="false">IF(助手收入!$R$193&lt;&gt;"","出纳：","")</f>
        <v/>
      </c>
      <c r="F2879" s="78" t="str">
        <f aca="false">IF(助手收入!$R$193&lt;&gt;"","复核：","")</f>
        <v/>
      </c>
      <c r="G2879" s="78" t="str">
        <f aca="false">IF(助手收入!$R$193&lt;&gt;"","制单：","")</f>
        <v/>
      </c>
    </row>
    <row r="2880" customFormat="false" ht="3" hidden="false" customHeight="true" outlineLevel="0" collapsed="false"/>
    <row r="2881" customFormat="false" ht="19.5" hidden="false" customHeight="true" outlineLevel="0" collapsed="false">
      <c r="B2881" s="53" t="str">
        <f aca="false">IF(助手收入!$R$194&lt;&gt;"","记  账  凭  证","")</f>
        <v/>
      </c>
      <c r="C2881" s="53"/>
      <c r="D2881" s="53"/>
      <c r="E2881" s="53"/>
      <c r="F2881" s="53"/>
      <c r="G2881" s="53"/>
      <c r="H2881" s="53"/>
      <c r="I2881" s="53"/>
    </row>
    <row r="2882" customFormat="false" ht="3" hidden="false" customHeight="true" outlineLevel="0" collapsed="false"/>
    <row r="2883" customFormat="false" ht="15" hidden="false" customHeight="true" outlineLevel="0" collapsed="false">
      <c r="C2883" s="56" t="str">
        <f aca="false">IF(助手收入!$R$194&lt;&gt;"",INDEX(助手收入!$B$2:$B$66,助手收入!$R$194),"")</f>
        <v/>
      </c>
      <c r="D2883" s="57" t="str">
        <f aca="false">IF(助手收入!$R$194&lt;&gt;"",参数!$B$2,"")</f>
        <v/>
      </c>
      <c r="E2883" s="57"/>
      <c r="F2883" s="58" t="str">
        <f aca="false">IF(助手收入!$R$194&lt;&gt;"",INDEX(助手收入!$C$2:$C$66,助手收入!$R$194)&amp;"  字第 "&amp;IF(参数!$B$9="是",INDEX(助手收入!$P$2:$P$66,助手收入!$R$194),"　　　　")&amp;" 号"&amp;IF(INDEX(助手收入!$L$2:$L$66,助手收入!$R$194)&gt;1,"  (共"&amp;INDEX(助手收入!$L$2:$L$66,助手收入!$R$194)&amp;"页 第"&amp;助手收入!$S$194&amp;"页)",""),"")</f>
        <v/>
      </c>
      <c r="G2883" s="58"/>
      <c r="H2883" s="58"/>
      <c r="I2883" s="58"/>
      <c r="M2883" s="79" t="str">
        <f aca="false">IF(助手收入!$R$194="","",助手收入!$Q$194)</f>
        <v/>
      </c>
      <c r="N2883" s="80" t="str">
        <f aca="false">IF(助手收入!$R$194="","",INDEX(助手收入!$P$2:$P$66,助手收入!$R$194))</f>
        <v/>
      </c>
      <c r="O2883" s="55" t="str">
        <f aca="false">IF(助手收入!$R$194="","",INDEX(助手收入!$C$2:$C$66,助手收入!$R$194)&amp;"  字第 "&amp;INDEX(助手收入!$P$2:$P$66,助手收入!$R$194)&amp;" 号"&amp;IF(INDEX(助手收入!$L$2:$L$66,助手收入!$R$194)&gt;1,"  (共"&amp;INDEX(助手收入!$L$2:$L$66,助手收入!$R$194)&amp;"页 第"&amp;助手收入!$S$194&amp;"页)",""))</f>
        <v/>
      </c>
    </row>
    <row r="2884" customFormat="false" ht="12.75" hidden="false" customHeight="true" outlineLevel="0" collapsed="false">
      <c r="B2884" s="61" t="str">
        <f aca="false">IF(助手收入!$R$194&lt;&gt;"","摘　　要","")</f>
        <v/>
      </c>
      <c r="C2884" s="61"/>
      <c r="D2884" s="62" t="str">
        <f aca="false">IF(助手收入!$R$194&lt;&gt;"","科　　　　目","")</f>
        <v/>
      </c>
      <c r="E2884" s="62"/>
      <c r="F2884" s="61" t="str">
        <f aca="false">IF(助手收入!$R$194&lt;&gt;"","借 方 金 额","")</f>
        <v/>
      </c>
      <c r="G2884" s="62" t="str">
        <f aca="false">IF(助手收入!$R$194&lt;&gt;"","贷 方 金 额","")</f>
        <v/>
      </c>
      <c r="H2884" s="63" t="str">
        <f aca="false">IF(助手收入!$R$194&lt;&gt;"","√","")</f>
        <v/>
      </c>
      <c r="I2884" s="64" t="str">
        <f aca="false">IF(助手收入!$R$194&lt;&gt;"","附单据  张","")</f>
        <v/>
      </c>
    </row>
    <row r="2885" customFormat="false" ht="12.75" hidden="false" customHeight="true" outlineLevel="0" collapsed="false">
      <c r="B2885" s="61"/>
      <c r="C2885" s="61"/>
      <c r="D2885" s="23" t="str">
        <f aca="false">IF(助手收入!$R$194&lt;&gt;"","总 账 科 目","")</f>
        <v/>
      </c>
      <c r="E2885" s="23" t="str">
        <f aca="false">IF(助手收入!$R$194&lt;&gt;"","明 细 科 目","")</f>
        <v/>
      </c>
      <c r="F2885" s="65"/>
      <c r="G2885" s="66"/>
      <c r="H2885" s="63"/>
      <c r="I2885" s="64"/>
    </row>
    <row r="2886" customFormat="false" ht="23.25" hidden="false" customHeight="true" outlineLevel="0" collapsed="false">
      <c r="B2886" s="67" t="str">
        <f aca="false">IFERROR(INDEX(分录收入!$M:$M,MATCH($L2886,分录收入!$L:$L,0)),"")</f>
        <v/>
      </c>
      <c r="C2886" s="67"/>
      <c r="D2886" s="23" t="str">
        <f aca="false">IFERROR(INDEX(分录收入!$E:$E,MATCH($L2886,分录收入!$L:$L,0)),"")</f>
        <v/>
      </c>
      <c r="E2886" s="23" t="str">
        <f aca="false">IFERROR(INDEX(分录收入!$F:$F,MATCH($L2886,分录收入!$L:$L,0)),"")</f>
        <v/>
      </c>
      <c r="F2886" s="68" t="str">
        <f aca="false">IFERROR(INDEX(分录收入!$H:$H,MATCH($L2886,分录收入!$L:$L,0)),"")</f>
        <v/>
      </c>
      <c r="G2886" s="69" t="str">
        <f aca="false">IFERROR(INDEX(分录收入!$I:$I,MATCH($L2886,分录收入!$L:$L,0)),"")</f>
        <v/>
      </c>
      <c r="H2886" s="23"/>
      <c r="I2886" s="70"/>
      <c r="L2886" s="71" t="n">
        <f aca="false">IF(助手收入!$R$194="",-1,助手收入!$R$194*100+(助手收入!$S$194-1)*6+1)</f>
        <v>-1</v>
      </c>
    </row>
    <row r="2887" customFormat="false" ht="23.25" hidden="false" customHeight="true" outlineLevel="0" collapsed="false">
      <c r="B2887" s="67" t="str">
        <f aca="false">""</f>
        <v/>
      </c>
      <c r="C2887" s="67"/>
      <c r="D2887" s="23" t="str">
        <f aca="false">IFERROR(INDEX(分录收入!$E:$E,MATCH($L2887,分录收入!$L:$L,0)),"")</f>
        <v/>
      </c>
      <c r="E2887" s="23" t="str">
        <f aca="false">IFERROR(INDEX(分录收入!$F:$F,MATCH($L2887,分录收入!$L:$L,0)),"")</f>
        <v/>
      </c>
      <c r="F2887" s="68" t="str">
        <f aca="false">IFERROR(INDEX(分录收入!$H:$H,MATCH($L2887,分录收入!$L:$L,0)),"")</f>
        <v/>
      </c>
      <c r="G2887" s="69" t="str">
        <f aca="false">IFERROR(INDEX(分录收入!$I:$I,MATCH($L2887,分录收入!$L:$L,0)),"")</f>
        <v/>
      </c>
      <c r="H2887" s="23"/>
      <c r="I2887" s="70"/>
      <c r="L2887" s="71" t="n">
        <f aca="false">IF(助手收入!$R$194="",-1,助手收入!$R$194*100+(助手收入!$S$194-1)*6+2)</f>
        <v>-1</v>
      </c>
    </row>
    <row r="2888" customFormat="false" ht="23.25" hidden="false" customHeight="true" outlineLevel="0" collapsed="false">
      <c r="B2888" s="67" t="str">
        <f aca="false">""</f>
        <v/>
      </c>
      <c r="C2888" s="67"/>
      <c r="D2888" s="23" t="str">
        <f aca="false">IFERROR(INDEX(分录收入!$E:$E,MATCH($L2888,分录收入!$L:$L,0)),"")</f>
        <v/>
      </c>
      <c r="E2888" s="23" t="str">
        <f aca="false">IFERROR(INDEX(分录收入!$F:$F,MATCH($L2888,分录收入!$L:$L,0)),"")</f>
        <v/>
      </c>
      <c r="F2888" s="68" t="str">
        <f aca="false">IFERROR(INDEX(分录收入!$H:$H,MATCH($L2888,分录收入!$L:$L,0)),"")</f>
        <v/>
      </c>
      <c r="G2888" s="69" t="str">
        <f aca="false">IFERROR(INDEX(分录收入!$I:$I,MATCH($L2888,分录收入!$L:$L,0)),"")</f>
        <v/>
      </c>
      <c r="H2888" s="23"/>
      <c r="I2888" s="70"/>
      <c r="L2888" s="71" t="n">
        <f aca="false">IF(助手收入!$R$194="",-1,助手收入!$R$194*100+(助手收入!$S$194-1)*6+3)</f>
        <v>-1</v>
      </c>
    </row>
    <row r="2889" customFormat="false" ht="23.25" hidden="false" customHeight="true" outlineLevel="0" collapsed="false">
      <c r="B2889" s="67" t="str">
        <f aca="false">""</f>
        <v/>
      </c>
      <c r="C2889" s="67"/>
      <c r="D2889" s="23" t="str">
        <f aca="false">IFERROR(INDEX(分录收入!$E:$E,MATCH($L2889,分录收入!$L:$L,0)),"")</f>
        <v/>
      </c>
      <c r="E2889" s="23" t="str">
        <f aca="false">IFERROR(INDEX(分录收入!$F:$F,MATCH($L2889,分录收入!$L:$L,0)),"")</f>
        <v/>
      </c>
      <c r="F2889" s="68" t="str">
        <f aca="false">IFERROR(INDEX(分录收入!$H:$H,MATCH($L2889,分录收入!$L:$L,0)),"")</f>
        <v/>
      </c>
      <c r="G2889" s="69" t="str">
        <f aca="false">IFERROR(INDEX(分录收入!$I:$I,MATCH($L2889,分录收入!$L:$L,0)),"")</f>
        <v/>
      </c>
      <c r="H2889" s="23"/>
      <c r="I2889" s="70"/>
      <c r="L2889" s="71" t="n">
        <f aca="false">IF(助手收入!$R$194="",-1,助手收入!$R$194*100+(助手收入!$S$194-1)*6+4)</f>
        <v>-1</v>
      </c>
    </row>
    <row r="2890" customFormat="false" ht="23.25" hidden="false" customHeight="true" outlineLevel="0" collapsed="false">
      <c r="B2890" s="67" t="str">
        <f aca="false">""</f>
        <v/>
      </c>
      <c r="C2890" s="67"/>
      <c r="D2890" s="23" t="str">
        <f aca="false">IFERROR(INDEX(分录收入!$E:$E,MATCH($L2890,分录收入!$L:$L,0)),"")</f>
        <v/>
      </c>
      <c r="E2890" s="23" t="str">
        <f aca="false">IFERROR(INDEX(分录收入!$F:$F,MATCH($L2890,分录收入!$L:$L,0)),"")</f>
        <v/>
      </c>
      <c r="F2890" s="68" t="str">
        <f aca="false">IFERROR(INDEX(分录收入!$H:$H,MATCH($L2890,分录收入!$L:$L,0)),"")</f>
        <v/>
      </c>
      <c r="G2890" s="69" t="str">
        <f aca="false">IFERROR(INDEX(分录收入!$I:$I,MATCH($L2890,分录收入!$L:$L,0)),"")</f>
        <v/>
      </c>
      <c r="H2890" s="23"/>
      <c r="I2890" s="70"/>
      <c r="L2890" s="71" t="n">
        <f aca="false">IF(助手收入!$R$194="",-1,助手收入!$R$194*100+(助手收入!$S$194-1)*6+5)</f>
        <v>-1</v>
      </c>
    </row>
    <row r="2891" customFormat="false" ht="23.25" hidden="false" customHeight="true" outlineLevel="0" collapsed="false">
      <c r="B2891" s="67" t="str">
        <f aca="false">""</f>
        <v/>
      </c>
      <c r="C2891" s="67"/>
      <c r="D2891" s="23" t="str">
        <f aca="false">IFERROR(INDEX(分录收入!$E:$E,MATCH($L2891,分录收入!$L:$L,0)),"")</f>
        <v/>
      </c>
      <c r="E2891" s="23" t="str">
        <f aca="false">IFERROR(INDEX(分录收入!$F:$F,MATCH($L2891,分录收入!$L:$L,0)),"")</f>
        <v/>
      </c>
      <c r="F2891" s="68" t="str">
        <f aca="false">IFERROR(INDEX(分录收入!$H:$H,MATCH($L2891,分录收入!$L:$L,0)),"")</f>
        <v/>
      </c>
      <c r="G2891" s="69" t="str">
        <f aca="false">IFERROR(INDEX(分录收入!$I:$I,MATCH($L2891,分录收入!$L:$L,0)),"")</f>
        <v/>
      </c>
      <c r="H2891" s="23"/>
      <c r="I2891" s="70"/>
      <c r="L2891" s="71" t="n">
        <f aca="false">IF(助手收入!$R$194="",-1,助手收入!$R$194*100+(助手收入!$S$194-1)*6+6)</f>
        <v>-1</v>
      </c>
    </row>
    <row r="2892" customFormat="false" ht="23.25" hidden="false" customHeight="true" outlineLevel="0" collapsed="false">
      <c r="B2892" s="72" t="str">
        <f aca="false">IF(助手收入!$T$194=1,"合计：","")</f>
        <v/>
      </c>
      <c r="C2892" s="73" t="str">
        <f aca="false">IF(助手收入!$T$194=1,$F2892,"")</f>
        <v/>
      </c>
      <c r="D2892" s="74"/>
      <c r="E2892" s="74"/>
      <c r="F2892" s="75" t="str">
        <f aca="false">IF(助手收入!$T$194=1,INDEX(助手收入!$N$2:$N$66,助手收入!$R$194),"")</f>
        <v/>
      </c>
      <c r="G2892" s="76" t="str">
        <f aca="false">IF(助手收入!$T$194=1,INDEX(助手收入!$O$2:$O$66,助手收入!$R$194),"")</f>
        <v/>
      </c>
      <c r="H2892" s="74"/>
      <c r="I2892" s="77"/>
    </row>
    <row r="2893" customFormat="false" ht="6" hidden="false" customHeight="true" outlineLevel="0" collapsed="false"/>
    <row r="2894" customFormat="false" ht="13.5" hidden="false" customHeight="false" outlineLevel="0" collapsed="false">
      <c r="B2894" s="78" t="str">
        <f aca="false">IF(助手收入!$R$194&lt;&gt;"","会计主管：","")</f>
        <v/>
      </c>
      <c r="D2894" s="78" t="str">
        <f aca="false">IF(助手收入!$R$194&lt;&gt;"","会计：","")</f>
        <v/>
      </c>
      <c r="E2894" s="78" t="str">
        <f aca="false">IF(助手收入!$R$194&lt;&gt;"","出纳：","")</f>
        <v/>
      </c>
      <c r="F2894" s="78" t="str">
        <f aca="false">IF(助手收入!$R$194&lt;&gt;"","复核：","")</f>
        <v/>
      </c>
      <c r="G2894" s="78" t="str">
        <f aca="false">IF(助手收入!$R$194&lt;&gt;"","制单：","")</f>
        <v/>
      </c>
    </row>
    <row r="2895" customFormat="false" ht="3" hidden="false" customHeight="true" outlineLevel="0" collapsed="false"/>
    <row r="2896" customFormat="false" ht="19.5" hidden="false" customHeight="true" outlineLevel="0" collapsed="false">
      <c r="B2896" s="53" t="str">
        <f aca="false">IF(助手收入!$R$195&lt;&gt;"","记  账  凭  证","")</f>
        <v/>
      </c>
      <c r="C2896" s="53"/>
      <c r="D2896" s="53"/>
      <c r="E2896" s="53"/>
      <c r="F2896" s="53"/>
      <c r="G2896" s="53"/>
      <c r="H2896" s="53"/>
      <c r="I2896" s="53"/>
    </row>
    <row r="2897" customFormat="false" ht="3" hidden="false" customHeight="true" outlineLevel="0" collapsed="false"/>
    <row r="2898" customFormat="false" ht="15" hidden="false" customHeight="true" outlineLevel="0" collapsed="false">
      <c r="C2898" s="56" t="str">
        <f aca="false">IF(助手收入!$R$195&lt;&gt;"",INDEX(助手收入!$B$2:$B$66,助手收入!$R$195),"")</f>
        <v/>
      </c>
      <c r="D2898" s="57" t="str">
        <f aca="false">IF(助手收入!$R$195&lt;&gt;"",参数!$B$2,"")</f>
        <v/>
      </c>
      <c r="E2898" s="57"/>
      <c r="F2898" s="58" t="str">
        <f aca="false">IF(助手收入!$R$195&lt;&gt;"",INDEX(助手收入!$C$2:$C$66,助手收入!$R$195)&amp;"  字第 "&amp;IF(参数!$B$9="是",INDEX(助手收入!$P$2:$P$66,助手收入!$R$195),"　　　　")&amp;" 号"&amp;IF(INDEX(助手收入!$L$2:$L$66,助手收入!$R$195)&gt;1,"  (共"&amp;INDEX(助手收入!$L$2:$L$66,助手收入!$R$195)&amp;"页 第"&amp;助手收入!$S$195&amp;"页)",""),"")</f>
        <v/>
      </c>
      <c r="G2898" s="58"/>
      <c r="H2898" s="58"/>
      <c r="I2898" s="58"/>
      <c r="M2898" s="79" t="str">
        <f aca="false">IF(助手收入!$R$195="","",助手收入!$Q$195)</f>
        <v/>
      </c>
      <c r="N2898" s="80" t="str">
        <f aca="false">IF(助手收入!$R$195="","",INDEX(助手收入!$P$2:$P$66,助手收入!$R$195))</f>
        <v/>
      </c>
      <c r="O2898" s="55" t="str">
        <f aca="false">IF(助手收入!$R$195="","",INDEX(助手收入!$C$2:$C$66,助手收入!$R$195)&amp;"  字第 "&amp;INDEX(助手收入!$P$2:$P$66,助手收入!$R$195)&amp;" 号"&amp;IF(INDEX(助手收入!$L$2:$L$66,助手收入!$R$195)&gt;1,"  (共"&amp;INDEX(助手收入!$L$2:$L$66,助手收入!$R$195)&amp;"页 第"&amp;助手收入!$S$195&amp;"页)",""))</f>
        <v/>
      </c>
    </row>
    <row r="2899" customFormat="false" ht="12.75" hidden="false" customHeight="true" outlineLevel="0" collapsed="false">
      <c r="B2899" s="61" t="str">
        <f aca="false">IF(助手收入!$R$195&lt;&gt;"","摘　　要","")</f>
        <v/>
      </c>
      <c r="C2899" s="61"/>
      <c r="D2899" s="62" t="str">
        <f aca="false">IF(助手收入!$R$195&lt;&gt;"","科　　　　目","")</f>
        <v/>
      </c>
      <c r="E2899" s="62"/>
      <c r="F2899" s="61" t="str">
        <f aca="false">IF(助手收入!$R$195&lt;&gt;"","借 方 金 额","")</f>
        <v/>
      </c>
      <c r="G2899" s="62" t="str">
        <f aca="false">IF(助手收入!$R$195&lt;&gt;"","贷 方 金 额","")</f>
        <v/>
      </c>
      <c r="H2899" s="63" t="str">
        <f aca="false">IF(助手收入!$R$195&lt;&gt;"","√","")</f>
        <v/>
      </c>
      <c r="I2899" s="64" t="str">
        <f aca="false">IF(助手收入!$R$195&lt;&gt;"","附单据  张","")</f>
        <v/>
      </c>
    </row>
    <row r="2900" customFormat="false" ht="12.75" hidden="false" customHeight="true" outlineLevel="0" collapsed="false">
      <c r="B2900" s="61"/>
      <c r="C2900" s="61"/>
      <c r="D2900" s="23" t="str">
        <f aca="false">IF(助手收入!$R$195&lt;&gt;"","总 账 科 目","")</f>
        <v/>
      </c>
      <c r="E2900" s="23" t="str">
        <f aca="false">IF(助手收入!$R$195&lt;&gt;"","明 细 科 目","")</f>
        <v/>
      </c>
      <c r="F2900" s="65"/>
      <c r="G2900" s="66"/>
      <c r="H2900" s="63"/>
      <c r="I2900" s="64"/>
    </row>
    <row r="2901" customFormat="false" ht="23.25" hidden="false" customHeight="true" outlineLevel="0" collapsed="false">
      <c r="B2901" s="67" t="str">
        <f aca="false">IFERROR(INDEX(分录收入!$M:$M,MATCH($L2901,分录收入!$L:$L,0)),"")</f>
        <v/>
      </c>
      <c r="C2901" s="67"/>
      <c r="D2901" s="23" t="str">
        <f aca="false">IFERROR(INDEX(分录收入!$E:$E,MATCH($L2901,分录收入!$L:$L,0)),"")</f>
        <v/>
      </c>
      <c r="E2901" s="23" t="str">
        <f aca="false">IFERROR(INDEX(分录收入!$F:$F,MATCH($L2901,分录收入!$L:$L,0)),"")</f>
        <v/>
      </c>
      <c r="F2901" s="68" t="str">
        <f aca="false">IFERROR(INDEX(分录收入!$H:$H,MATCH($L2901,分录收入!$L:$L,0)),"")</f>
        <v/>
      </c>
      <c r="G2901" s="69" t="str">
        <f aca="false">IFERROR(INDEX(分录收入!$I:$I,MATCH($L2901,分录收入!$L:$L,0)),"")</f>
        <v/>
      </c>
      <c r="H2901" s="23"/>
      <c r="I2901" s="70"/>
      <c r="L2901" s="71" t="n">
        <f aca="false">IF(助手收入!$R$195="",-1,助手收入!$R$195*100+(助手收入!$S$195-1)*6+1)</f>
        <v>-1</v>
      </c>
    </row>
    <row r="2902" customFormat="false" ht="23.25" hidden="false" customHeight="true" outlineLevel="0" collapsed="false">
      <c r="B2902" s="67" t="str">
        <f aca="false">""</f>
        <v/>
      </c>
      <c r="C2902" s="67"/>
      <c r="D2902" s="23" t="str">
        <f aca="false">IFERROR(INDEX(分录收入!$E:$E,MATCH($L2902,分录收入!$L:$L,0)),"")</f>
        <v/>
      </c>
      <c r="E2902" s="23" t="str">
        <f aca="false">IFERROR(INDEX(分录收入!$F:$F,MATCH($L2902,分录收入!$L:$L,0)),"")</f>
        <v/>
      </c>
      <c r="F2902" s="68" t="str">
        <f aca="false">IFERROR(INDEX(分录收入!$H:$H,MATCH($L2902,分录收入!$L:$L,0)),"")</f>
        <v/>
      </c>
      <c r="G2902" s="69" t="str">
        <f aca="false">IFERROR(INDEX(分录收入!$I:$I,MATCH($L2902,分录收入!$L:$L,0)),"")</f>
        <v/>
      </c>
      <c r="H2902" s="23"/>
      <c r="I2902" s="70"/>
      <c r="L2902" s="71" t="n">
        <f aca="false">IF(助手收入!$R$195="",-1,助手收入!$R$195*100+(助手收入!$S$195-1)*6+2)</f>
        <v>-1</v>
      </c>
    </row>
    <row r="2903" customFormat="false" ht="23.25" hidden="false" customHeight="true" outlineLevel="0" collapsed="false">
      <c r="B2903" s="67" t="str">
        <f aca="false">""</f>
        <v/>
      </c>
      <c r="C2903" s="67"/>
      <c r="D2903" s="23" t="str">
        <f aca="false">IFERROR(INDEX(分录收入!$E:$E,MATCH($L2903,分录收入!$L:$L,0)),"")</f>
        <v/>
      </c>
      <c r="E2903" s="23" t="str">
        <f aca="false">IFERROR(INDEX(分录收入!$F:$F,MATCH($L2903,分录收入!$L:$L,0)),"")</f>
        <v/>
      </c>
      <c r="F2903" s="68" t="str">
        <f aca="false">IFERROR(INDEX(分录收入!$H:$H,MATCH($L2903,分录收入!$L:$L,0)),"")</f>
        <v/>
      </c>
      <c r="G2903" s="69" t="str">
        <f aca="false">IFERROR(INDEX(分录收入!$I:$I,MATCH($L2903,分录收入!$L:$L,0)),"")</f>
        <v/>
      </c>
      <c r="H2903" s="23"/>
      <c r="I2903" s="70"/>
      <c r="L2903" s="71" t="n">
        <f aca="false">IF(助手收入!$R$195="",-1,助手收入!$R$195*100+(助手收入!$S$195-1)*6+3)</f>
        <v>-1</v>
      </c>
    </row>
    <row r="2904" customFormat="false" ht="23.25" hidden="false" customHeight="true" outlineLevel="0" collapsed="false">
      <c r="B2904" s="67" t="str">
        <f aca="false">""</f>
        <v/>
      </c>
      <c r="C2904" s="67"/>
      <c r="D2904" s="23" t="str">
        <f aca="false">IFERROR(INDEX(分录收入!$E:$E,MATCH($L2904,分录收入!$L:$L,0)),"")</f>
        <v/>
      </c>
      <c r="E2904" s="23" t="str">
        <f aca="false">IFERROR(INDEX(分录收入!$F:$F,MATCH($L2904,分录收入!$L:$L,0)),"")</f>
        <v/>
      </c>
      <c r="F2904" s="68" t="str">
        <f aca="false">IFERROR(INDEX(分录收入!$H:$H,MATCH($L2904,分录收入!$L:$L,0)),"")</f>
        <v/>
      </c>
      <c r="G2904" s="69" t="str">
        <f aca="false">IFERROR(INDEX(分录收入!$I:$I,MATCH($L2904,分录收入!$L:$L,0)),"")</f>
        <v/>
      </c>
      <c r="H2904" s="23"/>
      <c r="I2904" s="70"/>
      <c r="L2904" s="71" t="n">
        <f aca="false">IF(助手收入!$R$195="",-1,助手收入!$R$195*100+(助手收入!$S$195-1)*6+4)</f>
        <v>-1</v>
      </c>
    </row>
    <row r="2905" customFormat="false" ht="23.25" hidden="false" customHeight="true" outlineLevel="0" collapsed="false">
      <c r="B2905" s="67" t="str">
        <f aca="false">""</f>
        <v/>
      </c>
      <c r="C2905" s="67"/>
      <c r="D2905" s="23" t="str">
        <f aca="false">IFERROR(INDEX(分录收入!$E:$E,MATCH($L2905,分录收入!$L:$L,0)),"")</f>
        <v/>
      </c>
      <c r="E2905" s="23" t="str">
        <f aca="false">IFERROR(INDEX(分录收入!$F:$F,MATCH($L2905,分录收入!$L:$L,0)),"")</f>
        <v/>
      </c>
      <c r="F2905" s="68" t="str">
        <f aca="false">IFERROR(INDEX(分录收入!$H:$H,MATCH($L2905,分录收入!$L:$L,0)),"")</f>
        <v/>
      </c>
      <c r="G2905" s="69" t="str">
        <f aca="false">IFERROR(INDEX(分录收入!$I:$I,MATCH($L2905,分录收入!$L:$L,0)),"")</f>
        <v/>
      </c>
      <c r="H2905" s="23"/>
      <c r="I2905" s="70"/>
      <c r="L2905" s="71" t="n">
        <f aca="false">IF(助手收入!$R$195="",-1,助手收入!$R$195*100+(助手收入!$S$195-1)*6+5)</f>
        <v>-1</v>
      </c>
    </row>
    <row r="2906" customFormat="false" ht="23.25" hidden="false" customHeight="true" outlineLevel="0" collapsed="false">
      <c r="B2906" s="67" t="str">
        <f aca="false">""</f>
        <v/>
      </c>
      <c r="C2906" s="67"/>
      <c r="D2906" s="23" t="str">
        <f aca="false">IFERROR(INDEX(分录收入!$E:$E,MATCH($L2906,分录收入!$L:$L,0)),"")</f>
        <v/>
      </c>
      <c r="E2906" s="23" t="str">
        <f aca="false">IFERROR(INDEX(分录收入!$F:$F,MATCH($L2906,分录收入!$L:$L,0)),"")</f>
        <v/>
      </c>
      <c r="F2906" s="68" t="str">
        <f aca="false">IFERROR(INDEX(分录收入!$H:$H,MATCH($L2906,分录收入!$L:$L,0)),"")</f>
        <v/>
      </c>
      <c r="G2906" s="69" t="str">
        <f aca="false">IFERROR(INDEX(分录收入!$I:$I,MATCH($L2906,分录收入!$L:$L,0)),"")</f>
        <v/>
      </c>
      <c r="H2906" s="23"/>
      <c r="I2906" s="70"/>
      <c r="L2906" s="71" t="n">
        <f aca="false">IF(助手收入!$R$195="",-1,助手收入!$R$195*100+(助手收入!$S$195-1)*6+6)</f>
        <v>-1</v>
      </c>
    </row>
    <row r="2907" customFormat="false" ht="23.25" hidden="false" customHeight="true" outlineLevel="0" collapsed="false">
      <c r="B2907" s="72" t="str">
        <f aca="false">IF(助手收入!$T$195=1,"合计：","")</f>
        <v/>
      </c>
      <c r="C2907" s="73" t="str">
        <f aca="false">IF(助手收入!$T$195=1,$F2907,"")</f>
        <v/>
      </c>
      <c r="D2907" s="74"/>
      <c r="E2907" s="74"/>
      <c r="F2907" s="75" t="str">
        <f aca="false">IF(助手收入!$T$195=1,INDEX(助手收入!$N$2:$N$66,助手收入!$R$195),"")</f>
        <v/>
      </c>
      <c r="G2907" s="76" t="str">
        <f aca="false">IF(助手收入!$T$195=1,INDEX(助手收入!$O$2:$O$66,助手收入!$R$195),"")</f>
        <v/>
      </c>
      <c r="H2907" s="74"/>
      <c r="I2907" s="77"/>
    </row>
    <row r="2908" customFormat="false" ht="6" hidden="false" customHeight="true" outlineLevel="0" collapsed="false"/>
    <row r="2909" customFormat="false" ht="13.5" hidden="false" customHeight="false" outlineLevel="0" collapsed="false">
      <c r="B2909" s="78" t="str">
        <f aca="false">IF(助手收入!$R$195&lt;&gt;"","会计主管：","")</f>
        <v/>
      </c>
      <c r="D2909" s="78" t="str">
        <f aca="false">IF(助手收入!$R$195&lt;&gt;"","会计：","")</f>
        <v/>
      </c>
      <c r="E2909" s="78" t="str">
        <f aca="false">IF(助手收入!$R$195&lt;&gt;"","出纳：","")</f>
        <v/>
      </c>
      <c r="F2909" s="78" t="str">
        <f aca="false">IF(助手收入!$R$195&lt;&gt;"","复核：","")</f>
        <v/>
      </c>
      <c r="G2909" s="78" t="str">
        <f aca="false">IF(助手收入!$R$195&lt;&gt;"","制单：","")</f>
        <v/>
      </c>
    </row>
    <row r="2910" customFormat="false" ht="3" hidden="false" customHeight="true" outlineLevel="0" collapsed="false"/>
    <row r="2911" customFormat="false" ht="19.5" hidden="false" customHeight="true" outlineLevel="0" collapsed="false">
      <c r="B2911" s="53" t="str">
        <f aca="false">IF(助手收入!$R$196&lt;&gt;"","记  账  凭  证","")</f>
        <v/>
      </c>
      <c r="C2911" s="53"/>
      <c r="D2911" s="53"/>
      <c r="E2911" s="53"/>
      <c r="F2911" s="53"/>
      <c r="G2911" s="53"/>
      <c r="H2911" s="53"/>
      <c r="I2911" s="53"/>
    </row>
    <row r="2912" customFormat="false" ht="3" hidden="false" customHeight="true" outlineLevel="0" collapsed="false"/>
    <row r="2913" customFormat="false" ht="15" hidden="false" customHeight="true" outlineLevel="0" collapsed="false">
      <c r="C2913" s="56" t="str">
        <f aca="false">IF(助手收入!$R$196&lt;&gt;"",INDEX(助手收入!$B$2:$B$66,助手收入!$R$196),"")</f>
        <v/>
      </c>
      <c r="D2913" s="57" t="str">
        <f aca="false">IF(助手收入!$R$196&lt;&gt;"",参数!$B$2,"")</f>
        <v/>
      </c>
      <c r="E2913" s="57"/>
      <c r="F2913" s="58" t="str">
        <f aca="false">IF(助手收入!$R$196&lt;&gt;"",INDEX(助手收入!$C$2:$C$66,助手收入!$R$196)&amp;"  字第 "&amp;IF(参数!$B$9="是",INDEX(助手收入!$P$2:$P$66,助手收入!$R$196),"　　　　")&amp;" 号"&amp;IF(INDEX(助手收入!$L$2:$L$66,助手收入!$R$196)&gt;1,"  (共"&amp;INDEX(助手收入!$L$2:$L$66,助手收入!$R$196)&amp;"页 第"&amp;助手收入!$S$196&amp;"页)",""),"")</f>
        <v/>
      </c>
      <c r="G2913" s="58"/>
      <c r="H2913" s="58"/>
      <c r="I2913" s="58"/>
      <c r="M2913" s="79" t="str">
        <f aca="false">IF(助手收入!$R$196="","",助手收入!$Q$196)</f>
        <v/>
      </c>
      <c r="N2913" s="80" t="str">
        <f aca="false">IF(助手收入!$R$196="","",INDEX(助手收入!$P$2:$P$66,助手收入!$R$196))</f>
        <v/>
      </c>
      <c r="O2913" s="55" t="str">
        <f aca="false">IF(助手收入!$R$196="","",INDEX(助手收入!$C$2:$C$66,助手收入!$R$196)&amp;"  字第 "&amp;INDEX(助手收入!$P$2:$P$66,助手收入!$R$196)&amp;" 号"&amp;IF(INDEX(助手收入!$L$2:$L$66,助手收入!$R$196)&gt;1,"  (共"&amp;INDEX(助手收入!$L$2:$L$66,助手收入!$R$196)&amp;"页 第"&amp;助手收入!$S$196&amp;"页)",""))</f>
        <v/>
      </c>
    </row>
    <row r="2914" customFormat="false" ht="12.75" hidden="false" customHeight="true" outlineLevel="0" collapsed="false">
      <c r="B2914" s="61" t="str">
        <f aca="false">IF(助手收入!$R$196&lt;&gt;"","摘　　要","")</f>
        <v/>
      </c>
      <c r="C2914" s="61"/>
      <c r="D2914" s="62" t="str">
        <f aca="false">IF(助手收入!$R$196&lt;&gt;"","科　　　　目","")</f>
        <v/>
      </c>
      <c r="E2914" s="62"/>
      <c r="F2914" s="61" t="str">
        <f aca="false">IF(助手收入!$R$196&lt;&gt;"","借 方 金 额","")</f>
        <v/>
      </c>
      <c r="G2914" s="62" t="str">
        <f aca="false">IF(助手收入!$R$196&lt;&gt;"","贷 方 金 额","")</f>
        <v/>
      </c>
      <c r="H2914" s="63" t="str">
        <f aca="false">IF(助手收入!$R$196&lt;&gt;"","√","")</f>
        <v/>
      </c>
      <c r="I2914" s="64" t="str">
        <f aca="false">IF(助手收入!$R$196&lt;&gt;"","附单据  张","")</f>
        <v/>
      </c>
    </row>
    <row r="2915" customFormat="false" ht="12.75" hidden="false" customHeight="true" outlineLevel="0" collapsed="false">
      <c r="B2915" s="61"/>
      <c r="C2915" s="61"/>
      <c r="D2915" s="23" t="str">
        <f aca="false">IF(助手收入!$R$196&lt;&gt;"","总 账 科 目","")</f>
        <v/>
      </c>
      <c r="E2915" s="23" t="str">
        <f aca="false">IF(助手收入!$R$196&lt;&gt;"","明 细 科 目","")</f>
        <v/>
      </c>
      <c r="F2915" s="65"/>
      <c r="G2915" s="66"/>
      <c r="H2915" s="63"/>
      <c r="I2915" s="64"/>
    </row>
    <row r="2916" customFormat="false" ht="23.25" hidden="false" customHeight="true" outlineLevel="0" collapsed="false">
      <c r="B2916" s="67" t="str">
        <f aca="false">IFERROR(INDEX(分录收入!$M:$M,MATCH($L2916,分录收入!$L:$L,0)),"")</f>
        <v/>
      </c>
      <c r="C2916" s="67"/>
      <c r="D2916" s="23" t="str">
        <f aca="false">IFERROR(INDEX(分录收入!$E:$E,MATCH($L2916,分录收入!$L:$L,0)),"")</f>
        <v/>
      </c>
      <c r="E2916" s="23" t="str">
        <f aca="false">IFERROR(INDEX(分录收入!$F:$F,MATCH($L2916,分录收入!$L:$L,0)),"")</f>
        <v/>
      </c>
      <c r="F2916" s="68" t="str">
        <f aca="false">IFERROR(INDEX(分录收入!$H:$H,MATCH($L2916,分录收入!$L:$L,0)),"")</f>
        <v/>
      </c>
      <c r="G2916" s="69" t="str">
        <f aca="false">IFERROR(INDEX(分录收入!$I:$I,MATCH($L2916,分录收入!$L:$L,0)),"")</f>
        <v/>
      </c>
      <c r="H2916" s="23"/>
      <c r="I2916" s="70"/>
      <c r="L2916" s="71" t="n">
        <f aca="false">IF(助手收入!$R$196="",-1,助手收入!$R$196*100+(助手收入!$S$196-1)*6+1)</f>
        <v>-1</v>
      </c>
    </row>
    <row r="2917" customFormat="false" ht="23.25" hidden="false" customHeight="true" outlineLevel="0" collapsed="false">
      <c r="B2917" s="67" t="str">
        <f aca="false">""</f>
        <v/>
      </c>
      <c r="C2917" s="67"/>
      <c r="D2917" s="23" t="str">
        <f aca="false">IFERROR(INDEX(分录收入!$E:$E,MATCH($L2917,分录收入!$L:$L,0)),"")</f>
        <v/>
      </c>
      <c r="E2917" s="23" t="str">
        <f aca="false">IFERROR(INDEX(分录收入!$F:$F,MATCH($L2917,分录收入!$L:$L,0)),"")</f>
        <v/>
      </c>
      <c r="F2917" s="68" t="str">
        <f aca="false">IFERROR(INDEX(分录收入!$H:$H,MATCH($L2917,分录收入!$L:$L,0)),"")</f>
        <v/>
      </c>
      <c r="G2917" s="69" t="str">
        <f aca="false">IFERROR(INDEX(分录收入!$I:$I,MATCH($L2917,分录收入!$L:$L,0)),"")</f>
        <v/>
      </c>
      <c r="H2917" s="23"/>
      <c r="I2917" s="70"/>
      <c r="L2917" s="71" t="n">
        <f aca="false">IF(助手收入!$R$196="",-1,助手收入!$R$196*100+(助手收入!$S$196-1)*6+2)</f>
        <v>-1</v>
      </c>
    </row>
    <row r="2918" customFormat="false" ht="23.25" hidden="false" customHeight="true" outlineLevel="0" collapsed="false">
      <c r="B2918" s="67" t="str">
        <f aca="false">""</f>
        <v/>
      </c>
      <c r="C2918" s="67"/>
      <c r="D2918" s="23" t="str">
        <f aca="false">IFERROR(INDEX(分录收入!$E:$E,MATCH($L2918,分录收入!$L:$L,0)),"")</f>
        <v/>
      </c>
      <c r="E2918" s="23" t="str">
        <f aca="false">IFERROR(INDEX(分录收入!$F:$F,MATCH($L2918,分录收入!$L:$L,0)),"")</f>
        <v/>
      </c>
      <c r="F2918" s="68" t="str">
        <f aca="false">IFERROR(INDEX(分录收入!$H:$H,MATCH($L2918,分录收入!$L:$L,0)),"")</f>
        <v/>
      </c>
      <c r="G2918" s="69" t="str">
        <f aca="false">IFERROR(INDEX(分录收入!$I:$I,MATCH($L2918,分录收入!$L:$L,0)),"")</f>
        <v/>
      </c>
      <c r="H2918" s="23"/>
      <c r="I2918" s="70"/>
      <c r="L2918" s="71" t="n">
        <f aca="false">IF(助手收入!$R$196="",-1,助手收入!$R$196*100+(助手收入!$S$196-1)*6+3)</f>
        <v>-1</v>
      </c>
    </row>
    <row r="2919" customFormat="false" ht="23.25" hidden="false" customHeight="true" outlineLevel="0" collapsed="false">
      <c r="B2919" s="67" t="str">
        <f aca="false">""</f>
        <v/>
      </c>
      <c r="C2919" s="67"/>
      <c r="D2919" s="23" t="str">
        <f aca="false">IFERROR(INDEX(分录收入!$E:$E,MATCH($L2919,分录收入!$L:$L,0)),"")</f>
        <v/>
      </c>
      <c r="E2919" s="23" t="str">
        <f aca="false">IFERROR(INDEX(分录收入!$F:$F,MATCH($L2919,分录收入!$L:$L,0)),"")</f>
        <v/>
      </c>
      <c r="F2919" s="68" t="str">
        <f aca="false">IFERROR(INDEX(分录收入!$H:$H,MATCH($L2919,分录收入!$L:$L,0)),"")</f>
        <v/>
      </c>
      <c r="G2919" s="69" t="str">
        <f aca="false">IFERROR(INDEX(分录收入!$I:$I,MATCH($L2919,分录收入!$L:$L,0)),"")</f>
        <v/>
      </c>
      <c r="H2919" s="23"/>
      <c r="I2919" s="70"/>
      <c r="L2919" s="71" t="n">
        <f aca="false">IF(助手收入!$R$196="",-1,助手收入!$R$196*100+(助手收入!$S$196-1)*6+4)</f>
        <v>-1</v>
      </c>
    </row>
    <row r="2920" customFormat="false" ht="23.25" hidden="false" customHeight="true" outlineLevel="0" collapsed="false">
      <c r="B2920" s="67" t="str">
        <f aca="false">""</f>
        <v/>
      </c>
      <c r="C2920" s="67"/>
      <c r="D2920" s="23" t="str">
        <f aca="false">IFERROR(INDEX(分录收入!$E:$E,MATCH($L2920,分录收入!$L:$L,0)),"")</f>
        <v/>
      </c>
      <c r="E2920" s="23" t="str">
        <f aca="false">IFERROR(INDEX(分录收入!$F:$F,MATCH($L2920,分录收入!$L:$L,0)),"")</f>
        <v/>
      </c>
      <c r="F2920" s="68" t="str">
        <f aca="false">IFERROR(INDEX(分录收入!$H:$H,MATCH($L2920,分录收入!$L:$L,0)),"")</f>
        <v/>
      </c>
      <c r="G2920" s="69" t="str">
        <f aca="false">IFERROR(INDEX(分录收入!$I:$I,MATCH($L2920,分录收入!$L:$L,0)),"")</f>
        <v/>
      </c>
      <c r="H2920" s="23"/>
      <c r="I2920" s="70"/>
      <c r="L2920" s="71" t="n">
        <f aca="false">IF(助手收入!$R$196="",-1,助手收入!$R$196*100+(助手收入!$S$196-1)*6+5)</f>
        <v>-1</v>
      </c>
    </row>
    <row r="2921" customFormat="false" ht="23.25" hidden="false" customHeight="true" outlineLevel="0" collapsed="false">
      <c r="B2921" s="67" t="str">
        <f aca="false">""</f>
        <v/>
      </c>
      <c r="C2921" s="67"/>
      <c r="D2921" s="23" t="str">
        <f aca="false">IFERROR(INDEX(分录收入!$E:$E,MATCH($L2921,分录收入!$L:$L,0)),"")</f>
        <v/>
      </c>
      <c r="E2921" s="23" t="str">
        <f aca="false">IFERROR(INDEX(分录收入!$F:$F,MATCH($L2921,分录收入!$L:$L,0)),"")</f>
        <v/>
      </c>
      <c r="F2921" s="68" t="str">
        <f aca="false">IFERROR(INDEX(分录收入!$H:$H,MATCH($L2921,分录收入!$L:$L,0)),"")</f>
        <v/>
      </c>
      <c r="G2921" s="69" t="str">
        <f aca="false">IFERROR(INDEX(分录收入!$I:$I,MATCH($L2921,分录收入!$L:$L,0)),"")</f>
        <v/>
      </c>
      <c r="H2921" s="23"/>
      <c r="I2921" s="70"/>
      <c r="L2921" s="71" t="n">
        <f aca="false">IF(助手收入!$R$196="",-1,助手收入!$R$196*100+(助手收入!$S$196-1)*6+6)</f>
        <v>-1</v>
      </c>
    </row>
    <row r="2922" customFormat="false" ht="23.25" hidden="false" customHeight="true" outlineLevel="0" collapsed="false">
      <c r="B2922" s="72" t="str">
        <f aca="false">IF(助手收入!$T$196=1,"合计：","")</f>
        <v/>
      </c>
      <c r="C2922" s="73" t="str">
        <f aca="false">IF(助手收入!$T$196=1,$F2922,"")</f>
        <v/>
      </c>
      <c r="D2922" s="74"/>
      <c r="E2922" s="74"/>
      <c r="F2922" s="75" t="str">
        <f aca="false">IF(助手收入!$T$196=1,INDEX(助手收入!$N$2:$N$66,助手收入!$R$196),"")</f>
        <v/>
      </c>
      <c r="G2922" s="76" t="str">
        <f aca="false">IF(助手收入!$T$196=1,INDEX(助手收入!$O$2:$O$66,助手收入!$R$196),"")</f>
        <v/>
      </c>
      <c r="H2922" s="74"/>
      <c r="I2922" s="77"/>
    </row>
    <row r="2923" customFormat="false" ht="6" hidden="false" customHeight="true" outlineLevel="0" collapsed="false"/>
    <row r="2924" customFormat="false" ht="13.5" hidden="false" customHeight="false" outlineLevel="0" collapsed="false">
      <c r="B2924" s="78" t="str">
        <f aca="false">IF(助手收入!$R$196&lt;&gt;"","会计主管：","")</f>
        <v/>
      </c>
      <c r="D2924" s="78" t="str">
        <f aca="false">IF(助手收入!$R$196&lt;&gt;"","会计：","")</f>
        <v/>
      </c>
      <c r="E2924" s="78" t="str">
        <f aca="false">IF(助手收入!$R$196&lt;&gt;"","出纳：","")</f>
        <v/>
      </c>
      <c r="F2924" s="78" t="str">
        <f aca="false">IF(助手收入!$R$196&lt;&gt;"","复核：","")</f>
        <v/>
      </c>
      <c r="G2924" s="78" t="str">
        <f aca="false">IF(助手收入!$R$196&lt;&gt;"","制单：","")</f>
        <v/>
      </c>
    </row>
    <row r="2925" customFormat="false" ht="3" hidden="false" customHeight="true" outlineLevel="0" collapsed="false"/>
    <row r="2926" customFormat="false" ht="19.5" hidden="false" customHeight="true" outlineLevel="0" collapsed="false">
      <c r="B2926" s="53" t="str">
        <f aca="false">IF(助手收入!$R$197&lt;&gt;"","记  账  凭  证","")</f>
        <v/>
      </c>
      <c r="C2926" s="53"/>
      <c r="D2926" s="53"/>
      <c r="E2926" s="53"/>
      <c r="F2926" s="53"/>
      <c r="G2926" s="53"/>
      <c r="H2926" s="53"/>
      <c r="I2926" s="53"/>
    </row>
    <row r="2927" customFormat="false" ht="3" hidden="false" customHeight="true" outlineLevel="0" collapsed="false"/>
    <row r="2928" customFormat="false" ht="15" hidden="false" customHeight="true" outlineLevel="0" collapsed="false">
      <c r="C2928" s="56" t="str">
        <f aca="false">IF(助手收入!$R$197&lt;&gt;"",INDEX(助手收入!$B$2:$B$66,助手收入!$R$197),"")</f>
        <v/>
      </c>
      <c r="D2928" s="57" t="str">
        <f aca="false">IF(助手收入!$R$197&lt;&gt;"",参数!$B$2,"")</f>
        <v/>
      </c>
      <c r="E2928" s="57"/>
      <c r="F2928" s="58" t="str">
        <f aca="false">IF(助手收入!$R$197&lt;&gt;"",INDEX(助手收入!$C$2:$C$66,助手收入!$R$197)&amp;"  字第 "&amp;IF(参数!$B$9="是",INDEX(助手收入!$P$2:$P$66,助手收入!$R$197),"　　　　")&amp;" 号"&amp;IF(INDEX(助手收入!$L$2:$L$66,助手收入!$R$197)&gt;1,"  (共"&amp;INDEX(助手收入!$L$2:$L$66,助手收入!$R$197)&amp;"页 第"&amp;助手收入!$S$197&amp;"页)",""),"")</f>
        <v/>
      </c>
      <c r="G2928" s="58"/>
      <c r="H2928" s="58"/>
      <c r="I2928" s="58"/>
      <c r="M2928" s="79" t="str">
        <f aca="false">IF(助手收入!$R$197="","",助手收入!$Q$197)</f>
        <v/>
      </c>
      <c r="N2928" s="80" t="str">
        <f aca="false">IF(助手收入!$R$197="","",INDEX(助手收入!$P$2:$P$66,助手收入!$R$197))</f>
        <v/>
      </c>
      <c r="O2928" s="55" t="str">
        <f aca="false">IF(助手收入!$R$197="","",INDEX(助手收入!$C$2:$C$66,助手收入!$R$197)&amp;"  字第 "&amp;INDEX(助手收入!$P$2:$P$66,助手收入!$R$197)&amp;" 号"&amp;IF(INDEX(助手收入!$L$2:$L$66,助手收入!$R$197)&gt;1,"  (共"&amp;INDEX(助手收入!$L$2:$L$66,助手收入!$R$197)&amp;"页 第"&amp;助手收入!$S$197&amp;"页)",""))</f>
        <v/>
      </c>
    </row>
    <row r="2929" customFormat="false" ht="12.75" hidden="false" customHeight="true" outlineLevel="0" collapsed="false">
      <c r="B2929" s="61" t="str">
        <f aca="false">IF(助手收入!$R$197&lt;&gt;"","摘　　要","")</f>
        <v/>
      </c>
      <c r="C2929" s="61"/>
      <c r="D2929" s="62" t="str">
        <f aca="false">IF(助手收入!$R$197&lt;&gt;"","科　　　　目","")</f>
        <v/>
      </c>
      <c r="E2929" s="62"/>
      <c r="F2929" s="61" t="str">
        <f aca="false">IF(助手收入!$R$197&lt;&gt;"","借 方 金 额","")</f>
        <v/>
      </c>
      <c r="G2929" s="62" t="str">
        <f aca="false">IF(助手收入!$R$197&lt;&gt;"","贷 方 金 额","")</f>
        <v/>
      </c>
      <c r="H2929" s="63" t="str">
        <f aca="false">IF(助手收入!$R$197&lt;&gt;"","√","")</f>
        <v/>
      </c>
      <c r="I2929" s="64" t="str">
        <f aca="false">IF(助手收入!$R$197&lt;&gt;"","附单据  张","")</f>
        <v/>
      </c>
    </row>
    <row r="2930" customFormat="false" ht="12.75" hidden="false" customHeight="true" outlineLevel="0" collapsed="false">
      <c r="B2930" s="61"/>
      <c r="C2930" s="61"/>
      <c r="D2930" s="23" t="str">
        <f aca="false">IF(助手收入!$R$197&lt;&gt;"","总 账 科 目","")</f>
        <v/>
      </c>
      <c r="E2930" s="23" t="str">
        <f aca="false">IF(助手收入!$R$197&lt;&gt;"","明 细 科 目","")</f>
        <v/>
      </c>
      <c r="F2930" s="65"/>
      <c r="G2930" s="66"/>
      <c r="H2930" s="63"/>
      <c r="I2930" s="64"/>
    </row>
    <row r="2931" customFormat="false" ht="23.25" hidden="false" customHeight="true" outlineLevel="0" collapsed="false">
      <c r="B2931" s="67" t="str">
        <f aca="false">IFERROR(INDEX(分录收入!$M:$M,MATCH($L2931,分录收入!$L:$L,0)),"")</f>
        <v/>
      </c>
      <c r="C2931" s="67"/>
      <c r="D2931" s="23" t="str">
        <f aca="false">IFERROR(INDEX(分录收入!$E:$E,MATCH($L2931,分录收入!$L:$L,0)),"")</f>
        <v/>
      </c>
      <c r="E2931" s="23" t="str">
        <f aca="false">IFERROR(INDEX(分录收入!$F:$F,MATCH($L2931,分录收入!$L:$L,0)),"")</f>
        <v/>
      </c>
      <c r="F2931" s="68" t="str">
        <f aca="false">IFERROR(INDEX(分录收入!$H:$H,MATCH($L2931,分录收入!$L:$L,0)),"")</f>
        <v/>
      </c>
      <c r="G2931" s="69" t="str">
        <f aca="false">IFERROR(INDEX(分录收入!$I:$I,MATCH($L2931,分录收入!$L:$L,0)),"")</f>
        <v/>
      </c>
      <c r="H2931" s="23"/>
      <c r="I2931" s="70"/>
      <c r="L2931" s="71" t="n">
        <f aca="false">IF(助手收入!$R$197="",-1,助手收入!$R$197*100+(助手收入!$S$197-1)*6+1)</f>
        <v>-1</v>
      </c>
    </row>
    <row r="2932" customFormat="false" ht="23.25" hidden="false" customHeight="true" outlineLevel="0" collapsed="false">
      <c r="B2932" s="67" t="str">
        <f aca="false">""</f>
        <v/>
      </c>
      <c r="C2932" s="67"/>
      <c r="D2932" s="23" t="str">
        <f aca="false">IFERROR(INDEX(分录收入!$E:$E,MATCH($L2932,分录收入!$L:$L,0)),"")</f>
        <v/>
      </c>
      <c r="E2932" s="23" t="str">
        <f aca="false">IFERROR(INDEX(分录收入!$F:$F,MATCH($L2932,分录收入!$L:$L,0)),"")</f>
        <v/>
      </c>
      <c r="F2932" s="68" t="str">
        <f aca="false">IFERROR(INDEX(分录收入!$H:$H,MATCH($L2932,分录收入!$L:$L,0)),"")</f>
        <v/>
      </c>
      <c r="G2932" s="69" t="str">
        <f aca="false">IFERROR(INDEX(分录收入!$I:$I,MATCH($L2932,分录收入!$L:$L,0)),"")</f>
        <v/>
      </c>
      <c r="H2932" s="23"/>
      <c r="I2932" s="70"/>
      <c r="L2932" s="71" t="n">
        <f aca="false">IF(助手收入!$R$197="",-1,助手收入!$R$197*100+(助手收入!$S$197-1)*6+2)</f>
        <v>-1</v>
      </c>
    </row>
    <row r="2933" customFormat="false" ht="23.25" hidden="false" customHeight="true" outlineLevel="0" collapsed="false">
      <c r="B2933" s="67" t="str">
        <f aca="false">""</f>
        <v/>
      </c>
      <c r="C2933" s="67"/>
      <c r="D2933" s="23" t="str">
        <f aca="false">IFERROR(INDEX(分录收入!$E:$E,MATCH($L2933,分录收入!$L:$L,0)),"")</f>
        <v/>
      </c>
      <c r="E2933" s="23" t="str">
        <f aca="false">IFERROR(INDEX(分录收入!$F:$F,MATCH($L2933,分录收入!$L:$L,0)),"")</f>
        <v/>
      </c>
      <c r="F2933" s="68" t="str">
        <f aca="false">IFERROR(INDEX(分录收入!$H:$H,MATCH($L2933,分录收入!$L:$L,0)),"")</f>
        <v/>
      </c>
      <c r="G2933" s="69" t="str">
        <f aca="false">IFERROR(INDEX(分录收入!$I:$I,MATCH($L2933,分录收入!$L:$L,0)),"")</f>
        <v/>
      </c>
      <c r="H2933" s="23"/>
      <c r="I2933" s="70"/>
      <c r="L2933" s="71" t="n">
        <f aca="false">IF(助手收入!$R$197="",-1,助手收入!$R$197*100+(助手收入!$S$197-1)*6+3)</f>
        <v>-1</v>
      </c>
    </row>
    <row r="2934" customFormat="false" ht="23.25" hidden="false" customHeight="true" outlineLevel="0" collapsed="false">
      <c r="B2934" s="67" t="str">
        <f aca="false">""</f>
        <v/>
      </c>
      <c r="C2934" s="67"/>
      <c r="D2934" s="23" t="str">
        <f aca="false">IFERROR(INDEX(分录收入!$E:$E,MATCH($L2934,分录收入!$L:$L,0)),"")</f>
        <v/>
      </c>
      <c r="E2934" s="23" t="str">
        <f aca="false">IFERROR(INDEX(分录收入!$F:$F,MATCH($L2934,分录收入!$L:$L,0)),"")</f>
        <v/>
      </c>
      <c r="F2934" s="68" t="str">
        <f aca="false">IFERROR(INDEX(分录收入!$H:$H,MATCH($L2934,分录收入!$L:$L,0)),"")</f>
        <v/>
      </c>
      <c r="G2934" s="69" t="str">
        <f aca="false">IFERROR(INDEX(分录收入!$I:$I,MATCH($L2934,分录收入!$L:$L,0)),"")</f>
        <v/>
      </c>
      <c r="H2934" s="23"/>
      <c r="I2934" s="70"/>
      <c r="L2934" s="71" t="n">
        <f aca="false">IF(助手收入!$R$197="",-1,助手收入!$R$197*100+(助手收入!$S$197-1)*6+4)</f>
        <v>-1</v>
      </c>
    </row>
    <row r="2935" customFormat="false" ht="23.25" hidden="false" customHeight="true" outlineLevel="0" collapsed="false">
      <c r="B2935" s="67" t="str">
        <f aca="false">""</f>
        <v/>
      </c>
      <c r="C2935" s="67"/>
      <c r="D2935" s="23" t="str">
        <f aca="false">IFERROR(INDEX(分录收入!$E:$E,MATCH($L2935,分录收入!$L:$L,0)),"")</f>
        <v/>
      </c>
      <c r="E2935" s="23" t="str">
        <f aca="false">IFERROR(INDEX(分录收入!$F:$F,MATCH($L2935,分录收入!$L:$L,0)),"")</f>
        <v/>
      </c>
      <c r="F2935" s="68" t="str">
        <f aca="false">IFERROR(INDEX(分录收入!$H:$H,MATCH($L2935,分录收入!$L:$L,0)),"")</f>
        <v/>
      </c>
      <c r="G2935" s="69" t="str">
        <f aca="false">IFERROR(INDEX(分录收入!$I:$I,MATCH($L2935,分录收入!$L:$L,0)),"")</f>
        <v/>
      </c>
      <c r="H2935" s="23"/>
      <c r="I2935" s="70"/>
      <c r="L2935" s="71" t="n">
        <f aca="false">IF(助手收入!$R$197="",-1,助手收入!$R$197*100+(助手收入!$S$197-1)*6+5)</f>
        <v>-1</v>
      </c>
    </row>
    <row r="2936" customFormat="false" ht="23.25" hidden="false" customHeight="true" outlineLevel="0" collapsed="false">
      <c r="B2936" s="67" t="str">
        <f aca="false">""</f>
        <v/>
      </c>
      <c r="C2936" s="67"/>
      <c r="D2936" s="23" t="str">
        <f aca="false">IFERROR(INDEX(分录收入!$E:$E,MATCH($L2936,分录收入!$L:$L,0)),"")</f>
        <v/>
      </c>
      <c r="E2936" s="23" t="str">
        <f aca="false">IFERROR(INDEX(分录收入!$F:$F,MATCH($L2936,分录收入!$L:$L,0)),"")</f>
        <v/>
      </c>
      <c r="F2936" s="68" t="str">
        <f aca="false">IFERROR(INDEX(分录收入!$H:$H,MATCH($L2936,分录收入!$L:$L,0)),"")</f>
        <v/>
      </c>
      <c r="G2936" s="69" t="str">
        <f aca="false">IFERROR(INDEX(分录收入!$I:$I,MATCH($L2936,分录收入!$L:$L,0)),"")</f>
        <v/>
      </c>
      <c r="H2936" s="23"/>
      <c r="I2936" s="70"/>
      <c r="L2936" s="71" t="n">
        <f aca="false">IF(助手收入!$R$197="",-1,助手收入!$R$197*100+(助手收入!$S$197-1)*6+6)</f>
        <v>-1</v>
      </c>
    </row>
    <row r="2937" customFormat="false" ht="23.25" hidden="false" customHeight="true" outlineLevel="0" collapsed="false">
      <c r="B2937" s="72" t="str">
        <f aca="false">IF(助手收入!$T$197=1,"合计：","")</f>
        <v/>
      </c>
      <c r="C2937" s="73" t="str">
        <f aca="false">IF(助手收入!$T$197=1,$F2937,"")</f>
        <v/>
      </c>
      <c r="D2937" s="74"/>
      <c r="E2937" s="74"/>
      <c r="F2937" s="75" t="str">
        <f aca="false">IF(助手收入!$T$197=1,INDEX(助手收入!$N$2:$N$66,助手收入!$R$197),"")</f>
        <v/>
      </c>
      <c r="G2937" s="76" t="str">
        <f aca="false">IF(助手收入!$T$197=1,INDEX(助手收入!$O$2:$O$66,助手收入!$R$197),"")</f>
        <v/>
      </c>
      <c r="H2937" s="74"/>
      <c r="I2937" s="77"/>
    </row>
    <row r="2938" customFormat="false" ht="6" hidden="false" customHeight="true" outlineLevel="0" collapsed="false"/>
    <row r="2939" customFormat="false" ht="13.5" hidden="false" customHeight="false" outlineLevel="0" collapsed="false">
      <c r="B2939" s="78" t="str">
        <f aca="false">IF(助手收入!$R$197&lt;&gt;"","会计主管：","")</f>
        <v/>
      </c>
      <c r="D2939" s="78" t="str">
        <f aca="false">IF(助手收入!$R$197&lt;&gt;"","会计：","")</f>
        <v/>
      </c>
      <c r="E2939" s="78" t="str">
        <f aca="false">IF(助手收入!$R$197&lt;&gt;"","出纳：","")</f>
        <v/>
      </c>
      <c r="F2939" s="78" t="str">
        <f aca="false">IF(助手收入!$R$197&lt;&gt;"","复核：","")</f>
        <v/>
      </c>
      <c r="G2939" s="78" t="str">
        <f aca="false">IF(助手收入!$R$197&lt;&gt;"","制单：","")</f>
        <v/>
      </c>
    </row>
    <row r="2940" customFormat="false" ht="3" hidden="false" customHeight="true" outlineLevel="0" collapsed="false"/>
    <row r="2941" customFormat="false" ht="19.5" hidden="false" customHeight="true" outlineLevel="0" collapsed="false">
      <c r="B2941" s="53" t="str">
        <f aca="false">IF(助手收入!$R$198&lt;&gt;"","记  账  凭  证","")</f>
        <v/>
      </c>
      <c r="C2941" s="53"/>
      <c r="D2941" s="53"/>
      <c r="E2941" s="53"/>
      <c r="F2941" s="53"/>
      <c r="G2941" s="53"/>
      <c r="H2941" s="53"/>
      <c r="I2941" s="53"/>
    </row>
    <row r="2942" customFormat="false" ht="3" hidden="false" customHeight="true" outlineLevel="0" collapsed="false"/>
    <row r="2943" customFormat="false" ht="15" hidden="false" customHeight="true" outlineLevel="0" collapsed="false">
      <c r="C2943" s="56" t="str">
        <f aca="false">IF(助手收入!$R$198&lt;&gt;"",INDEX(助手收入!$B$2:$B$66,助手收入!$R$198),"")</f>
        <v/>
      </c>
      <c r="D2943" s="57" t="str">
        <f aca="false">IF(助手收入!$R$198&lt;&gt;"",参数!$B$2,"")</f>
        <v/>
      </c>
      <c r="E2943" s="57"/>
      <c r="F2943" s="58" t="str">
        <f aca="false">IF(助手收入!$R$198&lt;&gt;"",INDEX(助手收入!$C$2:$C$66,助手收入!$R$198)&amp;"  字第 "&amp;IF(参数!$B$9="是",INDEX(助手收入!$P$2:$P$66,助手收入!$R$198),"　　　　")&amp;" 号"&amp;IF(INDEX(助手收入!$L$2:$L$66,助手收入!$R$198)&gt;1,"  (共"&amp;INDEX(助手收入!$L$2:$L$66,助手收入!$R$198)&amp;"页 第"&amp;助手收入!$S$198&amp;"页)",""),"")</f>
        <v/>
      </c>
      <c r="G2943" s="58"/>
      <c r="H2943" s="58"/>
      <c r="I2943" s="58"/>
      <c r="M2943" s="79" t="str">
        <f aca="false">IF(助手收入!$R$198="","",助手收入!$Q$198)</f>
        <v/>
      </c>
      <c r="N2943" s="80" t="str">
        <f aca="false">IF(助手收入!$R$198="","",INDEX(助手收入!$P$2:$P$66,助手收入!$R$198))</f>
        <v/>
      </c>
      <c r="O2943" s="55" t="str">
        <f aca="false">IF(助手收入!$R$198="","",INDEX(助手收入!$C$2:$C$66,助手收入!$R$198)&amp;"  字第 "&amp;INDEX(助手收入!$P$2:$P$66,助手收入!$R$198)&amp;" 号"&amp;IF(INDEX(助手收入!$L$2:$L$66,助手收入!$R$198)&gt;1,"  (共"&amp;INDEX(助手收入!$L$2:$L$66,助手收入!$R$198)&amp;"页 第"&amp;助手收入!$S$198&amp;"页)",""))</f>
        <v/>
      </c>
    </row>
    <row r="2944" customFormat="false" ht="12.75" hidden="false" customHeight="true" outlineLevel="0" collapsed="false">
      <c r="B2944" s="61" t="str">
        <f aca="false">IF(助手收入!$R$198&lt;&gt;"","摘　　要","")</f>
        <v/>
      </c>
      <c r="C2944" s="61"/>
      <c r="D2944" s="62" t="str">
        <f aca="false">IF(助手收入!$R$198&lt;&gt;"","科　　　　目","")</f>
        <v/>
      </c>
      <c r="E2944" s="62"/>
      <c r="F2944" s="61" t="str">
        <f aca="false">IF(助手收入!$R$198&lt;&gt;"","借 方 金 额","")</f>
        <v/>
      </c>
      <c r="G2944" s="62" t="str">
        <f aca="false">IF(助手收入!$R$198&lt;&gt;"","贷 方 金 额","")</f>
        <v/>
      </c>
      <c r="H2944" s="63" t="str">
        <f aca="false">IF(助手收入!$R$198&lt;&gt;"","√","")</f>
        <v/>
      </c>
      <c r="I2944" s="64" t="str">
        <f aca="false">IF(助手收入!$R$198&lt;&gt;"","附单据  张","")</f>
        <v/>
      </c>
    </row>
    <row r="2945" customFormat="false" ht="12.75" hidden="false" customHeight="true" outlineLevel="0" collapsed="false">
      <c r="B2945" s="61"/>
      <c r="C2945" s="61"/>
      <c r="D2945" s="23" t="str">
        <f aca="false">IF(助手收入!$R$198&lt;&gt;"","总 账 科 目","")</f>
        <v/>
      </c>
      <c r="E2945" s="23" t="str">
        <f aca="false">IF(助手收入!$R$198&lt;&gt;"","明 细 科 目","")</f>
        <v/>
      </c>
      <c r="F2945" s="65"/>
      <c r="G2945" s="66"/>
      <c r="H2945" s="63"/>
      <c r="I2945" s="64"/>
    </row>
    <row r="2946" customFormat="false" ht="23.25" hidden="false" customHeight="true" outlineLevel="0" collapsed="false">
      <c r="B2946" s="67" t="str">
        <f aca="false">IFERROR(INDEX(分录收入!$M:$M,MATCH($L2946,分录收入!$L:$L,0)),"")</f>
        <v/>
      </c>
      <c r="C2946" s="67"/>
      <c r="D2946" s="23" t="str">
        <f aca="false">IFERROR(INDEX(分录收入!$E:$E,MATCH($L2946,分录收入!$L:$L,0)),"")</f>
        <v/>
      </c>
      <c r="E2946" s="23" t="str">
        <f aca="false">IFERROR(INDEX(分录收入!$F:$F,MATCH($L2946,分录收入!$L:$L,0)),"")</f>
        <v/>
      </c>
      <c r="F2946" s="68" t="str">
        <f aca="false">IFERROR(INDEX(分录收入!$H:$H,MATCH($L2946,分录收入!$L:$L,0)),"")</f>
        <v/>
      </c>
      <c r="G2946" s="69" t="str">
        <f aca="false">IFERROR(INDEX(分录收入!$I:$I,MATCH($L2946,分录收入!$L:$L,0)),"")</f>
        <v/>
      </c>
      <c r="H2946" s="23"/>
      <c r="I2946" s="70"/>
      <c r="L2946" s="71" t="n">
        <f aca="false">IF(助手收入!$R$198="",-1,助手收入!$R$198*100+(助手收入!$S$198-1)*6+1)</f>
        <v>-1</v>
      </c>
    </row>
    <row r="2947" customFormat="false" ht="23.25" hidden="false" customHeight="true" outlineLevel="0" collapsed="false">
      <c r="B2947" s="67" t="str">
        <f aca="false">""</f>
        <v/>
      </c>
      <c r="C2947" s="67"/>
      <c r="D2947" s="23" t="str">
        <f aca="false">IFERROR(INDEX(分录收入!$E:$E,MATCH($L2947,分录收入!$L:$L,0)),"")</f>
        <v/>
      </c>
      <c r="E2947" s="23" t="str">
        <f aca="false">IFERROR(INDEX(分录收入!$F:$F,MATCH($L2947,分录收入!$L:$L,0)),"")</f>
        <v/>
      </c>
      <c r="F2947" s="68" t="str">
        <f aca="false">IFERROR(INDEX(分录收入!$H:$H,MATCH($L2947,分录收入!$L:$L,0)),"")</f>
        <v/>
      </c>
      <c r="G2947" s="69" t="str">
        <f aca="false">IFERROR(INDEX(分录收入!$I:$I,MATCH($L2947,分录收入!$L:$L,0)),"")</f>
        <v/>
      </c>
      <c r="H2947" s="23"/>
      <c r="I2947" s="70"/>
      <c r="L2947" s="71" t="n">
        <f aca="false">IF(助手收入!$R$198="",-1,助手收入!$R$198*100+(助手收入!$S$198-1)*6+2)</f>
        <v>-1</v>
      </c>
    </row>
    <row r="2948" customFormat="false" ht="23.25" hidden="false" customHeight="true" outlineLevel="0" collapsed="false">
      <c r="B2948" s="67" t="str">
        <f aca="false">""</f>
        <v/>
      </c>
      <c r="C2948" s="67"/>
      <c r="D2948" s="23" t="str">
        <f aca="false">IFERROR(INDEX(分录收入!$E:$E,MATCH($L2948,分录收入!$L:$L,0)),"")</f>
        <v/>
      </c>
      <c r="E2948" s="23" t="str">
        <f aca="false">IFERROR(INDEX(分录收入!$F:$F,MATCH($L2948,分录收入!$L:$L,0)),"")</f>
        <v/>
      </c>
      <c r="F2948" s="68" t="str">
        <f aca="false">IFERROR(INDEX(分录收入!$H:$H,MATCH($L2948,分录收入!$L:$L,0)),"")</f>
        <v/>
      </c>
      <c r="G2948" s="69" t="str">
        <f aca="false">IFERROR(INDEX(分录收入!$I:$I,MATCH($L2948,分录收入!$L:$L,0)),"")</f>
        <v/>
      </c>
      <c r="H2948" s="23"/>
      <c r="I2948" s="70"/>
      <c r="L2948" s="71" t="n">
        <f aca="false">IF(助手收入!$R$198="",-1,助手收入!$R$198*100+(助手收入!$S$198-1)*6+3)</f>
        <v>-1</v>
      </c>
    </row>
    <row r="2949" customFormat="false" ht="23.25" hidden="false" customHeight="true" outlineLevel="0" collapsed="false">
      <c r="B2949" s="67" t="str">
        <f aca="false">""</f>
        <v/>
      </c>
      <c r="C2949" s="67"/>
      <c r="D2949" s="23" t="str">
        <f aca="false">IFERROR(INDEX(分录收入!$E:$E,MATCH($L2949,分录收入!$L:$L,0)),"")</f>
        <v/>
      </c>
      <c r="E2949" s="23" t="str">
        <f aca="false">IFERROR(INDEX(分录收入!$F:$F,MATCH($L2949,分录收入!$L:$L,0)),"")</f>
        <v/>
      </c>
      <c r="F2949" s="68" t="str">
        <f aca="false">IFERROR(INDEX(分录收入!$H:$H,MATCH($L2949,分录收入!$L:$L,0)),"")</f>
        <v/>
      </c>
      <c r="G2949" s="69" t="str">
        <f aca="false">IFERROR(INDEX(分录收入!$I:$I,MATCH($L2949,分录收入!$L:$L,0)),"")</f>
        <v/>
      </c>
      <c r="H2949" s="23"/>
      <c r="I2949" s="70"/>
      <c r="L2949" s="71" t="n">
        <f aca="false">IF(助手收入!$R$198="",-1,助手收入!$R$198*100+(助手收入!$S$198-1)*6+4)</f>
        <v>-1</v>
      </c>
    </row>
    <row r="2950" customFormat="false" ht="23.25" hidden="false" customHeight="true" outlineLevel="0" collapsed="false">
      <c r="B2950" s="67" t="str">
        <f aca="false">""</f>
        <v/>
      </c>
      <c r="C2950" s="67"/>
      <c r="D2950" s="23" t="str">
        <f aca="false">IFERROR(INDEX(分录收入!$E:$E,MATCH($L2950,分录收入!$L:$L,0)),"")</f>
        <v/>
      </c>
      <c r="E2950" s="23" t="str">
        <f aca="false">IFERROR(INDEX(分录收入!$F:$F,MATCH($L2950,分录收入!$L:$L,0)),"")</f>
        <v/>
      </c>
      <c r="F2950" s="68" t="str">
        <f aca="false">IFERROR(INDEX(分录收入!$H:$H,MATCH($L2950,分录收入!$L:$L,0)),"")</f>
        <v/>
      </c>
      <c r="G2950" s="69" t="str">
        <f aca="false">IFERROR(INDEX(分录收入!$I:$I,MATCH($L2950,分录收入!$L:$L,0)),"")</f>
        <v/>
      </c>
      <c r="H2950" s="23"/>
      <c r="I2950" s="70"/>
      <c r="L2950" s="71" t="n">
        <f aca="false">IF(助手收入!$R$198="",-1,助手收入!$R$198*100+(助手收入!$S$198-1)*6+5)</f>
        <v>-1</v>
      </c>
    </row>
    <row r="2951" customFormat="false" ht="23.25" hidden="false" customHeight="true" outlineLevel="0" collapsed="false">
      <c r="B2951" s="67" t="str">
        <f aca="false">""</f>
        <v/>
      </c>
      <c r="C2951" s="67"/>
      <c r="D2951" s="23" t="str">
        <f aca="false">IFERROR(INDEX(分录收入!$E:$E,MATCH($L2951,分录收入!$L:$L,0)),"")</f>
        <v/>
      </c>
      <c r="E2951" s="23" t="str">
        <f aca="false">IFERROR(INDEX(分录收入!$F:$F,MATCH($L2951,分录收入!$L:$L,0)),"")</f>
        <v/>
      </c>
      <c r="F2951" s="68" t="str">
        <f aca="false">IFERROR(INDEX(分录收入!$H:$H,MATCH($L2951,分录收入!$L:$L,0)),"")</f>
        <v/>
      </c>
      <c r="G2951" s="69" t="str">
        <f aca="false">IFERROR(INDEX(分录收入!$I:$I,MATCH($L2951,分录收入!$L:$L,0)),"")</f>
        <v/>
      </c>
      <c r="H2951" s="23"/>
      <c r="I2951" s="70"/>
      <c r="L2951" s="71" t="n">
        <f aca="false">IF(助手收入!$R$198="",-1,助手收入!$R$198*100+(助手收入!$S$198-1)*6+6)</f>
        <v>-1</v>
      </c>
    </row>
    <row r="2952" customFormat="false" ht="23.25" hidden="false" customHeight="true" outlineLevel="0" collapsed="false">
      <c r="B2952" s="72" t="str">
        <f aca="false">IF(助手收入!$T$198=1,"合计：","")</f>
        <v/>
      </c>
      <c r="C2952" s="73" t="str">
        <f aca="false">IF(助手收入!$T$198=1,$F2952,"")</f>
        <v/>
      </c>
      <c r="D2952" s="74"/>
      <c r="E2952" s="74"/>
      <c r="F2952" s="75" t="str">
        <f aca="false">IF(助手收入!$T$198=1,INDEX(助手收入!$N$2:$N$66,助手收入!$R$198),"")</f>
        <v/>
      </c>
      <c r="G2952" s="76" t="str">
        <f aca="false">IF(助手收入!$T$198=1,INDEX(助手收入!$O$2:$O$66,助手收入!$R$198),"")</f>
        <v/>
      </c>
      <c r="H2952" s="74"/>
      <c r="I2952" s="77"/>
    </row>
    <row r="2953" customFormat="false" ht="6" hidden="false" customHeight="true" outlineLevel="0" collapsed="false"/>
    <row r="2954" customFormat="false" ht="13.5" hidden="false" customHeight="false" outlineLevel="0" collapsed="false">
      <c r="B2954" s="78" t="str">
        <f aca="false">IF(助手收入!$R$198&lt;&gt;"","会计主管：","")</f>
        <v/>
      </c>
      <c r="D2954" s="78" t="str">
        <f aca="false">IF(助手收入!$R$198&lt;&gt;"","会计：","")</f>
        <v/>
      </c>
      <c r="E2954" s="78" t="str">
        <f aca="false">IF(助手收入!$R$198&lt;&gt;"","出纳：","")</f>
        <v/>
      </c>
      <c r="F2954" s="78" t="str">
        <f aca="false">IF(助手收入!$R$198&lt;&gt;"","复核：","")</f>
        <v/>
      </c>
      <c r="G2954" s="78" t="str">
        <f aca="false">IF(助手收入!$R$198&lt;&gt;"","制单：","")</f>
        <v/>
      </c>
    </row>
    <row r="2955" customFormat="false" ht="3" hidden="false" customHeight="true" outlineLevel="0" collapsed="false"/>
    <row r="2956" customFormat="false" ht="19.5" hidden="false" customHeight="true" outlineLevel="0" collapsed="false">
      <c r="B2956" s="53" t="str">
        <f aca="false">IF(助手收入!$R$199&lt;&gt;"","记  账  凭  证","")</f>
        <v/>
      </c>
      <c r="C2956" s="53"/>
      <c r="D2956" s="53"/>
      <c r="E2956" s="53"/>
      <c r="F2956" s="53"/>
      <c r="G2956" s="53"/>
      <c r="H2956" s="53"/>
      <c r="I2956" s="53"/>
    </row>
    <row r="2957" customFormat="false" ht="3" hidden="false" customHeight="true" outlineLevel="0" collapsed="false"/>
    <row r="2958" customFormat="false" ht="15" hidden="false" customHeight="true" outlineLevel="0" collapsed="false">
      <c r="C2958" s="56" t="str">
        <f aca="false">IF(助手收入!$R$199&lt;&gt;"",INDEX(助手收入!$B$2:$B$66,助手收入!$R$199),"")</f>
        <v/>
      </c>
      <c r="D2958" s="57" t="str">
        <f aca="false">IF(助手收入!$R$199&lt;&gt;"",参数!$B$2,"")</f>
        <v/>
      </c>
      <c r="E2958" s="57"/>
      <c r="F2958" s="58" t="str">
        <f aca="false">IF(助手收入!$R$199&lt;&gt;"",INDEX(助手收入!$C$2:$C$66,助手收入!$R$199)&amp;"  字第 "&amp;IF(参数!$B$9="是",INDEX(助手收入!$P$2:$P$66,助手收入!$R$199),"　　　　")&amp;" 号"&amp;IF(INDEX(助手收入!$L$2:$L$66,助手收入!$R$199)&gt;1,"  (共"&amp;INDEX(助手收入!$L$2:$L$66,助手收入!$R$199)&amp;"页 第"&amp;助手收入!$S$199&amp;"页)",""),"")</f>
        <v/>
      </c>
      <c r="G2958" s="58"/>
      <c r="H2958" s="58"/>
      <c r="I2958" s="58"/>
      <c r="M2958" s="79" t="str">
        <f aca="false">IF(助手收入!$R$199="","",助手收入!$Q$199)</f>
        <v/>
      </c>
      <c r="N2958" s="80" t="str">
        <f aca="false">IF(助手收入!$R$199="","",INDEX(助手收入!$P$2:$P$66,助手收入!$R$199))</f>
        <v/>
      </c>
      <c r="O2958" s="55" t="str">
        <f aca="false">IF(助手收入!$R$199="","",INDEX(助手收入!$C$2:$C$66,助手收入!$R$199)&amp;"  字第 "&amp;INDEX(助手收入!$P$2:$P$66,助手收入!$R$199)&amp;" 号"&amp;IF(INDEX(助手收入!$L$2:$L$66,助手收入!$R$199)&gt;1,"  (共"&amp;INDEX(助手收入!$L$2:$L$66,助手收入!$R$199)&amp;"页 第"&amp;助手收入!$S$199&amp;"页)",""))</f>
        <v/>
      </c>
    </row>
    <row r="2959" customFormat="false" ht="12.75" hidden="false" customHeight="true" outlineLevel="0" collapsed="false">
      <c r="B2959" s="61" t="str">
        <f aca="false">IF(助手收入!$R$199&lt;&gt;"","摘　　要","")</f>
        <v/>
      </c>
      <c r="C2959" s="61"/>
      <c r="D2959" s="62" t="str">
        <f aca="false">IF(助手收入!$R$199&lt;&gt;"","科　　　　目","")</f>
        <v/>
      </c>
      <c r="E2959" s="62"/>
      <c r="F2959" s="61" t="str">
        <f aca="false">IF(助手收入!$R$199&lt;&gt;"","借 方 金 额","")</f>
        <v/>
      </c>
      <c r="G2959" s="62" t="str">
        <f aca="false">IF(助手收入!$R$199&lt;&gt;"","贷 方 金 额","")</f>
        <v/>
      </c>
      <c r="H2959" s="63" t="str">
        <f aca="false">IF(助手收入!$R$199&lt;&gt;"","√","")</f>
        <v/>
      </c>
      <c r="I2959" s="64" t="str">
        <f aca="false">IF(助手收入!$R$199&lt;&gt;"","附单据  张","")</f>
        <v/>
      </c>
    </row>
    <row r="2960" customFormat="false" ht="12.75" hidden="false" customHeight="true" outlineLevel="0" collapsed="false">
      <c r="B2960" s="61"/>
      <c r="C2960" s="61"/>
      <c r="D2960" s="23" t="str">
        <f aca="false">IF(助手收入!$R$199&lt;&gt;"","总 账 科 目","")</f>
        <v/>
      </c>
      <c r="E2960" s="23" t="str">
        <f aca="false">IF(助手收入!$R$199&lt;&gt;"","明 细 科 目","")</f>
        <v/>
      </c>
      <c r="F2960" s="65"/>
      <c r="G2960" s="66"/>
      <c r="H2960" s="63"/>
      <c r="I2960" s="64"/>
    </row>
    <row r="2961" customFormat="false" ht="23.25" hidden="false" customHeight="true" outlineLevel="0" collapsed="false">
      <c r="B2961" s="67" t="str">
        <f aca="false">IFERROR(INDEX(分录收入!$M:$M,MATCH($L2961,分录收入!$L:$L,0)),"")</f>
        <v/>
      </c>
      <c r="C2961" s="67"/>
      <c r="D2961" s="23" t="str">
        <f aca="false">IFERROR(INDEX(分录收入!$E:$E,MATCH($L2961,分录收入!$L:$L,0)),"")</f>
        <v/>
      </c>
      <c r="E2961" s="23" t="str">
        <f aca="false">IFERROR(INDEX(分录收入!$F:$F,MATCH($L2961,分录收入!$L:$L,0)),"")</f>
        <v/>
      </c>
      <c r="F2961" s="68" t="str">
        <f aca="false">IFERROR(INDEX(分录收入!$H:$H,MATCH($L2961,分录收入!$L:$L,0)),"")</f>
        <v/>
      </c>
      <c r="G2961" s="69" t="str">
        <f aca="false">IFERROR(INDEX(分录收入!$I:$I,MATCH($L2961,分录收入!$L:$L,0)),"")</f>
        <v/>
      </c>
      <c r="H2961" s="23"/>
      <c r="I2961" s="70"/>
      <c r="L2961" s="71" t="n">
        <f aca="false">IF(助手收入!$R$199="",-1,助手收入!$R$199*100+(助手收入!$S$199-1)*6+1)</f>
        <v>-1</v>
      </c>
    </row>
    <row r="2962" customFormat="false" ht="23.25" hidden="false" customHeight="true" outlineLevel="0" collapsed="false">
      <c r="B2962" s="67" t="str">
        <f aca="false">""</f>
        <v/>
      </c>
      <c r="C2962" s="67"/>
      <c r="D2962" s="23" t="str">
        <f aca="false">IFERROR(INDEX(分录收入!$E:$E,MATCH($L2962,分录收入!$L:$L,0)),"")</f>
        <v/>
      </c>
      <c r="E2962" s="23" t="str">
        <f aca="false">IFERROR(INDEX(分录收入!$F:$F,MATCH($L2962,分录收入!$L:$L,0)),"")</f>
        <v/>
      </c>
      <c r="F2962" s="68" t="str">
        <f aca="false">IFERROR(INDEX(分录收入!$H:$H,MATCH($L2962,分录收入!$L:$L,0)),"")</f>
        <v/>
      </c>
      <c r="G2962" s="69" t="str">
        <f aca="false">IFERROR(INDEX(分录收入!$I:$I,MATCH($L2962,分录收入!$L:$L,0)),"")</f>
        <v/>
      </c>
      <c r="H2962" s="23"/>
      <c r="I2962" s="70"/>
      <c r="L2962" s="71" t="n">
        <f aca="false">IF(助手收入!$R$199="",-1,助手收入!$R$199*100+(助手收入!$S$199-1)*6+2)</f>
        <v>-1</v>
      </c>
    </row>
    <row r="2963" customFormat="false" ht="23.25" hidden="false" customHeight="true" outlineLevel="0" collapsed="false">
      <c r="B2963" s="67" t="str">
        <f aca="false">""</f>
        <v/>
      </c>
      <c r="C2963" s="67"/>
      <c r="D2963" s="23" t="str">
        <f aca="false">IFERROR(INDEX(分录收入!$E:$E,MATCH($L2963,分录收入!$L:$L,0)),"")</f>
        <v/>
      </c>
      <c r="E2963" s="23" t="str">
        <f aca="false">IFERROR(INDEX(分录收入!$F:$F,MATCH($L2963,分录收入!$L:$L,0)),"")</f>
        <v/>
      </c>
      <c r="F2963" s="68" t="str">
        <f aca="false">IFERROR(INDEX(分录收入!$H:$H,MATCH($L2963,分录收入!$L:$L,0)),"")</f>
        <v/>
      </c>
      <c r="G2963" s="69" t="str">
        <f aca="false">IFERROR(INDEX(分录收入!$I:$I,MATCH($L2963,分录收入!$L:$L,0)),"")</f>
        <v/>
      </c>
      <c r="H2963" s="23"/>
      <c r="I2963" s="70"/>
      <c r="L2963" s="71" t="n">
        <f aca="false">IF(助手收入!$R$199="",-1,助手收入!$R$199*100+(助手收入!$S$199-1)*6+3)</f>
        <v>-1</v>
      </c>
    </row>
    <row r="2964" customFormat="false" ht="23.25" hidden="false" customHeight="true" outlineLevel="0" collapsed="false">
      <c r="B2964" s="67" t="str">
        <f aca="false">""</f>
        <v/>
      </c>
      <c r="C2964" s="67"/>
      <c r="D2964" s="23" t="str">
        <f aca="false">IFERROR(INDEX(分录收入!$E:$E,MATCH($L2964,分录收入!$L:$L,0)),"")</f>
        <v/>
      </c>
      <c r="E2964" s="23" t="str">
        <f aca="false">IFERROR(INDEX(分录收入!$F:$F,MATCH($L2964,分录收入!$L:$L,0)),"")</f>
        <v/>
      </c>
      <c r="F2964" s="68" t="str">
        <f aca="false">IFERROR(INDEX(分录收入!$H:$H,MATCH($L2964,分录收入!$L:$L,0)),"")</f>
        <v/>
      </c>
      <c r="G2964" s="69" t="str">
        <f aca="false">IFERROR(INDEX(分录收入!$I:$I,MATCH($L2964,分录收入!$L:$L,0)),"")</f>
        <v/>
      </c>
      <c r="H2964" s="23"/>
      <c r="I2964" s="70"/>
      <c r="L2964" s="71" t="n">
        <f aca="false">IF(助手收入!$R$199="",-1,助手收入!$R$199*100+(助手收入!$S$199-1)*6+4)</f>
        <v>-1</v>
      </c>
    </row>
    <row r="2965" customFormat="false" ht="23.25" hidden="false" customHeight="true" outlineLevel="0" collapsed="false">
      <c r="B2965" s="67" t="str">
        <f aca="false">""</f>
        <v/>
      </c>
      <c r="C2965" s="67"/>
      <c r="D2965" s="23" t="str">
        <f aca="false">IFERROR(INDEX(分录收入!$E:$E,MATCH($L2965,分录收入!$L:$L,0)),"")</f>
        <v/>
      </c>
      <c r="E2965" s="23" t="str">
        <f aca="false">IFERROR(INDEX(分录收入!$F:$F,MATCH($L2965,分录收入!$L:$L,0)),"")</f>
        <v/>
      </c>
      <c r="F2965" s="68" t="str">
        <f aca="false">IFERROR(INDEX(分录收入!$H:$H,MATCH($L2965,分录收入!$L:$L,0)),"")</f>
        <v/>
      </c>
      <c r="G2965" s="69" t="str">
        <f aca="false">IFERROR(INDEX(分录收入!$I:$I,MATCH($L2965,分录收入!$L:$L,0)),"")</f>
        <v/>
      </c>
      <c r="H2965" s="23"/>
      <c r="I2965" s="70"/>
      <c r="L2965" s="71" t="n">
        <f aca="false">IF(助手收入!$R$199="",-1,助手收入!$R$199*100+(助手收入!$S$199-1)*6+5)</f>
        <v>-1</v>
      </c>
    </row>
    <row r="2966" customFormat="false" ht="23.25" hidden="false" customHeight="true" outlineLevel="0" collapsed="false">
      <c r="B2966" s="67" t="str">
        <f aca="false">""</f>
        <v/>
      </c>
      <c r="C2966" s="67"/>
      <c r="D2966" s="23" t="str">
        <f aca="false">IFERROR(INDEX(分录收入!$E:$E,MATCH($L2966,分录收入!$L:$L,0)),"")</f>
        <v/>
      </c>
      <c r="E2966" s="23" t="str">
        <f aca="false">IFERROR(INDEX(分录收入!$F:$F,MATCH($L2966,分录收入!$L:$L,0)),"")</f>
        <v/>
      </c>
      <c r="F2966" s="68" t="str">
        <f aca="false">IFERROR(INDEX(分录收入!$H:$H,MATCH($L2966,分录收入!$L:$L,0)),"")</f>
        <v/>
      </c>
      <c r="G2966" s="69" t="str">
        <f aca="false">IFERROR(INDEX(分录收入!$I:$I,MATCH($L2966,分录收入!$L:$L,0)),"")</f>
        <v/>
      </c>
      <c r="H2966" s="23"/>
      <c r="I2966" s="70"/>
      <c r="L2966" s="71" t="n">
        <f aca="false">IF(助手收入!$R$199="",-1,助手收入!$R$199*100+(助手收入!$S$199-1)*6+6)</f>
        <v>-1</v>
      </c>
    </row>
    <row r="2967" customFormat="false" ht="23.25" hidden="false" customHeight="true" outlineLevel="0" collapsed="false">
      <c r="B2967" s="72" t="str">
        <f aca="false">IF(助手收入!$T$199=1,"合计：","")</f>
        <v/>
      </c>
      <c r="C2967" s="73" t="str">
        <f aca="false">IF(助手收入!$T$199=1,$F2967,"")</f>
        <v/>
      </c>
      <c r="D2967" s="74"/>
      <c r="E2967" s="74"/>
      <c r="F2967" s="75" t="str">
        <f aca="false">IF(助手收入!$T$199=1,INDEX(助手收入!$N$2:$N$66,助手收入!$R$199),"")</f>
        <v/>
      </c>
      <c r="G2967" s="76" t="str">
        <f aca="false">IF(助手收入!$T$199=1,INDEX(助手收入!$O$2:$O$66,助手收入!$R$199),"")</f>
        <v/>
      </c>
      <c r="H2967" s="74"/>
      <c r="I2967" s="77"/>
    </row>
    <row r="2968" customFormat="false" ht="6" hidden="false" customHeight="true" outlineLevel="0" collapsed="false"/>
    <row r="2969" customFormat="false" ht="13.5" hidden="false" customHeight="false" outlineLevel="0" collapsed="false">
      <c r="B2969" s="78" t="str">
        <f aca="false">IF(助手收入!$R$199&lt;&gt;"","会计主管：","")</f>
        <v/>
      </c>
      <c r="D2969" s="78" t="str">
        <f aca="false">IF(助手收入!$R$199&lt;&gt;"","会计：","")</f>
        <v/>
      </c>
      <c r="E2969" s="78" t="str">
        <f aca="false">IF(助手收入!$R$199&lt;&gt;"","出纳：","")</f>
        <v/>
      </c>
      <c r="F2969" s="78" t="str">
        <f aca="false">IF(助手收入!$R$199&lt;&gt;"","复核：","")</f>
        <v/>
      </c>
      <c r="G2969" s="78" t="str">
        <f aca="false">IF(助手收入!$R$199&lt;&gt;"","制单：","")</f>
        <v/>
      </c>
    </row>
    <row r="2970" customFormat="false" ht="3" hidden="false" customHeight="true" outlineLevel="0" collapsed="false"/>
    <row r="2971" customFormat="false" ht="19.5" hidden="false" customHeight="true" outlineLevel="0" collapsed="false">
      <c r="B2971" s="53" t="str">
        <f aca="false">IF(助手收入!$R$200&lt;&gt;"","记  账  凭  证","")</f>
        <v/>
      </c>
      <c r="C2971" s="53"/>
      <c r="D2971" s="53"/>
      <c r="E2971" s="53"/>
      <c r="F2971" s="53"/>
      <c r="G2971" s="53"/>
      <c r="H2971" s="53"/>
      <c r="I2971" s="53"/>
    </row>
    <row r="2972" customFormat="false" ht="3" hidden="false" customHeight="true" outlineLevel="0" collapsed="false"/>
    <row r="2973" customFormat="false" ht="15" hidden="false" customHeight="true" outlineLevel="0" collapsed="false">
      <c r="C2973" s="56" t="str">
        <f aca="false">IF(助手收入!$R$200&lt;&gt;"",INDEX(助手收入!$B$2:$B$66,助手收入!$R$200),"")</f>
        <v/>
      </c>
      <c r="D2973" s="57" t="str">
        <f aca="false">IF(助手收入!$R$200&lt;&gt;"",参数!$B$2,"")</f>
        <v/>
      </c>
      <c r="E2973" s="57"/>
      <c r="F2973" s="58" t="str">
        <f aca="false">IF(助手收入!$R$200&lt;&gt;"",INDEX(助手收入!$C$2:$C$66,助手收入!$R$200)&amp;"  字第 "&amp;IF(参数!$B$9="是",INDEX(助手收入!$P$2:$P$66,助手收入!$R$200),"　　　　")&amp;" 号"&amp;IF(INDEX(助手收入!$L$2:$L$66,助手收入!$R$200)&gt;1,"  (共"&amp;INDEX(助手收入!$L$2:$L$66,助手收入!$R$200)&amp;"页 第"&amp;助手收入!$S$200&amp;"页)",""),"")</f>
        <v/>
      </c>
      <c r="G2973" s="58"/>
      <c r="H2973" s="58"/>
      <c r="I2973" s="58"/>
      <c r="M2973" s="79" t="str">
        <f aca="false">IF(助手收入!$R$200="","",助手收入!$Q$200)</f>
        <v/>
      </c>
      <c r="N2973" s="80" t="str">
        <f aca="false">IF(助手收入!$R$200="","",INDEX(助手收入!$P$2:$P$66,助手收入!$R$200))</f>
        <v/>
      </c>
      <c r="O2973" s="55" t="str">
        <f aca="false">IF(助手收入!$R$200="","",INDEX(助手收入!$C$2:$C$66,助手收入!$R$200)&amp;"  字第 "&amp;INDEX(助手收入!$P$2:$P$66,助手收入!$R$200)&amp;" 号"&amp;IF(INDEX(助手收入!$L$2:$L$66,助手收入!$R$200)&gt;1,"  (共"&amp;INDEX(助手收入!$L$2:$L$66,助手收入!$R$200)&amp;"页 第"&amp;助手收入!$S$200&amp;"页)",""))</f>
        <v/>
      </c>
    </row>
    <row r="2974" customFormat="false" ht="12.75" hidden="false" customHeight="true" outlineLevel="0" collapsed="false">
      <c r="B2974" s="61" t="str">
        <f aca="false">IF(助手收入!$R$200&lt;&gt;"","摘　　要","")</f>
        <v/>
      </c>
      <c r="C2974" s="61"/>
      <c r="D2974" s="62" t="str">
        <f aca="false">IF(助手收入!$R$200&lt;&gt;"","科　　　　目","")</f>
        <v/>
      </c>
      <c r="E2974" s="62"/>
      <c r="F2974" s="61" t="str">
        <f aca="false">IF(助手收入!$R$200&lt;&gt;"","借 方 金 额","")</f>
        <v/>
      </c>
      <c r="G2974" s="62" t="str">
        <f aca="false">IF(助手收入!$R$200&lt;&gt;"","贷 方 金 额","")</f>
        <v/>
      </c>
      <c r="H2974" s="63" t="str">
        <f aca="false">IF(助手收入!$R$200&lt;&gt;"","√","")</f>
        <v/>
      </c>
      <c r="I2974" s="64" t="str">
        <f aca="false">IF(助手收入!$R$200&lt;&gt;"","附单据  张","")</f>
        <v/>
      </c>
    </row>
    <row r="2975" customFormat="false" ht="12.75" hidden="false" customHeight="true" outlineLevel="0" collapsed="false">
      <c r="B2975" s="61"/>
      <c r="C2975" s="61"/>
      <c r="D2975" s="23" t="str">
        <f aca="false">IF(助手收入!$R$200&lt;&gt;"","总 账 科 目","")</f>
        <v/>
      </c>
      <c r="E2975" s="23" t="str">
        <f aca="false">IF(助手收入!$R$200&lt;&gt;"","明 细 科 目","")</f>
        <v/>
      </c>
      <c r="F2975" s="65"/>
      <c r="G2975" s="66"/>
      <c r="H2975" s="63"/>
      <c r="I2975" s="64"/>
    </row>
    <row r="2976" customFormat="false" ht="23.25" hidden="false" customHeight="true" outlineLevel="0" collapsed="false">
      <c r="B2976" s="67" t="str">
        <f aca="false">IFERROR(INDEX(分录收入!$M:$M,MATCH($L2976,分录收入!$L:$L,0)),"")</f>
        <v/>
      </c>
      <c r="C2976" s="67"/>
      <c r="D2976" s="23" t="str">
        <f aca="false">IFERROR(INDEX(分录收入!$E:$E,MATCH($L2976,分录收入!$L:$L,0)),"")</f>
        <v/>
      </c>
      <c r="E2976" s="23" t="str">
        <f aca="false">IFERROR(INDEX(分录收入!$F:$F,MATCH($L2976,分录收入!$L:$L,0)),"")</f>
        <v/>
      </c>
      <c r="F2976" s="68" t="str">
        <f aca="false">IFERROR(INDEX(分录收入!$H:$H,MATCH($L2976,分录收入!$L:$L,0)),"")</f>
        <v/>
      </c>
      <c r="G2976" s="69" t="str">
        <f aca="false">IFERROR(INDEX(分录收入!$I:$I,MATCH($L2976,分录收入!$L:$L,0)),"")</f>
        <v/>
      </c>
      <c r="H2976" s="23"/>
      <c r="I2976" s="70"/>
      <c r="L2976" s="71" t="n">
        <f aca="false">IF(助手收入!$R$200="",-1,助手收入!$R$200*100+(助手收入!$S$200-1)*6+1)</f>
        <v>-1</v>
      </c>
    </row>
    <row r="2977" customFormat="false" ht="23.25" hidden="false" customHeight="true" outlineLevel="0" collapsed="false">
      <c r="B2977" s="67" t="str">
        <f aca="false">""</f>
        <v/>
      </c>
      <c r="C2977" s="67"/>
      <c r="D2977" s="23" t="str">
        <f aca="false">IFERROR(INDEX(分录收入!$E:$E,MATCH($L2977,分录收入!$L:$L,0)),"")</f>
        <v/>
      </c>
      <c r="E2977" s="23" t="str">
        <f aca="false">IFERROR(INDEX(分录收入!$F:$F,MATCH($L2977,分录收入!$L:$L,0)),"")</f>
        <v/>
      </c>
      <c r="F2977" s="68" t="str">
        <f aca="false">IFERROR(INDEX(分录收入!$H:$H,MATCH($L2977,分录收入!$L:$L,0)),"")</f>
        <v/>
      </c>
      <c r="G2977" s="69" t="str">
        <f aca="false">IFERROR(INDEX(分录收入!$I:$I,MATCH($L2977,分录收入!$L:$L,0)),"")</f>
        <v/>
      </c>
      <c r="H2977" s="23"/>
      <c r="I2977" s="70"/>
      <c r="L2977" s="71" t="n">
        <f aca="false">IF(助手收入!$R$200="",-1,助手收入!$R$200*100+(助手收入!$S$200-1)*6+2)</f>
        <v>-1</v>
      </c>
    </row>
    <row r="2978" customFormat="false" ht="23.25" hidden="false" customHeight="true" outlineLevel="0" collapsed="false">
      <c r="B2978" s="67" t="str">
        <f aca="false">""</f>
        <v/>
      </c>
      <c r="C2978" s="67"/>
      <c r="D2978" s="23" t="str">
        <f aca="false">IFERROR(INDEX(分录收入!$E:$E,MATCH($L2978,分录收入!$L:$L,0)),"")</f>
        <v/>
      </c>
      <c r="E2978" s="23" t="str">
        <f aca="false">IFERROR(INDEX(分录收入!$F:$F,MATCH($L2978,分录收入!$L:$L,0)),"")</f>
        <v/>
      </c>
      <c r="F2978" s="68" t="str">
        <f aca="false">IFERROR(INDEX(分录收入!$H:$H,MATCH($L2978,分录收入!$L:$L,0)),"")</f>
        <v/>
      </c>
      <c r="G2978" s="69" t="str">
        <f aca="false">IFERROR(INDEX(分录收入!$I:$I,MATCH($L2978,分录收入!$L:$L,0)),"")</f>
        <v/>
      </c>
      <c r="H2978" s="23"/>
      <c r="I2978" s="70"/>
      <c r="L2978" s="71" t="n">
        <f aca="false">IF(助手收入!$R$200="",-1,助手收入!$R$200*100+(助手收入!$S$200-1)*6+3)</f>
        <v>-1</v>
      </c>
    </row>
    <row r="2979" customFormat="false" ht="23.25" hidden="false" customHeight="true" outlineLevel="0" collapsed="false">
      <c r="B2979" s="67" t="str">
        <f aca="false">""</f>
        <v/>
      </c>
      <c r="C2979" s="67"/>
      <c r="D2979" s="23" t="str">
        <f aca="false">IFERROR(INDEX(分录收入!$E:$E,MATCH($L2979,分录收入!$L:$L,0)),"")</f>
        <v/>
      </c>
      <c r="E2979" s="23" t="str">
        <f aca="false">IFERROR(INDEX(分录收入!$F:$F,MATCH($L2979,分录收入!$L:$L,0)),"")</f>
        <v/>
      </c>
      <c r="F2979" s="68" t="str">
        <f aca="false">IFERROR(INDEX(分录收入!$H:$H,MATCH($L2979,分录收入!$L:$L,0)),"")</f>
        <v/>
      </c>
      <c r="G2979" s="69" t="str">
        <f aca="false">IFERROR(INDEX(分录收入!$I:$I,MATCH($L2979,分录收入!$L:$L,0)),"")</f>
        <v/>
      </c>
      <c r="H2979" s="23"/>
      <c r="I2979" s="70"/>
      <c r="L2979" s="71" t="n">
        <f aca="false">IF(助手收入!$R$200="",-1,助手收入!$R$200*100+(助手收入!$S$200-1)*6+4)</f>
        <v>-1</v>
      </c>
    </row>
    <row r="2980" customFormat="false" ht="23.25" hidden="false" customHeight="true" outlineLevel="0" collapsed="false">
      <c r="B2980" s="67" t="str">
        <f aca="false">""</f>
        <v/>
      </c>
      <c r="C2980" s="67"/>
      <c r="D2980" s="23" t="str">
        <f aca="false">IFERROR(INDEX(分录收入!$E:$E,MATCH($L2980,分录收入!$L:$L,0)),"")</f>
        <v/>
      </c>
      <c r="E2980" s="23" t="str">
        <f aca="false">IFERROR(INDEX(分录收入!$F:$F,MATCH($L2980,分录收入!$L:$L,0)),"")</f>
        <v/>
      </c>
      <c r="F2980" s="68" t="str">
        <f aca="false">IFERROR(INDEX(分录收入!$H:$H,MATCH($L2980,分录收入!$L:$L,0)),"")</f>
        <v/>
      </c>
      <c r="G2980" s="69" t="str">
        <f aca="false">IFERROR(INDEX(分录收入!$I:$I,MATCH($L2980,分录收入!$L:$L,0)),"")</f>
        <v/>
      </c>
      <c r="H2980" s="23"/>
      <c r="I2980" s="70"/>
      <c r="L2980" s="71" t="n">
        <f aca="false">IF(助手收入!$R$200="",-1,助手收入!$R$200*100+(助手收入!$S$200-1)*6+5)</f>
        <v>-1</v>
      </c>
    </row>
    <row r="2981" customFormat="false" ht="23.25" hidden="false" customHeight="true" outlineLevel="0" collapsed="false">
      <c r="B2981" s="67" t="str">
        <f aca="false">""</f>
        <v/>
      </c>
      <c r="C2981" s="67"/>
      <c r="D2981" s="23" t="str">
        <f aca="false">IFERROR(INDEX(分录收入!$E:$E,MATCH($L2981,分录收入!$L:$L,0)),"")</f>
        <v/>
      </c>
      <c r="E2981" s="23" t="str">
        <f aca="false">IFERROR(INDEX(分录收入!$F:$F,MATCH($L2981,分录收入!$L:$L,0)),"")</f>
        <v/>
      </c>
      <c r="F2981" s="68" t="str">
        <f aca="false">IFERROR(INDEX(分录收入!$H:$H,MATCH($L2981,分录收入!$L:$L,0)),"")</f>
        <v/>
      </c>
      <c r="G2981" s="69" t="str">
        <f aca="false">IFERROR(INDEX(分录收入!$I:$I,MATCH($L2981,分录收入!$L:$L,0)),"")</f>
        <v/>
      </c>
      <c r="H2981" s="23"/>
      <c r="I2981" s="70"/>
      <c r="L2981" s="71" t="n">
        <f aca="false">IF(助手收入!$R$200="",-1,助手收入!$R$200*100+(助手收入!$S$200-1)*6+6)</f>
        <v>-1</v>
      </c>
    </row>
    <row r="2982" customFormat="false" ht="23.25" hidden="false" customHeight="true" outlineLevel="0" collapsed="false">
      <c r="B2982" s="72" t="str">
        <f aca="false">IF(助手收入!$T$200=1,"合计：","")</f>
        <v/>
      </c>
      <c r="C2982" s="73" t="str">
        <f aca="false">IF(助手收入!$T$200=1,$F2982,"")</f>
        <v/>
      </c>
      <c r="D2982" s="74"/>
      <c r="E2982" s="74"/>
      <c r="F2982" s="75" t="str">
        <f aca="false">IF(助手收入!$T$200=1,INDEX(助手收入!$N$2:$N$66,助手收入!$R$200),"")</f>
        <v/>
      </c>
      <c r="G2982" s="76" t="str">
        <f aca="false">IF(助手收入!$T$200=1,INDEX(助手收入!$O$2:$O$66,助手收入!$R$200),"")</f>
        <v/>
      </c>
      <c r="H2982" s="74"/>
      <c r="I2982" s="77"/>
    </row>
    <row r="2983" customFormat="false" ht="6" hidden="false" customHeight="true" outlineLevel="0" collapsed="false"/>
    <row r="2984" customFormat="false" ht="13.5" hidden="false" customHeight="false" outlineLevel="0" collapsed="false">
      <c r="B2984" s="78" t="str">
        <f aca="false">IF(助手收入!$R$200&lt;&gt;"","会计主管：","")</f>
        <v/>
      </c>
      <c r="D2984" s="78" t="str">
        <f aca="false">IF(助手收入!$R$200&lt;&gt;"","会计：","")</f>
        <v/>
      </c>
      <c r="E2984" s="78" t="str">
        <f aca="false">IF(助手收入!$R$200&lt;&gt;"","出纳：","")</f>
        <v/>
      </c>
      <c r="F2984" s="78" t="str">
        <f aca="false">IF(助手收入!$R$200&lt;&gt;"","复核：","")</f>
        <v/>
      </c>
      <c r="G2984" s="78" t="str">
        <f aca="false">IF(助手收入!$R$200&lt;&gt;"","制单：","")</f>
        <v/>
      </c>
    </row>
    <row r="2985" customFormat="false" ht="3" hidden="false" customHeight="true" outlineLevel="0" collapsed="false"/>
    <row r="2986" customFormat="false" ht="19.5" hidden="false" customHeight="true" outlineLevel="0" collapsed="false">
      <c r="B2986" s="53" t="str">
        <f aca="false">IF(助手收入!$R$201&lt;&gt;"","记  账  凭  证","")</f>
        <v/>
      </c>
      <c r="C2986" s="53"/>
      <c r="D2986" s="53"/>
      <c r="E2986" s="53"/>
      <c r="F2986" s="53"/>
      <c r="G2986" s="53"/>
      <c r="H2986" s="53"/>
      <c r="I2986" s="53"/>
    </row>
    <row r="2987" customFormat="false" ht="3" hidden="false" customHeight="true" outlineLevel="0" collapsed="false"/>
    <row r="2988" customFormat="false" ht="15" hidden="false" customHeight="true" outlineLevel="0" collapsed="false">
      <c r="C2988" s="56" t="str">
        <f aca="false">IF(助手收入!$R$201&lt;&gt;"",INDEX(助手收入!$B$2:$B$66,助手收入!$R$201),"")</f>
        <v/>
      </c>
      <c r="D2988" s="57" t="str">
        <f aca="false">IF(助手收入!$R$201&lt;&gt;"",参数!$B$2,"")</f>
        <v/>
      </c>
      <c r="E2988" s="57"/>
      <c r="F2988" s="58" t="str">
        <f aca="false">IF(助手收入!$R$201&lt;&gt;"",INDEX(助手收入!$C$2:$C$66,助手收入!$R$201)&amp;"  字第 "&amp;IF(参数!$B$9="是",INDEX(助手收入!$P$2:$P$66,助手收入!$R$201),"　　　　")&amp;" 号"&amp;IF(INDEX(助手收入!$L$2:$L$66,助手收入!$R$201)&gt;1,"  (共"&amp;INDEX(助手收入!$L$2:$L$66,助手收入!$R$201)&amp;"页 第"&amp;助手收入!$S$201&amp;"页)",""),"")</f>
        <v/>
      </c>
      <c r="G2988" s="58"/>
      <c r="H2988" s="58"/>
      <c r="I2988" s="58"/>
      <c r="M2988" s="79" t="str">
        <f aca="false">IF(助手收入!$R$201="","",助手收入!$Q$201)</f>
        <v/>
      </c>
      <c r="N2988" s="80" t="str">
        <f aca="false">IF(助手收入!$R$201="","",INDEX(助手收入!$P$2:$P$66,助手收入!$R$201))</f>
        <v/>
      </c>
      <c r="O2988" s="55" t="str">
        <f aca="false">IF(助手收入!$R$201="","",INDEX(助手收入!$C$2:$C$66,助手收入!$R$201)&amp;"  字第 "&amp;INDEX(助手收入!$P$2:$P$66,助手收入!$R$201)&amp;" 号"&amp;IF(INDEX(助手收入!$L$2:$L$66,助手收入!$R$201)&gt;1,"  (共"&amp;INDEX(助手收入!$L$2:$L$66,助手收入!$R$201)&amp;"页 第"&amp;助手收入!$S$201&amp;"页)",""))</f>
        <v/>
      </c>
    </row>
    <row r="2989" customFormat="false" ht="12.75" hidden="false" customHeight="true" outlineLevel="0" collapsed="false">
      <c r="B2989" s="61" t="str">
        <f aca="false">IF(助手收入!$R$201&lt;&gt;"","摘　　要","")</f>
        <v/>
      </c>
      <c r="C2989" s="61"/>
      <c r="D2989" s="62" t="str">
        <f aca="false">IF(助手收入!$R$201&lt;&gt;"","科　　　　目","")</f>
        <v/>
      </c>
      <c r="E2989" s="62"/>
      <c r="F2989" s="61" t="str">
        <f aca="false">IF(助手收入!$R$201&lt;&gt;"","借 方 金 额","")</f>
        <v/>
      </c>
      <c r="G2989" s="62" t="str">
        <f aca="false">IF(助手收入!$R$201&lt;&gt;"","贷 方 金 额","")</f>
        <v/>
      </c>
      <c r="H2989" s="63" t="str">
        <f aca="false">IF(助手收入!$R$201&lt;&gt;"","√","")</f>
        <v/>
      </c>
      <c r="I2989" s="64" t="str">
        <f aca="false">IF(助手收入!$R$201&lt;&gt;"","附单据  张","")</f>
        <v/>
      </c>
    </row>
    <row r="2990" customFormat="false" ht="12.75" hidden="false" customHeight="true" outlineLevel="0" collapsed="false">
      <c r="B2990" s="61"/>
      <c r="C2990" s="61"/>
      <c r="D2990" s="23" t="str">
        <f aca="false">IF(助手收入!$R$201&lt;&gt;"","总 账 科 目","")</f>
        <v/>
      </c>
      <c r="E2990" s="23" t="str">
        <f aca="false">IF(助手收入!$R$201&lt;&gt;"","明 细 科 目","")</f>
        <v/>
      </c>
      <c r="F2990" s="65"/>
      <c r="G2990" s="66"/>
      <c r="H2990" s="63"/>
      <c r="I2990" s="64"/>
    </row>
    <row r="2991" customFormat="false" ht="23.25" hidden="false" customHeight="true" outlineLevel="0" collapsed="false">
      <c r="B2991" s="67" t="str">
        <f aca="false">IFERROR(INDEX(分录收入!$M:$M,MATCH($L2991,分录收入!$L:$L,0)),"")</f>
        <v/>
      </c>
      <c r="C2991" s="67"/>
      <c r="D2991" s="23" t="str">
        <f aca="false">IFERROR(INDEX(分录收入!$E:$E,MATCH($L2991,分录收入!$L:$L,0)),"")</f>
        <v/>
      </c>
      <c r="E2991" s="23" t="str">
        <f aca="false">IFERROR(INDEX(分录收入!$F:$F,MATCH($L2991,分录收入!$L:$L,0)),"")</f>
        <v/>
      </c>
      <c r="F2991" s="68" t="str">
        <f aca="false">IFERROR(INDEX(分录收入!$H:$H,MATCH($L2991,分录收入!$L:$L,0)),"")</f>
        <v/>
      </c>
      <c r="G2991" s="69" t="str">
        <f aca="false">IFERROR(INDEX(分录收入!$I:$I,MATCH($L2991,分录收入!$L:$L,0)),"")</f>
        <v/>
      </c>
      <c r="H2991" s="23"/>
      <c r="I2991" s="70"/>
      <c r="L2991" s="71" t="n">
        <f aca="false">IF(助手收入!$R$201="",-1,助手收入!$R$201*100+(助手收入!$S$201-1)*6+1)</f>
        <v>-1</v>
      </c>
    </row>
    <row r="2992" customFormat="false" ht="23.25" hidden="false" customHeight="true" outlineLevel="0" collapsed="false">
      <c r="B2992" s="67" t="str">
        <f aca="false">""</f>
        <v/>
      </c>
      <c r="C2992" s="67"/>
      <c r="D2992" s="23" t="str">
        <f aca="false">IFERROR(INDEX(分录收入!$E:$E,MATCH($L2992,分录收入!$L:$L,0)),"")</f>
        <v/>
      </c>
      <c r="E2992" s="23" t="str">
        <f aca="false">IFERROR(INDEX(分录收入!$F:$F,MATCH($L2992,分录收入!$L:$L,0)),"")</f>
        <v/>
      </c>
      <c r="F2992" s="68" t="str">
        <f aca="false">IFERROR(INDEX(分录收入!$H:$H,MATCH($L2992,分录收入!$L:$L,0)),"")</f>
        <v/>
      </c>
      <c r="G2992" s="69" t="str">
        <f aca="false">IFERROR(INDEX(分录收入!$I:$I,MATCH($L2992,分录收入!$L:$L,0)),"")</f>
        <v/>
      </c>
      <c r="H2992" s="23"/>
      <c r="I2992" s="70"/>
      <c r="L2992" s="71" t="n">
        <f aca="false">IF(助手收入!$R$201="",-1,助手收入!$R$201*100+(助手收入!$S$201-1)*6+2)</f>
        <v>-1</v>
      </c>
    </row>
    <row r="2993" customFormat="false" ht="23.25" hidden="false" customHeight="true" outlineLevel="0" collapsed="false">
      <c r="B2993" s="67" t="str">
        <f aca="false">""</f>
        <v/>
      </c>
      <c r="C2993" s="67"/>
      <c r="D2993" s="23" t="str">
        <f aca="false">IFERROR(INDEX(分录收入!$E:$E,MATCH($L2993,分录收入!$L:$L,0)),"")</f>
        <v/>
      </c>
      <c r="E2993" s="23" t="str">
        <f aca="false">IFERROR(INDEX(分录收入!$F:$F,MATCH($L2993,分录收入!$L:$L,0)),"")</f>
        <v/>
      </c>
      <c r="F2993" s="68" t="str">
        <f aca="false">IFERROR(INDEX(分录收入!$H:$H,MATCH($L2993,分录收入!$L:$L,0)),"")</f>
        <v/>
      </c>
      <c r="G2993" s="69" t="str">
        <f aca="false">IFERROR(INDEX(分录收入!$I:$I,MATCH($L2993,分录收入!$L:$L,0)),"")</f>
        <v/>
      </c>
      <c r="H2993" s="23"/>
      <c r="I2993" s="70"/>
      <c r="L2993" s="71" t="n">
        <f aca="false">IF(助手收入!$R$201="",-1,助手收入!$R$201*100+(助手收入!$S$201-1)*6+3)</f>
        <v>-1</v>
      </c>
    </row>
    <row r="2994" customFormat="false" ht="23.25" hidden="false" customHeight="true" outlineLevel="0" collapsed="false">
      <c r="B2994" s="67" t="str">
        <f aca="false">""</f>
        <v/>
      </c>
      <c r="C2994" s="67"/>
      <c r="D2994" s="23" t="str">
        <f aca="false">IFERROR(INDEX(分录收入!$E:$E,MATCH($L2994,分录收入!$L:$L,0)),"")</f>
        <v/>
      </c>
      <c r="E2994" s="23" t="str">
        <f aca="false">IFERROR(INDEX(分录收入!$F:$F,MATCH($L2994,分录收入!$L:$L,0)),"")</f>
        <v/>
      </c>
      <c r="F2994" s="68" t="str">
        <f aca="false">IFERROR(INDEX(分录收入!$H:$H,MATCH($L2994,分录收入!$L:$L,0)),"")</f>
        <v/>
      </c>
      <c r="G2994" s="69" t="str">
        <f aca="false">IFERROR(INDEX(分录收入!$I:$I,MATCH($L2994,分录收入!$L:$L,0)),"")</f>
        <v/>
      </c>
      <c r="H2994" s="23"/>
      <c r="I2994" s="70"/>
      <c r="L2994" s="71" t="n">
        <f aca="false">IF(助手收入!$R$201="",-1,助手收入!$R$201*100+(助手收入!$S$201-1)*6+4)</f>
        <v>-1</v>
      </c>
    </row>
    <row r="2995" customFormat="false" ht="23.25" hidden="false" customHeight="true" outlineLevel="0" collapsed="false">
      <c r="B2995" s="67" t="str">
        <f aca="false">""</f>
        <v/>
      </c>
      <c r="C2995" s="67"/>
      <c r="D2995" s="23" t="str">
        <f aca="false">IFERROR(INDEX(分录收入!$E:$E,MATCH($L2995,分录收入!$L:$L,0)),"")</f>
        <v/>
      </c>
      <c r="E2995" s="23" t="str">
        <f aca="false">IFERROR(INDEX(分录收入!$F:$F,MATCH($L2995,分录收入!$L:$L,0)),"")</f>
        <v/>
      </c>
      <c r="F2995" s="68" t="str">
        <f aca="false">IFERROR(INDEX(分录收入!$H:$H,MATCH($L2995,分录收入!$L:$L,0)),"")</f>
        <v/>
      </c>
      <c r="G2995" s="69" t="str">
        <f aca="false">IFERROR(INDEX(分录收入!$I:$I,MATCH($L2995,分录收入!$L:$L,0)),"")</f>
        <v/>
      </c>
      <c r="H2995" s="23"/>
      <c r="I2995" s="70"/>
      <c r="L2995" s="71" t="n">
        <f aca="false">IF(助手收入!$R$201="",-1,助手收入!$R$201*100+(助手收入!$S$201-1)*6+5)</f>
        <v>-1</v>
      </c>
    </row>
    <row r="2996" customFormat="false" ht="23.25" hidden="false" customHeight="true" outlineLevel="0" collapsed="false">
      <c r="B2996" s="67" t="str">
        <f aca="false">""</f>
        <v/>
      </c>
      <c r="C2996" s="67"/>
      <c r="D2996" s="23" t="str">
        <f aca="false">IFERROR(INDEX(分录收入!$E:$E,MATCH($L2996,分录收入!$L:$L,0)),"")</f>
        <v/>
      </c>
      <c r="E2996" s="23" t="str">
        <f aca="false">IFERROR(INDEX(分录收入!$F:$F,MATCH($L2996,分录收入!$L:$L,0)),"")</f>
        <v/>
      </c>
      <c r="F2996" s="68" t="str">
        <f aca="false">IFERROR(INDEX(分录收入!$H:$H,MATCH($L2996,分录收入!$L:$L,0)),"")</f>
        <v/>
      </c>
      <c r="G2996" s="69" t="str">
        <f aca="false">IFERROR(INDEX(分录收入!$I:$I,MATCH($L2996,分录收入!$L:$L,0)),"")</f>
        <v/>
      </c>
      <c r="H2996" s="23"/>
      <c r="I2996" s="70"/>
      <c r="L2996" s="71" t="n">
        <f aca="false">IF(助手收入!$R$201="",-1,助手收入!$R$201*100+(助手收入!$S$201-1)*6+6)</f>
        <v>-1</v>
      </c>
    </row>
    <row r="2997" customFormat="false" ht="23.25" hidden="false" customHeight="true" outlineLevel="0" collapsed="false">
      <c r="B2997" s="72" t="str">
        <f aca="false">IF(助手收入!$T$201=1,"合计：","")</f>
        <v/>
      </c>
      <c r="C2997" s="73" t="str">
        <f aca="false">IF(助手收入!$T$201=1,$F2997,"")</f>
        <v/>
      </c>
      <c r="D2997" s="74"/>
      <c r="E2997" s="74"/>
      <c r="F2997" s="75" t="str">
        <f aca="false">IF(助手收入!$T$201=1,INDEX(助手收入!$N$2:$N$66,助手收入!$R$201),"")</f>
        <v/>
      </c>
      <c r="G2997" s="76" t="str">
        <f aca="false">IF(助手收入!$T$201=1,INDEX(助手收入!$O$2:$O$66,助手收入!$R$201),"")</f>
        <v/>
      </c>
      <c r="H2997" s="74"/>
      <c r="I2997" s="77"/>
    </row>
    <row r="2998" customFormat="false" ht="6" hidden="false" customHeight="true" outlineLevel="0" collapsed="false"/>
    <row r="2999" customFormat="false" ht="13.5" hidden="false" customHeight="false" outlineLevel="0" collapsed="false">
      <c r="B2999" s="78" t="str">
        <f aca="false">IF(助手收入!$R$201&lt;&gt;"","会计主管：","")</f>
        <v/>
      </c>
      <c r="D2999" s="78" t="str">
        <f aca="false">IF(助手收入!$R$201&lt;&gt;"","会计：","")</f>
        <v/>
      </c>
      <c r="E2999" s="78" t="str">
        <f aca="false">IF(助手收入!$R$201&lt;&gt;"","出纳：","")</f>
        <v/>
      </c>
      <c r="F2999" s="78" t="str">
        <f aca="false">IF(助手收入!$R$201&lt;&gt;"","复核：","")</f>
        <v/>
      </c>
      <c r="G2999" s="78" t="str">
        <f aca="false">IF(助手收入!$R$201&lt;&gt;"","制单：","")</f>
        <v/>
      </c>
    </row>
    <row r="3000" customFormat="false" ht="3" hidden="false" customHeight="true" outlineLevel="0" collapsed="false"/>
    <row r="3001" customFormat="false" ht="19.5" hidden="false" customHeight="true" outlineLevel="0" collapsed="false">
      <c r="B3001" s="53" t="str">
        <f aca="false">IF(助手收入!$R$202&lt;&gt;"","记  账  凭  证","")</f>
        <v/>
      </c>
      <c r="C3001" s="53"/>
      <c r="D3001" s="53"/>
      <c r="E3001" s="53"/>
      <c r="F3001" s="53"/>
      <c r="G3001" s="53"/>
      <c r="H3001" s="53"/>
      <c r="I3001" s="53"/>
    </row>
    <row r="3002" customFormat="false" ht="3" hidden="false" customHeight="true" outlineLevel="0" collapsed="false"/>
    <row r="3003" customFormat="false" ht="15" hidden="false" customHeight="true" outlineLevel="0" collapsed="false">
      <c r="C3003" s="56" t="str">
        <f aca="false">IF(助手收入!$R$202&lt;&gt;"",INDEX(助手收入!$B$2:$B$66,助手收入!$R$202),"")</f>
        <v/>
      </c>
      <c r="D3003" s="57" t="str">
        <f aca="false">IF(助手收入!$R$202&lt;&gt;"",参数!$B$2,"")</f>
        <v/>
      </c>
      <c r="E3003" s="57"/>
      <c r="F3003" s="58" t="str">
        <f aca="false">IF(助手收入!$R$202&lt;&gt;"",INDEX(助手收入!$C$2:$C$66,助手收入!$R$202)&amp;"  字第 "&amp;IF(参数!$B$9="是",INDEX(助手收入!$P$2:$P$66,助手收入!$R$202),"　　　　")&amp;" 号"&amp;IF(INDEX(助手收入!$L$2:$L$66,助手收入!$R$202)&gt;1,"  (共"&amp;INDEX(助手收入!$L$2:$L$66,助手收入!$R$202)&amp;"页 第"&amp;助手收入!$S$202&amp;"页)",""),"")</f>
        <v/>
      </c>
      <c r="G3003" s="58"/>
      <c r="H3003" s="58"/>
      <c r="I3003" s="58"/>
      <c r="M3003" s="79" t="str">
        <f aca="false">IF(助手收入!$R$202="","",助手收入!$Q$202)</f>
        <v/>
      </c>
      <c r="N3003" s="80" t="str">
        <f aca="false">IF(助手收入!$R$202="","",INDEX(助手收入!$P$2:$P$66,助手收入!$R$202))</f>
        <v/>
      </c>
      <c r="O3003" s="55" t="str">
        <f aca="false">IF(助手收入!$R$202="","",INDEX(助手收入!$C$2:$C$66,助手收入!$R$202)&amp;"  字第 "&amp;INDEX(助手收入!$P$2:$P$66,助手收入!$R$202)&amp;" 号"&amp;IF(INDEX(助手收入!$L$2:$L$66,助手收入!$R$202)&gt;1,"  (共"&amp;INDEX(助手收入!$L$2:$L$66,助手收入!$R$202)&amp;"页 第"&amp;助手收入!$S$202&amp;"页)",""))</f>
        <v/>
      </c>
    </row>
    <row r="3004" customFormat="false" ht="12.75" hidden="false" customHeight="true" outlineLevel="0" collapsed="false">
      <c r="B3004" s="61" t="str">
        <f aca="false">IF(助手收入!$R$202&lt;&gt;"","摘　　要","")</f>
        <v/>
      </c>
      <c r="C3004" s="61"/>
      <c r="D3004" s="62" t="str">
        <f aca="false">IF(助手收入!$R$202&lt;&gt;"","科　　　　目","")</f>
        <v/>
      </c>
      <c r="E3004" s="62"/>
      <c r="F3004" s="61" t="str">
        <f aca="false">IF(助手收入!$R$202&lt;&gt;"","借 方 金 额","")</f>
        <v/>
      </c>
      <c r="G3004" s="62" t="str">
        <f aca="false">IF(助手收入!$R$202&lt;&gt;"","贷 方 金 额","")</f>
        <v/>
      </c>
      <c r="H3004" s="63" t="str">
        <f aca="false">IF(助手收入!$R$202&lt;&gt;"","√","")</f>
        <v/>
      </c>
      <c r="I3004" s="64" t="str">
        <f aca="false">IF(助手收入!$R$202&lt;&gt;"","附单据  张","")</f>
        <v/>
      </c>
    </row>
    <row r="3005" customFormat="false" ht="12.75" hidden="false" customHeight="true" outlineLevel="0" collapsed="false">
      <c r="B3005" s="61"/>
      <c r="C3005" s="61"/>
      <c r="D3005" s="23" t="str">
        <f aca="false">IF(助手收入!$R$202&lt;&gt;"","总 账 科 目","")</f>
        <v/>
      </c>
      <c r="E3005" s="23" t="str">
        <f aca="false">IF(助手收入!$R$202&lt;&gt;"","明 细 科 目","")</f>
        <v/>
      </c>
      <c r="F3005" s="65"/>
      <c r="G3005" s="66"/>
      <c r="H3005" s="63"/>
      <c r="I3005" s="64"/>
    </row>
    <row r="3006" customFormat="false" ht="23.25" hidden="false" customHeight="true" outlineLevel="0" collapsed="false">
      <c r="B3006" s="67" t="str">
        <f aca="false">IFERROR(INDEX(分录收入!$M:$M,MATCH($L3006,分录收入!$L:$L,0)),"")</f>
        <v/>
      </c>
      <c r="C3006" s="67"/>
      <c r="D3006" s="23" t="str">
        <f aca="false">IFERROR(INDEX(分录收入!$E:$E,MATCH($L3006,分录收入!$L:$L,0)),"")</f>
        <v/>
      </c>
      <c r="E3006" s="23" t="str">
        <f aca="false">IFERROR(INDEX(分录收入!$F:$F,MATCH($L3006,分录收入!$L:$L,0)),"")</f>
        <v/>
      </c>
      <c r="F3006" s="68" t="str">
        <f aca="false">IFERROR(INDEX(分录收入!$H:$H,MATCH($L3006,分录收入!$L:$L,0)),"")</f>
        <v/>
      </c>
      <c r="G3006" s="69" t="str">
        <f aca="false">IFERROR(INDEX(分录收入!$I:$I,MATCH($L3006,分录收入!$L:$L,0)),"")</f>
        <v/>
      </c>
      <c r="H3006" s="23"/>
      <c r="I3006" s="70"/>
      <c r="L3006" s="71" t="n">
        <f aca="false">IF(助手收入!$R$202="",-1,助手收入!$R$202*100+(助手收入!$S$202-1)*6+1)</f>
        <v>-1</v>
      </c>
    </row>
    <row r="3007" customFormat="false" ht="23.25" hidden="false" customHeight="true" outlineLevel="0" collapsed="false">
      <c r="B3007" s="67" t="str">
        <f aca="false">""</f>
        <v/>
      </c>
      <c r="C3007" s="67"/>
      <c r="D3007" s="23" t="str">
        <f aca="false">IFERROR(INDEX(分录收入!$E:$E,MATCH($L3007,分录收入!$L:$L,0)),"")</f>
        <v/>
      </c>
      <c r="E3007" s="23" t="str">
        <f aca="false">IFERROR(INDEX(分录收入!$F:$F,MATCH($L3007,分录收入!$L:$L,0)),"")</f>
        <v/>
      </c>
      <c r="F3007" s="68" t="str">
        <f aca="false">IFERROR(INDEX(分录收入!$H:$H,MATCH($L3007,分录收入!$L:$L,0)),"")</f>
        <v/>
      </c>
      <c r="G3007" s="69" t="str">
        <f aca="false">IFERROR(INDEX(分录收入!$I:$I,MATCH($L3007,分录收入!$L:$L,0)),"")</f>
        <v/>
      </c>
      <c r="H3007" s="23"/>
      <c r="I3007" s="70"/>
      <c r="L3007" s="71" t="n">
        <f aca="false">IF(助手收入!$R$202="",-1,助手收入!$R$202*100+(助手收入!$S$202-1)*6+2)</f>
        <v>-1</v>
      </c>
    </row>
    <row r="3008" customFormat="false" ht="23.25" hidden="false" customHeight="true" outlineLevel="0" collapsed="false">
      <c r="B3008" s="67" t="str">
        <f aca="false">""</f>
        <v/>
      </c>
      <c r="C3008" s="67"/>
      <c r="D3008" s="23" t="str">
        <f aca="false">IFERROR(INDEX(分录收入!$E:$E,MATCH($L3008,分录收入!$L:$L,0)),"")</f>
        <v/>
      </c>
      <c r="E3008" s="23" t="str">
        <f aca="false">IFERROR(INDEX(分录收入!$F:$F,MATCH($L3008,分录收入!$L:$L,0)),"")</f>
        <v/>
      </c>
      <c r="F3008" s="68" t="str">
        <f aca="false">IFERROR(INDEX(分录收入!$H:$H,MATCH($L3008,分录收入!$L:$L,0)),"")</f>
        <v/>
      </c>
      <c r="G3008" s="69" t="str">
        <f aca="false">IFERROR(INDEX(分录收入!$I:$I,MATCH($L3008,分录收入!$L:$L,0)),"")</f>
        <v/>
      </c>
      <c r="H3008" s="23"/>
      <c r="I3008" s="70"/>
      <c r="L3008" s="71" t="n">
        <f aca="false">IF(助手收入!$R$202="",-1,助手收入!$R$202*100+(助手收入!$S$202-1)*6+3)</f>
        <v>-1</v>
      </c>
    </row>
    <row r="3009" customFormat="false" ht="23.25" hidden="false" customHeight="true" outlineLevel="0" collapsed="false">
      <c r="B3009" s="67" t="str">
        <f aca="false">""</f>
        <v/>
      </c>
      <c r="C3009" s="67"/>
      <c r="D3009" s="23" t="str">
        <f aca="false">IFERROR(INDEX(分录收入!$E:$E,MATCH($L3009,分录收入!$L:$L,0)),"")</f>
        <v/>
      </c>
      <c r="E3009" s="23" t="str">
        <f aca="false">IFERROR(INDEX(分录收入!$F:$F,MATCH($L3009,分录收入!$L:$L,0)),"")</f>
        <v/>
      </c>
      <c r="F3009" s="68" t="str">
        <f aca="false">IFERROR(INDEX(分录收入!$H:$H,MATCH($L3009,分录收入!$L:$L,0)),"")</f>
        <v/>
      </c>
      <c r="G3009" s="69" t="str">
        <f aca="false">IFERROR(INDEX(分录收入!$I:$I,MATCH($L3009,分录收入!$L:$L,0)),"")</f>
        <v/>
      </c>
      <c r="H3009" s="23"/>
      <c r="I3009" s="70"/>
      <c r="L3009" s="71" t="n">
        <f aca="false">IF(助手收入!$R$202="",-1,助手收入!$R$202*100+(助手收入!$S$202-1)*6+4)</f>
        <v>-1</v>
      </c>
    </row>
    <row r="3010" customFormat="false" ht="23.25" hidden="false" customHeight="true" outlineLevel="0" collapsed="false">
      <c r="B3010" s="67" t="str">
        <f aca="false">""</f>
        <v/>
      </c>
      <c r="C3010" s="67"/>
      <c r="D3010" s="23" t="str">
        <f aca="false">IFERROR(INDEX(分录收入!$E:$E,MATCH($L3010,分录收入!$L:$L,0)),"")</f>
        <v/>
      </c>
      <c r="E3010" s="23" t="str">
        <f aca="false">IFERROR(INDEX(分录收入!$F:$F,MATCH($L3010,分录收入!$L:$L,0)),"")</f>
        <v/>
      </c>
      <c r="F3010" s="68" t="str">
        <f aca="false">IFERROR(INDEX(分录收入!$H:$H,MATCH($L3010,分录收入!$L:$L,0)),"")</f>
        <v/>
      </c>
      <c r="G3010" s="69" t="str">
        <f aca="false">IFERROR(INDEX(分录收入!$I:$I,MATCH($L3010,分录收入!$L:$L,0)),"")</f>
        <v/>
      </c>
      <c r="H3010" s="23"/>
      <c r="I3010" s="70"/>
      <c r="L3010" s="71" t="n">
        <f aca="false">IF(助手收入!$R$202="",-1,助手收入!$R$202*100+(助手收入!$S$202-1)*6+5)</f>
        <v>-1</v>
      </c>
    </row>
    <row r="3011" customFormat="false" ht="23.25" hidden="false" customHeight="true" outlineLevel="0" collapsed="false">
      <c r="B3011" s="67" t="str">
        <f aca="false">""</f>
        <v/>
      </c>
      <c r="C3011" s="67"/>
      <c r="D3011" s="23" t="str">
        <f aca="false">IFERROR(INDEX(分录收入!$E:$E,MATCH($L3011,分录收入!$L:$L,0)),"")</f>
        <v/>
      </c>
      <c r="E3011" s="23" t="str">
        <f aca="false">IFERROR(INDEX(分录收入!$F:$F,MATCH($L3011,分录收入!$L:$L,0)),"")</f>
        <v/>
      </c>
      <c r="F3011" s="68" t="str">
        <f aca="false">IFERROR(INDEX(分录收入!$H:$H,MATCH($L3011,分录收入!$L:$L,0)),"")</f>
        <v/>
      </c>
      <c r="G3011" s="69" t="str">
        <f aca="false">IFERROR(INDEX(分录收入!$I:$I,MATCH($L3011,分录收入!$L:$L,0)),"")</f>
        <v/>
      </c>
      <c r="H3011" s="23"/>
      <c r="I3011" s="70"/>
      <c r="L3011" s="71" t="n">
        <f aca="false">IF(助手收入!$R$202="",-1,助手收入!$R$202*100+(助手收入!$S$202-1)*6+6)</f>
        <v>-1</v>
      </c>
    </row>
    <row r="3012" customFormat="false" ht="23.25" hidden="false" customHeight="true" outlineLevel="0" collapsed="false">
      <c r="B3012" s="72" t="str">
        <f aca="false">IF(助手收入!$T$202=1,"合计：","")</f>
        <v/>
      </c>
      <c r="C3012" s="73" t="str">
        <f aca="false">IF(助手收入!$T$202=1,$F3012,"")</f>
        <v/>
      </c>
      <c r="D3012" s="74"/>
      <c r="E3012" s="74"/>
      <c r="F3012" s="75" t="str">
        <f aca="false">IF(助手收入!$T$202=1,INDEX(助手收入!$N$2:$N$66,助手收入!$R$202),"")</f>
        <v/>
      </c>
      <c r="G3012" s="76" t="str">
        <f aca="false">IF(助手收入!$T$202=1,INDEX(助手收入!$O$2:$O$66,助手收入!$R$202),"")</f>
        <v/>
      </c>
      <c r="H3012" s="74"/>
      <c r="I3012" s="77"/>
    </row>
    <row r="3013" customFormat="false" ht="6" hidden="false" customHeight="true" outlineLevel="0" collapsed="false"/>
    <row r="3014" customFormat="false" ht="13.5" hidden="false" customHeight="false" outlineLevel="0" collapsed="false">
      <c r="B3014" s="78" t="str">
        <f aca="false">IF(助手收入!$R$202&lt;&gt;"","会计主管：","")</f>
        <v/>
      </c>
      <c r="D3014" s="78" t="str">
        <f aca="false">IF(助手收入!$R$202&lt;&gt;"","会计：","")</f>
        <v/>
      </c>
      <c r="E3014" s="78" t="str">
        <f aca="false">IF(助手收入!$R$202&lt;&gt;"","出纳：","")</f>
        <v/>
      </c>
      <c r="F3014" s="78" t="str">
        <f aca="false">IF(助手收入!$R$202&lt;&gt;"","复核：","")</f>
        <v/>
      </c>
      <c r="G3014" s="78" t="str">
        <f aca="false">IF(助手收入!$R$202&lt;&gt;"","制单：","")</f>
        <v/>
      </c>
    </row>
    <row r="3015" customFormat="false" ht="3" hidden="false" customHeight="true" outlineLevel="0" collapsed="false"/>
    <row r="3016" customFormat="false" ht="19.5" hidden="false" customHeight="true" outlineLevel="0" collapsed="false">
      <c r="B3016" s="53" t="str">
        <f aca="false">IF(助手收入!$R$203&lt;&gt;"","记  账  凭  证","")</f>
        <v/>
      </c>
      <c r="C3016" s="53"/>
      <c r="D3016" s="53"/>
      <c r="E3016" s="53"/>
      <c r="F3016" s="53"/>
      <c r="G3016" s="53"/>
      <c r="H3016" s="53"/>
      <c r="I3016" s="53"/>
    </row>
    <row r="3017" customFormat="false" ht="3" hidden="false" customHeight="true" outlineLevel="0" collapsed="false"/>
    <row r="3018" customFormat="false" ht="15" hidden="false" customHeight="true" outlineLevel="0" collapsed="false">
      <c r="C3018" s="56" t="str">
        <f aca="false">IF(助手收入!$R$203&lt;&gt;"",INDEX(助手收入!$B$2:$B$66,助手收入!$R$203),"")</f>
        <v/>
      </c>
      <c r="D3018" s="57" t="str">
        <f aca="false">IF(助手收入!$R$203&lt;&gt;"",参数!$B$2,"")</f>
        <v/>
      </c>
      <c r="E3018" s="57"/>
      <c r="F3018" s="58" t="str">
        <f aca="false">IF(助手收入!$R$203&lt;&gt;"",INDEX(助手收入!$C$2:$C$66,助手收入!$R$203)&amp;"  字第 "&amp;IF(参数!$B$9="是",INDEX(助手收入!$P$2:$P$66,助手收入!$R$203),"　　　　")&amp;" 号"&amp;IF(INDEX(助手收入!$L$2:$L$66,助手收入!$R$203)&gt;1,"  (共"&amp;INDEX(助手收入!$L$2:$L$66,助手收入!$R$203)&amp;"页 第"&amp;助手收入!$S$203&amp;"页)",""),"")</f>
        <v/>
      </c>
      <c r="G3018" s="58"/>
      <c r="H3018" s="58"/>
      <c r="I3018" s="58"/>
      <c r="M3018" s="79" t="str">
        <f aca="false">IF(助手收入!$R$203="","",助手收入!$Q$203)</f>
        <v/>
      </c>
      <c r="N3018" s="80" t="str">
        <f aca="false">IF(助手收入!$R$203="","",INDEX(助手收入!$P$2:$P$66,助手收入!$R$203))</f>
        <v/>
      </c>
      <c r="O3018" s="55" t="str">
        <f aca="false">IF(助手收入!$R$203="","",INDEX(助手收入!$C$2:$C$66,助手收入!$R$203)&amp;"  字第 "&amp;INDEX(助手收入!$P$2:$P$66,助手收入!$R$203)&amp;" 号"&amp;IF(INDEX(助手收入!$L$2:$L$66,助手收入!$R$203)&gt;1,"  (共"&amp;INDEX(助手收入!$L$2:$L$66,助手收入!$R$203)&amp;"页 第"&amp;助手收入!$S$203&amp;"页)",""))</f>
        <v/>
      </c>
    </row>
    <row r="3019" customFormat="false" ht="12.75" hidden="false" customHeight="true" outlineLevel="0" collapsed="false">
      <c r="B3019" s="61" t="str">
        <f aca="false">IF(助手收入!$R$203&lt;&gt;"","摘　　要","")</f>
        <v/>
      </c>
      <c r="C3019" s="61"/>
      <c r="D3019" s="62" t="str">
        <f aca="false">IF(助手收入!$R$203&lt;&gt;"","科　　　　目","")</f>
        <v/>
      </c>
      <c r="E3019" s="62"/>
      <c r="F3019" s="61" t="str">
        <f aca="false">IF(助手收入!$R$203&lt;&gt;"","借 方 金 额","")</f>
        <v/>
      </c>
      <c r="G3019" s="62" t="str">
        <f aca="false">IF(助手收入!$R$203&lt;&gt;"","贷 方 金 额","")</f>
        <v/>
      </c>
      <c r="H3019" s="63" t="str">
        <f aca="false">IF(助手收入!$R$203&lt;&gt;"","√","")</f>
        <v/>
      </c>
      <c r="I3019" s="64" t="str">
        <f aca="false">IF(助手收入!$R$203&lt;&gt;"","附单据  张","")</f>
        <v/>
      </c>
    </row>
    <row r="3020" customFormat="false" ht="12.75" hidden="false" customHeight="true" outlineLevel="0" collapsed="false">
      <c r="B3020" s="61"/>
      <c r="C3020" s="61"/>
      <c r="D3020" s="23" t="str">
        <f aca="false">IF(助手收入!$R$203&lt;&gt;"","总 账 科 目","")</f>
        <v/>
      </c>
      <c r="E3020" s="23" t="str">
        <f aca="false">IF(助手收入!$R$203&lt;&gt;"","明 细 科 目","")</f>
        <v/>
      </c>
      <c r="F3020" s="65"/>
      <c r="G3020" s="66"/>
      <c r="H3020" s="63"/>
      <c r="I3020" s="64"/>
    </row>
    <row r="3021" customFormat="false" ht="23.25" hidden="false" customHeight="true" outlineLevel="0" collapsed="false">
      <c r="B3021" s="67" t="str">
        <f aca="false">IFERROR(INDEX(分录收入!$M:$M,MATCH($L3021,分录收入!$L:$L,0)),"")</f>
        <v/>
      </c>
      <c r="C3021" s="67"/>
      <c r="D3021" s="23" t="str">
        <f aca="false">IFERROR(INDEX(分录收入!$E:$E,MATCH($L3021,分录收入!$L:$L,0)),"")</f>
        <v/>
      </c>
      <c r="E3021" s="23" t="str">
        <f aca="false">IFERROR(INDEX(分录收入!$F:$F,MATCH($L3021,分录收入!$L:$L,0)),"")</f>
        <v/>
      </c>
      <c r="F3021" s="68" t="str">
        <f aca="false">IFERROR(INDEX(分录收入!$H:$H,MATCH($L3021,分录收入!$L:$L,0)),"")</f>
        <v/>
      </c>
      <c r="G3021" s="69" t="str">
        <f aca="false">IFERROR(INDEX(分录收入!$I:$I,MATCH($L3021,分录收入!$L:$L,0)),"")</f>
        <v/>
      </c>
      <c r="H3021" s="23"/>
      <c r="I3021" s="70"/>
      <c r="L3021" s="71" t="n">
        <f aca="false">IF(助手收入!$R$203="",-1,助手收入!$R$203*100+(助手收入!$S$203-1)*6+1)</f>
        <v>-1</v>
      </c>
    </row>
    <row r="3022" customFormat="false" ht="23.25" hidden="false" customHeight="true" outlineLevel="0" collapsed="false">
      <c r="B3022" s="67" t="str">
        <f aca="false">""</f>
        <v/>
      </c>
      <c r="C3022" s="67"/>
      <c r="D3022" s="23" t="str">
        <f aca="false">IFERROR(INDEX(分录收入!$E:$E,MATCH($L3022,分录收入!$L:$L,0)),"")</f>
        <v/>
      </c>
      <c r="E3022" s="23" t="str">
        <f aca="false">IFERROR(INDEX(分录收入!$F:$F,MATCH($L3022,分录收入!$L:$L,0)),"")</f>
        <v/>
      </c>
      <c r="F3022" s="68" t="str">
        <f aca="false">IFERROR(INDEX(分录收入!$H:$H,MATCH($L3022,分录收入!$L:$L,0)),"")</f>
        <v/>
      </c>
      <c r="G3022" s="69" t="str">
        <f aca="false">IFERROR(INDEX(分录收入!$I:$I,MATCH($L3022,分录收入!$L:$L,0)),"")</f>
        <v/>
      </c>
      <c r="H3022" s="23"/>
      <c r="I3022" s="70"/>
      <c r="L3022" s="71" t="n">
        <f aca="false">IF(助手收入!$R$203="",-1,助手收入!$R$203*100+(助手收入!$S$203-1)*6+2)</f>
        <v>-1</v>
      </c>
    </row>
    <row r="3023" customFormat="false" ht="23.25" hidden="false" customHeight="true" outlineLevel="0" collapsed="false">
      <c r="B3023" s="67" t="str">
        <f aca="false">""</f>
        <v/>
      </c>
      <c r="C3023" s="67"/>
      <c r="D3023" s="23" t="str">
        <f aca="false">IFERROR(INDEX(分录收入!$E:$E,MATCH($L3023,分录收入!$L:$L,0)),"")</f>
        <v/>
      </c>
      <c r="E3023" s="23" t="str">
        <f aca="false">IFERROR(INDEX(分录收入!$F:$F,MATCH($L3023,分录收入!$L:$L,0)),"")</f>
        <v/>
      </c>
      <c r="F3023" s="68" t="str">
        <f aca="false">IFERROR(INDEX(分录收入!$H:$H,MATCH($L3023,分录收入!$L:$L,0)),"")</f>
        <v/>
      </c>
      <c r="G3023" s="69" t="str">
        <f aca="false">IFERROR(INDEX(分录收入!$I:$I,MATCH($L3023,分录收入!$L:$L,0)),"")</f>
        <v/>
      </c>
      <c r="H3023" s="23"/>
      <c r="I3023" s="70"/>
      <c r="L3023" s="71" t="n">
        <f aca="false">IF(助手收入!$R$203="",-1,助手收入!$R$203*100+(助手收入!$S$203-1)*6+3)</f>
        <v>-1</v>
      </c>
    </row>
    <row r="3024" customFormat="false" ht="23.25" hidden="false" customHeight="true" outlineLevel="0" collapsed="false">
      <c r="B3024" s="67" t="str">
        <f aca="false">""</f>
        <v/>
      </c>
      <c r="C3024" s="67"/>
      <c r="D3024" s="23" t="str">
        <f aca="false">IFERROR(INDEX(分录收入!$E:$E,MATCH($L3024,分录收入!$L:$L,0)),"")</f>
        <v/>
      </c>
      <c r="E3024" s="23" t="str">
        <f aca="false">IFERROR(INDEX(分录收入!$F:$F,MATCH($L3024,分录收入!$L:$L,0)),"")</f>
        <v/>
      </c>
      <c r="F3024" s="68" t="str">
        <f aca="false">IFERROR(INDEX(分录收入!$H:$H,MATCH($L3024,分录收入!$L:$L,0)),"")</f>
        <v/>
      </c>
      <c r="G3024" s="69" t="str">
        <f aca="false">IFERROR(INDEX(分录收入!$I:$I,MATCH($L3024,分录收入!$L:$L,0)),"")</f>
        <v/>
      </c>
      <c r="H3024" s="23"/>
      <c r="I3024" s="70"/>
      <c r="L3024" s="71" t="n">
        <f aca="false">IF(助手收入!$R$203="",-1,助手收入!$R$203*100+(助手收入!$S$203-1)*6+4)</f>
        <v>-1</v>
      </c>
    </row>
    <row r="3025" customFormat="false" ht="23.25" hidden="false" customHeight="true" outlineLevel="0" collapsed="false">
      <c r="B3025" s="67" t="str">
        <f aca="false">""</f>
        <v/>
      </c>
      <c r="C3025" s="67"/>
      <c r="D3025" s="23" t="str">
        <f aca="false">IFERROR(INDEX(分录收入!$E:$E,MATCH($L3025,分录收入!$L:$L,0)),"")</f>
        <v/>
      </c>
      <c r="E3025" s="23" t="str">
        <f aca="false">IFERROR(INDEX(分录收入!$F:$F,MATCH($L3025,分录收入!$L:$L,0)),"")</f>
        <v/>
      </c>
      <c r="F3025" s="68" t="str">
        <f aca="false">IFERROR(INDEX(分录收入!$H:$H,MATCH($L3025,分录收入!$L:$L,0)),"")</f>
        <v/>
      </c>
      <c r="G3025" s="69" t="str">
        <f aca="false">IFERROR(INDEX(分录收入!$I:$I,MATCH($L3025,分录收入!$L:$L,0)),"")</f>
        <v/>
      </c>
      <c r="H3025" s="23"/>
      <c r="I3025" s="70"/>
      <c r="L3025" s="71" t="n">
        <f aca="false">IF(助手收入!$R$203="",-1,助手收入!$R$203*100+(助手收入!$S$203-1)*6+5)</f>
        <v>-1</v>
      </c>
    </row>
    <row r="3026" customFormat="false" ht="23.25" hidden="false" customHeight="true" outlineLevel="0" collapsed="false">
      <c r="B3026" s="67" t="str">
        <f aca="false">""</f>
        <v/>
      </c>
      <c r="C3026" s="67"/>
      <c r="D3026" s="23" t="str">
        <f aca="false">IFERROR(INDEX(分录收入!$E:$E,MATCH($L3026,分录收入!$L:$L,0)),"")</f>
        <v/>
      </c>
      <c r="E3026" s="23" t="str">
        <f aca="false">IFERROR(INDEX(分录收入!$F:$F,MATCH($L3026,分录收入!$L:$L,0)),"")</f>
        <v/>
      </c>
      <c r="F3026" s="68" t="str">
        <f aca="false">IFERROR(INDEX(分录收入!$H:$H,MATCH($L3026,分录收入!$L:$L,0)),"")</f>
        <v/>
      </c>
      <c r="G3026" s="69" t="str">
        <f aca="false">IFERROR(INDEX(分录收入!$I:$I,MATCH($L3026,分录收入!$L:$L,0)),"")</f>
        <v/>
      </c>
      <c r="H3026" s="23"/>
      <c r="I3026" s="70"/>
      <c r="L3026" s="71" t="n">
        <f aca="false">IF(助手收入!$R$203="",-1,助手收入!$R$203*100+(助手收入!$S$203-1)*6+6)</f>
        <v>-1</v>
      </c>
    </row>
    <row r="3027" customFormat="false" ht="23.25" hidden="false" customHeight="true" outlineLevel="0" collapsed="false">
      <c r="B3027" s="72" t="str">
        <f aca="false">IF(助手收入!$T$203=1,"合计：","")</f>
        <v/>
      </c>
      <c r="C3027" s="73" t="str">
        <f aca="false">IF(助手收入!$T$203=1,$F3027,"")</f>
        <v/>
      </c>
      <c r="D3027" s="74"/>
      <c r="E3027" s="74"/>
      <c r="F3027" s="75" t="str">
        <f aca="false">IF(助手收入!$T$203=1,INDEX(助手收入!$N$2:$N$66,助手收入!$R$203),"")</f>
        <v/>
      </c>
      <c r="G3027" s="76" t="str">
        <f aca="false">IF(助手收入!$T$203=1,INDEX(助手收入!$O$2:$O$66,助手收入!$R$203),"")</f>
        <v/>
      </c>
      <c r="H3027" s="74"/>
      <c r="I3027" s="77"/>
    </row>
    <row r="3028" customFormat="false" ht="6" hidden="false" customHeight="true" outlineLevel="0" collapsed="false"/>
    <row r="3029" customFormat="false" ht="13.5" hidden="false" customHeight="false" outlineLevel="0" collapsed="false">
      <c r="B3029" s="78" t="str">
        <f aca="false">IF(助手收入!$R$203&lt;&gt;"","会计主管：","")</f>
        <v/>
      </c>
      <c r="D3029" s="78" t="str">
        <f aca="false">IF(助手收入!$R$203&lt;&gt;"","会计：","")</f>
        <v/>
      </c>
      <c r="E3029" s="78" t="str">
        <f aca="false">IF(助手收入!$R$203&lt;&gt;"","出纳：","")</f>
        <v/>
      </c>
      <c r="F3029" s="78" t="str">
        <f aca="false">IF(助手收入!$R$203&lt;&gt;"","复核：","")</f>
        <v/>
      </c>
      <c r="G3029" s="78" t="str">
        <f aca="false">IF(助手收入!$R$203&lt;&gt;"","制单：","")</f>
        <v/>
      </c>
    </row>
    <row r="3030" customFormat="false" ht="3" hidden="false" customHeight="true" outlineLevel="0" collapsed="false"/>
    <row r="3031" customFormat="false" ht="19.5" hidden="false" customHeight="true" outlineLevel="0" collapsed="false">
      <c r="B3031" s="53" t="str">
        <f aca="false">IF(助手收入!$R$204&lt;&gt;"","记  账  凭  证","")</f>
        <v/>
      </c>
      <c r="C3031" s="53"/>
      <c r="D3031" s="53"/>
      <c r="E3031" s="53"/>
      <c r="F3031" s="53"/>
      <c r="G3031" s="53"/>
      <c r="H3031" s="53"/>
      <c r="I3031" s="53"/>
    </row>
    <row r="3032" customFormat="false" ht="3" hidden="false" customHeight="true" outlineLevel="0" collapsed="false"/>
    <row r="3033" customFormat="false" ht="15" hidden="false" customHeight="true" outlineLevel="0" collapsed="false">
      <c r="C3033" s="56" t="str">
        <f aca="false">IF(助手收入!$R$204&lt;&gt;"",INDEX(助手收入!$B$2:$B$66,助手收入!$R$204),"")</f>
        <v/>
      </c>
      <c r="D3033" s="57" t="str">
        <f aca="false">IF(助手收入!$R$204&lt;&gt;"",参数!$B$2,"")</f>
        <v/>
      </c>
      <c r="E3033" s="57"/>
      <c r="F3033" s="58" t="str">
        <f aca="false">IF(助手收入!$R$204&lt;&gt;"",INDEX(助手收入!$C$2:$C$66,助手收入!$R$204)&amp;"  字第 "&amp;IF(参数!$B$9="是",INDEX(助手收入!$P$2:$P$66,助手收入!$R$204),"　　　　")&amp;" 号"&amp;IF(INDEX(助手收入!$L$2:$L$66,助手收入!$R$204)&gt;1,"  (共"&amp;INDEX(助手收入!$L$2:$L$66,助手收入!$R$204)&amp;"页 第"&amp;助手收入!$S$204&amp;"页)",""),"")</f>
        <v/>
      </c>
      <c r="G3033" s="58"/>
      <c r="H3033" s="58"/>
      <c r="I3033" s="58"/>
      <c r="M3033" s="79" t="str">
        <f aca="false">IF(助手收入!$R$204="","",助手收入!$Q$204)</f>
        <v/>
      </c>
      <c r="N3033" s="80" t="str">
        <f aca="false">IF(助手收入!$R$204="","",INDEX(助手收入!$P$2:$P$66,助手收入!$R$204))</f>
        <v/>
      </c>
      <c r="O3033" s="55" t="str">
        <f aca="false">IF(助手收入!$R$204="","",INDEX(助手收入!$C$2:$C$66,助手收入!$R$204)&amp;"  字第 "&amp;INDEX(助手收入!$P$2:$P$66,助手收入!$R$204)&amp;" 号"&amp;IF(INDEX(助手收入!$L$2:$L$66,助手收入!$R$204)&gt;1,"  (共"&amp;INDEX(助手收入!$L$2:$L$66,助手收入!$R$204)&amp;"页 第"&amp;助手收入!$S$204&amp;"页)",""))</f>
        <v/>
      </c>
    </row>
    <row r="3034" customFormat="false" ht="12.75" hidden="false" customHeight="true" outlineLevel="0" collapsed="false">
      <c r="B3034" s="61" t="str">
        <f aca="false">IF(助手收入!$R$204&lt;&gt;"","摘　　要","")</f>
        <v/>
      </c>
      <c r="C3034" s="61"/>
      <c r="D3034" s="62" t="str">
        <f aca="false">IF(助手收入!$R$204&lt;&gt;"","科　　　　目","")</f>
        <v/>
      </c>
      <c r="E3034" s="62"/>
      <c r="F3034" s="61" t="str">
        <f aca="false">IF(助手收入!$R$204&lt;&gt;"","借 方 金 额","")</f>
        <v/>
      </c>
      <c r="G3034" s="62" t="str">
        <f aca="false">IF(助手收入!$R$204&lt;&gt;"","贷 方 金 额","")</f>
        <v/>
      </c>
      <c r="H3034" s="63" t="str">
        <f aca="false">IF(助手收入!$R$204&lt;&gt;"","√","")</f>
        <v/>
      </c>
      <c r="I3034" s="64" t="str">
        <f aca="false">IF(助手收入!$R$204&lt;&gt;"","附单据  张","")</f>
        <v/>
      </c>
    </row>
    <row r="3035" customFormat="false" ht="12.75" hidden="false" customHeight="true" outlineLevel="0" collapsed="false">
      <c r="B3035" s="61"/>
      <c r="C3035" s="61"/>
      <c r="D3035" s="23" t="str">
        <f aca="false">IF(助手收入!$R$204&lt;&gt;"","总 账 科 目","")</f>
        <v/>
      </c>
      <c r="E3035" s="23" t="str">
        <f aca="false">IF(助手收入!$R$204&lt;&gt;"","明 细 科 目","")</f>
        <v/>
      </c>
      <c r="F3035" s="65"/>
      <c r="G3035" s="66"/>
      <c r="H3035" s="63"/>
      <c r="I3035" s="64"/>
    </row>
    <row r="3036" customFormat="false" ht="23.25" hidden="false" customHeight="true" outlineLevel="0" collapsed="false">
      <c r="B3036" s="67" t="str">
        <f aca="false">IFERROR(INDEX(分录收入!$M:$M,MATCH($L3036,分录收入!$L:$L,0)),"")</f>
        <v/>
      </c>
      <c r="C3036" s="67"/>
      <c r="D3036" s="23" t="str">
        <f aca="false">IFERROR(INDEX(分录收入!$E:$E,MATCH($L3036,分录收入!$L:$L,0)),"")</f>
        <v/>
      </c>
      <c r="E3036" s="23" t="str">
        <f aca="false">IFERROR(INDEX(分录收入!$F:$F,MATCH($L3036,分录收入!$L:$L,0)),"")</f>
        <v/>
      </c>
      <c r="F3036" s="68" t="str">
        <f aca="false">IFERROR(INDEX(分录收入!$H:$H,MATCH($L3036,分录收入!$L:$L,0)),"")</f>
        <v/>
      </c>
      <c r="G3036" s="69" t="str">
        <f aca="false">IFERROR(INDEX(分录收入!$I:$I,MATCH($L3036,分录收入!$L:$L,0)),"")</f>
        <v/>
      </c>
      <c r="H3036" s="23"/>
      <c r="I3036" s="70"/>
      <c r="L3036" s="71" t="n">
        <f aca="false">IF(助手收入!$R$204="",-1,助手收入!$R$204*100+(助手收入!$S$204-1)*6+1)</f>
        <v>-1</v>
      </c>
    </row>
    <row r="3037" customFormat="false" ht="23.25" hidden="false" customHeight="true" outlineLevel="0" collapsed="false">
      <c r="B3037" s="67" t="str">
        <f aca="false">""</f>
        <v/>
      </c>
      <c r="C3037" s="67"/>
      <c r="D3037" s="23" t="str">
        <f aca="false">IFERROR(INDEX(分录收入!$E:$E,MATCH($L3037,分录收入!$L:$L,0)),"")</f>
        <v/>
      </c>
      <c r="E3037" s="23" t="str">
        <f aca="false">IFERROR(INDEX(分录收入!$F:$F,MATCH($L3037,分录收入!$L:$L,0)),"")</f>
        <v/>
      </c>
      <c r="F3037" s="68" t="str">
        <f aca="false">IFERROR(INDEX(分录收入!$H:$H,MATCH($L3037,分录收入!$L:$L,0)),"")</f>
        <v/>
      </c>
      <c r="G3037" s="69" t="str">
        <f aca="false">IFERROR(INDEX(分录收入!$I:$I,MATCH($L3037,分录收入!$L:$L,0)),"")</f>
        <v/>
      </c>
      <c r="H3037" s="23"/>
      <c r="I3037" s="70"/>
      <c r="L3037" s="71" t="n">
        <f aca="false">IF(助手收入!$R$204="",-1,助手收入!$R$204*100+(助手收入!$S$204-1)*6+2)</f>
        <v>-1</v>
      </c>
    </row>
    <row r="3038" customFormat="false" ht="23.25" hidden="false" customHeight="true" outlineLevel="0" collapsed="false">
      <c r="B3038" s="67" t="str">
        <f aca="false">""</f>
        <v/>
      </c>
      <c r="C3038" s="67"/>
      <c r="D3038" s="23" t="str">
        <f aca="false">IFERROR(INDEX(分录收入!$E:$E,MATCH($L3038,分录收入!$L:$L,0)),"")</f>
        <v/>
      </c>
      <c r="E3038" s="23" t="str">
        <f aca="false">IFERROR(INDEX(分录收入!$F:$F,MATCH($L3038,分录收入!$L:$L,0)),"")</f>
        <v/>
      </c>
      <c r="F3038" s="68" t="str">
        <f aca="false">IFERROR(INDEX(分录收入!$H:$H,MATCH($L3038,分录收入!$L:$L,0)),"")</f>
        <v/>
      </c>
      <c r="G3038" s="69" t="str">
        <f aca="false">IFERROR(INDEX(分录收入!$I:$I,MATCH($L3038,分录收入!$L:$L,0)),"")</f>
        <v/>
      </c>
      <c r="H3038" s="23"/>
      <c r="I3038" s="70"/>
      <c r="L3038" s="71" t="n">
        <f aca="false">IF(助手收入!$R$204="",-1,助手收入!$R$204*100+(助手收入!$S$204-1)*6+3)</f>
        <v>-1</v>
      </c>
    </row>
    <row r="3039" customFormat="false" ht="23.25" hidden="false" customHeight="true" outlineLevel="0" collapsed="false">
      <c r="B3039" s="67" t="str">
        <f aca="false">""</f>
        <v/>
      </c>
      <c r="C3039" s="67"/>
      <c r="D3039" s="23" t="str">
        <f aca="false">IFERROR(INDEX(分录收入!$E:$E,MATCH($L3039,分录收入!$L:$L,0)),"")</f>
        <v/>
      </c>
      <c r="E3039" s="23" t="str">
        <f aca="false">IFERROR(INDEX(分录收入!$F:$F,MATCH($L3039,分录收入!$L:$L,0)),"")</f>
        <v/>
      </c>
      <c r="F3039" s="68" t="str">
        <f aca="false">IFERROR(INDEX(分录收入!$H:$H,MATCH($L3039,分录收入!$L:$L,0)),"")</f>
        <v/>
      </c>
      <c r="G3039" s="69" t="str">
        <f aca="false">IFERROR(INDEX(分录收入!$I:$I,MATCH($L3039,分录收入!$L:$L,0)),"")</f>
        <v/>
      </c>
      <c r="H3039" s="23"/>
      <c r="I3039" s="70"/>
      <c r="L3039" s="71" t="n">
        <f aca="false">IF(助手收入!$R$204="",-1,助手收入!$R$204*100+(助手收入!$S$204-1)*6+4)</f>
        <v>-1</v>
      </c>
    </row>
    <row r="3040" customFormat="false" ht="23.25" hidden="false" customHeight="true" outlineLevel="0" collapsed="false">
      <c r="B3040" s="67" t="str">
        <f aca="false">""</f>
        <v/>
      </c>
      <c r="C3040" s="67"/>
      <c r="D3040" s="23" t="str">
        <f aca="false">IFERROR(INDEX(分录收入!$E:$E,MATCH($L3040,分录收入!$L:$L,0)),"")</f>
        <v/>
      </c>
      <c r="E3040" s="23" t="str">
        <f aca="false">IFERROR(INDEX(分录收入!$F:$F,MATCH($L3040,分录收入!$L:$L,0)),"")</f>
        <v/>
      </c>
      <c r="F3040" s="68" t="str">
        <f aca="false">IFERROR(INDEX(分录收入!$H:$H,MATCH($L3040,分录收入!$L:$L,0)),"")</f>
        <v/>
      </c>
      <c r="G3040" s="69" t="str">
        <f aca="false">IFERROR(INDEX(分录收入!$I:$I,MATCH($L3040,分录收入!$L:$L,0)),"")</f>
        <v/>
      </c>
      <c r="H3040" s="23"/>
      <c r="I3040" s="70"/>
      <c r="L3040" s="71" t="n">
        <f aca="false">IF(助手收入!$R$204="",-1,助手收入!$R$204*100+(助手收入!$S$204-1)*6+5)</f>
        <v>-1</v>
      </c>
    </row>
    <row r="3041" customFormat="false" ht="23.25" hidden="false" customHeight="true" outlineLevel="0" collapsed="false">
      <c r="B3041" s="67" t="str">
        <f aca="false">""</f>
        <v/>
      </c>
      <c r="C3041" s="67"/>
      <c r="D3041" s="23" t="str">
        <f aca="false">IFERROR(INDEX(分录收入!$E:$E,MATCH($L3041,分录收入!$L:$L,0)),"")</f>
        <v/>
      </c>
      <c r="E3041" s="23" t="str">
        <f aca="false">IFERROR(INDEX(分录收入!$F:$F,MATCH($L3041,分录收入!$L:$L,0)),"")</f>
        <v/>
      </c>
      <c r="F3041" s="68" t="str">
        <f aca="false">IFERROR(INDEX(分录收入!$H:$H,MATCH($L3041,分录收入!$L:$L,0)),"")</f>
        <v/>
      </c>
      <c r="G3041" s="69" t="str">
        <f aca="false">IFERROR(INDEX(分录收入!$I:$I,MATCH($L3041,分录收入!$L:$L,0)),"")</f>
        <v/>
      </c>
      <c r="H3041" s="23"/>
      <c r="I3041" s="70"/>
      <c r="L3041" s="71" t="n">
        <f aca="false">IF(助手收入!$R$204="",-1,助手收入!$R$204*100+(助手收入!$S$204-1)*6+6)</f>
        <v>-1</v>
      </c>
    </row>
    <row r="3042" customFormat="false" ht="23.25" hidden="false" customHeight="true" outlineLevel="0" collapsed="false">
      <c r="B3042" s="72" t="str">
        <f aca="false">IF(助手收入!$T$204=1,"合计：","")</f>
        <v/>
      </c>
      <c r="C3042" s="73" t="str">
        <f aca="false">IF(助手收入!$T$204=1,$F3042,"")</f>
        <v/>
      </c>
      <c r="D3042" s="74"/>
      <c r="E3042" s="74"/>
      <c r="F3042" s="75" t="str">
        <f aca="false">IF(助手收入!$T$204=1,INDEX(助手收入!$N$2:$N$66,助手收入!$R$204),"")</f>
        <v/>
      </c>
      <c r="G3042" s="76" t="str">
        <f aca="false">IF(助手收入!$T$204=1,INDEX(助手收入!$O$2:$O$66,助手收入!$R$204),"")</f>
        <v/>
      </c>
      <c r="H3042" s="74"/>
      <c r="I3042" s="77"/>
    </row>
    <row r="3043" customFormat="false" ht="6" hidden="false" customHeight="true" outlineLevel="0" collapsed="false"/>
    <row r="3044" customFormat="false" ht="13.5" hidden="false" customHeight="false" outlineLevel="0" collapsed="false">
      <c r="B3044" s="78" t="str">
        <f aca="false">IF(助手收入!$R$204&lt;&gt;"","会计主管：","")</f>
        <v/>
      </c>
      <c r="D3044" s="78" t="str">
        <f aca="false">IF(助手收入!$R$204&lt;&gt;"","会计：","")</f>
        <v/>
      </c>
      <c r="E3044" s="78" t="str">
        <f aca="false">IF(助手收入!$R$204&lt;&gt;"","出纳：","")</f>
        <v/>
      </c>
      <c r="F3044" s="78" t="str">
        <f aca="false">IF(助手收入!$R$204&lt;&gt;"","复核：","")</f>
        <v/>
      </c>
      <c r="G3044" s="78" t="str">
        <f aca="false">IF(助手收入!$R$204&lt;&gt;"","制单：","")</f>
        <v/>
      </c>
    </row>
    <row r="3045" customFormat="false" ht="3" hidden="false" customHeight="true" outlineLevel="0" collapsed="false"/>
    <row r="3046" customFormat="false" ht="19.5" hidden="false" customHeight="true" outlineLevel="0" collapsed="false">
      <c r="B3046" s="53" t="str">
        <f aca="false">IF(助手收入!$R$205&lt;&gt;"","记  账  凭  证","")</f>
        <v/>
      </c>
      <c r="C3046" s="53"/>
      <c r="D3046" s="53"/>
      <c r="E3046" s="53"/>
      <c r="F3046" s="53"/>
      <c r="G3046" s="53"/>
      <c r="H3046" s="53"/>
      <c r="I3046" s="53"/>
    </row>
    <row r="3047" customFormat="false" ht="3" hidden="false" customHeight="true" outlineLevel="0" collapsed="false"/>
    <row r="3048" customFormat="false" ht="15" hidden="false" customHeight="true" outlineLevel="0" collapsed="false">
      <c r="C3048" s="56" t="str">
        <f aca="false">IF(助手收入!$R$205&lt;&gt;"",INDEX(助手收入!$B$2:$B$66,助手收入!$R$205),"")</f>
        <v/>
      </c>
      <c r="D3048" s="57" t="str">
        <f aca="false">IF(助手收入!$R$205&lt;&gt;"",参数!$B$2,"")</f>
        <v/>
      </c>
      <c r="E3048" s="57"/>
      <c r="F3048" s="58" t="str">
        <f aca="false">IF(助手收入!$R$205&lt;&gt;"",INDEX(助手收入!$C$2:$C$66,助手收入!$R$205)&amp;"  字第 "&amp;IF(参数!$B$9="是",INDEX(助手收入!$P$2:$P$66,助手收入!$R$205),"　　　　")&amp;" 号"&amp;IF(INDEX(助手收入!$L$2:$L$66,助手收入!$R$205)&gt;1,"  (共"&amp;INDEX(助手收入!$L$2:$L$66,助手收入!$R$205)&amp;"页 第"&amp;助手收入!$S$205&amp;"页)",""),"")</f>
        <v/>
      </c>
      <c r="G3048" s="58"/>
      <c r="H3048" s="58"/>
      <c r="I3048" s="58"/>
      <c r="M3048" s="79" t="str">
        <f aca="false">IF(助手收入!$R$205="","",助手收入!$Q$205)</f>
        <v/>
      </c>
      <c r="N3048" s="80" t="str">
        <f aca="false">IF(助手收入!$R$205="","",INDEX(助手收入!$P$2:$P$66,助手收入!$R$205))</f>
        <v/>
      </c>
      <c r="O3048" s="55" t="str">
        <f aca="false">IF(助手收入!$R$205="","",INDEX(助手收入!$C$2:$C$66,助手收入!$R$205)&amp;"  字第 "&amp;INDEX(助手收入!$P$2:$P$66,助手收入!$R$205)&amp;" 号"&amp;IF(INDEX(助手收入!$L$2:$L$66,助手收入!$R$205)&gt;1,"  (共"&amp;INDEX(助手收入!$L$2:$L$66,助手收入!$R$205)&amp;"页 第"&amp;助手收入!$S$205&amp;"页)",""))</f>
        <v/>
      </c>
    </row>
    <row r="3049" customFormat="false" ht="12.75" hidden="false" customHeight="true" outlineLevel="0" collapsed="false">
      <c r="B3049" s="61" t="str">
        <f aca="false">IF(助手收入!$R$205&lt;&gt;"","摘　　要","")</f>
        <v/>
      </c>
      <c r="C3049" s="61"/>
      <c r="D3049" s="62" t="str">
        <f aca="false">IF(助手收入!$R$205&lt;&gt;"","科　　　　目","")</f>
        <v/>
      </c>
      <c r="E3049" s="62"/>
      <c r="F3049" s="61" t="str">
        <f aca="false">IF(助手收入!$R$205&lt;&gt;"","借 方 金 额","")</f>
        <v/>
      </c>
      <c r="G3049" s="62" t="str">
        <f aca="false">IF(助手收入!$R$205&lt;&gt;"","贷 方 金 额","")</f>
        <v/>
      </c>
      <c r="H3049" s="63" t="str">
        <f aca="false">IF(助手收入!$R$205&lt;&gt;"","√","")</f>
        <v/>
      </c>
      <c r="I3049" s="64" t="str">
        <f aca="false">IF(助手收入!$R$205&lt;&gt;"","附单据  张","")</f>
        <v/>
      </c>
    </row>
    <row r="3050" customFormat="false" ht="12.75" hidden="false" customHeight="true" outlineLevel="0" collapsed="false">
      <c r="B3050" s="61"/>
      <c r="C3050" s="61"/>
      <c r="D3050" s="23" t="str">
        <f aca="false">IF(助手收入!$R$205&lt;&gt;"","总 账 科 目","")</f>
        <v/>
      </c>
      <c r="E3050" s="23" t="str">
        <f aca="false">IF(助手收入!$R$205&lt;&gt;"","明 细 科 目","")</f>
        <v/>
      </c>
      <c r="F3050" s="65"/>
      <c r="G3050" s="66"/>
      <c r="H3050" s="63"/>
      <c r="I3050" s="64"/>
    </row>
    <row r="3051" customFormat="false" ht="23.25" hidden="false" customHeight="true" outlineLevel="0" collapsed="false">
      <c r="B3051" s="67" t="str">
        <f aca="false">IFERROR(INDEX(分录收入!$M:$M,MATCH($L3051,分录收入!$L:$L,0)),"")</f>
        <v/>
      </c>
      <c r="C3051" s="67"/>
      <c r="D3051" s="23" t="str">
        <f aca="false">IFERROR(INDEX(分录收入!$E:$E,MATCH($L3051,分录收入!$L:$L,0)),"")</f>
        <v/>
      </c>
      <c r="E3051" s="23" t="str">
        <f aca="false">IFERROR(INDEX(分录收入!$F:$F,MATCH($L3051,分录收入!$L:$L,0)),"")</f>
        <v/>
      </c>
      <c r="F3051" s="68" t="str">
        <f aca="false">IFERROR(INDEX(分录收入!$H:$H,MATCH($L3051,分录收入!$L:$L,0)),"")</f>
        <v/>
      </c>
      <c r="G3051" s="69" t="str">
        <f aca="false">IFERROR(INDEX(分录收入!$I:$I,MATCH($L3051,分录收入!$L:$L,0)),"")</f>
        <v/>
      </c>
      <c r="H3051" s="23"/>
      <c r="I3051" s="70"/>
      <c r="L3051" s="71" t="n">
        <f aca="false">IF(助手收入!$R$205="",-1,助手收入!$R$205*100+(助手收入!$S$205-1)*6+1)</f>
        <v>-1</v>
      </c>
    </row>
    <row r="3052" customFormat="false" ht="23.25" hidden="false" customHeight="true" outlineLevel="0" collapsed="false">
      <c r="B3052" s="67" t="str">
        <f aca="false">""</f>
        <v/>
      </c>
      <c r="C3052" s="67"/>
      <c r="D3052" s="23" t="str">
        <f aca="false">IFERROR(INDEX(分录收入!$E:$E,MATCH($L3052,分录收入!$L:$L,0)),"")</f>
        <v/>
      </c>
      <c r="E3052" s="23" t="str">
        <f aca="false">IFERROR(INDEX(分录收入!$F:$F,MATCH($L3052,分录收入!$L:$L,0)),"")</f>
        <v/>
      </c>
      <c r="F3052" s="68" t="str">
        <f aca="false">IFERROR(INDEX(分录收入!$H:$H,MATCH($L3052,分录收入!$L:$L,0)),"")</f>
        <v/>
      </c>
      <c r="G3052" s="69" t="str">
        <f aca="false">IFERROR(INDEX(分录收入!$I:$I,MATCH($L3052,分录收入!$L:$L,0)),"")</f>
        <v/>
      </c>
      <c r="H3052" s="23"/>
      <c r="I3052" s="70"/>
      <c r="L3052" s="71" t="n">
        <f aca="false">IF(助手收入!$R$205="",-1,助手收入!$R$205*100+(助手收入!$S$205-1)*6+2)</f>
        <v>-1</v>
      </c>
    </row>
    <row r="3053" customFormat="false" ht="23.25" hidden="false" customHeight="true" outlineLevel="0" collapsed="false">
      <c r="B3053" s="67" t="str">
        <f aca="false">""</f>
        <v/>
      </c>
      <c r="C3053" s="67"/>
      <c r="D3053" s="23" t="str">
        <f aca="false">IFERROR(INDEX(分录收入!$E:$E,MATCH($L3053,分录收入!$L:$L,0)),"")</f>
        <v/>
      </c>
      <c r="E3053" s="23" t="str">
        <f aca="false">IFERROR(INDEX(分录收入!$F:$F,MATCH($L3053,分录收入!$L:$L,0)),"")</f>
        <v/>
      </c>
      <c r="F3053" s="68" t="str">
        <f aca="false">IFERROR(INDEX(分录收入!$H:$H,MATCH($L3053,分录收入!$L:$L,0)),"")</f>
        <v/>
      </c>
      <c r="G3053" s="69" t="str">
        <f aca="false">IFERROR(INDEX(分录收入!$I:$I,MATCH($L3053,分录收入!$L:$L,0)),"")</f>
        <v/>
      </c>
      <c r="H3053" s="23"/>
      <c r="I3053" s="70"/>
      <c r="L3053" s="71" t="n">
        <f aca="false">IF(助手收入!$R$205="",-1,助手收入!$R$205*100+(助手收入!$S$205-1)*6+3)</f>
        <v>-1</v>
      </c>
    </row>
    <row r="3054" customFormat="false" ht="23.25" hidden="false" customHeight="true" outlineLevel="0" collapsed="false">
      <c r="B3054" s="67" t="str">
        <f aca="false">""</f>
        <v/>
      </c>
      <c r="C3054" s="67"/>
      <c r="D3054" s="23" t="str">
        <f aca="false">IFERROR(INDEX(分录收入!$E:$E,MATCH($L3054,分录收入!$L:$L,0)),"")</f>
        <v/>
      </c>
      <c r="E3054" s="23" t="str">
        <f aca="false">IFERROR(INDEX(分录收入!$F:$F,MATCH($L3054,分录收入!$L:$L,0)),"")</f>
        <v/>
      </c>
      <c r="F3054" s="68" t="str">
        <f aca="false">IFERROR(INDEX(分录收入!$H:$H,MATCH($L3054,分录收入!$L:$L,0)),"")</f>
        <v/>
      </c>
      <c r="G3054" s="69" t="str">
        <f aca="false">IFERROR(INDEX(分录收入!$I:$I,MATCH($L3054,分录收入!$L:$L,0)),"")</f>
        <v/>
      </c>
      <c r="H3054" s="23"/>
      <c r="I3054" s="70"/>
      <c r="L3054" s="71" t="n">
        <f aca="false">IF(助手收入!$R$205="",-1,助手收入!$R$205*100+(助手收入!$S$205-1)*6+4)</f>
        <v>-1</v>
      </c>
    </row>
    <row r="3055" customFormat="false" ht="23.25" hidden="false" customHeight="true" outlineLevel="0" collapsed="false">
      <c r="B3055" s="67" t="str">
        <f aca="false">""</f>
        <v/>
      </c>
      <c r="C3055" s="67"/>
      <c r="D3055" s="23" t="str">
        <f aca="false">IFERROR(INDEX(分录收入!$E:$E,MATCH($L3055,分录收入!$L:$L,0)),"")</f>
        <v/>
      </c>
      <c r="E3055" s="23" t="str">
        <f aca="false">IFERROR(INDEX(分录收入!$F:$F,MATCH($L3055,分录收入!$L:$L,0)),"")</f>
        <v/>
      </c>
      <c r="F3055" s="68" t="str">
        <f aca="false">IFERROR(INDEX(分录收入!$H:$H,MATCH($L3055,分录收入!$L:$L,0)),"")</f>
        <v/>
      </c>
      <c r="G3055" s="69" t="str">
        <f aca="false">IFERROR(INDEX(分录收入!$I:$I,MATCH($L3055,分录收入!$L:$L,0)),"")</f>
        <v/>
      </c>
      <c r="H3055" s="23"/>
      <c r="I3055" s="70"/>
      <c r="L3055" s="71" t="n">
        <f aca="false">IF(助手收入!$R$205="",-1,助手收入!$R$205*100+(助手收入!$S$205-1)*6+5)</f>
        <v>-1</v>
      </c>
    </row>
    <row r="3056" customFormat="false" ht="23.25" hidden="false" customHeight="true" outlineLevel="0" collapsed="false">
      <c r="B3056" s="67" t="str">
        <f aca="false">""</f>
        <v/>
      </c>
      <c r="C3056" s="67"/>
      <c r="D3056" s="23" t="str">
        <f aca="false">IFERROR(INDEX(分录收入!$E:$E,MATCH($L3056,分录收入!$L:$L,0)),"")</f>
        <v/>
      </c>
      <c r="E3056" s="23" t="str">
        <f aca="false">IFERROR(INDEX(分录收入!$F:$F,MATCH($L3056,分录收入!$L:$L,0)),"")</f>
        <v/>
      </c>
      <c r="F3056" s="68" t="str">
        <f aca="false">IFERROR(INDEX(分录收入!$H:$H,MATCH($L3056,分录收入!$L:$L,0)),"")</f>
        <v/>
      </c>
      <c r="G3056" s="69" t="str">
        <f aca="false">IFERROR(INDEX(分录收入!$I:$I,MATCH($L3056,分录收入!$L:$L,0)),"")</f>
        <v/>
      </c>
      <c r="H3056" s="23"/>
      <c r="I3056" s="70"/>
      <c r="L3056" s="71" t="n">
        <f aca="false">IF(助手收入!$R$205="",-1,助手收入!$R$205*100+(助手收入!$S$205-1)*6+6)</f>
        <v>-1</v>
      </c>
    </row>
    <row r="3057" customFormat="false" ht="23.25" hidden="false" customHeight="true" outlineLevel="0" collapsed="false">
      <c r="B3057" s="72" t="str">
        <f aca="false">IF(助手收入!$T$205=1,"合计：","")</f>
        <v/>
      </c>
      <c r="C3057" s="73" t="str">
        <f aca="false">IF(助手收入!$T$205=1,$F3057,"")</f>
        <v/>
      </c>
      <c r="D3057" s="74"/>
      <c r="E3057" s="74"/>
      <c r="F3057" s="75" t="str">
        <f aca="false">IF(助手收入!$T$205=1,INDEX(助手收入!$N$2:$N$66,助手收入!$R$205),"")</f>
        <v/>
      </c>
      <c r="G3057" s="76" t="str">
        <f aca="false">IF(助手收入!$T$205=1,INDEX(助手收入!$O$2:$O$66,助手收入!$R$205),"")</f>
        <v/>
      </c>
      <c r="H3057" s="74"/>
      <c r="I3057" s="77"/>
    </row>
    <row r="3058" customFormat="false" ht="6" hidden="false" customHeight="true" outlineLevel="0" collapsed="false"/>
    <row r="3059" customFormat="false" ht="13.5" hidden="false" customHeight="false" outlineLevel="0" collapsed="false">
      <c r="B3059" s="78" t="str">
        <f aca="false">IF(助手收入!$R$205&lt;&gt;"","会计主管：","")</f>
        <v/>
      </c>
      <c r="D3059" s="78" t="str">
        <f aca="false">IF(助手收入!$R$205&lt;&gt;"","会计：","")</f>
        <v/>
      </c>
      <c r="E3059" s="78" t="str">
        <f aca="false">IF(助手收入!$R$205&lt;&gt;"","出纳：","")</f>
        <v/>
      </c>
      <c r="F3059" s="78" t="str">
        <f aca="false">IF(助手收入!$R$205&lt;&gt;"","复核：","")</f>
        <v/>
      </c>
      <c r="G3059" s="78" t="str">
        <f aca="false">IF(助手收入!$R$205&lt;&gt;"","制单：","")</f>
        <v/>
      </c>
    </row>
    <row r="3060" customFormat="false" ht="3" hidden="false" customHeight="true" outlineLevel="0" collapsed="false"/>
    <row r="3061" customFormat="false" ht="19.5" hidden="false" customHeight="true" outlineLevel="0" collapsed="false">
      <c r="B3061" s="53" t="str">
        <f aca="false">IF(助手收入!$R$206&lt;&gt;"","记  账  凭  证","")</f>
        <v/>
      </c>
      <c r="C3061" s="53"/>
      <c r="D3061" s="53"/>
      <c r="E3061" s="53"/>
      <c r="F3061" s="53"/>
      <c r="G3061" s="53"/>
      <c r="H3061" s="53"/>
      <c r="I3061" s="53"/>
    </row>
    <row r="3062" customFormat="false" ht="3" hidden="false" customHeight="true" outlineLevel="0" collapsed="false"/>
    <row r="3063" customFormat="false" ht="15" hidden="false" customHeight="true" outlineLevel="0" collapsed="false">
      <c r="C3063" s="56" t="str">
        <f aca="false">IF(助手收入!$R$206&lt;&gt;"",INDEX(助手收入!$B$2:$B$66,助手收入!$R$206),"")</f>
        <v/>
      </c>
      <c r="D3063" s="57" t="str">
        <f aca="false">IF(助手收入!$R$206&lt;&gt;"",参数!$B$2,"")</f>
        <v/>
      </c>
      <c r="E3063" s="57"/>
      <c r="F3063" s="58" t="str">
        <f aca="false">IF(助手收入!$R$206&lt;&gt;"",INDEX(助手收入!$C$2:$C$66,助手收入!$R$206)&amp;"  字第 "&amp;IF(参数!$B$9="是",INDEX(助手收入!$P$2:$P$66,助手收入!$R$206),"　　　　")&amp;" 号"&amp;IF(INDEX(助手收入!$L$2:$L$66,助手收入!$R$206)&gt;1,"  (共"&amp;INDEX(助手收入!$L$2:$L$66,助手收入!$R$206)&amp;"页 第"&amp;助手收入!$S$206&amp;"页)",""),"")</f>
        <v/>
      </c>
      <c r="G3063" s="58"/>
      <c r="H3063" s="58"/>
      <c r="I3063" s="58"/>
      <c r="M3063" s="79" t="str">
        <f aca="false">IF(助手收入!$R$206="","",助手收入!$Q$206)</f>
        <v/>
      </c>
      <c r="N3063" s="80" t="str">
        <f aca="false">IF(助手收入!$R$206="","",INDEX(助手收入!$P$2:$P$66,助手收入!$R$206))</f>
        <v/>
      </c>
      <c r="O3063" s="55" t="str">
        <f aca="false">IF(助手收入!$R$206="","",INDEX(助手收入!$C$2:$C$66,助手收入!$R$206)&amp;"  字第 "&amp;INDEX(助手收入!$P$2:$P$66,助手收入!$R$206)&amp;" 号"&amp;IF(INDEX(助手收入!$L$2:$L$66,助手收入!$R$206)&gt;1,"  (共"&amp;INDEX(助手收入!$L$2:$L$66,助手收入!$R$206)&amp;"页 第"&amp;助手收入!$S$206&amp;"页)",""))</f>
        <v/>
      </c>
    </row>
    <row r="3064" customFormat="false" ht="12.75" hidden="false" customHeight="true" outlineLevel="0" collapsed="false">
      <c r="B3064" s="61" t="str">
        <f aca="false">IF(助手收入!$R$206&lt;&gt;"","摘　　要","")</f>
        <v/>
      </c>
      <c r="C3064" s="61"/>
      <c r="D3064" s="62" t="str">
        <f aca="false">IF(助手收入!$R$206&lt;&gt;"","科　　　　目","")</f>
        <v/>
      </c>
      <c r="E3064" s="62"/>
      <c r="F3064" s="61" t="str">
        <f aca="false">IF(助手收入!$R$206&lt;&gt;"","借 方 金 额","")</f>
        <v/>
      </c>
      <c r="G3064" s="62" t="str">
        <f aca="false">IF(助手收入!$R$206&lt;&gt;"","贷 方 金 额","")</f>
        <v/>
      </c>
      <c r="H3064" s="63" t="str">
        <f aca="false">IF(助手收入!$R$206&lt;&gt;"","√","")</f>
        <v/>
      </c>
      <c r="I3064" s="64" t="str">
        <f aca="false">IF(助手收入!$R$206&lt;&gt;"","附单据  张","")</f>
        <v/>
      </c>
    </row>
    <row r="3065" customFormat="false" ht="12.75" hidden="false" customHeight="true" outlineLevel="0" collapsed="false">
      <c r="B3065" s="61"/>
      <c r="C3065" s="61"/>
      <c r="D3065" s="23" t="str">
        <f aca="false">IF(助手收入!$R$206&lt;&gt;"","总 账 科 目","")</f>
        <v/>
      </c>
      <c r="E3065" s="23" t="str">
        <f aca="false">IF(助手收入!$R$206&lt;&gt;"","明 细 科 目","")</f>
        <v/>
      </c>
      <c r="F3065" s="65"/>
      <c r="G3065" s="66"/>
      <c r="H3065" s="63"/>
      <c r="I3065" s="64"/>
    </row>
    <row r="3066" customFormat="false" ht="23.25" hidden="false" customHeight="true" outlineLevel="0" collapsed="false">
      <c r="B3066" s="67" t="str">
        <f aca="false">IFERROR(INDEX(分录收入!$M:$M,MATCH($L3066,分录收入!$L:$L,0)),"")</f>
        <v/>
      </c>
      <c r="C3066" s="67"/>
      <c r="D3066" s="23" t="str">
        <f aca="false">IFERROR(INDEX(分录收入!$E:$E,MATCH($L3066,分录收入!$L:$L,0)),"")</f>
        <v/>
      </c>
      <c r="E3066" s="23" t="str">
        <f aca="false">IFERROR(INDEX(分录收入!$F:$F,MATCH($L3066,分录收入!$L:$L,0)),"")</f>
        <v/>
      </c>
      <c r="F3066" s="68" t="str">
        <f aca="false">IFERROR(INDEX(分录收入!$H:$H,MATCH($L3066,分录收入!$L:$L,0)),"")</f>
        <v/>
      </c>
      <c r="G3066" s="69" t="str">
        <f aca="false">IFERROR(INDEX(分录收入!$I:$I,MATCH($L3066,分录收入!$L:$L,0)),"")</f>
        <v/>
      </c>
      <c r="H3066" s="23"/>
      <c r="I3066" s="70"/>
      <c r="L3066" s="71" t="n">
        <f aca="false">IF(助手收入!$R$206="",-1,助手收入!$R$206*100+(助手收入!$S$206-1)*6+1)</f>
        <v>-1</v>
      </c>
    </row>
    <row r="3067" customFormat="false" ht="23.25" hidden="false" customHeight="true" outlineLevel="0" collapsed="false">
      <c r="B3067" s="67" t="str">
        <f aca="false">""</f>
        <v/>
      </c>
      <c r="C3067" s="67"/>
      <c r="D3067" s="23" t="str">
        <f aca="false">IFERROR(INDEX(分录收入!$E:$E,MATCH($L3067,分录收入!$L:$L,0)),"")</f>
        <v/>
      </c>
      <c r="E3067" s="23" t="str">
        <f aca="false">IFERROR(INDEX(分录收入!$F:$F,MATCH($L3067,分录收入!$L:$L,0)),"")</f>
        <v/>
      </c>
      <c r="F3067" s="68" t="str">
        <f aca="false">IFERROR(INDEX(分录收入!$H:$H,MATCH($L3067,分录收入!$L:$L,0)),"")</f>
        <v/>
      </c>
      <c r="G3067" s="69" t="str">
        <f aca="false">IFERROR(INDEX(分录收入!$I:$I,MATCH($L3067,分录收入!$L:$L,0)),"")</f>
        <v/>
      </c>
      <c r="H3067" s="23"/>
      <c r="I3067" s="70"/>
      <c r="L3067" s="71" t="n">
        <f aca="false">IF(助手收入!$R$206="",-1,助手收入!$R$206*100+(助手收入!$S$206-1)*6+2)</f>
        <v>-1</v>
      </c>
    </row>
    <row r="3068" customFormat="false" ht="23.25" hidden="false" customHeight="true" outlineLevel="0" collapsed="false">
      <c r="B3068" s="67" t="str">
        <f aca="false">""</f>
        <v/>
      </c>
      <c r="C3068" s="67"/>
      <c r="D3068" s="23" t="str">
        <f aca="false">IFERROR(INDEX(分录收入!$E:$E,MATCH($L3068,分录收入!$L:$L,0)),"")</f>
        <v/>
      </c>
      <c r="E3068" s="23" t="str">
        <f aca="false">IFERROR(INDEX(分录收入!$F:$F,MATCH($L3068,分录收入!$L:$L,0)),"")</f>
        <v/>
      </c>
      <c r="F3068" s="68" t="str">
        <f aca="false">IFERROR(INDEX(分录收入!$H:$H,MATCH($L3068,分录收入!$L:$L,0)),"")</f>
        <v/>
      </c>
      <c r="G3068" s="69" t="str">
        <f aca="false">IFERROR(INDEX(分录收入!$I:$I,MATCH($L3068,分录收入!$L:$L,0)),"")</f>
        <v/>
      </c>
      <c r="H3068" s="23"/>
      <c r="I3068" s="70"/>
      <c r="L3068" s="71" t="n">
        <f aca="false">IF(助手收入!$R$206="",-1,助手收入!$R$206*100+(助手收入!$S$206-1)*6+3)</f>
        <v>-1</v>
      </c>
    </row>
    <row r="3069" customFormat="false" ht="23.25" hidden="false" customHeight="true" outlineLevel="0" collapsed="false">
      <c r="B3069" s="67" t="str">
        <f aca="false">""</f>
        <v/>
      </c>
      <c r="C3069" s="67"/>
      <c r="D3069" s="23" t="str">
        <f aca="false">IFERROR(INDEX(分录收入!$E:$E,MATCH($L3069,分录收入!$L:$L,0)),"")</f>
        <v/>
      </c>
      <c r="E3069" s="23" t="str">
        <f aca="false">IFERROR(INDEX(分录收入!$F:$F,MATCH($L3069,分录收入!$L:$L,0)),"")</f>
        <v/>
      </c>
      <c r="F3069" s="68" t="str">
        <f aca="false">IFERROR(INDEX(分录收入!$H:$H,MATCH($L3069,分录收入!$L:$L,0)),"")</f>
        <v/>
      </c>
      <c r="G3069" s="69" t="str">
        <f aca="false">IFERROR(INDEX(分录收入!$I:$I,MATCH($L3069,分录收入!$L:$L,0)),"")</f>
        <v/>
      </c>
      <c r="H3069" s="23"/>
      <c r="I3069" s="70"/>
      <c r="L3069" s="71" t="n">
        <f aca="false">IF(助手收入!$R$206="",-1,助手收入!$R$206*100+(助手收入!$S$206-1)*6+4)</f>
        <v>-1</v>
      </c>
    </row>
    <row r="3070" customFormat="false" ht="23.25" hidden="false" customHeight="true" outlineLevel="0" collapsed="false">
      <c r="B3070" s="67" t="str">
        <f aca="false">""</f>
        <v/>
      </c>
      <c r="C3070" s="67"/>
      <c r="D3070" s="23" t="str">
        <f aca="false">IFERROR(INDEX(分录收入!$E:$E,MATCH($L3070,分录收入!$L:$L,0)),"")</f>
        <v/>
      </c>
      <c r="E3070" s="23" t="str">
        <f aca="false">IFERROR(INDEX(分录收入!$F:$F,MATCH($L3070,分录收入!$L:$L,0)),"")</f>
        <v/>
      </c>
      <c r="F3070" s="68" t="str">
        <f aca="false">IFERROR(INDEX(分录收入!$H:$H,MATCH($L3070,分录收入!$L:$L,0)),"")</f>
        <v/>
      </c>
      <c r="G3070" s="69" t="str">
        <f aca="false">IFERROR(INDEX(分录收入!$I:$I,MATCH($L3070,分录收入!$L:$L,0)),"")</f>
        <v/>
      </c>
      <c r="H3070" s="23"/>
      <c r="I3070" s="70"/>
      <c r="L3070" s="71" t="n">
        <f aca="false">IF(助手收入!$R$206="",-1,助手收入!$R$206*100+(助手收入!$S$206-1)*6+5)</f>
        <v>-1</v>
      </c>
    </row>
    <row r="3071" customFormat="false" ht="23.25" hidden="false" customHeight="true" outlineLevel="0" collapsed="false">
      <c r="B3071" s="67" t="str">
        <f aca="false">""</f>
        <v/>
      </c>
      <c r="C3071" s="67"/>
      <c r="D3071" s="23" t="str">
        <f aca="false">IFERROR(INDEX(分录收入!$E:$E,MATCH($L3071,分录收入!$L:$L,0)),"")</f>
        <v/>
      </c>
      <c r="E3071" s="23" t="str">
        <f aca="false">IFERROR(INDEX(分录收入!$F:$F,MATCH($L3071,分录收入!$L:$L,0)),"")</f>
        <v/>
      </c>
      <c r="F3071" s="68" t="str">
        <f aca="false">IFERROR(INDEX(分录收入!$H:$H,MATCH($L3071,分录收入!$L:$L,0)),"")</f>
        <v/>
      </c>
      <c r="G3071" s="69" t="str">
        <f aca="false">IFERROR(INDEX(分录收入!$I:$I,MATCH($L3071,分录收入!$L:$L,0)),"")</f>
        <v/>
      </c>
      <c r="H3071" s="23"/>
      <c r="I3071" s="70"/>
      <c r="L3071" s="71" t="n">
        <f aca="false">IF(助手收入!$R$206="",-1,助手收入!$R$206*100+(助手收入!$S$206-1)*6+6)</f>
        <v>-1</v>
      </c>
    </row>
    <row r="3072" customFormat="false" ht="23.25" hidden="false" customHeight="true" outlineLevel="0" collapsed="false">
      <c r="B3072" s="72" t="str">
        <f aca="false">IF(助手收入!$T$206=1,"合计：","")</f>
        <v/>
      </c>
      <c r="C3072" s="73" t="str">
        <f aca="false">IF(助手收入!$T$206=1,$F3072,"")</f>
        <v/>
      </c>
      <c r="D3072" s="74"/>
      <c r="E3072" s="74"/>
      <c r="F3072" s="75" t="str">
        <f aca="false">IF(助手收入!$T$206=1,INDEX(助手收入!$N$2:$N$66,助手收入!$R$206),"")</f>
        <v/>
      </c>
      <c r="G3072" s="76" t="str">
        <f aca="false">IF(助手收入!$T$206=1,INDEX(助手收入!$O$2:$O$66,助手收入!$R$206),"")</f>
        <v/>
      </c>
      <c r="H3072" s="74"/>
      <c r="I3072" s="77"/>
    </row>
    <row r="3073" customFormat="false" ht="6" hidden="false" customHeight="true" outlineLevel="0" collapsed="false"/>
    <row r="3074" customFormat="false" ht="13.5" hidden="false" customHeight="false" outlineLevel="0" collapsed="false">
      <c r="B3074" s="78" t="str">
        <f aca="false">IF(助手收入!$R$206&lt;&gt;"","会计主管：","")</f>
        <v/>
      </c>
      <c r="D3074" s="78" t="str">
        <f aca="false">IF(助手收入!$R$206&lt;&gt;"","会计：","")</f>
        <v/>
      </c>
      <c r="E3074" s="78" t="str">
        <f aca="false">IF(助手收入!$R$206&lt;&gt;"","出纳：","")</f>
        <v/>
      </c>
      <c r="F3074" s="78" t="str">
        <f aca="false">IF(助手收入!$R$206&lt;&gt;"","复核：","")</f>
        <v/>
      </c>
      <c r="G3074" s="78" t="str">
        <f aca="false">IF(助手收入!$R$206&lt;&gt;"","制单：","")</f>
        <v/>
      </c>
    </row>
    <row r="3075" customFormat="false" ht="3" hidden="false" customHeight="true" outlineLevel="0" collapsed="false"/>
    <row r="3076" customFormat="false" ht="19.5" hidden="false" customHeight="true" outlineLevel="0" collapsed="false">
      <c r="B3076" s="53" t="str">
        <f aca="false">IF(助手收入!$R$207&lt;&gt;"","记  账  凭  证","")</f>
        <v/>
      </c>
      <c r="C3076" s="53"/>
      <c r="D3076" s="53"/>
      <c r="E3076" s="53"/>
      <c r="F3076" s="53"/>
      <c r="G3076" s="53"/>
      <c r="H3076" s="53"/>
      <c r="I3076" s="53"/>
    </row>
    <row r="3077" customFormat="false" ht="3" hidden="false" customHeight="true" outlineLevel="0" collapsed="false"/>
    <row r="3078" customFormat="false" ht="15" hidden="false" customHeight="true" outlineLevel="0" collapsed="false">
      <c r="C3078" s="56" t="str">
        <f aca="false">IF(助手收入!$R$207&lt;&gt;"",INDEX(助手收入!$B$2:$B$66,助手收入!$R$207),"")</f>
        <v/>
      </c>
      <c r="D3078" s="57" t="str">
        <f aca="false">IF(助手收入!$R$207&lt;&gt;"",参数!$B$2,"")</f>
        <v/>
      </c>
      <c r="E3078" s="57"/>
      <c r="F3078" s="58" t="str">
        <f aca="false">IF(助手收入!$R$207&lt;&gt;"",INDEX(助手收入!$C$2:$C$66,助手收入!$R$207)&amp;"  字第 "&amp;IF(参数!$B$9="是",INDEX(助手收入!$P$2:$P$66,助手收入!$R$207),"　　　　")&amp;" 号"&amp;IF(INDEX(助手收入!$L$2:$L$66,助手收入!$R$207)&gt;1,"  (共"&amp;INDEX(助手收入!$L$2:$L$66,助手收入!$R$207)&amp;"页 第"&amp;助手收入!$S$207&amp;"页)",""),"")</f>
        <v/>
      </c>
      <c r="G3078" s="58"/>
      <c r="H3078" s="58"/>
      <c r="I3078" s="58"/>
      <c r="M3078" s="79" t="str">
        <f aca="false">IF(助手收入!$R$207="","",助手收入!$Q$207)</f>
        <v/>
      </c>
      <c r="N3078" s="80" t="str">
        <f aca="false">IF(助手收入!$R$207="","",INDEX(助手收入!$P$2:$P$66,助手收入!$R$207))</f>
        <v/>
      </c>
      <c r="O3078" s="55" t="str">
        <f aca="false">IF(助手收入!$R$207="","",INDEX(助手收入!$C$2:$C$66,助手收入!$R$207)&amp;"  字第 "&amp;INDEX(助手收入!$P$2:$P$66,助手收入!$R$207)&amp;" 号"&amp;IF(INDEX(助手收入!$L$2:$L$66,助手收入!$R$207)&gt;1,"  (共"&amp;INDEX(助手收入!$L$2:$L$66,助手收入!$R$207)&amp;"页 第"&amp;助手收入!$S$207&amp;"页)",""))</f>
        <v/>
      </c>
    </row>
    <row r="3079" customFormat="false" ht="12.75" hidden="false" customHeight="true" outlineLevel="0" collapsed="false">
      <c r="B3079" s="61" t="str">
        <f aca="false">IF(助手收入!$R$207&lt;&gt;"","摘　　要","")</f>
        <v/>
      </c>
      <c r="C3079" s="61"/>
      <c r="D3079" s="62" t="str">
        <f aca="false">IF(助手收入!$R$207&lt;&gt;"","科　　　　目","")</f>
        <v/>
      </c>
      <c r="E3079" s="62"/>
      <c r="F3079" s="61" t="str">
        <f aca="false">IF(助手收入!$R$207&lt;&gt;"","借 方 金 额","")</f>
        <v/>
      </c>
      <c r="G3079" s="62" t="str">
        <f aca="false">IF(助手收入!$R$207&lt;&gt;"","贷 方 金 额","")</f>
        <v/>
      </c>
      <c r="H3079" s="63" t="str">
        <f aca="false">IF(助手收入!$R$207&lt;&gt;"","√","")</f>
        <v/>
      </c>
      <c r="I3079" s="64" t="str">
        <f aca="false">IF(助手收入!$R$207&lt;&gt;"","附单据  张","")</f>
        <v/>
      </c>
    </row>
    <row r="3080" customFormat="false" ht="12.75" hidden="false" customHeight="true" outlineLevel="0" collapsed="false">
      <c r="B3080" s="61"/>
      <c r="C3080" s="61"/>
      <c r="D3080" s="23" t="str">
        <f aca="false">IF(助手收入!$R$207&lt;&gt;"","总 账 科 目","")</f>
        <v/>
      </c>
      <c r="E3080" s="23" t="str">
        <f aca="false">IF(助手收入!$R$207&lt;&gt;"","明 细 科 目","")</f>
        <v/>
      </c>
      <c r="F3080" s="65"/>
      <c r="G3080" s="66"/>
      <c r="H3080" s="63"/>
      <c r="I3080" s="64"/>
    </row>
    <row r="3081" customFormat="false" ht="23.25" hidden="false" customHeight="true" outlineLevel="0" collapsed="false">
      <c r="B3081" s="67" t="str">
        <f aca="false">IFERROR(INDEX(分录收入!$M:$M,MATCH($L3081,分录收入!$L:$L,0)),"")</f>
        <v/>
      </c>
      <c r="C3081" s="67"/>
      <c r="D3081" s="23" t="str">
        <f aca="false">IFERROR(INDEX(分录收入!$E:$E,MATCH($L3081,分录收入!$L:$L,0)),"")</f>
        <v/>
      </c>
      <c r="E3081" s="23" t="str">
        <f aca="false">IFERROR(INDEX(分录收入!$F:$F,MATCH($L3081,分录收入!$L:$L,0)),"")</f>
        <v/>
      </c>
      <c r="F3081" s="68" t="str">
        <f aca="false">IFERROR(INDEX(分录收入!$H:$H,MATCH($L3081,分录收入!$L:$L,0)),"")</f>
        <v/>
      </c>
      <c r="G3081" s="69" t="str">
        <f aca="false">IFERROR(INDEX(分录收入!$I:$I,MATCH($L3081,分录收入!$L:$L,0)),"")</f>
        <v/>
      </c>
      <c r="H3081" s="23"/>
      <c r="I3081" s="70"/>
      <c r="L3081" s="71" t="n">
        <f aca="false">IF(助手收入!$R$207="",-1,助手收入!$R$207*100+(助手收入!$S$207-1)*6+1)</f>
        <v>-1</v>
      </c>
    </row>
    <row r="3082" customFormat="false" ht="23.25" hidden="false" customHeight="true" outlineLevel="0" collapsed="false">
      <c r="B3082" s="67" t="str">
        <f aca="false">""</f>
        <v/>
      </c>
      <c r="C3082" s="67"/>
      <c r="D3082" s="23" t="str">
        <f aca="false">IFERROR(INDEX(分录收入!$E:$E,MATCH($L3082,分录收入!$L:$L,0)),"")</f>
        <v/>
      </c>
      <c r="E3082" s="23" t="str">
        <f aca="false">IFERROR(INDEX(分录收入!$F:$F,MATCH($L3082,分录收入!$L:$L,0)),"")</f>
        <v/>
      </c>
      <c r="F3082" s="68" t="str">
        <f aca="false">IFERROR(INDEX(分录收入!$H:$H,MATCH($L3082,分录收入!$L:$L,0)),"")</f>
        <v/>
      </c>
      <c r="G3082" s="69" t="str">
        <f aca="false">IFERROR(INDEX(分录收入!$I:$I,MATCH($L3082,分录收入!$L:$L,0)),"")</f>
        <v/>
      </c>
      <c r="H3082" s="23"/>
      <c r="I3082" s="70"/>
      <c r="L3082" s="71" t="n">
        <f aca="false">IF(助手收入!$R$207="",-1,助手收入!$R$207*100+(助手收入!$S$207-1)*6+2)</f>
        <v>-1</v>
      </c>
    </row>
    <row r="3083" customFormat="false" ht="23.25" hidden="false" customHeight="true" outlineLevel="0" collapsed="false">
      <c r="B3083" s="67" t="str">
        <f aca="false">""</f>
        <v/>
      </c>
      <c r="C3083" s="67"/>
      <c r="D3083" s="23" t="str">
        <f aca="false">IFERROR(INDEX(分录收入!$E:$E,MATCH($L3083,分录收入!$L:$L,0)),"")</f>
        <v/>
      </c>
      <c r="E3083" s="23" t="str">
        <f aca="false">IFERROR(INDEX(分录收入!$F:$F,MATCH($L3083,分录收入!$L:$L,0)),"")</f>
        <v/>
      </c>
      <c r="F3083" s="68" t="str">
        <f aca="false">IFERROR(INDEX(分录收入!$H:$H,MATCH($L3083,分录收入!$L:$L,0)),"")</f>
        <v/>
      </c>
      <c r="G3083" s="69" t="str">
        <f aca="false">IFERROR(INDEX(分录收入!$I:$I,MATCH($L3083,分录收入!$L:$L,0)),"")</f>
        <v/>
      </c>
      <c r="H3083" s="23"/>
      <c r="I3083" s="70"/>
      <c r="L3083" s="71" t="n">
        <f aca="false">IF(助手收入!$R$207="",-1,助手收入!$R$207*100+(助手收入!$S$207-1)*6+3)</f>
        <v>-1</v>
      </c>
    </row>
    <row r="3084" customFormat="false" ht="23.25" hidden="false" customHeight="true" outlineLevel="0" collapsed="false">
      <c r="B3084" s="67" t="str">
        <f aca="false">""</f>
        <v/>
      </c>
      <c r="C3084" s="67"/>
      <c r="D3084" s="23" t="str">
        <f aca="false">IFERROR(INDEX(分录收入!$E:$E,MATCH($L3084,分录收入!$L:$L,0)),"")</f>
        <v/>
      </c>
      <c r="E3084" s="23" t="str">
        <f aca="false">IFERROR(INDEX(分录收入!$F:$F,MATCH($L3084,分录收入!$L:$L,0)),"")</f>
        <v/>
      </c>
      <c r="F3084" s="68" t="str">
        <f aca="false">IFERROR(INDEX(分录收入!$H:$H,MATCH($L3084,分录收入!$L:$L,0)),"")</f>
        <v/>
      </c>
      <c r="G3084" s="69" t="str">
        <f aca="false">IFERROR(INDEX(分录收入!$I:$I,MATCH($L3084,分录收入!$L:$L,0)),"")</f>
        <v/>
      </c>
      <c r="H3084" s="23"/>
      <c r="I3084" s="70"/>
      <c r="L3084" s="71" t="n">
        <f aca="false">IF(助手收入!$R$207="",-1,助手收入!$R$207*100+(助手收入!$S$207-1)*6+4)</f>
        <v>-1</v>
      </c>
    </row>
    <row r="3085" customFormat="false" ht="23.25" hidden="false" customHeight="true" outlineLevel="0" collapsed="false">
      <c r="B3085" s="67" t="str">
        <f aca="false">""</f>
        <v/>
      </c>
      <c r="C3085" s="67"/>
      <c r="D3085" s="23" t="str">
        <f aca="false">IFERROR(INDEX(分录收入!$E:$E,MATCH($L3085,分录收入!$L:$L,0)),"")</f>
        <v/>
      </c>
      <c r="E3085" s="23" t="str">
        <f aca="false">IFERROR(INDEX(分录收入!$F:$F,MATCH($L3085,分录收入!$L:$L,0)),"")</f>
        <v/>
      </c>
      <c r="F3085" s="68" t="str">
        <f aca="false">IFERROR(INDEX(分录收入!$H:$H,MATCH($L3085,分录收入!$L:$L,0)),"")</f>
        <v/>
      </c>
      <c r="G3085" s="69" t="str">
        <f aca="false">IFERROR(INDEX(分录收入!$I:$I,MATCH($L3085,分录收入!$L:$L,0)),"")</f>
        <v/>
      </c>
      <c r="H3085" s="23"/>
      <c r="I3085" s="70"/>
      <c r="L3085" s="71" t="n">
        <f aca="false">IF(助手收入!$R$207="",-1,助手收入!$R$207*100+(助手收入!$S$207-1)*6+5)</f>
        <v>-1</v>
      </c>
    </row>
    <row r="3086" customFormat="false" ht="23.25" hidden="false" customHeight="true" outlineLevel="0" collapsed="false">
      <c r="B3086" s="67" t="str">
        <f aca="false">""</f>
        <v/>
      </c>
      <c r="C3086" s="67"/>
      <c r="D3086" s="23" t="str">
        <f aca="false">IFERROR(INDEX(分录收入!$E:$E,MATCH($L3086,分录收入!$L:$L,0)),"")</f>
        <v/>
      </c>
      <c r="E3086" s="23" t="str">
        <f aca="false">IFERROR(INDEX(分录收入!$F:$F,MATCH($L3086,分录收入!$L:$L,0)),"")</f>
        <v/>
      </c>
      <c r="F3086" s="68" t="str">
        <f aca="false">IFERROR(INDEX(分录收入!$H:$H,MATCH($L3086,分录收入!$L:$L,0)),"")</f>
        <v/>
      </c>
      <c r="G3086" s="69" t="str">
        <f aca="false">IFERROR(INDEX(分录收入!$I:$I,MATCH($L3086,分录收入!$L:$L,0)),"")</f>
        <v/>
      </c>
      <c r="H3086" s="23"/>
      <c r="I3086" s="70"/>
      <c r="L3086" s="71" t="n">
        <f aca="false">IF(助手收入!$R$207="",-1,助手收入!$R$207*100+(助手收入!$S$207-1)*6+6)</f>
        <v>-1</v>
      </c>
    </row>
    <row r="3087" customFormat="false" ht="23.25" hidden="false" customHeight="true" outlineLevel="0" collapsed="false">
      <c r="B3087" s="72" t="str">
        <f aca="false">IF(助手收入!$T$207=1,"合计：","")</f>
        <v/>
      </c>
      <c r="C3087" s="73" t="str">
        <f aca="false">IF(助手收入!$T$207=1,$F3087,"")</f>
        <v/>
      </c>
      <c r="D3087" s="74"/>
      <c r="E3087" s="74"/>
      <c r="F3087" s="75" t="str">
        <f aca="false">IF(助手收入!$T$207=1,INDEX(助手收入!$N$2:$N$66,助手收入!$R$207),"")</f>
        <v/>
      </c>
      <c r="G3087" s="76" t="str">
        <f aca="false">IF(助手收入!$T$207=1,INDEX(助手收入!$O$2:$O$66,助手收入!$R$207),"")</f>
        <v/>
      </c>
      <c r="H3087" s="74"/>
      <c r="I3087" s="77"/>
    </row>
    <row r="3088" customFormat="false" ht="6" hidden="false" customHeight="true" outlineLevel="0" collapsed="false"/>
    <row r="3089" customFormat="false" ht="13.5" hidden="false" customHeight="false" outlineLevel="0" collapsed="false">
      <c r="B3089" s="78" t="str">
        <f aca="false">IF(助手收入!$R$207&lt;&gt;"","会计主管：","")</f>
        <v/>
      </c>
      <c r="D3089" s="78" t="str">
        <f aca="false">IF(助手收入!$R$207&lt;&gt;"","会计：","")</f>
        <v/>
      </c>
      <c r="E3089" s="78" t="str">
        <f aca="false">IF(助手收入!$R$207&lt;&gt;"","出纳：","")</f>
        <v/>
      </c>
      <c r="F3089" s="78" t="str">
        <f aca="false">IF(助手收入!$R$207&lt;&gt;"","复核：","")</f>
        <v/>
      </c>
      <c r="G3089" s="78" t="str">
        <f aca="false">IF(助手收入!$R$207&lt;&gt;"","制单：","")</f>
        <v/>
      </c>
    </row>
    <row r="3090" customFormat="false" ht="3" hidden="false" customHeight="true" outlineLevel="0" collapsed="false"/>
    <row r="3091" customFormat="false" ht="19.5" hidden="false" customHeight="true" outlineLevel="0" collapsed="false">
      <c r="B3091" s="53" t="str">
        <f aca="false">IF(助手收入!$R$208&lt;&gt;"","记  账  凭  证","")</f>
        <v/>
      </c>
      <c r="C3091" s="53"/>
      <c r="D3091" s="53"/>
      <c r="E3091" s="53"/>
      <c r="F3091" s="53"/>
      <c r="G3091" s="53"/>
      <c r="H3091" s="53"/>
      <c r="I3091" s="53"/>
    </row>
    <row r="3092" customFormat="false" ht="3" hidden="false" customHeight="true" outlineLevel="0" collapsed="false"/>
    <row r="3093" customFormat="false" ht="15" hidden="false" customHeight="true" outlineLevel="0" collapsed="false">
      <c r="C3093" s="56" t="str">
        <f aca="false">IF(助手收入!$R$208&lt;&gt;"",INDEX(助手收入!$B$2:$B$66,助手收入!$R$208),"")</f>
        <v/>
      </c>
      <c r="D3093" s="57" t="str">
        <f aca="false">IF(助手收入!$R$208&lt;&gt;"",参数!$B$2,"")</f>
        <v/>
      </c>
      <c r="E3093" s="57"/>
      <c r="F3093" s="58" t="str">
        <f aca="false">IF(助手收入!$R$208&lt;&gt;"",INDEX(助手收入!$C$2:$C$66,助手收入!$R$208)&amp;"  字第 "&amp;IF(参数!$B$9="是",INDEX(助手收入!$P$2:$P$66,助手收入!$R$208),"　　　　")&amp;" 号"&amp;IF(INDEX(助手收入!$L$2:$L$66,助手收入!$R$208)&gt;1,"  (共"&amp;INDEX(助手收入!$L$2:$L$66,助手收入!$R$208)&amp;"页 第"&amp;助手收入!$S$208&amp;"页)",""),"")</f>
        <v/>
      </c>
      <c r="G3093" s="58"/>
      <c r="H3093" s="58"/>
      <c r="I3093" s="58"/>
      <c r="M3093" s="79" t="str">
        <f aca="false">IF(助手收入!$R$208="","",助手收入!$Q$208)</f>
        <v/>
      </c>
      <c r="N3093" s="80" t="str">
        <f aca="false">IF(助手收入!$R$208="","",INDEX(助手收入!$P$2:$P$66,助手收入!$R$208))</f>
        <v/>
      </c>
      <c r="O3093" s="55" t="str">
        <f aca="false">IF(助手收入!$R$208="","",INDEX(助手收入!$C$2:$C$66,助手收入!$R$208)&amp;"  字第 "&amp;INDEX(助手收入!$P$2:$P$66,助手收入!$R$208)&amp;" 号"&amp;IF(INDEX(助手收入!$L$2:$L$66,助手收入!$R$208)&gt;1,"  (共"&amp;INDEX(助手收入!$L$2:$L$66,助手收入!$R$208)&amp;"页 第"&amp;助手收入!$S$208&amp;"页)",""))</f>
        <v/>
      </c>
    </row>
    <row r="3094" customFormat="false" ht="12.75" hidden="false" customHeight="true" outlineLevel="0" collapsed="false">
      <c r="B3094" s="61" t="str">
        <f aca="false">IF(助手收入!$R$208&lt;&gt;"","摘　　要","")</f>
        <v/>
      </c>
      <c r="C3094" s="61"/>
      <c r="D3094" s="62" t="str">
        <f aca="false">IF(助手收入!$R$208&lt;&gt;"","科　　　　目","")</f>
        <v/>
      </c>
      <c r="E3094" s="62"/>
      <c r="F3094" s="61" t="str">
        <f aca="false">IF(助手收入!$R$208&lt;&gt;"","借 方 金 额","")</f>
        <v/>
      </c>
      <c r="G3094" s="62" t="str">
        <f aca="false">IF(助手收入!$R$208&lt;&gt;"","贷 方 金 额","")</f>
        <v/>
      </c>
      <c r="H3094" s="63" t="str">
        <f aca="false">IF(助手收入!$R$208&lt;&gt;"","√","")</f>
        <v/>
      </c>
      <c r="I3094" s="64" t="str">
        <f aca="false">IF(助手收入!$R$208&lt;&gt;"","附单据  张","")</f>
        <v/>
      </c>
    </row>
    <row r="3095" customFormat="false" ht="12.75" hidden="false" customHeight="true" outlineLevel="0" collapsed="false">
      <c r="B3095" s="61"/>
      <c r="C3095" s="61"/>
      <c r="D3095" s="23" t="str">
        <f aca="false">IF(助手收入!$R$208&lt;&gt;"","总 账 科 目","")</f>
        <v/>
      </c>
      <c r="E3095" s="23" t="str">
        <f aca="false">IF(助手收入!$R$208&lt;&gt;"","明 细 科 目","")</f>
        <v/>
      </c>
      <c r="F3095" s="65"/>
      <c r="G3095" s="66"/>
      <c r="H3095" s="63"/>
      <c r="I3095" s="64"/>
    </row>
    <row r="3096" customFormat="false" ht="23.25" hidden="false" customHeight="true" outlineLevel="0" collapsed="false">
      <c r="B3096" s="67" t="str">
        <f aca="false">IFERROR(INDEX(分录收入!$M:$M,MATCH($L3096,分录收入!$L:$L,0)),"")</f>
        <v/>
      </c>
      <c r="C3096" s="67"/>
      <c r="D3096" s="23" t="str">
        <f aca="false">IFERROR(INDEX(分录收入!$E:$E,MATCH($L3096,分录收入!$L:$L,0)),"")</f>
        <v/>
      </c>
      <c r="E3096" s="23" t="str">
        <f aca="false">IFERROR(INDEX(分录收入!$F:$F,MATCH($L3096,分录收入!$L:$L,0)),"")</f>
        <v/>
      </c>
      <c r="F3096" s="68" t="str">
        <f aca="false">IFERROR(INDEX(分录收入!$H:$H,MATCH($L3096,分录收入!$L:$L,0)),"")</f>
        <v/>
      </c>
      <c r="G3096" s="69" t="str">
        <f aca="false">IFERROR(INDEX(分录收入!$I:$I,MATCH($L3096,分录收入!$L:$L,0)),"")</f>
        <v/>
      </c>
      <c r="H3096" s="23"/>
      <c r="I3096" s="70"/>
      <c r="L3096" s="71" t="n">
        <f aca="false">IF(助手收入!$R$208="",-1,助手收入!$R$208*100+(助手收入!$S$208-1)*6+1)</f>
        <v>-1</v>
      </c>
    </row>
    <row r="3097" customFormat="false" ht="23.25" hidden="false" customHeight="true" outlineLevel="0" collapsed="false">
      <c r="B3097" s="67" t="str">
        <f aca="false">""</f>
        <v/>
      </c>
      <c r="C3097" s="67"/>
      <c r="D3097" s="23" t="str">
        <f aca="false">IFERROR(INDEX(分录收入!$E:$E,MATCH($L3097,分录收入!$L:$L,0)),"")</f>
        <v/>
      </c>
      <c r="E3097" s="23" t="str">
        <f aca="false">IFERROR(INDEX(分录收入!$F:$F,MATCH($L3097,分录收入!$L:$L,0)),"")</f>
        <v/>
      </c>
      <c r="F3097" s="68" t="str">
        <f aca="false">IFERROR(INDEX(分录收入!$H:$H,MATCH($L3097,分录收入!$L:$L,0)),"")</f>
        <v/>
      </c>
      <c r="G3097" s="69" t="str">
        <f aca="false">IFERROR(INDEX(分录收入!$I:$I,MATCH($L3097,分录收入!$L:$L,0)),"")</f>
        <v/>
      </c>
      <c r="H3097" s="23"/>
      <c r="I3097" s="70"/>
      <c r="L3097" s="71" t="n">
        <f aca="false">IF(助手收入!$R$208="",-1,助手收入!$R$208*100+(助手收入!$S$208-1)*6+2)</f>
        <v>-1</v>
      </c>
    </row>
    <row r="3098" customFormat="false" ht="23.25" hidden="false" customHeight="true" outlineLevel="0" collapsed="false">
      <c r="B3098" s="67" t="str">
        <f aca="false">""</f>
        <v/>
      </c>
      <c r="C3098" s="67"/>
      <c r="D3098" s="23" t="str">
        <f aca="false">IFERROR(INDEX(分录收入!$E:$E,MATCH($L3098,分录收入!$L:$L,0)),"")</f>
        <v/>
      </c>
      <c r="E3098" s="23" t="str">
        <f aca="false">IFERROR(INDEX(分录收入!$F:$F,MATCH($L3098,分录收入!$L:$L,0)),"")</f>
        <v/>
      </c>
      <c r="F3098" s="68" t="str">
        <f aca="false">IFERROR(INDEX(分录收入!$H:$H,MATCH($L3098,分录收入!$L:$L,0)),"")</f>
        <v/>
      </c>
      <c r="G3098" s="69" t="str">
        <f aca="false">IFERROR(INDEX(分录收入!$I:$I,MATCH($L3098,分录收入!$L:$L,0)),"")</f>
        <v/>
      </c>
      <c r="H3098" s="23"/>
      <c r="I3098" s="70"/>
      <c r="L3098" s="71" t="n">
        <f aca="false">IF(助手收入!$R$208="",-1,助手收入!$R$208*100+(助手收入!$S$208-1)*6+3)</f>
        <v>-1</v>
      </c>
    </row>
    <row r="3099" customFormat="false" ht="23.25" hidden="false" customHeight="true" outlineLevel="0" collapsed="false">
      <c r="B3099" s="67" t="str">
        <f aca="false">""</f>
        <v/>
      </c>
      <c r="C3099" s="67"/>
      <c r="D3099" s="23" t="str">
        <f aca="false">IFERROR(INDEX(分录收入!$E:$E,MATCH($L3099,分录收入!$L:$L,0)),"")</f>
        <v/>
      </c>
      <c r="E3099" s="23" t="str">
        <f aca="false">IFERROR(INDEX(分录收入!$F:$F,MATCH($L3099,分录收入!$L:$L,0)),"")</f>
        <v/>
      </c>
      <c r="F3099" s="68" t="str">
        <f aca="false">IFERROR(INDEX(分录收入!$H:$H,MATCH($L3099,分录收入!$L:$L,0)),"")</f>
        <v/>
      </c>
      <c r="G3099" s="69" t="str">
        <f aca="false">IFERROR(INDEX(分录收入!$I:$I,MATCH($L3099,分录收入!$L:$L,0)),"")</f>
        <v/>
      </c>
      <c r="H3099" s="23"/>
      <c r="I3099" s="70"/>
      <c r="L3099" s="71" t="n">
        <f aca="false">IF(助手收入!$R$208="",-1,助手收入!$R$208*100+(助手收入!$S$208-1)*6+4)</f>
        <v>-1</v>
      </c>
    </row>
    <row r="3100" customFormat="false" ht="23.25" hidden="false" customHeight="true" outlineLevel="0" collapsed="false">
      <c r="B3100" s="67" t="str">
        <f aca="false">""</f>
        <v/>
      </c>
      <c r="C3100" s="67"/>
      <c r="D3100" s="23" t="str">
        <f aca="false">IFERROR(INDEX(分录收入!$E:$E,MATCH($L3100,分录收入!$L:$L,0)),"")</f>
        <v/>
      </c>
      <c r="E3100" s="23" t="str">
        <f aca="false">IFERROR(INDEX(分录收入!$F:$F,MATCH($L3100,分录收入!$L:$L,0)),"")</f>
        <v/>
      </c>
      <c r="F3100" s="68" t="str">
        <f aca="false">IFERROR(INDEX(分录收入!$H:$H,MATCH($L3100,分录收入!$L:$L,0)),"")</f>
        <v/>
      </c>
      <c r="G3100" s="69" t="str">
        <f aca="false">IFERROR(INDEX(分录收入!$I:$I,MATCH($L3100,分录收入!$L:$L,0)),"")</f>
        <v/>
      </c>
      <c r="H3100" s="23"/>
      <c r="I3100" s="70"/>
      <c r="L3100" s="71" t="n">
        <f aca="false">IF(助手收入!$R$208="",-1,助手收入!$R$208*100+(助手收入!$S$208-1)*6+5)</f>
        <v>-1</v>
      </c>
    </row>
    <row r="3101" customFormat="false" ht="23.25" hidden="false" customHeight="true" outlineLevel="0" collapsed="false">
      <c r="B3101" s="67" t="str">
        <f aca="false">""</f>
        <v/>
      </c>
      <c r="C3101" s="67"/>
      <c r="D3101" s="23" t="str">
        <f aca="false">IFERROR(INDEX(分录收入!$E:$E,MATCH($L3101,分录收入!$L:$L,0)),"")</f>
        <v/>
      </c>
      <c r="E3101" s="23" t="str">
        <f aca="false">IFERROR(INDEX(分录收入!$F:$F,MATCH($L3101,分录收入!$L:$L,0)),"")</f>
        <v/>
      </c>
      <c r="F3101" s="68" t="str">
        <f aca="false">IFERROR(INDEX(分录收入!$H:$H,MATCH($L3101,分录收入!$L:$L,0)),"")</f>
        <v/>
      </c>
      <c r="G3101" s="69" t="str">
        <f aca="false">IFERROR(INDEX(分录收入!$I:$I,MATCH($L3101,分录收入!$L:$L,0)),"")</f>
        <v/>
      </c>
      <c r="H3101" s="23"/>
      <c r="I3101" s="70"/>
      <c r="L3101" s="71" t="n">
        <f aca="false">IF(助手收入!$R$208="",-1,助手收入!$R$208*100+(助手收入!$S$208-1)*6+6)</f>
        <v>-1</v>
      </c>
    </row>
    <row r="3102" customFormat="false" ht="23.25" hidden="false" customHeight="true" outlineLevel="0" collapsed="false">
      <c r="B3102" s="72" t="str">
        <f aca="false">IF(助手收入!$T$208=1,"合计：","")</f>
        <v/>
      </c>
      <c r="C3102" s="73" t="str">
        <f aca="false">IF(助手收入!$T$208=1,$F3102,"")</f>
        <v/>
      </c>
      <c r="D3102" s="74"/>
      <c r="E3102" s="74"/>
      <c r="F3102" s="75" t="str">
        <f aca="false">IF(助手收入!$T$208=1,INDEX(助手收入!$N$2:$N$66,助手收入!$R$208),"")</f>
        <v/>
      </c>
      <c r="G3102" s="76" t="str">
        <f aca="false">IF(助手收入!$T$208=1,INDEX(助手收入!$O$2:$O$66,助手收入!$R$208),"")</f>
        <v/>
      </c>
      <c r="H3102" s="74"/>
      <c r="I3102" s="77"/>
    </row>
    <row r="3103" customFormat="false" ht="6" hidden="false" customHeight="true" outlineLevel="0" collapsed="false"/>
    <row r="3104" customFormat="false" ht="13.5" hidden="false" customHeight="false" outlineLevel="0" collapsed="false">
      <c r="B3104" s="78" t="str">
        <f aca="false">IF(助手收入!$R$208&lt;&gt;"","会计主管：","")</f>
        <v/>
      </c>
      <c r="D3104" s="78" t="str">
        <f aca="false">IF(助手收入!$R$208&lt;&gt;"","会计：","")</f>
        <v/>
      </c>
      <c r="E3104" s="78" t="str">
        <f aca="false">IF(助手收入!$R$208&lt;&gt;"","出纳：","")</f>
        <v/>
      </c>
      <c r="F3104" s="78" t="str">
        <f aca="false">IF(助手收入!$R$208&lt;&gt;"","复核：","")</f>
        <v/>
      </c>
      <c r="G3104" s="78" t="str">
        <f aca="false">IF(助手收入!$R$208&lt;&gt;"","制单：","")</f>
        <v/>
      </c>
    </row>
    <row r="3105" customFormat="false" ht="3" hidden="false" customHeight="true" outlineLevel="0" collapsed="false"/>
    <row r="3106" customFormat="false" ht="19.5" hidden="false" customHeight="true" outlineLevel="0" collapsed="false">
      <c r="B3106" s="53" t="str">
        <f aca="false">IF(助手收入!$R$209&lt;&gt;"","记  账  凭  证","")</f>
        <v/>
      </c>
      <c r="C3106" s="53"/>
      <c r="D3106" s="53"/>
      <c r="E3106" s="53"/>
      <c r="F3106" s="53"/>
      <c r="G3106" s="53"/>
      <c r="H3106" s="53"/>
      <c r="I3106" s="53"/>
    </row>
    <row r="3107" customFormat="false" ht="3" hidden="false" customHeight="true" outlineLevel="0" collapsed="false"/>
    <row r="3108" customFormat="false" ht="15" hidden="false" customHeight="true" outlineLevel="0" collapsed="false">
      <c r="C3108" s="56" t="str">
        <f aca="false">IF(助手收入!$R$209&lt;&gt;"",INDEX(助手收入!$B$2:$B$66,助手收入!$R$209),"")</f>
        <v/>
      </c>
      <c r="D3108" s="57" t="str">
        <f aca="false">IF(助手收入!$R$209&lt;&gt;"",参数!$B$2,"")</f>
        <v/>
      </c>
      <c r="E3108" s="57"/>
      <c r="F3108" s="58" t="str">
        <f aca="false">IF(助手收入!$R$209&lt;&gt;"",INDEX(助手收入!$C$2:$C$66,助手收入!$R$209)&amp;"  字第 "&amp;IF(参数!$B$9="是",INDEX(助手收入!$P$2:$P$66,助手收入!$R$209),"　　　　")&amp;" 号"&amp;IF(INDEX(助手收入!$L$2:$L$66,助手收入!$R$209)&gt;1,"  (共"&amp;INDEX(助手收入!$L$2:$L$66,助手收入!$R$209)&amp;"页 第"&amp;助手收入!$S$209&amp;"页)",""),"")</f>
        <v/>
      </c>
      <c r="G3108" s="58"/>
      <c r="H3108" s="58"/>
      <c r="I3108" s="58"/>
      <c r="M3108" s="79" t="str">
        <f aca="false">IF(助手收入!$R$209="","",助手收入!$Q$209)</f>
        <v/>
      </c>
      <c r="N3108" s="80" t="str">
        <f aca="false">IF(助手收入!$R$209="","",INDEX(助手收入!$P$2:$P$66,助手收入!$R$209))</f>
        <v/>
      </c>
      <c r="O3108" s="55" t="str">
        <f aca="false">IF(助手收入!$R$209="","",INDEX(助手收入!$C$2:$C$66,助手收入!$R$209)&amp;"  字第 "&amp;INDEX(助手收入!$P$2:$P$66,助手收入!$R$209)&amp;" 号"&amp;IF(INDEX(助手收入!$L$2:$L$66,助手收入!$R$209)&gt;1,"  (共"&amp;INDEX(助手收入!$L$2:$L$66,助手收入!$R$209)&amp;"页 第"&amp;助手收入!$S$209&amp;"页)",""))</f>
        <v/>
      </c>
    </row>
    <row r="3109" customFormat="false" ht="12.75" hidden="false" customHeight="true" outlineLevel="0" collapsed="false">
      <c r="B3109" s="61" t="str">
        <f aca="false">IF(助手收入!$R$209&lt;&gt;"","摘　　要","")</f>
        <v/>
      </c>
      <c r="C3109" s="61"/>
      <c r="D3109" s="62" t="str">
        <f aca="false">IF(助手收入!$R$209&lt;&gt;"","科　　　　目","")</f>
        <v/>
      </c>
      <c r="E3109" s="62"/>
      <c r="F3109" s="61" t="str">
        <f aca="false">IF(助手收入!$R$209&lt;&gt;"","借 方 金 额","")</f>
        <v/>
      </c>
      <c r="G3109" s="62" t="str">
        <f aca="false">IF(助手收入!$R$209&lt;&gt;"","贷 方 金 额","")</f>
        <v/>
      </c>
      <c r="H3109" s="63" t="str">
        <f aca="false">IF(助手收入!$R$209&lt;&gt;"","√","")</f>
        <v/>
      </c>
      <c r="I3109" s="64" t="str">
        <f aca="false">IF(助手收入!$R$209&lt;&gt;"","附单据  张","")</f>
        <v/>
      </c>
    </row>
    <row r="3110" customFormat="false" ht="12.75" hidden="false" customHeight="true" outlineLevel="0" collapsed="false">
      <c r="B3110" s="61"/>
      <c r="C3110" s="61"/>
      <c r="D3110" s="23" t="str">
        <f aca="false">IF(助手收入!$R$209&lt;&gt;"","总 账 科 目","")</f>
        <v/>
      </c>
      <c r="E3110" s="23" t="str">
        <f aca="false">IF(助手收入!$R$209&lt;&gt;"","明 细 科 目","")</f>
        <v/>
      </c>
      <c r="F3110" s="65"/>
      <c r="G3110" s="66"/>
      <c r="H3110" s="63"/>
      <c r="I3110" s="64"/>
    </row>
    <row r="3111" customFormat="false" ht="23.25" hidden="false" customHeight="true" outlineLevel="0" collapsed="false">
      <c r="B3111" s="67" t="str">
        <f aca="false">IFERROR(INDEX(分录收入!$M:$M,MATCH($L3111,分录收入!$L:$L,0)),"")</f>
        <v/>
      </c>
      <c r="C3111" s="67"/>
      <c r="D3111" s="23" t="str">
        <f aca="false">IFERROR(INDEX(分录收入!$E:$E,MATCH($L3111,分录收入!$L:$L,0)),"")</f>
        <v/>
      </c>
      <c r="E3111" s="23" t="str">
        <f aca="false">IFERROR(INDEX(分录收入!$F:$F,MATCH($L3111,分录收入!$L:$L,0)),"")</f>
        <v/>
      </c>
      <c r="F3111" s="68" t="str">
        <f aca="false">IFERROR(INDEX(分录收入!$H:$H,MATCH($L3111,分录收入!$L:$L,0)),"")</f>
        <v/>
      </c>
      <c r="G3111" s="69" t="str">
        <f aca="false">IFERROR(INDEX(分录收入!$I:$I,MATCH($L3111,分录收入!$L:$L,0)),"")</f>
        <v/>
      </c>
      <c r="H3111" s="23"/>
      <c r="I3111" s="70"/>
      <c r="L3111" s="71" t="n">
        <f aca="false">IF(助手收入!$R$209="",-1,助手收入!$R$209*100+(助手收入!$S$209-1)*6+1)</f>
        <v>-1</v>
      </c>
    </row>
    <row r="3112" customFormat="false" ht="23.25" hidden="false" customHeight="true" outlineLevel="0" collapsed="false">
      <c r="B3112" s="67" t="str">
        <f aca="false">""</f>
        <v/>
      </c>
      <c r="C3112" s="67"/>
      <c r="D3112" s="23" t="str">
        <f aca="false">IFERROR(INDEX(分录收入!$E:$E,MATCH($L3112,分录收入!$L:$L,0)),"")</f>
        <v/>
      </c>
      <c r="E3112" s="23" t="str">
        <f aca="false">IFERROR(INDEX(分录收入!$F:$F,MATCH($L3112,分录收入!$L:$L,0)),"")</f>
        <v/>
      </c>
      <c r="F3112" s="68" t="str">
        <f aca="false">IFERROR(INDEX(分录收入!$H:$H,MATCH($L3112,分录收入!$L:$L,0)),"")</f>
        <v/>
      </c>
      <c r="G3112" s="69" t="str">
        <f aca="false">IFERROR(INDEX(分录收入!$I:$I,MATCH($L3112,分录收入!$L:$L,0)),"")</f>
        <v/>
      </c>
      <c r="H3112" s="23"/>
      <c r="I3112" s="70"/>
      <c r="L3112" s="71" t="n">
        <f aca="false">IF(助手收入!$R$209="",-1,助手收入!$R$209*100+(助手收入!$S$209-1)*6+2)</f>
        <v>-1</v>
      </c>
    </row>
    <row r="3113" customFormat="false" ht="23.25" hidden="false" customHeight="true" outlineLevel="0" collapsed="false">
      <c r="B3113" s="67" t="str">
        <f aca="false">""</f>
        <v/>
      </c>
      <c r="C3113" s="67"/>
      <c r="D3113" s="23" t="str">
        <f aca="false">IFERROR(INDEX(分录收入!$E:$E,MATCH($L3113,分录收入!$L:$L,0)),"")</f>
        <v/>
      </c>
      <c r="E3113" s="23" t="str">
        <f aca="false">IFERROR(INDEX(分录收入!$F:$F,MATCH($L3113,分录收入!$L:$L,0)),"")</f>
        <v/>
      </c>
      <c r="F3113" s="68" t="str">
        <f aca="false">IFERROR(INDEX(分录收入!$H:$H,MATCH($L3113,分录收入!$L:$L,0)),"")</f>
        <v/>
      </c>
      <c r="G3113" s="69" t="str">
        <f aca="false">IFERROR(INDEX(分录收入!$I:$I,MATCH($L3113,分录收入!$L:$L,0)),"")</f>
        <v/>
      </c>
      <c r="H3113" s="23"/>
      <c r="I3113" s="70"/>
      <c r="L3113" s="71" t="n">
        <f aca="false">IF(助手收入!$R$209="",-1,助手收入!$R$209*100+(助手收入!$S$209-1)*6+3)</f>
        <v>-1</v>
      </c>
    </row>
    <row r="3114" customFormat="false" ht="23.25" hidden="false" customHeight="true" outlineLevel="0" collapsed="false">
      <c r="B3114" s="67" t="str">
        <f aca="false">""</f>
        <v/>
      </c>
      <c r="C3114" s="67"/>
      <c r="D3114" s="23" t="str">
        <f aca="false">IFERROR(INDEX(分录收入!$E:$E,MATCH($L3114,分录收入!$L:$L,0)),"")</f>
        <v/>
      </c>
      <c r="E3114" s="23" t="str">
        <f aca="false">IFERROR(INDEX(分录收入!$F:$F,MATCH($L3114,分录收入!$L:$L,0)),"")</f>
        <v/>
      </c>
      <c r="F3114" s="68" t="str">
        <f aca="false">IFERROR(INDEX(分录收入!$H:$H,MATCH($L3114,分录收入!$L:$L,0)),"")</f>
        <v/>
      </c>
      <c r="G3114" s="69" t="str">
        <f aca="false">IFERROR(INDEX(分录收入!$I:$I,MATCH($L3114,分录收入!$L:$L,0)),"")</f>
        <v/>
      </c>
      <c r="H3114" s="23"/>
      <c r="I3114" s="70"/>
      <c r="L3114" s="71" t="n">
        <f aca="false">IF(助手收入!$R$209="",-1,助手收入!$R$209*100+(助手收入!$S$209-1)*6+4)</f>
        <v>-1</v>
      </c>
    </row>
    <row r="3115" customFormat="false" ht="23.25" hidden="false" customHeight="true" outlineLevel="0" collapsed="false">
      <c r="B3115" s="67" t="str">
        <f aca="false">""</f>
        <v/>
      </c>
      <c r="C3115" s="67"/>
      <c r="D3115" s="23" t="str">
        <f aca="false">IFERROR(INDEX(分录收入!$E:$E,MATCH($L3115,分录收入!$L:$L,0)),"")</f>
        <v/>
      </c>
      <c r="E3115" s="23" t="str">
        <f aca="false">IFERROR(INDEX(分录收入!$F:$F,MATCH($L3115,分录收入!$L:$L,0)),"")</f>
        <v/>
      </c>
      <c r="F3115" s="68" t="str">
        <f aca="false">IFERROR(INDEX(分录收入!$H:$H,MATCH($L3115,分录收入!$L:$L,0)),"")</f>
        <v/>
      </c>
      <c r="G3115" s="69" t="str">
        <f aca="false">IFERROR(INDEX(分录收入!$I:$I,MATCH($L3115,分录收入!$L:$L,0)),"")</f>
        <v/>
      </c>
      <c r="H3115" s="23"/>
      <c r="I3115" s="70"/>
      <c r="L3115" s="71" t="n">
        <f aca="false">IF(助手收入!$R$209="",-1,助手收入!$R$209*100+(助手收入!$S$209-1)*6+5)</f>
        <v>-1</v>
      </c>
    </row>
    <row r="3116" customFormat="false" ht="23.25" hidden="false" customHeight="true" outlineLevel="0" collapsed="false">
      <c r="B3116" s="67" t="str">
        <f aca="false">""</f>
        <v/>
      </c>
      <c r="C3116" s="67"/>
      <c r="D3116" s="23" t="str">
        <f aca="false">IFERROR(INDEX(分录收入!$E:$E,MATCH($L3116,分录收入!$L:$L,0)),"")</f>
        <v/>
      </c>
      <c r="E3116" s="23" t="str">
        <f aca="false">IFERROR(INDEX(分录收入!$F:$F,MATCH($L3116,分录收入!$L:$L,0)),"")</f>
        <v/>
      </c>
      <c r="F3116" s="68" t="str">
        <f aca="false">IFERROR(INDEX(分录收入!$H:$H,MATCH($L3116,分录收入!$L:$L,0)),"")</f>
        <v/>
      </c>
      <c r="G3116" s="69" t="str">
        <f aca="false">IFERROR(INDEX(分录收入!$I:$I,MATCH($L3116,分录收入!$L:$L,0)),"")</f>
        <v/>
      </c>
      <c r="H3116" s="23"/>
      <c r="I3116" s="70"/>
      <c r="L3116" s="71" t="n">
        <f aca="false">IF(助手收入!$R$209="",-1,助手收入!$R$209*100+(助手收入!$S$209-1)*6+6)</f>
        <v>-1</v>
      </c>
    </row>
    <row r="3117" customFormat="false" ht="23.25" hidden="false" customHeight="true" outlineLevel="0" collapsed="false">
      <c r="B3117" s="72" t="str">
        <f aca="false">IF(助手收入!$T$209=1,"合计：","")</f>
        <v/>
      </c>
      <c r="C3117" s="73" t="str">
        <f aca="false">IF(助手收入!$T$209=1,$F3117,"")</f>
        <v/>
      </c>
      <c r="D3117" s="74"/>
      <c r="E3117" s="74"/>
      <c r="F3117" s="75" t="str">
        <f aca="false">IF(助手收入!$T$209=1,INDEX(助手收入!$N$2:$N$66,助手收入!$R$209),"")</f>
        <v/>
      </c>
      <c r="G3117" s="76" t="str">
        <f aca="false">IF(助手收入!$T$209=1,INDEX(助手收入!$O$2:$O$66,助手收入!$R$209),"")</f>
        <v/>
      </c>
      <c r="H3117" s="74"/>
      <c r="I3117" s="77"/>
    </row>
    <row r="3118" customFormat="false" ht="6" hidden="false" customHeight="true" outlineLevel="0" collapsed="false"/>
    <row r="3119" customFormat="false" ht="13.5" hidden="false" customHeight="false" outlineLevel="0" collapsed="false">
      <c r="B3119" s="78" t="str">
        <f aca="false">IF(助手收入!$R$209&lt;&gt;"","会计主管：","")</f>
        <v/>
      </c>
      <c r="D3119" s="78" t="str">
        <f aca="false">IF(助手收入!$R$209&lt;&gt;"","会计：","")</f>
        <v/>
      </c>
      <c r="E3119" s="78" t="str">
        <f aca="false">IF(助手收入!$R$209&lt;&gt;"","出纳：","")</f>
        <v/>
      </c>
      <c r="F3119" s="78" t="str">
        <f aca="false">IF(助手收入!$R$209&lt;&gt;"","复核：","")</f>
        <v/>
      </c>
      <c r="G3119" s="78" t="str">
        <f aca="false">IF(助手收入!$R$209&lt;&gt;"","制单：","")</f>
        <v/>
      </c>
    </row>
    <row r="3120" customFormat="false" ht="3" hidden="false" customHeight="true" outlineLevel="0" collapsed="false"/>
    <row r="3121" customFormat="false" ht="19.5" hidden="false" customHeight="true" outlineLevel="0" collapsed="false">
      <c r="B3121" s="53" t="str">
        <f aca="false">IF(助手收入!$R$210&lt;&gt;"","记  账  凭  证","")</f>
        <v/>
      </c>
      <c r="C3121" s="53"/>
      <c r="D3121" s="53"/>
      <c r="E3121" s="53"/>
      <c r="F3121" s="53"/>
      <c r="G3121" s="53"/>
      <c r="H3121" s="53"/>
      <c r="I3121" s="53"/>
    </row>
    <row r="3122" customFormat="false" ht="3" hidden="false" customHeight="true" outlineLevel="0" collapsed="false"/>
    <row r="3123" customFormat="false" ht="15" hidden="false" customHeight="true" outlineLevel="0" collapsed="false">
      <c r="C3123" s="56" t="str">
        <f aca="false">IF(助手收入!$R$210&lt;&gt;"",INDEX(助手收入!$B$2:$B$66,助手收入!$R$210),"")</f>
        <v/>
      </c>
      <c r="D3123" s="57" t="str">
        <f aca="false">IF(助手收入!$R$210&lt;&gt;"",参数!$B$2,"")</f>
        <v/>
      </c>
      <c r="E3123" s="57"/>
      <c r="F3123" s="58" t="str">
        <f aca="false">IF(助手收入!$R$210&lt;&gt;"",INDEX(助手收入!$C$2:$C$66,助手收入!$R$210)&amp;"  字第 "&amp;IF(参数!$B$9="是",INDEX(助手收入!$P$2:$P$66,助手收入!$R$210),"　　　　")&amp;" 号"&amp;IF(INDEX(助手收入!$L$2:$L$66,助手收入!$R$210)&gt;1,"  (共"&amp;INDEX(助手收入!$L$2:$L$66,助手收入!$R$210)&amp;"页 第"&amp;助手收入!$S$210&amp;"页)",""),"")</f>
        <v/>
      </c>
      <c r="G3123" s="58"/>
      <c r="H3123" s="58"/>
      <c r="I3123" s="58"/>
      <c r="M3123" s="79" t="str">
        <f aca="false">IF(助手收入!$R$210="","",助手收入!$Q$210)</f>
        <v/>
      </c>
      <c r="N3123" s="80" t="str">
        <f aca="false">IF(助手收入!$R$210="","",INDEX(助手收入!$P$2:$P$66,助手收入!$R$210))</f>
        <v/>
      </c>
      <c r="O3123" s="55" t="str">
        <f aca="false">IF(助手收入!$R$210="","",INDEX(助手收入!$C$2:$C$66,助手收入!$R$210)&amp;"  字第 "&amp;INDEX(助手收入!$P$2:$P$66,助手收入!$R$210)&amp;" 号"&amp;IF(INDEX(助手收入!$L$2:$L$66,助手收入!$R$210)&gt;1,"  (共"&amp;INDEX(助手收入!$L$2:$L$66,助手收入!$R$210)&amp;"页 第"&amp;助手收入!$S$210&amp;"页)",""))</f>
        <v/>
      </c>
    </row>
    <row r="3124" customFormat="false" ht="12.75" hidden="false" customHeight="true" outlineLevel="0" collapsed="false">
      <c r="B3124" s="61" t="str">
        <f aca="false">IF(助手收入!$R$210&lt;&gt;"","摘　　要","")</f>
        <v/>
      </c>
      <c r="C3124" s="61"/>
      <c r="D3124" s="62" t="str">
        <f aca="false">IF(助手收入!$R$210&lt;&gt;"","科　　　　目","")</f>
        <v/>
      </c>
      <c r="E3124" s="62"/>
      <c r="F3124" s="61" t="str">
        <f aca="false">IF(助手收入!$R$210&lt;&gt;"","借 方 金 额","")</f>
        <v/>
      </c>
      <c r="G3124" s="62" t="str">
        <f aca="false">IF(助手收入!$R$210&lt;&gt;"","贷 方 金 额","")</f>
        <v/>
      </c>
      <c r="H3124" s="63" t="str">
        <f aca="false">IF(助手收入!$R$210&lt;&gt;"","√","")</f>
        <v/>
      </c>
      <c r="I3124" s="64" t="str">
        <f aca="false">IF(助手收入!$R$210&lt;&gt;"","附单据  张","")</f>
        <v/>
      </c>
    </row>
    <row r="3125" customFormat="false" ht="12.75" hidden="false" customHeight="true" outlineLevel="0" collapsed="false">
      <c r="B3125" s="61"/>
      <c r="C3125" s="61"/>
      <c r="D3125" s="23" t="str">
        <f aca="false">IF(助手收入!$R$210&lt;&gt;"","总 账 科 目","")</f>
        <v/>
      </c>
      <c r="E3125" s="23" t="str">
        <f aca="false">IF(助手收入!$R$210&lt;&gt;"","明 细 科 目","")</f>
        <v/>
      </c>
      <c r="F3125" s="65"/>
      <c r="G3125" s="66"/>
      <c r="H3125" s="63"/>
      <c r="I3125" s="64"/>
    </row>
    <row r="3126" customFormat="false" ht="23.25" hidden="false" customHeight="true" outlineLevel="0" collapsed="false">
      <c r="B3126" s="67" t="str">
        <f aca="false">IFERROR(INDEX(分录收入!$M:$M,MATCH($L3126,分录收入!$L:$L,0)),"")</f>
        <v/>
      </c>
      <c r="C3126" s="67"/>
      <c r="D3126" s="23" t="str">
        <f aca="false">IFERROR(INDEX(分录收入!$E:$E,MATCH($L3126,分录收入!$L:$L,0)),"")</f>
        <v/>
      </c>
      <c r="E3126" s="23" t="str">
        <f aca="false">IFERROR(INDEX(分录收入!$F:$F,MATCH($L3126,分录收入!$L:$L,0)),"")</f>
        <v/>
      </c>
      <c r="F3126" s="68" t="str">
        <f aca="false">IFERROR(INDEX(分录收入!$H:$H,MATCH($L3126,分录收入!$L:$L,0)),"")</f>
        <v/>
      </c>
      <c r="G3126" s="69" t="str">
        <f aca="false">IFERROR(INDEX(分录收入!$I:$I,MATCH($L3126,分录收入!$L:$L,0)),"")</f>
        <v/>
      </c>
      <c r="H3126" s="23"/>
      <c r="I3126" s="70"/>
      <c r="L3126" s="71" t="n">
        <f aca="false">IF(助手收入!$R$210="",-1,助手收入!$R$210*100+(助手收入!$S$210-1)*6+1)</f>
        <v>-1</v>
      </c>
    </row>
    <row r="3127" customFormat="false" ht="23.25" hidden="false" customHeight="true" outlineLevel="0" collapsed="false">
      <c r="B3127" s="67" t="str">
        <f aca="false">""</f>
        <v/>
      </c>
      <c r="C3127" s="67"/>
      <c r="D3127" s="23" t="str">
        <f aca="false">IFERROR(INDEX(分录收入!$E:$E,MATCH($L3127,分录收入!$L:$L,0)),"")</f>
        <v/>
      </c>
      <c r="E3127" s="23" t="str">
        <f aca="false">IFERROR(INDEX(分录收入!$F:$F,MATCH($L3127,分录收入!$L:$L,0)),"")</f>
        <v/>
      </c>
      <c r="F3127" s="68" t="str">
        <f aca="false">IFERROR(INDEX(分录收入!$H:$H,MATCH($L3127,分录收入!$L:$L,0)),"")</f>
        <v/>
      </c>
      <c r="G3127" s="69" t="str">
        <f aca="false">IFERROR(INDEX(分录收入!$I:$I,MATCH($L3127,分录收入!$L:$L,0)),"")</f>
        <v/>
      </c>
      <c r="H3127" s="23"/>
      <c r="I3127" s="70"/>
      <c r="L3127" s="71" t="n">
        <f aca="false">IF(助手收入!$R$210="",-1,助手收入!$R$210*100+(助手收入!$S$210-1)*6+2)</f>
        <v>-1</v>
      </c>
    </row>
    <row r="3128" customFormat="false" ht="23.25" hidden="false" customHeight="true" outlineLevel="0" collapsed="false">
      <c r="B3128" s="67" t="str">
        <f aca="false">""</f>
        <v/>
      </c>
      <c r="C3128" s="67"/>
      <c r="D3128" s="23" t="str">
        <f aca="false">IFERROR(INDEX(分录收入!$E:$E,MATCH($L3128,分录收入!$L:$L,0)),"")</f>
        <v/>
      </c>
      <c r="E3128" s="23" t="str">
        <f aca="false">IFERROR(INDEX(分录收入!$F:$F,MATCH($L3128,分录收入!$L:$L,0)),"")</f>
        <v/>
      </c>
      <c r="F3128" s="68" t="str">
        <f aca="false">IFERROR(INDEX(分录收入!$H:$H,MATCH($L3128,分录收入!$L:$L,0)),"")</f>
        <v/>
      </c>
      <c r="G3128" s="69" t="str">
        <f aca="false">IFERROR(INDEX(分录收入!$I:$I,MATCH($L3128,分录收入!$L:$L,0)),"")</f>
        <v/>
      </c>
      <c r="H3128" s="23"/>
      <c r="I3128" s="70"/>
      <c r="L3128" s="71" t="n">
        <f aca="false">IF(助手收入!$R$210="",-1,助手收入!$R$210*100+(助手收入!$S$210-1)*6+3)</f>
        <v>-1</v>
      </c>
    </row>
    <row r="3129" customFormat="false" ht="23.25" hidden="false" customHeight="true" outlineLevel="0" collapsed="false">
      <c r="B3129" s="67" t="str">
        <f aca="false">""</f>
        <v/>
      </c>
      <c r="C3129" s="67"/>
      <c r="D3129" s="23" t="str">
        <f aca="false">IFERROR(INDEX(分录收入!$E:$E,MATCH($L3129,分录收入!$L:$L,0)),"")</f>
        <v/>
      </c>
      <c r="E3129" s="23" t="str">
        <f aca="false">IFERROR(INDEX(分录收入!$F:$F,MATCH($L3129,分录收入!$L:$L,0)),"")</f>
        <v/>
      </c>
      <c r="F3129" s="68" t="str">
        <f aca="false">IFERROR(INDEX(分录收入!$H:$H,MATCH($L3129,分录收入!$L:$L,0)),"")</f>
        <v/>
      </c>
      <c r="G3129" s="69" t="str">
        <f aca="false">IFERROR(INDEX(分录收入!$I:$I,MATCH($L3129,分录收入!$L:$L,0)),"")</f>
        <v/>
      </c>
      <c r="H3129" s="23"/>
      <c r="I3129" s="70"/>
      <c r="L3129" s="71" t="n">
        <f aca="false">IF(助手收入!$R$210="",-1,助手收入!$R$210*100+(助手收入!$S$210-1)*6+4)</f>
        <v>-1</v>
      </c>
    </row>
    <row r="3130" customFormat="false" ht="23.25" hidden="false" customHeight="true" outlineLevel="0" collapsed="false">
      <c r="B3130" s="67" t="str">
        <f aca="false">""</f>
        <v/>
      </c>
      <c r="C3130" s="67"/>
      <c r="D3130" s="23" t="str">
        <f aca="false">IFERROR(INDEX(分录收入!$E:$E,MATCH($L3130,分录收入!$L:$L,0)),"")</f>
        <v/>
      </c>
      <c r="E3130" s="23" t="str">
        <f aca="false">IFERROR(INDEX(分录收入!$F:$F,MATCH($L3130,分录收入!$L:$L,0)),"")</f>
        <v/>
      </c>
      <c r="F3130" s="68" t="str">
        <f aca="false">IFERROR(INDEX(分录收入!$H:$H,MATCH($L3130,分录收入!$L:$L,0)),"")</f>
        <v/>
      </c>
      <c r="G3130" s="69" t="str">
        <f aca="false">IFERROR(INDEX(分录收入!$I:$I,MATCH($L3130,分录收入!$L:$L,0)),"")</f>
        <v/>
      </c>
      <c r="H3130" s="23"/>
      <c r="I3130" s="70"/>
      <c r="L3130" s="71" t="n">
        <f aca="false">IF(助手收入!$R$210="",-1,助手收入!$R$210*100+(助手收入!$S$210-1)*6+5)</f>
        <v>-1</v>
      </c>
    </row>
    <row r="3131" customFormat="false" ht="23.25" hidden="false" customHeight="true" outlineLevel="0" collapsed="false">
      <c r="B3131" s="67" t="str">
        <f aca="false">""</f>
        <v/>
      </c>
      <c r="C3131" s="67"/>
      <c r="D3131" s="23" t="str">
        <f aca="false">IFERROR(INDEX(分录收入!$E:$E,MATCH($L3131,分录收入!$L:$L,0)),"")</f>
        <v/>
      </c>
      <c r="E3131" s="23" t="str">
        <f aca="false">IFERROR(INDEX(分录收入!$F:$F,MATCH($L3131,分录收入!$L:$L,0)),"")</f>
        <v/>
      </c>
      <c r="F3131" s="68" t="str">
        <f aca="false">IFERROR(INDEX(分录收入!$H:$H,MATCH($L3131,分录收入!$L:$L,0)),"")</f>
        <v/>
      </c>
      <c r="G3131" s="69" t="str">
        <f aca="false">IFERROR(INDEX(分录收入!$I:$I,MATCH($L3131,分录收入!$L:$L,0)),"")</f>
        <v/>
      </c>
      <c r="H3131" s="23"/>
      <c r="I3131" s="70"/>
      <c r="L3131" s="71" t="n">
        <f aca="false">IF(助手收入!$R$210="",-1,助手收入!$R$210*100+(助手收入!$S$210-1)*6+6)</f>
        <v>-1</v>
      </c>
    </row>
    <row r="3132" customFormat="false" ht="23.25" hidden="false" customHeight="true" outlineLevel="0" collapsed="false">
      <c r="B3132" s="72" t="str">
        <f aca="false">IF(助手收入!$T$210=1,"合计：","")</f>
        <v/>
      </c>
      <c r="C3132" s="73" t="str">
        <f aca="false">IF(助手收入!$T$210=1,$F3132,"")</f>
        <v/>
      </c>
      <c r="D3132" s="74"/>
      <c r="E3132" s="74"/>
      <c r="F3132" s="75" t="str">
        <f aca="false">IF(助手收入!$T$210=1,INDEX(助手收入!$N$2:$N$66,助手收入!$R$210),"")</f>
        <v/>
      </c>
      <c r="G3132" s="76" t="str">
        <f aca="false">IF(助手收入!$T$210=1,INDEX(助手收入!$O$2:$O$66,助手收入!$R$210),"")</f>
        <v/>
      </c>
      <c r="H3132" s="74"/>
      <c r="I3132" s="77"/>
    </row>
    <row r="3133" customFormat="false" ht="6" hidden="false" customHeight="true" outlineLevel="0" collapsed="false"/>
    <row r="3134" customFormat="false" ht="13.5" hidden="false" customHeight="false" outlineLevel="0" collapsed="false">
      <c r="B3134" s="78" t="str">
        <f aca="false">IF(助手收入!$R$210&lt;&gt;"","会计主管：","")</f>
        <v/>
      </c>
      <c r="D3134" s="78" t="str">
        <f aca="false">IF(助手收入!$R$210&lt;&gt;"","会计：","")</f>
        <v/>
      </c>
      <c r="E3134" s="78" t="str">
        <f aca="false">IF(助手收入!$R$210&lt;&gt;"","出纳：","")</f>
        <v/>
      </c>
      <c r="F3134" s="78" t="str">
        <f aca="false">IF(助手收入!$R$210&lt;&gt;"","复核：","")</f>
        <v/>
      </c>
      <c r="G3134" s="78" t="str">
        <f aca="false">IF(助手收入!$R$210&lt;&gt;"","制单：","")</f>
        <v/>
      </c>
    </row>
    <row r="3135" customFormat="false" ht="3" hidden="false" customHeight="true" outlineLevel="0" collapsed="false"/>
    <row r="3136" customFormat="false" ht="19.5" hidden="false" customHeight="true" outlineLevel="0" collapsed="false">
      <c r="B3136" s="53" t="str">
        <f aca="false">IF(助手收入!$R$211&lt;&gt;"","记  账  凭  证","")</f>
        <v/>
      </c>
      <c r="C3136" s="53"/>
      <c r="D3136" s="53"/>
      <c r="E3136" s="53"/>
      <c r="F3136" s="53"/>
      <c r="G3136" s="53"/>
      <c r="H3136" s="53"/>
      <c r="I3136" s="53"/>
    </row>
    <row r="3137" customFormat="false" ht="3" hidden="false" customHeight="true" outlineLevel="0" collapsed="false"/>
    <row r="3138" customFormat="false" ht="15" hidden="false" customHeight="true" outlineLevel="0" collapsed="false">
      <c r="C3138" s="56" t="str">
        <f aca="false">IF(助手收入!$R$211&lt;&gt;"",INDEX(助手收入!$B$2:$B$66,助手收入!$R$211),"")</f>
        <v/>
      </c>
      <c r="D3138" s="57" t="str">
        <f aca="false">IF(助手收入!$R$211&lt;&gt;"",参数!$B$2,"")</f>
        <v/>
      </c>
      <c r="E3138" s="57"/>
      <c r="F3138" s="58" t="str">
        <f aca="false">IF(助手收入!$R$211&lt;&gt;"",INDEX(助手收入!$C$2:$C$66,助手收入!$R$211)&amp;"  字第 "&amp;IF(参数!$B$9="是",INDEX(助手收入!$P$2:$P$66,助手收入!$R$211),"　　　　")&amp;" 号"&amp;IF(INDEX(助手收入!$L$2:$L$66,助手收入!$R$211)&gt;1,"  (共"&amp;INDEX(助手收入!$L$2:$L$66,助手收入!$R$211)&amp;"页 第"&amp;助手收入!$S$211&amp;"页)",""),"")</f>
        <v/>
      </c>
      <c r="G3138" s="58"/>
      <c r="H3138" s="58"/>
      <c r="I3138" s="58"/>
      <c r="M3138" s="79" t="str">
        <f aca="false">IF(助手收入!$R$211="","",助手收入!$Q$211)</f>
        <v/>
      </c>
      <c r="N3138" s="80" t="str">
        <f aca="false">IF(助手收入!$R$211="","",INDEX(助手收入!$P$2:$P$66,助手收入!$R$211))</f>
        <v/>
      </c>
      <c r="O3138" s="55" t="str">
        <f aca="false">IF(助手收入!$R$211="","",INDEX(助手收入!$C$2:$C$66,助手收入!$R$211)&amp;"  字第 "&amp;INDEX(助手收入!$P$2:$P$66,助手收入!$R$211)&amp;" 号"&amp;IF(INDEX(助手收入!$L$2:$L$66,助手收入!$R$211)&gt;1,"  (共"&amp;INDEX(助手收入!$L$2:$L$66,助手收入!$R$211)&amp;"页 第"&amp;助手收入!$S$211&amp;"页)",""))</f>
        <v/>
      </c>
    </row>
    <row r="3139" customFormat="false" ht="12.75" hidden="false" customHeight="true" outlineLevel="0" collapsed="false">
      <c r="B3139" s="61" t="str">
        <f aca="false">IF(助手收入!$R$211&lt;&gt;"","摘　　要","")</f>
        <v/>
      </c>
      <c r="C3139" s="61"/>
      <c r="D3139" s="62" t="str">
        <f aca="false">IF(助手收入!$R$211&lt;&gt;"","科　　　　目","")</f>
        <v/>
      </c>
      <c r="E3139" s="62"/>
      <c r="F3139" s="61" t="str">
        <f aca="false">IF(助手收入!$R$211&lt;&gt;"","借 方 金 额","")</f>
        <v/>
      </c>
      <c r="G3139" s="62" t="str">
        <f aca="false">IF(助手收入!$R$211&lt;&gt;"","贷 方 金 额","")</f>
        <v/>
      </c>
      <c r="H3139" s="63" t="str">
        <f aca="false">IF(助手收入!$R$211&lt;&gt;"","√","")</f>
        <v/>
      </c>
      <c r="I3139" s="64" t="str">
        <f aca="false">IF(助手收入!$R$211&lt;&gt;"","附单据  张","")</f>
        <v/>
      </c>
    </row>
    <row r="3140" customFormat="false" ht="12.75" hidden="false" customHeight="true" outlineLevel="0" collapsed="false">
      <c r="B3140" s="61"/>
      <c r="C3140" s="61"/>
      <c r="D3140" s="23" t="str">
        <f aca="false">IF(助手收入!$R$211&lt;&gt;"","总 账 科 目","")</f>
        <v/>
      </c>
      <c r="E3140" s="23" t="str">
        <f aca="false">IF(助手收入!$R$211&lt;&gt;"","明 细 科 目","")</f>
        <v/>
      </c>
      <c r="F3140" s="65"/>
      <c r="G3140" s="66"/>
      <c r="H3140" s="63"/>
      <c r="I3140" s="64"/>
    </row>
    <row r="3141" customFormat="false" ht="23.25" hidden="false" customHeight="true" outlineLevel="0" collapsed="false">
      <c r="B3141" s="67" t="str">
        <f aca="false">IFERROR(INDEX(分录收入!$M:$M,MATCH($L3141,分录收入!$L:$L,0)),"")</f>
        <v/>
      </c>
      <c r="C3141" s="67"/>
      <c r="D3141" s="23" t="str">
        <f aca="false">IFERROR(INDEX(分录收入!$E:$E,MATCH($L3141,分录收入!$L:$L,0)),"")</f>
        <v/>
      </c>
      <c r="E3141" s="23" t="str">
        <f aca="false">IFERROR(INDEX(分录收入!$F:$F,MATCH($L3141,分录收入!$L:$L,0)),"")</f>
        <v/>
      </c>
      <c r="F3141" s="68" t="str">
        <f aca="false">IFERROR(INDEX(分录收入!$H:$H,MATCH($L3141,分录收入!$L:$L,0)),"")</f>
        <v/>
      </c>
      <c r="G3141" s="69" t="str">
        <f aca="false">IFERROR(INDEX(分录收入!$I:$I,MATCH($L3141,分录收入!$L:$L,0)),"")</f>
        <v/>
      </c>
      <c r="H3141" s="23"/>
      <c r="I3141" s="70"/>
      <c r="L3141" s="71" t="n">
        <f aca="false">IF(助手收入!$R$211="",-1,助手收入!$R$211*100+(助手收入!$S$211-1)*6+1)</f>
        <v>-1</v>
      </c>
    </row>
    <row r="3142" customFormat="false" ht="23.25" hidden="false" customHeight="true" outlineLevel="0" collapsed="false">
      <c r="B3142" s="67" t="str">
        <f aca="false">""</f>
        <v/>
      </c>
      <c r="C3142" s="67"/>
      <c r="D3142" s="23" t="str">
        <f aca="false">IFERROR(INDEX(分录收入!$E:$E,MATCH($L3142,分录收入!$L:$L,0)),"")</f>
        <v/>
      </c>
      <c r="E3142" s="23" t="str">
        <f aca="false">IFERROR(INDEX(分录收入!$F:$F,MATCH($L3142,分录收入!$L:$L,0)),"")</f>
        <v/>
      </c>
      <c r="F3142" s="68" t="str">
        <f aca="false">IFERROR(INDEX(分录收入!$H:$H,MATCH($L3142,分录收入!$L:$L,0)),"")</f>
        <v/>
      </c>
      <c r="G3142" s="69" t="str">
        <f aca="false">IFERROR(INDEX(分录收入!$I:$I,MATCH($L3142,分录收入!$L:$L,0)),"")</f>
        <v/>
      </c>
      <c r="H3142" s="23"/>
      <c r="I3142" s="70"/>
      <c r="L3142" s="71" t="n">
        <f aca="false">IF(助手收入!$R$211="",-1,助手收入!$R$211*100+(助手收入!$S$211-1)*6+2)</f>
        <v>-1</v>
      </c>
    </row>
    <row r="3143" customFormat="false" ht="23.25" hidden="false" customHeight="true" outlineLevel="0" collapsed="false">
      <c r="B3143" s="67" t="str">
        <f aca="false">""</f>
        <v/>
      </c>
      <c r="C3143" s="67"/>
      <c r="D3143" s="23" t="str">
        <f aca="false">IFERROR(INDEX(分录收入!$E:$E,MATCH($L3143,分录收入!$L:$L,0)),"")</f>
        <v/>
      </c>
      <c r="E3143" s="23" t="str">
        <f aca="false">IFERROR(INDEX(分录收入!$F:$F,MATCH($L3143,分录收入!$L:$L,0)),"")</f>
        <v/>
      </c>
      <c r="F3143" s="68" t="str">
        <f aca="false">IFERROR(INDEX(分录收入!$H:$H,MATCH($L3143,分录收入!$L:$L,0)),"")</f>
        <v/>
      </c>
      <c r="G3143" s="69" t="str">
        <f aca="false">IFERROR(INDEX(分录收入!$I:$I,MATCH($L3143,分录收入!$L:$L,0)),"")</f>
        <v/>
      </c>
      <c r="H3143" s="23"/>
      <c r="I3143" s="70"/>
      <c r="L3143" s="71" t="n">
        <f aca="false">IF(助手收入!$R$211="",-1,助手收入!$R$211*100+(助手收入!$S$211-1)*6+3)</f>
        <v>-1</v>
      </c>
    </row>
    <row r="3144" customFormat="false" ht="23.25" hidden="false" customHeight="true" outlineLevel="0" collapsed="false">
      <c r="B3144" s="67" t="str">
        <f aca="false">""</f>
        <v/>
      </c>
      <c r="C3144" s="67"/>
      <c r="D3144" s="23" t="str">
        <f aca="false">IFERROR(INDEX(分录收入!$E:$E,MATCH($L3144,分录收入!$L:$L,0)),"")</f>
        <v/>
      </c>
      <c r="E3144" s="23" t="str">
        <f aca="false">IFERROR(INDEX(分录收入!$F:$F,MATCH($L3144,分录收入!$L:$L,0)),"")</f>
        <v/>
      </c>
      <c r="F3144" s="68" t="str">
        <f aca="false">IFERROR(INDEX(分录收入!$H:$H,MATCH($L3144,分录收入!$L:$L,0)),"")</f>
        <v/>
      </c>
      <c r="G3144" s="69" t="str">
        <f aca="false">IFERROR(INDEX(分录收入!$I:$I,MATCH($L3144,分录收入!$L:$L,0)),"")</f>
        <v/>
      </c>
      <c r="H3144" s="23"/>
      <c r="I3144" s="70"/>
      <c r="L3144" s="71" t="n">
        <f aca="false">IF(助手收入!$R$211="",-1,助手收入!$R$211*100+(助手收入!$S$211-1)*6+4)</f>
        <v>-1</v>
      </c>
    </row>
    <row r="3145" customFormat="false" ht="23.25" hidden="false" customHeight="true" outlineLevel="0" collapsed="false">
      <c r="B3145" s="67" t="str">
        <f aca="false">""</f>
        <v/>
      </c>
      <c r="C3145" s="67"/>
      <c r="D3145" s="23" t="str">
        <f aca="false">IFERROR(INDEX(分录收入!$E:$E,MATCH($L3145,分录收入!$L:$L,0)),"")</f>
        <v/>
      </c>
      <c r="E3145" s="23" t="str">
        <f aca="false">IFERROR(INDEX(分录收入!$F:$F,MATCH($L3145,分录收入!$L:$L,0)),"")</f>
        <v/>
      </c>
      <c r="F3145" s="68" t="str">
        <f aca="false">IFERROR(INDEX(分录收入!$H:$H,MATCH($L3145,分录收入!$L:$L,0)),"")</f>
        <v/>
      </c>
      <c r="G3145" s="69" t="str">
        <f aca="false">IFERROR(INDEX(分录收入!$I:$I,MATCH($L3145,分录收入!$L:$L,0)),"")</f>
        <v/>
      </c>
      <c r="H3145" s="23"/>
      <c r="I3145" s="70"/>
      <c r="L3145" s="71" t="n">
        <f aca="false">IF(助手收入!$R$211="",-1,助手收入!$R$211*100+(助手收入!$S$211-1)*6+5)</f>
        <v>-1</v>
      </c>
    </row>
    <row r="3146" customFormat="false" ht="23.25" hidden="false" customHeight="true" outlineLevel="0" collapsed="false">
      <c r="B3146" s="67" t="str">
        <f aca="false">""</f>
        <v/>
      </c>
      <c r="C3146" s="67"/>
      <c r="D3146" s="23" t="str">
        <f aca="false">IFERROR(INDEX(分录收入!$E:$E,MATCH($L3146,分录收入!$L:$L,0)),"")</f>
        <v/>
      </c>
      <c r="E3146" s="23" t="str">
        <f aca="false">IFERROR(INDEX(分录收入!$F:$F,MATCH($L3146,分录收入!$L:$L,0)),"")</f>
        <v/>
      </c>
      <c r="F3146" s="68" t="str">
        <f aca="false">IFERROR(INDEX(分录收入!$H:$H,MATCH($L3146,分录收入!$L:$L,0)),"")</f>
        <v/>
      </c>
      <c r="G3146" s="69" t="str">
        <f aca="false">IFERROR(INDEX(分录收入!$I:$I,MATCH($L3146,分录收入!$L:$L,0)),"")</f>
        <v/>
      </c>
      <c r="H3146" s="23"/>
      <c r="I3146" s="70"/>
      <c r="L3146" s="71" t="n">
        <f aca="false">IF(助手收入!$R$211="",-1,助手收入!$R$211*100+(助手收入!$S$211-1)*6+6)</f>
        <v>-1</v>
      </c>
    </row>
    <row r="3147" customFormat="false" ht="23.25" hidden="false" customHeight="true" outlineLevel="0" collapsed="false">
      <c r="B3147" s="72" t="str">
        <f aca="false">IF(助手收入!$T$211=1,"合计：","")</f>
        <v/>
      </c>
      <c r="C3147" s="73" t="str">
        <f aca="false">IF(助手收入!$T$211=1,$F3147,"")</f>
        <v/>
      </c>
      <c r="D3147" s="74"/>
      <c r="E3147" s="74"/>
      <c r="F3147" s="75" t="str">
        <f aca="false">IF(助手收入!$T$211=1,INDEX(助手收入!$N$2:$N$66,助手收入!$R$211),"")</f>
        <v/>
      </c>
      <c r="G3147" s="76" t="str">
        <f aca="false">IF(助手收入!$T$211=1,INDEX(助手收入!$O$2:$O$66,助手收入!$R$211),"")</f>
        <v/>
      </c>
      <c r="H3147" s="74"/>
      <c r="I3147" s="77"/>
    </row>
    <row r="3148" customFormat="false" ht="6" hidden="false" customHeight="true" outlineLevel="0" collapsed="false"/>
    <row r="3149" customFormat="false" ht="13.5" hidden="false" customHeight="false" outlineLevel="0" collapsed="false">
      <c r="B3149" s="78" t="str">
        <f aca="false">IF(助手收入!$R$211&lt;&gt;"","会计主管：","")</f>
        <v/>
      </c>
      <c r="D3149" s="78" t="str">
        <f aca="false">IF(助手收入!$R$211&lt;&gt;"","会计：","")</f>
        <v/>
      </c>
      <c r="E3149" s="78" t="str">
        <f aca="false">IF(助手收入!$R$211&lt;&gt;"","出纳：","")</f>
        <v/>
      </c>
      <c r="F3149" s="78" t="str">
        <f aca="false">IF(助手收入!$R$211&lt;&gt;"","复核：","")</f>
        <v/>
      </c>
      <c r="G3149" s="78" t="str">
        <f aca="false">IF(助手收入!$R$211&lt;&gt;"","制单：","")</f>
        <v/>
      </c>
    </row>
    <row r="3150" customFormat="false" ht="3" hidden="false" customHeight="true" outlineLevel="0" collapsed="false"/>
    <row r="3151" customFormat="false" ht="19.5" hidden="false" customHeight="true" outlineLevel="0" collapsed="false">
      <c r="B3151" s="53" t="str">
        <f aca="false">IF(助手收入!$R$212&lt;&gt;"","记  账  凭  证","")</f>
        <v/>
      </c>
      <c r="C3151" s="53"/>
      <c r="D3151" s="53"/>
      <c r="E3151" s="53"/>
      <c r="F3151" s="53"/>
      <c r="G3151" s="53"/>
      <c r="H3151" s="53"/>
      <c r="I3151" s="53"/>
    </row>
    <row r="3152" customFormat="false" ht="3" hidden="false" customHeight="true" outlineLevel="0" collapsed="false"/>
    <row r="3153" customFormat="false" ht="15" hidden="false" customHeight="true" outlineLevel="0" collapsed="false">
      <c r="C3153" s="56" t="str">
        <f aca="false">IF(助手收入!$R$212&lt;&gt;"",INDEX(助手收入!$B$2:$B$66,助手收入!$R$212),"")</f>
        <v/>
      </c>
      <c r="D3153" s="57" t="str">
        <f aca="false">IF(助手收入!$R$212&lt;&gt;"",参数!$B$2,"")</f>
        <v/>
      </c>
      <c r="E3153" s="57"/>
      <c r="F3153" s="58" t="str">
        <f aca="false">IF(助手收入!$R$212&lt;&gt;"",INDEX(助手收入!$C$2:$C$66,助手收入!$R$212)&amp;"  字第 "&amp;IF(参数!$B$9="是",INDEX(助手收入!$P$2:$P$66,助手收入!$R$212),"　　　　")&amp;" 号"&amp;IF(INDEX(助手收入!$L$2:$L$66,助手收入!$R$212)&gt;1,"  (共"&amp;INDEX(助手收入!$L$2:$L$66,助手收入!$R$212)&amp;"页 第"&amp;助手收入!$S$212&amp;"页)",""),"")</f>
        <v/>
      </c>
      <c r="G3153" s="58"/>
      <c r="H3153" s="58"/>
      <c r="I3153" s="58"/>
      <c r="M3153" s="79" t="str">
        <f aca="false">IF(助手收入!$R$212="","",助手收入!$Q$212)</f>
        <v/>
      </c>
      <c r="N3153" s="80" t="str">
        <f aca="false">IF(助手收入!$R$212="","",INDEX(助手收入!$P$2:$P$66,助手收入!$R$212))</f>
        <v/>
      </c>
      <c r="O3153" s="55" t="str">
        <f aca="false">IF(助手收入!$R$212="","",INDEX(助手收入!$C$2:$C$66,助手收入!$R$212)&amp;"  字第 "&amp;INDEX(助手收入!$P$2:$P$66,助手收入!$R$212)&amp;" 号"&amp;IF(INDEX(助手收入!$L$2:$L$66,助手收入!$R$212)&gt;1,"  (共"&amp;INDEX(助手收入!$L$2:$L$66,助手收入!$R$212)&amp;"页 第"&amp;助手收入!$S$212&amp;"页)",""))</f>
        <v/>
      </c>
    </row>
    <row r="3154" customFormat="false" ht="12.75" hidden="false" customHeight="true" outlineLevel="0" collapsed="false">
      <c r="B3154" s="61" t="str">
        <f aca="false">IF(助手收入!$R$212&lt;&gt;"","摘　　要","")</f>
        <v/>
      </c>
      <c r="C3154" s="61"/>
      <c r="D3154" s="62" t="str">
        <f aca="false">IF(助手收入!$R$212&lt;&gt;"","科　　　　目","")</f>
        <v/>
      </c>
      <c r="E3154" s="62"/>
      <c r="F3154" s="61" t="str">
        <f aca="false">IF(助手收入!$R$212&lt;&gt;"","借 方 金 额","")</f>
        <v/>
      </c>
      <c r="G3154" s="62" t="str">
        <f aca="false">IF(助手收入!$R$212&lt;&gt;"","贷 方 金 额","")</f>
        <v/>
      </c>
      <c r="H3154" s="63" t="str">
        <f aca="false">IF(助手收入!$R$212&lt;&gt;"","√","")</f>
        <v/>
      </c>
      <c r="I3154" s="64" t="str">
        <f aca="false">IF(助手收入!$R$212&lt;&gt;"","附单据  张","")</f>
        <v/>
      </c>
    </row>
    <row r="3155" customFormat="false" ht="12.75" hidden="false" customHeight="true" outlineLevel="0" collapsed="false">
      <c r="B3155" s="61"/>
      <c r="C3155" s="61"/>
      <c r="D3155" s="23" t="str">
        <f aca="false">IF(助手收入!$R$212&lt;&gt;"","总 账 科 目","")</f>
        <v/>
      </c>
      <c r="E3155" s="23" t="str">
        <f aca="false">IF(助手收入!$R$212&lt;&gt;"","明 细 科 目","")</f>
        <v/>
      </c>
      <c r="F3155" s="65"/>
      <c r="G3155" s="66"/>
      <c r="H3155" s="63"/>
      <c r="I3155" s="64"/>
    </row>
    <row r="3156" customFormat="false" ht="23.25" hidden="false" customHeight="true" outlineLevel="0" collapsed="false">
      <c r="B3156" s="67" t="str">
        <f aca="false">IFERROR(INDEX(分录收入!$M:$M,MATCH($L3156,分录收入!$L:$L,0)),"")</f>
        <v/>
      </c>
      <c r="C3156" s="67"/>
      <c r="D3156" s="23" t="str">
        <f aca="false">IFERROR(INDEX(分录收入!$E:$E,MATCH($L3156,分录收入!$L:$L,0)),"")</f>
        <v/>
      </c>
      <c r="E3156" s="23" t="str">
        <f aca="false">IFERROR(INDEX(分录收入!$F:$F,MATCH($L3156,分录收入!$L:$L,0)),"")</f>
        <v/>
      </c>
      <c r="F3156" s="68" t="str">
        <f aca="false">IFERROR(INDEX(分录收入!$H:$H,MATCH($L3156,分录收入!$L:$L,0)),"")</f>
        <v/>
      </c>
      <c r="G3156" s="69" t="str">
        <f aca="false">IFERROR(INDEX(分录收入!$I:$I,MATCH($L3156,分录收入!$L:$L,0)),"")</f>
        <v/>
      </c>
      <c r="H3156" s="23"/>
      <c r="I3156" s="70"/>
      <c r="L3156" s="71" t="n">
        <f aca="false">IF(助手收入!$R$212="",-1,助手收入!$R$212*100+(助手收入!$S$212-1)*6+1)</f>
        <v>-1</v>
      </c>
    </row>
    <row r="3157" customFormat="false" ht="23.25" hidden="false" customHeight="true" outlineLevel="0" collapsed="false">
      <c r="B3157" s="67" t="str">
        <f aca="false">""</f>
        <v/>
      </c>
      <c r="C3157" s="67"/>
      <c r="D3157" s="23" t="str">
        <f aca="false">IFERROR(INDEX(分录收入!$E:$E,MATCH($L3157,分录收入!$L:$L,0)),"")</f>
        <v/>
      </c>
      <c r="E3157" s="23" t="str">
        <f aca="false">IFERROR(INDEX(分录收入!$F:$F,MATCH($L3157,分录收入!$L:$L,0)),"")</f>
        <v/>
      </c>
      <c r="F3157" s="68" t="str">
        <f aca="false">IFERROR(INDEX(分录收入!$H:$H,MATCH($L3157,分录收入!$L:$L,0)),"")</f>
        <v/>
      </c>
      <c r="G3157" s="69" t="str">
        <f aca="false">IFERROR(INDEX(分录收入!$I:$I,MATCH($L3157,分录收入!$L:$L,0)),"")</f>
        <v/>
      </c>
      <c r="H3157" s="23"/>
      <c r="I3157" s="70"/>
      <c r="L3157" s="71" t="n">
        <f aca="false">IF(助手收入!$R$212="",-1,助手收入!$R$212*100+(助手收入!$S$212-1)*6+2)</f>
        <v>-1</v>
      </c>
    </row>
    <row r="3158" customFormat="false" ht="23.25" hidden="false" customHeight="true" outlineLevel="0" collapsed="false">
      <c r="B3158" s="67" t="str">
        <f aca="false">""</f>
        <v/>
      </c>
      <c r="C3158" s="67"/>
      <c r="D3158" s="23" t="str">
        <f aca="false">IFERROR(INDEX(分录收入!$E:$E,MATCH($L3158,分录收入!$L:$L,0)),"")</f>
        <v/>
      </c>
      <c r="E3158" s="23" t="str">
        <f aca="false">IFERROR(INDEX(分录收入!$F:$F,MATCH($L3158,分录收入!$L:$L,0)),"")</f>
        <v/>
      </c>
      <c r="F3158" s="68" t="str">
        <f aca="false">IFERROR(INDEX(分录收入!$H:$H,MATCH($L3158,分录收入!$L:$L,0)),"")</f>
        <v/>
      </c>
      <c r="G3158" s="69" t="str">
        <f aca="false">IFERROR(INDEX(分录收入!$I:$I,MATCH($L3158,分录收入!$L:$L,0)),"")</f>
        <v/>
      </c>
      <c r="H3158" s="23"/>
      <c r="I3158" s="70"/>
      <c r="L3158" s="71" t="n">
        <f aca="false">IF(助手收入!$R$212="",-1,助手收入!$R$212*100+(助手收入!$S$212-1)*6+3)</f>
        <v>-1</v>
      </c>
    </row>
    <row r="3159" customFormat="false" ht="23.25" hidden="false" customHeight="true" outlineLevel="0" collapsed="false">
      <c r="B3159" s="67" t="str">
        <f aca="false">""</f>
        <v/>
      </c>
      <c r="C3159" s="67"/>
      <c r="D3159" s="23" t="str">
        <f aca="false">IFERROR(INDEX(分录收入!$E:$E,MATCH($L3159,分录收入!$L:$L,0)),"")</f>
        <v/>
      </c>
      <c r="E3159" s="23" t="str">
        <f aca="false">IFERROR(INDEX(分录收入!$F:$F,MATCH($L3159,分录收入!$L:$L,0)),"")</f>
        <v/>
      </c>
      <c r="F3159" s="68" t="str">
        <f aca="false">IFERROR(INDEX(分录收入!$H:$H,MATCH($L3159,分录收入!$L:$L,0)),"")</f>
        <v/>
      </c>
      <c r="G3159" s="69" t="str">
        <f aca="false">IFERROR(INDEX(分录收入!$I:$I,MATCH($L3159,分录收入!$L:$L,0)),"")</f>
        <v/>
      </c>
      <c r="H3159" s="23"/>
      <c r="I3159" s="70"/>
      <c r="L3159" s="71" t="n">
        <f aca="false">IF(助手收入!$R$212="",-1,助手收入!$R$212*100+(助手收入!$S$212-1)*6+4)</f>
        <v>-1</v>
      </c>
    </row>
    <row r="3160" customFormat="false" ht="23.25" hidden="false" customHeight="true" outlineLevel="0" collapsed="false">
      <c r="B3160" s="67" t="str">
        <f aca="false">""</f>
        <v/>
      </c>
      <c r="C3160" s="67"/>
      <c r="D3160" s="23" t="str">
        <f aca="false">IFERROR(INDEX(分录收入!$E:$E,MATCH($L3160,分录收入!$L:$L,0)),"")</f>
        <v/>
      </c>
      <c r="E3160" s="23" t="str">
        <f aca="false">IFERROR(INDEX(分录收入!$F:$F,MATCH($L3160,分录收入!$L:$L,0)),"")</f>
        <v/>
      </c>
      <c r="F3160" s="68" t="str">
        <f aca="false">IFERROR(INDEX(分录收入!$H:$H,MATCH($L3160,分录收入!$L:$L,0)),"")</f>
        <v/>
      </c>
      <c r="G3160" s="69" t="str">
        <f aca="false">IFERROR(INDEX(分录收入!$I:$I,MATCH($L3160,分录收入!$L:$L,0)),"")</f>
        <v/>
      </c>
      <c r="H3160" s="23"/>
      <c r="I3160" s="70"/>
      <c r="L3160" s="71" t="n">
        <f aca="false">IF(助手收入!$R$212="",-1,助手收入!$R$212*100+(助手收入!$S$212-1)*6+5)</f>
        <v>-1</v>
      </c>
    </row>
    <row r="3161" customFormat="false" ht="23.25" hidden="false" customHeight="true" outlineLevel="0" collapsed="false">
      <c r="B3161" s="67" t="str">
        <f aca="false">""</f>
        <v/>
      </c>
      <c r="C3161" s="67"/>
      <c r="D3161" s="23" t="str">
        <f aca="false">IFERROR(INDEX(分录收入!$E:$E,MATCH($L3161,分录收入!$L:$L,0)),"")</f>
        <v/>
      </c>
      <c r="E3161" s="23" t="str">
        <f aca="false">IFERROR(INDEX(分录收入!$F:$F,MATCH($L3161,分录收入!$L:$L,0)),"")</f>
        <v/>
      </c>
      <c r="F3161" s="68" t="str">
        <f aca="false">IFERROR(INDEX(分录收入!$H:$H,MATCH($L3161,分录收入!$L:$L,0)),"")</f>
        <v/>
      </c>
      <c r="G3161" s="69" t="str">
        <f aca="false">IFERROR(INDEX(分录收入!$I:$I,MATCH($L3161,分录收入!$L:$L,0)),"")</f>
        <v/>
      </c>
      <c r="H3161" s="23"/>
      <c r="I3161" s="70"/>
      <c r="L3161" s="71" t="n">
        <f aca="false">IF(助手收入!$R$212="",-1,助手收入!$R$212*100+(助手收入!$S$212-1)*6+6)</f>
        <v>-1</v>
      </c>
    </row>
    <row r="3162" customFormat="false" ht="23.25" hidden="false" customHeight="true" outlineLevel="0" collapsed="false">
      <c r="B3162" s="72" t="str">
        <f aca="false">IF(助手收入!$T$212=1,"合计：","")</f>
        <v/>
      </c>
      <c r="C3162" s="73" t="str">
        <f aca="false">IF(助手收入!$T$212=1,$F3162,"")</f>
        <v/>
      </c>
      <c r="D3162" s="74"/>
      <c r="E3162" s="74"/>
      <c r="F3162" s="75" t="str">
        <f aca="false">IF(助手收入!$T$212=1,INDEX(助手收入!$N$2:$N$66,助手收入!$R$212),"")</f>
        <v/>
      </c>
      <c r="G3162" s="76" t="str">
        <f aca="false">IF(助手收入!$T$212=1,INDEX(助手收入!$O$2:$O$66,助手收入!$R$212),"")</f>
        <v/>
      </c>
      <c r="H3162" s="74"/>
      <c r="I3162" s="77"/>
    </row>
    <row r="3163" customFormat="false" ht="6" hidden="false" customHeight="true" outlineLevel="0" collapsed="false"/>
    <row r="3164" customFormat="false" ht="13.5" hidden="false" customHeight="false" outlineLevel="0" collapsed="false">
      <c r="B3164" s="78" t="str">
        <f aca="false">IF(助手收入!$R$212&lt;&gt;"","会计主管：","")</f>
        <v/>
      </c>
      <c r="D3164" s="78" t="str">
        <f aca="false">IF(助手收入!$R$212&lt;&gt;"","会计：","")</f>
        <v/>
      </c>
      <c r="E3164" s="78" t="str">
        <f aca="false">IF(助手收入!$R$212&lt;&gt;"","出纳：","")</f>
        <v/>
      </c>
      <c r="F3164" s="78" t="str">
        <f aca="false">IF(助手收入!$R$212&lt;&gt;"","复核：","")</f>
        <v/>
      </c>
      <c r="G3164" s="78" t="str">
        <f aca="false">IF(助手收入!$R$212&lt;&gt;"","制单：","")</f>
        <v/>
      </c>
    </row>
    <row r="3165" customFormat="false" ht="3" hidden="false" customHeight="true" outlineLevel="0" collapsed="false"/>
    <row r="3166" customFormat="false" ht="19.5" hidden="false" customHeight="true" outlineLevel="0" collapsed="false">
      <c r="B3166" s="53" t="str">
        <f aca="false">IF(助手收入!$R$213&lt;&gt;"","记  账  凭  证","")</f>
        <v/>
      </c>
      <c r="C3166" s="53"/>
      <c r="D3166" s="53"/>
      <c r="E3166" s="53"/>
      <c r="F3166" s="53"/>
      <c r="G3166" s="53"/>
      <c r="H3166" s="53"/>
      <c r="I3166" s="53"/>
    </row>
    <row r="3167" customFormat="false" ht="3" hidden="false" customHeight="true" outlineLevel="0" collapsed="false"/>
    <row r="3168" customFormat="false" ht="15" hidden="false" customHeight="true" outlineLevel="0" collapsed="false">
      <c r="C3168" s="56" t="str">
        <f aca="false">IF(助手收入!$R$213&lt;&gt;"",INDEX(助手收入!$B$2:$B$66,助手收入!$R$213),"")</f>
        <v/>
      </c>
      <c r="D3168" s="57" t="str">
        <f aca="false">IF(助手收入!$R$213&lt;&gt;"",参数!$B$2,"")</f>
        <v/>
      </c>
      <c r="E3168" s="57"/>
      <c r="F3168" s="58" t="str">
        <f aca="false">IF(助手收入!$R$213&lt;&gt;"",INDEX(助手收入!$C$2:$C$66,助手收入!$R$213)&amp;"  字第 "&amp;IF(参数!$B$9="是",INDEX(助手收入!$P$2:$P$66,助手收入!$R$213),"　　　　")&amp;" 号"&amp;IF(INDEX(助手收入!$L$2:$L$66,助手收入!$R$213)&gt;1,"  (共"&amp;INDEX(助手收入!$L$2:$L$66,助手收入!$R$213)&amp;"页 第"&amp;助手收入!$S$213&amp;"页)",""),"")</f>
        <v/>
      </c>
      <c r="G3168" s="58"/>
      <c r="H3168" s="58"/>
      <c r="I3168" s="58"/>
      <c r="M3168" s="79" t="str">
        <f aca="false">IF(助手收入!$R$213="","",助手收入!$Q$213)</f>
        <v/>
      </c>
      <c r="N3168" s="80" t="str">
        <f aca="false">IF(助手收入!$R$213="","",INDEX(助手收入!$P$2:$P$66,助手收入!$R$213))</f>
        <v/>
      </c>
      <c r="O3168" s="55" t="str">
        <f aca="false">IF(助手收入!$R$213="","",INDEX(助手收入!$C$2:$C$66,助手收入!$R$213)&amp;"  字第 "&amp;INDEX(助手收入!$P$2:$P$66,助手收入!$R$213)&amp;" 号"&amp;IF(INDEX(助手收入!$L$2:$L$66,助手收入!$R$213)&gt;1,"  (共"&amp;INDEX(助手收入!$L$2:$L$66,助手收入!$R$213)&amp;"页 第"&amp;助手收入!$S$213&amp;"页)",""))</f>
        <v/>
      </c>
    </row>
    <row r="3169" customFormat="false" ht="12.75" hidden="false" customHeight="true" outlineLevel="0" collapsed="false">
      <c r="B3169" s="61" t="str">
        <f aca="false">IF(助手收入!$R$213&lt;&gt;"","摘　　要","")</f>
        <v/>
      </c>
      <c r="C3169" s="61"/>
      <c r="D3169" s="62" t="str">
        <f aca="false">IF(助手收入!$R$213&lt;&gt;"","科　　　　目","")</f>
        <v/>
      </c>
      <c r="E3169" s="62"/>
      <c r="F3169" s="61" t="str">
        <f aca="false">IF(助手收入!$R$213&lt;&gt;"","借 方 金 额","")</f>
        <v/>
      </c>
      <c r="G3169" s="62" t="str">
        <f aca="false">IF(助手收入!$R$213&lt;&gt;"","贷 方 金 额","")</f>
        <v/>
      </c>
      <c r="H3169" s="63" t="str">
        <f aca="false">IF(助手收入!$R$213&lt;&gt;"","√","")</f>
        <v/>
      </c>
      <c r="I3169" s="64" t="str">
        <f aca="false">IF(助手收入!$R$213&lt;&gt;"","附单据  张","")</f>
        <v/>
      </c>
    </row>
    <row r="3170" customFormat="false" ht="12.75" hidden="false" customHeight="true" outlineLevel="0" collapsed="false">
      <c r="B3170" s="61"/>
      <c r="C3170" s="61"/>
      <c r="D3170" s="23" t="str">
        <f aca="false">IF(助手收入!$R$213&lt;&gt;"","总 账 科 目","")</f>
        <v/>
      </c>
      <c r="E3170" s="23" t="str">
        <f aca="false">IF(助手收入!$R$213&lt;&gt;"","明 细 科 目","")</f>
        <v/>
      </c>
      <c r="F3170" s="65"/>
      <c r="G3170" s="66"/>
      <c r="H3170" s="63"/>
      <c r="I3170" s="64"/>
    </row>
    <row r="3171" customFormat="false" ht="23.25" hidden="false" customHeight="true" outlineLevel="0" collapsed="false">
      <c r="B3171" s="67" t="str">
        <f aca="false">IFERROR(INDEX(分录收入!$M:$M,MATCH($L3171,分录收入!$L:$L,0)),"")</f>
        <v/>
      </c>
      <c r="C3171" s="67"/>
      <c r="D3171" s="23" t="str">
        <f aca="false">IFERROR(INDEX(分录收入!$E:$E,MATCH($L3171,分录收入!$L:$L,0)),"")</f>
        <v/>
      </c>
      <c r="E3171" s="23" t="str">
        <f aca="false">IFERROR(INDEX(分录收入!$F:$F,MATCH($L3171,分录收入!$L:$L,0)),"")</f>
        <v/>
      </c>
      <c r="F3171" s="68" t="str">
        <f aca="false">IFERROR(INDEX(分录收入!$H:$H,MATCH($L3171,分录收入!$L:$L,0)),"")</f>
        <v/>
      </c>
      <c r="G3171" s="69" t="str">
        <f aca="false">IFERROR(INDEX(分录收入!$I:$I,MATCH($L3171,分录收入!$L:$L,0)),"")</f>
        <v/>
      </c>
      <c r="H3171" s="23"/>
      <c r="I3171" s="70"/>
      <c r="L3171" s="71" t="n">
        <f aca="false">IF(助手收入!$R$213="",-1,助手收入!$R$213*100+(助手收入!$S$213-1)*6+1)</f>
        <v>-1</v>
      </c>
    </row>
    <row r="3172" customFormat="false" ht="23.25" hidden="false" customHeight="true" outlineLevel="0" collapsed="false">
      <c r="B3172" s="67" t="str">
        <f aca="false">""</f>
        <v/>
      </c>
      <c r="C3172" s="67"/>
      <c r="D3172" s="23" t="str">
        <f aca="false">IFERROR(INDEX(分录收入!$E:$E,MATCH($L3172,分录收入!$L:$L,0)),"")</f>
        <v/>
      </c>
      <c r="E3172" s="23" t="str">
        <f aca="false">IFERROR(INDEX(分录收入!$F:$F,MATCH($L3172,分录收入!$L:$L,0)),"")</f>
        <v/>
      </c>
      <c r="F3172" s="68" t="str">
        <f aca="false">IFERROR(INDEX(分录收入!$H:$H,MATCH($L3172,分录收入!$L:$L,0)),"")</f>
        <v/>
      </c>
      <c r="G3172" s="69" t="str">
        <f aca="false">IFERROR(INDEX(分录收入!$I:$I,MATCH($L3172,分录收入!$L:$L,0)),"")</f>
        <v/>
      </c>
      <c r="H3172" s="23"/>
      <c r="I3172" s="70"/>
      <c r="L3172" s="71" t="n">
        <f aca="false">IF(助手收入!$R$213="",-1,助手收入!$R$213*100+(助手收入!$S$213-1)*6+2)</f>
        <v>-1</v>
      </c>
    </row>
    <row r="3173" customFormat="false" ht="23.25" hidden="false" customHeight="true" outlineLevel="0" collapsed="false">
      <c r="B3173" s="67" t="str">
        <f aca="false">""</f>
        <v/>
      </c>
      <c r="C3173" s="67"/>
      <c r="D3173" s="23" t="str">
        <f aca="false">IFERROR(INDEX(分录收入!$E:$E,MATCH($L3173,分录收入!$L:$L,0)),"")</f>
        <v/>
      </c>
      <c r="E3173" s="23" t="str">
        <f aca="false">IFERROR(INDEX(分录收入!$F:$F,MATCH($L3173,分录收入!$L:$L,0)),"")</f>
        <v/>
      </c>
      <c r="F3173" s="68" t="str">
        <f aca="false">IFERROR(INDEX(分录收入!$H:$H,MATCH($L3173,分录收入!$L:$L,0)),"")</f>
        <v/>
      </c>
      <c r="G3173" s="69" t="str">
        <f aca="false">IFERROR(INDEX(分录收入!$I:$I,MATCH($L3173,分录收入!$L:$L,0)),"")</f>
        <v/>
      </c>
      <c r="H3173" s="23"/>
      <c r="I3173" s="70"/>
      <c r="L3173" s="71" t="n">
        <f aca="false">IF(助手收入!$R$213="",-1,助手收入!$R$213*100+(助手收入!$S$213-1)*6+3)</f>
        <v>-1</v>
      </c>
    </row>
    <row r="3174" customFormat="false" ht="23.25" hidden="false" customHeight="true" outlineLevel="0" collapsed="false">
      <c r="B3174" s="67" t="str">
        <f aca="false">""</f>
        <v/>
      </c>
      <c r="C3174" s="67"/>
      <c r="D3174" s="23" t="str">
        <f aca="false">IFERROR(INDEX(分录收入!$E:$E,MATCH($L3174,分录收入!$L:$L,0)),"")</f>
        <v/>
      </c>
      <c r="E3174" s="23" t="str">
        <f aca="false">IFERROR(INDEX(分录收入!$F:$F,MATCH($L3174,分录收入!$L:$L,0)),"")</f>
        <v/>
      </c>
      <c r="F3174" s="68" t="str">
        <f aca="false">IFERROR(INDEX(分录收入!$H:$H,MATCH($L3174,分录收入!$L:$L,0)),"")</f>
        <v/>
      </c>
      <c r="G3174" s="69" t="str">
        <f aca="false">IFERROR(INDEX(分录收入!$I:$I,MATCH($L3174,分录收入!$L:$L,0)),"")</f>
        <v/>
      </c>
      <c r="H3174" s="23"/>
      <c r="I3174" s="70"/>
      <c r="L3174" s="71" t="n">
        <f aca="false">IF(助手收入!$R$213="",-1,助手收入!$R$213*100+(助手收入!$S$213-1)*6+4)</f>
        <v>-1</v>
      </c>
    </row>
    <row r="3175" customFormat="false" ht="23.25" hidden="false" customHeight="true" outlineLevel="0" collapsed="false">
      <c r="B3175" s="67" t="str">
        <f aca="false">""</f>
        <v/>
      </c>
      <c r="C3175" s="67"/>
      <c r="D3175" s="23" t="str">
        <f aca="false">IFERROR(INDEX(分录收入!$E:$E,MATCH($L3175,分录收入!$L:$L,0)),"")</f>
        <v/>
      </c>
      <c r="E3175" s="23" t="str">
        <f aca="false">IFERROR(INDEX(分录收入!$F:$F,MATCH($L3175,分录收入!$L:$L,0)),"")</f>
        <v/>
      </c>
      <c r="F3175" s="68" t="str">
        <f aca="false">IFERROR(INDEX(分录收入!$H:$H,MATCH($L3175,分录收入!$L:$L,0)),"")</f>
        <v/>
      </c>
      <c r="G3175" s="69" t="str">
        <f aca="false">IFERROR(INDEX(分录收入!$I:$I,MATCH($L3175,分录收入!$L:$L,0)),"")</f>
        <v/>
      </c>
      <c r="H3175" s="23"/>
      <c r="I3175" s="70"/>
      <c r="L3175" s="71" t="n">
        <f aca="false">IF(助手收入!$R$213="",-1,助手收入!$R$213*100+(助手收入!$S$213-1)*6+5)</f>
        <v>-1</v>
      </c>
    </row>
    <row r="3176" customFormat="false" ht="23.25" hidden="false" customHeight="true" outlineLevel="0" collapsed="false">
      <c r="B3176" s="67" t="str">
        <f aca="false">""</f>
        <v/>
      </c>
      <c r="C3176" s="67"/>
      <c r="D3176" s="23" t="str">
        <f aca="false">IFERROR(INDEX(分录收入!$E:$E,MATCH($L3176,分录收入!$L:$L,0)),"")</f>
        <v/>
      </c>
      <c r="E3176" s="23" t="str">
        <f aca="false">IFERROR(INDEX(分录收入!$F:$F,MATCH($L3176,分录收入!$L:$L,0)),"")</f>
        <v/>
      </c>
      <c r="F3176" s="68" t="str">
        <f aca="false">IFERROR(INDEX(分录收入!$H:$H,MATCH($L3176,分录收入!$L:$L,0)),"")</f>
        <v/>
      </c>
      <c r="G3176" s="69" t="str">
        <f aca="false">IFERROR(INDEX(分录收入!$I:$I,MATCH($L3176,分录收入!$L:$L,0)),"")</f>
        <v/>
      </c>
      <c r="H3176" s="23"/>
      <c r="I3176" s="70"/>
      <c r="L3176" s="71" t="n">
        <f aca="false">IF(助手收入!$R$213="",-1,助手收入!$R$213*100+(助手收入!$S$213-1)*6+6)</f>
        <v>-1</v>
      </c>
    </row>
    <row r="3177" customFormat="false" ht="23.25" hidden="false" customHeight="true" outlineLevel="0" collapsed="false">
      <c r="B3177" s="72" t="str">
        <f aca="false">IF(助手收入!$T$213=1,"合计：","")</f>
        <v/>
      </c>
      <c r="C3177" s="73" t="str">
        <f aca="false">IF(助手收入!$T$213=1,$F3177,"")</f>
        <v/>
      </c>
      <c r="D3177" s="74"/>
      <c r="E3177" s="74"/>
      <c r="F3177" s="75" t="str">
        <f aca="false">IF(助手收入!$T$213=1,INDEX(助手收入!$N$2:$N$66,助手收入!$R$213),"")</f>
        <v/>
      </c>
      <c r="G3177" s="76" t="str">
        <f aca="false">IF(助手收入!$T$213=1,INDEX(助手收入!$O$2:$O$66,助手收入!$R$213),"")</f>
        <v/>
      </c>
      <c r="H3177" s="74"/>
      <c r="I3177" s="77"/>
    </row>
    <row r="3178" customFormat="false" ht="6" hidden="false" customHeight="true" outlineLevel="0" collapsed="false"/>
    <row r="3179" customFormat="false" ht="13.5" hidden="false" customHeight="false" outlineLevel="0" collapsed="false">
      <c r="B3179" s="78" t="str">
        <f aca="false">IF(助手收入!$R$213&lt;&gt;"","会计主管：","")</f>
        <v/>
      </c>
      <c r="D3179" s="78" t="str">
        <f aca="false">IF(助手收入!$R$213&lt;&gt;"","会计：","")</f>
        <v/>
      </c>
      <c r="E3179" s="78" t="str">
        <f aca="false">IF(助手收入!$R$213&lt;&gt;"","出纳：","")</f>
        <v/>
      </c>
      <c r="F3179" s="78" t="str">
        <f aca="false">IF(助手收入!$R$213&lt;&gt;"","复核：","")</f>
        <v/>
      </c>
      <c r="G3179" s="78" t="str">
        <f aca="false">IF(助手收入!$R$213&lt;&gt;"","制单：","")</f>
        <v/>
      </c>
    </row>
    <row r="3180" customFormat="false" ht="3" hidden="false" customHeight="true" outlineLevel="0" collapsed="false"/>
    <row r="3181" customFormat="false" ht="19.5" hidden="false" customHeight="true" outlineLevel="0" collapsed="false">
      <c r="B3181" s="53" t="str">
        <f aca="false">IF(助手收入!$R$214&lt;&gt;"","记  账  凭  证","")</f>
        <v/>
      </c>
      <c r="C3181" s="53"/>
      <c r="D3181" s="53"/>
      <c r="E3181" s="53"/>
      <c r="F3181" s="53"/>
      <c r="G3181" s="53"/>
      <c r="H3181" s="53"/>
      <c r="I3181" s="53"/>
    </row>
    <row r="3182" customFormat="false" ht="3" hidden="false" customHeight="true" outlineLevel="0" collapsed="false"/>
    <row r="3183" customFormat="false" ht="15" hidden="false" customHeight="true" outlineLevel="0" collapsed="false">
      <c r="C3183" s="56" t="str">
        <f aca="false">IF(助手收入!$R$214&lt;&gt;"",INDEX(助手收入!$B$2:$B$66,助手收入!$R$214),"")</f>
        <v/>
      </c>
      <c r="D3183" s="57" t="str">
        <f aca="false">IF(助手收入!$R$214&lt;&gt;"",参数!$B$2,"")</f>
        <v/>
      </c>
      <c r="E3183" s="57"/>
      <c r="F3183" s="58" t="str">
        <f aca="false">IF(助手收入!$R$214&lt;&gt;"",INDEX(助手收入!$C$2:$C$66,助手收入!$R$214)&amp;"  字第 "&amp;IF(参数!$B$9="是",INDEX(助手收入!$P$2:$P$66,助手收入!$R$214),"　　　　")&amp;" 号"&amp;IF(INDEX(助手收入!$L$2:$L$66,助手收入!$R$214)&gt;1,"  (共"&amp;INDEX(助手收入!$L$2:$L$66,助手收入!$R$214)&amp;"页 第"&amp;助手收入!$S$214&amp;"页)",""),"")</f>
        <v/>
      </c>
      <c r="G3183" s="58"/>
      <c r="H3183" s="58"/>
      <c r="I3183" s="58"/>
      <c r="M3183" s="79" t="str">
        <f aca="false">IF(助手收入!$R$214="","",助手收入!$Q$214)</f>
        <v/>
      </c>
      <c r="N3183" s="80" t="str">
        <f aca="false">IF(助手收入!$R$214="","",INDEX(助手收入!$P$2:$P$66,助手收入!$R$214))</f>
        <v/>
      </c>
      <c r="O3183" s="55" t="str">
        <f aca="false">IF(助手收入!$R$214="","",INDEX(助手收入!$C$2:$C$66,助手收入!$R$214)&amp;"  字第 "&amp;INDEX(助手收入!$P$2:$P$66,助手收入!$R$214)&amp;" 号"&amp;IF(INDEX(助手收入!$L$2:$L$66,助手收入!$R$214)&gt;1,"  (共"&amp;INDEX(助手收入!$L$2:$L$66,助手收入!$R$214)&amp;"页 第"&amp;助手收入!$S$214&amp;"页)",""))</f>
        <v/>
      </c>
    </row>
    <row r="3184" customFormat="false" ht="12.75" hidden="false" customHeight="true" outlineLevel="0" collapsed="false">
      <c r="B3184" s="61" t="str">
        <f aca="false">IF(助手收入!$R$214&lt;&gt;"","摘　　要","")</f>
        <v/>
      </c>
      <c r="C3184" s="61"/>
      <c r="D3184" s="62" t="str">
        <f aca="false">IF(助手收入!$R$214&lt;&gt;"","科　　　　目","")</f>
        <v/>
      </c>
      <c r="E3184" s="62"/>
      <c r="F3184" s="61" t="str">
        <f aca="false">IF(助手收入!$R$214&lt;&gt;"","借 方 金 额","")</f>
        <v/>
      </c>
      <c r="G3184" s="62" t="str">
        <f aca="false">IF(助手收入!$R$214&lt;&gt;"","贷 方 金 额","")</f>
        <v/>
      </c>
      <c r="H3184" s="63" t="str">
        <f aca="false">IF(助手收入!$R$214&lt;&gt;"","√","")</f>
        <v/>
      </c>
      <c r="I3184" s="64" t="str">
        <f aca="false">IF(助手收入!$R$214&lt;&gt;"","附单据  张","")</f>
        <v/>
      </c>
    </row>
    <row r="3185" customFormat="false" ht="12.75" hidden="false" customHeight="true" outlineLevel="0" collapsed="false">
      <c r="B3185" s="61"/>
      <c r="C3185" s="61"/>
      <c r="D3185" s="23" t="str">
        <f aca="false">IF(助手收入!$R$214&lt;&gt;"","总 账 科 目","")</f>
        <v/>
      </c>
      <c r="E3185" s="23" t="str">
        <f aca="false">IF(助手收入!$R$214&lt;&gt;"","明 细 科 目","")</f>
        <v/>
      </c>
      <c r="F3185" s="65"/>
      <c r="G3185" s="66"/>
      <c r="H3185" s="63"/>
      <c r="I3185" s="64"/>
    </row>
    <row r="3186" customFormat="false" ht="23.25" hidden="false" customHeight="true" outlineLevel="0" collapsed="false">
      <c r="B3186" s="67" t="str">
        <f aca="false">IFERROR(INDEX(分录收入!$M:$M,MATCH($L3186,分录收入!$L:$L,0)),"")</f>
        <v/>
      </c>
      <c r="C3186" s="67"/>
      <c r="D3186" s="23" t="str">
        <f aca="false">IFERROR(INDEX(分录收入!$E:$E,MATCH($L3186,分录收入!$L:$L,0)),"")</f>
        <v/>
      </c>
      <c r="E3186" s="23" t="str">
        <f aca="false">IFERROR(INDEX(分录收入!$F:$F,MATCH($L3186,分录收入!$L:$L,0)),"")</f>
        <v/>
      </c>
      <c r="F3186" s="68" t="str">
        <f aca="false">IFERROR(INDEX(分录收入!$H:$H,MATCH($L3186,分录收入!$L:$L,0)),"")</f>
        <v/>
      </c>
      <c r="G3186" s="69" t="str">
        <f aca="false">IFERROR(INDEX(分录收入!$I:$I,MATCH($L3186,分录收入!$L:$L,0)),"")</f>
        <v/>
      </c>
      <c r="H3186" s="23"/>
      <c r="I3186" s="70"/>
      <c r="L3186" s="71" t="n">
        <f aca="false">IF(助手收入!$R$214="",-1,助手收入!$R$214*100+(助手收入!$S$214-1)*6+1)</f>
        <v>-1</v>
      </c>
    </row>
    <row r="3187" customFormat="false" ht="23.25" hidden="false" customHeight="true" outlineLevel="0" collapsed="false">
      <c r="B3187" s="67" t="str">
        <f aca="false">""</f>
        <v/>
      </c>
      <c r="C3187" s="67"/>
      <c r="D3187" s="23" t="str">
        <f aca="false">IFERROR(INDEX(分录收入!$E:$E,MATCH($L3187,分录收入!$L:$L,0)),"")</f>
        <v/>
      </c>
      <c r="E3187" s="23" t="str">
        <f aca="false">IFERROR(INDEX(分录收入!$F:$F,MATCH($L3187,分录收入!$L:$L,0)),"")</f>
        <v/>
      </c>
      <c r="F3187" s="68" t="str">
        <f aca="false">IFERROR(INDEX(分录收入!$H:$H,MATCH($L3187,分录收入!$L:$L,0)),"")</f>
        <v/>
      </c>
      <c r="G3187" s="69" t="str">
        <f aca="false">IFERROR(INDEX(分录收入!$I:$I,MATCH($L3187,分录收入!$L:$L,0)),"")</f>
        <v/>
      </c>
      <c r="H3187" s="23"/>
      <c r="I3187" s="70"/>
      <c r="L3187" s="71" t="n">
        <f aca="false">IF(助手收入!$R$214="",-1,助手收入!$R$214*100+(助手收入!$S$214-1)*6+2)</f>
        <v>-1</v>
      </c>
    </row>
    <row r="3188" customFormat="false" ht="23.25" hidden="false" customHeight="true" outlineLevel="0" collapsed="false">
      <c r="B3188" s="67" t="str">
        <f aca="false">""</f>
        <v/>
      </c>
      <c r="C3188" s="67"/>
      <c r="D3188" s="23" t="str">
        <f aca="false">IFERROR(INDEX(分录收入!$E:$E,MATCH($L3188,分录收入!$L:$L,0)),"")</f>
        <v/>
      </c>
      <c r="E3188" s="23" t="str">
        <f aca="false">IFERROR(INDEX(分录收入!$F:$F,MATCH($L3188,分录收入!$L:$L,0)),"")</f>
        <v/>
      </c>
      <c r="F3188" s="68" t="str">
        <f aca="false">IFERROR(INDEX(分录收入!$H:$H,MATCH($L3188,分录收入!$L:$L,0)),"")</f>
        <v/>
      </c>
      <c r="G3188" s="69" t="str">
        <f aca="false">IFERROR(INDEX(分录收入!$I:$I,MATCH($L3188,分录收入!$L:$L,0)),"")</f>
        <v/>
      </c>
      <c r="H3188" s="23"/>
      <c r="I3188" s="70"/>
      <c r="L3188" s="71" t="n">
        <f aca="false">IF(助手收入!$R$214="",-1,助手收入!$R$214*100+(助手收入!$S$214-1)*6+3)</f>
        <v>-1</v>
      </c>
    </row>
    <row r="3189" customFormat="false" ht="23.25" hidden="false" customHeight="true" outlineLevel="0" collapsed="false">
      <c r="B3189" s="67" t="str">
        <f aca="false">""</f>
        <v/>
      </c>
      <c r="C3189" s="67"/>
      <c r="D3189" s="23" t="str">
        <f aca="false">IFERROR(INDEX(分录收入!$E:$E,MATCH($L3189,分录收入!$L:$L,0)),"")</f>
        <v/>
      </c>
      <c r="E3189" s="23" t="str">
        <f aca="false">IFERROR(INDEX(分录收入!$F:$F,MATCH($L3189,分录收入!$L:$L,0)),"")</f>
        <v/>
      </c>
      <c r="F3189" s="68" t="str">
        <f aca="false">IFERROR(INDEX(分录收入!$H:$H,MATCH($L3189,分录收入!$L:$L,0)),"")</f>
        <v/>
      </c>
      <c r="G3189" s="69" t="str">
        <f aca="false">IFERROR(INDEX(分录收入!$I:$I,MATCH($L3189,分录收入!$L:$L,0)),"")</f>
        <v/>
      </c>
      <c r="H3189" s="23"/>
      <c r="I3189" s="70"/>
      <c r="L3189" s="71" t="n">
        <f aca="false">IF(助手收入!$R$214="",-1,助手收入!$R$214*100+(助手收入!$S$214-1)*6+4)</f>
        <v>-1</v>
      </c>
    </row>
    <row r="3190" customFormat="false" ht="23.25" hidden="false" customHeight="true" outlineLevel="0" collapsed="false">
      <c r="B3190" s="67" t="str">
        <f aca="false">""</f>
        <v/>
      </c>
      <c r="C3190" s="67"/>
      <c r="D3190" s="23" t="str">
        <f aca="false">IFERROR(INDEX(分录收入!$E:$E,MATCH($L3190,分录收入!$L:$L,0)),"")</f>
        <v/>
      </c>
      <c r="E3190" s="23" t="str">
        <f aca="false">IFERROR(INDEX(分录收入!$F:$F,MATCH($L3190,分录收入!$L:$L,0)),"")</f>
        <v/>
      </c>
      <c r="F3190" s="68" t="str">
        <f aca="false">IFERROR(INDEX(分录收入!$H:$H,MATCH($L3190,分录收入!$L:$L,0)),"")</f>
        <v/>
      </c>
      <c r="G3190" s="69" t="str">
        <f aca="false">IFERROR(INDEX(分录收入!$I:$I,MATCH($L3190,分录收入!$L:$L,0)),"")</f>
        <v/>
      </c>
      <c r="H3190" s="23"/>
      <c r="I3190" s="70"/>
      <c r="L3190" s="71" t="n">
        <f aca="false">IF(助手收入!$R$214="",-1,助手收入!$R$214*100+(助手收入!$S$214-1)*6+5)</f>
        <v>-1</v>
      </c>
    </row>
    <row r="3191" customFormat="false" ht="23.25" hidden="false" customHeight="true" outlineLevel="0" collapsed="false">
      <c r="B3191" s="67" t="str">
        <f aca="false">""</f>
        <v/>
      </c>
      <c r="C3191" s="67"/>
      <c r="D3191" s="23" t="str">
        <f aca="false">IFERROR(INDEX(分录收入!$E:$E,MATCH($L3191,分录收入!$L:$L,0)),"")</f>
        <v/>
      </c>
      <c r="E3191" s="23" t="str">
        <f aca="false">IFERROR(INDEX(分录收入!$F:$F,MATCH($L3191,分录收入!$L:$L,0)),"")</f>
        <v/>
      </c>
      <c r="F3191" s="68" t="str">
        <f aca="false">IFERROR(INDEX(分录收入!$H:$H,MATCH($L3191,分录收入!$L:$L,0)),"")</f>
        <v/>
      </c>
      <c r="G3191" s="69" t="str">
        <f aca="false">IFERROR(INDEX(分录收入!$I:$I,MATCH($L3191,分录收入!$L:$L,0)),"")</f>
        <v/>
      </c>
      <c r="H3191" s="23"/>
      <c r="I3191" s="70"/>
      <c r="L3191" s="71" t="n">
        <f aca="false">IF(助手收入!$R$214="",-1,助手收入!$R$214*100+(助手收入!$S$214-1)*6+6)</f>
        <v>-1</v>
      </c>
    </row>
    <row r="3192" customFormat="false" ht="23.25" hidden="false" customHeight="true" outlineLevel="0" collapsed="false">
      <c r="B3192" s="72" t="str">
        <f aca="false">IF(助手收入!$T$214=1,"合计：","")</f>
        <v/>
      </c>
      <c r="C3192" s="73" t="str">
        <f aca="false">IF(助手收入!$T$214=1,$F3192,"")</f>
        <v/>
      </c>
      <c r="D3192" s="74"/>
      <c r="E3192" s="74"/>
      <c r="F3192" s="75" t="str">
        <f aca="false">IF(助手收入!$T$214=1,INDEX(助手收入!$N$2:$N$66,助手收入!$R$214),"")</f>
        <v/>
      </c>
      <c r="G3192" s="76" t="str">
        <f aca="false">IF(助手收入!$T$214=1,INDEX(助手收入!$O$2:$O$66,助手收入!$R$214),"")</f>
        <v/>
      </c>
      <c r="H3192" s="74"/>
      <c r="I3192" s="77"/>
    </row>
    <row r="3193" customFormat="false" ht="6" hidden="false" customHeight="true" outlineLevel="0" collapsed="false"/>
    <row r="3194" customFormat="false" ht="13.5" hidden="false" customHeight="false" outlineLevel="0" collapsed="false">
      <c r="B3194" s="78" t="str">
        <f aca="false">IF(助手收入!$R$214&lt;&gt;"","会计主管：","")</f>
        <v/>
      </c>
      <c r="D3194" s="78" t="str">
        <f aca="false">IF(助手收入!$R$214&lt;&gt;"","会计：","")</f>
        <v/>
      </c>
      <c r="E3194" s="78" t="str">
        <f aca="false">IF(助手收入!$R$214&lt;&gt;"","出纳：","")</f>
        <v/>
      </c>
      <c r="F3194" s="78" t="str">
        <f aca="false">IF(助手收入!$R$214&lt;&gt;"","复核：","")</f>
        <v/>
      </c>
      <c r="G3194" s="78" t="str">
        <f aca="false">IF(助手收入!$R$214&lt;&gt;"","制单：","")</f>
        <v/>
      </c>
    </row>
    <row r="3195" customFormat="false" ht="3" hidden="false" customHeight="true" outlineLevel="0" collapsed="false"/>
    <row r="3196" customFormat="false" ht="19.5" hidden="false" customHeight="true" outlineLevel="0" collapsed="false">
      <c r="B3196" s="53" t="str">
        <f aca="false">IF(助手收入!$R$215&lt;&gt;"","记  账  凭  证","")</f>
        <v/>
      </c>
      <c r="C3196" s="53"/>
      <c r="D3196" s="53"/>
      <c r="E3196" s="53"/>
      <c r="F3196" s="53"/>
      <c r="G3196" s="53"/>
      <c r="H3196" s="53"/>
      <c r="I3196" s="53"/>
    </row>
    <row r="3197" customFormat="false" ht="3" hidden="false" customHeight="true" outlineLevel="0" collapsed="false"/>
    <row r="3198" customFormat="false" ht="15" hidden="false" customHeight="true" outlineLevel="0" collapsed="false">
      <c r="C3198" s="56" t="str">
        <f aca="false">IF(助手收入!$R$215&lt;&gt;"",INDEX(助手收入!$B$2:$B$66,助手收入!$R$215),"")</f>
        <v/>
      </c>
      <c r="D3198" s="57" t="str">
        <f aca="false">IF(助手收入!$R$215&lt;&gt;"",参数!$B$2,"")</f>
        <v/>
      </c>
      <c r="E3198" s="57"/>
      <c r="F3198" s="58" t="str">
        <f aca="false">IF(助手收入!$R$215&lt;&gt;"",INDEX(助手收入!$C$2:$C$66,助手收入!$R$215)&amp;"  字第 "&amp;IF(参数!$B$9="是",INDEX(助手收入!$P$2:$P$66,助手收入!$R$215),"　　　　")&amp;" 号"&amp;IF(INDEX(助手收入!$L$2:$L$66,助手收入!$R$215)&gt;1,"  (共"&amp;INDEX(助手收入!$L$2:$L$66,助手收入!$R$215)&amp;"页 第"&amp;助手收入!$S$215&amp;"页)",""),"")</f>
        <v/>
      </c>
      <c r="G3198" s="58"/>
      <c r="H3198" s="58"/>
      <c r="I3198" s="58"/>
      <c r="M3198" s="79" t="str">
        <f aca="false">IF(助手收入!$R$215="","",助手收入!$Q$215)</f>
        <v/>
      </c>
      <c r="N3198" s="80" t="str">
        <f aca="false">IF(助手收入!$R$215="","",INDEX(助手收入!$P$2:$P$66,助手收入!$R$215))</f>
        <v/>
      </c>
      <c r="O3198" s="55" t="str">
        <f aca="false">IF(助手收入!$R$215="","",INDEX(助手收入!$C$2:$C$66,助手收入!$R$215)&amp;"  字第 "&amp;INDEX(助手收入!$P$2:$P$66,助手收入!$R$215)&amp;" 号"&amp;IF(INDEX(助手收入!$L$2:$L$66,助手收入!$R$215)&gt;1,"  (共"&amp;INDEX(助手收入!$L$2:$L$66,助手收入!$R$215)&amp;"页 第"&amp;助手收入!$S$215&amp;"页)",""))</f>
        <v/>
      </c>
    </row>
    <row r="3199" customFormat="false" ht="12.75" hidden="false" customHeight="true" outlineLevel="0" collapsed="false">
      <c r="B3199" s="61" t="str">
        <f aca="false">IF(助手收入!$R$215&lt;&gt;"","摘　　要","")</f>
        <v/>
      </c>
      <c r="C3199" s="61"/>
      <c r="D3199" s="62" t="str">
        <f aca="false">IF(助手收入!$R$215&lt;&gt;"","科　　　　目","")</f>
        <v/>
      </c>
      <c r="E3199" s="62"/>
      <c r="F3199" s="61" t="str">
        <f aca="false">IF(助手收入!$R$215&lt;&gt;"","借 方 金 额","")</f>
        <v/>
      </c>
      <c r="G3199" s="62" t="str">
        <f aca="false">IF(助手收入!$R$215&lt;&gt;"","贷 方 金 额","")</f>
        <v/>
      </c>
      <c r="H3199" s="63" t="str">
        <f aca="false">IF(助手收入!$R$215&lt;&gt;"","√","")</f>
        <v/>
      </c>
      <c r="I3199" s="64" t="str">
        <f aca="false">IF(助手收入!$R$215&lt;&gt;"","附单据  张","")</f>
        <v/>
      </c>
    </row>
    <row r="3200" customFormat="false" ht="12.75" hidden="false" customHeight="true" outlineLevel="0" collapsed="false">
      <c r="B3200" s="61"/>
      <c r="C3200" s="61"/>
      <c r="D3200" s="23" t="str">
        <f aca="false">IF(助手收入!$R$215&lt;&gt;"","总 账 科 目","")</f>
        <v/>
      </c>
      <c r="E3200" s="23" t="str">
        <f aca="false">IF(助手收入!$R$215&lt;&gt;"","明 细 科 目","")</f>
        <v/>
      </c>
      <c r="F3200" s="65"/>
      <c r="G3200" s="66"/>
      <c r="H3200" s="63"/>
      <c r="I3200" s="64"/>
    </row>
    <row r="3201" customFormat="false" ht="23.25" hidden="false" customHeight="true" outlineLevel="0" collapsed="false">
      <c r="B3201" s="67" t="str">
        <f aca="false">IFERROR(INDEX(分录收入!$M:$M,MATCH($L3201,分录收入!$L:$L,0)),"")</f>
        <v/>
      </c>
      <c r="C3201" s="67"/>
      <c r="D3201" s="23" t="str">
        <f aca="false">IFERROR(INDEX(分录收入!$E:$E,MATCH($L3201,分录收入!$L:$L,0)),"")</f>
        <v/>
      </c>
      <c r="E3201" s="23" t="str">
        <f aca="false">IFERROR(INDEX(分录收入!$F:$F,MATCH($L3201,分录收入!$L:$L,0)),"")</f>
        <v/>
      </c>
      <c r="F3201" s="68" t="str">
        <f aca="false">IFERROR(INDEX(分录收入!$H:$H,MATCH($L3201,分录收入!$L:$L,0)),"")</f>
        <v/>
      </c>
      <c r="G3201" s="69" t="str">
        <f aca="false">IFERROR(INDEX(分录收入!$I:$I,MATCH($L3201,分录收入!$L:$L,0)),"")</f>
        <v/>
      </c>
      <c r="H3201" s="23"/>
      <c r="I3201" s="70"/>
      <c r="L3201" s="71" t="n">
        <f aca="false">IF(助手收入!$R$215="",-1,助手收入!$R$215*100+(助手收入!$S$215-1)*6+1)</f>
        <v>-1</v>
      </c>
    </row>
    <row r="3202" customFormat="false" ht="23.25" hidden="false" customHeight="true" outlineLevel="0" collapsed="false">
      <c r="B3202" s="67" t="str">
        <f aca="false">""</f>
        <v/>
      </c>
      <c r="C3202" s="67"/>
      <c r="D3202" s="23" t="str">
        <f aca="false">IFERROR(INDEX(分录收入!$E:$E,MATCH($L3202,分录收入!$L:$L,0)),"")</f>
        <v/>
      </c>
      <c r="E3202" s="23" t="str">
        <f aca="false">IFERROR(INDEX(分录收入!$F:$F,MATCH($L3202,分录收入!$L:$L,0)),"")</f>
        <v/>
      </c>
      <c r="F3202" s="68" t="str">
        <f aca="false">IFERROR(INDEX(分录收入!$H:$H,MATCH($L3202,分录收入!$L:$L,0)),"")</f>
        <v/>
      </c>
      <c r="G3202" s="69" t="str">
        <f aca="false">IFERROR(INDEX(分录收入!$I:$I,MATCH($L3202,分录收入!$L:$L,0)),"")</f>
        <v/>
      </c>
      <c r="H3202" s="23"/>
      <c r="I3202" s="70"/>
      <c r="L3202" s="71" t="n">
        <f aca="false">IF(助手收入!$R$215="",-1,助手收入!$R$215*100+(助手收入!$S$215-1)*6+2)</f>
        <v>-1</v>
      </c>
    </row>
    <row r="3203" customFormat="false" ht="23.25" hidden="false" customHeight="true" outlineLevel="0" collapsed="false">
      <c r="B3203" s="67" t="str">
        <f aca="false">""</f>
        <v/>
      </c>
      <c r="C3203" s="67"/>
      <c r="D3203" s="23" t="str">
        <f aca="false">IFERROR(INDEX(分录收入!$E:$E,MATCH($L3203,分录收入!$L:$L,0)),"")</f>
        <v/>
      </c>
      <c r="E3203" s="23" t="str">
        <f aca="false">IFERROR(INDEX(分录收入!$F:$F,MATCH($L3203,分录收入!$L:$L,0)),"")</f>
        <v/>
      </c>
      <c r="F3203" s="68" t="str">
        <f aca="false">IFERROR(INDEX(分录收入!$H:$H,MATCH($L3203,分录收入!$L:$L,0)),"")</f>
        <v/>
      </c>
      <c r="G3203" s="69" t="str">
        <f aca="false">IFERROR(INDEX(分录收入!$I:$I,MATCH($L3203,分录收入!$L:$L,0)),"")</f>
        <v/>
      </c>
      <c r="H3203" s="23"/>
      <c r="I3203" s="70"/>
      <c r="L3203" s="71" t="n">
        <f aca="false">IF(助手收入!$R$215="",-1,助手收入!$R$215*100+(助手收入!$S$215-1)*6+3)</f>
        <v>-1</v>
      </c>
    </row>
    <row r="3204" customFormat="false" ht="23.25" hidden="false" customHeight="true" outlineLevel="0" collapsed="false">
      <c r="B3204" s="67" t="str">
        <f aca="false">""</f>
        <v/>
      </c>
      <c r="C3204" s="67"/>
      <c r="D3204" s="23" t="str">
        <f aca="false">IFERROR(INDEX(分录收入!$E:$E,MATCH($L3204,分录收入!$L:$L,0)),"")</f>
        <v/>
      </c>
      <c r="E3204" s="23" t="str">
        <f aca="false">IFERROR(INDEX(分录收入!$F:$F,MATCH($L3204,分录收入!$L:$L,0)),"")</f>
        <v/>
      </c>
      <c r="F3204" s="68" t="str">
        <f aca="false">IFERROR(INDEX(分录收入!$H:$H,MATCH($L3204,分录收入!$L:$L,0)),"")</f>
        <v/>
      </c>
      <c r="G3204" s="69" t="str">
        <f aca="false">IFERROR(INDEX(分录收入!$I:$I,MATCH($L3204,分录收入!$L:$L,0)),"")</f>
        <v/>
      </c>
      <c r="H3204" s="23"/>
      <c r="I3204" s="70"/>
      <c r="L3204" s="71" t="n">
        <f aca="false">IF(助手收入!$R$215="",-1,助手收入!$R$215*100+(助手收入!$S$215-1)*6+4)</f>
        <v>-1</v>
      </c>
    </row>
    <row r="3205" customFormat="false" ht="23.25" hidden="false" customHeight="true" outlineLevel="0" collapsed="false">
      <c r="B3205" s="67" t="str">
        <f aca="false">""</f>
        <v/>
      </c>
      <c r="C3205" s="67"/>
      <c r="D3205" s="23" t="str">
        <f aca="false">IFERROR(INDEX(分录收入!$E:$E,MATCH($L3205,分录收入!$L:$L,0)),"")</f>
        <v/>
      </c>
      <c r="E3205" s="23" t="str">
        <f aca="false">IFERROR(INDEX(分录收入!$F:$F,MATCH($L3205,分录收入!$L:$L,0)),"")</f>
        <v/>
      </c>
      <c r="F3205" s="68" t="str">
        <f aca="false">IFERROR(INDEX(分录收入!$H:$H,MATCH($L3205,分录收入!$L:$L,0)),"")</f>
        <v/>
      </c>
      <c r="G3205" s="69" t="str">
        <f aca="false">IFERROR(INDEX(分录收入!$I:$I,MATCH($L3205,分录收入!$L:$L,0)),"")</f>
        <v/>
      </c>
      <c r="H3205" s="23"/>
      <c r="I3205" s="70"/>
      <c r="L3205" s="71" t="n">
        <f aca="false">IF(助手收入!$R$215="",-1,助手收入!$R$215*100+(助手收入!$S$215-1)*6+5)</f>
        <v>-1</v>
      </c>
    </row>
    <row r="3206" customFormat="false" ht="23.25" hidden="false" customHeight="true" outlineLevel="0" collapsed="false">
      <c r="B3206" s="67" t="str">
        <f aca="false">""</f>
        <v/>
      </c>
      <c r="C3206" s="67"/>
      <c r="D3206" s="23" t="str">
        <f aca="false">IFERROR(INDEX(分录收入!$E:$E,MATCH($L3206,分录收入!$L:$L,0)),"")</f>
        <v/>
      </c>
      <c r="E3206" s="23" t="str">
        <f aca="false">IFERROR(INDEX(分录收入!$F:$F,MATCH($L3206,分录收入!$L:$L,0)),"")</f>
        <v/>
      </c>
      <c r="F3206" s="68" t="str">
        <f aca="false">IFERROR(INDEX(分录收入!$H:$H,MATCH($L3206,分录收入!$L:$L,0)),"")</f>
        <v/>
      </c>
      <c r="G3206" s="69" t="str">
        <f aca="false">IFERROR(INDEX(分录收入!$I:$I,MATCH($L3206,分录收入!$L:$L,0)),"")</f>
        <v/>
      </c>
      <c r="H3206" s="23"/>
      <c r="I3206" s="70"/>
      <c r="L3206" s="71" t="n">
        <f aca="false">IF(助手收入!$R$215="",-1,助手收入!$R$215*100+(助手收入!$S$215-1)*6+6)</f>
        <v>-1</v>
      </c>
    </row>
    <row r="3207" customFormat="false" ht="23.25" hidden="false" customHeight="true" outlineLevel="0" collapsed="false">
      <c r="B3207" s="72" t="str">
        <f aca="false">IF(助手收入!$T$215=1,"合计：","")</f>
        <v/>
      </c>
      <c r="C3207" s="73" t="str">
        <f aca="false">IF(助手收入!$T$215=1,$F3207,"")</f>
        <v/>
      </c>
      <c r="D3207" s="74"/>
      <c r="E3207" s="74"/>
      <c r="F3207" s="75" t="str">
        <f aca="false">IF(助手收入!$T$215=1,INDEX(助手收入!$N$2:$N$66,助手收入!$R$215),"")</f>
        <v/>
      </c>
      <c r="G3207" s="76" t="str">
        <f aca="false">IF(助手收入!$T$215=1,INDEX(助手收入!$O$2:$O$66,助手收入!$R$215),"")</f>
        <v/>
      </c>
      <c r="H3207" s="74"/>
      <c r="I3207" s="77"/>
    </row>
    <row r="3208" customFormat="false" ht="6" hidden="false" customHeight="true" outlineLevel="0" collapsed="false"/>
    <row r="3209" customFormat="false" ht="13.5" hidden="false" customHeight="false" outlineLevel="0" collapsed="false">
      <c r="B3209" s="78" t="str">
        <f aca="false">IF(助手收入!$R$215&lt;&gt;"","会计主管：","")</f>
        <v/>
      </c>
      <c r="D3209" s="78" t="str">
        <f aca="false">IF(助手收入!$R$215&lt;&gt;"","会计：","")</f>
        <v/>
      </c>
      <c r="E3209" s="78" t="str">
        <f aca="false">IF(助手收入!$R$215&lt;&gt;"","出纳：","")</f>
        <v/>
      </c>
      <c r="F3209" s="78" t="str">
        <f aca="false">IF(助手收入!$R$215&lt;&gt;"","复核：","")</f>
        <v/>
      </c>
      <c r="G3209" s="78" t="str">
        <f aca="false">IF(助手收入!$R$215&lt;&gt;"","制单：","")</f>
        <v/>
      </c>
    </row>
    <row r="3210" customFormat="false" ht="3" hidden="false" customHeight="true" outlineLevel="0" collapsed="false"/>
    <row r="3211" customFormat="false" ht="19.5" hidden="false" customHeight="true" outlineLevel="0" collapsed="false">
      <c r="B3211" s="53" t="str">
        <f aca="false">IF(助手收入!$R$216&lt;&gt;"","记  账  凭  证","")</f>
        <v/>
      </c>
      <c r="C3211" s="53"/>
      <c r="D3211" s="53"/>
      <c r="E3211" s="53"/>
      <c r="F3211" s="53"/>
      <c r="G3211" s="53"/>
      <c r="H3211" s="53"/>
      <c r="I3211" s="53"/>
    </row>
    <row r="3212" customFormat="false" ht="3" hidden="false" customHeight="true" outlineLevel="0" collapsed="false"/>
    <row r="3213" customFormat="false" ht="15" hidden="false" customHeight="true" outlineLevel="0" collapsed="false">
      <c r="C3213" s="56" t="str">
        <f aca="false">IF(助手收入!$R$216&lt;&gt;"",INDEX(助手收入!$B$2:$B$66,助手收入!$R$216),"")</f>
        <v/>
      </c>
      <c r="D3213" s="57" t="str">
        <f aca="false">IF(助手收入!$R$216&lt;&gt;"",参数!$B$2,"")</f>
        <v/>
      </c>
      <c r="E3213" s="57"/>
      <c r="F3213" s="58" t="str">
        <f aca="false">IF(助手收入!$R$216&lt;&gt;"",INDEX(助手收入!$C$2:$C$66,助手收入!$R$216)&amp;"  字第 "&amp;IF(参数!$B$9="是",INDEX(助手收入!$P$2:$P$66,助手收入!$R$216),"　　　　")&amp;" 号"&amp;IF(INDEX(助手收入!$L$2:$L$66,助手收入!$R$216)&gt;1,"  (共"&amp;INDEX(助手收入!$L$2:$L$66,助手收入!$R$216)&amp;"页 第"&amp;助手收入!$S$216&amp;"页)",""),"")</f>
        <v/>
      </c>
      <c r="G3213" s="58"/>
      <c r="H3213" s="58"/>
      <c r="I3213" s="58"/>
      <c r="M3213" s="79" t="str">
        <f aca="false">IF(助手收入!$R$216="","",助手收入!$Q$216)</f>
        <v/>
      </c>
      <c r="N3213" s="80" t="str">
        <f aca="false">IF(助手收入!$R$216="","",INDEX(助手收入!$P$2:$P$66,助手收入!$R$216))</f>
        <v/>
      </c>
      <c r="O3213" s="55" t="str">
        <f aca="false">IF(助手收入!$R$216="","",INDEX(助手收入!$C$2:$C$66,助手收入!$R$216)&amp;"  字第 "&amp;INDEX(助手收入!$P$2:$P$66,助手收入!$R$216)&amp;" 号"&amp;IF(INDEX(助手收入!$L$2:$L$66,助手收入!$R$216)&gt;1,"  (共"&amp;INDEX(助手收入!$L$2:$L$66,助手收入!$R$216)&amp;"页 第"&amp;助手收入!$S$216&amp;"页)",""))</f>
        <v/>
      </c>
    </row>
    <row r="3214" customFormat="false" ht="12.75" hidden="false" customHeight="true" outlineLevel="0" collapsed="false">
      <c r="B3214" s="61" t="str">
        <f aca="false">IF(助手收入!$R$216&lt;&gt;"","摘　　要","")</f>
        <v/>
      </c>
      <c r="C3214" s="61"/>
      <c r="D3214" s="62" t="str">
        <f aca="false">IF(助手收入!$R$216&lt;&gt;"","科　　　　目","")</f>
        <v/>
      </c>
      <c r="E3214" s="62"/>
      <c r="F3214" s="61" t="str">
        <f aca="false">IF(助手收入!$R$216&lt;&gt;"","借 方 金 额","")</f>
        <v/>
      </c>
      <c r="G3214" s="62" t="str">
        <f aca="false">IF(助手收入!$R$216&lt;&gt;"","贷 方 金 额","")</f>
        <v/>
      </c>
      <c r="H3214" s="63" t="str">
        <f aca="false">IF(助手收入!$R$216&lt;&gt;"","√","")</f>
        <v/>
      </c>
      <c r="I3214" s="64" t="str">
        <f aca="false">IF(助手收入!$R$216&lt;&gt;"","附单据  张","")</f>
        <v/>
      </c>
    </row>
    <row r="3215" customFormat="false" ht="12.75" hidden="false" customHeight="true" outlineLevel="0" collapsed="false">
      <c r="B3215" s="61"/>
      <c r="C3215" s="61"/>
      <c r="D3215" s="23" t="str">
        <f aca="false">IF(助手收入!$R$216&lt;&gt;"","总 账 科 目","")</f>
        <v/>
      </c>
      <c r="E3215" s="23" t="str">
        <f aca="false">IF(助手收入!$R$216&lt;&gt;"","明 细 科 目","")</f>
        <v/>
      </c>
      <c r="F3215" s="65"/>
      <c r="G3215" s="66"/>
      <c r="H3215" s="63"/>
      <c r="I3215" s="64"/>
    </row>
    <row r="3216" customFormat="false" ht="23.25" hidden="false" customHeight="true" outlineLevel="0" collapsed="false">
      <c r="B3216" s="67" t="str">
        <f aca="false">IFERROR(INDEX(分录收入!$M:$M,MATCH($L3216,分录收入!$L:$L,0)),"")</f>
        <v/>
      </c>
      <c r="C3216" s="67"/>
      <c r="D3216" s="23" t="str">
        <f aca="false">IFERROR(INDEX(分录收入!$E:$E,MATCH($L3216,分录收入!$L:$L,0)),"")</f>
        <v/>
      </c>
      <c r="E3216" s="23" t="str">
        <f aca="false">IFERROR(INDEX(分录收入!$F:$F,MATCH($L3216,分录收入!$L:$L,0)),"")</f>
        <v/>
      </c>
      <c r="F3216" s="68" t="str">
        <f aca="false">IFERROR(INDEX(分录收入!$H:$H,MATCH($L3216,分录收入!$L:$L,0)),"")</f>
        <v/>
      </c>
      <c r="G3216" s="69" t="str">
        <f aca="false">IFERROR(INDEX(分录收入!$I:$I,MATCH($L3216,分录收入!$L:$L,0)),"")</f>
        <v/>
      </c>
      <c r="H3216" s="23"/>
      <c r="I3216" s="70"/>
      <c r="L3216" s="71" t="n">
        <f aca="false">IF(助手收入!$R$216="",-1,助手收入!$R$216*100+(助手收入!$S$216-1)*6+1)</f>
        <v>-1</v>
      </c>
    </row>
    <row r="3217" customFormat="false" ht="23.25" hidden="false" customHeight="true" outlineLevel="0" collapsed="false">
      <c r="B3217" s="67" t="str">
        <f aca="false">""</f>
        <v/>
      </c>
      <c r="C3217" s="67"/>
      <c r="D3217" s="23" t="str">
        <f aca="false">IFERROR(INDEX(分录收入!$E:$E,MATCH($L3217,分录收入!$L:$L,0)),"")</f>
        <v/>
      </c>
      <c r="E3217" s="23" t="str">
        <f aca="false">IFERROR(INDEX(分录收入!$F:$F,MATCH($L3217,分录收入!$L:$L,0)),"")</f>
        <v/>
      </c>
      <c r="F3217" s="68" t="str">
        <f aca="false">IFERROR(INDEX(分录收入!$H:$H,MATCH($L3217,分录收入!$L:$L,0)),"")</f>
        <v/>
      </c>
      <c r="G3217" s="69" t="str">
        <f aca="false">IFERROR(INDEX(分录收入!$I:$I,MATCH($L3217,分录收入!$L:$L,0)),"")</f>
        <v/>
      </c>
      <c r="H3217" s="23"/>
      <c r="I3217" s="70"/>
      <c r="L3217" s="71" t="n">
        <f aca="false">IF(助手收入!$R$216="",-1,助手收入!$R$216*100+(助手收入!$S$216-1)*6+2)</f>
        <v>-1</v>
      </c>
    </row>
    <row r="3218" customFormat="false" ht="23.25" hidden="false" customHeight="true" outlineLevel="0" collapsed="false">
      <c r="B3218" s="67" t="str">
        <f aca="false">""</f>
        <v/>
      </c>
      <c r="C3218" s="67"/>
      <c r="D3218" s="23" t="str">
        <f aca="false">IFERROR(INDEX(分录收入!$E:$E,MATCH($L3218,分录收入!$L:$L,0)),"")</f>
        <v/>
      </c>
      <c r="E3218" s="23" t="str">
        <f aca="false">IFERROR(INDEX(分录收入!$F:$F,MATCH($L3218,分录收入!$L:$L,0)),"")</f>
        <v/>
      </c>
      <c r="F3218" s="68" t="str">
        <f aca="false">IFERROR(INDEX(分录收入!$H:$H,MATCH($L3218,分录收入!$L:$L,0)),"")</f>
        <v/>
      </c>
      <c r="G3218" s="69" t="str">
        <f aca="false">IFERROR(INDEX(分录收入!$I:$I,MATCH($L3218,分录收入!$L:$L,0)),"")</f>
        <v/>
      </c>
      <c r="H3218" s="23"/>
      <c r="I3218" s="70"/>
      <c r="L3218" s="71" t="n">
        <f aca="false">IF(助手收入!$R$216="",-1,助手收入!$R$216*100+(助手收入!$S$216-1)*6+3)</f>
        <v>-1</v>
      </c>
    </row>
    <row r="3219" customFormat="false" ht="23.25" hidden="false" customHeight="true" outlineLevel="0" collapsed="false">
      <c r="B3219" s="67" t="str">
        <f aca="false">""</f>
        <v/>
      </c>
      <c r="C3219" s="67"/>
      <c r="D3219" s="23" t="str">
        <f aca="false">IFERROR(INDEX(分录收入!$E:$E,MATCH($L3219,分录收入!$L:$L,0)),"")</f>
        <v/>
      </c>
      <c r="E3219" s="23" t="str">
        <f aca="false">IFERROR(INDEX(分录收入!$F:$F,MATCH($L3219,分录收入!$L:$L,0)),"")</f>
        <v/>
      </c>
      <c r="F3219" s="68" t="str">
        <f aca="false">IFERROR(INDEX(分录收入!$H:$H,MATCH($L3219,分录收入!$L:$L,0)),"")</f>
        <v/>
      </c>
      <c r="G3219" s="69" t="str">
        <f aca="false">IFERROR(INDEX(分录收入!$I:$I,MATCH($L3219,分录收入!$L:$L,0)),"")</f>
        <v/>
      </c>
      <c r="H3219" s="23"/>
      <c r="I3219" s="70"/>
      <c r="L3219" s="71" t="n">
        <f aca="false">IF(助手收入!$R$216="",-1,助手收入!$R$216*100+(助手收入!$S$216-1)*6+4)</f>
        <v>-1</v>
      </c>
    </row>
    <row r="3220" customFormat="false" ht="23.25" hidden="false" customHeight="true" outlineLevel="0" collapsed="false">
      <c r="B3220" s="67" t="str">
        <f aca="false">""</f>
        <v/>
      </c>
      <c r="C3220" s="67"/>
      <c r="D3220" s="23" t="str">
        <f aca="false">IFERROR(INDEX(分录收入!$E:$E,MATCH($L3220,分录收入!$L:$L,0)),"")</f>
        <v/>
      </c>
      <c r="E3220" s="23" t="str">
        <f aca="false">IFERROR(INDEX(分录收入!$F:$F,MATCH($L3220,分录收入!$L:$L,0)),"")</f>
        <v/>
      </c>
      <c r="F3220" s="68" t="str">
        <f aca="false">IFERROR(INDEX(分录收入!$H:$H,MATCH($L3220,分录收入!$L:$L,0)),"")</f>
        <v/>
      </c>
      <c r="G3220" s="69" t="str">
        <f aca="false">IFERROR(INDEX(分录收入!$I:$I,MATCH($L3220,分录收入!$L:$L,0)),"")</f>
        <v/>
      </c>
      <c r="H3220" s="23"/>
      <c r="I3220" s="70"/>
      <c r="L3220" s="71" t="n">
        <f aca="false">IF(助手收入!$R$216="",-1,助手收入!$R$216*100+(助手收入!$S$216-1)*6+5)</f>
        <v>-1</v>
      </c>
    </row>
    <row r="3221" customFormat="false" ht="23.25" hidden="false" customHeight="true" outlineLevel="0" collapsed="false">
      <c r="B3221" s="67" t="str">
        <f aca="false">""</f>
        <v/>
      </c>
      <c r="C3221" s="67"/>
      <c r="D3221" s="23" t="str">
        <f aca="false">IFERROR(INDEX(分录收入!$E:$E,MATCH($L3221,分录收入!$L:$L,0)),"")</f>
        <v/>
      </c>
      <c r="E3221" s="23" t="str">
        <f aca="false">IFERROR(INDEX(分录收入!$F:$F,MATCH($L3221,分录收入!$L:$L,0)),"")</f>
        <v/>
      </c>
      <c r="F3221" s="68" t="str">
        <f aca="false">IFERROR(INDEX(分录收入!$H:$H,MATCH($L3221,分录收入!$L:$L,0)),"")</f>
        <v/>
      </c>
      <c r="G3221" s="69" t="str">
        <f aca="false">IFERROR(INDEX(分录收入!$I:$I,MATCH($L3221,分录收入!$L:$L,0)),"")</f>
        <v/>
      </c>
      <c r="H3221" s="23"/>
      <c r="I3221" s="70"/>
      <c r="L3221" s="71" t="n">
        <f aca="false">IF(助手收入!$R$216="",-1,助手收入!$R$216*100+(助手收入!$S$216-1)*6+6)</f>
        <v>-1</v>
      </c>
    </row>
    <row r="3222" customFormat="false" ht="23.25" hidden="false" customHeight="true" outlineLevel="0" collapsed="false">
      <c r="B3222" s="72" t="str">
        <f aca="false">IF(助手收入!$T$216=1,"合计：","")</f>
        <v/>
      </c>
      <c r="C3222" s="73" t="str">
        <f aca="false">IF(助手收入!$T$216=1,$F3222,"")</f>
        <v/>
      </c>
      <c r="D3222" s="74"/>
      <c r="E3222" s="74"/>
      <c r="F3222" s="75" t="str">
        <f aca="false">IF(助手收入!$T$216=1,INDEX(助手收入!$N$2:$N$66,助手收入!$R$216),"")</f>
        <v/>
      </c>
      <c r="G3222" s="76" t="str">
        <f aca="false">IF(助手收入!$T$216=1,INDEX(助手收入!$O$2:$O$66,助手收入!$R$216),"")</f>
        <v/>
      </c>
      <c r="H3222" s="74"/>
      <c r="I3222" s="77"/>
    </row>
    <row r="3223" customFormat="false" ht="6" hidden="false" customHeight="true" outlineLevel="0" collapsed="false"/>
    <row r="3224" customFormat="false" ht="13.5" hidden="false" customHeight="false" outlineLevel="0" collapsed="false">
      <c r="B3224" s="78" t="str">
        <f aca="false">IF(助手收入!$R$216&lt;&gt;"","会计主管：","")</f>
        <v/>
      </c>
      <c r="D3224" s="78" t="str">
        <f aca="false">IF(助手收入!$R$216&lt;&gt;"","会计：","")</f>
        <v/>
      </c>
      <c r="E3224" s="78" t="str">
        <f aca="false">IF(助手收入!$R$216&lt;&gt;"","出纳：","")</f>
        <v/>
      </c>
      <c r="F3224" s="78" t="str">
        <f aca="false">IF(助手收入!$R$216&lt;&gt;"","复核：","")</f>
        <v/>
      </c>
      <c r="G3224" s="78" t="str">
        <f aca="false">IF(助手收入!$R$216&lt;&gt;"","制单：","")</f>
        <v/>
      </c>
    </row>
    <row r="3225" customFormat="false" ht="3" hidden="false" customHeight="true" outlineLevel="0" collapsed="false"/>
    <row r="3226" customFormat="false" ht="19.5" hidden="false" customHeight="true" outlineLevel="0" collapsed="false">
      <c r="B3226" s="53" t="str">
        <f aca="false">IF(助手收入!$R$217&lt;&gt;"","记  账  凭  证","")</f>
        <v/>
      </c>
      <c r="C3226" s="53"/>
      <c r="D3226" s="53"/>
      <c r="E3226" s="53"/>
      <c r="F3226" s="53"/>
      <c r="G3226" s="53"/>
      <c r="H3226" s="53"/>
      <c r="I3226" s="53"/>
    </row>
    <row r="3227" customFormat="false" ht="3" hidden="false" customHeight="true" outlineLevel="0" collapsed="false"/>
    <row r="3228" customFormat="false" ht="15" hidden="false" customHeight="true" outlineLevel="0" collapsed="false">
      <c r="C3228" s="56" t="str">
        <f aca="false">IF(助手收入!$R$217&lt;&gt;"",INDEX(助手收入!$B$2:$B$66,助手收入!$R$217),"")</f>
        <v/>
      </c>
      <c r="D3228" s="57" t="str">
        <f aca="false">IF(助手收入!$R$217&lt;&gt;"",参数!$B$2,"")</f>
        <v/>
      </c>
      <c r="E3228" s="57"/>
      <c r="F3228" s="58" t="str">
        <f aca="false">IF(助手收入!$R$217&lt;&gt;"",INDEX(助手收入!$C$2:$C$66,助手收入!$R$217)&amp;"  字第 "&amp;IF(参数!$B$9="是",INDEX(助手收入!$P$2:$P$66,助手收入!$R$217),"　　　　")&amp;" 号"&amp;IF(INDEX(助手收入!$L$2:$L$66,助手收入!$R$217)&gt;1,"  (共"&amp;INDEX(助手收入!$L$2:$L$66,助手收入!$R$217)&amp;"页 第"&amp;助手收入!$S$217&amp;"页)",""),"")</f>
        <v/>
      </c>
      <c r="G3228" s="58"/>
      <c r="H3228" s="58"/>
      <c r="I3228" s="58"/>
      <c r="M3228" s="79" t="str">
        <f aca="false">IF(助手收入!$R$217="","",助手收入!$Q$217)</f>
        <v/>
      </c>
      <c r="N3228" s="80" t="str">
        <f aca="false">IF(助手收入!$R$217="","",INDEX(助手收入!$P$2:$P$66,助手收入!$R$217))</f>
        <v/>
      </c>
      <c r="O3228" s="55" t="str">
        <f aca="false">IF(助手收入!$R$217="","",INDEX(助手收入!$C$2:$C$66,助手收入!$R$217)&amp;"  字第 "&amp;INDEX(助手收入!$P$2:$P$66,助手收入!$R$217)&amp;" 号"&amp;IF(INDEX(助手收入!$L$2:$L$66,助手收入!$R$217)&gt;1,"  (共"&amp;INDEX(助手收入!$L$2:$L$66,助手收入!$R$217)&amp;"页 第"&amp;助手收入!$S$217&amp;"页)",""))</f>
        <v/>
      </c>
    </row>
    <row r="3229" customFormat="false" ht="12.75" hidden="false" customHeight="true" outlineLevel="0" collapsed="false">
      <c r="B3229" s="61" t="str">
        <f aca="false">IF(助手收入!$R$217&lt;&gt;"","摘　　要","")</f>
        <v/>
      </c>
      <c r="C3229" s="61"/>
      <c r="D3229" s="62" t="str">
        <f aca="false">IF(助手收入!$R$217&lt;&gt;"","科　　　　目","")</f>
        <v/>
      </c>
      <c r="E3229" s="62"/>
      <c r="F3229" s="61" t="str">
        <f aca="false">IF(助手收入!$R$217&lt;&gt;"","借 方 金 额","")</f>
        <v/>
      </c>
      <c r="G3229" s="62" t="str">
        <f aca="false">IF(助手收入!$R$217&lt;&gt;"","贷 方 金 额","")</f>
        <v/>
      </c>
      <c r="H3229" s="63" t="str">
        <f aca="false">IF(助手收入!$R$217&lt;&gt;"","√","")</f>
        <v/>
      </c>
      <c r="I3229" s="64" t="str">
        <f aca="false">IF(助手收入!$R$217&lt;&gt;"","附单据  张","")</f>
        <v/>
      </c>
    </row>
    <row r="3230" customFormat="false" ht="12.75" hidden="false" customHeight="true" outlineLevel="0" collapsed="false">
      <c r="B3230" s="61"/>
      <c r="C3230" s="61"/>
      <c r="D3230" s="23" t="str">
        <f aca="false">IF(助手收入!$R$217&lt;&gt;"","总 账 科 目","")</f>
        <v/>
      </c>
      <c r="E3230" s="23" t="str">
        <f aca="false">IF(助手收入!$R$217&lt;&gt;"","明 细 科 目","")</f>
        <v/>
      </c>
      <c r="F3230" s="65"/>
      <c r="G3230" s="66"/>
      <c r="H3230" s="63"/>
      <c r="I3230" s="64"/>
    </row>
    <row r="3231" customFormat="false" ht="23.25" hidden="false" customHeight="true" outlineLevel="0" collapsed="false">
      <c r="B3231" s="67" t="str">
        <f aca="false">IFERROR(INDEX(分录收入!$M:$M,MATCH($L3231,分录收入!$L:$L,0)),"")</f>
        <v/>
      </c>
      <c r="C3231" s="67"/>
      <c r="D3231" s="23" t="str">
        <f aca="false">IFERROR(INDEX(分录收入!$E:$E,MATCH($L3231,分录收入!$L:$L,0)),"")</f>
        <v/>
      </c>
      <c r="E3231" s="23" t="str">
        <f aca="false">IFERROR(INDEX(分录收入!$F:$F,MATCH($L3231,分录收入!$L:$L,0)),"")</f>
        <v/>
      </c>
      <c r="F3231" s="68" t="str">
        <f aca="false">IFERROR(INDEX(分录收入!$H:$H,MATCH($L3231,分录收入!$L:$L,0)),"")</f>
        <v/>
      </c>
      <c r="G3231" s="69" t="str">
        <f aca="false">IFERROR(INDEX(分录收入!$I:$I,MATCH($L3231,分录收入!$L:$L,0)),"")</f>
        <v/>
      </c>
      <c r="H3231" s="23"/>
      <c r="I3231" s="70"/>
      <c r="L3231" s="71" t="n">
        <f aca="false">IF(助手收入!$R$217="",-1,助手收入!$R$217*100+(助手收入!$S$217-1)*6+1)</f>
        <v>-1</v>
      </c>
    </row>
    <row r="3232" customFormat="false" ht="23.25" hidden="false" customHeight="true" outlineLevel="0" collapsed="false">
      <c r="B3232" s="67" t="str">
        <f aca="false">""</f>
        <v/>
      </c>
      <c r="C3232" s="67"/>
      <c r="D3232" s="23" t="str">
        <f aca="false">IFERROR(INDEX(分录收入!$E:$E,MATCH($L3232,分录收入!$L:$L,0)),"")</f>
        <v/>
      </c>
      <c r="E3232" s="23" t="str">
        <f aca="false">IFERROR(INDEX(分录收入!$F:$F,MATCH($L3232,分录收入!$L:$L,0)),"")</f>
        <v/>
      </c>
      <c r="F3232" s="68" t="str">
        <f aca="false">IFERROR(INDEX(分录收入!$H:$H,MATCH($L3232,分录收入!$L:$L,0)),"")</f>
        <v/>
      </c>
      <c r="G3232" s="69" t="str">
        <f aca="false">IFERROR(INDEX(分录收入!$I:$I,MATCH($L3232,分录收入!$L:$L,0)),"")</f>
        <v/>
      </c>
      <c r="H3232" s="23"/>
      <c r="I3232" s="70"/>
      <c r="L3232" s="71" t="n">
        <f aca="false">IF(助手收入!$R$217="",-1,助手收入!$R$217*100+(助手收入!$S$217-1)*6+2)</f>
        <v>-1</v>
      </c>
    </row>
    <row r="3233" customFormat="false" ht="23.25" hidden="false" customHeight="true" outlineLevel="0" collapsed="false">
      <c r="B3233" s="67" t="str">
        <f aca="false">""</f>
        <v/>
      </c>
      <c r="C3233" s="67"/>
      <c r="D3233" s="23" t="str">
        <f aca="false">IFERROR(INDEX(分录收入!$E:$E,MATCH($L3233,分录收入!$L:$L,0)),"")</f>
        <v/>
      </c>
      <c r="E3233" s="23" t="str">
        <f aca="false">IFERROR(INDEX(分录收入!$F:$F,MATCH($L3233,分录收入!$L:$L,0)),"")</f>
        <v/>
      </c>
      <c r="F3233" s="68" t="str">
        <f aca="false">IFERROR(INDEX(分录收入!$H:$H,MATCH($L3233,分录收入!$L:$L,0)),"")</f>
        <v/>
      </c>
      <c r="G3233" s="69" t="str">
        <f aca="false">IFERROR(INDEX(分录收入!$I:$I,MATCH($L3233,分录收入!$L:$L,0)),"")</f>
        <v/>
      </c>
      <c r="H3233" s="23"/>
      <c r="I3233" s="70"/>
      <c r="L3233" s="71" t="n">
        <f aca="false">IF(助手收入!$R$217="",-1,助手收入!$R$217*100+(助手收入!$S$217-1)*6+3)</f>
        <v>-1</v>
      </c>
    </row>
    <row r="3234" customFormat="false" ht="23.25" hidden="false" customHeight="true" outlineLevel="0" collapsed="false">
      <c r="B3234" s="67" t="str">
        <f aca="false">""</f>
        <v/>
      </c>
      <c r="C3234" s="67"/>
      <c r="D3234" s="23" t="str">
        <f aca="false">IFERROR(INDEX(分录收入!$E:$E,MATCH($L3234,分录收入!$L:$L,0)),"")</f>
        <v/>
      </c>
      <c r="E3234" s="23" t="str">
        <f aca="false">IFERROR(INDEX(分录收入!$F:$F,MATCH($L3234,分录收入!$L:$L,0)),"")</f>
        <v/>
      </c>
      <c r="F3234" s="68" t="str">
        <f aca="false">IFERROR(INDEX(分录收入!$H:$H,MATCH($L3234,分录收入!$L:$L,0)),"")</f>
        <v/>
      </c>
      <c r="G3234" s="69" t="str">
        <f aca="false">IFERROR(INDEX(分录收入!$I:$I,MATCH($L3234,分录收入!$L:$L,0)),"")</f>
        <v/>
      </c>
      <c r="H3234" s="23"/>
      <c r="I3234" s="70"/>
      <c r="L3234" s="71" t="n">
        <f aca="false">IF(助手收入!$R$217="",-1,助手收入!$R$217*100+(助手收入!$S$217-1)*6+4)</f>
        <v>-1</v>
      </c>
    </row>
    <row r="3235" customFormat="false" ht="23.25" hidden="false" customHeight="true" outlineLevel="0" collapsed="false">
      <c r="B3235" s="67" t="str">
        <f aca="false">""</f>
        <v/>
      </c>
      <c r="C3235" s="67"/>
      <c r="D3235" s="23" t="str">
        <f aca="false">IFERROR(INDEX(分录收入!$E:$E,MATCH($L3235,分录收入!$L:$L,0)),"")</f>
        <v/>
      </c>
      <c r="E3235" s="23" t="str">
        <f aca="false">IFERROR(INDEX(分录收入!$F:$F,MATCH($L3235,分录收入!$L:$L,0)),"")</f>
        <v/>
      </c>
      <c r="F3235" s="68" t="str">
        <f aca="false">IFERROR(INDEX(分录收入!$H:$H,MATCH($L3235,分录收入!$L:$L,0)),"")</f>
        <v/>
      </c>
      <c r="G3235" s="69" t="str">
        <f aca="false">IFERROR(INDEX(分录收入!$I:$I,MATCH($L3235,分录收入!$L:$L,0)),"")</f>
        <v/>
      </c>
      <c r="H3235" s="23"/>
      <c r="I3235" s="70"/>
      <c r="L3235" s="71" t="n">
        <f aca="false">IF(助手收入!$R$217="",-1,助手收入!$R$217*100+(助手收入!$S$217-1)*6+5)</f>
        <v>-1</v>
      </c>
    </row>
    <row r="3236" customFormat="false" ht="23.25" hidden="false" customHeight="true" outlineLevel="0" collapsed="false">
      <c r="B3236" s="67" t="str">
        <f aca="false">""</f>
        <v/>
      </c>
      <c r="C3236" s="67"/>
      <c r="D3236" s="23" t="str">
        <f aca="false">IFERROR(INDEX(分录收入!$E:$E,MATCH($L3236,分录收入!$L:$L,0)),"")</f>
        <v/>
      </c>
      <c r="E3236" s="23" t="str">
        <f aca="false">IFERROR(INDEX(分录收入!$F:$F,MATCH($L3236,分录收入!$L:$L,0)),"")</f>
        <v/>
      </c>
      <c r="F3236" s="68" t="str">
        <f aca="false">IFERROR(INDEX(分录收入!$H:$H,MATCH($L3236,分录收入!$L:$L,0)),"")</f>
        <v/>
      </c>
      <c r="G3236" s="69" t="str">
        <f aca="false">IFERROR(INDEX(分录收入!$I:$I,MATCH($L3236,分录收入!$L:$L,0)),"")</f>
        <v/>
      </c>
      <c r="H3236" s="23"/>
      <c r="I3236" s="70"/>
      <c r="L3236" s="71" t="n">
        <f aca="false">IF(助手收入!$R$217="",-1,助手收入!$R$217*100+(助手收入!$S$217-1)*6+6)</f>
        <v>-1</v>
      </c>
    </row>
    <row r="3237" customFormat="false" ht="23.25" hidden="false" customHeight="true" outlineLevel="0" collapsed="false">
      <c r="B3237" s="72" t="str">
        <f aca="false">IF(助手收入!$T$217=1,"合计：","")</f>
        <v/>
      </c>
      <c r="C3237" s="73" t="str">
        <f aca="false">IF(助手收入!$T$217=1,$F3237,"")</f>
        <v/>
      </c>
      <c r="D3237" s="74"/>
      <c r="E3237" s="74"/>
      <c r="F3237" s="75" t="str">
        <f aca="false">IF(助手收入!$T$217=1,INDEX(助手收入!$N$2:$N$66,助手收入!$R$217),"")</f>
        <v/>
      </c>
      <c r="G3237" s="76" t="str">
        <f aca="false">IF(助手收入!$T$217=1,INDEX(助手收入!$O$2:$O$66,助手收入!$R$217),"")</f>
        <v/>
      </c>
      <c r="H3237" s="74"/>
      <c r="I3237" s="77"/>
    </row>
    <row r="3238" customFormat="false" ht="6" hidden="false" customHeight="true" outlineLevel="0" collapsed="false"/>
    <row r="3239" customFormat="false" ht="13.5" hidden="false" customHeight="false" outlineLevel="0" collapsed="false">
      <c r="B3239" s="78" t="str">
        <f aca="false">IF(助手收入!$R$217&lt;&gt;"","会计主管：","")</f>
        <v/>
      </c>
      <c r="D3239" s="78" t="str">
        <f aca="false">IF(助手收入!$R$217&lt;&gt;"","会计：","")</f>
        <v/>
      </c>
      <c r="E3239" s="78" t="str">
        <f aca="false">IF(助手收入!$R$217&lt;&gt;"","出纳：","")</f>
        <v/>
      </c>
      <c r="F3239" s="78" t="str">
        <f aca="false">IF(助手收入!$R$217&lt;&gt;"","复核：","")</f>
        <v/>
      </c>
      <c r="G3239" s="78" t="str">
        <f aca="false">IF(助手收入!$R$217&lt;&gt;"","制单：","")</f>
        <v/>
      </c>
    </row>
    <row r="3240" customFormat="false" ht="3" hidden="false" customHeight="true" outlineLevel="0" collapsed="false"/>
    <row r="3241" customFormat="false" ht="19.5" hidden="false" customHeight="true" outlineLevel="0" collapsed="false">
      <c r="B3241" s="53" t="str">
        <f aca="false">IF(助手收入!$R$218&lt;&gt;"","记  账  凭  证","")</f>
        <v/>
      </c>
      <c r="C3241" s="53"/>
      <c r="D3241" s="53"/>
      <c r="E3241" s="53"/>
      <c r="F3241" s="53"/>
      <c r="G3241" s="53"/>
      <c r="H3241" s="53"/>
      <c r="I3241" s="53"/>
    </row>
    <row r="3242" customFormat="false" ht="3" hidden="false" customHeight="true" outlineLevel="0" collapsed="false"/>
    <row r="3243" customFormat="false" ht="15" hidden="false" customHeight="true" outlineLevel="0" collapsed="false">
      <c r="C3243" s="56" t="str">
        <f aca="false">IF(助手收入!$R$218&lt;&gt;"",INDEX(助手收入!$B$2:$B$66,助手收入!$R$218),"")</f>
        <v/>
      </c>
      <c r="D3243" s="57" t="str">
        <f aca="false">IF(助手收入!$R$218&lt;&gt;"",参数!$B$2,"")</f>
        <v/>
      </c>
      <c r="E3243" s="57"/>
      <c r="F3243" s="58" t="str">
        <f aca="false">IF(助手收入!$R$218&lt;&gt;"",INDEX(助手收入!$C$2:$C$66,助手收入!$R$218)&amp;"  字第 "&amp;IF(参数!$B$9="是",INDEX(助手收入!$P$2:$P$66,助手收入!$R$218),"　　　　")&amp;" 号"&amp;IF(INDEX(助手收入!$L$2:$L$66,助手收入!$R$218)&gt;1,"  (共"&amp;INDEX(助手收入!$L$2:$L$66,助手收入!$R$218)&amp;"页 第"&amp;助手收入!$S$218&amp;"页)",""),"")</f>
        <v/>
      </c>
      <c r="G3243" s="58"/>
      <c r="H3243" s="58"/>
      <c r="I3243" s="58"/>
      <c r="M3243" s="79" t="str">
        <f aca="false">IF(助手收入!$R$218="","",助手收入!$Q$218)</f>
        <v/>
      </c>
      <c r="N3243" s="80" t="str">
        <f aca="false">IF(助手收入!$R$218="","",INDEX(助手收入!$P$2:$P$66,助手收入!$R$218))</f>
        <v/>
      </c>
      <c r="O3243" s="55" t="str">
        <f aca="false">IF(助手收入!$R$218="","",INDEX(助手收入!$C$2:$C$66,助手收入!$R$218)&amp;"  字第 "&amp;INDEX(助手收入!$P$2:$P$66,助手收入!$R$218)&amp;" 号"&amp;IF(INDEX(助手收入!$L$2:$L$66,助手收入!$R$218)&gt;1,"  (共"&amp;INDEX(助手收入!$L$2:$L$66,助手收入!$R$218)&amp;"页 第"&amp;助手收入!$S$218&amp;"页)",""))</f>
        <v/>
      </c>
    </row>
    <row r="3244" customFormat="false" ht="12.75" hidden="false" customHeight="true" outlineLevel="0" collapsed="false">
      <c r="B3244" s="61" t="str">
        <f aca="false">IF(助手收入!$R$218&lt;&gt;"","摘　　要","")</f>
        <v/>
      </c>
      <c r="C3244" s="61"/>
      <c r="D3244" s="62" t="str">
        <f aca="false">IF(助手收入!$R$218&lt;&gt;"","科　　　　目","")</f>
        <v/>
      </c>
      <c r="E3244" s="62"/>
      <c r="F3244" s="61" t="str">
        <f aca="false">IF(助手收入!$R$218&lt;&gt;"","借 方 金 额","")</f>
        <v/>
      </c>
      <c r="G3244" s="62" t="str">
        <f aca="false">IF(助手收入!$R$218&lt;&gt;"","贷 方 金 额","")</f>
        <v/>
      </c>
      <c r="H3244" s="63" t="str">
        <f aca="false">IF(助手收入!$R$218&lt;&gt;"","√","")</f>
        <v/>
      </c>
      <c r="I3244" s="64" t="str">
        <f aca="false">IF(助手收入!$R$218&lt;&gt;"","附单据  张","")</f>
        <v/>
      </c>
    </row>
    <row r="3245" customFormat="false" ht="12.75" hidden="false" customHeight="true" outlineLevel="0" collapsed="false">
      <c r="B3245" s="61"/>
      <c r="C3245" s="61"/>
      <c r="D3245" s="23" t="str">
        <f aca="false">IF(助手收入!$R$218&lt;&gt;"","总 账 科 目","")</f>
        <v/>
      </c>
      <c r="E3245" s="23" t="str">
        <f aca="false">IF(助手收入!$R$218&lt;&gt;"","明 细 科 目","")</f>
        <v/>
      </c>
      <c r="F3245" s="65"/>
      <c r="G3245" s="66"/>
      <c r="H3245" s="63"/>
      <c r="I3245" s="64"/>
    </row>
    <row r="3246" customFormat="false" ht="23.25" hidden="false" customHeight="true" outlineLevel="0" collapsed="false">
      <c r="B3246" s="67" t="str">
        <f aca="false">IFERROR(INDEX(分录收入!$M:$M,MATCH($L3246,分录收入!$L:$L,0)),"")</f>
        <v/>
      </c>
      <c r="C3246" s="67"/>
      <c r="D3246" s="23" t="str">
        <f aca="false">IFERROR(INDEX(分录收入!$E:$E,MATCH($L3246,分录收入!$L:$L,0)),"")</f>
        <v/>
      </c>
      <c r="E3246" s="23" t="str">
        <f aca="false">IFERROR(INDEX(分录收入!$F:$F,MATCH($L3246,分录收入!$L:$L,0)),"")</f>
        <v/>
      </c>
      <c r="F3246" s="68" t="str">
        <f aca="false">IFERROR(INDEX(分录收入!$H:$H,MATCH($L3246,分录收入!$L:$L,0)),"")</f>
        <v/>
      </c>
      <c r="G3246" s="69" t="str">
        <f aca="false">IFERROR(INDEX(分录收入!$I:$I,MATCH($L3246,分录收入!$L:$L,0)),"")</f>
        <v/>
      </c>
      <c r="H3246" s="23"/>
      <c r="I3246" s="70"/>
      <c r="L3246" s="71" t="n">
        <f aca="false">IF(助手收入!$R$218="",-1,助手收入!$R$218*100+(助手收入!$S$218-1)*6+1)</f>
        <v>-1</v>
      </c>
    </row>
    <row r="3247" customFormat="false" ht="23.25" hidden="false" customHeight="true" outlineLevel="0" collapsed="false">
      <c r="B3247" s="67" t="str">
        <f aca="false">""</f>
        <v/>
      </c>
      <c r="C3247" s="67"/>
      <c r="D3247" s="23" t="str">
        <f aca="false">IFERROR(INDEX(分录收入!$E:$E,MATCH($L3247,分录收入!$L:$L,0)),"")</f>
        <v/>
      </c>
      <c r="E3247" s="23" t="str">
        <f aca="false">IFERROR(INDEX(分录收入!$F:$F,MATCH($L3247,分录收入!$L:$L,0)),"")</f>
        <v/>
      </c>
      <c r="F3247" s="68" t="str">
        <f aca="false">IFERROR(INDEX(分录收入!$H:$H,MATCH($L3247,分录收入!$L:$L,0)),"")</f>
        <v/>
      </c>
      <c r="G3247" s="69" t="str">
        <f aca="false">IFERROR(INDEX(分录收入!$I:$I,MATCH($L3247,分录收入!$L:$L,0)),"")</f>
        <v/>
      </c>
      <c r="H3247" s="23"/>
      <c r="I3247" s="70"/>
      <c r="L3247" s="71" t="n">
        <f aca="false">IF(助手收入!$R$218="",-1,助手收入!$R$218*100+(助手收入!$S$218-1)*6+2)</f>
        <v>-1</v>
      </c>
    </row>
    <row r="3248" customFormat="false" ht="23.25" hidden="false" customHeight="true" outlineLevel="0" collapsed="false">
      <c r="B3248" s="67" t="str">
        <f aca="false">""</f>
        <v/>
      </c>
      <c r="C3248" s="67"/>
      <c r="D3248" s="23" t="str">
        <f aca="false">IFERROR(INDEX(分录收入!$E:$E,MATCH($L3248,分录收入!$L:$L,0)),"")</f>
        <v/>
      </c>
      <c r="E3248" s="23" t="str">
        <f aca="false">IFERROR(INDEX(分录收入!$F:$F,MATCH($L3248,分录收入!$L:$L,0)),"")</f>
        <v/>
      </c>
      <c r="F3248" s="68" t="str">
        <f aca="false">IFERROR(INDEX(分录收入!$H:$H,MATCH($L3248,分录收入!$L:$L,0)),"")</f>
        <v/>
      </c>
      <c r="G3248" s="69" t="str">
        <f aca="false">IFERROR(INDEX(分录收入!$I:$I,MATCH($L3248,分录收入!$L:$L,0)),"")</f>
        <v/>
      </c>
      <c r="H3248" s="23"/>
      <c r="I3248" s="70"/>
      <c r="L3248" s="71" t="n">
        <f aca="false">IF(助手收入!$R$218="",-1,助手收入!$R$218*100+(助手收入!$S$218-1)*6+3)</f>
        <v>-1</v>
      </c>
    </row>
    <row r="3249" customFormat="false" ht="23.25" hidden="false" customHeight="true" outlineLevel="0" collapsed="false">
      <c r="B3249" s="67" t="str">
        <f aca="false">""</f>
        <v/>
      </c>
      <c r="C3249" s="67"/>
      <c r="D3249" s="23" t="str">
        <f aca="false">IFERROR(INDEX(分录收入!$E:$E,MATCH($L3249,分录收入!$L:$L,0)),"")</f>
        <v/>
      </c>
      <c r="E3249" s="23" t="str">
        <f aca="false">IFERROR(INDEX(分录收入!$F:$F,MATCH($L3249,分录收入!$L:$L,0)),"")</f>
        <v/>
      </c>
      <c r="F3249" s="68" t="str">
        <f aca="false">IFERROR(INDEX(分录收入!$H:$H,MATCH($L3249,分录收入!$L:$L,0)),"")</f>
        <v/>
      </c>
      <c r="G3249" s="69" t="str">
        <f aca="false">IFERROR(INDEX(分录收入!$I:$I,MATCH($L3249,分录收入!$L:$L,0)),"")</f>
        <v/>
      </c>
      <c r="H3249" s="23"/>
      <c r="I3249" s="70"/>
      <c r="L3249" s="71" t="n">
        <f aca="false">IF(助手收入!$R$218="",-1,助手收入!$R$218*100+(助手收入!$S$218-1)*6+4)</f>
        <v>-1</v>
      </c>
    </row>
    <row r="3250" customFormat="false" ht="23.25" hidden="false" customHeight="true" outlineLevel="0" collapsed="false">
      <c r="B3250" s="67" t="str">
        <f aca="false">""</f>
        <v/>
      </c>
      <c r="C3250" s="67"/>
      <c r="D3250" s="23" t="str">
        <f aca="false">IFERROR(INDEX(分录收入!$E:$E,MATCH($L3250,分录收入!$L:$L,0)),"")</f>
        <v/>
      </c>
      <c r="E3250" s="23" t="str">
        <f aca="false">IFERROR(INDEX(分录收入!$F:$F,MATCH($L3250,分录收入!$L:$L,0)),"")</f>
        <v/>
      </c>
      <c r="F3250" s="68" t="str">
        <f aca="false">IFERROR(INDEX(分录收入!$H:$H,MATCH($L3250,分录收入!$L:$L,0)),"")</f>
        <v/>
      </c>
      <c r="G3250" s="69" t="str">
        <f aca="false">IFERROR(INDEX(分录收入!$I:$I,MATCH($L3250,分录收入!$L:$L,0)),"")</f>
        <v/>
      </c>
      <c r="H3250" s="23"/>
      <c r="I3250" s="70"/>
      <c r="L3250" s="71" t="n">
        <f aca="false">IF(助手收入!$R$218="",-1,助手收入!$R$218*100+(助手收入!$S$218-1)*6+5)</f>
        <v>-1</v>
      </c>
    </row>
    <row r="3251" customFormat="false" ht="23.25" hidden="false" customHeight="true" outlineLevel="0" collapsed="false">
      <c r="B3251" s="67" t="str">
        <f aca="false">""</f>
        <v/>
      </c>
      <c r="C3251" s="67"/>
      <c r="D3251" s="23" t="str">
        <f aca="false">IFERROR(INDEX(分录收入!$E:$E,MATCH($L3251,分录收入!$L:$L,0)),"")</f>
        <v/>
      </c>
      <c r="E3251" s="23" t="str">
        <f aca="false">IFERROR(INDEX(分录收入!$F:$F,MATCH($L3251,分录收入!$L:$L,0)),"")</f>
        <v/>
      </c>
      <c r="F3251" s="68" t="str">
        <f aca="false">IFERROR(INDEX(分录收入!$H:$H,MATCH($L3251,分录收入!$L:$L,0)),"")</f>
        <v/>
      </c>
      <c r="G3251" s="69" t="str">
        <f aca="false">IFERROR(INDEX(分录收入!$I:$I,MATCH($L3251,分录收入!$L:$L,0)),"")</f>
        <v/>
      </c>
      <c r="H3251" s="23"/>
      <c r="I3251" s="70"/>
      <c r="L3251" s="71" t="n">
        <f aca="false">IF(助手收入!$R$218="",-1,助手收入!$R$218*100+(助手收入!$S$218-1)*6+6)</f>
        <v>-1</v>
      </c>
    </row>
    <row r="3252" customFormat="false" ht="23.25" hidden="false" customHeight="true" outlineLevel="0" collapsed="false">
      <c r="B3252" s="72" t="str">
        <f aca="false">IF(助手收入!$T$218=1,"合计：","")</f>
        <v/>
      </c>
      <c r="C3252" s="73" t="str">
        <f aca="false">IF(助手收入!$T$218=1,$F3252,"")</f>
        <v/>
      </c>
      <c r="D3252" s="74"/>
      <c r="E3252" s="74"/>
      <c r="F3252" s="75" t="str">
        <f aca="false">IF(助手收入!$T$218=1,INDEX(助手收入!$N$2:$N$66,助手收入!$R$218),"")</f>
        <v/>
      </c>
      <c r="G3252" s="76" t="str">
        <f aca="false">IF(助手收入!$T$218=1,INDEX(助手收入!$O$2:$O$66,助手收入!$R$218),"")</f>
        <v/>
      </c>
      <c r="H3252" s="74"/>
      <c r="I3252" s="77"/>
    </row>
    <row r="3253" customFormat="false" ht="6" hidden="false" customHeight="true" outlineLevel="0" collapsed="false"/>
    <row r="3254" customFormat="false" ht="13.5" hidden="false" customHeight="false" outlineLevel="0" collapsed="false">
      <c r="B3254" s="78" t="str">
        <f aca="false">IF(助手收入!$R$218&lt;&gt;"","会计主管：","")</f>
        <v/>
      </c>
      <c r="D3254" s="78" t="str">
        <f aca="false">IF(助手收入!$R$218&lt;&gt;"","会计：","")</f>
        <v/>
      </c>
      <c r="E3254" s="78" t="str">
        <f aca="false">IF(助手收入!$R$218&lt;&gt;"","出纳：","")</f>
        <v/>
      </c>
      <c r="F3254" s="78" t="str">
        <f aca="false">IF(助手收入!$R$218&lt;&gt;"","复核：","")</f>
        <v/>
      </c>
      <c r="G3254" s="78" t="str">
        <f aca="false">IF(助手收入!$R$218&lt;&gt;"","制单：","")</f>
        <v/>
      </c>
    </row>
    <row r="3255" customFormat="false" ht="3" hidden="false" customHeight="true" outlineLevel="0" collapsed="false"/>
    <row r="3256" customFormat="false" ht="19.5" hidden="false" customHeight="true" outlineLevel="0" collapsed="false">
      <c r="B3256" s="53" t="str">
        <f aca="false">IF(助手收入!$R$219&lt;&gt;"","记  账  凭  证","")</f>
        <v/>
      </c>
      <c r="C3256" s="53"/>
      <c r="D3256" s="53"/>
      <c r="E3256" s="53"/>
      <c r="F3256" s="53"/>
      <c r="G3256" s="53"/>
      <c r="H3256" s="53"/>
      <c r="I3256" s="53"/>
    </row>
    <row r="3257" customFormat="false" ht="3" hidden="false" customHeight="true" outlineLevel="0" collapsed="false"/>
    <row r="3258" customFormat="false" ht="15" hidden="false" customHeight="true" outlineLevel="0" collapsed="false">
      <c r="C3258" s="56" t="str">
        <f aca="false">IF(助手收入!$R$219&lt;&gt;"",INDEX(助手收入!$B$2:$B$66,助手收入!$R$219),"")</f>
        <v/>
      </c>
      <c r="D3258" s="57" t="str">
        <f aca="false">IF(助手收入!$R$219&lt;&gt;"",参数!$B$2,"")</f>
        <v/>
      </c>
      <c r="E3258" s="57"/>
      <c r="F3258" s="58" t="str">
        <f aca="false">IF(助手收入!$R$219&lt;&gt;"",INDEX(助手收入!$C$2:$C$66,助手收入!$R$219)&amp;"  字第 "&amp;IF(参数!$B$9="是",INDEX(助手收入!$P$2:$P$66,助手收入!$R$219),"　　　　")&amp;" 号"&amp;IF(INDEX(助手收入!$L$2:$L$66,助手收入!$R$219)&gt;1,"  (共"&amp;INDEX(助手收入!$L$2:$L$66,助手收入!$R$219)&amp;"页 第"&amp;助手收入!$S$219&amp;"页)",""),"")</f>
        <v/>
      </c>
      <c r="G3258" s="58"/>
      <c r="H3258" s="58"/>
      <c r="I3258" s="58"/>
      <c r="M3258" s="79" t="str">
        <f aca="false">IF(助手收入!$R$219="","",助手收入!$Q$219)</f>
        <v/>
      </c>
      <c r="N3258" s="80" t="str">
        <f aca="false">IF(助手收入!$R$219="","",INDEX(助手收入!$P$2:$P$66,助手收入!$R$219))</f>
        <v/>
      </c>
      <c r="O3258" s="55" t="str">
        <f aca="false">IF(助手收入!$R$219="","",INDEX(助手收入!$C$2:$C$66,助手收入!$R$219)&amp;"  字第 "&amp;INDEX(助手收入!$P$2:$P$66,助手收入!$R$219)&amp;" 号"&amp;IF(INDEX(助手收入!$L$2:$L$66,助手收入!$R$219)&gt;1,"  (共"&amp;INDEX(助手收入!$L$2:$L$66,助手收入!$R$219)&amp;"页 第"&amp;助手收入!$S$219&amp;"页)",""))</f>
        <v/>
      </c>
    </row>
    <row r="3259" customFormat="false" ht="12.75" hidden="false" customHeight="true" outlineLevel="0" collapsed="false">
      <c r="B3259" s="61" t="str">
        <f aca="false">IF(助手收入!$R$219&lt;&gt;"","摘　　要","")</f>
        <v/>
      </c>
      <c r="C3259" s="61"/>
      <c r="D3259" s="62" t="str">
        <f aca="false">IF(助手收入!$R$219&lt;&gt;"","科　　　　目","")</f>
        <v/>
      </c>
      <c r="E3259" s="62"/>
      <c r="F3259" s="61" t="str">
        <f aca="false">IF(助手收入!$R$219&lt;&gt;"","借 方 金 额","")</f>
        <v/>
      </c>
      <c r="G3259" s="62" t="str">
        <f aca="false">IF(助手收入!$R$219&lt;&gt;"","贷 方 金 额","")</f>
        <v/>
      </c>
      <c r="H3259" s="63" t="str">
        <f aca="false">IF(助手收入!$R$219&lt;&gt;"","√","")</f>
        <v/>
      </c>
      <c r="I3259" s="64" t="str">
        <f aca="false">IF(助手收入!$R$219&lt;&gt;"","附单据  张","")</f>
        <v/>
      </c>
    </row>
    <row r="3260" customFormat="false" ht="12.75" hidden="false" customHeight="true" outlineLevel="0" collapsed="false">
      <c r="B3260" s="61"/>
      <c r="C3260" s="61"/>
      <c r="D3260" s="23" t="str">
        <f aca="false">IF(助手收入!$R$219&lt;&gt;"","总 账 科 目","")</f>
        <v/>
      </c>
      <c r="E3260" s="23" t="str">
        <f aca="false">IF(助手收入!$R$219&lt;&gt;"","明 细 科 目","")</f>
        <v/>
      </c>
      <c r="F3260" s="65"/>
      <c r="G3260" s="66"/>
      <c r="H3260" s="63"/>
      <c r="I3260" s="64"/>
    </row>
    <row r="3261" customFormat="false" ht="23.25" hidden="false" customHeight="true" outlineLevel="0" collapsed="false">
      <c r="B3261" s="67" t="str">
        <f aca="false">IFERROR(INDEX(分录收入!$M:$M,MATCH($L3261,分录收入!$L:$L,0)),"")</f>
        <v/>
      </c>
      <c r="C3261" s="67"/>
      <c r="D3261" s="23" t="str">
        <f aca="false">IFERROR(INDEX(分录收入!$E:$E,MATCH($L3261,分录收入!$L:$L,0)),"")</f>
        <v/>
      </c>
      <c r="E3261" s="23" t="str">
        <f aca="false">IFERROR(INDEX(分录收入!$F:$F,MATCH($L3261,分录收入!$L:$L,0)),"")</f>
        <v/>
      </c>
      <c r="F3261" s="68" t="str">
        <f aca="false">IFERROR(INDEX(分录收入!$H:$H,MATCH($L3261,分录收入!$L:$L,0)),"")</f>
        <v/>
      </c>
      <c r="G3261" s="69" t="str">
        <f aca="false">IFERROR(INDEX(分录收入!$I:$I,MATCH($L3261,分录收入!$L:$L,0)),"")</f>
        <v/>
      </c>
      <c r="H3261" s="23"/>
      <c r="I3261" s="70"/>
      <c r="L3261" s="71" t="n">
        <f aca="false">IF(助手收入!$R$219="",-1,助手收入!$R$219*100+(助手收入!$S$219-1)*6+1)</f>
        <v>-1</v>
      </c>
    </row>
    <row r="3262" customFormat="false" ht="23.25" hidden="false" customHeight="true" outlineLevel="0" collapsed="false">
      <c r="B3262" s="67" t="str">
        <f aca="false">""</f>
        <v/>
      </c>
      <c r="C3262" s="67"/>
      <c r="D3262" s="23" t="str">
        <f aca="false">IFERROR(INDEX(分录收入!$E:$E,MATCH($L3262,分录收入!$L:$L,0)),"")</f>
        <v/>
      </c>
      <c r="E3262" s="23" t="str">
        <f aca="false">IFERROR(INDEX(分录收入!$F:$F,MATCH($L3262,分录收入!$L:$L,0)),"")</f>
        <v/>
      </c>
      <c r="F3262" s="68" t="str">
        <f aca="false">IFERROR(INDEX(分录收入!$H:$H,MATCH($L3262,分录收入!$L:$L,0)),"")</f>
        <v/>
      </c>
      <c r="G3262" s="69" t="str">
        <f aca="false">IFERROR(INDEX(分录收入!$I:$I,MATCH($L3262,分录收入!$L:$L,0)),"")</f>
        <v/>
      </c>
      <c r="H3262" s="23"/>
      <c r="I3262" s="70"/>
      <c r="L3262" s="71" t="n">
        <f aca="false">IF(助手收入!$R$219="",-1,助手收入!$R$219*100+(助手收入!$S$219-1)*6+2)</f>
        <v>-1</v>
      </c>
    </row>
    <row r="3263" customFormat="false" ht="23.25" hidden="false" customHeight="true" outlineLevel="0" collapsed="false">
      <c r="B3263" s="67" t="str">
        <f aca="false">""</f>
        <v/>
      </c>
      <c r="C3263" s="67"/>
      <c r="D3263" s="23" t="str">
        <f aca="false">IFERROR(INDEX(分录收入!$E:$E,MATCH($L3263,分录收入!$L:$L,0)),"")</f>
        <v/>
      </c>
      <c r="E3263" s="23" t="str">
        <f aca="false">IFERROR(INDEX(分录收入!$F:$F,MATCH($L3263,分录收入!$L:$L,0)),"")</f>
        <v/>
      </c>
      <c r="F3263" s="68" t="str">
        <f aca="false">IFERROR(INDEX(分录收入!$H:$H,MATCH($L3263,分录收入!$L:$L,0)),"")</f>
        <v/>
      </c>
      <c r="G3263" s="69" t="str">
        <f aca="false">IFERROR(INDEX(分录收入!$I:$I,MATCH($L3263,分录收入!$L:$L,0)),"")</f>
        <v/>
      </c>
      <c r="H3263" s="23"/>
      <c r="I3263" s="70"/>
      <c r="L3263" s="71" t="n">
        <f aca="false">IF(助手收入!$R$219="",-1,助手收入!$R$219*100+(助手收入!$S$219-1)*6+3)</f>
        <v>-1</v>
      </c>
    </row>
    <row r="3264" customFormat="false" ht="23.25" hidden="false" customHeight="true" outlineLevel="0" collapsed="false">
      <c r="B3264" s="67" t="str">
        <f aca="false">""</f>
        <v/>
      </c>
      <c r="C3264" s="67"/>
      <c r="D3264" s="23" t="str">
        <f aca="false">IFERROR(INDEX(分录收入!$E:$E,MATCH($L3264,分录收入!$L:$L,0)),"")</f>
        <v/>
      </c>
      <c r="E3264" s="23" t="str">
        <f aca="false">IFERROR(INDEX(分录收入!$F:$F,MATCH($L3264,分录收入!$L:$L,0)),"")</f>
        <v/>
      </c>
      <c r="F3264" s="68" t="str">
        <f aca="false">IFERROR(INDEX(分录收入!$H:$H,MATCH($L3264,分录收入!$L:$L,0)),"")</f>
        <v/>
      </c>
      <c r="G3264" s="69" t="str">
        <f aca="false">IFERROR(INDEX(分录收入!$I:$I,MATCH($L3264,分录收入!$L:$L,0)),"")</f>
        <v/>
      </c>
      <c r="H3264" s="23"/>
      <c r="I3264" s="70"/>
      <c r="L3264" s="71" t="n">
        <f aca="false">IF(助手收入!$R$219="",-1,助手收入!$R$219*100+(助手收入!$S$219-1)*6+4)</f>
        <v>-1</v>
      </c>
    </row>
    <row r="3265" customFormat="false" ht="23.25" hidden="false" customHeight="true" outlineLevel="0" collapsed="false">
      <c r="B3265" s="67" t="str">
        <f aca="false">""</f>
        <v/>
      </c>
      <c r="C3265" s="67"/>
      <c r="D3265" s="23" t="str">
        <f aca="false">IFERROR(INDEX(分录收入!$E:$E,MATCH($L3265,分录收入!$L:$L,0)),"")</f>
        <v/>
      </c>
      <c r="E3265" s="23" t="str">
        <f aca="false">IFERROR(INDEX(分录收入!$F:$F,MATCH($L3265,分录收入!$L:$L,0)),"")</f>
        <v/>
      </c>
      <c r="F3265" s="68" t="str">
        <f aca="false">IFERROR(INDEX(分录收入!$H:$H,MATCH($L3265,分录收入!$L:$L,0)),"")</f>
        <v/>
      </c>
      <c r="G3265" s="69" t="str">
        <f aca="false">IFERROR(INDEX(分录收入!$I:$I,MATCH($L3265,分录收入!$L:$L,0)),"")</f>
        <v/>
      </c>
      <c r="H3265" s="23"/>
      <c r="I3265" s="70"/>
      <c r="L3265" s="71" t="n">
        <f aca="false">IF(助手收入!$R$219="",-1,助手收入!$R$219*100+(助手收入!$S$219-1)*6+5)</f>
        <v>-1</v>
      </c>
    </row>
    <row r="3266" customFormat="false" ht="23.25" hidden="false" customHeight="true" outlineLevel="0" collapsed="false">
      <c r="B3266" s="67" t="str">
        <f aca="false">""</f>
        <v/>
      </c>
      <c r="C3266" s="67"/>
      <c r="D3266" s="23" t="str">
        <f aca="false">IFERROR(INDEX(分录收入!$E:$E,MATCH($L3266,分录收入!$L:$L,0)),"")</f>
        <v/>
      </c>
      <c r="E3266" s="23" t="str">
        <f aca="false">IFERROR(INDEX(分录收入!$F:$F,MATCH($L3266,分录收入!$L:$L,0)),"")</f>
        <v/>
      </c>
      <c r="F3266" s="68" t="str">
        <f aca="false">IFERROR(INDEX(分录收入!$H:$H,MATCH($L3266,分录收入!$L:$L,0)),"")</f>
        <v/>
      </c>
      <c r="G3266" s="69" t="str">
        <f aca="false">IFERROR(INDEX(分录收入!$I:$I,MATCH($L3266,分录收入!$L:$L,0)),"")</f>
        <v/>
      </c>
      <c r="H3266" s="23"/>
      <c r="I3266" s="70"/>
      <c r="L3266" s="71" t="n">
        <f aca="false">IF(助手收入!$R$219="",-1,助手收入!$R$219*100+(助手收入!$S$219-1)*6+6)</f>
        <v>-1</v>
      </c>
    </row>
    <row r="3267" customFormat="false" ht="23.25" hidden="false" customHeight="true" outlineLevel="0" collapsed="false">
      <c r="B3267" s="72" t="str">
        <f aca="false">IF(助手收入!$T$219=1,"合计：","")</f>
        <v/>
      </c>
      <c r="C3267" s="73" t="str">
        <f aca="false">IF(助手收入!$T$219=1,$F3267,"")</f>
        <v/>
      </c>
      <c r="D3267" s="74"/>
      <c r="E3267" s="74"/>
      <c r="F3267" s="75" t="str">
        <f aca="false">IF(助手收入!$T$219=1,INDEX(助手收入!$N$2:$N$66,助手收入!$R$219),"")</f>
        <v/>
      </c>
      <c r="G3267" s="76" t="str">
        <f aca="false">IF(助手收入!$T$219=1,INDEX(助手收入!$O$2:$O$66,助手收入!$R$219),"")</f>
        <v/>
      </c>
      <c r="H3267" s="74"/>
      <c r="I3267" s="77"/>
    </row>
    <row r="3268" customFormat="false" ht="6" hidden="false" customHeight="true" outlineLevel="0" collapsed="false"/>
    <row r="3269" customFormat="false" ht="13.5" hidden="false" customHeight="false" outlineLevel="0" collapsed="false">
      <c r="B3269" s="78" t="str">
        <f aca="false">IF(助手收入!$R$219&lt;&gt;"","会计主管：","")</f>
        <v/>
      </c>
      <c r="D3269" s="78" t="str">
        <f aca="false">IF(助手收入!$R$219&lt;&gt;"","会计：","")</f>
        <v/>
      </c>
      <c r="E3269" s="78" t="str">
        <f aca="false">IF(助手收入!$R$219&lt;&gt;"","出纳：","")</f>
        <v/>
      </c>
      <c r="F3269" s="78" t="str">
        <f aca="false">IF(助手收入!$R$219&lt;&gt;"","复核：","")</f>
        <v/>
      </c>
      <c r="G3269" s="78" t="str">
        <f aca="false">IF(助手收入!$R$219&lt;&gt;"","制单：","")</f>
        <v/>
      </c>
    </row>
    <row r="3270" customFormat="false" ht="3" hidden="false" customHeight="true" outlineLevel="0" collapsed="false"/>
    <row r="3271" customFormat="false" ht="19.5" hidden="false" customHeight="true" outlineLevel="0" collapsed="false">
      <c r="B3271" s="53" t="str">
        <f aca="false">IF(助手收入!$R$220&lt;&gt;"","记  账  凭  证","")</f>
        <v/>
      </c>
      <c r="C3271" s="53"/>
      <c r="D3271" s="53"/>
      <c r="E3271" s="53"/>
      <c r="F3271" s="53"/>
      <c r="G3271" s="53"/>
      <c r="H3271" s="53"/>
      <c r="I3271" s="53"/>
    </row>
    <row r="3272" customFormat="false" ht="3" hidden="false" customHeight="true" outlineLevel="0" collapsed="false"/>
    <row r="3273" customFormat="false" ht="15" hidden="false" customHeight="true" outlineLevel="0" collapsed="false">
      <c r="C3273" s="56" t="str">
        <f aca="false">IF(助手收入!$R$220&lt;&gt;"",INDEX(助手收入!$B$2:$B$66,助手收入!$R$220),"")</f>
        <v/>
      </c>
      <c r="D3273" s="57" t="str">
        <f aca="false">IF(助手收入!$R$220&lt;&gt;"",参数!$B$2,"")</f>
        <v/>
      </c>
      <c r="E3273" s="57"/>
      <c r="F3273" s="58" t="str">
        <f aca="false">IF(助手收入!$R$220&lt;&gt;"",INDEX(助手收入!$C$2:$C$66,助手收入!$R$220)&amp;"  字第 "&amp;IF(参数!$B$9="是",INDEX(助手收入!$P$2:$P$66,助手收入!$R$220),"　　　　")&amp;" 号"&amp;IF(INDEX(助手收入!$L$2:$L$66,助手收入!$R$220)&gt;1,"  (共"&amp;INDEX(助手收入!$L$2:$L$66,助手收入!$R$220)&amp;"页 第"&amp;助手收入!$S$220&amp;"页)",""),"")</f>
        <v/>
      </c>
      <c r="G3273" s="58"/>
      <c r="H3273" s="58"/>
      <c r="I3273" s="58"/>
      <c r="M3273" s="79" t="str">
        <f aca="false">IF(助手收入!$R$220="","",助手收入!$Q$220)</f>
        <v/>
      </c>
      <c r="N3273" s="80" t="str">
        <f aca="false">IF(助手收入!$R$220="","",INDEX(助手收入!$P$2:$P$66,助手收入!$R$220))</f>
        <v/>
      </c>
      <c r="O3273" s="55" t="str">
        <f aca="false">IF(助手收入!$R$220="","",INDEX(助手收入!$C$2:$C$66,助手收入!$R$220)&amp;"  字第 "&amp;INDEX(助手收入!$P$2:$P$66,助手收入!$R$220)&amp;" 号"&amp;IF(INDEX(助手收入!$L$2:$L$66,助手收入!$R$220)&gt;1,"  (共"&amp;INDEX(助手收入!$L$2:$L$66,助手收入!$R$220)&amp;"页 第"&amp;助手收入!$S$220&amp;"页)",""))</f>
        <v/>
      </c>
    </row>
    <row r="3274" customFormat="false" ht="12.75" hidden="false" customHeight="true" outlineLevel="0" collapsed="false">
      <c r="B3274" s="61" t="str">
        <f aca="false">IF(助手收入!$R$220&lt;&gt;"","摘　　要","")</f>
        <v/>
      </c>
      <c r="C3274" s="61"/>
      <c r="D3274" s="62" t="str">
        <f aca="false">IF(助手收入!$R$220&lt;&gt;"","科　　　　目","")</f>
        <v/>
      </c>
      <c r="E3274" s="62"/>
      <c r="F3274" s="61" t="str">
        <f aca="false">IF(助手收入!$R$220&lt;&gt;"","借 方 金 额","")</f>
        <v/>
      </c>
      <c r="G3274" s="62" t="str">
        <f aca="false">IF(助手收入!$R$220&lt;&gt;"","贷 方 金 额","")</f>
        <v/>
      </c>
      <c r="H3274" s="63" t="str">
        <f aca="false">IF(助手收入!$R$220&lt;&gt;"","√","")</f>
        <v/>
      </c>
      <c r="I3274" s="64" t="str">
        <f aca="false">IF(助手收入!$R$220&lt;&gt;"","附单据  张","")</f>
        <v/>
      </c>
    </row>
    <row r="3275" customFormat="false" ht="12.75" hidden="false" customHeight="true" outlineLevel="0" collapsed="false">
      <c r="B3275" s="61"/>
      <c r="C3275" s="61"/>
      <c r="D3275" s="23" t="str">
        <f aca="false">IF(助手收入!$R$220&lt;&gt;"","总 账 科 目","")</f>
        <v/>
      </c>
      <c r="E3275" s="23" t="str">
        <f aca="false">IF(助手收入!$R$220&lt;&gt;"","明 细 科 目","")</f>
        <v/>
      </c>
      <c r="F3275" s="65"/>
      <c r="G3275" s="66"/>
      <c r="H3275" s="63"/>
      <c r="I3275" s="64"/>
    </row>
    <row r="3276" customFormat="false" ht="23.25" hidden="false" customHeight="true" outlineLevel="0" collapsed="false">
      <c r="B3276" s="67" t="str">
        <f aca="false">IFERROR(INDEX(分录收入!$M:$M,MATCH($L3276,分录收入!$L:$L,0)),"")</f>
        <v/>
      </c>
      <c r="C3276" s="67"/>
      <c r="D3276" s="23" t="str">
        <f aca="false">IFERROR(INDEX(分录收入!$E:$E,MATCH($L3276,分录收入!$L:$L,0)),"")</f>
        <v/>
      </c>
      <c r="E3276" s="23" t="str">
        <f aca="false">IFERROR(INDEX(分录收入!$F:$F,MATCH($L3276,分录收入!$L:$L,0)),"")</f>
        <v/>
      </c>
      <c r="F3276" s="68" t="str">
        <f aca="false">IFERROR(INDEX(分录收入!$H:$H,MATCH($L3276,分录收入!$L:$L,0)),"")</f>
        <v/>
      </c>
      <c r="G3276" s="69" t="str">
        <f aca="false">IFERROR(INDEX(分录收入!$I:$I,MATCH($L3276,分录收入!$L:$L,0)),"")</f>
        <v/>
      </c>
      <c r="H3276" s="23"/>
      <c r="I3276" s="70"/>
      <c r="L3276" s="71" t="n">
        <f aca="false">IF(助手收入!$R$220="",-1,助手收入!$R$220*100+(助手收入!$S$220-1)*6+1)</f>
        <v>-1</v>
      </c>
    </row>
    <row r="3277" customFormat="false" ht="23.25" hidden="false" customHeight="true" outlineLevel="0" collapsed="false">
      <c r="B3277" s="67" t="str">
        <f aca="false">""</f>
        <v/>
      </c>
      <c r="C3277" s="67"/>
      <c r="D3277" s="23" t="str">
        <f aca="false">IFERROR(INDEX(分录收入!$E:$E,MATCH($L3277,分录收入!$L:$L,0)),"")</f>
        <v/>
      </c>
      <c r="E3277" s="23" t="str">
        <f aca="false">IFERROR(INDEX(分录收入!$F:$F,MATCH($L3277,分录收入!$L:$L,0)),"")</f>
        <v/>
      </c>
      <c r="F3277" s="68" t="str">
        <f aca="false">IFERROR(INDEX(分录收入!$H:$H,MATCH($L3277,分录收入!$L:$L,0)),"")</f>
        <v/>
      </c>
      <c r="G3277" s="69" t="str">
        <f aca="false">IFERROR(INDEX(分录收入!$I:$I,MATCH($L3277,分录收入!$L:$L,0)),"")</f>
        <v/>
      </c>
      <c r="H3277" s="23"/>
      <c r="I3277" s="70"/>
      <c r="L3277" s="71" t="n">
        <f aca="false">IF(助手收入!$R$220="",-1,助手收入!$R$220*100+(助手收入!$S$220-1)*6+2)</f>
        <v>-1</v>
      </c>
    </row>
    <row r="3278" customFormat="false" ht="23.25" hidden="false" customHeight="true" outlineLevel="0" collapsed="false">
      <c r="B3278" s="67" t="str">
        <f aca="false">""</f>
        <v/>
      </c>
      <c r="C3278" s="67"/>
      <c r="D3278" s="23" t="str">
        <f aca="false">IFERROR(INDEX(分录收入!$E:$E,MATCH($L3278,分录收入!$L:$L,0)),"")</f>
        <v/>
      </c>
      <c r="E3278" s="23" t="str">
        <f aca="false">IFERROR(INDEX(分录收入!$F:$F,MATCH($L3278,分录收入!$L:$L,0)),"")</f>
        <v/>
      </c>
      <c r="F3278" s="68" t="str">
        <f aca="false">IFERROR(INDEX(分录收入!$H:$H,MATCH($L3278,分录收入!$L:$L,0)),"")</f>
        <v/>
      </c>
      <c r="G3278" s="69" t="str">
        <f aca="false">IFERROR(INDEX(分录收入!$I:$I,MATCH($L3278,分录收入!$L:$L,0)),"")</f>
        <v/>
      </c>
      <c r="H3278" s="23"/>
      <c r="I3278" s="70"/>
      <c r="L3278" s="71" t="n">
        <f aca="false">IF(助手收入!$R$220="",-1,助手收入!$R$220*100+(助手收入!$S$220-1)*6+3)</f>
        <v>-1</v>
      </c>
    </row>
    <row r="3279" customFormat="false" ht="23.25" hidden="false" customHeight="true" outlineLevel="0" collapsed="false">
      <c r="B3279" s="67" t="str">
        <f aca="false">""</f>
        <v/>
      </c>
      <c r="C3279" s="67"/>
      <c r="D3279" s="23" t="str">
        <f aca="false">IFERROR(INDEX(分录收入!$E:$E,MATCH($L3279,分录收入!$L:$L,0)),"")</f>
        <v/>
      </c>
      <c r="E3279" s="23" t="str">
        <f aca="false">IFERROR(INDEX(分录收入!$F:$F,MATCH($L3279,分录收入!$L:$L,0)),"")</f>
        <v/>
      </c>
      <c r="F3279" s="68" t="str">
        <f aca="false">IFERROR(INDEX(分录收入!$H:$H,MATCH($L3279,分录收入!$L:$L,0)),"")</f>
        <v/>
      </c>
      <c r="G3279" s="69" t="str">
        <f aca="false">IFERROR(INDEX(分录收入!$I:$I,MATCH($L3279,分录收入!$L:$L,0)),"")</f>
        <v/>
      </c>
      <c r="H3279" s="23"/>
      <c r="I3279" s="70"/>
      <c r="L3279" s="71" t="n">
        <f aca="false">IF(助手收入!$R$220="",-1,助手收入!$R$220*100+(助手收入!$S$220-1)*6+4)</f>
        <v>-1</v>
      </c>
    </row>
    <row r="3280" customFormat="false" ht="23.25" hidden="false" customHeight="true" outlineLevel="0" collapsed="false">
      <c r="B3280" s="67" t="str">
        <f aca="false">""</f>
        <v/>
      </c>
      <c r="C3280" s="67"/>
      <c r="D3280" s="23" t="str">
        <f aca="false">IFERROR(INDEX(分录收入!$E:$E,MATCH($L3280,分录收入!$L:$L,0)),"")</f>
        <v/>
      </c>
      <c r="E3280" s="23" t="str">
        <f aca="false">IFERROR(INDEX(分录收入!$F:$F,MATCH($L3280,分录收入!$L:$L,0)),"")</f>
        <v/>
      </c>
      <c r="F3280" s="68" t="str">
        <f aca="false">IFERROR(INDEX(分录收入!$H:$H,MATCH($L3280,分录收入!$L:$L,0)),"")</f>
        <v/>
      </c>
      <c r="G3280" s="69" t="str">
        <f aca="false">IFERROR(INDEX(分录收入!$I:$I,MATCH($L3280,分录收入!$L:$L,0)),"")</f>
        <v/>
      </c>
      <c r="H3280" s="23"/>
      <c r="I3280" s="70"/>
      <c r="L3280" s="71" t="n">
        <f aca="false">IF(助手收入!$R$220="",-1,助手收入!$R$220*100+(助手收入!$S$220-1)*6+5)</f>
        <v>-1</v>
      </c>
    </row>
    <row r="3281" customFormat="false" ht="23.25" hidden="false" customHeight="true" outlineLevel="0" collapsed="false">
      <c r="B3281" s="67" t="str">
        <f aca="false">""</f>
        <v/>
      </c>
      <c r="C3281" s="67"/>
      <c r="D3281" s="23" t="str">
        <f aca="false">IFERROR(INDEX(分录收入!$E:$E,MATCH($L3281,分录收入!$L:$L,0)),"")</f>
        <v/>
      </c>
      <c r="E3281" s="23" t="str">
        <f aca="false">IFERROR(INDEX(分录收入!$F:$F,MATCH($L3281,分录收入!$L:$L,0)),"")</f>
        <v/>
      </c>
      <c r="F3281" s="68" t="str">
        <f aca="false">IFERROR(INDEX(分录收入!$H:$H,MATCH($L3281,分录收入!$L:$L,0)),"")</f>
        <v/>
      </c>
      <c r="G3281" s="69" t="str">
        <f aca="false">IFERROR(INDEX(分录收入!$I:$I,MATCH($L3281,分录收入!$L:$L,0)),"")</f>
        <v/>
      </c>
      <c r="H3281" s="23"/>
      <c r="I3281" s="70"/>
      <c r="L3281" s="71" t="n">
        <f aca="false">IF(助手收入!$R$220="",-1,助手收入!$R$220*100+(助手收入!$S$220-1)*6+6)</f>
        <v>-1</v>
      </c>
    </row>
    <row r="3282" customFormat="false" ht="23.25" hidden="false" customHeight="true" outlineLevel="0" collapsed="false">
      <c r="B3282" s="72" t="str">
        <f aca="false">IF(助手收入!$T$220=1,"合计：","")</f>
        <v/>
      </c>
      <c r="C3282" s="73" t="str">
        <f aca="false">IF(助手收入!$T$220=1,$F3282,"")</f>
        <v/>
      </c>
      <c r="D3282" s="74"/>
      <c r="E3282" s="74"/>
      <c r="F3282" s="75" t="str">
        <f aca="false">IF(助手收入!$T$220=1,INDEX(助手收入!$N$2:$N$66,助手收入!$R$220),"")</f>
        <v/>
      </c>
      <c r="G3282" s="76" t="str">
        <f aca="false">IF(助手收入!$T$220=1,INDEX(助手收入!$O$2:$O$66,助手收入!$R$220),"")</f>
        <v/>
      </c>
      <c r="H3282" s="74"/>
      <c r="I3282" s="77"/>
    </row>
    <row r="3283" customFormat="false" ht="6" hidden="false" customHeight="true" outlineLevel="0" collapsed="false"/>
    <row r="3284" customFormat="false" ht="13.5" hidden="false" customHeight="false" outlineLevel="0" collapsed="false">
      <c r="B3284" s="78" t="str">
        <f aca="false">IF(助手收入!$R$220&lt;&gt;"","会计主管：","")</f>
        <v/>
      </c>
      <c r="D3284" s="78" t="str">
        <f aca="false">IF(助手收入!$R$220&lt;&gt;"","会计：","")</f>
        <v/>
      </c>
      <c r="E3284" s="78" t="str">
        <f aca="false">IF(助手收入!$R$220&lt;&gt;"","出纳：","")</f>
        <v/>
      </c>
      <c r="F3284" s="78" t="str">
        <f aca="false">IF(助手收入!$R$220&lt;&gt;"","复核：","")</f>
        <v/>
      </c>
      <c r="G3284" s="78" t="str">
        <f aca="false">IF(助手收入!$R$220&lt;&gt;"","制单：","")</f>
        <v/>
      </c>
    </row>
    <row r="3285" customFormat="false" ht="3" hidden="false" customHeight="true" outlineLevel="0" collapsed="false"/>
    <row r="3286" customFormat="false" ht="19.5" hidden="false" customHeight="true" outlineLevel="0" collapsed="false">
      <c r="B3286" s="53" t="str">
        <f aca="false">IF(助手收入!$R$221&lt;&gt;"","记  账  凭  证","")</f>
        <v/>
      </c>
      <c r="C3286" s="53"/>
      <c r="D3286" s="53"/>
      <c r="E3286" s="53"/>
      <c r="F3286" s="53"/>
      <c r="G3286" s="53"/>
      <c r="H3286" s="53"/>
      <c r="I3286" s="53"/>
    </row>
    <row r="3287" customFormat="false" ht="3" hidden="false" customHeight="true" outlineLevel="0" collapsed="false"/>
    <row r="3288" customFormat="false" ht="15" hidden="false" customHeight="true" outlineLevel="0" collapsed="false">
      <c r="C3288" s="56" t="str">
        <f aca="false">IF(助手收入!$R$221&lt;&gt;"",INDEX(助手收入!$B$2:$B$66,助手收入!$R$221),"")</f>
        <v/>
      </c>
      <c r="D3288" s="57" t="str">
        <f aca="false">IF(助手收入!$R$221&lt;&gt;"",参数!$B$2,"")</f>
        <v/>
      </c>
      <c r="E3288" s="57"/>
      <c r="F3288" s="58" t="str">
        <f aca="false">IF(助手收入!$R$221&lt;&gt;"",INDEX(助手收入!$C$2:$C$66,助手收入!$R$221)&amp;"  字第 "&amp;IF(参数!$B$9="是",INDEX(助手收入!$P$2:$P$66,助手收入!$R$221),"　　　　")&amp;" 号"&amp;IF(INDEX(助手收入!$L$2:$L$66,助手收入!$R$221)&gt;1,"  (共"&amp;INDEX(助手收入!$L$2:$L$66,助手收入!$R$221)&amp;"页 第"&amp;助手收入!$S$221&amp;"页)",""),"")</f>
        <v/>
      </c>
      <c r="G3288" s="58"/>
      <c r="H3288" s="58"/>
      <c r="I3288" s="58"/>
      <c r="M3288" s="79" t="str">
        <f aca="false">IF(助手收入!$R$221="","",助手收入!$Q$221)</f>
        <v/>
      </c>
      <c r="N3288" s="80" t="str">
        <f aca="false">IF(助手收入!$R$221="","",INDEX(助手收入!$P$2:$P$66,助手收入!$R$221))</f>
        <v/>
      </c>
      <c r="O3288" s="55" t="str">
        <f aca="false">IF(助手收入!$R$221="","",INDEX(助手收入!$C$2:$C$66,助手收入!$R$221)&amp;"  字第 "&amp;INDEX(助手收入!$P$2:$P$66,助手收入!$R$221)&amp;" 号"&amp;IF(INDEX(助手收入!$L$2:$L$66,助手收入!$R$221)&gt;1,"  (共"&amp;INDEX(助手收入!$L$2:$L$66,助手收入!$R$221)&amp;"页 第"&amp;助手收入!$S$221&amp;"页)",""))</f>
        <v/>
      </c>
    </row>
    <row r="3289" customFormat="false" ht="12.75" hidden="false" customHeight="true" outlineLevel="0" collapsed="false">
      <c r="B3289" s="61" t="str">
        <f aca="false">IF(助手收入!$R$221&lt;&gt;"","摘　　要","")</f>
        <v/>
      </c>
      <c r="C3289" s="61"/>
      <c r="D3289" s="62" t="str">
        <f aca="false">IF(助手收入!$R$221&lt;&gt;"","科　　　　目","")</f>
        <v/>
      </c>
      <c r="E3289" s="62"/>
      <c r="F3289" s="61" t="str">
        <f aca="false">IF(助手收入!$R$221&lt;&gt;"","借 方 金 额","")</f>
        <v/>
      </c>
      <c r="G3289" s="62" t="str">
        <f aca="false">IF(助手收入!$R$221&lt;&gt;"","贷 方 金 额","")</f>
        <v/>
      </c>
      <c r="H3289" s="63" t="str">
        <f aca="false">IF(助手收入!$R$221&lt;&gt;"","√","")</f>
        <v/>
      </c>
      <c r="I3289" s="64" t="str">
        <f aca="false">IF(助手收入!$R$221&lt;&gt;"","附单据  张","")</f>
        <v/>
      </c>
    </row>
    <row r="3290" customFormat="false" ht="12.75" hidden="false" customHeight="true" outlineLevel="0" collapsed="false">
      <c r="B3290" s="61"/>
      <c r="C3290" s="61"/>
      <c r="D3290" s="23" t="str">
        <f aca="false">IF(助手收入!$R$221&lt;&gt;"","总 账 科 目","")</f>
        <v/>
      </c>
      <c r="E3290" s="23" t="str">
        <f aca="false">IF(助手收入!$R$221&lt;&gt;"","明 细 科 目","")</f>
        <v/>
      </c>
      <c r="F3290" s="65"/>
      <c r="G3290" s="66"/>
      <c r="H3290" s="63"/>
      <c r="I3290" s="64"/>
    </row>
    <row r="3291" customFormat="false" ht="23.25" hidden="false" customHeight="true" outlineLevel="0" collapsed="false">
      <c r="B3291" s="67" t="str">
        <f aca="false">IFERROR(INDEX(分录收入!$M:$M,MATCH($L3291,分录收入!$L:$L,0)),"")</f>
        <v/>
      </c>
      <c r="C3291" s="67"/>
      <c r="D3291" s="23" t="str">
        <f aca="false">IFERROR(INDEX(分录收入!$E:$E,MATCH($L3291,分录收入!$L:$L,0)),"")</f>
        <v/>
      </c>
      <c r="E3291" s="23" t="str">
        <f aca="false">IFERROR(INDEX(分录收入!$F:$F,MATCH($L3291,分录收入!$L:$L,0)),"")</f>
        <v/>
      </c>
      <c r="F3291" s="68" t="str">
        <f aca="false">IFERROR(INDEX(分录收入!$H:$H,MATCH($L3291,分录收入!$L:$L,0)),"")</f>
        <v/>
      </c>
      <c r="G3291" s="69" t="str">
        <f aca="false">IFERROR(INDEX(分录收入!$I:$I,MATCH($L3291,分录收入!$L:$L,0)),"")</f>
        <v/>
      </c>
      <c r="H3291" s="23"/>
      <c r="I3291" s="70"/>
      <c r="L3291" s="71" t="n">
        <f aca="false">IF(助手收入!$R$221="",-1,助手收入!$R$221*100+(助手收入!$S$221-1)*6+1)</f>
        <v>-1</v>
      </c>
    </row>
    <row r="3292" customFormat="false" ht="23.25" hidden="false" customHeight="true" outlineLevel="0" collapsed="false">
      <c r="B3292" s="67" t="str">
        <f aca="false">""</f>
        <v/>
      </c>
      <c r="C3292" s="67"/>
      <c r="D3292" s="23" t="str">
        <f aca="false">IFERROR(INDEX(分录收入!$E:$E,MATCH($L3292,分录收入!$L:$L,0)),"")</f>
        <v/>
      </c>
      <c r="E3292" s="23" t="str">
        <f aca="false">IFERROR(INDEX(分录收入!$F:$F,MATCH($L3292,分录收入!$L:$L,0)),"")</f>
        <v/>
      </c>
      <c r="F3292" s="68" t="str">
        <f aca="false">IFERROR(INDEX(分录收入!$H:$H,MATCH($L3292,分录收入!$L:$L,0)),"")</f>
        <v/>
      </c>
      <c r="G3292" s="69" t="str">
        <f aca="false">IFERROR(INDEX(分录收入!$I:$I,MATCH($L3292,分录收入!$L:$L,0)),"")</f>
        <v/>
      </c>
      <c r="H3292" s="23"/>
      <c r="I3292" s="70"/>
      <c r="L3292" s="71" t="n">
        <f aca="false">IF(助手收入!$R$221="",-1,助手收入!$R$221*100+(助手收入!$S$221-1)*6+2)</f>
        <v>-1</v>
      </c>
    </row>
    <row r="3293" customFormat="false" ht="23.25" hidden="false" customHeight="true" outlineLevel="0" collapsed="false">
      <c r="B3293" s="67" t="str">
        <f aca="false">""</f>
        <v/>
      </c>
      <c r="C3293" s="67"/>
      <c r="D3293" s="23" t="str">
        <f aca="false">IFERROR(INDEX(分录收入!$E:$E,MATCH($L3293,分录收入!$L:$L,0)),"")</f>
        <v/>
      </c>
      <c r="E3293" s="23" t="str">
        <f aca="false">IFERROR(INDEX(分录收入!$F:$F,MATCH($L3293,分录收入!$L:$L,0)),"")</f>
        <v/>
      </c>
      <c r="F3293" s="68" t="str">
        <f aca="false">IFERROR(INDEX(分录收入!$H:$H,MATCH($L3293,分录收入!$L:$L,0)),"")</f>
        <v/>
      </c>
      <c r="G3293" s="69" t="str">
        <f aca="false">IFERROR(INDEX(分录收入!$I:$I,MATCH($L3293,分录收入!$L:$L,0)),"")</f>
        <v/>
      </c>
      <c r="H3293" s="23"/>
      <c r="I3293" s="70"/>
      <c r="L3293" s="71" t="n">
        <f aca="false">IF(助手收入!$R$221="",-1,助手收入!$R$221*100+(助手收入!$S$221-1)*6+3)</f>
        <v>-1</v>
      </c>
    </row>
    <row r="3294" customFormat="false" ht="23.25" hidden="false" customHeight="true" outlineLevel="0" collapsed="false">
      <c r="B3294" s="67" t="str">
        <f aca="false">""</f>
        <v/>
      </c>
      <c r="C3294" s="67"/>
      <c r="D3294" s="23" t="str">
        <f aca="false">IFERROR(INDEX(分录收入!$E:$E,MATCH($L3294,分录收入!$L:$L,0)),"")</f>
        <v/>
      </c>
      <c r="E3294" s="23" t="str">
        <f aca="false">IFERROR(INDEX(分录收入!$F:$F,MATCH($L3294,分录收入!$L:$L,0)),"")</f>
        <v/>
      </c>
      <c r="F3294" s="68" t="str">
        <f aca="false">IFERROR(INDEX(分录收入!$H:$H,MATCH($L3294,分录收入!$L:$L,0)),"")</f>
        <v/>
      </c>
      <c r="G3294" s="69" t="str">
        <f aca="false">IFERROR(INDEX(分录收入!$I:$I,MATCH($L3294,分录收入!$L:$L,0)),"")</f>
        <v/>
      </c>
      <c r="H3294" s="23"/>
      <c r="I3294" s="70"/>
      <c r="L3294" s="71" t="n">
        <f aca="false">IF(助手收入!$R$221="",-1,助手收入!$R$221*100+(助手收入!$S$221-1)*6+4)</f>
        <v>-1</v>
      </c>
    </row>
    <row r="3295" customFormat="false" ht="23.25" hidden="false" customHeight="true" outlineLevel="0" collapsed="false">
      <c r="B3295" s="67" t="str">
        <f aca="false">""</f>
        <v/>
      </c>
      <c r="C3295" s="67"/>
      <c r="D3295" s="23" t="str">
        <f aca="false">IFERROR(INDEX(分录收入!$E:$E,MATCH($L3295,分录收入!$L:$L,0)),"")</f>
        <v/>
      </c>
      <c r="E3295" s="23" t="str">
        <f aca="false">IFERROR(INDEX(分录收入!$F:$F,MATCH($L3295,分录收入!$L:$L,0)),"")</f>
        <v/>
      </c>
      <c r="F3295" s="68" t="str">
        <f aca="false">IFERROR(INDEX(分录收入!$H:$H,MATCH($L3295,分录收入!$L:$L,0)),"")</f>
        <v/>
      </c>
      <c r="G3295" s="69" t="str">
        <f aca="false">IFERROR(INDEX(分录收入!$I:$I,MATCH($L3295,分录收入!$L:$L,0)),"")</f>
        <v/>
      </c>
      <c r="H3295" s="23"/>
      <c r="I3295" s="70"/>
      <c r="L3295" s="71" t="n">
        <f aca="false">IF(助手收入!$R$221="",-1,助手收入!$R$221*100+(助手收入!$S$221-1)*6+5)</f>
        <v>-1</v>
      </c>
    </row>
    <row r="3296" customFormat="false" ht="23.25" hidden="false" customHeight="true" outlineLevel="0" collapsed="false">
      <c r="B3296" s="67" t="str">
        <f aca="false">""</f>
        <v/>
      </c>
      <c r="C3296" s="67"/>
      <c r="D3296" s="23" t="str">
        <f aca="false">IFERROR(INDEX(分录收入!$E:$E,MATCH($L3296,分录收入!$L:$L,0)),"")</f>
        <v/>
      </c>
      <c r="E3296" s="23" t="str">
        <f aca="false">IFERROR(INDEX(分录收入!$F:$F,MATCH($L3296,分录收入!$L:$L,0)),"")</f>
        <v/>
      </c>
      <c r="F3296" s="68" t="str">
        <f aca="false">IFERROR(INDEX(分录收入!$H:$H,MATCH($L3296,分录收入!$L:$L,0)),"")</f>
        <v/>
      </c>
      <c r="G3296" s="69" t="str">
        <f aca="false">IFERROR(INDEX(分录收入!$I:$I,MATCH($L3296,分录收入!$L:$L,0)),"")</f>
        <v/>
      </c>
      <c r="H3296" s="23"/>
      <c r="I3296" s="70"/>
      <c r="L3296" s="71" t="n">
        <f aca="false">IF(助手收入!$R$221="",-1,助手收入!$R$221*100+(助手收入!$S$221-1)*6+6)</f>
        <v>-1</v>
      </c>
    </row>
    <row r="3297" customFormat="false" ht="23.25" hidden="false" customHeight="true" outlineLevel="0" collapsed="false">
      <c r="B3297" s="72" t="str">
        <f aca="false">IF(助手收入!$T$221=1,"合计：","")</f>
        <v/>
      </c>
      <c r="C3297" s="73" t="str">
        <f aca="false">IF(助手收入!$T$221=1,$F3297,"")</f>
        <v/>
      </c>
      <c r="D3297" s="74"/>
      <c r="E3297" s="74"/>
      <c r="F3297" s="75" t="str">
        <f aca="false">IF(助手收入!$T$221=1,INDEX(助手收入!$N$2:$N$66,助手收入!$R$221),"")</f>
        <v/>
      </c>
      <c r="G3297" s="76" t="str">
        <f aca="false">IF(助手收入!$T$221=1,INDEX(助手收入!$O$2:$O$66,助手收入!$R$221),"")</f>
        <v/>
      </c>
      <c r="H3297" s="74"/>
      <c r="I3297" s="77"/>
    </row>
    <row r="3298" customFormat="false" ht="6" hidden="false" customHeight="true" outlineLevel="0" collapsed="false"/>
    <row r="3299" customFormat="false" ht="13.5" hidden="false" customHeight="false" outlineLevel="0" collapsed="false">
      <c r="B3299" s="78" t="str">
        <f aca="false">IF(助手收入!$R$221&lt;&gt;"","会计主管：","")</f>
        <v/>
      </c>
      <c r="D3299" s="78" t="str">
        <f aca="false">IF(助手收入!$R$221&lt;&gt;"","会计：","")</f>
        <v/>
      </c>
      <c r="E3299" s="78" t="str">
        <f aca="false">IF(助手收入!$R$221&lt;&gt;"","出纳：","")</f>
        <v/>
      </c>
      <c r="F3299" s="78" t="str">
        <f aca="false">IF(助手收入!$R$221&lt;&gt;"","复核：","")</f>
        <v/>
      </c>
      <c r="G3299" s="78" t="str">
        <f aca="false">IF(助手收入!$R$221&lt;&gt;"","制单：","")</f>
        <v/>
      </c>
    </row>
    <row r="3300" customFormat="false" ht="3" hidden="false" customHeight="true" outlineLevel="0" collapsed="false"/>
    <row r="3301" customFormat="false" ht="19.5" hidden="false" customHeight="true" outlineLevel="0" collapsed="false">
      <c r="B3301" s="53" t="str">
        <f aca="false">IF(助手收入!$R$222&lt;&gt;"","记  账  凭  证","")</f>
        <v/>
      </c>
      <c r="C3301" s="53"/>
      <c r="D3301" s="53"/>
      <c r="E3301" s="53"/>
      <c r="F3301" s="53"/>
      <c r="G3301" s="53"/>
      <c r="H3301" s="53"/>
      <c r="I3301" s="53"/>
    </row>
    <row r="3302" customFormat="false" ht="3" hidden="false" customHeight="true" outlineLevel="0" collapsed="false"/>
    <row r="3303" customFormat="false" ht="15" hidden="false" customHeight="true" outlineLevel="0" collapsed="false">
      <c r="C3303" s="56" t="str">
        <f aca="false">IF(助手收入!$R$222&lt;&gt;"",INDEX(助手收入!$B$2:$B$66,助手收入!$R$222),"")</f>
        <v/>
      </c>
      <c r="D3303" s="57" t="str">
        <f aca="false">IF(助手收入!$R$222&lt;&gt;"",参数!$B$2,"")</f>
        <v/>
      </c>
      <c r="E3303" s="57"/>
      <c r="F3303" s="58" t="str">
        <f aca="false">IF(助手收入!$R$222&lt;&gt;"",INDEX(助手收入!$C$2:$C$66,助手收入!$R$222)&amp;"  字第 "&amp;IF(参数!$B$9="是",INDEX(助手收入!$P$2:$P$66,助手收入!$R$222),"　　　　")&amp;" 号"&amp;IF(INDEX(助手收入!$L$2:$L$66,助手收入!$R$222)&gt;1,"  (共"&amp;INDEX(助手收入!$L$2:$L$66,助手收入!$R$222)&amp;"页 第"&amp;助手收入!$S$222&amp;"页)",""),"")</f>
        <v/>
      </c>
      <c r="G3303" s="58"/>
      <c r="H3303" s="58"/>
      <c r="I3303" s="58"/>
      <c r="M3303" s="79" t="str">
        <f aca="false">IF(助手收入!$R$222="","",助手收入!$Q$222)</f>
        <v/>
      </c>
      <c r="N3303" s="80" t="str">
        <f aca="false">IF(助手收入!$R$222="","",INDEX(助手收入!$P$2:$P$66,助手收入!$R$222))</f>
        <v/>
      </c>
      <c r="O3303" s="55" t="str">
        <f aca="false">IF(助手收入!$R$222="","",INDEX(助手收入!$C$2:$C$66,助手收入!$R$222)&amp;"  字第 "&amp;INDEX(助手收入!$P$2:$P$66,助手收入!$R$222)&amp;" 号"&amp;IF(INDEX(助手收入!$L$2:$L$66,助手收入!$R$222)&gt;1,"  (共"&amp;INDEX(助手收入!$L$2:$L$66,助手收入!$R$222)&amp;"页 第"&amp;助手收入!$S$222&amp;"页)",""))</f>
        <v/>
      </c>
    </row>
    <row r="3304" customFormat="false" ht="12.75" hidden="false" customHeight="true" outlineLevel="0" collapsed="false">
      <c r="B3304" s="61" t="str">
        <f aca="false">IF(助手收入!$R$222&lt;&gt;"","摘　　要","")</f>
        <v/>
      </c>
      <c r="C3304" s="61"/>
      <c r="D3304" s="62" t="str">
        <f aca="false">IF(助手收入!$R$222&lt;&gt;"","科　　　　目","")</f>
        <v/>
      </c>
      <c r="E3304" s="62"/>
      <c r="F3304" s="61" t="str">
        <f aca="false">IF(助手收入!$R$222&lt;&gt;"","借 方 金 额","")</f>
        <v/>
      </c>
      <c r="G3304" s="62" t="str">
        <f aca="false">IF(助手收入!$R$222&lt;&gt;"","贷 方 金 额","")</f>
        <v/>
      </c>
      <c r="H3304" s="63" t="str">
        <f aca="false">IF(助手收入!$R$222&lt;&gt;"","√","")</f>
        <v/>
      </c>
      <c r="I3304" s="64" t="str">
        <f aca="false">IF(助手收入!$R$222&lt;&gt;"","附单据  张","")</f>
        <v/>
      </c>
    </row>
    <row r="3305" customFormat="false" ht="12.75" hidden="false" customHeight="true" outlineLevel="0" collapsed="false">
      <c r="B3305" s="61"/>
      <c r="C3305" s="61"/>
      <c r="D3305" s="23" t="str">
        <f aca="false">IF(助手收入!$R$222&lt;&gt;"","总 账 科 目","")</f>
        <v/>
      </c>
      <c r="E3305" s="23" t="str">
        <f aca="false">IF(助手收入!$R$222&lt;&gt;"","明 细 科 目","")</f>
        <v/>
      </c>
      <c r="F3305" s="65"/>
      <c r="G3305" s="66"/>
      <c r="H3305" s="63"/>
      <c r="I3305" s="64"/>
    </row>
    <row r="3306" customFormat="false" ht="23.25" hidden="false" customHeight="true" outlineLevel="0" collapsed="false">
      <c r="B3306" s="67" t="str">
        <f aca="false">IFERROR(INDEX(分录收入!$M:$M,MATCH($L3306,分录收入!$L:$L,0)),"")</f>
        <v/>
      </c>
      <c r="C3306" s="67"/>
      <c r="D3306" s="23" t="str">
        <f aca="false">IFERROR(INDEX(分录收入!$E:$E,MATCH($L3306,分录收入!$L:$L,0)),"")</f>
        <v/>
      </c>
      <c r="E3306" s="23" t="str">
        <f aca="false">IFERROR(INDEX(分录收入!$F:$F,MATCH($L3306,分录收入!$L:$L,0)),"")</f>
        <v/>
      </c>
      <c r="F3306" s="68" t="str">
        <f aca="false">IFERROR(INDEX(分录收入!$H:$H,MATCH($L3306,分录收入!$L:$L,0)),"")</f>
        <v/>
      </c>
      <c r="G3306" s="69" t="str">
        <f aca="false">IFERROR(INDEX(分录收入!$I:$I,MATCH($L3306,分录收入!$L:$L,0)),"")</f>
        <v/>
      </c>
      <c r="H3306" s="23"/>
      <c r="I3306" s="70"/>
      <c r="L3306" s="71" t="n">
        <f aca="false">IF(助手收入!$R$222="",-1,助手收入!$R$222*100+(助手收入!$S$222-1)*6+1)</f>
        <v>-1</v>
      </c>
    </row>
    <row r="3307" customFormat="false" ht="23.25" hidden="false" customHeight="true" outlineLevel="0" collapsed="false">
      <c r="B3307" s="67" t="str">
        <f aca="false">""</f>
        <v/>
      </c>
      <c r="C3307" s="67"/>
      <c r="D3307" s="23" t="str">
        <f aca="false">IFERROR(INDEX(分录收入!$E:$E,MATCH($L3307,分录收入!$L:$L,0)),"")</f>
        <v/>
      </c>
      <c r="E3307" s="23" t="str">
        <f aca="false">IFERROR(INDEX(分录收入!$F:$F,MATCH($L3307,分录收入!$L:$L,0)),"")</f>
        <v/>
      </c>
      <c r="F3307" s="68" t="str">
        <f aca="false">IFERROR(INDEX(分录收入!$H:$H,MATCH($L3307,分录收入!$L:$L,0)),"")</f>
        <v/>
      </c>
      <c r="G3307" s="69" t="str">
        <f aca="false">IFERROR(INDEX(分录收入!$I:$I,MATCH($L3307,分录收入!$L:$L,0)),"")</f>
        <v/>
      </c>
      <c r="H3307" s="23"/>
      <c r="I3307" s="70"/>
      <c r="L3307" s="71" t="n">
        <f aca="false">IF(助手收入!$R$222="",-1,助手收入!$R$222*100+(助手收入!$S$222-1)*6+2)</f>
        <v>-1</v>
      </c>
    </row>
    <row r="3308" customFormat="false" ht="23.25" hidden="false" customHeight="true" outlineLevel="0" collapsed="false">
      <c r="B3308" s="67" t="str">
        <f aca="false">""</f>
        <v/>
      </c>
      <c r="C3308" s="67"/>
      <c r="D3308" s="23" t="str">
        <f aca="false">IFERROR(INDEX(分录收入!$E:$E,MATCH($L3308,分录收入!$L:$L,0)),"")</f>
        <v/>
      </c>
      <c r="E3308" s="23" t="str">
        <f aca="false">IFERROR(INDEX(分录收入!$F:$F,MATCH($L3308,分录收入!$L:$L,0)),"")</f>
        <v/>
      </c>
      <c r="F3308" s="68" t="str">
        <f aca="false">IFERROR(INDEX(分录收入!$H:$H,MATCH($L3308,分录收入!$L:$L,0)),"")</f>
        <v/>
      </c>
      <c r="G3308" s="69" t="str">
        <f aca="false">IFERROR(INDEX(分录收入!$I:$I,MATCH($L3308,分录收入!$L:$L,0)),"")</f>
        <v/>
      </c>
      <c r="H3308" s="23"/>
      <c r="I3308" s="70"/>
      <c r="L3308" s="71" t="n">
        <f aca="false">IF(助手收入!$R$222="",-1,助手收入!$R$222*100+(助手收入!$S$222-1)*6+3)</f>
        <v>-1</v>
      </c>
    </row>
    <row r="3309" customFormat="false" ht="23.25" hidden="false" customHeight="true" outlineLevel="0" collapsed="false">
      <c r="B3309" s="67" t="str">
        <f aca="false">""</f>
        <v/>
      </c>
      <c r="C3309" s="67"/>
      <c r="D3309" s="23" t="str">
        <f aca="false">IFERROR(INDEX(分录收入!$E:$E,MATCH($L3309,分录收入!$L:$L,0)),"")</f>
        <v/>
      </c>
      <c r="E3309" s="23" t="str">
        <f aca="false">IFERROR(INDEX(分录收入!$F:$F,MATCH($L3309,分录收入!$L:$L,0)),"")</f>
        <v/>
      </c>
      <c r="F3309" s="68" t="str">
        <f aca="false">IFERROR(INDEX(分录收入!$H:$H,MATCH($L3309,分录收入!$L:$L,0)),"")</f>
        <v/>
      </c>
      <c r="G3309" s="69" t="str">
        <f aca="false">IFERROR(INDEX(分录收入!$I:$I,MATCH($L3309,分录收入!$L:$L,0)),"")</f>
        <v/>
      </c>
      <c r="H3309" s="23"/>
      <c r="I3309" s="70"/>
      <c r="L3309" s="71" t="n">
        <f aca="false">IF(助手收入!$R$222="",-1,助手收入!$R$222*100+(助手收入!$S$222-1)*6+4)</f>
        <v>-1</v>
      </c>
    </row>
    <row r="3310" customFormat="false" ht="23.25" hidden="false" customHeight="true" outlineLevel="0" collapsed="false">
      <c r="B3310" s="67" t="str">
        <f aca="false">""</f>
        <v/>
      </c>
      <c r="C3310" s="67"/>
      <c r="D3310" s="23" t="str">
        <f aca="false">IFERROR(INDEX(分录收入!$E:$E,MATCH($L3310,分录收入!$L:$L,0)),"")</f>
        <v/>
      </c>
      <c r="E3310" s="23" t="str">
        <f aca="false">IFERROR(INDEX(分录收入!$F:$F,MATCH($L3310,分录收入!$L:$L,0)),"")</f>
        <v/>
      </c>
      <c r="F3310" s="68" t="str">
        <f aca="false">IFERROR(INDEX(分录收入!$H:$H,MATCH($L3310,分录收入!$L:$L,0)),"")</f>
        <v/>
      </c>
      <c r="G3310" s="69" t="str">
        <f aca="false">IFERROR(INDEX(分录收入!$I:$I,MATCH($L3310,分录收入!$L:$L,0)),"")</f>
        <v/>
      </c>
      <c r="H3310" s="23"/>
      <c r="I3310" s="70"/>
      <c r="L3310" s="71" t="n">
        <f aca="false">IF(助手收入!$R$222="",-1,助手收入!$R$222*100+(助手收入!$S$222-1)*6+5)</f>
        <v>-1</v>
      </c>
    </row>
    <row r="3311" customFormat="false" ht="23.25" hidden="false" customHeight="true" outlineLevel="0" collapsed="false">
      <c r="B3311" s="67" t="str">
        <f aca="false">""</f>
        <v/>
      </c>
      <c r="C3311" s="67"/>
      <c r="D3311" s="23" t="str">
        <f aca="false">IFERROR(INDEX(分录收入!$E:$E,MATCH($L3311,分录收入!$L:$L,0)),"")</f>
        <v/>
      </c>
      <c r="E3311" s="23" t="str">
        <f aca="false">IFERROR(INDEX(分录收入!$F:$F,MATCH($L3311,分录收入!$L:$L,0)),"")</f>
        <v/>
      </c>
      <c r="F3311" s="68" t="str">
        <f aca="false">IFERROR(INDEX(分录收入!$H:$H,MATCH($L3311,分录收入!$L:$L,0)),"")</f>
        <v/>
      </c>
      <c r="G3311" s="69" t="str">
        <f aca="false">IFERROR(INDEX(分录收入!$I:$I,MATCH($L3311,分录收入!$L:$L,0)),"")</f>
        <v/>
      </c>
      <c r="H3311" s="23"/>
      <c r="I3311" s="70"/>
      <c r="L3311" s="71" t="n">
        <f aca="false">IF(助手收入!$R$222="",-1,助手收入!$R$222*100+(助手收入!$S$222-1)*6+6)</f>
        <v>-1</v>
      </c>
    </row>
    <row r="3312" customFormat="false" ht="23.25" hidden="false" customHeight="true" outlineLevel="0" collapsed="false">
      <c r="B3312" s="72" t="str">
        <f aca="false">IF(助手收入!$T$222=1,"合计：","")</f>
        <v/>
      </c>
      <c r="C3312" s="73" t="str">
        <f aca="false">IF(助手收入!$T$222=1,$F3312,"")</f>
        <v/>
      </c>
      <c r="D3312" s="74"/>
      <c r="E3312" s="74"/>
      <c r="F3312" s="75" t="str">
        <f aca="false">IF(助手收入!$T$222=1,INDEX(助手收入!$N$2:$N$66,助手收入!$R$222),"")</f>
        <v/>
      </c>
      <c r="G3312" s="76" t="str">
        <f aca="false">IF(助手收入!$T$222=1,INDEX(助手收入!$O$2:$O$66,助手收入!$R$222),"")</f>
        <v/>
      </c>
      <c r="H3312" s="74"/>
      <c r="I3312" s="77"/>
    </row>
    <row r="3313" customFormat="false" ht="6" hidden="false" customHeight="true" outlineLevel="0" collapsed="false"/>
    <row r="3314" customFormat="false" ht="13.5" hidden="false" customHeight="false" outlineLevel="0" collapsed="false">
      <c r="B3314" s="78" t="str">
        <f aca="false">IF(助手收入!$R$222&lt;&gt;"","会计主管：","")</f>
        <v/>
      </c>
      <c r="D3314" s="78" t="str">
        <f aca="false">IF(助手收入!$R$222&lt;&gt;"","会计：","")</f>
        <v/>
      </c>
      <c r="E3314" s="78" t="str">
        <f aca="false">IF(助手收入!$R$222&lt;&gt;"","出纳：","")</f>
        <v/>
      </c>
      <c r="F3314" s="78" t="str">
        <f aca="false">IF(助手收入!$R$222&lt;&gt;"","复核：","")</f>
        <v/>
      </c>
      <c r="G3314" s="78" t="str">
        <f aca="false">IF(助手收入!$R$222&lt;&gt;"","制单：","")</f>
        <v/>
      </c>
    </row>
    <row r="3315" customFormat="false" ht="3" hidden="false" customHeight="true" outlineLevel="0" collapsed="false"/>
    <row r="3316" customFormat="false" ht="19.5" hidden="false" customHeight="true" outlineLevel="0" collapsed="false">
      <c r="B3316" s="53" t="str">
        <f aca="false">IF(助手收入!$R$223&lt;&gt;"","记  账  凭  证","")</f>
        <v/>
      </c>
      <c r="C3316" s="53"/>
      <c r="D3316" s="53"/>
      <c r="E3316" s="53"/>
      <c r="F3316" s="53"/>
      <c r="G3316" s="53"/>
      <c r="H3316" s="53"/>
      <c r="I3316" s="53"/>
    </row>
    <row r="3317" customFormat="false" ht="3" hidden="false" customHeight="true" outlineLevel="0" collapsed="false"/>
    <row r="3318" customFormat="false" ht="15" hidden="false" customHeight="true" outlineLevel="0" collapsed="false">
      <c r="C3318" s="56" t="str">
        <f aca="false">IF(助手收入!$R$223&lt;&gt;"",INDEX(助手收入!$B$2:$B$66,助手收入!$R$223),"")</f>
        <v/>
      </c>
      <c r="D3318" s="57" t="str">
        <f aca="false">IF(助手收入!$R$223&lt;&gt;"",参数!$B$2,"")</f>
        <v/>
      </c>
      <c r="E3318" s="57"/>
      <c r="F3318" s="58" t="str">
        <f aca="false">IF(助手收入!$R$223&lt;&gt;"",INDEX(助手收入!$C$2:$C$66,助手收入!$R$223)&amp;"  字第 "&amp;IF(参数!$B$9="是",INDEX(助手收入!$P$2:$P$66,助手收入!$R$223),"　　　　")&amp;" 号"&amp;IF(INDEX(助手收入!$L$2:$L$66,助手收入!$R$223)&gt;1,"  (共"&amp;INDEX(助手收入!$L$2:$L$66,助手收入!$R$223)&amp;"页 第"&amp;助手收入!$S$223&amp;"页)",""),"")</f>
        <v/>
      </c>
      <c r="G3318" s="58"/>
      <c r="H3318" s="58"/>
      <c r="I3318" s="58"/>
      <c r="M3318" s="79" t="str">
        <f aca="false">IF(助手收入!$R$223="","",助手收入!$Q$223)</f>
        <v/>
      </c>
      <c r="N3318" s="80" t="str">
        <f aca="false">IF(助手收入!$R$223="","",INDEX(助手收入!$P$2:$P$66,助手收入!$R$223))</f>
        <v/>
      </c>
      <c r="O3318" s="55" t="str">
        <f aca="false">IF(助手收入!$R$223="","",INDEX(助手收入!$C$2:$C$66,助手收入!$R$223)&amp;"  字第 "&amp;INDEX(助手收入!$P$2:$P$66,助手收入!$R$223)&amp;" 号"&amp;IF(INDEX(助手收入!$L$2:$L$66,助手收入!$R$223)&gt;1,"  (共"&amp;INDEX(助手收入!$L$2:$L$66,助手收入!$R$223)&amp;"页 第"&amp;助手收入!$S$223&amp;"页)",""))</f>
        <v/>
      </c>
    </row>
    <row r="3319" customFormat="false" ht="12.75" hidden="false" customHeight="true" outlineLevel="0" collapsed="false">
      <c r="B3319" s="61" t="str">
        <f aca="false">IF(助手收入!$R$223&lt;&gt;"","摘　　要","")</f>
        <v/>
      </c>
      <c r="C3319" s="61"/>
      <c r="D3319" s="62" t="str">
        <f aca="false">IF(助手收入!$R$223&lt;&gt;"","科　　　　目","")</f>
        <v/>
      </c>
      <c r="E3319" s="62"/>
      <c r="F3319" s="61" t="str">
        <f aca="false">IF(助手收入!$R$223&lt;&gt;"","借 方 金 额","")</f>
        <v/>
      </c>
      <c r="G3319" s="62" t="str">
        <f aca="false">IF(助手收入!$R$223&lt;&gt;"","贷 方 金 额","")</f>
        <v/>
      </c>
      <c r="H3319" s="63" t="str">
        <f aca="false">IF(助手收入!$R$223&lt;&gt;"","√","")</f>
        <v/>
      </c>
      <c r="I3319" s="64" t="str">
        <f aca="false">IF(助手收入!$R$223&lt;&gt;"","附单据  张","")</f>
        <v/>
      </c>
    </row>
    <row r="3320" customFormat="false" ht="12.75" hidden="false" customHeight="true" outlineLevel="0" collapsed="false">
      <c r="B3320" s="61"/>
      <c r="C3320" s="61"/>
      <c r="D3320" s="23" t="str">
        <f aca="false">IF(助手收入!$R$223&lt;&gt;"","总 账 科 目","")</f>
        <v/>
      </c>
      <c r="E3320" s="23" t="str">
        <f aca="false">IF(助手收入!$R$223&lt;&gt;"","明 细 科 目","")</f>
        <v/>
      </c>
      <c r="F3320" s="65"/>
      <c r="G3320" s="66"/>
      <c r="H3320" s="63"/>
      <c r="I3320" s="64"/>
    </row>
    <row r="3321" customFormat="false" ht="23.25" hidden="false" customHeight="true" outlineLevel="0" collapsed="false">
      <c r="B3321" s="67" t="str">
        <f aca="false">IFERROR(INDEX(分录收入!$M:$M,MATCH($L3321,分录收入!$L:$L,0)),"")</f>
        <v/>
      </c>
      <c r="C3321" s="67"/>
      <c r="D3321" s="23" t="str">
        <f aca="false">IFERROR(INDEX(分录收入!$E:$E,MATCH($L3321,分录收入!$L:$L,0)),"")</f>
        <v/>
      </c>
      <c r="E3321" s="23" t="str">
        <f aca="false">IFERROR(INDEX(分录收入!$F:$F,MATCH($L3321,分录收入!$L:$L,0)),"")</f>
        <v/>
      </c>
      <c r="F3321" s="68" t="str">
        <f aca="false">IFERROR(INDEX(分录收入!$H:$H,MATCH($L3321,分录收入!$L:$L,0)),"")</f>
        <v/>
      </c>
      <c r="G3321" s="69" t="str">
        <f aca="false">IFERROR(INDEX(分录收入!$I:$I,MATCH($L3321,分录收入!$L:$L,0)),"")</f>
        <v/>
      </c>
      <c r="H3321" s="23"/>
      <c r="I3321" s="70"/>
      <c r="L3321" s="71" t="n">
        <f aca="false">IF(助手收入!$R$223="",-1,助手收入!$R$223*100+(助手收入!$S$223-1)*6+1)</f>
        <v>-1</v>
      </c>
    </row>
    <row r="3322" customFormat="false" ht="23.25" hidden="false" customHeight="true" outlineLevel="0" collapsed="false">
      <c r="B3322" s="67" t="str">
        <f aca="false">""</f>
        <v/>
      </c>
      <c r="C3322" s="67"/>
      <c r="D3322" s="23" t="str">
        <f aca="false">IFERROR(INDEX(分录收入!$E:$E,MATCH($L3322,分录收入!$L:$L,0)),"")</f>
        <v/>
      </c>
      <c r="E3322" s="23" t="str">
        <f aca="false">IFERROR(INDEX(分录收入!$F:$F,MATCH($L3322,分录收入!$L:$L,0)),"")</f>
        <v/>
      </c>
      <c r="F3322" s="68" t="str">
        <f aca="false">IFERROR(INDEX(分录收入!$H:$H,MATCH($L3322,分录收入!$L:$L,0)),"")</f>
        <v/>
      </c>
      <c r="G3322" s="69" t="str">
        <f aca="false">IFERROR(INDEX(分录收入!$I:$I,MATCH($L3322,分录收入!$L:$L,0)),"")</f>
        <v/>
      </c>
      <c r="H3322" s="23"/>
      <c r="I3322" s="70"/>
      <c r="L3322" s="71" t="n">
        <f aca="false">IF(助手收入!$R$223="",-1,助手收入!$R$223*100+(助手收入!$S$223-1)*6+2)</f>
        <v>-1</v>
      </c>
    </row>
    <row r="3323" customFormat="false" ht="23.25" hidden="false" customHeight="true" outlineLevel="0" collapsed="false">
      <c r="B3323" s="67" t="str">
        <f aca="false">""</f>
        <v/>
      </c>
      <c r="C3323" s="67"/>
      <c r="D3323" s="23" t="str">
        <f aca="false">IFERROR(INDEX(分录收入!$E:$E,MATCH($L3323,分录收入!$L:$L,0)),"")</f>
        <v/>
      </c>
      <c r="E3323" s="23" t="str">
        <f aca="false">IFERROR(INDEX(分录收入!$F:$F,MATCH($L3323,分录收入!$L:$L,0)),"")</f>
        <v/>
      </c>
      <c r="F3323" s="68" t="str">
        <f aca="false">IFERROR(INDEX(分录收入!$H:$H,MATCH($L3323,分录收入!$L:$L,0)),"")</f>
        <v/>
      </c>
      <c r="G3323" s="69" t="str">
        <f aca="false">IFERROR(INDEX(分录收入!$I:$I,MATCH($L3323,分录收入!$L:$L,0)),"")</f>
        <v/>
      </c>
      <c r="H3323" s="23"/>
      <c r="I3323" s="70"/>
      <c r="L3323" s="71" t="n">
        <f aca="false">IF(助手收入!$R$223="",-1,助手收入!$R$223*100+(助手收入!$S$223-1)*6+3)</f>
        <v>-1</v>
      </c>
    </row>
    <row r="3324" customFormat="false" ht="23.25" hidden="false" customHeight="true" outlineLevel="0" collapsed="false">
      <c r="B3324" s="67" t="str">
        <f aca="false">""</f>
        <v/>
      </c>
      <c r="C3324" s="67"/>
      <c r="D3324" s="23" t="str">
        <f aca="false">IFERROR(INDEX(分录收入!$E:$E,MATCH($L3324,分录收入!$L:$L,0)),"")</f>
        <v/>
      </c>
      <c r="E3324" s="23" t="str">
        <f aca="false">IFERROR(INDEX(分录收入!$F:$F,MATCH($L3324,分录收入!$L:$L,0)),"")</f>
        <v/>
      </c>
      <c r="F3324" s="68" t="str">
        <f aca="false">IFERROR(INDEX(分录收入!$H:$H,MATCH($L3324,分录收入!$L:$L,0)),"")</f>
        <v/>
      </c>
      <c r="G3324" s="69" t="str">
        <f aca="false">IFERROR(INDEX(分录收入!$I:$I,MATCH($L3324,分录收入!$L:$L,0)),"")</f>
        <v/>
      </c>
      <c r="H3324" s="23"/>
      <c r="I3324" s="70"/>
      <c r="L3324" s="71" t="n">
        <f aca="false">IF(助手收入!$R$223="",-1,助手收入!$R$223*100+(助手收入!$S$223-1)*6+4)</f>
        <v>-1</v>
      </c>
    </row>
    <row r="3325" customFormat="false" ht="23.25" hidden="false" customHeight="true" outlineLevel="0" collapsed="false">
      <c r="B3325" s="67" t="str">
        <f aca="false">""</f>
        <v/>
      </c>
      <c r="C3325" s="67"/>
      <c r="D3325" s="23" t="str">
        <f aca="false">IFERROR(INDEX(分录收入!$E:$E,MATCH($L3325,分录收入!$L:$L,0)),"")</f>
        <v/>
      </c>
      <c r="E3325" s="23" t="str">
        <f aca="false">IFERROR(INDEX(分录收入!$F:$F,MATCH($L3325,分录收入!$L:$L,0)),"")</f>
        <v/>
      </c>
      <c r="F3325" s="68" t="str">
        <f aca="false">IFERROR(INDEX(分录收入!$H:$H,MATCH($L3325,分录收入!$L:$L,0)),"")</f>
        <v/>
      </c>
      <c r="G3325" s="69" t="str">
        <f aca="false">IFERROR(INDEX(分录收入!$I:$I,MATCH($L3325,分录收入!$L:$L,0)),"")</f>
        <v/>
      </c>
      <c r="H3325" s="23"/>
      <c r="I3325" s="70"/>
      <c r="L3325" s="71" t="n">
        <f aca="false">IF(助手收入!$R$223="",-1,助手收入!$R$223*100+(助手收入!$S$223-1)*6+5)</f>
        <v>-1</v>
      </c>
    </row>
    <row r="3326" customFormat="false" ht="23.25" hidden="false" customHeight="true" outlineLevel="0" collapsed="false">
      <c r="B3326" s="67" t="str">
        <f aca="false">""</f>
        <v/>
      </c>
      <c r="C3326" s="67"/>
      <c r="D3326" s="23" t="str">
        <f aca="false">IFERROR(INDEX(分录收入!$E:$E,MATCH($L3326,分录收入!$L:$L,0)),"")</f>
        <v/>
      </c>
      <c r="E3326" s="23" t="str">
        <f aca="false">IFERROR(INDEX(分录收入!$F:$F,MATCH($L3326,分录收入!$L:$L,0)),"")</f>
        <v/>
      </c>
      <c r="F3326" s="68" t="str">
        <f aca="false">IFERROR(INDEX(分录收入!$H:$H,MATCH($L3326,分录收入!$L:$L,0)),"")</f>
        <v/>
      </c>
      <c r="G3326" s="69" t="str">
        <f aca="false">IFERROR(INDEX(分录收入!$I:$I,MATCH($L3326,分录收入!$L:$L,0)),"")</f>
        <v/>
      </c>
      <c r="H3326" s="23"/>
      <c r="I3326" s="70"/>
      <c r="L3326" s="71" t="n">
        <f aca="false">IF(助手收入!$R$223="",-1,助手收入!$R$223*100+(助手收入!$S$223-1)*6+6)</f>
        <v>-1</v>
      </c>
    </row>
    <row r="3327" customFormat="false" ht="23.25" hidden="false" customHeight="true" outlineLevel="0" collapsed="false">
      <c r="B3327" s="72" t="str">
        <f aca="false">IF(助手收入!$T$223=1,"合计：","")</f>
        <v/>
      </c>
      <c r="C3327" s="73" t="str">
        <f aca="false">IF(助手收入!$T$223=1,$F3327,"")</f>
        <v/>
      </c>
      <c r="D3327" s="74"/>
      <c r="E3327" s="74"/>
      <c r="F3327" s="75" t="str">
        <f aca="false">IF(助手收入!$T$223=1,INDEX(助手收入!$N$2:$N$66,助手收入!$R$223),"")</f>
        <v/>
      </c>
      <c r="G3327" s="76" t="str">
        <f aca="false">IF(助手收入!$T$223=1,INDEX(助手收入!$O$2:$O$66,助手收入!$R$223),"")</f>
        <v/>
      </c>
      <c r="H3327" s="74"/>
      <c r="I3327" s="77"/>
    </row>
    <row r="3328" customFormat="false" ht="6" hidden="false" customHeight="true" outlineLevel="0" collapsed="false"/>
    <row r="3329" customFormat="false" ht="13.5" hidden="false" customHeight="false" outlineLevel="0" collapsed="false">
      <c r="B3329" s="78" t="str">
        <f aca="false">IF(助手收入!$R$223&lt;&gt;"","会计主管：","")</f>
        <v/>
      </c>
      <c r="D3329" s="78" t="str">
        <f aca="false">IF(助手收入!$R$223&lt;&gt;"","会计：","")</f>
        <v/>
      </c>
      <c r="E3329" s="78" t="str">
        <f aca="false">IF(助手收入!$R$223&lt;&gt;"","出纳：","")</f>
        <v/>
      </c>
      <c r="F3329" s="78" t="str">
        <f aca="false">IF(助手收入!$R$223&lt;&gt;"","复核：","")</f>
        <v/>
      </c>
      <c r="G3329" s="78" t="str">
        <f aca="false">IF(助手收入!$R$223&lt;&gt;"","制单：","")</f>
        <v/>
      </c>
    </row>
    <row r="3330" customFormat="false" ht="3" hidden="false" customHeight="true" outlineLevel="0" collapsed="false"/>
    <row r="3331" customFormat="false" ht="19.5" hidden="false" customHeight="true" outlineLevel="0" collapsed="false">
      <c r="B3331" s="53" t="str">
        <f aca="false">IF(助手收入!$R$224&lt;&gt;"","记  账  凭  证","")</f>
        <v/>
      </c>
      <c r="C3331" s="53"/>
      <c r="D3331" s="53"/>
      <c r="E3331" s="53"/>
      <c r="F3331" s="53"/>
      <c r="G3331" s="53"/>
      <c r="H3331" s="53"/>
      <c r="I3331" s="53"/>
    </row>
    <row r="3332" customFormat="false" ht="3" hidden="false" customHeight="true" outlineLevel="0" collapsed="false"/>
    <row r="3333" customFormat="false" ht="15" hidden="false" customHeight="true" outlineLevel="0" collapsed="false">
      <c r="C3333" s="56" t="str">
        <f aca="false">IF(助手收入!$R$224&lt;&gt;"",INDEX(助手收入!$B$2:$B$66,助手收入!$R$224),"")</f>
        <v/>
      </c>
      <c r="D3333" s="57" t="str">
        <f aca="false">IF(助手收入!$R$224&lt;&gt;"",参数!$B$2,"")</f>
        <v/>
      </c>
      <c r="E3333" s="57"/>
      <c r="F3333" s="58" t="str">
        <f aca="false">IF(助手收入!$R$224&lt;&gt;"",INDEX(助手收入!$C$2:$C$66,助手收入!$R$224)&amp;"  字第 "&amp;IF(参数!$B$9="是",INDEX(助手收入!$P$2:$P$66,助手收入!$R$224),"　　　　")&amp;" 号"&amp;IF(INDEX(助手收入!$L$2:$L$66,助手收入!$R$224)&gt;1,"  (共"&amp;INDEX(助手收入!$L$2:$L$66,助手收入!$R$224)&amp;"页 第"&amp;助手收入!$S$224&amp;"页)",""),"")</f>
        <v/>
      </c>
      <c r="G3333" s="58"/>
      <c r="H3333" s="58"/>
      <c r="I3333" s="58"/>
      <c r="M3333" s="79" t="str">
        <f aca="false">IF(助手收入!$R$224="","",助手收入!$Q$224)</f>
        <v/>
      </c>
      <c r="N3333" s="80" t="str">
        <f aca="false">IF(助手收入!$R$224="","",INDEX(助手收入!$P$2:$P$66,助手收入!$R$224))</f>
        <v/>
      </c>
      <c r="O3333" s="55" t="str">
        <f aca="false">IF(助手收入!$R$224="","",INDEX(助手收入!$C$2:$C$66,助手收入!$R$224)&amp;"  字第 "&amp;INDEX(助手收入!$P$2:$P$66,助手收入!$R$224)&amp;" 号"&amp;IF(INDEX(助手收入!$L$2:$L$66,助手收入!$R$224)&gt;1,"  (共"&amp;INDEX(助手收入!$L$2:$L$66,助手收入!$R$224)&amp;"页 第"&amp;助手收入!$S$224&amp;"页)",""))</f>
        <v/>
      </c>
    </row>
    <row r="3334" customFormat="false" ht="12.75" hidden="false" customHeight="true" outlineLevel="0" collapsed="false">
      <c r="B3334" s="61" t="str">
        <f aca="false">IF(助手收入!$R$224&lt;&gt;"","摘　　要","")</f>
        <v/>
      </c>
      <c r="C3334" s="61"/>
      <c r="D3334" s="62" t="str">
        <f aca="false">IF(助手收入!$R$224&lt;&gt;"","科　　　　目","")</f>
        <v/>
      </c>
      <c r="E3334" s="62"/>
      <c r="F3334" s="61" t="str">
        <f aca="false">IF(助手收入!$R$224&lt;&gt;"","借 方 金 额","")</f>
        <v/>
      </c>
      <c r="G3334" s="62" t="str">
        <f aca="false">IF(助手收入!$R$224&lt;&gt;"","贷 方 金 额","")</f>
        <v/>
      </c>
      <c r="H3334" s="63" t="str">
        <f aca="false">IF(助手收入!$R$224&lt;&gt;"","√","")</f>
        <v/>
      </c>
      <c r="I3334" s="64" t="str">
        <f aca="false">IF(助手收入!$R$224&lt;&gt;"","附单据  张","")</f>
        <v/>
      </c>
    </row>
    <row r="3335" customFormat="false" ht="12.75" hidden="false" customHeight="true" outlineLevel="0" collapsed="false">
      <c r="B3335" s="61"/>
      <c r="C3335" s="61"/>
      <c r="D3335" s="23" t="str">
        <f aca="false">IF(助手收入!$R$224&lt;&gt;"","总 账 科 目","")</f>
        <v/>
      </c>
      <c r="E3335" s="23" t="str">
        <f aca="false">IF(助手收入!$R$224&lt;&gt;"","明 细 科 目","")</f>
        <v/>
      </c>
      <c r="F3335" s="65"/>
      <c r="G3335" s="66"/>
      <c r="H3335" s="63"/>
      <c r="I3335" s="64"/>
    </row>
    <row r="3336" customFormat="false" ht="23.25" hidden="false" customHeight="true" outlineLevel="0" collapsed="false">
      <c r="B3336" s="67" t="str">
        <f aca="false">IFERROR(INDEX(分录收入!$M:$M,MATCH($L3336,分录收入!$L:$L,0)),"")</f>
        <v/>
      </c>
      <c r="C3336" s="67"/>
      <c r="D3336" s="23" t="str">
        <f aca="false">IFERROR(INDEX(分录收入!$E:$E,MATCH($L3336,分录收入!$L:$L,0)),"")</f>
        <v/>
      </c>
      <c r="E3336" s="23" t="str">
        <f aca="false">IFERROR(INDEX(分录收入!$F:$F,MATCH($L3336,分录收入!$L:$L,0)),"")</f>
        <v/>
      </c>
      <c r="F3336" s="68" t="str">
        <f aca="false">IFERROR(INDEX(分录收入!$H:$H,MATCH($L3336,分录收入!$L:$L,0)),"")</f>
        <v/>
      </c>
      <c r="G3336" s="69" t="str">
        <f aca="false">IFERROR(INDEX(分录收入!$I:$I,MATCH($L3336,分录收入!$L:$L,0)),"")</f>
        <v/>
      </c>
      <c r="H3336" s="23"/>
      <c r="I3336" s="70"/>
      <c r="L3336" s="71" t="n">
        <f aca="false">IF(助手收入!$R$224="",-1,助手收入!$R$224*100+(助手收入!$S$224-1)*6+1)</f>
        <v>-1</v>
      </c>
    </row>
    <row r="3337" customFormat="false" ht="23.25" hidden="false" customHeight="true" outlineLevel="0" collapsed="false">
      <c r="B3337" s="67" t="str">
        <f aca="false">""</f>
        <v/>
      </c>
      <c r="C3337" s="67"/>
      <c r="D3337" s="23" t="str">
        <f aca="false">IFERROR(INDEX(分录收入!$E:$E,MATCH($L3337,分录收入!$L:$L,0)),"")</f>
        <v/>
      </c>
      <c r="E3337" s="23" t="str">
        <f aca="false">IFERROR(INDEX(分录收入!$F:$F,MATCH($L3337,分录收入!$L:$L,0)),"")</f>
        <v/>
      </c>
      <c r="F3337" s="68" t="str">
        <f aca="false">IFERROR(INDEX(分录收入!$H:$H,MATCH($L3337,分录收入!$L:$L,0)),"")</f>
        <v/>
      </c>
      <c r="G3337" s="69" t="str">
        <f aca="false">IFERROR(INDEX(分录收入!$I:$I,MATCH($L3337,分录收入!$L:$L,0)),"")</f>
        <v/>
      </c>
      <c r="H3337" s="23"/>
      <c r="I3337" s="70"/>
      <c r="L3337" s="71" t="n">
        <f aca="false">IF(助手收入!$R$224="",-1,助手收入!$R$224*100+(助手收入!$S$224-1)*6+2)</f>
        <v>-1</v>
      </c>
    </row>
    <row r="3338" customFormat="false" ht="23.25" hidden="false" customHeight="true" outlineLevel="0" collapsed="false">
      <c r="B3338" s="67" t="str">
        <f aca="false">""</f>
        <v/>
      </c>
      <c r="C3338" s="67"/>
      <c r="D3338" s="23" t="str">
        <f aca="false">IFERROR(INDEX(分录收入!$E:$E,MATCH($L3338,分录收入!$L:$L,0)),"")</f>
        <v/>
      </c>
      <c r="E3338" s="23" t="str">
        <f aca="false">IFERROR(INDEX(分录收入!$F:$F,MATCH($L3338,分录收入!$L:$L,0)),"")</f>
        <v/>
      </c>
      <c r="F3338" s="68" t="str">
        <f aca="false">IFERROR(INDEX(分录收入!$H:$H,MATCH($L3338,分录收入!$L:$L,0)),"")</f>
        <v/>
      </c>
      <c r="G3338" s="69" t="str">
        <f aca="false">IFERROR(INDEX(分录收入!$I:$I,MATCH($L3338,分录收入!$L:$L,0)),"")</f>
        <v/>
      </c>
      <c r="H3338" s="23"/>
      <c r="I3338" s="70"/>
      <c r="L3338" s="71" t="n">
        <f aca="false">IF(助手收入!$R$224="",-1,助手收入!$R$224*100+(助手收入!$S$224-1)*6+3)</f>
        <v>-1</v>
      </c>
    </row>
    <row r="3339" customFormat="false" ht="23.25" hidden="false" customHeight="true" outlineLevel="0" collapsed="false">
      <c r="B3339" s="67" t="str">
        <f aca="false">""</f>
        <v/>
      </c>
      <c r="C3339" s="67"/>
      <c r="D3339" s="23" t="str">
        <f aca="false">IFERROR(INDEX(分录收入!$E:$E,MATCH($L3339,分录收入!$L:$L,0)),"")</f>
        <v/>
      </c>
      <c r="E3339" s="23" t="str">
        <f aca="false">IFERROR(INDEX(分录收入!$F:$F,MATCH($L3339,分录收入!$L:$L,0)),"")</f>
        <v/>
      </c>
      <c r="F3339" s="68" t="str">
        <f aca="false">IFERROR(INDEX(分录收入!$H:$H,MATCH($L3339,分录收入!$L:$L,0)),"")</f>
        <v/>
      </c>
      <c r="G3339" s="69" t="str">
        <f aca="false">IFERROR(INDEX(分录收入!$I:$I,MATCH($L3339,分录收入!$L:$L,0)),"")</f>
        <v/>
      </c>
      <c r="H3339" s="23"/>
      <c r="I3339" s="70"/>
      <c r="L3339" s="71" t="n">
        <f aca="false">IF(助手收入!$R$224="",-1,助手收入!$R$224*100+(助手收入!$S$224-1)*6+4)</f>
        <v>-1</v>
      </c>
    </row>
    <row r="3340" customFormat="false" ht="23.25" hidden="false" customHeight="true" outlineLevel="0" collapsed="false">
      <c r="B3340" s="67" t="str">
        <f aca="false">""</f>
        <v/>
      </c>
      <c r="C3340" s="67"/>
      <c r="D3340" s="23" t="str">
        <f aca="false">IFERROR(INDEX(分录收入!$E:$E,MATCH($L3340,分录收入!$L:$L,0)),"")</f>
        <v/>
      </c>
      <c r="E3340" s="23" t="str">
        <f aca="false">IFERROR(INDEX(分录收入!$F:$F,MATCH($L3340,分录收入!$L:$L,0)),"")</f>
        <v/>
      </c>
      <c r="F3340" s="68" t="str">
        <f aca="false">IFERROR(INDEX(分录收入!$H:$H,MATCH($L3340,分录收入!$L:$L,0)),"")</f>
        <v/>
      </c>
      <c r="G3340" s="69" t="str">
        <f aca="false">IFERROR(INDEX(分录收入!$I:$I,MATCH($L3340,分录收入!$L:$L,0)),"")</f>
        <v/>
      </c>
      <c r="H3340" s="23"/>
      <c r="I3340" s="70"/>
      <c r="L3340" s="71" t="n">
        <f aca="false">IF(助手收入!$R$224="",-1,助手收入!$R$224*100+(助手收入!$S$224-1)*6+5)</f>
        <v>-1</v>
      </c>
    </row>
    <row r="3341" customFormat="false" ht="23.25" hidden="false" customHeight="true" outlineLevel="0" collapsed="false">
      <c r="B3341" s="67" t="str">
        <f aca="false">""</f>
        <v/>
      </c>
      <c r="C3341" s="67"/>
      <c r="D3341" s="23" t="str">
        <f aca="false">IFERROR(INDEX(分录收入!$E:$E,MATCH($L3341,分录收入!$L:$L,0)),"")</f>
        <v/>
      </c>
      <c r="E3341" s="23" t="str">
        <f aca="false">IFERROR(INDEX(分录收入!$F:$F,MATCH($L3341,分录收入!$L:$L,0)),"")</f>
        <v/>
      </c>
      <c r="F3341" s="68" t="str">
        <f aca="false">IFERROR(INDEX(分录收入!$H:$H,MATCH($L3341,分录收入!$L:$L,0)),"")</f>
        <v/>
      </c>
      <c r="G3341" s="69" t="str">
        <f aca="false">IFERROR(INDEX(分录收入!$I:$I,MATCH($L3341,分录收入!$L:$L,0)),"")</f>
        <v/>
      </c>
      <c r="H3341" s="23"/>
      <c r="I3341" s="70"/>
      <c r="L3341" s="71" t="n">
        <f aca="false">IF(助手收入!$R$224="",-1,助手收入!$R$224*100+(助手收入!$S$224-1)*6+6)</f>
        <v>-1</v>
      </c>
    </row>
    <row r="3342" customFormat="false" ht="23.25" hidden="false" customHeight="true" outlineLevel="0" collapsed="false">
      <c r="B3342" s="72" t="str">
        <f aca="false">IF(助手收入!$T$224=1,"合计：","")</f>
        <v/>
      </c>
      <c r="C3342" s="73" t="str">
        <f aca="false">IF(助手收入!$T$224=1,$F3342,"")</f>
        <v/>
      </c>
      <c r="D3342" s="74"/>
      <c r="E3342" s="74"/>
      <c r="F3342" s="75" t="str">
        <f aca="false">IF(助手收入!$T$224=1,INDEX(助手收入!$N$2:$N$66,助手收入!$R$224),"")</f>
        <v/>
      </c>
      <c r="G3342" s="76" t="str">
        <f aca="false">IF(助手收入!$T$224=1,INDEX(助手收入!$O$2:$O$66,助手收入!$R$224),"")</f>
        <v/>
      </c>
      <c r="H3342" s="74"/>
      <c r="I3342" s="77"/>
    </row>
    <row r="3343" customFormat="false" ht="6" hidden="false" customHeight="true" outlineLevel="0" collapsed="false"/>
    <row r="3344" customFormat="false" ht="13.5" hidden="false" customHeight="false" outlineLevel="0" collapsed="false">
      <c r="B3344" s="78" t="str">
        <f aca="false">IF(助手收入!$R$224&lt;&gt;"","会计主管：","")</f>
        <v/>
      </c>
      <c r="D3344" s="78" t="str">
        <f aca="false">IF(助手收入!$R$224&lt;&gt;"","会计：","")</f>
        <v/>
      </c>
      <c r="E3344" s="78" t="str">
        <f aca="false">IF(助手收入!$R$224&lt;&gt;"","出纳：","")</f>
        <v/>
      </c>
      <c r="F3344" s="78" t="str">
        <f aca="false">IF(助手收入!$R$224&lt;&gt;"","复核：","")</f>
        <v/>
      </c>
      <c r="G3344" s="78" t="str">
        <f aca="false">IF(助手收入!$R$224&lt;&gt;"","制单：","")</f>
        <v/>
      </c>
    </row>
    <row r="3345" customFormat="false" ht="3" hidden="false" customHeight="true" outlineLevel="0" collapsed="false"/>
    <row r="3346" customFormat="false" ht="19.5" hidden="false" customHeight="true" outlineLevel="0" collapsed="false">
      <c r="B3346" s="53" t="str">
        <f aca="false">IF(助手收入!$R$225&lt;&gt;"","记  账  凭  证","")</f>
        <v/>
      </c>
      <c r="C3346" s="53"/>
      <c r="D3346" s="53"/>
      <c r="E3346" s="53"/>
      <c r="F3346" s="53"/>
      <c r="G3346" s="53"/>
      <c r="H3346" s="53"/>
      <c r="I3346" s="53"/>
    </row>
    <row r="3347" customFormat="false" ht="3" hidden="false" customHeight="true" outlineLevel="0" collapsed="false"/>
    <row r="3348" customFormat="false" ht="15" hidden="false" customHeight="true" outlineLevel="0" collapsed="false">
      <c r="C3348" s="56" t="str">
        <f aca="false">IF(助手收入!$R$225&lt;&gt;"",INDEX(助手收入!$B$2:$B$66,助手收入!$R$225),"")</f>
        <v/>
      </c>
      <c r="D3348" s="57" t="str">
        <f aca="false">IF(助手收入!$R$225&lt;&gt;"",参数!$B$2,"")</f>
        <v/>
      </c>
      <c r="E3348" s="57"/>
      <c r="F3348" s="58" t="str">
        <f aca="false">IF(助手收入!$R$225&lt;&gt;"",INDEX(助手收入!$C$2:$C$66,助手收入!$R$225)&amp;"  字第 "&amp;IF(参数!$B$9="是",INDEX(助手收入!$P$2:$P$66,助手收入!$R$225),"　　　　")&amp;" 号"&amp;IF(INDEX(助手收入!$L$2:$L$66,助手收入!$R$225)&gt;1,"  (共"&amp;INDEX(助手收入!$L$2:$L$66,助手收入!$R$225)&amp;"页 第"&amp;助手收入!$S$225&amp;"页)",""),"")</f>
        <v/>
      </c>
      <c r="G3348" s="58"/>
      <c r="H3348" s="58"/>
      <c r="I3348" s="58"/>
      <c r="M3348" s="79" t="str">
        <f aca="false">IF(助手收入!$R$225="","",助手收入!$Q$225)</f>
        <v/>
      </c>
      <c r="N3348" s="80" t="str">
        <f aca="false">IF(助手收入!$R$225="","",INDEX(助手收入!$P$2:$P$66,助手收入!$R$225))</f>
        <v/>
      </c>
      <c r="O3348" s="55" t="str">
        <f aca="false">IF(助手收入!$R$225="","",INDEX(助手收入!$C$2:$C$66,助手收入!$R$225)&amp;"  字第 "&amp;INDEX(助手收入!$P$2:$P$66,助手收入!$R$225)&amp;" 号"&amp;IF(INDEX(助手收入!$L$2:$L$66,助手收入!$R$225)&gt;1,"  (共"&amp;INDEX(助手收入!$L$2:$L$66,助手收入!$R$225)&amp;"页 第"&amp;助手收入!$S$225&amp;"页)",""))</f>
        <v/>
      </c>
    </row>
    <row r="3349" customFormat="false" ht="12.75" hidden="false" customHeight="true" outlineLevel="0" collapsed="false">
      <c r="B3349" s="61" t="str">
        <f aca="false">IF(助手收入!$R$225&lt;&gt;"","摘　　要","")</f>
        <v/>
      </c>
      <c r="C3349" s="61"/>
      <c r="D3349" s="62" t="str">
        <f aca="false">IF(助手收入!$R$225&lt;&gt;"","科　　　　目","")</f>
        <v/>
      </c>
      <c r="E3349" s="62"/>
      <c r="F3349" s="61" t="str">
        <f aca="false">IF(助手收入!$R$225&lt;&gt;"","借 方 金 额","")</f>
        <v/>
      </c>
      <c r="G3349" s="62" t="str">
        <f aca="false">IF(助手收入!$R$225&lt;&gt;"","贷 方 金 额","")</f>
        <v/>
      </c>
      <c r="H3349" s="63" t="str">
        <f aca="false">IF(助手收入!$R$225&lt;&gt;"","√","")</f>
        <v/>
      </c>
      <c r="I3349" s="64" t="str">
        <f aca="false">IF(助手收入!$R$225&lt;&gt;"","附单据  张","")</f>
        <v/>
      </c>
    </row>
    <row r="3350" customFormat="false" ht="12.75" hidden="false" customHeight="true" outlineLevel="0" collapsed="false">
      <c r="B3350" s="61"/>
      <c r="C3350" s="61"/>
      <c r="D3350" s="23" t="str">
        <f aca="false">IF(助手收入!$R$225&lt;&gt;"","总 账 科 目","")</f>
        <v/>
      </c>
      <c r="E3350" s="23" t="str">
        <f aca="false">IF(助手收入!$R$225&lt;&gt;"","明 细 科 目","")</f>
        <v/>
      </c>
      <c r="F3350" s="65"/>
      <c r="G3350" s="66"/>
      <c r="H3350" s="63"/>
      <c r="I3350" s="64"/>
    </row>
    <row r="3351" customFormat="false" ht="23.25" hidden="false" customHeight="true" outlineLevel="0" collapsed="false">
      <c r="B3351" s="67" t="str">
        <f aca="false">IFERROR(INDEX(分录收入!$M:$M,MATCH($L3351,分录收入!$L:$L,0)),"")</f>
        <v/>
      </c>
      <c r="C3351" s="67"/>
      <c r="D3351" s="23" t="str">
        <f aca="false">IFERROR(INDEX(分录收入!$E:$E,MATCH($L3351,分录收入!$L:$L,0)),"")</f>
        <v/>
      </c>
      <c r="E3351" s="23" t="str">
        <f aca="false">IFERROR(INDEX(分录收入!$F:$F,MATCH($L3351,分录收入!$L:$L,0)),"")</f>
        <v/>
      </c>
      <c r="F3351" s="68" t="str">
        <f aca="false">IFERROR(INDEX(分录收入!$H:$H,MATCH($L3351,分录收入!$L:$L,0)),"")</f>
        <v/>
      </c>
      <c r="G3351" s="69" t="str">
        <f aca="false">IFERROR(INDEX(分录收入!$I:$I,MATCH($L3351,分录收入!$L:$L,0)),"")</f>
        <v/>
      </c>
      <c r="H3351" s="23"/>
      <c r="I3351" s="70"/>
      <c r="L3351" s="71" t="n">
        <f aca="false">IF(助手收入!$R$225="",-1,助手收入!$R$225*100+(助手收入!$S$225-1)*6+1)</f>
        <v>-1</v>
      </c>
    </row>
    <row r="3352" customFormat="false" ht="23.25" hidden="false" customHeight="true" outlineLevel="0" collapsed="false">
      <c r="B3352" s="67" t="str">
        <f aca="false">""</f>
        <v/>
      </c>
      <c r="C3352" s="67"/>
      <c r="D3352" s="23" t="str">
        <f aca="false">IFERROR(INDEX(分录收入!$E:$E,MATCH($L3352,分录收入!$L:$L,0)),"")</f>
        <v/>
      </c>
      <c r="E3352" s="23" t="str">
        <f aca="false">IFERROR(INDEX(分录收入!$F:$F,MATCH($L3352,分录收入!$L:$L,0)),"")</f>
        <v/>
      </c>
      <c r="F3352" s="68" t="str">
        <f aca="false">IFERROR(INDEX(分录收入!$H:$H,MATCH($L3352,分录收入!$L:$L,0)),"")</f>
        <v/>
      </c>
      <c r="G3352" s="69" t="str">
        <f aca="false">IFERROR(INDEX(分录收入!$I:$I,MATCH($L3352,分录收入!$L:$L,0)),"")</f>
        <v/>
      </c>
      <c r="H3352" s="23"/>
      <c r="I3352" s="70"/>
      <c r="L3352" s="71" t="n">
        <f aca="false">IF(助手收入!$R$225="",-1,助手收入!$R$225*100+(助手收入!$S$225-1)*6+2)</f>
        <v>-1</v>
      </c>
    </row>
    <row r="3353" customFormat="false" ht="23.25" hidden="false" customHeight="true" outlineLevel="0" collapsed="false">
      <c r="B3353" s="67" t="str">
        <f aca="false">""</f>
        <v/>
      </c>
      <c r="C3353" s="67"/>
      <c r="D3353" s="23" t="str">
        <f aca="false">IFERROR(INDEX(分录收入!$E:$E,MATCH($L3353,分录收入!$L:$L,0)),"")</f>
        <v/>
      </c>
      <c r="E3353" s="23" t="str">
        <f aca="false">IFERROR(INDEX(分录收入!$F:$F,MATCH($L3353,分录收入!$L:$L,0)),"")</f>
        <v/>
      </c>
      <c r="F3353" s="68" t="str">
        <f aca="false">IFERROR(INDEX(分录收入!$H:$H,MATCH($L3353,分录收入!$L:$L,0)),"")</f>
        <v/>
      </c>
      <c r="G3353" s="69" t="str">
        <f aca="false">IFERROR(INDEX(分录收入!$I:$I,MATCH($L3353,分录收入!$L:$L,0)),"")</f>
        <v/>
      </c>
      <c r="H3353" s="23"/>
      <c r="I3353" s="70"/>
      <c r="L3353" s="71" t="n">
        <f aca="false">IF(助手收入!$R$225="",-1,助手收入!$R$225*100+(助手收入!$S$225-1)*6+3)</f>
        <v>-1</v>
      </c>
    </row>
    <row r="3354" customFormat="false" ht="23.25" hidden="false" customHeight="true" outlineLevel="0" collapsed="false">
      <c r="B3354" s="67" t="str">
        <f aca="false">""</f>
        <v/>
      </c>
      <c r="C3354" s="67"/>
      <c r="D3354" s="23" t="str">
        <f aca="false">IFERROR(INDEX(分录收入!$E:$E,MATCH($L3354,分录收入!$L:$L,0)),"")</f>
        <v/>
      </c>
      <c r="E3354" s="23" t="str">
        <f aca="false">IFERROR(INDEX(分录收入!$F:$F,MATCH($L3354,分录收入!$L:$L,0)),"")</f>
        <v/>
      </c>
      <c r="F3354" s="68" t="str">
        <f aca="false">IFERROR(INDEX(分录收入!$H:$H,MATCH($L3354,分录收入!$L:$L,0)),"")</f>
        <v/>
      </c>
      <c r="G3354" s="69" t="str">
        <f aca="false">IFERROR(INDEX(分录收入!$I:$I,MATCH($L3354,分录收入!$L:$L,0)),"")</f>
        <v/>
      </c>
      <c r="H3354" s="23"/>
      <c r="I3354" s="70"/>
      <c r="L3354" s="71" t="n">
        <f aca="false">IF(助手收入!$R$225="",-1,助手收入!$R$225*100+(助手收入!$S$225-1)*6+4)</f>
        <v>-1</v>
      </c>
    </row>
    <row r="3355" customFormat="false" ht="23.25" hidden="false" customHeight="true" outlineLevel="0" collapsed="false">
      <c r="B3355" s="67" t="str">
        <f aca="false">""</f>
        <v/>
      </c>
      <c r="C3355" s="67"/>
      <c r="D3355" s="23" t="str">
        <f aca="false">IFERROR(INDEX(分录收入!$E:$E,MATCH($L3355,分录收入!$L:$L,0)),"")</f>
        <v/>
      </c>
      <c r="E3355" s="23" t="str">
        <f aca="false">IFERROR(INDEX(分录收入!$F:$F,MATCH($L3355,分录收入!$L:$L,0)),"")</f>
        <v/>
      </c>
      <c r="F3355" s="68" t="str">
        <f aca="false">IFERROR(INDEX(分录收入!$H:$H,MATCH($L3355,分录收入!$L:$L,0)),"")</f>
        <v/>
      </c>
      <c r="G3355" s="69" t="str">
        <f aca="false">IFERROR(INDEX(分录收入!$I:$I,MATCH($L3355,分录收入!$L:$L,0)),"")</f>
        <v/>
      </c>
      <c r="H3355" s="23"/>
      <c r="I3355" s="70"/>
      <c r="L3355" s="71" t="n">
        <f aca="false">IF(助手收入!$R$225="",-1,助手收入!$R$225*100+(助手收入!$S$225-1)*6+5)</f>
        <v>-1</v>
      </c>
    </row>
    <row r="3356" customFormat="false" ht="23.25" hidden="false" customHeight="true" outlineLevel="0" collapsed="false">
      <c r="B3356" s="67" t="str">
        <f aca="false">""</f>
        <v/>
      </c>
      <c r="C3356" s="67"/>
      <c r="D3356" s="23" t="str">
        <f aca="false">IFERROR(INDEX(分录收入!$E:$E,MATCH($L3356,分录收入!$L:$L,0)),"")</f>
        <v/>
      </c>
      <c r="E3356" s="23" t="str">
        <f aca="false">IFERROR(INDEX(分录收入!$F:$F,MATCH($L3356,分录收入!$L:$L,0)),"")</f>
        <v/>
      </c>
      <c r="F3356" s="68" t="str">
        <f aca="false">IFERROR(INDEX(分录收入!$H:$H,MATCH($L3356,分录收入!$L:$L,0)),"")</f>
        <v/>
      </c>
      <c r="G3356" s="69" t="str">
        <f aca="false">IFERROR(INDEX(分录收入!$I:$I,MATCH($L3356,分录收入!$L:$L,0)),"")</f>
        <v/>
      </c>
      <c r="H3356" s="23"/>
      <c r="I3356" s="70"/>
      <c r="L3356" s="71" t="n">
        <f aca="false">IF(助手收入!$R$225="",-1,助手收入!$R$225*100+(助手收入!$S$225-1)*6+6)</f>
        <v>-1</v>
      </c>
    </row>
    <row r="3357" customFormat="false" ht="23.25" hidden="false" customHeight="true" outlineLevel="0" collapsed="false">
      <c r="B3357" s="72" t="str">
        <f aca="false">IF(助手收入!$T$225=1,"合计：","")</f>
        <v/>
      </c>
      <c r="C3357" s="73" t="str">
        <f aca="false">IF(助手收入!$T$225=1,$F3357,"")</f>
        <v/>
      </c>
      <c r="D3357" s="74"/>
      <c r="E3357" s="74"/>
      <c r="F3357" s="75" t="str">
        <f aca="false">IF(助手收入!$T$225=1,INDEX(助手收入!$N$2:$N$66,助手收入!$R$225),"")</f>
        <v/>
      </c>
      <c r="G3357" s="76" t="str">
        <f aca="false">IF(助手收入!$T$225=1,INDEX(助手收入!$O$2:$O$66,助手收入!$R$225),"")</f>
        <v/>
      </c>
      <c r="H3357" s="74"/>
      <c r="I3357" s="77"/>
    </row>
    <row r="3358" customFormat="false" ht="6" hidden="false" customHeight="true" outlineLevel="0" collapsed="false"/>
    <row r="3359" customFormat="false" ht="13.5" hidden="false" customHeight="false" outlineLevel="0" collapsed="false">
      <c r="B3359" s="78" t="str">
        <f aca="false">IF(助手收入!$R$225&lt;&gt;"","会计主管：","")</f>
        <v/>
      </c>
      <c r="D3359" s="78" t="str">
        <f aca="false">IF(助手收入!$R$225&lt;&gt;"","会计：","")</f>
        <v/>
      </c>
      <c r="E3359" s="78" t="str">
        <f aca="false">IF(助手收入!$R$225&lt;&gt;"","出纳：","")</f>
        <v/>
      </c>
      <c r="F3359" s="78" t="str">
        <f aca="false">IF(助手收入!$R$225&lt;&gt;"","复核：","")</f>
        <v/>
      </c>
      <c r="G3359" s="78" t="str">
        <f aca="false">IF(助手收入!$R$225&lt;&gt;"","制单：","")</f>
        <v/>
      </c>
    </row>
    <row r="3360" customFormat="false" ht="3" hidden="false" customHeight="true" outlineLevel="0" collapsed="false"/>
    <row r="3361" customFormat="false" ht="19.5" hidden="false" customHeight="true" outlineLevel="0" collapsed="false">
      <c r="B3361" s="53" t="str">
        <f aca="false">IF(助手收入!$R$226&lt;&gt;"","记  账  凭  证","")</f>
        <v/>
      </c>
      <c r="C3361" s="53"/>
      <c r="D3361" s="53"/>
      <c r="E3361" s="53"/>
      <c r="F3361" s="53"/>
      <c r="G3361" s="53"/>
      <c r="H3361" s="53"/>
      <c r="I3361" s="53"/>
    </row>
    <row r="3362" customFormat="false" ht="3" hidden="false" customHeight="true" outlineLevel="0" collapsed="false"/>
    <row r="3363" customFormat="false" ht="15" hidden="false" customHeight="true" outlineLevel="0" collapsed="false">
      <c r="C3363" s="56" t="str">
        <f aca="false">IF(助手收入!$R$226&lt;&gt;"",INDEX(助手收入!$B$2:$B$66,助手收入!$R$226),"")</f>
        <v/>
      </c>
      <c r="D3363" s="57" t="str">
        <f aca="false">IF(助手收入!$R$226&lt;&gt;"",参数!$B$2,"")</f>
        <v/>
      </c>
      <c r="E3363" s="57"/>
      <c r="F3363" s="58" t="str">
        <f aca="false">IF(助手收入!$R$226&lt;&gt;"",INDEX(助手收入!$C$2:$C$66,助手收入!$R$226)&amp;"  字第 "&amp;IF(参数!$B$9="是",INDEX(助手收入!$P$2:$P$66,助手收入!$R$226),"　　　　")&amp;" 号"&amp;IF(INDEX(助手收入!$L$2:$L$66,助手收入!$R$226)&gt;1,"  (共"&amp;INDEX(助手收入!$L$2:$L$66,助手收入!$R$226)&amp;"页 第"&amp;助手收入!$S$226&amp;"页)",""),"")</f>
        <v/>
      </c>
      <c r="G3363" s="58"/>
      <c r="H3363" s="58"/>
      <c r="I3363" s="58"/>
      <c r="M3363" s="79" t="str">
        <f aca="false">IF(助手收入!$R$226="","",助手收入!$Q$226)</f>
        <v/>
      </c>
      <c r="N3363" s="80" t="str">
        <f aca="false">IF(助手收入!$R$226="","",INDEX(助手收入!$P$2:$P$66,助手收入!$R$226))</f>
        <v/>
      </c>
      <c r="O3363" s="55" t="str">
        <f aca="false">IF(助手收入!$R$226="","",INDEX(助手收入!$C$2:$C$66,助手收入!$R$226)&amp;"  字第 "&amp;INDEX(助手收入!$P$2:$P$66,助手收入!$R$226)&amp;" 号"&amp;IF(INDEX(助手收入!$L$2:$L$66,助手收入!$R$226)&gt;1,"  (共"&amp;INDEX(助手收入!$L$2:$L$66,助手收入!$R$226)&amp;"页 第"&amp;助手收入!$S$226&amp;"页)",""))</f>
        <v/>
      </c>
    </row>
    <row r="3364" customFormat="false" ht="12.75" hidden="false" customHeight="true" outlineLevel="0" collapsed="false">
      <c r="B3364" s="61" t="str">
        <f aca="false">IF(助手收入!$R$226&lt;&gt;"","摘　　要","")</f>
        <v/>
      </c>
      <c r="C3364" s="61"/>
      <c r="D3364" s="62" t="str">
        <f aca="false">IF(助手收入!$R$226&lt;&gt;"","科　　　　目","")</f>
        <v/>
      </c>
      <c r="E3364" s="62"/>
      <c r="F3364" s="61" t="str">
        <f aca="false">IF(助手收入!$R$226&lt;&gt;"","借 方 金 额","")</f>
        <v/>
      </c>
      <c r="G3364" s="62" t="str">
        <f aca="false">IF(助手收入!$R$226&lt;&gt;"","贷 方 金 额","")</f>
        <v/>
      </c>
      <c r="H3364" s="63" t="str">
        <f aca="false">IF(助手收入!$R$226&lt;&gt;"","√","")</f>
        <v/>
      </c>
      <c r="I3364" s="64" t="str">
        <f aca="false">IF(助手收入!$R$226&lt;&gt;"","附单据  张","")</f>
        <v/>
      </c>
    </row>
    <row r="3365" customFormat="false" ht="12.75" hidden="false" customHeight="true" outlineLevel="0" collapsed="false">
      <c r="B3365" s="61"/>
      <c r="C3365" s="61"/>
      <c r="D3365" s="23" t="str">
        <f aca="false">IF(助手收入!$R$226&lt;&gt;"","总 账 科 目","")</f>
        <v/>
      </c>
      <c r="E3365" s="23" t="str">
        <f aca="false">IF(助手收入!$R$226&lt;&gt;"","明 细 科 目","")</f>
        <v/>
      </c>
      <c r="F3365" s="65"/>
      <c r="G3365" s="66"/>
      <c r="H3365" s="63"/>
      <c r="I3365" s="64"/>
    </row>
    <row r="3366" customFormat="false" ht="23.25" hidden="false" customHeight="true" outlineLevel="0" collapsed="false">
      <c r="B3366" s="67" t="str">
        <f aca="false">IFERROR(INDEX(分录收入!$M:$M,MATCH($L3366,分录收入!$L:$L,0)),"")</f>
        <v/>
      </c>
      <c r="C3366" s="67"/>
      <c r="D3366" s="23" t="str">
        <f aca="false">IFERROR(INDEX(分录收入!$E:$E,MATCH($L3366,分录收入!$L:$L,0)),"")</f>
        <v/>
      </c>
      <c r="E3366" s="23" t="str">
        <f aca="false">IFERROR(INDEX(分录收入!$F:$F,MATCH($L3366,分录收入!$L:$L,0)),"")</f>
        <v/>
      </c>
      <c r="F3366" s="68" t="str">
        <f aca="false">IFERROR(INDEX(分录收入!$H:$H,MATCH($L3366,分录收入!$L:$L,0)),"")</f>
        <v/>
      </c>
      <c r="G3366" s="69" t="str">
        <f aca="false">IFERROR(INDEX(分录收入!$I:$I,MATCH($L3366,分录收入!$L:$L,0)),"")</f>
        <v/>
      </c>
      <c r="H3366" s="23"/>
      <c r="I3366" s="70"/>
      <c r="L3366" s="71" t="n">
        <f aca="false">IF(助手收入!$R$226="",-1,助手收入!$R$226*100+(助手收入!$S$226-1)*6+1)</f>
        <v>-1</v>
      </c>
    </row>
    <row r="3367" customFormat="false" ht="23.25" hidden="false" customHeight="true" outlineLevel="0" collapsed="false">
      <c r="B3367" s="67" t="str">
        <f aca="false">""</f>
        <v/>
      </c>
      <c r="C3367" s="67"/>
      <c r="D3367" s="23" t="str">
        <f aca="false">IFERROR(INDEX(分录收入!$E:$E,MATCH($L3367,分录收入!$L:$L,0)),"")</f>
        <v/>
      </c>
      <c r="E3367" s="23" t="str">
        <f aca="false">IFERROR(INDEX(分录收入!$F:$F,MATCH($L3367,分录收入!$L:$L,0)),"")</f>
        <v/>
      </c>
      <c r="F3367" s="68" t="str">
        <f aca="false">IFERROR(INDEX(分录收入!$H:$H,MATCH($L3367,分录收入!$L:$L,0)),"")</f>
        <v/>
      </c>
      <c r="G3367" s="69" t="str">
        <f aca="false">IFERROR(INDEX(分录收入!$I:$I,MATCH($L3367,分录收入!$L:$L,0)),"")</f>
        <v/>
      </c>
      <c r="H3367" s="23"/>
      <c r="I3367" s="70"/>
      <c r="L3367" s="71" t="n">
        <f aca="false">IF(助手收入!$R$226="",-1,助手收入!$R$226*100+(助手收入!$S$226-1)*6+2)</f>
        <v>-1</v>
      </c>
    </row>
    <row r="3368" customFormat="false" ht="23.25" hidden="false" customHeight="true" outlineLevel="0" collapsed="false">
      <c r="B3368" s="67" t="str">
        <f aca="false">""</f>
        <v/>
      </c>
      <c r="C3368" s="67"/>
      <c r="D3368" s="23" t="str">
        <f aca="false">IFERROR(INDEX(分录收入!$E:$E,MATCH($L3368,分录收入!$L:$L,0)),"")</f>
        <v/>
      </c>
      <c r="E3368" s="23" t="str">
        <f aca="false">IFERROR(INDEX(分录收入!$F:$F,MATCH($L3368,分录收入!$L:$L,0)),"")</f>
        <v/>
      </c>
      <c r="F3368" s="68" t="str">
        <f aca="false">IFERROR(INDEX(分录收入!$H:$H,MATCH($L3368,分录收入!$L:$L,0)),"")</f>
        <v/>
      </c>
      <c r="G3368" s="69" t="str">
        <f aca="false">IFERROR(INDEX(分录收入!$I:$I,MATCH($L3368,分录收入!$L:$L,0)),"")</f>
        <v/>
      </c>
      <c r="H3368" s="23"/>
      <c r="I3368" s="70"/>
      <c r="L3368" s="71" t="n">
        <f aca="false">IF(助手收入!$R$226="",-1,助手收入!$R$226*100+(助手收入!$S$226-1)*6+3)</f>
        <v>-1</v>
      </c>
    </row>
    <row r="3369" customFormat="false" ht="23.25" hidden="false" customHeight="true" outlineLevel="0" collapsed="false">
      <c r="B3369" s="67" t="str">
        <f aca="false">""</f>
        <v/>
      </c>
      <c r="C3369" s="67"/>
      <c r="D3369" s="23" t="str">
        <f aca="false">IFERROR(INDEX(分录收入!$E:$E,MATCH($L3369,分录收入!$L:$L,0)),"")</f>
        <v/>
      </c>
      <c r="E3369" s="23" t="str">
        <f aca="false">IFERROR(INDEX(分录收入!$F:$F,MATCH($L3369,分录收入!$L:$L,0)),"")</f>
        <v/>
      </c>
      <c r="F3369" s="68" t="str">
        <f aca="false">IFERROR(INDEX(分录收入!$H:$H,MATCH($L3369,分录收入!$L:$L,0)),"")</f>
        <v/>
      </c>
      <c r="G3369" s="69" t="str">
        <f aca="false">IFERROR(INDEX(分录收入!$I:$I,MATCH($L3369,分录收入!$L:$L,0)),"")</f>
        <v/>
      </c>
      <c r="H3369" s="23"/>
      <c r="I3369" s="70"/>
      <c r="L3369" s="71" t="n">
        <f aca="false">IF(助手收入!$R$226="",-1,助手收入!$R$226*100+(助手收入!$S$226-1)*6+4)</f>
        <v>-1</v>
      </c>
    </row>
    <row r="3370" customFormat="false" ht="23.25" hidden="false" customHeight="true" outlineLevel="0" collapsed="false">
      <c r="B3370" s="67" t="str">
        <f aca="false">""</f>
        <v/>
      </c>
      <c r="C3370" s="67"/>
      <c r="D3370" s="23" t="str">
        <f aca="false">IFERROR(INDEX(分录收入!$E:$E,MATCH($L3370,分录收入!$L:$L,0)),"")</f>
        <v/>
      </c>
      <c r="E3370" s="23" t="str">
        <f aca="false">IFERROR(INDEX(分录收入!$F:$F,MATCH($L3370,分录收入!$L:$L,0)),"")</f>
        <v/>
      </c>
      <c r="F3370" s="68" t="str">
        <f aca="false">IFERROR(INDEX(分录收入!$H:$H,MATCH($L3370,分录收入!$L:$L,0)),"")</f>
        <v/>
      </c>
      <c r="G3370" s="69" t="str">
        <f aca="false">IFERROR(INDEX(分录收入!$I:$I,MATCH($L3370,分录收入!$L:$L,0)),"")</f>
        <v/>
      </c>
      <c r="H3370" s="23"/>
      <c r="I3370" s="70"/>
      <c r="L3370" s="71" t="n">
        <f aca="false">IF(助手收入!$R$226="",-1,助手收入!$R$226*100+(助手收入!$S$226-1)*6+5)</f>
        <v>-1</v>
      </c>
    </row>
    <row r="3371" customFormat="false" ht="23.25" hidden="false" customHeight="true" outlineLevel="0" collapsed="false">
      <c r="B3371" s="67" t="str">
        <f aca="false">""</f>
        <v/>
      </c>
      <c r="C3371" s="67"/>
      <c r="D3371" s="23" t="str">
        <f aca="false">IFERROR(INDEX(分录收入!$E:$E,MATCH($L3371,分录收入!$L:$L,0)),"")</f>
        <v/>
      </c>
      <c r="E3371" s="23" t="str">
        <f aca="false">IFERROR(INDEX(分录收入!$F:$F,MATCH($L3371,分录收入!$L:$L,0)),"")</f>
        <v/>
      </c>
      <c r="F3371" s="68" t="str">
        <f aca="false">IFERROR(INDEX(分录收入!$H:$H,MATCH($L3371,分录收入!$L:$L,0)),"")</f>
        <v/>
      </c>
      <c r="G3371" s="69" t="str">
        <f aca="false">IFERROR(INDEX(分录收入!$I:$I,MATCH($L3371,分录收入!$L:$L,0)),"")</f>
        <v/>
      </c>
      <c r="H3371" s="23"/>
      <c r="I3371" s="70"/>
      <c r="L3371" s="71" t="n">
        <f aca="false">IF(助手收入!$R$226="",-1,助手收入!$R$226*100+(助手收入!$S$226-1)*6+6)</f>
        <v>-1</v>
      </c>
    </row>
    <row r="3372" customFormat="false" ht="23.25" hidden="false" customHeight="true" outlineLevel="0" collapsed="false">
      <c r="B3372" s="72" t="str">
        <f aca="false">IF(助手收入!$T$226=1,"合计：","")</f>
        <v/>
      </c>
      <c r="C3372" s="73" t="str">
        <f aca="false">IF(助手收入!$T$226=1,$F3372,"")</f>
        <v/>
      </c>
      <c r="D3372" s="74"/>
      <c r="E3372" s="74"/>
      <c r="F3372" s="75" t="str">
        <f aca="false">IF(助手收入!$T$226=1,INDEX(助手收入!$N$2:$N$66,助手收入!$R$226),"")</f>
        <v/>
      </c>
      <c r="G3372" s="76" t="str">
        <f aca="false">IF(助手收入!$T$226=1,INDEX(助手收入!$O$2:$O$66,助手收入!$R$226),"")</f>
        <v/>
      </c>
      <c r="H3372" s="74"/>
      <c r="I3372" s="77"/>
    </row>
    <row r="3373" customFormat="false" ht="6" hidden="false" customHeight="true" outlineLevel="0" collapsed="false"/>
    <row r="3374" customFormat="false" ht="13.5" hidden="false" customHeight="false" outlineLevel="0" collapsed="false">
      <c r="B3374" s="78" t="str">
        <f aca="false">IF(助手收入!$R$226&lt;&gt;"","会计主管：","")</f>
        <v/>
      </c>
      <c r="D3374" s="78" t="str">
        <f aca="false">IF(助手收入!$R$226&lt;&gt;"","会计：","")</f>
        <v/>
      </c>
      <c r="E3374" s="78" t="str">
        <f aca="false">IF(助手收入!$R$226&lt;&gt;"","出纳：","")</f>
        <v/>
      </c>
      <c r="F3374" s="78" t="str">
        <f aca="false">IF(助手收入!$R$226&lt;&gt;"","复核：","")</f>
        <v/>
      </c>
      <c r="G3374" s="78" t="str">
        <f aca="false">IF(助手收入!$R$226&lt;&gt;"","制单：","")</f>
        <v/>
      </c>
    </row>
    <row r="3375" customFormat="false" ht="3" hidden="false" customHeight="true" outlineLevel="0" collapsed="false"/>
    <row r="3376" customFormat="false" ht="19.5" hidden="false" customHeight="true" outlineLevel="0" collapsed="false">
      <c r="B3376" s="53" t="str">
        <f aca="false">IF(助手收入!$R$227&lt;&gt;"","记  账  凭  证","")</f>
        <v/>
      </c>
      <c r="C3376" s="53"/>
      <c r="D3376" s="53"/>
      <c r="E3376" s="53"/>
      <c r="F3376" s="53"/>
      <c r="G3376" s="53"/>
      <c r="H3376" s="53"/>
      <c r="I3376" s="53"/>
    </row>
    <row r="3377" customFormat="false" ht="3" hidden="false" customHeight="true" outlineLevel="0" collapsed="false"/>
    <row r="3378" customFormat="false" ht="15" hidden="false" customHeight="true" outlineLevel="0" collapsed="false">
      <c r="C3378" s="56" t="str">
        <f aca="false">IF(助手收入!$R$227&lt;&gt;"",INDEX(助手收入!$B$2:$B$66,助手收入!$R$227),"")</f>
        <v/>
      </c>
      <c r="D3378" s="57" t="str">
        <f aca="false">IF(助手收入!$R$227&lt;&gt;"",参数!$B$2,"")</f>
        <v/>
      </c>
      <c r="E3378" s="57"/>
      <c r="F3378" s="58" t="str">
        <f aca="false">IF(助手收入!$R$227&lt;&gt;"",INDEX(助手收入!$C$2:$C$66,助手收入!$R$227)&amp;"  字第 "&amp;IF(参数!$B$9="是",INDEX(助手收入!$P$2:$P$66,助手收入!$R$227),"　　　　")&amp;" 号"&amp;IF(INDEX(助手收入!$L$2:$L$66,助手收入!$R$227)&gt;1,"  (共"&amp;INDEX(助手收入!$L$2:$L$66,助手收入!$R$227)&amp;"页 第"&amp;助手收入!$S$227&amp;"页)",""),"")</f>
        <v/>
      </c>
      <c r="G3378" s="58"/>
      <c r="H3378" s="58"/>
      <c r="I3378" s="58"/>
      <c r="M3378" s="79" t="str">
        <f aca="false">IF(助手收入!$R$227="","",助手收入!$Q$227)</f>
        <v/>
      </c>
      <c r="N3378" s="80" t="str">
        <f aca="false">IF(助手收入!$R$227="","",INDEX(助手收入!$P$2:$P$66,助手收入!$R$227))</f>
        <v/>
      </c>
      <c r="O3378" s="55" t="str">
        <f aca="false">IF(助手收入!$R$227="","",INDEX(助手收入!$C$2:$C$66,助手收入!$R$227)&amp;"  字第 "&amp;INDEX(助手收入!$P$2:$P$66,助手收入!$R$227)&amp;" 号"&amp;IF(INDEX(助手收入!$L$2:$L$66,助手收入!$R$227)&gt;1,"  (共"&amp;INDEX(助手收入!$L$2:$L$66,助手收入!$R$227)&amp;"页 第"&amp;助手收入!$S$227&amp;"页)",""))</f>
        <v/>
      </c>
    </row>
    <row r="3379" customFormat="false" ht="12.75" hidden="false" customHeight="true" outlineLevel="0" collapsed="false">
      <c r="B3379" s="61" t="str">
        <f aca="false">IF(助手收入!$R$227&lt;&gt;"","摘　　要","")</f>
        <v/>
      </c>
      <c r="C3379" s="61"/>
      <c r="D3379" s="62" t="str">
        <f aca="false">IF(助手收入!$R$227&lt;&gt;"","科　　　　目","")</f>
        <v/>
      </c>
      <c r="E3379" s="62"/>
      <c r="F3379" s="61" t="str">
        <f aca="false">IF(助手收入!$R$227&lt;&gt;"","借 方 金 额","")</f>
        <v/>
      </c>
      <c r="G3379" s="62" t="str">
        <f aca="false">IF(助手收入!$R$227&lt;&gt;"","贷 方 金 额","")</f>
        <v/>
      </c>
      <c r="H3379" s="63" t="str">
        <f aca="false">IF(助手收入!$R$227&lt;&gt;"","√","")</f>
        <v/>
      </c>
      <c r="I3379" s="64" t="str">
        <f aca="false">IF(助手收入!$R$227&lt;&gt;"","附单据  张","")</f>
        <v/>
      </c>
    </row>
    <row r="3380" customFormat="false" ht="12.75" hidden="false" customHeight="true" outlineLevel="0" collapsed="false">
      <c r="B3380" s="61"/>
      <c r="C3380" s="61"/>
      <c r="D3380" s="23" t="str">
        <f aca="false">IF(助手收入!$R$227&lt;&gt;"","总 账 科 目","")</f>
        <v/>
      </c>
      <c r="E3380" s="23" t="str">
        <f aca="false">IF(助手收入!$R$227&lt;&gt;"","明 细 科 目","")</f>
        <v/>
      </c>
      <c r="F3380" s="65"/>
      <c r="G3380" s="66"/>
      <c r="H3380" s="63"/>
      <c r="I3380" s="64"/>
    </row>
    <row r="3381" customFormat="false" ht="23.25" hidden="false" customHeight="true" outlineLevel="0" collapsed="false">
      <c r="B3381" s="67" t="str">
        <f aca="false">IFERROR(INDEX(分录收入!$M:$M,MATCH($L3381,分录收入!$L:$L,0)),"")</f>
        <v/>
      </c>
      <c r="C3381" s="67"/>
      <c r="D3381" s="23" t="str">
        <f aca="false">IFERROR(INDEX(分录收入!$E:$E,MATCH($L3381,分录收入!$L:$L,0)),"")</f>
        <v/>
      </c>
      <c r="E3381" s="23" t="str">
        <f aca="false">IFERROR(INDEX(分录收入!$F:$F,MATCH($L3381,分录收入!$L:$L,0)),"")</f>
        <v/>
      </c>
      <c r="F3381" s="68" t="str">
        <f aca="false">IFERROR(INDEX(分录收入!$H:$H,MATCH($L3381,分录收入!$L:$L,0)),"")</f>
        <v/>
      </c>
      <c r="G3381" s="69" t="str">
        <f aca="false">IFERROR(INDEX(分录收入!$I:$I,MATCH($L3381,分录收入!$L:$L,0)),"")</f>
        <v/>
      </c>
      <c r="H3381" s="23"/>
      <c r="I3381" s="70"/>
      <c r="L3381" s="71" t="n">
        <f aca="false">IF(助手收入!$R$227="",-1,助手收入!$R$227*100+(助手收入!$S$227-1)*6+1)</f>
        <v>-1</v>
      </c>
    </row>
    <row r="3382" customFormat="false" ht="23.25" hidden="false" customHeight="true" outlineLevel="0" collapsed="false">
      <c r="B3382" s="67" t="str">
        <f aca="false">""</f>
        <v/>
      </c>
      <c r="C3382" s="67"/>
      <c r="D3382" s="23" t="str">
        <f aca="false">IFERROR(INDEX(分录收入!$E:$E,MATCH($L3382,分录收入!$L:$L,0)),"")</f>
        <v/>
      </c>
      <c r="E3382" s="23" t="str">
        <f aca="false">IFERROR(INDEX(分录收入!$F:$F,MATCH($L3382,分录收入!$L:$L,0)),"")</f>
        <v/>
      </c>
      <c r="F3382" s="68" t="str">
        <f aca="false">IFERROR(INDEX(分录收入!$H:$H,MATCH($L3382,分录收入!$L:$L,0)),"")</f>
        <v/>
      </c>
      <c r="G3382" s="69" t="str">
        <f aca="false">IFERROR(INDEX(分录收入!$I:$I,MATCH($L3382,分录收入!$L:$L,0)),"")</f>
        <v/>
      </c>
      <c r="H3382" s="23"/>
      <c r="I3382" s="70"/>
      <c r="L3382" s="71" t="n">
        <f aca="false">IF(助手收入!$R$227="",-1,助手收入!$R$227*100+(助手收入!$S$227-1)*6+2)</f>
        <v>-1</v>
      </c>
    </row>
    <row r="3383" customFormat="false" ht="23.25" hidden="false" customHeight="true" outlineLevel="0" collapsed="false">
      <c r="B3383" s="67" t="str">
        <f aca="false">""</f>
        <v/>
      </c>
      <c r="C3383" s="67"/>
      <c r="D3383" s="23" t="str">
        <f aca="false">IFERROR(INDEX(分录收入!$E:$E,MATCH($L3383,分录收入!$L:$L,0)),"")</f>
        <v/>
      </c>
      <c r="E3383" s="23" t="str">
        <f aca="false">IFERROR(INDEX(分录收入!$F:$F,MATCH($L3383,分录收入!$L:$L,0)),"")</f>
        <v/>
      </c>
      <c r="F3383" s="68" t="str">
        <f aca="false">IFERROR(INDEX(分录收入!$H:$H,MATCH($L3383,分录收入!$L:$L,0)),"")</f>
        <v/>
      </c>
      <c r="G3383" s="69" t="str">
        <f aca="false">IFERROR(INDEX(分录收入!$I:$I,MATCH($L3383,分录收入!$L:$L,0)),"")</f>
        <v/>
      </c>
      <c r="H3383" s="23"/>
      <c r="I3383" s="70"/>
      <c r="L3383" s="71" t="n">
        <f aca="false">IF(助手收入!$R$227="",-1,助手收入!$R$227*100+(助手收入!$S$227-1)*6+3)</f>
        <v>-1</v>
      </c>
    </row>
    <row r="3384" customFormat="false" ht="23.25" hidden="false" customHeight="true" outlineLevel="0" collapsed="false">
      <c r="B3384" s="67" t="str">
        <f aca="false">""</f>
        <v/>
      </c>
      <c r="C3384" s="67"/>
      <c r="D3384" s="23" t="str">
        <f aca="false">IFERROR(INDEX(分录收入!$E:$E,MATCH($L3384,分录收入!$L:$L,0)),"")</f>
        <v/>
      </c>
      <c r="E3384" s="23" t="str">
        <f aca="false">IFERROR(INDEX(分录收入!$F:$F,MATCH($L3384,分录收入!$L:$L,0)),"")</f>
        <v/>
      </c>
      <c r="F3384" s="68" t="str">
        <f aca="false">IFERROR(INDEX(分录收入!$H:$H,MATCH($L3384,分录收入!$L:$L,0)),"")</f>
        <v/>
      </c>
      <c r="G3384" s="69" t="str">
        <f aca="false">IFERROR(INDEX(分录收入!$I:$I,MATCH($L3384,分录收入!$L:$L,0)),"")</f>
        <v/>
      </c>
      <c r="H3384" s="23"/>
      <c r="I3384" s="70"/>
      <c r="L3384" s="71" t="n">
        <f aca="false">IF(助手收入!$R$227="",-1,助手收入!$R$227*100+(助手收入!$S$227-1)*6+4)</f>
        <v>-1</v>
      </c>
    </row>
    <row r="3385" customFormat="false" ht="23.25" hidden="false" customHeight="true" outlineLevel="0" collapsed="false">
      <c r="B3385" s="67" t="str">
        <f aca="false">""</f>
        <v/>
      </c>
      <c r="C3385" s="67"/>
      <c r="D3385" s="23" t="str">
        <f aca="false">IFERROR(INDEX(分录收入!$E:$E,MATCH($L3385,分录收入!$L:$L,0)),"")</f>
        <v/>
      </c>
      <c r="E3385" s="23" t="str">
        <f aca="false">IFERROR(INDEX(分录收入!$F:$F,MATCH($L3385,分录收入!$L:$L,0)),"")</f>
        <v/>
      </c>
      <c r="F3385" s="68" t="str">
        <f aca="false">IFERROR(INDEX(分录收入!$H:$H,MATCH($L3385,分录收入!$L:$L,0)),"")</f>
        <v/>
      </c>
      <c r="G3385" s="69" t="str">
        <f aca="false">IFERROR(INDEX(分录收入!$I:$I,MATCH($L3385,分录收入!$L:$L,0)),"")</f>
        <v/>
      </c>
      <c r="H3385" s="23"/>
      <c r="I3385" s="70"/>
      <c r="L3385" s="71" t="n">
        <f aca="false">IF(助手收入!$R$227="",-1,助手收入!$R$227*100+(助手收入!$S$227-1)*6+5)</f>
        <v>-1</v>
      </c>
    </row>
    <row r="3386" customFormat="false" ht="23.25" hidden="false" customHeight="true" outlineLevel="0" collapsed="false">
      <c r="B3386" s="67" t="str">
        <f aca="false">""</f>
        <v/>
      </c>
      <c r="C3386" s="67"/>
      <c r="D3386" s="23" t="str">
        <f aca="false">IFERROR(INDEX(分录收入!$E:$E,MATCH($L3386,分录收入!$L:$L,0)),"")</f>
        <v/>
      </c>
      <c r="E3386" s="23" t="str">
        <f aca="false">IFERROR(INDEX(分录收入!$F:$F,MATCH($L3386,分录收入!$L:$L,0)),"")</f>
        <v/>
      </c>
      <c r="F3386" s="68" t="str">
        <f aca="false">IFERROR(INDEX(分录收入!$H:$H,MATCH($L3386,分录收入!$L:$L,0)),"")</f>
        <v/>
      </c>
      <c r="G3386" s="69" t="str">
        <f aca="false">IFERROR(INDEX(分录收入!$I:$I,MATCH($L3386,分录收入!$L:$L,0)),"")</f>
        <v/>
      </c>
      <c r="H3386" s="23"/>
      <c r="I3386" s="70"/>
      <c r="L3386" s="71" t="n">
        <f aca="false">IF(助手收入!$R$227="",-1,助手收入!$R$227*100+(助手收入!$S$227-1)*6+6)</f>
        <v>-1</v>
      </c>
    </row>
    <row r="3387" customFormat="false" ht="23.25" hidden="false" customHeight="true" outlineLevel="0" collapsed="false">
      <c r="B3387" s="72" t="str">
        <f aca="false">IF(助手收入!$T$227=1,"合计：","")</f>
        <v/>
      </c>
      <c r="C3387" s="73" t="str">
        <f aca="false">IF(助手收入!$T$227=1,$F3387,"")</f>
        <v/>
      </c>
      <c r="D3387" s="74"/>
      <c r="E3387" s="74"/>
      <c r="F3387" s="75" t="str">
        <f aca="false">IF(助手收入!$T$227=1,INDEX(助手收入!$N$2:$N$66,助手收入!$R$227),"")</f>
        <v/>
      </c>
      <c r="G3387" s="76" t="str">
        <f aca="false">IF(助手收入!$T$227=1,INDEX(助手收入!$O$2:$O$66,助手收入!$R$227),"")</f>
        <v/>
      </c>
      <c r="H3387" s="74"/>
      <c r="I3387" s="77"/>
    </row>
    <row r="3388" customFormat="false" ht="6" hidden="false" customHeight="true" outlineLevel="0" collapsed="false"/>
    <row r="3389" customFormat="false" ht="13.5" hidden="false" customHeight="false" outlineLevel="0" collapsed="false">
      <c r="B3389" s="78" t="str">
        <f aca="false">IF(助手收入!$R$227&lt;&gt;"","会计主管：","")</f>
        <v/>
      </c>
      <c r="D3389" s="78" t="str">
        <f aca="false">IF(助手收入!$R$227&lt;&gt;"","会计：","")</f>
        <v/>
      </c>
      <c r="E3389" s="78" t="str">
        <f aca="false">IF(助手收入!$R$227&lt;&gt;"","出纳：","")</f>
        <v/>
      </c>
      <c r="F3389" s="78" t="str">
        <f aca="false">IF(助手收入!$R$227&lt;&gt;"","复核：","")</f>
        <v/>
      </c>
      <c r="G3389" s="78" t="str">
        <f aca="false">IF(助手收入!$R$227&lt;&gt;"","制单：","")</f>
        <v/>
      </c>
    </row>
    <row r="3390" customFormat="false" ht="3" hidden="false" customHeight="true" outlineLevel="0" collapsed="false"/>
    <row r="3391" customFormat="false" ht="19.5" hidden="false" customHeight="true" outlineLevel="0" collapsed="false">
      <c r="B3391" s="53" t="str">
        <f aca="false">IF(助手收入!$R$228&lt;&gt;"","记  账  凭  证","")</f>
        <v/>
      </c>
      <c r="C3391" s="53"/>
      <c r="D3391" s="53"/>
      <c r="E3391" s="53"/>
      <c r="F3391" s="53"/>
      <c r="G3391" s="53"/>
      <c r="H3391" s="53"/>
      <c r="I3391" s="53"/>
    </row>
    <row r="3392" customFormat="false" ht="3" hidden="false" customHeight="true" outlineLevel="0" collapsed="false"/>
    <row r="3393" customFormat="false" ht="15" hidden="false" customHeight="true" outlineLevel="0" collapsed="false">
      <c r="C3393" s="56" t="str">
        <f aca="false">IF(助手收入!$R$228&lt;&gt;"",INDEX(助手收入!$B$2:$B$66,助手收入!$R$228),"")</f>
        <v/>
      </c>
      <c r="D3393" s="57" t="str">
        <f aca="false">IF(助手收入!$R$228&lt;&gt;"",参数!$B$2,"")</f>
        <v/>
      </c>
      <c r="E3393" s="57"/>
      <c r="F3393" s="58" t="str">
        <f aca="false">IF(助手收入!$R$228&lt;&gt;"",INDEX(助手收入!$C$2:$C$66,助手收入!$R$228)&amp;"  字第 "&amp;IF(参数!$B$9="是",INDEX(助手收入!$P$2:$P$66,助手收入!$R$228),"　　　　")&amp;" 号"&amp;IF(INDEX(助手收入!$L$2:$L$66,助手收入!$R$228)&gt;1,"  (共"&amp;INDEX(助手收入!$L$2:$L$66,助手收入!$R$228)&amp;"页 第"&amp;助手收入!$S$228&amp;"页)",""),"")</f>
        <v/>
      </c>
      <c r="G3393" s="58"/>
      <c r="H3393" s="58"/>
      <c r="I3393" s="58"/>
      <c r="M3393" s="79" t="str">
        <f aca="false">IF(助手收入!$R$228="","",助手收入!$Q$228)</f>
        <v/>
      </c>
      <c r="N3393" s="80" t="str">
        <f aca="false">IF(助手收入!$R$228="","",INDEX(助手收入!$P$2:$P$66,助手收入!$R$228))</f>
        <v/>
      </c>
      <c r="O3393" s="55" t="str">
        <f aca="false">IF(助手收入!$R$228="","",INDEX(助手收入!$C$2:$C$66,助手收入!$R$228)&amp;"  字第 "&amp;INDEX(助手收入!$P$2:$P$66,助手收入!$R$228)&amp;" 号"&amp;IF(INDEX(助手收入!$L$2:$L$66,助手收入!$R$228)&gt;1,"  (共"&amp;INDEX(助手收入!$L$2:$L$66,助手收入!$R$228)&amp;"页 第"&amp;助手收入!$S$228&amp;"页)",""))</f>
        <v/>
      </c>
    </row>
    <row r="3394" customFormat="false" ht="12.75" hidden="false" customHeight="true" outlineLevel="0" collapsed="false">
      <c r="B3394" s="61" t="str">
        <f aca="false">IF(助手收入!$R$228&lt;&gt;"","摘　　要","")</f>
        <v/>
      </c>
      <c r="C3394" s="61"/>
      <c r="D3394" s="62" t="str">
        <f aca="false">IF(助手收入!$R$228&lt;&gt;"","科　　　　目","")</f>
        <v/>
      </c>
      <c r="E3394" s="62"/>
      <c r="F3394" s="61" t="str">
        <f aca="false">IF(助手收入!$R$228&lt;&gt;"","借 方 金 额","")</f>
        <v/>
      </c>
      <c r="G3394" s="62" t="str">
        <f aca="false">IF(助手收入!$R$228&lt;&gt;"","贷 方 金 额","")</f>
        <v/>
      </c>
      <c r="H3394" s="63" t="str">
        <f aca="false">IF(助手收入!$R$228&lt;&gt;"","√","")</f>
        <v/>
      </c>
      <c r="I3394" s="64" t="str">
        <f aca="false">IF(助手收入!$R$228&lt;&gt;"","附单据  张","")</f>
        <v/>
      </c>
    </row>
    <row r="3395" customFormat="false" ht="12.75" hidden="false" customHeight="true" outlineLevel="0" collapsed="false">
      <c r="B3395" s="61"/>
      <c r="C3395" s="61"/>
      <c r="D3395" s="23" t="str">
        <f aca="false">IF(助手收入!$R$228&lt;&gt;"","总 账 科 目","")</f>
        <v/>
      </c>
      <c r="E3395" s="23" t="str">
        <f aca="false">IF(助手收入!$R$228&lt;&gt;"","明 细 科 目","")</f>
        <v/>
      </c>
      <c r="F3395" s="65"/>
      <c r="G3395" s="66"/>
      <c r="H3395" s="63"/>
      <c r="I3395" s="64"/>
    </row>
    <row r="3396" customFormat="false" ht="23.25" hidden="false" customHeight="true" outlineLevel="0" collapsed="false">
      <c r="B3396" s="67" t="str">
        <f aca="false">IFERROR(INDEX(分录收入!$M:$M,MATCH($L3396,分录收入!$L:$L,0)),"")</f>
        <v/>
      </c>
      <c r="C3396" s="67"/>
      <c r="D3396" s="23" t="str">
        <f aca="false">IFERROR(INDEX(分录收入!$E:$E,MATCH($L3396,分录收入!$L:$L,0)),"")</f>
        <v/>
      </c>
      <c r="E3396" s="23" t="str">
        <f aca="false">IFERROR(INDEX(分录收入!$F:$F,MATCH($L3396,分录收入!$L:$L,0)),"")</f>
        <v/>
      </c>
      <c r="F3396" s="68" t="str">
        <f aca="false">IFERROR(INDEX(分录收入!$H:$H,MATCH($L3396,分录收入!$L:$L,0)),"")</f>
        <v/>
      </c>
      <c r="G3396" s="69" t="str">
        <f aca="false">IFERROR(INDEX(分录收入!$I:$I,MATCH($L3396,分录收入!$L:$L,0)),"")</f>
        <v/>
      </c>
      <c r="H3396" s="23"/>
      <c r="I3396" s="70"/>
      <c r="L3396" s="71" t="n">
        <f aca="false">IF(助手收入!$R$228="",-1,助手收入!$R$228*100+(助手收入!$S$228-1)*6+1)</f>
        <v>-1</v>
      </c>
    </row>
    <row r="3397" customFormat="false" ht="23.25" hidden="false" customHeight="true" outlineLevel="0" collapsed="false">
      <c r="B3397" s="67" t="str">
        <f aca="false">""</f>
        <v/>
      </c>
      <c r="C3397" s="67"/>
      <c r="D3397" s="23" t="str">
        <f aca="false">IFERROR(INDEX(分录收入!$E:$E,MATCH($L3397,分录收入!$L:$L,0)),"")</f>
        <v/>
      </c>
      <c r="E3397" s="23" t="str">
        <f aca="false">IFERROR(INDEX(分录收入!$F:$F,MATCH($L3397,分录收入!$L:$L,0)),"")</f>
        <v/>
      </c>
      <c r="F3397" s="68" t="str">
        <f aca="false">IFERROR(INDEX(分录收入!$H:$H,MATCH($L3397,分录收入!$L:$L,0)),"")</f>
        <v/>
      </c>
      <c r="G3397" s="69" t="str">
        <f aca="false">IFERROR(INDEX(分录收入!$I:$I,MATCH($L3397,分录收入!$L:$L,0)),"")</f>
        <v/>
      </c>
      <c r="H3397" s="23"/>
      <c r="I3397" s="70"/>
      <c r="L3397" s="71" t="n">
        <f aca="false">IF(助手收入!$R$228="",-1,助手收入!$R$228*100+(助手收入!$S$228-1)*6+2)</f>
        <v>-1</v>
      </c>
    </row>
    <row r="3398" customFormat="false" ht="23.25" hidden="false" customHeight="true" outlineLevel="0" collapsed="false">
      <c r="B3398" s="67" t="str">
        <f aca="false">""</f>
        <v/>
      </c>
      <c r="C3398" s="67"/>
      <c r="D3398" s="23" t="str">
        <f aca="false">IFERROR(INDEX(分录收入!$E:$E,MATCH($L3398,分录收入!$L:$L,0)),"")</f>
        <v/>
      </c>
      <c r="E3398" s="23" t="str">
        <f aca="false">IFERROR(INDEX(分录收入!$F:$F,MATCH($L3398,分录收入!$L:$L,0)),"")</f>
        <v/>
      </c>
      <c r="F3398" s="68" t="str">
        <f aca="false">IFERROR(INDEX(分录收入!$H:$H,MATCH($L3398,分录收入!$L:$L,0)),"")</f>
        <v/>
      </c>
      <c r="G3398" s="69" t="str">
        <f aca="false">IFERROR(INDEX(分录收入!$I:$I,MATCH($L3398,分录收入!$L:$L,0)),"")</f>
        <v/>
      </c>
      <c r="H3398" s="23"/>
      <c r="I3398" s="70"/>
      <c r="L3398" s="71" t="n">
        <f aca="false">IF(助手收入!$R$228="",-1,助手收入!$R$228*100+(助手收入!$S$228-1)*6+3)</f>
        <v>-1</v>
      </c>
    </row>
    <row r="3399" customFormat="false" ht="23.25" hidden="false" customHeight="true" outlineLevel="0" collapsed="false">
      <c r="B3399" s="67" t="str">
        <f aca="false">""</f>
        <v/>
      </c>
      <c r="C3399" s="67"/>
      <c r="D3399" s="23" t="str">
        <f aca="false">IFERROR(INDEX(分录收入!$E:$E,MATCH($L3399,分录收入!$L:$L,0)),"")</f>
        <v/>
      </c>
      <c r="E3399" s="23" t="str">
        <f aca="false">IFERROR(INDEX(分录收入!$F:$F,MATCH($L3399,分录收入!$L:$L,0)),"")</f>
        <v/>
      </c>
      <c r="F3399" s="68" t="str">
        <f aca="false">IFERROR(INDEX(分录收入!$H:$H,MATCH($L3399,分录收入!$L:$L,0)),"")</f>
        <v/>
      </c>
      <c r="G3399" s="69" t="str">
        <f aca="false">IFERROR(INDEX(分录收入!$I:$I,MATCH($L3399,分录收入!$L:$L,0)),"")</f>
        <v/>
      </c>
      <c r="H3399" s="23"/>
      <c r="I3399" s="70"/>
      <c r="L3399" s="71" t="n">
        <f aca="false">IF(助手收入!$R$228="",-1,助手收入!$R$228*100+(助手收入!$S$228-1)*6+4)</f>
        <v>-1</v>
      </c>
    </row>
    <row r="3400" customFormat="false" ht="23.25" hidden="false" customHeight="true" outlineLevel="0" collapsed="false">
      <c r="B3400" s="67" t="str">
        <f aca="false">""</f>
        <v/>
      </c>
      <c r="C3400" s="67"/>
      <c r="D3400" s="23" t="str">
        <f aca="false">IFERROR(INDEX(分录收入!$E:$E,MATCH($L3400,分录收入!$L:$L,0)),"")</f>
        <v/>
      </c>
      <c r="E3400" s="23" t="str">
        <f aca="false">IFERROR(INDEX(分录收入!$F:$F,MATCH($L3400,分录收入!$L:$L,0)),"")</f>
        <v/>
      </c>
      <c r="F3400" s="68" t="str">
        <f aca="false">IFERROR(INDEX(分录收入!$H:$H,MATCH($L3400,分录收入!$L:$L,0)),"")</f>
        <v/>
      </c>
      <c r="G3400" s="69" t="str">
        <f aca="false">IFERROR(INDEX(分录收入!$I:$I,MATCH($L3400,分录收入!$L:$L,0)),"")</f>
        <v/>
      </c>
      <c r="H3400" s="23"/>
      <c r="I3400" s="70"/>
      <c r="L3400" s="71" t="n">
        <f aca="false">IF(助手收入!$R$228="",-1,助手收入!$R$228*100+(助手收入!$S$228-1)*6+5)</f>
        <v>-1</v>
      </c>
    </row>
    <row r="3401" customFormat="false" ht="23.25" hidden="false" customHeight="true" outlineLevel="0" collapsed="false">
      <c r="B3401" s="67" t="str">
        <f aca="false">""</f>
        <v/>
      </c>
      <c r="C3401" s="67"/>
      <c r="D3401" s="23" t="str">
        <f aca="false">IFERROR(INDEX(分录收入!$E:$E,MATCH($L3401,分录收入!$L:$L,0)),"")</f>
        <v/>
      </c>
      <c r="E3401" s="23" t="str">
        <f aca="false">IFERROR(INDEX(分录收入!$F:$F,MATCH($L3401,分录收入!$L:$L,0)),"")</f>
        <v/>
      </c>
      <c r="F3401" s="68" t="str">
        <f aca="false">IFERROR(INDEX(分录收入!$H:$H,MATCH($L3401,分录收入!$L:$L,0)),"")</f>
        <v/>
      </c>
      <c r="G3401" s="69" t="str">
        <f aca="false">IFERROR(INDEX(分录收入!$I:$I,MATCH($L3401,分录收入!$L:$L,0)),"")</f>
        <v/>
      </c>
      <c r="H3401" s="23"/>
      <c r="I3401" s="70"/>
      <c r="L3401" s="71" t="n">
        <f aca="false">IF(助手收入!$R$228="",-1,助手收入!$R$228*100+(助手收入!$S$228-1)*6+6)</f>
        <v>-1</v>
      </c>
    </row>
    <row r="3402" customFormat="false" ht="23.25" hidden="false" customHeight="true" outlineLevel="0" collapsed="false">
      <c r="B3402" s="72" t="str">
        <f aca="false">IF(助手收入!$T$228=1,"合计：","")</f>
        <v/>
      </c>
      <c r="C3402" s="73" t="str">
        <f aca="false">IF(助手收入!$T$228=1,$F3402,"")</f>
        <v/>
      </c>
      <c r="D3402" s="74"/>
      <c r="E3402" s="74"/>
      <c r="F3402" s="75" t="str">
        <f aca="false">IF(助手收入!$T$228=1,INDEX(助手收入!$N$2:$N$66,助手收入!$R$228),"")</f>
        <v/>
      </c>
      <c r="G3402" s="76" t="str">
        <f aca="false">IF(助手收入!$T$228=1,INDEX(助手收入!$O$2:$O$66,助手收入!$R$228),"")</f>
        <v/>
      </c>
      <c r="H3402" s="74"/>
      <c r="I3402" s="77"/>
    </row>
    <row r="3403" customFormat="false" ht="6" hidden="false" customHeight="true" outlineLevel="0" collapsed="false"/>
    <row r="3404" customFormat="false" ht="13.5" hidden="false" customHeight="false" outlineLevel="0" collapsed="false">
      <c r="B3404" s="78" t="str">
        <f aca="false">IF(助手收入!$R$228&lt;&gt;"","会计主管：","")</f>
        <v/>
      </c>
      <c r="D3404" s="78" t="str">
        <f aca="false">IF(助手收入!$R$228&lt;&gt;"","会计：","")</f>
        <v/>
      </c>
      <c r="E3404" s="78" t="str">
        <f aca="false">IF(助手收入!$R$228&lt;&gt;"","出纳：","")</f>
        <v/>
      </c>
      <c r="F3404" s="78" t="str">
        <f aca="false">IF(助手收入!$R$228&lt;&gt;"","复核：","")</f>
        <v/>
      </c>
      <c r="G3404" s="78" t="str">
        <f aca="false">IF(助手收入!$R$228&lt;&gt;"","制单：","")</f>
        <v/>
      </c>
    </row>
    <row r="3405" customFormat="false" ht="3" hidden="false" customHeight="true" outlineLevel="0" collapsed="false"/>
    <row r="3406" customFormat="false" ht="19.5" hidden="false" customHeight="true" outlineLevel="0" collapsed="false">
      <c r="B3406" s="53" t="str">
        <f aca="false">IF(助手收入!$R$229&lt;&gt;"","记  账  凭  证","")</f>
        <v/>
      </c>
      <c r="C3406" s="53"/>
      <c r="D3406" s="53"/>
      <c r="E3406" s="53"/>
      <c r="F3406" s="53"/>
      <c r="G3406" s="53"/>
      <c r="H3406" s="53"/>
      <c r="I3406" s="53"/>
    </row>
    <row r="3407" customFormat="false" ht="3" hidden="false" customHeight="true" outlineLevel="0" collapsed="false"/>
    <row r="3408" customFormat="false" ht="15" hidden="false" customHeight="true" outlineLevel="0" collapsed="false">
      <c r="C3408" s="56" t="str">
        <f aca="false">IF(助手收入!$R$229&lt;&gt;"",INDEX(助手收入!$B$2:$B$66,助手收入!$R$229),"")</f>
        <v/>
      </c>
      <c r="D3408" s="57" t="str">
        <f aca="false">IF(助手收入!$R$229&lt;&gt;"",参数!$B$2,"")</f>
        <v/>
      </c>
      <c r="E3408" s="57"/>
      <c r="F3408" s="58" t="str">
        <f aca="false">IF(助手收入!$R$229&lt;&gt;"",INDEX(助手收入!$C$2:$C$66,助手收入!$R$229)&amp;"  字第 "&amp;IF(参数!$B$9="是",INDEX(助手收入!$P$2:$P$66,助手收入!$R$229),"　　　　")&amp;" 号"&amp;IF(INDEX(助手收入!$L$2:$L$66,助手收入!$R$229)&gt;1,"  (共"&amp;INDEX(助手收入!$L$2:$L$66,助手收入!$R$229)&amp;"页 第"&amp;助手收入!$S$229&amp;"页)",""),"")</f>
        <v/>
      </c>
      <c r="G3408" s="58"/>
      <c r="H3408" s="58"/>
      <c r="I3408" s="58"/>
      <c r="M3408" s="79" t="str">
        <f aca="false">IF(助手收入!$R$229="","",助手收入!$Q$229)</f>
        <v/>
      </c>
      <c r="N3408" s="80" t="str">
        <f aca="false">IF(助手收入!$R$229="","",INDEX(助手收入!$P$2:$P$66,助手收入!$R$229))</f>
        <v/>
      </c>
      <c r="O3408" s="55" t="str">
        <f aca="false">IF(助手收入!$R$229="","",INDEX(助手收入!$C$2:$C$66,助手收入!$R$229)&amp;"  字第 "&amp;INDEX(助手收入!$P$2:$P$66,助手收入!$R$229)&amp;" 号"&amp;IF(INDEX(助手收入!$L$2:$L$66,助手收入!$R$229)&gt;1,"  (共"&amp;INDEX(助手收入!$L$2:$L$66,助手收入!$R$229)&amp;"页 第"&amp;助手收入!$S$229&amp;"页)",""))</f>
        <v/>
      </c>
    </row>
    <row r="3409" customFormat="false" ht="12.75" hidden="false" customHeight="true" outlineLevel="0" collapsed="false">
      <c r="B3409" s="61" t="str">
        <f aca="false">IF(助手收入!$R$229&lt;&gt;"","摘　　要","")</f>
        <v/>
      </c>
      <c r="C3409" s="61"/>
      <c r="D3409" s="62" t="str">
        <f aca="false">IF(助手收入!$R$229&lt;&gt;"","科　　　　目","")</f>
        <v/>
      </c>
      <c r="E3409" s="62"/>
      <c r="F3409" s="61" t="str">
        <f aca="false">IF(助手收入!$R$229&lt;&gt;"","借 方 金 额","")</f>
        <v/>
      </c>
      <c r="G3409" s="62" t="str">
        <f aca="false">IF(助手收入!$R$229&lt;&gt;"","贷 方 金 额","")</f>
        <v/>
      </c>
      <c r="H3409" s="63" t="str">
        <f aca="false">IF(助手收入!$R$229&lt;&gt;"","√","")</f>
        <v/>
      </c>
      <c r="I3409" s="64" t="str">
        <f aca="false">IF(助手收入!$R$229&lt;&gt;"","附单据  张","")</f>
        <v/>
      </c>
    </row>
    <row r="3410" customFormat="false" ht="12.75" hidden="false" customHeight="true" outlineLevel="0" collapsed="false">
      <c r="B3410" s="61"/>
      <c r="C3410" s="61"/>
      <c r="D3410" s="23" t="str">
        <f aca="false">IF(助手收入!$R$229&lt;&gt;"","总 账 科 目","")</f>
        <v/>
      </c>
      <c r="E3410" s="23" t="str">
        <f aca="false">IF(助手收入!$R$229&lt;&gt;"","明 细 科 目","")</f>
        <v/>
      </c>
      <c r="F3410" s="65"/>
      <c r="G3410" s="66"/>
      <c r="H3410" s="63"/>
      <c r="I3410" s="64"/>
    </row>
    <row r="3411" customFormat="false" ht="23.25" hidden="false" customHeight="true" outlineLevel="0" collapsed="false">
      <c r="B3411" s="67" t="str">
        <f aca="false">IFERROR(INDEX(分录收入!$M:$M,MATCH($L3411,分录收入!$L:$L,0)),"")</f>
        <v/>
      </c>
      <c r="C3411" s="67"/>
      <c r="D3411" s="23" t="str">
        <f aca="false">IFERROR(INDEX(分录收入!$E:$E,MATCH($L3411,分录收入!$L:$L,0)),"")</f>
        <v/>
      </c>
      <c r="E3411" s="23" t="str">
        <f aca="false">IFERROR(INDEX(分录收入!$F:$F,MATCH($L3411,分录收入!$L:$L,0)),"")</f>
        <v/>
      </c>
      <c r="F3411" s="68" t="str">
        <f aca="false">IFERROR(INDEX(分录收入!$H:$H,MATCH($L3411,分录收入!$L:$L,0)),"")</f>
        <v/>
      </c>
      <c r="G3411" s="69" t="str">
        <f aca="false">IFERROR(INDEX(分录收入!$I:$I,MATCH($L3411,分录收入!$L:$L,0)),"")</f>
        <v/>
      </c>
      <c r="H3411" s="23"/>
      <c r="I3411" s="70"/>
      <c r="L3411" s="71" t="n">
        <f aca="false">IF(助手收入!$R$229="",-1,助手收入!$R$229*100+(助手收入!$S$229-1)*6+1)</f>
        <v>-1</v>
      </c>
    </row>
    <row r="3412" customFormat="false" ht="23.25" hidden="false" customHeight="true" outlineLevel="0" collapsed="false">
      <c r="B3412" s="67" t="str">
        <f aca="false">""</f>
        <v/>
      </c>
      <c r="C3412" s="67"/>
      <c r="D3412" s="23" t="str">
        <f aca="false">IFERROR(INDEX(分录收入!$E:$E,MATCH($L3412,分录收入!$L:$L,0)),"")</f>
        <v/>
      </c>
      <c r="E3412" s="23" t="str">
        <f aca="false">IFERROR(INDEX(分录收入!$F:$F,MATCH($L3412,分录收入!$L:$L,0)),"")</f>
        <v/>
      </c>
      <c r="F3412" s="68" t="str">
        <f aca="false">IFERROR(INDEX(分录收入!$H:$H,MATCH($L3412,分录收入!$L:$L,0)),"")</f>
        <v/>
      </c>
      <c r="G3412" s="69" t="str">
        <f aca="false">IFERROR(INDEX(分录收入!$I:$I,MATCH($L3412,分录收入!$L:$L,0)),"")</f>
        <v/>
      </c>
      <c r="H3412" s="23"/>
      <c r="I3412" s="70"/>
      <c r="L3412" s="71" t="n">
        <f aca="false">IF(助手收入!$R$229="",-1,助手收入!$R$229*100+(助手收入!$S$229-1)*6+2)</f>
        <v>-1</v>
      </c>
    </row>
    <row r="3413" customFormat="false" ht="23.25" hidden="false" customHeight="true" outlineLevel="0" collapsed="false">
      <c r="B3413" s="67" t="str">
        <f aca="false">""</f>
        <v/>
      </c>
      <c r="C3413" s="67"/>
      <c r="D3413" s="23" t="str">
        <f aca="false">IFERROR(INDEX(分录收入!$E:$E,MATCH($L3413,分录收入!$L:$L,0)),"")</f>
        <v/>
      </c>
      <c r="E3413" s="23" t="str">
        <f aca="false">IFERROR(INDEX(分录收入!$F:$F,MATCH($L3413,分录收入!$L:$L,0)),"")</f>
        <v/>
      </c>
      <c r="F3413" s="68" t="str">
        <f aca="false">IFERROR(INDEX(分录收入!$H:$H,MATCH($L3413,分录收入!$L:$L,0)),"")</f>
        <v/>
      </c>
      <c r="G3413" s="69" t="str">
        <f aca="false">IFERROR(INDEX(分录收入!$I:$I,MATCH($L3413,分录收入!$L:$L,0)),"")</f>
        <v/>
      </c>
      <c r="H3413" s="23"/>
      <c r="I3413" s="70"/>
      <c r="L3413" s="71" t="n">
        <f aca="false">IF(助手收入!$R$229="",-1,助手收入!$R$229*100+(助手收入!$S$229-1)*6+3)</f>
        <v>-1</v>
      </c>
    </row>
    <row r="3414" customFormat="false" ht="23.25" hidden="false" customHeight="true" outlineLevel="0" collapsed="false">
      <c r="B3414" s="67" t="str">
        <f aca="false">""</f>
        <v/>
      </c>
      <c r="C3414" s="67"/>
      <c r="D3414" s="23" t="str">
        <f aca="false">IFERROR(INDEX(分录收入!$E:$E,MATCH($L3414,分录收入!$L:$L,0)),"")</f>
        <v/>
      </c>
      <c r="E3414" s="23" t="str">
        <f aca="false">IFERROR(INDEX(分录收入!$F:$F,MATCH($L3414,分录收入!$L:$L,0)),"")</f>
        <v/>
      </c>
      <c r="F3414" s="68" t="str">
        <f aca="false">IFERROR(INDEX(分录收入!$H:$H,MATCH($L3414,分录收入!$L:$L,0)),"")</f>
        <v/>
      </c>
      <c r="G3414" s="69" t="str">
        <f aca="false">IFERROR(INDEX(分录收入!$I:$I,MATCH($L3414,分录收入!$L:$L,0)),"")</f>
        <v/>
      </c>
      <c r="H3414" s="23"/>
      <c r="I3414" s="70"/>
      <c r="L3414" s="71" t="n">
        <f aca="false">IF(助手收入!$R$229="",-1,助手收入!$R$229*100+(助手收入!$S$229-1)*6+4)</f>
        <v>-1</v>
      </c>
    </row>
    <row r="3415" customFormat="false" ht="23.25" hidden="false" customHeight="true" outlineLevel="0" collapsed="false">
      <c r="B3415" s="67" t="str">
        <f aca="false">""</f>
        <v/>
      </c>
      <c r="C3415" s="67"/>
      <c r="D3415" s="23" t="str">
        <f aca="false">IFERROR(INDEX(分录收入!$E:$E,MATCH($L3415,分录收入!$L:$L,0)),"")</f>
        <v/>
      </c>
      <c r="E3415" s="23" t="str">
        <f aca="false">IFERROR(INDEX(分录收入!$F:$F,MATCH($L3415,分录收入!$L:$L,0)),"")</f>
        <v/>
      </c>
      <c r="F3415" s="68" t="str">
        <f aca="false">IFERROR(INDEX(分录收入!$H:$H,MATCH($L3415,分录收入!$L:$L,0)),"")</f>
        <v/>
      </c>
      <c r="G3415" s="69" t="str">
        <f aca="false">IFERROR(INDEX(分录收入!$I:$I,MATCH($L3415,分录收入!$L:$L,0)),"")</f>
        <v/>
      </c>
      <c r="H3415" s="23"/>
      <c r="I3415" s="70"/>
      <c r="L3415" s="71" t="n">
        <f aca="false">IF(助手收入!$R$229="",-1,助手收入!$R$229*100+(助手收入!$S$229-1)*6+5)</f>
        <v>-1</v>
      </c>
    </row>
    <row r="3416" customFormat="false" ht="23.25" hidden="false" customHeight="true" outlineLevel="0" collapsed="false">
      <c r="B3416" s="67" t="str">
        <f aca="false">""</f>
        <v/>
      </c>
      <c r="C3416" s="67"/>
      <c r="D3416" s="23" t="str">
        <f aca="false">IFERROR(INDEX(分录收入!$E:$E,MATCH($L3416,分录收入!$L:$L,0)),"")</f>
        <v/>
      </c>
      <c r="E3416" s="23" t="str">
        <f aca="false">IFERROR(INDEX(分录收入!$F:$F,MATCH($L3416,分录收入!$L:$L,0)),"")</f>
        <v/>
      </c>
      <c r="F3416" s="68" t="str">
        <f aca="false">IFERROR(INDEX(分录收入!$H:$H,MATCH($L3416,分录收入!$L:$L,0)),"")</f>
        <v/>
      </c>
      <c r="G3416" s="69" t="str">
        <f aca="false">IFERROR(INDEX(分录收入!$I:$I,MATCH($L3416,分录收入!$L:$L,0)),"")</f>
        <v/>
      </c>
      <c r="H3416" s="23"/>
      <c r="I3416" s="70"/>
      <c r="L3416" s="71" t="n">
        <f aca="false">IF(助手收入!$R$229="",-1,助手收入!$R$229*100+(助手收入!$S$229-1)*6+6)</f>
        <v>-1</v>
      </c>
    </row>
    <row r="3417" customFormat="false" ht="23.25" hidden="false" customHeight="true" outlineLevel="0" collapsed="false">
      <c r="B3417" s="72" t="str">
        <f aca="false">IF(助手收入!$T$229=1,"合计：","")</f>
        <v/>
      </c>
      <c r="C3417" s="73" t="str">
        <f aca="false">IF(助手收入!$T$229=1,$F3417,"")</f>
        <v/>
      </c>
      <c r="D3417" s="74"/>
      <c r="E3417" s="74"/>
      <c r="F3417" s="75" t="str">
        <f aca="false">IF(助手收入!$T$229=1,INDEX(助手收入!$N$2:$N$66,助手收入!$R$229),"")</f>
        <v/>
      </c>
      <c r="G3417" s="76" t="str">
        <f aca="false">IF(助手收入!$T$229=1,INDEX(助手收入!$O$2:$O$66,助手收入!$R$229),"")</f>
        <v/>
      </c>
      <c r="H3417" s="74"/>
      <c r="I3417" s="77"/>
    </row>
    <row r="3418" customFormat="false" ht="6" hidden="false" customHeight="true" outlineLevel="0" collapsed="false"/>
    <row r="3419" customFormat="false" ht="13.5" hidden="false" customHeight="false" outlineLevel="0" collapsed="false">
      <c r="B3419" s="78" t="str">
        <f aca="false">IF(助手收入!$R$229&lt;&gt;"","会计主管：","")</f>
        <v/>
      </c>
      <c r="D3419" s="78" t="str">
        <f aca="false">IF(助手收入!$R$229&lt;&gt;"","会计：","")</f>
        <v/>
      </c>
      <c r="E3419" s="78" t="str">
        <f aca="false">IF(助手收入!$R$229&lt;&gt;"","出纳：","")</f>
        <v/>
      </c>
      <c r="F3419" s="78" t="str">
        <f aca="false">IF(助手收入!$R$229&lt;&gt;"","复核：","")</f>
        <v/>
      </c>
      <c r="G3419" s="78" t="str">
        <f aca="false">IF(助手收入!$R$229&lt;&gt;"","制单：","")</f>
        <v/>
      </c>
    </row>
    <row r="3420" customFormat="false" ht="3" hidden="false" customHeight="true" outlineLevel="0" collapsed="false"/>
    <row r="3421" customFormat="false" ht="19.5" hidden="false" customHeight="true" outlineLevel="0" collapsed="false">
      <c r="B3421" s="53" t="str">
        <f aca="false">IF(助手收入!$R$230&lt;&gt;"","记  账  凭  证","")</f>
        <v/>
      </c>
      <c r="C3421" s="53"/>
      <c r="D3421" s="53"/>
      <c r="E3421" s="53"/>
      <c r="F3421" s="53"/>
      <c r="G3421" s="53"/>
      <c r="H3421" s="53"/>
      <c r="I3421" s="53"/>
    </row>
    <row r="3422" customFormat="false" ht="3" hidden="false" customHeight="true" outlineLevel="0" collapsed="false"/>
    <row r="3423" customFormat="false" ht="15" hidden="false" customHeight="true" outlineLevel="0" collapsed="false">
      <c r="C3423" s="56" t="str">
        <f aca="false">IF(助手收入!$R$230&lt;&gt;"",INDEX(助手收入!$B$2:$B$66,助手收入!$R$230),"")</f>
        <v/>
      </c>
      <c r="D3423" s="57" t="str">
        <f aca="false">IF(助手收入!$R$230&lt;&gt;"",参数!$B$2,"")</f>
        <v/>
      </c>
      <c r="E3423" s="57"/>
      <c r="F3423" s="58" t="str">
        <f aca="false">IF(助手收入!$R$230&lt;&gt;"",INDEX(助手收入!$C$2:$C$66,助手收入!$R$230)&amp;"  字第 "&amp;IF(参数!$B$9="是",INDEX(助手收入!$P$2:$P$66,助手收入!$R$230),"　　　　")&amp;" 号"&amp;IF(INDEX(助手收入!$L$2:$L$66,助手收入!$R$230)&gt;1,"  (共"&amp;INDEX(助手收入!$L$2:$L$66,助手收入!$R$230)&amp;"页 第"&amp;助手收入!$S$230&amp;"页)",""),"")</f>
        <v/>
      </c>
      <c r="G3423" s="58"/>
      <c r="H3423" s="58"/>
      <c r="I3423" s="58"/>
      <c r="M3423" s="79" t="str">
        <f aca="false">IF(助手收入!$R$230="","",助手收入!$Q$230)</f>
        <v/>
      </c>
      <c r="N3423" s="80" t="str">
        <f aca="false">IF(助手收入!$R$230="","",INDEX(助手收入!$P$2:$P$66,助手收入!$R$230))</f>
        <v/>
      </c>
      <c r="O3423" s="55" t="str">
        <f aca="false">IF(助手收入!$R$230="","",INDEX(助手收入!$C$2:$C$66,助手收入!$R$230)&amp;"  字第 "&amp;INDEX(助手收入!$P$2:$P$66,助手收入!$R$230)&amp;" 号"&amp;IF(INDEX(助手收入!$L$2:$L$66,助手收入!$R$230)&gt;1,"  (共"&amp;INDEX(助手收入!$L$2:$L$66,助手收入!$R$230)&amp;"页 第"&amp;助手收入!$S$230&amp;"页)",""))</f>
        <v/>
      </c>
    </row>
    <row r="3424" customFormat="false" ht="12.75" hidden="false" customHeight="true" outlineLevel="0" collapsed="false">
      <c r="B3424" s="61" t="str">
        <f aca="false">IF(助手收入!$R$230&lt;&gt;"","摘　　要","")</f>
        <v/>
      </c>
      <c r="C3424" s="61"/>
      <c r="D3424" s="62" t="str">
        <f aca="false">IF(助手收入!$R$230&lt;&gt;"","科　　　　目","")</f>
        <v/>
      </c>
      <c r="E3424" s="62"/>
      <c r="F3424" s="61" t="str">
        <f aca="false">IF(助手收入!$R$230&lt;&gt;"","借 方 金 额","")</f>
        <v/>
      </c>
      <c r="G3424" s="62" t="str">
        <f aca="false">IF(助手收入!$R$230&lt;&gt;"","贷 方 金 额","")</f>
        <v/>
      </c>
      <c r="H3424" s="63" t="str">
        <f aca="false">IF(助手收入!$R$230&lt;&gt;"","√","")</f>
        <v/>
      </c>
      <c r="I3424" s="64" t="str">
        <f aca="false">IF(助手收入!$R$230&lt;&gt;"","附单据  张","")</f>
        <v/>
      </c>
    </row>
    <row r="3425" customFormat="false" ht="12.75" hidden="false" customHeight="true" outlineLevel="0" collapsed="false">
      <c r="B3425" s="61"/>
      <c r="C3425" s="61"/>
      <c r="D3425" s="23" t="str">
        <f aca="false">IF(助手收入!$R$230&lt;&gt;"","总 账 科 目","")</f>
        <v/>
      </c>
      <c r="E3425" s="23" t="str">
        <f aca="false">IF(助手收入!$R$230&lt;&gt;"","明 细 科 目","")</f>
        <v/>
      </c>
      <c r="F3425" s="65"/>
      <c r="G3425" s="66"/>
      <c r="H3425" s="63"/>
      <c r="I3425" s="64"/>
    </row>
    <row r="3426" customFormat="false" ht="23.25" hidden="false" customHeight="true" outlineLevel="0" collapsed="false">
      <c r="B3426" s="67" t="str">
        <f aca="false">IFERROR(INDEX(分录收入!$M:$M,MATCH($L3426,分录收入!$L:$L,0)),"")</f>
        <v/>
      </c>
      <c r="C3426" s="67"/>
      <c r="D3426" s="23" t="str">
        <f aca="false">IFERROR(INDEX(分录收入!$E:$E,MATCH($L3426,分录收入!$L:$L,0)),"")</f>
        <v/>
      </c>
      <c r="E3426" s="23" t="str">
        <f aca="false">IFERROR(INDEX(分录收入!$F:$F,MATCH($L3426,分录收入!$L:$L,0)),"")</f>
        <v/>
      </c>
      <c r="F3426" s="68" t="str">
        <f aca="false">IFERROR(INDEX(分录收入!$H:$H,MATCH($L3426,分录收入!$L:$L,0)),"")</f>
        <v/>
      </c>
      <c r="G3426" s="69" t="str">
        <f aca="false">IFERROR(INDEX(分录收入!$I:$I,MATCH($L3426,分录收入!$L:$L,0)),"")</f>
        <v/>
      </c>
      <c r="H3426" s="23"/>
      <c r="I3426" s="70"/>
      <c r="L3426" s="71" t="n">
        <f aca="false">IF(助手收入!$R$230="",-1,助手收入!$R$230*100+(助手收入!$S$230-1)*6+1)</f>
        <v>-1</v>
      </c>
    </row>
    <row r="3427" customFormat="false" ht="23.25" hidden="false" customHeight="true" outlineLevel="0" collapsed="false">
      <c r="B3427" s="67" t="str">
        <f aca="false">""</f>
        <v/>
      </c>
      <c r="C3427" s="67"/>
      <c r="D3427" s="23" t="str">
        <f aca="false">IFERROR(INDEX(分录收入!$E:$E,MATCH($L3427,分录收入!$L:$L,0)),"")</f>
        <v/>
      </c>
      <c r="E3427" s="23" t="str">
        <f aca="false">IFERROR(INDEX(分录收入!$F:$F,MATCH($L3427,分录收入!$L:$L,0)),"")</f>
        <v/>
      </c>
      <c r="F3427" s="68" t="str">
        <f aca="false">IFERROR(INDEX(分录收入!$H:$H,MATCH($L3427,分录收入!$L:$L,0)),"")</f>
        <v/>
      </c>
      <c r="G3427" s="69" t="str">
        <f aca="false">IFERROR(INDEX(分录收入!$I:$I,MATCH($L3427,分录收入!$L:$L,0)),"")</f>
        <v/>
      </c>
      <c r="H3427" s="23"/>
      <c r="I3427" s="70"/>
      <c r="L3427" s="71" t="n">
        <f aca="false">IF(助手收入!$R$230="",-1,助手收入!$R$230*100+(助手收入!$S$230-1)*6+2)</f>
        <v>-1</v>
      </c>
    </row>
    <row r="3428" customFormat="false" ht="23.25" hidden="false" customHeight="true" outlineLevel="0" collapsed="false">
      <c r="B3428" s="67" t="str">
        <f aca="false">""</f>
        <v/>
      </c>
      <c r="C3428" s="67"/>
      <c r="D3428" s="23" t="str">
        <f aca="false">IFERROR(INDEX(分录收入!$E:$E,MATCH($L3428,分录收入!$L:$L,0)),"")</f>
        <v/>
      </c>
      <c r="E3428" s="23" t="str">
        <f aca="false">IFERROR(INDEX(分录收入!$F:$F,MATCH($L3428,分录收入!$L:$L,0)),"")</f>
        <v/>
      </c>
      <c r="F3428" s="68" t="str">
        <f aca="false">IFERROR(INDEX(分录收入!$H:$H,MATCH($L3428,分录收入!$L:$L,0)),"")</f>
        <v/>
      </c>
      <c r="G3428" s="69" t="str">
        <f aca="false">IFERROR(INDEX(分录收入!$I:$I,MATCH($L3428,分录收入!$L:$L,0)),"")</f>
        <v/>
      </c>
      <c r="H3428" s="23"/>
      <c r="I3428" s="70"/>
      <c r="L3428" s="71" t="n">
        <f aca="false">IF(助手收入!$R$230="",-1,助手收入!$R$230*100+(助手收入!$S$230-1)*6+3)</f>
        <v>-1</v>
      </c>
    </row>
    <row r="3429" customFormat="false" ht="23.25" hidden="false" customHeight="true" outlineLevel="0" collapsed="false">
      <c r="B3429" s="67" t="str">
        <f aca="false">""</f>
        <v/>
      </c>
      <c r="C3429" s="67"/>
      <c r="D3429" s="23" t="str">
        <f aca="false">IFERROR(INDEX(分录收入!$E:$E,MATCH($L3429,分录收入!$L:$L,0)),"")</f>
        <v/>
      </c>
      <c r="E3429" s="23" t="str">
        <f aca="false">IFERROR(INDEX(分录收入!$F:$F,MATCH($L3429,分录收入!$L:$L,0)),"")</f>
        <v/>
      </c>
      <c r="F3429" s="68" t="str">
        <f aca="false">IFERROR(INDEX(分录收入!$H:$H,MATCH($L3429,分录收入!$L:$L,0)),"")</f>
        <v/>
      </c>
      <c r="G3429" s="69" t="str">
        <f aca="false">IFERROR(INDEX(分录收入!$I:$I,MATCH($L3429,分录收入!$L:$L,0)),"")</f>
        <v/>
      </c>
      <c r="H3429" s="23"/>
      <c r="I3429" s="70"/>
      <c r="L3429" s="71" t="n">
        <f aca="false">IF(助手收入!$R$230="",-1,助手收入!$R$230*100+(助手收入!$S$230-1)*6+4)</f>
        <v>-1</v>
      </c>
    </row>
    <row r="3430" customFormat="false" ht="23.25" hidden="false" customHeight="true" outlineLevel="0" collapsed="false">
      <c r="B3430" s="67" t="str">
        <f aca="false">""</f>
        <v/>
      </c>
      <c r="C3430" s="67"/>
      <c r="D3430" s="23" t="str">
        <f aca="false">IFERROR(INDEX(分录收入!$E:$E,MATCH($L3430,分录收入!$L:$L,0)),"")</f>
        <v/>
      </c>
      <c r="E3430" s="23" t="str">
        <f aca="false">IFERROR(INDEX(分录收入!$F:$F,MATCH($L3430,分录收入!$L:$L,0)),"")</f>
        <v/>
      </c>
      <c r="F3430" s="68" t="str">
        <f aca="false">IFERROR(INDEX(分录收入!$H:$H,MATCH($L3430,分录收入!$L:$L,0)),"")</f>
        <v/>
      </c>
      <c r="G3430" s="69" t="str">
        <f aca="false">IFERROR(INDEX(分录收入!$I:$I,MATCH($L3430,分录收入!$L:$L,0)),"")</f>
        <v/>
      </c>
      <c r="H3430" s="23"/>
      <c r="I3430" s="70"/>
      <c r="L3430" s="71" t="n">
        <f aca="false">IF(助手收入!$R$230="",-1,助手收入!$R$230*100+(助手收入!$S$230-1)*6+5)</f>
        <v>-1</v>
      </c>
    </row>
    <row r="3431" customFormat="false" ht="23.25" hidden="false" customHeight="true" outlineLevel="0" collapsed="false">
      <c r="B3431" s="67" t="str">
        <f aca="false">""</f>
        <v/>
      </c>
      <c r="C3431" s="67"/>
      <c r="D3431" s="23" t="str">
        <f aca="false">IFERROR(INDEX(分录收入!$E:$E,MATCH($L3431,分录收入!$L:$L,0)),"")</f>
        <v/>
      </c>
      <c r="E3431" s="23" t="str">
        <f aca="false">IFERROR(INDEX(分录收入!$F:$F,MATCH($L3431,分录收入!$L:$L,0)),"")</f>
        <v/>
      </c>
      <c r="F3431" s="68" t="str">
        <f aca="false">IFERROR(INDEX(分录收入!$H:$H,MATCH($L3431,分录收入!$L:$L,0)),"")</f>
        <v/>
      </c>
      <c r="G3431" s="69" t="str">
        <f aca="false">IFERROR(INDEX(分录收入!$I:$I,MATCH($L3431,分录收入!$L:$L,0)),"")</f>
        <v/>
      </c>
      <c r="H3431" s="23"/>
      <c r="I3431" s="70"/>
      <c r="L3431" s="71" t="n">
        <f aca="false">IF(助手收入!$R$230="",-1,助手收入!$R$230*100+(助手收入!$S$230-1)*6+6)</f>
        <v>-1</v>
      </c>
    </row>
    <row r="3432" customFormat="false" ht="23.25" hidden="false" customHeight="true" outlineLevel="0" collapsed="false">
      <c r="B3432" s="72" t="str">
        <f aca="false">IF(助手收入!$T$230=1,"合计：","")</f>
        <v/>
      </c>
      <c r="C3432" s="73" t="str">
        <f aca="false">IF(助手收入!$T$230=1,$F3432,"")</f>
        <v/>
      </c>
      <c r="D3432" s="74"/>
      <c r="E3432" s="74"/>
      <c r="F3432" s="75" t="str">
        <f aca="false">IF(助手收入!$T$230=1,INDEX(助手收入!$N$2:$N$66,助手收入!$R$230),"")</f>
        <v/>
      </c>
      <c r="G3432" s="76" t="str">
        <f aca="false">IF(助手收入!$T$230=1,INDEX(助手收入!$O$2:$O$66,助手收入!$R$230),"")</f>
        <v/>
      </c>
      <c r="H3432" s="74"/>
      <c r="I3432" s="77"/>
    </row>
    <row r="3433" customFormat="false" ht="6" hidden="false" customHeight="true" outlineLevel="0" collapsed="false"/>
    <row r="3434" customFormat="false" ht="13.5" hidden="false" customHeight="false" outlineLevel="0" collapsed="false">
      <c r="B3434" s="78" t="str">
        <f aca="false">IF(助手收入!$R$230&lt;&gt;"","会计主管：","")</f>
        <v/>
      </c>
      <c r="D3434" s="78" t="str">
        <f aca="false">IF(助手收入!$R$230&lt;&gt;"","会计：","")</f>
        <v/>
      </c>
      <c r="E3434" s="78" t="str">
        <f aca="false">IF(助手收入!$R$230&lt;&gt;"","出纳：","")</f>
        <v/>
      </c>
      <c r="F3434" s="78" t="str">
        <f aca="false">IF(助手收入!$R$230&lt;&gt;"","复核：","")</f>
        <v/>
      </c>
      <c r="G3434" s="78" t="str">
        <f aca="false">IF(助手收入!$R$230&lt;&gt;"","制单：","")</f>
        <v/>
      </c>
    </row>
    <row r="3435" customFormat="false" ht="3" hidden="false" customHeight="true" outlineLevel="0" collapsed="false"/>
    <row r="3436" customFormat="false" ht="19.5" hidden="false" customHeight="true" outlineLevel="0" collapsed="false">
      <c r="B3436" s="53" t="str">
        <f aca="false">IF(助手收入!$R$231&lt;&gt;"","记  账  凭  证","")</f>
        <v/>
      </c>
      <c r="C3436" s="53"/>
      <c r="D3436" s="53"/>
      <c r="E3436" s="53"/>
      <c r="F3436" s="53"/>
      <c r="G3436" s="53"/>
      <c r="H3436" s="53"/>
      <c r="I3436" s="53"/>
    </row>
    <row r="3437" customFormat="false" ht="3" hidden="false" customHeight="true" outlineLevel="0" collapsed="false"/>
    <row r="3438" customFormat="false" ht="15" hidden="false" customHeight="true" outlineLevel="0" collapsed="false">
      <c r="C3438" s="56" t="str">
        <f aca="false">IF(助手收入!$R$231&lt;&gt;"",INDEX(助手收入!$B$2:$B$66,助手收入!$R$231),"")</f>
        <v/>
      </c>
      <c r="D3438" s="57" t="str">
        <f aca="false">IF(助手收入!$R$231&lt;&gt;"",参数!$B$2,"")</f>
        <v/>
      </c>
      <c r="E3438" s="57"/>
      <c r="F3438" s="58" t="str">
        <f aca="false">IF(助手收入!$R$231&lt;&gt;"",INDEX(助手收入!$C$2:$C$66,助手收入!$R$231)&amp;"  字第 "&amp;IF(参数!$B$9="是",INDEX(助手收入!$P$2:$P$66,助手收入!$R$231),"　　　　")&amp;" 号"&amp;IF(INDEX(助手收入!$L$2:$L$66,助手收入!$R$231)&gt;1,"  (共"&amp;INDEX(助手收入!$L$2:$L$66,助手收入!$R$231)&amp;"页 第"&amp;助手收入!$S$231&amp;"页)",""),"")</f>
        <v/>
      </c>
      <c r="G3438" s="58"/>
      <c r="H3438" s="58"/>
      <c r="I3438" s="58"/>
      <c r="M3438" s="79" t="str">
        <f aca="false">IF(助手收入!$R$231="","",助手收入!$Q$231)</f>
        <v/>
      </c>
      <c r="N3438" s="80" t="str">
        <f aca="false">IF(助手收入!$R$231="","",INDEX(助手收入!$P$2:$P$66,助手收入!$R$231))</f>
        <v/>
      </c>
      <c r="O3438" s="55" t="str">
        <f aca="false">IF(助手收入!$R$231="","",INDEX(助手收入!$C$2:$C$66,助手收入!$R$231)&amp;"  字第 "&amp;INDEX(助手收入!$P$2:$P$66,助手收入!$R$231)&amp;" 号"&amp;IF(INDEX(助手收入!$L$2:$L$66,助手收入!$R$231)&gt;1,"  (共"&amp;INDEX(助手收入!$L$2:$L$66,助手收入!$R$231)&amp;"页 第"&amp;助手收入!$S$231&amp;"页)",""))</f>
        <v/>
      </c>
    </row>
    <row r="3439" customFormat="false" ht="12.75" hidden="false" customHeight="true" outlineLevel="0" collapsed="false">
      <c r="B3439" s="61" t="str">
        <f aca="false">IF(助手收入!$R$231&lt;&gt;"","摘　　要","")</f>
        <v/>
      </c>
      <c r="C3439" s="61"/>
      <c r="D3439" s="62" t="str">
        <f aca="false">IF(助手收入!$R$231&lt;&gt;"","科　　　　目","")</f>
        <v/>
      </c>
      <c r="E3439" s="62"/>
      <c r="F3439" s="61" t="str">
        <f aca="false">IF(助手收入!$R$231&lt;&gt;"","借 方 金 额","")</f>
        <v/>
      </c>
      <c r="G3439" s="62" t="str">
        <f aca="false">IF(助手收入!$R$231&lt;&gt;"","贷 方 金 额","")</f>
        <v/>
      </c>
      <c r="H3439" s="63" t="str">
        <f aca="false">IF(助手收入!$R$231&lt;&gt;"","√","")</f>
        <v/>
      </c>
      <c r="I3439" s="64" t="str">
        <f aca="false">IF(助手收入!$R$231&lt;&gt;"","附单据  张","")</f>
        <v/>
      </c>
    </row>
    <row r="3440" customFormat="false" ht="12.75" hidden="false" customHeight="true" outlineLevel="0" collapsed="false">
      <c r="B3440" s="61"/>
      <c r="C3440" s="61"/>
      <c r="D3440" s="23" t="str">
        <f aca="false">IF(助手收入!$R$231&lt;&gt;"","总 账 科 目","")</f>
        <v/>
      </c>
      <c r="E3440" s="23" t="str">
        <f aca="false">IF(助手收入!$R$231&lt;&gt;"","明 细 科 目","")</f>
        <v/>
      </c>
      <c r="F3440" s="65"/>
      <c r="G3440" s="66"/>
      <c r="H3440" s="63"/>
      <c r="I3440" s="64"/>
    </row>
    <row r="3441" customFormat="false" ht="23.25" hidden="false" customHeight="true" outlineLevel="0" collapsed="false">
      <c r="B3441" s="67" t="str">
        <f aca="false">IFERROR(INDEX(分录收入!$M:$M,MATCH($L3441,分录收入!$L:$L,0)),"")</f>
        <v/>
      </c>
      <c r="C3441" s="67"/>
      <c r="D3441" s="23" t="str">
        <f aca="false">IFERROR(INDEX(分录收入!$E:$E,MATCH($L3441,分录收入!$L:$L,0)),"")</f>
        <v/>
      </c>
      <c r="E3441" s="23" t="str">
        <f aca="false">IFERROR(INDEX(分录收入!$F:$F,MATCH($L3441,分录收入!$L:$L,0)),"")</f>
        <v/>
      </c>
      <c r="F3441" s="68" t="str">
        <f aca="false">IFERROR(INDEX(分录收入!$H:$H,MATCH($L3441,分录收入!$L:$L,0)),"")</f>
        <v/>
      </c>
      <c r="G3441" s="69" t="str">
        <f aca="false">IFERROR(INDEX(分录收入!$I:$I,MATCH($L3441,分录收入!$L:$L,0)),"")</f>
        <v/>
      </c>
      <c r="H3441" s="23"/>
      <c r="I3441" s="70"/>
      <c r="L3441" s="71" t="n">
        <f aca="false">IF(助手收入!$R$231="",-1,助手收入!$R$231*100+(助手收入!$S$231-1)*6+1)</f>
        <v>-1</v>
      </c>
    </row>
    <row r="3442" customFormat="false" ht="23.25" hidden="false" customHeight="true" outlineLevel="0" collapsed="false">
      <c r="B3442" s="67" t="str">
        <f aca="false">""</f>
        <v/>
      </c>
      <c r="C3442" s="67"/>
      <c r="D3442" s="23" t="str">
        <f aca="false">IFERROR(INDEX(分录收入!$E:$E,MATCH($L3442,分录收入!$L:$L,0)),"")</f>
        <v/>
      </c>
      <c r="E3442" s="23" t="str">
        <f aca="false">IFERROR(INDEX(分录收入!$F:$F,MATCH($L3442,分录收入!$L:$L,0)),"")</f>
        <v/>
      </c>
      <c r="F3442" s="68" t="str">
        <f aca="false">IFERROR(INDEX(分录收入!$H:$H,MATCH($L3442,分录收入!$L:$L,0)),"")</f>
        <v/>
      </c>
      <c r="G3442" s="69" t="str">
        <f aca="false">IFERROR(INDEX(分录收入!$I:$I,MATCH($L3442,分录收入!$L:$L,0)),"")</f>
        <v/>
      </c>
      <c r="H3442" s="23"/>
      <c r="I3442" s="70"/>
      <c r="L3442" s="71" t="n">
        <f aca="false">IF(助手收入!$R$231="",-1,助手收入!$R$231*100+(助手收入!$S$231-1)*6+2)</f>
        <v>-1</v>
      </c>
    </row>
    <row r="3443" customFormat="false" ht="23.25" hidden="false" customHeight="true" outlineLevel="0" collapsed="false">
      <c r="B3443" s="67" t="str">
        <f aca="false">""</f>
        <v/>
      </c>
      <c r="C3443" s="67"/>
      <c r="D3443" s="23" t="str">
        <f aca="false">IFERROR(INDEX(分录收入!$E:$E,MATCH($L3443,分录收入!$L:$L,0)),"")</f>
        <v/>
      </c>
      <c r="E3443" s="23" t="str">
        <f aca="false">IFERROR(INDEX(分录收入!$F:$F,MATCH($L3443,分录收入!$L:$L,0)),"")</f>
        <v/>
      </c>
      <c r="F3443" s="68" t="str">
        <f aca="false">IFERROR(INDEX(分录收入!$H:$H,MATCH($L3443,分录收入!$L:$L,0)),"")</f>
        <v/>
      </c>
      <c r="G3443" s="69" t="str">
        <f aca="false">IFERROR(INDEX(分录收入!$I:$I,MATCH($L3443,分录收入!$L:$L,0)),"")</f>
        <v/>
      </c>
      <c r="H3443" s="23"/>
      <c r="I3443" s="70"/>
      <c r="L3443" s="71" t="n">
        <f aca="false">IF(助手收入!$R$231="",-1,助手收入!$R$231*100+(助手收入!$S$231-1)*6+3)</f>
        <v>-1</v>
      </c>
    </row>
    <row r="3444" customFormat="false" ht="23.25" hidden="false" customHeight="true" outlineLevel="0" collapsed="false">
      <c r="B3444" s="67" t="str">
        <f aca="false">""</f>
        <v/>
      </c>
      <c r="C3444" s="67"/>
      <c r="D3444" s="23" t="str">
        <f aca="false">IFERROR(INDEX(分录收入!$E:$E,MATCH($L3444,分录收入!$L:$L,0)),"")</f>
        <v/>
      </c>
      <c r="E3444" s="23" t="str">
        <f aca="false">IFERROR(INDEX(分录收入!$F:$F,MATCH($L3444,分录收入!$L:$L,0)),"")</f>
        <v/>
      </c>
      <c r="F3444" s="68" t="str">
        <f aca="false">IFERROR(INDEX(分录收入!$H:$H,MATCH($L3444,分录收入!$L:$L,0)),"")</f>
        <v/>
      </c>
      <c r="G3444" s="69" t="str">
        <f aca="false">IFERROR(INDEX(分录收入!$I:$I,MATCH($L3444,分录收入!$L:$L,0)),"")</f>
        <v/>
      </c>
      <c r="H3444" s="23"/>
      <c r="I3444" s="70"/>
      <c r="L3444" s="71" t="n">
        <f aca="false">IF(助手收入!$R$231="",-1,助手收入!$R$231*100+(助手收入!$S$231-1)*6+4)</f>
        <v>-1</v>
      </c>
    </row>
    <row r="3445" customFormat="false" ht="23.25" hidden="false" customHeight="true" outlineLevel="0" collapsed="false">
      <c r="B3445" s="67" t="str">
        <f aca="false">""</f>
        <v/>
      </c>
      <c r="C3445" s="67"/>
      <c r="D3445" s="23" t="str">
        <f aca="false">IFERROR(INDEX(分录收入!$E:$E,MATCH($L3445,分录收入!$L:$L,0)),"")</f>
        <v/>
      </c>
      <c r="E3445" s="23" t="str">
        <f aca="false">IFERROR(INDEX(分录收入!$F:$F,MATCH($L3445,分录收入!$L:$L,0)),"")</f>
        <v/>
      </c>
      <c r="F3445" s="68" t="str">
        <f aca="false">IFERROR(INDEX(分录收入!$H:$H,MATCH($L3445,分录收入!$L:$L,0)),"")</f>
        <v/>
      </c>
      <c r="G3445" s="69" t="str">
        <f aca="false">IFERROR(INDEX(分录收入!$I:$I,MATCH($L3445,分录收入!$L:$L,0)),"")</f>
        <v/>
      </c>
      <c r="H3445" s="23"/>
      <c r="I3445" s="70"/>
      <c r="L3445" s="71" t="n">
        <f aca="false">IF(助手收入!$R$231="",-1,助手收入!$R$231*100+(助手收入!$S$231-1)*6+5)</f>
        <v>-1</v>
      </c>
    </row>
    <row r="3446" customFormat="false" ht="23.25" hidden="false" customHeight="true" outlineLevel="0" collapsed="false">
      <c r="B3446" s="67" t="str">
        <f aca="false">""</f>
        <v/>
      </c>
      <c r="C3446" s="67"/>
      <c r="D3446" s="23" t="str">
        <f aca="false">IFERROR(INDEX(分录收入!$E:$E,MATCH($L3446,分录收入!$L:$L,0)),"")</f>
        <v/>
      </c>
      <c r="E3446" s="23" t="str">
        <f aca="false">IFERROR(INDEX(分录收入!$F:$F,MATCH($L3446,分录收入!$L:$L,0)),"")</f>
        <v/>
      </c>
      <c r="F3446" s="68" t="str">
        <f aca="false">IFERROR(INDEX(分录收入!$H:$H,MATCH($L3446,分录收入!$L:$L,0)),"")</f>
        <v/>
      </c>
      <c r="G3446" s="69" t="str">
        <f aca="false">IFERROR(INDEX(分录收入!$I:$I,MATCH($L3446,分录收入!$L:$L,0)),"")</f>
        <v/>
      </c>
      <c r="H3446" s="23"/>
      <c r="I3446" s="70"/>
      <c r="L3446" s="71" t="n">
        <f aca="false">IF(助手收入!$R$231="",-1,助手收入!$R$231*100+(助手收入!$S$231-1)*6+6)</f>
        <v>-1</v>
      </c>
    </row>
    <row r="3447" customFormat="false" ht="23.25" hidden="false" customHeight="true" outlineLevel="0" collapsed="false">
      <c r="B3447" s="72" t="str">
        <f aca="false">IF(助手收入!$T$231=1,"合计：","")</f>
        <v/>
      </c>
      <c r="C3447" s="73" t="str">
        <f aca="false">IF(助手收入!$T$231=1,$F3447,"")</f>
        <v/>
      </c>
      <c r="D3447" s="74"/>
      <c r="E3447" s="74"/>
      <c r="F3447" s="75" t="str">
        <f aca="false">IF(助手收入!$T$231=1,INDEX(助手收入!$N$2:$N$66,助手收入!$R$231),"")</f>
        <v/>
      </c>
      <c r="G3447" s="76" t="str">
        <f aca="false">IF(助手收入!$T$231=1,INDEX(助手收入!$O$2:$O$66,助手收入!$R$231),"")</f>
        <v/>
      </c>
      <c r="H3447" s="74"/>
      <c r="I3447" s="77"/>
    </row>
    <row r="3448" customFormat="false" ht="6" hidden="false" customHeight="true" outlineLevel="0" collapsed="false"/>
    <row r="3449" customFormat="false" ht="13.5" hidden="false" customHeight="false" outlineLevel="0" collapsed="false">
      <c r="B3449" s="78" t="str">
        <f aca="false">IF(助手收入!$R$231&lt;&gt;"","会计主管：","")</f>
        <v/>
      </c>
      <c r="D3449" s="78" t="str">
        <f aca="false">IF(助手收入!$R$231&lt;&gt;"","会计：","")</f>
        <v/>
      </c>
      <c r="E3449" s="78" t="str">
        <f aca="false">IF(助手收入!$R$231&lt;&gt;"","出纳：","")</f>
        <v/>
      </c>
      <c r="F3449" s="78" t="str">
        <f aca="false">IF(助手收入!$R$231&lt;&gt;"","复核：","")</f>
        <v/>
      </c>
      <c r="G3449" s="78" t="str">
        <f aca="false">IF(助手收入!$R$231&lt;&gt;"","制单：","")</f>
        <v/>
      </c>
    </row>
    <row r="3450" customFormat="false" ht="3" hidden="false" customHeight="true" outlineLevel="0" collapsed="false"/>
    <row r="3451" customFormat="false" ht="19.5" hidden="false" customHeight="true" outlineLevel="0" collapsed="false">
      <c r="B3451" s="53" t="str">
        <f aca="false">IF(助手收入!$R$232&lt;&gt;"","记  账  凭  证","")</f>
        <v/>
      </c>
      <c r="C3451" s="53"/>
      <c r="D3451" s="53"/>
      <c r="E3451" s="53"/>
      <c r="F3451" s="53"/>
      <c r="G3451" s="53"/>
      <c r="H3451" s="53"/>
      <c r="I3451" s="53"/>
    </row>
    <row r="3452" customFormat="false" ht="3" hidden="false" customHeight="true" outlineLevel="0" collapsed="false"/>
    <row r="3453" customFormat="false" ht="15" hidden="false" customHeight="true" outlineLevel="0" collapsed="false">
      <c r="C3453" s="56" t="str">
        <f aca="false">IF(助手收入!$R$232&lt;&gt;"",INDEX(助手收入!$B$2:$B$66,助手收入!$R$232),"")</f>
        <v/>
      </c>
      <c r="D3453" s="57" t="str">
        <f aca="false">IF(助手收入!$R$232&lt;&gt;"",参数!$B$2,"")</f>
        <v/>
      </c>
      <c r="E3453" s="57"/>
      <c r="F3453" s="58" t="str">
        <f aca="false">IF(助手收入!$R$232&lt;&gt;"",INDEX(助手收入!$C$2:$C$66,助手收入!$R$232)&amp;"  字第 "&amp;IF(参数!$B$9="是",INDEX(助手收入!$P$2:$P$66,助手收入!$R$232),"　　　　")&amp;" 号"&amp;IF(INDEX(助手收入!$L$2:$L$66,助手收入!$R$232)&gt;1,"  (共"&amp;INDEX(助手收入!$L$2:$L$66,助手收入!$R$232)&amp;"页 第"&amp;助手收入!$S$232&amp;"页)",""),"")</f>
        <v/>
      </c>
      <c r="G3453" s="58"/>
      <c r="H3453" s="58"/>
      <c r="I3453" s="58"/>
      <c r="M3453" s="79" t="str">
        <f aca="false">IF(助手收入!$R$232="","",助手收入!$Q$232)</f>
        <v/>
      </c>
      <c r="N3453" s="80" t="str">
        <f aca="false">IF(助手收入!$R$232="","",INDEX(助手收入!$P$2:$P$66,助手收入!$R$232))</f>
        <v/>
      </c>
      <c r="O3453" s="55" t="str">
        <f aca="false">IF(助手收入!$R$232="","",INDEX(助手收入!$C$2:$C$66,助手收入!$R$232)&amp;"  字第 "&amp;INDEX(助手收入!$P$2:$P$66,助手收入!$R$232)&amp;" 号"&amp;IF(INDEX(助手收入!$L$2:$L$66,助手收入!$R$232)&gt;1,"  (共"&amp;INDEX(助手收入!$L$2:$L$66,助手收入!$R$232)&amp;"页 第"&amp;助手收入!$S$232&amp;"页)",""))</f>
        <v/>
      </c>
    </row>
    <row r="3454" customFormat="false" ht="12.75" hidden="false" customHeight="true" outlineLevel="0" collapsed="false">
      <c r="B3454" s="61" t="str">
        <f aca="false">IF(助手收入!$R$232&lt;&gt;"","摘　　要","")</f>
        <v/>
      </c>
      <c r="C3454" s="61"/>
      <c r="D3454" s="62" t="str">
        <f aca="false">IF(助手收入!$R$232&lt;&gt;"","科　　　　目","")</f>
        <v/>
      </c>
      <c r="E3454" s="62"/>
      <c r="F3454" s="61" t="str">
        <f aca="false">IF(助手收入!$R$232&lt;&gt;"","借 方 金 额","")</f>
        <v/>
      </c>
      <c r="G3454" s="62" t="str">
        <f aca="false">IF(助手收入!$R$232&lt;&gt;"","贷 方 金 额","")</f>
        <v/>
      </c>
      <c r="H3454" s="63" t="str">
        <f aca="false">IF(助手收入!$R$232&lt;&gt;"","√","")</f>
        <v/>
      </c>
      <c r="I3454" s="64" t="str">
        <f aca="false">IF(助手收入!$R$232&lt;&gt;"","附单据  张","")</f>
        <v/>
      </c>
    </row>
    <row r="3455" customFormat="false" ht="12.75" hidden="false" customHeight="true" outlineLevel="0" collapsed="false">
      <c r="B3455" s="61"/>
      <c r="C3455" s="61"/>
      <c r="D3455" s="23" t="str">
        <f aca="false">IF(助手收入!$R$232&lt;&gt;"","总 账 科 目","")</f>
        <v/>
      </c>
      <c r="E3455" s="23" t="str">
        <f aca="false">IF(助手收入!$R$232&lt;&gt;"","明 细 科 目","")</f>
        <v/>
      </c>
      <c r="F3455" s="65"/>
      <c r="G3455" s="66"/>
      <c r="H3455" s="63"/>
      <c r="I3455" s="64"/>
    </row>
    <row r="3456" customFormat="false" ht="23.25" hidden="false" customHeight="true" outlineLevel="0" collapsed="false">
      <c r="B3456" s="67" t="str">
        <f aca="false">IFERROR(INDEX(分录收入!$M:$M,MATCH($L3456,分录收入!$L:$L,0)),"")</f>
        <v/>
      </c>
      <c r="C3456" s="67"/>
      <c r="D3456" s="23" t="str">
        <f aca="false">IFERROR(INDEX(分录收入!$E:$E,MATCH($L3456,分录收入!$L:$L,0)),"")</f>
        <v/>
      </c>
      <c r="E3456" s="23" t="str">
        <f aca="false">IFERROR(INDEX(分录收入!$F:$F,MATCH($L3456,分录收入!$L:$L,0)),"")</f>
        <v/>
      </c>
      <c r="F3456" s="68" t="str">
        <f aca="false">IFERROR(INDEX(分录收入!$H:$H,MATCH($L3456,分录收入!$L:$L,0)),"")</f>
        <v/>
      </c>
      <c r="G3456" s="69" t="str">
        <f aca="false">IFERROR(INDEX(分录收入!$I:$I,MATCH($L3456,分录收入!$L:$L,0)),"")</f>
        <v/>
      </c>
      <c r="H3456" s="23"/>
      <c r="I3456" s="70"/>
      <c r="L3456" s="71" t="n">
        <f aca="false">IF(助手收入!$R$232="",-1,助手收入!$R$232*100+(助手收入!$S$232-1)*6+1)</f>
        <v>-1</v>
      </c>
    </row>
    <row r="3457" customFormat="false" ht="23.25" hidden="false" customHeight="true" outlineLevel="0" collapsed="false">
      <c r="B3457" s="67" t="str">
        <f aca="false">""</f>
        <v/>
      </c>
      <c r="C3457" s="67"/>
      <c r="D3457" s="23" t="str">
        <f aca="false">IFERROR(INDEX(分录收入!$E:$E,MATCH($L3457,分录收入!$L:$L,0)),"")</f>
        <v/>
      </c>
      <c r="E3457" s="23" t="str">
        <f aca="false">IFERROR(INDEX(分录收入!$F:$F,MATCH($L3457,分录收入!$L:$L,0)),"")</f>
        <v/>
      </c>
      <c r="F3457" s="68" t="str">
        <f aca="false">IFERROR(INDEX(分录收入!$H:$H,MATCH($L3457,分录收入!$L:$L,0)),"")</f>
        <v/>
      </c>
      <c r="G3457" s="69" t="str">
        <f aca="false">IFERROR(INDEX(分录收入!$I:$I,MATCH($L3457,分录收入!$L:$L,0)),"")</f>
        <v/>
      </c>
      <c r="H3457" s="23"/>
      <c r="I3457" s="70"/>
      <c r="L3457" s="71" t="n">
        <f aca="false">IF(助手收入!$R$232="",-1,助手收入!$R$232*100+(助手收入!$S$232-1)*6+2)</f>
        <v>-1</v>
      </c>
    </row>
    <row r="3458" customFormat="false" ht="23.25" hidden="false" customHeight="true" outlineLevel="0" collapsed="false">
      <c r="B3458" s="67" t="str">
        <f aca="false">""</f>
        <v/>
      </c>
      <c r="C3458" s="67"/>
      <c r="D3458" s="23" t="str">
        <f aca="false">IFERROR(INDEX(分录收入!$E:$E,MATCH($L3458,分录收入!$L:$L,0)),"")</f>
        <v/>
      </c>
      <c r="E3458" s="23" t="str">
        <f aca="false">IFERROR(INDEX(分录收入!$F:$F,MATCH($L3458,分录收入!$L:$L,0)),"")</f>
        <v/>
      </c>
      <c r="F3458" s="68" t="str">
        <f aca="false">IFERROR(INDEX(分录收入!$H:$H,MATCH($L3458,分录收入!$L:$L,0)),"")</f>
        <v/>
      </c>
      <c r="G3458" s="69" t="str">
        <f aca="false">IFERROR(INDEX(分录收入!$I:$I,MATCH($L3458,分录收入!$L:$L,0)),"")</f>
        <v/>
      </c>
      <c r="H3458" s="23"/>
      <c r="I3458" s="70"/>
      <c r="L3458" s="71" t="n">
        <f aca="false">IF(助手收入!$R$232="",-1,助手收入!$R$232*100+(助手收入!$S$232-1)*6+3)</f>
        <v>-1</v>
      </c>
    </row>
    <row r="3459" customFormat="false" ht="23.25" hidden="false" customHeight="true" outlineLevel="0" collapsed="false">
      <c r="B3459" s="67" t="str">
        <f aca="false">""</f>
        <v/>
      </c>
      <c r="C3459" s="67"/>
      <c r="D3459" s="23" t="str">
        <f aca="false">IFERROR(INDEX(分录收入!$E:$E,MATCH($L3459,分录收入!$L:$L,0)),"")</f>
        <v/>
      </c>
      <c r="E3459" s="23" t="str">
        <f aca="false">IFERROR(INDEX(分录收入!$F:$F,MATCH($L3459,分录收入!$L:$L,0)),"")</f>
        <v/>
      </c>
      <c r="F3459" s="68" t="str">
        <f aca="false">IFERROR(INDEX(分录收入!$H:$H,MATCH($L3459,分录收入!$L:$L,0)),"")</f>
        <v/>
      </c>
      <c r="G3459" s="69" t="str">
        <f aca="false">IFERROR(INDEX(分录收入!$I:$I,MATCH($L3459,分录收入!$L:$L,0)),"")</f>
        <v/>
      </c>
      <c r="H3459" s="23"/>
      <c r="I3459" s="70"/>
      <c r="L3459" s="71" t="n">
        <f aca="false">IF(助手收入!$R$232="",-1,助手收入!$R$232*100+(助手收入!$S$232-1)*6+4)</f>
        <v>-1</v>
      </c>
    </row>
    <row r="3460" customFormat="false" ht="23.25" hidden="false" customHeight="true" outlineLevel="0" collapsed="false">
      <c r="B3460" s="67" t="str">
        <f aca="false">""</f>
        <v/>
      </c>
      <c r="C3460" s="67"/>
      <c r="D3460" s="23" t="str">
        <f aca="false">IFERROR(INDEX(分录收入!$E:$E,MATCH($L3460,分录收入!$L:$L,0)),"")</f>
        <v/>
      </c>
      <c r="E3460" s="23" t="str">
        <f aca="false">IFERROR(INDEX(分录收入!$F:$F,MATCH($L3460,分录收入!$L:$L,0)),"")</f>
        <v/>
      </c>
      <c r="F3460" s="68" t="str">
        <f aca="false">IFERROR(INDEX(分录收入!$H:$H,MATCH($L3460,分录收入!$L:$L,0)),"")</f>
        <v/>
      </c>
      <c r="G3460" s="69" t="str">
        <f aca="false">IFERROR(INDEX(分录收入!$I:$I,MATCH($L3460,分录收入!$L:$L,0)),"")</f>
        <v/>
      </c>
      <c r="H3460" s="23"/>
      <c r="I3460" s="70"/>
      <c r="L3460" s="71" t="n">
        <f aca="false">IF(助手收入!$R$232="",-1,助手收入!$R$232*100+(助手收入!$S$232-1)*6+5)</f>
        <v>-1</v>
      </c>
    </row>
    <row r="3461" customFormat="false" ht="23.25" hidden="false" customHeight="true" outlineLevel="0" collapsed="false">
      <c r="B3461" s="67" t="str">
        <f aca="false">""</f>
        <v/>
      </c>
      <c r="C3461" s="67"/>
      <c r="D3461" s="23" t="str">
        <f aca="false">IFERROR(INDEX(分录收入!$E:$E,MATCH($L3461,分录收入!$L:$L,0)),"")</f>
        <v/>
      </c>
      <c r="E3461" s="23" t="str">
        <f aca="false">IFERROR(INDEX(分录收入!$F:$F,MATCH($L3461,分录收入!$L:$L,0)),"")</f>
        <v/>
      </c>
      <c r="F3461" s="68" t="str">
        <f aca="false">IFERROR(INDEX(分录收入!$H:$H,MATCH($L3461,分录收入!$L:$L,0)),"")</f>
        <v/>
      </c>
      <c r="G3461" s="69" t="str">
        <f aca="false">IFERROR(INDEX(分录收入!$I:$I,MATCH($L3461,分录收入!$L:$L,0)),"")</f>
        <v/>
      </c>
      <c r="H3461" s="23"/>
      <c r="I3461" s="70"/>
      <c r="L3461" s="71" t="n">
        <f aca="false">IF(助手收入!$R$232="",-1,助手收入!$R$232*100+(助手收入!$S$232-1)*6+6)</f>
        <v>-1</v>
      </c>
    </row>
    <row r="3462" customFormat="false" ht="23.25" hidden="false" customHeight="true" outlineLevel="0" collapsed="false">
      <c r="B3462" s="72" t="str">
        <f aca="false">IF(助手收入!$T$232=1,"合计：","")</f>
        <v/>
      </c>
      <c r="C3462" s="73" t="str">
        <f aca="false">IF(助手收入!$T$232=1,$F3462,"")</f>
        <v/>
      </c>
      <c r="D3462" s="74"/>
      <c r="E3462" s="74"/>
      <c r="F3462" s="75" t="str">
        <f aca="false">IF(助手收入!$T$232=1,INDEX(助手收入!$N$2:$N$66,助手收入!$R$232),"")</f>
        <v/>
      </c>
      <c r="G3462" s="76" t="str">
        <f aca="false">IF(助手收入!$T$232=1,INDEX(助手收入!$O$2:$O$66,助手收入!$R$232),"")</f>
        <v/>
      </c>
      <c r="H3462" s="74"/>
      <c r="I3462" s="77"/>
    </row>
    <row r="3463" customFormat="false" ht="6" hidden="false" customHeight="true" outlineLevel="0" collapsed="false"/>
    <row r="3464" customFormat="false" ht="13.5" hidden="false" customHeight="false" outlineLevel="0" collapsed="false">
      <c r="B3464" s="78" t="str">
        <f aca="false">IF(助手收入!$R$232&lt;&gt;"","会计主管：","")</f>
        <v/>
      </c>
      <c r="D3464" s="78" t="str">
        <f aca="false">IF(助手收入!$R$232&lt;&gt;"","会计：","")</f>
        <v/>
      </c>
      <c r="E3464" s="78" t="str">
        <f aca="false">IF(助手收入!$R$232&lt;&gt;"","出纳：","")</f>
        <v/>
      </c>
      <c r="F3464" s="78" t="str">
        <f aca="false">IF(助手收入!$R$232&lt;&gt;"","复核：","")</f>
        <v/>
      </c>
      <c r="G3464" s="78" t="str">
        <f aca="false">IF(助手收入!$R$232&lt;&gt;"","制单：","")</f>
        <v/>
      </c>
    </row>
    <row r="3465" customFormat="false" ht="3" hidden="false" customHeight="true" outlineLevel="0" collapsed="false"/>
    <row r="3466" customFormat="false" ht="19.5" hidden="false" customHeight="true" outlineLevel="0" collapsed="false">
      <c r="B3466" s="53" t="str">
        <f aca="false">IF(助手收入!$R$233&lt;&gt;"","记  账  凭  证","")</f>
        <v/>
      </c>
      <c r="C3466" s="53"/>
      <c r="D3466" s="53"/>
      <c r="E3466" s="53"/>
      <c r="F3466" s="53"/>
      <c r="G3466" s="53"/>
      <c r="H3466" s="53"/>
      <c r="I3466" s="53"/>
    </row>
    <row r="3467" customFormat="false" ht="3" hidden="false" customHeight="true" outlineLevel="0" collapsed="false"/>
    <row r="3468" customFormat="false" ht="15" hidden="false" customHeight="true" outlineLevel="0" collapsed="false">
      <c r="C3468" s="56" t="str">
        <f aca="false">IF(助手收入!$R$233&lt;&gt;"",INDEX(助手收入!$B$2:$B$66,助手收入!$R$233),"")</f>
        <v/>
      </c>
      <c r="D3468" s="57" t="str">
        <f aca="false">IF(助手收入!$R$233&lt;&gt;"",参数!$B$2,"")</f>
        <v/>
      </c>
      <c r="E3468" s="57"/>
      <c r="F3468" s="58" t="str">
        <f aca="false">IF(助手收入!$R$233&lt;&gt;"",INDEX(助手收入!$C$2:$C$66,助手收入!$R$233)&amp;"  字第 "&amp;IF(参数!$B$9="是",INDEX(助手收入!$P$2:$P$66,助手收入!$R$233),"　　　　")&amp;" 号"&amp;IF(INDEX(助手收入!$L$2:$L$66,助手收入!$R$233)&gt;1,"  (共"&amp;INDEX(助手收入!$L$2:$L$66,助手收入!$R$233)&amp;"页 第"&amp;助手收入!$S$233&amp;"页)",""),"")</f>
        <v/>
      </c>
      <c r="G3468" s="58"/>
      <c r="H3468" s="58"/>
      <c r="I3468" s="58"/>
      <c r="M3468" s="79" t="str">
        <f aca="false">IF(助手收入!$R$233="","",助手收入!$Q$233)</f>
        <v/>
      </c>
      <c r="N3468" s="80" t="str">
        <f aca="false">IF(助手收入!$R$233="","",INDEX(助手收入!$P$2:$P$66,助手收入!$R$233))</f>
        <v/>
      </c>
      <c r="O3468" s="55" t="str">
        <f aca="false">IF(助手收入!$R$233="","",INDEX(助手收入!$C$2:$C$66,助手收入!$R$233)&amp;"  字第 "&amp;INDEX(助手收入!$P$2:$P$66,助手收入!$R$233)&amp;" 号"&amp;IF(INDEX(助手收入!$L$2:$L$66,助手收入!$R$233)&gt;1,"  (共"&amp;INDEX(助手收入!$L$2:$L$66,助手收入!$R$233)&amp;"页 第"&amp;助手收入!$S$233&amp;"页)",""))</f>
        <v/>
      </c>
    </row>
    <row r="3469" customFormat="false" ht="12.75" hidden="false" customHeight="true" outlineLevel="0" collapsed="false">
      <c r="B3469" s="61" t="str">
        <f aca="false">IF(助手收入!$R$233&lt;&gt;"","摘　　要","")</f>
        <v/>
      </c>
      <c r="C3469" s="61"/>
      <c r="D3469" s="62" t="str">
        <f aca="false">IF(助手收入!$R$233&lt;&gt;"","科　　　　目","")</f>
        <v/>
      </c>
      <c r="E3469" s="62"/>
      <c r="F3469" s="61" t="str">
        <f aca="false">IF(助手收入!$R$233&lt;&gt;"","借 方 金 额","")</f>
        <v/>
      </c>
      <c r="G3469" s="62" t="str">
        <f aca="false">IF(助手收入!$R$233&lt;&gt;"","贷 方 金 额","")</f>
        <v/>
      </c>
      <c r="H3469" s="63" t="str">
        <f aca="false">IF(助手收入!$R$233&lt;&gt;"","√","")</f>
        <v/>
      </c>
      <c r="I3469" s="64" t="str">
        <f aca="false">IF(助手收入!$R$233&lt;&gt;"","附单据  张","")</f>
        <v/>
      </c>
    </row>
    <row r="3470" customFormat="false" ht="12.75" hidden="false" customHeight="true" outlineLevel="0" collapsed="false">
      <c r="B3470" s="61"/>
      <c r="C3470" s="61"/>
      <c r="D3470" s="23" t="str">
        <f aca="false">IF(助手收入!$R$233&lt;&gt;"","总 账 科 目","")</f>
        <v/>
      </c>
      <c r="E3470" s="23" t="str">
        <f aca="false">IF(助手收入!$R$233&lt;&gt;"","明 细 科 目","")</f>
        <v/>
      </c>
      <c r="F3470" s="65"/>
      <c r="G3470" s="66"/>
      <c r="H3470" s="63"/>
      <c r="I3470" s="64"/>
    </row>
    <row r="3471" customFormat="false" ht="23.25" hidden="false" customHeight="true" outlineLevel="0" collapsed="false">
      <c r="B3471" s="67" t="str">
        <f aca="false">IFERROR(INDEX(分录收入!$M:$M,MATCH($L3471,分录收入!$L:$L,0)),"")</f>
        <v/>
      </c>
      <c r="C3471" s="67"/>
      <c r="D3471" s="23" t="str">
        <f aca="false">IFERROR(INDEX(分录收入!$E:$E,MATCH($L3471,分录收入!$L:$L,0)),"")</f>
        <v/>
      </c>
      <c r="E3471" s="23" t="str">
        <f aca="false">IFERROR(INDEX(分录收入!$F:$F,MATCH($L3471,分录收入!$L:$L,0)),"")</f>
        <v/>
      </c>
      <c r="F3471" s="68" t="str">
        <f aca="false">IFERROR(INDEX(分录收入!$H:$H,MATCH($L3471,分录收入!$L:$L,0)),"")</f>
        <v/>
      </c>
      <c r="G3471" s="69" t="str">
        <f aca="false">IFERROR(INDEX(分录收入!$I:$I,MATCH($L3471,分录收入!$L:$L,0)),"")</f>
        <v/>
      </c>
      <c r="H3471" s="23"/>
      <c r="I3471" s="70"/>
      <c r="L3471" s="71" t="n">
        <f aca="false">IF(助手收入!$R$233="",-1,助手收入!$R$233*100+(助手收入!$S$233-1)*6+1)</f>
        <v>-1</v>
      </c>
    </row>
    <row r="3472" customFormat="false" ht="23.25" hidden="false" customHeight="true" outlineLevel="0" collapsed="false">
      <c r="B3472" s="67" t="str">
        <f aca="false">""</f>
        <v/>
      </c>
      <c r="C3472" s="67"/>
      <c r="D3472" s="23" t="str">
        <f aca="false">IFERROR(INDEX(分录收入!$E:$E,MATCH($L3472,分录收入!$L:$L,0)),"")</f>
        <v/>
      </c>
      <c r="E3472" s="23" t="str">
        <f aca="false">IFERROR(INDEX(分录收入!$F:$F,MATCH($L3472,分录收入!$L:$L,0)),"")</f>
        <v/>
      </c>
      <c r="F3472" s="68" t="str">
        <f aca="false">IFERROR(INDEX(分录收入!$H:$H,MATCH($L3472,分录收入!$L:$L,0)),"")</f>
        <v/>
      </c>
      <c r="G3472" s="69" t="str">
        <f aca="false">IFERROR(INDEX(分录收入!$I:$I,MATCH($L3472,分录收入!$L:$L,0)),"")</f>
        <v/>
      </c>
      <c r="H3472" s="23"/>
      <c r="I3472" s="70"/>
      <c r="L3472" s="71" t="n">
        <f aca="false">IF(助手收入!$R$233="",-1,助手收入!$R$233*100+(助手收入!$S$233-1)*6+2)</f>
        <v>-1</v>
      </c>
    </row>
    <row r="3473" customFormat="false" ht="23.25" hidden="false" customHeight="true" outlineLevel="0" collapsed="false">
      <c r="B3473" s="67" t="str">
        <f aca="false">""</f>
        <v/>
      </c>
      <c r="C3473" s="67"/>
      <c r="D3473" s="23" t="str">
        <f aca="false">IFERROR(INDEX(分录收入!$E:$E,MATCH($L3473,分录收入!$L:$L,0)),"")</f>
        <v/>
      </c>
      <c r="E3473" s="23" t="str">
        <f aca="false">IFERROR(INDEX(分录收入!$F:$F,MATCH($L3473,分录收入!$L:$L,0)),"")</f>
        <v/>
      </c>
      <c r="F3473" s="68" t="str">
        <f aca="false">IFERROR(INDEX(分录收入!$H:$H,MATCH($L3473,分录收入!$L:$L,0)),"")</f>
        <v/>
      </c>
      <c r="G3473" s="69" t="str">
        <f aca="false">IFERROR(INDEX(分录收入!$I:$I,MATCH($L3473,分录收入!$L:$L,0)),"")</f>
        <v/>
      </c>
      <c r="H3473" s="23"/>
      <c r="I3473" s="70"/>
      <c r="L3473" s="71" t="n">
        <f aca="false">IF(助手收入!$R$233="",-1,助手收入!$R$233*100+(助手收入!$S$233-1)*6+3)</f>
        <v>-1</v>
      </c>
    </row>
    <row r="3474" customFormat="false" ht="23.25" hidden="false" customHeight="true" outlineLevel="0" collapsed="false">
      <c r="B3474" s="67" t="str">
        <f aca="false">""</f>
        <v/>
      </c>
      <c r="C3474" s="67"/>
      <c r="D3474" s="23" t="str">
        <f aca="false">IFERROR(INDEX(分录收入!$E:$E,MATCH($L3474,分录收入!$L:$L,0)),"")</f>
        <v/>
      </c>
      <c r="E3474" s="23" t="str">
        <f aca="false">IFERROR(INDEX(分录收入!$F:$F,MATCH($L3474,分录收入!$L:$L,0)),"")</f>
        <v/>
      </c>
      <c r="F3474" s="68" t="str">
        <f aca="false">IFERROR(INDEX(分录收入!$H:$H,MATCH($L3474,分录收入!$L:$L,0)),"")</f>
        <v/>
      </c>
      <c r="G3474" s="69" t="str">
        <f aca="false">IFERROR(INDEX(分录收入!$I:$I,MATCH($L3474,分录收入!$L:$L,0)),"")</f>
        <v/>
      </c>
      <c r="H3474" s="23"/>
      <c r="I3474" s="70"/>
      <c r="L3474" s="71" t="n">
        <f aca="false">IF(助手收入!$R$233="",-1,助手收入!$R$233*100+(助手收入!$S$233-1)*6+4)</f>
        <v>-1</v>
      </c>
    </row>
    <row r="3475" customFormat="false" ht="23.25" hidden="false" customHeight="true" outlineLevel="0" collapsed="false">
      <c r="B3475" s="67" t="str">
        <f aca="false">""</f>
        <v/>
      </c>
      <c r="C3475" s="67"/>
      <c r="D3475" s="23" t="str">
        <f aca="false">IFERROR(INDEX(分录收入!$E:$E,MATCH($L3475,分录收入!$L:$L,0)),"")</f>
        <v/>
      </c>
      <c r="E3475" s="23" t="str">
        <f aca="false">IFERROR(INDEX(分录收入!$F:$F,MATCH($L3475,分录收入!$L:$L,0)),"")</f>
        <v/>
      </c>
      <c r="F3475" s="68" t="str">
        <f aca="false">IFERROR(INDEX(分录收入!$H:$H,MATCH($L3475,分录收入!$L:$L,0)),"")</f>
        <v/>
      </c>
      <c r="G3475" s="69" t="str">
        <f aca="false">IFERROR(INDEX(分录收入!$I:$I,MATCH($L3475,分录收入!$L:$L,0)),"")</f>
        <v/>
      </c>
      <c r="H3475" s="23"/>
      <c r="I3475" s="70"/>
      <c r="L3475" s="71" t="n">
        <f aca="false">IF(助手收入!$R$233="",-1,助手收入!$R$233*100+(助手收入!$S$233-1)*6+5)</f>
        <v>-1</v>
      </c>
    </row>
    <row r="3476" customFormat="false" ht="23.25" hidden="false" customHeight="true" outlineLevel="0" collapsed="false">
      <c r="B3476" s="67" t="str">
        <f aca="false">""</f>
        <v/>
      </c>
      <c r="C3476" s="67"/>
      <c r="D3476" s="23" t="str">
        <f aca="false">IFERROR(INDEX(分录收入!$E:$E,MATCH($L3476,分录收入!$L:$L,0)),"")</f>
        <v/>
      </c>
      <c r="E3476" s="23" t="str">
        <f aca="false">IFERROR(INDEX(分录收入!$F:$F,MATCH($L3476,分录收入!$L:$L,0)),"")</f>
        <v/>
      </c>
      <c r="F3476" s="68" t="str">
        <f aca="false">IFERROR(INDEX(分录收入!$H:$H,MATCH($L3476,分录收入!$L:$L,0)),"")</f>
        <v/>
      </c>
      <c r="G3476" s="69" t="str">
        <f aca="false">IFERROR(INDEX(分录收入!$I:$I,MATCH($L3476,分录收入!$L:$L,0)),"")</f>
        <v/>
      </c>
      <c r="H3476" s="23"/>
      <c r="I3476" s="70"/>
      <c r="L3476" s="71" t="n">
        <f aca="false">IF(助手收入!$R$233="",-1,助手收入!$R$233*100+(助手收入!$S$233-1)*6+6)</f>
        <v>-1</v>
      </c>
    </row>
    <row r="3477" customFormat="false" ht="23.25" hidden="false" customHeight="true" outlineLevel="0" collapsed="false">
      <c r="B3477" s="72" t="str">
        <f aca="false">IF(助手收入!$T$233=1,"合计：","")</f>
        <v/>
      </c>
      <c r="C3477" s="73" t="str">
        <f aca="false">IF(助手收入!$T$233=1,$F3477,"")</f>
        <v/>
      </c>
      <c r="D3477" s="74"/>
      <c r="E3477" s="74"/>
      <c r="F3477" s="75" t="str">
        <f aca="false">IF(助手收入!$T$233=1,INDEX(助手收入!$N$2:$N$66,助手收入!$R$233),"")</f>
        <v/>
      </c>
      <c r="G3477" s="76" t="str">
        <f aca="false">IF(助手收入!$T$233=1,INDEX(助手收入!$O$2:$O$66,助手收入!$R$233),"")</f>
        <v/>
      </c>
      <c r="H3477" s="74"/>
      <c r="I3477" s="77"/>
    </row>
    <row r="3478" customFormat="false" ht="6" hidden="false" customHeight="true" outlineLevel="0" collapsed="false"/>
    <row r="3479" customFormat="false" ht="13.5" hidden="false" customHeight="false" outlineLevel="0" collapsed="false">
      <c r="B3479" s="78" t="str">
        <f aca="false">IF(助手收入!$R$233&lt;&gt;"","会计主管：","")</f>
        <v/>
      </c>
      <c r="D3479" s="78" t="str">
        <f aca="false">IF(助手收入!$R$233&lt;&gt;"","会计：","")</f>
        <v/>
      </c>
      <c r="E3479" s="78" t="str">
        <f aca="false">IF(助手收入!$R$233&lt;&gt;"","出纳：","")</f>
        <v/>
      </c>
      <c r="F3479" s="78" t="str">
        <f aca="false">IF(助手收入!$R$233&lt;&gt;"","复核：","")</f>
        <v/>
      </c>
      <c r="G3479" s="78" t="str">
        <f aca="false">IF(助手收入!$R$233&lt;&gt;"","制单：","")</f>
        <v/>
      </c>
    </row>
    <row r="3480" customFormat="false" ht="3" hidden="false" customHeight="true" outlineLevel="0" collapsed="false"/>
    <row r="3481" customFormat="false" ht="19.5" hidden="false" customHeight="true" outlineLevel="0" collapsed="false">
      <c r="B3481" s="53" t="str">
        <f aca="false">IF(助手收入!$R$234&lt;&gt;"","记  账  凭  证","")</f>
        <v/>
      </c>
      <c r="C3481" s="53"/>
      <c r="D3481" s="53"/>
      <c r="E3481" s="53"/>
      <c r="F3481" s="53"/>
      <c r="G3481" s="53"/>
      <c r="H3481" s="53"/>
      <c r="I3481" s="53"/>
    </row>
    <row r="3482" customFormat="false" ht="3" hidden="false" customHeight="true" outlineLevel="0" collapsed="false"/>
    <row r="3483" customFormat="false" ht="15" hidden="false" customHeight="true" outlineLevel="0" collapsed="false">
      <c r="C3483" s="56" t="str">
        <f aca="false">IF(助手收入!$R$234&lt;&gt;"",INDEX(助手收入!$B$2:$B$66,助手收入!$R$234),"")</f>
        <v/>
      </c>
      <c r="D3483" s="57" t="str">
        <f aca="false">IF(助手收入!$R$234&lt;&gt;"",参数!$B$2,"")</f>
        <v/>
      </c>
      <c r="E3483" s="57"/>
      <c r="F3483" s="58" t="str">
        <f aca="false">IF(助手收入!$R$234&lt;&gt;"",INDEX(助手收入!$C$2:$C$66,助手收入!$R$234)&amp;"  字第 "&amp;IF(参数!$B$9="是",INDEX(助手收入!$P$2:$P$66,助手收入!$R$234),"　　　　")&amp;" 号"&amp;IF(INDEX(助手收入!$L$2:$L$66,助手收入!$R$234)&gt;1,"  (共"&amp;INDEX(助手收入!$L$2:$L$66,助手收入!$R$234)&amp;"页 第"&amp;助手收入!$S$234&amp;"页)",""),"")</f>
        <v/>
      </c>
      <c r="G3483" s="58"/>
      <c r="H3483" s="58"/>
      <c r="I3483" s="58"/>
      <c r="M3483" s="79" t="str">
        <f aca="false">IF(助手收入!$R$234="","",助手收入!$Q$234)</f>
        <v/>
      </c>
      <c r="N3483" s="80" t="str">
        <f aca="false">IF(助手收入!$R$234="","",INDEX(助手收入!$P$2:$P$66,助手收入!$R$234))</f>
        <v/>
      </c>
      <c r="O3483" s="55" t="str">
        <f aca="false">IF(助手收入!$R$234="","",INDEX(助手收入!$C$2:$C$66,助手收入!$R$234)&amp;"  字第 "&amp;INDEX(助手收入!$P$2:$P$66,助手收入!$R$234)&amp;" 号"&amp;IF(INDEX(助手收入!$L$2:$L$66,助手收入!$R$234)&gt;1,"  (共"&amp;INDEX(助手收入!$L$2:$L$66,助手收入!$R$234)&amp;"页 第"&amp;助手收入!$S$234&amp;"页)",""))</f>
        <v/>
      </c>
    </row>
    <row r="3484" customFormat="false" ht="12.75" hidden="false" customHeight="true" outlineLevel="0" collapsed="false">
      <c r="B3484" s="61" t="str">
        <f aca="false">IF(助手收入!$R$234&lt;&gt;"","摘　　要","")</f>
        <v/>
      </c>
      <c r="C3484" s="61"/>
      <c r="D3484" s="62" t="str">
        <f aca="false">IF(助手收入!$R$234&lt;&gt;"","科　　　　目","")</f>
        <v/>
      </c>
      <c r="E3484" s="62"/>
      <c r="F3484" s="61" t="str">
        <f aca="false">IF(助手收入!$R$234&lt;&gt;"","借 方 金 额","")</f>
        <v/>
      </c>
      <c r="G3484" s="62" t="str">
        <f aca="false">IF(助手收入!$R$234&lt;&gt;"","贷 方 金 额","")</f>
        <v/>
      </c>
      <c r="H3484" s="63" t="str">
        <f aca="false">IF(助手收入!$R$234&lt;&gt;"","√","")</f>
        <v/>
      </c>
      <c r="I3484" s="64" t="str">
        <f aca="false">IF(助手收入!$R$234&lt;&gt;"","附单据  张","")</f>
        <v/>
      </c>
    </row>
    <row r="3485" customFormat="false" ht="12.75" hidden="false" customHeight="true" outlineLevel="0" collapsed="false">
      <c r="B3485" s="61"/>
      <c r="C3485" s="61"/>
      <c r="D3485" s="23" t="str">
        <f aca="false">IF(助手收入!$R$234&lt;&gt;"","总 账 科 目","")</f>
        <v/>
      </c>
      <c r="E3485" s="23" t="str">
        <f aca="false">IF(助手收入!$R$234&lt;&gt;"","明 细 科 目","")</f>
        <v/>
      </c>
      <c r="F3485" s="65"/>
      <c r="G3485" s="66"/>
      <c r="H3485" s="63"/>
      <c r="I3485" s="64"/>
    </row>
    <row r="3486" customFormat="false" ht="23.25" hidden="false" customHeight="true" outlineLevel="0" collapsed="false">
      <c r="B3486" s="67" t="str">
        <f aca="false">IFERROR(INDEX(分录收入!$M:$M,MATCH($L3486,分录收入!$L:$L,0)),"")</f>
        <v/>
      </c>
      <c r="C3486" s="67"/>
      <c r="D3486" s="23" t="str">
        <f aca="false">IFERROR(INDEX(分录收入!$E:$E,MATCH($L3486,分录收入!$L:$L,0)),"")</f>
        <v/>
      </c>
      <c r="E3486" s="23" t="str">
        <f aca="false">IFERROR(INDEX(分录收入!$F:$F,MATCH($L3486,分录收入!$L:$L,0)),"")</f>
        <v/>
      </c>
      <c r="F3486" s="68" t="str">
        <f aca="false">IFERROR(INDEX(分录收入!$H:$H,MATCH($L3486,分录收入!$L:$L,0)),"")</f>
        <v/>
      </c>
      <c r="G3486" s="69" t="str">
        <f aca="false">IFERROR(INDEX(分录收入!$I:$I,MATCH($L3486,分录收入!$L:$L,0)),"")</f>
        <v/>
      </c>
      <c r="H3486" s="23"/>
      <c r="I3486" s="70"/>
      <c r="L3486" s="71" t="n">
        <f aca="false">IF(助手收入!$R$234="",-1,助手收入!$R$234*100+(助手收入!$S$234-1)*6+1)</f>
        <v>-1</v>
      </c>
    </row>
    <row r="3487" customFormat="false" ht="23.25" hidden="false" customHeight="true" outlineLevel="0" collapsed="false">
      <c r="B3487" s="67" t="str">
        <f aca="false">""</f>
        <v/>
      </c>
      <c r="C3487" s="67"/>
      <c r="D3487" s="23" t="str">
        <f aca="false">IFERROR(INDEX(分录收入!$E:$E,MATCH($L3487,分录收入!$L:$L,0)),"")</f>
        <v/>
      </c>
      <c r="E3487" s="23" t="str">
        <f aca="false">IFERROR(INDEX(分录收入!$F:$F,MATCH($L3487,分录收入!$L:$L,0)),"")</f>
        <v/>
      </c>
      <c r="F3487" s="68" t="str">
        <f aca="false">IFERROR(INDEX(分录收入!$H:$H,MATCH($L3487,分录收入!$L:$L,0)),"")</f>
        <v/>
      </c>
      <c r="G3487" s="69" t="str">
        <f aca="false">IFERROR(INDEX(分录收入!$I:$I,MATCH($L3487,分录收入!$L:$L,0)),"")</f>
        <v/>
      </c>
      <c r="H3487" s="23"/>
      <c r="I3487" s="70"/>
      <c r="L3487" s="71" t="n">
        <f aca="false">IF(助手收入!$R$234="",-1,助手收入!$R$234*100+(助手收入!$S$234-1)*6+2)</f>
        <v>-1</v>
      </c>
    </row>
    <row r="3488" customFormat="false" ht="23.25" hidden="false" customHeight="true" outlineLevel="0" collapsed="false">
      <c r="B3488" s="67" t="str">
        <f aca="false">""</f>
        <v/>
      </c>
      <c r="C3488" s="67"/>
      <c r="D3488" s="23" t="str">
        <f aca="false">IFERROR(INDEX(分录收入!$E:$E,MATCH($L3488,分录收入!$L:$L,0)),"")</f>
        <v/>
      </c>
      <c r="E3488" s="23" t="str">
        <f aca="false">IFERROR(INDEX(分录收入!$F:$F,MATCH($L3488,分录收入!$L:$L,0)),"")</f>
        <v/>
      </c>
      <c r="F3488" s="68" t="str">
        <f aca="false">IFERROR(INDEX(分录收入!$H:$H,MATCH($L3488,分录收入!$L:$L,0)),"")</f>
        <v/>
      </c>
      <c r="G3488" s="69" t="str">
        <f aca="false">IFERROR(INDEX(分录收入!$I:$I,MATCH($L3488,分录收入!$L:$L,0)),"")</f>
        <v/>
      </c>
      <c r="H3488" s="23"/>
      <c r="I3488" s="70"/>
      <c r="L3488" s="71" t="n">
        <f aca="false">IF(助手收入!$R$234="",-1,助手收入!$R$234*100+(助手收入!$S$234-1)*6+3)</f>
        <v>-1</v>
      </c>
    </row>
    <row r="3489" customFormat="false" ht="23.25" hidden="false" customHeight="true" outlineLevel="0" collapsed="false">
      <c r="B3489" s="67" t="str">
        <f aca="false">""</f>
        <v/>
      </c>
      <c r="C3489" s="67"/>
      <c r="D3489" s="23" t="str">
        <f aca="false">IFERROR(INDEX(分录收入!$E:$E,MATCH($L3489,分录收入!$L:$L,0)),"")</f>
        <v/>
      </c>
      <c r="E3489" s="23" t="str">
        <f aca="false">IFERROR(INDEX(分录收入!$F:$F,MATCH($L3489,分录收入!$L:$L,0)),"")</f>
        <v/>
      </c>
      <c r="F3489" s="68" t="str">
        <f aca="false">IFERROR(INDEX(分录收入!$H:$H,MATCH($L3489,分录收入!$L:$L,0)),"")</f>
        <v/>
      </c>
      <c r="G3489" s="69" t="str">
        <f aca="false">IFERROR(INDEX(分录收入!$I:$I,MATCH($L3489,分录收入!$L:$L,0)),"")</f>
        <v/>
      </c>
      <c r="H3489" s="23"/>
      <c r="I3489" s="70"/>
      <c r="L3489" s="71" t="n">
        <f aca="false">IF(助手收入!$R$234="",-1,助手收入!$R$234*100+(助手收入!$S$234-1)*6+4)</f>
        <v>-1</v>
      </c>
    </row>
    <row r="3490" customFormat="false" ht="23.25" hidden="false" customHeight="true" outlineLevel="0" collapsed="false">
      <c r="B3490" s="67" t="str">
        <f aca="false">""</f>
        <v/>
      </c>
      <c r="C3490" s="67"/>
      <c r="D3490" s="23" t="str">
        <f aca="false">IFERROR(INDEX(分录收入!$E:$E,MATCH($L3490,分录收入!$L:$L,0)),"")</f>
        <v/>
      </c>
      <c r="E3490" s="23" t="str">
        <f aca="false">IFERROR(INDEX(分录收入!$F:$F,MATCH($L3490,分录收入!$L:$L,0)),"")</f>
        <v/>
      </c>
      <c r="F3490" s="68" t="str">
        <f aca="false">IFERROR(INDEX(分录收入!$H:$H,MATCH($L3490,分录收入!$L:$L,0)),"")</f>
        <v/>
      </c>
      <c r="G3490" s="69" t="str">
        <f aca="false">IFERROR(INDEX(分录收入!$I:$I,MATCH($L3490,分录收入!$L:$L,0)),"")</f>
        <v/>
      </c>
      <c r="H3490" s="23"/>
      <c r="I3490" s="70"/>
      <c r="L3490" s="71" t="n">
        <f aca="false">IF(助手收入!$R$234="",-1,助手收入!$R$234*100+(助手收入!$S$234-1)*6+5)</f>
        <v>-1</v>
      </c>
    </row>
    <row r="3491" customFormat="false" ht="23.25" hidden="false" customHeight="true" outlineLevel="0" collapsed="false">
      <c r="B3491" s="67" t="str">
        <f aca="false">""</f>
        <v/>
      </c>
      <c r="C3491" s="67"/>
      <c r="D3491" s="23" t="str">
        <f aca="false">IFERROR(INDEX(分录收入!$E:$E,MATCH($L3491,分录收入!$L:$L,0)),"")</f>
        <v/>
      </c>
      <c r="E3491" s="23" t="str">
        <f aca="false">IFERROR(INDEX(分录收入!$F:$F,MATCH($L3491,分录收入!$L:$L,0)),"")</f>
        <v/>
      </c>
      <c r="F3491" s="68" t="str">
        <f aca="false">IFERROR(INDEX(分录收入!$H:$H,MATCH($L3491,分录收入!$L:$L,0)),"")</f>
        <v/>
      </c>
      <c r="G3491" s="69" t="str">
        <f aca="false">IFERROR(INDEX(分录收入!$I:$I,MATCH($L3491,分录收入!$L:$L,0)),"")</f>
        <v/>
      </c>
      <c r="H3491" s="23"/>
      <c r="I3491" s="70"/>
      <c r="L3491" s="71" t="n">
        <f aca="false">IF(助手收入!$R$234="",-1,助手收入!$R$234*100+(助手收入!$S$234-1)*6+6)</f>
        <v>-1</v>
      </c>
    </row>
    <row r="3492" customFormat="false" ht="23.25" hidden="false" customHeight="true" outlineLevel="0" collapsed="false">
      <c r="B3492" s="72" t="str">
        <f aca="false">IF(助手收入!$T$234=1,"合计：","")</f>
        <v/>
      </c>
      <c r="C3492" s="73" t="str">
        <f aca="false">IF(助手收入!$T$234=1,$F3492,"")</f>
        <v/>
      </c>
      <c r="D3492" s="74"/>
      <c r="E3492" s="74"/>
      <c r="F3492" s="75" t="str">
        <f aca="false">IF(助手收入!$T$234=1,INDEX(助手收入!$N$2:$N$66,助手收入!$R$234),"")</f>
        <v/>
      </c>
      <c r="G3492" s="76" t="str">
        <f aca="false">IF(助手收入!$T$234=1,INDEX(助手收入!$O$2:$O$66,助手收入!$R$234),"")</f>
        <v/>
      </c>
      <c r="H3492" s="74"/>
      <c r="I3492" s="77"/>
    </row>
    <row r="3493" customFormat="false" ht="6" hidden="false" customHeight="true" outlineLevel="0" collapsed="false"/>
    <row r="3494" customFormat="false" ht="13.5" hidden="false" customHeight="false" outlineLevel="0" collapsed="false">
      <c r="B3494" s="78" t="str">
        <f aca="false">IF(助手收入!$R$234&lt;&gt;"","会计主管：","")</f>
        <v/>
      </c>
      <c r="D3494" s="78" t="str">
        <f aca="false">IF(助手收入!$R$234&lt;&gt;"","会计：","")</f>
        <v/>
      </c>
      <c r="E3494" s="78" t="str">
        <f aca="false">IF(助手收入!$R$234&lt;&gt;"","出纳：","")</f>
        <v/>
      </c>
      <c r="F3494" s="78" t="str">
        <f aca="false">IF(助手收入!$R$234&lt;&gt;"","复核：","")</f>
        <v/>
      </c>
      <c r="G3494" s="78" t="str">
        <f aca="false">IF(助手收入!$R$234&lt;&gt;"","制单：","")</f>
        <v/>
      </c>
    </row>
    <row r="3495" customFormat="false" ht="3" hidden="false" customHeight="true" outlineLevel="0" collapsed="false"/>
    <row r="3496" customFormat="false" ht="19.5" hidden="false" customHeight="true" outlineLevel="0" collapsed="false">
      <c r="B3496" s="53" t="str">
        <f aca="false">IF(助手收入!$R$235&lt;&gt;"","记  账  凭  证","")</f>
        <v/>
      </c>
      <c r="C3496" s="53"/>
      <c r="D3496" s="53"/>
      <c r="E3496" s="53"/>
      <c r="F3496" s="53"/>
      <c r="G3496" s="53"/>
      <c r="H3496" s="53"/>
      <c r="I3496" s="53"/>
    </row>
    <row r="3497" customFormat="false" ht="3" hidden="false" customHeight="true" outlineLevel="0" collapsed="false"/>
    <row r="3498" customFormat="false" ht="15" hidden="false" customHeight="true" outlineLevel="0" collapsed="false">
      <c r="C3498" s="56" t="str">
        <f aca="false">IF(助手收入!$R$235&lt;&gt;"",INDEX(助手收入!$B$2:$B$66,助手收入!$R$235),"")</f>
        <v/>
      </c>
      <c r="D3498" s="57" t="str">
        <f aca="false">IF(助手收入!$R$235&lt;&gt;"",参数!$B$2,"")</f>
        <v/>
      </c>
      <c r="E3498" s="57"/>
      <c r="F3498" s="58" t="str">
        <f aca="false">IF(助手收入!$R$235&lt;&gt;"",INDEX(助手收入!$C$2:$C$66,助手收入!$R$235)&amp;"  字第 "&amp;IF(参数!$B$9="是",INDEX(助手收入!$P$2:$P$66,助手收入!$R$235),"　　　　")&amp;" 号"&amp;IF(INDEX(助手收入!$L$2:$L$66,助手收入!$R$235)&gt;1,"  (共"&amp;INDEX(助手收入!$L$2:$L$66,助手收入!$R$235)&amp;"页 第"&amp;助手收入!$S$235&amp;"页)",""),"")</f>
        <v/>
      </c>
      <c r="G3498" s="58"/>
      <c r="H3498" s="58"/>
      <c r="I3498" s="58"/>
      <c r="M3498" s="79" t="str">
        <f aca="false">IF(助手收入!$R$235="","",助手收入!$Q$235)</f>
        <v/>
      </c>
      <c r="N3498" s="80" t="str">
        <f aca="false">IF(助手收入!$R$235="","",INDEX(助手收入!$P$2:$P$66,助手收入!$R$235))</f>
        <v/>
      </c>
      <c r="O3498" s="55" t="str">
        <f aca="false">IF(助手收入!$R$235="","",INDEX(助手收入!$C$2:$C$66,助手收入!$R$235)&amp;"  字第 "&amp;INDEX(助手收入!$P$2:$P$66,助手收入!$R$235)&amp;" 号"&amp;IF(INDEX(助手收入!$L$2:$L$66,助手收入!$R$235)&gt;1,"  (共"&amp;INDEX(助手收入!$L$2:$L$66,助手收入!$R$235)&amp;"页 第"&amp;助手收入!$S$235&amp;"页)",""))</f>
        <v/>
      </c>
    </row>
    <row r="3499" customFormat="false" ht="12.75" hidden="false" customHeight="true" outlineLevel="0" collapsed="false">
      <c r="B3499" s="61" t="str">
        <f aca="false">IF(助手收入!$R$235&lt;&gt;"","摘　　要","")</f>
        <v/>
      </c>
      <c r="C3499" s="61"/>
      <c r="D3499" s="62" t="str">
        <f aca="false">IF(助手收入!$R$235&lt;&gt;"","科　　　　目","")</f>
        <v/>
      </c>
      <c r="E3499" s="62"/>
      <c r="F3499" s="61" t="str">
        <f aca="false">IF(助手收入!$R$235&lt;&gt;"","借 方 金 额","")</f>
        <v/>
      </c>
      <c r="G3499" s="62" t="str">
        <f aca="false">IF(助手收入!$R$235&lt;&gt;"","贷 方 金 额","")</f>
        <v/>
      </c>
      <c r="H3499" s="63" t="str">
        <f aca="false">IF(助手收入!$R$235&lt;&gt;"","√","")</f>
        <v/>
      </c>
      <c r="I3499" s="64" t="str">
        <f aca="false">IF(助手收入!$R$235&lt;&gt;"","附单据  张","")</f>
        <v/>
      </c>
    </row>
    <row r="3500" customFormat="false" ht="12.75" hidden="false" customHeight="true" outlineLevel="0" collapsed="false">
      <c r="B3500" s="61"/>
      <c r="C3500" s="61"/>
      <c r="D3500" s="23" t="str">
        <f aca="false">IF(助手收入!$R$235&lt;&gt;"","总 账 科 目","")</f>
        <v/>
      </c>
      <c r="E3500" s="23" t="str">
        <f aca="false">IF(助手收入!$R$235&lt;&gt;"","明 细 科 目","")</f>
        <v/>
      </c>
      <c r="F3500" s="65"/>
      <c r="G3500" s="66"/>
      <c r="H3500" s="63"/>
      <c r="I3500" s="64"/>
    </row>
    <row r="3501" customFormat="false" ht="23.25" hidden="false" customHeight="true" outlineLevel="0" collapsed="false">
      <c r="B3501" s="67" t="str">
        <f aca="false">IFERROR(INDEX(分录收入!$M:$M,MATCH($L3501,分录收入!$L:$L,0)),"")</f>
        <v/>
      </c>
      <c r="C3501" s="67"/>
      <c r="D3501" s="23" t="str">
        <f aca="false">IFERROR(INDEX(分录收入!$E:$E,MATCH($L3501,分录收入!$L:$L,0)),"")</f>
        <v/>
      </c>
      <c r="E3501" s="23" t="str">
        <f aca="false">IFERROR(INDEX(分录收入!$F:$F,MATCH($L3501,分录收入!$L:$L,0)),"")</f>
        <v/>
      </c>
      <c r="F3501" s="68" t="str">
        <f aca="false">IFERROR(INDEX(分录收入!$H:$H,MATCH($L3501,分录收入!$L:$L,0)),"")</f>
        <v/>
      </c>
      <c r="G3501" s="69" t="str">
        <f aca="false">IFERROR(INDEX(分录收入!$I:$I,MATCH($L3501,分录收入!$L:$L,0)),"")</f>
        <v/>
      </c>
      <c r="H3501" s="23"/>
      <c r="I3501" s="70"/>
      <c r="L3501" s="71" t="n">
        <f aca="false">IF(助手收入!$R$235="",-1,助手收入!$R$235*100+(助手收入!$S$235-1)*6+1)</f>
        <v>-1</v>
      </c>
    </row>
    <row r="3502" customFormat="false" ht="23.25" hidden="false" customHeight="true" outlineLevel="0" collapsed="false">
      <c r="B3502" s="67" t="str">
        <f aca="false">""</f>
        <v/>
      </c>
      <c r="C3502" s="67"/>
      <c r="D3502" s="23" t="str">
        <f aca="false">IFERROR(INDEX(分录收入!$E:$E,MATCH($L3502,分录收入!$L:$L,0)),"")</f>
        <v/>
      </c>
      <c r="E3502" s="23" t="str">
        <f aca="false">IFERROR(INDEX(分录收入!$F:$F,MATCH($L3502,分录收入!$L:$L,0)),"")</f>
        <v/>
      </c>
      <c r="F3502" s="68" t="str">
        <f aca="false">IFERROR(INDEX(分录收入!$H:$H,MATCH($L3502,分录收入!$L:$L,0)),"")</f>
        <v/>
      </c>
      <c r="G3502" s="69" t="str">
        <f aca="false">IFERROR(INDEX(分录收入!$I:$I,MATCH($L3502,分录收入!$L:$L,0)),"")</f>
        <v/>
      </c>
      <c r="H3502" s="23"/>
      <c r="I3502" s="70"/>
      <c r="L3502" s="71" t="n">
        <f aca="false">IF(助手收入!$R$235="",-1,助手收入!$R$235*100+(助手收入!$S$235-1)*6+2)</f>
        <v>-1</v>
      </c>
    </row>
    <row r="3503" customFormat="false" ht="23.25" hidden="false" customHeight="true" outlineLevel="0" collapsed="false">
      <c r="B3503" s="67" t="str">
        <f aca="false">""</f>
        <v/>
      </c>
      <c r="C3503" s="67"/>
      <c r="D3503" s="23" t="str">
        <f aca="false">IFERROR(INDEX(分录收入!$E:$E,MATCH($L3503,分录收入!$L:$L,0)),"")</f>
        <v/>
      </c>
      <c r="E3503" s="23" t="str">
        <f aca="false">IFERROR(INDEX(分录收入!$F:$F,MATCH($L3503,分录收入!$L:$L,0)),"")</f>
        <v/>
      </c>
      <c r="F3503" s="68" t="str">
        <f aca="false">IFERROR(INDEX(分录收入!$H:$H,MATCH($L3503,分录收入!$L:$L,0)),"")</f>
        <v/>
      </c>
      <c r="G3503" s="69" t="str">
        <f aca="false">IFERROR(INDEX(分录收入!$I:$I,MATCH($L3503,分录收入!$L:$L,0)),"")</f>
        <v/>
      </c>
      <c r="H3503" s="23"/>
      <c r="I3503" s="70"/>
      <c r="L3503" s="71" t="n">
        <f aca="false">IF(助手收入!$R$235="",-1,助手收入!$R$235*100+(助手收入!$S$235-1)*6+3)</f>
        <v>-1</v>
      </c>
    </row>
    <row r="3504" customFormat="false" ht="23.25" hidden="false" customHeight="true" outlineLevel="0" collapsed="false">
      <c r="B3504" s="67" t="str">
        <f aca="false">""</f>
        <v/>
      </c>
      <c r="C3504" s="67"/>
      <c r="D3504" s="23" t="str">
        <f aca="false">IFERROR(INDEX(分录收入!$E:$E,MATCH($L3504,分录收入!$L:$L,0)),"")</f>
        <v/>
      </c>
      <c r="E3504" s="23" t="str">
        <f aca="false">IFERROR(INDEX(分录收入!$F:$F,MATCH($L3504,分录收入!$L:$L,0)),"")</f>
        <v/>
      </c>
      <c r="F3504" s="68" t="str">
        <f aca="false">IFERROR(INDEX(分录收入!$H:$H,MATCH($L3504,分录收入!$L:$L,0)),"")</f>
        <v/>
      </c>
      <c r="G3504" s="69" t="str">
        <f aca="false">IFERROR(INDEX(分录收入!$I:$I,MATCH($L3504,分录收入!$L:$L,0)),"")</f>
        <v/>
      </c>
      <c r="H3504" s="23"/>
      <c r="I3504" s="70"/>
      <c r="L3504" s="71" t="n">
        <f aca="false">IF(助手收入!$R$235="",-1,助手收入!$R$235*100+(助手收入!$S$235-1)*6+4)</f>
        <v>-1</v>
      </c>
    </row>
    <row r="3505" customFormat="false" ht="23.25" hidden="false" customHeight="true" outlineLevel="0" collapsed="false">
      <c r="B3505" s="67" t="str">
        <f aca="false">""</f>
        <v/>
      </c>
      <c r="C3505" s="67"/>
      <c r="D3505" s="23" t="str">
        <f aca="false">IFERROR(INDEX(分录收入!$E:$E,MATCH($L3505,分录收入!$L:$L,0)),"")</f>
        <v/>
      </c>
      <c r="E3505" s="23" t="str">
        <f aca="false">IFERROR(INDEX(分录收入!$F:$F,MATCH($L3505,分录收入!$L:$L,0)),"")</f>
        <v/>
      </c>
      <c r="F3505" s="68" t="str">
        <f aca="false">IFERROR(INDEX(分录收入!$H:$H,MATCH($L3505,分录收入!$L:$L,0)),"")</f>
        <v/>
      </c>
      <c r="G3505" s="69" t="str">
        <f aca="false">IFERROR(INDEX(分录收入!$I:$I,MATCH($L3505,分录收入!$L:$L,0)),"")</f>
        <v/>
      </c>
      <c r="H3505" s="23"/>
      <c r="I3505" s="70"/>
      <c r="L3505" s="71" t="n">
        <f aca="false">IF(助手收入!$R$235="",-1,助手收入!$R$235*100+(助手收入!$S$235-1)*6+5)</f>
        <v>-1</v>
      </c>
    </row>
    <row r="3506" customFormat="false" ht="23.25" hidden="false" customHeight="true" outlineLevel="0" collapsed="false">
      <c r="B3506" s="67" t="str">
        <f aca="false">""</f>
        <v/>
      </c>
      <c r="C3506" s="67"/>
      <c r="D3506" s="23" t="str">
        <f aca="false">IFERROR(INDEX(分录收入!$E:$E,MATCH($L3506,分录收入!$L:$L,0)),"")</f>
        <v/>
      </c>
      <c r="E3506" s="23" t="str">
        <f aca="false">IFERROR(INDEX(分录收入!$F:$F,MATCH($L3506,分录收入!$L:$L,0)),"")</f>
        <v/>
      </c>
      <c r="F3506" s="68" t="str">
        <f aca="false">IFERROR(INDEX(分录收入!$H:$H,MATCH($L3506,分录收入!$L:$L,0)),"")</f>
        <v/>
      </c>
      <c r="G3506" s="69" t="str">
        <f aca="false">IFERROR(INDEX(分录收入!$I:$I,MATCH($L3506,分录收入!$L:$L,0)),"")</f>
        <v/>
      </c>
      <c r="H3506" s="23"/>
      <c r="I3506" s="70"/>
      <c r="L3506" s="71" t="n">
        <f aca="false">IF(助手收入!$R$235="",-1,助手收入!$R$235*100+(助手收入!$S$235-1)*6+6)</f>
        <v>-1</v>
      </c>
    </row>
    <row r="3507" customFormat="false" ht="23.25" hidden="false" customHeight="true" outlineLevel="0" collapsed="false">
      <c r="B3507" s="72" t="str">
        <f aca="false">IF(助手收入!$T$235=1,"合计：","")</f>
        <v/>
      </c>
      <c r="C3507" s="73" t="str">
        <f aca="false">IF(助手收入!$T$235=1,$F3507,"")</f>
        <v/>
      </c>
      <c r="D3507" s="74"/>
      <c r="E3507" s="74"/>
      <c r="F3507" s="75" t="str">
        <f aca="false">IF(助手收入!$T$235=1,INDEX(助手收入!$N$2:$N$66,助手收入!$R$235),"")</f>
        <v/>
      </c>
      <c r="G3507" s="76" t="str">
        <f aca="false">IF(助手收入!$T$235=1,INDEX(助手收入!$O$2:$O$66,助手收入!$R$235),"")</f>
        <v/>
      </c>
      <c r="H3507" s="74"/>
      <c r="I3507" s="77"/>
    </row>
    <row r="3508" customFormat="false" ht="6" hidden="false" customHeight="true" outlineLevel="0" collapsed="false"/>
    <row r="3509" customFormat="false" ht="13.5" hidden="false" customHeight="false" outlineLevel="0" collapsed="false">
      <c r="B3509" s="78" t="str">
        <f aca="false">IF(助手收入!$R$235&lt;&gt;"","会计主管：","")</f>
        <v/>
      </c>
      <c r="D3509" s="78" t="str">
        <f aca="false">IF(助手收入!$R$235&lt;&gt;"","会计：","")</f>
        <v/>
      </c>
      <c r="E3509" s="78" t="str">
        <f aca="false">IF(助手收入!$R$235&lt;&gt;"","出纳：","")</f>
        <v/>
      </c>
      <c r="F3509" s="78" t="str">
        <f aca="false">IF(助手收入!$R$235&lt;&gt;"","复核：","")</f>
        <v/>
      </c>
      <c r="G3509" s="78" t="str">
        <f aca="false">IF(助手收入!$R$235&lt;&gt;"","制单：","")</f>
        <v/>
      </c>
    </row>
    <row r="3510" customFormat="false" ht="3" hidden="false" customHeight="true" outlineLevel="0" collapsed="false"/>
    <row r="3511" customFormat="false" ht="19.5" hidden="false" customHeight="true" outlineLevel="0" collapsed="false">
      <c r="B3511" s="53" t="str">
        <f aca="false">IF(助手收入!$R$236&lt;&gt;"","记  账  凭  证","")</f>
        <v/>
      </c>
      <c r="C3511" s="53"/>
      <c r="D3511" s="53"/>
      <c r="E3511" s="53"/>
      <c r="F3511" s="53"/>
      <c r="G3511" s="53"/>
      <c r="H3511" s="53"/>
      <c r="I3511" s="53"/>
    </row>
    <row r="3512" customFormat="false" ht="3" hidden="false" customHeight="true" outlineLevel="0" collapsed="false"/>
    <row r="3513" customFormat="false" ht="15" hidden="false" customHeight="true" outlineLevel="0" collapsed="false">
      <c r="C3513" s="56" t="str">
        <f aca="false">IF(助手收入!$R$236&lt;&gt;"",INDEX(助手收入!$B$2:$B$66,助手收入!$R$236),"")</f>
        <v/>
      </c>
      <c r="D3513" s="57" t="str">
        <f aca="false">IF(助手收入!$R$236&lt;&gt;"",参数!$B$2,"")</f>
        <v/>
      </c>
      <c r="E3513" s="57"/>
      <c r="F3513" s="58" t="str">
        <f aca="false">IF(助手收入!$R$236&lt;&gt;"",INDEX(助手收入!$C$2:$C$66,助手收入!$R$236)&amp;"  字第 "&amp;IF(参数!$B$9="是",INDEX(助手收入!$P$2:$P$66,助手收入!$R$236),"　　　　")&amp;" 号"&amp;IF(INDEX(助手收入!$L$2:$L$66,助手收入!$R$236)&gt;1,"  (共"&amp;INDEX(助手收入!$L$2:$L$66,助手收入!$R$236)&amp;"页 第"&amp;助手收入!$S$236&amp;"页)",""),"")</f>
        <v/>
      </c>
      <c r="G3513" s="58"/>
      <c r="H3513" s="58"/>
      <c r="I3513" s="58"/>
      <c r="M3513" s="79" t="str">
        <f aca="false">IF(助手收入!$R$236="","",助手收入!$Q$236)</f>
        <v/>
      </c>
      <c r="N3513" s="80" t="str">
        <f aca="false">IF(助手收入!$R$236="","",INDEX(助手收入!$P$2:$P$66,助手收入!$R$236))</f>
        <v/>
      </c>
      <c r="O3513" s="55" t="str">
        <f aca="false">IF(助手收入!$R$236="","",INDEX(助手收入!$C$2:$C$66,助手收入!$R$236)&amp;"  字第 "&amp;INDEX(助手收入!$P$2:$P$66,助手收入!$R$236)&amp;" 号"&amp;IF(INDEX(助手收入!$L$2:$L$66,助手收入!$R$236)&gt;1,"  (共"&amp;INDEX(助手收入!$L$2:$L$66,助手收入!$R$236)&amp;"页 第"&amp;助手收入!$S$236&amp;"页)",""))</f>
        <v/>
      </c>
    </row>
    <row r="3514" customFormat="false" ht="12.75" hidden="false" customHeight="true" outlineLevel="0" collapsed="false">
      <c r="B3514" s="61" t="str">
        <f aca="false">IF(助手收入!$R$236&lt;&gt;"","摘　　要","")</f>
        <v/>
      </c>
      <c r="C3514" s="61"/>
      <c r="D3514" s="62" t="str">
        <f aca="false">IF(助手收入!$R$236&lt;&gt;"","科　　　　目","")</f>
        <v/>
      </c>
      <c r="E3514" s="62"/>
      <c r="F3514" s="61" t="str">
        <f aca="false">IF(助手收入!$R$236&lt;&gt;"","借 方 金 额","")</f>
        <v/>
      </c>
      <c r="G3514" s="62" t="str">
        <f aca="false">IF(助手收入!$R$236&lt;&gt;"","贷 方 金 额","")</f>
        <v/>
      </c>
      <c r="H3514" s="63" t="str">
        <f aca="false">IF(助手收入!$R$236&lt;&gt;"","√","")</f>
        <v/>
      </c>
      <c r="I3514" s="64" t="str">
        <f aca="false">IF(助手收入!$R$236&lt;&gt;"","附单据  张","")</f>
        <v/>
      </c>
    </row>
    <row r="3515" customFormat="false" ht="12.75" hidden="false" customHeight="true" outlineLevel="0" collapsed="false">
      <c r="B3515" s="61"/>
      <c r="C3515" s="61"/>
      <c r="D3515" s="23" t="str">
        <f aca="false">IF(助手收入!$R$236&lt;&gt;"","总 账 科 目","")</f>
        <v/>
      </c>
      <c r="E3515" s="23" t="str">
        <f aca="false">IF(助手收入!$R$236&lt;&gt;"","明 细 科 目","")</f>
        <v/>
      </c>
      <c r="F3515" s="65"/>
      <c r="G3515" s="66"/>
      <c r="H3515" s="63"/>
      <c r="I3515" s="64"/>
    </row>
    <row r="3516" customFormat="false" ht="23.25" hidden="false" customHeight="true" outlineLevel="0" collapsed="false">
      <c r="B3516" s="67" t="str">
        <f aca="false">IFERROR(INDEX(分录收入!$M:$M,MATCH($L3516,分录收入!$L:$L,0)),"")</f>
        <v/>
      </c>
      <c r="C3516" s="67"/>
      <c r="D3516" s="23" t="str">
        <f aca="false">IFERROR(INDEX(分录收入!$E:$E,MATCH($L3516,分录收入!$L:$L,0)),"")</f>
        <v/>
      </c>
      <c r="E3516" s="23" t="str">
        <f aca="false">IFERROR(INDEX(分录收入!$F:$F,MATCH($L3516,分录收入!$L:$L,0)),"")</f>
        <v/>
      </c>
      <c r="F3516" s="68" t="str">
        <f aca="false">IFERROR(INDEX(分录收入!$H:$H,MATCH($L3516,分录收入!$L:$L,0)),"")</f>
        <v/>
      </c>
      <c r="G3516" s="69" t="str">
        <f aca="false">IFERROR(INDEX(分录收入!$I:$I,MATCH($L3516,分录收入!$L:$L,0)),"")</f>
        <v/>
      </c>
      <c r="H3516" s="23"/>
      <c r="I3516" s="70"/>
      <c r="L3516" s="71" t="n">
        <f aca="false">IF(助手收入!$R$236="",-1,助手收入!$R$236*100+(助手收入!$S$236-1)*6+1)</f>
        <v>-1</v>
      </c>
    </row>
    <row r="3517" customFormat="false" ht="23.25" hidden="false" customHeight="true" outlineLevel="0" collapsed="false">
      <c r="B3517" s="67" t="str">
        <f aca="false">""</f>
        <v/>
      </c>
      <c r="C3517" s="67"/>
      <c r="D3517" s="23" t="str">
        <f aca="false">IFERROR(INDEX(分录收入!$E:$E,MATCH($L3517,分录收入!$L:$L,0)),"")</f>
        <v/>
      </c>
      <c r="E3517" s="23" t="str">
        <f aca="false">IFERROR(INDEX(分录收入!$F:$F,MATCH($L3517,分录收入!$L:$L,0)),"")</f>
        <v/>
      </c>
      <c r="F3517" s="68" t="str">
        <f aca="false">IFERROR(INDEX(分录收入!$H:$H,MATCH($L3517,分录收入!$L:$L,0)),"")</f>
        <v/>
      </c>
      <c r="G3517" s="69" t="str">
        <f aca="false">IFERROR(INDEX(分录收入!$I:$I,MATCH($L3517,分录收入!$L:$L,0)),"")</f>
        <v/>
      </c>
      <c r="H3517" s="23"/>
      <c r="I3517" s="70"/>
      <c r="L3517" s="71" t="n">
        <f aca="false">IF(助手收入!$R$236="",-1,助手收入!$R$236*100+(助手收入!$S$236-1)*6+2)</f>
        <v>-1</v>
      </c>
    </row>
    <row r="3518" customFormat="false" ht="23.25" hidden="false" customHeight="true" outlineLevel="0" collapsed="false">
      <c r="B3518" s="67" t="str">
        <f aca="false">""</f>
        <v/>
      </c>
      <c r="C3518" s="67"/>
      <c r="D3518" s="23" t="str">
        <f aca="false">IFERROR(INDEX(分录收入!$E:$E,MATCH($L3518,分录收入!$L:$L,0)),"")</f>
        <v/>
      </c>
      <c r="E3518" s="23" t="str">
        <f aca="false">IFERROR(INDEX(分录收入!$F:$F,MATCH($L3518,分录收入!$L:$L,0)),"")</f>
        <v/>
      </c>
      <c r="F3518" s="68" t="str">
        <f aca="false">IFERROR(INDEX(分录收入!$H:$H,MATCH($L3518,分录收入!$L:$L,0)),"")</f>
        <v/>
      </c>
      <c r="G3518" s="69" t="str">
        <f aca="false">IFERROR(INDEX(分录收入!$I:$I,MATCH($L3518,分录收入!$L:$L,0)),"")</f>
        <v/>
      </c>
      <c r="H3518" s="23"/>
      <c r="I3518" s="70"/>
      <c r="L3518" s="71" t="n">
        <f aca="false">IF(助手收入!$R$236="",-1,助手收入!$R$236*100+(助手收入!$S$236-1)*6+3)</f>
        <v>-1</v>
      </c>
    </row>
    <row r="3519" customFormat="false" ht="23.25" hidden="false" customHeight="true" outlineLevel="0" collapsed="false">
      <c r="B3519" s="67" t="str">
        <f aca="false">""</f>
        <v/>
      </c>
      <c r="C3519" s="67"/>
      <c r="D3519" s="23" t="str">
        <f aca="false">IFERROR(INDEX(分录收入!$E:$E,MATCH($L3519,分录收入!$L:$L,0)),"")</f>
        <v/>
      </c>
      <c r="E3519" s="23" t="str">
        <f aca="false">IFERROR(INDEX(分录收入!$F:$F,MATCH($L3519,分录收入!$L:$L,0)),"")</f>
        <v/>
      </c>
      <c r="F3519" s="68" t="str">
        <f aca="false">IFERROR(INDEX(分录收入!$H:$H,MATCH($L3519,分录收入!$L:$L,0)),"")</f>
        <v/>
      </c>
      <c r="G3519" s="69" t="str">
        <f aca="false">IFERROR(INDEX(分录收入!$I:$I,MATCH($L3519,分录收入!$L:$L,0)),"")</f>
        <v/>
      </c>
      <c r="H3519" s="23"/>
      <c r="I3519" s="70"/>
      <c r="L3519" s="71" t="n">
        <f aca="false">IF(助手收入!$R$236="",-1,助手收入!$R$236*100+(助手收入!$S$236-1)*6+4)</f>
        <v>-1</v>
      </c>
    </row>
    <row r="3520" customFormat="false" ht="23.25" hidden="false" customHeight="true" outlineLevel="0" collapsed="false">
      <c r="B3520" s="67" t="str">
        <f aca="false">""</f>
        <v/>
      </c>
      <c r="C3520" s="67"/>
      <c r="D3520" s="23" t="str">
        <f aca="false">IFERROR(INDEX(分录收入!$E:$E,MATCH($L3520,分录收入!$L:$L,0)),"")</f>
        <v/>
      </c>
      <c r="E3520" s="23" t="str">
        <f aca="false">IFERROR(INDEX(分录收入!$F:$F,MATCH($L3520,分录收入!$L:$L,0)),"")</f>
        <v/>
      </c>
      <c r="F3520" s="68" t="str">
        <f aca="false">IFERROR(INDEX(分录收入!$H:$H,MATCH($L3520,分录收入!$L:$L,0)),"")</f>
        <v/>
      </c>
      <c r="G3520" s="69" t="str">
        <f aca="false">IFERROR(INDEX(分录收入!$I:$I,MATCH($L3520,分录收入!$L:$L,0)),"")</f>
        <v/>
      </c>
      <c r="H3520" s="23"/>
      <c r="I3520" s="70"/>
      <c r="L3520" s="71" t="n">
        <f aca="false">IF(助手收入!$R$236="",-1,助手收入!$R$236*100+(助手收入!$S$236-1)*6+5)</f>
        <v>-1</v>
      </c>
    </row>
    <row r="3521" customFormat="false" ht="23.25" hidden="false" customHeight="true" outlineLevel="0" collapsed="false">
      <c r="B3521" s="67" t="str">
        <f aca="false">""</f>
        <v/>
      </c>
      <c r="C3521" s="67"/>
      <c r="D3521" s="23" t="str">
        <f aca="false">IFERROR(INDEX(分录收入!$E:$E,MATCH($L3521,分录收入!$L:$L,0)),"")</f>
        <v/>
      </c>
      <c r="E3521" s="23" t="str">
        <f aca="false">IFERROR(INDEX(分录收入!$F:$F,MATCH($L3521,分录收入!$L:$L,0)),"")</f>
        <v/>
      </c>
      <c r="F3521" s="68" t="str">
        <f aca="false">IFERROR(INDEX(分录收入!$H:$H,MATCH($L3521,分录收入!$L:$L,0)),"")</f>
        <v/>
      </c>
      <c r="G3521" s="69" t="str">
        <f aca="false">IFERROR(INDEX(分录收入!$I:$I,MATCH($L3521,分录收入!$L:$L,0)),"")</f>
        <v/>
      </c>
      <c r="H3521" s="23"/>
      <c r="I3521" s="70"/>
      <c r="L3521" s="71" t="n">
        <f aca="false">IF(助手收入!$R$236="",-1,助手收入!$R$236*100+(助手收入!$S$236-1)*6+6)</f>
        <v>-1</v>
      </c>
    </row>
    <row r="3522" customFormat="false" ht="23.25" hidden="false" customHeight="true" outlineLevel="0" collapsed="false">
      <c r="B3522" s="72" t="str">
        <f aca="false">IF(助手收入!$T$236=1,"合计：","")</f>
        <v/>
      </c>
      <c r="C3522" s="73" t="str">
        <f aca="false">IF(助手收入!$T$236=1,$F3522,"")</f>
        <v/>
      </c>
      <c r="D3522" s="74"/>
      <c r="E3522" s="74"/>
      <c r="F3522" s="75" t="str">
        <f aca="false">IF(助手收入!$T$236=1,INDEX(助手收入!$N$2:$N$66,助手收入!$R$236),"")</f>
        <v/>
      </c>
      <c r="G3522" s="76" t="str">
        <f aca="false">IF(助手收入!$T$236=1,INDEX(助手收入!$O$2:$O$66,助手收入!$R$236),"")</f>
        <v/>
      </c>
      <c r="H3522" s="74"/>
      <c r="I3522" s="77"/>
    </row>
    <row r="3523" customFormat="false" ht="6" hidden="false" customHeight="true" outlineLevel="0" collapsed="false"/>
    <row r="3524" customFormat="false" ht="13.5" hidden="false" customHeight="false" outlineLevel="0" collapsed="false">
      <c r="B3524" s="78" t="str">
        <f aca="false">IF(助手收入!$R$236&lt;&gt;"","会计主管：","")</f>
        <v/>
      </c>
      <c r="D3524" s="78" t="str">
        <f aca="false">IF(助手收入!$R$236&lt;&gt;"","会计：","")</f>
        <v/>
      </c>
      <c r="E3524" s="78" t="str">
        <f aca="false">IF(助手收入!$R$236&lt;&gt;"","出纳：","")</f>
        <v/>
      </c>
      <c r="F3524" s="78" t="str">
        <f aca="false">IF(助手收入!$R$236&lt;&gt;"","复核：","")</f>
        <v/>
      </c>
      <c r="G3524" s="78" t="str">
        <f aca="false">IF(助手收入!$R$236&lt;&gt;"","制单：","")</f>
        <v/>
      </c>
    </row>
    <row r="3525" customFormat="false" ht="3" hidden="false" customHeight="true" outlineLevel="0" collapsed="false"/>
    <row r="3526" customFormat="false" ht="19.5" hidden="false" customHeight="true" outlineLevel="0" collapsed="false">
      <c r="B3526" s="53" t="str">
        <f aca="false">IF(助手收入!$R$237&lt;&gt;"","记  账  凭  证","")</f>
        <v/>
      </c>
      <c r="C3526" s="53"/>
      <c r="D3526" s="53"/>
      <c r="E3526" s="53"/>
      <c r="F3526" s="53"/>
      <c r="G3526" s="53"/>
      <c r="H3526" s="53"/>
      <c r="I3526" s="53"/>
    </row>
    <row r="3527" customFormat="false" ht="3" hidden="false" customHeight="true" outlineLevel="0" collapsed="false"/>
    <row r="3528" customFormat="false" ht="15" hidden="false" customHeight="true" outlineLevel="0" collapsed="false">
      <c r="C3528" s="56" t="str">
        <f aca="false">IF(助手收入!$R$237&lt;&gt;"",INDEX(助手收入!$B$2:$B$66,助手收入!$R$237),"")</f>
        <v/>
      </c>
      <c r="D3528" s="57" t="str">
        <f aca="false">IF(助手收入!$R$237&lt;&gt;"",参数!$B$2,"")</f>
        <v/>
      </c>
      <c r="E3528" s="57"/>
      <c r="F3528" s="58" t="str">
        <f aca="false">IF(助手收入!$R$237&lt;&gt;"",INDEX(助手收入!$C$2:$C$66,助手收入!$R$237)&amp;"  字第 "&amp;IF(参数!$B$9="是",INDEX(助手收入!$P$2:$P$66,助手收入!$R$237),"　　　　")&amp;" 号"&amp;IF(INDEX(助手收入!$L$2:$L$66,助手收入!$R$237)&gt;1,"  (共"&amp;INDEX(助手收入!$L$2:$L$66,助手收入!$R$237)&amp;"页 第"&amp;助手收入!$S$237&amp;"页)",""),"")</f>
        <v/>
      </c>
      <c r="G3528" s="58"/>
      <c r="H3528" s="58"/>
      <c r="I3528" s="58"/>
      <c r="M3528" s="79" t="str">
        <f aca="false">IF(助手收入!$R$237="","",助手收入!$Q$237)</f>
        <v/>
      </c>
      <c r="N3528" s="80" t="str">
        <f aca="false">IF(助手收入!$R$237="","",INDEX(助手收入!$P$2:$P$66,助手收入!$R$237))</f>
        <v/>
      </c>
      <c r="O3528" s="55" t="str">
        <f aca="false">IF(助手收入!$R$237="","",INDEX(助手收入!$C$2:$C$66,助手收入!$R$237)&amp;"  字第 "&amp;INDEX(助手收入!$P$2:$P$66,助手收入!$R$237)&amp;" 号"&amp;IF(INDEX(助手收入!$L$2:$L$66,助手收入!$R$237)&gt;1,"  (共"&amp;INDEX(助手收入!$L$2:$L$66,助手收入!$R$237)&amp;"页 第"&amp;助手收入!$S$237&amp;"页)",""))</f>
        <v/>
      </c>
    </row>
    <row r="3529" customFormat="false" ht="12.75" hidden="false" customHeight="true" outlineLevel="0" collapsed="false">
      <c r="B3529" s="61" t="str">
        <f aca="false">IF(助手收入!$R$237&lt;&gt;"","摘　　要","")</f>
        <v/>
      </c>
      <c r="C3529" s="61"/>
      <c r="D3529" s="62" t="str">
        <f aca="false">IF(助手收入!$R$237&lt;&gt;"","科　　　　目","")</f>
        <v/>
      </c>
      <c r="E3529" s="62"/>
      <c r="F3529" s="61" t="str">
        <f aca="false">IF(助手收入!$R$237&lt;&gt;"","借 方 金 额","")</f>
        <v/>
      </c>
      <c r="G3529" s="62" t="str">
        <f aca="false">IF(助手收入!$R$237&lt;&gt;"","贷 方 金 额","")</f>
        <v/>
      </c>
      <c r="H3529" s="63" t="str">
        <f aca="false">IF(助手收入!$R$237&lt;&gt;"","√","")</f>
        <v/>
      </c>
      <c r="I3529" s="64" t="str">
        <f aca="false">IF(助手收入!$R$237&lt;&gt;"","附单据  张","")</f>
        <v/>
      </c>
    </row>
    <row r="3530" customFormat="false" ht="12.75" hidden="false" customHeight="true" outlineLevel="0" collapsed="false">
      <c r="B3530" s="61"/>
      <c r="C3530" s="61"/>
      <c r="D3530" s="23" t="str">
        <f aca="false">IF(助手收入!$R$237&lt;&gt;"","总 账 科 目","")</f>
        <v/>
      </c>
      <c r="E3530" s="23" t="str">
        <f aca="false">IF(助手收入!$R$237&lt;&gt;"","明 细 科 目","")</f>
        <v/>
      </c>
      <c r="F3530" s="65"/>
      <c r="G3530" s="66"/>
      <c r="H3530" s="63"/>
      <c r="I3530" s="64"/>
    </row>
    <row r="3531" customFormat="false" ht="23.25" hidden="false" customHeight="true" outlineLevel="0" collapsed="false">
      <c r="B3531" s="67" t="str">
        <f aca="false">IFERROR(INDEX(分录收入!$M:$M,MATCH($L3531,分录收入!$L:$L,0)),"")</f>
        <v/>
      </c>
      <c r="C3531" s="67"/>
      <c r="D3531" s="23" t="str">
        <f aca="false">IFERROR(INDEX(分录收入!$E:$E,MATCH($L3531,分录收入!$L:$L,0)),"")</f>
        <v/>
      </c>
      <c r="E3531" s="23" t="str">
        <f aca="false">IFERROR(INDEX(分录收入!$F:$F,MATCH($L3531,分录收入!$L:$L,0)),"")</f>
        <v/>
      </c>
      <c r="F3531" s="68" t="str">
        <f aca="false">IFERROR(INDEX(分录收入!$H:$H,MATCH($L3531,分录收入!$L:$L,0)),"")</f>
        <v/>
      </c>
      <c r="G3531" s="69" t="str">
        <f aca="false">IFERROR(INDEX(分录收入!$I:$I,MATCH($L3531,分录收入!$L:$L,0)),"")</f>
        <v/>
      </c>
      <c r="H3531" s="23"/>
      <c r="I3531" s="70"/>
      <c r="L3531" s="71" t="n">
        <f aca="false">IF(助手收入!$R$237="",-1,助手收入!$R$237*100+(助手收入!$S$237-1)*6+1)</f>
        <v>-1</v>
      </c>
    </row>
    <row r="3532" customFormat="false" ht="23.25" hidden="false" customHeight="true" outlineLevel="0" collapsed="false">
      <c r="B3532" s="67" t="str">
        <f aca="false">""</f>
        <v/>
      </c>
      <c r="C3532" s="67"/>
      <c r="D3532" s="23" t="str">
        <f aca="false">IFERROR(INDEX(分录收入!$E:$E,MATCH($L3532,分录收入!$L:$L,0)),"")</f>
        <v/>
      </c>
      <c r="E3532" s="23" t="str">
        <f aca="false">IFERROR(INDEX(分录收入!$F:$F,MATCH($L3532,分录收入!$L:$L,0)),"")</f>
        <v/>
      </c>
      <c r="F3532" s="68" t="str">
        <f aca="false">IFERROR(INDEX(分录收入!$H:$H,MATCH($L3532,分录收入!$L:$L,0)),"")</f>
        <v/>
      </c>
      <c r="G3532" s="69" t="str">
        <f aca="false">IFERROR(INDEX(分录收入!$I:$I,MATCH($L3532,分录收入!$L:$L,0)),"")</f>
        <v/>
      </c>
      <c r="H3532" s="23"/>
      <c r="I3532" s="70"/>
      <c r="L3532" s="71" t="n">
        <f aca="false">IF(助手收入!$R$237="",-1,助手收入!$R$237*100+(助手收入!$S$237-1)*6+2)</f>
        <v>-1</v>
      </c>
    </row>
    <row r="3533" customFormat="false" ht="23.25" hidden="false" customHeight="true" outlineLevel="0" collapsed="false">
      <c r="B3533" s="67" t="str">
        <f aca="false">""</f>
        <v/>
      </c>
      <c r="C3533" s="67"/>
      <c r="D3533" s="23" t="str">
        <f aca="false">IFERROR(INDEX(分录收入!$E:$E,MATCH($L3533,分录收入!$L:$L,0)),"")</f>
        <v/>
      </c>
      <c r="E3533" s="23" t="str">
        <f aca="false">IFERROR(INDEX(分录收入!$F:$F,MATCH($L3533,分录收入!$L:$L,0)),"")</f>
        <v/>
      </c>
      <c r="F3533" s="68" t="str">
        <f aca="false">IFERROR(INDEX(分录收入!$H:$H,MATCH($L3533,分录收入!$L:$L,0)),"")</f>
        <v/>
      </c>
      <c r="G3533" s="69" t="str">
        <f aca="false">IFERROR(INDEX(分录收入!$I:$I,MATCH($L3533,分录收入!$L:$L,0)),"")</f>
        <v/>
      </c>
      <c r="H3533" s="23"/>
      <c r="I3533" s="70"/>
      <c r="L3533" s="71" t="n">
        <f aca="false">IF(助手收入!$R$237="",-1,助手收入!$R$237*100+(助手收入!$S$237-1)*6+3)</f>
        <v>-1</v>
      </c>
    </row>
    <row r="3534" customFormat="false" ht="23.25" hidden="false" customHeight="true" outlineLevel="0" collapsed="false">
      <c r="B3534" s="67" t="str">
        <f aca="false">""</f>
        <v/>
      </c>
      <c r="C3534" s="67"/>
      <c r="D3534" s="23" t="str">
        <f aca="false">IFERROR(INDEX(分录收入!$E:$E,MATCH($L3534,分录收入!$L:$L,0)),"")</f>
        <v/>
      </c>
      <c r="E3534" s="23" t="str">
        <f aca="false">IFERROR(INDEX(分录收入!$F:$F,MATCH($L3534,分录收入!$L:$L,0)),"")</f>
        <v/>
      </c>
      <c r="F3534" s="68" t="str">
        <f aca="false">IFERROR(INDEX(分录收入!$H:$H,MATCH($L3534,分录收入!$L:$L,0)),"")</f>
        <v/>
      </c>
      <c r="G3534" s="69" t="str">
        <f aca="false">IFERROR(INDEX(分录收入!$I:$I,MATCH($L3534,分录收入!$L:$L,0)),"")</f>
        <v/>
      </c>
      <c r="H3534" s="23"/>
      <c r="I3534" s="70"/>
      <c r="L3534" s="71" t="n">
        <f aca="false">IF(助手收入!$R$237="",-1,助手收入!$R$237*100+(助手收入!$S$237-1)*6+4)</f>
        <v>-1</v>
      </c>
    </row>
    <row r="3535" customFormat="false" ht="23.25" hidden="false" customHeight="true" outlineLevel="0" collapsed="false">
      <c r="B3535" s="67" t="str">
        <f aca="false">""</f>
        <v/>
      </c>
      <c r="C3535" s="67"/>
      <c r="D3535" s="23" t="str">
        <f aca="false">IFERROR(INDEX(分录收入!$E:$E,MATCH($L3535,分录收入!$L:$L,0)),"")</f>
        <v/>
      </c>
      <c r="E3535" s="23" t="str">
        <f aca="false">IFERROR(INDEX(分录收入!$F:$F,MATCH($L3535,分录收入!$L:$L,0)),"")</f>
        <v/>
      </c>
      <c r="F3535" s="68" t="str">
        <f aca="false">IFERROR(INDEX(分录收入!$H:$H,MATCH($L3535,分录收入!$L:$L,0)),"")</f>
        <v/>
      </c>
      <c r="G3535" s="69" t="str">
        <f aca="false">IFERROR(INDEX(分录收入!$I:$I,MATCH($L3535,分录收入!$L:$L,0)),"")</f>
        <v/>
      </c>
      <c r="H3535" s="23"/>
      <c r="I3535" s="70"/>
      <c r="L3535" s="71" t="n">
        <f aca="false">IF(助手收入!$R$237="",-1,助手收入!$R$237*100+(助手收入!$S$237-1)*6+5)</f>
        <v>-1</v>
      </c>
    </row>
    <row r="3536" customFormat="false" ht="23.25" hidden="false" customHeight="true" outlineLevel="0" collapsed="false">
      <c r="B3536" s="67" t="str">
        <f aca="false">""</f>
        <v/>
      </c>
      <c r="C3536" s="67"/>
      <c r="D3536" s="23" t="str">
        <f aca="false">IFERROR(INDEX(分录收入!$E:$E,MATCH($L3536,分录收入!$L:$L,0)),"")</f>
        <v/>
      </c>
      <c r="E3536" s="23" t="str">
        <f aca="false">IFERROR(INDEX(分录收入!$F:$F,MATCH($L3536,分录收入!$L:$L,0)),"")</f>
        <v/>
      </c>
      <c r="F3536" s="68" t="str">
        <f aca="false">IFERROR(INDEX(分录收入!$H:$H,MATCH($L3536,分录收入!$L:$L,0)),"")</f>
        <v/>
      </c>
      <c r="G3536" s="69" t="str">
        <f aca="false">IFERROR(INDEX(分录收入!$I:$I,MATCH($L3536,分录收入!$L:$L,0)),"")</f>
        <v/>
      </c>
      <c r="H3536" s="23"/>
      <c r="I3536" s="70"/>
      <c r="L3536" s="71" t="n">
        <f aca="false">IF(助手收入!$R$237="",-1,助手收入!$R$237*100+(助手收入!$S$237-1)*6+6)</f>
        <v>-1</v>
      </c>
    </row>
    <row r="3537" customFormat="false" ht="23.25" hidden="false" customHeight="true" outlineLevel="0" collapsed="false">
      <c r="B3537" s="72" t="str">
        <f aca="false">IF(助手收入!$T$237=1,"合计：","")</f>
        <v/>
      </c>
      <c r="C3537" s="73" t="str">
        <f aca="false">IF(助手收入!$T$237=1,$F3537,"")</f>
        <v/>
      </c>
      <c r="D3537" s="74"/>
      <c r="E3537" s="74"/>
      <c r="F3537" s="75" t="str">
        <f aca="false">IF(助手收入!$T$237=1,INDEX(助手收入!$N$2:$N$66,助手收入!$R$237),"")</f>
        <v/>
      </c>
      <c r="G3537" s="76" t="str">
        <f aca="false">IF(助手收入!$T$237=1,INDEX(助手收入!$O$2:$O$66,助手收入!$R$237),"")</f>
        <v/>
      </c>
      <c r="H3537" s="74"/>
      <c r="I3537" s="77"/>
    </row>
    <row r="3538" customFormat="false" ht="6" hidden="false" customHeight="true" outlineLevel="0" collapsed="false"/>
    <row r="3539" customFormat="false" ht="13.5" hidden="false" customHeight="false" outlineLevel="0" collapsed="false">
      <c r="B3539" s="78" t="str">
        <f aca="false">IF(助手收入!$R$237&lt;&gt;"","会计主管：","")</f>
        <v/>
      </c>
      <c r="D3539" s="78" t="str">
        <f aca="false">IF(助手收入!$R$237&lt;&gt;"","会计：","")</f>
        <v/>
      </c>
      <c r="E3539" s="78" t="str">
        <f aca="false">IF(助手收入!$R$237&lt;&gt;"","出纳：","")</f>
        <v/>
      </c>
      <c r="F3539" s="78" t="str">
        <f aca="false">IF(助手收入!$R$237&lt;&gt;"","复核：","")</f>
        <v/>
      </c>
      <c r="G3539" s="78" t="str">
        <f aca="false">IF(助手收入!$R$237&lt;&gt;"","制单：","")</f>
        <v/>
      </c>
    </row>
    <row r="3540" customFormat="false" ht="3" hidden="false" customHeight="true" outlineLevel="0" collapsed="false"/>
    <row r="3541" customFormat="false" ht="19.5" hidden="false" customHeight="true" outlineLevel="0" collapsed="false">
      <c r="B3541" s="53" t="str">
        <f aca="false">IF(助手收入!$R$238&lt;&gt;"","记  账  凭  证","")</f>
        <v/>
      </c>
      <c r="C3541" s="53"/>
      <c r="D3541" s="53"/>
      <c r="E3541" s="53"/>
      <c r="F3541" s="53"/>
      <c r="G3541" s="53"/>
      <c r="H3541" s="53"/>
      <c r="I3541" s="53"/>
    </row>
    <row r="3542" customFormat="false" ht="3" hidden="false" customHeight="true" outlineLevel="0" collapsed="false"/>
    <row r="3543" customFormat="false" ht="15" hidden="false" customHeight="true" outlineLevel="0" collapsed="false">
      <c r="C3543" s="56" t="str">
        <f aca="false">IF(助手收入!$R$238&lt;&gt;"",INDEX(助手收入!$B$2:$B$66,助手收入!$R$238),"")</f>
        <v/>
      </c>
      <c r="D3543" s="57" t="str">
        <f aca="false">IF(助手收入!$R$238&lt;&gt;"",参数!$B$2,"")</f>
        <v/>
      </c>
      <c r="E3543" s="57"/>
      <c r="F3543" s="58" t="str">
        <f aca="false">IF(助手收入!$R$238&lt;&gt;"",INDEX(助手收入!$C$2:$C$66,助手收入!$R$238)&amp;"  字第 "&amp;IF(参数!$B$9="是",INDEX(助手收入!$P$2:$P$66,助手收入!$R$238),"　　　　")&amp;" 号"&amp;IF(INDEX(助手收入!$L$2:$L$66,助手收入!$R$238)&gt;1,"  (共"&amp;INDEX(助手收入!$L$2:$L$66,助手收入!$R$238)&amp;"页 第"&amp;助手收入!$S$238&amp;"页)",""),"")</f>
        <v/>
      </c>
      <c r="G3543" s="58"/>
      <c r="H3543" s="58"/>
      <c r="I3543" s="58"/>
      <c r="M3543" s="79" t="str">
        <f aca="false">IF(助手收入!$R$238="","",助手收入!$Q$238)</f>
        <v/>
      </c>
      <c r="N3543" s="80" t="str">
        <f aca="false">IF(助手收入!$R$238="","",INDEX(助手收入!$P$2:$P$66,助手收入!$R$238))</f>
        <v/>
      </c>
      <c r="O3543" s="55" t="str">
        <f aca="false">IF(助手收入!$R$238="","",INDEX(助手收入!$C$2:$C$66,助手收入!$R$238)&amp;"  字第 "&amp;INDEX(助手收入!$P$2:$P$66,助手收入!$R$238)&amp;" 号"&amp;IF(INDEX(助手收入!$L$2:$L$66,助手收入!$R$238)&gt;1,"  (共"&amp;INDEX(助手收入!$L$2:$L$66,助手收入!$R$238)&amp;"页 第"&amp;助手收入!$S$238&amp;"页)",""))</f>
        <v/>
      </c>
    </row>
    <row r="3544" customFormat="false" ht="12.75" hidden="false" customHeight="true" outlineLevel="0" collapsed="false">
      <c r="B3544" s="61" t="str">
        <f aca="false">IF(助手收入!$R$238&lt;&gt;"","摘　　要","")</f>
        <v/>
      </c>
      <c r="C3544" s="61"/>
      <c r="D3544" s="62" t="str">
        <f aca="false">IF(助手收入!$R$238&lt;&gt;"","科　　　　目","")</f>
        <v/>
      </c>
      <c r="E3544" s="62"/>
      <c r="F3544" s="61" t="str">
        <f aca="false">IF(助手收入!$R$238&lt;&gt;"","借 方 金 额","")</f>
        <v/>
      </c>
      <c r="G3544" s="62" t="str">
        <f aca="false">IF(助手收入!$R$238&lt;&gt;"","贷 方 金 额","")</f>
        <v/>
      </c>
      <c r="H3544" s="63" t="str">
        <f aca="false">IF(助手收入!$R$238&lt;&gt;"","√","")</f>
        <v/>
      </c>
      <c r="I3544" s="64" t="str">
        <f aca="false">IF(助手收入!$R$238&lt;&gt;"","附单据  张","")</f>
        <v/>
      </c>
    </row>
    <row r="3545" customFormat="false" ht="12.75" hidden="false" customHeight="true" outlineLevel="0" collapsed="false">
      <c r="B3545" s="61"/>
      <c r="C3545" s="61"/>
      <c r="D3545" s="23" t="str">
        <f aca="false">IF(助手收入!$R$238&lt;&gt;"","总 账 科 目","")</f>
        <v/>
      </c>
      <c r="E3545" s="23" t="str">
        <f aca="false">IF(助手收入!$R$238&lt;&gt;"","明 细 科 目","")</f>
        <v/>
      </c>
      <c r="F3545" s="65"/>
      <c r="G3545" s="66"/>
      <c r="H3545" s="63"/>
      <c r="I3545" s="64"/>
    </row>
    <row r="3546" customFormat="false" ht="23.25" hidden="false" customHeight="true" outlineLevel="0" collapsed="false">
      <c r="B3546" s="67" t="str">
        <f aca="false">IFERROR(INDEX(分录收入!$M:$M,MATCH($L3546,分录收入!$L:$L,0)),"")</f>
        <v/>
      </c>
      <c r="C3546" s="67"/>
      <c r="D3546" s="23" t="str">
        <f aca="false">IFERROR(INDEX(分录收入!$E:$E,MATCH($L3546,分录收入!$L:$L,0)),"")</f>
        <v/>
      </c>
      <c r="E3546" s="23" t="str">
        <f aca="false">IFERROR(INDEX(分录收入!$F:$F,MATCH($L3546,分录收入!$L:$L,0)),"")</f>
        <v/>
      </c>
      <c r="F3546" s="68" t="str">
        <f aca="false">IFERROR(INDEX(分录收入!$H:$H,MATCH($L3546,分录收入!$L:$L,0)),"")</f>
        <v/>
      </c>
      <c r="G3546" s="69" t="str">
        <f aca="false">IFERROR(INDEX(分录收入!$I:$I,MATCH($L3546,分录收入!$L:$L,0)),"")</f>
        <v/>
      </c>
      <c r="H3546" s="23"/>
      <c r="I3546" s="70"/>
      <c r="L3546" s="71" t="n">
        <f aca="false">IF(助手收入!$R$238="",-1,助手收入!$R$238*100+(助手收入!$S$238-1)*6+1)</f>
        <v>-1</v>
      </c>
    </row>
    <row r="3547" customFormat="false" ht="23.25" hidden="false" customHeight="true" outlineLevel="0" collapsed="false">
      <c r="B3547" s="67" t="str">
        <f aca="false">""</f>
        <v/>
      </c>
      <c r="C3547" s="67"/>
      <c r="D3547" s="23" t="str">
        <f aca="false">IFERROR(INDEX(分录收入!$E:$E,MATCH($L3547,分录收入!$L:$L,0)),"")</f>
        <v/>
      </c>
      <c r="E3547" s="23" t="str">
        <f aca="false">IFERROR(INDEX(分录收入!$F:$F,MATCH($L3547,分录收入!$L:$L,0)),"")</f>
        <v/>
      </c>
      <c r="F3547" s="68" t="str">
        <f aca="false">IFERROR(INDEX(分录收入!$H:$H,MATCH($L3547,分录收入!$L:$L,0)),"")</f>
        <v/>
      </c>
      <c r="G3547" s="69" t="str">
        <f aca="false">IFERROR(INDEX(分录收入!$I:$I,MATCH($L3547,分录收入!$L:$L,0)),"")</f>
        <v/>
      </c>
      <c r="H3547" s="23"/>
      <c r="I3547" s="70"/>
      <c r="L3547" s="71" t="n">
        <f aca="false">IF(助手收入!$R$238="",-1,助手收入!$R$238*100+(助手收入!$S$238-1)*6+2)</f>
        <v>-1</v>
      </c>
    </row>
    <row r="3548" customFormat="false" ht="23.25" hidden="false" customHeight="true" outlineLevel="0" collapsed="false">
      <c r="B3548" s="67" t="str">
        <f aca="false">""</f>
        <v/>
      </c>
      <c r="C3548" s="67"/>
      <c r="D3548" s="23" t="str">
        <f aca="false">IFERROR(INDEX(分录收入!$E:$E,MATCH($L3548,分录收入!$L:$L,0)),"")</f>
        <v/>
      </c>
      <c r="E3548" s="23" t="str">
        <f aca="false">IFERROR(INDEX(分录收入!$F:$F,MATCH($L3548,分录收入!$L:$L,0)),"")</f>
        <v/>
      </c>
      <c r="F3548" s="68" t="str">
        <f aca="false">IFERROR(INDEX(分录收入!$H:$H,MATCH($L3548,分录收入!$L:$L,0)),"")</f>
        <v/>
      </c>
      <c r="G3548" s="69" t="str">
        <f aca="false">IFERROR(INDEX(分录收入!$I:$I,MATCH($L3548,分录收入!$L:$L,0)),"")</f>
        <v/>
      </c>
      <c r="H3548" s="23"/>
      <c r="I3548" s="70"/>
      <c r="L3548" s="71" t="n">
        <f aca="false">IF(助手收入!$R$238="",-1,助手收入!$R$238*100+(助手收入!$S$238-1)*6+3)</f>
        <v>-1</v>
      </c>
    </row>
    <row r="3549" customFormat="false" ht="23.25" hidden="false" customHeight="true" outlineLevel="0" collapsed="false">
      <c r="B3549" s="67" t="str">
        <f aca="false">""</f>
        <v/>
      </c>
      <c r="C3549" s="67"/>
      <c r="D3549" s="23" t="str">
        <f aca="false">IFERROR(INDEX(分录收入!$E:$E,MATCH($L3549,分录收入!$L:$L,0)),"")</f>
        <v/>
      </c>
      <c r="E3549" s="23" t="str">
        <f aca="false">IFERROR(INDEX(分录收入!$F:$F,MATCH($L3549,分录收入!$L:$L,0)),"")</f>
        <v/>
      </c>
      <c r="F3549" s="68" t="str">
        <f aca="false">IFERROR(INDEX(分录收入!$H:$H,MATCH($L3549,分录收入!$L:$L,0)),"")</f>
        <v/>
      </c>
      <c r="G3549" s="69" t="str">
        <f aca="false">IFERROR(INDEX(分录收入!$I:$I,MATCH($L3549,分录收入!$L:$L,0)),"")</f>
        <v/>
      </c>
      <c r="H3549" s="23"/>
      <c r="I3549" s="70"/>
      <c r="L3549" s="71" t="n">
        <f aca="false">IF(助手收入!$R$238="",-1,助手收入!$R$238*100+(助手收入!$S$238-1)*6+4)</f>
        <v>-1</v>
      </c>
    </row>
    <row r="3550" customFormat="false" ht="23.25" hidden="false" customHeight="true" outlineLevel="0" collapsed="false">
      <c r="B3550" s="67" t="str">
        <f aca="false">""</f>
        <v/>
      </c>
      <c r="C3550" s="67"/>
      <c r="D3550" s="23" t="str">
        <f aca="false">IFERROR(INDEX(分录收入!$E:$E,MATCH($L3550,分录收入!$L:$L,0)),"")</f>
        <v/>
      </c>
      <c r="E3550" s="23" t="str">
        <f aca="false">IFERROR(INDEX(分录收入!$F:$F,MATCH($L3550,分录收入!$L:$L,0)),"")</f>
        <v/>
      </c>
      <c r="F3550" s="68" t="str">
        <f aca="false">IFERROR(INDEX(分录收入!$H:$H,MATCH($L3550,分录收入!$L:$L,0)),"")</f>
        <v/>
      </c>
      <c r="G3550" s="69" t="str">
        <f aca="false">IFERROR(INDEX(分录收入!$I:$I,MATCH($L3550,分录收入!$L:$L,0)),"")</f>
        <v/>
      </c>
      <c r="H3550" s="23"/>
      <c r="I3550" s="70"/>
      <c r="L3550" s="71" t="n">
        <f aca="false">IF(助手收入!$R$238="",-1,助手收入!$R$238*100+(助手收入!$S$238-1)*6+5)</f>
        <v>-1</v>
      </c>
    </row>
    <row r="3551" customFormat="false" ht="23.25" hidden="false" customHeight="true" outlineLevel="0" collapsed="false">
      <c r="B3551" s="67" t="str">
        <f aca="false">""</f>
        <v/>
      </c>
      <c r="C3551" s="67"/>
      <c r="D3551" s="23" t="str">
        <f aca="false">IFERROR(INDEX(分录收入!$E:$E,MATCH($L3551,分录收入!$L:$L,0)),"")</f>
        <v/>
      </c>
      <c r="E3551" s="23" t="str">
        <f aca="false">IFERROR(INDEX(分录收入!$F:$F,MATCH($L3551,分录收入!$L:$L,0)),"")</f>
        <v/>
      </c>
      <c r="F3551" s="68" t="str">
        <f aca="false">IFERROR(INDEX(分录收入!$H:$H,MATCH($L3551,分录收入!$L:$L,0)),"")</f>
        <v/>
      </c>
      <c r="G3551" s="69" t="str">
        <f aca="false">IFERROR(INDEX(分录收入!$I:$I,MATCH($L3551,分录收入!$L:$L,0)),"")</f>
        <v/>
      </c>
      <c r="H3551" s="23"/>
      <c r="I3551" s="70"/>
      <c r="L3551" s="71" t="n">
        <f aca="false">IF(助手收入!$R$238="",-1,助手收入!$R$238*100+(助手收入!$S$238-1)*6+6)</f>
        <v>-1</v>
      </c>
    </row>
    <row r="3552" customFormat="false" ht="23.25" hidden="false" customHeight="true" outlineLevel="0" collapsed="false">
      <c r="B3552" s="72" t="str">
        <f aca="false">IF(助手收入!$T$238=1,"合计：","")</f>
        <v/>
      </c>
      <c r="C3552" s="73" t="str">
        <f aca="false">IF(助手收入!$T$238=1,$F3552,"")</f>
        <v/>
      </c>
      <c r="D3552" s="74"/>
      <c r="E3552" s="74"/>
      <c r="F3552" s="75" t="str">
        <f aca="false">IF(助手收入!$T$238=1,INDEX(助手收入!$N$2:$N$66,助手收入!$R$238),"")</f>
        <v/>
      </c>
      <c r="G3552" s="76" t="str">
        <f aca="false">IF(助手收入!$T$238=1,INDEX(助手收入!$O$2:$O$66,助手收入!$R$238),"")</f>
        <v/>
      </c>
      <c r="H3552" s="74"/>
      <c r="I3552" s="77"/>
    </row>
    <row r="3553" customFormat="false" ht="6" hidden="false" customHeight="true" outlineLevel="0" collapsed="false"/>
    <row r="3554" customFormat="false" ht="13.5" hidden="false" customHeight="false" outlineLevel="0" collapsed="false">
      <c r="B3554" s="78" t="str">
        <f aca="false">IF(助手收入!$R$238&lt;&gt;"","会计主管：","")</f>
        <v/>
      </c>
      <c r="D3554" s="78" t="str">
        <f aca="false">IF(助手收入!$R$238&lt;&gt;"","会计：","")</f>
        <v/>
      </c>
      <c r="E3554" s="78" t="str">
        <f aca="false">IF(助手收入!$R$238&lt;&gt;"","出纳：","")</f>
        <v/>
      </c>
      <c r="F3554" s="78" t="str">
        <f aca="false">IF(助手收入!$R$238&lt;&gt;"","复核：","")</f>
        <v/>
      </c>
      <c r="G3554" s="78" t="str">
        <f aca="false">IF(助手收入!$R$238&lt;&gt;"","制单：","")</f>
        <v/>
      </c>
    </row>
    <row r="3555" customFormat="false" ht="3" hidden="false" customHeight="true" outlineLevel="0" collapsed="false"/>
    <row r="3556" customFormat="false" ht="19.5" hidden="false" customHeight="true" outlineLevel="0" collapsed="false">
      <c r="B3556" s="53" t="str">
        <f aca="false">IF(助手收入!$R$239&lt;&gt;"","记  账  凭  证","")</f>
        <v/>
      </c>
      <c r="C3556" s="53"/>
      <c r="D3556" s="53"/>
      <c r="E3556" s="53"/>
      <c r="F3556" s="53"/>
      <c r="G3556" s="53"/>
      <c r="H3556" s="53"/>
      <c r="I3556" s="53"/>
    </row>
    <row r="3557" customFormat="false" ht="3" hidden="false" customHeight="true" outlineLevel="0" collapsed="false"/>
    <row r="3558" customFormat="false" ht="15" hidden="false" customHeight="true" outlineLevel="0" collapsed="false">
      <c r="C3558" s="56" t="str">
        <f aca="false">IF(助手收入!$R$239&lt;&gt;"",INDEX(助手收入!$B$2:$B$66,助手收入!$R$239),"")</f>
        <v/>
      </c>
      <c r="D3558" s="57" t="str">
        <f aca="false">IF(助手收入!$R$239&lt;&gt;"",参数!$B$2,"")</f>
        <v/>
      </c>
      <c r="E3558" s="57"/>
      <c r="F3558" s="58" t="str">
        <f aca="false">IF(助手收入!$R$239&lt;&gt;"",INDEX(助手收入!$C$2:$C$66,助手收入!$R$239)&amp;"  字第 "&amp;IF(参数!$B$9="是",INDEX(助手收入!$P$2:$P$66,助手收入!$R$239),"　　　　")&amp;" 号"&amp;IF(INDEX(助手收入!$L$2:$L$66,助手收入!$R$239)&gt;1,"  (共"&amp;INDEX(助手收入!$L$2:$L$66,助手收入!$R$239)&amp;"页 第"&amp;助手收入!$S$239&amp;"页)",""),"")</f>
        <v/>
      </c>
      <c r="G3558" s="58"/>
      <c r="H3558" s="58"/>
      <c r="I3558" s="58"/>
      <c r="M3558" s="79" t="str">
        <f aca="false">IF(助手收入!$R$239="","",助手收入!$Q$239)</f>
        <v/>
      </c>
      <c r="N3558" s="80" t="str">
        <f aca="false">IF(助手收入!$R$239="","",INDEX(助手收入!$P$2:$P$66,助手收入!$R$239))</f>
        <v/>
      </c>
      <c r="O3558" s="55" t="str">
        <f aca="false">IF(助手收入!$R$239="","",INDEX(助手收入!$C$2:$C$66,助手收入!$R$239)&amp;"  字第 "&amp;INDEX(助手收入!$P$2:$P$66,助手收入!$R$239)&amp;" 号"&amp;IF(INDEX(助手收入!$L$2:$L$66,助手收入!$R$239)&gt;1,"  (共"&amp;INDEX(助手收入!$L$2:$L$66,助手收入!$R$239)&amp;"页 第"&amp;助手收入!$S$239&amp;"页)",""))</f>
        <v/>
      </c>
    </row>
    <row r="3559" customFormat="false" ht="12.75" hidden="false" customHeight="true" outlineLevel="0" collapsed="false">
      <c r="B3559" s="61" t="str">
        <f aca="false">IF(助手收入!$R$239&lt;&gt;"","摘　　要","")</f>
        <v/>
      </c>
      <c r="C3559" s="61"/>
      <c r="D3559" s="62" t="str">
        <f aca="false">IF(助手收入!$R$239&lt;&gt;"","科　　　　目","")</f>
        <v/>
      </c>
      <c r="E3559" s="62"/>
      <c r="F3559" s="61" t="str">
        <f aca="false">IF(助手收入!$R$239&lt;&gt;"","借 方 金 额","")</f>
        <v/>
      </c>
      <c r="G3559" s="62" t="str">
        <f aca="false">IF(助手收入!$R$239&lt;&gt;"","贷 方 金 额","")</f>
        <v/>
      </c>
      <c r="H3559" s="63" t="str">
        <f aca="false">IF(助手收入!$R$239&lt;&gt;"","√","")</f>
        <v/>
      </c>
      <c r="I3559" s="64" t="str">
        <f aca="false">IF(助手收入!$R$239&lt;&gt;"","附单据  张","")</f>
        <v/>
      </c>
    </row>
    <row r="3560" customFormat="false" ht="12.75" hidden="false" customHeight="true" outlineLevel="0" collapsed="false">
      <c r="B3560" s="61"/>
      <c r="C3560" s="61"/>
      <c r="D3560" s="23" t="str">
        <f aca="false">IF(助手收入!$R$239&lt;&gt;"","总 账 科 目","")</f>
        <v/>
      </c>
      <c r="E3560" s="23" t="str">
        <f aca="false">IF(助手收入!$R$239&lt;&gt;"","明 细 科 目","")</f>
        <v/>
      </c>
      <c r="F3560" s="65"/>
      <c r="G3560" s="66"/>
      <c r="H3560" s="63"/>
      <c r="I3560" s="64"/>
    </row>
    <row r="3561" customFormat="false" ht="23.25" hidden="false" customHeight="true" outlineLevel="0" collapsed="false">
      <c r="B3561" s="67" t="str">
        <f aca="false">IFERROR(INDEX(分录收入!$M:$M,MATCH($L3561,分录收入!$L:$L,0)),"")</f>
        <v/>
      </c>
      <c r="C3561" s="67"/>
      <c r="D3561" s="23" t="str">
        <f aca="false">IFERROR(INDEX(分录收入!$E:$E,MATCH($L3561,分录收入!$L:$L,0)),"")</f>
        <v/>
      </c>
      <c r="E3561" s="23" t="str">
        <f aca="false">IFERROR(INDEX(分录收入!$F:$F,MATCH($L3561,分录收入!$L:$L,0)),"")</f>
        <v/>
      </c>
      <c r="F3561" s="68" t="str">
        <f aca="false">IFERROR(INDEX(分录收入!$H:$H,MATCH($L3561,分录收入!$L:$L,0)),"")</f>
        <v/>
      </c>
      <c r="G3561" s="69" t="str">
        <f aca="false">IFERROR(INDEX(分录收入!$I:$I,MATCH($L3561,分录收入!$L:$L,0)),"")</f>
        <v/>
      </c>
      <c r="H3561" s="23"/>
      <c r="I3561" s="70"/>
      <c r="L3561" s="71" t="n">
        <f aca="false">IF(助手收入!$R$239="",-1,助手收入!$R$239*100+(助手收入!$S$239-1)*6+1)</f>
        <v>-1</v>
      </c>
    </row>
    <row r="3562" customFormat="false" ht="23.25" hidden="false" customHeight="true" outlineLevel="0" collapsed="false">
      <c r="B3562" s="67" t="str">
        <f aca="false">""</f>
        <v/>
      </c>
      <c r="C3562" s="67"/>
      <c r="D3562" s="23" t="str">
        <f aca="false">IFERROR(INDEX(分录收入!$E:$E,MATCH($L3562,分录收入!$L:$L,0)),"")</f>
        <v/>
      </c>
      <c r="E3562" s="23" t="str">
        <f aca="false">IFERROR(INDEX(分录收入!$F:$F,MATCH($L3562,分录收入!$L:$L,0)),"")</f>
        <v/>
      </c>
      <c r="F3562" s="68" t="str">
        <f aca="false">IFERROR(INDEX(分录收入!$H:$H,MATCH($L3562,分录收入!$L:$L,0)),"")</f>
        <v/>
      </c>
      <c r="G3562" s="69" t="str">
        <f aca="false">IFERROR(INDEX(分录收入!$I:$I,MATCH($L3562,分录收入!$L:$L,0)),"")</f>
        <v/>
      </c>
      <c r="H3562" s="23"/>
      <c r="I3562" s="70"/>
      <c r="L3562" s="71" t="n">
        <f aca="false">IF(助手收入!$R$239="",-1,助手收入!$R$239*100+(助手收入!$S$239-1)*6+2)</f>
        <v>-1</v>
      </c>
    </row>
    <row r="3563" customFormat="false" ht="23.25" hidden="false" customHeight="true" outlineLevel="0" collapsed="false">
      <c r="B3563" s="67" t="str">
        <f aca="false">""</f>
        <v/>
      </c>
      <c r="C3563" s="67"/>
      <c r="D3563" s="23" t="str">
        <f aca="false">IFERROR(INDEX(分录收入!$E:$E,MATCH($L3563,分录收入!$L:$L,0)),"")</f>
        <v/>
      </c>
      <c r="E3563" s="23" t="str">
        <f aca="false">IFERROR(INDEX(分录收入!$F:$F,MATCH($L3563,分录收入!$L:$L,0)),"")</f>
        <v/>
      </c>
      <c r="F3563" s="68" t="str">
        <f aca="false">IFERROR(INDEX(分录收入!$H:$H,MATCH($L3563,分录收入!$L:$L,0)),"")</f>
        <v/>
      </c>
      <c r="G3563" s="69" t="str">
        <f aca="false">IFERROR(INDEX(分录收入!$I:$I,MATCH($L3563,分录收入!$L:$L,0)),"")</f>
        <v/>
      </c>
      <c r="H3563" s="23"/>
      <c r="I3563" s="70"/>
      <c r="L3563" s="71" t="n">
        <f aca="false">IF(助手收入!$R$239="",-1,助手收入!$R$239*100+(助手收入!$S$239-1)*6+3)</f>
        <v>-1</v>
      </c>
    </row>
    <row r="3564" customFormat="false" ht="23.25" hidden="false" customHeight="true" outlineLevel="0" collapsed="false">
      <c r="B3564" s="67" t="str">
        <f aca="false">""</f>
        <v/>
      </c>
      <c r="C3564" s="67"/>
      <c r="D3564" s="23" t="str">
        <f aca="false">IFERROR(INDEX(分录收入!$E:$E,MATCH($L3564,分录收入!$L:$L,0)),"")</f>
        <v/>
      </c>
      <c r="E3564" s="23" t="str">
        <f aca="false">IFERROR(INDEX(分录收入!$F:$F,MATCH($L3564,分录收入!$L:$L,0)),"")</f>
        <v/>
      </c>
      <c r="F3564" s="68" t="str">
        <f aca="false">IFERROR(INDEX(分录收入!$H:$H,MATCH($L3564,分录收入!$L:$L,0)),"")</f>
        <v/>
      </c>
      <c r="G3564" s="69" t="str">
        <f aca="false">IFERROR(INDEX(分录收入!$I:$I,MATCH($L3564,分录收入!$L:$L,0)),"")</f>
        <v/>
      </c>
      <c r="H3564" s="23"/>
      <c r="I3564" s="70"/>
      <c r="L3564" s="71" t="n">
        <f aca="false">IF(助手收入!$R$239="",-1,助手收入!$R$239*100+(助手收入!$S$239-1)*6+4)</f>
        <v>-1</v>
      </c>
    </row>
    <row r="3565" customFormat="false" ht="23.25" hidden="false" customHeight="true" outlineLevel="0" collapsed="false">
      <c r="B3565" s="67" t="str">
        <f aca="false">""</f>
        <v/>
      </c>
      <c r="C3565" s="67"/>
      <c r="D3565" s="23" t="str">
        <f aca="false">IFERROR(INDEX(分录收入!$E:$E,MATCH($L3565,分录收入!$L:$L,0)),"")</f>
        <v/>
      </c>
      <c r="E3565" s="23" t="str">
        <f aca="false">IFERROR(INDEX(分录收入!$F:$F,MATCH($L3565,分录收入!$L:$L,0)),"")</f>
        <v/>
      </c>
      <c r="F3565" s="68" t="str">
        <f aca="false">IFERROR(INDEX(分录收入!$H:$H,MATCH($L3565,分录收入!$L:$L,0)),"")</f>
        <v/>
      </c>
      <c r="G3565" s="69" t="str">
        <f aca="false">IFERROR(INDEX(分录收入!$I:$I,MATCH($L3565,分录收入!$L:$L,0)),"")</f>
        <v/>
      </c>
      <c r="H3565" s="23"/>
      <c r="I3565" s="70"/>
      <c r="L3565" s="71" t="n">
        <f aca="false">IF(助手收入!$R$239="",-1,助手收入!$R$239*100+(助手收入!$S$239-1)*6+5)</f>
        <v>-1</v>
      </c>
    </row>
    <row r="3566" customFormat="false" ht="23.25" hidden="false" customHeight="true" outlineLevel="0" collapsed="false">
      <c r="B3566" s="67" t="str">
        <f aca="false">""</f>
        <v/>
      </c>
      <c r="C3566" s="67"/>
      <c r="D3566" s="23" t="str">
        <f aca="false">IFERROR(INDEX(分录收入!$E:$E,MATCH($L3566,分录收入!$L:$L,0)),"")</f>
        <v/>
      </c>
      <c r="E3566" s="23" t="str">
        <f aca="false">IFERROR(INDEX(分录收入!$F:$F,MATCH($L3566,分录收入!$L:$L,0)),"")</f>
        <v/>
      </c>
      <c r="F3566" s="68" t="str">
        <f aca="false">IFERROR(INDEX(分录收入!$H:$H,MATCH($L3566,分录收入!$L:$L,0)),"")</f>
        <v/>
      </c>
      <c r="G3566" s="69" t="str">
        <f aca="false">IFERROR(INDEX(分录收入!$I:$I,MATCH($L3566,分录收入!$L:$L,0)),"")</f>
        <v/>
      </c>
      <c r="H3566" s="23"/>
      <c r="I3566" s="70"/>
      <c r="L3566" s="71" t="n">
        <f aca="false">IF(助手收入!$R$239="",-1,助手收入!$R$239*100+(助手收入!$S$239-1)*6+6)</f>
        <v>-1</v>
      </c>
    </row>
    <row r="3567" customFormat="false" ht="23.25" hidden="false" customHeight="true" outlineLevel="0" collapsed="false">
      <c r="B3567" s="72" t="str">
        <f aca="false">IF(助手收入!$T$239=1,"合计：","")</f>
        <v/>
      </c>
      <c r="C3567" s="73" t="str">
        <f aca="false">IF(助手收入!$T$239=1,$F3567,"")</f>
        <v/>
      </c>
      <c r="D3567" s="74"/>
      <c r="E3567" s="74"/>
      <c r="F3567" s="75" t="str">
        <f aca="false">IF(助手收入!$T$239=1,INDEX(助手收入!$N$2:$N$66,助手收入!$R$239),"")</f>
        <v/>
      </c>
      <c r="G3567" s="76" t="str">
        <f aca="false">IF(助手收入!$T$239=1,INDEX(助手收入!$O$2:$O$66,助手收入!$R$239),"")</f>
        <v/>
      </c>
      <c r="H3567" s="74"/>
      <c r="I3567" s="77"/>
    </row>
    <row r="3568" customFormat="false" ht="6" hidden="false" customHeight="true" outlineLevel="0" collapsed="false"/>
    <row r="3569" customFormat="false" ht="13.5" hidden="false" customHeight="false" outlineLevel="0" collapsed="false">
      <c r="B3569" s="78" t="str">
        <f aca="false">IF(助手收入!$R$239&lt;&gt;"","会计主管：","")</f>
        <v/>
      </c>
      <c r="D3569" s="78" t="str">
        <f aca="false">IF(助手收入!$R$239&lt;&gt;"","会计：","")</f>
        <v/>
      </c>
      <c r="E3569" s="78" t="str">
        <f aca="false">IF(助手收入!$R$239&lt;&gt;"","出纳：","")</f>
        <v/>
      </c>
      <c r="F3569" s="78" t="str">
        <f aca="false">IF(助手收入!$R$239&lt;&gt;"","复核：","")</f>
        <v/>
      </c>
      <c r="G3569" s="78" t="str">
        <f aca="false">IF(助手收入!$R$239&lt;&gt;"","制单：","")</f>
        <v/>
      </c>
    </row>
    <row r="3570" customFormat="false" ht="3" hidden="false" customHeight="true" outlineLevel="0" collapsed="false"/>
    <row r="3571" customFormat="false" ht="19.5" hidden="false" customHeight="true" outlineLevel="0" collapsed="false">
      <c r="B3571" s="53" t="str">
        <f aca="false">IF(助手收入!$R$240&lt;&gt;"","记  账  凭  证","")</f>
        <v/>
      </c>
      <c r="C3571" s="53"/>
      <c r="D3571" s="53"/>
      <c r="E3571" s="53"/>
      <c r="F3571" s="53"/>
      <c r="G3571" s="53"/>
      <c r="H3571" s="53"/>
      <c r="I3571" s="53"/>
    </row>
    <row r="3572" customFormat="false" ht="3" hidden="false" customHeight="true" outlineLevel="0" collapsed="false"/>
    <row r="3573" customFormat="false" ht="15" hidden="false" customHeight="true" outlineLevel="0" collapsed="false">
      <c r="C3573" s="56" t="str">
        <f aca="false">IF(助手收入!$R$240&lt;&gt;"",INDEX(助手收入!$B$2:$B$66,助手收入!$R$240),"")</f>
        <v/>
      </c>
      <c r="D3573" s="57" t="str">
        <f aca="false">IF(助手收入!$R$240&lt;&gt;"",参数!$B$2,"")</f>
        <v/>
      </c>
      <c r="E3573" s="57"/>
      <c r="F3573" s="58" t="str">
        <f aca="false">IF(助手收入!$R$240&lt;&gt;"",INDEX(助手收入!$C$2:$C$66,助手收入!$R$240)&amp;"  字第 "&amp;IF(参数!$B$9="是",INDEX(助手收入!$P$2:$P$66,助手收入!$R$240),"　　　　")&amp;" 号"&amp;IF(INDEX(助手收入!$L$2:$L$66,助手收入!$R$240)&gt;1,"  (共"&amp;INDEX(助手收入!$L$2:$L$66,助手收入!$R$240)&amp;"页 第"&amp;助手收入!$S$240&amp;"页)",""),"")</f>
        <v/>
      </c>
      <c r="G3573" s="58"/>
      <c r="H3573" s="58"/>
      <c r="I3573" s="58"/>
      <c r="M3573" s="79" t="str">
        <f aca="false">IF(助手收入!$R$240="","",助手收入!$Q$240)</f>
        <v/>
      </c>
      <c r="N3573" s="80" t="str">
        <f aca="false">IF(助手收入!$R$240="","",INDEX(助手收入!$P$2:$P$66,助手收入!$R$240))</f>
        <v/>
      </c>
      <c r="O3573" s="55" t="str">
        <f aca="false">IF(助手收入!$R$240="","",INDEX(助手收入!$C$2:$C$66,助手收入!$R$240)&amp;"  字第 "&amp;INDEX(助手收入!$P$2:$P$66,助手收入!$R$240)&amp;" 号"&amp;IF(INDEX(助手收入!$L$2:$L$66,助手收入!$R$240)&gt;1,"  (共"&amp;INDEX(助手收入!$L$2:$L$66,助手收入!$R$240)&amp;"页 第"&amp;助手收入!$S$240&amp;"页)",""))</f>
        <v/>
      </c>
    </row>
    <row r="3574" customFormat="false" ht="12.75" hidden="false" customHeight="true" outlineLevel="0" collapsed="false">
      <c r="B3574" s="61" t="str">
        <f aca="false">IF(助手收入!$R$240&lt;&gt;"","摘　　要","")</f>
        <v/>
      </c>
      <c r="C3574" s="61"/>
      <c r="D3574" s="62" t="str">
        <f aca="false">IF(助手收入!$R$240&lt;&gt;"","科　　　　目","")</f>
        <v/>
      </c>
      <c r="E3574" s="62"/>
      <c r="F3574" s="61" t="str">
        <f aca="false">IF(助手收入!$R$240&lt;&gt;"","借 方 金 额","")</f>
        <v/>
      </c>
      <c r="G3574" s="62" t="str">
        <f aca="false">IF(助手收入!$R$240&lt;&gt;"","贷 方 金 额","")</f>
        <v/>
      </c>
      <c r="H3574" s="63" t="str">
        <f aca="false">IF(助手收入!$R$240&lt;&gt;"","√","")</f>
        <v/>
      </c>
      <c r="I3574" s="64" t="str">
        <f aca="false">IF(助手收入!$R$240&lt;&gt;"","附单据  张","")</f>
        <v/>
      </c>
    </row>
    <row r="3575" customFormat="false" ht="12.75" hidden="false" customHeight="true" outlineLevel="0" collapsed="false">
      <c r="B3575" s="61"/>
      <c r="C3575" s="61"/>
      <c r="D3575" s="23" t="str">
        <f aca="false">IF(助手收入!$R$240&lt;&gt;"","总 账 科 目","")</f>
        <v/>
      </c>
      <c r="E3575" s="23" t="str">
        <f aca="false">IF(助手收入!$R$240&lt;&gt;"","明 细 科 目","")</f>
        <v/>
      </c>
      <c r="F3575" s="65"/>
      <c r="G3575" s="66"/>
      <c r="H3575" s="63"/>
      <c r="I3575" s="64"/>
    </row>
    <row r="3576" customFormat="false" ht="23.25" hidden="false" customHeight="true" outlineLevel="0" collapsed="false">
      <c r="B3576" s="67" t="str">
        <f aca="false">IFERROR(INDEX(分录收入!$M:$M,MATCH($L3576,分录收入!$L:$L,0)),"")</f>
        <v/>
      </c>
      <c r="C3576" s="67"/>
      <c r="D3576" s="23" t="str">
        <f aca="false">IFERROR(INDEX(分录收入!$E:$E,MATCH($L3576,分录收入!$L:$L,0)),"")</f>
        <v/>
      </c>
      <c r="E3576" s="23" t="str">
        <f aca="false">IFERROR(INDEX(分录收入!$F:$F,MATCH($L3576,分录收入!$L:$L,0)),"")</f>
        <v/>
      </c>
      <c r="F3576" s="68" t="str">
        <f aca="false">IFERROR(INDEX(分录收入!$H:$H,MATCH($L3576,分录收入!$L:$L,0)),"")</f>
        <v/>
      </c>
      <c r="G3576" s="69" t="str">
        <f aca="false">IFERROR(INDEX(分录收入!$I:$I,MATCH($L3576,分录收入!$L:$L,0)),"")</f>
        <v/>
      </c>
      <c r="H3576" s="23"/>
      <c r="I3576" s="70"/>
      <c r="L3576" s="71" t="n">
        <f aca="false">IF(助手收入!$R$240="",-1,助手收入!$R$240*100+(助手收入!$S$240-1)*6+1)</f>
        <v>-1</v>
      </c>
    </row>
    <row r="3577" customFormat="false" ht="23.25" hidden="false" customHeight="true" outlineLevel="0" collapsed="false">
      <c r="B3577" s="67" t="str">
        <f aca="false">""</f>
        <v/>
      </c>
      <c r="C3577" s="67"/>
      <c r="D3577" s="23" t="str">
        <f aca="false">IFERROR(INDEX(分录收入!$E:$E,MATCH($L3577,分录收入!$L:$L,0)),"")</f>
        <v/>
      </c>
      <c r="E3577" s="23" t="str">
        <f aca="false">IFERROR(INDEX(分录收入!$F:$F,MATCH($L3577,分录收入!$L:$L,0)),"")</f>
        <v/>
      </c>
      <c r="F3577" s="68" t="str">
        <f aca="false">IFERROR(INDEX(分录收入!$H:$H,MATCH($L3577,分录收入!$L:$L,0)),"")</f>
        <v/>
      </c>
      <c r="G3577" s="69" t="str">
        <f aca="false">IFERROR(INDEX(分录收入!$I:$I,MATCH($L3577,分录收入!$L:$L,0)),"")</f>
        <v/>
      </c>
      <c r="H3577" s="23"/>
      <c r="I3577" s="70"/>
      <c r="L3577" s="71" t="n">
        <f aca="false">IF(助手收入!$R$240="",-1,助手收入!$R$240*100+(助手收入!$S$240-1)*6+2)</f>
        <v>-1</v>
      </c>
    </row>
    <row r="3578" customFormat="false" ht="23.25" hidden="false" customHeight="true" outlineLevel="0" collapsed="false">
      <c r="B3578" s="67" t="str">
        <f aca="false">""</f>
        <v/>
      </c>
      <c r="C3578" s="67"/>
      <c r="D3578" s="23" t="str">
        <f aca="false">IFERROR(INDEX(分录收入!$E:$E,MATCH($L3578,分录收入!$L:$L,0)),"")</f>
        <v/>
      </c>
      <c r="E3578" s="23" t="str">
        <f aca="false">IFERROR(INDEX(分录收入!$F:$F,MATCH($L3578,分录收入!$L:$L,0)),"")</f>
        <v/>
      </c>
      <c r="F3578" s="68" t="str">
        <f aca="false">IFERROR(INDEX(分录收入!$H:$H,MATCH($L3578,分录收入!$L:$L,0)),"")</f>
        <v/>
      </c>
      <c r="G3578" s="69" t="str">
        <f aca="false">IFERROR(INDEX(分录收入!$I:$I,MATCH($L3578,分录收入!$L:$L,0)),"")</f>
        <v/>
      </c>
      <c r="H3578" s="23"/>
      <c r="I3578" s="70"/>
      <c r="L3578" s="71" t="n">
        <f aca="false">IF(助手收入!$R$240="",-1,助手收入!$R$240*100+(助手收入!$S$240-1)*6+3)</f>
        <v>-1</v>
      </c>
    </row>
    <row r="3579" customFormat="false" ht="23.25" hidden="false" customHeight="true" outlineLevel="0" collapsed="false">
      <c r="B3579" s="67" t="str">
        <f aca="false">""</f>
        <v/>
      </c>
      <c r="C3579" s="67"/>
      <c r="D3579" s="23" t="str">
        <f aca="false">IFERROR(INDEX(分录收入!$E:$E,MATCH($L3579,分录收入!$L:$L,0)),"")</f>
        <v/>
      </c>
      <c r="E3579" s="23" t="str">
        <f aca="false">IFERROR(INDEX(分录收入!$F:$F,MATCH($L3579,分录收入!$L:$L,0)),"")</f>
        <v/>
      </c>
      <c r="F3579" s="68" t="str">
        <f aca="false">IFERROR(INDEX(分录收入!$H:$H,MATCH($L3579,分录收入!$L:$L,0)),"")</f>
        <v/>
      </c>
      <c r="G3579" s="69" t="str">
        <f aca="false">IFERROR(INDEX(分录收入!$I:$I,MATCH($L3579,分录收入!$L:$L,0)),"")</f>
        <v/>
      </c>
      <c r="H3579" s="23"/>
      <c r="I3579" s="70"/>
      <c r="L3579" s="71" t="n">
        <f aca="false">IF(助手收入!$R$240="",-1,助手收入!$R$240*100+(助手收入!$S$240-1)*6+4)</f>
        <v>-1</v>
      </c>
    </row>
    <row r="3580" customFormat="false" ht="23.25" hidden="false" customHeight="true" outlineLevel="0" collapsed="false">
      <c r="B3580" s="67" t="str">
        <f aca="false">""</f>
        <v/>
      </c>
      <c r="C3580" s="67"/>
      <c r="D3580" s="23" t="str">
        <f aca="false">IFERROR(INDEX(分录收入!$E:$E,MATCH($L3580,分录收入!$L:$L,0)),"")</f>
        <v/>
      </c>
      <c r="E3580" s="23" t="str">
        <f aca="false">IFERROR(INDEX(分录收入!$F:$F,MATCH($L3580,分录收入!$L:$L,0)),"")</f>
        <v/>
      </c>
      <c r="F3580" s="68" t="str">
        <f aca="false">IFERROR(INDEX(分录收入!$H:$H,MATCH($L3580,分录收入!$L:$L,0)),"")</f>
        <v/>
      </c>
      <c r="G3580" s="69" t="str">
        <f aca="false">IFERROR(INDEX(分录收入!$I:$I,MATCH($L3580,分录收入!$L:$L,0)),"")</f>
        <v/>
      </c>
      <c r="H3580" s="23"/>
      <c r="I3580" s="70"/>
      <c r="L3580" s="71" t="n">
        <f aca="false">IF(助手收入!$R$240="",-1,助手收入!$R$240*100+(助手收入!$S$240-1)*6+5)</f>
        <v>-1</v>
      </c>
    </row>
    <row r="3581" customFormat="false" ht="23.25" hidden="false" customHeight="true" outlineLevel="0" collapsed="false">
      <c r="B3581" s="67" t="str">
        <f aca="false">""</f>
        <v/>
      </c>
      <c r="C3581" s="67"/>
      <c r="D3581" s="23" t="str">
        <f aca="false">IFERROR(INDEX(分录收入!$E:$E,MATCH($L3581,分录收入!$L:$L,0)),"")</f>
        <v/>
      </c>
      <c r="E3581" s="23" t="str">
        <f aca="false">IFERROR(INDEX(分录收入!$F:$F,MATCH($L3581,分录收入!$L:$L,0)),"")</f>
        <v/>
      </c>
      <c r="F3581" s="68" t="str">
        <f aca="false">IFERROR(INDEX(分录收入!$H:$H,MATCH($L3581,分录收入!$L:$L,0)),"")</f>
        <v/>
      </c>
      <c r="G3581" s="69" t="str">
        <f aca="false">IFERROR(INDEX(分录收入!$I:$I,MATCH($L3581,分录收入!$L:$L,0)),"")</f>
        <v/>
      </c>
      <c r="H3581" s="23"/>
      <c r="I3581" s="70"/>
      <c r="L3581" s="71" t="n">
        <f aca="false">IF(助手收入!$R$240="",-1,助手收入!$R$240*100+(助手收入!$S$240-1)*6+6)</f>
        <v>-1</v>
      </c>
    </row>
    <row r="3582" customFormat="false" ht="23.25" hidden="false" customHeight="true" outlineLevel="0" collapsed="false">
      <c r="B3582" s="72" t="str">
        <f aca="false">IF(助手收入!$T$240=1,"合计：","")</f>
        <v/>
      </c>
      <c r="C3582" s="73" t="str">
        <f aca="false">IF(助手收入!$T$240=1,$F3582,"")</f>
        <v/>
      </c>
      <c r="D3582" s="74"/>
      <c r="E3582" s="74"/>
      <c r="F3582" s="75" t="str">
        <f aca="false">IF(助手收入!$T$240=1,INDEX(助手收入!$N$2:$N$66,助手收入!$R$240),"")</f>
        <v/>
      </c>
      <c r="G3582" s="76" t="str">
        <f aca="false">IF(助手收入!$T$240=1,INDEX(助手收入!$O$2:$O$66,助手收入!$R$240),"")</f>
        <v/>
      </c>
      <c r="H3582" s="74"/>
      <c r="I3582" s="77"/>
    </row>
    <row r="3583" customFormat="false" ht="6" hidden="false" customHeight="true" outlineLevel="0" collapsed="false"/>
    <row r="3584" customFormat="false" ht="13.5" hidden="false" customHeight="false" outlineLevel="0" collapsed="false">
      <c r="B3584" s="78" t="str">
        <f aca="false">IF(助手收入!$R$240&lt;&gt;"","会计主管：","")</f>
        <v/>
      </c>
      <c r="D3584" s="78" t="str">
        <f aca="false">IF(助手收入!$R$240&lt;&gt;"","会计：","")</f>
        <v/>
      </c>
      <c r="E3584" s="78" t="str">
        <f aca="false">IF(助手收入!$R$240&lt;&gt;"","出纳：","")</f>
        <v/>
      </c>
      <c r="F3584" s="78" t="str">
        <f aca="false">IF(助手收入!$R$240&lt;&gt;"","复核：","")</f>
        <v/>
      </c>
      <c r="G3584" s="78" t="str">
        <f aca="false">IF(助手收入!$R$240&lt;&gt;"","制单：","")</f>
        <v/>
      </c>
    </row>
    <row r="3585" customFormat="false" ht="3" hidden="false" customHeight="true" outlineLevel="0" collapsed="false"/>
    <row r="3586" customFormat="false" ht="19.5" hidden="false" customHeight="true" outlineLevel="0" collapsed="false">
      <c r="B3586" s="53" t="str">
        <f aca="false">IF(助手收入!$R$241&lt;&gt;"","记  账  凭  证","")</f>
        <v/>
      </c>
      <c r="C3586" s="53"/>
      <c r="D3586" s="53"/>
      <c r="E3586" s="53"/>
      <c r="F3586" s="53"/>
      <c r="G3586" s="53"/>
      <c r="H3586" s="53"/>
      <c r="I3586" s="53"/>
    </row>
    <row r="3587" customFormat="false" ht="3" hidden="false" customHeight="true" outlineLevel="0" collapsed="false"/>
    <row r="3588" customFormat="false" ht="15" hidden="false" customHeight="true" outlineLevel="0" collapsed="false">
      <c r="C3588" s="56" t="str">
        <f aca="false">IF(助手收入!$R$241&lt;&gt;"",INDEX(助手收入!$B$2:$B$66,助手收入!$R$241),"")</f>
        <v/>
      </c>
      <c r="D3588" s="57" t="str">
        <f aca="false">IF(助手收入!$R$241&lt;&gt;"",参数!$B$2,"")</f>
        <v/>
      </c>
      <c r="E3588" s="57"/>
      <c r="F3588" s="58" t="str">
        <f aca="false">IF(助手收入!$R$241&lt;&gt;"",INDEX(助手收入!$C$2:$C$66,助手收入!$R$241)&amp;"  字第 "&amp;IF(参数!$B$9="是",INDEX(助手收入!$P$2:$P$66,助手收入!$R$241),"　　　　")&amp;" 号"&amp;IF(INDEX(助手收入!$L$2:$L$66,助手收入!$R$241)&gt;1,"  (共"&amp;INDEX(助手收入!$L$2:$L$66,助手收入!$R$241)&amp;"页 第"&amp;助手收入!$S$241&amp;"页)",""),"")</f>
        <v/>
      </c>
      <c r="G3588" s="58"/>
      <c r="H3588" s="58"/>
      <c r="I3588" s="58"/>
      <c r="M3588" s="79" t="str">
        <f aca="false">IF(助手收入!$R$241="","",助手收入!$Q$241)</f>
        <v/>
      </c>
      <c r="N3588" s="80" t="str">
        <f aca="false">IF(助手收入!$R$241="","",INDEX(助手收入!$P$2:$P$66,助手收入!$R$241))</f>
        <v/>
      </c>
      <c r="O3588" s="55" t="str">
        <f aca="false">IF(助手收入!$R$241="","",INDEX(助手收入!$C$2:$C$66,助手收入!$R$241)&amp;"  字第 "&amp;INDEX(助手收入!$P$2:$P$66,助手收入!$R$241)&amp;" 号"&amp;IF(INDEX(助手收入!$L$2:$L$66,助手收入!$R$241)&gt;1,"  (共"&amp;INDEX(助手收入!$L$2:$L$66,助手收入!$R$241)&amp;"页 第"&amp;助手收入!$S$241&amp;"页)",""))</f>
        <v/>
      </c>
    </row>
    <row r="3589" customFormat="false" ht="12.75" hidden="false" customHeight="true" outlineLevel="0" collapsed="false">
      <c r="B3589" s="61" t="str">
        <f aca="false">IF(助手收入!$R$241&lt;&gt;"","摘　　要","")</f>
        <v/>
      </c>
      <c r="C3589" s="61"/>
      <c r="D3589" s="62" t="str">
        <f aca="false">IF(助手收入!$R$241&lt;&gt;"","科　　　　目","")</f>
        <v/>
      </c>
      <c r="E3589" s="62"/>
      <c r="F3589" s="61" t="str">
        <f aca="false">IF(助手收入!$R$241&lt;&gt;"","借 方 金 额","")</f>
        <v/>
      </c>
      <c r="G3589" s="62" t="str">
        <f aca="false">IF(助手收入!$R$241&lt;&gt;"","贷 方 金 额","")</f>
        <v/>
      </c>
      <c r="H3589" s="63" t="str">
        <f aca="false">IF(助手收入!$R$241&lt;&gt;"","√","")</f>
        <v/>
      </c>
      <c r="I3589" s="64" t="str">
        <f aca="false">IF(助手收入!$R$241&lt;&gt;"","附单据  张","")</f>
        <v/>
      </c>
    </row>
    <row r="3590" customFormat="false" ht="12.75" hidden="false" customHeight="true" outlineLevel="0" collapsed="false">
      <c r="B3590" s="61"/>
      <c r="C3590" s="61"/>
      <c r="D3590" s="23" t="str">
        <f aca="false">IF(助手收入!$R$241&lt;&gt;"","总 账 科 目","")</f>
        <v/>
      </c>
      <c r="E3590" s="23" t="str">
        <f aca="false">IF(助手收入!$R$241&lt;&gt;"","明 细 科 目","")</f>
        <v/>
      </c>
      <c r="F3590" s="65"/>
      <c r="G3590" s="66"/>
      <c r="H3590" s="63"/>
      <c r="I3590" s="64"/>
    </row>
    <row r="3591" customFormat="false" ht="23.25" hidden="false" customHeight="true" outlineLevel="0" collapsed="false">
      <c r="B3591" s="67" t="str">
        <f aca="false">IFERROR(INDEX(分录收入!$M:$M,MATCH($L3591,分录收入!$L:$L,0)),"")</f>
        <v/>
      </c>
      <c r="C3591" s="67"/>
      <c r="D3591" s="23" t="str">
        <f aca="false">IFERROR(INDEX(分录收入!$E:$E,MATCH($L3591,分录收入!$L:$L,0)),"")</f>
        <v/>
      </c>
      <c r="E3591" s="23" t="str">
        <f aca="false">IFERROR(INDEX(分录收入!$F:$F,MATCH($L3591,分录收入!$L:$L,0)),"")</f>
        <v/>
      </c>
      <c r="F3591" s="68" t="str">
        <f aca="false">IFERROR(INDEX(分录收入!$H:$H,MATCH($L3591,分录收入!$L:$L,0)),"")</f>
        <v/>
      </c>
      <c r="G3591" s="69" t="str">
        <f aca="false">IFERROR(INDEX(分录收入!$I:$I,MATCH($L3591,分录收入!$L:$L,0)),"")</f>
        <v/>
      </c>
      <c r="H3591" s="23"/>
      <c r="I3591" s="70"/>
      <c r="L3591" s="71" t="n">
        <f aca="false">IF(助手收入!$R$241="",-1,助手收入!$R$241*100+(助手收入!$S$241-1)*6+1)</f>
        <v>-1</v>
      </c>
    </row>
    <row r="3592" customFormat="false" ht="23.25" hidden="false" customHeight="true" outlineLevel="0" collapsed="false">
      <c r="B3592" s="67" t="str">
        <f aca="false">""</f>
        <v/>
      </c>
      <c r="C3592" s="67"/>
      <c r="D3592" s="23" t="str">
        <f aca="false">IFERROR(INDEX(分录收入!$E:$E,MATCH($L3592,分录收入!$L:$L,0)),"")</f>
        <v/>
      </c>
      <c r="E3592" s="23" t="str">
        <f aca="false">IFERROR(INDEX(分录收入!$F:$F,MATCH($L3592,分录收入!$L:$L,0)),"")</f>
        <v/>
      </c>
      <c r="F3592" s="68" t="str">
        <f aca="false">IFERROR(INDEX(分录收入!$H:$H,MATCH($L3592,分录收入!$L:$L,0)),"")</f>
        <v/>
      </c>
      <c r="G3592" s="69" t="str">
        <f aca="false">IFERROR(INDEX(分录收入!$I:$I,MATCH($L3592,分录收入!$L:$L,0)),"")</f>
        <v/>
      </c>
      <c r="H3592" s="23"/>
      <c r="I3592" s="70"/>
      <c r="L3592" s="71" t="n">
        <f aca="false">IF(助手收入!$R$241="",-1,助手收入!$R$241*100+(助手收入!$S$241-1)*6+2)</f>
        <v>-1</v>
      </c>
    </row>
    <row r="3593" customFormat="false" ht="23.25" hidden="false" customHeight="true" outlineLevel="0" collapsed="false">
      <c r="B3593" s="67" t="str">
        <f aca="false">""</f>
        <v/>
      </c>
      <c r="C3593" s="67"/>
      <c r="D3593" s="23" t="str">
        <f aca="false">IFERROR(INDEX(分录收入!$E:$E,MATCH($L3593,分录收入!$L:$L,0)),"")</f>
        <v/>
      </c>
      <c r="E3593" s="23" t="str">
        <f aca="false">IFERROR(INDEX(分录收入!$F:$F,MATCH($L3593,分录收入!$L:$L,0)),"")</f>
        <v/>
      </c>
      <c r="F3593" s="68" t="str">
        <f aca="false">IFERROR(INDEX(分录收入!$H:$H,MATCH($L3593,分录收入!$L:$L,0)),"")</f>
        <v/>
      </c>
      <c r="G3593" s="69" t="str">
        <f aca="false">IFERROR(INDEX(分录收入!$I:$I,MATCH($L3593,分录收入!$L:$L,0)),"")</f>
        <v/>
      </c>
      <c r="H3593" s="23"/>
      <c r="I3593" s="70"/>
      <c r="L3593" s="71" t="n">
        <f aca="false">IF(助手收入!$R$241="",-1,助手收入!$R$241*100+(助手收入!$S$241-1)*6+3)</f>
        <v>-1</v>
      </c>
    </row>
    <row r="3594" customFormat="false" ht="23.25" hidden="false" customHeight="true" outlineLevel="0" collapsed="false">
      <c r="B3594" s="67" t="str">
        <f aca="false">""</f>
        <v/>
      </c>
      <c r="C3594" s="67"/>
      <c r="D3594" s="23" t="str">
        <f aca="false">IFERROR(INDEX(分录收入!$E:$E,MATCH($L3594,分录收入!$L:$L,0)),"")</f>
        <v/>
      </c>
      <c r="E3594" s="23" t="str">
        <f aca="false">IFERROR(INDEX(分录收入!$F:$F,MATCH($L3594,分录收入!$L:$L,0)),"")</f>
        <v/>
      </c>
      <c r="F3594" s="68" t="str">
        <f aca="false">IFERROR(INDEX(分录收入!$H:$H,MATCH($L3594,分录收入!$L:$L,0)),"")</f>
        <v/>
      </c>
      <c r="G3594" s="69" t="str">
        <f aca="false">IFERROR(INDEX(分录收入!$I:$I,MATCH($L3594,分录收入!$L:$L,0)),"")</f>
        <v/>
      </c>
      <c r="H3594" s="23"/>
      <c r="I3594" s="70"/>
      <c r="L3594" s="71" t="n">
        <f aca="false">IF(助手收入!$R$241="",-1,助手收入!$R$241*100+(助手收入!$S$241-1)*6+4)</f>
        <v>-1</v>
      </c>
    </row>
    <row r="3595" customFormat="false" ht="23.25" hidden="false" customHeight="true" outlineLevel="0" collapsed="false">
      <c r="B3595" s="67" t="str">
        <f aca="false">""</f>
        <v/>
      </c>
      <c r="C3595" s="67"/>
      <c r="D3595" s="23" t="str">
        <f aca="false">IFERROR(INDEX(分录收入!$E:$E,MATCH($L3595,分录收入!$L:$L,0)),"")</f>
        <v/>
      </c>
      <c r="E3595" s="23" t="str">
        <f aca="false">IFERROR(INDEX(分录收入!$F:$F,MATCH($L3595,分录收入!$L:$L,0)),"")</f>
        <v/>
      </c>
      <c r="F3595" s="68" t="str">
        <f aca="false">IFERROR(INDEX(分录收入!$H:$H,MATCH($L3595,分录收入!$L:$L,0)),"")</f>
        <v/>
      </c>
      <c r="G3595" s="69" t="str">
        <f aca="false">IFERROR(INDEX(分录收入!$I:$I,MATCH($L3595,分录收入!$L:$L,0)),"")</f>
        <v/>
      </c>
      <c r="H3595" s="23"/>
      <c r="I3595" s="70"/>
      <c r="L3595" s="71" t="n">
        <f aca="false">IF(助手收入!$R$241="",-1,助手收入!$R$241*100+(助手收入!$S$241-1)*6+5)</f>
        <v>-1</v>
      </c>
    </row>
    <row r="3596" customFormat="false" ht="23.25" hidden="false" customHeight="true" outlineLevel="0" collapsed="false">
      <c r="B3596" s="67" t="str">
        <f aca="false">""</f>
        <v/>
      </c>
      <c r="C3596" s="67"/>
      <c r="D3596" s="23" t="str">
        <f aca="false">IFERROR(INDEX(分录收入!$E:$E,MATCH($L3596,分录收入!$L:$L,0)),"")</f>
        <v/>
      </c>
      <c r="E3596" s="23" t="str">
        <f aca="false">IFERROR(INDEX(分录收入!$F:$F,MATCH($L3596,分录收入!$L:$L,0)),"")</f>
        <v/>
      </c>
      <c r="F3596" s="68" t="str">
        <f aca="false">IFERROR(INDEX(分录收入!$H:$H,MATCH($L3596,分录收入!$L:$L,0)),"")</f>
        <v/>
      </c>
      <c r="G3596" s="69" t="str">
        <f aca="false">IFERROR(INDEX(分录收入!$I:$I,MATCH($L3596,分录收入!$L:$L,0)),"")</f>
        <v/>
      </c>
      <c r="H3596" s="23"/>
      <c r="I3596" s="70"/>
      <c r="L3596" s="71" t="n">
        <f aca="false">IF(助手收入!$R$241="",-1,助手收入!$R$241*100+(助手收入!$S$241-1)*6+6)</f>
        <v>-1</v>
      </c>
    </row>
    <row r="3597" customFormat="false" ht="23.25" hidden="false" customHeight="true" outlineLevel="0" collapsed="false">
      <c r="B3597" s="72" t="str">
        <f aca="false">IF(助手收入!$T$241=1,"合计：","")</f>
        <v/>
      </c>
      <c r="C3597" s="73" t="str">
        <f aca="false">IF(助手收入!$T$241=1,$F3597,"")</f>
        <v/>
      </c>
      <c r="D3597" s="74"/>
      <c r="E3597" s="74"/>
      <c r="F3597" s="75" t="str">
        <f aca="false">IF(助手收入!$T$241=1,INDEX(助手收入!$N$2:$N$66,助手收入!$R$241),"")</f>
        <v/>
      </c>
      <c r="G3597" s="76" t="str">
        <f aca="false">IF(助手收入!$T$241=1,INDEX(助手收入!$O$2:$O$66,助手收入!$R$241),"")</f>
        <v/>
      </c>
      <c r="H3597" s="74"/>
      <c r="I3597" s="77"/>
    </row>
    <row r="3598" customFormat="false" ht="6" hidden="false" customHeight="true" outlineLevel="0" collapsed="false"/>
    <row r="3599" customFormat="false" ht="13.5" hidden="false" customHeight="false" outlineLevel="0" collapsed="false">
      <c r="B3599" s="78" t="str">
        <f aca="false">IF(助手收入!$R$241&lt;&gt;"","会计主管：","")</f>
        <v/>
      </c>
      <c r="D3599" s="78" t="str">
        <f aca="false">IF(助手收入!$R$241&lt;&gt;"","会计：","")</f>
        <v/>
      </c>
      <c r="E3599" s="78" t="str">
        <f aca="false">IF(助手收入!$R$241&lt;&gt;"","出纳：","")</f>
        <v/>
      </c>
      <c r="F3599" s="78" t="str">
        <f aca="false">IF(助手收入!$R$241&lt;&gt;"","复核：","")</f>
        <v/>
      </c>
      <c r="G3599" s="78" t="str">
        <f aca="false">IF(助手收入!$R$241&lt;&gt;"","制单：","")</f>
        <v/>
      </c>
    </row>
    <row r="3600" customFormat="false" ht="3" hidden="false" customHeight="true" outlineLevel="0" collapsed="false"/>
    <row r="3601" customFormat="false" ht="19.5" hidden="false" customHeight="true" outlineLevel="0" collapsed="false">
      <c r="B3601" s="53" t="str">
        <f aca="false">IF(助手收入!$R$242&lt;&gt;"","记  账  凭  证","")</f>
        <v/>
      </c>
      <c r="C3601" s="53"/>
      <c r="D3601" s="53"/>
      <c r="E3601" s="53"/>
      <c r="F3601" s="53"/>
      <c r="G3601" s="53"/>
      <c r="H3601" s="53"/>
      <c r="I3601" s="53"/>
    </row>
    <row r="3602" customFormat="false" ht="3" hidden="false" customHeight="true" outlineLevel="0" collapsed="false"/>
    <row r="3603" customFormat="false" ht="15" hidden="false" customHeight="true" outlineLevel="0" collapsed="false">
      <c r="C3603" s="56" t="str">
        <f aca="false">IF(助手收入!$R$242&lt;&gt;"",INDEX(助手收入!$B$2:$B$66,助手收入!$R$242),"")</f>
        <v/>
      </c>
      <c r="D3603" s="57" t="str">
        <f aca="false">IF(助手收入!$R$242&lt;&gt;"",参数!$B$2,"")</f>
        <v/>
      </c>
      <c r="E3603" s="57"/>
      <c r="F3603" s="58" t="str">
        <f aca="false">IF(助手收入!$R$242&lt;&gt;"",INDEX(助手收入!$C$2:$C$66,助手收入!$R$242)&amp;"  字第 "&amp;IF(参数!$B$9="是",INDEX(助手收入!$P$2:$P$66,助手收入!$R$242),"　　　　")&amp;" 号"&amp;IF(INDEX(助手收入!$L$2:$L$66,助手收入!$R$242)&gt;1,"  (共"&amp;INDEX(助手收入!$L$2:$L$66,助手收入!$R$242)&amp;"页 第"&amp;助手收入!$S$242&amp;"页)",""),"")</f>
        <v/>
      </c>
      <c r="G3603" s="58"/>
      <c r="H3603" s="58"/>
      <c r="I3603" s="58"/>
      <c r="M3603" s="79" t="str">
        <f aca="false">IF(助手收入!$R$242="","",助手收入!$Q$242)</f>
        <v/>
      </c>
      <c r="N3603" s="80" t="str">
        <f aca="false">IF(助手收入!$R$242="","",INDEX(助手收入!$P$2:$P$66,助手收入!$R$242))</f>
        <v/>
      </c>
      <c r="O3603" s="55" t="str">
        <f aca="false">IF(助手收入!$R$242="","",INDEX(助手收入!$C$2:$C$66,助手收入!$R$242)&amp;"  字第 "&amp;INDEX(助手收入!$P$2:$P$66,助手收入!$R$242)&amp;" 号"&amp;IF(INDEX(助手收入!$L$2:$L$66,助手收入!$R$242)&gt;1,"  (共"&amp;INDEX(助手收入!$L$2:$L$66,助手收入!$R$242)&amp;"页 第"&amp;助手收入!$S$242&amp;"页)",""))</f>
        <v/>
      </c>
    </row>
    <row r="3604" customFormat="false" ht="12.75" hidden="false" customHeight="true" outlineLevel="0" collapsed="false">
      <c r="B3604" s="61" t="str">
        <f aca="false">IF(助手收入!$R$242&lt;&gt;"","摘　　要","")</f>
        <v/>
      </c>
      <c r="C3604" s="61"/>
      <c r="D3604" s="62" t="str">
        <f aca="false">IF(助手收入!$R$242&lt;&gt;"","科　　　　目","")</f>
        <v/>
      </c>
      <c r="E3604" s="62"/>
      <c r="F3604" s="61" t="str">
        <f aca="false">IF(助手收入!$R$242&lt;&gt;"","借 方 金 额","")</f>
        <v/>
      </c>
      <c r="G3604" s="62" t="str">
        <f aca="false">IF(助手收入!$R$242&lt;&gt;"","贷 方 金 额","")</f>
        <v/>
      </c>
      <c r="H3604" s="63" t="str">
        <f aca="false">IF(助手收入!$R$242&lt;&gt;"","√","")</f>
        <v/>
      </c>
      <c r="I3604" s="64" t="str">
        <f aca="false">IF(助手收入!$R$242&lt;&gt;"","附单据  张","")</f>
        <v/>
      </c>
    </row>
    <row r="3605" customFormat="false" ht="12.75" hidden="false" customHeight="true" outlineLevel="0" collapsed="false">
      <c r="B3605" s="61"/>
      <c r="C3605" s="61"/>
      <c r="D3605" s="23" t="str">
        <f aca="false">IF(助手收入!$R$242&lt;&gt;"","总 账 科 目","")</f>
        <v/>
      </c>
      <c r="E3605" s="23" t="str">
        <f aca="false">IF(助手收入!$R$242&lt;&gt;"","明 细 科 目","")</f>
        <v/>
      </c>
      <c r="F3605" s="65"/>
      <c r="G3605" s="66"/>
      <c r="H3605" s="63"/>
      <c r="I3605" s="64"/>
    </row>
    <row r="3606" customFormat="false" ht="23.25" hidden="false" customHeight="true" outlineLevel="0" collapsed="false">
      <c r="B3606" s="67" t="str">
        <f aca="false">IFERROR(INDEX(分录收入!$M:$M,MATCH($L3606,分录收入!$L:$L,0)),"")</f>
        <v/>
      </c>
      <c r="C3606" s="67"/>
      <c r="D3606" s="23" t="str">
        <f aca="false">IFERROR(INDEX(分录收入!$E:$E,MATCH($L3606,分录收入!$L:$L,0)),"")</f>
        <v/>
      </c>
      <c r="E3606" s="23" t="str">
        <f aca="false">IFERROR(INDEX(分录收入!$F:$F,MATCH($L3606,分录收入!$L:$L,0)),"")</f>
        <v/>
      </c>
      <c r="F3606" s="68" t="str">
        <f aca="false">IFERROR(INDEX(分录收入!$H:$H,MATCH($L3606,分录收入!$L:$L,0)),"")</f>
        <v/>
      </c>
      <c r="G3606" s="69" t="str">
        <f aca="false">IFERROR(INDEX(分录收入!$I:$I,MATCH($L3606,分录收入!$L:$L,0)),"")</f>
        <v/>
      </c>
      <c r="H3606" s="23"/>
      <c r="I3606" s="70"/>
      <c r="L3606" s="71" t="n">
        <f aca="false">IF(助手收入!$R$242="",-1,助手收入!$R$242*100+(助手收入!$S$242-1)*6+1)</f>
        <v>-1</v>
      </c>
    </row>
    <row r="3607" customFormat="false" ht="23.25" hidden="false" customHeight="true" outlineLevel="0" collapsed="false">
      <c r="B3607" s="67" t="str">
        <f aca="false">""</f>
        <v/>
      </c>
      <c r="C3607" s="67"/>
      <c r="D3607" s="23" t="str">
        <f aca="false">IFERROR(INDEX(分录收入!$E:$E,MATCH($L3607,分录收入!$L:$L,0)),"")</f>
        <v/>
      </c>
      <c r="E3607" s="23" t="str">
        <f aca="false">IFERROR(INDEX(分录收入!$F:$F,MATCH($L3607,分录收入!$L:$L,0)),"")</f>
        <v/>
      </c>
      <c r="F3607" s="68" t="str">
        <f aca="false">IFERROR(INDEX(分录收入!$H:$H,MATCH($L3607,分录收入!$L:$L,0)),"")</f>
        <v/>
      </c>
      <c r="G3607" s="69" t="str">
        <f aca="false">IFERROR(INDEX(分录收入!$I:$I,MATCH($L3607,分录收入!$L:$L,0)),"")</f>
        <v/>
      </c>
      <c r="H3607" s="23"/>
      <c r="I3607" s="70"/>
      <c r="L3607" s="71" t="n">
        <f aca="false">IF(助手收入!$R$242="",-1,助手收入!$R$242*100+(助手收入!$S$242-1)*6+2)</f>
        <v>-1</v>
      </c>
    </row>
    <row r="3608" customFormat="false" ht="23.25" hidden="false" customHeight="true" outlineLevel="0" collapsed="false">
      <c r="B3608" s="67" t="str">
        <f aca="false">""</f>
        <v/>
      </c>
      <c r="C3608" s="67"/>
      <c r="D3608" s="23" t="str">
        <f aca="false">IFERROR(INDEX(分录收入!$E:$E,MATCH($L3608,分录收入!$L:$L,0)),"")</f>
        <v/>
      </c>
      <c r="E3608" s="23" t="str">
        <f aca="false">IFERROR(INDEX(分录收入!$F:$F,MATCH($L3608,分录收入!$L:$L,0)),"")</f>
        <v/>
      </c>
      <c r="F3608" s="68" t="str">
        <f aca="false">IFERROR(INDEX(分录收入!$H:$H,MATCH($L3608,分录收入!$L:$L,0)),"")</f>
        <v/>
      </c>
      <c r="G3608" s="69" t="str">
        <f aca="false">IFERROR(INDEX(分录收入!$I:$I,MATCH($L3608,分录收入!$L:$L,0)),"")</f>
        <v/>
      </c>
      <c r="H3608" s="23"/>
      <c r="I3608" s="70"/>
      <c r="L3608" s="71" t="n">
        <f aca="false">IF(助手收入!$R$242="",-1,助手收入!$R$242*100+(助手收入!$S$242-1)*6+3)</f>
        <v>-1</v>
      </c>
    </row>
    <row r="3609" customFormat="false" ht="23.25" hidden="false" customHeight="true" outlineLevel="0" collapsed="false">
      <c r="B3609" s="67" t="str">
        <f aca="false">""</f>
        <v/>
      </c>
      <c r="C3609" s="67"/>
      <c r="D3609" s="23" t="str">
        <f aca="false">IFERROR(INDEX(分录收入!$E:$E,MATCH($L3609,分录收入!$L:$L,0)),"")</f>
        <v/>
      </c>
      <c r="E3609" s="23" t="str">
        <f aca="false">IFERROR(INDEX(分录收入!$F:$F,MATCH($L3609,分录收入!$L:$L,0)),"")</f>
        <v/>
      </c>
      <c r="F3609" s="68" t="str">
        <f aca="false">IFERROR(INDEX(分录收入!$H:$H,MATCH($L3609,分录收入!$L:$L,0)),"")</f>
        <v/>
      </c>
      <c r="G3609" s="69" t="str">
        <f aca="false">IFERROR(INDEX(分录收入!$I:$I,MATCH($L3609,分录收入!$L:$L,0)),"")</f>
        <v/>
      </c>
      <c r="H3609" s="23"/>
      <c r="I3609" s="70"/>
      <c r="L3609" s="71" t="n">
        <f aca="false">IF(助手收入!$R$242="",-1,助手收入!$R$242*100+(助手收入!$S$242-1)*6+4)</f>
        <v>-1</v>
      </c>
    </row>
    <row r="3610" customFormat="false" ht="23.25" hidden="false" customHeight="true" outlineLevel="0" collapsed="false">
      <c r="B3610" s="67" t="str">
        <f aca="false">""</f>
        <v/>
      </c>
      <c r="C3610" s="67"/>
      <c r="D3610" s="23" t="str">
        <f aca="false">IFERROR(INDEX(分录收入!$E:$E,MATCH($L3610,分录收入!$L:$L,0)),"")</f>
        <v/>
      </c>
      <c r="E3610" s="23" t="str">
        <f aca="false">IFERROR(INDEX(分录收入!$F:$F,MATCH($L3610,分录收入!$L:$L,0)),"")</f>
        <v/>
      </c>
      <c r="F3610" s="68" t="str">
        <f aca="false">IFERROR(INDEX(分录收入!$H:$H,MATCH($L3610,分录收入!$L:$L,0)),"")</f>
        <v/>
      </c>
      <c r="G3610" s="69" t="str">
        <f aca="false">IFERROR(INDEX(分录收入!$I:$I,MATCH($L3610,分录收入!$L:$L,0)),"")</f>
        <v/>
      </c>
      <c r="H3610" s="23"/>
      <c r="I3610" s="70"/>
      <c r="L3610" s="71" t="n">
        <f aca="false">IF(助手收入!$R$242="",-1,助手收入!$R$242*100+(助手收入!$S$242-1)*6+5)</f>
        <v>-1</v>
      </c>
    </row>
    <row r="3611" customFormat="false" ht="23.25" hidden="false" customHeight="true" outlineLevel="0" collapsed="false">
      <c r="B3611" s="67" t="str">
        <f aca="false">""</f>
        <v/>
      </c>
      <c r="C3611" s="67"/>
      <c r="D3611" s="23" t="str">
        <f aca="false">IFERROR(INDEX(分录收入!$E:$E,MATCH($L3611,分录收入!$L:$L,0)),"")</f>
        <v/>
      </c>
      <c r="E3611" s="23" t="str">
        <f aca="false">IFERROR(INDEX(分录收入!$F:$F,MATCH($L3611,分录收入!$L:$L,0)),"")</f>
        <v/>
      </c>
      <c r="F3611" s="68" t="str">
        <f aca="false">IFERROR(INDEX(分录收入!$H:$H,MATCH($L3611,分录收入!$L:$L,0)),"")</f>
        <v/>
      </c>
      <c r="G3611" s="69" t="str">
        <f aca="false">IFERROR(INDEX(分录收入!$I:$I,MATCH($L3611,分录收入!$L:$L,0)),"")</f>
        <v/>
      </c>
      <c r="H3611" s="23"/>
      <c r="I3611" s="70"/>
      <c r="L3611" s="71" t="n">
        <f aca="false">IF(助手收入!$R$242="",-1,助手收入!$R$242*100+(助手收入!$S$242-1)*6+6)</f>
        <v>-1</v>
      </c>
    </row>
    <row r="3612" customFormat="false" ht="23.25" hidden="false" customHeight="true" outlineLevel="0" collapsed="false">
      <c r="B3612" s="72" t="str">
        <f aca="false">IF(助手收入!$T$242=1,"合计：","")</f>
        <v/>
      </c>
      <c r="C3612" s="73" t="str">
        <f aca="false">IF(助手收入!$T$242=1,$F3612,"")</f>
        <v/>
      </c>
      <c r="D3612" s="74"/>
      <c r="E3612" s="74"/>
      <c r="F3612" s="75" t="str">
        <f aca="false">IF(助手收入!$T$242=1,INDEX(助手收入!$N$2:$N$66,助手收入!$R$242),"")</f>
        <v/>
      </c>
      <c r="G3612" s="76" t="str">
        <f aca="false">IF(助手收入!$T$242=1,INDEX(助手收入!$O$2:$O$66,助手收入!$R$242),"")</f>
        <v/>
      </c>
      <c r="H3612" s="74"/>
      <c r="I3612" s="77"/>
    </row>
    <row r="3613" customFormat="false" ht="6" hidden="false" customHeight="true" outlineLevel="0" collapsed="false"/>
    <row r="3614" customFormat="false" ht="13.5" hidden="false" customHeight="false" outlineLevel="0" collapsed="false">
      <c r="B3614" s="78" t="str">
        <f aca="false">IF(助手收入!$R$242&lt;&gt;"","会计主管：","")</f>
        <v/>
      </c>
      <c r="D3614" s="78" t="str">
        <f aca="false">IF(助手收入!$R$242&lt;&gt;"","会计：","")</f>
        <v/>
      </c>
      <c r="E3614" s="78" t="str">
        <f aca="false">IF(助手收入!$R$242&lt;&gt;"","出纳：","")</f>
        <v/>
      </c>
      <c r="F3614" s="78" t="str">
        <f aca="false">IF(助手收入!$R$242&lt;&gt;"","复核：","")</f>
        <v/>
      </c>
      <c r="G3614" s="78" t="str">
        <f aca="false">IF(助手收入!$R$242&lt;&gt;"","制单：","")</f>
        <v/>
      </c>
    </row>
    <row r="3615" customFormat="false" ht="3" hidden="false" customHeight="true" outlineLevel="0" collapsed="false"/>
    <row r="3616" customFormat="false" ht="19.5" hidden="false" customHeight="true" outlineLevel="0" collapsed="false">
      <c r="B3616" s="53" t="str">
        <f aca="false">IF(助手收入!$R$243&lt;&gt;"","记  账  凭  证","")</f>
        <v/>
      </c>
      <c r="C3616" s="53"/>
      <c r="D3616" s="53"/>
      <c r="E3616" s="53"/>
      <c r="F3616" s="53"/>
      <c r="G3616" s="53"/>
      <c r="H3616" s="53"/>
      <c r="I3616" s="53"/>
    </row>
    <row r="3617" customFormat="false" ht="3" hidden="false" customHeight="true" outlineLevel="0" collapsed="false"/>
    <row r="3618" customFormat="false" ht="15" hidden="false" customHeight="true" outlineLevel="0" collapsed="false">
      <c r="C3618" s="56" t="str">
        <f aca="false">IF(助手收入!$R$243&lt;&gt;"",INDEX(助手收入!$B$2:$B$66,助手收入!$R$243),"")</f>
        <v/>
      </c>
      <c r="D3618" s="57" t="str">
        <f aca="false">IF(助手收入!$R$243&lt;&gt;"",参数!$B$2,"")</f>
        <v/>
      </c>
      <c r="E3618" s="57"/>
      <c r="F3618" s="58" t="str">
        <f aca="false">IF(助手收入!$R$243&lt;&gt;"",INDEX(助手收入!$C$2:$C$66,助手收入!$R$243)&amp;"  字第 "&amp;IF(参数!$B$9="是",INDEX(助手收入!$P$2:$P$66,助手收入!$R$243),"　　　　")&amp;" 号"&amp;IF(INDEX(助手收入!$L$2:$L$66,助手收入!$R$243)&gt;1,"  (共"&amp;INDEX(助手收入!$L$2:$L$66,助手收入!$R$243)&amp;"页 第"&amp;助手收入!$S$243&amp;"页)",""),"")</f>
        <v/>
      </c>
      <c r="G3618" s="58"/>
      <c r="H3618" s="58"/>
      <c r="I3618" s="58"/>
      <c r="M3618" s="79" t="str">
        <f aca="false">IF(助手收入!$R$243="","",助手收入!$Q$243)</f>
        <v/>
      </c>
      <c r="N3618" s="80" t="str">
        <f aca="false">IF(助手收入!$R$243="","",INDEX(助手收入!$P$2:$P$66,助手收入!$R$243))</f>
        <v/>
      </c>
      <c r="O3618" s="55" t="str">
        <f aca="false">IF(助手收入!$R$243="","",INDEX(助手收入!$C$2:$C$66,助手收入!$R$243)&amp;"  字第 "&amp;INDEX(助手收入!$P$2:$P$66,助手收入!$R$243)&amp;" 号"&amp;IF(INDEX(助手收入!$L$2:$L$66,助手收入!$R$243)&gt;1,"  (共"&amp;INDEX(助手收入!$L$2:$L$66,助手收入!$R$243)&amp;"页 第"&amp;助手收入!$S$243&amp;"页)",""))</f>
        <v/>
      </c>
    </row>
    <row r="3619" customFormat="false" ht="12.75" hidden="false" customHeight="true" outlineLevel="0" collapsed="false">
      <c r="B3619" s="61" t="str">
        <f aca="false">IF(助手收入!$R$243&lt;&gt;"","摘　　要","")</f>
        <v/>
      </c>
      <c r="C3619" s="61"/>
      <c r="D3619" s="62" t="str">
        <f aca="false">IF(助手收入!$R$243&lt;&gt;"","科　　　　目","")</f>
        <v/>
      </c>
      <c r="E3619" s="62"/>
      <c r="F3619" s="61" t="str">
        <f aca="false">IF(助手收入!$R$243&lt;&gt;"","借 方 金 额","")</f>
        <v/>
      </c>
      <c r="G3619" s="62" t="str">
        <f aca="false">IF(助手收入!$R$243&lt;&gt;"","贷 方 金 额","")</f>
        <v/>
      </c>
      <c r="H3619" s="63" t="str">
        <f aca="false">IF(助手收入!$R$243&lt;&gt;"","√","")</f>
        <v/>
      </c>
      <c r="I3619" s="64" t="str">
        <f aca="false">IF(助手收入!$R$243&lt;&gt;"","附单据  张","")</f>
        <v/>
      </c>
    </row>
    <row r="3620" customFormat="false" ht="12.75" hidden="false" customHeight="true" outlineLevel="0" collapsed="false">
      <c r="B3620" s="61"/>
      <c r="C3620" s="61"/>
      <c r="D3620" s="23" t="str">
        <f aca="false">IF(助手收入!$R$243&lt;&gt;"","总 账 科 目","")</f>
        <v/>
      </c>
      <c r="E3620" s="23" t="str">
        <f aca="false">IF(助手收入!$R$243&lt;&gt;"","明 细 科 目","")</f>
        <v/>
      </c>
      <c r="F3620" s="65"/>
      <c r="G3620" s="66"/>
      <c r="H3620" s="63"/>
      <c r="I3620" s="64"/>
    </row>
    <row r="3621" customFormat="false" ht="23.25" hidden="false" customHeight="true" outlineLevel="0" collapsed="false">
      <c r="B3621" s="67" t="str">
        <f aca="false">IFERROR(INDEX(分录收入!$M:$M,MATCH($L3621,分录收入!$L:$L,0)),"")</f>
        <v/>
      </c>
      <c r="C3621" s="67"/>
      <c r="D3621" s="23" t="str">
        <f aca="false">IFERROR(INDEX(分录收入!$E:$E,MATCH($L3621,分录收入!$L:$L,0)),"")</f>
        <v/>
      </c>
      <c r="E3621" s="23" t="str">
        <f aca="false">IFERROR(INDEX(分录收入!$F:$F,MATCH($L3621,分录收入!$L:$L,0)),"")</f>
        <v/>
      </c>
      <c r="F3621" s="68" t="str">
        <f aca="false">IFERROR(INDEX(分录收入!$H:$H,MATCH($L3621,分录收入!$L:$L,0)),"")</f>
        <v/>
      </c>
      <c r="G3621" s="69" t="str">
        <f aca="false">IFERROR(INDEX(分录收入!$I:$I,MATCH($L3621,分录收入!$L:$L,0)),"")</f>
        <v/>
      </c>
      <c r="H3621" s="23"/>
      <c r="I3621" s="70"/>
      <c r="L3621" s="71" t="n">
        <f aca="false">IF(助手收入!$R$243="",-1,助手收入!$R$243*100+(助手收入!$S$243-1)*6+1)</f>
        <v>-1</v>
      </c>
    </row>
    <row r="3622" customFormat="false" ht="23.25" hidden="false" customHeight="true" outlineLevel="0" collapsed="false">
      <c r="B3622" s="67" t="str">
        <f aca="false">""</f>
        <v/>
      </c>
      <c r="C3622" s="67"/>
      <c r="D3622" s="23" t="str">
        <f aca="false">IFERROR(INDEX(分录收入!$E:$E,MATCH($L3622,分录收入!$L:$L,0)),"")</f>
        <v/>
      </c>
      <c r="E3622" s="23" t="str">
        <f aca="false">IFERROR(INDEX(分录收入!$F:$F,MATCH($L3622,分录收入!$L:$L,0)),"")</f>
        <v/>
      </c>
      <c r="F3622" s="68" t="str">
        <f aca="false">IFERROR(INDEX(分录收入!$H:$H,MATCH($L3622,分录收入!$L:$L,0)),"")</f>
        <v/>
      </c>
      <c r="G3622" s="69" t="str">
        <f aca="false">IFERROR(INDEX(分录收入!$I:$I,MATCH($L3622,分录收入!$L:$L,0)),"")</f>
        <v/>
      </c>
      <c r="H3622" s="23"/>
      <c r="I3622" s="70"/>
      <c r="L3622" s="71" t="n">
        <f aca="false">IF(助手收入!$R$243="",-1,助手收入!$R$243*100+(助手收入!$S$243-1)*6+2)</f>
        <v>-1</v>
      </c>
    </row>
    <row r="3623" customFormat="false" ht="23.25" hidden="false" customHeight="true" outlineLevel="0" collapsed="false">
      <c r="B3623" s="67" t="str">
        <f aca="false">""</f>
        <v/>
      </c>
      <c r="C3623" s="67"/>
      <c r="D3623" s="23" t="str">
        <f aca="false">IFERROR(INDEX(分录收入!$E:$E,MATCH($L3623,分录收入!$L:$L,0)),"")</f>
        <v/>
      </c>
      <c r="E3623" s="23" t="str">
        <f aca="false">IFERROR(INDEX(分录收入!$F:$F,MATCH($L3623,分录收入!$L:$L,0)),"")</f>
        <v/>
      </c>
      <c r="F3623" s="68" t="str">
        <f aca="false">IFERROR(INDEX(分录收入!$H:$H,MATCH($L3623,分录收入!$L:$L,0)),"")</f>
        <v/>
      </c>
      <c r="G3623" s="69" t="str">
        <f aca="false">IFERROR(INDEX(分录收入!$I:$I,MATCH($L3623,分录收入!$L:$L,0)),"")</f>
        <v/>
      </c>
      <c r="H3623" s="23"/>
      <c r="I3623" s="70"/>
      <c r="L3623" s="71" t="n">
        <f aca="false">IF(助手收入!$R$243="",-1,助手收入!$R$243*100+(助手收入!$S$243-1)*6+3)</f>
        <v>-1</v>
      </c>
    </row>
    <row r="3624" customFormat="false" ht="23.25" hidden="false" customHeight="true" outlineLevel="0" collapsed="false">
      <c r="B3624" s="67" t="str">
        <f aca="false">""</f>
        <v/>
      </c>
      <c r="C3624" s="67"/>
      <c r="D3624" s="23" t="str">
        <f aca="false">IFERROR(INDEX(分录收入!$E:$E,MATCH($L3624,分录收入!$L:$L,0)),"")</f>
        <v/>
      </c>
      <c r="E3624" s="23" t="str">
        <f aca="false">IFERROR(INDEX(分录收入!$F:$F,MATCH($L3624,分录收入!$L:$L,0)),"")</f>
        <v/>
      </c>
      <c r="F3624" s="68" t="str">
        <f aca="false">IFERROR(INDEX(分录收入!$H:$H,MATCH($L3624,分录收入!$L:$L,0)),"")</f>
        <v/>
      </c>
      <c r="G3624" s="69" t="str">
        <f aca="false">IFERROR(INDEX(分录收入!$I:$I,MATCH($L3624,分录收入!$L:$L,0)),"")</f>
        <v/>
      </c>
      <c r="H3624" s="23"/>
      <c r="I3624" s="70"/>
      <c r="L3624" s="71" t="n">
        <f aca="false">IF(助手收入!$R$243="",-1,助手收入!$R$243*100+(助手收入!$S$243-1)*6+4)</f>
        <v>-1</v>
      </c>
    </row>
    <row r="3625" customFormat="false" ht="23.25" hidden="false" customHeight="true" outlineLevel="0" collapsed="false">
      <c r="B3625" s="67" t="str">
        <f aca="false">""</f>
        <v/>
      </c>
      <c r="C3625" s="67"/>
      <c r="D3625" s="23" t="str">
        <f aca="false">IFERROR(INDEX(分录收入!$E:$E,MATCH($L3625,分录收入!$L:$L,0)),"")</f>
        <v/>
      </c>
      <c r="E3625" s="23" t="str">
        <f aca="false">IFERROR(INDEX(分录收入!$F:$F,MATCH($L3625,分录收入!$L:$L,0)),"")</f>
        <v/>
      </c>
      <c r="F3625" s="68" t="str">
        <f aca="false">IFERROR(INDEX(分录收入!$H:$H,MATCH($L3625,分录收入!$L:$L,0)),"")</f>
        <v/>
      </c>
      <c r="G3625" s="69" t="str">
        <f aca="false">IFERROR(INDEX(分录收入!$I:$I,MATCH($L3625,分录收入!$L:$L,0)),"")</f>
        <v/>
      </c>
      <c r="H3625" s="23"/>
      <c r="I3625" s="70"/>
      <c r="L3625" s="71" t="n">
        <f aca="false">IF(助手收入!$R$243="",-1,助手收入!$R$243*100+(助手收入!$S$243-1)*6+5)</f>
        <v>-1</v>
      </c>
    </row>
    <row r="3626" customFormat="false" ht="23.25" hidden="false" customHeight="true" outlineLevel="0" collapsed="false">
      <c r="B3626" s="67" t="str">
        <f aca="false">""</f>
        <v/>
      </c>
      <c r="C3626" s="67"/>
      <c r="D3626" s="23" t="str">
        <f aca="false">IFERROR(INDEX(分录收入!$E:$E,MATCH($L3626,分录收入!$L:$L,0)),"")</f>
        <v/>
      </c>
      <c r="E3626" s="23" t="str">
        <f aca="false">IFERROR(INDEX(分录收入!$F:$F,MATCH($L3626,分录收入!$L:$L,0)),"")</f>
        <v/>
      </c>
      <c r="F3626" s="68" t="str">
        <f aca="false">IFERROR(INDEX(分录收入!$H:$H,MATCH($L3626,分录收入!$L:$L,0)),"")</f>
        <v/>
      </c>
      <c r="G3626" s="69" t="str">
        <f aca="false">IFERROR(INDEX(分录收入!$I:$I,MATCH($L3626,分录收入!$L:$L,0)),"")</f>
        <v/>
      </c>
      <c r="H3626" s="23"/>
      <c r="I3626" s="70"/>
      <c r="L3626" s="71" t="n">
        <f aca="false">IF(助手收入!$R$243="",-1,助手收入!$R$243*100+(助手收入!$S$243-1)*6+6)</f>
        <v>-1</v>
      </c>
    </row>
    <row r="3627" customFormat="false" ht="23.25" hidden="false" customHeight="true" outlineLevel="0" collapsed="false">
      <c r="B3627" s="72" t="str">
        <f aca="false">IF(助手收入!$T$243=1,"合计：","")</f>
        <v/>
      </c>
      <c r="C3627" s="73" t="str">
        <f aca="false">IF(助手收入!$T$243=1,$F3627,"")</f>
        <v/>
      </c>
      <c r="D3627" s="74"/>
      <c r="E3627" s="74"/>
      <c r="F3627" s="75" t="str">
        <f aca="false">IF(助手收入!$T$243=1,INDEX(助手收入!$N$2:$N$66,助手收入!$R$243),"")</f>
        <v/>
      </c>
      <c r="G3627" s="76" t="str">
        <f aca="false">IF(助手收入!$T$243=1,INDEX(助手收入!$O$2:$O$66,助手收入!$R$243),"")</f>
        <v/>
      </c>
      <c r="H3627" s="74"/>
      <c r="I3627" s="77"/>
    </row>
    <row r="3628" customFormat="false" ht="6" hidden="false" customHeight="true" outlineLevel="0" collapsed="false"/>
    <row r="3629" customFormat="false" ht="13.5" hidden="false" customHeight="false" outlineLevel="0" collapsed="false">
      <c r="B3629" s="78" t="str">
        <f aca="false">IF(助手收入!$R$243&lt;&gt;"","会计主管：","")</f>
        <v/>
      </c>
      <c r="D3629" s="78" t="str">
        <f aca="false">IF(助手收入!$R$243&lt;&gt;"","会计：","")</f>
        <v/>
      </c>
      <c r="E3629" s="78" t="str">
        <f aca="false">IF(助手收入!$R$243&lt;&gt;"","出纳：","")</f>
        <v/>
      </c>
      <c r="F3629" s="78" t="str">
        <f aca="false">IF(助手收入!$R$243&lt;&gt;"","复核：","")</f>
        <v/>
      </c>
      <c r="G3629" s="78" t="str">
        <f aca="false">IF(助手收入!$R$243&lt;&gt;"","制单：","")</f>
        <v/>
      </c>
    </row>
    <row r="3630" customFormat="false" ht="3" hidden="false" customHeight="true" outlineLevel="0" collapsed="false"/>
    <row r="3631" customFormat="false" ht="19.5" hidden="false" customHeight="true" outlineLevel="0" collapsed="false">
      <c r="B3631" s="53" t="str">
        <f aca="false">IF(助手收入!$R$244&lt;&gt;"","记  账  凭  证","")</f>
        <v/>
      </c>
      <c r="C3631" s="53"/>
      <c r="D3631" s="53"/>
      <c r="E3631" s="53"/>
      <c r="F3631" s="53"/>
      <c r="G3631" s="53"/>
      <c r="H3631" s="53"/>
      <c r="I3631" s="53"/>
    </row>
    <row r="3632" customFormat="false" ht="3" hidden="false" customHeight="true" outlineLevel="0" collapsed="false"/>
    <row r="3633" customFormat="false" ht="15" hidden="false" customHeight="true" outlineLevel="0" collapsed="false">
      <c r="C3633" s="56" t="str">
        <f aca="false">IF(助手收入!$R$244&lt;&gt;"",INDEX(助手收入!$B$2:$B$66,助手收入!$R$244),"")</f>
        <v/>
      </c>
      <c r="D3633" s="57" t="str">
        <f aca="false">IF(助手收入!$R$244&lt;&gt;"",参数!$B$2,"")</f>
        <v/>
      </c>
      <c r="E3633" s="57"/>
      <c r="F3633" s="58" t="str">
        <f aca="false">IF(助手收入!$R$244&lt;&gt;"",INDEX(助手收入!$C$2:$C$66,助手收入!$R$244)&amp;"  字第 "&amp;IF(参数!$B$9="是",INDEX(助手收入!$P$2:$P$66,助手收入!$R$244),"　　　　")&amp;" 号"&amp;IF(INDEX(助手收入!$L$2:$L$66,助手收入!$R$244)&gt;1,"  (共"&amp;INDEX(助手收入!$L$2:$L$66,助手收入!$R$244)&amp;"页 第"&amp;助手收入!$S$244&amp;"页)",""),"")</f>
        <v/>
      </c>
      <c r="G3633" s="58"/>
      <c r="H3633" s="58"/>
      <c r="I3633" s="58"/>
      <c r="M3633" s="79" t="str">
        <f aca="false">IF(助手收入!$R$244="","",助手收入!$Q$244)</f>
        <v/>
      </c>
      <c r="N3633" s="80" t="str">
        <f aca="false">IF(助手收入!$R$244="","",INDEX(助手收入!$P$2:$P$66,助手收入!$R$244))</f>
        <v/>
      </c>
      <c r="O3633" s="55" t="str">
        <f aca="false">IF(助手收入!$R$244="","",INDEX(助手收入!$C$2:$C$66,助手收入!$R$244)&amp;"  字第 "&amp;INDEX(助手收入!$P$2:$P$66,助手收入!$R$244)&amp;" 号"&amp;IF(INDEX(助手收入!$L$2:$L$66,助手收入!$R$244)&gt;1,"  (共"&amp;INDEX(助手收入!$L$2:$L$66,助手收入!$R$244)&amp;"页 第"&amp;助手收入!$S$244&amp;"页)",""))</f>
        <v/>
      </c>
    </row>
    <row r="3634" customFormat="false" ht="12.75" hidden="false" customHeight="true" outlineLevel="0" collapsed="false">
      <c r="B3634" s="61" t="str">
        <f aca="false">IF(助手收入!$R$244&lt;&gt;"","摘　　要","")</f>
        <v/>
      </c>
      <c r="C3634" s="61"/>
      <c r="D3634" s="62" t="str">
        <f aca="false">IF(助手收入!$R$244&lt;&gt;"","科　　　　目","")</f>
        <v/>
      </c>
      <c r="E3634" s="62"/>
      <c r="F3634" s="61" t="str">
        <f aca="false">IF(助手收入!$R$244&lt;&gt;"","借 方 金 额","")</f>
        <v/>
      </c>
      <c r="G3634" s="62" t="str">
        <f aca="false">IF(助手收入!$R$244&lt;&gt;"","贷 方 金 额","")</f>
        <v/>
      </c>
      <c r="H3634" s="63" t="str">
        <f aca="false">IF(助手收入!$R$244&lt;&gt;"","√","")</f>
        <v/>
      </c>
      <c r="I3634" s="64" t="str">
        <f aca="false">IF(助手收入!$R$244&lt;&gt;"","附单据  张","")</f>
        <v/>
      </c>
    </row>
    <row r="3635" customFormat="false" ht="12.75" hidden="false" customHeight="true" outlineLevel="0" collapsed="false">
      <c r="B3635" s="61"/>
      <c r="C3635" s="61"/>
      <c r="D3635" s="23" t="str">
        <f aca="false">IF(助手收入!$R$244&lt;&gt;"","总 账 科 目","")</f>
        <v/>
      </c>
      <c r="E3635" s="23" t="str">
        <f aca="false">IF(助手收入!$R$244&lt;&gt;"","明 细 科 目","")</f>
        <v/>
      </c>
      <c r="F3635" s="65"/>
      <c r="G3635" s="66"/>
      <c r="H3635" s="63"/>
      <c r="I3635" s="64"/>
    </row>
    <row r="3636" customFormat="false" ht="23.25" hidden="false" customHeight="true" outlineLevel="0" collapsed="false">
      <c r="B3636" s="67" t="str">
        <f aca="false">IFERROR(INDEX(分录收入!$M:$M,MATCH($L3636,分录收入!$L:$L,0)),"")</f>
        <v/>
      </c>
      <c r="C3636" s="67"/>
      <c r="D3636" s="23" t="str">
        <f aca="false">IFERROR(INDEX(分录收入!$E:$E,MATCH($L3636,分录收入!$L:$L,0)),"")</f>
        <v/>
      </c>
      <c r="E3636" s="23" t="str">
        <f aca="false">IFERROR(INDEX(分录收入!$F:$F,MATCH($L3636,分录收入!$L:$L,0)),"")</f>
        <v/>
      </c>
      <c r="F3636" s="68" t="str">
        <f aca="false">IFERROR(INDEX(分录收入!$H:$H,MATCH($L3636,分录收入!$L:$L,0)),"")</f>
        <v/>
      </c>
      <c r="G3636" s="69" t="str">
        <f aca="false">IFERROR(INDEX(分录收入!$I:$I,MATCH($L3636,分录收入!$L:$L,0)),"")</f>
        <v/>
      </c>
      <c r="H3636" s="23"/>
      <c r="I3636" s="70"/>
      <c r="L3636" s="71" t="n">
        <f aca="false">IF(助手收入!$R$244="",-1,助手收入!$R$244*100+(助手收入!$S$244-1)*6+1)</f>
        <v>-1</v>
      </c>
    </row>
    <row r="3637" customFormat="false" ht="23.25" hidden="false" customHeight="true" outlineLevel="0" collapsed="false">
      <c r="B3637" s="67" t="str">
        <f aca="false">""</f>
        <v/>
      </c>
      <c r="C3637" s="67"/>
      <c r="D3637" s="23" t="str">
        <f aca="false">IFERROR(INDEX(分录收入!$E:$E,MATCH($L3637,分录收入!$L:$L,0)),"")</f>
        <v/>
      </c>
      <c r="E3637" s="23" t="str">
        <f aca="false">IFERROR(INDEX(分录收入!$F:$F,MATCH($L3637,分录收入!$L:$L,0)),"")</f>
        <v/>
      </c>
      <c r="F3637" s="68" t="str">
        <f aca="false">IFERROR(INDEX(分录收入!$H:$H,MATCH($L3637,分录收入!$L:$L,0)),"")</f>
        <v/>
      </c>
      <c r="G3637" s="69" t="str">
        <f aca="false">IFERROR(INDEX(分录收入!$I:$I,MATCH($L3637,分录收入!$L:$L,0)),"")</f>
        <v/>
      </c>
      <c r="H3637" s="23"/>
      <c r="I3637" s="70"/>
      <c r="L3637" s="71" t="n">
        <f aca="false">IF(助手收入!$R$244="",-1,助手收入!$R$244*100+(助手收入!$S$244-1)*6+2)</f>
        <v>-1</v>
      </c>
    </row>
    <row r="3638" customFormat="false" ht="23.25" hidden="false" customHeight="true" outlineLevel="0" collapsed="false">
      <c r="B3638" s="67" t="str">
        <f aca="false">""</f>
        <v/>
      </c>
      <c r="C3638" s="67"/>
      <c r="D3638" s="23" t="str">
        <f aca="false">IFERROR(INDEX(分录收入!$E:$E,MATCH($L3638,分录收入!$L:$L,0)),"")</f>
        <v/>
      </c>
      <c r="E3638" s="23" t="str">
        <f aca="false">IFERROR(INDEX(分录收入!$F:$F,MATCH($L3638,分录收入!$L:$L,0)),"")</f>
        <v/>
      </c>
      <c r="F3638" s="68" t="str">
        <f aca="false">IFERROR(INDEX(分录收入!$H:$H,MATCH($L3638,分录收入!$L:$L,0)),"")</f>
        <v/>
      </c>
      <c r="G3638" s="69" t="str">
        <f aca="false">IFERROR(INDEX(分录收入!$I:$I,MATCH($L3638,分录收入!$L:$L,0)),"")</f>
        <v/>
      </c>
      <c r="H3638" s="23"/>
      <c r="I3638" s="70"/>
      <c r="L3638" s="71" t="n">
        <f aca="false">IF(助手收入!$R$244="",-1,助手收入!$R$244*100+(助手收入!$S$244-1)*6+3)</f>
        <v>-1</v>
      </c>
    </row>
    <row r="3639" customFormat="false" ht="23.25" hidden="false" customHeight="true" outlineLevel="0" collapsed="false">
      <c r="B3639" s="67" t="str">
        <f aca="false">""</f>
        <v/>
      </c>
      <c r="C3639" s="67"/>
      <c r="D3639" s="23" t="str">
        <f aca="false">IFERROR(INDEX(分录收入!$E:$E,MATCH($L3639,分录收入!$L:$L,0)),"")</f>
        <v/>
      </c>
      <c r="E3639" s="23" t="str">
        <f aca="false">IFERROR(INDEX(分录收入!$F:$F,MATCH($L3639,分录收入!$L:$L,0)),"")</f>
        <v/>
      </c>
      <c r="F3639" s="68" t="str">
        <f aca="false">IFERROR(INDEX(分录收入!$H:$H,MATCH($L3639,分录收入!$L:$L,0)),"")</f>
        <v/>
      </c>
      <c r="G3639" s="69" t="str">
        <f aca="false">IFERROR(INDEX(分录收入!$I:$I,MATCH($L3639,分录收入!$L:$L,0)),"")</f>
        <v/>
      </c>
      <c r="H3639" s="23"/>
      <c r="I3639" s="70"/>
      <c r="L3639" s="71" t="n">
        <f aca="false">IF(助手收入!$R$244="",-1,助手收入!$R$244*100+(助手收入!$S$244-1)*6+4)</f>
        <v>-1</v>
      </c>
    </row>
    <row r="3640" customFormat="false" ht="23.25" hidden="false" customHeight="true" outlineLevel="0" collapsed="false">
      <c r="B3640" s="67" t="str">
        <f aca="false">""</f>
        <v/>
      </c>
      <c r="C3640" s="67"/>
      <c r="D3640" s="23" t="str">
        <f aca="false">IFERROR(INDEX(分录收入!$E:$E,MATCH($L3640,分录收入!$L:$L,0)),"")</f>
        <v/>
      </c>
      <c r="E3640" s="23" t="str">
        <f aca="false">IFERROR(INDEX(分录收入!$F:$F,MATCH($L3640,分录收入!$L:$L,0)),"")</f>
        <v/>
      </c>
      <c r="F3640" s="68" t="str">
        <f aca="false">IFERROR(INDEX(分录收入!$H:$H,MATCH($L3640,分录收入!$L:$L,0)),"")</f>
        <v/>
      </c>
      <c r="G3640" s="69" t="str">
        <f aca="false">IFERROR(INDEX(分录收入!$I:$I,MATCH($L3640,分录收入!$L:$L,0)),"")</f>
        <v/>
      </c>
      <c r="H3640" s="23"/>
      <c r="I3640" s="70"/>
      <c r="L3640" s="71" t="n">
        <f aca="false">IF(助手收入!$R$244="",-1,助手收入!$R$244*100+(助手收入!$S$244-1)*6+5)</f>
        <v>-1</v>
      </c>
    </row>
    <row r="3641" customFormat="false" ht="23.25" hidden="false" customHeight="true" outlineLevel="0" collapsed="false">
      <c r="B3641" s="67" t="str">
        <f aca="false">""</f>
        <v/>
      </c>
      <c r="C3641" s="67"/>
      <c r="D3641" s="23" t="str">
        <f aca="false">IFERROR(INDEX(分录收入!$E:$E,MATCH($L3641,分录收入!$L:$L,0)),"")</f>
        <v/>
      </c>
      <c r="E3641" s="23" t="str">
        <f aca="false">IFERROR(INDEX(分录收入!$F:$F,MATCH($L3641,分录收入!$L:$L,0)),"")</f>
        <v/>
      </c>
      <c r="F3641" s="68" t="str">
        <f aca="false">IFERROR(INDEX(分录收入!$H:$H,MATCH($L3641,分录收入!$L:$L,0)),"")</f>
        <v/>
      </c>
      <c r="G3641" s="69" t="str">
        <f aca="false">IFERROR(INDEX(分录收入!$I:$I,MATCH($L3641,分录收入!$L:$L,0)),"")</f>
        <v/>
      </c>
      <c r="H3641" s="23"/>
      <c r="I3641" s="70"/>
      <c r="L3641" s="71" t="n">
        <f aca="false">IF(助手收入!$R$244="",-1,助手收入!$R$244*100+(助手收入!$S$244-1)*6+6)</f>
        <v>-1</v>
      </c>
    </row>
    <row r="3642" customFormat="false" ht="23.25" hidden="false" customHeight="true" outlineLevel="0" collapsed="false">
      <c r="B3642" s="72" t="str">
        <f aca="false">IF(助手收入!$T$244=1,"合计：","")</f>
        <v/>
      </c>
      <c r="C3642" s="73" t="str">
        <f aca="false">IF(助手收入!$T$244=1,$F3642,"")</f>
        <v/>
      </c>
      <c r="D3642" s="74"/>
      <c r="E3642" s="74"/>
      <c r="F3642" s="75" t="str">
        <f aca="false">IF(助手收入!$T$244=1,INDEX(助手收入!$N$2:$N$66,助手收入!$R$244),"")</f>
        <v/>
      </c>
      <c r="G3642" s="76" t="str">
        <f aca="false">IF(助手收入!$T$244=1,INDEX(助手收入!$O$2:$O$66,助手收入!$R$244),"")</f>
        <v/>
      </c>
      <c r="H3642" s="74"/>
      <c r="I3642" s="77"/>
    </row>
    <row r="3643" customFormat="false" ht="6" hidden="false" customHeight="true" outlineLevel="0" collapsed="false"/>
    <row r="3644" customFormat="false" ht="13.5" hidden="false" customHeight="false" outlineLevel="0" collapsed="false">
      <c r="B3644" s="78" t="str">
        <f aca="false">IF(助手收入!$R$244&lt;&gt;"","会计主管：","")</f>
        <v/>
      </c>
      <c r="D3644" s="78" t="str">
        <f aca="false">IF(助手收入!$R$244&lt;&gt;"","会计：","")</f>
        <v/>
      </c>
      <c r="E3644" s="78" t="str">
        <f aca="false">IF(助手收入!$R$244&lt;&gt;"","出纳：","")</f>
        <v/>
      </c>
      <c r="F3644" s="78" t="str">
        <f aca="false">IF(助手收入!$R$244&lt;&gt;"","复核：","")</f>
        <v/>
      </c>
      <c r="G3644" s="78" t="str">
        <f aca="false">IF(助手收入!$R$244&lt;&gt;"","制单：","")</f>
        <v/>
      </c>
    </row>
    <row r="3645" customFormat="false" ht="3" hidden="false" customHeight="true" outlineLevel="0" collapsed="false"/>
    <row r="3646" customFormat="false" ht="19.5" hidden="false" customHeight="true" outlineLevel="0" collapsed="false">
      <c r="B3646" s="53" t="str">
        <f aca="false">IF(助手收入!$R$245&lt;&gt;"","记  账  凭  证","")</f>
        <v/>
      </c>
      <c r="C3646" s="53"/>
      <c r="D3646" s="53"/>
      <c r="E3646" s="53"/>
      <c r="F3646" s="53"/>
      <c r="G3646" s="53"/>
      <c r="H3646" s="53"/>
      <c r="I3646" s="53"/>
    </row>
    <row r="3647" customFormat="false" ht="3" hidden="false" customHeight="true" outlineLevel="0" collapsed="false"/>
    <row r="3648" customFormat="false" ht="15" hidden="false" customHeight="true" outlineLevel="0" collapsed="false">
      <c r="C3648" s="56" t="str">
        <f aca="false">IF(助手收入!$R$245&lt;&gt;"",INDEX(助手收入!$B$2:$B$66,助手收入!$R$245),"")</f>
        <v/>
      </c>
      <c r="D3648" s="57" t="str">
        <f aca="false">IF(助手收入!$R$245&lt;&gt;"",参数!$B$2,"")</f>
        <v/>
      </c>
      <c r="E3648" s="57"/>
      <c r="F3648" s="58" t="str">
        <f aca="false">IF(助手收入!$R$245&lt;&gt;"",INDEX(助手收入!$C$2:$C$66,助手收入!$R$245)&amp;"  字第 "&amp;IF(参数!$B$9="是",INDEX(助手收入!$P$2:$P$66,助手收入!$R$245),"　　　　")&amp;" 号"&amp;IF(INDEX(助手收入!$L$2:$L$66,助手收入!$R$245)&gt;1,"  (共"&amp;INDEX(助手收入!$L$2:$L$66,助手收入!$R$245)&amp;"页 第"&amp;助手收入!$S$245&amp;"页)",""),"")</f>
        <v/>
      </c>
      <c r="G3648" s="58"/>
      <c r="H3648" s="58"/>
      <c r="I3648" s="58"/>
      <c r="M3648" s="79" t="str">
        <f aca="false">IF(助手收入!$R$245="","",助手收入!$Q$245)</f>
        <v/>
      </c>
      <c r="N3648" s="80" t="str">
        <f aca="false">IF(助手收入!$R$245="","",INDEX(助手收入!$P$2:$P$66,助手收入!$R$245))</f>
        <v/>
      </c>
      <c r="O3648" s="55" t="str">
        <f aca="false">IF(助手收入!$R$245="","",INDEX(助手收入!$C$2:$C$66,助手收入!$R$245)&amp;"  字第 "&amp;INDEX(助手收入!$P$2:$P$66,助手收入!$R$245)&amp;" 号"&amp;IF(INDEX(助手收入!$L$2:$L$66,助手收入!$R$245)&gt;1,"  (共"&amp;INDEX(助手收入!$L$2:$L$66,助手收入!$R$245)&amp;"页 第"&amp;助手收入!$S$245&amp;"页)",""))</f>
        <v/>
      </c>
    </row>
    <row r="3649" customFormat="false" ht="12.75" hidden="false" customHeight="true" outlineLevel="0" collapsed="false">
      <c r="B3649" s="61" t="str">
        <f aca="false">IF(助手收入!$R$245&lt;&gt;"","摘　　要","")</f>
        <v/>
      </c>
      <c r="C3649" s="61"/>
      <c r="D3649" s="62" t="str">
        <f aca="false">IF(助手收入!$R$245&lt;&gt;"","科　　　　目","")</f>
        <v/>
      </c>
      <c r="E3649" s="62"/>
      <c r="F3649" s="61" t="str">
        <f aca="false">IF(助手收入!$R$245&lt;&gt;"","借 方 金 额","")</f>
        <v/>
      </c>
      <c r="G3649" s="62" t="str">
        <f aca="false">IF(助手收入!$R$245&lt;&gt;"","贷 方 金 额","")</f>
        <v/>
      </c>
      <c r="H3649" s="63" t="str">
        <f aca="false">IF(助手收入!$R$245&lt;&gt;"","√","")</f>
        <v/>
      </c>
      <c r="I3649" s="64" t="str">
        <f aca="false">IF(助手收入!$R$245&lt;&gt;"","附单据  张","")</f>
        <v/>
      </c>
    </row>
    <row r="3650" customFormat="false" ht="12.75" hidden="false" customHeight="true" outlineLevel="0" collapsed="false">
      <c r="B3650" s="61"/>
      <c r="C3650" s="61"/>
      <c r="D3650" s="23" t="str">
        <f aca="false">IF(助手收入!$R$245&lt;&gt;"","总 账 科 目","")</f>
        <v/>
      </c>
      <c r="E3650" s="23" t="str">
        <f aca="false">IF(助手收入!$R$245&lt;&gt;"","明 细 科 目","")</f>
        <v/>
      </c>
      <c r="F3650" s="65"/>
      <c r="G3650" s="66"/>
      <c r="H3650" s="63"/>
      <c r="I3650" s="64"/>
    </row>
    <row r="3651" customFormat="false" ht="23.25" hidden="false" customHeight="true" outlineLevel="0" collapsed="false">
      <c r="B3651" s="67" t="str">
        <f aca="false">IFERROR(INDEX(分录收入!$M:$M,MATCH($L3651,分录收入!$L:$L,0)),"")</f>
        <v/>
      </c>
      <c r="C3651" s="67"/>
      <c r="D3651" s="23" t="str">
        <f aca="false">IFERROR(INDEX(分录收入!$E:$E,MATCH($L3651,分录收入!$L:$L,0)),"")</f>
        <v/>
      </c>
      <c r="E3651" s="23" t="str">
        <f aca="false">IFERROR(INDEX(分录收入!$F:$F,MATCH($L3651,分录收入!$L:$L,0)),"")</f>
        <v/>
      </c>
      <c r="F3651" s="68" t="str">
        <f aca="false">IFERROR(INDEX(分录收入!$H:$H,MATCH($L3651,分录收入!$L:$L,0)),"")</f>
        <v/>
      </c>
      <c r="G3651" s="69" t="str">
        <f aca="false">IFERROR(INDEX(分录收入!$I:$I,MATCH($L3651,分录收入!$L:$L,0)),"")</f>
        <v/>
      </c>
      <c r="H3651" s="23"/>
      <c r="I3651" s="70"/>
      <c r="L3651" s="71" t="n">
        <f aca="false">IF(助手收入!$R$245="",-1,助手收入!$R$245*100+(助手收入!$S$245-1)*6+1)</f>
        <v>-1</v>
      </c>
    </row>
    <row r="3652" customFormat="false" ht="23.25" hidden="false" customHeight="true" outlineLevel="0" collapsed="false">
      <c r="B3652" s="67" t="str">
        <f aca="false">""</f>
        <v/>
      </c>
      <c r="C3652" s="67"/>
      <c r="D3652" s="23" t="str">
        <f aca="false">IFERROR(INDEX(分录收入!$E:$E,MATCH($L3652,分录收入!$L:$L,0)),"")</f>
        <v/>
      </c>
      <c r="E3652" s="23" t="str">
        <f aca="false">IFERROR(INDEX(分录收入!$F:$F,MATCH($L3652,分录收入!$L:$L,0)),"")</f>
        <v/>
      </c>
      <c r="F3652" s="68" t="str">
        <f aca="false">IFERROR(INDEX(分录收入!$H:$H,MATCH($L3652,分录收入!$L:$L,0)),"")</f>
        <v/>
      </c>
      <c r="G3652" s="69" t="str">
        <f aca="false">IFERROR(INDEX(分录收入!$I:$I,MATCH($L3652,分录收入!$L:$L,0)),"")</f>
        <v/>
      </c>
      <c r="H3652" s="23"/>
      <c r="I3652" s="70"/>
      <c r="L3652" s="71" t="n">
        <f aca="false">IF(助手收入!$R$245="",-1,助手收入!$R$245*100+(助手收入!$S$245-1)*6+2)</f>
        <v>-1</v>
      </c>
    </row>
    <row r="3653" customFormat="false" ht="23.25" hidden="false" customHeight="true" outlineLevel="0" collapsed="false">
      <c r="B3653" s="67" t="str">
        <f aca="false">""</f>
        <v/>
      </c>
      <c r="C3653" s="67"/>
      <c r="D3653" s="23" t="str">
        <f aca="false">IFERROR(INDEX(分录收入!$E:$E,MATCH($L3653,分录收入!$L:$L,0)),"")</f>
        <v/>
      </c>
      <c r="E3653" s="23" t="str">
        <f aca="false">IFERROR(INDEX(分录收入!$F:$F,MATCH($L3653,分录收入!$L:$L,0)),"")</f>
        <v/>
      </c>
      <c r="F3653" s="68" t="str">
        <f aca="false">IFERROR(INDEX(分录收入!$H:$H,MATCH($L3653,分录收入!$L:$L,0)),"")</f>
        <v/>
      </c>
      <c r="G3653" s="69" t="str">
        <f aca="false">IFERROR(INDEX(分录收入!$I:$I,MATCH($L3653,分录收入!$L:$L,0)),"")</f>
        <v/>
      </c>
      <c r="H3653" s="23"/>
      <c r="I3653" s="70"/>
      <c r="L3653" s="71" t="n">
        <f aca="false">IF(助手收入!$R$245="",-1,助手收入!$R$245*100+(助手收入!$S$245-1)*6+3)</f>
        <v>-1</v>
      </c>
    </row>
    <row r="3654" customFormat="false" ht="23.25" hidden="false" customHeight="true" outlineLevel="0" collapsed="false">
      <c r="B3654" s="67" t="str">
        <f aca="false">""</f>
        <v/>
      </c>
      <c r="C3654" s="67"/>
      <c r="D3654" s="23" t="str">
        <f aca="false">IFERROR(INDEX(分录收入!$E:$E,MATCH($L3654,分录收入!$L:$L,0)),"")</f>
        <v/>
      </c>
      <c r="E3654" s="23" t="str">
        <f aca="false">IFERROR(INDEX(分录收入!$F:$F,MATCH($L3654,分录收入!$L:$L,0)),"")</f>
        <v/>
      </c>
      <c r="F3654" s="68" t="str">
        <f aca="false">IFERROR(INDEX(分录收入!$H:$H,MATCH($L3654,分录收入!$L:$L,0)),"")</f>
        <v/>
      </c>
      <c r="G3654" s="69" t="str">
        <f aca="false">IFERROR(INDEX(分录收入!$I:$I,MATCH($L3654,分录收入!$L:$L,0)),"")</f>
        <v/>
      </c>
      <c r="H3654" s="23"/>
      <c r="I3654" s="70"/>
      <c r="L3654" s="71" t="n">
        <f aca="false">IF(助手收入!$R$245="",-1,助手收入!$R$245*100+(助手收入!$S$245-1)*6+4)</f>
        <v>-1</v>
      </c>
    </row>
    <row r="3655" customFormat="false" ht="23.25" hidden="false" customHeight="true" outlineLevel="0" collapsed="false">
      <c r="B3655" s="67" t="str">
        <f aca="false">""</f>
        <v/>
      </c>
      <c r="C3655" s="67"/>
      <c r="D3655" s="23" t="str">
        <f aca="false">IFERROR(INDEX(分录收入!$E:$E,MATCH($L3655,分录收入!$L:$L,0)),"")</f>
        <v/>
      </c>
      <c r="E3655" s="23" t="str">
        <f aca="false">IFERROR(INDEX(分录收入!$F:$F,MATCH($L3655,分录收入!$L:$L,0)),"")</f>
        <v/>
      </c>
      <c r="F3655" s="68" t="str">
        <f aca="false">IFERROR(INDEX(分录收入!$H:$H,MATCH($L3655,分录收入!$L:$L,0)),"")</f>
        <v/>
      </c>
      <c r="G3655" s="69" t="str">
        <f aca="false">IFERROR(INDEX(分录收入!$I:$I,MATCH($L3655,分录收入!$L:$L,0)),"")</f>
        <v/>
      </c>
      <c r="H3655" s="23"/>
      <c r="I3655" s="70"/>
      <c r="L3655" s="71" t="n">
        <f aca="false">IF(助手收入!$R$245="",-1,助手收入!$R$245*100+(助手收入!$S$245-1)*6+5)</f>
        <v>-1</v>
      </c>
    </row>
    <row r="3656" customFormat="false" ht="23.25" hidden="false" customHeight="true" outlineLevel="0" collapsed="false">
      <c r="B3656" s="67" t="str">
        <f aca="false">""</f>
        <v/>
      </c>
      <c r="C3656" s="67"/>
      <c r="D3656" s="23" t="str">
        <f aca="false">IFERROR(INDEX(分录收入!$E:$E,MATCH($L3656,分录收入!$L:$L,0)),"")</f>
        <v/>
      </c>
      <c r="E3656" s="23" t="str">
        <f aca="false">IFERROR(INDEX(分录收入!$F:$F,MATCH($L3656,分录收入!$L:$L,0)),"")</f>
        <v/>
      </c>
      <c r="F3656" s="68" t="str">
        <f aca="false">IFERROR(INDEX(分录收入!$H:$H,MATCH($L3656,分录收入!$L:$L,0)),"")</f>
        <v/>
      </c>
      <c r="G3656" s="69" t="str">
        <f aca="false">IFERROR(INDEX(分录收入!$I:$I,MATCH($L3656,分录收入!$L:$L,0)),"")</f>
        <v/>
      </c>
      <c r="H3656" s="23"/>
      <c r="I3656" s="70"/>
      <c r="L3656" s="71" t="n">
        <f aca="false">IF(助手收入!$R$245="",-1,助手收入!$R$245*100+(助手收入!$S$245-1)*6+6)</f>
        <v>-1</v>
      </c>
    </row>
    <row r="3657" customFormat="false" ht="23.25" hidden="false" customHeight="true" outlineLevel="0" collapsed="false">
      <c r="B3657" s="72" t="str">
        <f aca="false">IF(助手收入!$T$245=1,"合计：","")</f>
        <v/>
      </c>
      <c r="C3657" s="73" t="str">
        <f aca="false">IF(助手收入!$T$245=1,$F3657,"")</f>
        <v/>
      </c>
      <c r="D3657" s="74"/>
      <c r="E3657" s="74"/>
      <c r="F3657" s="75" t="str">
        <f aca="false">IF(助手收入!$T$245=1,INDEX(助手收入!$N$2:$N$66,助手收入!$R$245),"")</f>
        <v/>
      </c>
      <c r="G3657" s="76" t="str">
        <f aca="false">IF(助手收入!$T$245=1,INDEX(助手收入!$O$2:$O$66,助手收入!$R$245),"")</f>
        <v/>
      </c>
      <c r="H3657" s="74"/>
      <c r="I3657" s="77"/>
    </row>
    <row r="3658" customFormat="false" ht="6" hidden="false" customHeight="true" outlineLevel="0" collapsed="false"/>
    <row r="3659" customFormat="false" ht="13.5" hidden="false" customHeight="false" outlineLevel="0" collapsed="false">
      <c r="B3659" s="78" t="str">
        <f aca="false">IF(助手收入!$R$245&lt;&gt;"","会计主管：","")</f>
        <v/>
      </c>
      <c r="D3659" s="78" t="str">
        <f aca="false">IF(助手收入!$R$245&lt;&gt;"","会计：","")</f>
        <v/>
      </c>
      <c r="E3659" s="78" t="str">
        <f aca="false">IF(助手收入!$R$245&lt;&gt;"","出纳：","")</f>
        <v/>
      </c>
      <c r="F3659" s="78" t="str">
        <f aca="false">IF(助手收入!$R$245&lt;&gt;"","复核：","")</f>
        <v/>
      </c>
      <c r="G3659" s="78" t="str">
        <f aca="false">IF(助手收入!$R$245&lt;&gt;"","制单：","")</f>
        <v/>
      </c>
    </row>
    <row r="3660" customFormat="false" ht="3" hidden="false" customHeight="true" outlineLevel="0" collapsed="false"/>
    <row r="3661" customFormat="false" ht="19.5" hidden="false" customHeight="true" outlineLevel="0" collapsed="false">
      <c r="B3661" s="53" t="str">
        <f aca="false">IF(助手收入!$R$246&lt;&gt;"","记  账  凭  证","")</f>
        <v/>
      </c>
      <c r="C3661" s="53"/>
      <c r="D3661" s="53"/>
      <c r="E3661" s="53"/>
      <c r="F3661" s="53"/>
      <c r="G3661" s="53"/>
      <c r="H3661" s="53"/>
      <c r="I3661" s="53"/>
    </row>
    <row r="3662" customFormat="false" ht="3" hidden="false" customHeight="true" outlineLevel="0" collapsed="false"/>
    <row r="3663" customFormat="false" ht="15" hidden="false" customHeight="true" outlineLevel="0" collapsed="false">
      <c r="C3663" s="56" t="str">
        <f aca="false">IF(助手收入!$R$246&lt;&gt;"",INDEX(助手收入!$B$2:$B$66,助手收入!$R$246),"")</f>
        <v/>
      </c>
      <c r="D3663" s="57" t="str">
        <f aca="false">IF(助手收入!$R$246&lt;&gt;"",参数!$B$2,"")</f>
        <v/>
      </c>
      <c r="E3663" s="57"/>
      <c r="F3663" s="58" t="str">
        <f aca="false">IF(助手收入!$R$246&lt;&gt;"",INDEX(助手收入!$C$2:$C$66,助手收入!$R$246)&amp;"  字第 "&amp;IF(参数!$B$9="是",INDEX(助手收入!$P$2:$P$66,助手收入!$R$246),"　　　　")&amp;" 号"&amp;IF(INDEX(助手收入!$L$2:$L$66,助手收入!$R$246)&gt;1,"  (共"&amp;INDEX(助手收入!$L$2:$L$66,助手收入!$R$246)&amp;"页 第"&amp;助手收入!$S$246&amp;"页)",""),"")</f>
        <v/>
      </c>
      <c r="G3663" s="58"/>
      <c r="H3663" s="58"/>
      <c r="I3663" s="58"/>
      <c r="M3663" s="79" t="str">
        <f aca="false">IF(助手收入!$R$246="","",助手收入!$Q$246)</f>
        <v/>
      </c>
      <c r="N3663" s="80" t="str">
        <f aca="false">IF(助手收入!$R$246="","",INDEX(助手收入!$P$2:$P$66,助手收入!$R$246))</f>
        <v/>
      </c>
      <c r="O3663" s="55" t="str">
        <f aca="false">IF(助手收入!$R$246="","",INDEX(助手收入!$C$2:$C$66,助手收入!$R$246)&amp;"  字第 "&amp;INDEX(助手收入!$P$2:$P$66,助手收入!$R$246)&amp;" 号"&amp;IF(INDEX(助手收入!$L$2:$L$66,助手收入!$R$246)&gt;1,"  (共"&amp;INDEX(助手收入!$L$2:$L$66,助手收入!$R$246)&amp;"页 第"&amp;助手收入!$S$246&amp;"页)",""))</f>
        <v/>
      </c>
    </row>
    <row r="3664" customFormat="false" ht="12.75" hidden="false" customHeight="true" outlineLevel="0" collapsed="false">
      <c r="B3664" s="61" t="str">
        <f aca="false">IF(助手收入!$R$246&lt;&gt;"","摘　　要","")</f>
        <v/>
      </c>
      <c r="C3664" s="61"/>
      <c r="D3664" s="62" t="str">
        <f aca="false">IF(助手收入!$R$246&lt;&gt;"","科　　　　目","")</f>
        <v/>
      </c>
      <c r="E3664" s="62"/>
      <c r="F3664" s="61" t="str">
        <f aca="false">IF(助手收入!$R$246&lt;&gt;"","借 方 金 额","")</f>
        <v/>
      </c>
      <c r="G3664" s="62" t="str">
        <f aca="false">IF(助手收入!$R$246&lt;&gt;"","贷 方 金 额","")</f>
        <v/>
      </c>
      <c r="H3664" s="63" t="str">
        <f aca="false">IF(助手收入!$R$246&lt;&gt;"","√","")</f>
        <v/>
      </c>
      <c r="I3664" s="64" t="str">
        <f aca="false">IF(助手收入!$R$246&lt;&gt;"","附单据  张","")</f>
        <v/>
      </c>
    </row>
    <row r="3665" customFormat="false" ht="12.75" hidden="false" customHeight="true" outlineLevel="0" collapsed="false">
      <c r="B3665" s="61"/>
      <c r="C3665" s="61"/>
      <c r="D3665" s="23" t="str">
        <f aca="false">IF(助手收入!$R$246&lt;&gt;"","总 账 科 目","")</f>
        <v/>
      </c>
      <c r="E3665" s="23" t="str">
        <f aca="false">IF(助手收入!$R$246&lt;&gt;"","明 细 科 目","")</f>
        <v/>
      </c>
      <c r="F3665" s="65"/>
      <c r="G3665" s="66"/>
      <c r="H3665" s="63"/>
      <c r="I3665" s="64"/>
    </row>
    <row r="3666" customFormat="false" ht="23.25" hidden="false" customHeight="true" outlineLevel="0" collapsed="false">
      <c r="B3666" s="67" t="str">
        <f aca="false">IFERROR(INDEX(分录收入!$M:$M,MATCH($L3666,分录收入!$L:$L,0)),"")</f>
        <v/>
      </c>
      <c r="C3666" s="67"/>
      <c r="D3666" s="23" t="str">
        <f aca="false">IFERROR(INDEX(分录收入!$E:$E,MATCH($L3666,分录收入!$L:$L,0)),"")</f>
        <v/>
      </c>
      <c r="E3666" s="23" t="str">
        <f aca="false">IFERROR(INDEX(分录收入!$F:$F,MATCH($L3666,分录收入!$L:$L,0)),"")</f>
        <v/>
      </c>
      <c r="F3666" s="68" t="str">
        <f aca="false">IFERROR(INDEX(分录收入!$H:$H,MATCH($L3666,分录收入!$L:$L,0)),"")</f>
        <v/>
      </c>
      <c r="G3666" s="69" t="str">
        <f aca="false">IFERROR(INDEX(分录收入!$I:$I,MATCH($L3666,分录收入!$L:$L,0)),"")</f>
        <v/>
      </c>
      <c r="H3666" s="23"/>
      <c r="I3666" s="70"/>
      <c r="L3666" s="71" t="n">
        <f aca="false">IF(助手收入!$R$246="",-1,助手收入!$R$246*100+(助手收入!$S$246-1)*6+1)</f>
        <v>-1</v>
      </c>
    </row>
    <row r="3667" customFormat="false" ht="23.25" hidden="false" customHeight="true" outlineLevel="0" collapsed="false">
      <c r="B3667" s="67" t="str">
        <f aca="false">""</f>
        <v/>
      </c>
      <c r="C3667" s="67"/>
      <c r="D3667" s="23" t="str">
        <f aca="false">IFERROR(INDEX(分录收入!$E:$E,MATCH($L3667,分录收入!$L:$L,0)),"")</f>
        <v/>
      </c>
      <c r="E3667" s="23" t="str">
        <f aca="false">IFERROR(INDEX(分录收入!$F:$F,MATCH($L3667,分录收入!$L:$L,0)),"")</f>
        <v/>
      </c>
      <c r="F3667" s="68" t="str">
        <f aca="false">IFERROR(INDEX(分录收入!$H:$H,MATCH($L3667,分录收入!$L:$L,0)),"")</f>
        <v/>
      </c>
      <c r="G3667" s="69" t="str">
        <f aca="false">IFERROR(INDEX(分录收入!$I:$I,MATCH($L3667,分录收入!$L:$L,0)),"")</f>
        <v/>
      </c>
      <c r="H3667" s="23"/>
      <c r="I3667" s="70"/>
      <c r="L3667" s="71" t="n">
        <f aca="false">IF(助手收入!$R$246="",-1,助手收入!$R$246*100+(助手收入!$S$246-1)*6+2)</f>
        <v>-1</v>
      </c>
    </row>
    <row r="3668" customFormat="false" ht="23.25" hidden="false" customHeight="true" outlineLevel="0" collapsed="false">
      <c r="B3668" s="67" t="str">
        <f aca="false">""</f>
        <v/>
      </c>
      <c r="C3668" s="67"/>
      <c r="D3668" s="23" t="str">
        <f aca="false">IFERROR(INDEX(分录收入!$E:$E,MATCH($L3668,分录收入!$L:$L,0)),"")</f>
        <v/>
      </c>
      <c r="E3668" s="23" t="str">
        <f aca="false">IFERROR(INDEX(分录收入!$F:$F,MATCH($L3668,分录收入!$L:$L,0)),"")</f>
        <v/>
      </c>
      <c r="F3668" s="68" t="str">
        <f aca="false">IFERROR(INDEX(分录收入!$H:$H,MATCH($L3668,分录收入!$L:$L,0)),"")</f>
        <v/>
      </c>
      <c r="G3668" s="69" t="str">
        <f aca="false">IFERROR(INDEX(分录收入!$I:$I,MATCH($L3668,分录收入!$L:$L,0)),"")</f>
        <v/>
      </c>
      <c r="H3668" s="23"/>
      <c r="I3668" s="70"/>
      <c r="L3668" s="71" t="n">
        <f aca="false">IF(助手收入!$R$246="",-1,助手收入!$R$246*100+(助手收入!$S$246-1)*6+3)</f>
        <v>-1</v>
      </c>
    </row>
    <row r="3669" customFormat="false" ht="23.25" hidden="false" customHeight="true" outlineLevel="0" collapsed="false">
      <c r="B3669" s="67" t="str">
        <f aca="false">""</f>
        <v/>
      </c>
      <c r="C3669" s="67"/>
      <c r="D3669" s="23" t="str">
        <f aca="false">IFERROR(INDEX(分录收入!$E:$E,MATCH($L3669,分录收入!$L:$L,0)),"")</f>
        <v/>
      </c>
      <c r="E3669" s="23" t="str">
        <f aca="false">IFERROR(INDEX(分录收入!$F:$F,MATCH($L3669,分录收入!$L:$L,0)),"")</f>
        <v/>
      </c>
      <c r="F3669" s="68" t="str">
        <f aca="false">IFERROR(INDEX(分录收入!$H:$H,MATCH($L3669,分录收入!$L:$L,0)),"")</f>
        <v/>
      </c>
      <c r="G3669" s="69" t="str">
        <f aca="false">IFERROR(INDEX(分录收入!$I:$I,MATCH($L3669,分录收入!$L:$L,0)),"")</f>
        <v/>
      </c>
      <c r="H3669" s="23"/>
      <c r="I3669" s="70"/>
      <c r="L3669" s="71" t="n">
        <f aca="false">IF(助手收入!$R$246="",-1,助手收入!$R$246*100+(助手收入!$S$246-1)*6+4)</f>
        <v>-1</v>
      </c>
    </row>
    <row r="3670" customFormat="false" ht="23.25" hidden="false" customHeight="true" outlineLevel="0" collapsed="false">
      <c r="B3670" s="67" t="str">
        <f aca="false">""</f>
        <v/>
      </c>
      <c r="C3670" s="67"/>
      <c r="D3670" s="23" t="str">
        <f aca="false">IFERROR(INDEX(分录收入!$E:$E,MATCH($L3670,分录收入!$L:$L,0)),"")</f>
        <v/>
      </c>
      <c r="E3670" s="23" t="str">
        <f aca="false">IFERROR(INDEX(分录收入!$F:$F,MATCH($L3670,分录收入!$L:$L,0)),"")</f>
        <v/>
      </c>
      <c r="F3670" s="68" t="str">
        <f aca="false">IFERROR(INDEX(分录收入!$H:$H,MATCH($L3670,分录收入!$L:$L,0)),"")</f>
        <v/>
      </c>
      <c r="G3670" s="69" t="str">
        <f aca="false">IFERROR(INDEX(分录收入!$I:$I,MATCH($L3670,分录收入!$L:$L,0)),"")</f>
        <v/>
      </c>
      <c r="H3670" s="23"/>
      <c r="I3670" s="70"/>
      <c r="L3670" s="71" t="n">
        <f aca="false">IF(助手收入!$R$246="",-1,助手收入!$R$246*100+(助手收入!$S$246-1)*6+5)</f>
        <v>-1</v>
      </c>
    </row>
    <row r="3671" customFormat="false" ht="23.25" hidden="false" customHeight="true" outlineLevel="0" collapsed="false">
      <c r="B3671" s="67" t="str">
        <f aca="false">""</f>
        <v/>
      </c>
      <c r="C3671" s="67"/>
      <c r="D3671" s="23" t="str">
        <f aca="false">IFERROR(INDEX(分录收入!$E:$E,MATCH($L3671,分录收入!$L:$L,0)),"")</f>
        <v/>
      </c>
      <c r="E3671" s="23" t="str">
        <f aca="false">IFERROR(INDEX(分录收入!$F:$F,MATCH($L3671,分录收入!$L:$L,0)),"")</f>
        <v/>
      </c>
      <c r="F3671" s="68" t="str">
        <f aca="false">IFERROR(INDEX(分录收入!$H:$H,MATCH($L3671,分录收入!$L:$L,0)),"")</f>
        <v/>
      </c>
      <c r="G3671" s="69" t="str">
        <f aca="false">IFERROR(INDEX(分录收入!$I:$I,MATCH($L3671,分录收入!$L:$L,0)),"")</f>
        <v/>
      </c>
      <c r="H3671" s="23"/>
      <c r="I3671" s="70"/>
      <c r="L3671" s="71" t="n">
        <f aca="false">IF(助手收入!$R$246="",-1,助手收入!$R$246*100+(助手收入!$S$246-1)*6+6)</f>
        <v>-1</v>
      </c>
    </row>
    <row r="3672" customFormat="false" ht="23.25" hidden="false" customHeight="true" outlineLevel="0" collapsed="false">
      <c r="B3672" s="72" t="str">
        <f aca="false">IF(助手收入!$T$246=1,"合计：","")</f>
        <v/>
      </c>
      <c r="C3672" s="73" t="str">
        <f aca="false">IF(助手收入!$T$246=1,$F3672,"")</f>
        <v/>
      </c>
      <c r="D3672" s="74"/>
      <c r="E3672" s="74"/>
      <c r="F3672" s="75" t="str">
        <f aca="false">IF(助手收入!$T$246=1,INDEX(助手收入!$N$2:$N$66,助手收入!$R$246),"")</f>
        <v/>
      </c>
      <c r="G3672" s="76" t="str">
        <f aca="false">IF(助手收入!$T$246=1,INDEX(助手收入!$O$2:$O$66,助手收入!$R$246),"")</f>
        <v/>
      </c>
      <c r="H3672" s="74"/>
      <c r="I3672" s="77"/>
    </row>
    <row r="3673" customFormat="false" ht="6" hidden="false" customHeight="true" outlineLevel="0" collapsed="false"/>
    <row r="3674" customFormat="false" ht="13.5" hidden="false" customHeight="false" outlineLevel="0" collapsed="false">
      <c r="B3674" s="78" t="str">
        <f aca="false">IF(助手收入!$R$246&lt;&gt;"","会计主管：","")</f>
        <v/>
      </c>
      <c r="D3674" s="78" t="str">
        <f aca="false">IF(助手收入!$R$246&lt;&gt;"","会计：","")</f>
        <v/>
      </c>
      <c r="E3674" s="78" t="str">
        <f aca="false">IF(助手收入!$R$246&lt;&gt;"","出纳：","")</f>
        <v/>
      </c>
      <c r="F3674" s="78" t="str">
        <f aca="false">IF(助手收入!$R$246&lt;&gt;"","复核：","")</f>
        <v/>
      </c>
      <c r="G3674" s="78" t="str">
        <f aca="false">IF(助手收入!$R$246&lt;&gt;"","制单：","")</f>
        <v/>
      </c>
    </row>
    <row r="3675" customFormat="false" ht="3" hidden="false" customHeight="true" outlineLevel="0" collapsed="false"/>
    <row r="3676" customFormat="false" ht="19.5" hidden="false" customHeight="true" outlineLevel="0" collapsed="false">
      <c r="B3676" s="53" t="str">
        <f aca="false">IF(助手收入!$R$247&lt;&gt;"","记  账  凭  证","")</f>
        <v/>
      </c>
      <c r="C3676" s="53"/>
      <c r="D3676" s="53"/>
      <c r="E3676" s="53"/>
      <c r="F3676" s="53"/>
      <c r="G3676" s="53"/>
      <c r="H3676" s="53"/>
      <c r="I3676" s="53"/>
    </row>
    <row r="3677" customFormat="false" ht="3" hidden="false" customHeight="true" outlineLevel="0" collapsed="false"/>
    <row r="3678" customFormat="false" ht="15" hidden="false" customHeight="true" outlineLevel="0" collapsed="false">
      <c r="C3678" s="56" t="str">
        <f aca="false">IF(助手收入!$R$247&lt;&gt;"",INDEX(助手收入!$B$2:$B$66,助手收入!$R$247),"")</f>
        <v/>
      </c>
      <c r="D3678" s="57" t="str">
        <f aca="false">IF(助手收入!$R$247&lt;&gt;"",参数!$B$2,"")</f>
        <v/>
      </c>
      <c r="E3678" s="57"/>
      <c r="F3678" s="58" t="str">
        <f aca="false">IF(助手收入!$R$247&lt;&gt;"",INDEX(助手收入!$C$2:$C$66,助手收入!$R$247)&amp;"  字第 "&amp;IF(参数!$B$9="是",INDEX(助手收入!$P$2:$P$66,助手收入!$R$247),"　　　　")&amp;" 号"&amp;IF(INDEX(助手收入!$L$2:$L$66,助手收入!$R$247)&gt;1,"  (共"&amp;INDEX(助手收入!$L$2:$L$66,助手收入!$R$247)&amp;"页 第"&amp;助手收入!$S$247&amp;"页)",""),"")</f>
        <v/>
      </c>
      <c r="G3678" s="58"/>
      <c r="H3678" s="58"/>
      <c r="I3678" s="58"/>
      <c r="M3678" s="79" t="str">
        <f aca="false">IF(助手收入!$R$247="","",助手收入!$Q$247)</f>
        <v/>
      </c>
      <c r="N3678" s="80" t="str">
        <f aca="false">IF(助手收入!$R$247="","",INDEX(助手收入!$P$2:$P$66,助手收入!$R$247))</f>
        <v/>
      </c>
      <c r="O3678" s="55" t="str">
        <f aca="false">IF(助手收入!$R$247="","",INDEX(助手收入!$C$2:$C$66,助手收入!$R$247)&amp;"  字第 "&amp;INDEX(助手收入!$P$2:$P$66,助手收入!$R$247)&amp;" 号"&amp;IF(INDEX(助手收入!$L$2:$L$66,助手收入!$R$247)&gt;1,"  (共"&amp;INDEX(助手收入!$L$2:$L$66,助手收入!$R$247)&amp;"页 第"&amp;助手收入!$S$247&amp;"页)",""))</f>
        <v/>
      </c>
    </row>
    <row r="3679" customFormat="false" ht="12.75" hidden="false" customHeight="true" outlineLevel="0" collapsed="false">
      <c r="B3679" s="61" t="str">
        <f aca="false">IF(助手收入!$R$247&lt;&gt;"","摘　　要","")</f>
        <v/>
      </c>
      <c r="C3679" s="61"/>
      <c r="D3679" s="62" t="str">
        <f aca="false">IF(助手收入!$R$247&lt;&gt;"","科　　　　目","")</f>
        <v/>
      </c>
      <c r="E3679" s="62"/>
      <c r="F3679" s="61" t="str">
        <f aca="false">IF(助手收入!$R$247&lt;&gt;"","借 方 金 额","")</f>
        <v/>
      </c>
      <c r="G3679" s="62" t="str">
        <f aca="false">IF(助手收入!$R$247&lt;&gt;"","贷 方 金 额","")</f>
        <v/>
      </c>
      <c r="H3679" s="63" t="str">
        <f aca="false">IF(助手收入!$R$247&lt;&gt;"","√","")</f>
        <v/>
      </c>
      <c r="I3679" s="64" t="str">
        <f aca="false">IF(助手收入!$R$247&lt;&gt;"","附单据  张","")</f>
        <v/>
      </c>
    </row>
    <row r="3680" customFormat="false" ht="12.75" hidden="false" customHeight="true" outlineLevel="0" collapsed="false">
      <c r="B3680" s="61"/>
      <c r="C3680" s="61"/>
      <c r="D3680" s="23" t="str">
        <f aca="false">IF(助手收入!$R$247&lt;&gt;"","总 账 科 目","")</f>
        <v/>
      </c>
      <c r="E3680" s="23" t="str">
        <f aca="false">IF(助手收入!$R$247&lt;&gt;"","明 细 科 目","")</f>
        <v/>
      </c>
      <c r="F3680" s="65"/>
      <c r="G3680" s="66"/>
      <c r="H3680" s="63"/>
      <c r="I3680" s="64"/>
    </row>
    <row r="3681" customFormat="false" ht="23.25" hidden="false" customHeight="true" outlineLevel="0" collapsed="false">
      <c r="B3681" s="67" t="str">
        <f aca="false">IFERROR(INDEX(分录收入!$M:$M,MATCH($L3681,分录收入!$L:$L,0)),"")</f>
        <v/>
      </c>
      <c r="C3681" s="67"/>
      <c r="D3681" s="23" t="str">
        <f aca="false">IFERROR(INDEX(分录收入!$E:$E,MATCH($L3681,分录收入!$L:$L,0)),"")</f>
        <v/>
      </c>
      <c r="E3681" s="23" t="str">
        <f aca="false">IFERROR(INDEX(分录收入!$F:$F,MATCH($L3681,分录收入!$L:$L,0)),"")</f>
        <v/>
      </c>
      <c r="F3681" s="68" t="str">
        <f aca="false">IFERROR(INDEX(分录收入!$H:$H,MATCH($L3681,分录收入!$L:$L,0)),"")</f>
        <v/>
      </c>
      <c r="G3681" s="69" t="str">
        <f aca="false">IFERROR(INDEX(分录收入!$I:$I,MATCH($L3681,分录收入!$L:$L,0)),"")</f>
        <v/>
      </c>
      <c r="H3681" s="23"/>
      <c r="I3681" s="70"/>
      <c r="L3681" s="71" t="n">
        <f aca="false">IF(助手收入!$R$247="",-1,助手收入!$R$247*100+(助手收入!$S$247-1)*6+1)</f>
        <v>-1</v>
      </c>
    </row>
    <row r="3682" customFormat="false" ht="23.25" hidden="false" customHeight="true" outlineLevel="0" collapsed="false">
      <c r="B3682" s="67" t="str">
        <f aca="false">""</f>
        <v/>
      </c>
      <c r="C3682" s="67"/>
      <c r="D3682" s="23" t="str">
        <f aca="false">IFERROR(INDEX(分录收入!$E:$E,MATCH($L3682,分录收入!$L:$L,0)),"")</f>
        <v/>
      </c>
      <c r="E3682" s="23" t="str">
        <f aca="false">IFERROR(INDEX(分录收入!$F:$F,MATCH($L3682,分录收入!$L:$L,0)),"")</f>
        <v/>
      </c>
      <c r="F3682" s="68" t="str">
        <f aca="false">IFERROR(INDEX(分录收入!$H:$H,MATCH($L3682,分录收入!$L:$L,0)),"")</f>
        <v/>
      </c>
      <c r="G3682" s="69" t="str">
        <f aca="false">IFERROR(INDEX(分录收入!$I:$I,MATCH($L3682,分录收入!$L:$L,0)),"")</f>
        <v/>
      </c>
      <c r="H3682" s="23"/>
      <c r="I3682" s="70"/>
      <c r="L3682" s="71" t="n">
        <f aca="false">IF(助手收入!$R$247="",-1,助手收入!$R$247*100+(助手收入!$S$247-1)*6+2)</f>
        <v>-1</v>
      </c>
    </row>
    <row r="3683" customFormat="false" ht="23.25" hidden="false" customHeight="true" outlineLevel="0" collapsed="false">
      <c r="B3683" s="67" t="str">
        <f aca="false">""</f>
        <v/>
      </c>
      <c r="C3683" s="67"/>
      <c r="D3683" s="23" t="str">
        <f aca="false">IFERROR(INDEX(分录收入!$E:$E,MATCH($L3683,分录收入!$L:$L,0)),"")</f>
        <v/>
      </c>
      <c r="E3683" s="23" t="str">
        <f aca="false">IFERROR(INDEX(分录收入!$F:$F,MATCH($L3683,分录收入!$L:$L,0)),"")</f>
        <v/>
      </c>
      <c r="F3683" s="68" t="str">
        <f aca="false">IFERROR(INDEX(分录收入!$H:$H,MATCH($L3683,分录收入!$L:$L,0)),"")</f>
        <v/>
      </c>
      <c r="G3683" s="69" t="str">
        <f aca="false">IFERROR(INDEX(分录收入!$I:$I,MATCH($L3683,分录收入!$L:$L,0)),"")</f>
        <v/>
      </c>
      <c r="H3683" s="23"/>
      <c r="I3683" s="70"/>
      <c r="L3683" s="71" t="n">
        <f aca="false">IF(助手收入!$R$247="",-1,助手收入!$R$247*100+(助手收入!$S$247-1)*6+3)</f>
        <v>-1</v>
      </c>
    </row>
    <row r="3684" customFormat="false" ht="23.25" hidden="false" customHeight="true" outlineLevel="0" collapsed="false">
      <c r="B3684" s="67" t="str">
        <f aca="false">""</f>
        <v/>
      </c>
      <c r="C3684" s="67"/>
      <c r="D3684" s="23" t="str">
        <f aca="false">IFERROR(INDEX(分录收入!$E:$E,MATCH($L3684,分录收入!$L:$L,0)),"")</f>
        <v/>
      </c>
      <c r="E3684" s="23" t="str">
        <f aca="false">IFERROR(INDEX(分录收入!$F:$F,MATCH($L3684,分录收入!$L:$L,0)),"")</f>
        <v/>
      </c>
      <c r="F3684" s="68" t="str">
        <f aca="false">IFERROR(INDEX(分录收入!$H:$H,MATCH($L3684,分录收入!$L:$L,0)),"")</f>
        <v/>
      </c>
      <c r="G3684" s="69" t="str">
        <f aca="false">IFERROR(INDEX(分录收入!$I:$I,MATCH($L3684,分录收入!$L:$L,0)),"")</f>
        <v/>
      </c>
      <c r="H3684" s="23"/>
      <c r="I3684" s="70"/>
      <c r="L3684" s="71" t="n">
        <f aca="false">IF(助手收入!$R$247="",-1,助手收入!$R$247*100+(助手收入!$S$247-1)*6+4)</f>
        <v>-1</v>
      </c>
    </row>
    <row r="3685" customFormat="false" ht="23.25" hidden="false" customHeight="true" outlineLevel="0" collapsed="false">
      <c r="B3685" s="67" t="str">
        <f aca="false">""</f>
        <v/>
      </c>
      <c r="C3685" s="67"/>
      <c r="D3685" s="23" t="str">
        <f aca="false">IFERROR(INDEX(分录收入!$E:$E,MATCH($L3685,分录收入!$L:$L,0)),"")</f>
        <v/>
      </c>
      <c r="E3685" s="23" t="str">
        <f aca="false">IFERROR(INDEX(分录收入!$F:$F,MATCH($L3685,分录收入!$L:$L,0)),"")</f>
        <v/>
      </c>
      <c r="F3685" s="68" t="str">
        <f aca="false">IFERROR(INDEX(分录收入!$H:$H,MATCH($L3685,分录收入!$L:$L,0)),"")</f>
        <v/>
      </c>
      <c r="G3685" s="69" t="str">
        <f aca="false">IFERROR(INDEX(分录收入!$I:$I,MATCH($L3685,分录收入!$L:$L,0)),"")</f>
        <v/>
      </c>
      <c r="H3685" s="23"/>
      <c r="I3685" s="70"/>
      <c r="L3685" s="71" t="n">
        <f aca="false">IF(助手收入!$R$247="",-1,助手收入!$R$247*100+(助手收入!$S$247-1)*6+5)</f>
        <v>-1</v>
      </c>
    </row>
    <row r="3686" customFormat="false" ht="23.25" hidden="false" customHeight="true" outlineLevel="0" collapsed="false">
      <c r="B3686" s="67" t="str">
        <f aca="false">""</f>
        <v/>
      </c>
      <c r="C3686" s="67"/>
      <c r="D3686" s="23" t="str">
        <f aca="false">IFERROR(INDEX(分录收入!$E:$E,MATCH($L3686,分录收入!$L:$L,0)),"")</f>
        <v/>
      </c>
      <c r="E3686" s="23" t="str">
        <f aca="false">IFERROR(INDEX(分录收入!$F:$F,MATCH($L3686,分录收入!$L:$L,0)),"")</f>
        <v/>
      </c>
      <c r="F3686" s="68" t="str">
        <f aca="false">IFERROR(INDEX(分录收入!$H:$H,MATCH($L3686,分录收入!$L:$L,0)),"")</f>
        <v/>
      </c>
      <c r="G3686" s="69" t="str">
        <f aca="false">IFERROR(INDEX(分录收入!$I:$I,MATCH($L3686,分录收入!$L:$L,0)),"")</f>
        <v/>
      </c>
      <c r="H3686" s="23"/>
      <c r="I3686" s="70"/>
      <c r="L3686" s="71" t="n">
        <f aca="false">IF(助手收入!$R$247="",-1,助手收入!$R$247*100+(助手收入!$S$247-1)*6+6)</f>
        <v>-1</v>
      </c>
    </row>
    <row r="3687" customFormat="false" ht="23.25" hidden="false" customHeight="true" outlineLevel="0" collapsed="false">
      <c r="B3687" s="72" t="str">
        <f aca="false">IF(助手收入!$T$247=1,"合计：","")</f>
        <v/>
      </c>
      <c r="C3687" s="73" t="str">
        <f aca="false">IF(助手收入!$T$247=1,$F3687,"")</f>
        <v/>
      </c>
      <c r="D3687" s="74"/>
      <c r="E3687" s="74"/>
      <c r="F3687" s="75" t="str">
        <f aca="false">IF(助手收入!$T$247=1,INDEX(助手收入!$N$2:$N$66,助手收入!$R$247),"")</f>
        <v/>
      </c>
      <c r="G3687" s="76" t="str">
        <f aca="false">IF(助手收入!$T$247=1,INDEX(助手收入!$O$2:$O$66,助手收入!$R$247),"")</f>
        <v/>
      </c>
      <c r="H3687" s="74"/>
      <c r="I3687" s="77"/>
    </row>
    <row r="3688" customFormat="false" ht="6" hidden="false" customHeight="true" outlineLevel="0" collapsed="false"/>
    <row r="3689" customFormat="false" ht="13.5" hidden="false" customHeight="false" outlineLevel="0" collapsed="false">
      <c r="B3689" s="78" t="str">
        <f aca="false">IF(助手收入!$R$247&lt;&gt;"","会计主管：","")</f>
        <v/>
      </c>
      <c r="D3689" s="78" t="str">
        <f aca="false">IF(助手收入!$R$247&lt;&gt;"","会计：","")</f>
        <v/>
      </c>
      <c r="E3689" s="78" t="str">
        <f aca="false">IF(助手收入!$R$247&lt;&gt;"","出纳：","")</f>
        <v/>
      </c>
      <c r="F3689" s="78" t="str">
        <f aca="false">IF(助手收入!$R$247&lt;&gt;"","复核：","")</f>
        <v/>
      </c>
      <c r="G3689" s="78" t="str">
        <f aca="false">IF(助手收入!$R$247&lt;&gt;"","制单：","")</f>
        <v/>
      </c>
    </row>
    <row r="3690" customFormat="false" ht="3" hidden="false" customHeight="true" outlineLevel="0" collapsed="false"/>
    <row r="3691" customFormat="false" ht="19.5" hidden="false" customHeight="true" outlineLevel="0" collapsed="false">
      <c r="B3691" s="53" t="str">
        <f aca="false">IF(助手收入!$R$248&lt;&gt;"","记  账  凭  证","")</f>
        <v/>
      </c>
      <c r="C3691" s="53"/>
      <c r="D3691" s="53"/>
      <c r="E3691" s="53"/>
      <c r="F3691" s="53"/>
      <c r="G3691" s="53"/>
      <c r="H3691" s="53"/>
      <c r="I3691" s="53"/>
    </row>
    <row r="3692" customFormat="false" ht="3" hidden="false" customHeight="true" outlineLevel="0" collapsed="false"/>
    <row r="3693" customFormat="false" ht="15" hidden="false" customHeight="true" outlineLevel="0" collapsed="false">
      <c r="C3693" s="56" t="str">
        <f aca="false">IF(助手收入!$R$248&lt;&gt;"",INDEX(助手收入!$B$2:$B$66,助手收入!$R$248),"")</f>
        <v/>
      </c>
      <c r="D3693" s="57" t="str">
        <f aca="false">IF(助手收入!$R$248&lt;&gt;"",参数!$B$2,"")</f>
        <v/>
      </c>
      <c r="E3693" s="57"/>
      <c r="F3693" s="58" t="str">
        <f aca="false">IF(助手收入!$R$248&lt;&gt;"",INDEX(助手收入!$C$2:$C$66,助手收入!$R$248)&amp;"  字第 "&amp;IF(参数!$B$9="是",INDEX(助手收入!$P$2:$P$66,助手收入!$R$248),"　　　　")&amp;" 号"&amp;IF(INDEX(助手收入!$L$2:$L$66,助手收入!$R$248)&gt;1,"  (共"&amp;INDEX(助手收入!$L$2:$L$66,助手收入!$R$248)&amp;"页 第"&amp;助手收入!$S$248&amp;"页)",""),"")</f>
        <v/>
      </c>
      <c r="G3693" s="58"/>
      <c r="H3693" s="58"/>
      <c r="I3693" s="58"/>
      <c r="M3693" s="79" t="str">
        <f aca="false">IF(助手收入!$R$248="","",助手收入!$Q$248)</f>
        <v/>
      </c>
      <c r="N3693" s="80" t="str">
        <f aca="false">IF(助手收入!$R$248="","",INDEX(助手收入!$P$2:$P$66,助手收入!$R$248))</f>
        <v/>
      </c>
      <c r="O3693" s="55" t="str">
        <f aca="false">IF(助手收入!$R$248="","",INDEX(助手收入!$C$2:$C$66,助手收入!$R$248)&amp;"  字第 "&amp;INDEX(助手收入!$P$2:$P$66,助手收入!$R$248)&amp;" 号"&amp;IF(INDEX(助手收入!$L$2:$L$66,助手收入!$R$248)&gt;1,"  (共"&amp;INDEX(助手收入!$L$2:$L$66,助手收入!$R$248)&amp;"页 第"&amp;助手收入!$S$248&amp;"页)",""))</f>
        <v/>
      </c>
    </row>
    <row r="3694" customFormat="false" ht="12.75" hidden="false" customHeight="true" outlineLevel="0" collapsed="false">
      <c r="B3694" s="61" t="str">
        <f aca="false">IF(助手收入!$R$248&lt;&gt;"","摘　　要","")</f>
        <v/>
      </c>
      <c r="C3694" s="61"/>
      <c r="D3694" s="62" t="str">
        <f aca="false">IF(助手收入!$R$248&lt;&gt;"","科　　　　目","")</f>
        <v/>
      </c>
      <c r="E3694" s="62"/>
      <c r="F3694" s="61" t="str">
        <f aca="false">IF(助手收入!$R$248&lt;&gt;"","借 方 金 额","")</f>
        <v/>
      </c>
      <c r="G3694" s="62" t="str">
        <f aca="false">IF(助手收入!$R$248&lt;&gt;"","贷 方 金 额","")</f>
        <v/>
      </c>
      <c r="H3694" s="63" t="str">
        <f aca="false">IF(助手收入!$R$248&lt;&gt;"","√","")</f>
        <v/>
      </c>
      <c r="I3694" s="64" t="str">
        <f aca="false">IF(助手收入!$R$248&lt;&gt;"","附单据  张","")</f>
        <v/>
      </c>
    </row>
    <row r="3695" customFormat="false" ht="12.75" hidden="false" customHeight="true" outlineLevel="0" collapsed="false">
      <c r="B3695" s="61"/>
      <c r="C3695" s="61"/>
      <c r="D3695" s="23" t="str">
        <f aca="false">IF(助手收入!$R$248&lt;&gt;"","总 账 科 目","")</f>
        <v/>
      </c>
      <c r="E3695" s="23" t="str">
        <f aca="false">IF(助手收入!$R$248&lt;&gt;"","明 细 科 目","")</f>
        <v/>
      </c>
      <c r="F3695" s="65"/>
      <c r="G3695" s="66"/>
      <c r="H3695" s="63"/>
      <c r="I3695" s="64"/>
    </row>
    <row r="3696" customFormat="false" ht="23.25" hidden="false" customHeight="true" outlineLevel="0" collapsed="false">
      <c r="B3696" s="67" t="str">
        <f aca="false">IFERROR(INDEX(分录收入!$M:$M,MATCH($L3696,分录收入!$L:$L,0)),"")</f>
        <v/>
      </c>
      <c r="C3696" s="67"/>
      <c r="D3696" s="23" t="str">
        <f aca="false">IFERROR(INDEX(分录收入!$E:$E,MATCH($L3696,分录收入!$L:$L,0)),"")</f>
        <v/>
      </c>
      <c r="E3696" s="23" t="str">
        <f aca="false">IFERROR(INDEX(分录收入!$F:$F,MATCH($L3696,分录收入!$L:$L,0)),"")</f>
        <v/>
      </c>
      <c r="F3696" s="68" t="str">
        <f aca="false">IFERROR(INDEX(分录收入!$H:$H,MATCH($L3696,分录收入!$L:$L,0)),"")</f>
        <v/>
      </c>
      <c r="G3696" s="69" t="str">
        <f aca="false">IFERROR(INDEX(分录收入!$I:$I,MATCH($L3696,分录收入!$L:$L,0)),"")</f>
        <v/>
      </c>
      <c r="H3696" s="23"/>
      <c r="I3696" s="70"/>
      <c r="L3696" s="71" t="n">
        <f aca="false">IF(助手收入!$R$248="",-1,助手收入!$R$248*100+(助手收入!$S$248-1)*6+1)</f>
        <v>-1</v>
      </c>
    </row>
    <row r="3697" customFormat="false" ht="23.25" hidden="false" customHeight="true" outlineLevel="0" collapsed="false">
      <c r="B3697" s="67" t="str">
        <f aca="false">""</f>
        <v/>
      </c>
      <c r="C3697" s="67"/>
      <c r="D3697" s="23" t="str">
        <f aca="false">IFERROR(INDEX(分录收入!$E:$E,MATCH($L3697,分录收入!$L:$L,0)),"")</f>
        <v/>
      </c>
      <c r="E3697" s="23" t="str">
        <f aca="false">IFERROR(INDEX(分录收入!$F:$F,MATCH($L3697,分录收入!$L:$L,0)),"")</f>
        <v/>
      </c>
      <c r="F3697" s="68" t="str">
        <f aca="false">IFERROR(INDEX(分录收入!$H:$H,MATCH($L3697,分录收入!$L:$L,0)),"")</f>
        <v/>
      </c>
      <c r="G3697" s="69" t="str">
        <f aca="false">IFERROR(INDEX(分录收入!$I:$I,MATCH($L3697,分录收入!$L:$L,0)),"")</f>
        <v/>
      </c>
      <c r="H3697" s="23"/>
      <c r="I3697" s="70"/>
      <c r="L3697" s="71" t="n">
        <f aca="false">IF(助手收入!$R$248="",-1,助手收入!$R$248*100+(助手收入!$S$248-1)*6+2)</f>
        <v>-1</v>
      </c>
    </row>
    <row r="3698" customFormat="false" ht="23.25" hidden="false" customHeight="true" outlineLevel="0" collapsed="false">
      <c r="B3698" s="67" t="str">
        <f aca="false">""</f>
        <v/>
      </c>
      <c r="C3698" s="67"/>
      <c r="D3698" s="23" t="str">
        <f aca="false">IFERROR(INDEX(分录收入!$E:$E,MATCH($L3698,分录收入!$L:$L,0)),"")</f>
        <v/>
      </c>
      <c r="E3698" s="23" t="str">
        <f aca="false">IFERROR(INDEX(分录收入!$F:$F,MATCH($L3698,分录收入!$L:$L,0)),"")</f>
        <v/>
      </c>
      <c r="F3698" s="68" t="str">
        <f aca="false">IFERROR(INDEX(分录收入!$H:$H,MATCH($L3698,分录收入!$L:$L,0)),"")</f>
        <v/>
      </c>
      <c r="G3698" s="69" t="str">
        <f aca="false">IFERROR(INDEX(分录收入!$I:$I,MATCH($L3698,分录收入!$L:$L,0)),"")</f>
        <v/>
      </c>
      <c r="H3698" s="23"/>
      <c r="I3698" s="70"/>
      <c r="L3698" s="71" t="n">
        <f aca="false">IF(助手收入!$R$248="",-1,助手收入!$R$248*100+(助手收入!$S$248-1)*6+3)</f>
        <v>-1</v>
      </c>
    </row>
    <row r="3699" customFormat="false" ht="23.25" hidden="false" customHeight="true" outlineLevel="0" collapsed="false">
      <c r="B3699" s="67" t="str">
        <f aca="false">""</f>
        <v/>
      </c>
      <c r="C3699" s="67"/>
      <c r="D3699" s="23" t="str">
        <f aca="false">IFERROR(INDEX(分录收入!$E:$E,MATCH($L3699,分录收入!$L:$L,0)),"")</f>
        <v/>
      </c>
      <c r="E3699" s="23" t="str">
        <f aca="false">IFERROR(INDEX(分录收入!$F:$F,MATCH($L3699,分录收入!$L:$L,0)),"")</f>
        <v/>
      </c>
      <c r="F3699" s="68" t="str">
        <f aca="false">IFERROR(INDEX(分录收入!$H:$H,MATCH($L3699,分录收入!$L:$L,0)),"")</f>
        <v/>
      </c>
      <c r="G3699" s="69" t="str">
        <f aca="false">IFERROR(INDEX(分录收入!$I:$I,MATCH($L3699,分录收入!$L:$L,0)),"")</f>
        <v/>
      </c>
      <c r="H3699" s="23"/>
      <c r="I3699" s="70"/>
      <c r="L3699" s="71" t="n">
        <f aca="false">IF(助手收入!$R$248="",-1,助手收入!$R$248*100+(助手收入!$S$248-1)*6+4)</f>
        <v>-1</v>
      </c>
    </row>
    <row r="3700" customFormat="false" ht="23.25" hidden="false" customHeight="true" outlineLevel="0" collapsed="false">
      <c r="B3700" s="67" t="str">
        <f aca="false">""</f>
        <v/>
      </c>
      <c r="C3700" s="67"/>
      <c r="D3700" s="23" t="str">
        <f aca="false">IFERROR(INDEX(分录收入!$E:$E,MATCH($L3700,分录收入!$L:$L,0)),"")</f>
        <v/>
      </c>
      <c r="E3700" s="23" t="str">
        <f aca="false">IFERROR(INDEX(分录收入!$F:$F,MATCH($L3700,分录收入!$L:$L,0)),"")</f>
        <v/>
      </c>
      <c r="F3700" s="68" t="str">
        <f aca="false">IFERROR(INDEX(分录收入!$H:$H,MATCH($L3700,分录收入!$L:$L,0)),"")</f>
        <v/>
      </c>
      <c r="G3700" s="69" t="str">
        <f aca="false">IFERROR(INDEX(分录收入!$I:$I,MATCH($L3700,分录收入!$L:$L,0)),"")</f>
        <v/>
      </c>
      <c r="H3700" s="23"/>
      <c r="I3700" s="70"/>
      <c r="L3700" s="71" t="n">
        <f aca="false">IF(助手收入!$R$248="",-1,助手收入!$R$248*100+(助手收入!$S$248-1)*6+5)</f>
        <v>-1</v>
      </c>
    </row>
    <row r="3701" customFormat="false" ht="23.25" hidden="false" customHeight="true" outlineLevel="0" collapsed="false">
      <c r="B3701" s="67" t="str">
        <f aca="false">""</f>
        <v/>
      </c>
      <c r="C3701" s="67"/>
      <c r="D3701" s="23" t="str">
        <f aca="false">IFERROR(INDEX(分录收入!$E:$E,MATCH($L3701,分录收入!$L:$L,0)),"")</f>
        <v/>
      </c>
      <c r="E3701" s="23" t="str">
        <f aca="false">IFERROR(INDEX(分录收入!$F:$F,MATCH($L3701,分录收入!$L:$L,0)),"")</f>
        <v/>
      </c>
      <c r="F3701" s="68" t="str">
        <f aca="false">IFERROR(INDEX(分录收入!$H:$H,MATCH($L3701,分录收入!$L:$L,0)),"")</f>
        <v/>
      </c>
      <c r="G3701" s="69" t="str">
        <f aca="false">IFERROR(INDEX(分录收入!$I:$I,MATCH($L3701,分录收入!$L:$L,0)),"")</f>
        <v/>
      </c>
      <c r="H3701" s="23"/>
      <c r="I3701" s="70"/>
      <c r="L3701" s="71" t="n">
        <f aca="false">IF(助手收入!$R$248="",-1,助手收入!$R$248*100+(助手收入!$S$248-1)*6+6)</f>
        <v>-1</v>
      </c>
    </row>
    <row r="3702" customFormat="false" ht="23.25" hidden="false" customHeight="true" outlineLevel="0" collapsed="false">
      <c r="B3702" s="72" t="str">
        <f aca="false">IF(助手收入!$T$248=1,"合计：","")</f>
        <v/>
      </c>
      <c r="C3702" s="73" t="str">
        <f aca="false">IF(助手收入!$T$248=1,$F3702,"")</f>
        <v/>
      </c>
      <c r="D3702" s="74"/>
      <c r="E3702" s="74"/>
      <c r="F3702" s="75" t="str">
        <f aca="false">IF(助手收入!$T$248=1,INDEX(助手收入!$N$2:$N$66,助手收入!$R$248),"")</f>
        <v/>
      </c>
      <c r="G3702" s="76" t="str">
        <f aca="false">IF(助手收入!$T$248=1,INDEX(助手收入!$O$2:$O$66,助手收入!$R$248),"")</f>
        <v/>
      </c>
      <c r="H3702" s="74"/>
      <c r="I3702" s="77"/>
    </row>
    <row r="3703" customFormat="false" ht="6" hidden="false" customHeight="true" outlineLevel="0" collapsed="false"/>
    <row r="3704" customFormat="false" ht="13.5" hidden="false" customHeight="false" outlineLevel="0" collapsed="false">
      <c r="B3704" s="78" t="str">
        <f aca="false">IF(助手收入!$R$248&lt;&gt;"","会计主管：","")</f>
        <v/>
      </c>
      <c r="D3704" s="78" t="str">
        <f aca="false">IF(助手收入!$R$248&lt;&gt;"","会计：","")</f>
        <v/>
      </c>
      <c r="E3704" s="78" t="str">
        <f aca="false">IF(助手收入!$R$248&lt;&gt;"","出纳：","")</f>
        <v/>
      </c>
      <c r="F3704" s="78" t="str">
        <f aca="false">IF(助手收入!$R$248&lt;&gt;"","复核：","")</f>
        <v/>
      </c>
      <c r="G3704" s="78" t="str">
        <f aca="false">IF(助手收入!$R$248&lt;&gt;"","制单：","")</f>
        <v/>
      </c>
    </row>
    <row r="3705" customFormat="false" ht="3" hidden="false" customHeight="true" outlineLevel="0" collapsed="false"/>
    <row r="3706" customFormat="false" ht="19.5" hidden="false" customHeight="true" outlineLevel="0" collapsed="false">
      <c r="B3706" s="53" t="str">
        <f aca="false">IF(助手收入!$R$249&lt;&gt;"","记  账  凭  证","")</f>
        <v/>
      </c>
      <c r="C3706" s="53"/>
      <c r="D3706" s="53"/>
      <c r="E3706" s="53"/>
      <c r="F3706" s="53"/>
      <c r="G3706" s="53"/>
      <c r="H3706" s="53"/>
      <c r="I3706" s="53"/>
    </row>
    <row r="3707" customFormat="false" ht="3" hidden="false" customHeight="true" outlineLevel="0" collapsed="false"/>
    <row r="3708" customFormat="false" ht="15" hidden="false" customHeight="true" outlineLevel="0" collapsed="false">
      <c r="C3708" s="56" t="str">
        <f aca="false">IF(助手收入!$R$249&lt;&gt;"",INDEX(助手收入!$B$2:$B$66,助手收入!$R$249),"")</f>
        <v/>
      </c>
      <c r="D3708" s="57" t="str">
        <f aca="false">IF(助手收入!$R$249&lt;&gt;"",参数!$B$2,"")</f>
        <v/>
      </c>
      <c r="E3708" s="57"/>
      <c r="F3708" s="58" t="str">
        <f aca="false">IF(助手收入!$R$249&lt;&gt;"",INDEX(助手收入!$C$2:$C$66,助手收入!$R$249)&amp;"  字第 "&amp;IF(参数!$B$9="是",INDEX(助手收入!$P$2:$P$66,助手收入!$R$249),"　　　　")&amp;" 号"&amp;IF(INDEX(助手收入!$L$2:$L$66,助手收入!$R$249)&gt;1,"  (共"&amp;INDEX(助手收入!$L$2:$L$66,助手收入!$R$249)&amp;"页 第"&amp;助手收入!$S$249&amp;"页)",""),"")</f>
        <v/>
      </c>
      <c r="G3708" s="58"/>
      <c r="H3708" s="58"/>
      <c r="I3708" s="58"/>
      <c r="M3708" s="79" t="str">
        <f aca="false">IF(助手收入!$R$249="","",助手收入!$Q$249)</f>
        <v/>
      </c>
      <c r="N3708" s="80" t="str">
        <f aca="false">IF(助手收入!$R$249="","",INDEX(助手收入!$P$2:$P$66,助手收入!$R$249))</f>
        <v/>
      </c>
      <c r="O3708" s="55" t="str">
        <f aca="false">IF(助手收入!$R$249="","",INDEX(助手收入!$C$2:$C$66,助手收入!$R$249)&amp;"  字第 "&amp;INDEX(助手收入!$P$2:$P$66,助手收入!$R$249)&amp;" 号"&amp;IF(INDEX(助手收入!$L$2:$L$66,助手收入!$R$249)&gt;1,"  (共"&amp;INDEX(助手收入!$L$2:$L$66,助手收入!$R$249)&amp;"页 第"&amp;助手收入!$S$249&amp;"页)",""))</f>
        <v/>
      </c>
    </row>
    <row r="3709" customFormat="false" ht="12.75" hidden="false" customHeight="true" outlineLevel="0" collapsed="false">
      <c r="B3709" s="61" t="str">
        <f aca="false">IF(助手收入!$R$249&lt;&gt;"","摘　　要","")</f>
        <v/>
      </c>
      <c r="C3709" s="61"/>
      <c r="D3709" s="62" t="str">
        <f aca="false">IF(助手收入!$R$249&lt;&gt;"","科　　　　目","")</f>
        <v/>
      </c>
      <c r="E3709" s="62"/>
      <c r="F3709" s="61" t="str">
        <f aca="false">IF(助手收入!$R$249&lt;&gt;"","借 方 金 额","")</f>
        <v/>
      </c>
      <c r="G3709" s="62" t="str">
        <f aca="false">IF(助手收入!$R$249&lt;&gt;"","贷 方 金 额","")</f>
        <v/>
      </c>
      <c r="H3709" s="63" t="str">
        <f aca="false">IF(助手收入!$R$249&lt;&gt;"","√","")</f>
        <v/>
      </c>
      <c r="I3709" s="64" t="str">
        <f aca="false">IF(助手收入!$R$249&lt;&gt;"","附单据  张","")</f>
        <v/>
      </c>
    </row>
    <row r="3710" customFormat="false" ht="12.75" hidden="false" customHeight="true" outlineLevel="0" collapsed="false">
      <c r="B3710" s="61"/>
      <c r="C3710" s="61"/>
      <c r="D3710" s="23" t="str">
        <f aca="false">IF(助手收入!$R$249&lt;&gt;"","总 账 科 目","")</f>
        <v/>
      </c>
      <c r="E3710" s="23" t="str">
        <f aca="false">IF(助手收入!$R$249&lt;&gt;"","明 细 科 目","")</f>
        <v/>
      </c>
      <c r="F3710" s="65"/>
      <c r="G3710" s="66"/>
      <c r="H3710" s="63"/>
      <c r="I3710" s="64"/>
    </row>
    <row r="3711" customFormat="false" ht="23.25" hidden="false" customHeight="true" outlineLevel="0" collapsed="false">
      <c r="B3711" s="67" t="str">
        <f aca="false">IFERROR(INDEX(分录收入!$M:$M,MATCH($L3711,分录收入!$L:$L,0)),"")</f>
        <v/>
      </c>
      <c r="C3711" s="67"/>
      <c r="D3711" s="23" t="str">
        <f aca="false">IFERROR(INDEX(分录收入!$E:$E,MATCH($L3711,分录收入!$L:$L,0)),"")</f>
        <v/>
      </c>
      <c r="E3711" s="23" t="str">
        <f aca="false">IFERROR(INDEX(分录收入!$F:$F,MATCH($L3711,分录收入!$L:$L,0)),"")</f>
        <v/>
      </c>
      <c r="F3711" s="68" t="str">
        <f aca="false">IFERROR(INDEX(分录收入!$H:$H,MATCH($L3711,分录收入!$L:$L,0)),"")</f>
        <v/>
      </c>
      <c r="G3711" s="69" t="str">
        <f aca="false">IFERROR(INDEX(分录收入!$I:$I,MATCH($L3711,分录收入!$L:$L,0)),"")</f>
        <v/>
      </c>
      <c r="H3711" s="23"/>
      <c r="I3711" s="70"/>
      <c r="L3711" s="71" t="n">
        <f aca="false">IF(助手收入!$R$249="",-1,助手收入!$R$249*100+(助手收入!$S$249-1)*6+1)</f>
        <v>-1</v>
      </c>
    </row>
    <row r="3712" customFormat="false" ht="23.25" hidden="false" customHeight="true" outlineLevel="0" collapsed="false">
      <c r="B3712" s="67" t="str">
        <f aca="false">""</f>
        <v/>
      </c>
      <c r="C3712" s="67"/>
      <c r="D3712" s="23" t="str">
        <f aca="false">IFERROR(INDEX(分录收入!$E:$E,MATCH($L3712,分录收入!$L:$L,0)),"")</f>
        <v/>
      </c>
      <c r="E3712" s="23" t="str">
        <f aca="false">IFERROR(INDEX(分录收入!$F:$F,MATCH($L3712,分录收入!$L:$L,0)),"")</f>
        <v/>
      </c>
      <c r="F3712" s="68" t="str">
        <f aca="false">IFERROR(INDEX(分录收入!$H:$H,MATCH($L3712,分录收入!$L:$L,0)),"")</f>
        <v/>
      </c>
      <c r="G3712" s="69" t="str">
        <f aca="false">IFERROR(INDEX(分录收入!$I:$I,MATCH($L3712,分录收入!$L:$L,0)),"")</f>
        <v/>
      </c>
      <c r="H3712" s="23"/>
      <c r="I3712" s="70"/>
      <c r="L3712" s="71" t="n">
        <f aca="false">IF(助手收入!$R$249="",-1,助手收入!$R$249*100+(助手收入!$S$249-1)*6+2)</f>
        <v>-1</v>
      </c>
    </row>
    <row r="3713" customFormat="false" ht="23.25" hidden="false" customHeight="true" outlineLevel="0" collapsed="false">
      <c r="B3713" s="67" t="str">
        <f aca="false">""</f>
        <v/>
      </c>
      <c r="C3713" s="67"/>
      <c r="D3713" s="23" t="str">
        <f aca="false">IFERROR(INDEX(分录收入!$E:$E,MATCH($L3713,分录收入!$L:$L,0)),"")</f>
        <v/>
      </c>
      <c r="E3713" s="23" t="str">
        <f aca="false">IFERROR(INDEX(分录收入!$F:$F,MATCH($L3713,分录收入!$L:$L,0)),"")</f>
        <v/>
      </c>
      <c r="F3713" s="68" t="str">
        <f aca="false">IFERROR(INDEX(分录收入!$H:$H,MATCH($L3713,分录收入!$L:$L,0)),"")</f>
        <v/>
      </c>
      <c r="G3713" s="69" t="str">
        <f aca="false">IFERROR(INDEX(分录收入!$I:$I,MATCH($L3713,分录收入!$L:$L,0)),"")</f>
        <v/>
      </c>
      <c r="H3713" s="23"/>
      <c r="I3713" s="70"/>
      <c r="L3713" s="71" t="n">
        <f aca="false">IF(助手收入!$R$249="",-1,助手收入!$R$249*100+(助手收入!$S$249-1)*6+3)</f>
        <v>-1</v>
      </c>
    </row>
    <row r="3714" customFormat="false" ht="23.25" hidden="false" customHeight="true" outlineLevel="0" collapsed="false">
      <c r="B3714" s="67" t="str">
        <f aca="false">""</f>
        <v/>
      </c>
      <c r="C3714" s="67"/>
      <c r="D3714" s="23" t="str">
        <f aca="false">IFERROR(INDEX(分录收入!$E:$E,MATCH($L3714,分录收入!$L:$L,0)),"")</f>
        <v/>
      </c>
      <c r="E3714" s="23" t="str">
        <f aca="false">IFERROR(INDEX(分录收入!$F:$F,MATCH($L3714,分录收入!$L:$L,0)),"")</f>
        <v/>
      </c>
      <c r="F3714" s="68" t="str">
        <f aca="false">IFERROR(INDEX(分录收入!$H:$H,MATCH($L3714,分录收入!$L:$L,0)),"")</f>
        <v/>
      </c>
      <c r="G3714" s="69" t="str">
        <f aca="false">IFERROR(INDEX(分录收入!$I:$I,MATCH($L3714,分录收入!$L:$L,0)),"")</f>
        <v/>
      </c>
      <c r="H3714" s="23"/>
      <c r="I3714" s="70"/>
      <c r="L3714" s="71" t="n">
        <f aca="false">IF(助手收入!$R$249="",-1,助手收入!$R$249*100+(助手收入!$S$249-1)*6+4)</f>
        <v>-1</v>
      </c>
    </row>
    <row r="3715" customFormat="false" ht="23.25" hidden="false" customHeight="true" outlineLevel="0" collapsed="false">
      <c r="B3715" s="67" t="str">
        <f aca="false">""</f>
        <v/>
      </c>
      <c r="C3715" s="67"/>
      <c r="D3715" s="23" t="str">
        <f aca="false">IFERROR(INDEX(分录收入!$E:$E,MATCH($L3715,分录收入!$L:$L,0)),"")</f>
        <v/>
      </c>
      <c r="E3715" s="23" t="str">
        <f aca="false">IFERROR(INDEX(分录收入!$F:$F,MATCH($L3715,分录收入!$L:$L,0)),"")</f>
        <v/>
      </c>
      <c r="F3715" s="68" t="str">
        <f aca="false">IFERROR(INDEX(分录收入!$H:$H,MATCH($L3715,分录收入!$L:$L,0)),"")</f>
        <v/>
      </c>
      <c r="G3715" s="69" t="str">
        <f aca="false">IFERROR(INDEX(分录收入!$I:$I,MATCH($L3715,分录收入!$L:$L,0)),"")</f>
        <v/>
      </c>
      <c r="H3715" s="23"/>
      <c r="I3715" s="70"/>
      <c r="L3715" s="71" t="n">
        <f aca="false">IF(助手收入!$R$249="",-1,助手收入!$R$249*100+(助手收入!$S$249-1)*6+5)</f>
        <v>-1</v>
      </c>
    </row>
    <row r="3716" customFormat="false" ht="23.25" hidden="false" customHeight="true" outlineLevel="0" collapsed="false">
      <c r="B3716" s="67" t="str">
        <f aca="false">""</f>
        <v/>
      </c>
      <c r="C3716" s="67"/>
      <c r="D3716" s="23" t="str">
        <f aca="false">IFERROR(INDEX(分录收入!$E:$E,MATCH($L3716,分录收入!$L:$L,0)),"")</f>
        <v/>
      </c>
      <c r="E3716" s="23" t="str">
        <f aca="false">IFERROR(INDEX(分录收入!$F:$F,MATCH($L3716,分录收入!$L:$L,0)),"")</f>
        <v/>
      </c>
      <c r="F3716" s="68" t="str">
        <f aca="false">IFERROR(INDEX(分录收入!$H:$H,MATCH($L3716,分录收入!$L:$L,0)),"")</f>
        <v/>
      </c>
      <c r="G3716" s="69" t="str">
        <f aca="false">IFERROR(INDEX(分录收入!$I:$I,MATCH($L3716,分录收入!$L:$L,0)),"")</f>
        <v/>
      </c>
      <c r="H3716" s="23"/>
      <c r="I3716" s="70"/>
      <c r="L3716" s="71" t="n">
        <f aca="false">IF(助手收入!$R$249="",-1,助手收入!$R$249*100+(助手收入!$S$249-1)*6+6)</f>
        <v>-1</v>
      </c>
    </row>
    <row r="3717" customFormat="false" ht="23.25" hidden="false" customHeight="true" outlineLevel="0" collapsed="false">
      <c r="B3717" s="72" t="str">
        <f aca="false">IF(助手收入!$T$249=1,"合计：","")</f>
        <v/>
      </c>
      <c r="C3717" s="73" t="str">
        <f aca="false">IF(助手收入!$T$249=1,$F3717,"")</f>
        <v/>
      </c>
      <c r="D3717" s="74"/>
      <c r="E3717" s="74"/>
      <c r="F3717" s="75" t="str">
        <f aca="false">IF(助手收入!$T$249=1,INDEX(助手收入!$N$2:$N$66,助手收入!$R$249),"")</f>
        <v/>
      </c>
      <c r="G3717" s="76" t="str">
        <f aca="false">IF(助手收入!$T$249=1,INDEX(助手收入!$O$2:$O$66,助手收入!$R$249),"")</f>
        <v/>
      </c>
      <c r="H3717" s="74"/>
      <c r="I3717" s="77"/>
    </row>
    <row r="3718" customFormat="false" ht="6" hidden="false" customHeight="true" outlineLevel="0" collapsed="false"/>
    <row r="3719" customFormat="false" ht="13.5" hidden="false" customHeight="false" outlineLevel="0" collapsed="false">
      <c r="B3719" s="78" t="str">
        <f aca="false">IF(助手收入!$R$249&lt;&gt;"","会计主管：","")</f>
        <v/>
      </c>
      <c r="D3719" s="78" t="str">
        <f aca="false">IF(助手收入!$R$249&lt;&gt;"","会计：","")</f>
        <v/>
      </c>
      <c r="E3719" s="78" t="str">
        <f aca="false">IF(助手收入!$R$249&lt;&gt;"","出纳：","")</f>
        <v/>
      </c>
      <c r="F3719" s="78" t="str">
        <f aca="false">IF(助手收入!$R$249&lt;&gt;"","复核：","")</f>
        <v/>
      </c>
      <c r="G3719" s="78" t="str">
        <f aca="false">IF(助手收入!$R$249&lt;&gt;"","制单：","")</f>
        <v/>
      </c>
    </row>
    <row r="3720" customFormat="false" ht="3" hidden="false" customHeight="true" outlineLevel="0" collapsed="false"/>
    <row r="3721" customFormat="false" ht="19.5" hidden="false" customHeight="true" outlineLevel="0" collapsed="false">
      <c r="B3721" s="53" t="str">
        <f aca="false">IF(助手收入!$R$250&lt;&gt;"","记  账  凭  证","")</f>
        <v/>
      </c>
      <c r="C3721" s="53"/>
      <c r="D3721" s="53"/>
      <c r="E3721" s="53"/>
      <c r="F3721" s="53"/>
      <c r="G3721" s="53"/>
      <c r="H3721" s="53"/>
      <c r="I3721" s="53"/>
    </row>
    <row r="3722" customFormat="false" ht="3" hidden="false" customHeight="true" outlineLevel="0" collapsed="false"/>
    <row r="3723" customFormat="false" ht="15" hidden="false" customHeight="true" outlineLevel="0" collapsed="false">
      <c r="C3723" s="56" t="str">
        <f aca="false">IF(助手收入!$R$250&lt;&gt;"",INDEX(助手收入!$B$2:$B$66,助手收入!$R$250),"")</f>
        <v/>
      </c>
      <c r="D3723" s="57" t="str">
        <f aca="false">IF(助手收入!$R$250&lt;&gt;"",参数!$B$2,"")</f>
        <v/>
      </c>
      <c r="E3723" s="57"/>
      <c r="F3723" s="58" t="str">
        <f aca="false">IF(助手收入!$R$250&lt;&gt;"",INDEX(助手收入!$C$2:$C$66,助手收入!$R$250)&amp;"  字第 "&amp;IF(参数!$B$9="是",INDEX(助手收入!$P$2:$P$66,助手收入!$R$250),"　　　　")&amp;" 号"&amp;IF(INDEX(助手收入!$L$2:$L$66,助手收入!$R$250)&gt;1,"  (共"&amp;INDEX(助手收入!$L$2:$L$66,助手收入!$R$250)&amp;"页 第"&amp;助手收入!$S$250&amp;"页)",""),"")</f>
        <v/>
      </c>
      <c r="G3723" s="58"/>
      <c r="H3723" s="58"/>
      <c r="I3723" s="58"/>
      <c r="M3723" s="79" t="str">
        <f aca="false">IF(助手收入!$R$250="","",助手收入!$Q$250)</f>
        <v/>
      </c>
      <c r="N3723" s="80" t="str">
        <f aca="false">IF(助手收入!$R$250="","",INDEX(助手收入!$P$2:$P$66,助手收入!$R$250))</f>
        <v/>
      </c>
      <c r="O3723" s="55" t="str">
        <f aca="false">IF(助手收入!$R$250="","",INDEX(助手收入!$C$2:$C$66,助手收入!$R$250)&amp;"  字第 "&amp;INDEX(助手收入!$P$2:$P$66,助手收入!$R$250)&amp;" 号"&amp;IF(INDEX(助手收入!$L$2:$L$66,助手收入!$R$250)&gt;1,"  (共"&amp;INDEX(助手收入!$L$2:$L$66,助手收入!$R$250)&amp;"页 第"&amp;助手收入!$S$250&amp;"页)",""))</f>
        <v/>
      </c>
    </row>
    <row r="3724" customFormat="false" ht="12.75" hidden="false" customHeight="true" outlineLevel="0" collapsed="false">
      <c r="B3724" s="61" t="str">
        <f aca="false">IF(助手收入!$R$250&lt;&gt;"","摘　　要","")</f>
        <v/>
      </c>
      <c r="C3724" s="61"/>
      <c r="D3724" s="62" t="str">
        <f aca="false">IF(助手收入!$R$250&lt;&gt;"","科　　　　目","")</f>
        <v/>
      </c>
      <c r="E3724" s="62"/>
      <c r="F3724" s="61" t="str">
        <f aca="false">IF(助手收入!$R$250&lt;&gt;"","借 方 金 额","")</f>
        <v/>
      </c>
      <c r="G3724" s="62" t="str">
        <f aca="false">IF(助手收入!$R$250&lt;&gt;"","贷 方 金 额","")</f>
        <v/>
      </c>
      <c r="H3724" s="63" t="str">
        <f aca="false">IF(助手收入!$R$250&lt;&gt;"","√","")</f>
        <v/>
      </c>
      <c r="I3724" s="64" t="str">
        <f aca="false">IF(助手收入!$R$250&lt;&gt;"","附单据  张","")</f>
        <v/>
      </c>
    </row>
    <row r="3725" customFormat="false" ht="12.75" hidden="false" customHeight="true" outlineLevel="0" collapsed="false">
      <c r="B3725" s="61"/>
      <c r="C3725" s="61"/>
      <c r="D3725" s="23" t="str">
        <f aca="false">IF(助手收入!$R$250&lt;&gt;"","总 账 科 目","")</f>
        <v/>
      </c>
      <c r="E3725" s="23" t="str">
        <f aca="false">IF(助手收入!$R$250&lt;&gt;"","明 细 科 目","")</f>
        <v/>
      </c>
      <c r="F3725" s="65"/>
      <c r="G3725" s="66"/>
      <c r="H3725" s="63"/>
      <c r="I3725" s="64"/>
    </row>
    <row r="3726" customFormat="false" ht="23.25" hidden="false" customHeight="true" outlineLevel="0" collapsed="false">
      <c r="B3726" s="67" t="str">
        <f aca="false">IFERROR(INDEX(分录收入!$M:$M,MATCH($L3726,分录收入!$L:$L,0)),"")</f>
        <v/>
      </c>
      <c r="C3726" s="67"/>
      <c r="D3726" s="23" t="str">
        <f aca="false">IFERROR(INDEX(分录收入!$E:$E,MATCH($L3726,分录收入!$L:$L,0)),"")</f>
        <v/>
      </c>
      <c r="E3726" s="23" t="str">
        <f aca="false">IFERROR(INDEX(分录收入!$F:$F,MATCH($L3726,分录收入!$L:$L,0)),"")</f>
        <v/>
      </c>
      <c r="F3726" s="68" t="str">
        <f aca="false">IFERROR(INDEX(分录收入!$H:$H,MATCH($L3726,分录收入!$L:$L,0)),"")</f>
        <v/>
      </c>
      <c r="G3726" s="69" t="str">
        <f aca="false">IFERROR(INDEX(分录收入!$I:$I,MATCH($L3726,分录收入!$L:$L,0)),"")</f>
        <v/>
      </c>
      <c r="H3726" s="23"/>
      <c r="I3726" s="70"/>
      <c r="L3726" s="71" t="n">
        <f aca="false">IF(助手收入!$R$250="",-1,助手收入!$R$250*100+(助手收入!$S$250-1)*6+1)</f>
        <v>-1</v>
      </c>
    </row>
    <row r="3727" customFormat="false" ht="23.25" hidden="false" customHeight="true" outlineLevel="0" collapsed="false">
      <c r="B3727" s="67" t="str">
        <f aca="false">""</f>
        <v/>
      </c>
      <c r="C3727" s="67"/>
      <c r="D3727" s="23" t="str">
        <f aca="false">IFERROR(INDEX(分录收入!$E:$E,MATCH($L3727,分录收入!$L:$L,0)),"")</f>
        <v/>
      </c>
      <c r="E3727" s="23" t="str">
        <f aca="false">IFERROR(INDEX(分录收入!$F:$F,MATCH($L3727,分录收入!$L:$L,0)),"")</f>
        <v/>
      </c>
      <c r="F3727" s="68" t="str">
        <f aca="false">IFERROR(INDEX(分录收入!$H:$H,MATCH($L3727,分录收入!$L:$L,0)),"")</f>
        <v/>
      </c>
      <c r="G3727" s="69" t="str">
        <f aca="false">IFERROR(INDEX(分录收入!$I:$I,MATCH($L3727,分录收入!$L:$L,0)),"")</f>
        <v/>
      </c>
      <c r="H3727" s="23"/>
      <c r="I3727" s="70"/>
      <c r="L3727" s="71" t="n">
        <f aca="false">IF(助手收入!$R$250="",-1,助手收入!$R$250*100+(助手收入!$S$250-1)*6+2)</f>
        <v>-1</v>
      </c>
    </row>
    <row r="3728" customFormat="false" ht="23.25" hidden="false" customHeight="true" outlineLevel="0" collapsed="false">
      <c r="B3728" s="67" t="str">
        <f aca="false">""</f>
        <v/>
      </c>
      <c r="C3728" s="67"/>
      <c r="D3728" s="23" t="str">
        <f aca="false">IFERROR(INDEX(分录收入!$E:$E,MATCH($L3728,分录收入!$L:$L,0)),"")</f>
        <v/>
      </c>
      <c r="E3728" s="23" t="str">
        <f aca="false">IFERROR(INDEX(分录收入!$F:$F,MATCH($L3728,分录收入!$L:$L,0)),"")</f>
        <v/>
      </c>
      <c r="F3728" s="68" t="str">
        <f aca="false">IFERROR(INDEX(分录收入!$H:$H,MATCH($L3728,分录收入!$L:$L,0)),"")</f>
        <v/>
      </c>
      <c r="G3728" s="69" t="str">
        <f aca="false">IFERROR(INDEX(分录收入!$I:$I,MATCH($L3728,分录收入!$L:$L,0)),"")</f>
        <v/>
      </c>
      <c r="H3728" s="23"/>
      <c r="I3728" s="70"/>
      <c r="L3728" s="71" t="n">
        <f aca="false">IF(助手收入!$R$250="",-1,助手收入!$R$250*100+(助手收入!$S$250-1)*6+3)</f>
        <v>-1</v>
      </c>
    </row>
    <row r="3729" customFormat="false" ht="23.25" hidden="false" customHeight="true" outlineLevel="0" collapsed="false">
      <c r="B3729" s="67" t="str">
        <f aca="false">""</f>
        <v/>
      </c>
      <c r="C3729" s="67"/>
      <c r="D3729" s="23" t="str">
        <f aca="false">IFERROR(INDEX(分录收入!$E:$E,MATCH($L3729,分录收入!$L:$L,0)),"")</f>
        <v/>
      </c>
      <c r="E3729" s="23" t="str">
        <f aca="false">IFERROR(INDEX(分录收入!$F:$F,MATCH($L3729,分录收入!$L:$L,0)),"")</f>
        <v/>
      </c>
      <c r="F3729" s="68" t="str">
        <f aca="false">IFERROR(INDEX(分录收入!$H:$H,MATCH($L3729,分录收入!$L:$L,0)),"")</f>
        <v/>
      </c>
      <c r="G3729" s="69" t="str">
        <f aca="false">IFERROR(INDEX(分录收入!$I:$I,MATCH($L3729,分录收入!$L:$L,0)),"")</f>
        <v/>
      </c>
      <c r="H3729" s="23"/>
      <c r="I3729" s="70"/>
      <c r="L3729" s="71" t="n">
        <f aca="false">IF(助手收入!$R$250="",-1,助手收入!$R$250*100+(助手收入!$S$250-1)*6+4)</f>
        <v>-1</v>
      </c>
    </row>
    <row r="3730" customFormat="false" ht="23.25" hidden="false" customHeight="true" outlineLevel="0" collapsed="false">
      <c r="B3730" s="67" t="str">
        <f aca="false">""</f>
        <v/>
      </c>
      <c r="C3730" s="67"/>
      <c r="D3730" s="23" t="str">
        <f aca="false">IFERROR(INDEX(分录收入!$E:$E,MATCH($L3730,分录收入!$L:$L,0)),"")</f>
        <v/>
      </c>
      <c r="E3730" s="23" t="str">
        <f aca="false">IFERROR(INDEX(分录收入!$F:$F,MATCH($L3730,分录收入!$L:$L,0)),"")</f>
        <v/>
      </c>
      <c r="F3730" s="68" t="str">
        <f aca="false">IFERROR(INDEX(分录收入!$H:$H,MATCH($L3730,分录收入!$L:$L,0)),"")</f>
        <v/>
      </c>
      <c r="G3730" s="69" t="str">
        <f aca="false">IFERROR(INDEX(分录收入!$I:$I,MATCH($L3730,分录收入!$L:$L,0)),"")</f>
        <v/>
      </c>
      <c r="H3730" s="23"/>
      <c r="I3730" s="70"/>
      <c r="L3730" s="71" t="n">
        <f aca="false">IF(助手收入!$R$250="",-1,助手收入!$R$250*100+(助手收入!$S$250-1)*6+5)</f>
        <v>-1</v>
      </c>
    </row>
    <row r="3731" customFormat="false" ht="23.25" hidden="false" customHeight="true" outlineLevel="0" collapsed="false">
      <c r="B3731" s="67" t="str">
        <f aca="false">""</f>
        <v/>
      </c>
      <c r="C3731" s="67"/>
      <c r="D3731" s="23" t="str">
        <f aca="false">IFERROR(INDEX(分录收入!$E:$E,MATCH($L3731,分录收入!$L:$L,0)),"")</f>
        <v/>
      </c>
      <c r="E3731" s="23" t="str">
        <f aca="false">IFERROR(INDEX(分录收入!$F:$F,MATCH($L3731,分录收入!$L:$L,0)),"")</f>
        <v/>
      </c>
      <c r="F3731" s="68" t="str">
        <f aca="false">IFERROR(INDEX(分录收入!$H:$H,MATCH($L3731,分录收入!$L:$L,0)),"")</f>
        <v/>
      </c>
      <c r="G3731" s="69" t="str">
        <f aca="false">IFERROR(INDEX(分录收入!$I:$I,MATCH($L3731,分录收入!$L:$L,0)),"")</f>
        <v/>
      </c>
      <c r="H3731" s="23"/>
      <c r="I3731" s="70"/>
      <c r="L3731" s="71" t="n">
        <f aca="false">IF(助手收入!$R$250="",-1,助手收入!$R$250*100+(助手收入!$S$250-1)*6+6)</f>
        <v>-1</v>
      </c>
    </row>
    <row r="3732" customFormat="false" ht="23.25" hidden="false" customHeight="true" outlineLevel="0" collapsed="false">
      <c r="B3732" s="72" t="str">
        <f aca="false">IF(助手收入!$T$250=1,"合计：","")</f>
        <v/>
      </c>
      <c r="C3732" s="73" t="str">
        <f aca="false">IF(助手收入!$T$250=1,$F3732,"")</f>
        <v/>
      </c>
      <c r="D3732" s="74"/>
      <c r="E3732" s="74"/>
      <c r="F3732" s="75" t="str">
        <f aca="false">IF(助手收入!$T$250=1,INDEX(助手收入!$N$2:$N$66,助手收入!$R$250),"")</f>
        <v/>
      </c>
      <c r="G3732" s="76" t="str">
        <f aca="false">IF(助手收入!$T$250=1,INDEX(助手收入!$O$2:$O$66,助手收入!$R$250),"")</f>
        <v/>
      </c>
      <c r="H3732" s="74"/>
      <c r="I3732" s="77"/>
    </row>
    <row r="3733" customFormat="false" ht="6" hidden="false" customHeight="true" outlineLevel="0" collapsed="false"/>
    <row r="3734" customFormat="false" ht="13.5" hidden="false" customHeight="false" outlineLevel="0" collapsed="false">
      <c r="B3734" s="78" t="str">
        <f aca="false">IF(助手收入!$R$250&lt;&gt;"","会计主管：","")</f>
        <v/>
      </c>
      <c r="D3734" s="78" t="str">
        <f aca="false">IF(助手收入!$R$250&lt;&gt;"","会计：","")</f>
        <v/>
      </c>
      <c r="E3734" s="78" t="str">
        <f aca="false">IF(助手收入!$R$250&lt;&gt;"","出纳：","")</f>
        <v/>
      </c>
      <c r="F3734" s="78" t="str">
        <f aca="false">IF(助手收入!$R$250&lt;&gt;"","复核：","")</f>
        <v/>
      </c>
      <c r="G3734" s="78" t="str">
        <f aca="false">IF(助手收入!$R$250&lt;&gt;"","制单：","")</f>
        <v/>
      </c>
    </row>
    <row r="3735" customFormat="false" ht="3" hidden="false" customHeight="true" outlineLevel="0" collapsed="false"/>
    <row r="3736" customFormat="false" ht="19.5" hidden="false" customHeight="true" outlineLevel="0" collapsed="false">
      <c r="B3736" s="53" t="str">
        <f aca="false">IF(助手收入!$R$251&lt;&gt;"","记  账  凭  证","")</f>
        <v/>
      </c>
      <c r="C3736" s="53"/>
      <c r="D3736" s="53"/>
      <c r="E3736" s="53"/>
      <c r="F3736" s="53"/>
      <c r="G3736" s="53"/>
      <c r="H3736" s="53"/>
      <c r="I3736" s="53"/>
    </row>
    <row r="3737" customFormat="false" ht="3" hidden="false" customHeight="true" outlineLevel="0" collapsed="false"/>
    <row r="3738" customFormat="false" ht="15" hidden="false" customHeight="true" outlineLevel="0" collapsed="false">
      <c r="C3738" s="56" t="str">
        <f aca="false">IF(助手收入!$R$251&lt;&gt;"",INDEX(助手收入!$B$2:$B$66,助手收入!$R$251),"")</f>
        <v/>
      </c>
      <c r="D3738" s="57" t="str">
        <f aca="false">IF(助手收入!$R$251&lt;&gt;"",参数!$B$2,"")</f>
        <v/>
      </c>
      <c r="E3738" s="57"/>
      <c r="F3738" s="58" t="str">
        <f aca="false">IF(助手收入!$R$251&lt;&gt;"",INDEX(助手收入!$C$2:$C$66,助手收入!$R$251)&amp;"  字第 "&amp;IF(参数!$B$9="是",INDEX(助手收入!$P$2:$P$66,助手收入!$R$251),"　　　　")&amp;" 号"&amp;IF(INDEX(助手收入!$L$2:$L$66,助手收入!$R$251)&gt;1,"  (共"&amp;INDEX(助手收入!$L$2:$L$66,助手收入!$R$251)&amp;"页 第"&amp;助手收入!$S$251&amp;"页)",""),"")</f>
        <v/>
      </c>
      <c r="G3738" s="58"/>
      <c r="H3738" s="58"/>
      <c r="I3738" s="58"/>
      <c r="M3738" s="79" t="str">
        <f aca="false">IF(助手收入!$R$251="","",助手收入!$Q$251)</f>
        <v/>
      </c>
      <c r="N3738" s="80" t="str">
        <f aca="false">IF(助手收入!$R$251="","",INDEX(助手收入!$P$2:$P$66,助手收入!$R$251))</f>
        <v/>
      </c>
      <c r="O3738" s="55" t="str">
        <f aca="false">IF(助手收入!$R$251="","",INDEX(助手收入!$C$2:$C$66,助手收入!$R$251)&amp;"  字第 "&amp;INDEX(助手收入!$P$2:$P$66,助手收入!$R$251)&amp;" 号"&amp;IF(INDEX(助手收入!$L$2:$L$66,助手收入!$R$251)&gt;1,"  (共"&amp;INDEX(助手收入!$L$2:$L$66,助手收入!$R$251)&amp;"页 第"&amp;助手收入!$S$251&amp;"页)",""))</f>
        <v/>
      </c>
    </row>
    <row r="3739" customFormat="false" ht="12.75" hidden="false" customHeight="true" outlineLevel="0" collapsed="false">
      <c r="B3739" s="61" t="str">
        <f aca="false">IF(助手收入!$R$251&lt;&gt;"","摘　　要","")</f>
        <v/>
      </c>
      <c r="C3739" s="61"/>
      <c r="D3739" s="62" t="str">
        <f aca="false">IF(助手收入!$R$251&lt;&gt;"","科　　　　目","")</f>
        <v/>
      </c>
      <c r="E3739" s="62"/>
      <c r="F3739" s="61" t="str">
        <f aca="false">IF(助手收入!$R$251&lt;&gt;"","借 方 金 额","")</f>
        <v/>
      </c>
      <c r="G3739" s="62" t="str">
        <f aca="false">IF(助手收入!$R$251&lt;&gt;"","贷 方 金 额","")</f>
        <v/>
      </c>
      <c r="H3739" s="63" t="str">
        <f aca="false">IF(助手收入!$R$251&lt;&gt;"","√","")</f>
        <v/>
      </c>
      <c r="I3739" s="64" t="str">
        <f aca="false">IF(助手收入!$R$251&lt;&gt;"","附单据  张","")</f>
        <v/>
      </c>
    </row>
    <row r="3740" customFormat="false" ht="12.75" hidden="false" customHeight="true" outlineLevel="0" collapsed="false">
      <c r="B3740" s="61"/>
      <c r="C3740" s="61"/>
      <c r="D3740" s="23" t="str">
        <f aca="false">IF(助手收入!$R$251&lt;&gt;"","总 账 科 目","")</f>
        <v/>
      </c>
      <c r="E3740" s="23" t="str">
        <f aca="false">IF(助手收入!$R$251&lt;&gt;"","明 细 科 目","")</f>
        <v/>
      </c>
      <c r="F3740" s="65"/>
      <c r="G3740" s="66"/>
      <c r="H3740" s="63"/>
      <c r="I3740" s="64"/>
    </row>
    <row r="3741" customFormat="false" ht="23.25" hidden="false" customHeight="true" outlineLevel="0" collapsed="false">
      <c r="B3741" s="67" t="str">
        <f aca="false">IFERROR(INDEX(分录收入!$M:$M,MATCH($L3741,分录收入!$L:$L,0)),"")</f>
        <v/>
      </c>
      <c r="C3741" s="67"/>
      <c r="D3741" s="23" t="str">
        <f aca="false">IFERROR(INDEX(分录收入!$E:$E,MATCH($L3741,分录收入!$L:$L,0)),"")</f>
        <v/>
      </c>
      <c r="E3741" s="23" t="str">
        <f aca="false">IFERROR(INDEX(分录收入!$F:$F,MATCH($L3741,分录收入!$L:$L,0)),"")</f>
        <v/>
      </c>
      <c r="F3741" s="68" t="str">
        <f aca="false">IFERROR(INDEX(分录收入!$H:$H,MATCH($L3741,分录收入!$L:$L,0)),"")</f>
        <v/>
      </c>
      <c r="G3741" s="69" t="str">
        <f aca="false">IFERROR(INDEX(分录收入!$I:$I,MATCH($L3741,分录收入!$L:$L,0)),"")</f>
        <v/>
      </c>
      <c r="H3741" s="23"/>
      <c r="I3741" s="70"/>
      <c r="L3741" s="71" t="n">
        <f aca="false">IF(助手收入!$R$251="",-1,助手收入!$R$251*100+(助手收入!$S$251-1)*6+1)</f>
        <v>-1</v>
      </c>
    </row>
    <row r="3742" customFormat="false" ht="23.25" hidden="false" customHeight="true" outlineLevel="0" collapsed="false">
      <c r="B3742" s="67" t="str">
        <f aca="false">""</f>
        <v/>
      </c>
      <c r="C3742" s="67"/>
      <c r="D3742" s="23" t="str">
        <f aca="false">IFERROR(INDEX(分录收入!$E:$E,MATCH($L3742,分录收入!$L:$L,0)),"")</f>
        <v/>
      </c>
      <c r="E3742" s="23" t="str">
        <f aca="false">IFERROR(INDEX(分录收入!$F:$F,MATCH($L3742,分录收入!$L:$L,0)),"")</f>
        <v/>
      </c>
      <c r="F3742" s="68" t="str">
        <f aca="false">IFERROR(INDEX(分录收入!$H:$H,MATCH($L3742,分录收入!$L:$L,0)),"")</f>
        <v/>
      </c>
      <c r="G3742" s="69" t="str">
        <f aca="false">IFERROR(INDEX(分录收入!$I:$I,MATCH($L3742,分录收入!$L:$L,0)),"")</f>
        <v/>
      </c>
      <c r="H3742" s="23"/>
      <c r="I3742" s="70"/>
      <c r="L3742" s="71" t="n">
        <f aca="false">IF(助手收入!$R$251="",-1,助手收入!$R$251*100+(助手收入!$S$251-1)*6+2)</f>
        <v>-1</v>
      </c>
    </row>
    <row r="3743" customFormat="false" ht="23.25" hidden="false" customHeight="true" outlineLevel="0" collapsed="false">
      <c r="B3743" s="67" t="str">
        <f aca="false">""</f>
        <v/>
      </c>
      <c r="C3743" s="67"/>
      <c r="D3743" s="23" t="str">
        <f aca="false">IFERROR(INDEX(分录收入!$E:$E,MATCH($L3743,分录收入!$L:$L,0)),"")</f>
        <v/>
      </c>
      <c r="E3743" s="23" t="str">
        <f aca="false">IFERROR(INDEX(分录收入!$F:$F,MATCH($L3743,分录收入!$L:$L,0)),"")</f>
        <v/>
      </c>
      <c r="F3743" s="68" t="str">
        <f aca="false">IFERROR(INDEX(分录收入!$H:$H,MATCH($L3743,分录收入!$L:$L,0)),"")</f>
        <v/>
      </c>
      <c r="G3743" s="69" t="str">
        <f aca="false">IFERROR(INDEX(分录收入!$I:$I,MATCH($L3743,分录收入!$L:$L,0)),"")</f>
        <v/>
      </c>
      <c r="H3743" s="23"/>
      <c r="I3743" s="70"/>
      <c r="L3743" s="71" t="n">
        <f aca="false">IF(助手收入!$R$251="",-1,助手收入!$R$251*100+(助手收入!$S$251-1)*6+3)</f>
        <v>-1</v>
      </c>
    </row>
    <row r="3744" customFormat="false" ht="23.25" hidden="false" customHeight="true" outlineLevel="0" collapsed="false">
      <c r="B3744" s="67" t="str">
        <f aca="false">""</f>
        <v/>
      </c>
      <c r="C3744" s="67"/>
      <c r="D3744" s="23" t="str">
        <f aca="false">IFERROR(INDEX(分录收入!$E:$E,MATCH($L3744,分录收入!$L:$L,0)),"")</f>
        <v/>
      </c>
      <c r="E3744" s="23" t="str">
        <f aca="false">IFERROR(INDEX(分录收入!$F:$F,MATCH($L3744,分录收入!$L:$L,0)),"")</f>
        <v/>
      </c>
      <c r="F3744" s="68" t="str">
        <f aca="false">IFERROR(INDEX(分录收入!$H:$H,MATCH($L3744,分录收入!$L:$L,0)),"")</f>
        <v/>
      </c>
      <c r="G3744" s="69" t="str">
        <f aca="false">IFERROR(INDEX(分录收入!$I:$I,MATCH($L3744,分录收入!$L:$L,0)),"")</f>
        <v/>
      </c>
      <c r="H3744" s="23"/>
      <c r="I3744" s="70"/>
      <c r="L3744" s="71" t="n">
        <f aca="false">IF(助手收入!$R$251="",-1,助手收入!$R$251*100+(助手收入!$S$251-1)*6+4)</f>
        <v>-1</v>
      </c>
    </row>
    <row r="3745" customFormat="false" ht="23.25" hidden="false" customHeight="true" outlineLevel="0" collapsed="false">
      <c r="B3745" s="67" t="str">
        <f aca="false">""</f>
        <v/>
      </c>
      <c r="C3745" s="67"/>
      <c r="D3745" s="23" t="str">
        <f aca="false">IFERROR(INDEX(分录收入!$E:$E,MATCH($L3745,分录收入!$L:$L,0)),"")</f>
        <v/>
      </c>
      <c r="E3745" s="23" t="str">
        <f aca="false">IFERROR(INDEX(分录收入!$F:$F,MATCH($L3745,分录收入!$L:$L,0)),"")</f>
        <v/>
      </c>
      <c r="F3745" s="68" t="str">
        <f aca="false">IFERROR(INDEX(分录收入!$H:$H,MATCH($L3745,分录收入!$L:$L,0)),"")</f>
        <v/>
      </c>
      <c r="G3745" s="69" t="str">
        <f aca="false">IFERROR(INDEX(分录收入!$I:$I,MATCH($L3745,分录收入!$L:$L,0)),"")</f>
        <v/>
      </c>
      <c r="H3745" s="23"/>
      <c r="I3745" s="70"/>
      <c r="L3745" s="71" t="n">
        <f aca="false">IF(助手收入!$R$251="",-1,助手收入!$R$251*100+(助手收入!$S$251-1)*6+5)</f>
        <v>-1</v>
      </c>
    </row>
    <row r="3746" customFormat="false" ht="23.25" hidden="false" customHeight="true" outlineLevel="0" collapsed="false">
      <c r="B3746" s="67" t="str">
        <f aca="false">""</f>
        <v/>
      </c>
      <c r="C3746" s="67"/>
      <c r="D3746" s="23" t="str">
        <f aca="false">IFERROR(INDEX(分录收入!$E:$E,MATCH($L3746,分录收入!$L:$L,0)),"")</f>
        <v/>
      </c>
      <c r="E3746" s="23" t="str">
        <f aca="false">IFERROR(INDEX(分录收入!$F:$F,MATCH($L3746,分录收入!$L:$L,0)),"")</f>
        <v/>
      </c>
      <c r="F3746" s="68" t="str">
        <f aca="false">IFERROR(INDEX(分录收入!$H:$H,MATCH($L3746,分录收入!$L:$L,0)),"")</f>
        <v/>
      </c>
      <c r="G3746" s="69" t="str">
        <f aca="false">IFERROR(INDEX(分录收入!$I:$I,MATCH($L3746,分录收入!$L:$L,0)),"")</f>
        <v/>
      </c>
      <c r="H3746" s="23"/>
      <c r="I3746" s="70"/>
      <c r="L3746" s="71" t="n">
        <f aca="false">IF(助手收入!$R$251="",-1,助手收入!$R$251*100+(助手收入!$S$251-1)*6+6)</f>
        <v>-1</v>
      </c>
    </row>
    <row r="3747" customFormat="false" ht="23.25" hidden="false" customHeight="true" outlineLevel="0" collapsed="false">
      <c r="B3747" s="72" t="str">
        <f aca="false">IF(助手收入!$T$251=1,"合计：","")</f>
        <v/>
      </c>
      <c r="C3747" s="73" t="str">
        <f aca="false">IF(助手收入!$T$251=1,$F3747,"")</f>
        <v/>
      </c>
      <c r="D3747" s="74"/>
      <c r="E3747" s="74"/>
      <c r="F3747" s="75" t="str">
        <f aca="false">IF(助手收入!$T$251=1,INDEX(助手收入!$N$2:$N$66,助手收入!$R$251),"")</f>
        <v/>
      </c>
      <c r="G3747" s="76" t="str">
        <f aca="false">IF(助手收入!$T$251=1,INDEX(助手收入!$O$2:$O$66,助手收入!$R$251),"")</f>
        <v/>
      </c>
      <c r="H3747" s="74"/>
      <c r="I3747" s="77"/>
    </row>
    <row r="3748" customFormat="false" ht="6" hidden="false" customHeight="true" outlineLevel="0" collapsed="false"/>
    <row r="3749" customFormat="false" ht="13.5" hidden="false" customHeight="false" outlineLevel="0" collapsed="false">
      <c r="B3749" s="78" t="str">
        <f aca="false">IF(助手收入!$R$251&lt;&gt;"","会计主管：","")</f>
        <v/>
      </c>
      <c r="D3749" s="78" t="str">
        <f aca="false">IF(助手收入!$R$251&lt;&gt;"","会计：","")</f>
        <v/>
      </c>
      <c r="E3749" s="78" t="str">
        <f aca="false">IF(助手收入!$R$251&lt;&gt;"","出纳：","")</f>
        <v/>
      </c>
      <c r="F3749" s="78" t="str">
        <f aca="false">IF(助手收入!$R$251&lt;&gt;"","复核：","")</f>
        <v/>
      </c>
      <c r="G3749" s="78" t="str">
        <f aca="false">IF(助手收入!$R$251&lt;&gt;"","制单：","")</f>
        <v/>
      </c>
    </row>
    <row r="3750" customFormat="false" ht="3" hidden="false" customHeight="true" outlineLevel="0" collapsed="false"/>
    <row r="3751" customFormat="false" ht="19.5" hidden="false" customHeight="true" outlineLevel="0" collapsed="false">
      <c r="B3751" s="53" t="str">
        <f aca="false">IF(助手收入!$R$252&lt;&gt;"","记  账  凭  证","")</f>
        <v/>
      </c>
      <c r="C3751" s="53"/>
      <c r="D3751" s="53"/>
      <c r="E3751" s="53"/>
      <c r="F3751" s="53"/>
      <c r="G3751" s="53"/>
      <c r="H3751" s="53"/>
      <c r="I3751" s="53"/>
    </row>
    <row r="3752" customFormat="false" ht="3" hidden="false" customHeight="true" outlineLevel="0" collapsed="false"/>
    <row r="3753" customFormat="false" ht="15" hidden="false" customHeight="true" outlineLevel="0" collapsed="false">
      <c r="C3753" s="56" t="str">
        <f aca="false">IF(助手收入!$R$252&lt;&gt;"",INDEX(助手收入!$B$2:$B$66,助手收入!$R$252),"")</f>
        <v/>
      </c>
      <c r="D3753" s="57" t="str">
        <f aca="false">IF(助手收入!$R$252&lt;&gt;"",参数!$B$2,"")</f>
        <v/>
      </c>
      <c r="E3753" s="57"/>
      <c r="F3753" s="58" t="str">
        <f aca="false">IF(助手收入!$R$252&lt;&gt;"",INDEX(助手收入!$C$2:$C$66,助手收入!$R$252)&amp;"  字第 "&amp;IF(参数!$B$9="是",INDEX(助手收入!$P$2:$P$66,助手收入!$R$252),"　　　　")&amp;" 号"&amp;IF(INDEX(助手收入!$L$2:$L$66,助手收入!$R$252)&gt;1,"  (共"&amp;INDEX(助手收入!$L$2:$L$66,助手收入!$R$252)&amp;"页 第"&amp;助手收入!$S$252&amp;"页)",""),"")</f>
        <v/>
      </c>
      <c r="G3753" s="58"/>
      <c r="H3753" s="58"/>
      <c r="I3753" s="58"/>
      <c r="M3753" s="79" t="str">
        <f aca="false">IF(助手收入!$R$252="","",助手收入!$Q$252)</f>
        <v/>
      </c>
      <c r="N3753" s="80" t="str">
        <f aca="false">IF(助手收入!$R$252="","",INDEX(助手收入!$P$2:$P$66,助手收入!$R$252))</f>
        <v/>
      </c>
      <c r="O3753" s="55" t="str">
        <f aca="false">IF(助手收入!$R$252="","",INDEX(助手收入!$C$2:$C$66,助手收入!$R$252)&amp;"  字第 "&amp;INDEX(助手收入!$P$2:$P$66,助手收入!$R$252)&amp;" 号"&amp;IF(INDEX(助手收入!$L$2:$L$66,助手收入!$R$252)&gt;1,"  (共"&amp;INDEX(助手收入!$L$2:$L$66,助手收入!$R$252)&amp;"页 第"&amp;助手收入!$S$252&amp;"页)",""))</f>
        <v/>
      </c>
    </row>
    <row r="3754" customFormat="false" ht="12.75" hidden="false" customHeight="true" outlineLevel="0" collapsed="false">
      <c r="B3754" s="61" t="str">
        <f aca="false">IF(助手收入!$R$252&lt;&gt;"","摘　　要","")</f>
        <v/>
      </c>
      <c r="C3754" s="61"/>
      <c r="D3754" s="62" t="str">
        <f aca="false">IF(助手收入!$R$252&lt;&gt;"","科　　　　目","")</f>
        <v/>
      </c>
      <c r="E3754" s="62"/>
      <c r="F3754" s="61" t="str">
        <f aca="false">IF(助手收入!$R$252&lt;&gt;"","借 方 金 额","")</f>
        <v/>
      </c>
      <c r="G3754" s="62" t="str">
        <f aca="false">IF(助手收入!$R$252&lt;&gt;"","贷 方 金 额","")</f>
        <v/>
      </c>
      <c r="H3754" s="63" t="str">
        <f aca="false">IF(助手收入!$R$252&lt;&gt;"","√","")</f>
        <v/>
      </c>
      <c r="I3754" s="64" t="str">
        <f aca="false">IF(助手收入!$R$252&lt;&gt;"","附单据  张","")</f>
        <v/>
      </c>
    </row>
    <row r="3755" customFormat="false" ht="12.75" hidden="false" customHeight="true" outlineLevel="0" collapsed="false">
      <c r="B3755" s="61"/>
      <c r="C3755" s="61"/>
      <c r="D3755" s="23" t="str">
        <f aca="false">IF(助手收入!$R$252&lt;&gt;"","总 账 科 目","")</f>
        <v/>
      </c>
      <c r="E3755" s="23" t="str">
        <f aca="false">IF(助手收入!$R$252&lt;&gt;"","明 细 科 目","")</f>
        <v/>
      </c>
      <c r="F3755" s="65"/>
      <c r="G3755" s="66"/>
      <c r="H3755" s="63"/>
      <c r="I3755" s="64"/>
    </row>
    <row r="3756" customFormat="false" ht="23.25" hidden="false" customHeight="true" outlineLevel="0" collapsed="false">
      <c r="B3756" s="67" t="str">
        <f aca="false">IFERROR(INDEX(分录收入!$M:$M,MATCH($L3756,分录收入!$L:$L,0)),"")</f>
        <v/>
      </c>
      <c r="C3756" s="67"/>
      <c r="D3756" s="23" t="str">
        <f aca="false">IFERROR(INDEX(分录收入!$E:$E,MATCH($L3756,分录收入!$L:$L,0)),"")</f>
        <v/>
      </c>
      <c r="E3756" s="23" t="str">
        <f aca="false">IFERROR(INDEX(分录收入!$F:$F,MATCH($L3756,分录收入!$L:$L,0)),"")</f>
        <v/>
      </c>
      <c r="F3756" s="68" t="str">
        <f aca="false">IFERROR(INDEX(分录收入!$H:$H,MATCH($L3756,分录收入!$L:$L,0)),"")</f>
        <v/>
      </c>
      <c r="G3756" s="69" t="str">
        <f aca="false">IFERROR(INDEX(分录收入!$I:$I,MATCH($L3756,分录收入!$L:$L,0)),"")</f>
        <v/>
      </c>
      <c r="H3756" s="23"/>
      <c r="I3756" s="70"/>
      <c r="L3756" s="71" t="n">
        <f aca="false">IF(助手收入!$R$252="",-1,助手收入!$R$252*100+(助手收入!$S$252-1)*6+1)</f>
        <v>-1</v>
      </c>
    </row>
    <row r="3757" customFormat="false" ht="23.25" hidden="false" customHeight="true" outlineLevel="0" collapsed="false">
      <c r="B3757" s="67" t="str">
        <f aca="false">""</f>
        <v/>
      </c>
      <c r="C3757" s="67"/>
      <c r="D3757" s="23" t="str">
        <f aca="false">IFERROR(INDEX(分录收入!$E:$E,MATCH($L3757,分录收入!$L:$L,0)),"")</f>
        <v/>
      </c>
      <c r="E3757" s="23" t="str">
        <f aca="false">IFERROR(INDEX(分录收入!$F:$F,MATCH($L3757,分录收入!$L:$L,0)),"")</f>
        <v/>
      </c>
      <c r="F3757" s="68" t="str">
        <f aca="false">IFERROR(INDEX(分录收入!$H:$H,MATCH($L3757,分录收入!$L:$L,0)),"")</f>
        <v/>
      </c>
      <c r="G3757" s="69" t="str">
        <f aca="false">IFERROR(INDEX(分录收入!$I:$I,MATCH($L3757,分录收入!$L:$L,0)),"")</f>
        <v/>
      </c>
      <c r="H3757" s="23"/>
      <c r="I3757" s="70"/>
      <c r="L3757" s="71" t="n">
        <f aca="false">IF(助手收入!$R$252="",-1,助手收入!$R$252*100+(助手收入!$S$252-1)*6+2)</f>
        <v>-1</v>
      </c>
    </row>
    <row r="3758" customFormat="false" ht="23.25" hidden="false" customHeight="true" outlineLevel="0" collapsed="false">
      <c r="B3758" s="67" t="str">
        <f aca="false">""</f>
        <v/>
      </c>
      <c r="C3758" s="67"/>
      <c r="D3758" s="23" t="str">
        <f aca="false">IFERROR(INDEX(分录收入!$E:$E,MATCH($L3758,分录收入!$L:$L,0)),"")</f>
        <v/>
      </c>
      <c r="E3758" s="23" t="str">
        <f aca="false">IFERROR(INDEX(分录收入!$F:$F,MATCH($L3758,分录收入!$L:$L,0)),"")</f>
        <v/>
      </c>
      <c r="F3758" s="68" t="str">
        <f aca="false">IFERROR(INDEX(分录收入!$H:$H,MATCH($L3758,分录收入!$L:$L,0)),"")</f>
        <v/>
      </c>
      <c r="G3758" s="69" t="str">
        <f aca="false">IFERROR(INDEX(分录收入!$I:$I,MATCH($L3758,分录收入!$L:$L,0)),"")</f>
        <v/>
      </c>
      <c r="H3758" s="23"/>
      <c r="I3758" s="70"/>
      <c r="L3758" s="71" t="n">
        <f aca="false">IF(助手收入!$R$252="",-1,助手收入!$R$252*100+(助手收入!$S$252-1)*6+3)</f>
        <v>-1</v>
      </c>
    </row>
    <row r="3759" customFormat="false" ht="23.25" hidden="false" customHeight="true" outlineLevel="0" collapsed="false">
      <c r="B3759" s="67" t="str">
        <f aca="false">""</f>
        <v/>
      </c>
      <c r="C3759" s="67"/>
      <c r="D3759" s="23" t="str">
        <f aca="false">IFERROR(INDEX(分录收入!$E:$E,MATCH($L3759,分录收入!$L:$L,0)),"")</f>
        <v/>
      </c>
      <c r="E3759" s="23" t="str">
        <f aca="false">IFERROR(INDEX(分录收入!$F:$F,MATCH($L3759,分录收入!$L:$L,0)),"")</f>
        <v/>
      </c>
      <c r="F3759" s="68" t="str">
        <f aca="false">IFERROR(INDEX(分录收入!$H:$H,MATCH($L3759,分录收入!$L:$L,0)),"")</f>
        <v/>
      </c>
      <c r="G3759" s="69" t="str">
        <f aca="false">IFERROR(INDEX(分录收入!$I:$I,MATCH($L3759,分录收入!$L:$L,0)),"")</f>
        <v/>
      </c>
      <c r="H3759" s="23"/>
      <c r="I3759" s="70"/>
      <c r="L3759" s="71" t="n">
        <f aca="false">IF(助手收入!$R$252="",-1,助手收入!$R$252*100+(助手收入!$S$252-1)*6+4)</f>
        <v>-1</v>
      </c>
    </row>
    <row r="3760" customFormat="false" ht="23.25" hidden="false" customHeight="true" outlineLevel="0" collapsed="false">
      <c r="B3760" s="67" t="str">
        <f aca="false">""</f>
        <v/>
      </c>
      <c r="C3760" s="67"/>
      <c r="D3760" s="23" t="str">
        <f aca="false">IFERROR(INDEX(分录收入!$E:$E,MATCH($L3760,分录收入!$L:$L,0)),"")</f>
        <v/>
      </c>
      <c r="E3760" s="23" t="str">
        <f aca="false">IFERROR(INDEX(分录收入!$F:$F,MATCH($L3760,分录收入!$L:$L,0)),"")</f>
        <v/>
      </c>
      <c r="F3760" s="68" t="str">
        <f aca="false">IFERROR(INDEX(分录收入!$H:$H,MATCH($L3760,分录收入!$L:$L,0)),"")</f>
        <v/>
      </c>
      <c r="G3760" s="69" t="str">
        <f aca="false">IFERROR(INDEX(分录收入!$I:$I,MATCH($L3760,分录收入!$L:$L,0)),"")</f>
        <v/>
      </c>
      <c r="H3760" s="23"/>
      <c r="I3760" s="70"/>
      <c r="L3760" s="71" t="n">
        <f aca="false">IF(助手收入!$R$252="",-1,助手收入!$R$252*100+(助手收入!$S$252-1)*6+5)</f>
        <v>-1</v>
      </c>
    </row>
    <row r="3761" customFormat="false" ht="23.25" hidden="false" customHeight="true" outlineLevel="0" collapsed="false">
      <c r="B3761" s="67" t="str">
        <f aca="false">""</f>
        <v/>
      </c>
      <c r="C3761" s="67"/>
      <c r="D3761" s="23" t="str">
        <f aca="false">IFERROR(INDEX(分录收入!$E:$E,MATCH($L3761,分录收入!$L:$L,0)),"")</f>
        <v/>
      </c>
      <c r="E3761" s="23" t="str">
        <f aca="false">IFERROR(INDEX(分录收入!$F:$F,MATCH($L3761,分录收入!$L:$L,0)),"")</f>
        <v/>
      </c>
      <c r="F3761" s="68" t="str">
        <f aca="false">IFERROR(INDEX(分录收入!$H:$H,MATCH($L3761,分录收入!$L:$L,0)),"")</f>
        <v/>
      </c>
      <c r="G3761" s="69" t="str">
        <f aca="false">IFERROR(INDEX(分录收入!$I:$I,MATCH($L3761,分录收入!$L:$L,0)),"")</f>
        <v/>
      </c>
      <c r="H3761" s="23"/>
      <c r="I3761" s="70"/>
      <c r="L3761" s="71" t="n">
        <f aca="false">IF(助手收入!$R$252="",-1,助手收入!$R$252*100+(助手收入!$S$252-1)*6+6)</f>
        <v>-1</v>
      </c>
    </row>
    <row r="3762" customFormat="false" ht="23.25" hidden="false" customHeight="true" outlineLevel="0" collapsed="false">
      <c r="B3762" s="72" t="str">
        <f aca="false">IF(助手收入!$T$252=1,"合计：","")</f>
        <v/>
      </c>
      <c r="C3762" s="73" t="str">
        <f aca="false">IF(助手收入!$T$252=1,$F3762,"")</f>
        <v/>
      </c>
      <c r="D3762" s="74"/>
      <c r="E3762" s="74"/>
      <c r="F3762" s="75" t="str">
        <f aca="false">IF(助手收入!$T$252=1,INDEX(助手收入!$N$2:$N$66,助手收入!$R$252),"")</f>
        <v/>
      </c>
      <c r="G3762" s="76" t="str">
        <f aca="false">IF(助手收入!$T$252=1,INDEX(助手收入!$O$2:$O$66,助手收入!$R$252),"")</f>
        <v/>
      </c>
      <c r="H3762" s="74"/>
      <c r="I3762" s="77"/>
    </row>
    <row r="3763" customFormat="false" ht="6" hidden="false" customHeight="true" outlineLevel="0" collapsed="false"/>
    <row r="3764" customFormat="false" ht="13.5" hidden="false" customHeight="false" outlineLevel="0" collapsed="false">
      <c r="B3764" s="78" t="str">
        <f aca="false">IF(助手收入!$R$252&lt;&gt;"","会计主管：","")</f>
        <v/>
      </c>
      <c r="D3764" s="78" t="str">
        <f aca="false">IF(助手收入!$R$252&lt;&gt;"","会计：","")</f>
        <v/>
      </c>
      <c r="E3764" s="78" t="str">
        <f aca="false">IF(助手收入!$R$252&lt;&gt;"","出纳：","")</f>
        <v/>
      </c>
      <c r="F3764" s="78" t="str">
        <f aca="false">IF(助手收入!$R$252&lt;&gt;"","复核：","")</f>
        <v/>
      </c>
      <c r="G3764" s="78" t="str">
        <f aca="false">IF(助手收入!$R$252&lt;&gt;"","制单：","")</f>
        <v/>
      </c>
    </row>
    <row r="3765" customFormat="false" ht="3" hidden="false" customHeight="true" outlineLevel="0" collapsed="false"/>
    <row r="3766" customFormat="false" ht="19.5" hidden="false" customHeight="true" outlineLevel="0" collapsed="false">
      <c r="B3766" s="53" t="str">
        <f aca="false">IF(助手收入!$R$253&lt;&gt;"","记  账  凭  证","")</f>
        <v/>
      </c>
      <c r="C3766" s="53"/>
      <c r="D3766" s="53"/>
      <c r="E3766" s="53"/>
      <c r="F3766" s="53"/>
      <c r="G3766" s="53"/>
      <c r="H3766" s="53"/>
      <c r="I3766" s="53"/>
    </row>
    <row r="3767" customFormat="false" ht="3" hidden="false" customHeight="true" outlineLevel="0" collapsed="false"/>
    <row r="3768" customFormat="false" ht="15" hidden="false" customHeight="true" outlineLevel="0" collapsed="false">
      <c r="C3768" s="56" t="str">
        <f aca="false">IF(助手收入!$R$253&lt;&gt;"",INDEX(助手收入!$B$2:$B$66,助手收入!$R$253),"")</f>
        <v/>
      </c>
      <c r="D3768" s="57" t="str">
        <f aca="false">IF(助手收入!$R$253&lt;&gt;"",参数!$B$2,"")</f>
        <v/>
      </c>
      <c r="E3768" s="57"/>
      <c r="F3768" s="58" t="str">
        <f aca="false">IF(助手收入!$R$253&lt;&gt;"",INDEX(助手收入!$C$2:$C$66,助手收入!$R$253)&amp;"  字第 "&amp;IF(参数!$B$9="是",INDEX(助手收入!$P$2:$P$66,助手收入!$R$253),"　　　　")&amp;" 号"&amp;IF(INDEX(助手收入!$L$2:$L$66,助手收入!$R$253)&gt;1,"  (共"&amp;INDEX(助手收入!$L$2:$L$66,助手收入!$R$253)&amp;"页 第"&amp;助手收入!$S$253&amp;"页)",""),"")</f>
        <v/>
      </c>
      <c r="G3768" s="58"/>
      <c r="H3768" s="58"/>
      <c r="I3768" s="58"/>
      <c r="M3768" s="79" t="str">
        <f aca="false">IF(助手收入!$R$253="","",助手收入!$Q$253)</f>
        <v/>
      </c>
      <c r="N3768" s="80" t="str">
        <f aca="false">IF(助手收入!$R$253="","",INDEX(助手收入!$P$2:$P$66,助手收入!$R$253))</f>
        <v/>
      </c>
      <c r="O3768" s="55" t="str">
        <f aca="false">IF(助手收入!$R$253="","",INDEX(助手收入!$C$2:$C$66,助手收入!$R$253)&amp;"  字第 "&amp;INDEX(助手收入!$P$2:$P$66,助手收入!$R$253)&amp;" 号"&amp;IF(INDEX(助手收入!$L$2:$L$66,助手收入!$R$253)&gt;1,"  (共"&amp;INDEX(助手收入!$L$2:$L$66,助手收入!$R$253)&amp;"页 第"&amp;助手收入!$S$253&amp;"页)",""))</f>
        <v/>
      </c>
    </row>
    <row r="3769" customFormat="false" ht="12.75" hidden="false" customHeight="true" outlineLevel="0" collapsed="false">
      <c r="B3769" s="61" t="str">
        <f aca="false">IF(助手收入!$R$253&lt;&gt;"","摘　　要","")</f>
        <v/>
      </c>
      <c r="C3769" s="61"/>
      <c r="D3769" s="62" t="str">
        <f aca="false">IF(助手收入!$R$253&lt;&gt;"","科　　　　目","")</f>
        <v/>
      </c>
      <c r="E3769" s="62"/>
      <c r="F3769" s="61" t="str">
        <f aca="false">IF(助手收入!$R$253&lt;&gt;"","借 方 金 额","")</f>
        <v/>
      </c>
      <c r="G3769" s="62" t="str">
        <f aca="false">IF(助手收入!$R$253&lt;&gt;"","贷 方 金 额","")</f>
        <v/>
      </c>
      <c r="H3769" s="63" t="str">
        <f aca="false">IF(助手收入!$R$253&lt;&gt;"","√","")</f>
        <v/>
      </c>
      <c r="I3769" s="64" t="str">
        <f aca="false">IF(助手收入!$R$253&lt;&gt;"","附单据  张","")</f>
        <v/>
      </c>
    </row>
    <row r="3770" customFormat="false" ht="12.75" hidden="false" customHeight="true" outlineLevel="0" collapsed="false">
      <c r="B3770" s="61"/>
      <c r="C3770" s="61"/>
      <c r="D3770" s="23" t="str">
        <f aca="false">IF(助手收入!$R$253&lt;&gt;"","总 账 科 目","")</f>
        <v/>
      </c>
      <c r="E3770" s="23" t="str">
        <f aca="false">IF(助手收入!$R$253&lt;&gt;"","明 细 科 目","")</f>
        <v/>
      </c>
      <c r="F3770" s="65"/>
      <c r="G3770" s="66"/>
      <c r="H3770" s="63"/>
      <c r="I3770" s="64"/>
    </row>
    <row r="3771" customFormat="false" ht="23.25" hidden="false" customHeight="true" outlineLevel="0" collapsed="false">
      <c r="B3771" s="67" t="str">
        <f aca="false">IFERROR(INDEX(分录收入!$M:$M,MATCH($L3771,分录收入!$L:$L,0)),"")</f>
        <v/>
      </c>
      <c r="C3771" s="67"/>
      <c r="D3771" s="23" t="str">
        <f aca="false">IFERROR(INDEX(分录收入!$E:$E,MATCH($L3771,分录收入!$L:$L,0)),"")</f>
        <v/>
      </c>
      <c r="E3771" s="23" t="str">
        <f aca="false">IFERROR(INDEX(分录收入!$F:$F,MATCH($L3771,分录收入!$L:$L,0)),"")</f>
        <v/>
      </c>
      <c r="F3771" s="68" t="str">
        <f aca="false">IFERROR(INDEX(分录收入!$H:$H,MATCH($L3771,分录收入!$L:$L,0)),"")</f>
        <v/>
      </c>
      <c r="G3771" s="69" t="str">
        <f aca="false">IFERROR(INDEX(分录收入!$I:$I,MATCH($L3771,分录收入!$L:$L,0)),"")</f>
        <v/>
      </c>
      <c r="H3771" s="23"/>
      <c r="I3771" s="70"/>
      <c r="L3771" s="71" t="n">
        <f aca="false">IF(助手收入!$R$253="",-1,助手收入!$R$253*100+(助手收入!$S$253-1)*6+1)</f>
        <v>-1</v>
      </c>
    </row>
    <row r="3772" customFormat="false" ht="23.25" hidden="false" customHeight="true" outlineLevel="0" collapsed="false">
      <c r="B3772" s="67" t="str">
        <f aca="false">""</f>
        <v/>
      </c>
      <c r="C3772" s="67"/>
      <c r="D3772" s="23" t="str">
        <f aca="false">IFERROR(INDEX(分录收入!$E:$E,MATCH($L3772,分录收入!$L:$L,0)),"")</f>
        <v/>
      </c>
      <c r="E3772" s="23" t="str">
        <f aca="false">IFERROR(INDEX(分录收入!$F:$F,MATCH($L3772,分录收入!$L:$L,0)),"")</f>
        <v/>
      </c>
      <c r="F3772" s="68" t="str">
        <f aca="false">IFERROR(INDEX(分录收入!$H:$H,MATCH($L3772,分录收入!$L:$L,0)),"")</f>
        <v/>
      </c>
      <c r="G3772" s="69" t="str">
        <f aca="false">IFERROR(INDEX(分录收入!$I:$I,MATCH($L3772,分录收入!$L:$L,0)),"")</f>
        <v/>
      </c>
      <c r="H3772" s="23"/>
      <c r="I3772" s="70"/>
      <c r="L3772" s="71" t="n">
        <f aca="false">IF(助手收入!$R$253="",-1,助手收入!$R$253*100+(助手收入!$S$253-1)*6+2)</f>
        <v>-1</v>
      </c>
    </row>
    <row r="3773" customFormat="false" ht="23.25" hidden="false" customHeight="true" outlineLevel="0" collapsed="false">
      <c r="B3773" s="67" t="str">
        <f aca="false">""</f>
        <v/>
      </c>
      <c r="C3773" s="67"/>
      <c r="D3773" s="23" t="str">
        <f aca="false">IFERROR(INDEX(分录收入!$E:$E,MATCH($L3773,分录收入!$L:$L,0)),"")</f>
        <v/>
      </c>
      <c r="E3773" s="23" t="str">
        <f aca="false">IFERROR(INDEX(分录收入!$F:$F,MATCH($L3773,分录收入!$L:$L,0)),"")</f>
        <v/>
      </c>
      <c r="F3773" s="68" t="str">
        <f aca="false">IFERROR(INDEX(分录收入!$H:$H,MATCH($L3773,分录收入!$L:$L,0)),"")</f>
        <v/>
      </c>
      <c r="G3773" s="69" t="str">
        <f aca="false">IFERROR(INDEX(分录收入!$I:$I,MATCH($L3773,分录收入!$L:$L,0)),"")</f>
        <v/>
      </c>
      <c r="H3773" s="23"/>
      <c r="I3773" s="70"/>
      <c r="L3773" s="71" t="n">
        <f aca="false">IF(助手收入!$R$253="",-1,助手收入!$R$253*100+(助手收入!$S$253-1)*6+3)</f>
        <v>-1</v>
      </c>
    </row>
    <row r="3774" customFormat="false" ht="23.25" hidden="false" customHeight="true" outlineLevel="0" collapsed="false">
      <c r="B3774" s="67" t="str">
        <f aca="false">""</f>
        <v/>
      </c>
      <c r="C3774" s="67"/>
      <c r="D3774" s="23" t="str">
        <f aca="false">IFERROR(INDEX(分录收入!$E:$E,MATCH($L3774,分录收入!$L:$L,0)),"")</f>
        <v/>
      </c>
      <c r="E3774" s="23" t="str">
        <f aca="false">IFERROR(INDEX(分录收入!$F:$F,MATCH($L3774,分录收入!$L:$L,0)),"")</f>
        <v/>
      </c>
      <c r="F3774" s="68" t="str">
        <f aca="false">IFERROR(INDEX(分录收入!$H:$H,MATCH($L3774,分录收入!$L:$L,0)),"")</f>
        <v/>
      </c>
      <c r="G3774" s="69" t="str">
        <f aca="false">IFERROR(INDEX(分录收入!$I:$I,MATCH($L3774,分录收入!$L:$L,0)),"")</f>
        <v/>
      </c>
      <c r="H3774" s="23"/>
      <c r="I3774" s="70"/>
      <c r="L3774" s="71" t="n">
        <f aca="false">IF(助手收入!$R$253="",-1,助手收入!$R$253*100+(助手收入!$S$253-1)*6+4)</f>
        <v>-1</v>
      </c>
    </row>
    <row r="3775" customFormat="false" ht="23.25" hidden="false" customHeight="true" outlineLevel="0" collapsed="false">
      <c r="B3775" s="67" t="str">
        <f aca="false">""</f>
        <v/>
      </c>
      <c r="C3775" s="67"/>
      <c r="D3775" s="23" t="str">
        <f aca="false">IFERROR(INDEX(分录收入!$E:$E,MATCH($L3775,分录收入!$L:$L,0)),"")</f>
        <v/>
      </c>
      <c r="E3775" s="23" t="str">
        <f aca="false">IFERROR(INDEX(分录收入!$F:$F,MATCH($L3775,分录收入!$L:$L,0)),"")</f>
        <v/>
      </c>
      <c r="F3775" s="68" t="str">
        <f aca="false">IFERROR(INDEX(分录收入!$H:$H,MATCH($L3775,分录收入!$L:$L,0)),"")</f>
        <v/>
      </c>
      <c r="G3775" s="69" t="str">
        <f aca="false">IFERROR(INDEX(分录收入!$I:$I,MATCH($L3775,分录收入!$L:$L,0)),"")</f>
        <v/>
      </c>
      <c r="H3775" s="23"/>
      <c r="I3775" s="70"/>
      <c r="L3775" s="71" t="n">
        <f aca="false">IF(助手收入!$R$253="",-1,助手收入!$R$253*100+(助手收入!$S$253-1)*6+5)</f>
        <v>-1</v>
      </c>
    </row>
    <row r="3776" customFormat="false" ht="23.25" hidden="false" customHeight="true" outlineLevel="0" collapsed="false">
      <c r="B3776" s="67" t="str">
        <f aca="false">""</f>
        <v/>
      </c>
      <c r="C3776" s="67"/>
      <c r="D3776" s="23" t="str">
        <f aca="false">IFERROR(INDEX(分录收入!$E:$E,MATCH($L3776,分录收入!$L:$L,0)),"")</f>
        <v/>
      </c>
      <c r="E3776" s="23" t="str">
        <f aca="false">IFERROR(INDEX(分录收入!$F:$F,MATCH($L3776,分录收入!$L:$L,0)),"")</f>
        <v/>
      </c>
      <c r="F3776" s="68" t="str">
        <f aca="false">IFERROR(INDEX(分录收入!$H:$H,MATCH($L3776,分录收入!$L:$L,0)),"")</f>
        <v/>
      </c>
      <c r="G3776" s="69" t="str">
        <f aca="false">IFERROR(INDEX(分录收入!$I:$I,MATCH($L3776,分录收入!$L:$L,0)),"")</f>
        <v/>
      </c>
      <c r="H3776" s="23"/>
      <c r="I3776" s="70"/>
      <c r="L3776" s="71" t="n">
        <f aca="false">IF(助手收入!$R$253="",-1,助手收入!$R$253*100+(助手收入!$S$253-1)*6+6)</f>
        <v>-1</v>
      </c>
    </row>
    <row r="3777" customFormat="false" ht="23.25" hidden="false" customHeight="true" outlineLevel="0" collapsed="false">
      <c r="B3777" s="72" t="str">
        <f aca="false">IF(助手收入!$T$253=1,"合计：","")</f>
        <v/>
      </c>
      <c r="C3777" s="73" t="str">
        <f aca="false">IF(助手收入!$T$253=1,$F3777,"")</f>
        <v/>
      </c>
      <c r="D3777" s="74"/>
      <c r="E3777" s="74"/>
      <c r="F3777" s="75" t="str">
        <f aca="false">IF(助手收入!$T$253=1,INDEX(助手收入!$N$2:$N$66,助手收入!$R$253),"")</f>
        <v/>
      </c>
      <c r="G3777" s="76" t="str">
        <f aca="false">IF(助手收入!$T$253=1,INDEX(助手收入!$O$2:$O$66,助手收入!$R$253),"")</f>
        <v/>
      </c>
      <c r="H3777" s="74"/>
      <c r="I3777" s="77"/>
    </row>
    <row r="3778" customFormat="false" ht="6" hidden="false" customHeight="true" outlineLevel="0" collapsed="false"/>
    <row r="3779" customFormat="false" ht="13.5" hidden="false" customHeight="false" outlineLevel="0" collapsed="false">
      <c r="B3779" s="78" t="str">
        <f aca="false">IF(助手收入!$R$253&lt;&gt;"","会计主管：","")</f>
        <v/>
      </c>
      <c r="D3779" s="78" t="str">
        <f aca="false">IF(助手收入!$R$253&lt;&gt;"","会计：","")</f>
        <v/>
      </c>
      <c r="E3779" s="78" t="str">
        <f aca="false">IF(助手收入!$R$253&lt;&gt;"","出纳：","")</f>
        <v/>
      </c>
      <c r="F3779" s="78" t="str">
        <f aca="false">IF(助手收入!$R$253&lt;&gt;"","复核：","")</f>
        <v/>
      </c>
      <c r="G3779" s="78" t="str">
        <f aca="false">IF(助手收入!$R$253&lt;&gt;"","制单：","")</f>
        <v/>
      </c>
    </row>
    <row r="3780" customFormat="false" ht="3" hidden="false" customHeight="true" outlineLevel="0" collapsed="false"/>
    <row r="3781" customFormat="false" ht="19.5" hidden="false" customHeight="true" outlineLevel="0" collapsed="false">
      <c r="B3781" s="53" t="str">
        <f aca="false">IF(助手收入!$R$254&lt;&gt;"","记  账  凭  证","")</f>
        <v/>
      </c>
      <c r="C3781" s="53"/>
      <c r="D3781" s="53"/>
      <c r="E3781" s="53"/>
      <c r="F3781" s="53"/>
      <c r="G3781" s="53"/>
      <c r="H3781" s="53"/>
      <c r="I3781" s="53"/>
    </row>
    <row r="3782" customFormat="false" ht="3" hidden="false" customHeight="true" outlineLevel="0" collapsed="false"/>
    <row r="3783" customFormat="false" ht="15" hidden="false" customHeight="true" outlineLevel="0" collapsed="false">
      <c r="C3783" s="56" t="str">
        <f aca="false">IF(助手收入!$R$254&lt;&gt;"",INDEX(助手收入!$B$2:$B$66,助手收入!$R$254),"")</f>
        <v/>
      </c>
      <c r="D3783" s="57" t="str">
        <f aca="false">IF(助手收入!$R$254&lt;&gt;"",参数!$B$2,"")</f>
        <v/>
      </c>
      <c r="E3783" s="57"/>
      <c r="F3783" s="58" t="str">
        <f aca="false">IF(助手收入!$R$254&lt;&gt;"",INDEX(助手收入!$C$2:$C$66,助手收入!$R$254)&amp;"  字第 "&amp;IF(参数!$B$9="是",INDEX(助手收入!$P$2:$P$66,助手收入!$R$254),"　　　　")&amp;" 号"&amp;IF(INDEX(助手收入!$L$2:$L$66,助手收入!$R$254)&gt;1,"  (共"&amp;INDEX(助手收入!$L$2:$L$66,助手收入!$R$254)&amp;"页 第"&amp;助手收入!$S$254&amp;"页)",""),"")</f>
        <v/>
      </c>
      <c r="G3783" s="58"/>
      <c r="H3783" s="58"/>
      <c r="I3783" s="58"/>
      <c r="M3783" s="79" t="str">
        <f aca="false">IF(助手收入!$R$254="","",助手收入!$Q$254)</f>
        <v/>
      </c>
      <c r="N3783" s="80" t="str">
        <f aca="false">IF(助手收入!$R$254="","",INDEX(助手收入!$P$2:$P$66,助手收入!$R$254))</f>
        <v/>
      </c>
      <c r="O3783" s="55" t="str">
        <f aca="false">IF(助手收入!$R$254="","",INDEX(助手收入!$C$2:$C$66,助手收入!$R$254)&amp;"  字第 "&amp;INDEX(助手收入!$P$2:$P$66,助手收入!$R$254)&amp;" 号"&amp;IF(INDEX(助手收入!$L$2:$L$66,助手收入!$R$254)&gt;1,"  (共"&amp;INDEX(助手收入!$L$2:$L$66,助手收入!$R$254)&amp;"页 第"&amp;助手收入!$S$254&amp;"页)",""))</f>
        <v/>
      </c>
    </row>
    <row r="3784" customFormat="false" ht="12.75" hidden="false" customHeight="true" outlineLevel="0" collapsed="false">
      <c r="B3784" s="61" t="str">
        <f aca="false">IF(助手收入!$R$254&lt;&gt;"","摘　　要","")</f>
        <v/>
      </c>
      <c r="C3784" s="61"/>
      <c r="D3784" s="62" t="str">
        <f aca="false">IF(助手收入!$R$254&lt;&gt;"","科　　　　目","")</f>
        <v/>
      </c>
      <c r="E3784" s="62"/>
      <c r="F3784" s="61" t="str">
        <f aca="false">IF(助手收入!$R$254&lt;&gt;"","借 方 金 额","")</f>
        <v/>
      </c>
      <c r="G3784" s="62" t="str">
        <f aca="false">IF(助手收入!$R$254&lt;&gt;"","贷 方 金 额","")</f>
        <v/>
      </c>
      <c r="H3784" s="63" t="str">
        <f aca="false">IF(助手收入!$R$254&lt;&gt;"","√","")</f>
        <v/>
      </c>
      <c r="I3784" s="64" t="str">
        <f aca="false">IF(助手收入!$R$254&lt;&gt;"","附单据  张","")</f>
        <v/>
      </c>
    </row>
    <row r="3785" customFormat="false" ht="12.75" hidden="false" customHeight="true" outlineLevel="0" collapsed="false">
      <c r="B3785" s="61"/>
      <c r="C3785" s="61"/>
      <c r="D3785" s="23" t="str">
        <f aca="false">IF(助手收入!$R$254&lt;&gt;"","总 账 科 目","")</f>
        <v/>
      </c>
      <c r="E3785" s="23" t="str">
        <f aca="false">IF(助手收入!$R$254&lt;&gt;"","明 细 科 目","")</f>
        <v/>
      </c>
      <c r="F3785" s="65"/>
      <c r="G3785" s="66"/>
      <c r="H3785" s="63"/>
      <c r="I3785" s="64"/>
    </row>
    <row r="3786" customFormat="false" ht="23.25" hidden="false" customHeight="true" outlineLevel="0" collapsed="false">
      <c r="B3786" s="67" t="str">
        <f aca="false">IFERROR(INDEX(分录收入!$M:$M,MATCH($L3786,分录收入!$L:$L,0)),"")</f>
        <v/>
      </c>
      <c r="C3786" s="67"/>
      <c r="D3786" s="23" t="str">
        <f aca="false">IFERROR(INDEX(分录收入!$E:$E,MATCH($L3786,分录收入!$L:$L,0)),"")</f>
        <v/>
      </c>
      <c r="E3786" s="23" t="str">
        <f aca="false">IFERROR(INDEX(分录收入!$F:$F,MATCH($L3786,分录收入!$L:$L,0)),"")</f>
        <v/>
      </c>
      <c r="F3786" s="68" t="str">
        <f aca="false">IFERROR(INDEX(分录收入!$H:$H,MATCH($L3786,分录收入!$L:$L,0)),"")</f>
        <v/>
      </c>
      <c r="G3786" s="69" t="str">
        <f aca="false">IFERROR(INDEX(分录收入!$I:$I,MATCH($L3786,分录收入!$L:$L,0)),"")</f>
        <v/>
      </c>
      <c r="H3786" s="23"/>
      <c r="I3786" s="70"/>
      <c r="L3786" s="71" t="n">
        <f aca="false">IF(助手收入!$R$254="",-1,助手收入!$R$254*100+(助手收入!$S$254-1)*6+1)</f>
        <v>-1</v>
      </c>
    </row>
    <row r="3787" customFormat="false" ht="23.25" hidden="false" customHeight="true" outlineLevel="0" collapsed="false">
      <c r="B3787" s="67" t="str">
        <f aca="false">""</f>
        <v/>
      </c>
      <c r="C3787" s="67"/>
      <c r="D3787" s="23" t="str">
        <f aca="false">IFERROR(INDEX(分录收入!$E:$E,MATCH($L3787,分录收入!$L:$L,0)),"")</f>
        <v/>
      </c>
      <c r="E3787" s="23" t="str">
        <f aca="false">IFERROR(INDEX(分录收入!$F:$F,MATCH($L3787,分录收入!$L:$L,0)),"")</f>
        <v/>
      </c>
      <c r="F3787" s="68" t="str">
        <f aca="false">IFERROR(INDEX(分录收入!$H:$H,MATCH($L3787,分录收入!$L:$L,0)),"")</f>
        <v/>
      </c>
      <c r="G3787" s="69" t="str">
        <f aca="false">IFERROR(INDEX(分录收入!$I:$I,MATCH($L3787,分录收入!$L:$L,0)),"")</f>
        <v/>
      </c>
      <c r="H3787" s="23"/>
      <c r="I3787" s="70"/>
      <c r="L3787" s="71" t="n">
        <f aca="false">IF(助手收入!$R$254="",-1,助手收入!$R$254*100+(助手收入!$S$254-1)*6+2)</f>
        <v>-1</v>
      </c>
    </row>
    <row r="3788" customFormat="false" ht="23.25" hidden="false" customHeight="true" outlineLevel="0" collapsed="false">
      <c r="B3788" s="67" t="str">
        <f aca="false">""</f>
        <v/>
      </c>
      <c r="C3788" s="67"/>
      <c r="D3788" s="23" t="str">
        <f aca="false">IFERROR(INDEX(分录收入!$E:$E,MATCH($L3788,分录收入!$L:$L,0)),"")</f>
        <v/>
      </c>
      <c r="E3788" s="23" t="str">
        <f aca="false">IFERROR(INDEX(分录收入!$F:$F,MATCH($L3788,分录收入!$L:$L,0)),"")</f>
        <v/>
      </c>
      <c r="F3788" s="68" t="str">
        <f aca="false">IFERROR(INDEX(分录收入!$H:$H,MATCH($L3788,分录收入!$L:$L,0)),"")</f>
        <v/>
      </c>
      <c r="G3788" s="69" t="str">
        <f aca="false">IFERROR(INDEX(分录收入!$I:$I,MATCH($L3788,分录收入!$L:$L,0)),"")</f>
        <v/>
      </c>
      <c r="H3788" s="23"/>
      <c r="I3788" s="70"/>
      <c r="L3788" s="71" t="n">
        <f aca="false">IF(助手收入!$R$254="",-1,助手收入!$R$254*100+(助手收入!$S$254-1)*6+3)</f>
        <v>-1</v>
      </c>
    </row>
    <row r="3789" customFormat="false" ht="23.25" hidden="false" customHeight="true" outlineLevel="0" collapsed="false">
      <c r="B3789" s="67" t="str">
        <f aca="false">""</f>
        <v/>
      </c>
      <c r="C3789" s="67"/>
      <c r="D3789" s="23" t="str">
        <f aca="false">IFERROR(INDEX(分录收入!$E:$E,MATCH($L3789,分录收入!$L:$L,0)),"")</f>
        <v/>
      </c>
      <c r="E3789" s="23" t="str">
        <f aca="false">IFERROR(INDEX(分录收入!$F:$F,MATCH($L3789,分录收入!$L:$L,0)),"")</f>
        <v/>
      </c>
      <c r="F3789" s="68" t="str">
        <f aca="false">IFERROR(INDEX(分录收入!$H:$H,MATCH($L3789,分录收入!$L:$L,0)),"")</f>
        <v/>
      </c>
      <c r="G3789" s="69" t="str">
        <f aca="false">IFERROR(INDEX(分录收入!$I:$I,MATCH($L3789,分录收入!$L:$L,0)),"")</f>
        <v/>
      </c>
      <c r="H3789" s="23"/>
      <c r="I3789" s="70"/>
      <c r="L3789" s="71" t="n">
        <f aca="false">IF(助手收入!$R$254="",-1,助手收入!$R$254*100+(助手收入!$S$254-1)*6+4)</f>
        <v>-1</v>
      </c>
    </row>
    <row r="3790" customFormat="false" ht="23.25" hidden="false" customHeight="true" outlineLevel="0" collapsed="false">
      <c r="B3790" s="67" t="str">
        <f aca="false">""</f>
        <v/>
      </c>
      <c r="C3790" s="67"/>
      <c r="D3790" s="23" t="str">
        <f aca="false">IFERROR(INDEX(分录收入!$E:$E,MATCH($L3790,分录收入!$L:$L,0)),"")</f>
        <v/>
      </c>
      <c r="E3790" s="23" t="str">
        <f aca="false">IFERROR(INDEX(分录收入!$F:$F,MATCH($L3790,分录收入!$L:$L,0)),"")</f>
        <v/>
      </c>
      <c r="F3790" s="68" t="str">
        <f aca="false">IFERROR(INDEX(分录收入!$H:$H,MATCH($L3790,分录收入!$L:$L,0)),"")</f>
        <v/>
      </c>
      <c r="G3790" s="69" t="str">
        <f aca="false">IFERROR(INDEX(分录收入!$I:$I,MATCH($L3790,分录收入!$L:$L,0)),"")</f>
        <v/>
      </c>
      <c r="H3790" s="23"/>
      <c r="I3790" s="70"/>
      <c r="L3790" s="71" t="n">
        <f aca="false">IF(助手收入!$R$254="",-1,助手收入!$R$254*100+(助手收入!$S$254-1)*6+5)</f>
        <v>-1</v>
      </c>
    </row>
    <row r="3791" customFormat="false" ht="23.25" hidden="false" customHeight="true" outlineLevel="0" collapsed="false">
      <c r="B3791" s="67" t="str">
        <f aca="false">""</f>
        <v/>
      </c>
      <c r="C3791" s="67"/>
      <c r="D3791" s="23" t="str">
        <f aca="false">IFERROR(INDEX(分录收入!$E:$E,MATCH($L3791,分录收入!$L:$L,0)),"")</f>
        <v/>
      </c>
      <c r="E3791" s="23" t="str">
        <f aca="false">IFERROR(INDEX(分录收入!$F:$F,MATCH($L3791,分录收入!$L:$L,0)),"")</f>
        <v/>
      </c>
      <c r="F3791" s="68" t="str">
        <f aca="false">IFERROR(INDEX(分录收入!$H:$H,MATCH($L3791,分录收入!$L:$L,0)),"")</f>
        <v/>
      </c>
      <c r="G3791" s="69" t="str">
        <f aca="false">IFERROR(INDEX(分录收入!$I:$I,MATCH($L3791,分录收入!$L:$L,0)),"")</f>
        <v/>
      </c>
      <c r="H3791" s="23"/>
      <c r="I3791" s="70"/>
      <c r="L3791" s="71" t="n">
        <f aca="false">IF(助手收入!$R$254="",-1,助手收入!$R$254*100+(助手收入!$S$254-1)*6+6)</f>
        <v>-1</v>
      </c>
    </row>
    <row r="3792" customFormat="false" ht="23.25" hidden="false" customHeight="true" outlineLevel="0" collapsed="false">
      <c r="B3792" s="72" t="str">
        <f aca="false">IF(助手收入!$T$254=1,"合计：","")</f>
        <v/>
      </c>
      <c r="C3792" s="73" t="str">
        <f aca="false">IF(助手收入!$T$254=1,$F3792,"")</f>
        <v/>
      </c>
      <c r="D3792" s="74"/>
      <c r="E3792" s="74"/>
      <c r="F3792" s="75" t="str">
        <f aca="false">IF(助手收入!$T$254=1,INDEX(助手收入!$N$2:$N$66,助手收入!$R$254),"")</f>
        <v/>
      </c>
      <c r="G3792" s="76" t="str">
        <f aca="false">IF(助手收入!$T$254=1,INDEX(助手收入!$O$2:$O$66,助手收入!$R$254),"")</f>
        <v/>
      </c>
      <c r="H3792" s="74"/>
      <c r="I3792" s="77"/>
    </row>
    <row r="3793" customFormat="false" ht="6" hidden="false" customHeight="true" outlineLevel="0" collapsed="false"/>
    <row r="3794" customFormat="false" ht="13.5" hidden="false" customHeight="false" outlineLevel="0" collapsed="false">
      <c r="B3794" s="78" t="str">
        <f aca="false">IF(助手收入!$R$254&lt;&gt;"","会计主管：","")</f>
        <v/>
      </c>
      <c r="D3794" s="78" t="str">
        <f aca="false">IF(助手收入!$R$254&lt;&gt;"","会计：","")</f>
        <v/>
      </c>
      <c r="E3794" s="78" t="str">
        <f aca="false">IF(助手收入!$R$254&lt;&gt;"","出纳：","")</f>
        <v/>
      </c>
      <c r="F3794" s="78" t="str">
        <f aca="false">IF(助手收入!$R$254&lt;&gt;"","复核：","")</f>
        <v/>
      </c>
      <c r="G3794" s="78" t="str">
        <f aca="false">IF(助手收入!$R$254&lt;&gt;"","制单：","")</f>
        <v/>
      </c>
    </row>
    <row r="3795" customFormat="false" ht="3" hidden="false" customHeight="true" outlineLevel="0" collapsed="false"/>
    <row r="3796" customFormat="false" ht="19.5" hidden="false" customHeight="true" outlineLevel="0" collapsed="false">
      <c r="B3796" s="53" t="str">
        <f aca="false">IF(助手收入!$R$255&lt;&gt;"","记  账  凭  证","")</f>
        <v/>
      </c>
      <c r="C3796" s="53"/>
      <c r="D3796" s="53"/>
      <c r="E3796" s="53"/>
      <c r="F3796" s="53"/>
      <c r="G3796" s="53"/>
      <c r="H3796" s="53"/>
      <c r="I3796" s="53"/>
    </row>
    <row r="3797" customFormat="false" ht="3" hidden="false" customHeight="true" outlineLevel="0" collapsed="false"/>
    <row r="3798" customFormat="false" ht="15" hidden="false" customHeight="true" outlineLevel="0" collapsed="false">
      <c r="C3798" s="56" t="str">
        <f aca="false">IF(助手收入!$R$255&lt;&gt;"",INDEX(助手收入!$B$2:$B$66,助手收入!$R$255),"")</f>
        <v/>
      </c>
      <c r="D3798" s="57" t="str">
        <f aca="false">IF(助手收入!$R$255&lt;&gt;"",参数!$B$2,"")</f>
        <v/>
      </c>
      <c r="E3798" s="57"/>
      <c r="F3798" s="58" t="str">
        <f aca="false">IF(助手收入!$R$255&lt;&gt;"",INDEX(助手收入!$C$2:$C$66,助手收入!$R$255)&amp;"  字第 "&amp;IF(参数!$B$9="是",INDEX(助手收入!$P$2:$P$66,助手收入!$R$255),"　　　　")&amp;" 号"&amp;IF(INDEX(助手收入!$L$2:$L$66,助手收入!$R$255)&gt;1,"  (共"&amp;INDEX(助手收入!$L$2:$L$66,助手收入!$R$255)&amp;"页 第"&amp;助手收入!$S$255&amp;"页)",""),"")</f>
        <v/>
      </c>
      <c r="G3798" s="58"/>
      <c r="H3798" s="58"/>
      <c r="I3798" s="58"/>
      <c r="M3798" s="79" t="str">
        <f aca="false">IF(助手收入!$R$255="","",助手收入!$Q$255)</f>
        <v/>
      </c>
      <c r="N3798" s="80" t="str">
        <f aca="false">IF(助手收入!$R$255="","",INDEX(助手收入!$P$2:$P$66,助手收入!$R$255))</f>
        <v/>
      </c>
      <c r="O3798" s="55" t="str">
        <f aca="false">IF(助手收入!$R$255="","",INDEX(助手收入!$C$2:$C$66,助手收入!$R$255)&amp;"  字第 "&amp;INDEX(助手收入!$P$2:$P$66,助手收入!$R$255)&amp;" 号"&amp;IF(INDEX(助手收入!$L$2:$L$66,助手收入!$R$255)&gt;1,"  (共"&amp;INDEX(助手收入!$L$2:$L$66,助手收入!$R$255)&amp;"页 第"&amp;助手收入!$S$255&amp;"页)",""))</f>
        <v/>
      </c>
    </row>
    <row r="3799" customFormat="false" ht="12.75" hidden="false" customHeight="true" outlineLevel="0" collapsed="false">
      <c r="B3799" s="61" t="str">
        <f aca="false">IF(助手收入!$R$255&lt;&gt;"","摘　　要","")</f>
        <v/>
      </c>
      <c r="C3799" s="61"/>
      <c r="D3799" s="62" t="str">
        <f aca="false">IF(助手收入!$R$255&lt;&gt;"","科　　　　目","")</f>
        <v/>
      </c>
      <c r="E3799" s="62"/>
      <c r="F3799" s="61" t="str">
        <f aca="false">IF(助手收入!$R$255&lt;&gt;"","借 方 金 额","")</f>
        <v/>
      </c>
      <c r="G3799" s="62" t="str">
        <f aca="false">IF(助手收入!$R$255&lt;&gt;"","贷 方 金 额","")</f>
        <v/>
      </c>
      <c r="H3799" s="63" t="str">
        <f aca="false">IF(助手收入!$R$255&lt;&gt;"","√","")</f>
        <v/>
      </c>
      <c r="I3799" s="64" t="str">
        <f aca="false">IF(助手收入!$R$255&lt;&gt;"","附单据  张","")</f>
        <v/>
      </c>
    </row>
    <row r="3800" customFormat="false" ht="12.75" hidden="false" customHeight="true" outlineLevel="0" collapsed="false">
      <c r="B3800" s="61"/>
      <c r="C3800" s="61"/>
      <c r="D3800" s="23" t="str">
        <f aca="false">IF(助手收入!$R$255&lt;&gt;"","总 账 科 目","")</f>
        <v/>
      </c>
      <c r="E3800" s="23" t="str">
        <f aca="false">IF(助手收入!$R$255&lt;&gt;"","明 细 科 目","")</f>
        <v/>
      </c>
      <c r="F3800" s="65"/>
      <c r="G3800" s="66"/>
      <c r="H3800" s="63"/>
      <c r="I3800" s="64"/>
    </row>
    <row r="3801" customFormat="false" ht="23.25" hidden="false" customHeight="true" outlineLevel="0" collapsed="false">
      <c r="B3801" s="67" t="str">
        <f aca="false">IFERROR(INDEX(分录收入!$M:$M,MATCH($L3801,分录收入!$L:$L,0)),"")</f>
        <v/>
      </c>
      <c r="C3801" s="67"/>
      <c r="D3801" s="23" t="str">
        <f aca="false">IFERROR(INDEX(分录收入!$E:$E,MATCH($L3801,分录收入!$L:$L,0)),"")</f>
        <v/>
      </c>
      <c r="E3801" s="23" t="str">
        <f aca="false">IFERROR(INDEX(分录收入!$F:$F,MATCH($L3801,分录收入!$L:$L,0)),"")</f>
        <v/>
      </c>
      <c r="F3801" s="68" t="str">
        <f aca="false">IFERROR(INDEX(分录收入!$H:$H,MATCH($L3801,分录收入!$L:$L,0)),"")</f>
        <v/>
      </c>
      <c r="G3801" s="69" t="str">
        <f aca="false">IFERROR(INDEX(分录收入!$I:$I,MATCH($L3801,分录收入!$L:$L,0)),"")</f>
        <v/>
      </c>
      <c r="H3801" s="23"/>
      <c r="I3801" s="70"/>
      <c r="L3801" s="71" t="n">
        <f aca="false">IF(助手收入!$R$255="",-1,助手收入!$R$255*100+(助手收入!$S$255-1)*6+1)</f>
        <v>-1</v>
      </c>
    </row>
    <row r="3802" customFormat="false" ht="23.25" hidden="false" customHeight="true" outlineLevel="0" collapsed="false">
      <c r="B3802" s="67" t="str">
        <f aca="false">""</f>
        <v/>
      </c>
      <c r="C3802" s="67"/>
      <c r="D3802" s="23" t="str">
        <f aca="false">IFERROR(INDEX(分录收入!$E:$E,MATCH($L3802,分录收入!$L:$L,0)),"")</f>
        <v/>
      </c>
      <c r="E3802" s="23" t="str">
        <f aca="false">IFERROR(INDEX(分录收入!$F:$F,MATCH($L3802,分录收入!$L:$L,0)),"")</f>
        <v/>
      </c>
      <c r="F3802" s="68" t="str">
        <f aca="false">IFERROR(INDEX(分录收入!$H:$H,MATCH($L3802,分录收入!$L:$L,0)),"")</f>
        <v/>
      </c>
      <c r="G3802" s="69" t="str">
        <f aca="false">IFERROR(INDEX(分录收入!$I:$I,MATCH($L3802,分录收入!$L:$L,0)),"")</f>
        <v/>
      </c>
      <c r="H3802" s="23"/>
      <c r="I3802" s="70"/>
      <c r="L3802" s="71" t="n">
        <f aca="false">IF(助手收入!$R$255="",-1,助手收入!$R$255*100+(助手收入!$S$255-1)*6+2)</f>
        <v>-1</v>
      </c>
    </row>
    <row r="3803" customFormat="false" ht="23.25" hidden="false" customHeight="true" outlineLevel="0" collapsed="false">
      <c r="B3803" s="67" t="str">
        <f aca="false">""</f>
        <v/>
      </c>
      <c r="C3803" s="67"/>
      <c r="D3803" s="23" t="str">
        <f aca="false">IFERROR(INDEX(分录收入!$E:$E,MATCH($L3803,分录收入!$L:$L,0)),"")</f>
        <v/>
      </c>
      <c r="E3803" s="23" t="str">
        <f aca="false">IFERROR(INDEX(分录收入!$F:$F,MATCH($L3803,分录收入!$L:$L,0)),"")</f>
        <v/>
      </c>
      <c r="F3803" s="68" t="str">
        <f aca="false">IFERROR(INDEX(分录收入!$H:$H,MATCH($L3803,分录收入!$L:$L,0)),"")</f>
        <v/>
      </c>
      <c r="G3803" s="69" t="str">
        <f aca="false">IFERROR(INDEX(分录收入!$I:$I,MATCH($L3803,分录收入!$L:$L,0)),"")</f>
        <v/>
      </c>
      <c r="H3803" s="23"/>
      <c r="I3803" s="70"/>
      <c r="L3803" s="71" t="n">
        <f aca="false">IF(助手收入!$R$255="",-1,助手收入!$R$255*100+(助手收入!$S$255-1)*6+3)</f>
        <v>-1</v>
      </c>
    </row>
    <row r="3804" customFormat="false" ht="23.25" hidden="false" customHeight="true" outlineLevel="0" collapsed="false">
      <c r="B3804" s="67" t="str">
        <f aca="false">""</f>
        <v/>
      </c>
      <c r="C3804" s="67"/>
      <c r="D3804" s="23" t="str">
        <f aca="false">IFERROR(INDEX(分录收入!$E:$E,MATCH($L3804,分录收入!$L:$L,0)),"")</f>
        <v/>
      </c>
      <c r="E3804" s="23" t="str">
        <f aca="false">IFERROR(INDEX(分录收入!$F:$F,MATCH($L3804,分录收入!$L:$L,0)),"")</f>
        <v/>
      </c>
      <c r="F3804" s="68" t="str">
        <f aca="false">IFERROR(INDEX(分录收入!$H:$H,MATCH($L3804,分录收入!$L:$L,0)),"")</f>
        <v/>
      </c>
      <c r="G3804" s="69" t="str">
        <f aca="false">IFERROR(INDEX(分录收入!$I:$I,MATCH($L3804,分录收入!$L:$L,0)),"")</f>
        <v/>
      </c>
      <c r="H3804" s="23"/>
      <c r="I3804" s="70"/>
      <c r="L3804" s="71" t="n">
        <f aca="false">IF(助手收入!$R$255="",-1,助手收入!$R$255*100+(助手收入!$S$255-1)*6+4)</f>
        <v>-1</v>
      </c>
    </row>
    <row r="3805" customFormat="false" ht="23.25" hidden="false" customHeight="true" outlineLevel="0" collapsed="false">
      <c r="B3805" s="67" t="str">
        <f aca="false">""</f>
        <v/>
      </c>
      <c r="C3805" s="67"/>
      <c r="D3805" s="23" t="str">
        <f aca="false">IFERROR(INDEX(分录收入!$E:$E,MATCH($L3805,分录收入!$L:$L,0)),"")</f>
        <v/>
      </c>
      <c r="E3805" s="23" t="str">
        <f aca="false">IFERROR(INDEX(分录收入!$F:$F,MATCH($L3805,分录收入!$L:$L,0)),"")</f>
        <v/>
      </c>
      <c r="F3805" s="68" t="str">
        <f aca="false">IFERROR(INDEX(分录收入!$H:$H,MATCH($L3805,分录收入!$L:$L,0)),"")</f>
        <v/>
      </c>
      <c r="G3805" s="69" t="str">
        <f aca="false">IFERROR(INDEX(分录收入!$I:$I,MATCH($L3805,分录收入!$L:$L,0)),"")</f>
        <v/>
      </c>
      <c r="H3805" s="23"/>
      <c r="I3805" s="70"/>
      <c r="L3805" s="71" t="n">
        <f aca="false">IF(助手收入!$R$255="",-1,助手收入!$R$255*100+(助手收入!$S$255-1)*6+5)</f>
        <v>-1</v>
      </c>
    </row>
    <row r="3806" customFormat="false" ht="23.25" hidden="false" customHeight="true" outlineLevel="0" collapsed="false">
      <c r="B3806" s="67" t="str">
        <f aca="false">""</f>
        <v/>
      </c>
      <c r="C3806" s="67"/>
      <c r="D3806" s="23" t="str">
        <f aca="false">IFERROR(INDEX(分录收入!$E:$E,MATCH($L3806,分录收入!$L:$L,0)),"")</f>
        <v/>
      </c>
      <c r="E3806" s="23" t="str">
        <f aca="false">IFERROR(INDEX(分录收入!$F:$F,MATCH($L3806,分录收入!$L:$L,0)),"")</f>
        <v/>
      </c>
      <c r="F3806" s="68" t="str">
        <f aca="false">IFERROR(INDEX(分录收入!$H:$H,MATCH($L3806,分录收入!$L:$L,0)),"")</f>
        <v/>
      </c>
      <c r="G3806" s="69" t="str">
        <f aca="false">IFERROR(INDEX(分录收入!$I:$I,MATCH($L3806,分录收入!$L:$L,0)),"")</f>
        <v/>
      </c>
      <c r="H3806" s="23"/>
      <c r="I3806" s="70"/>
      <c r="L3806" s="71" t="n">
        <f aca="false">IF(助手收入!$R$255="",-1,助手收入!$R$255*100+(助手收入!$S$255-1)*6+6)</f>
        <v>-1</v>
      </c>
    </row>
    <row r="3807" customFormat="false" ht="23.25" hidden="false" customHeight="true" outlineLevel="0" collapsed="false">
      <c r="B3807" s="72" t="str">
        <f aca="false">IF(助手收入!$T$255=1,"合计：","")</f>
        <v/>
      </c>
      <c r="C3807" s="73" t="str">
        <f aca="false">IF(助手收入!$T$255=1,$F3807,"")</f>
        <v/>
      </c>
      <c r="D3807" s="74"/>
      <c r="E3807" s="74"/>
      <c r="F3807" s="75" t="str">
        <f aca="false">IF(助手收入!$T$255=1,INDEX(助手收入!$N$2:$N$66,助手收入!$R$255),"")</f>
        <v/>
      </c>
      <c r="G3807" s="76" t="str">
        <f aca="false">IF(助手收入!$T$255=1,INDEX(助手收入!$O$2:$O$66,助手收入!$R$255),"")</f>
        <v/>
      </c>
      <c r="H3807" s="74"/>
      <c r="I3807" s="77"/>
    </row>
    <row r="3808" customFormat="false" ht="6" hidden="false" customHeight="true" outlineLevel="0" collapsed="false"/>
    <row r="3809" customFormat="false" ht="13.5" hidden="false" customHeight="false" outlineLevel="0" collapsed="false">
      <c r="B3809" s="78" t="str">
        <f aca="false">IF(助手收入!$R$255&lt;&gt;"","会计主管：","")</f>
        <v/>
      </c>
      <c r="D3809" s="78" t="str">
        <f aca="false">IF(助手收入!$R$255&lt;&gt;"","会计：","")</f>
        <v/>
      </c>
      <c r="E3809" s="78" t="str">
        <f aca="false">IF(助手收入!$R$255&lt;&gt;"","出纳：","")</f>
        <v/>
      </c>
      <c r="F3809" s="78" t="str">
        <f aca="false">IF(助手收入!$R$255&lt;&gt;"","复核：","")</f>
        <v/>
      </c>
      <c r="G3809" s="78" t="str">
        <f aca="false">IF(助手收入!$R$255&lt;&gt;"","制单：","")</f>
        <v/>
      </c>
    </row>
    <row r="3810" customFormat="false" ht="3" hidden="false" customHeight="true" outlineLevel="0" collapsed="false"/>
    <row r="3811" customFormat="false" ht="19.5" hidden="false" customHeight="true" outlineLevel="0" collapsed="false">
      <c r="B3811" s="53" t="str">
        <f aca="false">IF(助手收入!$R$256&lt;&gt;"","记  账  凭  证","")</f>
        <v/>
      </c>
      <c r="C3811" s="53"/>
      <c r="D3811" s="53"/>
      <c r="E3811" s="53"/>
      <c r="F3811" s="53"/>
      <c r="G3811" s="53"/>
      <c r="H3811" s="53"/>
      <c r="I3811" s="53"/>
    </row>
    <row r="3812" customFormat="false" ht="3" hidden="false" customHeight="true" outlineLevel="0" collapsed="false"/>
    <row r="3813" customFormat="false" ht="15" hidden="false" customHeight="true" outlineLevel="0" collapsed="false">
      <c r="C3813" s="56" t="str">
        <f aca="false">IF(助手收入!$R$256&lt;&gt;"",INDEX(助手收入!$B$2:$B$66,助手收入!$R$256),"")</f>
        <v/>
      </c>
      <c r="D3813" s="57" t="str">
        <f aca="false">IF(助手收入!$R$256&lt;&gt;"",参数!$B$2,"")</f>
        <v/>
      </c>
      <c r="E3813" s="57"/>
      <c r="F3813" s="58" t="str">
        <f aca="false">IF(助手收入!$R$256&lt;&gt;"",INDEX(助手收入!$C$2:$C$66,助手收入!$R$256)&amp;"  字第 "&amp;IF(参数!$B$9="是",INDEX(助手收入!$P$2:$P$66,助手收入!$R$256),"　　　　")&amp;" 号"&amp;IF(INDEX(助手收入!$L$2:$L$66,助手收入!$R$256)&gt;1,"  (共"&amp;INDEX(助手收入!$L$2:$L$66,助手收入!$R$256)&amp;"页 第"&amp;助手收入!$S$256&amp;"页)",""),"")</f>
        <v/>
      </c>
      <c r="G3813" s="58"/>
      <c r="H3813" s="58"/>
      <c r="I3813" s="58"/>
      <c r="M3813" s="79" t="str">
        <f aca="false">IF(助手收入!$R$256="","",助手收入!$Q$256)</f>
        <v/>
      </c>
      <c r="N3813" s="80" t="str">
        <f aca="false">IF(助手收入!$R$256="","",INDEX(助手收入!$P$2:$P$66,助手收入!$R$256))</f>
        <v/>
      </c>
      <c r="O3813" s="55" t="str">
        <f aca="false">IF(助手收入!$R$256="","",INDEX(助手收入!$C$2:$C$66,助手收入!$R$256)&amp;"  字第 "&amp;INDEX(助手收入!$P$2:$P$66,助手收入!$R$256)&amp;" 号"&amp;IF(INDEX(助手收入!$L$2:$L$66,助手收入!$R$256)&gt;1,"  (共"&amp;INDEX(助手收入!$L$2:$L$66,助手收入!$R$256)&amp;"页 第"&amp;助手收入!$S$256&amp;"页)",""))</f>
        <v/>
      </c>
    </row>
    <row r="3814" customFormat="false" ht="12.75" hidden="false" customHeight="true" outlineLevel="0" collapsed="false">
      <c r="B3814" s="61" t="str">
        <f aca="false">IF(助手收入!$R$256&lt;&gt;"","摘　　要","")</f>
        <v/>
      </c>
      <c r="C3814" s="61"/>
      <c r="D3814" s="62" t="str">
        <f aca="false">IF(助手收入!$R$256&lt;&gt;"","科　　　　目","")</f>
        <v/>
      </c>
      <c r="E3814" s="62"/>
      <c r="F3814" s="61" t="str">
        <f aca="false">IF(助手收入!$R$256&lt;&gt;"","借 方 金 额","")</f>
        <v/>
      </c>
      <c r="G3814" s="62" t="str">
        <f aca="false">IF(助手收入!$R$256&lt;&gt;"","贷 方 金 额","")</f>
        <v/>
      </c>
      <c r="H3814" s="63" t="str">
        <f aca="false">IF(助手收入!$R$256&lt;&gt;"","√","")</f>
        <v/>
      </c>
      <c r="I3814" s="64" t="str">
        <f aca="false">IF(助手收入!$R$256&lt;&gt;"","附单据  张","")</f>
        <v/>
      </c>
    </row>
    <row r="3815" customFormat="false" ht="12.75" hidden="false" customHeight="true" outlineLevel="0" collapsed="false">
      <c r="B3815" s="61"/>
      <c r="C3815" s="61"/>
      <c r="D3815" s="23" t="str">
        <f aca="false">IF(助手收入!$R$256&lt;&gt;"","总 账 科 目","")</f>
        <v/>
      </c>
      <c r="E3815" s="23" t="str">
        <f aca="false">IF(助手收入!$R$256&lt;&gt;"","明 细 科 目","")</f>
        <v/>
      </c>
      <c r="F3815" s="65"/>
      <c r="G3815" s="66"/>
      <c r="H3815" s="63"/>
      <c r="I3815" s="64"/>
    </row>
    <row r="3816" customFormat="false" ht="23.25" hidden="false" customHeight="true" outlineLevel="0" collapsed="false">
      <c r="B3816" s="67" t="str">
        <f aca="false">IFERROR(INDEX(分录收入!$M:$M,MATCH($L3816,分录收入!$L:$L,0)),"")</f>
        <v/>
      </c>
      <c r="C3816" s="67"/>
      <c r="D3816" s="23" t="str">
        <f aca="false">IFERROR(INDEX(分录收入!$E:$E,MATCH($L3816,分录收入!$L:$L,0)),"")</f>
        <v/>
      </c>
      <c r="E3816" s="23" t="str">
        <f aca="false">IFERROR(INDEX(分录收入!$F:$F,MATCH($L3816,分录收入!$L:$L,0)),"")</f>
        <v/>
      </c>
      <c r="F3816" s="68" t="str">
        <f aca="false">IFERROR(INDEX(分录收入!$H:$H,MATCH($L3816,分录收入!$L:$L,0)),"")</f>
        <v/>
      </c>
      <c r="G3816" s="69" t="str">
        <f aca="false">IFERROR(INDEX(分录收入!$I:$I,MATCH($L3816,分录收入!$L:$L,0)),"")</f>
        <v/>
      </c>
      <c r="H3816" s="23"/>
      <c r="I3816" s="70"/>
      <c r="L3816" s="71" t="n">
        <f aca="false">IF(助手收入!$R$256="",-1,助手收入!$R$256*100+(助手收入!$S$256-1)*6+1)</f>
        <v>-1</v>
      </c>
    </row>
    <row r="3817" customFormat="false" ht="23.25" hidden="false" customHeight="true" outlineLevel="0" collapsed="false">
      <c r="B3817" s="67" t="str">
        <f aca="false">""</f>
        <v/>
      </c>
      <c r="C3817" s="67"/>
      <c r="D3817" s="23" t="str">
        <f aca="false">IFERROR(INDEX(分录收入!$E:$E,MATCH($L3817,分录收入!$L:$L,0)),"")</f>
        <v/>
      </c>
      <c r="E3817" s="23" t="str">
        <f aca="false">IFERROR(INDEX(分录收入!$F:$F,MATCH($L3817,分录收入!$L:$L,0)),"")</f>
        <v/>
      </c>
      <c r="F3817" s="68" t="str">
        <f aca="false">IFERROR(INDEX(分录收入!$H:$H,MATCH($L3817,分录收入!$L:$L,0)),"")</f>
        <v/>
      </c>
      <c r="G3817" s="69" t="str">
        <f aca="false">IFERROR(INDEX(分录收入!$I:$I,MATCH($L3817,分录收入!$L:$L,0)),"")</f>
        <v/>
      </c>
      <c r="H3817" s="23"/>
      <c r="I3817" s="70"/>
      <c r="L3817" s="71" t="n">
        <f aca="false">IF(助手收入!$R$256="",-1,助手收入!$R$256*100+(助手收入!$S$256-1)*6+2)</f>
        <v>-1</v>
      </c>
    </row>
    <row r="3818" customFormat="false" ht="23.25" hidden="false" customHeight="true" outlineLevel="0" collapsed="false">
      <c r="B3818" s="67" t="str">
        <f aca="false">""</f>
        <v/>
      </c>
      <c r="C3818" s="67"/>
      <c r="D3818" s="23" t="str">
        <f aca="false">IFERROR(INDEX(分录收入!$E:$E,MATCH($L3818,分录收入!$L:$L,0)),"")</f>
        <v/>
      </c>
      <c r="E3818" s="23" t="str">
        <f aca="false">IFERROR(INDEX(分录收入!$F:$F,MATCH($L3818,分录收入!$L:$L,0)),"")</f>
        <v/>
      </c>
      <c r="F3818" s="68" t="str">
        <f aca="false">IFERROR(INDEX(分录收入!$H:$H,MATCH($L3818,分录收入!$L:$L,0)),"")</f>
        <v/>
      </c>
      <c r="G3818" s="69" t="str">
        <f aca="false">IFERROR(INDEX(分录收入!$I:$I,MATCH($L3818,分录收入!$L:$L,0)),"")</f>
        <v/>
      </c>
      <c r="H3818" s="23"/>
      <c r="I3818" s="70"/>
      <c r="L3818" s="71" t="n">
        <f aca="false">IF(助手收入!$R$256="",-1,助手收入!$R$256*100+(助手收入!$S$256-1)*6+3)</f>
        <v>-1</v>
      </c>
    </row>
    <row r="3819" customFormat="false" ht="23.25" hidden="false" customHeight="true" outlineLevel="0" collapsed="false">
      <c r="B3819" s="67" t="str">
        <f aca="false">""</f>
        <v/>
      </c>
      <c r="C3819" s="67"/>
      <c r="D3819" s="23" t="str">
        <f aca="false">IFERROR(INDEX(分录收入!$E:$E,MATCH($L3819,分录收入!$L:$L,0)),"")</f>
        <v/>
      </c>
      <c r="E3819" s="23" t="str">
        <f aca="false">IFERROR(INDEX(分录收入!$F:$F,MATCH($L3819,分录收入!$L:$L,0)),"")</f>
        <v/>
      </c>
      <c r="F3819" s="68" t="str">
        <f aca="false">IFERROR(INDEX(分录收入!$H:$H,MATCH($L3819,分录收入!$L:$L,0)),"")</f>
        <v/>
      </c>
      <c r="G3819" s="69" t="str">
        <f aca="false">IFERROR(INDEX(分录收入!$I:$I,MATCH($L3819,分录收入!$L:$L,0)),"")</f>
        <v/>
      </c>
      <c r="H3819" s="23"/>
      <c r="I3819" s="70"/>
      <c r="L3819" s="71" t="n">
        <f aca="false">IF(助手收入!$R$256="",-1,助手收入!$R$256*100+(助手收入!$S$256-1)*6+4)</f>
        <v>-1</v>
      </c>
    </row>
    <row r="3820" customFormat="false" ht="23.25" hidden="false" customHeight="true" outlineLevel="0" collapsed="false">
      <c r="B3820" s="67" t="str">
        <f aca="false">""</f>
        <v/>
      </c>
      <c r="C3820" s="67"/>
      <c r="D3820" s="23" t="str">
        <f aca="false">IFERROR(INDEX(分录收入!$E:$E,MATCH($L3820,分录收入!$L:$L,0)),"")</f>
        <v/>
      </c>
      <c r="E3820" s="23" t="str">
        <f aca="false">IFERROR(INDEX(分录收入!$F:$F,MATCH($L3820,分录收入!$L:$L,0)),"")</f>
        <v/>
      </c>
      <c r="F3820" s="68" t="str">
        <f aca="false">IFERROR(INDEX(分录收入!$H:$H,MATCH($L3820,分录收入!$L:$L,0)),"")</f>
        <v/>
      </c>
      <c r="G3820" s="69" t="str">
        <f aca="false">IFERROR(INDEX(分录收入!$I:$I,MATCH($L3820,分录收入!$L:$L,0)),"")</f>
        <v/>
      </c>
      <c r="H3820" s="23"/>
      <c r="I3820" s="70"/>
      <c r="L3820" s="71" t="n">
        <f aca="false">IF(助手收入!$R$256="",-1,助手收入!$R$256*100+(助手收入!$S$256-1)*6+5)</f>
        <v>-1</v>
      </c>
    </row>
    <row r="3821" customFormat="false" ht="23.25" hidden="false" customHeight="true" outlineLevel="0" collapsed="false">
      <c r="B3821" s="67" t="str">
        <f aca="false">""</f>
        <v/>
      </c>
      <c r="C3821" s="67"/>
      <c r="D3821" s="23" t="str">
        <f aca="false">IFERROR(INDEX(分录收入!$E:$E,MATCH($L3821,分录收入!$L:$L,0)),"")</f>
        <v/>
      </c>
      <c r="E3821" s="23" t="str">
        <f aca="false">IFERROR(INDEX(分录收入!$F:$F,MATCH($L3821,分录收入!$L:$L,0)),"")</f>
        <v/>
      </c>
      <c r="F3821" s="68" t="str">
        <f aca="false">IFERROR(INDEX(分录收入!$H:$H,MATCH($L3821,分录收入!$L:$L,0)),"")</f>
        <v/>
      </c>
      <c r="G3821" s="69" t="str">
        <f aca="false">IFERROR(INDEX(分录收入!$I:$I,MATCH($L3821,分录收入!$L:$L,0)),"")</f>
        <v/>
      </c>
      <c r="H3821" s="23"/>
      <c r="I3821" s="70"/>
      <c r="L3821" s="71" t="n">
        <f aca="false">IF(助手收入!$R$256="",-1,助手收入!$R$256*100+(助手收入!$S$256-1)*6+6)</f>
        <v>-1</v>
      </c>
    </row>
    <row r="3822" customFormat="false" ht="23.25" hidden="false" customHeight="true" outlineLevel="0" collapsed="false">
      <c r="B3822" s="72" t="str">
        <f aca="false">IF(助手收入!$T$256=1,"合计：","")</f>
        <v/>
      </c>
      <c r="C3822" s="73" t="str">
        <f aca="false">IF(助手收入!$T$256=1,$F3822,"")</f>
        <v/>
      </c>
      <c r="D3822" s="74"/>
      <c r="E3822" s="74"/>
      <c r="F3822" s="75" t="str">
        <f aca="false">IF(助手收入!$T$256=1,INDEX(助手收入!$N$2:$N$66,助手收入!$R$256),"")</f>
        <v/>
      </c>
      <c r="G3822" s="76" t="str">
        <f aca="false">IF(助手收入!$T$256=1,INDEX(助手收入!$O$2:$O$66,助手收入!$R$256),"")</f>
        <v/>
      </c>
      <c r="H3822" s="74"/>
      <c r="I3822" s="77"/>
    </row>
    <row r="3823" customFormat="false" ht="6" hidden="false" customHeight="true" outlineLevel="0" collapsed="false"/>
    <row r="3824" customFormat="false" ht="13.5" hidden="false" customHeight="false" outlineLevel="0" collapsed="false">
      <c r="B3824" s="78" t="str">
        <f aca="false">IF(助手收入!$R$256&lt;&gt;"","会计主管：","")</f>
        <v/>
      </c>
      <c r="D3824" s="78" t="str">
        <f aca="false">IF(助手收入!$R$256&lt;&gt;"","会计：","")</f>
        <v/>
      </c>
      <c r="E3824" s="78" t="str">
        <f aca="false">IF(助手收入!$R$256&lt;&gt;"","出纳：","")</f>
        <v/>
      </c>
      <c r="F3824" s="78" t="str">
        <f aca="false">IF(助手收入!$R$256&lt;&gt;"","复核：","")</f>
        <v/>
      </c>
      <c r="G3824" s="78" t="str">
        <f aca="false">IF(助手收入!$R$256&lt;&gt;"","制单：","")</f>
        <v/>
      </c>
    </row>
    <row r="3825" customFormat="false" ht="3" hidden="false" customHeight="true" outlineLevel="0" collapsed="false"/>
    <row r="3826" customFormat="false" ht="19.5" hidden="false" customHeight="true" outlineLevel="0" collapsed="false">
      <c r="B3826" s="53" t="str">
        <f aca="false">IF(助手收入!$R$257&lt;&gt;"","记  账  凭  证","")</f>
        <v/>
      </c>
      <c r="C3826" s="53"/>
      <c r="D3826" s="53"/>
      <c r="E3826" s="53"/>
      <c r="F3826" s="53"/>
      <c r="G3826" s="53"/>
      <c r="H3826" s="53"/>
      <c r="I3826" s="53"/>
    </row>
    <row r="3827" customFormat="false" ht="3" hidden="false" customHeight="true" outlineLevel="0" collapsed="false"/>
    <row r="3828" customFormat="false" ht="15" hidden="false" customHeight="true" outlineLevel="0" collapsed="false">
      <c r="C3828" s="56" t="str">
        <f aca="false">IF(助手收入!$R$257&lt;&gt;"",INDEX(助手收入!$B$2:$B$66,助手收入!$R$257),"")</f>
        <v/>
      </c>
      <c r="D3828" s="57" t="str">
        <f aca="false">IF(助手收入!$R$257&lt;&gt;"",参数!$B$2,"")</f>
        <v/>
      </c>
      <c r="E3828" s="57"/>
      <c r="F3828" s="58" t="str">
        <f aca="false">IF(助手收入!$R$257&lt;&gt;"",INDEX(助手收入!$C$2:$C$66,助手收入!$R$257)&amp;"  字第 "&amp;IF(参数!$B$9="是",INDEX(助手收入!$P$2:$P$66,助手收入!$R$257),"　　　　")&amp;" 号"&amp;IF(INDEX(助手收入!$L$2:$L$66,助手收入!$R$257)&gt;1,"  (共"&amp;INDEX(助手收入!$L$2:$L$66,助手收入!$R$257)&amp;"页 第"&amp;助手收入!$S$257&amp;"页)",""),"")</f>
        <v/>
      </c>
      <c r="G3828" s="58"/>
      <c r="H3828" s="58"/>
      <c r="I3828" s="58"/>
      <c r="M3828" s="79" t="str">
        <f aca="false">IF(助手收入!$R$257="","",助手收入!$Q$257)</f>
        <v/>
      </c>
      <c r="N3828" s="80" t="str">
        <f aca="false">IF(助手收入!$R$257="","",INDEX(助手收入!$P$2:$P$66,助手收入!$R$257))</f>
        <v/>
      </c>
      <c r="O3828" s="55" t="str">
        <f aca="false">IF(助手收入!$R$257="","",INDEX(助手收入!$C$2:$C$66,助手收入!$R$257)&amp;"  字第 "&amp;INDEX(助手收入!$P$2:$P$66,助手收入!$R$257)&amp;" 号"&amp;IF(INDEX(助手收入!$L$2:$L$66,助手收入!$R$257)&gt;1,"  (共"&amp;INDEX(助手收入!$L$2:$L$66,助手收入!$R$257)&amp;"页 第"&amp;助手收入!$S$257&amp;"页)",""))</f>
        <v/>
      </c>
    </row>
    <row r="3829" customFormat="false" ht="12.75" hidden="false" customHeight="true" outlineLevel="0" collapsed="false">
      <c r="B3829" s="61" t="str">
        <f aca="false">IF(助手收入!$R$257&lt;&gt;"","摘　　要","")</f>
        <v/>
      </c>
      <c r="C3829" s="61"/>
      <c r="D3829" s="62" t="str">
        <f aca="false">IF(助手收入!$R$257&lt;&gt;"","科　　　　目","")</f>
        <v/>
      </c>
      <c r="E3829" s="62"/>
      <c r="F3829" s="61" t="str">
        <f aca="false">IF(助手收入!$R$257&lt;&gt;"","借 方 金 额","")</f>
        <v/>
      </c>
      <c r="G3829" s="62" t="str">
        <f aca="false">IF(助手收入!$R$257&lt;&gt;"","贷 方 金 额","")</f>
        <v/>
      </c>
      <c r="H3829" s="63" t="str">
        <f aca="false">IF(助手收入!$R$257&lt;&gt;"","√","")</f>
        <v/>
      </c>
      <c r="I3829" s="64" t="str">
        <f aca="false">IF(助手收入!$R$257&lt;&gt;"","附单据  张","")</f>
        <v/>
      </c>
    </row>
    <row r="3830" customFormat="false" ht="12.75" hidden="false" customHeight="true" outlineLevel="0" collapsed="false">
      <c r="B3830" s="61"/>
      <c r="C3830" s="61"/>
      <c r="D3830" s="23" t="str">
        <f aca="false">IF(助手收入!$R$257&lt;&gt;"","总 账 科 目","")</f>
        <v/>
      </c>
      <c r="E3830" s="23" t="str">
        <f aca="false">IF(助手收入!$R$257&lt;&gt;"","明 细 科 目","")</f>
        <v/>
      </c>
      <c r="F3830" s="65"/>
      <c r="G3830" s="66"/>
      <c r="H3830" s="63"/>
      <c r="I3830" s="64"/>
    </row>
    <row r="3831" customFormat="false" ht="23.25" hidden="false" customHeight="true" outlineLevel="0" collapsed="false">
      <c r="B3831" s="67" t="str">
        <f aca="false">IFERROR(INDEX(分录收入!$M:$M,MATCH($L3831,分录收入!$L:$L,0)),"")</f>
        <v/>
      </c>
      <c r="C3831" s="67"/>
      <c r="D3831" s="23" t="str">
        <f aca="false">IFERROR(INDEX(分录收入!$E:$E,MATCH($L3831,分录收入!$L:$L,0)),"")</f>
        <v/>
      </c>
      <c r="E3831" s="23" t="str">
        <f aca="false">IFERROR(INDEX(分录收入!$F:$F,MATCH($L3831,分录收入!$L:$L,0)),"")</f>
        <v/>
      </c>
      <c r="F3831" s="68" t="str">
        <f aca="false">IFERROR(INDEX(分录收入!$H:$H,MATCH($L3831,分录收入!$L:$L,0)),"")</f>
        <v/>
      </c>
      <c r="G3831" s="69" t="str">
        <f aca="false">IFERROR(INDEX(分录收入!$I:$I,MATCH($L3831,分录收入!$L:$L,0)),"")</f>
        <v/>
      </c>
      <c r="H3831" s="23"/>
      <c r="I3831" s="70"/>
      <c r="L3831" s="71" t="n">
        <f aca="false">IF(助手收入!$R$257="",-1,助手收入!$R$257*100+(助手收入!$S$257-1)*6+1)</f>
        <v>-1</v>
      </c>
    </row>
    <row r="3832" customFormat="false" ht="23.25" hidden="false" customHeight="true" outlineLevel="0" collapsed="false">
      <c r="B3832" s="67" t="str">
        <f aca="false">""</f>
        <v/>
      </c>
      <c r="C3832" s="67"/>
      <c r="D3832" s="23" t="str">
        <f aca="false">IFERROR(INDEX(分录收入!$E:$E,MATCH($L3832,分录收入!$L:$L,0)),"")</f>
        <v/>
      </c>
      <c r="E3832" s="23" t="str">
        <f aca="false">IFERROR(INDEX(分录收入!$F:$F,MATCH($L3832,分录收入!$L:$L,0)),"")</f>
        <v/>
      </c>
      <c r="F3832" s="68" t="str">
        <f aca="false">IFERROR(INDEX(分录收入!$H:$H,MATCH($L3832,分录收入!$L:$L,0)),"")</f>
        <v/>
      </c>
      <c r="G3832" s="69" t="str">
        <f aca="false">IFERROR(INDEX(分录收入!$I:$I,MATCH($L3832,分录收入!$L:$L,0)),"")</f>
        <v/>
      </c>
      <c r="H3832" s="23"/>
      <c r="I3832" s="70"/>
      <c r="L3832" s="71" t="n">
        <f aca="false">IF(助手收入!$R$257="",-1,助手收入!$R$257*100+(助手收入!$S$257-1)*6+2)</f>
        <v>-1</v>
      </c>
    </row>
    <row r="3833" customFormat="false" ht="23.25" hidden="false" customHeight="true" outlineLevel="0" collapsed="false">
      <c r="B3833" s="67" t="str">
        <f aca="false">""</f>
        <v/>
      </c>
      <c r="C3833" s="67"/>
      <c r="D3833" s="23" t="str">
        <f aca="false">IFERROR(INDEX(分录收入!$E:$E,MATCH($L3833,分录收入!$L:$L,0)),"")</f>
        <v/>
      </c>
      <c r="E3833" s="23" t="str">
        <f aca="false">IFERROR(INDEX(分录收入!$F:$F,MATCH($L3833,分录收入!$L:$L,0)),"")</f>
        <v/>
      </c>
      <c r="F3833" s="68" t="str">
        <f aca="false">IFERROR(INDEX(分录收入!$H:$H,MATCH($L3833,分录收入!$L:$L,0)),"")</f>
        <v/>
      </c>
      <c r="G3833" s="69" t="str">
        <f aca="false">IFERROR(INDEX(分录收入!$I:$I,MATCH($L3833,分录收入!$L:$L,0)),"")</f>
        <v/>
      </c>
      <c r="H3833" s="23"/>
      <c r="I3833" s="70"/>
      <c r="L3833" s="71" t="n">
        <f aca="false">IF(助手收入!$R$257="",-1,助手收入!$R$257*100+(助手收入!$S$257-1)*6+3)</f>
        <v>-1</v>
      </c>
    </row>
    <row r="3834" customFormat="false" ht="23.25" hidden="false" customHeight="true" outlineLevel="0" collapsed="false">
      <c r="B3834" s="67" t="str">
        <f aca="false">""</f>
        <v/>
      </c>
      <c r="C3834" s="67"/>
      <c r="D3834" s="23" t="str">
        <f aca="false">IFERROR(INDEX(分录收入!$E:$E,MATCH($L3834,分录收入!$L:$L,0)),"")</f>
        <v/>
      </c>
      <c r="E3834" s="23" t="str">
        <f aca="false">IFERROR(INDEX(分录收入!$F:$F,MATCH($L3834,分录收入!$L:$L,0)),"")</f>
        <v/>
      </c>
      <c r="F3834" s="68" t="str">
        <f aca="false">IFERROR(INDEX(分录收入!$H:$H,MATCH($L3834,分录收入!$L:$L,0)),"")</f>
        <v/>
      </c>
      <c r="G3834" s="69" t="str">
        <f aca="false">IFERROR(INDEX(分录收入!$I:$I,MATCH($L3834,分录收入!$L:$L,0)),"")</f>
        <v/>
      </c>
      <c r="H3834" s="23"/>
      <c r="I3834" s="70"/>
      <c r="L3834" s="71" t="n">
        <f aca="false">IF(助手收入!$R$257="",-1,助手收入!$R$257*100+(助手收入!$S$257-1)*6+4)</f>
        <v>-1</v>
      </c>
    </row>
    <row r="3835" customFormat="false" ht="23.25" hidden="false" customHeight="true" outlineLevel="0" collapsed="false">
      <c r="B3835" s="67" t="str">
        <f aca="false">""</f>
        <v/>
      </c>
      <c r="C3835" s="67"/>
      <c r="D3835" s="23" t="str">
        <f aca="false">IFERROR(INDEX(分录收入!$E:$E,MATCH($L3835,分录收入!$L:$L,0)),"")</f>
        <v/>
      </c>
      <c r="E3835" s="23" t="str">
        <f aca="false">IFERROR(INDEX(分录收入!$F:$F,MATCH($L3835,分录收入!$L:$L,0)),"")</f>
        <v/>
      </c>
      <c r="F3835" s="68" t="str">
        <f aca="false">IFERROR(INDEX(分录收入!$H:$H,MATCH($L3835,分录收入!$L:$L,0)),"")</f>
        <v/>
      </c>
      <c r="G3835" s="69" t="str">
        <f aca="false">IFERROR(INDEX(分录收入!$I:$I,MATCH($L3835,分录收入!$L:$L,0)),"")</f>
        <v/>
      </c>
      <c r="H3835" s="23"/>
      <c r="I3835" s="70"/>
      <c r="L3835" s="71" t="n">
        <f aca="false">IF(助手收入!$R$257="",-1,助手收入!$R$257*100+(助手收入!$S$257-1)*6+5)</f>
        <v>-1</v>
      </c>
    </row>
    <row r="3836" customFormat="false" ht="23.25" hidden="false" customHeight="true" outlineLevel="0" collapsed="false">
      <c r="B3836" s="67" t="str">
        <f aca="false">""</f>
        <v/>
      </c>
      <c r="C3836" s="67"/>
      <c r="D3836" s="23" t="str">
        <f aca="false">IFERROR(INDEX(分录收入!$E:$E,MATCH($L3836,分录收入!$L:$L,0)),"")</f>
        <v/>
      </c>
      <c r="E3836" s="23" t="str">
        <f aca="false">IFERROR(INDEX(分录收入!$F:$F,MATCH($L3836,分录收入!$L:$L,0)),"")</f>
        <v/>
      </c>
      <c r="F3836" s="68" t="str">
        <f aca="false">IFERROR(INDEX(分录收入!$H:$H,MATCH($L3836,分录收入!$L:$L,0)),"")</f>
        <v/>
      </c>
      <c r="G3836" s="69" t="str">
        <f aca="false">IFERROR(INDEX(分录收入!$I:$I,MATCH($L3836,分录收入!$L:$L,0)),"")</f>
        <v/>
      </c>
      <c r="H3836" s="23"/>
      <c r="I3836" s="70"/>
      <c r="L3836" s="71" t="n">
        <f aca="false">IF(助手收入!$R$257="",-1,助手收入!$R$257*100+(助手收入!$S$257-1)*6+6)</f>
        <v>-1</v>
      </c>
    </row>
    <row r="3837" customFormat="false" ht="23.25" hidden="false" customHeight="true" outlineLevel="0" collapsed="false">
      <c r="B3837" s="72" t="str">
        <f aca="false">IF(助手收入!$T$257=1,"合计：","")</f>
        <v/>
      </c>
      <c r="C3837" s="73" t="str">
        <f aca="false">IF(助手收入!$T$257=1,$F3837,"")</f>
        <v/>
      </c>
      <c r="D3837" s="74"/>
      <c r="E3837" s="74"/>
      <c r="F3837" s="75" t="str">
        <f aca="false">IF(助手收入!$T$257=1,INDEX(助手收入!$N$2:$N$66,助手收入!$R$257),"")</f>
        <v/>
      </c>
      <c r="G3837" s="76" t="str">
        <f aca="false">IF(助手收入!$T$257=1,INDEX(助手收入!$O$2:$O$66,助手收入!$R$257),"")</f>
        <v/>
      </c>
      <c r="H3837" s="74"/>
      <c r="I3837" s="77"/>
    </row>
    <row r="3838" customFormat="false" ht="6" hidden="false" customHeight="true" outlineLevel="0" collapsed="false"/>
    <row r="3839" customFormat="false" ht="13.5" hidden="false" customHeight="false" outlineLevel="0" collapsed="false">
      <c r="B3839" s="78" t="str">
        <f aca="false">IF(助手收入!$R$257&lt;&gt;"","会计主管：","")</f>
        <v/>
      </c>
      <c r="D3839" s="78" t="str">
        <f aca="false">IF(助手收入!$R$257&lt;&gt;"","会计：","")</f>
        <v/>
      </c>
      <c r="E3839" s="78" t="str">
        <f aca="false">IF(助手收入!$R$257&lt;&gt;"","出纳：","")</f>
        <v/>
      </c>
      <c r="F3839" s="78" t="str">
        <f aca="false">IF(助手收入!$R$257&lt;&gt;"","复核：","")</f>
        <v/>
      </c>
      <c r="G3839" s="78" t="str">
        <f aca="false">IF(助手收入!$R$257&lt;&gt;"","制单：","")</f>
        <v/>
      </c>
    </row>
    <row r="3840" customFormat="false" ht="3" hidden="false" customHeight="true" outlineLevel="0" collapsed="false"/>
    <row r="3841" customFormat="false" ht="19.5" hidden="false" customHeight="true" outlineLevel="0" collapsed="false">
      <c r="B3841" s="53" t="str">
        <f aca="false">IF(助手收入!$R$258&lt;&gt;"","记  账  凭  证","")</f>
        <v/>
      </c>
      <c r="C3841" s="53"/>
      <c r="D3841" s="53"/>
      <c r="E3841" s="53"/>
      <c r="F3841" s="53"/>
      <c r="G3841" s="53"/>
      <c r="H3841" s="53"/>
      <c r="I3841" s="53"/>
    </row>
    <row r="3842" customFormat="false" ht="3" hidden="false" customHeight="true" outlineLevel="0" collapsed="false"/>
    <row r="3843" customFormat="false" ht="15" hidden="false" customHeight="true" outlineLevel="0" collapsed="false">
      <c r="C3843" s="56" t="str">
        <f aca="false">IF(助手收入!$R$258&lt;&gt;"",INDEX(助手收入!$B$2:$B$66,助手收入!$R$258),"")</f>
        <v/>
      </c>
      <c r="D3843" s="57" t="str">
        <f aca="false">IF(助手收入!$R$258&lt;&gt;"",参数!$B$2,"")</f>
        <v/>
      </c>
      <c r="E3843" s="57"/>
      <c r="F3843" s="58" t="str">
        <f aca="false">IF(助手收入!$R$258&lt;&gt;"",INDEX(助手收入!$C$2:$C$66,助手收入!$R$258)&amp;"  字第 "&amp;IF(参数!$B$9="是",INDEX(助手收入!$P$2:$P$66,助手收入!$R$258),"　　　　")&amp;" 号"&amp;IF(INDEX(助手收入!$L$2:$L$66,助手收入!$R$258)&gt;1,"  (共"&amp;INDEX(助手收入!$L$2:$L$66,助手收入!$R$258)&amp;"页 第"&amp;助手收入!$S$258&amp;"页)",""),"")</f>
        <v/>
      </c>
      <c r="G3843" s="58"/>
      <c r="H3843" s="58"/>
      <c r="I3843" s="58"/>
      <c r="M3843" s="79" t="str">
        <f aca="false">IF(助手收入!$R$258="","",助手收入!$Q$258)</f>
        <v/>
      </c>
      <c r="N3843" s="80" t="str">
        <f aca="false">IF(助手收入!$R$258="","",INDEX(助手收入!$P$2:$P$66,助手收入!$R$258))</f>
        <v/>
      </c>
      <c r="O3843" s="55" t="str">
        <f aca="false">IF(助手收入!$R$258="","",INDEX(助手收入!$C$2:$C$66,助手收入!$R$258)&amp;"  字第 "&amp;INDEX(助手收入!$P$2:$P$66,助手收入!$R$258)&amp;" 号"&amp;IF(INDEX(助手收入!$L$2:$L$66,助手收入!$R$258)&gt;1,"  (共"&amp;INDEX(助手收入!$L$2:$L$66,助手收入!$R$258)&amp;"页 第"&amp;助手收入!$S$258&amp;"页)",""))</f>
        <v/>
      </c>
    </row>
    <row r="3844" customFormat="false" ht="12.75" hidden="false" customHeight="true" outlineLevel="0" collapsed="false">
      <c r="B3844" s="61" t="str">
        <f aca="false">IF(助手收入!$R$258&lt;&gt;"","摘　　要","")</f>
        <v/>
      </c>
      <c r="C3844" s="61"/>
      <c r="D3844" s="62" t="str">
        <f aca="false">IF(助手收入!$R$258&lt;&gt;"","科　　　　目","")</f>
        <v/>
      </c>
      <c r="E3844" s="62"/>
      <c r="F3844" s="61" t="str">
        <f aca="false">IF(助手收入!$R$258&lt;&gt;"","借 方 金 额","")</f>
        <v/>
      </c>
      <c r="G3844" s="62" t="str">
        <f aca="false">IF(助手收入!$R$258&lt;&gt;"","贷 方 金 额","")</f>
        <v/>
      </c>
      <c r="H3844" s="63" t="str">
        <f aca="false">IF(助手收入!$R$258&lt;&gt;"","√","")</f>
        <v/>
      </c>
      <c r="I3844" s="64" t="str">
        <f aca="false">IF(助手收入!$R$258&lt;&gt;"","附单据  张","")</f>
        <v/>
      </c>
    </row>
    <row r="3845" customFormat="false" ht="12.75" hidden="false" customHeight="true" outlineLevel="0" collapsed="false">
      <c r="B3845" s="61"/>
      <c r="C3845" s="61"/>
      <c r="D3845" s="23" t="str">
        <f aca="false">IF(助手收入!$R$258&lt;&gt;"","总 账 科 目","")</f>
        <v/>
      </c>
      <c r="E3845" s="23" t="str">
        <f aca="false">IF(助手收入!$R$258&lt;&gt;"","明 细 科 目","")</f>
        <v/>
      </c>
      <c r="F3845" s="65"/>
      <c r="G3845" s="66"/>
      <c r="H3845" s="63"/>
      <c r="I3845" s="64"/>
    </row>
    <row r="3846" customFormat="false" ht="23.25" hidden="false" customHeight="true" outlineLevel="0" collapsed="false">
      <c r="B3846" s="67" t="str">
        <f aca="false">IFERROR(INDEX(分录收入!$M:$M,MATCH($L3846,分录收入!$L:$L,0)),"")</f>
        <v/>
      </c>
      <c r="C3846" s="67"/>
      <c r="D3846" s="23" t="str">
        <f aca="false">IFERROR(INDEX(分录收入!$E:$E,MATCH($L3846,分录收入!$L:$L,0)),"")</f>
        <v/>
      </c>
      <c r="E3846" s="23" t="str">
        <f aca="false">IFERROR(INDEX(分录收入!$F:$F,MATCH($L3846,分录收入!$L:$L,0)),"")</f>
        <v/>
      </c>
      <c r="F3846" s="68" t="str">
        <f aca="false">IFERROR(INDEX(分录收入!$H:$H,MATCH($L3846,分录收入!$L:$L,0)),"")</f>
        <v/>
      </c>
      <c r="G3846" s="69" t="str">
        <f aca="false">IFERROR(INDEX(分录收入!$I:$I,MATCH($L3846,分录收入!$L:$L,0)),"")</f>
        <v/>
      </c>
      <c r="H3846" s="23"/>
      <c r="I3846" s="70"/>
      <c r="L3846" s="71" t="n">
        <f aca="false">IF(助手收入!$R$258="",-1,助手收入!$R$258*100+(助手收入!$S$258-1)*6+1)</f>
        <v>-1</v>
      </c>
    </row>
    <row r="3847" customFormat="false" ht="23.25" hidden="false" customHeight="true" outlineLevel="0" collapsed="false">
      <c r="B3847" s="67" t="str">
        <f aca="false">""</f>
        <v/>
      </c>
      <c r="C3847" s="67"/>
      <c r="D3847" s="23" t="str">
        <f aca="false">IFERROR(INDEX(分录收入!$E:$E,MATCH($L3847,分录收入!$L:$L,0)),"")</f>
        <v/>
      </c>
      <c r="E3847" s="23" t="str">
        <f aca="false">IFERROR(INDEX(分录收入!$F:$F,MATCH($L3847,分录收入!$L:$L,0)),"")</f>
        <v/>
      </c>
      <c r="F3847" s="68" t="str">
        <f aca="false">IFERROR(INDEX(分录收入!$H:$H,MATCH($L3847,分录收入!$L:$L,0)),"")</f>
        <v/>
      </c>
      <c r="G3847" s="69" t="str">
        <f aca="false">IFERROR(INDEX(分录收入!$I:$I,MATCH($L3847,分录收入!$L:$L,0)),"")</f>
        <v/>
      </c>
      <c r="H3847" s="23"/>
      <c r="I3847" s="70"/>
      <c r="L3847" s="71" t="n">
        <f aca="false">IF(助手收入!$R$258="",-1,助手收入!$R$258*100+(助手收入!$S$258-1)*6+2)</f>
        <v>-1</v>
      </c>
    </row>
    <row r="3848" customFormat="false" ht="23.25" hidden="false" customHeight="true" outlineLevel="0" collapsed="false">
      <c r="B3848" s="67" t="str">
        <f aca="false">""</f>
        <v/>
      </c>
      <c r="C3848" s="67"/>
      <c r="D3848" s="23" t="str">
        <f aca="false">IFERROR(INDEX(分录收入!$E:$E,MATCH($L3848,分录收入!$L:$L,0)),"")</f>
        <v/>
      </c>
      <c r="E3848" s="23" t="str">
        <f aca="false">IFERROR(INDEX(分录收入!$F:$F,MATCH($L3848,分录收入!$L:$L,0)),"")</f>
        <v/>
      </c>
      <c r="F3848" s="68" t="str">
        <f aca="false">IFERROR(INDEX(分录收入!$H:$H,MATCH($L3848,分录收入!$L:$L,0)),"")</f>
        <v/>
      </c>
      <c r="G3848" s="69" t="str">
        <f aca="false">IFERROR(INDEX(分录收入!$I:$I,MATCH($L3848,分录收入!$L:$L,0)),"")</f>
        <v/>
      </c>
      <c r="H3848" s="23"/>
      <c r="I3848" s="70"/>
      <c r="L3848" s="71" t="n">
        <f aca="false">IF(助手收入!$R$258="",-1,助手收入!$R$258*100+(助手收入!$S$258-1)*6+3)</f>
        <v>-1</v>
      </c>
    </row>
    <row r="3849" customFormat="false" ht="23.25" hidden="false" customHeight="true" outlineLevel="0" collapsed="false">
      <c r="B3849" s="67" t="str">
        <f aca="false">""</f>
        <v/>
      </c>
      <c r="C3849" s="67"/>
      <c r="D3849" s="23" t="str">
        <f aca="false">IFERROR(INDEX(分录收入!$E:$E,MATCH($L3849,分录收入!$L:$L,0)),"")</f>
        <v/>
      </c>
      <c r="E3849" s="23" t="str">
        <f aca="false">IFERROR(INDEX(分录收入!$F:$F,MATCH($L3849,分录收入!$L:$L,0)),"")</f>
        <v/>
      </c>
      <c r="F3849" s="68" t="str">
        <f aca="false">IFERROR(INDEX(分录收入!$H:$H,MATCH($L3849,分录收入!$L:$L,0)),"")</f>
        <v/>
      </c>
      <c r="G3849" s="69" t="str">
        <f aca="false">IFERROR(INDEX(分录收入!$I:$I,MATCH($L3849,分录收入!$L:$L,0)),"")</f>
        <v/>
      </c>
      <c r="H3849" s="23"/>
      <c r="I3849" s="70"/>
      <c r="L3849" s="71" t="n">
        <f aca="false">IF(助手收入!$R$258="",-1,助手收入!$R$258*100+(助手收入!$S$258-1)*6+4)</f>
        <v>-1</v>
      </c>
    </row>
    <row r="3850" customFormat="false" ht="23.25" hidden="false" customHeight="true" outlineLevel="0" collapsed="false">
      <c r="B3850" s="67" t="str">
        <f aca="false">""</f>
        <v/>
      </c>
      <c r="C3850" s="67"/>
      <c r="D3850" s="23" t="str">
        <f aca="false">IFERROR(INDEX(分录收入!$E:$E,MATCH($L3850,分录收入!$L:$L,0)),"")</f>
        <v/>
      </c>
      <c r="E3850" s="23" t="str">
        <f aca="false">IFERROR(INDEX(分录收入!$F:$F,MATCH($L3850,分录收入!$L:$L,0)),"")</f>
        <v/>
      </c>
      <c r="F3850" s="68" t="str">
        <f aca="false">IFERROR(INDEX(分录收入!$H:$H,MATCH($L3850,分录收入!$L:$L,0)),"")</f>
        <v/>
      </c>
      <c r="G3850" s="69" t="str">
        <f aca="false">IFERROR(INDEX(分录收入!$I:$I,MATCH($L3850,分录收入!$L:$L,0)),"")</f>
        <v/>
      </c>
      <c r="H3850" s="23"/>
      <c r="I3850" s="70"/>
      <c r="L3850" s="71" t="n">
        <f aca="false">IF(助手收入!$R$258="",-1,助手收入!$R$258*100+(助手收入!$S$258-1)*6+5)</f>
        <v>-1</v>
      </c>
    </row>
    <row r="3851" customFormat="false" ht="23.25" hidden="false" customHeight="true" outlineLevel="0" collapsed="false">
      <c r="B3851" s="67" t="str">
        <f aca="false">""</f>
        <v/>
      </c>
      <c r="C3851" s="67"/>
      <c r="D3851" s="23" t="str">
        <f aca="false">IFERROR(INDEX(分录收入!$E:$E,MATCH($L3851,分录收入!$L:$L,0)),"")</f>
        <v/>
      </c>
      <c r="E3851" s="23" t="str">
        <f aca="false">IFERROR(INDEX(分录收入!$F:$F,MATCH($L3851,分录收入!$L:$L,0)),"")</f>
        <v/>
      </c>
      <c r="F3851" s="68" t="str">
        <f aca="false">IFERROR(INDEX(分录收入!$H:$H,MATCH($L3851,分录收入!$L:$L,0)),"")</f>
        <v/>
      </c>
      <c r="G3851" s="69" t="str">
        <f aca="false">IFERROR(INDEX(分录收入!$I:$I,MATCH($L3851,分录收入!$L:$L,0)),"")</f>
        <v/>
      </c>
      <c r="H3851" s="23"/>
      <c r="I3851" s="70"/>
      <c r="L3851" s="71" t="n">
        <f aca="false">IF(助手收入!$R$258="",-1,助手收入!$R$258*100+(助手收入!$S$258-1)*6+6)</f>
        <v>-1</v>
      </c>
    </row>
    <row r="3852" customFormat="false" ht="23.25" hidden="false" customHeight="true" outlineLevel="0" collapsed="false">
      <c r="B3852" s="72" t="str">
        <f aca="false">IF(助手收入!$T$258=1,"合计：","")</f>
        <v/>
      </c>
      <c r="C3852" s="73" t="str">
        <f aca="false">IF(助手收入!$T$258=1,$F3852,"")</f>
        <v/>
      </c>
      <c r="D3852" s="74"/>
      <c r="E3852" s="74"/>
      <c r="F3852" s="75" t="str">
        <f aca="false">IF(助手收入!$T$258=1,INDEX(助手收入!$N$2:$N$66,助手收入!$R$258),"")</f>
        <v/>
      </c>
      <c r="G3852" s="76" t="str">
        <f aca="false">IF(助手收入!$T$258=1,INDEX(助手收入!$O$2:$O$66,助手收入!$R$258),"")</f>
        <v/>
      </c>
      <c r="H3852" s="74"/>
      <c r="I3852" s="77"/>
    </row>
    <row r="3853" customFormat="false" ht="6" hidden="false" customHeight="true" outlineLevel="0" collapsed="false"/>
    <row r="3854" customFormat="false" ht="13.5" hidden="false" customHeight="false" outlineLevel="0" collapsed="false">
      <c r="B3854" s="78" t="str">
        <f aca="false">IF(助手收入!$R$258&lt;&gt;"","会计主管：","")</f>
        <v/>
      </c>
      <c r="D3854" s="78" t="str">
        <f aca="false">IF(助手收入!$R$258&lt;&gt;"","会计：","")</f>
        <v/>
      </c>
      <c r="E3854" s="78" t="str">
        <f aca="false">IF(助手收入!$R$258&lt;&gt;"","出纳：","")</f>
        <v/>
      </c>
      <c r="F3854" s="78" t="str">
        <f aca="false">IF(助手收入!$R$258&lt;&gt;"","复核：","")</f>
        <v/>
      </c>
      <c r="G3854" s="78" t="str">
        <f aca="false">IF(助手收入!$R$258&lt;&gt;"","制单：","")</f>
        <v/>
      </c>
    </row>
    <row r="3855" customFormat="false" ht="3" hidden="false" customHeight="true" outlineLevel="0" collapsed="false"/>
    <row r="3856" customFormat="false" ht="19.5" hidden="false" customHeight="true" outlineLevel="0" collapsed="false">
      <c r="B3856" s="53" t="str">
        <f aca="false">IF(助手收入!$R$259&lt;&gt;"","记  账  凭  证","")</f>
        <v/>
      </c>
      <c r="C3856" s="53"/>
      <c r="D3856" s="53"/>
      <c r="E3856" s="53"/>
      <c r="F3856" s="53"/>
      <c r="G3856" s="53"/>
      <c r="H3856" s="53"/>
      <c r="I3856" s="53"/>
    </row>
    <row r="3857" customFormat="false" ht="3" hidden="false" customHeight="true" outlineLevel="0" collapsed="false"/>
    <row r="3858" customFormat="false" ht="15" hidden="false" customHeight="true" outlineLevel="0" collapsed="false">
      <c r="C3858" s="56" t="str">
        <f aca="false">IF(助手收入!$R$259&lt;&gt;"",INDEX(助手收入!$B$2:$B$66,助手收入!$R$259),"")</f>
        <v/>
      </c>
      <c r="D3858" s="57" t="str">
        <f aca="false">IF(助手收入!$R$259&lt;&gt;"",参数!$B$2,"")</f>
        <v/>
      </c>
      <c r="E3858" s="57"/>
      <c r="F3858" s="58" t="str">
        <f aca="false">IF(助手收入!$R$259&lt;&gt;"",INDEX(助手收入!$C$2:$C$66,助手收入!$R$259)&amp;"  字第 "&amp;IF(参数!$B$9="是",INDEX(助手收入!$P$2:$P$66,助手收入!$R$259),"　　　　")&amp;" 号"&amp;IF(INDEX(助手收入!$L$2:$L$66,助手收入!$R$259)&gt;1,"  (共"&amp;INDEX(助手收入!$L$2:$L$66,助手收入!$R$259)&amp;"页 第"&amp;助手收入!$S$259&amp;"页)",""),"")</f>
        <v/>
      </c>
      <c r="G3858" s="58"/>
      <c r="H3858" s="58"/>
      <c r="I3858" s="58"/>
      <c r="M3858" s="79" t="str">
        <f aca="false">IF(助手收入!$R$259="","",助手收入!$Q$259)</f>
        <v/>
      </c>
      <c r="N3858" s="80" t="str">
        <f aca="false">IF(助手收入!$R$259="","",INDEX(助手收入!$P$2:$P$66,助手收入!$R$259))</f>
        <v/>
      </c>
      <c r="O3858" s="55" t="str">
        <f aca="false">IF(助手收入!$R$259="","",INDEX(助手收入!$C$2:$C$66,助手收入!$R$259)&amp;"  字第 "&amp;INDEX(助手收入!$P$2:$P$66,助手收入!$R$259)&amp;" 号"&amp;IF(INDEX(助手收入!$L$2:$L$66,助手收入!$R$259)&gt;1,"  (共"&amp;INDEX(助手收入!$L$2:$L$66,助手收入!$R$259)&amp;"页 第"&amp;助手收入!$S$259&amp;"页)",""))</f>
        <v/>
      </c>
    </row>
    <row r="3859" customFormat="false" ht="12.75" hidden="false" customHeight="true" outlineLevel="0" collapsed="false">
      <c r="B3859" s="61" t="str">
        <f aca="false">IF(助手收入!$R$259&lt;&gt;"","摘　　要","")</f>
        <v/>
      </c>
      <c r="C3859" s="61"/>
      <c r="D3859" s="62" t="str">
        <f aca="false">IF(助手收入!$R$259&lt;&gt;"","科　　　　目","")</f>
        <v/>
      </c>
      <c r="E3859" s="62"/>
      <c r="F3859" s="61" t="str">
        <f aca="false">IF(助手收入!$R$259&lt;&gt;"","借 方 金 额","")</f>
        <v/>
      </c>
      <c r="G3859" s="62" t="str">
        <f aca="false">IF(助手收入!$R$259&lt;&gt;"","贷 方 金 额","")</f>
        <v/>
      </c>
      <c r="H3859" s="63" t="str">
        <f aca="false">IF(助手收入!$R$259&lt;&gt;"","√","")</f>
        <v/>
      </c>
      <c r="I3859" s="64" t="str">
        <f aca="false">IF(助手收入!$R$259&lt;&gt;"","附单据  张","")</f>
        <v/>
      </c>
    </row>
    <row r="3860" customFormat="false" ht="12.75" hidden="false" customHeight="true" outlineLevel="0" collapsed="false">
      <c r="B3860" s="61"/>
      <c r="C3860" s="61"/>
      <c r="D3860" s="23" t="str">
        <f aca="false">IF(助手收入!$R$259&lt;&gt;"","总 账 科 目","")</f>
        <v/>
      </c>
      <c r="E3860" s="23" t="str">
        <f aca="false">IF(助手收入!$R$259&lt;&gt;"","明 细 科 目","")</f>
        <v/>
      </c>
      <c r="F3860" s="65"/>
      <c r="G3860" s="66"/>
      <c r="H3860" s="63"/>
      <c r="I3860" s="64"/>
    </row>
    <row r="3861" customFormat="false" ht="23.25" hidden="false" customHeight="true" outlineLevel="0" collapsed="false">
      <c r="B3861" s="67" t="str">
        <f aca="false">IFERROR(INDEX(分录收入!$M:$M,MATCH($L3861,分录收入!$L:$L,0)),"")</f>
        <v/>
      </c>
      <c r="C3861" s="67"/>
      <c r="D3861" s="23" t="str">
        <f aca="false">IFERROR(INDEX(分录收入!$E:$E,MATCH($L3861,分录收入!$L:$L,0)),"")</f>
        <v/>
      </c>
      <c r="E3861" s="23" t="str">
        <f aca="false">IFERROR(INDEX(分录收入!$F:$F,MATCH($L3861,分录收入!$L:$L,0)),"")</f>
        <v/>
      </c>
      <c r="F3861" s="68" t="str">
        <f aca="false">IFERROR(INDEX(分录收入!$H:$H,MATCH($L3861,分录收入!$L:$L,0)),"")</f>
        <v/>
      </c>
      <c r="G3861" s="69" t="str">
        <f aca="false">IFERROR(INDEX(分录收入!$I:$I,MATCH($L3861,分录收入!$L:$L,0)),"")</f>
        <v/>
      </c>
      <c r="H3861" s="23"/>
      <c r="I3861" s="70"/>
      <c r="L3861" s="71" t="n">
        <f aca="false">IF(助手收入!$R$259="",-1,助手收入!$R$259*100+(助手收入!$S$259-1)*6+1)</f>
        <v>-1</v>
      </c>
    </row>
    <row r="3862" customFormat="false" ht="23.25" hidden="false" customHeight="true" outlineLevel="0" collapsed="false">
      <c r="B3862" s="67" t="str">
        <f aca="false">""</f>
        <v/>
      </c>
      <c r="C3862" s="67"/>
      <c r="D3862" s="23" t="str">
        <f aca="false">IFERROR(INDEX(分录收入!$E:$E,MATCH($L3862,分录收入!$L:$L,0)),"")</f>
        <v/>
      </c>
      <c r="E3862" s="23" t="str">
        <f aca="false">IFERROR(INDEX(分录收入!$F:$F,MATCH($L3862,分录收入!$L:$L,0)),"")</f>
        <v/>
      </c>
      <c r="F3862" s="68" t="str">
        <f aca="false">IFERROR(INDEX(分录收入!$H:$H,MATCH($L3862,分录收入!$L:$L,0)),"")</f>
        <v/>
      </c>
      <c r="G3862" s="69" t="str">
        <f aca="false">IFERROR(INDEX(分录收入!$I:$I,MATCH($L3862,分录收入!$L:$L,0)),"")</f>
        <v/>
      </c>
      <c r="H3862" s="23"/>
      <c r="I3862" s="70"/>
      <c r="L3862" s="71" t="n">
        <f aca="false">IF(助手收入!$R$259="",-1,助手收入!$R$259*100+(助手收入!$S$259-1)*6+2)</f>
        <v>-1</v>
      </c>
    </row>
    <row r="3863" customFormat="false" ht="23.25" hidden="false" customHeight="true" outlineLevel="0" collapsed="false">
      <c r="B3863" s="67" t="str">
        <f aca="false">""</f>
        <v/>
      </c>
      <c r="C3863" s="67"/>
      <c r="D3863" s="23" t="str">
        <f aca="false">IFERROR(INDEX(分录收入!$E:$E,MATCH($L3863,分录收入!$L:$L,0)),"")</f>
        <v/>
      </c>
      <c r="E3863" s="23" t="str">
        <f aca="false">IFERROR(INDEX(分录收入!$F:$F,MATCH($L3863,分录收入!$L:$L,0)),"")</f>
        <v/>
      </c>
      <c r="F3863" s="68" t="str">
        <f aca="false">IFERROR(INDEX(分录收入!$H:$H,MATCH($L3863,分录收入!$L:$L,0)),"")</f>
        <v/>
      </c>
      <c r="G3863" s="69" t="str">
        <f aca="false">IFERROR(INDEX(分录收入!$I:$I,MATCH($L3863,分录收入!$L:$L,0)),"")</f>
        <v/>
      </c>
      <c r="H3863" s="23"/>
      <c r="I3863" s="70"/>
      <c r="L3863" s="71" t="n">
        <f aca="false">IF(助手收入!$R$259="",-1,助手收入!$R$259*100+(助手收入!$S$259-1)*6+3)</f>
        <v>-1</v>
      </c>
    </row>
    <row r="3864" customFormat="false" ht="23.25" hidden="false" customHeight="true" outlineLevel="0" collapsed="false">
      <c r="B3864" s="67" t="str">
        <f aca="false">""</f>
        <v/>
      </c>
      <c r="C3864" s="67"/>
      <c r="D3864" s="23" t="str">
        <f aca="false">IFERROR(INDEX(分录收入!$E:$E,MATCH($L3864,分录收入!$L:$L,0)),"")</f>
        <v/>
      </c>
      <c r="E3864" s="23" t="str">
        <f aca="false">IFERROR(INDEX(分录收入!$F:$F,MATCH($L3864,分录收入!$L:$L,0)),"")</f>
        <v/>
      </c>
      <c r="F3864" s="68" t="str">
        <f aca="false">IFERROR(INDEX(分录收入!$H:$H,MATCH($L3864,分录收入!$L:$L,0)),"")</f>
        <v/>
      </c>
      <c r="G3864" s="69" t="str">
        <f aca="false">IFERROR(INDEX(分录收入!$I:$I,MATCH($L3864,分录收入!$L:$L,0)),"")</f>
        <v/>
      </c>
      <c r="H3864" s="23"/>
      <c r="I3864" s="70"/>
      <c r="L3864" s="71" t="n">
        <f aca="false">IF(助手收入!$R$259="",-1,助手收入!$R$259*100+(助手收入!$S$259-1)*6+4)</f>
        <v>-1</v>
      </c>
    </row>
    <row r="3865" customFormat="false" ht="23.25" hidden="false" customHeight="true" outlineLevel="0" collapsed="false">
      <c r="B3865" s="67" t="str">
        <f aca="false">""</f>
        <v/>
      </c>
      <c r="C3865" s="67"/>
      <c r="D3865" s="23" t="str">
        <f aca="false">IFERROR(INDEX(分录收入!$E:$E,MATCH($L3865,分录收入!$L:$L,0)),"")</f>
        <v/>
      </c>
      <c r="E3865" s="23" t="str">
        <f aca="false">IFERROR(INDEX(分录收入!$F:$F,MATCH($L3865,分录收入!$L:$L,0)),"")</f>
        <v/>
      </c>
      <c r="F3865" s="68" t="str">
        <f aca="false">IFERROR(INDEX(分录收入!$H:$H,MATCH($L3865,分录收入!$L:$L,0)),"")</f>
        <v/>
      </c>
      <c r="G3865" s="69" t="str">
        <f aca="false">IFERROR(INDEX(分录收入!$I:$I,MATCH($L3865,分录收入!$L:$L,0)),"")</f>
        <v/>
      </c>
      <c r="H3865" s="23"/>
      <c r="I3865" s="70"/>
      <c r="L3865" s="71" t="n">
        <f aca="false">IF(助手收入!$R$259="",-1,助手收入!$R$259*100+(助手收入!$S$259-1)*6+5)</f>
        <v>-1</v>
      </c>
    </row>
    <row r="3866" customFormat="false" ht="23.25" hidden="false" customHeight="true" outlineLevel="0" collapsed="false">
      <c r="B3866" s="67" t="str">
        <f aca="false">""</f>
        <v/>
      </c>
      <c r="C3866" s="67"/>
      <c r="D3866" s="23" t="str">
        <f aca="false">IFERROR(INDEX(分录收入!$E:$E,MATCH($L3866,分录收入!$L:$L,0)),"")</f>
        <v/>
      </c>
      <c r="E3866" s="23" t="str">
        <f aca="false">IFERROR(INDEX(分录收入!$F:$F,MATCH($L3866,分录收入!$L:$L,0)),"")</f>
        <v/>
      </c>
      <c r="F3866" s="68" t="str">
        <f aca="false">IFERROR(INDEX(分录收入!$H:$H,MATCH($L3866,分录收入!$L:$L,0)),"")</f>
        <v/>
      </c>
      <c r="G3866" s="69" t="str">
        <f aca="false">IFERROR(INDEX(分录收入!$I:$I,MATCH($L3866,分录收入!$L:$L,0)),"")</f>
        <v/>
      </c>
      <c r="H3866" s="23"/>
      <c r="I3866" s="70"/>
      <c r="L3866" s="71" t="n">
        <f aca="false">IF(助手收入!$R$259="",-1,助手收入!$R$259*100+(助手收入!$S$259-1)*6+6)</f>
        <v>-1</v>
      </c>
    </row>
    <row r="3867" customFormat="false" ht="23.25" hidden="false" customHeight="true" outlineLevel="0" collapsed="false">
      <c r="B3867" s="72" t="str">
        <f aca="false">IF(助手收入!$T$259=1,"合计：","")</f>
        <v/>
      </c>
      <c r="C3867" s="73" t="str">
        <f aca="false">IF(助手收入!$T$259=1,$F3867,"")</f>
        <v/>
      </c>
      <c r="D3867" s="74"/>
      <c r="E3867" s="74"/>
      <c r="F3867" s="75" t="str">
        <f aca="false">IF(助手收入!$T$259=1,INDEX(助手收入!$N$2:$N$66,助手收入!$R$259),"")</f>
        <v/>
      </c>
      <c r="G3867" s="76" t="str">
        <f aca="false">IF(助手收入!$T$259=1,INDEX(助手收入!$O$2:$O$66,助手收入!$R$259),"")</f>
        <v/>
      </c>
      <c r="H3867" s="74"/>
      <c r="I3867" s="77"/>
    </row>
    <row r="3868" customFormat="false" ht="6" hidden="false" customHeight="true" outlineLevel="0" collapsed="false"/>
    <row r="3869" customFormat="false" ht="13.5" hidden="false" customHeight="false" outlineLevel="0" collapsed="false">
      <c r="B3869" s="78" t="str">
        <f aca="false">IF(助手收入!$R$259&lt;&gt;"","会计主管：","")</f>
        <v/>
      </c>
      <c r="D3869" s="78" t="str">
        <f aca="false">IF(助手收入!$R$259&lt;&gt;"","会计：","")</f>
        <v/>
      </c>
      <c r="E3869" s="78" t="str">
        <f aca="false">IF(助手收入!$R$259&lt;&gt;"","出纳：","")</f>
        <v/>
      </c>
      <c r="F3869" s="78" t="str">
        <f aca="false">IF(助手收入!$R$259&lt;&gt;"","复核：","")</f>
        <v/>
      </c>
      <c r="G3869" s="78" t="str">
        <f aca="false">IF(助手收入!$R$259&lt;&gt;"","制单：","")</f>
        <v/>
      </c>
    </row>
    <row r="3870" customFormat="false" ht="3" hidden="false" customHeight="true" outlineLevel="0" collapsed="false"/>
    <row r="3871" customFormat="false" ht="19.5" hidden="false" customHeight="true" outlineLevel="0" collapsed="false">
      <c r="B3871" s="53" t="str">
        <f aca="false">IF(助手收入!$R$260&lt;&gt;"","记  账  凭  证","")</f>
        <v/>
      </c>
      <c r="C3871" s="53"/>
      <c r="D3871" s="53"/>
      <c r="E3871" s="53"/>
      <c r="F3871" s="53"/>
      <c r="G3871" s="53"/>
      <c r="H3871" s="53"/>
      <c r="I3871" s="53"/>
    </row>
    <row r="3872" customFormat="false" ht="3" hidden="false" customHeight="true" outlineLevel="0" collapsed="false"/>
    <row r="3873" customFormat="false" ht="15" hidden="false" customHeight="true" outlineLevel="0" collapsed="false">
      <c r="C3873" s="56" t="str">
        <f aca="false">IF(助手收入!$R$260&lt;&gt;"",INDEX(助手收入!$B$2:$B$66,助手收入!$R$260),"")</f>
        <v/>
      </c>
      <c r="D3873" s="57" t="str">
        <f aca="false">IF(助手收入!$R$260&lt;&gt;"",参数!$B$2,"")</f>
        <v/>
      </c>
      <c r="E3873" s="57"/>
      <c r="F3873" s="58" t="str">
        <f aca="false">IF(助手收入!$R$260&lt;&gt;"",INDEX(助手收入!$C$2:$C$66,助手收入!$R$260)&amp;"  字第 "&amp;IF(参数!$B$9="是",INDEX(助手收入!$P$2:$P$66,助手收入!$R$260),"　　　　")&amp;" 号"&amp;IF(INDEX(助手收入!$L$2:$L$66,助手收入!$R$260)&gt;1,"  (共"&amp;INDEX(助手收入!$L$2:$L$66,助手收入!$R$260)&amp;"页 第"&amp;助手收入!$S$260&amp;"页)",""),"")</f>
        <v/>
      </c>
      <c r="G3873" s="58"/>
      <c r="H3873" s="58"/>
      <c r="I3873" s="58"/>
      <c r="M3873" s="79" t="str">
        <f aca="false">IF(助手收入!$R$260="","",助手收入!$Q$260)</f>
        <v/>
      </c>
      <c r="N3873" s="80" t="str">
        <f aca="false">IF(助手收入!$R$260="","",INDEX(助手收入!$P$2:$P$66,助手收入!$R$260))</f>
        <v/>
      </c>
      <c r="O3873" s="55" t="str">
        <f aca="false">IF(助手收入!$R$260="","",INDEX(助手收入!$C$2:$C$66,助手收入!$R$260)&amp;"  字第 "&amp;INDEX(助手收入!$P$2:$P$66,助手收入!$R$260)&amp;" 号"&amp;IF(INDEX(助手收入!$L$2:$L$66,助手收入!$R$260)&gt;1,"  (共"&amp;INDEX(助手收入!$L$2:$L$66,助手收入!$R$260)&amp;"页 第"&amp;助手收入!$S$260&amp;"页)",""))</f>
        <v/>
      </c>
    </row>
    <row r="3874" customFormat="false" ht="12.75" hidden="false" customHeight="true" outlineLevel="0" collapsed="false">
      <c r="B3874" s="61" t="str">
        <f aca="false">IF(助手收入!$R$260&lt;&gt;"","摘　　要","")</f>
        <v/>
      </c>
      <c r="C3874" s="61"/>
      <c r="D3874" s="62" t="str">
        <f aca="false">IF(助手收入!$R$260&lt;&gt;"","科　　　　目","")</f>
        <v/>
      </c>
      <c r="E3874" s="62"/>
      <c r="F3874" s="61" t="str">
        <f aca="false">IF(助手收入!$R$260&lt;&gt;"","借 方 金 额","")</f>
        <v/>
      </c>
      <c r="G3874" s="62" t="str">
        <f aca="false">IF(助手收入!$R$260&lt;&gt;"","贷 方 金 额","")</f>
        <v/>
      </c>
      <c r="H3874" s="63" t="str">
        <f aca="false">IF(助手收入!$R$260&lt;&gt;"","√","")</f>
        <v/>
      </c>
      <c r="I3874" s="64" t="str">
        <f aca="false">IF(助手收入!$R$260&lt;&gt;"","附单据  张","")</f>
        <v/>
      </c>
    </row>
    <row r="3875" customFormat="false" ht="12.75" hidden="false" customHeight="true" outlineLevel="0" collapsed="false">
      <c r="B3875" s="61"/>
      <c r="C3875" s="61"/>
      <c r="D3875" s="23" t="str">
        <f aca="false">IF(助手收入!$R$260&lt;&gt;"","总 账 科 目","")</f>
        <v/>
      </c>
      <c r="E3875" s="23" t="str">
        <f aca="false">IF(助手收入!$R$260&lt;&gt;"","明 细 科 目","")</f>
        <v/>
      </c>
      <c r="F3875" s="65"/>
      <c r="G3875" s="66"/>
      <c r="H3875" s="63"/>
      <c r="I3875" s="64"/>
    </row>
    <row r="3876" customFormat="false" ht="23.25" hidden="false" customHeight="true" outlineLevel="0" collapsed="false">
      <c r="B3876" s="67" t="str">
        <f aca="false">IFERROR(INDEX(分录收入!$M:$M,MATCH($L3876,分录收入!$L:$L,0)),"")</f>
        <v/>
      </c>
      <c r="C3876" s="67"/>
      <c r="D3876" s="23" t="str">
        <f aca="false">IFERROR(INDEX(分录收入!$E:$E,MATCH($L3876,分录收入!$L:$L,0)),"")</f>
        <v/>
      </c>
      <c r="E3876" s="23" t="str">
        <f aca="false">IFERROR(INDEX(分录收入!$F:$F,MATCH($L3876,分录收入!$L:$L,0)),"")</f>
        <v/>
      </c>
      <c r="F3876" s="68" t="str">
        <f aca="false">IFERROR(INDEX(分录收入!$H:$H,MATCH($L3876,分录收入!$L:$L,0)),"")</f>
        <v/>
      </c>
      <c r="G3876" s="69" t="str">
        <f aca="false">IFERROR(INDEX(分录收入!$I:$I,MATCH($L3876,分录收入!$L:$L,0)),"")</f>
        <v/>
      </c>
      <c r="H3876" s="23"/>
      <c r="I3876" s="70"/>
      <c r="L3876" s="71" t="n">
        <f aca="false">IF(助手收入!$R$260="",-1,助手收入!$R$260*100+(助手收入!$S$260-1)*6+1)</f>
        <v>-1</v>
      </c>
    </row>
    <row r="3877" customFormat="false" ht="23.25" hidden="false" customHeight="true" outlineLevel="0" collapsed="false">
      <c r="B3877" s="67" t="str">
        <f aca="false">""</f>
        <v/>
      </c>
      <c r="C3877" s="67"/>
      <c r="D3877" s="23" t="str">
        <f aca="false">IFERROR(INDEX(分录收入!$E:$E,MATCH($L3877,分录收入!$L:$L,0)),"")</f>
        <v/>
      </c>
      <c r="E3877" s="23" t="str">
        <f aca="false">IFERROR(INDEX(分录收入!$F:$F,MATCH($L3877,分录收入!$L:$L,0)),"")</f>
        <v/>
      </c>
      <c r="F3877" s="68" t="str">
        <f aca="false">IFERROR(INDEX(分录收入!$H:$H,MATCH($L3877,分录收入!$L:$L,0)),"")</f>
        <v/>
      </c>
      <c r="G3877" s="69" t="str">
        <f aca="false">IFERROR(INDEX(分录收入!$I:$I,MATCH($L3877,分录收入!$L:$L,0)),"")</f>
        <v/>
      </c>
      <c r="H3877" s="23"/>
      <c r="I3877" s="70"/>
      <c r="L3877" s="71" t="n">
        <f aca="false">IF(助手收入!$R$260="",-1,助手收入!$R$260*100+(助手收入!$S$260-1)*6+2)</f>
        <v>-1</v>
      </c>
    </row>
    <row r="3878" customFormat="false" ht="23.25" hidden="false" customHeight="true" outlineLevel="0" collapsed="false">
      <c r="B3878" s="67" t="str">
        <f aca="false">""</f>
        <v/>
      </c>
      <c r="C3878" s="67"/>
      <c r="D3878" s="23" t="str">
        <f aca="false">IFERROR(INDEX(分录收入!$E:$E,MATCH($L3878,分录收入!$L:$L,0)),"")</f>
        <v/>
      </c>
      <c r="E3878" s="23" t="str">
        <f aca="false">IFERROR(INDEX(分录收入!$F:$F,MATCH($L3878,分录收入!$L:$L,0)),"")</f>
        <v/>
      </c>
      <c r="F3878" s="68" t="str">
        <f aca="false">IFERROR(INDEX(分录收入!$H:$H,MATCH($L3878,分录收入!$L:$L,0)),"")</f>
        <v/>
      </c>
      <c r="G3878" s="69" t="str">
        <f aca="false">IFERROR(INDEX(分录收入!$I:$I,MATCH($L3878,分录收入!$L:$L,0)),"")</f>
        <v/>
      </c>
      <c r="H3878" s="23"/>
      <c r="I3878" s="70"/>
      <c r="L3878" s="71" t="n">
        <f aca="false">IF(助手收入!$R$260="",-1,助手收入!$R$260*100+(助手收入!$S$260-1)*6+3)</f>
        <v>-1</v>
      </c>
    </row>
    <row r="3879" customFormat="false" ht="23.25" hidden="false" customHeight="true" outlineLevel="0" collapsed="false">
      <c r="B3879" s="67" t="str">
        <f aca="false">""</f>
        <v/>
      </c>
      <c r="C3879" s="67"/>
      <c r="D3879" s="23" t="str">
        <f aca="false">IFERROR(INDEX(分录收入!$E:$E,MATCH($L3879,分录收入!$L:$L,0)),"")</f>
        <v/>
      </c>
      <c r="E3879" s="23" t="str">
        <f aca="false">IFERROR(INDEX(分录收入!$F:$F,MATCH($L3879,分录收入!$L:$L,0)),"")</f>
        <v/>
      </c>
      <c r="F3879" s="68" t="str">
        <f aca="false">IFERROR(INDEX(分录收入!$H:$H,MATCH($L3879,分录收入!$L:$L,0)),"")</f>
        <v/>
      </c>
      <c r="G3879" s="69" t="str">
        <f aca="false">IFERROR(INDEX(分录收入!$I:$I,MATCH($L3879,分录收入!$L:$L,0)),"")</f>
        <v/>
      </c>
      <c r="H3879" s="23"/>
      <c r="I3879" s="70"/>
      <c r="L3879" s="71" t="n">
        <f aca="false">IF(助手收入!$R$260="",-1,助手收入!$R$260*100+(助手收入!$S$260-1)*6+4)</f>
        <v>-1</v>
      </c>
    </row>
    <row r="3880" customFormat="false" ht="23.25" hidden="false" customHeight="true" outlineLevel="0" collapsed="false">
      <c r="B3880" s="67" t="str">
        <f aca="false">""</f>
        <v/>
      </c>
      <c r="C3880" s="67"/>
      <c r="D3880" s="23" t="str">
        <f aca="false">IFERROR(INDEX(分录收入!$E:$E,MATCH($L3880,分录收入!$L:$L,0)),"")</f>
        <v/>
      </c>
      <c r="E3880" s="23" t="str">
        <f aca="false">IFERROR(INDEX(分录收入!$F:$F,MATCH($L3880,分录收入!$L:$L,0)),"")</f>
        <v/>
      </c>
      <c r="F3880" s="68" t="str">
        <f aca="false">IFERROR(INDEX(分录收入!$H:$H,MATCH($L3880,分录收入!$L:$L,0)),"")</f>
        <v/>
      </c>
      <c r="G3880" s="69" t="str">
        <f aca="false">IFERROR(INDEX(分录收入!$I:$I,MATCH($L3880,分录收入!$L:$L,0)),"")</f>
        <v/>
      </c>
      <c r="H3880" s="23"/>
      <c r="I3880" s="70"/>
      <c r="L3880" s="71" t="n">
        <f aca="false">IF(助手收入!$R$260="",-1,助手收入!$R$260*100+(助手收入!$S$260-1)*6+5)</f>
        <v>-1</v>
      </c>
    </row>
    <row r="3881" customFormat="false" ht="23.25" hidden="false" customHeight="true" outlineLevel="0" collapsed="false">
      <c r="B3881" s="67" t="str">
        <f aca="false">""</f>
        <v/>
      </c>
      <c r="C3881" s="67"/>
      <c r="D3881" s="23" t="str">
        <f aca="false">IFERROR(INDEX(分录收入!$E:$E,MATCH($L3881,分录收入!$L:$L,0)),"")</f>
        <v/>
      </c>
      <c r="E3881" s="23" t="str">
        <f aca="false">IFERROR(INDEX(分录收入!$F:$F,MATCH($L3881,分录收入!$L:$L,0)),"")</f>
        <v/>
      </c>
      <c r="F3881" s="68" t="str">
        <f aca="false">IFERROR(INDEX(分录收入!$H:$H,MATCH($L3881,分录收入!$L:$L,0)),"")</f>
        <v/>
      </c>
      <c r="G3881" s="69" t="str">
        <f aca="false">IFERROR(INDEX(分录收入!$I:$I,MATCH($L3881,分录收入!$L:$L,0)),"")</f>
        <v/>
      </c>
      <c r="H3881" s="23"/>
      <c r="I3881" s="70"/>
      <c r="L3881" s="71" t="n">
        <f aca="false">IF(助手收入!$R$260="",-1,助手收入!$R$260*100+(助手收入!$S$260-1)*6+6)</f>
        <v>-1</v>
      </c>
    </row>
    <row r="3882" customFormat="false" ht="23.25" hidden="false" customHeight="true" outlineLevel="0" collapsed="false">
      <c r="B3882" s="72" t="str">
        <f aca="false">IF(助手收入!$T$260=1,"合计：","")</f>
        <v/>
      </c>
      <c r="C3882" s="73" t="str">
        <f aca="false">IF(助手收入!$T$260=1,$F3882,"")</f>
        <v/>
      </c>
      <c r="D3882" s="74"/>
      <c r="E3882" s="74"/>
      <c r="F3882" s="75" t="str">
        <f aca="false">IF(助手收入!$T$260=1,INDEX(助手收入!$N$2:$N$66,助手收入!$R$260),"")</f>
        <v/>
      </c>
      <c r="G3882" s="76" t="str">
        <f aca="false">IF(助手收入!$T$260=1,INDEX(助手收入!$O$2:$O$66,助手收入!$R$260),"")</f>
        <v/>
      </c>
      <c r="H3882" s="74"/>
      <c r="I3882" s="77"/>
    </row>
    <row r="3883" customFormat="false" ht="6" hidden="false" customHeight="true" outlineLevel="0" collapsed="false"/>
    <row r="3884" customFormat="false" ht="13.5" hidden="false" customHeight="false" outlineLevel="0" collapsed="false">
      <c r="B3884" s="78" t="str">
        <f aca="false">IF(助手收入!$R$260&lt;&gt;"","会计主管：","")</f>
        <v/>
      </c>
      <c r="D3884" s="78" t="str">
        <f aca="false">IF(助手收入!$R$260&lt;&gt;"","会计：","")</f>
        <v/>
      </c>
      <c r="E3884" s="78" t="str">
        <f aca="false">IF(助手收入!$R$260&lt;&gt;"","出纳：","")</f>
        <v/>
      </c>
      <c r="F3884" s="78" t="str">
        <f aca="false">IF(助手收入!$R$260&lt;&gt;"","复核：","")</f>
        <v/>
      </c>
      <c r="G3884" s="78" t="str">
        <f aca="false">IF(助手收入!$R$260&lt;&gt;"","制单：","")</f>
        <v/>
      </c>
    </row>
    <row r="3885" customFormat="false" ht="3" hidden="false" customHeight="true" outlineLevel="0" collapsed="false"/>
    <row r="3886" customFormat="false" ht="19.5" hidden="false" customHeight="true" outlineLevel="0" collapsed="false">
      <c r="B3886" s="53" t="str">
        <f aca="false">IF(助手收入!$R$261&lt;&gt;"","记  账  凭  证","")</f>
        <v/>
      </c>
      <c r="C3886" s="53"/>
      <c r="D3886" s="53"/>
      <c r="E3886" s="53"/>
      <c r="F3886" s="53"/>
      <c r="G3886" s="53"/>
      <c r="H3886" s="53"/>
      <c r="I3886" s="53"/>
    </row>
    <row r="3887" customFormat="false" ht="3" hidden="false" customHeight="true" outlineLevel="0" collapsed="false"/>
    <row r="3888" customFormat="false" ht="15" hidden="false" customHeight="true" outlineLevel="0" collapsed="false">
      <c r="C3888" s="56" t="str">
        <f aca="false">IF(助手收入!$R$261&lt;&gt;"",INDEX(助手收入!$B$2:$B$66,助手收入!$R$261),"")</f>
        <v/>
      </c>
      <c r="D3888" s="57" t="str">
        <f aca="false">IF(助手收入!$R$261&lt;&gt;"",参数!$B$2,"")</f>
        <v/>
      </c>
      <c r="E3888" s="57"/>
      <c r="F3888" s="58" t="str">
        <f aca="false">IF(助手收入!$R$261&lt;&gt;"",INDEX(助手收入!$C$2:$C$66,助手收入!$R$261)&amp;"  字第 "&amp;IF(参数!$B$9="是",INDEX(助手收入!$P$2:$P$66,助手收入!$R$261),"　　　　")&amp;" 号"&amp;IF(INDEX(助手收入!$L$2:$L$66,助手收入!$R$261)&gt;1,"  (共"&amp;INDEX(助手收入!$L$2:$L$66,助手收入!$R$261)&amp;"页 第"&amp;助手收入!$S$261&amp;"页)",""),"")</f>
        <v/>
      </c>
      <c r="G3888" s="58"/>
      <c r="H3888" s="58"/>
      <c r="I3888" s="58"/>
      <c r="M3888" s="79" t="str">
        <f aca="false">IF(助手收入!$R$261="","",助手收入!$Q$261)</f>
        <v/>
      </c>
      <c r="N3888" s="80" t="str">
        <f aca="false">IF(助手收入!$R$261="","",INDEX(助手收入!$P$2:$P$66,助手收入!$R$261))</f>
        <v/>
      </c>
      <c r="O3888" s="55" t="str">
        <f aca="false">IF(助手收入!$R$261="","",INDEX(助手收入!$C$2:$C$66,助手收入!$R$261)&amp;"  字第 "&amp;INDEX(助手收入!$P$2:$P$66,助手收入!$R$261)&amp;" 号"&amp;IF(INDEX(助手收入!$L$2:$L$66,助手收入!$R$261)&gt;1,"  (共"&amp;INDEX(助手收入!$L$2:$L$66,助手收入!$R$261)&amp;"页 第"&amp;助手收入!$S$261&amp;"页)",""))</f>
        <v/>
      </c>
    </row>
    <row r="3889" customFormat="false" ht="12.75" hidden="false" customHeight="true" outlineLevel="0" collapsed="false">
      <c r="B3889" s="61" t="str">
        <f aca="false">IF(助手收入!$R$261&lt;&gt;"","摘　　要","")</f>
        <v/>
      </c>
      <c r="C3889" s="61"/>
      <c r="D3889" s="62" t="str">
        <f aca="false">IF(助手收入!$R$261&lt;&gt;"","科　　　　目","")</f>
        <v/>
      </c>
      <c r="E3889" s="62"/>
      <c r="F3889" s="61" t="str">
        <f aca="false">IF(助手收入!$R$261&lt;&gt;"","借 方 金 额","")</f>
        <v/>
      </c>
      <c r="G3889" s="62" t="str">
        <f aca="false">IF(助手收入!$R$261&lt;&gt;"","贷 方 金 额","")</f>
        <v/>
      </c>
      <c r="H3889" s="63" t="str">
        <f aca="false">IF(助手收入!$R$261&lt;&gt;"","√","")</f>
        <v/>
      </c>
      <c r="I3889" s="64" t="str">
        <f aca="false">IF(助手收入!$R$261&lt;&gt;"","附单据  张","")</f>
        <v/>
      </c>
    </row>
    <row r="3890" customFormat="false" ht="12.75" hidden="false" customHeight="true" outlineLevel="0" collapsed="false">
      <c r="B3890" s="61"/>
      <c r="C3890" s="61"/>
      <c r="D3890" s="23" t="str">
        <f aca="false">IF(助手收入!$R$261&lt;&gt;"","总 账 科 目","")</f>
        <v/>
      </c>
      <c r="E3890" s="23" t="str">
        <f aca="false">IF(助手收入!$R$261&lt;&gt;"","明 细 科 目","")</f>
        <v/>
      </c>
      <c r="F3890" s="65"/>
      <c r="G3890" s="66"/>
      <c r="H3890" s="63"/>
      <c r="I3890" s="64"/>
    </row>
    <row r="3891" customFormat="false" ht="23.25" hidden="false" customHeight="true" outlineLevel="0" collapsed="false">
      <c r="B3891" s="67" t="str">
        <f aca="false">IFERROR(INDEX(分录收入!$M:$M,MATCH($L3891,分录收入!$L:$L,0)),"")</f>
        <v/>
      </c>
      <c r="C3891" s="67"/>
      <c r="D3891" s="23" t="str">
        <f aca="false">IFERROR(INDEX(分录收入!$E:$E,MATCH($L3891,分录收入!$L:$L,0)),"")</f>
        <v/>
      </c>
      <c r="E3891" s="23" t="str">
        <f aca="false">IFERROR(INDEX(分录收入!$F:$F,MATCH($L3891,分录收入!$L:$L,0)),"")</f>
        <v/>
      </c>
      <c r="F3891" s="68" t="str">
        <f aca="false">IFERROR(INDEX(分录收入!$H:$H,MATCH($L3891,分录收入!$L:$L,0)),"")</f>
        <v/>
      </c>
      <c r="G3891" s="69" t="str">
        <f aca="false">IFERROR(INDEX(分录收入!$I:$I,MATCH($L3891,分录收入!$L:$L,0)),"")</f>
        <v/>
      </c>
      <c r="H3891" s="23"/>
      <c r="I3891" s="70"/>
      <c r="L3891" s="71" t="n">
        <f aca="false">IF(助手收入!$R$261="",-1,助手收入!$R$261*100+(助手收入!$S$261-1)*6+1)</f>
        <v>-1</v>
      </c>
    </row>
    <row r="3892" customFormat="false" ht="23.25" hidden="false" customHeight="true" outlineLevel="0" collapsed="false">
      <c r="B3892" s="67" t="str">
        <f aca="false">""</f>
        <v/>
      </c>
      <c r="C3892" s="67"/>
      <c r="D3892" s="23" t="str">
        <f aca="false">IFERROR(INDEX(分录收入!$E:$E,MATCH($L3892,分录收入!$L:$L,0)),"")</f>
        <v/>
      </c>
      <c r="E3892" s="23" t="str">
        <f aca="false">IFERROR(INDEX(分录收入!$F:$F,MATCH($L3892,分录收入!$L:$L,0)),"")</f>
        <v/>
      </c>
      <c r="F3892" s="68" t="str">
        <f aca="false">IFERROR(INDEX(分录收入!$H:$H,MATCH($L3892,分录收入!$L:$L,0)),"")</f>
        <v/>
      </c>
      <c r="G3892" s="69" t="str">
        <f aca="false">IFERROR(INDEX(分录收入!$I:$I,MATCH($L3892,分录收入!$L:$L,0)),"")</f>
        <v/>
      </c>
      <c r="H3892" s="23"/>
      <c r="I3892" s="70"/>
      <c r="L3892" s="71" t="n">
        <f aca="false">IF(助手收入!$R$261="",-1,助手收入!$R$261*100+(助手收入!$S$261-1)*6+2)</f>
        <v>-1</v>
      </c>
    </row>
    <row r="3893" customFormat="false" ht="23.25" hidden="false" customHeight="true" outlineLevel="0" collapsed="false">
      <c r="B3893" s="67" t="str">
        <f aca="false">""</f>
        <v/>
      </c>
      <c r="C3893" s="67"/>
      <c r="D3893" s="23" t="str">
        <f aca="false">IFERROR(INDEX(分录收入!$E:$E,MATCH($L3893,分录收入!$L:$L,0)),"")</f>
        <v/>
      </c>
      <c r="E3893" s="23" t="str">
        <f aca="false">IFERROR(INDEX(分录收入!$F:$F,MATCH($L3893,分录收入!$L:$L,0)),"")</f>
        <v/>
      </c>
      <c r="F3893" s="68" t="str">
        <f aca="false">IFERROR(INDEX(分录收入!$H:$H,MATCH($L3893,分录收入!$L:$L,0)),"")</f>
        <v/>
      </c>
      <c r="G3893" s="69" t="str">
        <f aca="false">IFERROR(INDEX(分录收入!$I:$I,MATCH($L3893,分录收入!$L:$L,0)),"")</f>
        <v/>
      </c>
      <c r="H3893" s="23"/>
      <c r="I3893" s="70"/>
      <c r="L3893" s="71" t="n">
        <f aca="false">IF(助手收入!$R$261="",-1,助手收入!$R$261*100+(助手收入!$S$261-1)*6+3)</f>
        <v>-1</v>
      </c>
    </row>
    <row r="3894" customFormat="false" ht="23.25" hidden="false" customHeight="true" outlineLevel="0" collapsed="false">
      <c r="B3894" s="67" t="str">
        <f aca="false">""</f>
        <v/>
      </c>
      <c r="C3894" s="67"/>
      <c r="D3894" s="23" t="str">
        <f aca="false">IFERROR(INDEX(分录收入!$E:$E,MATCH($L3894,分录收入!$L:$L,0)),"")</f>
        <v/>
      </c>
      <c r="E3894" s="23" t="str">
        <f aca="false">IFERROR(INDEX(分录收入!$F:$F,MATCH($L3894,分录收入!$L:$L,0)),"")</f>
        <v/>
      </c>
      <c r="F3894" s="68" t="str">
        <f aca="false">IFERROR(INDEX(分录收入!$H:$H,MATCH($L3894,分录收入!$L:$L,0)),"")</f>
        <v/>
      </c>
      <c r="G3894" s="69" t="str">
        <f aca="false">IFERROR(INDEX(分录收入!$I:$I,MATCH($L3894,分录收入!$L:$L,0)),"")</f>
        <v/>
      </c>
      <c r="H3894" s="23"/>
      <c r="I3894" s="70"/>
      <c r="L3894" s="71" t="n">
        <f aca="false">IF(助手收入!$R$261="",-1,助手收入!$R$261*100+(助手收入!$S$261-1)*6+4)</f>
        <v>-1</v>
      </c>
    </row>
    <row r="3895" customFormat="false" ht="23.25" hidden="false" customHeight="true" outlineLevel="0" collapsed="false">
      <c r="B3895" s="67" t="str">
        <f aca="false">""</f>
        <v/>
      </c>
      <c r="C3895" s="67"/>
      <c r="D3895" s="23" t="str">
        <f aca="false">IFERROR(INDEX(分录收入!$E:$E,MATCH($L3895,分录收入!$L:$L,0)),"")</f>
        <v/>
      </c>
      <c r="E3895" s="23" t="str">
        <f aca="false">IFERROR(INDEX(分录收入!$F:$F,MATCH($L3895,分录收入!$L:$L,0)),"")</f>
        <v/>
      </c>
      <c r="F3895" s="68" t="str">
        <f aca="false">IFERROR(INDEX(分录收入!$H:$H,MATCH($L3895,分录收入!$L:$L,0)),"")</f>
        <v/>
      </c>
      <c r="G3895" s="69" t="str">
        <f aca="false">IFERROR(INDEX(分录收入!$I:$I,MATCH($L3895,分录收入!$L:$L,0)),"")</f>
        <v/>
      </c>
      <c r="H3895" s="23"/>
      <c r="I3895" s="70"/>
      <c r="L3895" s="71" t="n">
        <f aca="false">IF(助手收入!$R$261="",-1,助手收入!$R$261*100+(助手收入!$S$261-1)*6+5)</f>
        <v>-1</v>
      </c>
    </row>
    <row r="3896" customFormat="false" ht="23.25" hidden="false" customHeight="true" outlineLevel="0" collapsed="false">
      <c r="B3896" s="67" t="str">
        <f aca="false">""</f>
        <v/>
      </c>
      <c r="C3896" s="67"/>
      <c r="D3896" s="23" t="str">
        <f aca="false">IFERROR(INDEX(分录收入!$E:$E,MATCH($L3896,分录收入!$L:$L,0)),"")</f>
        <v/>
      </c>
      <c r="E3896" s="23" t="str">
        <f aca="false">IFERROR(INDEX(分录收入!$F:$F,MATCH($L3896,分录收入!$L:$L,0)),"")</f>
        <v/>
      </c>
      <c r="F3896" s="68" t="str">
        <f aca="false">IFERROR(INDEX(分录收入!$H:$H,MATCH($L3896,分录收入!$L:$L,0)),"")</f>
        <v/>
      </c>
      <c r="G3896" s="69" t="str">
        <f aca="false">IFERROR(INDEX(分录收入!$I:$I,MATCH($L3896,分录收入!$L:$L,0)),"")</f>
        <v/>
      </c>
      <c r="H3896" s="23"/>
      <c r="I3896" s="70"/>
      <c r="L3896" s="71" t="n">
        <f aca="false">IF(助手收入!$R$261="",-1,助手收入!$R$261*100+(助手收入!$S$261-1)*6+6)</f>
        <v>-1</v>
      </c>
    </row>
    <row r="3897" customFormat="false" ht="23.25" hidden="false" customHeight="true" outlineLevel="0" collapsed="false">
      <c r="B3897" s="72" t="str">
        <f aca="false">IF(助手收入!$T$261=1,"合计：","")</f>
        <v/>
      </c>
      <c r="C3897" s="73" t="str">
        <f aca="false">IF(助手收入!$T$261=1,$F3897,"")</f>
        <v/>
      </c>
      <c r="D3897" s="74"/>
      <c r="E3897" s="74"/>
      <c r="F3897" s="75" t="str">
        <f aca="false">IF(助手收入!$T$261=1,INDEX(助手收入!$N$2:$N$66,助手收入!$R$261),"")</f>
        <v/>
      </c>
      <c r="G3897" s="76" t="str">
        <f aca="false">IF(助手收入!$T$261=1,INDEX(助手收入!$O$2:$O$66,助手收入!$R$261),"")</f>
        <v/>
      </c>
      <c r="H3897" s="74"/>
      <c r="I3897" s="77"/>
    </row>
    <row r="3898" customFormat="false" ht="6" hidden="false" customHeight="true" outlineLevel="0" collapsed="false"/>
    <row r="3899" customFormat="false" ht="13.5" hidden="false" customHeight="false" outlineLevel="0" collapsed="false">
      <c r="B3899" s="78" t="str">
        <f aca="false">IF(助手收入!$R$261&lt;&gt;"","会计主管：","")</f>
        <v/>
      </c>
      <c r="D3899" s="78" t="str">
        <f aca="false">IF(助手收入!$R$261&lt;&gt;"","会计：","")</f>
        <v/>
      </c>
      <c r="E3899" s="78" t="str">
        <f aca="false">IF(助手收入!$R$261&lt;&gt;"","出纳：","")</f>
        <v/>
      </c>
      <c r="F3899" s="78" t="str">
        <f aca="false">IF(助手收入!$R$261&lt;&gt;"","复核：","")</f>
        <v/>
      </c>
      <c r="G3899" s="78" t="str">
        <f aca="false">IF(助手收入!$R$261&lt;&gt;"","制单：","")</f>
        <v/>
      </c>
    </row>
    <row r="3900" customFormat="false" ht="3" hidden="false" customHeight="true" outlineLevel="0" collapsed="false"/>
    <row r="3901" customFormat="false" ht="19.5" hidden="false" customHeight="true" outlineLevel="0" collapsed="false">
      <c r="B3901" s="53" t="str">
        <f aca="false">IF(助手收入!$R$262&lt;&gt;"","记  账  凭  证","")</f>
        <v/>
      </c>
      <c r="C3901" s="53"/>
      <c r="D3901" s="53"/>
      <c r="E3901" s="53"/>
      <c r="F3901" s="53"/>
      <c r="G3901" s="53"/>
      <c r="H3901" s="53"/>
      <c r="I3901" s="53"/>
    </row>
    <row r="3902" customFormat="false" ht="3" hidden="false" customHeight="true" outlineLevel="0" collapsed="false"/>
    <row r="3903" customFormat="false" ht="15" hidden="false" customHeight="true" outlineLevel="0" collapsed="false">
      <c r="C3903" s="56" t="str">
        <f aca="false">IF(助手收入!$R$262&lt;&gt;"",INDEX(助手收入!$B$2:$B$66,助手收入!$R$262),"")</f>
        <v/>
      </c>
      <c r="D3903" s="57" t="str">
        <f aca="false">IF(助手收入!$R$262&lt;&gt;"",参数!$B$2,"")</f>
        <v/>
      </c>
      <c r="E3903" s="57"/>
      <c r="F3903" s="58" t="str">
        <f aca="false">IF(助手收入!$R$262&lt;&gt;"",INDEX(助手收入!$C$2:$C$66,助手收入!$R$262)&amp;"  字第 "&amp;IF(参数!$B$9="是",INDEX(助手收入!$P$2:$P$66,助手收入!$R$262),"　　　　")&amp;" 号"&amp;IF(INDEX(助手收入!$L$2:$L$66,助手收入!$R$262)&gt;1,"  (共"&amp;INDEX(助手收入!$L$2:$L$66,助手收入!$R$262)&amp;"页 第"&amp;助手收入!$S$262&amp;"页)",""),"")</f>
        <v/>
      </c>
      <c r="G3903" s="58"/>
      <c r="H3903" s="58"/>
      <c r="I3903" s="58"/>
      <c r="M3903" s="79" t="str">
        <f aca="false">IF(助手收入!$R$262="","",助手收入!$Q$262)</f>
        <v/>
      </c>
      <c r="N3903" s="80" t="str">
        <f aca="false">IF(助手收入!$R$262="","",INDEX(助手收入!$P$2:$P$66,助手收入!$R$262))</f>
        <v/>
      </c>
      <c r="O3903" s="55" t="str">
        <f aca="false">IF(助手收入!$R$262="","",INDEX(助手收入!$C$2:$C$66,助手收入!$R$262)&amp;"  字第 "&amp;INDEX(助手收入!$P$2:$P$66,助手收入!$R$262)&amp;" 号"&amp;IF(INDEX(助手收入!$L$2:$L$66,助手收入!$R$262)&gt;1,"  (共"&amp;INDEX(助手收入!$L$2:$L$66,助手收入!$R$262)&amp;"页 第"&amp;助手收入!$S$262&amp;"页)",""))</f>
        <v/>
      </c>
    </row>
    <row r="3904" customFormat="false" ht="12.75" hidden="false" customHeight="true" outlineLevel="0" collapsed="false">
      <c r="B3904" s="61" t="str">
        <f aca="false">IF(助手收入!$R$262&lt;&gt;"","摘　　要","")</f>
        <v/>
      </c>
      <c r="C3904" s="61"/>
      <c r="D3904" s="62" t="str">
        <f aca="false">IF(助手收入!$R$262&lt;&gt;"","科　　　　目","")</f>
        <v/>
      </c>
      <c r="E3904" s="62"/>
      <c r="F3904" s="61" t="str">
        <f aca="false">IF(助手收入!$R$262&lt;&gt;"","借 方 金 额","")</f>
        <v/>
      </c>
      <c r="G3904" s="62" t="str">
        <f aca="false">IF(助手收入!$R$262&lt;&gt;"","贷 方 金 额","")</f>
        <v/>
      </c>
      <c r="H3904" s="63" t="str">
        <f aca="false">IF(助手收入!$R$262&lt;&gt;"","√","")</f>
        <v/>
      </c>
      <c r="I3904" s="64" t="str">
        <f aca="false">IF(助手收入!$R$262&lt;&gt;"","附单据  张","")</f>
        <v/>
      </c>
    </row>
    <row r="3905" customFormat="false" ht="12.75" hidden="false" customHeight="true" outlineLevel="0" collapsed="false">
      <c r="B3905" s="61"/>
      <c r="C3905" s="61"/>
      <c r="D3905" s="23" t="str">
        <f aca="false">IF(助手收入!$R$262&lt;&gt;"","总 账 科 目","")</f>
        <v/>
      </c>
      <c r="E3905" s="23" t="str">
        <f aca="false">IF(助手收入!$R$262&lt;&gt;"","明 细 科 目","")</f>
        <v/>
      </c>
      <c r="F3905" s="65"/>
      <c r="G3905" s="66"/>
      <c r="H3905" s="63"/>
      <c r="I3905" s="64"/>
    </row>
    <row r="3906" customFormat="false" ht="23.25" hidden="false" customHeight="true" outlineLevel="0" collapsed="false">
      <c r="B3906" s="67" t="str">
        <f aca="false">IFERROR(INDEX(分录收入!$M:$M,MATCH($L3906,分录收入!$L:$L,0)),"")</f>
        <v/>
      </c>
      <c r="C3906" s="67"/>
      <c r="D3906" s="23" t="str">
        <f aca="false">IFERROR(INDEX(分录收入!$E:$E,MATCH($L3906,分录收入!$L:$L,0)),"")</f>
        <v/>
      </c>
      <c r="E3906" s="23" t="str">
        <f aca="false">IFERROR(INDEX(分录收入!$F:$F,MATCH($L3906,分录收入!$L:$L,0)),"")</f>
        <v/>
      </c>
      <c r="F3906" s="68" t="str">
        <f aca="false">IFERROR(INDEX(分录收入!$H:$H,MATCH($L3906,分录收入!$L:$L,0)),"")</f>
        <v/>
      </c>
      <c r="G3906" s="69" t="str">
        <f aca="false">IFERROR(INDEX(分录收入!$I:$I,MATCH($L3906,分录收入!$L:$L,0)),"")</f>
        <v/>
      </c>
      <c r="H3906" s="23"/>
      <c r="I3906" s="70"/>
      <c r="L3906" s="71" t="n">
        <f aca="false">IF(助手收入!$R$262="",-1,助手收入!$R$262*100+(助手收入!$S$262-1)*6+1)</f>
        <v>-1</v>
      </c>
    </row>
    <row r="3907" customFormat="false" ht="23.25" hidden="false" customHeight="true" outlineLevel="0" collapsed="false">
      <c r="B3907" s="67" t="str">
        <f aca="false">""</f>
        <v/>
      </c>
      <c r="C3907" s="67"/>
      <c r="D3907" s="23" t="str">
        <f aca="false">IFERROR(INDEX(分录收入!$E:$E,MATCH($L3907,分录收入!$L:$L,0)),"")</f>
        <v/>
      </c>
      <c r="E3907" s="23" t="str">
        <f aca="false">IFERROR(INDEX(分录收入!$F:$F,MATCH($L3907,分录收入!$L:$L,0)),"")</f>
        <v/>
      </c>
      <c r="F3907" s="68" t="str">
        <f aca="false">IFERROR(INDEX(分录收入!$H:$H,MATCH($L3907,分录收入!$L:$L,0)),"")</f>
        <v/>
      </c>
      <c r="G3907" s="69" t="str">
        <f aca="false">IFERROR(INDEX(分录收入!$I:$I,MATCH($L3907,分录收入!$L:$L,0)),"")</f>
        <v/>
      </c>
      <c r="H3907" s="23"/>
      <c r="I3907" s="70"/>
      <c r="L3907" s="71" t="n">
        <f aca="false">IF(助手收入!$R$262="",-1,助手收入!$R$262*100+(助手收入!$S$262-1)*6+2)</f>
        <v>-1</v>
      </c>
    </row>
    <row r="3908" customFormat="false" ht="23.25" hidden="false" customHeight="true" outlineLevel="0" collapsed="false">
      <c r="B3908" s="67" t="str">
        <f aca="false">""</f>
        <v/>
      </c>
      <c r="C3908" s="67"/>
      <c r="D3908" s="23" t="str">
        <f aca="false">IFERROR(INDEX(分录收入!$E:$E,MATCH($L3908,分录收入!$L:$L,0)),"")</f>
        <v/>
      </c>
      <c r="E3908" s="23" t="str">
        <f aca="false">IFERROR(INDEX(分录收入!$F:$F,MATCH($L3908,分录收入!$L:$L,0)),"")</f>
        <v/>
      </c>
      <c r="F3908" s="68" t="str">
        <f aca="false">IFERROR(INDEX(分录收入!$H:$H,MATCH($L3908,分录收入!$L:$L,0)),"")</f>
        <v/>
      </c>
      <c r="G3908" s="69" t="str">
        <f aca="false">IFERROR(INDEX(分录收入!$I:$I,MATCH($L3908,分录收入!$L:$L,0)),"")</f>
        <v/>
      </c>
      <c r="H3908" s="23"/>
      <c r="I3908" s="70"/>
      <c r="L3908" s="71" t="n">
        <f aca="false">IF(助手收入!$R$262="",-1,助手收入!$R$262*100+(助手收入!$S$262-1)*6+3)</f>
        <v>-1</v>
      </c>
    </row>
    <row r="3909" customFormat="false" ht="23.25" hidden="false" customHeight="true" outlineLevel="0" collapsed="false">
      <c r="B3909" s="67" t="str">
        <f aca="false">""</f>
        <v/>
      </c>
      <c r="C3909" s="67"/>
      <c r="D3909" s="23" t="str">
        <f aca="false">IFERROR(INDEX(分录收入!$E:$E,MATCH($L3909,分录收入!$L:$L,0)),"")</f>
        <v/>
      </c>
      <c r="E3909" s="23" t="str">
        <f aca="false">IFERROR(INDEX(分录收入!$F:$F,MATCH($L3909,分录收入!$L:$L,0)),"")</f>
        <v/>
      </c>
      <c r="F3909" s="68" t="str">
        <f aca="false">IFERROR(INDEX(分录收入!$H:$H,MATCH($L3909,分录收入!$L:$L,0)),"")</f>
        <v/>
      </c>
      <c r="G3909" s="69" t="str">
        <f aca="false">IFERROR(INDEX(分录收入!$I:$I,MATCH($L3909,分录收入!$L:$L,0)),"")</f>
        <v/>
      </c>
      <c r="H3909" s="23"/>
      <c r="I3909" s="70"/>
      <c r="L3909" s="71" t="n">
        <f aca="false">IF(助手收入!$R$262="",-1,助手收入!$R$262*100+(助手收入!$S$262-1)*6+4)</f>
        <v>-1</v>
      </c>
    </row>
    <row r="3910" customFormat="false" ht="23.25" hidden="false" customHeight="true" outlineLevel="0" collapsed="false">
      <c r="B3910" s="67" t="str">
        <f aca="false">""</f>
        <v/>
      </c>
      <c r="C3910" s="67"/>
      <c r="D3910" s="23" t="str">
        <f aca="false">IFERROR(INDEX(分录收入!$E:$E,MATCH($L3910,分录收入!$L:$L,0)),"")</f>
        <v/>
      </c>
      <c r="E3910" s="23" t="str">
        <f aca="false">IFERROR(INDEX(分录收入!$F:$F,MATCH($L3910,分录收入!$L:$L,0)),"")</f>
        <v/>
      </c>
      <c r="F3910" s="68" t="str">
        <f aca="false">IFERROR(INDEX(分录收入!$H:$H,MATCH($L3910,分录收入!$L:$L,0)),"")</f>
        <v/>
      </c>
      <c r="G3910" s="69" t="str">
        <f aca="false">IFERROR(INDEX(分录收入!$I:$I,MATCH($L3910,分录收入!$L:$L,0)),"")</f>
        <v/>
      </c>
      <c r="H3910" s="23"/>
      <c r="I3910" s="70"/>
      <c r="L3910" s="71" t="n">
        <f aca="false">IF(助手收入!$R$262="",-1,助手收入!$R$262*100+(助手收入!$S$262-1)*6+5)</f>
        <v>-1</v>
      </c>
    </row>
    <row r="3911" customFormat="false" ht="23.25" hidden="false" customHeight="true" outlineLevel="0" collapsed="false">
      <c r="B3911" s="67" t="str">
        <f aca="false">""</f>
        <v/>
      </c>
      <c r="C3911" s="67"/>
      <c r="D3911" s="23" t="str">
        <f aca="false">IFERROR(INDEX(分录收入!$E:$E,MATCH($L3911,分录收入!$L:$L,0)),"")</f>
        <v/>
      </c>
      <c r="E3911" s="23" t="str">
        <f aca="false">IFERROR(INDEX(分录收入!$F:$F,MATCH($L3911,分录收入!$L:$L,0)),"")</f>
        <v/>
      </c>
      <c r="F3911" s="68" t="str">
        <f aca="false">IFERROR(INDEX(分录收入!$H:$H,MATCH($L3911,分录收入!$L:$L,0)),"")</f>
        <v/>
      </c>
      <c r="G3911" s="69" t="str">
        <f aca="false">IFERROR(INDEX(分录收入!$I:$I,MATCH($L3911,分录收入!$L:$L,0)),"")</f>
        <v/>
      </c>
      <c r="H3911" s="23"/>
      <c r="I3911" s="70"/>
      <c r="L3911" s="71" t="n">
        <f aca="false">IF(助手收入!$R$262="",-1,助手收入!$R$262*100+(助手收入!$S$262-1)*6+6)</f>
        <v>-1</v>
      </c>
    </row>
    <row r="3912" customFormat="false" ht="23.25" hidden="false" customHeight="true" outlineLevel="0" collapsed="false">
      <c r="B3912" s="72" t="str">
        <f aca="false">IF(助手收入!$T$262=1,"合计：","")</f>
        <v/>
      </c>
      <c r="C3912" s="73" t="str">
        <f aca="false">IF(助手收入!$T$262=1,$F3912,"")</f>
        <v/>
      </c>
      <c r="D3912" s="74"/>
      <c r="E3912" s="74"/>
      <c r="F3912" s="75" t="str">
        <f aca="false">IF(助手收入!$T$262=1,INDEX(助手收入!$N$2:$N$66,助手收入!$R$262),"")</f>
        <v/>
      </c>
      <c r="G3912" s="76" t="str">
        <f aca="false">IF(助手收入!$T$262=1,INDEX(助手收入!$O$2:$O$66,助手收入!$R$262),"")</f>
        <v/>
      </c>
      <c r="H3912" s="74"/>
      <c r="I3912" s="77"/>
    </row>
    <row r="3913" customFormat="false" ht="6" hidden="false" customHeight="true" outlineLevel="0" collapsed="false"/>
    <row r="3914" customFormat="false" ht="13.5" hidden="false" customHeight="false" outlineLevel="0" collapsed="false">
      <c r="B3914" s="78" t="str">
        <f aca="false">IF(助手收入!$R$262&lt;&gt;"","会计主管：","")</f>
        <v/>
      </c>
      <c r="D3914" s="78" t="str">
        <f aca="false">IF(助手收入!$R$262&lt;&gt;"","会计：","")</f>
        <v/>
      </c>
      <c r="E3914" s="78" t="str">
        <f aca="false">IF(助手收入!$R$262&lt;&gt;"","出纳：","")</f>
        <v/>
      </c>
      <c r="F3914" s="78" t="str">
        <f aca="false">IF(助手收入!$R$262&lt;&gt;"","复核：","")</f>
        <v/>
      </c>
      <c r="G3914" s="78" t="str">
        <f aca="false">IF(助手收入!$R$262&lt;&gt;"","制单：","")</f>
        <v/>
      </c>
    </row>
    <row r="3915" customFormat="false" ht="3" hidden="false" customHeight="true" outlineLevel="0" collapsed="false"/>
    <row r="3916" customFormat="false" ht="19.5" hidden="false" customHeight="true" outlineLevel="0" collapsed="false">
      <c r="B3916" s="53" t="str">
        <f aca="false">IF(助手收入!$R$263&lt;&gt;"","记  账  凭  证","")</f>
        <v/>
      </c>
      <c r="C3916" s="53"/>
      <c r="D3916" s="53"/>
      <c r="E3916" s="53"/>
      <c r="F3916" s="53"/>
      <c r="G3916" s="53"/>
      <c r="H3916" s="53"/>
      <c r="I3916" s="53"/>
    </row>
    <row r="3917" customFormat="false" ht="3" hidden="false" customHeight="true" outlineLevel="0" collapsed="false"/>
    <row r="3918" customFormat="false" ht="15" hidden="false" customHeight="true" outlineLevel="0" collapsed="false">
      <c r="C3918" s="56" t="str">
        <f aca="false">IF(助手收入!$R$263&lt;&gt;"",INDEX(助手收入!$B$2:$B$66,助手收入!$R$263),"")</f>
        <v/>
      </c>
      <c r="D3918" s="57" t="str">
        <f aca="false">IF(助手收入!$R$263&lt;&gt;"",参数!$B$2,"")</f>
        <v/>
      </c>
      <c r="E3918" s="57"/>
      <c r="F3918" s="58" t="str">
        <f aca="false">IF(助手收入!$R$263&lt;&gt;"",INDEX(助手收入!$C$2:$C$66,助手收入!$R$263)&amp;"  字第 "&amp;IF(参数!$B$9="是",INDEX(助手收入!$P$2:$P$66,助手收入!$R$263),"　　　　")&amp;" 号"&amp;IF(INDEX(助手收入!$L$2:$L$66,助手收入!$R$263)&gt;1,"  (共"&amp;INDEX(助手收入!$L$2:$L$66,助手收入!$R$263)&amp;"页 第"&amp;助手收入!$S$263&amp;"页)",""),"")</f>
        <v/>
      </c>
      <c r="G3918" s="58"/>
      <c r="H3918" s="58"/>
      <c r="I3918" s="58"/>
      <c r="M3918" s="79" t="str">
        <f aca="false">IF(助手收入!$R$263="","",助手收入!$Q$263)</f>
        <v/>
      </c>
      <c r="N3918" s="80" t="str">
        <f aca="false">IF(助手收入!$R$263="","",INDEX(助手收入!$P$2:$P$66,助手收入!$R$263))</f>
        <v/>
      </c>
      <c r="O3918" s="55" t="str">
        <f aca="false">IF(助手收入!$R$263="","",INDEX(助手收入!$C$2:$C$66,助手收入!$R$263)&amp;"  字第 "&amp;INDEX(助手收入!$P$2:$P$66,助手收入!$R$263)&amp;" 号"&amp;IF(INDEX(助手收入!$L$2:$L$66,助手收入!$R$263)&gt;1,"  (共"&amp;INDEX(助手收入!$L$2:$L$66,助手收入!$R$263)&amp;"页 第"&amp;助手收入!$S$263&amp;"页)",""))</f>
        <v/>
      </c>
    </row>
    <row r="3919" customFormat="false" ht="12.75" hidden="false" customHeight="true" outlineLevel="0" collapsed="false">
      <c r="B3919" s="61" t="str">
        <f aca="false">IF(助手收入!$R$263&lt;&gt;"","摘　　要","")</f>
        <v/>
      </c>
      <c r="C3919" s="61"/>
      <c r="D3919" s="62" t="str">
        <f aca="false">IF(助手收入!$R$263&lt;&gt;"","科　　　　目","")</f>
        <v/>
      </c>
      <c r="E3919" s="62"/>
      <c r="F3919" s="61" t="str">
        <f aca="false">IF(助手收入!$R$263&lt;&gt;"","借 方 金 额","")</f>
        <v/>
      </c>
      <c r="G3919" s="62" t="str">
        <f aca="false">IF(助手收入!$R$263&lt;&gt;"","贷 方 金 额","")</f>
        <v/>
      </c>
      <c r="H3919" s="63" t="str">
        <f aca="false">IF(助手收入!$R$263&lt;&gt;"","√","")</f>
        <v/>
      </c>
      <c r="I3919" s="64" t="str">
        <f aca="false">IF(助手收入!$R$263&lt;&gt;"","附单据  张","")</f>
        <v/>
      </c>
    </row>
    <row r="3920" customFormat="false" ht="12.75" hidden="false" customHeight="true" outlineLevel="0" collapsed="false">
      <c r="B3920" s="61"/>
      <c r="C3920" s="61"/>
      <c r="D3920" s="23" t="str">
        <f aca="false">IF(助手收入!$R$263&lt;&gt;"","总 账 科 目","")</f>
        <v/>
      </c>
      <c r="E3920" s="23" t="str">
        <f aca="false">IF(助手收入!$R$263&lt;&gt;"","明 细 科 目","")</f>
        <v/>
      </c>
      <c r="F3920" s="65"/>
      <c r="G3920" s="66"/>
      <c r="H3920" s="63"/>
      <c r="I3920" s="64"/>
    </row>
    <row r="3921" customFormat="false" ht="23.25" hidden="false" customHeight="true" outlineLevel="0" collapsed="false">
      <c r="B3921" s="67" t="str">
        <f aca="false">IFERROR(INDEX(分录收入!$M:$M,MATCH($L3921,分录收入!$L:$L,0)),"")</f>
        <v/>
      </c>
      <c r="C3921" s="67"/>
      <c r="D3921" s="23" t="str">
        <f aca="false">IFERROR(INDEX(分录收入!$E:$E,MATCH($L3921,分录收入!$L:$L,0)),"")</f>
        <v/>
      </c>
      <c r="E3921" s="23" t="str">
        <f aca="false">IFERROR(INDEX(分录收入!$F:$F,MATCH($L3921,分录收入!$L:$L,0)),"")</f>
        <v/>
      </c>
      <c r="F3921" s="68" t="str">
        <f aca="false">IFERROR(INDEX(分录收入!$H:$H,MATCH($L3921,分录收入!$L:$L,0)),"")</f>
        <v/>
      </c>
      <c r="G3921" s="69" t="str">
        <f aca="false">IFERROR(INDEX(分录收入!$I:$I,MATCH($L3921,分录收入!$L:$L,0)),"")</f>
        <v/>
      </c>
      <c r="H3921" s="23"/>
      <c r="I3921" s="70"/>
      <c r="L3921" s="71" t="n">
        <f aca="false">IF(助手收入!$R$263="",-1,助手收入!$R$263*100+(助手收入!$S$263-1)*6+1)</f>
        <v>-1</v>
      </c>
    </row>
    <row r="3922" customFormat="false" ht="23.25" hidden="false" customHeight="true" outlineLevel="0" collapsed="false">
      <c r="B3922" s="67" t="str">
        <f aca="false">""</f>
        <v/>
      </c>
      <c r="C3922" s="67"/>
      <c r="D3922" s="23" t="str">
        <f aca="false">IFERROR(INDEX(分录收入!$E:$E,MATCH($L3922,分录收入!$L:$L,0)),"")</f>
        <v/>
      </c>
      <c r="E3922" s="23" t="str">
        <f aca="false">IFERROR(INDEX(分录收入!$F:$F,MATCH($L3922,分录收入!$L:$L,0)),"")</f>
        <v/>
      </c>
      <c r="F3922" s="68" t="str">
        <f aca="false">IFERROR(INDEX(分录收入!$H:$H,MATCH($L3922,分录收入!$L:$L,0)),"")</f>
        <v/>
      </c>
      <c r="G3922" s="69" t="str">
        <f aca="false">IFERROR(INDEX(分录收入!$I:$I,MATCH($L3922,分录收入!$L:$L,0)),"")</f>
        <v/>
      </c>
      <c r="H3922" s="23"/>
      <c r="I3922" s="70"/>
      <c r="L3922" s="71" t="n">
        <f aca="false">IF(助手收入!$R$263="",-1,助手收入!$R$263*100+(助手收入!$S$263-1)*6+2)</f>
        <v>-1</v>
      </c>
    </row>
    <row r="3923" customFormat="false" ht="23.25" hidden="false" customHeight="true" outlineLevel="0" collapsed="false">
      <c r="B3923" s="67" t="str">
        <f aca="false">""</f>
        <v/>
      </c>
      <c r="C3923" s="67"/>
      <c r="D3923" s="23" t="str">
        <f aca="false">IFERROR(INDEX(分录收入!$E:$E,MATCH($L3923,分录收入!$L:$L,0)),"")</f>
        <v/>
      </c>
      <c r="E3923" s="23" t="str">
        <f aca="false">IFERROR(INDEX(分录收入!$F:$F,MATCH($L3923,分录收入!$L:$L,0)),"")</f>
        <v/>
      </c>
      <c r="F3923" s="68" t="str">
        <f aca="false">IFERROR(INDEX(分录收入!$H:$H,MATCH($L3923,分录收入!$L:$L,0)),"")</f>
        <v/>
      </c>
      <c r="G3923" s="69" t="str">
        <f aca="false">IFERROR(INDEX(分录收入!$I:$I,MATCH($L3923,分录收入!$L:$L,0)),"")</f>
        <v/>
      </c>
      <c r="H3923" s="23"/>
      <c r="I3923" s="70"/>
      <c r="L3923" s="71" t="n">
        <f aca="false">IF(助手收入!$R$263="",-1,助手收入!$R$263*100+(助手收入!$S$263-1)*6+3)</f>
        <v>-1</v>
      </c>
    </row>
    <row r="3924" customFormat="false" ht="23.25" hidden="false" customHeight="true" outlineLevel="0" collapsed="false">
      <c r="B3924" s="67" t="str">
        <f aca="false">""</f>
        <v/>
      </c>
      <c r="C3924" s="67"/>
      <c r="D3924" s="23" t="str">
        <f aca="false">IFERROR(INDEX(分录收入!$E:$E,MATCH($L3924,分录收入!$L:$L,0)),"")</f>
        <v/>
      </c>
      <c r="E3924" s="23" t="str">
        <f aca="false">IFERROR(INDEX(分录收入!$F:$F,MATCH($L3924,分录收入!$L:$L,0)),"")</f>
        <v/>
      </c>
      <c r="F3924" s="68" t="str">
        <f aca="false">IFERROR(INDEX(分录收入!$H:$H,MATCH($L3924,分录收入!$L:$L,0)),"")</f>
        <v/>
      </c>
      <c r="G3924" s="69" t="str">
        <f aca="false">IFERROR(INDEX(分录收入!$I:$I,MATCH($L3924,分录收入!$L:$L,0)),"")</f>
        <v/>
      </c>
      <c r="H3924" s="23"/>
      <c r="I3924" s="70"/>
      <c r="L3924" s="71" t="n">
        <f aca="false">IF(助手收入!$R$263="",-1,助手收入!$R$263*100+(助手收入!$S$263-1)*6+4)</f>
        <v>-1</v>
      </c>
    </row>
    <row r="3925" customFormat="false" ht="23.25" hidden="false" customHeight="true" outlineLevel="0" collapsed="false">
      <c r="B3925" s="67" t="str">
        <f aca="false">""</f>
        <v/>
      </c>
      <c r="C3925" s="67"/>
      <c r="D3925" s="23" t="str">
        <f aca="false">IFERROR(INDEX(分录收入!$E:$E,MATCH($L3925,分录收入!$L:$L,0)),"")</f>
        <v/>
      </c>
      <c r="E3925" s="23" t="str">
        <f aca="false">IFERROR(INDEX(分录收入!$F:$F,MATCH($L3925,分录收入!$L:$L,0)),"")</f>
        <v/>
      </c>
      <c r="F3925" s="68" t="str">
        <f aca="false">IFERROR(INDEX(分录收入!$H:$H,MATCH($L3925,分录收入!$L:$L,0)),"")</f>
        <v/>
      </c>
      <c r="G3925" s="69" t="str">
        <f aca="false">IFERROR(INDEX(分录收入!$I:$I,MATCH($L3925,分录收入!$L:$L,0)),"")</f>
        <v/>
      </c>
      <c r="H3925" s="23"/>
      <c r="I3925" s="70"/>
      <c r="L3925" s="71" t="n">
        <f aca="false">IF(助手收入!$R$263="",-1,助手收入!$R$263*100+(助手收入!$S$263-1)*6+5)</f>
        <v>-1</v>
      </c>
    </row>
    <row r="3926" customFormat="false" ht="23.25" hidden="false" customHeight="true" outlineLevel="0" collapsed="false">
      <c r="B3926" s="67" t="str">
        <f aca="false">""</f>
        <v/>
      </c>
      <c r="C3926" s="67"/>
      <c r="D3926" s="23" t="str">
        <f aca="false">IFERROR(INDEX(分录收入!$E:$E,MATCH($L3926,分录收入!$L:$L,0)),"")</f>
        <v/>
      </c>
      <c r="E3926" s="23" t="str">
        <f aca="false">IFERROR(INDEX(分录收入!$F:$F,MATCH($L3926,分录收入!$L:$L,0)),"")</f>
        <v/>
      </c>
      <c r="F3926" s="68" t="str">
        <f aca="false">IFERROR(INDEX(分录收入!$H:$H,MATCH($L3926,分录收入!$L:$L,0)),"")</f>
        <v/>
      </c>
      <c r="G3926" s="69" t="str">
        <f aca="false">IFERROR(INDEX(分录收入!$I:$I,MATCH($L3926,分录收入!$L:$L,0)),"")</f>
        <v/>
      </c>
      <c r="H3926" s="23"/>
      <c r="I3926" s="70"/>
      <c r="L3926" s="71" t="n">
        <f aca="false">IF(助手收入!$R$263="",-1,助手收入!$R$263*100+(助手收入!$S$263-1)*6+6)</f>
        <v>-1</v>
      </c>
    </row>
    <row r="3927" customFormat="false" ht="23.25" hidden="false" customHeight="true" outlineLevel="0" collapsed="false">
      <c r="B3927" s="72" t="str">
        <f aca="false">IF(助手收入!$T$263=1,"合计：","")</f>
        <v/>
      </c>
      <c r="C3927" s="73" t="str">
        <f aca="false">IF(助手收入!$T$263=1,$F3927,"")</f>
        <v/>
      </c>
      <c r="D3927" s="74"/>
      <c r="E3927" s="74"/>
      <c r="F3927" s="75" t="str">
        <f aca="false">IF(助手收入!$T$263=1,INDEX(助手收入!$N$2:$N$66,助手收入!$R$263),"")</f>
        <v/>
      </c>
      <c r="G3927" s="76" t="str">
        <f aca="false">IF(助手收入!$T$263=1,INDEX(助手收入!$O$2:$O$66,助手收入!$R$263),"")</f>
        <v/>
      </c>
      <c r="H3927" s="74"/>
      <c r="I3927" s="77"/>
    </row>
    <row r="3928" customFormat="false" ht="6" hidden="false" customHeight="true" outlineLevel="0" collapsed="false"/>
    <row r="3929" customFormat="false" ht="13.5" hidden="false" customHeight="false" outlineLevel="0" collapsed="false">
      <c r="B3929" s="78" t="str">
        <f aca="false">IF(助手收入!$R$263&lt;&gt;"","会计主管：","")</f>
        <v/>
      </c>
      <c r="D3929" s="78" t="str">
        <f aca="false">IF(助手收入!$R$263&lt;&gt;"","会计：","")</f>
        <v/>
      </c>
      <c r="E3929" s="78" t="str">
        <f aca="false">IF(助手收入!$R$263&lt;&gt;"","出纳：","")</f>
        <v/>
      </c>
      <c r="F3929" s="78" t="str">
        <f aca="false">IF(助手收入!$R$263&lt;&gt;"","复核：","")</f>
        <v/>
      </c>
      <c r="G3929" s="78" t="str">
        <f aca="false">IF(助手收入!$R$263&lt;&gt;"","制单：","")</f>
        <v/>
      </c>
    </row>
    <row r="3930" customFormat="false" ht="3" hidden="false" customHeight="true" outlineLevel="0" collapsed="false"/>
    <row r="3931" customFormat="false" ht="19.5" hidden="false" customHeight="true" outlineLevel="0" collapsed="false">
      <c r="B3931" s="53" t="str">
        <f aca="false">IF(助手收入!$R$264&lt;&gt;"","记  账  凭  证","")</f>
        <v/>
      </c>
      <c r="C3931" s="53"/>
      <c r="D3931" s="53"/>
      <c r="E3931" s="53"/>
      <c r="F3931" s="53"/>
      <c r="G3931" s="53"/>
      <c r="H3931" s="53"/>
      <c r="I3931" s="53"/>
    </row>
    <row r="3932" customFormat="false" ht="3" hidden="false" customHeight="true" outlineLevel="0" collapsed="false"/>
    <row r="3933" customFormat="false" ht="15" hidden="false" customHeight="true" outlineLevel="0" collapsed="false">
      <c r="C3933" s="56" t="str">
        <f aca="false">IF(助手收入!$R$264&lt;&gt;"",INDEX(助手收入!$B$2:$B$66,助手收入!$R$264),"")</f>
        <v/>
      </c>
      <c r="D3933" s="57" t="str">
        <f aca="false">IF(助手收入!$R$264&lt;&gt;"",参数!$B$2,"")</f>
        <v/>
      </c>
      <c r="E3933" s="57"/>
      <c r="F3933" s="58" t="str">
        <f aca="false">IF(助手收入!$R$264&lt;&gt;"",INDEX(助手收入!$C$2:$C$66,助手收入!$R$264)&amp;"  字第 "&amp;IF(参数!$B$9="是",INDEX(助手收入!$P$2:$P$66,助手收入!$R$264),"　　　　")&amp;" 号"&amp;IF(INDEX(助手收入!$L$2:$L$66,助手收入!$R$264)&gt;1,"  (共"&amp;INDEX(助手收入!$L$2:$L$66,助手收入!$R$264)&amp;"页 第"&amp;助手收入!$S$264&amp;"页)",""),"")</f>
        <v/>
      </c>
      <c r="G3933" s="58"/>
      <c r="H3933" s="58"/>
      <c r="I3933" s="58"/>
      <c r="M3933" s="79" t="str">
        <f aca="false">IF(助手收入!$R$264="","",助手收入!$Q$264)</f>
        <v/>
      </c>
      <c r="N3933" s="80" t="str">
        <f aca="false">IF(助手收入!$R$264="","",INDEX(助手收入!$P$2:$P$66,助手收入!$R$264))</f>
        <v/>
      </c>
      <c r="O3933" s="55" t="str">
        <f aca="false">IF(助手收入!$R$264="","",INDEX(助手收入!$C$2:$C$66,助手收入!$R$264)&amp;"  字第 "&amp;INDEX(助手收入!$P$2:$P$66,助手收入!$R$264)&amp;" 号"&amp;IF(INDEX(助手收入!$L$2:$L$66,助手收入!$R$264)&gt;1,"  (共"&amp;INDEX(助手收入!$L$2:$L$66,助手收入!$R$264)&amp;"页 第"&amp;助手收入!$S$264&amp;"页)",""))</f>
        <v/>
      </c>
    </row>
    <row r="3934" customFormat="false" ht="12.75" hidden="false" customHeight="true" outlineLevel="0" collapsed="false">
      <c r="B3934" s="61" t="str">
        <f aca="false">IF(助手收入!$R$264&lt;&gt;"","摘　　要","")</f>
        <v/>
      </c>
      <c r="C3934" s="61"/>
      <c r="D3934" s="62" t="str">
        <f aca="false">IF(助手收入!$R$264&lt;&gt;"","科　　　　目","")</f>
        <v/>
      </c>
      <c r="E3934" s="62"/>
      <c r="F3934" s="61" t="str">
        <f aca="false">IF(助手收入!$R$264&lt;&gt;"","借 方 金 额","")</f>
        <v/>
      </c>
      <c r="G3934" s="62" t="str">
        <f aca="false">IF(助手收入!$R$264&lt;&gt;"","贷 方 金 额","")</f>
        <v/>
      </c>
      <c r="H3934" s="63" t="str">
        <f aca="false">IF(助手收入!$R$264&lt;&gt;"","√","")</f>
        <v/>
      </c>
      <c r="I3934" s="64" t="str">
        <f aca="false">IF(助手收入!$R$264&lt;&gt;"","附单据  张","")</f>
        <v/>
      </c>
    </row>
    <row r="3935" customFormat="false" ht="12.75" hidden="false" customHeight="true" outlineLevel="0" collapsed="false">
      <c r="B3935" s="61"/>
      <c r="C3935" s="61"/>
      <c r="D3935" s="23" t="str">
        <f aca="false">IF(助手收入!$R$264&lt;&gt;"","总 账 科 目","")</f>
        <v/>
      </c>
      <c r="E3935" s="23" t="str">
        <f aca="false">IF(助手收入!$R$264&lt;&gt;"","明 细 科 目","")</f>
        <v/>
      </c>
      <c r="F3935" s="65"/>
      <c r="G3935" s="66"/>
      <c r="H3935" s="63"/>
      <c r="I3935" s="64"/>
    </row>
    <row r="3936" customFormat="false" ht="23.25" hidden="false" customHeight="true" outlineLevel="0" collapsed="false">
      <c r="B3936" s="67" t="str">
        <f aca="false">IFERROR(INDEX(分录收入!$M:$M,MATCH($L3936,分录收入!$L:$L,0)),"")</f>
        <v/>
      </c>
      <c r="C3936" s="67"/>
      <c r="D3936" s="23" t="str">
        <f aca="false">IFERROR(INDEX(分录收入!$E:$E,MATCH($L3936,分录收入!$L:$L,0)),"")</f>
        <v/>
      </c>
      <c r="E3936" s="23" t="str">
        <f aca="false">IFERROR(INDEX(分录收入!$F:$F,MATCH($L3936,分录收入!$L:$L,0)),"")</f>
        <v/>
      </c>
      <c r="F3936" s="68" t="str">
        <f aca="false">IFERROR(INDEX(分录收入!$H:$H,MATCH($L3936,分录收入!$L:$L,0)),"")</f>
        <v/>
      </c>
      <c r="G3936" s="69" t="str">
        <f aca="false">IFERROR(INDEX(分录收入!$I:$I,MATCH($L3936,分录收入!$L:$L,0)),"")</f>
        <v/>
      </c>
      <c r="H3936" s="23"/>
      <c r="I3936" s="70"/>
      <c r="L3936" s="71" t="n">
        <f aca="false">IF(助手收入!$R$264="",-1,助手收入!$R$264*100+(助手收入!$S$264-1)*6+1)</f>
        <v>-1</v>
      </c>
    </row>
    <row r="3937" customFormat="false" ht="23.25" hidden="false" customHeight="true" outlineLevel="0" collapsed="false">
      <c r="B3937" s="67" t="str">
        <f aca="false">""</f>
        <v/>
      </c>
      <c r="C3937" s="67"/>
      <c r="D3937" s="23" t="str">
        <f aca="false">IFERROR(INDEX(分录收入!$E:$E,MATCH($L3937,分录收入!$L:$L,0)),"")</f>
        <v/>
      </c>
      <c r="E3937" s="23" t="str">
        <f aca="false">IFERROR(INDEX(分录收入!$F:$F,MATCH($L3937,分录收入!$L:$L,0)),"")</f>
        <v/>
      </c>
      <c r="F3937" s="68" t="str">
        <f aca="false">IFERROR(INDEX(分录收入!$H:$H,MATCH($L3937,分录收入!$L:$L,0)),"")</f>
        <v/>
      </c>
      <c r="G3937" s="69" t="str">
        <f aca="false">IFERROR(INDEX(分录收入!$I:$I,MATCH($L3937,分录收入!$L:$L,0)),"")</f>
        <v/>
      </c>
      <c r="H3937" s="23"/>
      <c r="I3937" s="70"/>
      <c r="L3937" s="71" t="n">
        <f aca="false">IF(助手收入!$R$264="",-1,助手收入!$R$264*100+(助手收入!$S$264-1)*6+2)</f>
        <v>-1</v>
      </c>
    </row>
    <row r="3938" customFormat="false" ht="23.25" hidden="false" customHeight="true" outlineLevel="0" collapsed="false">
      <c r="B3938" s="67" t="str">
        <f aca="false">""</f>
        <v/>
      </c>
      <c r="C3938" s="67"/>
      <c r="D3938" s="23" t="str">
        <f aca="false">IFERROR(INDEX(分录收入!$E:$E,MATCH($L3938,分录收入!$L:$L,0)),"")</f>
        <v/>
      </c>
      <c r="E3938" s="23" t="str">
        <f aca="false">IFERROR(INDEX(分录收入!$F:$F,MATCH($L3938,分录收入!$L:$L,0)),"")</f>
        <v/>
      </c>
      <c r="F3938" s="68" t="str">
        <f aca="false">IFERROR(INDEX(分录收入!$H:$H,MATCH($L3938,分录收入!$L:$L,0)),"")</f>
        <v/>
      </c>
      <c r="G3938" s="69" t="str">
        <f aca="false">IFERROR(INDEX(分录收入!$I:$I,MATCH($L3938,分录收入!$L:$L,0)),"")</f>
        <v/>
      </c>
      <c r="H3938" s="23"/>
      <c r="I3938" s="70"/>
      <c r="L3938" s="71" t="n">
        <f aca="false">IF(助手收入!$R$264="",-1,助手收入!$R$264*100+(助手收入!$S$264-1)*6+3)</f>
        <v>-1</v>
      </c>
    </row>
    <row r="3939" customFormat="false" ht="23.25" hidden="false" customHeight="true" outlineLevel="0" collapsed="false">
      <c r="B3939" s="67" t="str">
        <f aca="false">""</f>
        <v/>
      </c>
      <c r="C3939" s="67"/>
      <c r="D3939" s="23" t="str">
        <f aca="false">IFERROR(INDEX(分录收入!$E:$E,MATCH($L3939,分录收入!$L:$L,0)),"")</f>
        <v/>
      </c>
      <c r="E3939" s="23" t="str">
        <f aca="false">IFERROR(INDEX(分录收入!$F:$F,MATCH($L3939,分录收入!$L:$L,0)),"")</f>
        <v/>
      </c>
      <c r="F3939" s="68" t="str">
        <f aca="false">IFERROR(INDEX(分录收入!$H:$H,MATCH($L3939,分录收入!$L:$L,0)),"")</f>
        <v/>
      </c>
      <c r="G3939" s="69" t="str">
        <f aca="false">IFERROR(INDEX(分录收入!$I:$I,MATCH($L3939,分录收入!$L:$L,0)),"")</f>
        <v/>
      </c>
      <c r="H3939" s="23"/>
      <c r="I3939" s="70"/>
      <c r="L3939" s="71" t="n">
        <f aca="false">IF(助手收入!$R$264="",-1,助手收入!$R$264*100+(助手收入!$S$264-1)*6+4)</f>
        <v>-1</v>
      </c>
    </row>
    <row r="3940" customFormat="false" ht="23.25" hidden="false" customHeight="true" outlineLevel="0" collapsed="false">
      <c r="B3940" s="67" t="str">
        <f aca="false">""</f>
        <v/>
      </c>
      <c r="C3940" s="67"/>
      <c r="D3940" s="23" t="str">
        <f aca="false">IFERROR(INDEX(分录收入!$E:$E,MATCH($L3940,分录收入!$L:$L,0)),"")</f>
        <v/>
      </c>
      <c r="E3940" s="23" t="str">
        <f aca="false">IFERROR(INDEX(分录收入!$F:$F,MATCH($L3940,分录收入!$L:$L,0)),"")</f>
        <v/>
      </c>
      <c r="F3940" s="68" t="str">
        <f aca="false">IFERROR(INDEX(分录收入!$H:$H,MATCH($L3940,分录收入!$L:$L,0)),"")</f>
        <v/>
      </c>
      <c r="G3940" s="69" t="str">
        <f aca="false">IFERROR(INDEX(分录收入!$I:$I,MATCH($L3940,分录收入!$L:$L,0)),"")</f>
        <v/>
      </c>
      <c r="H3940" s="23"/>
      <c r="I3940" s="70"/>
      <c r="L3940" s="71" t="n">
        <f aca="false">IF(助手收入!$R$264="",-1,助手收入!$R$264*100+(助手收入!$S$264-1)*6+5)</f>
        <v>-1</v>
      </c>
    </row>
    <row r="3941" customFormat="false" ht="23.25" hidden="false" customHeight="true" outlineLevel="0" collapsed="false">
      <c r="B3941" s="67" t="str">
        <f aca="false">""</f>
        <v/>
      </c>
      <c r="C3941" s="67"/>
      <c r="D3941" s="23" t="str">
        <f aca="false">IFERROR(INDEX(分录收入!$E:$E,MATCH($L3941,分录收入!$L:$L,0)),"")</f>
        <v/>
      </c>
      <c r="E3941" s="23" t="str">
        <f aca="false">IFERROR(INDEX(分录收入!$F:$F,MATCH($L3941,分录收入!$L:$L,0)),"")</f>
        <v/>
      </c>
      <c r="F3941" s="68" t="str">
        <f aca="false">IFERROR(INDEX(分录收入!$H:$H,MATCH($L3941,分录收入!$L:$L,0)),"")</f>
        <v/>
      </c>
      <c r="G3941" s="69" t="str">
        <f aca="false">IFERROR(INDEX(分录收入!$I:$I,MATCH($L3941,分录收入!$L:$L,0)),"")</f>
        <v/>
      </c>
      <c r="H3941" s="23"/>
      <c r="I3941" s="70"/>
      <c r="L3941" s="71" t="n">
        <f aca="false">IF(助手收入!$R$264="",-1,助手收入!$R$264*100+(助手收入!$S$264-1)*6+6)</f>
        <v>-1</v>
      </c>
    </row>
    <row r="3942" customFormat="false" ht="23.25" hidden="false" customHeight="true" outlineLevel="0" collapsed="false">
      <c r="B3942" s="72" t="str">
        <f aca="false">IF(助手收入!$T$264=1,"合计：","")</f>
        <v/>
      </c>
      <c r="C3942" s="73" t="str">
        <f aca="false">IF(助手收入!$T$264=1,$F3942,"")</f>
        <v/>
      </c>
      <c r="D3942" s="74"/>
      <c r="E3942" s="74"/>
      <c r="F3942" s="75" t="str">
        <f aca="false">IF(助手收入!$T$264=1,INDEX(助手收入!$N$2:$N$66,助手收入!$R$264),"")</f>
        <v/>
      </c>
      <c r="G3942" s="76" t="str">
        <f aca="false">IF(助手收入!$T$264=1,INDEX(助手收入!$O$2:$O$66,助手收入!$R$264),"")</f>
        <v/>
      </c>
      <c r="H3942" s="74"/>
      <c r="I3942" s="77"/>
    </row>
    <row r="3943" customFormat="false" ht="6" hidden="false" customHeight="true" outlineLevel="0" collapsed="false"/>
    <row r="3944" customFormat="false" ht="13.5" hidden="false" customHeight="false" outlineLevel="0" collapsed="false">
      <c r="B3944" s="78" t="str">
        <f aca="false">IF(助手收入!$R$264&lt;&gt;"","会计主管：","")</f>
        <v/>
      </c>
      <c r="D3944" s="78" t="str">
        <f aca="false">IF(助手收入!$R$264&lt;&gt;"","会计：","")</f>
        <v/>
      </c>
      <c r="E3944" s="78" t="str">
        <f aca="false">IF(助手收入!$R$264&lt;&gt;"","出纳：","")</f>
        <v/>
      </c>
      <c r="F3944" s="78" t="str">
        <f aca="false">IF(助手收入!$R$264&lt;&gt;"","复核：","")</f>
        <v/>
      </c>
      <c r="G3944" s="78" t="str">
        <f aca="false">IF(助手收入!$R$264&lt;&gt;"","制单：","")</f>
        <v/>
      </c>
    </row>
    <row r="3945" customFormat="false" ht="3" hidden="false" customHeight="true" outlineLevel="0" collapsed="false"/>
    <row r="3946" customFormat="false" ht="19.5" hidden="false" customHeight="true" outlineLevel="0" collapsed="false">
      <c r="B3946" s="53" t="str">
        <f aca="false">IF(助手收入!$R$265&lt;&gt;"","记  账  凭  证","")</f>
        <v/>
      </c>
      <c r="C3946" s="53"/>
      <c r="D3946" s="53"/>
      <c r="E3946" s="53"/>
      <c r="F3946" s="53"/>
      <c r="G3946" s="53"/>
      <c r="H3946" s="53"/>
      <c r="I3946" s="53"/>
    </row>
    <row r="3947" customFormat="false" ht="3" hidden="false" customHeight="true" outlineLevel="0" collapsed="false"/>
    <row r="3948" customFormat="false" ht="15" hidden="false" customHeight="true" outlineLevel="0" collapsed="false">
      <c r="C3948" s="56" t="str">
        <f aca="false">IF(助手收入!$R$265&lt;&gt;"",INDEX(助手收入!$B$2:$B$66,助手收入!$R$265),"")</f>
        <v/>
      </c>
      <c r="D3948" s="57" t="str">
        <f aca="false">IF(助手收入!$R$265&lt;&gt;"",参数!$B$2,"")</f>
        <v/>
      </c>
      <c r="E3948" s="57"/>
      <c r="F3948" s="58" t="str">
        <f aca="false">IF(助手收入!$R$265&lt;&gt;"",INDEX(助手收入!$C$2:$C$66,助手收入!$R$265)&amp;"  字第 "&amp;IF(参数!$B$9="是",INDEX(助手收入!$P$2:$P$66,助手收入!$R$265),"　　　　")&amp;" 号"&amp;IF(INDEX(助手收入!$L$2:$L$66,助手收入!$R$265)&gt;1,"  (共"&amp;INDEX(助手收入!$L$2:$L$66,助手收入!$R$265)&amp;"页 第"&amp;助手收入!$S$265&amp;"页)",""),"")</f>
        <v/>
      </c>
      <c r="G3948" s="58"/>
      <c r="H3948" s="58"/>
      <c r="I3948" s="58"/>
      <c r="M3948" s="79" t="str">
        <f aca="false">IF(助手收入!$R$265="","",助手收入!$Q$265)</f>
        <v/>
      </c>
      <c r="N3948" s="80" t="str">
        <f aca="false">IF(助手收入!$R$265="","",INDEX(助手收入!$P$2:$P$66,助手收入!$R$265))</f>
        <v/>
      </c>
      <c r="O3948" s="55" t="str">
        <f aca="false">IF(助手收入!$R$265="","",INDEX(助手收入!$C$2:$C$66,助手收入!$R$265)&amp;"  字第 "&amp;INDEX(助手收入!$P$2:$P$66,助手收入!$R$265)&amp;" 号"&amp;IF(INDEX(助手收入!$L$2:$L$66,助手收入!$R$265)&gt;1,"  (共"&amp;INDEX(助手收入!$L$2:$L$66,助手收入!$R$265)&amp;"页 第"&amp;助手收入!$S$265&amp;"页)",""))</f>
        <v/>
      </c>
    </row>
    <row r="3949" customFormat="false" ht="12.75" hidden="false" customHeight="true" outlineLevel="0" collapsed="false">
      <c r="B3949" s="61" t="str">
        <f aca="false">IF(助手收入!$R$265&lt;&gt;"","摘　　要","")</f>
        <v/>
      </c>
      <c r="C3949" s="61"/>
      <c r="D3949" s="62" t="str">
        <f aca="false">IF(助手收入!$R$265&lt;&gt;"","科　　　　目","")</f>
        <v/>
      </c>
      <c r="E3949" s="62"/>
      <c r="F3949" s="61" t="str">
        <f aca="false">IF(助手收入!$R$265&lt;&gt;"","借 方 金 额","")</f>
        <v/>
      </c>
      <c r="G3949" s="62" t="str">
        <f aca="false">IF(助手收入!$R$265&lt;&gt;"","贷 方 金 额","")</f>
        <v/>
      </c>
      <c r="H3949" s="63" t="str">
        <f aca="false">IF(助手收入!$R$265&lt;&gt;"","√","")</f>
        <v/>
      </c>
      <c r="I3949" s="64" t="str">
        <f aca="false">IF(助手收入!$R$265&lt;&gt;"","附单据  张","")</f>
        <v/>
      </c>
    </row>
    <row r="3950" customFormat="false" ht="12.75" hidden="false" customHeight="true" outlineLevel="0" collapsed="false">
      <c r="B3950" s="61"/>
      <c r="C3950" s="61"/>
      <c r="D3950" s="23" t="str">
        <f aca="false">IF(助手收入!$R$265&lt;&gt;"","总 账 科 目","")</f>
        <v/>
      </c>
      <c r="E3950" s="23" t="str">
        <f aca="false">IF(助手收入!$R$265&lt;&gt;"","明 细 科 目","")</f>
        <v/>
      </c>
      <c r="F3950" s="65"/>
      <c r="G3950" s="66"/>
      <c r="H3950" s="63"/>
      <c r="I3950" s="64"/>
    </row>
    <row r="3951" customFormat="false" ht="23.25" hidden="false" customHeight="true" outlineLevel="0" collapsed="false">
      <c r="B3951" s="67" t="str">
        <f aca="false">IFERROR(INDEX(分录收入!$M:$M,MATCH($L3951,分录收入!$L:$L,0)),"")</f>
        <v/>
      </c>
      <c r="C3951" s="67"/>
      <c r="D3951" s="23" t="str">
        <f aca="false">IFERROR(INDEX(分录收入!$E:$E,MATCH($L3951,分录收入!$L:$L,0)),"")</f>
        <v/>
      </c>
      <c r="E3951" s="23" t="str">
        <f aca="false">IFERROR(INDEX(分录收入!$F:$F,MATCH($L3951,分录收入!$L:$L,0)),"")</f>
        <v/>
      </c>
      <c r="F3951" s="68" t="str">
        <f aca="false">IFERROR(INDEX(分录收入!$H:$H,MATCH($L3951,分录收入!$L:$L,0)),"")</f>
        <v/>
      </c>
      <c r="G3951" s="69" t="str">
        <f aca="false">IFERROR(INDEX(分录收入!$I:$I,MATCH($L3951,分录收入!$L:$L,0)),"")</f>
        <v/>
      </c>
      <c r="H3951" s="23"/>
      <c r="I3951" s="70"/>
      <c r="L3951" s="71" t="n">
        <f aca="false">IF(助手收入!$R$265="",-1,助手收入!$R$265*100+(助手收入!$S$265-1)*6+1)</f>
        <v>-1</v>
      </c>
    </row>
    <row r="3952" customFormat="false" ht="23.25" hidden="false" customHeight="true" outlineLevel="0" collapsed="false">
      <c r="B3952" s="67" t="str">
        <f aca="false">""</f>
        <v/>
      </c>
      <c r="C3952" s="67"/>
      <c r="D3952" s="23" t="str">
        <f aca="false">IFERROR(INDEX(分录收入!$E:$E,MATCH($L3952,分录收入!$L:$L,0)),"")</f>
        <v/>
      </c>
      <c r="E3952" s="23" t="str">
        <f aca="false">IFERROR(INDEX(分录收入!$F:$F,MATCH($L3952,分录收入!$L:$L,0)),"")</f>
        <v/>
      </c>
      <c r="F3952" s="68" t="str">
        <f aca="false">IFERROR(INDEX(分录收入!$H:$H,MATCH($L3952,分录收入!$L:$L,0)),"")</f>
        <v/>
      </c>
      <c r="G3952" s="69" t="str">
        <f aca="false">IFERROR(INDEX(分录收入!$I:$I,MATCH($L3952,分录收入!$L:$L,0)),"")</f>
        <v/>
      </c>
      <c r="H3952" s="23"/>
      <c r="I3952" s="70"/>
      <c r="L3952" s="71" t="n">
        <f aca="false">IF(助手收入!$R$265="",-1,助手收入!$R$265*100+(助手收入!$S$265-1)*6+2)</f>
        <v>-1</v>
      </c>
    </row>
    <row r="3953" customFormat="false" ht="23.25" hidden="false" customHeight="true" outlineLevel="0" collapsed="false">
      <c r="B3953" s="67" t="str">
        <f aca="false">""</f>
        <v/>
      </c>
      <c r="C3953" s="67"/>
      <c r="D3953" s="23" t="str">
        <f aca="false">IFERROR(INDEX(分录收入!$E:$E,MATCH($L3953,分录收入!$L:$L,0)),"")</f>
        <v/>
      </c>
      <c r="E3953" s="23" t="str">
        <f aca="false">IFERROR(INDEX(分录收入!$F:$F,MATCH($L3953,分录收入!$L:$L,0)),"")</f>
        <v/>
      </c>
      <c r="F3953" s="68" t="str">
        <f aca="false">IFERROR(INDEX(分录收入!$H:$H,MATCH($L3953,分录收入!$L:$L,0)),"")</f>
        <v/>
      </c>
      <c r="G3953" s="69" t="str">
        <f aca="false">IFERROR(INDEX(分录收入!$I:$I,MATCH($L3953,分录收入!$L:$L,0)),"")</f>
        <v/>
      </c>
      <c r="H3953" s="23"/>
      <c r="I3953" s="70"/>
      <c r="L3953" s="71" t="n">
        <f aca="false">IF(助手收入!$R$265="",-1,助手收入!$R$265*100+(助手收入!$S$265-1)*6+3)</f>
        <v>-1</v>
      </c>
    </row>
    <row r="3954" customFormat="false" ht="23.25" hidden="false" customHeight="true" outlineLevel="0" collapsed="false">
      <c r="B3954" s="67" t="str">
        <f aca="false">""</f>
        <v/>
      </c>
      <c r="C3954" s="67"/>
      <c r="D3954" s="23" t="str">
        <f aca="false">IFERROR(INDEX(分录收入!$E:$E,MATCH($L3954,分录收入!$L:$L,0)),"")</f>
        <v/>
      </c>
      <c r="E3954" s="23" t="str">
        <f aca="false">IFERROR(INDEX(分录收入!$F:$F,MATCH($L3954,分录收入!$L:$L,0)),"")</f>
        <v/>
      </c>
      <c r="F3954" s="68" t="str">
        <f aca="false">IFERROR(INDEX(分录收入!$H:$H,MATCH($L3954,分录收入!$L:$L,0)),"")</f>
        <v/>
      </c>
      <c r="G3954" s="69" t="str">
        <f aca="false">IFERROR(INDEX(分录收入!$I:$I,MATCH($L3954,分录收入!$L:$L,0)),"")</f>
        <v/>
      </c>
      <c r="H3954" s="23"/>
      <c r="I3954" s="70"/>
      <c r="L3954" s="71" t="n">
        <f aca="false">IF(助手收入!$R$265="",-1,助手收入!$R$265*100+(助手收入!$S$265-1)*6+4)</f>
        <v>-1</v>
      </c>
    </row>
    <row r="3955" customFormat="false" ht="23.25" hidden="false" customHeight="true" outlineLevel="0" collapsed="false">
      <c r="B3955" s="67" t="str">
        <f aca="false">""</f>
        <v/>
      </c>
      <c r="C3955" s="67"/>
      <c r="D3955" s="23" t="str">
        <f aca="false">IFERROR(INDEX(分录收入!$E:$E,MATCH($L3955,分录收入!$L:$L,0)),"")</f>
        <v/>
      </c>
      <c r="E3955" s="23" t="str">
        <f aca="false">IFERROR(INDEX(分录收入!$F:$F,MATCH($L3955,分录收入!$L:$L,0)),"")</f>
        <v/>
      </c>
      <c r="F3955" s="68" t="str">
        <f aca="false">IFERROR(INDEX(分录收入!$H:$H,MATCH($L3955,分录收入!$L:$L,0)),"")</f>
        <v/>
      </c>
      <c r="G3955" s="69" t="str">
        <f aca="false">IFERROR(INDEX(分录收入!$I:$I,MATCH($L3955,分录收入!$L:$L,0)),"")</f>
        <v/>
      </c>
      <c r="H3955" s="23"/>
      <c r="I3955" s="70"/>
      <c r="L3955" s="71" t="n">
        <f aca="false">IF(助手收入!$R$265="",-1,助手收入!$R$265*100+(助手收入!$S$265-1)*6+5)</f>
        <v>-1</v>
      </c>
    </row>
    <row r="3956" customFormat="false" ht="23.25" hidden="false" customHeight="true" outlineLevel="0" collapsed="false">
      <c r="B3956" s="67" t="str">
        <f aca="false">""</f>
        <v/>
      </c>
      <c r="C3956" s="67"/>
      <c r="D3956" s="23" t="str">
        <f aca="false">IFERROR(INDEX(分录收入!$E:$E,MATCH($L3956,分录收入!$L:$L,0)),"")</f>
        <v/>
      </c>
      <c r="E3956" s="23" t="str">
        <f aca="false">IFERROR(INDEX(分录收入!$F:$F,MATCH($L3956,分录收入!$L:$L,0)),"")</f>
        <v/>
      </c>
      <c r="F3956" s="68" t="str">
        <f aca="false">IFERROR(INDEX(分录收入!$H:$H,MATCH($L3956,分录收入!$L:$L,0)),"")</f>
        <v/>
      </c>
      <c r="G3956" s="69" t="str">
        <f aca="false">IFERROR(INDEX(分录收入!$I:$I,MATCH($L3956,分录收入!$L:$L,0)),"")</f>
        <v/>
      </c>
      <c r="H3956" s="23"/>
      <c r="I3956" s="70"/>
      <c r="L3956" s="71" t="n">
        <f aca="false">IF(助手收入!$R$265="",-1,助手收入!$R$265*100+(助手收入!$S$265-1)*6+6)</f>
        <v>-1</v>
      </c>
    </row>
    <row r="3957" customFormat="false" ht="23.25" hidden="false" customHeight="true" outlineLevel="0" collapsed="false">
      <c r="B3957" s="72" t="str">
        <f aca="false">IF(助手收入!$T$265=1,"合计：","")</f>
        <v/>
      </c>
      <c r="C3957" s="73" t="str">
        <f aca="false">IF(助手收入!$T$265=1,$F3957,"")</f>
        <v/>
      </c>
      <c r="D3957" s="74"/>
      <c r="E3957" s="74"/>
      <c r="F3957" s="75" t="str">
        <f aca="false">IF(助手收入!$T$265=1,INDEX(助手收入!$N$2:$N$66,助手收入!$R$265),"")</f>
        <v/>
      </c>
      <c r="G3957" s="76" t="str">
        <f aca="false">IF(助手收入!$T$265=1,INDEX(助手收入!$O$2:$O$66,助手收入!$R$265),"")</f>
        <v/>
      </c>
      <c r="H3957" s="74"/>
      <c r="I3957" s="77"/>
    </row>
    <row r="3958" customFormat="false" ht="6" hidden="false" customHeight="true" outlineLevel="0" collapsed="false"/>
    <row r="3959" customFormat="false" ht="13.5" hidden="false" customHeight="false" outlineLevel="0" collapsed="false">
      <c r="B3959" s="78" t="str">
        <f aca="false">IF(助手收入!$R$265&lt;&gt;"","会计主管：","")</f>
        <v/>
      </c>
      <c r="D3959" s="78" t="str">
        <f aca="false">IF(助手收入!$R$265&lt;&gt;"","会计：","")</f>
        <v/>
      </c>
      <c r="E3959" s="78" t="str">
        <f aca="false">IF(助手收入!$R$265&lt;&gt;"","出纳：","")</f>
        <v/>
      </c>
      <c r="F3959" s="78" t="str">
        <f aca="false">IF(助手收入!$R$265&lt;&gt;"","复核：","")</f>
        <v/>
      </c>
      <c r="G3959" s="78" t="str">
        <f aca="false">IF(助手收入!$R$265&lt;&gt;"","制单：","")</f>
        <v/>
      </c>
    </row>
    <row r="3960" customFormat="false" ht="3" hidden="false" customHeight="true" outlineLevel="0" collapsed="false"/>
    <row r="3961" customFormat="false" ht="19.5" hidden="false" customHeight="true" outlineLevel="0" collapsed="false">
      <c r="B3961" s="53" t="str">
        <f aca="false">IF(助手收入!$R$266&lt;&gt;"","记  账  凭  证","")</f>
        <v/>
      </c>
      <c r="C3961" s="53"/>
      <c r="D3961" s="53"/>
      <c r="E3961" s="53"/>
      <c r="F3961" s="53"/>
      <c r="G3961" s="53"/>
      <c r="H3961" s="53"/>
      <c r="I3961" s="53"/>
    </row>
    <row r="3962" customFormat="false" ht="3" hidden="false" customHeight="true" outlineLevel="0" collapsed="false"/>
    <row r="3963" customFormat="false" ht="15" hidden="false" customHeight="true" outlineLevel="0" collapsed="false">
      <c r="C3963" s="56" t="str">
        <f aca="false">IF(助手收入!$R$266&lt;&gt;"",INDEX(助手收入!$B$2:$B$66,助手收入!$R$266),"")</f>
        <v/>
      </c>
      <c r="D3963" s="57" t="str">
        <f aca="false">IF(助手收入!$R$266&lt;&gt;"",参数!$B$2,"")</f>
        <v/>
      </c>
      <c r="E3963" s="57"/>
      <c r="F3963" s="58" t="str">
        <f aca="false">IF(助手收入!$R$266&lt;&gt;"",INDEX(助手收入!$C$2:$C$66,助手收入!$R$266)&amp;"  字第 "&amp;IF(参数!$B$9="是",INDEX(助手收入!$P$2:$P$66,助手收入!$R$266),"　　　　")&amp;" 号"&amp;IF(INDEX(助手收入!$L$2:$L$66,助手收入!$R$266)&gt;1,"  (共"&amp;INDEX(助手收入!$L$2:$L$66,助手收入!$R$266)&amp;"页 第"&amp;助手收入!$S$266&amp;"页)",""),"")</f>
        <v/>
      </c>
      <c r="G3963" s="58"/>
      <c r="H3963" s="58"/>
      <c r="I3963" s="58"/>
      <c r="M3963" s="79" t="str">
        <f aca="false">IF(助手收入!$R$266="","",助手收入!$Q$266)</f>
        <v/>
      </c>
      <c r="N3963" s="80" t="str">
        <f aca="false">IF(助手收入!$R$266="","",INDEX(助手收入!$P$2:$P$66,助手收入!$R$266))</f>
        <v/>
      </c>
      <c r="O3963" s="55" t="str">
        <f aca="false">IF(助手收入!$R$266="","",INDEX(助手收入!$C$2:$C$66,助手收入!$R$266)&amp;"  字第 "&amp;INDEX(助手收入!$P$2:$P$66,助手收入!$R$266)&amp;" 号"&amp;IF(INDEX(助手收入!$L$2:$L$66,助手收入!$R$266)&gt;1,"  (共"&amp;INDEX(助手收入!$L$2:$L$66,助手收入!$R$266)&amp;"页 第"&amp;助手收入!$S$266&amp;"页)",""))</f>
        <v/>
      </c>
    </row>
    <row r="3964" customFormat="false" ht="12.75" hidden="false" customHeight="true" outlineLevel="0" collapsed="false">
      <c r="B3964" s="61" t="str">
        <f aca="false">IF(助手收入!$R$266&lt;&gt;"","摘　　要","")</f>
        <v/>
      </c>
      <c r="C3964" s="61"/>
      <c r="D3964" s="62" t="str">
        <f aca="false">IF(助手收入!$R$266&lt;&gt;"","科　　　　目","")</f>
        <v/>
      </c>
      <c r="E3964" s="62"/>
      <c r="F3964" s="61" t="str">
        <f aca="false">IF(助手收入!$R$266&lt;&gt;"","借 方 金 额","")</f>
        <v/>
      </c>
      <c r="G3964" s="62" t="str">
        <f aca="false">IF(助手收入!$R$266&lt;&gt;"","贷 方 金 额","")</f>
        <v/>
      </c>
      <c r="H3964" s="63" t="str">
        <f aca="false">IF(助手收入!$R$266&lt;&gt;"","√","")</f>
        <v/>
      </c>
      <c r="I3964" s="64" t="str">
        <f aca="false">IF(助手收入!$R$266&lt;&gt;"","附单据  张","")</f>
        <v/>
      </c>
    </row>
    <row r="3965" customFormat="false" ht="12.75" hidden="false" customHeight="true" outlineLevel="0" collapsed="false">
      <c r="B3965" s="61"/>
      <c r="C3965" s="61"/>
      <c r="D3965" s="23" t="str">
        <f aca="false">IF(助手收入!$R$266&lt;&gt;"","总 账 科 目","")</f>
        <v/>
      </c>
      <c r="E3965" s="23" t="str">
        <f aca="false">IF(助手收入!$R$266&lt;&gt;"","明 细 科 目","")</f>
        <v/>
      </c>
      <c r="F3965" s="65"/>
      <c r="G3965" s="66"/>
      <c r="H3965" s="63"/>
      <c r="I3965" s="64"/>
    </row>
    <row r="3966" customFormat="false" ht="23.25" hidden="false" customHeight="true" outlineLevel="0" collapsed="false">
      <c r="B3966" s="67" t="str">
        <f aca="false">IFERROR(INDEX(分录收入!$M:$M,MATCH($L3966,分录收入!$L:$L,0)),"")</f>
        <v/>
      </c>
      <c r="C3966" s="67"/>
      <c r="D3966" s="23" t="str">
        <f aca="false">IFERROR(INDEX(分录收入!$E:$E,MATCH($L3966,分录收入!$L:$L,0)),"")</f>
        <v/>
      </c>
      <c r="E3966" s="23" t="str">
        <f aca="false">IFERROR(INDEX(分录收入!$F:$F,MATCH($L3966,分录收入!$L:$L,0)),"")</f>
        <v/>
      </c>
      <c r="F3966" s="68" t="str">
        <f aca="false">IFERROR(INDEX(分录收入!$H:$H,MATCH($L3966,分录收入!$L:$L,0)),"")</f>
        <v/>
      </c>
      <c r="G3966" s="69" t="str">
        <f aca="false">IFERROR(INDEX(分录收入!$I:$I,MATCH($L3966,分录收入!$L:$L,0)),"")</f>
        <v/>
      </c>
      <c r="H3966" s="23"/>
      <c r="I3966" s="70"/>
      <c r="L3966" s="71" t="n">
        <f aca="false">IF(助手收入!$R$266="",-1,助手收入!$R$266*100+(助手收入!$S$266-1)*6+1)</f>
        <v>-1</v>
      </c>
    </row>
    <row r="3967" customFormat="false" ht="23.25" hidden="false" customHeight="true" outlineLevel="0" collapsed="false">
      <c r="B3967" s="67" t="str">
        <f aca="false">""</f>
        <v/>
      </c>
      <c r="C3967" s="67"/>
      <c r="D3967" s="23" t="str">
        <f aca="false">IFERROR(INDEX(分录收入!$E:$E,MATCH($L3967,分录收入!$L:$L,0)),"")</f>
        <v/>
      </c>
      <c r="E3967" s="23" t="str">
        <f aca="false">IFERROR(INDEX(分录收入!$F:$F,MATCH($L3967,分录收入!$L:$L,0)),"")</f>
        <v/>
      </c>
      <c r="F3967" s="68" t="str">
        <f aca="false">IFERROR(INDEX(分录收入!$H:$H,MATCH($L3967,分录收入!$L:$L,0)),"")</f>
        <v/>
      </c>
      <c r="G3967" s="69" t="str">
        <f aca="false">IFERROR(INDEX(分录收入!$I:$I,MATCH($L3967,分录收入!$L:$L,0)),"")</f>
        <v/>
      </c>
      <c r="H3967" s="23"/>
      <c r="I3967" s="70"/>
      <c r="L3967" s="71" t="n">
        <f aca="false">IF(助手收入!$R$266="",-1,助手收入!$R$266*100+(助手收入!$S$266-1)*6+2)</f>
        <v>-1</v>
      </c>
    </row>
    <row r="3968" customFormat="false" ht="23.25" hidden="false" customHeight="true" outlineLevel="0" collapsed="false">
      <c r="B3968" s="67" t="str">
        <f aca="false">""</f>
        <v/>
      </c>
      <c r="C3968" s="67"/>
      <c r="D3968" s="23" t="str">
        <f aca="false">IFERROR(INDEX(分录收入!$E:$E,MATCH($L3968,分录收入!$L:$L,0)),"")</f>
        <v/>
      </c>
      <c r="E3968" s="23" t="str">
        <f aca="false">IFERROR(INDEX(分录收入!$F:$F,MATCH($L3968,分录收入!$L:$L,0)),"")</f>
        <v/>
      </c>
      <c r="F3968" s="68" t="str">
        <f aca="false">IFERROR(INDEX(分录收入!$H:$H,MATCH($L3968,分录收入!$L:$L,0)),"")</f>
        <v/>
      </c>
      <c r="G3968" s="69" t="str">
        <f aca="false">IFERROR(INDEX(分录收入!$I:$I,MATCH($L3968,分录收入!$L:$L,0)),"")</f>
        <v/>
      </c>
      <c r="H3968" s="23"/>
      <c r="I3968" s="70"/>
      <c r="L3968" s="71" t="n">
        <f aca="false">IF(助手收入!$R$266="",-1,助手收入!$R$266*100+(助手收入!$S$266-1)*6+3)</f>
        <v>-1</v>
      </c>
    </row>
    <row r="3969" customFormat="false" ht="23.25" hidden="false" customHeight="true" outlineLevel="0" collapsed="false">
      <c r="B3969" s="67" t="str">
        <f aca="false">""</f>
        <v/>
      </c>
      <c r="C3969" s="67"/>
      <c r="D3969" s="23" t="str">
        <f aca="false">IFERROR(INDEX(分录收入!$E:$E,MATCH($L3969,分录收入!$L:$L,0)),"")</f>
        <v/>
      </c>
      <c r="E3969" s="23" t="str">
        <f aca="false">IFERROR(INDEX(分录收入!$F:$F,MATCH($L3969,分录收入!$L:$L,0)),"")</f>
        <v/>
      </c>
      <c r="F3969" s="68" t="str">
        <f aca="false">IFERROR(INDEX(分录收入!$H:$H,MATCH($L3969,分录收入!$L:$L,0)),"")</f>
        <v/>
      </c>
      <c r="G3969" s="69" t="str">
        <f aca="false">IFERROR(INDEX(分录收入!$I:$I,MATCH($L3969,分录收入!$L:$L,0)),"")</f>
        <v/>
      </c>
      <c r="H3969" s="23"/>
      <c r="I3969" s="70"/>
      <c r="L3969" s="71" t="n">
        <f aca="false">IF(助手收入!$R$266="",-1,助手收入!$R$266*100+(助手收入!$S$266-1)*6+4)</f>
        <v>-1</v>
      </c>
    </row>
    <row r="3970" customFormat="false" ht="23.25" hidden="false" customHeight="true" outlineLevel="0" collapsed="false">
      <c r="B3970" s="67" t="str">
        <f aca="false">""</f>
        <v/>
      </c>
      <c r="C3970" s="67"/>
      <c r="D3970" s="23" t="str">
        <f aca="false">IFERROR(INDEX(分录收入!$E:$E,MATCH($L3970,分录收入!$L:$L,0)),"")</f>
        <v/>
      </c>
      <c r="E3970" s="23" t="str">
        <f aca="false">IFERROR(INDEX(分录收入!$F:$F,MATCH($L3970,分录收入!$L:$L,0)),"")</f>
        <v/>
      </c>
      <c r="F3970" s="68" t="str">
        <f aca="false">IFERROR(INDEX(分录收入!$H:$H,MATCH($L3970,分录收入!$L:$L,0)),"")</f>
        <v/>
      </c>
      <c r="G3970" s="69" t="str">
        <f aca="false">IFERROR(INDEX(分录收入!$I:$I,MATCH($L3970,分录收入!$L:$L,0)),"")</f>
        <v/>
      </c>
      <c r="H3970" s="23"/>
      <c r="I3970" s="70"/>
      <c r="L3970" s="71" t="n">
        <f aca="false">IF(助手收入!$R$266="",-1,助手收入!$R$266*100+(助手收入!$S$266-1)*6+5)</f>
        <v>-1</v>
      </c>
    </row>
    <row r="3971" customFormat="false" ht="23.25" hidden="false" customHeight="true" outlineLevel="0" collapsed="false">
      <c r="B3971" s="67" t="str">
        <f aca="false">""</f>
        <v/>
      </c>
      <c r="C3971" s="67"/>
      <c r="D3971" s="23" t="str">
        <f aca="false">IFERROR(INDEX(分录收入!$E:$E,MATCH($L3971,分录收入!$L:$L,0)),"")</f>
        <v/>
      </c>
      <c r="E3971" s="23" t="str">
        <f aca="false">IFERROR(INDEX(分录收入!$F:$F,MATCH($L3971,分录收入!$L:$L,0)),"")</f>
        <v/>
      </c>
      <c r="F3971" s="68" t="str">
        <f aca="false">IFERROR(INDEX(分录收入!$H:$H,MATCH($L3971,分录收入!$L:$L,0)),"")</f>
        <v/>
      </c>
      <c r="G3971" s="69" t="str">
        <f aca="false">IFERROR(INDEX(分录收入!$I:$I,MATCH($L3971,分录收入!$L:$L,0)),"")</f>
        <v/>
      </c>
      <c r="H3971" s="23"/>
      <c r="I3971" s="70"/>
      <c r="L3971" s="71" t="n">
        <f aca="false">IF(助手收入!$R$266="",-1,助手收入!$R$266*100+(助手收入!$S$266-1)*6+6)</f>
        <v>-1</v>
      </c>
    </row>
    <row r="3972" customFormat="false" ht="23.25" hidden="false" customHeight="true" outlineLevel="0" collapsed="false">
      <c r="B3972" s="72" t="str">
        <f aca="false">IF(助手收入!$T$266=1,"合计：","")</f>
        <v/>
      </c>
      <c r="C3972" s="73" t="str">
        <f aca="false">IF(助手收入!$T$266=1,$F3972,"")</f>
        <v/>
      </c>
      <c r="D3972" s="74"/>
      <c r="E3972" s="74"/>
      <c r="F3972" s="75" t="str">
        <f aca="false">IF(助手收入!$T$266=1,INDEX(助手收入!$N$2:$N$66,助手收入!$R$266),"")</f>
        <v/>
      </c>
      <c r="G3972" s="76" t="str">
        <f aca="false">IF(助手收入!$T$266=1,INDEX(助手收入!$O$2:$O$66,助手收入!$R$266),"")</f>
        <v/>
      </c>
      <c r="H3972" s="74"/>
      <c r="I3972" s="77"/>
    </row>
    <row r="3973" customFormat="false" ht="6" hidden="false" customHeight="true" outlineLevel="0" collapsed="false"/>
    <row r="3974" customFormat="false" ht="13.5" hidden="false" customHeight="false" outlineLevel="0" collapsed="false">
      <c r="B3974" s="78" t="str">
        <f aca="false">IF(助手收入!$R$266&lt;&gt;"","会计主管：","")</f>
        <v/>
      </c>
      <c r="D3974" s="78" t="str">
        <f aca="false">IF(助手收入!$R$266&lt;&gt;"","会计：","")</f>
        <v/>
      </c>
      <c r="E3974" s="78" t="str">
        <f aca="false">IF(助手收入!$R$266&lt;&gt;"","出纳：","")</f>
        <v/>
      </c>
      <c r="F3974" s="78" t="str">
        <f aca="false">IF(助手收入!$R$266&lt;&gt;"","复核：","")</f>
        <v/>
      </c>
      <c r="G3974" s="78" t="str">
        <f aca="false">IF(助手收入!$R$266&lt;&gt;"","制单：","")</f>
        <v/>
      </c>
    </row>
    <row r="3975" customFormat="false" ht="3" hidden="false" customHeight="true" outlineLevel="0" collapsed="false"/>
    <row r="3976" customFormat="false" ht="19.5" hidden="false" customHeight="true" outlineLevel="0" collapsed="false">
      <c r="B3976" s="53" t="str">
        <f aca="false">IF(助手收入!$R$267&lt;&gt;"","记  账  凭  证","")</f>
        <v/>
      </c>
      <c r="C3976" s="53"/>
      <c r="D3976" s="53"/>
      <c r="E3976" s="53"/>
      <c r="F3976" s="53"/>
      <c r="G3976" s="53"/>
      <c r="H3976" s="53"/>
      <c r="I3976" s="53"/>
    </row>
    <row r="3977" customFormat="false" ht="3" hidden="false" customHeight="true" outlineLevel="0" collapsed="false"/>
    <row r="3978" customFormat="false" ht="15" hidden="false" customHeight="true" outlineLevel="0" collapsed="false">
      <c r="C3978" s="56" t="str">
        <f aca="false">IF(助手收入!$R$267&lt;&gt;"",INDEX(助手收入!$B$2:$B$66,助手收入!$R$267),"")</f>
        <v/>
      </c>
      <c r="D3978" s="57" t="str">
        <f aca="false">IF(助手收入!$R$267&lt;&gt;"",参数!$B$2,"")</f>
        <v/>
      </c>
      <c r="E3978" s="57"/>
      <c r="F3978" s="58" t="str">
        <f aca="false">IF(助手收入!$R$267&lt;&gt;"",INDEX(助手收入!$C$2:$C$66,助手收入!$R$267)&amp;"  字第 "&amp;IF(参数!$B$9="是",INDEX(助手收入!$P$2:$P$66,助手收入!$R$267),"　　　　")&amp;" 号"&amp;IF(INDEX(助手收入!$L$2:$L$66,助手收入!$R$267)&gt;1,"  (共"&amp;INDEX(助手收入!$L$2:$L$66,助手收入!$R$267)&amp;"页 第"&amp;助手收入!$S$267&amp;"页)",""),"")</f>
        <v/>
      </c>
      <c r="G3978" s="58"/>
      <c r="H3978" s="58"/>
      <c r="I3978" s="58"/>
      <c r="M3978" s="79" t="str">
        <f aca="false">IF(助手收入!$R$267="","",助手收入!$Q$267)</f>
        <v/>
      </c>
      <c r="N3978" s="80" t="str">
        <f aca="false">IF(助手收入!$R$267="","",INDEX(助手收入!$P$2:$P$66,助手收入!$R$267))</f>
        <v/>
      </c>
      <c r="O3978" s="55" t="str">
        <f aca="false">IF(助手收入!$R$267="","",INDEX(助手收入!$C$2:$C$66,助手收入!$R$267)&amp;"  字第 "&amp;INDEX(助手收入!$P$2:$P$66,助手收入!$R$267)&amp;" 号"&amp;IF(INDEX(助手收入!$L$2:$L$66,助手收入!$R$267)&gt;1,"  (共"&amp;INDEX(助手收入!$L$2:$L$66,助手收入!$R$267)&amp;"页 第"&amp;助手收入!$S$267&amp;"页)",""))</f>
        <v/>
      </c>
    </row>
    <row r="3979" customFormat="false" ht="12.75" hidden="false" customHeight="true" outlineLevel="0" collapsed="false">
      <c r="B3979" s="61" t="str">
        <f aca="false">IF(助手收入!$R$267&lt;&gt;"","摘　　要","")</f>
        <v/>
      </c>
      <c r="C3979" s="61"/>
      <c r="D3979" s="62" t="str">
        <f aca="false">IF(助手收入!$R$267&lt;&gt;"","科　　　　目","")</f>
        <v/>
      </c>
      <c r="E3979" s="62"/>
      <c r="F3979" s="61" t="str">
        <f aca="false">IF(助手收入!$R$267&lt;&gt;"","借 方 金 额","")</f>
        <v/>
      </c>
      <c r="G3979" s="62" t="str">
        <f aca="false">IF(助手收入!$R$267&lt;&gt;"","贷 方 金 额","")</f>
        <v/>
      </c>
      <c r="H3979" s="63" t="str">
        <f aca="false">IF(助手收入!$R$267&lt;&gt;"","√","")</f>
        <v/>
      </c>
      <c r="I3979" s="64" t="str">
        <f aca="false">IF(助手收入!$R$267&lt;&gt;"","附单据  张","")</f>
        <v/>
      </c>
    </row>
    <row r="3980" customFormat="false" ht="12.75" hidden="false" customHeight="true" outlineLevel="0" collapsed="false">
      <c r="B3980" s="61"/>
      <c r="C3980" s="61"/>
      <c r="D3980" s="23" t="str">
        <f aca="false">IF(助手收入!$R$267&lt;&gt;"","总 账 科 目","")</f>
        <v/>
      </c>
      <c r="E3980" s="23" t="str">
        <f aca="false">IF(助手收入!$R$267&lt;&gt;"","明 细 科 目","")</f>
        <v/>
      </c>
      <c r="F3980" s="65"/>
      <c r="G3980" s="66"/>
      <c r="H3980" s="63"/>
      <c r="I3980" s="64"/>
    </row>
    <row r="3981" customFormat="false" ht="23.25" hidden="false" customHeight="true" outlineLevel="0" collapsed="false">
      <c r="B3981" s="67" t="str">
        <f aca="false">IFERROR(INDEX(分录收入!$M:$M,MATCH($L3981,分录收入!$L:$L,0)),"")</f>
        <v/>
      </c>
      <c r="C3981" s="67"/>
      <c r="D3981" s="23" t="str">
        <f aca="false">IFERROR(INDEX(分录收入!$E:$E,MATCH($L3981,分录收入!$L:$L,0)),"")</f>
        <v/>
      </c>
      <c r="E3981" s="23" t="str">
        <f aca="false">IFERROR(INDEX(分录收入!$F:$F,MATCH($L3981,分录收入!$L:$L,0)),"")</f>
        <v/>
      </c>
      <c r="F3981" s="68" t="str">
        <f aca="false">IFERROR(INDEX(分录收入!$H:$H,MATCH($L3981,分录收入!$L:$L,0)),"")</f>
        <v/>
      </c>
      <c r="G3981" s="69" t="str">
        <f aca="false">IFERROR(INDEX(分录收入!$I:$I,MATCH($L3981,分录收入!$L:$L,0)),"")</f>
        <v/>
      </c>
      <c r="H3981" s="23"/>
      <c r="I3981" s="70"/>
      <c r="L3981" s="71" t="n">
        <f aca="false">IF(助手收入!$R$267="",-1,助手收入!$R$267*100+(助手收入!$S$267-1)*6+1)</f>
        <v>-1</v>
      </c>
    </row>
    <row r="3982" customFormat="false" ht="23.25" hidden="false" customHeight="true" outlineLevel="0" collapsed="false">
      <c r="B3982" s="67" t="str">
        <f aca="false">""</f>
        <v/>
      </c>
      <c r="C3982" s="67"/>
      <c r="D3982" s="23" t="str">
        <f aca="false">IFERROR(INDEX(分录收入!$E:$E,MATCH($L3982,分录收入!$L:$L,0)),"")</f>
        <v/>
      </c>
      <c r="E3982" s="23" t="str">
        <f aca="false">IFERROR(INDEX(分录收入!$F:$F,MATCH($L3982,分录收入!$L:$L,0)),"")</f>
        <v/>
      </c>
      <c r="F3982" s="68" t="str">
        <f aca="false">IFERROR(INDEX(分录收入!$H:$H,MATCH($L3982,分录收入!$L:$L,0)),"")</f>
        <v/>
      </c>
      <c r="G3982" s="69" t="str">
        <f aca="false">IFERROR(INDEX(分录收入!$I:$I,MATCH($L3982,分录收入!$L:$L,0)),"")</f>
        <v/>
      </c>
      <c r="H3982" s="23"/>
      <c r="I3982" s="70"/>
      <c r="L3982" s="71" t="n">
        <f aca="false">IF(助手收入!$R$267="",-1,助手收入!$R$267*100+(助手收入!$S$267-1)*6+2)</f>
        <v>-1</v>
      </c>
    </row>
    <row r="3983" customFormat="false" ht="23.25" hidden="false" customHeight="true" outlineLevel="0" collapsed="false">
      <c r="B3983" s="67" t="str">
        <f aca="false">""</f>
        <v/>
      </c>
      <c r="C3983" s="67"/>
      <c r="D3983" s="23" t="str">
        <f aca="false">IFERROR(INDEX(分录收入!$E:$E,MATCH($L3983,分录收入!$L:$L,0)),"")</f>
        <v/>
      </c>
      <c r="E3983" s="23" t="str">
        <f aca="false">IFERROR(INDEX(分录收入!$F:$F,MATCH($L3983,分录收入!$L:$L,0)),"")</f>
        <v/>
      </c>
      <c r="F3983" s="68" t="str">
        <f aca="false">IFERROR(INDEX(分录收入!$H:$H,MATCH($L3983,分录收入!$L:$L,0)),"")</f>
        <v/>
      </c>
      <c r="G3983" s="69" t="str">
        <f aca="false">IFERROR(INDEX(分录收入!$I:$I,MATCH($L3983,分录收入!$L:$L,0)),"")</f>
        <v/>
      </c>
      <c r="H3983" s="23"/>
      <c r="I3983" s="70"/>
      <c r="L3983" s="71" t="n">
        <f aca="false">IF(助手收入!$R$267="",-1,助手收入!$R$267*100+(助手收入!$S$267-1)*6+3)</f>
        <v>-1</v>
      </c>
    </row>
    <row r="3984" customFormat="false" ht="23.25" hidden="false" customHeight="true" outlineLevel="0" collapsed="false">
      <c r="B3984" s="67" t="str">
        <f aca="false">""</f>
        <v/>
      </c>
      <c r="C3984" s="67"/>
      <c r="D3984" s="23" t="str">
        <f aca="false">IFERROR(INDEX(分录收入!$E:$E,MATCH($L3984,分录收入!$L:$L,0)),"")</f>
        <v/>
      </c>
      <c r="E3984" s="23" t="str">
        <f aca="false">IFERROR(INDEX(分录收入!$F:$F,MATCH($L3984,分录收入!$L:$L,0)),"")</f>
        <v/>
      </c>
      <c r="F3984" s="68" t="str">
        <f aca="false">IFERROR(INDEX(分录收入!$H:$H,MATCH($L3984,分录收入!$L:$L,0)),"")</f>
        <v/>
      </c>
      <c r="G3984" s="69" t="str">
        <f aca="false">IFERROR(INDEX(分录收入!$I:$I,MATCH($L3984,分录收入!$L:$L,0)),"")</f>
        <v/>
      </c>
      <c r="H3984" s="23"/>
      <c r="I3984" s="70"/>
      <c r="L3984" s="71" t="n">
        <f aca="false">IF(助手收入!$R$267="",-1,助手收入!$R$267*100+(助手收入!$S$267-1)*6+4)</f>
        <v>-1</v>
      </c>
    </row>
    <row r="3985" customFormat="false" ht="23.25" hidden="false" customHeight="true" outlineLevel="0" collapsed="false">
      <c r="B3985" s="67" t="str">
        <f aca="false">""</f>
        <v/>
      </c>
      <c r="C3985" s="67"/>
      <c r="D3985" s="23" t="str">
        <f aca="false">IFERROR(INDEX(分录收入!$E:$E,MATCH($L3985,分录收入!$L:$L,0)),"")</f>
        <v/>
      </c>
      <c r="E3985" s="23" t="str">
        <f aca="false">IFERROR(INDEX(分录收入!$F:$F,MATCH($L3985,分录收入!$L:$L,0)),"")</f>
        <v/>
      </c>
      <c r="F3985" s="68" t="str">
        <f aca="false">IFERROR(INDEX(分录收入!$H:$H,MATCH($L3985,分录收入!$L:$L,0)),"")</f>
        <v/>
      </c>
      <c r="G3985" s="69" t="str">
        <f aca="false">IFERROR(INDEX(分录收入!$I:$I,MATCH($L3985,分录收入!$L:$L,0)),"")</f>
        <v/>
      </c>
      <c r="H3985" s="23"/>
      <c r="I3985" s="70"/>
      <c r="L3985" s="71" t="n">
        <f aca="false">IF(助手收入!$R$267="",-1,助手收入!$R$267*100+(助手收入!$S$267-1)*6+5)</f>
        <v>-1</v>
      </c>
    </row>
    <row r="3986" customFormat="false" ht="23.25" hidden="false" customHeight="true" outlineLevel="0" collapsed="false">
      <c r="B3986" s="67" t="str">
        <f aca="false">""</f>
        <v/>
      </c>
      <c r="C3986" s="67"/>
      <c r="D3986" s="23" t="str">
        <f aca="false">IFERROR(INDEX(分录收入!$E:$E,MATCH($L3986,分录收入!$L:$L,0)),"")</f>
        <v/>
      </c>
      <c r="E3986" s="23" t="str">
        <f aca="false">IFERROR(INDEX(分录收入!$F:$F,MATCH($L3986,分录收入!$L:$L,0)),"")</f>
        <v/>
      </c>
      <c r="F3986" s="68" t="str">
        <f aca="false">IFERROR(INDEX(分录收入!$H:$H,MATCH($L3986,分录收入!$L:$L,0)),"")</f>
        <v/>
      </c>
      <c r="G3986" s="69" t="str">
        <f aca="false">IFERROR(INDEX(分录收入!$I:$I,MATCH($L3986,分录收入!$L:$L,0)),"")</f>
        <v/>
      </c>
      <c r="H3986" s="23"/>
      <c r="I3986" s="70"/>
      <c r="L3986" s="71" t="n">
        <f aca="false">IF(助手收入!$R$267="",-1,助手收入!$R$267*100+(助手收入!$S$267-1)*6+6)</f>
        <v>-1</v>
      </c>
    </row>
    <row r="3987" customFormat="false" ht="23.25" hidden="false" customHeight="true" outlineLevel="0" collapsed="false">
      <c r="B3987" s="72" t="str">
        <f aca="false">IF(助手收入!$T$267=1,"合计：","")</f>
        <v/>
      </c>
      <c r="C3987" s="73" t="str">
        <f aca="false">IF(助手收入!$T$267=1,$F3987,"")</f>
        <v/>
      </c>
      <c r="D3987" s="74"/>
      <c r="E3987" s="74"/>
      <c r="F3987" s="75" t="str">
        <f aca="false">IF(助手收入!$T$267=1,INDEX(助手收入!$N$2:$N$66,助手收入!$R$267),"")</f>
        <v/>
      </c>
      <c r="G3987" s="76" t="str">
        <f aca="false">IF(助手收入!$T$267=1,INDEX(助手收入!$O$2:$O$66,助手收入!$R$267),"")</f>
        <v/>
      </c>
      <c r="H3987" s="74"/>
      <c r="I3987" s="77"/>
    </row>
    <row r="3988" customFormat="false" ht="6" hidden="false" customHeight="true" outlineLevel="0" collapsed="false"/>
    <row r="3989" customFormat="false" ht="13.5" hidden="false" customHeight="false" outlineLevel="0" collapsed="false">
      <c r="B3989" s="78" t="str">
        <f aca="false">IF(助手收入!$R$267&lt;&gt;"","会计主管：","")</f>
        <v/>
      </c>
      <c r="D3989" s="78" t="str">
        <f aca="false">IF(助手收入!$R$267&lt;&gt;"","会计：","")</f>
        <v/>
      </c>
      <c r="E3989" s="78" t="str">
        <f aca="false">IF(助手收入!$R$267&lt;&gt;"","出纳：","")</f>
        <v/>
      </c>
      <c r="F3989" s="78" t="str">
        <f aca="false">IF(助手收入!$R$267&lt;&gt;"","复核：","")</f>
        <v/>
      </c>
      <c r="G3989" s="78" t="str">
        <f aca="false">IF(助手收入!$R$267&lt;&gt;"","制单：","")</f>
        <v/>
      </c>
    </row>
    <row r="3990" customFormat="false" ht="3" hidden="false" customHeight="true" outlineLevel="0" collapsed="false"/>
    <row r="3991" customFormat="false" ht="19.5" hidden="false" customHeight="true" outlineLevel="0" collapsed="false">
      <c r="B3991" s="53" t="str">
        <f aca="false">IF(助手收入!$R$268&lt;&gt;"","记  账  凭  证","")</f>
        <v/>
      </c>
      <c r="C3991" s="53"/>
      <c r="D3991" s="53"/>
      <c r="E3991" s="53"/>
      <c r="F3991" s="53"/>
      <c r="G3991" s="53"/>
      <c r="H3991" s="53"/>
      <c r="I3991" s="53"/>
    </row>
    <row r="3992" customFormat="false" ht="3" hidden="false" customHeight="true" outlineLevel="0" collapsed="false"/>
    <row r="3993" customFormat="false" ht="15" hidden="false" customHeight="true" outlineLevel="0" collapsed="false">
      <c r="C3993" s="56" t="str">
        <f aca="false">IF(助手收入!$R$268&lt;&gt;"",INDEX(助手收入!$B$2:$B$66,助手收入!$R$268),"")</f>
        <v/>
      </c>
      <c r="D3993" s="57" t="str">
        <f aca="false">IF(助手收入!$R$268&lt;&gt;"",参数!$B$2,"")</f>
        <v/>
      </c>
      <c r="E3993" s="57"/>
      <c r="F3993" s="58" t="str">
        <f aca="false">IF(助手收入!$R$268&lt;&gt;"",INDEX(助手收入!$C$2:$C$66,助手收入!$R$268)&amp;"  字第 "&amp;IF(参数!$B$9="是",INDEX(助手收入!$P$2:$P$66,助手收入!$R$268),"　　　　")&amp;" 号"&amp;IF(INDEX(助手收入!$L$2:$L$66,助手收入!$R$268)&gt;1,"  (共"&amp;INDEX(助手收入!$L$2:$L$66,助手收入!$R$268)&amp;"页 第"&amp;助手收入!$S$268&amp;"页)",""),"")</f>
        <v/>
      </c>
      <c r="G3993" s="58"/>
      <c r="H3993" s="58"/>
      <c r="I3993" s="58"/>
      <c r="M3993" s="79" t="str">
        <f aca="false">IF(助手收入!$R$268="","",助手收入!$Q$268)</f>
        <v/>
      </c>
      <c r="N3993" s="80" t="str">
        <f aca="false">IF(助手收入!$R$268="","",INDEX(助手收入!$P$2:$P$66,助手收入!$R$268))</f>
        <v/>
      </c>
      <c r="O3993" s="55" t="str">
        <f aca="false">IF(助手收入!$R$268="","",INDEX(助手收入!$C$2:$C$66,助手收入!$R$268)&amp;"  字第 "&amp;INDEX(助手收入!$P$2:$P$66,助手收入!$R$268)&amp;" 号"&amp;IF(INDEX(助手收入!$L$2:$L$66,助手收入!$R$268)&gt;1,"  (共"&amp;INDEX(助手收入!$L$2:$L$66,助手收入!$R$268)&amp;"页 第"&amp;助手收入!$S$268&amp;"页)",""))</f>
        <v/>
      </c>
    </row>
    <row r="3994" customFormat="false" ht="12.75" hidden="false" customHeight="true" outlineLevel="0" collapsed="false">
      <c r="B3994" s="61" t="str">
        <f aca="false">IF(助手收入!$R$268&lt;&gt;"","摘　　要","")</f>
        <v/>
      </c>
      <c r="C3994" s="61"/>
      <c r="D3994" s="62" t="str">
        <f aca="false">IF(助手收入!$R$268&lt;&gt;"","科　　　　目","")</f>
        <v/>
      </c>
      <c r="E3994" s="62"/>
      <c r="F3994" s="61" t="str">
        <f aca="false">IF(助手收入!$R$268&lt;&gt;"","借 方 金 额","")</f>
        <v/>
      </c>
      <c r="G3994" s="62" t="str">
        <f aca="false">IF(助手收入!$R$268&lt;&gt;"","贷 方 金 额","")</f>
        <v/>
      </c>
      <c r="H3994" s="63" t="str">
        <f aca="false">IF(助手收入!$R$268&lt;&gt;"","√","")</f>
        <v/>
      </c>
      <c r="I3994" s="64" t="str">
        <f aca="false">IF(助手收入!$R$268&lt;&gt;"","附单据  张","")</f>
        <v/>
      </c>
    </row>
    <row r="3995" customFormat="false" ht="12.75" hidden="false" customHeight="true" outlineLevel="0" collapsed="false">
      <c r="B3995" s="61"/>
      <c r="C3995" s="61"/>
      <c r="D3995" s="23" t="str">
        <f aca="false">IF(助手收入!$R$268&lt;&gt;"","总 账 科 目","")</f>
        <v/>
      </c>
      <c r="E3995" s="23" t="str">
        <f aca="false">IF(助手收入!$R$268&lt;&gt;"","明 细 科 目","")</f>
        <v/>
      </c>
      <c r="F3995" s="65"/>
      <c r="G3995" s="66"/>
      <c r="H3995" s="63"/>
      <c r="I3995" s="64"/>
    </row>
    <row r="3996" customFormat="false" ht="23.25" hidden="false" customHeight="true" outlineLevel="0" collapsed="false">
      <c r="B3996" s="67" t="str">
        <f aca="false">IFERROR(INDEX(分录收入!$M:$M,MATCH($L3996,分录收入!$L:$L,0)),"")</f>
        <v/>
      </c>
      <c r="C3996" s="67"/>
      <c r="D3996" s="23" t="str">
        <f aca="false">IFERROR(INDEX(分录收入!$E:$E,MATCH($L3996,分录收入!$L:$L,0)),"")</f>
        <v/>
      </c>
      <c r="E3996" s="23" t="str">
        <f aca="false">IFERROR(INDEX(分录收入!$F:$F,MATCH($L3996,分录收入!$L:$L,0)),"")</f>
        <v/>
      </c>
      <c r="F3996" s="68" t="str">
        <f aca="false">IFERROR(INDEX(分录收入!$H:$H,MATCH($L3996,分录收入!$L:$L,0)),"")</f>
        <v/>
      </c>
      <c r="G3996" s="69" t="str">
        <f aca="false">IFERROR(INDEX(分录收入!$I:$I,MATCH($L3996,分录收入!$L:$L,0)),"")</f>
        <v/>
      </c>
      <c r="H3996" s="23"/>
      <c r="I3996" s="70"/>
      <c r="L3996" s="71" t="n">
        <f aca="false">IF(助手收入!$R$268="",-1,助手收入!$R$268*100+(助手收入!$S$268-1)*6+1)</f>
        <v>-1</v>
      </c>
    </row>
    <row r="3997" customFormat="false" ht="23.25" hidden="false" customHeight="true" outlineLevel="0" collapsed="false">
      <c r="B3997" s="67" t="str">
        <f aca="false">""</f>
        <v/>
      </c>
      <c r="C3997" s="67"/>
      <c r="D3997" s="23" t="str">
        <f aca="false">IFERROR(INDEX(分录收入!$E:$E,MATCH($L3997,分录收入!$L:$L,0)),"")</f>
        <v/>
      </c>
      <c r="E3997" s="23" t="str">
        <f aca="false">IFERROR(INDEX(分录收入!$F:$F,MATCH($L3997,分录收入!$L:$L,0)),"")</f>
        <v/>
      </c>
      <c r="F3997" s="68" t="str">
        <f aca="false">IFERROR(INDEX(分录收入!$H:$H,MATCH($L3997,分录收入!$L:$L,0)),"")</f>
        <v/>
      </c>
      <c r="G3997" s="69" t="str">
        <f aca="false">IFERROR(INDEX(分录收入!$I:$I,MATCH($L3997,分录收入!$L:$L,0)),"")</f>
        <v/>
      </c>
      <c r="H3997" s="23"/>
      <c r="I3997" s="70"/>
      <c r="L3997" s="71" t="n">
        <f aca="false">IF(助手收入!$R$268="",-1,助手收入!$R$268*100+(助手收入!$S$268-1)*6+2)</f>
        <v>-1</v>
      </c>
    </row>
    <row r="3998" customFormat="false" ht="23.25" hidden="false" customHeight="true" outlineLevel="0" collapsed="false">
      <c r="B3998" s="67" t="str">
        <f aca="false">""</f>
        <v/>
      </c>
      <c r="C3998" s="67"/>
      <c r="D3998" s="23" t="str">
        <f aca="false">IFERROR(INDEX(分录收入!$E:$E,MATCH($L3998,分录收入!$L:$L,0)),"")</f>
        <v/>
      </c>
      <c r="E3998" s="23" t="str">
        <f aca="false">IFERROR(INDEX(分录收入!$F:$F,MATCH($L3998,分录收入!$L:$L,0)),"")</f>
        <v/>
      </c>
      <c r="F3998" s="68" t="str">
        <f aca="false">IFERROR(INDEX(分录收入!$H:$H,MATCH($L3998,分录收入!$L:$L,0)),"")</f>
        <v/>
      </c>
      <c r="G3998" s="69" t="str">
        <f aca="false">IFERROR(INDEX(分录收入!$I:$I,MATCH($L3998,分录收入!$L:$L,0)),"")</f>
        <v/>
      </c>
      <c r="H3998" s="23"/>
      <c r="I3998" s="70"/>
      <c r="L3998" s="71" t="n">
        <f aca="false">IF(助手收入!$R$268="",-1,助手收入!$R$268*100+(助手收入!$S$268-1)*6+3)</f>
        <v>-1</v>
      </c>
    </row>
    <row r="3999" customFormat="false" ht="23.25" hidden="false" customHeight="true" outlineLevel="0" collapsed="false">
      <c r="B3999" s="67" t="str">
        <f aca="false">""</f>
        <v/>
      </c>
      <c r="C3999" s="67"/>
      <c r="D3999" s="23" t="str">
        <f aca="false">IFERROR(INDEX(分录收入!$E:$E,MATCH($L3999,分录收入!$L:$L,0)),"")</f>
        <v/>
      </c>
      <c r="E3999" s="23" t="str">
        <f aca="false">IFERROR(INDEX(分录收入!$F:$F,MATCH($L3999,分录收入!$L:$L,0)),"")</f>
        <v/>
      </c>
      <c r="F3999" s="68" t="str">
        <f aca="false">IFERROR(INDEX(分录收入!$H:$H,MATCH($L3999,分录收入!$L:$L,0)),"")</f>
        <v/>
      </c>
      <c r="G3999" s="69" t="str">
        <f aca="false">IFERROR(INDEX(分录收入!$I:$I,MATCH($L3999,分录收入!$L:$L,0)),"")</f>
        <v/>
      </c>
      <c r="H3999" s="23"/>
      <c r="I3999" s="70"/>
      <c r="L3999" s="71" t="n">
        <f aca="false">IF(助手收入!$R$268="",-1,助手收入!$R$268*100+(助手收入!$S$268-1)*6+4)</f>
        <v>-1</v>
      </c>
    </row>
    <row r="4000" customFormat="false" ht="23.25" hidden="false" customHeight="true" outlineLevel="0" collapsed="false">
      <c r="B4000" s="67" t="str">
        <f aca="false">""</f>
        <v/>
      </c>
      <c r="C4000" s="67"/>
      <c r="D4000" s="23" t="str">
        <f aca="false">IFERROR(INDEX(分录收入!$E:$E,MATCH($L4000,分录收入!$L:$L,0)),"")</f>
        <v/>
      </c>
      <c r="E4000" s="23" t="str">
        <f aca="false">IFERROR(INDEX(分录收入!$F:$F,MATCH($L4000,分录收入!$L:$L,0)),"")</f>
        <v/>
      </c>
      <c r="F4000" s="68" t="str">
        <f aca="false">IFERROR(INDEX(分录收入!$H:$H,MATCH($L4000,分录收入!$L:$L,0)),"")</f>
        <v/>
      </c>
      <c r="G4000" s="69" t="str">
        <f aca="false">IFERROR(INDEX(分录收入!$I:$I,MATCH($L4000,分录收入!$L:$L,0)),"")</f>
        <v/>
      </c>
      <c r="H4000" s="23"/>
      <c r="I4000" s="70"/>
      <c r="L4000" s="71" t="n">
        <f aca="false">IF(助手收入!$R$268="",-1,助手收入!$R$268*100+(助手收入!$S$268-1)*6+5)</f>
        <v>-1</v>
      </c>
    </row>
    <row r="4001" customFormat="false" ht="23.25" hidden="false" customHeight="true" outlineLevel="0" collapsed="false">
      <c r="B4001" s="67" t="str">
        <f aca="false">""</f>
        <v/>
      </c>
      <c r="C4001" s="67"/>
      <c r="D4001" s="23" t="str">
        <f aca="false">IFERROR(INDEX(分录收入!$E:$E,MATCH($L4001,分录收入!$L:$L,0)),"")</f>
        <v/>
      </c>
      <c r="E4001" s="23" t="str">
        <f aca="false">IFERROR(INDEX(分录收入!$F:$F,MATCH($L4001,分录收入!$L:$L,0)),"")</f>
        <v/>
      </c>
      <c r="F4001" s="68" t="str">
        <f aca="false">IFERROR(INDEX(分录收入!$H:$H,MATCH($L4001,分录收入!$L:$L,0)),"")</f>
        <v/>
      </c>
      <c r="G4001" s="69" t="str">
        <f aca="false">IFERROR(INDEX(分录收入!$I:$I,MATCH($L4001,分录收入!$L:$L,0)),"")</f>
        <v/>
      </c>
      <c r="H4001" s="23"/>
      <c r="I4001" s="70"/>
      <c r="L4001" s="71" t="n">
        <f aca="false">IF(助手收入!$R$268="",-1,助手收入!$R$268*100+(助手收入!$S$268-1)*6+6)</f>
        <v>-1</v>
      </c>
    </row>
    <row r="4002" customFormat="false" ht="23.25" hidden="false" customHeight="true" outlineLevel="0" collapsed="false">
      <c r="B4002" s="72" t="str">
        <f aca="false">IF(助手收入!$T$268=1,"合计：","")</f>
        <v/>
      </c>
      <c r="C4002" s="73" t="str">
        <f aca="false">IF(助手收入!$T$268=1,$F4002,"")</f>
        <v/>
      </c>
      <c r="D4002" s="74"/>
      <c r="E4002" s="74"/>
      <c r="F4002" s="75" t="str">
        <f aca="false">IF(助手收入!$T$268=1,INDEX(助手收入!$N$2:$N$66,助手收入!$R$268),"")</f>
        <v/>
      </c>
      <c r="G4002" s="76" t="str">
        <f aca="false">IF(助手收入!$T$268=1,INDEX(助手收入!$O$2:$O$66,助手收入!$R$268),"")</f>
        <v/>
      </c>
      <c r="H4002" s="74"/>
      <c r="I4002" s="77"/>
    </row>
    <row r="4003" customFormat="false" ht="6" hidden="false" customHeight="true" outlineLevel="0" collapsed="false"/>
    <row r="4004" customFormat="false" ht="13.5" hidden="false" customHeight="false" outlineLevel="0" collapsed="false">
      <c r="B4004" s="78" t="str">
        <f aca="false">IF(助手收入!$R$268&lt;&gt;"","会计主管：","")</f>
        <v/>
      </c>
      <c r="D4004" s="78" t="str">
        <f aca="false">IF(助手收入!$R$268&lt;&gt;"","会计：","")</f>
        <v/>
      </c>
      <c r="E4004" s="78" t="str">
        <f aca="false">IF(助手收入!$R$268&lt;&gt;"","出纳：","")</f>
        <v/>
      </c>
      <c r="F4004" s="78" t="str">
        <f aca="false">IF(助手收入!$R$268&lt;&gt;"","复核：","")</f>
        <v/>
      </c>
      <c r="G4004" s="78" t="str">
        <f aca="false">IF(助手收入!$R$268&lt;&gt;"","制单：","")</f>
        <v/>
      </c>
    </row>
    <row r="4005" customFormat="false" ht="3" hidden="false" customHeight="true" outlineLevel="0" collapsed="false"/>
    <row r="4006" customFormat="false" ht="19.5" hidden="false" customHeight="true" outlineLevel="0" collapsed="false">
      <c r="B4006" s="53" t="str">
        <f aca="false">IF(助手收入!$R$269&lt;&gt;"","记  账  凭  证","")</f>
        <v/>
      </c>
      <c r="C4006" s="53"/>
      <c r="D4006" s="53"/>
      <c r="E4006" s="53"/>
      <c r="F4006" s="53"/>
      <c r="G4006" s="53"/>
      <c r="H4006" s="53"/>
      <c r="I4006" s="53"/>
    </row>
    <row r="4007" customFormat="false" ht="3" hidden="false" customHeight="true" outlineLevel="0" collapsed="false"/>
    <row r="4008" customFormat="false" ht="15" hidden="false" customHeight="true" outlineLevel="0" collapsed="false">
      <c r="C4008" s="56" t="str">
        <f aca="false">IF(助手收入!$R$269&lt;&gt;"",INDEX(助手收入!$B$2:$B$66,助手收入!$R$269),"")</f>
        <v/>
      </c>
      <c r="D4008" s="57" t="str">
        <f aca="false">IF(助手收入!$R$269&lt;&gt;"",参数!$B$2,"")</f>
        <v/>
      </c>
      <c r="E4008" s="57"/>
      <c r="F4008" s="58" t="str">
        <f aca="false">IF(助手收入!$R$269&lt;&gt;"",INDEX(助手收入!$C$2:$C$66,助手收入!$R$269)&amp;"  字第 "&amp;IF(参数!$B$9="是",INDEX(助手收入!$P$2:$P$66,助手收入!$R$269),"　　　　")&amp;" 号"&amp;IF(INDEX(助手收入!$L$2:$L$66,助手收入!$R$269)&gt;1,"  (共"&amp;INDEX(助手收入!$L$2:$L$66,助手收入!$R$269)&amp;"页 第"&amp;助手收入!$S$269&amp;"页)",""),"")</f>
        <v/>
      </c>
      <c r="G4008" s="58"/>
      <c r="H4008" s="58"/>
      <c r="I4008" s="58"/>
      <c r="M4008" s="79" t="str">
        <f aca="false">IF(助手收入!$R$269="","",助手收入!$Q$269)</f>
        <v/>
      </c>
      <c r="N4008" s="80" t="str">
        <f aca="false">IF(助手收入!$R$269="","",INDEX(助手收入!$P$2:$P$66,助手收入!$R$269))</f>
        <v/>
      </c>
      <c r="O4008" s="55" t="str">
        <f aca="false">IF(助手收入!$R$269="","",INDEX(助手收入!$C$2:$C$66,助手收入!$R$269)&amp;"  字第 "&amp;INDEX(助手收入!$P$2:$P$66,助手收入!$R$269)&amp;" 号"&amp;IF(INDEX(助手收入!$L$2:$L$66,助手收入!$R$269)&gt;1,"  (共"&amp;INDEX(助手收入!$L$2:$L$66,助手收入!$R$269)&amp;"页 第"&amp;助手收入!$S$269&amp;"页)",""))</f>
        <v/>
      </c>
    </row>
    <row r="4009" customFormat="false" ht="12.75" hidden="false" customHeight="true" outlineLevel="0" collapsed="false">
      <c r="B4009" s="61" t="str">
        <f aca="false">IF(助手收入!$R$269&lt;&gt;"","摘　　要","")</f>
        <v/>
      </c>
      <c r="C4009" s="61"/>
      <c r="D4009" s="62" t="str">
        <f aca="false">IF(助手收入!$R$269&lt;&gt;"","科　　　　目","")</f>
        <v/>
      </c>
      <c r="E4009" s="62"/>
      <c r="F4009" s="61" t="str">
        <f aca="false">IF(助手收入!$R$269&lt;&gt;"","借 方 金 额","")</f>
        <v/>
      </c>
      <c r="G4009" s="62" t="str">
        <f aca="false">IF(助手收入!$R$269&lt;&gt;"","贷 方 金 额","")</f>
        <v/>
      </c>
      <c r="H4009" s="63" t="str">
        <f aca="false">IF(助手收入!$R$269&lt;&gt;"","√","")</f>
        <v/>
      </c>
      <c r="I4009" s="64" t="str">
        <f aca="false">IF(助手收入!$R$269&lt;&gt;"","附单据  张","")</f>
        <v/>
      </c>
    </row>
    <row r="4010" customFormat="false" ht="12.75" hidden="false" customHeight="true" outlineLevel="0" collapsed="false">
      <c r="B4010" s="61"/>
      <c r="C4010" s="61"/>
      <c r="D4010" s="23" t="str">
        <f aca="false">IF(助手收入!$R$269&lt;&gt;"","总 账 科 目","")</f>
        <v/>
      </c>
      <c r="E4010" s="23" t="str">
        <f aca="false">IF(助手收入!$R$269&lt;&gt;"","明 细 科 目","")</f>
        <v/>
      </c>
      <c r="F4010" s="65"/>
      <c r="G4010" s="66"/>
      <c r="H4010" s="63"/>
      <c r="I4010" s="64"/>
    </row>
    <row r="4011" customFormat="false" ht="23.25" hidden="false" customHeight="true" outlineLevel="0" collapsed="false">
      <c r="B4011" s="67" t="str">
        <f aca="false">IFERROR(INDEX(分录收入!$M:$M,MATCH($L4011,分录收入!$L:$L,0)),"")</f>
        <v/>
      </c>
      <c r="C4011" s="67"/>
      <c r="D4011" s="23" t="str">
        <f aca="false">IFERROR(INDEX(分录收入!$E:$E,MATCH($L4011,分录收入!$L:$L,0)),"")</f>
        <v/>
      </c>
      <c r="E4011" s="23" t="str">
        <f aca="false">IFERROR(INDEX(分录收入!$F:$F,MATCH($L4011,分录收入!$L:$L,0)),"")</f>
        <v/>
      </c>
      <c r="F4011" s="68" t="str">
        <f aca="false">IFERROR(INDEX(分录收入!$H:$H,MATCH($L4011,分录收入!$L:$L,0)),"")</f>
        <v/>
      </c>
      <c r="G4011" s="69" t="str">
        <f aca="false">IFERROR(INDEX(分录收入!$I:$I,MATCH($L4011,分录收入!$L:$L,0)),"")</f>
        <v/>
      </c>
      <c r="H4011" s="23"/>
      <c r="I4011" s="70"/>
      <c r="L4011" s="71" t="n">
        <f aca="false">IF(助手收入!$R$269="",-1,助手收入!$R$269*100+(助手收入!$S$269-1)*6+1)</f>
        <v>-1</v>
      </c>
    </row>
    <row r="4012" customFormat="false" ht="23.25" hidden="false" customHeight="true" outlineLevel="0" collapsed="false">
      <c r="B4012" s="67" t="str">
        <f aca="false">""</f>
        <v/>
      </c>
      <c r="C4012" s="67"/>
      <c r="D4012" s="23" t="str">
        <f aca="false">IFERROR(INDEX(分录收入!$E:$E,MATCH($L4012,分录收入!$L:$L,0)),"")</f>
        <v/>
      </c>
      <c r="E4012" s="23" t="str">
        <f aca="false">IFERROR(INDEX(分录收入!$F:$F,MATCH($L4012,分录收入!$L:$L,0)),"")</f>
        <v/>
      </c>
      <c r="F4012" s="68" t="str">
        <f aca="false">IFERROR(INDEX(分录收入!$H:$H,MATCH($L4012,分录收入!$L:$L,0)),"")</f>
        <v/>
      </c>
      <c r="G4012" s="69" t="str">
        <f aca="false">IFERROR(INDEX(分录收入!$I:$I,MATCH($L4012,分录收入!$L:$L,0)),"")</f>
        <v/>
      </c>
      <c r="H4012" s="23"/>
      <c r="I4012" s="70"/>
      <c r="L4012" s="71" t="n">
        <f aca="false">IF(助手收入!$R$269="",-1,助手收入!$R$269*100+(助手收入!$S$269-1)*6+2)</f>
        <v>-1</v>
      </c>
    </row>
    <row r="4013" customFormat="false" ht="23.25" hidden="false" customHeight="true" outlineLevel="0" collapsed="false">
      <c r="B4013" s="67" t="str">
        <f aca="false">""</f>
        <v/>
      </c>
      <c r="C4013" s="67"/>
      <c r="D4013" s="23" t="str">
        <f aca="false">IFERROR(INDEX(分录收入!$E:$E,MATCH($L4013,分录收入!$L:$L,0)),"")</f>
        <v/>
      </c>
      <c r="E4013" s="23" t="str">
        <f aca="false">IFERROR(INDEX(分录收入!$F:$F,MATCH($L4013,分录收入!$L:$L,0)),"")</f>
        <v/>
      </c>
      <c r="F4013" s="68" t="str">
        <f aca="false">IFERROR(INDEX(分录收入!$H:$H,MATCH($L4013,分录收入!$L:$L,0)),"")</f>
        <v/>
      </c>
      <c r="G4013" s="69" t="str">
        <f aca="false">IFERROR(INDEX(分录收入!$I:$I,MATCH($L4013,分录收入!$L:$L,0)),"")</f>
        <v/>
      </c>
      <c r="H4013" s="23"/>
      <c r="I4013" s="70"/>
      <c r="L4013" s="71" t="n">
        <f aca="false">IF(助手收入!$R$269="",-1,助手收入!$R$269*100+(助手收入!$S$269-1)*6+3)</f>
        <v>-1</v>
      </c>
    </row>
    <row r="4014" customFormat="false" ht="23.25" hidden="false" customHeight="true" outlineLevel="0" collapsed="false">
      <c r="B4014" s="67" t="str">
        <f aca="false">""</f>
        <v/>
      </c>
      <c r="C4014" s="67"/>
      <c r="D4014" s="23" t="str">
        <f aca="false">IFERROR(INDEX(分录收入!$E:$E,MATCH($L4014,分录收入!$L:$L,0)),"")</f>
        <v/>
      </c>
      <c r="E4014" s="23" t="str">
        <f aca="false">IFERROR(INDEX(分录收入!$F:$F,MATCH($L4014,分录收入!$L:$L,0)),"")</f>
        <v/>
      </c>
      <c r="F4014" s="68" t="str">
        <f aca="false">IFERROR(INDEX(分录收入!$H:$H,MATCH($L4014,分录收入!$L:$L,0)),"")</f>
        <v/>
      </c>
      <c r="G4014" s="69" t="str">
        <f aca="false">IFERROR(INDEX(分录收入!$I:$I,MATCH($L4014,分录收入!$L:$L,0)),"")</f>
        <v/>
      </c>
      <c r="H4014" s="23"/>
      <c r="I4014" s="70"/>
      <c r="L4014" s="71" t="n">
        <f aca="false">IF(助手收入!$R$269="",-1,助手收入!$R$269*100+(助手收入!$S$269-1)*6+4)</f>
        <v>-1</v>
      </c>
    </row>
    <row r="4015" customFormat="false" ht="23.25" hidden="false" customHeight="true" outlineLevel="0" collapsed="false">
      <c r="B4015" s="67" t="str">
        <f aca="false">""</f>
        <v/>
      </c>
      <c r="C4015" s="67"/>
      <c r="D4015" s="23" t="str">
        <f aca="false">IFERROR(INDEX(分录收入!$E:$E,MATCH($L4015,分录收入!$L:$L,0)),"")</f>
        <v/>
      </c>
      <c r="E4015" s="23" t="str">
        <f aca="false">IFERROR(INDEX(分录收入!$F:$F,MATCH($L4015,分录收入!$L:$L,0)),"")</f>
        <v/>
      </c>
      <c r="F4015" s="68" t="str">
        <f aca="false">IFERROR(INDEX(分录收入!$H:$H,MATCH($L4015,分录收入!$L:$L,0)),"")</f>
        <v/>
      </c>
      <c r="G4015" s="69" t="str">
        <f aca="false">IFERROR(INDEX(分录收入!$I:$I,MATCH($L4015,分录收入!$L:$L,0)),"")</f>
        <v/>
      </c>
      <c r="H4015" s="23"/>
      <c r="I4015" s="70"/>
      <c r="L4015" s="71" t="n">
        <f aca="false">IF(助手收入!$R$269="",-1,助手收入!$R$269*100+(助手收入!$S$269-1)*6+5)</f>
        <v>-1</v>
      </c>
    </row>
    <row r="4016" customFormat="false" ht="23.25" hidden="false" customHeight="true" outlineLevel="0" collapsed="false">
      <c r="B4016" s="67" t="str">
        <f aca="false">""</f>
        <v/>
      </c>
      <c r="C4016" s="67"/>
      <c r="D4016" s="23" t="str">
        <f aca="false">IFERROR(INDEX(分录收入!$E:$E,MATCH($L4016,分录收入!$L:$L,0)),"")</f>
        <v/>
      </c>
      <c r="E4016" s="23" t="str">
        <f aca="false">IFERROR(INDEX(分录收入!$F:$F,MATCH($L4016,分录收入!$L:$L,0)),"")</f>
        <v/>
      </c>
      <c r="F4016" s="68" t="str">
        <f aca="false">IFERROR(INDEX(分录收入!$H:$H,MATCH($L4016,分录收入!$L:$L,0)),"")</f>
        <v/>
      </c>
      <c r="G4016" s="69" t="str">
        <f aca="false">IFERROR(INDEX(分录收入!$I:$I,MATCH($L4016,分录收入!$L:$L,0)),"")</f>
        <v/>
      </c>
      <c r="H4016" s="23"/>
      <c r="I4016" s="70"/>
      <c r="L4016" s="71" t="n">
        <f aca="false">IF(助手收入!$R$269="",-1,助手收入!$R$269*100+(助手收入!$S$269-1)*6+6)</f>
        <v>-1</v>
      </c>
    </row>
    <row r="4017" customFormat="false" ht="23.25" hidden="false" customHeight="true" outlineLevel="0" collapsed="false">
      <c r="B4017" s="72" t="str">
        <f aca="false">IF(助手收入!$T$269=1,"合计：","")</f>
        <v/>
      </c>
      <c r="C4017" s="73" t="str">
        <f aca="false">IF(助手收入!$T$269=1,$F4017,"")</f>
        <v/>
      </c>
      <c r="D4017" s="74"/>
      <c r="E4017" s="74"/>
      <c r="F4017" s="75" t="str">
        <f aca="false">IF(助手收入!$T$269=1,INDEX(助手收入!$N$2:$N$66,助手收入!$R$269),"")</f>
        <v/>
      </c>
      <c r="G4017" s="76" t="str">
        <f aca="false">IF(助手收入!$T$269=1,INDEX(助手收入!$O$2:$O$66,助手收入!$R$269),"")</f>
        <v/>
      </c>
      <c r="H4017" s="74"/>
      <c r="I4017" s="77"/>
    </row>
    <row r="4018" customFormat="false" ht="6" hidden="false" customHeight="true" outlineLevel="0" collapsed="false"/>
    <row r="4019" customFormat="false" ht="13.5" hidden="false" customHeight="false" outlineLevel="0" collapsed="false">
      <c r="B4019" s="78" t="str">
        <f aca="false">IF(助手收入!$R$269&lt;&gt;"","会计主管：","")</f>
        <v/>
      </c>
      <c r="D4019" s="78" t="str">
        <f aca="false">IF(助手收入!$R$269&lt;&gt;"","会计：","")</f>
        <v/>
      </c>
      <c r="E4019" s="78" t="str">
        <f aca="false">IF(助手收入!$R$269&lt;&gt;"","出纳：","")</f>
        <v/>
      </c>
      <c r="F4019" s="78" t="str">
        <f aca="false">IF(助手收入!$R$269&lt;&gt;"","复核：","")</f>
        <v/>
      </c>
      <c r="G4019" s="78" t="str">
        <f aca="false">IF(助手收入!$R$269&lt;&gt;"","制单：","")</f>
        <v/>
      </c>
    </row>
    <row r="4020" customFormat="false" ht="3" hidden="false" customHeight="true" outlineLevel="0" collapsed="false"/>
    <row r="4021" customFormat="false" ht="19.5" hidden="false" customHeight="true" outlineLevel="0" collapsed="false">
      <c r="B4021" s="53" t="str">
        <f aca="false">IF(助手收入!$R$270&lt;&gt;"","记  账  凭  证","")</f>
        <v/>
      </c>
      <c r="C4021" s="53"/>
      <c r="D4021" s="53"/>
      <c r="E4021" s="53"/>
      <c r="F4021" s="53"/>
      <c r="G4021" s="53"/>
      <c r="H4021" s="53"/>
      <c r="I4021" s="53"/>
    </row>
    <row r="4022" customFormat="false" ht="3" hidden="false" customHeight="true" outlineLevel="0" collapsed="false"/>
    <row r="4023" customFormat="false" ht="15" hidden="false" customHeight="true" outlineLevel="0" collapsed="false">
      <c r="C4023" s="56" t="str">
        <f aca="false">IF(助手收入!$R$270&lt;&gt;"",INDEX(助手收入!$B$2:$B$66,助手收入!$R$270),"")</f>
        <v/>
      </c>
      <c r="D4023" s="57" t="str">
        <f aca="false">IF(助手收入!$R$270&lt;&gt;"",参数!$B$2,"")</f>
        <v/>
      </c>
      <c r="E4023" s="57"/>
      <c r="F4023" s="58" t="str">
        <f aca="false">IF(助手收入!$R$270&lt;&gt;"",INDEX(助手收入!$C$2:$C$66,助手收入!$R$270)&amp;"  字第 "&amp;IF(参数!$B$9="是",INDEX(助手收入!$P$2:$P$66,助手收入!$R$270),"　　　　")&amp;" 号"&amp;IF(INDEX(助手收入!$L$2:$L$66,助手收入!$R$270)&gt;1,"  (共"&amp;INDEX(助手收入!$L$2:$L$66,助手收入!$R$270)&amp;"页 第"&amp;助手收入!$S$270&amp;"页)",""),"")</f>
        <v/>
      </c>
      <c r="G4023" s="58"/>
      <c r="H4023" s="58"/>
      <c r="I4023" s="58"/>
      <c r="M4023" s="79" t="str">
        <f aca="false">IF(助手收入!$R$270="","",助手收入!$Q$270)</f>
        <v/>
      </c>
      <c r="N4023" s="80" t="str">
        <f aca="false">IF(助手收入!$R$270="","",INDEX(助手收入!$P$2:$P$66,助手收入!$R$270))</f>
        <v/>
      </c>
      <c r="O4023" s="55" t="str">
        <f aca="false">IF(助手收入!$R$270="","",INDEX(助手收入!$C$2:$C$66,助手收入!$R$270)&amp;"  字第 "&amp;INDEX(助手收入!$P$2:$P$66,助手收入!$R$270)&amp;" 号"&amp;IF(INDEX(助手收入!$L$2:$L$66,助手收入!$R$270)&gt;1,"  (共"&amp;INDEX(助手收入!$L$2:$L$66,助手收入!$R$270)&amp;"页 第"&amp;助手收入!$S$270&amp;"页)",""))</f>
        <v/>
      </c>
    </row>
    <row r="4024" customFormat="false" ht="12.75" hidden="false" customHeight="true" outlineLevel="0" collapsed="false">
      <c r="B4024" s="61" t="str">
        <f aca="false">IF(助手收入!$R$270&lt;&gt;"","摘　　要","")</f>
        <v/>
      </c>
      <c r="C4024" s="61"/>
      <c r="D4024" s="62" t="str">
        <f aca="false">IF(助手收入!$R$270&lt;&gt;"","科　　　　目","")</f>
        <v/>
      </c>
      <c r="E4024" s="62"/>
      <c r="F4024" s="61" t="str">
        <f aca="false">IF(助手收入!$R$270&lt;&gt;"","借 方 金 额","")</f>
        <v/>
      </c>
      <c r="G4024" s="62" t="str">
        <f aca="false">IF(助手收入!$R$270&lt;&gt;"","贷 方 金 额","")</f>
        <v/>
      </c>
      <c r="H4024" s="63" t="str">
        <f aca="false">IF(助手收入!$R$270&lt;&gt;"","√","")</f>
        <v/>
      </c>
      <c r="I4024" s="64" t="str">
        <f aca="false">IF(助手收入!$R$270&lt;&gt;"","附单据  张","")</f>
        <v/>
      </c>
    </row>
    <row r="4025" customFormat="false" ht="12.75" hidden="false" customHeight="true" outlineLevel="0" collapsed="false">
      <c r="B4025" s="61"/>
      <c r="C4025" s="61"/>
      <c r="D4025" s="23" t="str">
        <f aca="false">IF(助手收入!$R$270&lt;&gt;"","总 账 科 目","")</f>
        <v/>
      </c>
      <c r="E4025" s="23" t="str">
        <f aca="false">IF(助手收入!$R$270&lt;&gt;"","明 细 科 目","")</f>
        <v/>
      </c>
      <c r="F4025" s="65"/>
      <c r="G4025" s="66"/>
      <c r="H4025" s="63"/>
      <c r="I4025" s="64"/>
    </row>
    <row r="4026" customFormat="false" ht="23.25" hidden="false" customHeight="true" outlineLevel="0" collapsed="false">
      <c r="B4026" s="67" t="str">
        <f aca="false">IFERROR(INDEX(分录收入!$M:$M,MATCH($L4026,分录收入!$L:$L,0)),"")</f>
        <v/>
      </c>
      <c r="C4026" s="67"/>
      <c r="D4026" s="23" t="str">
        <f aca="false">IFERROR(INDEX(分录收入!$E:$E,MATCH($L4026,分录收入!$L:$L,0)),"")</f>
        <v/>
      </c>
      <c r="E4026" s="23" t="str">
        <f aca="false">IFERROR(INDEX(分录收入!$F:$F,MATCH($L4026,分录收入!$L:$L,0)),"")</f>
        <v/>
      </c>
      <c r="F4026" s="68" t="str">
        <f aca="false">IFERROR(INDEX(分录收入!$H:$H,MATCH($L4026,分录收入!$L:$L,0)),"")</f>
        <v/>
      </c>
      <c r="G4026" s="69" t="str">
        <f aca="false">IFERROR(INDEX(分录收入!$I:$I,MATCH($L4026,分录收入!$L:$L,0)),"")</f>
        <v/>
      </c>
      <c r="H4026" s="23"/>
      <c r="I4026" s="70"/>
      <c r="L4026" s="71" t="n">
        <f aca="false">IF(助手收入!$R$270="",-1,助手收入!$R$270*100+(助手收入!$S$270-1)*6+1)</f>
        <v>-1</v>
      </c>
    </row>
    <row r="4027" customFormat="false" ht="23.25" hidden="false" customHeight="true" outlineLevel="0" collapsed="false">
      <c r="B4027" s="67" t="str">
        <f aca="false">""</f>
        <v/>
      </c>
      <c r="C4027" s="67"/>
      <c r="D4027" s="23" t="str">
        <f aca="false">IFERROR(INDEX(分录收入!$E:$E,MATCH($L4027,分录收入!$L:$L,0)),"")</f>
        <v/>
      </c>
      <c r="E4027" s="23" t="str">
        <f aca="false">IFERROR(INDEX(分录收入!$F:$F,MATCH($L4027,分录收入!$L:$L,0)),"")</f>
        <v/>
      </c>
      <c r="F4027" s="68" t="str">
        <f aca="false">IFERROR(INDEX(分录收入!$H:$H,MATCH($L4027,分录收入!$L:$L,0)),"")</f>
        <v/>
      </c>
      <c r="G4027" s="69" t="str">
        <f aca="false">IFERROR(INDEX(分录收入!$I:$I,MATCH($L4027,分录收入!$L:$L,0)),"")</f>
        <v/>
      </c>
      <c r="H4027" s="23"/>
      <c r="I4027" s="70"/>
      <c r="L4027" s="71" t="n">
        <f aca="false">IF(助手收入!$R$270="",-1,助手收入!$R$270*100+(助手收入!$S$270-1)*6+2)</f>
        <v>-1</v>
      </c>
    </row>
    <row r="4028" customFormat="false" ht="23.25" hidden="false" customHeight="true" outlineLevel="0" collapsed="false">
      <c r="B4028" s="67" t="str">
        <f aca="false">""</f>
        <v/>
      </c>
      <c r="C4028" s="67"/>
      <c r="D4028" s="23" t="str">
        <f aca="false">IFERROR(INDEX(分录收入!$E:$E,MATCH($L4028,分录收入!$L:$L,0)),"")</f>
        <v/>
      </c>
      <c r="E4028" s="23" t="str">
        <f aca="false">IFERROR(INDEX(分录收入!$F:$F,MATCH($L4028,分录收入!$L:$L,0)),"")</f>
        <v/>
      </c>
      <c r="F4028" s="68" t="str">
        <f aca="false">IFERROR(INDEX(分录收入!$H:$H,MATCH($L4028,分录收入!$L:$L,0)),"")</f>
        <v/>
      </c>
      <c r="G4028" s="69" t="str">
        <f aca="false">IFERROR(INDEX(分录收入!$I:$I,MATCH($L4028,分录收入!$L:$L,0)),"")</f>
        <v/>
      </c>
      <c r="H4028" s="23"/>
      <c r="I4028" s="70"/>
      <c r="L4028" s="71" t="n">
        <f aca="false">IF(助手收入!$R$270="",-1,助手收入!$R$270*100+(助手收入!$S$270-1)*6+3)</f>
        <v>-1</v>
      </c>
    </row>
    <row r="4029" customFormat="false" ht="23.25" hidden="false" customHeight="true" outlineLevel="0" collapsed="false">
      <c r="B4029" s="67" t="str">
        <f aca="false">""</f>
        <v/>
      </c>
      <c r="C4029" s="67"/>
      <c r="D4029" s="23" t="str">
        <f aca="false">IFERROR(INDEX(分录收入!$E:$E,MATCH($L4029,分录收入!$L:$L,0)),"")</f>
        <v/>
      </c>
      <c r="E4029" s="23" t="str">
        <f aca="false">IFERROR(INDEX(分录收入!$F:$F,MATCH($L4029,分录收入!$L:$L,0)),"")</f>
        <v/>
      </c>
      <c r="F4029" s="68" t="str">
        <f aca="false">IFERROR(INDEX(分录收入!$H:$H,MATCH($L4029,分录收入!$L:$L,0)),"")</f>
        <v/>
      </c>
      <c r="G4029" s="69" t="str">
        <f aca="false">IFERROR(INDEX(分录收入!$I:$I,MATCH($L4029,分录收入!$L:$L,0)),"")</f>
        <v/>
      </c>
      <c r="H4029" s="23"/>
      <c r="I4029" s="70"/>
      <c r="L4029" s="71" t="n">
        <f aca="false">IF(助手收入!$R$270="",-1,助手收入!$R$270*100+(助手收入!$S$270-1)*6+4)</f>
        <v>-1</v>
      </c>
    </row>
    <row r="4030" customFormat="false" ht="23.25" hidden="false" customHeight="true" outlineLevel="0" collapsed="false">
      <c r="B4030" s="67" t="str">
        <f aca="false">""</f>
        <v/>
      </c>
      <c r="C4030" s="67"/>
      <c r="D4030" s="23" t="str">
        <f aca="false">IFERROR(INDEX(分录收入!$E:$E,MATCH($L4030,分录收入!$L:$L,0)),"")</f>
        <v/>
      </c>
      <c r="E4030" s="23" t="str">
        <f aca="false">IFERROR(INDEX(分录收入!$F:$F,MATCH($L4030,分录收入!$L:$L,0)),"")</f>
        <v/>
      </c>
      <c r="F4030" s="68" t="str">
        <f aca="false">IFERROR(INDEX(分录收入!$H:$H,MATCH($L4030,分录收入!$L:$L,0)),"")</f>
        <v/>
      </c>
      <c r="G4030" s="69" t="str">
        <f aca="false">IFERROR(INDEX(分录收入!$I:$I,MATCH($L4030,分录收入!$L:$L,0)),"")</f>
        <v/>
      </c>
      <c r="H4030" s="23"/>
      <c r="I4030" s="70"/>
      <c r="L4030" s="71" t="n">
        <f aca="false">IF(助手收入!$R$270="",-1,助手收入!$R$270*100+(助手收入!$S$270-1)*6+5)</f>
        <v>-1</v>
      </c>
    </row>
    <row r="4031" customFormat="false" ht="23.25" hidden="false" customHeight="true" outlineLevel="0" collapsed="false">
      <c r="B4031" s="67" t="str">
        <f aca="false">""</f>
        <v/>
      </c>
      <c r="C4031" s="67"/>
      <c r="D4031" s="23" t="str">
        <f aca="false">IFERROR(INDEX(分录收入!$E:$E,MATCH($L4031,分录收入!$L:$L,0)),"")</f>
        <v/>
      </c>
      <c r="E4031" s="23" t="str">
        <f aca="false">IFERROR(INDEX(分录收入!$F:$F,MATCH($L4031,分录收入!$L:$L,0)),"")</f>
        <v/>
      </c>
      <c r="F4031" s="68" t="str">
        <f aca="false">IFERROR(INDEX(分录收入!$H:$H,MATCH($L4031,分录收入!$L:$L,0)),"")</f>
        <v/>
      </c>
      <c r="G4031" s="69" t="str">
        <f aca="false">IFERROR(INDEX(分录收入!$I:$I,MATCH($L4031,分录收入!$L:$L,0)),"")</f>
        <v/>
      </c>
      <c r="H4031" s="23"/>
      <c r="I4031" s="70"/>
      <c r="L4031" s="71" t="n">
        <f aca="false">IF(助手收入!$R$270="",-1,助手收入!$R$270*100+(助手收入!$S$270-1)*6+6)</f>
        <v>-1</v>
      </c>
    </row>
    <row r="4032" customFormat="false" ht="23.25" hidden="false" customHeight="true" outlineLevel="0" collapsed="false">
      <c r="B4032" s="72" t="str">
        <f aca="false">IF(助手收入!$T$270=1,"合计：","")</f>
        <v/>
      </c>
      <c r="C4032" s="73" t="str">
        <f aca="false">IF(助手收入!$T$270=1,$F4032,"")</f>
        <v/>
      </c>
      <c r="D4032" s="74"/>
      <c r="E4032" s="74"/>
      <c r="F4032" s="75" t="str">
        <f aca="false">IF(助手收入!$T$270=1,INDEX(助手收入!$N$2:$N$66,助手收入!$R$270),"")</f>
        <v/>
      </c>
      <c r="G4032" s="76" t="str">
        <f aca="false">IF(助手收入!$T$270=1,INDEX(助手收入!$O$2:$O$66,助手收入!$R$270),"")</f>
        <v/>
      </c>
      <c r="H4032" s="74"/>
      <c r="I4032" s="77"/>
    </row>
    <row r="4033" customFormat="false" ht="6" hidden="false" customHeight="true" outlineLevel="0" collapsed="false"/>
    <row r="4034" customFormat="false" ht="13.5" hidden="false" customHeight="false" outlineLevel="0" collapsed="false">
      <c r="B4034" s="78" t="str">
        <f aca="false">IF(助手收入!$R$270&lt;&gt;"","会计主管：","")</f>
        <v/>
      </c>
      <c r="D4034" s="78" t="str">
        <f aca="false">IF(助手收入!$R$270&lt;&gt;"","会计：","")</f>
        <v/>
      </c>
      <c r="E4034" s="78" t="str">
        <f aca="false">IF(助手收入!$R$270&lt;&gt;"","出纳：","")</f>
        <v/>
      </c>
      <c r="F4034" s="78" t="str">
        <f aca="false">IF(助手收入!$R$270&lt;&gt;"","复核：","")</f>
        <v/>
      </c>
      <c r="G4034" s="78" t="str">
        <f aca="false">IF(助手收入!$R$270&lt;&gt;"","制单：","")</f>
        <v/>
      </c>
    </row>
    <row r="4035" customFormat="false" ht="3" hidden="false" customHeight="true" outlineLevel="0" collapsed="false"/>
    <row r="4036" customFormat="false" ht="19.5" hidden="false" customHeight="true" outlineLevel="0" collapsed="false">
      <c r="B4036" s="53" t="str">
        <f aca="false">IF(助手收入!$R$271&lt;&gt;"","记  账  凭  证","")</f>
        <v/>
      </c>
      <c r="C4036" s="53"/>
      <c r="D4036" s="53"/>
      <c r="E4036" s="53"/>
      <c r="F4036" s="53"/>
      <c r="G4036" s="53"/>
      <c r="H4036" s="53"/>
      <c r="I4036" s="53"/>
    </row>
    <row r="4037" customFormat="false" ht="3" hidden="false" customHeight="true" outlineLevel="0" collapsed="false"/>
    <row r="4038" customFormat="false" ht="15" hidden="false" customHeight="true" outlineLevel="0" collapsed="false">
      <c r="C4038" s="56" t="str">
        <f aca="false">IF(助手收入!$R$271&lt;&gt;"",INDEX(助手收入!$B$2:$B$66,助手收入!$R$271),"")</f>
        <v/>
      </c>
      <c r="D4038" s="57" t="str">
        <f aca="false">IF(助手收入!$R$271&lt;&gt;"",参数!$B$2,"")</f>
        <v/>
      </c>
      <c r="E4038" s="57"/>
      <c r="F4038" s="58" t="str">
        <f aca="false">IF(助手收入!$R$271&lt;&gt;"",INDEX(助手收入!$C$2:$C$66,助手收入!$R$271)&amp;"  字第 "&amp;IF(参数!$B$9="是",INDEX(助手收入!$P$2:$P$66,助手收入!$R$271),"　　　　")&amp;" 号"&amp;IF(INDEX(助手收入!$L$2:$L$66,助手收入!$R$271)&gt;1,"  (共"&amp;INDEX(助手收入!$L$2:$L$66,助手收入!$R$271)&amp;"页 第"&amp;助手收入!$S$271&amp;"页)",""),"")</f>
        <v/>
      </c>
      <c r="G4038" s="58"/>
      <c r="H4038" s="58"/>
      <c r="I4038" s="58"/>
      <c r="M4038" s="79" t="str">
        <f aca="false">IF(助手收入!$R$271="","",助手收入!$Q$271)</f>
        <v/>
      </c>
      <c r="N4038" s="80" t="str">
        <f aca="false">IF(助手收入!$R$271="","",INDEX(助手收入!$P$2:$P$66,助手收入!$R$271))</f>
        <v/>
      </c>
      <c r="O4038" s="55" t="str">
        <f aca="false">IF(助手收入!$R$271="","",INDEX(助手收入!$C$2:$C$66,助手收入!$R$271)&amp;"  字第 "&amp;INDEX(助手收入!$P$2:$P$66,助手收入!$R$271)&amp;" 号"&amp;IF(INDEX(助手收入!$L$2:$L$66,助手收入!$R$271)&gt;1,"  (共"&amp;INDEX(助手收入!$L$2:$L$66,助手收入!$R$271)&amp;"页 第"&amp;助手收入!$S$271&amp;"页)",""))</f>
        <v/>
      </c>
    </row>
    <row r="4039" customFormat="false" ht="12.75" hidden="false" customHeight="true" outlineLevel="0" collapsed="false">
      <c r="B4039" s="61" t="str">
        <f aca="false">IF(助手收入!$R$271&lt;&gt;"","摘　　要","")</f>
        <v/>
      </c>
      <c r="C4039" s="61"/>
      <c r="D4039" s="62" t="str">
        <f aca="false">IF(助手收入!$R$271&lt;&gt;"","科　　　　目","")</f>
        <v/>
      </c>
      <c r="E4039" s="62"/>
      <c r="F4039" s="61" t="str">
        <f aca="false">IF(助手收入!$R$271&lt;&gt;"","借 方 金 额","")</f>
        <v/>
      </c>
      <c r="G4039" s="62" t="str">
        <f aca="false">IF(助手收入!$R$271&lt;&gt;"","贷 方 金 额","")</f>
        <v/>
      </c>
      <c r="H4039" s="63" t="str">
        <f aca="false">IF(助手收入!$R$271&lt;&gt;"","√","")</f>
        <v/>
      </c>
      <c r="I4039" s="64" t="str">
        <f aca="false">IF(助手收入!$R$271&lt;&gt;"","附单据  张","")</f>
        <v/>
      </c>
    </row>
    <row r="4040" customFormat="false" ht="12.75" hidden="false" customHeight="true" outlineLevel="0" collapsed="false">
      <c r="B4040" s="61"/>
      <c r="C4040" s="61"/>
      <c r="D4040" s="23" t="str">
        <f aca="false">IF(助手收入!$R$271&lt;&gt;"","总 账 科 目","")</f>
        <v/>
      </c>
      <c r="E4040" s="23" t="str">
        <f aca="false">IF(助手收入!$R$271&lt;&gt;"","明 细 科 目","")</f>
        <v/>
      </c>
      <c r="F4040" s="65"/>
      <c r="G4040" s="66"/>
      <c r="H4040" s="63"/>
      <c r="I4040" s="64"/>
    </row>
    <row r="4041" customFormat="false" ht="23.25" hidden="false" customHeight="true" outlineLevel="0" collapsed="false">
      <c r="B4041" s="67" t="str">
        <f aca="false">IFERROR(INDEX(分录收入!$M:$M,MATCH($L4041,分录收入!$L:$L,0)),"")</f>
        <v/>
      </c>
      <c r="C4041" s="67"/>
      <c r="D4041" s="23" t="str">
        <f aca="false">IFERROR(INDEX(分录收入!$E:$E,MATCH($L4041,分录收入!$L:$L,0)),"")</f>
        <v/>
      </c>
      <c r="E4041" s="23" t="str">
        <f aca="false">IFERROR(INDEX(分录收入!$F:$F,MATCH($L4041,分录收入!$L:$L,0)),"")</f>
        <v/>
      </c>
      <c r="F4041" s="68" t="str">
        <f aca="false">IFERROR(INDEX(分录收入!$H:$H,MATCH($L4041,分录收入!$L:$L,0)),"")</f>
        <v/>
      </c>
      <c r="G4041" s="69" t="str">
        <f aca="false">IFERROR(INDEX(分录收入!$I:$I,MATCH($L4041,分录收入!$L:$L,0)),"")</f>
        <v/>
      </c>
      <c r="H4041" s="23"/>
      <c r="I4041" s="70"/>
      <c r="L4041" s="71" t="n">
        <f aca="false">IF(助手收入!$R$271="",-1,助手收入!$R$271*100+(助手收入!$S$271-1)*6+1)</f>
        <v>-1</v>
      </c>
    </row>
    <row r="4042" customFormat="false" ht="23.25" hidden="false" customHeight="true" outlineLevel="0" collapsed="false">
      <c r="B4042" s="67" t="str">
        <f aca="false">""</f>
        <v/>
      </c>
      <c r="C4042" s="67"/>
      <c r="D4042" s="23" t="str">
        <f aca="false">IFERROR(INDEX(分录收入!$E:$E,MATCH($L4042,分录收入!$L:$L,0)),"")</f>
        <v/>
      </c>
      <c r="E4042" s="23" t="str">
        <f aca="false">IFERROR(INDEX(分录收入!$F:$F,MATCH($L4042,分录收入!$L:$L,0)),"")</f>
        <v/>
      </c>
      <c r="F4042" s="68" t="str">
        <f aca="false">IFERROR(INDEX(分录收入!$H:$H,MATCH($L4042,分录收入!$L:$L,0)),"")</f>
        <v/>
      </c>
      <c r="G4042" s="69" t="str">
        <f aca="false">IFERROR(INDEX(分录收入!$I:$I,MATCH($L4042,分录收入!$L:$L,0)),"")</f>
        <v/>
      </c>
      <c r="H4042" s="23"/>
      <c r="I4042" s="70"/>
      <c r="L4042" s="71" t="n">
        <f aca="false">IF(助手收入!$R$271="",-1,助手收入!$R$271*100+(助手收入!$S$271-1)*6+2)</f>
        <v>-1</v>
      </c>
    </row>
    <row r="4043" customFormat="false" ht="23.25" hidden="false" customHeight="true" outlineLevel="0" collapsed="false">
      <c r="B4043" s="67" t="str">
        <f aca="false">""</f>
        <v/>
      </c>
      <c r="C4043" s="67"/>
      <c r="D4043" s="23" t="str">
        <f aca="false">IFERROR(INDEX(分录收入!$E:$E,MATCH($L4043,分录收入!$L:$L,0)),"")</f>
        <v/>
      </c>
      <c r="E4043" s="23" t="str">
        <f aca="false">IFERROR(INDEX(分录收入!$F:$F,MATCH($L4043,分录收入!$L:$L,0)),"")</f>
        <v/>
      </c>
      <c r="F4043" s="68" t="str">
        <f aca="false">IFERROR(INDEX(分录收入!$H:$H,MATCH($L4043,分录收入!$L:$L,0)),"")</f>
        <v/>
      </c>
      <c r="G4043" s="69" t="str">
        <f aca="false">IFERROR(INDEX(分录收入!$I:$I,MATCH($L4043,分录收入!$L:$L,0)),"")</f>
        <v/>
      </c>
      <c r="H4043" s="23"/>
      <c r="I4043" s="70"/>
      <c r="L4043" s="71" t="n">
        <f aca="false">IF(助手收入!$R$271="",-1,助手收入!$R$271*100+(助手收入!$S$271-1)*6+3)</f>
        <v>-1</v>
      </c>
    </row>
    <row r="4044" customFormat="false" ht="23.25" hidden="false" customHeight="true" outlineLevel="0" collapsed="false">
      <c r="B4044" s="67" t="str">
        <f aca="false">""</f>
        <v/>
      </c>
      <c r="C4044" s="67"/>
      <c r="D4044" s="23" t="str">
        <f aca="false">IFERROR(INDEX(分录收入!$E:$E,MATCH($L4044,分录收入!$L:$L,0)),"")</f>
        <v/>
      </c>
      <c r="E4044" s="23" t="str">
        <f aca="false">IFERROR(INDEX(分录收入!$F:$F,MATCH($L4044,分录收入!$L:$L,0)),"")</f>
        <v/>
      </c>
      <c r="F4044" s="68" t="str">
        <f aca="false">IFERROR(INDEX(分录收入!$H:$H,MATCH($L4044,分录收入!$L:$L,0)),"")</f>
        <v/>
      </c>
      <c r="G4044" s="69" t="str">
        <f aca="false">IFERROR(INDEX(分录收入!$I:$I,MATCH($L4044,分录收入!$L:$L,0)),"")</f>
        <v/>
      </c>
      <c r="H4044" s="23"/>
      <c r="I4044" s="70"/>
      <c r="L4044" s="71" t="n">
        <f aca="false">IF(助手收入!$R$271="",-1,助手收入!$R$271*100+(助手收入!$S$271-1)*6+4)</f>
        <v>-1</v>
      </c>
    </row>
    <row r="4045" customFormat="false" ht="23.25" hidden="false" customHeight="true" outlineLevel="0" collapsed="false">
      <c r="B4045" s="67" t="str">
        <f aca="false">""</f>
        <v/>
      </c>
      <c r="C4045" s="67"/>
      <c r="D4045" s="23" t="str">
        <f aca="false">IFERROR(INDEX(分录收入!$E:$E,MATCH($L4045,分录收入!$L:$L,0)),"")</f>
        <v/>
      </c>
      <c r="E4045" s="23" t="str">
        <f aca="false">IFERROR(INDEX(分录收入!$F:$F,MATCH($L4045,分录收入!$L:$L,0)),"")</f>
        <v/>
      </c>
      <c r="F4045" s="68" t="str">
        <f aca="false">IFERROR(INDEX(分录收入!$H:$H,MATCH($L4045,分录收入!$L:$L,0)),"")</f>
        <v/>
      </c>
      <c r="G4045" s="69" t="str">
        <f aca="false">IFERROR(INDEX(分录收入!$I:$I,MATCH($L4045,分录收入!$L:$L,0)),"")</f>
        <v/>
      </c>
      <c r="H4045" s="23"/>
      <c r="I4045" s="70"/>
      <c r="L4045" s="71" t="n">
        <f aca="false">IF(助手收入!$R$271="",-1,助手收入!$R$271*100+(助手收入!$S$271-1)*6+5)</f>
        <v>-1</v>
      </c>
    </row>
    <row r="4046" customFormat="false" ht="23.25" hidden="false" customHeight="true" outlineLevel="0" collapsed="false">
      <c r="B4046" s="67" t="str">
        <f aca="false">""</f>
        <v/>
      </c>
      <c r="C4046" s="67"/>
      <c r="D4046" s="23" t="str">
        <f aca="false">IFERROR(INDEX(分录收入!$E:$E,MATCH($L4046,分录收入!$L:$L,0)),"")</f>
        <v/>
      </c>
      <c r="E4046" s="23" t="str">
        <f aca="false">IFERROR(INDEX(分录收入!$F:$F,MATCH($L4046,分录收入!$L:$L,0)),"")</f>
        <v/>
      </c>
      <c r="F4046" s="68" t="str">
        <f aca="false">IFERROR(INDEX(分录收入!$H:$H,MATCH($L4046,分录收入!$L:$L,0)),"")</f>
        <v/>
      </c>
      <c r="G4046" s="69" t="str">
        <f aca="false">IFERROR(INDEX(分录收入!$I:$I,MATCH($L4046,分录收入!$L:$L,0)),"")</f>
        <v/>
      </c>
      <c r="H4046" s="23"/>
      <c r="I4046" s="70"/>
      <c r="L4046" s="71" t="n">
        <f aca="false">IF(助手收入!$R$271="",-1,助手收入!$R$271*100+(助手收入!$S$271-1)*6+6)</f>
        <v>-1</v>
      </c>
    </row>
    <row r="4047" customFormat="false" ht="23.25" hidden="false" customHeight="true" outlineLevel="0" collapsed="false">
      <c r="B4047" s="72" t="str">
        <f aca="false">IF(助手收入!$T$271=1,"合计：","")</f>
        <v/>
      </c>
      <c r="C4047" s="73" t="str">
        <f aca="false">IF(助手收入!$T$271=1,$F4047,"")</f>
        <v/>
      </c>
      <c r="D4047" s="74"/>
      <c r="E4047" s="74"/>
      <c r="F4047" s="75" t="str">
        <f aca="false">IF(助手收入!$T$271=1,INDEX(助手收入!$N$2:$N$66,助手收入!$R$271),"")</f>
        <v/>
      </c>
      <c r="G4047" s="76" t="str">
        <f aca="false">IF(助手收入!$T$271=1,INDEX(助手收入!$O$2:$O$66,助手收入!$R$271),"")</f>
        <v/>
      </c>
      <c r="H4047" s="74"/>
      <c r="I4047" s="77"/>
    </row>
    <row r="4048" customFormat="false" ht="6" hidden="false" customHeight="true" outlineLevel="0" collapsed="false"/>
    <row r="4049" customFormat="false" ht="13.5" hidden="false" customHeight="false" outlineLevel="0" collapsed="false">
      <c r="B4049" s="78" t="str">
        <f aca="false">IF(助手收入!$R$271&lt;&gt;"","会计主管：","")</f>
        <v/>
      </c>
      <c r="D4049" s="78" t="str">
        <f aca="false">IF(助手收入!$R$271&lt;&gt;"","会计：","")</f>
        <v/>
      </c>
      <c r="E4049" s="78" t="str">
        <f aca="false">IF(助手收入!$R$271&lt;&gt;"","出纳：","")</f>
        <v/>
      </c>
      <c r="F4049" s="78" t="str">
        <f aca="false">IF(助手收入!$R$271&lt;&gt;"","复核：","")</f>
        <v/>
      </c>
      <c r="G4049" s="78" t="str">
        <f aca="false">IF(助手收入!$R$271&lt;&gt;"","制单：","")</f>
        <v/>
      </c>
    </row>
    <row r="4050" customFormat="false" ht="3" hidden="false" customHeight="true" outlineLevel="0" collapsed="false"/>
    <row r="4051" customFormat="false" ht="19.5" hidden="false" customHeight="true" outlineLevel="0" collapsed="false">
      <c r="B4051" s="53" t="str">
        <f aca="false">IF(助手收入!$R$272&lt;&gt;"","记  账  凭  证","")</f>
        <v/>
      </c>
      <c r="C4051" s="53"/>
      <c r="D4051" s="53"/>
      <c r="E4051" s="53"/>
      <c r="F4051" s="53"/>
      <c r="G4051" s="53"/>
      <c r="H4051" s="53"/>
      <c r="I4051" s="53"/>
    </row>
    <row r="4052" customFormat="false" ht="3" hidden="false" customHeight="true" outlineLevel="0" collapsed="false"/>
    <row r="4053" customFormat="false" ht="15" hidden="false" customHeight="true" outlineLevel="0" collapsed="false">
      <c r="C4053" s="56" t="str">
        <f aca="false">IF(助手收入!$R$272&lt;&gt;"",INDEX(助手收入!$B$2:$B$66,助手收入!$R$272),"")</f>
        <v/>
      </c>
      <c r="D4053" s="57" t="str">
        <f aca="false">IF(助手收入!$R$272&lt;&gt;"",参数!$B$2,"")</f>
        <v/>
      </c>
      <c r="E4053" s="57"/>
      <c r="F4053" s="58" t="str">
        <f aca="false">IF(助手收入!$R$272&lt;&gt;"",INDEX(助手收入!$C$2:$C$66,助手收入!$R$272)&amp;"  字第 "&amp;IF(参数!$B$9="是",INDEX(助手收入!$P$2:$P$66,助手收入!$R$272),"　　　　")&amp;" 号"&amp;IF(INDEX(助手收入!$L$2:$L$66,助手收入!$R$272)&gt;1,"  (共"&amp;INDEX(助手收入!$L$2:$L$66,助手收入!$R$272)&amp;"页 第"&amp;助手收入!$S$272&amp;"页)",""),"")</f>
        <v/>
      </c>
      <c r="G4053" s="58"/>
      <c r="H4053" s="58"/>
      <c r="I4053" s="58"/>
      <c r="M4053" s="79" t="str">
        <f aca="false">IF(助手收入!$R$272="","",助手收入!$Q$272)</f>
        <v/>
      </c>
      <c r="N4053" s="80" t="str">
        <f aca="false">IF(助手收入!$R$272="","",INDEX(助手收入!$P$2:$P$66,助手收入!$R$272))</f>
        <v/>
      </c>
      <c r="O4053" s="55" t="str">
        <f aca="false">IF(助手收入!$R$272="","",INDEX(助手收入!$C$2:$C$66,助手收入!$R$272)&amp;"  字第 "&amp;INDEX(助手收入!$P$2:$P$66,助手收入!$R$272)&amp;" 号"&amp;IF(INDEX(助手收入!$L$2:$L$66,助手收入!$R$272)&gt;1,"  (共"&amp;INDEX(助手收入!$L$2:$L$66,助手收入!$R$272)&amp;"页 第"&amp;助手收入!$S$272&amp;"页)",""))</f>
        <v/>
      </c>
    </row>
    <row r="4054" customFormat="false" ht="12.75" hidden="false" customHeight="true" outlineLevel="0" collapsed="false">
      <c r="B4054" s="61" t="str">
        <f aca="false">IF(助手收入!$R$272&lt;&gt;"","摘　　要","")</f>
        <v/>
      </c>
      <c r="C4054" s="61"/>
      <c r="D4054" s="62" t="str">
        <f aca="false">IF(助手收入!$R$272&lt;&gt;"","科　　　　目","")</f>
        <v/>
      </c>
      <c r="E4054" s="62"/>
      <c r="F4054" s="61" t="str">
        <f aca="false">IF(助手收入!$R$272&lt;&gt;"","借 方 金 额","")</f>
        <v/>
      </c>
      <c r="G4054" s="62" t="str">
        <f aca="false">IF(助手收入!$R$272&lt;&gt;"","贷 方 金 额","")</f>
        <v/>
      </c>
      <c r="H4054" s="63" t="str">
        <f aca="false">IF(助手收入!$R$272&lt;&gt;"","√","")</f>
        <v/>
      </c>
      <c r="I4054" s="64" t="str">
        <f aca="false">IF(助手收入!$R$272&lt;&gt;"","附单据  张","")</f>
        <v/>
      </c>
    </row>
    <row r="4055" customFormat="false" ht="12.75" hidden="false" customHeight="true" outlineLevel="0" collapsed="false">
      <c r="B4055" s="61"/>
      <c r="C4055" s="61"/>
      <c r="D4055" s="23" t="str">
        <f aca="false">IF(助手收入!$R$272&lt;&gt;"","总 账 科 目","")</f>
        <v/>
      </c>
      <c r="E4055" s="23" t="str">
        <f aca="false">IF(助手收入!$R$272&lt;&gt;"","明 细 科 目","")</f>
        <v/>
      </c>
      <c r="F4055" s="65"/>
      <c r="G4055" s="66"/>
      <c r="H4055" s="63"/>
      <c r="I4055" s="64"/>
    </row>
    <row r="4056" customFormat="false" ht="23.25" hidden="false" customHeight="true" outlineLevel="0" collapsed="false">
      <c r="B4056" s="67" t="str">
        <f aca="false">IFERROR(INDEX(分录收入!$M:$M,MATCH($L4056,分录收入!$L:$L,0)),"")</f>
        <v/>
      </c>
      <c r="C4056" s="67"/>
      <c r="D4056" s="23" t="str">
        <f aca="false">IFERROR(INDEX(分录收入!$E:$E,MATCH($L4056,分录收入!$L:$L,0)),"")</f>
        <v/>
      </c>
      <c r="E4056" s="23" t="str">
        <f aca="false">IFERROR(INDEX(分录收入!$F:$F,MATCH($L4056,分录收入!$L:$L,0)),"")</f>
        <v/>
      </c>
      <c r="F4056" s="68" t="str">
        <f aca="false">IFERROR(INDEX(分录收入!$H:$H,MATCH($L4056,分录收入!$L:$L,0)),"")</f>
        <v/>
      </c>
      <c r="G4056" s="69" t="str">
        <f aca="false">IFERROR(INDEX(分录收入!$I:$I,MATCH($L4056,分录收入!$L:$L,0)),"")</f>
        <v/>
      </c>
      <c r="H4056" s="23"/>
      <c r="I4056" s="70"/>
      <c r="L4056" s="71" t="n">
        <f aca="false">IF(助手收入!$R$272="",-1,助手收入!$R$272*100+(助手收入!$S$272-1)*6+1)</f>
        <v>-1</v>
      </c>
    </row>
    <row r="4057" customFormat="false" ht="23.25" hidden="false" customHeight="true" outlineLevel="0" collapsed="false">
      <c r="B4057" s="67" t="str">
        <f aca="false">""</f>
        <v/>
      </c>
      <c r="C4057" s="67"/>
      <c r="D4057" s="23" t="str">
        <f aca="false">IFERROR(INDEX(分录收入!$E:$E,MATCH($L4057,分录收入!$L:$L,0)),"")</f>
        <v/>
      </c>
      <c r="E4057" s="23" t="str">
        <f aca="false">IFERROR(INDEX(分录收入!$F:$F,MATCH($L4057,分录收入!$L:$L,0)),"")</f>
        <v/>
      </c>
      <c r="F4057" s="68" t="str">
        <f aca="false">IFERROR(INDEX(分录收入!$H:$H,MATCH($L4057,分录收入!$L:$L,0)),"")</f>
        <v/>
      </c>
      <c r="G4057" s="69" t="str">
        <f aca="false">IFERROR(INDEX(分录收入!$I:$I,MATCH($L4057,分录收入!$L:$L,0)),"")</f>
        <v/>
      </c>
      <c r="H4057" s="23"/>
      <c r="I4057" s="70"/>
      <c r="L4057" s="71" t="n">
        <f aca="false">IF(助手收入!$R$272="",-1,助手收入!$R$272*100+(助手收入!$S$272-1)*6+2)</f>
        <v>-1</v>
      </c>
    </row>
    <row r="4058" customFormat="false" ht="23.25" hidden="false" customHeight="true" outlineLevel="0" collapsed="false">
      <c r="B4058" s="67" t="str">
        <f aca="false">""</f>
        <v/>
      </c>
      <c r="C4058" s="67"/>
      <c r="D4058" s="23" t="str">
        <f aca="false">IFERROR(INDEX(分录收入!$E:$E,MATCH($L4058,分录收入!$L:$L,0)),"")</f>
        <v/>
      </c>
      <c r="E4058" s="23" t="str">
        <f aca="false">IFERROR(INDEX(分录收入!$F:$F,MATCH($L4058,分录收入!$L:$L,0)),"")</f>
        <v/>
      </c>
      <c r="F4058" s="68" t="str">
        <f aca="false">IFERROR(INDEX(分录收入!$H:$H,MATCH($L4058,分录收入!$L:$L,0)),"")</f>
        <v/>
      </c>
      <c r="G4058" s="69" t="str">
        <f aca="false">IFERROR(INDEX(分录收入!$I:$I,MATCH($L4058,分录收入!$L:$L,0)),"")</f>
        <v/>
      </c>
      <c r="H4058" s="23"/>
      <c r="I4058" s="70"/>
      <c r="L4058" s="71" t="n">
        <f aca="false">IF(助手收入!$R$272="",-1,助手收入!$R$272*100+(助手收入!$S$272-1)*6+3)</f>
        <v>-1</v>
      </c>
    </row>
    <row r="4059" customFormat="false" ht="23.25" hidden="false" customHeight="true" outlineLevel="0" collapsed="false">
      <c r="B4059" s="67" t="str">
        <f aca="false">""</f>
        <v/>
      </c>
      <c r="C4059" s="67"/>
      <c r="D4059" s="23" t="str">
        <f aca="false">IFERROR(INDEX(分录收入!$E:$E,MATCH($L4059,分录收入!$L:$L,0)),"")</f>
        <v/>
      </c>
      <c r="E4059" s="23" t="str">
        <f aca="false">IFERROR(INDEX(分录收入!$F:$F,MATCH($L4059,分录收入!$L:$L,0)),"")</f>
        <v/>
      </c>
      <c r="F4059" s="68" t="str">
        <f aca="false">IFERROR(INDEX(分录收入!$H:$H,MATCH($L4059,分录收入!$L:$L,0)),"")</f>
        <v/>
      </c>
      <c r="G4059" s="69" t="str">
        <f aca="false">IFERROR(INDEX(分录收入!$I:$I,MATCH($L4059,分录收入!$L:$L,0)),"")</f>
        <v/>
      </c>
      <c r="H4059" s="23"/>
      <c r="I4059" s="70"/>
      <c r="L4059" s="71" t="n">
        <f aca="false">IF(助手收入!$R$272="",-1,助手收入!$R$272*100+(助手收入!$S$272-1)*6+4)</f>
        <v>-1</v>
      </c>
    </row>
    <row r="4060" customFormat="false" ht="23.25" hidden="false" customHeight="true" outlineLevel="0" collapsed="false">
      <c r="B4060" s="67" t="str">
        <f aca="false">""</f>
        <v/>
      </c>
      <c r="C4060" s="67"/>
      <c r="D4060" s="23" t="str">
        <f aca="false">IFERROR(INDEX(分录收入!$E:$E,MATCH($L4060,分录收入!$L:$L,0)),"")</f>
        <v/>
      </c>
      <c r="E4060" s="23" t="str">
        <f aca="false">IFERROR(INDEX(分录收入!$F:$F,MATCH($L4060,分录收入!$L:$L,0)),"")</f>
        <v/>
      </c>
      <c r="F4060" s="68" t="str">
        <f aca="false">IFERROR(INDEX(分录收入!$H:$H,MATCH($L4060,分录收入!$L:$L,0)),"")</f>
        <v/>
      </c>
      <c r="G4060" s="69" t="str">
        <f aca="false">IFERROR(INDEX(分录收入!$I:$I,MATCH($L4060,分录收入!$L:$L,0)),"")</f>
        <v/>
      </c>
      <c r="H4060" s="23"/>
      <c r="I4060" s="70"/>
      <c r="L4060" s="71" t="n">
        <f aca="false">IF(助手收入!$R$272="",-1,助手收入!$R$272*100+(助手收入!$S$272-1)*6+5)</f>
        <v>-1</v>
      </c>
    </row>
    <row r="4061" customFormat="false" ht="23.25" hidden="false" customHeight="true" outlineLevel="0" collapsed="false">
      <c r="B4061" s="67" t="str">
        <f aca="false">""</f>
        <v/>
      </c>
      <c r="C4061" s="67"/>
      <c r="D4061" s="23" t="str">
        <f aca="false">IFERROR(INDEX(分录收入!$E:$E,MATCH($L4061,分录收入!$L:$L,0)),"")</f>
        <v/>
      </c>
      <c r="E4061" s="23" t="str">
        <f aca="false">IFERROR(INDEX(分录收入!$F:$F,MATCH($L4061,分录收入!$L:$L,0)),"")</f>
        <v/>
      </c>
      <c r="F4061" s="68" t="str">
        <f aca="false">IFERROR(INDEX(分录收入!$H:$H,MATCH($L4061,分录收入!$L:$L,0)),"")</f>
        <v/>
      </c>
      <c r="G4061" s="69" t="str">
        <f aca="false">IFERROR(INDEX(分录收入!$I:$I,MATCH($L4061,分录收入!$L:$L,0)),"")</f>
        <v/>
      </c>
      <c r="H4061" s="23"/>
      <c r="I4061" s="70"/>
      <c r="L4061" s="71" t="n">
        <f aca="false">IF(助手收入!$R$272="",-1,助手收入!$R$272*100+(助手收入!$S$272-1)*6+6)</f>
        <v>-1</v>
      </c>
    </row>
    <row r="4062" customFormat="false" ht="23.25" hidden="false" customHeight="true" outlineLevel="0" collapsed="false">
      <c r="B4062" s="72" t="str">
        <f aca="false">IF(助手收入!$T$272=1,"合计：","")</f>
        <v/>
      </c>
      <c r="C4062" s="73" t="str">
        <f aca="false">IF(助手收入!$T$272=1,$F4062,"")</f>
        <v/>
      </c>
      <c r="D4062" s="74"/>
      <c r="E4062" s="74"/>
      <c r="F4062" s="75" t="str">
        <f aca="false">IF(助手收入!$T$272=1,INDEX(助手收入!$N$2:$N$66,助手收入!$R$272),"")</f>
        <v/>
      </c>
      <c r="G4062" s="76" t="str">
        <f aca="false">IF(助手收入!$T$272=1,INDEX(助手收入!$O$2:$O$66,助手收入!$R$272),"")</f>
        <v/>
      </c>
      <c r="H4062" s="74"/>
      <c r="I4062" s="77"/>
    </row>
    <row r="4063" customFormat="false" ht="6" hidden="false" customHeight="true" outlineLevel="0" collapsed="false"/>
    <row r="4064" customFormat="false" ht="13.5" hidden="false" customHeight="false" outlineLevel="0" collapsed="false">
      <c r="B4064" s="78" t="str">
        <f aca="false">IF(助手收入!$R$272&lt;&gt;"","会计主管：","")</f>
        <v/>
      </c>
      <c r="D4064" s="78" t="str">
        <f aca="false">IF(助手收入!$R$272&lt;&gt;"","会计：","")</f>
        <v/>
      </c>
      <c r="E4064" s="78" t="str">
        <f aca="false">IF(助手收入!$R$272&lt;&gt;"","出纳：","")</f>
        <v/>
      </c>
      <c r="F4064" s="78" t="str">
        <f aca="false">IF(助手收入!$R$272&lt;&gt;"","复核：","")</f>
        <v/>
      </c>
      <c r="G4064" s="78" t="str">
        <f aca="false">IF(助手收入!$R$272&lt;&gt;"","制单：","")</f>
        <v/>
      </c>
    </row>
    <row r="4065" customFormat="false" ht="3" hidden="false" customHeight="true" outlineLevel="0" collapsed="false"/>
    <row r="4066" customFormat="false" ht="19.5" hidden="false" customHeight="true" outlineLevel="0" collapsed="false">
      <c r="B4066" s="53" t="str">
        <f aca="false">IF(助手收入!$R$273&lt;&gt;"","记  账  凭  证","")</f>
        <v/>
      </c>
      <c r="C4066" s="53"/>
      <c r="D4066" s="53"/>
      <c r="E4066" s="53"/>
      <c r="F4066" s="53"/>
      <c r="G4066" s="53"/>
      <c r="H4066" s="53"/>
      <c r="I4066" s="53"/>
    </row>
    <row r="4067" customFormat="false" ht="3" hidden="false" customHeight="true" outlineLevel="0" collapsed="false"/>
    <row r="4068" customFormat="false" ht="15" hidden="false" customHeight="true" outlineLevel="0" collapsed="false">
      <c r="C4068" s="56" t="str">
        <f aca="false">IF(助手收入!$R$273&lt;&gt;"",INDEX(助手收入!$B$2:$B$66,助手收入!$R$273),"")</f>
        <v/>
      </c>
      <c r="D4068" s="57" t="str">
        <f aca="false">IF(助手收入!$R$273&lt;&gt;"",参数!$B$2,"")</f>
        <v/>
      </c>
      <c r="E4068" s="57"/>
      <c r="F4068" s="58" t="str">
        <f aca="false">IF(助手收入!$R$273&lt;&gt;"",INDEX(助手收入!$C$2:$C$66,助手收入!$R$273)&amp;"  字第 "&amp;IF(参数!$B$9="是",INDEX(助手收入!$P$2:$P$66,助手收入!$R$273),"　　　　")&amp;" 号"&amp;IF(INDEX(助手收入!$L$2:$L$66,助手收入!$R$273)&gt;1,"  (共"&amp;INDEX(助手收入!$L$2:$L$66,助手收入!$R$273)&amp;"页 第"&amp;助手收入!$S$273&amp;"页)",""),"")</f>
        <v/>
      </c>
      <c r="G4068" s="58"/>
      <c r="H4068" s="58"/>
      <c r="I4068" s="58"/>
      <c r="M4068" s="79" t="str">
        <f aca="false">IF(助手收入!$R$273="","",助手收入!$Q$273)</f>
        <v/>
      </c>
      <c r="N4068" s="80" t="str">
        <f aca="false">IF(助手收入!$R$273="","",INDEX(助手收入!$P$2:$P$66,助手收入!$R$273))</f>
        <v/>
      </c>
      <c r="O4068" s="55" t="str">
        <f aca="false">IF(助手收入!$R$273="","",INDEX(助手收入!$C$2:$C$66,助手收入!$R$273)&amp;"  字第 "&amp;INDEX(助手收入!$P$2:$P$66,助手收入!$R$273)&amp;" 号"&amp;IF(INDEX(助手收入!$L$2:$L$66,助手收入!$R$273)&gt;1,"  (共"&amp;INDEX(助手收入!$L$2:$L$66,助手收入!$R$273)&amp;"页 第"&amp;助手收入!$S$273&amp;"页)",""))</f>
        <v/>
      </c>
    </row>
    <row r="4069" customFormat="false" ht="12.75" hidden="false" customHeight="true" outlineLevel="0" collapsed="false">
      <c r="B4069" s="61" t="str">
        <f aca="false">IF(助手收入!$R$273&lt;&gt;"","摘　　要","")</f>
        <v/>
      </c>
      <c r="C4069" s="61"/>
      <c r="D4069" s="62" t="str">
        <f aca="false">IF(助手收入!$R$273&lt;&gt;"","科　　　　目","")</f>
        <v/>
      </c>
      <c r="E4069" s="62"/>
      <c r="F4069" s="61" t="str">
        <f aca="false">IF(助手收入!$R$273&lt;&gt;"","借 方 金 额","")</f>
        <v/>
      </c>
      <c r="G4069" s="62" t="str">
        <f aca="false">IF(助手收入!$R$273&lt;&gt;"","贷 方 金 额","")</f>
        <v/>
      </c>
      <c r="H4069" s="63" t="str">
        <f aca="false">IF(助手收入!$R$273&lt;&gt;"","√","")</f>
        <v/>
      </c>
      <c r="I4069" s="64" t="str">
        <f aca="false">IF(助手收入!$R$273&lt;&gt;"","附单据  张","")</f>
        <v/>
      </c>
    </row>
    <row r="4070" customFormat="false" ht="12.75" hidden="false" customHeight="true" outlineLevel="0" collapsed="false">
      <c r="B4070" s="61"/>
      <c r="C4070" s="61"/>
      <c r="D4070" s="23" t="str">
        <f aca="false">IF(助手收入!$R$273&lt;&gt;"","总 账 科 目","")</f>
        <v/>
      </c>
      <c r="E4070" s="23" t="str">
        <f aca="false">IF(助手收入!$R$273&lt;&gt;"","明 细 科 目","")</f>
        <v/>
      </c>
      <c r="F4070" s="65"/>
      <c r="G4070" s="66"/>
      <c r="H4070" s="63"/>
      <c r="I4070" s="64"/>
    </row>
    <row r="4071" customFormat="false" ht="23.25" hidden="false" customHeight="true" outlineLevel="0" collapsed="false">
      <c r="B4071" s="67" t="str">
        <f aca="false">IFERROR(INDEX(分录收入!$M:$M,MATCH($L4071,分录收入!$L:$L,0)),"")</f>
        <v/>
      </c>
      <c r="C4071" s="67"/>
      <c r="D4071" s="23" t="str">
        <f aca="false">IFERROR(INDEX(分录收入!$E:$E,MATCH($L4071,分录收入!$L:$L,0)),"")</f>
        <v/>
      </c>
      <c r="E4071" s="23" t="str">
        <f aca="false">IFERROR(INDEX(分录收入!$F:$F,MATCH($L4071,分录收入!$L:$L,0)),"")</f>
        <v/>
      </c>
      <c r="F4071" s="68" t="str">
        <f aca="false">IFERROR(INDEX(分录收入!$H:$H,MATCH($L4071,分录收入!$L:$L,0)),"")</f>
        <v/>
      </c>
      <c r="G4071" s="69" t="str">
        <f aca="false">IFERROR(INDEX(分录收入!$I:$I,MATCH($L4071,分录收入!$L:$L,0)),"")</f>
        <v/>
      </c>
      <c r="H4071" s="23"/>
      <c r="I4071" s="70"/>
      <c r="L4071" s="71" t="n">
        <f aca="false">IF(助手收入!$R$273="",-1,助手收入!$R$273*100+(助手收入!$S$273-1)*6+1)</f>
        <v>-1</v>
      </c>
    </row>
    <row r="4072" customFormat="false" ht="23.25" hidden="false" customHeight="true" outlineLevel="0" collapsed="false">
      <c r="B4072" s="67" t="str">
        <f aca="false">""</f>
        <v/>
      </c>
      <c r="C4072" s="67"/>
      <c r="D4072" s="23" t="str">
        <f aca="false">IFERROR(INDEX(分录收入!$E:$E,MATCH($L4072,分录收入!$L:$L,0)),"")</f>
        <v/>
      </c>
      <c r="E4072" s="23" t="str">
        <f aca="false">IFERROR(INDEX(分录收入!$F:$F,MATCH($L4072,分录收入!$L:$L,0)),"")</f>
        <v/>
      </c>
      <c r="F4072" s="68" t="str">
        <f aca="false">IFERROR(INDEX(分录收入!$H:$H,MATCH($L4072,分录收入!$L:$L,0)),"")</f>
        <v/>
      </c>
      <c r="G4072" s="69" t="str">
        <f aca="false">IFERROR(INDEX(分录收入!$I:$I,MATCH($L4072,分录收入!$L:$L,0)),"")</f>
        <v/>
      </c>
      <c r="H4072" s="23"/>
      <c r="I4072" s="70"/>
      <c r="L4072" s="71" t="n">
        <f aca="false">IF(助手收入!$R$273="",-1,助手收入!$R$273*100+(助手收入!$S$273-1)*6+2)</f>
        <v>-1</v>
      </c>
    </row>
    <row r="4073" customFormat="false" ht="23.25" hidden="false" customHeight="true" outlineLevel="0" collapsed="false">
      <c r="B4073" s="67" t="str">
        <f aca="false">""</f>
        <v/>
      </c>
      <c r="C4073" s="67"/>
      <c r="D4073" s="23" t="str">
        <f aca="false">IFERROR(INDEX(分录收入!$E:$E,MATCH($L4073,分录收入!$L:$L,0)),"")</f>
        <v/>
      </c>
      <c r="E4073" s="23" t="str">
        <f aca="false">IFERROR(INDEX(分录收入!$F:$F,MATCH($L4073,分录收入!$L:$L,0)),"")</f>
        <v/>
      </c>
      <c r="F4073" s="68" t="str">
        <f aca="false">IFERROR(INDEX(分录收入!$H:$H,MATCH($L4073,分录收入!$L:$L,0)),"")</f>
        <v/>
      </c>
      <c r="G4073" s="69" t="str">
        <f aca="false">IFERROR(INDEX(分录收入!$I:$I,MATCH($L4073,分录收入!$L:$L,0)),"")</f>
        <v/>
      </c>
      <c r="H4073" s="23"/>
      <c r="I4073" s="70"/>
      <c r="L4073" s="71" t="n">
        <f aca="false">IF(助手收入!$R$273="",-1,助手收入!$R$273*100+(助手收入!$S$273-1)*6+3)</f>
        <v>-1</v>
      </c>
    </row>
    <row r="4074" customFormat="false" ht="23.25" hidden="false" customHeight="true" outlineLevel="0" collapsed="false">
      <c r="B4074" s="67" t="str">
        <f aca="false">""</f>
        <v/>
      </c>
      <c r="C4074" s="67"/>
      <c r="D4074" s="23" t="str">
        <f aca="false">IFERROR(INDEX(分录收入!$E:$E,MATCH($L4074,分录收入!$L:$L,0)),"")</f>
        <v/>
      </c>
      <c r="E4074" s="23" t="str">
        <f aca="false">IFERROR(INDEX(分录收入!$F:$F,MATCH($L4074,分录收入!$L:$L,0)),"")</f>
        <v/>
      </c>
      <c r="F4074" s="68" t="str">
        <f aca="false">IFERROR(INDEX(分录收入!$H:$H,MATCH($L4074,分录收入!$L:$L,0)),"")</f>
        <v/>
      </c>
      <c r="G4074" s="69" t="str">
        <f aca="false">IFERROR(INDEX(分录收入!$I:$I,MATCH($L4074,分录收入!$L:$L,0)),"")</f>
        <v/>
      </c>
      <c r="H4074" s="23"/>
      <c r="I4074" s="70"/>
      <c r="L4074" s="71" t="n">
        <f aca="false">IF(助手收入!$R$273="",-1,助手收入!$R$273*100+(助手收入!$S$273-1)*6+4)</f>
        <v>-1</v>
      </c>
    </row>
    <row r="4075" customFormat="false" ht="23.25" hidden="false" customHeight="true" outlineLevel="0" collapsed="false">
      <c r="B4075" s="67" t="str">
        <f aca="false">""</f>
        <v/>
      </c>
      <c r="C4075" s="67"/>
      <c r="D4075" s="23" t="str">
        <f aca="false">IFERROR(INDEX(分录收入!$E:$E,MATCH($L4075,分录收入!$L:$L,0)),"")</f>
        <v/>
      </c>
      <c r="E4075" s="23" t="str">
        <f aca="false">IFERROR(INDEX(分录收入!$F:$F,MATCH($L4075,分录收入!$L:$L,0)),"")</f>
        <v/>
      </c>
      <c r="F4075" s="68" t="str">
        <f aca="false">IFERROR(INDEX(分录收入!$H:$H,MATCH($L4075,分录收入!$L:$L,0)),"")</f>
        <v/>
      </c>
      <c r="G4075" s="69" t="str">
        <f aca="false">IFERROR(INDEX(分录收入!$I:$I,MATCH($L4075,分录收入!$L:$L,0)),"")</f>
        <v/>
      </c>
      <c r="H4075" s="23"/>
      <c r="I4075" s="70"/>
      <c r="L4075" s="71" t="n">
        <f aca="false">IF(助手收入!$R$273="",-1,助手收入!$R$273*100+(助手收入!$S$273-1)*6+5)</f>
        <v>-1</v>
      </c>
    </row>
    <row r="4076" customFormat="false" ht="23.25" hidden="false" customHeight="true" outlineLevel="0" collapsed="false">
      <c r="B4076" s="67" t="str">
        <f aca="false">""</f>
        <v/>
      </c>
      <c r="C4076" s="67"/>
      <c r="D4076" s="23" t="str">
        <f aca="false">IFERROR(INDEX(分录收入!$E:$E,MATCH($L4076,分录收入!$L:$L,0)),"")</f>
        <v/>
      </c>
      <c r="E4076" s="23" t="str">
        <f aca="false">IFERROR(INDEX(分录收入!$F:$F,MATCH($L4076,分录收入!$L:$L,0)),"")</f>
        <v/>
      </c>
      <c r="F4076" s="68" t="str">
        <f aca="false">IFERROR(INDEX(分录收入!$H:$H,MATCH($L4076,分录收入!$L:$L,0)),"")</f>
        <v/>
      </c>
      <c r="G4076" s="69" t="str">
        <f aca="false">IFERROR(INDEX(分录收入!$I:$I,MATCH($L4076,分录收入!$L:$L,0)),"")</f>
        <v/>
      </c>
      <c r="H4076" s="23"/>
      <c r="I4076" s="70"/>
      <c r="L4076" s="71" t="n">
        <f aca="false">IF(助手收入!$R$273="",-1,助手收入!$R$273*100+(助手收入!$S$273-1)*6+6)</f>
        <v>-1</v>
      </c>
    </row>
    <row r="4077" customFormat="false" ht="23.25" hidden="false" customHeight="true" outlineLevel="0" collapsed="false">
      <c r="B4077" s="72" t="str">
        <f aca="false">IF(助手收入!$T$273=1,"合计：","")</f>
        <v/>
      </c>
      <c r="C4077" s="73" t="str">
        <f aca="false">IF(助手收入!$T$273=1,$F4077,"")</f>
        <v/>
      </c>
      <c r="D4077" s="74"/>
      <c r="E4077" s="74"/>
      <c r="F4077" s="75" t="str">
        <f aca="false">IF(助手收入!$T$273=1,INDEX(助手收入!$N$2:$N$66,助手收入!$R$273),"")</f>
        <v/>
      </c>
      <c r="G4077" s="76" t="str">
        <f aca="false">IF(助手收入!$T$273=1,INDEX(助手收入!$O$2:$O$66,助手收入!$R$273),"")</f>
        <v/>
      </c>
      <c r="H4077" s="74"/>
      <c r="I4077" s="77"/>
    </row>
    <row r="4078" customFormat="false" ht="6" hidden="false" customHeight="true" outlineLevel="0" collapsed="false"/>
    <row r="4079" customFormat="false" ht="13.5" hidden="false" customHeight="false" outlineLevel="0" collapsed="false">
      <c r="B4079" s="78" t="str">
        <f aca="false">IF(助手收入!$R$273&lt;&gt;"","会计主管：","")</f>
        <v/>
      </c>
      <c r="D4079" s="78" t="str">
        <f aca="false">IF(助手收入!$R$273&lt;&gt;"","会计：","")</f>
        <v/>
      </c>
      <c r="E4079" s="78" t="str">
        <f aca="false">IF(助手收入!$R$273&lt;&gt;"","出纳：","")</f>
        <v/>
      </c>
      <c r="F4079" s="78" t="str">
        <f aca="false">IF(助手收入!$R$273&lt;&gt;"","复核：","")</f>
        <v/>
      </c>
      <c r="G4079" s="78" t="str">
        <f aca="false">IF(助手收入!$R$273&lt;&gt;"","制单：","")</f>
        <v/>
      </c>
    </row>
    <row r="4080" customFormat="false" ht="3" hidden="false" customHeight="true" outlineLevel="0" collapsed="false"/>
    <row r="4081" customFormat="false" ht="19.5" hidden="false" customHeight="true" outlineLevel="0" collapsed="false">
      <c r="B4081" s="53" t="str">
        <f aca="false">IF(助手收入!$R$274&lt;&gt;"","记  账  凭  证","")</f>
        <v/>
      </c>
      <c r="C4081" s="53"/>
      <c r="D4081" s="53"/>
      <c r="E4081" s="53"/>
      <c r="F4081" s="53"/>
      <c r="G4081" s="53"/>
      <c r="H4081" s="53"/>
      <c r="I4081" s="53"/>
    </row>
    <row r="4082" customFormat="false" ht="3" hidden="false" customHeight="true" outlineLevel="0" collapsed="false"/>
    <row r="4083" customFormat="false" ht="15" hidden="false" customHeight="true" outlineLevel="0" collapsed="false">
      <c r="C4083" s="56" t="str">
        <f aca="false">IF(助手收入!$R$274&lt;&gt;"",INDEX(助手收入!$B$2:$B$66,助手收入!$R$274),"")</f>
        <v/>
      </c>
      <c r="D4083" s="57" t="str">
        <f aca="false">IF(助手收入!$R$274&lt;&gt;"",参数!$B$2,"")</f>
        <v/>
      </c>
      <c r="E4083" s="57"/>
      <c r="F4083" s="58" t="str">
        <f aca="false">IF(助手收入!$R$274&lt;&gt;"",INDEX(助手收入!$C$2:$C$66,助手收入!$R$274)&amp;"  字第 "&amp;IF(参数!$B$9="是",INDEX(助手收入!$P$2:$P$66,助手收入!$R$274),"　　　　")&amp;" 号"&amp;IF(INDEX(助手收入!$L$2:$L$66,助手收入!$R$274)&gt;1,"  (共"&amp;INDEX(助手收入!$L$2:$L$66,助手收入!$R$274)&amp;"页 第"&amp;助手收入!$S$274&amp;"页)",""),"")</f>
        <v/>
      </c>
      <c r="G4083" s="58"/>
      <c r="H4083" s="58"/>
      <c r="I4083" s="58"/>
      <c r="M4083" s="79" t="str">
        <f aca="false">IF(助手收入!$R$274="","",助手收入!$Q$274)</f>
        <v/>
      </c>
      <c r="N4083" s="80" t="str">
        <f aca="false">IF(助手收入!$R$274="","",INDEX(助手收入!$P$2:$P$66,助手收入!$R$274))</f>
        <v/>
      </c>
      <c r="O4083" s="55" t="str">
        <f aca="false">IF(助手收入!$R$274="","",INDEX(助手收入!$C$2:$C$66,助手收入!$R$274)&amp;"  字第 "&amp;INDEX(助手收入!$P$2:$P$66,助手收入!$R$274)&amp;" 号"&amp;IF(INDEX(助手收入!$L$2:$L$66,助手收入!$R$274)&gt;1,"  (共"&amp;INDEX(助手收入!$L$2:$L$66,助手收入!$R$274)&amp;"页 第"&amp;助手收入!$S$274&amp;"页)",""))</f>
        <v/>
      </c>
    </row>
    <row r="4084" customFormat="false" ht="12.75" hidden="false" customHeight="true" outlineLevel="0" collapsed="false">
      <c r="B4084" s="61" t="str">
        <f aca="false">IF(助手收入!$R$274&lt;&gt;"","摘　　要","")</f>
        <v/>
      </c>
      <c r="C4084" s="61"/>
      <c r="D4084" s="62" t="str">
        <f aca="false">IF(助手收入!$R$274&lt;&gt;"","科　　　　目","")</f>
        <v/>
      </c>
      <c r="E4084" s="62"/>
      <c r="F4084" s="61" t="str">
        <f aca="false">IF(助手收入!$R$274&lt;&gt;"","借 方 金 额","")</f>
        <v/>
      </c>
      <c r="G4084" s="62" t="str">
        <f aca="false">IF(助手收入!$R$274&lt;&gt;"","贷 方 金 额","")</f>
        <v/>
      </c>
      <c r="H4084" s="63" t="str">
        <f aca="false">IF(助手收入!$R$274&lt;&gt;"","√","")</f>
        <v/>
      </c>
      <c r="I4084" s="64" t="str">
        <f aca="false">IF(助手收入!$R$274&lt;&gt;"","附单据  张","")</f>
        <v/>
      </c>
    </row>
    <row r="4085" customFormat="false" ht="12.75" hidden="false" customHeight="true" outlineLevel="0" collapsed="false">
      <c r="B4085" s="61"/>
      <c r="C4085" s="61"/>
      <c r="D4085" s="23" t="str">
        <f aca="false">IF(助手收入!$R$274&lt;&gt;"","总 账 科 目","")</f>
        <v/>
      </c>
      <c r="E4085" s="23" t="str">
        <f aca="false">IF(助手收入!$R$274&lt;&gt;"","明 细 科 目","")</f>
        <v/>
      </c>
      <c r="F4085" s="65"/>
      <c r="G4085" s="66"/>
      <c r="H4085" s="63"/>
      <c r="I4085" s="64"/>
    </row>
    <row r="4086" customFormat="false" ht="23.25" hidden="false" customHeight="true" outlineLevel="0" collapsed="false">
      <c r="B4086" s="67" t="str">
        <f aca="false">IFERROR(INDEX(分录收入!$M:$M,MATCH($L4086,分录收入!$L:$L,0)),"")</f>
        <v/>
      </c>
      <c r="C4086" s="67"/>
      <c r="D4086" s="23" t="str">
        <f aca="false">IFERROR(INDEX(分录收入!$E:$E,MATCH($L4086,分录收入!$L:$L,0)),"")</f>
        <v/>
      </c>
      <c r="E4086" s="23" t="str">
        <f aca="false">IFERROR(INDEX(分录收入!$F:$F,MATCH($L4086,分录收入!$L:$L,0)),"")</f>
        <v/>
      </c>
      <c r="F4086" s="68" t="str">
        <f aca="false">IFERROR(INDEX(分录收入!$H:$H,MATCH($L4086,分录收入!$L:$L,0)),"")</f>
        <v/>
      </c>
      <c r="G4086" s="69" t="str">
        <f aca="false">IFERROR(INDEX(分录收入!$I:$I,MATCH($L4086,分录收入!$L:$L,0)),"")</f>
        <v/>
      </c>
      <c r="H4086" s="23"/>
      <c r="I4086" s="70"/>
      <c r="L4086" s="71" t="n">
        <f aca="false">IF(助手收入!$R$274="",-1,助手收入!$R$274*100+(助手收入!$S$274-1)*6+1)</f>
        <v>-1</v>
      </c>
    </row>
    <row r="4087" customFormat="false" ht="23.25" hidden="false" customHeight="true" outlineLevel="0" collapsed="false">
      <c r="B4087" s="67" t="str">
        <f aca="false">""</f>
        <v/>
      </c>
      <c r="C4087" s="67"/>
      <c r="D4087" s="23" t="str">
        <f aca="false">IFERROR(INDEX(分录收入!$E:$E,MATCH($L4087,分录收入!$L:$L,0)),"")</f>
        <v/>
      </c>
      <c r="E4087" s="23" t="str">
        <f aca="false">IFERROR(INDEX(分录收入!$F:$F,MATCH($L4087,分录收入!$L:$L,0)),"")</f>
        <v/>
      </c>
      <c r="F4087" s="68" t="str">
        <f aca="false">IFERROR(INDEX(分录收入!$H:$H,MATCH($L4087,分录收入!$L:$L,0)),"")</f>
        <v/>
      </c>
      <c r="G4087" s="69" t="str">
        <f aca="false">IFERROR(INDEX(分录收入!$I:$I,MATCH($L4087,分录收入!$L:$L,0)),"")</f>
        <v/>
      </c>
      <c r="H4087" s="23"/>
      <c r="I4087" s="70"/>
      <c r="L4087" s="71" t="n">
        <f aca="false">IF(助手收入!$R$274="",-1,助手收入!$R$274*100+(助手收入!$S$274-1)*6+2)</f>
        <v>-1</v>
      </c>
    </row>
    <row r="4088" customFormat="false" ht="23.25" hidden="false" customHeight="true" outlineLevel="0" collapsed="false">
      <c r="B4088" s="67" t="str">
        <f aca="false">""</f>
        <v/>
      </c>
      <c r="C4088" s="67"/>
      <c r="D4088" s="23" t="str">
        <f aca="false">IFERROR(INDEX(分录收入!$E:$E,MATCH($L4088,分录收入!$L:$L,0)),"")</f>
        <v/>
      </c>
      <c r="E4088" s="23" t="str">
        <f aca="false">IFERROR(INDEX(分录收入!$F:$F,MATCH($L4088,分录收入!$L:$L,0)),"")</f>
        <v/>
      </c>
      <c r="F4088" s="68" t="str">
        <f aca="false">IFERROR(INDEX(分录收入!$H:$H,MATCH($L4088,分录收入!$L:$L,0)),"")</f>
        <v/>
      </c>
      <c r="G4088" s="69" t="str">
        <f aca="false">IFERROR(INDEX(分录收入!$I:$I,MATCH($L4088,分录收入!$L:$L,0)),"")</f>
        <v/>
      </c>
      <c r="H4088" s="23"/>
      <c r="I4088" s="70"/>
      <c r="L4088" s="71" t="n">
        <f aca="false">IF(助手收入!$R$274="",-1,助手收入!$R$274*100+(助手收入!$S$274-1)*6+3)</f>
        <v>-1</v>
      </c>
    </row>
    <row r="4089" customFormat="false" ht="23.25" hidden="false" customHeight="true" outlineLevel="0" collapsed="false">
      <c r="B4089" s="67" t="str">
        <f aca="false">""</f>
        <v/>
      </c>
      <c r="C4089" s="67"/>
      <c r="D4089" s="23" t="str">
        <f aca="false">IFERROR(INDEX(分录收入!$E:$E,MATCH($L4089,分录收入!$L:$L,0)),"")</f>
        <v/>
      </c>
      <c r="E4089" s="23" t="str">
        <f aca="false">IFERROR(INDEX(分录收入!$F:$F,MATCH($L4089,分录收入!$L:$L,0)),"")</f>
        <v/>
      </c>
      <c r="F4089" s="68" t="str">
        <f aca="false">IFERROR(INDEX(分录收入!$H:$H,MATCH($L4089,分录收入!$L:$L,0)),"")</f>
        <v/>
      </c>
      <c r="G4089" s="69" t="str">
        <f aca="false">IFERROR(INDEX(分录收入!$I:$I,MATCH($L4089,分录收入!$L:$L,0)),"")</f>
        <v/>
      </c>
      <c r="H4089" s="23"/>
      <c r="I4089" s="70"/>
      <c r="L4089" s="71" t="n">
        <f aca="false">IF(助手收入!$R$274="",-1,助手收入!$R$274*100+(助手收入!$S$274-1)*6+4)</f>
        <v>-1</v>
      </c>
    </row>
    <row r="4090" customFormat="false" ht="23.25" hidden="false" customHeight="true" outlineLevel="0" collapsed="false">
      <c r="B4090" s="67" t="str">
        <f aca="false">""</f>
        <v/>
      </c>
      <c r="C4090" s="67"/>
      <c r="D4090" s="23" t="str">
        <f aca="false">IFERROR(INDEX(分录收入!$E:$E,MATCH($L4090,分录收入!$L:$L,0)),"")</f>
        <v/>
      </c>
      <c r="E4090" s="23" t="str">
        <f aca="false">IFERROR(INDEX(分录收入!$F:$F,MATCH($L4090,分录收入!$L:$L,0)),"")</f>
        <v/>
      </c>
      <c r="F4090" s="68" t="str">
        <f aca="false">IFERROR(INDEX(分录收入!$H:$H,MATCH($L4090,分录收入!$L:$L,0)),"")</f>
        <v/>
      </c>
      <c r="G4090" s="69" t="str">
        <f aca="false">IFERROR(INDEX(分录收入!$I:$I,MATCH($L4090,分录收入!$L:$L,0)),"")</f>
        <v/>
      </c>
      <c r="H4090" s="23"/>
      <c r="I4090" s="70"/>
      <c r="L4090" s="71" t="n">
        <f aca="false">IF(助手收入!$R$274="",-1,助手收入!$R$274*100+(助手收入!$S$274-1)*6+5)</f>
        <v>-1</v>
      </c>
    </row>
    <row r="4091" customFormat="false" ht="23.25" hidden="false" customHeight="true" outlineLevel="0" collapsed="false">
      <c r="B4091" s="67" t="str">
        <f aca="false">""</f>
        <v/>
      </c>
      <c r="C4091" s="67"/>
      <c r="D4091" s="23" t="str">
        <f aca="false">IFERROR(INDEX(分录收入!$E:$E,MATCH($L4091,分录收入!$L:$L,0)),"")</f>
        <v/>
      </c>
      <c r="E4091" s="23" t="str">
        <f aca="false">IFERROR(INDEX(分录收入!$F:$F,MATCH($L4091,分录收入!$L:$L,0)),"")</f>
        <v/>
      </c>
      <c r="F4091" s="68" t="str">
        <f aca="false">IFERROR(INDEX(分录收入!$H:$H,MATCH($L4091,分录收入!$L:$L,0)),"")</f>
        <v/>
      </c>
      <c r="G4091" s="69" t="str">
        <f aca="false">IFERROR(INDEX(分录收入!$I:$I,MATCH($L4091,分录收入!$L:$L,0)),"")</f>
        <v/>
      </c>
      <c r="H4091" s="23"/>
      <c r="I4091" s="70"/>
      <c r="L4091" s="71" t="n">
        <f aca="false">IF(助手收入!$R$274="",-1,助手收入!$R$274*100+(助手收入!$S$274-1)*6+6)</f>
        <v>-1</v>
      </c>
    </row>
    <row r="4092" customFormat="false" ht="23.25" hidden="false" customHeight="true" outlineLevel="0" collapsed="false">
      <c r="B4092" s="72" t="str">
        <f aca="false">IF(助手收入!$T$274=1,"合计：","")</f>
        <v/>
      </c>
      <c r="C4092" s="73" t="str">
        <f aca="false">IF(助手收入!$T$274=1,$F4092,"")</f>
        <v/>
      </c>
      <c r="D4092" s="74"/>
      <c r="E4092" s="74"/>
      <c r="F4092" s="75" t="str">
        <f aca="false">IF(助手收入!$T$274=1,INDEX(助手收入!$N$2:$N$66,助手收入!$R$274),"")</f>
        <v/>
      </c>
      <c r="G4092" s="76" t="str">
        <f aca="false">IF(助手收入!$T$274=1,INDEX(助手收入!$O$2:$O$66,助手收入!$R$274),"")</f>
        <v/>
      </c>
      <c r="H4092" s="74"/>
      <c r="I4092" s="77"/>
    </row>
    <row r="4093" customFormat="false" ht="6" hidden="false" customHeight="true" outlineLevel="0" collapsed="false"/>
    <row r="4094" customFormat="false" ht="13.5" hidden="false" customHeight="false" outlineLevel="0" collapsed="false">
      <c r="B4094" s="78" t="str">
        <f aca="false">IF(助手收入!$R$274&lt;&gt;"","会计主管：","")</f>
        <v/>
      </c>
      <c r="D4094" s="78" t="str">
        <f aca="false">IF(助手收入!$R$274&lt;&gt;"","会计：","")</f>
        <v/>
      </c>
      <c r="E4094" s="78" t="str">
        <f aca="false">IF(助手收入!$R$274&lt;&gt;"","出纳：","")</f>
        <v/>
      </c>
      <c r="F4094" s="78" t="str">
        <f aca="false">IF(助手收入!$R$274&lt;&gt;"","复核：","")</f>
        <v/>
      </c>
      <c r="G4094" s="78" t="str">
        <f aca="false">IF(助手收入!$R$274&lt;&gt;"","制单：","")</f>
        <v/>
      </c>
    </row>
    <row r="4095" customFormat="false" ht="3" hidden="false" customHeight="true" outlineLevel="0" collapsed="false"/>
    <row r="4096" customFormat="false" ht="19.5" hidden="false" customHeight="true" outlineLevel="0" collapsed="false">
      <c r="B4096" s="53" t="str">
        <f aca="false">IF(助手收入!$R$275&lt;&gt;"","记  账  凭  证","")</f>
        <v/>
      </c>
      <c r="C4096" s="53"/>
      <c r="D4096" s="53"/>
      <c r="E4096" s="53"/>
      <c r="F4096" s="53"/>
      <c r="G4096" s="53"/>
      <c r="H4096" s="53"/>
      <c r="I4096" s="53"/>
    </row>
    <row r="4097" customFormat="false" ht="3" hidden="false" customHeight="true" outlineLevel="0" collapsed="false"/>
    <row r="4098" customFormat="false" ht="15" hidden="false" customHeight="true" outlineLevel="0" collapsed="false">
      <c r="C4098" s="56" t="str">
        <f aca="false">IF(助手收入!$R$275&lt;&gt;"",INDEX(助手收入!$B$2:$B$66,助手收入!$R$275),"")</f>
        <v/>
      </c>
      <c r="D4098" s="57" t="str">
        <f aca="false">IF(助手收入!$R$275&lt;&gt;"",参数!$B$2,"")</f>
        <v/>
      </c>
      <c r="E4098" s="57"/>
      <c r="F4098" s="58" t="str">
        <f aca="false">IF(助手收入!$R$275&lt;&gt;"",INDEX(助手收入!$C$2:$C$66,助手收入!$R$275)&amp;"  字第 "&amp;IF(参数!$B$9="是",INDEX(助手收入!$P$2:$P$66,助手收入!$R$275),"　　　　")&amp;" 号"&amp;IF(INDEX(助手收入!$L$2:$L$66,助手收入!$R$275)&gt;1,"  (共"&amp;INDEX(助手收入!$L$2:$L$66,助手收入!$R$275)&amp;"页 第"&amp;助手收入!$S$275&amp;"页)",""),"")</f>
        <v/>
      </c>
      <c r="G4098" s="58"/>
      <c r="H4098" s="58"/>
      <c r="I4098" s="58"/>
      <c r="M4098" s="79" t="str">
        <f aca="false">IF(助手收入!$R$275="","",助手收入!$Q$275)</f>
        <v/>
      </c>
      <c r="N4098" s="80" t="str">
        <f aca="false">IF(助手收入!$R$275="","",INDEX(助手收入!$P$2:$P$66,助手收入!$R$275))</f>
        <v/>
      </c>
      <c r="O4098" s="55" t="str">
        <f aca="false">IF(助手收入!$R$275="","",INDEX(助手收入!$C$2:$C$66,助手收入!$R$275)&amp;"  字第 "&amp;INDEX(助手收入!$P$2:$P$66,助手收入!$R$275)&amp;" 号"&amp;IF(INDEX(助手收入!$L$2:$L$66,助手收入!$R$275)&gt;1,"  (共"&amp;INDEX(助手收入!$L$2:$L$66,助手收入!$R$275)&amp;"页 第"&amp;助手收入!$S$275&amp;"页)",""))</f>
        <v/>
      </c>
    </row>
    <row r="4099" customFormat="false" ht="12.75" hidden="false" customHeight="true" outlineLevel="0" collapsed="false">
      <c r="B4099" s="61" t="str">
        <f aca="false">IF(助手收入!$R$275&lt;&gt;"","摘　　要","")</f>
        <v/>
      </c>
      <c r="C4099" s="61"/>
      <c r="D4099" s="62" t="str">
        <f aca="false">IF(助手收入!$R$275&lt;&gt;"","科　　　　目","")</f>
        <v/>
      </c>
      <c r="E4099" s="62"/>
      <c r="F4099" s="61" t="str">
        <f aca="false">IF(助手收入!$R$275&lt;&gt;"","借 方 金 额","")</f>
        <v/>
      </c>
      <c r="G4099" s="62" t="str">
        <f aca="false">IF(助手收入!$R$275&lt;&gt;"","贷 方 金 额","")</f>
        <v/>
      </c>
      <c r="H4099" s="63" t="str">
        <f aca="false">IF(助手收入!$R$275&lt;&gt;"","√","")</f>
        <v/>
      </c>
      <c r="I4099" s="64" t="str">
        <f aca="false">IF(助手收入!$R$275&lt;&gt;"","附单据  张","")</f>
        <v/>
      </c>
    </row>
    <row r="4100" customFormat="false" ht="12.75" hidden="false" customHeight="true" outlineLevel="0" collapsed="false">
      <c r="B4100" s="61"/>
      <c r="C4100" s="61"/>
      <c r="D4100" s="23" t="str">
        <f aca="false">IF(助手收入!$R$275&lt;&gt;"","总 账 科 目","")</f>
        <v/>
      </c>
      <c r="E4100" s="23" t="str">
        <f aca="false">IF(助手收入!$R$275&lt;&gt;"","明 细 科 目","")</f>
        <v/>
      </c>
      <c r="F4100" s="65"/>
      <c r="G4100" s="66"/>
      <c r="H4100" s="63"/>
      <c r="I4100" s="64"/>
    </row>
    <row r="4101" customFormat="false" ht="23.25" hidden="false" customHeight="true" outlineLevel="0" collapsed="false">
      <c r="B4101" s="67" t="str">
        <f aca="false">IFERROR(INDEX(分录收入!$M:$M,MATCH($L4101,分录收入!$L:$L,0)),"")</f>
        <v/>
      </c>
      <c r="C4101" s="67"/>
      <c r="D4101" s="23" t="str">
        <f aca="false">IFERROR(INDEX(分录收入!$E:$E,MATCH($L4101,分录收入!$L:$L,0)),"")</f>
        <v/>
      </c>
      <c r="E4101" s="23" t="str">
        <f aca="false">IFERROR(INDEX(分录收入!$F:$F,MATCH($L4101,分录收入!$L:$L,0)),"")</f>
        <v/>
      </c>
      <c r="F4101" s="68" t="str">
        <f aca="false">IFERROR(INDEX(分录收入!$H:$H,MATCH($L4101,分录收入!$L:$L,0)),"")</f>
        <v/>
      </c>
      <c r="G4101" s="69" t="str">
        <f aca="false">IFERROR(INDEX(分录收入!$I:$I,MATCH($L4101,分录收入!$L:$L,0)),"")</f>
        <v/>
      </c>
      <c r="H4101" s="23"/>
      <c r="I4101" s="70"/>
      <c r="L4101" s="71" t="n">
        <f aca="false">IF(助手收入!$R$275="",-1,助手收入!$R$275*100+(助手收入!$S$275-1)*6+1)</f>
        <v>-1</v>
      </c>
    </row>
    <row r="4102" customFormat="false" ht="23.25" hidden="false" customHeight="true" outlineLevel="0" collapsed="false">
      <c r="B4102" s="67" t="str">
        <f aca="false">""</f>
        <v/>
      </c>
      <c r="C4102" s="67"/>
      <c r="D4102" s="23" t="str">
        <f aca="false">IFERROR(INDEX(分录收入!$E:$E,MATCH($L4102,分录收入!$L:$L,0)),"")</f>
        <v/>
      </c>
      <c r="E4102" s="23" t="str">
        <f aca="false">IFERROR(INDEX(分录收入!$F:$F,MATCH($L4102,分录收入!$L:$L,0)),"")</f>
        <v/>
      </c>
      <c r="F4102" s="68" t="str">
        <f aca="false">IFERROR(INDEX(分录收入!$H:$H,MATCH($L4102,分录收入!$L:$L,0)),"")</f>
        <v/>
      </c>
      <c r="G4102" s="69" t="str">
        <f aca="false">IFERROR(INDEX(分录收入!$I:$I,MATCH($L4102,分录收入!$L:$L,0)),"")</f>
        <v/>
      </c>
      <c r="H4102" s="23"/>
      <c r="I4102" s="70"/>
      <c r="L4102" s="71" t="n">
        <f aca="false">IF(助手收入!$R$275="",-1,助手收入!$R$275*100+(助手收入!$S$275-1)*6+2)</f>
        <v>-1</v>
      </c>
    </row>
    <row r="4103" customFormat="false" ht="23.25" hidden="false" customHeight="true" outlineLevel="0" collapsed="false">
      <c r="B4103" s="67" t="str">
        <f aca="false">""</f>
        <v/>
      </c>
      <c r="C4103" s="67"/>
      <c r="D4103" s="23" t="str">
        <f aca="false">IFERROR(INDEX(分录收入!$E:$E,MATCH($L4103,分录收入!$L:$L,0)),"")</f>
        <v/>
      </c>
      <c r="E4103" s="23" t="str">
        <f aca="false">IFERROR(INDEX(分录收入!$F:$F,MATCH($L4103,分录收入!$L:$L,0)),"")</f>
        <v/>
      </c>
      <c r="F4103" s="68" t="str">
        <f aca="false">IFERROR(INDEX(分录收入!$H:$H,MATCH($L4103,分录收入!$L:$L,0)),"")</f>
        <v/>
      </c>
      <c r="G4103" s="69" t="str">
        <f aca="false">IFERROR(INDEX(分录收入!$I:$I,MATCH($L4103,分录收入!$L:$L,0)),"")</f>
        <v/>
      </c>
      <c r="H4103" s="23"/>
      <c r="I4103" s="70"/>
      <c r="L4103" s="71" t="n">
        <f aca="false">IF(助手收入!$R$275="",-1,助手收入!$R$275*100+(助手收入!$S$275-1)*6+3)</f>
        <v>-1</v>
      </c>
    </row>
    <row r="4104" customFormat="false" ht="23.25" hidden="false" customHeight="true" outlineLevel="0" collapsed="false">
      <c r="B4104" s="67" t="str">
        <f aca="false">""</f>
        <v/>
      </c>
      <c r="C4104" s="67"/>
      <c r="D4104" s="23" t="str">
        <f aca="false">IFERROR(INDEX(分录收入!$E:$E,MATCH($L4104,分录收入!$L:$L,0)),"")</f>
        <v/>
      </c>
      <c r="E4104" s="23" t="str">
        <f aca="false">IFERROR(INDEX(分录收入!$F:$F,MATCH($L4104,分录收入!$L:$L,0)),"")</f>
        <v/>
      </c>
      <c r="F4104" s="68" t="str">
        <f aca="false">IFERROR(INDEX(分录收入!$H:$H,MATCH($L4104,分录收入!$L:$L,0)),"")</f>
        <v/>
      </c>
      <c r="G4104" s="69" t="str">
        <f aca="false">IFERROR(INDEX(分录收入!$I:$I,MATCH($L4104,分录收入!$L:$L,0)),"")</f>
        <v/>
      </c>
      <c r="H4104" s="23"/>
      <c r="I4104" s="70"/>
      <c r="L4104" s="71" t="n">
        <f aca="false">IF(助手收入!$R$275="",-1,助手收入!$R$275*100+(助手收入!$S$275-1)*6+4)</f>
        <v>-1</v>
      </c>
    </row>
    <row r="4105" customFormat="false" ht="23.25" hidden="false" customHeight="true" outlineLevel="0" collapsed="false">
      <c r="B4105" s="67" t="str">
        <f aca="false">""</f>
        <v/>
      </c>
      <c r="C4105" s="67"/>
      <c r="D4105" s="23" t="str">
        <f aca="false">IFERROR(INDEX(分录收入!$E:$E,MATCH($L4105,分录收入!$L:$L,0)),"")</f>
        <v/>
      </c>
      <c r="E4105" s="23" t="str">
        <f aca="false">IFERROR(INDEX(分录收入!$F:$F,MATCH($L4105,分录收入!$L:$L,0)),"")</f>
        <v/>
      </c>
      <c r="F4105" s="68" t="str">
        <f aca="false">IFERROR(INDEX(分录收入!$H:$H,MATCH($L4105,分录收入!$L:$L,0)),"")</f>
        <v/>
      </c>
      <c r="G4105" s="69" t="str">
        <f aca="false">IFERROR(INDEX(分录收入!$I:$I,MATCH($L4105,分录收入!$L:$L,0)),"")</f>
        <v/>
      </c>
      <c r="H4105" s="23"/>
      <c r="I4105" s="70"/>
      <c r="L4105" s="71" t="n">
        <f aca="false">IF(助手收入!$R$275="",-1,助手收入!$R$275*100+(助手收入!$S$275-1)*6+5)</f>
        <v>-1</v>
      </c>
    </row>
    <row r="4106" customFormat="false" ht="23.25" hidden="false" customHeight="true" outlineLevel="0" collapsed="false">
      <c r="B4106" s="67" t="str">
        <f aca="false">""</f>
        <v/>
      </c>
      <c r="C4106" s="67"/>
      <c r="D4106" s="23" t="str">
        <f aca="false">IFERROR(INDEX(分录收入!$E:$E,MATCH($L4106,分录收入!$L:$L,0)),"")</f>
        <v/>
      </c>
      <c r="E4106" s="23" t="str">
        <f aca="false">IFERROR(INDEX(分录收入!$F:$F,MATCH($L4106,分录收入!$L:$L,0)),"")</f>
        <v/>
      </c>
      <c r="F4106" s="68" t="str">
        <f aca="false">IFERROR(INDEX(分录收入!$H:$H,MATCH($L4106,分录收入!$L:$L,0)),"")</f>
        <v/>
      </c>
      <c r="G4106" s="69" t="str">
        <f aca="false">IFERROR(INDEX(分录收入!$I:$I,MATCH($L4106,分录收入!$L:$L,0)),"")</f>
        <v/>
      </c>
      <c r="H4106" s="23"/>
      <c r="I4106" s="70"/>
      <c r="L4106" s="71" t="n">
        <f aca="false">IF(助手收入!$R$275="",-1,助手收入!$R$275*100+(助手收入!$S$275-1)*6+6)</f>
        <v>-1</v>
      </c>
    </row>
    <row r="4107" customFormat="false" ht="23.25" hidden="false" customHeight="true" outlineLevel="0" collapsed="false">
      <c r="B4107" s="72" t="str">
        <f aca="false">IF(助手收入!$T$275=1,"合计：","")</f>
        <v/>
      </c>
      <c r="C4107" s="73" t="str">
        <f aca="false">IF(助手收入!$T$275=1,$F4107,"")</f>
        <v/>
      </c>
      <c r="D4107" s="74"/>
      <c r="E4107" s="74"/>
      <c r="F4107" s="75" t="str">
        <f aca="false">IF(助手收入!$T$275=1,INDEX(助手收入!$N$2:$N$66,助手收入!$R$275),"")</f>
        <v/>
      </c>
      <c r="G4107" s="76" t="str">
        <f aca="false">IF(助手收入!$T$275=1,INDEX(助手收入!$O$2:$O$66,助手收入!$R$275),"")</f>
        <v/>
      </c>
      <c r="H4107" s="74"/>
      <c r="I4107" s="77"/>
    </row>
    <row r="4108" customFormat="false" ht="6" hidden="false" customHeight="true" outlineLevel="0" collapsed="false"/>
    <row r="4109" customFormat="false" ht="13.5" hidden="false" customHeight="false" outlineLevel="0" collapsed="false">
      <c r="B4109" s="78" t="str">
        <f aca="false">IF(助手收入!$R$275&lt;&gt;"","会计主管：","")</f>
        <v/>
      </c>
      <c r="D4109" s="78" t="str">
        <f aca="false">IF(助手收入!$R$275&lt;&gt;"","会计：","")</f>
        <v/>
      </c>
      <c r="E4109" s="78" t="str">
        <f aca="false">IF(助手收入!$R$275&lt;&gt;"","出纳：","")</f>
        <v/>
      </c>
      <c r="F4109" s="78" t="str">
        <f aca="false">IF(助手收入!$R$275&lt;&gt;"","复核：","")</f>
        <v/>
      </c>
      <c r="G4109" s="78" t="str">
        <f aca="false">IF(助手收入!$R$275&lt;&gt;"","制单：","")</f>
        <v/>
      </c>
    </row>
    <row r="4110" customFormat="false" ht="3" hidden="false" customHeight="true" outlineLevel="0" collapsed="false"/>
    <row r="4111" customFormat="false" ht="19.5" hidden="false" customHeight="true" outlineLevel="0" collapsed="false">
      <c r="B4111" s="53" t="str">
        <f aca="false">IF(助手收入!$R$276&lt;&gt;"","记  账  凭  证","")</f>
        <v/>
      </c>
      <c r="C4111" s="53"/>
      <c r="D4111" s="53"/>
      <c r="E4111" s="53"/>
      <c r="F4111" s="53"/>
      <c r="G4111" s="53"/>
      <c r="H4111" s="53"/>
      <c r="I4111" s="53"/>
    </row>
    <row r="4112" customFormat="false" ht="3" hidden="false" customHeight="true" outlineLevel="0" collapsed="false"/>
    <row r="4113" customFormat="false" ht="15" hidden="false" customHeight="true" outlineLevel="0" collapsed="false">
      <c r="C4113" s="56" t="str">
        <f aca="false">IF(助手收入!$R$276&lt;&gt;"",INDEX(助手收入!$B$2:$B$66,助手收入!$R$276),"")</f>
        <v/>
      </c>
      <c r="D4113" s="57" t="str">
        <f aca="false">IF(助手收入!$R$276&lt;&gt;"",参数!$B$2,"")</f>
        <v/>
      </c>
      <c r="E4113" s="57"/>
      <c r="F4113" s="58" t="str">
        <f aca="false">IF(助手收入!$R$276&lt;&gt;"",INDEX(助手收入!$C$2:$C$66,助手收入!$R$276)&amp;"  字第 "&amp;IF(参数!$B$9="是",INDEX(助手收入!$P$2:$P$66,助手收入!$R$276),"　　　　")&amp;" 号"&amp;IF(INDEX(助手收入!$L$2:$L$66,助手收入!$R$276)&gt;1,"  (共"&amp;INDEX(助手收入!$L$2:$L$66,助手收入!$R$276)&amp;"页 第"&amp;助手收入!$S$276&amp;"页)",""),"")</f>
        <v/>
      </c>
      <c r="G4113" s="58"/>
      <c r="H4113" s="58"/>
      <c r="I4113" s="58"/>
      <c r="M4113" s="79" t="str">
        <f aca="false">IF(助手收入!$R$276="","",助手收入!$Q$276)</f>
        <v/>
      </c>
      <c r="N4113" s="80" t="str">
        <f aca="false">IF(助手收入!$R$276="","",INDEX(助手收入!$P$2:$P$66,助手收入!$R$276))</f>
        <v/>
      </c>
      <c r="O4113" s="55" t="str">
        <f aca="false">IF(助手收入!$R$276="","",INDEX(助手收入!$C$2:$C$66,助手收入!$R$276)&amp;"  字第 "&amp;INDEX(助手收入!$P$2:$P$66,助手收入!$R$276)&amp;" 号"&amp;IF(INDEX(助手收入!$L$2:$L$66,助手收入!$R$276)&gt;1,"  (共"&amp;INDEX(助手收入!$L$2:$L$66,助手收入!$R$276)&amp;"页 第"&amp;助手收入!$S$276&amp;"页)",""))</f>
        <v/>
      </c>
    </row>
    <row r="4114" customFormat="false" ht="12.75" hidden="false" customHeight="true" outlineLevel="0" collapsed="false">
      <c r="B4114" s="61" t="str">
        <f aca="false">IF(助手收入!$R$276&lt;&gt;"","摘　　要","")</f>
        <v/>
      </c>
      <c r="C4114" s="61"/>
      <c r="D4114" s="62" t="str">
        <f aca="false">IF(助手收入!$R$276&lt;&gt;"","科　　　　目","")</f>
        <v/>
      </c>
      <c r="E4114" s="62"/>
      <c r="F4114" s="61" t="str">
        <f aca="false">IF(助手收入!$R$276&lt;&gt;"","借 方 金 额","")</f>
        <v/>
      </c>
      <c r="G4114" s="62" t="str">
        <f aca="false">IF(助手收入!$R$276&lt;&gt;"","贷 方 金 额","")</f>
        <v/>
      </c>
      <c r="H4114" s="63" t="str">
        <f aca="false">IF(助手收入!$R$276&lt;&gt;"","√","")</f>
        <v/>
      </c>
      <c r="I4114" s="64" t="str">
        <f aca="false">IF(助手收入!$R$276&lt;&gt;"","附单据  张","")</f>
        <v/>
      </c>
    </row>
    <row r="4115" customFormat="false" ht="12.75" hidden="false" customHeight="true" outlineLevel="0" collapsed="false">
      <c r="B4115" s="61"/>
      <c r="C4115" s="61"/>
      <c r="D4115" s="23" t="str">
        <f aca="false">IF(助手收入!$R$276&lt;&gt;"","总 账 科 目","")</f>
        <v/>
      </c>
      <c r="E4115" s="23" t="str">
        <f aca="false">IF(助手收入!$R$276&lt;&gt;"","明 细 科 目","")</f>
        <v/>
      </c>
      <c r="F4115" s="65"/>
      <c r="G4115" s="66"/>
      <c r="H4115" s="63"/>
      <c r="I4115" s="64"/>
    </row>
    <row r="4116" customFormat="false" ht="23.25" hidden="false" customHeight="true" outlineLevel="0" collapsed="false">
      <c r="B4116" s="67" t="str">
        <f aca="false">IFERROR(INDEX(分录收入!$M:$M,MATCH($L4116,分录收入!$L:$L,0)),"")</f>
        <v/>
      </c>
      <c r="C4116" s="67"/>
      <c r="D4116" s="23" t="str">
        <f aca="false">IFERROR(INDEX(分录收入!$E:$E,MATCH($L4116,分录收入!$L:$L,0)),"")</f>
        <v/>
      </c>
      <c r="E4116" s="23" t="str">
        <f aca="false">IFERROR(INDEX(分录收入!$F:$F,MATCH($L4116,分录收入!$L:$L,0)),"")</f>
        <v/>
      </c>
      <c r="F4116" s="68" t="str">
        <f aca="false">IFERROR(INDEX(分录收入!$H:$H,MATCH($L4116,分录收入!$L:$L,0)),"")</f>
        <v/>
      </c>
      <c r="G4116" s="69" t="str">
        <f aca="false">IFERROR(INDEX(分录收入!$I:$I,MATCH($L4116,分录收入!$L:$L,0)),"")</f>
        <v/>
      </c>
      <c r="H4116" s="23"/>
      <c r="I4116" s="70"/>
      <c r="L4116" s="71" t="n">
        <f aca="false">IF(助手收入!$R$276="",-1,助手收入!$R$276*100+(助手收入!$S$276-1)*6+1)</f>
        <v>-1</v>
      </c>
    </row>
    <row r="4117" customFormat="false" ht="23.25" hidden="false" customHeight="true" outlineLevel="0" collapsed="false">
      <c r="B4117" s="67" t="str">
        <f aca="false">""</f>
        <v/>
      </c>
      <c r="C4117" s="67"/>
      <c r="D4117" s="23" t="str">
        <f aca="false">IFERROR(INDEX(分录收入!$E:$E,MATCH($L4117,分录收入!$L:$L,0)),"")</f>
        <v/>
      </c>
      <c r="E4117" s="23" t="str">
        <f aca="false">IFERROR(INDEX(分录收入!$F:$F,MATCH($L4117,分录收入!$L:$L,0)),"")</f>
        <v/>
      </c>
      <c r="F4117" s="68" t="str">
        <f aca="false">IFERROR(INDEX(分录收入!$H:$H,MATCH($L4117,分录收入!$L:$L,0)),"")</f>
        <v/>
      </c>
      <c r="G4117" s="69" t="str">
        <f aca="false">IFERROR(INDEX(分录收入!$I:$I,MATCH($L4117,分录收入!$L:$L,0)),"")</f>
        <v/>
      </c>
      <c r="H4117" s="23"/>
      <c r="I4117" s="70"/>
      <c r="L4117" s="71" t="n">
        <f aca="false">IF(助手收入!$R$276="",-1,助手收入!$R$276*100+(助手收入!$S$276-1)*6+2)</f>
        <v>-1</v>
      </c>
    </row>
    <row r="4118" customFormat="false" ht="23.25" hidden="false" customHeight="true" outlineLevel="0" collapsed="false">
      <c r="B4118" s="67" t="str">
        <f aca="false">""</f>
        <v/>
      </c>
      <c r="C4118" s="67"/>
      <c r="D4118" s="23" t="str">
        <f aca="false">IFERROR(INDEX(分录收入!$E:$E,MATCH($L4118,分录收入!$L:$L,0)),"")</f>
        <v/>
      </c>
      <c r="E4118" s="23" t="str">
        <f aca="false">IFERROR(INDEX(分录收入!$F:$F,MATCH($L4118,分录收入!$L:$L,0)),"")</f>
        <v/>
      </c>
      <c r="F4118" s="68" t="str">
        <f aca="false">IFERROR(INDEX(分录收入!$H:$H,MATCH($L4118,分录收入!$L:$L,0)),"")</f>
        <v/>
      </c>
      <c r="G4118" s="69" t="str">
        <f aca="false">IFERROR(INDEX(分录收入!$I:$I,MATCH($L4118,分录收入!$L:$L,0)),"")</f>
        <v/>
      </c>
      <c r="H4118" s="23"/>
      <c r="I4118" s="70"/>
      <c r="L4118" s="71" t="n">
        <f aca="false">IF(助手收入!$R$276="",-1,助手收入!$R$276*100+(助手收入!$S$276-1)*6+3)</f>
        <v>-1</v>
      </c>
    </row>
    <row r="4119" customFormat="false" ht="23.25" hidden="false" customHeight="true" outlineLevel="0" collapsed="false">
      <c r="B4119" s="67" t="str">
        <f aca="false">""</f>
        <v/>
      </c>
      <c r="C4119" s="67"/>
      <c r="D4119" s="23" t="str">
        <f aca="false">IFERROR(INDEX(分录收入!$E:$E,MATCH($L4119,分录收入!$L:$L,0)),"")</f>
        <v/>
      </c>
      <c r="E4119" s="23" t="str">
        <f aca="false">IFERROR(INDEX(分录收入!$F:$F,MATCH($L4119,分录收入!$L:$L,0)),"")</f>
        <v/>
      </c>
      <c r="F4119" s="68" t="str">
        <f aca="false">IFERROR(INDEX(分录收入!$H:$H,MATCH($L4119,分录收入!$L:$L,0)),"")</f>
        <v/>
      </c>
      <c r="G4119" s="69" t="str">
        <f aca="false">IFERROR(INDEX(分录收入!$I:$I,MATCH($L4119,分录收入!$L:$L,0)),"")</f>
        <v/>
      </c>
      <c r="H4119" s="23"/>
      <c r="I4119" s="70"/>
      <c r="L4119" s="71" t="n">
        <f aca="false">IF(助手收入!$R$276="",-1,助手收入!$R$276*100+(助手收入!$S$276-1)*6+4)</f>
        <v>-1</v>
      </c>
    </row>
    <row r="4120" customFormat="false" ht="23.25" hidden="false" customHeight="true" outlineLevel="0" collapsed="false">
      <c r="B4120" s="67" t="str">
        <f aca="false">""</f>
        <v/>
      </c>
      <c r="C4120" s="67"/>
      <c r="D4120" s="23" t="str">
        <f aca="false">IFERROR(INDEX(分录收入!$E:$E,MATCH($L4120,分录收入!$L:$L,0)),"")</f>
        <v/>
      </c>
      <c r="E4120" s="23" t="str">
        <f aca="false">IFERROR(INDEX(分录收入!$F:$F,MATCH($L4120,分录收入!$L:$L,0)),"")</f>
        <v/>
      </c>
      <c r="F4120" s="68" t="str">
        <f aca="false">IFERROR(INDEX(分录收入!$H:$H,MATCH($L4120,分录收入!$L:$L,0)),"")</f>
        <v/>
      </c>
      <c r="G4120" s="69" t="str">
        <f aca="false">IFERROR(INDEX(分录收入!$I:$I,MATCH($L4120,分录收入!$L:$L,0)),"")</f>
        <v/>
      </c>
      <c r="H4120" s="23"/>
      <c r="I4120" s="70"/>
      <c r="L4120" s="71" t="n">
        <f aca="false">IF(助手收入!$R$276="",-1,助手收入!$R$276*100+(助手收入!$S$276-1)*6+5)</f>
        <v>-1</v>
      </c>
    </row>
    <row r="4121" customFormat="false" ht="23.25" hidden="false" customHeight="true" outlineLevel="0" collapsed="false">
      <c r="B4121" s="67" t="str">
        <f aca="false">""</f>
        <v/>
      </c>
      <c r="C4121" s="67"/>
      <c r="D4121" s="23" t="str">
        <f aca="false">IFERROR(INDEX(分录收入!$E:$E,MATCH($L4121,分录收入!$L:$L,0)),"")</f>
        <v/>
      </c>
      <c r="E4121" s="23" t="str">
        <f aca="false">IFERROR(INDEX(分录收入!$F:$F,MATCH($L4121,分录收入!$L:$L,0)),"")</f>
        <v/>
      </c>
      <c r="F4121" s="68" t="str">
        <f aca="false">IFERROR(INDEX(分录收入!$H:$H,MATCH($L4121,分录收入!$L:$L,0)),"")</f>
        <v/>
      </c>
      <c r="G4121" s="69" t="str">
        <f aca="false">IFERROR(INDEX(分录收入!$I:$I,MATCH($L4121,分录收入!$L:$L,0)),"")</f>
        <v/>
      </c>
      <c r="H4121" s="23"/>
      <c r="I4121" s="70"/>
      <c r="L4121" s="71" t="n">
        <f aca="false">IF(助手收入!$R$276="",-1,助手收入!$R$276*100+(助手收入!$S$276-1)*6+6)</f>
        <v>-1</v>
      </c>
    </row>
    <row r="4122" customFormat="false" ht="23.25" hidden="false" customHeight="true" outlineLevel="0" collapsed="false">
      <c r="B4122" s="72" t="str">
        <f aca="false">IF(助手收入!$T$276=1,"合计：","")</f>
        <v/>
      </c>
      <c r="C4122" s="73" t="str">
        <f aca="false">IF(助手收入!$T$276=1,$F4122,"")</f>
        <v/>
      </c>
      <c r="D4122" s="74"/>
      <c r="E4122" s="74"/>
      <c r="F4122" s="75" t="str">
        <f aca="false">IF(助手收入!$T$276=1,INDEX(助手收入!$N$2:$N$66,助手收入!$R$276),"")</f>
        <v/>
      </c>
      <c r="G4122" s="76" t="str">
        <f aca="false">IF(助手收入!$T$276=1,INDEX(助手收入!$O$2:$O$66,助手收入!$R$276),"")</f>
        <v/>
      </c>
      <c r="H4122" s="74"/>
      <c r="I4122" s="77"/>
    </row>
    <row r="4123" customFormat="false" ht="6" hidden="false" customHeight="true" outlineLevel="0" collapsed="false"/>
    <row r="4124" customFormat="false" ht="13.5" hidden="false" customHeight="false" outlineLevel="0" collapsed="false">
      <c r="B4124" s="78" t="str">
        <f aca="false">IF(助手收入!$R$276&lt;&gt;"","会计主管：","")</f>
        <v/>
      </c>
      <c r="D4124" s="78" t="str">
        <f aca="false">IF(助手收入!$R$276&lt;&gt;"","会计：","")</f>
        <v/>
      </c>
      <c r="E4124" s="78" t="str">
        <f aca="false">IF(助手收入!$R$276&lt;&gt;"","出纳：","")</f>
        <v/>
      </c>
      <c r="F4124" s="78" t="str">
        <f aca="false">IF(助手收入!$R$276&lt;&gt;"","复核：","")</f>
        <v/>
      </c>
      <c r="G4124" s="78" t="str">
        <f aca="false">IF(助手收入!$R$276&lt;&gt;"","制单：","")</f>
        <v/>
      </c>
    </row>
    <row r="4125" customFormat="false" ht="3" hidden="false" customHeight="true" outlineLevel="0" collapsed="false"/>
    <row r="4126" customFormat="false" ht="19.5" hidden="false" customHeight="true" outlineLevel="0" collapsed="false">
      <c r="B4126" s="53" t="str">
        <f aca="false">IF(助手收入!$R$277&lt;&gt;"","记  账  凭  证","")</f>
        <v/>
      </c>
      <c r="C4126" s="53"/>
      <c r="D4126" s="53"/>
      <c r="E4126" s="53"/>
      <c r="F4126" s="53"/>
      <c r="G4126" s="53"/>
      <c r="H4126" s="53"/>
      <c r="I4126" s="53"/>
    </row>
    <row r="4127" customFormat="false" ht="3" hidden="false" customHeight="true" outlineLevel="0" collapsed="false"/>
    <row r="4128" customFormat="false" ht="15" hidden="false" customHeight="true" outlineLevel="0" collapsed="false">
      <c r="C4128" s="56" t="str">
        <f aca="false">IF(助手收入!$R$277&lt;&gt;"",INDEX(助手收入!$B$2:$B$66,助手收入!$R$277),"")</f>
        <v/>
      </c>
      <c r="D4128" s="57" t="str">
        <f aca="false">IF(助手收入!$R$277&lt;&gt;"",参数!$B$2,"")</f>
        <v/>
      </c>
      <c r="E4128" s="57"/>
      <c r="F4128" s="58" t="str">
        <f aca="false">IF(助手收入!$R$277&lt;&gt;"",INDEX(助手收入!$C$2:$C$66,助手收入!$R$277)&amp;"  字第 "&amp;IF(参数!$B$9="是",INDEX(助手收入!$P$2:$P$66,助手收入!$R$277),"　　　　")&amp;" 号"&amp;IF(INDEX(助手收入!$L$2:$L$66,助手收入!$R$277)&gt;1,"  (共"&amp;INDEX(助手收入!$L$2:$L$66,助手收入!$R$277)&amp;"页 第"&amp;助手收入!$S$277&amp;"页)",""),"")</f>
        <v/>
      </c>
      <c r="G4128" s="58"/>
      <c r="H4128" s="58"/>
      <c r="I4128" s="58"/>
      <c r="M4128" s="79" t="str">
        <f aca="false">IF(助手收入!$R$277="","",助手收入!$Q$277)</f>
        <v/>
      </c>
      <c r="N4128" s="80" t="str">
        <f aca="false">IF(助手收入!$R$277="","",INDEX(助手收入!$P$2:$P$66,助手收入!$R$277))</f>
        <v/>
      </c>
      <c r="O4128" s="55" t="str">
        <f aca="false">IF(助手收入!$R$277="","",INDEX(助手收入!$C$2:$C$66,助手收入!$R$277)&amp;"  字第 "&amp;INDEX(助手收入!$P$2:$P$66,助手收入!$R$277)&amp;" 号"&amp;IF(INDEX(助手收入!$L$2:$L$66,助手收入!$R$277)&gt;1,"  (共"&amp;INDEX(助手收入!$L$2:$L$66,助手收入!$R$277)&amp;"页 第"&amp;助手收入!$S$277&amp;"页)",""))</f>
        <v/>
      </c>
    </row>
    <row r="4129" customFormat="false" ht="12.75" hidden="false" customHeight="true" outlineLevel="0" collapsed="false">
      <c r="B4129" s="61" t="str">
        <f aca="false">IF(助手收入!$R$277&lt;&gt;"","摘　　要","")</f>
        <v/>
      </c>
      <c r="C4129" s="61"/>
      <c r="D4129" s="62" t="str">
        <f aca="false">IF(助手收入!$R$277&lt;&gt;"","科　　　　目","")</f>
        <v/>
      </c>
      <c r="E4129" s="62"/>
      <c r="F4129" s="61" t="str">
        <f aca="false">IF(助手收入!$R$277&lt;&gt;"","借 方 金 额","")</f>
        <v/>
      </c>
      <c r="G4129" s="62" t="str">
        <f aca="false">IF(助手收入!$R$277&lt;&gt;"","贷 方 金 额","")</f>
        <v/>
      </c>
      <c r="H4129" s="63" t="str">
        <f aca="false">IF(助手收入!$R$277&lt;&gt;"","√","")</f>
        <v/>
      </c>
      <c r="I4129" s="64" t="str">
        <f aca="false">IF(助手收入!$R$277&lt;&gt;"","附单据  张","")</f>
        <v/>
      </c>
    </row>
    <row r="4130" customFormat="false" ht="12.75" hidden="false" customHeight="true" outlineLevel="0" collapsed="false">
      <c r="B4130" s="61"/>
      <c r="C4130" s="61"/>
      <c r="D4130" s="23" t="str">
        <f aca="false">IF(助手收入!$R$277&lt;&gt;"","总 账 科 目","")</f>
        <v/>
      </c>
      <c r="E4130" s="23" t="str">
        <f aca="false">IF(助手收入!$R$277&lt;&gt;"","明 细 科 目","")</f>
        <v/>
      </c>
      <c r="F4130" s="65"/>
      <c r="G4130" s="66"/>
      <c r="H4130" s="63"/>
      <c r="I4130" s="64"/>
    </row>
    <row r="4131" customFormat="false" ht="23.25" hidden="false" customHeight="true" outlineLevel="0" collapsed="false">
      <c r="B4131" s="67" t="str">
        <f aca="false">IFERROR(INDEX(分录收入!$M:$M,MATCH($L4131,分录收入!$L:$L,0)),"")</f>
        <v/>
      </c>
      <c r="C4131" s="67"/>
      <c r="D4131" s="23" t="str">
        <f aca="false">IFERROR(INDEX(分录收入!$E:$E,MATCH($L4131,分录收入!$L:$L,0)),"")</f>
        <v/>
      </c>
      <c r="E4131" s="23" t="str">
        <f aca="false">IFERROR(INDEX(分录收入!$F:$F,MATCH($L4131,分录收入!$L:$L,0)),"")</f>
        <v/>
      </c>
      <c r="F4131" s="68" t="str">
        <f aca="false">IFERROR(INDEX(分录收入!$H:$H,MATCH($L4131,分录收入!$L:$L,0)),"")</f>
        <v/>
      </c>
      <c r="G4131" s="69" t="str">
        <f aca="false">IFERROR(INDEX(分录收入!$I:$I,MATCH($L4131,分录收入!$L:$L,0)),"")</f>
        <v/>
      </c>
      <c r="H4131" s="23"/>
      <c r="I4131" s="70"/>
      <c r="L4131" s="71" t="n">
        <f aca="false">IF(助手收入!$R$277="",-1,助手收入!$R$277*100+(助手收入!$S$277-1)*6+1)</f>
        <v>-1</v>
      </c>
    </row>
    <row r="4132" customFormat="false" ht="23.25" hidden="false" customHeight="true" outlineLevel="0" collapsed="false">
      <c r="B4132" s="67" t="str">
        <f aca="false">""</f>
        <v/>
      </c>
      <c r="C4132" s="67"/>
      <c r="D4132" s="23" t="str">
        <f aca="false">IFERROR(INDEX(分录收入!$E:$E,MATCH($L4132,分录收入!$L:$L,0)),"")</f>
        <v/>
      </c>
      <c r="E4132" s="23" t="str">
        <f aca="false">IFERROR(INDEX(分录收入!$F:$F,MATCH($L4132,分录收入!$L:$L,0)),"")</f>
        <v/>
      </c>
      <c r="F4132" s="68" t="str">
        <f aca="false">IFERROR(INDEX(分录收入!$H:$H,MATCH($L4132,分录收入!$L:$L,0)),"")</f>
        <v/>
      </c>
      <c r="G4132" s="69" t="str">
        <f aca="false">IFERROR(INDEX(分录收入!$I:$I,MATCH($L4132,分录收入!$L:$L,0)),"")</f>
        <v/>
      </c>
      <c r="H4132" s="23"/>
      <c r="I4132" s="70"/>
      <c r="L4132" s="71" t="n">
        <f aca="false">IF(助手收入!$R$277="",-1,助手收入!$R$277*100+(助手收入!$S$277-1)*6+2)</f>
        <v>-1</v>
      </c>
    </row>
    <row r="4133" customFormat="false" ht="23.25" hidden="false" customHeight="true" outlineLevel="0" collapsed="false">
      <c r="B4133" s="67" t="str">
        <f aca="false">""</f>
        <v/>
      </c>
      <c r="C4133" s="67"/>
      <c r="D4133" s="23" t="str">
        <f aca="false">IFERROR(INDEX(分录收入!$E:$E,MATCH($L4133,分录收入!$L:$L,0)),"")</f>
        <v/>
      </c>
      <c r="E4133" s="23" t="str">
        <f aca="false">IFERROR(INDEX(分录收入!$F:$F,MATCH($L4133,分录收入!$L:$L,0)),"")</f>
        <v/>
      </c>
      <c r="F4133" s="68" t="str">
        <f aca="false">IFERROR(INDEX(分录收入!$H:$H,MATCH($L4133,分录收入!$L:$L,0)),"")</f>
        <v/>
      </c>
      <c r="G4133" s="69" t="str">
        <f aca="false">IFERROR(INDEX(分录收入!$I:$I,MATCH($L4133,分录收入!$L:$L,0)),"")</f>
        <v/>
      </c>
      <c r="H4133" s="23"/>
      <c r="I4133" s="70"/>
      <c r="L4133" s="71" t="n">
        <f aca="false">IF(助手收入!$R$277="",-1,助手收入!$R$277*100+(助手收入!$S$277-1)*6+3)</f>
        <v>-1</v>
      </c>
    </row>
    <row r="4134" customFormat="false" ht="23.25" hidden="false" customHeight="true" outlineLevel="0" collapsed="false">
      <c r="B4134" s="67" t="str">
        <f aca="false">""</f>
        <v/>
      </c>
      <c r="C4134" s="67"/>
      <c r="D4134" s="23" t="str">
        <f aca="false">IFERROR(INDEX(分录收入!$E:$E,MATCH($L4134,分录收入!$L:$L,0)),"")</f>
        <v/>
      </c>
      <c r="E4134" s="23" t="str">
        <f aca="false">IFERROR(INDEX(分录收入!$F:$F,MATCH($L4134,分录收入!$L:$L,0)),"")</f>
        <v/>
      </c>
      <c r="F4134" s="68" t="str">
        <f aca="false">IFERROR(INDEX(分录收入!$H:$H,MATCH($L4134,分录收入!$L:$L,0)),"")</f>
        <v/>
      </c>
      <c r="G4134" s="69" t="str">
        <f aca="false">IFERROR(INDEX(分录收入!$I:$I,MATCH($L4134,分录收入!$L:$L,0)),"")</f>
        <v/>
      </c>
      <c r="H4134" s="23"/>
      <c r="I4134" s="70"/>
      <c r="L4134" s="71" t="n">
        <f aca="false">IF(助手收入!$R$277="",-1,助手收入!$R$277*100+(助手收入!$S$277-1)*6+4)</f>
        <v>-1</v>
      </c>
    </row>
    <row r="4135" customFormat="false" ht="23.25" hidden="false" customHeight="true" outlineLevel="0" collapsed="false">
      <c r="B4135" s="67" t="str">
        <f aca="false">""</f>
        <v/>
      </c>
      <c r="C4135" s="67"/>
      <c r="D4135" s="23" t="str">
        <f aca="false">IFERROR(INDEX(分录收入!$E:$E,MATCH($L4135,分录收入!$L:$L,0)),"")</f>
        <v/>
      </c>
      <c r="E4135" s="23" t="str">
        <f aca="false">IFERROR(INDEX(分录收入!$F:$F,MATCH($L4135,分录收入!$L:$L,0)),"")</f>
        <v/>
      </c>
      <c r="F4135" s="68" t="str">
        <f aca="false">IFERROR(INDEX(分录收入!$H:$H,MATCH($L4135,分录收入!$L:$L,0)),"")</f>
        <v/>
      </c>
      <c r="G4135" s="69" t="str">
        <f aca="false">IFERROR(INDEX(分录收入!$I:$I,MATCH($L4135,分录收入!$L:$L,0)),"")</f>
        <v/>
      </c>
      <c r="H4135" s="23"/>
      <c r="I4135" s="70"/>
      <c r="L4135" s="71" t="n">
        <f aca="false">IF(助手收入!$R$277="",-1,助手收入!$R$277*100+(助手收入!$S$277-1)*6+5)</f>
        <v>-1</v>
      </c>
    </row>
    <row r="4136" customFormat="false" ht="23.25" hidden="false" customHeight="true" outlineLevel="0" collapsed="false">
      <c r="B4136" s="67" t="str">
        <f aca="false">""</f>
        <v/>
      </c>
      <c r="C4136" s="67"/>
      <c r="D4136" s="23" t="str">
        <f aca="false">IFERROR(INDEX(分录收入!$E:$E,MATCH($L4136,分录收入!$L:$L,0)),"")</f>
        <v/>
      </c>
      <c r="E4136" s="23" t="str">
        <f aca="false">IFERROR(INDEX(分录收入!$F:$F,MATCH($L4136,分录收入!$L:$L,0)),"")</f>
        <v/>
      </c>
      <c r="F4136" s="68" t="str">
        <f aca="false">IFERROR(INDEX(分录收入!$H:$H,MATCH($L4136,分录收入!$L:$L,0)),"")</f>
        <v/>
      </c>
      <c r="G4136" s="69" t="str">
        <f aca="false">IFERROR(INDEX(分录收入!$I:$I,MATCH($L4136,分录收入!$L:$L,0)),"")</f>
        <v/>
      </c>
      <c r="H4136" s="23"/>
      <c r="I4136" s="70"/>
      <c r="L4136" s="71" t="n">
        <f aca="false">IF(助手收入!$R$277="",-1,助手收入!$R$277*100+(助手收入!$S$277-1)*6+6)</f>
        <v>-1</v>
      </c>
    </row>
    <row r="4137" customFormat="false" ht="23.25" hidden="false" customHeight="true" outlineLevel="0" collapsed="false">
      <c r="B4137" s="72" t="str">
        <f aca="false">IF(助手收入!$T$277=1,"合计：","")</f>
        <v/>
      </c>
      <c r="C4137" s="73" t="str">
        <f aca="false">IF(助手收入!$T$277=1,$F4137,"")</f>
        <v/>
      </c>
      <c r="D4137" s="74"/>
      <c r="E4137" s="74"/>
      <c r="F4137" s="75" t="str">
        <f aca="false">IF(助手收入!$T$277=1,INDEX(助手收入!$N$2:$N$66,助手收入!$R$277),"")</f>
        <v/>
      </c>
      <c r="G4137" s="76" t="str">
        <f aca="false">IF(助手收入!$T$277=1,INDEX(助手收入!$O$2:$O$66,助手收入!$R$277),"")</f>
        <v/>
      </c>
      <c r="H4137" s="74"/>
      <c r="I4137" s="77"/>
    </row>
    <row r="4138" customFormat="false" ht="6" hidden="false" customHeight="true" outlineLevel="0" collapsed="false"/>
    <row r="4139" customFormat="false" ht="13.5" hidden="false" customHeight="false" outlineLevel="0" collapsed="false">
      <c r="B4139" s="78" t="str">
        <f aca="false">IF(助手收入!$R$277&lt;&gt;"","会计主管：","")</f>
        <v/>
      </c>
      <c r="D4139" s="78" t="str">
        <f aca="false">IF(助手收入!$R$277&lt;&gt;"","会计：","")</f>
        <v/>
      </c>
      <c r="E4139" s="78" t="str">
        <f aca="false">IF(助手收入!$R$277&lt;&gt;"","出纳：","")</f>
        <v/>
      </c>
      <c r="F4139" s="78" t="str">
        <f aca="false">IF(助手收入!$R$277&lt;&gt;"","复核：","")</f>
        <v/>
      </c>
      <c r="G4139" s="78" t="str">
        <f aca="false">IF(助手收入!$R$277&lt;&gt;"","制单：","")</f>
        <v/>
      </c>
    </row>
    <row r="4140" customFormat="false" ht="3" hidden="false" customHeight="true" outlineLevel="0" collapsed="false"/>
    <row r="4141" customFormat="false" ht="19.5" hidden="false" customHeight="true" outlineLevel="0" collapsed="false">
      <c r="B4141" s="53" t="str">
        <f aca="false">IF(助手收入!$R$278&lt;&gt;"","记  账  凭  证","")</f>
        <v/>
      </c>
      <c r="C4141" s="53"/>
      <c r="D4141" s="53"/>
      <c r="E4141" s="53"/>
      <c r="F4141" s="53"/>
      <c r="G4141" s="53"/>
      <c r="H4141" s="53"/>
      <c r="I4141" s="53"/>
    </row>
    <row r="4142" customFormat="false" ht="3" hidden="false" customHeight="true" outlineLevel="0" collapsed="false"/>
    <row r="4143" customFormat="false" ht="15" hidden="false" customHeight="true" outlineLevel="0" collapsed="false">
      <c r="C4143" s="56" t="str">
        <f aca="false">IF(助手收入!$R$278&lt;&gt;"",INDEX(助手收入!$B$2:$B$66,助手收入!$R$278),"")</f>
        <v/>
      </c>
      <c r="D4143" s="57" t="str">
        <f aca="false">IF(助手收入!$R$278&lt;&gt;"",参数!$B$2,"")</f>
        <v/>
      </c>
      <c r="E4143" s="57"/>
      <c r="F4143" s="58" t="str">
        <f aca="false">IF(助手收入!$R$278&lt;&gt;"",INDEX(助手收入!$C$2:$C$66,助手收入!$R$278)&amp;"  字第 "&amp;IF(参数!$B$9="是",INDEX(助手收入!$P$2:$P$66,助手收入!$R$278),"　　　　")&amp;" 号"&amp;IF(INDEX(助手收入!$L$2:$L$66,助手收入!$R$278)&gt;1,"  (共"&amp;INDEX(助手收入!$L$2:$L$66,助手收入!$R$278)&amp;"页 第"&amp;助手收入!$S$278&amp;"页)",""),"")</f>
        <v/>
      </c>
      <c r="G4143" s="58"/>
      <c r="H4143" s="58"/>
      <c r="I4143" s="58"/>
      <c r="M4143" s="79" t="str">
        <f aca="false">IF(助手收入!$R$278="","",助手收入!$Q$278)</f>
        <v/>
      </c>
      <c r="N4143" s="80" t="str">
        <f aca="false">IF(助手收入!$R$278="","",INDEX(助手收入!$P$2:$P$66,助手收入!$R$278))</f>
        <v/>
      </c>
      <c r="O4143" s="55" t="str">
        <f aca="false">IF(助手收入!$R$278="","",INDEX(助手收入!$C$2:$C$66,助手收入!$R$278)&amp;"  字第 "&amp;INDEX(助手收入!$P$2:$P$66,助手收入!$R$278)&amp;" 号"&amp;IF(INDEX(助手收入!$L$2:$L$66,助手收入!$R$278)&gt;1,"  (共"&amp;INDEX(助手收入!$L$2:$L$66,助手收入!$R$278)&amp;"页 第"&amp;助手收入!$S$278&amp;"页)",""))</f>
        <v/>
      </c>
    </row>
    <row r="4144" customFormat="false" ht="12.75" hidden="false" customHeight="true" outlineLevel="0" collapsed="false">
      <c r="B4144" s="61" t="str">
        <f aca="false">IF(助手收入!$R$278&lt;&gt;"","摘　　要","")</f>
        <v/>
      </c>
      <c r="C4144" s="61"/>
      <c r="D4144" s="62" t="str">
        <f aca="false">IF(助手收入!$R$278&lt;&gt;"","科　　　　目","")</f>
        <v/>
      </c>
      <c r="E4144" s="62"/>
      <c r="F4144" s="61" t="str">
        <f aca="false">IF(助手收入!$R$278&lt;&gt;"","借 方 金 额","")</f>
        <v/>
      </c>
      <c r="G4144" s="62" t="str">
        <f aca="false">IF(助手收入!$R$278&lt;&gt;"","贷 方 金 额","")</f>
        <v/>
      </c>
      <c r="H4144" s="63" t="str">
        <f aca="false">IF(助手收入!$R$278&lt;&gt;"","√","")</f>
        <v/>
      </c>
      <c r="I4144" s="64" t="str">
        <f aca="false">IF(助手收入!$R$278&lt;&gt;"","附单据  张","")</f>
        <v/>
      </c>
    </row>
    <row r="4145" customFormat="false" ht="12.75" hidden="false" customHeight="true" outlineLevel="0" collapsed="false">
      <c r="B4145" s="61"/>
      <c r="C4145" s="61"/>
      <c r="D4145" s="23" t="str">
        <f aca="false">IF(助手收入!$R$278&lt;&gt;"","总 账 科 目","")</f>
        <v/>
      </c>
      <c r="E4145" s="23" t="str">
        <f aca="false">IF(助手收入!$R$278&lt;&gt;"","明 细 科 目","")</f>
        <v/>
      </c>
      <c r="F4145" s="65"/>
      <c r="G4145" s="66"/>
      <c r="H4145" s="63"/>
      <c r="I4145" s="64"/>
    </row>
    <row r="4146" customFormat="false" ht="23.25" hidden="false" customHeight="true" outlineLevel="0" collapsed="false">
      <c r="B4146" s="67" t="str">
        <f aca="false">IFERROR(INDEX(分录收入!$M:$M,MATCH($L4146,分录收入!$L:$L,0)),"")</f>
        <v/>
      </c>
      <c r="C4146" s="67"/>
      <c r="D4146" s="23" t="str">
        <f aca="false">IFERROR(INDEX(分录收入!$E:$E,MATCH($L4146,分录收入!$L:$L,0)),"")</f>
        <v/>
      </c>
      <c r="E4146" s="23" t="str">
        <f aca="false">IFERROR(INDEX(分录收入!$F:$F,MATCH($L4146,分录收入!$L:$L,0)),"")</f>
        <v/>
      </c>
      <c r="F4146" s="68" t="str">
        <f aca="false">IFERROR(INDEX(分录收入!$H:$H,MATCH($L4146,分录收入!$L:$L,0)),"")</f>
        <v/>
      </c>
      <c r="G4146" s="69" t="str">
        <f aca="false">IFERROR(INDEX(分录收入!$I:$I,MATCH($L4146,分录收入!$L:$L,0)),"")</f>
        <v/>
      </c>
      <c r="H4146" s="23"/>
      <c r="I4146" s="70"/>
      <c r="L4146" s="71" t="n">
        <f aca="false">IF(助手收入!$R$278="",-1,助手收入!$R$278*100+(助手收入!$S$278-1)*6+1)</f>
        <v>-1</v>
      </c>
    </row>
    <row r="4147" customFormat="false" ht="23.25" hidden="false" customHeight="true" outlineLevel="0" collapsed="false">
      <c r="B4147" s="67" t="str">
        <f aca="false">""</f>
        <v/>
      </c>
      <c r="C4147" s="67"/>
      <c r="D4147" s="23" t="str">
        <f aca="false">IFERROR(INDEX(分录收入!$E:$E,MATCH($L4147,分录收入!$L:$L,0)),"")</f>
        <v/>
      </c>
      <c r="E4147" s="23" t="str">
        <f aca="false">IFERROR(INDEX(分录收入!$F:$F,MATCH($L4147,分录收入!$L:$L,0)),"")</f>
        <v/>
      </c>
      <c r="F4147" s="68" t="str">
        <f aca="false">IFERROR(INDEX(分录收入!$H:$H,MATCH($L4147,分录收入!$L:$L,0)),"")</f>
        <v/>
      </c>
      <c r="G4147" s="69" t="str">
        <f aca="false">IFERROR(INDEX(分录收入!$I:$I,MATCH($L4147,分录收入!$L:$L,0)),"")</f>
        <v/>
      </c>
      <c r="H4147" s="23"/>
      <c r="I4147" s="70"/>
      <c r="L4147" s="71" t="n">
        <f aca="false">IF(助手收入!$R$278="",-1,助手收入!$R$278*100+(助手收入!$S$278-1)*6+2)</f>
        <v>-1</v>
      </c>
    </row>
    <row r="4148" customFormat="false" ht="23.25" hidden="false" customHeight="true" outlineLevel="0" collapsed="false">
      <c r="B4148" s="67" t="str">
        <f aca="false">""</f>
        <v/>
      </c>
      <c r="C4148" s="67"/>
      <c r="D4148" s="23" t="str">
        <f aca="false">IFERROR(INDEX(分录收入!$E:$E,MATCH($L4148,分录收入!$L:$L,0)),"")</f>
        <v/>
      </c>
      <c r="E4148" s="23" t="str">
        <f aca="false">IFERROR(INDEX(分录收入!$F:$F,MATCH($L4148,分录收入!$L:$L,0)),"")</f>
        <v/>
      </c>
      <c r="F4148" s="68" t="str">
        <f aca="false">IFERROR(INDEX(分录收入!$H:$H,MATCH($L4148,分录收入!$L:$L,0)),"")</f>
        <v/>
      </c>
      <c r="G4148" s="69" t="str">
        <f aca="false">IFERROR(INDEX(分录收入!$I:$I,MATCH($L4148,分录收入!$L:$L,0)),"")</f>
        <v/>
      </c>
      <c r="H4148" s="23"/>
      <c r="I4148" s="70"/>
      <c r="L4148" s="71" t="n">
        <f aca="false">IF(助手收入!$R$278="",-1,助手收入!$R$278*100+(助手收入!$S$278-1)*6+3)</f>
        <v>-1</v>
      </c>
    </row>
    <row r="4149" customFormat="false" ht="23.25" hidden="false" customHeight="true" outlineLevel="0" collapsed="false">
      <c r="B4149" s="67" t="str">
        <f aca="false">""</f>
        <v/>
      </c>
      <c r="C4149" s="67"/>
      <c r="D4149" s="23" t="str">
        <f aca="false">IFERROR(INDEX(分录收入!$E:$E,MATCH($L4149,分录收入!$L:$L,0)),"")</f>
        <v/>
      </c>
      <c r="E4149" s="23" t="str">
        <f aca="false">IFERROR(INDEX(分录收入!$F:$F,MATCH($L4149,分录收入!$L:$L,0)),"")</f>
        <v/>
      </c>
      <c r="F4149" s="68" t="str">
        <f aca="false">IFERROR(INDEX(分录收入!$H:$H,MATCH($L4149,分录收入!$L:$L,0)),"")</f>
        <v/>
      </c>
      <c r="G4149" s="69" t="str">
        <f aca="false">IFERROR(INDEX(分录收入!$I:$I,MATCH($L4149,分录收入!$L:$L,0)),"")</f>
        <v/>
      </c>
      <c r="H4149" s="23"/>
      <c r="I4149" s="70"/>
      <c r="L4149" s="71" t="n">
        <f aca="false">IF(助手收入!$R$278="",-1,助手收入!$R$278*100+(助手收入!$S$278-1)*6+4)</f>
        <v>-1</v>
      </c>
    </row>
    <row r="4150" customFormat="false" ht="23.25" hidden="false" customHeight="true" outlineLevel="0" collapsed="false">
      <c r="B4150" s="67" t="str">
        <f aca="false">""</f>
        <v/>
      </c>
      <c r="C4150" s="67"/>
      <c r="D4150" s="23" t="str">
        <f aca="false">IFERROR(INDEX(分录收入!$E:$E,MATCH($L4150,分录收入!$L:$L,0)),"")</f>
        <v/>
      </c>
      <c r="E4150" s="23" t="str">
        <f aca="false">IFERROR(INDEX(分录收入!$F:$F,MATCH($L4150,分录收入!$L:$L,0)),"")</f>
        <v/>
      </c>
      <c r="F4150" s="68" t="str">
        <f aca="false">IFERROR(INDEX(分录收入!$H:$H,MATCH($L4150,分录收入!$L:$L,0)),"")</f>
        <v/>
      </c>
      <c r="G4150" s="69" t="str">
        <f aca="false">IFERROR(INDEX(分录收入!$I:$I,MATCH($L4150,分录收入!$L:$L,0)),"")</f>
        <v/>
      </c>
      <c r="H4150" s="23"/>
      <c r="I4150" s="70"/>
      <c r="L4150" s="71" t="n">
        <f aca="false">IF(助手收入!$R$278="",-1,助手收入!$R$278*100+(助手收入!$S$278-1)*6+5)</f>
        <v>-1</v>
      </c>
    </row>
    <row r="4151" customFormat="false" ht="23.25" hidden="false" customHeight="true" outlineLevel="0" collapsed="false">
      <c r="B4151" s="67" t="str">
        <f aca="false">""</f>
        <v/>
      </c>
      <c r="C4151" s="67"/>
      <c r="D4151" s="23" t="str">
        <f aca="false">IFERROR(INDEX(分录收入!$E:$E,MATCH($L4151,分录收入!$L:$L,0)),"")</f>
        <v/>
      </c>
      <c r="E4151" s="23" t="str">
        <f aca="false">IFERROR(INDEX(分录收入!$F:$F,MATCH($L4151,分录收入!$L:$L,0)),"")</f>
        <v/>
      </c>
      <c r="F4151" s="68" t="str">
        <f aca="false">IFERROR(INDEX(分录收入!$H:$H,MATCH($L4151,分录收入!$L:$L,0)),"")</f>
        <v/>
      </c>
      <c r="G4151" s="69" t="str">
        <f aca="false">IFERROR(INDEX(分录收入!$I:$I,MATCH($L4151,分录收入!$L:$L,0)),"")</f>
        <v/>
      </c>
      <c r="H4151" s="23"/>
      <c r="I4151" s="70"/>
      <c r="L4151" s="71" t="n">
        <f aca="false">IF(助手收入!$R$278="",-1,助手收入!$R$278*100+(助手收入!$S$278-1)*6+6)</f>
        <v>-1</v>
      </c>
    </row>
    <row r="4152" customFormat="false" ht="23.25" hidden="false" customHeight="true" outlineLevel="0" collapsed="false">
      <c r="B4152" s="72" t="str">
        <f aca="false">IF(助手收入!$T$278=1,"合计：","")</f>
        <v/>
      </c>
      <c r="C4152" s="73" t="str">
        <f aca="false">IF(助手收入!$T$278=1,$F4152,"")</f>
        <v/>
      </c>
      <c r="D4152" s="74"/>
      <c r="E4152" s="74"/>
      <c r="F4152" s="75" t="str">
        <f aca="false">IF(助手收入!$T$278=1,INDEX(助手收入!$N$2:$N$66,助手收入!$R$278),"")</f>
        <v/>
      </c>
      <c r="G4152" s="76" t="str">
        <f aca="false">IF(助手收入!$T$278=1,INDEX(助手收入!$O$2:$O$66,助手收入!$R$278),"")</f>
        <v/>
      </c>
      <c r="H4152" s="74"/>
      <c r="I4152" s="77"/>
    </row>
    <row r="4153" customFormat="false" ht="6" hidden="false" customHeight="true" outlineLevel="0" collapsed="false"/>
    <row r="4154" customFormat="false" ht="13.5" hidden="false" customHeight="false" outlineLevel="0" collapsed="false">
      <c r="B4154" s="78" t="str">
        <f aca="false">IF(助手收入!$R$278&lt;&gt;"","会计主管：","")</f>
        <v/>
      </c>
      <c r="D4154" s="78" t="str">
        <f aca="false">IF(助手收入!$R$278&lt;&gt;"","会计：","")</f>
        <v/>
      </c>
      <c r="E4154" s="78" t="str">
        <f aca="false">IF(助手收入!$R$278&lt;&gt;"","出纳：","")</f>
        <v/>
      </c>
      <c r="F4154" s="78" t="str">
        <f aca="false">IF(助手收入!$R$278&lt;&gt;"","复核：","")</f>
        <v/>
      </c>
      <c r="G4154" s="78" t="str">
        <f aca="false">IF(助手收入!$R$278&lt;&gt;"","制单：","")</f>
        <v/>
      </c>
    </row>
    <row r="4155" customFormat="false" ht="3" hidden="false" customHeight="true" outlineLevel="0" collapsed="false"/>
    <row r="4156" customFormat="false" ht="19.5" hidden="false" customHeight="true" outlineLevel="0" collapsed="false">
      <c r="B4156" s="53" t="str">
        <f aca="false">IF(助手收入!$R$279&lt;&gt;"","记  账  凭  证","")</f>
        <v/>
      </c>
      <c r="C4156" s="53"/>
      <c r="D4156" s="53"/>
      <c r="E4156" s="53"/>
      <c r="F4156" s="53"/>
      <c r="G4156" s="53"/>
      <c r="H4156" s="53"/>
      <c r="I4156" s="53"/>
    </row>
    <row r="4157" customFormat="false" ht="3" hidden="false" customHeight="true" outlineLevel="0" collapsed="false"/>
    <row r="4158" customFormat="false" ht="15" hidden="false" customHeight="true" outlineLevel="0" collapsed="false">
      <c r="C4158" s="56" t="str">
        <f aca="false">IF(助手收入!$R$279&lt;&gt;"",INDEX(助手收入!$B$2:$B$66,助手收入!$R$279),"")</f>
        <v/>
      </c>
      <c r="D4158" s="57" t="str">
        <f aca="false">IF(助手收入!$R$279&lt;&gt;"",参数!$B$2,"")</f>
        <v/>
      </c>
      <c r="E4158" s="57"/>
      <c r="F4158" s="58" t="str">
        <f aca="false">IF(助手收入!$R$279&lt;&gt;"",INDEX(助手收入!$C$2:$C$66,助手收入!$R$279)&amp;"  字第 "&amp;IF(参数!$B$9="是",INDEX(助手收入!$P$2:$P$66,助手收入!$R$279),"　　　　")&amp;" 号"&amp;IF(INDEX(助手收入!$L$2:$L$66,助手收入!$R$279)&gt;1,"  (共"&amp;INDEX(助手收入!$L$2:$L$66,助手收入!$R$279)&amp;"页 第"&amp;助手收入!$S$279&amp;"页)",""),"")</f>
        <v/>
      </c>
      <c r="G4158" s="58"/>
      <c r="H4158" s="58"/>
      <c r="I4158" s="58"/>
      <c r="M4158" s="79" t="str">
        <f aca="false">IF(助手收入!$R$279="","",助手收入!$Q$279)</f>
        <v/>
      </c>
      <c r="N4158" s="80" t="str">
        <f aca="false">IF(助手收入!$R$279="","",INDEX(助手收入!$P$2:$P$66,助手收入!$R$279))</f>
        <v/>
      </c>
      <c r="O4158" s="55" t="str">
        <f aca="false">IF(助手收入!$R$279="","",INDEX(助手收入!$C$2:$C$66,助手收入!$R$279)&amp;"  字第 "&amp;INDEX(助手收入!$P$2:$P$66,助手收入!$R$279)&amp;" 号"&amp;IF(INDEX(助手收入!$L$2:$L$66,助手收入!$R$279)&gt;1,"  (共"&amp;INDEX(助手收入!$L$2:$L$66,助手收入!$R$279)&amp;"页 第"&amp;助手收入!$S$279&amp;"页)",""))</f>
        <v/>
      </c>
    </row>
    <row r="4159" customFormat="false" ht="12.75" hidden="false" customHeight="true" outlineLevel="0" collapsed="false">
      <c r="B4159" s="61" t="str">
        <f aca="false">IF(助手收入!$R$279&lt;&gt;"","摘　　要","")</f>
        <v/>
      </c>
      <c r="C4159" s="61"/>
      <c r="D4159" s="62" t="str">
        <f aca="false">IF(助手收入!$R$279&lt;&gt;"","科　　　　目","")</f>
        <v/>
      </c>
      <c r="E4159" s="62"/>
      <c r="F4159" s="61" t="str">
        <f aca="false">IF(助手收入!$R$279&lt;&gt;"","借 方 金 额","")</f>
        <v/>
      </c>
      <c r="G4159" s="62" t="str">
        <f aca="false">IF(助手收入!$R$279&lt;&gt;"","贷 方 金 额","")</f>
        <v/>
      </c>
      <c r="H4159" s="63" t="str">
        <f aca="false">IF(助手收入!$R$279&lt;&gt;"","√","")</f>
        <v/>
      </c>
      <c r="I4159" s="64" t="str">
        <f aca="false">IF(助手收入!$R$279&lt;&gt;"","附单据  张","")</f>
        <v/>
      </c>
    </row>
    <row r="4160" customFormat="false" ht="12.75" hidden="false" customHeight="true" outlineLevel="0" collapsed="false">
      <c r="B4160" s="61"/>
      <c r="C4160" s="61"/>
      <c r="D4160" s="23" t="str">
        <f aca="false">IF(助手收入!$R$279&lt;&gt;"","总 账 科 目","")</f>
        <v/>
      </c>
      <c r="E4160" s="23" t="str">
        <f aca="false">IF(助手收入!$R$279&lt;&gt;"","明 细 科 目","")</f>
        <v/>
      </c>
      <c r="F4160" s="65"/>
      <c r="G4160" s="66"/>
      <c r="H4160" s="63"/>
      <c r="I4160" s="64"/>
    </row>
    <row r="4161" customFormat="false" ht="23.25" hidden="false" customHeight="true" outlineLevel="0" collapsed="false">
      <c r="B4161" s="67" t="str">
        <f aca="false">IFERROR(INDEX(分录收入!$M:$M,MATCH($L4161,分录收入!$L:$L,0)),"")</f>
        <v/>
      </c>
      <c r="C4161" s="67"/>
      <c r="D4161" s="23" t="str">
        <f aca="false">IFERROR(INDEX(分录收入!$E:$E,MATCH($L4161,分录收入!$L:$L,0)),"")</f>
        <v/>
      </c>
      <c r="E4161" s="23" t="str">
        <f aca="false">IFERROR(INDEX(分录收入!$F:$F,MATCH($L4161,分录收入!$L:$L,0)),"")</f>
        <v/>
      </c>
      <c r="F4161" s="68" t="str">
        <f aca="false">IFERROR(INDEX(分录收入!$H:$H,MATCH($L4161,分录收入!$L:$L,0)),"")</f>
        <v/>
      </c>
      <c r="G4161" s="69" t="str">
        <f aca="false">IFERROR(INDEX(分录收入!$I:$I,MATCH($L4161,分录收入!$L:$L,0)),"")</f>
        <v/>
      </c>
      <c r="H4161" s="23"/>
      <c r="I4161" s="70"/>
      <c r="L4161" s="71" t="n">
        <f aca="false">IF(助手收入!$R$279="",-1,助手收入!$R$279*100+(助手收入!$S$279-1)*6+1)</f>
        <v>-1</v>
      </c>
    </row>
    <row r="4162" customFormat="false" ht="23.25" hidden="false" customHeight="true" outlineLevel="0" collapsed="false">
      <c r="B4162" s="67" t="str">
        <f aca="false">""</f>
        <v/>
      </c>
      <c r="C4162" s="67"/>
      <c r="D4162" s="23" t="str">
        <f aca="false">IFERROR(INDEX(分录收入!$E:$E,MATCH($L4162,分录收入!$L:$L,0)),"")</f>
        <v/>
      </c>
      <c r="E4162" s="23" t="str">
        <f aca="false">IFERROR(INDEX(分录收入!$F:$F,MATCH($L4162,分录收入!$L:$L,0)),"")</f>
        <v/>
      </c>
      <c r="F4162" s="68" t="str">
        <f aca="false">IFERROR(INDEX(分录收入!$H:$H,MATCH($L4162,分录收入!$L:$L,0)),"")</f>
        <v/>
      </c>
      <c r="G4162" s="69" t="str">
        <f aca="false">IFERROR(INDEX(分录收入!$I:$I,MATCH($L4162,分录收入!$L:$L,0)),"")</f>
        <v/>
      </c>
      <c r="H4162" s="23"/>
      <c r="I4162" s="70"/>
      <c r="L4162" s="71" t="n">
        <f aca="false">IF(助手收入!$R$279="",-1,助手收入!$R$279*100+(助手收入!$S$279-1)*6+2)</f>
        <v>-1</v>
      </c>
    </row>
    <row r="4163" customFormat="false" ht="23.25" hidden="false" customHeight="true" outlineLevel="0" collapsed="false">
      <c r="B4163" s="67" t="str">
        <f aca="false">""</f>
        <v/>
      </c>
      <c r="C4163" s="67"/>
      <c r="D4163" s="23" t="str">
        <f aca="false">IFERROR(INDEX(分录收入!$E:$E,MATCH($L4163,分录收入!$L:$L,0)),"")</f>
        <v/>
      </c>
      <c r="E4163" s="23" t="str">
        <f aca="false">IFERROR(INDEX(分录收入!$F:$F,MATCH($L4163,分录收入!$L:$L,0)),"")</f>
        <v/>
      </c>
      <c r="F4163" s="68" t="str">
        <f aca="false">IFERROR(INDEX(分录收入!$H:$H,MATCH($L4163,分录收入!$L:$L,0)),"")</f>
        <v/>
      </c>
      <c r="G4163" s="69" t="str">
        <f aca="false">IFERROR(INDEX(分录收入!$I:$I,MATCH($L4163,分录收入!$L:$L,0)),"")</f>
        <v/>
      </c>
      <c r="H4163" s="23"/>
      <c r="I4163" s="70"/>
      <c r="L4163" s="71" t="n">
        <f aca="false">IF(助手收入!$R$279="",-1,助手收入!$R$279*100+(助手收入!$S$279-1)*6+3)</f>
        <v>-1</v>
      </c>
    </row>
    <row r="4164" customFormat="false" ht="23.25" hidden="false" customHeight="true" outlineLevel="0" collapsed="false">
      <c r="B4164" s="67" t="str">
        <f aca="false">""</f>
        <v/>
      </c>
      <c r="C4164" s="67"/>
      <c r="D4164" s="23" t="str">
        <f aca="false">IFERROR(INDEX(分录收入!$E:$E,MATCH($L4164,分录收入!$L:$L,0)),"")</f>
        <v/>
      </c>
      <c r="E4164" s="23" t="str">
        <f aca="false">IFERROR(INDEX(分录收入!$F:$F,MATCH($L4164,分录收入!$L:$L,0)),"")</f>
        <v/>
      </c>
      <c r="F4164" s="68" t="str">
        <f aca="false">IFERROR(INDEX(分录收入!$H:$H,MATCH($L4164,分录收入!$L:$L,0)),"")</f>
        <v/>
      </c>
      <c r="G4164" s="69" t="str">
        <f aca="false">IFERROR(INDEX(分录收入!$I:$I,MATCH($L4164,分录收入!$L:$L,0)),"")</f>
        <v/>
      </c>
      <c r="H4164" s="23"/>
      <c r="I4164" s="70"/>
      <c r="L4164" s="71" t="n">
        <f aca="false">IF(助手收入!$R$279="",-1,助手收入!$R$279*100+(助手收入!$S$279-1)*6+4)</f>
        <v>-1</v>
      </c>
    </row>
    <row r="4165" customFormat="false" ht="23.25" hidden="false" customHeight="true" outlineLevel="0" collapsed="false">
      <c r="B4165" s="67" t="str">
        <f aca="false">""</f>
        <v/>
      </c>
      <c r="C4165" s="67"/>
      <c r="D4165" s="23" t="str">
        <f aca="false">IFERROR(INDEX(分录收入!$E:$E,MATCH($L4165,分录收入!$L:$L,0)),"")</f>
        <v/>
      </c>
      <c r="E4165" s="23" t="str">
        <f aca="false">IFERROR(INDEX(分录收入!$F:$F,MATCH($L4165,分录收入!$L:$L,0)),"")</f>
        <v/>
      </c>
      <c r="F4165" s="68" t="str">
        <f aca="false">IFERROR(INDEX(分录收入!$H:$H,MATCH($L4165,分录收入!$L:$L,0)),"")</f>
        <v/>
      </c>
      <c r="G4165" s="69" t="str">
        <f aca="false">IFERROR(INDEX(分录收入!$I:$I,MATCH($L4165,分录收入!$L:$L,0)),"")</f>
        <v/>
      </c>
      <c r="H4165" s="23"/>
      <c r="I4165" s="70"/>
      <c r="L4165" s="71" t="n">
        <f aca="false">IF(助手收入!$R$279="",-1,助手收入!$R$279*100+(助手收入!$S$279-1)*6+5)</f>
        <v>-1</v>
      </c>
    </row>
    <row r="4166" customFormat="false" ht="23.25" hidden="false" customHeight="true" outlineLevel="0" collapsed="false">
      <c r="B4166" s="67" t="str">
        <f aca="false">""</f>
        <v/>
      </c>
      <c r="C4166" s="67"/>
      <c r="D4166" s="23" t="str">
        <f aca="false">IFERROR(INDEX(分录收入!$E:$E,MATCH($L4166,分录收入!$L:$L,0)),"")</f>
        <v/>
      </c>
      <c r="E4166" s="23" t="str">
        <f aca="false">IFERROR(INDEX(分录收入!$F:$F,MATCH($L4166,分录收入!$L:$L,0)),"")</f>
        <v/>
      </c>
      <c r="F4166" s="68" t="str">
        <f aca="false">IFERROR(INDEX(分录收入!$H:$H,MATCH($L4166,分录收入!$L:$L,0)),"")</f>
        <v/>
      </c>
      <c r="G4166" s="69" t="str">
        <f aca="false">IFERROR(INDEX(分录收入!$I:$I,MATCH($L4166,分录收入!$L:$L,0)),"")</f>
        <v/>
      </c>
      <c r="H4166" s="23"/>
      <c r="I4166" s="70"/>
      <c r="L4166" s="71" t="n">
        <f aca="false">IF(助手收入!$R$279="",-1,助手收入!$R$279*100+(助手收入!$S$279-1)*6+6)</f>
        <v>-1</v>
      </c>
    </row>
    <row r="4167" customFormat="false" ht="23.25" hidden="false" customHeight="true" outlineLevel="0" collapsed="false">
      <c r="B4167" s="72" t="str">
        <f aca="false">IF(助手收入!$T$279=1,"合计：","")</f>
        <v/>
      </c>
      <c r="C4167" s="73" t="str">
        <f aca="false">IF(助手收入!$T$279=1,$F4167,"")</f>
        <v/>
      </c>
      <c r="D4167" s="74"/>
      <c r="E4167" s="74"/>
      <c r="F4167" s="75" t="str">
        <f aca="false">IF(助手收入!$T$279=1,INDEX(助手收入!$N$2:$N$66,助手收入!$R$279),"")</f>
        <v/>
      </c>
      <c r="G4167" s="76" t="str">
        <f aca="false">IF(助手收入!$T$279=1,INDEX(助手收入!$O$2:$O$66,助手收入!$R$279),"")</f>
        <v/>
      </c>
      <c r="H4167" s="74"/>
      <c r="I4167" s="77"/>
    </row>
    <row r="4168" customFormat="false" ht="6" hidden="false" customHeight="true" outlineLevel="0" collapsed="false"/>
    <row r="4169" customFormat="false" ht="13.5" hidden="false" customHeight="false" outlineLevel="0" collapsed="false">
      <c r="B4169" s="78" t="str">
        <f aca="false">IF(助手收入!$R$279&lt;&gt;"","会计主管：","")</f>
        <v/>
      </c>
      <c r="D4169" s="78" t="str">
        <f aca="false">IF(助手收入!$R$279&lt;&gt;"","会计：","")</f>
        <v/>
      </c>
      <c r="E4169" s="78" t="str">
        <f aca="false">IF(助手收入!$R$279&lt;&gt;"","出纳：","")</f>
        <v/>
      </c>
      <c r="F4169" s="78" t="str">
        <f aca="false">IF(助手收入!$R$279&lt;&gt;"","复核：","")</f>
        <v/>
      </c>
      <c r="G4169" s="78" t="str">
        <f aca="false">IF(助手收入!$R$279&lt;&gt;"","制单：","")</f>
        <v/>
      </c>
    </row>
    <row r="4170" customFormat="false" ht="3" hidden="false" customHeight="true" outlineLevel="0" collapsed="false"/>
    <row r="4171" customFormat="false" ht="19.5" hidden="false" customHeight="true" outlineLevel="0" collapsed="false">
      <c r="B4171" s="53" t="str">
        <f aca="false">IF(助手收入!$R$280&lt;&gt;"","记  账  凭  证","")</f>
        <v/>
      </c>
      <c r="C4171" s="53"/>
      <c r="D4171" s="53"/>
      <c r="E4171" s="53"/>
      <c r="F4171" s="53"/>
      <c r="G4171" s="53"/>
      <c r="H4171" s="53"/>
      <c r="I4171" s="53"/>
    </row>
    <row r="4172" customFormat="false" ht="3" hidden="false" customHeight="true" outlineLevel="0" collapsed="false"/>
    <row r="4173" customFormat="false" ht="15" hidden="false" customHeight="true" outlineLevel="0" collapsed="false">
      <c r="C4173" s="56" t="str">
        <f aca="false">IF(助手收入!$R$280&lt;&gt;"",INDEX(助手收入!$B$2:$B$66,助手收入!$R$280),"")</f>
        <v/>
      </c>
      <c r="D4173" s="57" t="str">
        <f aca="false">IF(助手收入!$R$280&lt;&gt;"",参数!$B$2,"")</f>
        <v/>
      </c>
      <c r="E4173" s="57"/>
      <c r="F4173" s="58" t="str">
        <f aca="false">IF(助手收入!$R$280&lt;&gt;"",INDEX(助手收入!$C$2:$C$66,助手收入!$R$280)&amp;"  字第 "&amp;IF(参数!$B$9="是",INDEX(助手收入!$P$2:$P$66,助手收入!$R$280),"　　　　")&amp;" 号"&amp;IF(INDEX(助手收入!$L$2:$L$66,助手收入!$R$280)&gt;1,"  (共"&amp;INDEX(助手收入!$L$2:$L$66,助手收入!$R$280)&amp;"页 第"&amp;助手收入!$S$280&amp;"页)",""),"")</f>
        <v/>
      </c>
      <c r="G4173" s="58"/>
      <c r="H4173" s="58"/>
      <c r="I4173" s="58"/>
      <c r="M4173" s="79" t="str">
        <f aca="false">IF(助手收入!$R$280="","",助手收入!$Q$280)</f>
        <v/>
      </c>
      <c r="N4173" s="80" t="str">
        <f aca="false">IF(助手收入!$R$280="","",INDEX(助手收入!$P$2:$P$66,助手收入!$R$280))</f>
        <v/>
      </c>
      <c r="O4173" s="55" t="str">
        <f aca="false">IF(助手收入!$R$280="","",INDEX(助手收入!$C$2:$C$66,助手收入!$R$280)&amp;"  字第 "&amp;INDEX(助手收入!$P$2:$P$66,助手收入!$R$280)&amp;" 号"&amp;IF(INDEX(助手收入!$L$2:$L$66,助手收入!$R$280)&gt;1,"  (共"&amp;INDEX(助手收入!$L$2:$L$66,助手收入!$R$280)&amp;"页 第"&amp;助手收入!$S$280&amp;"页)",""))</f>
        <v/>
      </c>
    </row>
    <row r="4174" customFormat="false" ht="12.75" hidden="false" customHeight="true" outlineLevel="0" collapsed="false">
      <c r="B4174" s="61" t="str">
        <f aca="false">IF(助手收入!$R$280&lt;&gt;"","摘　　要","")</f>
        <v/>
      </c>
      <c r="C4174" s="61"/>
      <c r="D4174" s="62" t="str">
        <f aca="false">IF(助手收入!$R$280&lt;&gt;"","科　　　　目","")</f>
        <v/>
      </c>
      <c r="E4174" s="62"/>
      <c r="F4174" s="61" t="str">
        <f aca="false">IF(助手收入!$R$280&lt;&gt;"","借 方 金 额","")</f>
        <v/>
      </c>
      <c r="G4174" s="62" t="str">
        <f aca="false">IF(助手收入!$R$280&lt;&gt;"","贷 方 金 额","")</f>
        <v/>
      </c>
      <c r="H4174" s="63" t="str">
        <f aca="false">IF(助手收入!$R$280&lt;&gt;"","√","")</f>
        <v/>
      </c>
      <c r="I4174" s="64" t="str">
        <f aca="false">IF(助手收入!$R$280&lt;&gt;"","附单据  张","")</f>
        <v/>
      </c>
    </row>
    <row r="4175" customFormat="false" ht="12.75" hidden="false" customHeight="true" outlineLevel="0" collapsed="false">
      <c r="B4175" s="61"/>
      <c r="C4175" s="61"/>
      <c r="D4175" s="23" t="str">
        <f aca="false">IF(助手收入!$R$280&lt;&gt;"","总 账 科 目","")</f>
        <v/>
      </c>
      <c r="E4175" s="23" t="str">
        <f aca="false">IF(助手收入!$R$280&lt;&gt;"","明 细 科 目","")</f>
        <v/>
      </c>
      <c r="F4175" s="65"/>
      <c r="G4175" s="66"/>
      <c r="H4175" s="63"/>
      <c r="I4175" s="64"/>
    </row>
    <row r="4176" customFormat="false" ht="23.25" hidden="false" customHeight="true" outlineLevel="0" collapsed="false">
      <c r="B4176" s="67" t="str">
        <f aca="false">IFERROR(INDEX(分录收入!$M:$M,MATCH($L4176,分录收入!$L:$L,0)),"")</f>
        <v/>
      </c>
      <c r="C4176" s="67"/>
      <c r="D4176" s="23" t="str">
        <f aca="false">IFERROR(INDEX(分录收入!$E:$E,MATCH($L4176,分录收入!$L:$L,0)),"")</f>
        <v/>
      </c>
      <c r="E4176" s="23" t="str">
        <f aca="false">IFERROR(INDEX(分录收入!$F:$F,MATCH($L4176,分录收入!$L:$L,0)),"")</f>
        <v/>
      </c>
      <c r="F4176" s="68" t="str">
        <f aca="false">IFERROR(INDEX(分录收入!$H:$H,MATCH($L4176,分录收入!$L:$L,0)),"")</f>
        <v/>
      </c>
      <c r="G4176" s="69" t="str">
        <f aca="false">IFERROR(INDEX(分录收入!$I:$I,MATCH($L4176,分录收入!$L:$L,0)),"")</f>
        <v/>
      </c>
      <c r="H4176" s="23"/>
      <c r="I4176" s="70"/>
      <c r="L4176" s="71" t="n">
        <f aca="false">IF(助手收入!$R$280="",-1,助手收入!$R$280*100+(助手收入!$S$280-1)*6+1)</f>
        <v>-1</v>
      </c>
    </row>
    <row r="4177" customFormat="false" ht="23.25" hidden="false" customHeight="true" outlineLevel="0" collapsed="false">
      <c r="B4177" s="67" t="str">
        <f aca="false">""</f>
        <v/>
      </c>
      <c r="C4177" s="67"/>
      <c r="D4177" s="23" t="str">
        <f aca="false">IFERROR(INDEX(分录收入!$E:$E,MATCH($L4177,分录收入!$L:$L,0)),"")</f>
        <v/>
      </c>
      <c r="E4177" s="23" t="str">
        <f aca="false">IFERROR(INDEX(分录收入!$F:$F,MATCH($L4177,分录收入!$L:$L,0)),"")</f>
        <v/>
      </c>
      <c r="F4177" s="68" t="str">
        <f aca="false">IFERROR(INDEX(分录收入!$H:$H,MATCH($L4177,分录收入!$L:$L,0)),"")</f>
        <v/>
      </c>
      <c r="G4177" s="69" t="str">
        <f aca="false">IFERROR(INDEX(分录收入!$I:$I,MATCH($L4177,分录收入!$L:$L,0)),"")</f>
        <v/>
      </c>
      <c r="H4177" s="23"/>
      <c r="I4177" s="70"/>
      <c r="L4177" s="71" t="n">
        <f aca="false">IF(助手收入!$R$280="",-1,助手收入!$R$280*100+(助手收入!$S$280-1)*6+2)</f>
        <v>-1</v>
      </c>
    </row>
    <row r="4178" customFormat="false" ht="23.25" hidden="false" customHeight="true" outlineLevel="0" collapsed="false">
      <c r="B4178" s="67" t="str">
        <f aca="false">""</f>
        <v/>
      </c>
      <c r="C4178" s="67"/>
      <c r="D4178" s="23" t="str">
        <f aca="false">IFERROR(INDEX(分录收入!$E:$E,MATCH($L4178,分录收入!$L:$L,0)),"")</f>
        <v/>
      </c>
      <c r="E4178" s="23" t="str">
        <f aca="false">IFERROR(INDEX(分录收入!$F:$F,MATCH($L4178,分录收入!$L:$L,0)),"")</f>
        <v/>
      </c>
      <c r="F4178" s="68" t="str">
        <f aca="false">IFERROR(INDEX(分录收入!$H:$H,MATCH($L4178,分录收入!$L:$L,0)),"")</f>
        <v/>
      </c>
      <c r="G4178" s="69" t="str">
        <f aca="false">IFERROR(INDEX(分录收入!$I:$I,MATCH($L4178,分录收入!$L:$L,0)),"")</f>
        <v/>
      </c>
      <c r="H4178" s="23"/>
      <c r="I4178" s="70"/>
      <c r="L4178" s="71" t="n">
        <f aca="false">IF(助手收入!$R$280="",-1,助手收入!$R$280*100+(助手收入!$S$280-1)*6+3)</f>
        <v>-1</v>
      </c>
    </row>
    <row r="4179" customFormat="false" ht="23.25" hidden="false" customHeight="true" outlineLevel="0" collapsed="false">
      <c r="B4179" s="67" t="str">
        <f aca="false">""</f>
        <v/>
      </c>
      <c r="C4179" s="67"/>
      <c r="D4179" s="23" t="str">
        <f aca="false">IFERROR(INDEX(分录收入!$E:$E,MATCH($L4179,分录收入!$L:$L,0)),"")</f>
        <v/>
      </c>
      <c r="E4179" s="23" t="str">
        <f aca="false">IFERROR(INDEX(分录收入!$F:$F,MATCH($L4179,分录收入!$L:$L,0)),"")</f>
        <v/>
      </c>
      <c r="F4179" s="68" t="str">
        <f aca="false">IFERROR(INDEX(分录收入!$H:$H,MATCH($L4179,分录收入!$L:$L,0)),"")</f>
        <v/>
      </c>
      <c r="G4179" s="69" t="str">
        <f aca="false">IFERROR(INDEX(分录收入!$I:$I,MATCH($L4179,分录收入!$L:$L,0)),"")</f>
        <v/>
      </c>
      <c r="H4179" s="23"/>
      <c r="I4179" s="70"/>
      <c r="L4179" s="71" t="n">
        <f aca="false">IF(助手收入!$R$280="",-1,助手收入!$R$280*100+(助手收入!$S$280-1)*6+4)</f>
        <v>-1</v>
      </c>
    </row>
    <row r="4180" customFormat="false" ht="23.25" hidden="false" customHeight="true" outlineLevel="0" collapsed="false">
      <c r="B4180" s="67" t="str">
        <f aca="false">""</f>
        <v/>
      </c>
      <c r="C4180" s="67"/>
      <c r="D4180" s="23" t="str">
        <f aca="false">IFERROR(INDEX(分录收入!$E:$E,MATCH($L4180,分录收入!$L:$L,0)),"")</f>
        <v/>
      </c>
      <c r="E4180" s="23" t="str">
        <f aca="false">IFERROR(INDEX(分录收入!$F:$F,MATCH($L4180,分录收入!$L:$L,0)),"")</f>
        <v/>
      </c>
      <c r="F4180" s="68" t="str">
        <f aca="false">IFERROR(INDEX(分录收入!$H:$H,MATCH($L4180,分录收入!$L:$L,0)),"")</f>
        <v/>
      </c>
      <c r="G4180" s="69" t="str">
        <f aca="false">IFERROR(INDEX(分录收入!$I:$I,MATCH($L4180,分录收入!$L:$L,0)),"")</f>
        <v/>
      </c>
      <c r="H4180" s="23"/>
      <c r="I4180" s="70"/>
      <c r="L4180" s="71" t="n">
        <f aca="false">IF(助手收入!$R$280="",-1,助手收入!$R$280*100+(助手收入!$S$280-1)*6+5)</f>
        <v>-1</v>
      </c>
    </row>
    <row r="4181" customFormat="false" ht="23.25" hidden="false" customHeight="true" outlineLevel="0" collapsed="false">
      <c r="B4181" s="67" t="str">
        <f aca="false">""</f>
        <v/>
      </c>
      <c r="C4181" s="67"/>
      <c r="D4181" s="23" t="str">
        <f aca="false">IFERROR(INDEX(分录收入!$E:$E,MATCH($L4181,分录收入!$L:$L,0)),"")</f>
        <v/>
      </c>
      <c r="E4181" s="23" t="str">
        <f aca="false">IFERROR(INDEX(分录收入!$F:$F,MATCH($L4181,分录收入!$L:$L,0)),"")</f>
        <v/>
      </c>
      <c r="F4181" s="68" t="str">
        <f aca="false">IFERROR(INDEX(分录收入!$H:$H,MATCH($L4181,分录收入!$L:$L,0)),"")</f>
        <v/>
      </c>
      <c r="G4181" s="69" t="str">
        <f aca="false">IFERROR(INDEX(分录收入!$I:$I,MATCH($L4181,分录收入!$L:$L,0)),"")</f>
        <v/>
      </c>
      <c r="H4181" s="23"/>
      <c r="I4181" s="70"/>
      <c r="L4181" s="71" t="n">
        <f aca="false">IF(助手收入!$R$280="",-1,助手收入!$R$280*100+(助手收入!$S$280-1)*6+6)</f>
        <v>-1</v>
      </c>
    </row>
    <row r="4182" customFormat="false" ht="23.25" hidden="false" customHeight="true" outlineLevel="0" collapsed="false">
      <c r="B4182" s="72" t="str">
        <f aca="false">IF(助手收入!$T$280=1,"合计：","")</f>
        <v/>
      </c>
      <c r="C4182" s="73" t="str">
        <f aca="false">IF(助手收入!$T$280=1,$F4182,"")</f>
        <v/>
      </c>
      <c r="D4182" s="74"/>
      <c r="E4182" s="74"/>
      <c r="F4182" s="75" t="str">
        <f aca="false">IF(助手收入!$T$280=1,INDEX(助手收入!$N$2:$N$66,助手收入!$R$280),"")</f>
        <v/>
      </c>
      <c r="G4182" s="76" t="str">
        <f aca="false">IF(助手收入!$T$280=1,INDEX(助手收入!$O$2:$O$66,助手收入!$R$280),"")</f>
        <v/>
      </c>
      <c r="H4182" s="74"/>
      <c r="I4182" s="77"/>
    </row>
    <row r="4183" customFormat="false" ht="6" hidden="false" customHeight="true" outlineLevel="0" collapsed="false"/>
    <row r="4184" customFormat="false" ht="13.5" hidden="false" customHeight="false" outlineLevel="0" collapsed="false">
      <c r="B4184" s="78" t="str">
        <f aca="false">IF(助手收入!$R$280&lt;&gt;"","会计主管：","")</f>
        <v/>
      </c>
      <c r="D4184" s="78" t="str">
        <f aca="false">IF(助手收入!$R$280&lt;&gt;"","会计：","")</f>
        <v/>
      </c>
      <c r="E4184" s="78" t="str">
        <f aca="false">IF(助手收入!$R$280&lt;&gt;"","出纳：","")</f>
        <v/>
      </c>
      <c r="F4184" s="78" t="str">
        <f aca="false">IF(助手收入!$R$280&lt;&gt;"","复核：","")</f>
        <v/>
      </c>
      <c r="G4184" s="78" t="str">
        <f aca="false">IF(助手收入!$R$280&lt;&gt;"","制单：","")</f>
        <v/>
      </c>
    </row>
    <row r="4185" customFormat="false" ht="3" hidden="false" customHeight="true" outlineLevel="0" collapsed="false"/>
    <row r="4186" customFormat="false" ht="19.5" hidden="false" customHeight="true" outlineLevel="0" collapsed="false">
      <c r="B4186" s="53" t="str">
        <f aca="false">IF(助手收入!$R$281&lt;&gt;"","记  账  凭  证","")</f>
        <v/>
      </c>
      <c r="C4186" s="53"/>
      <c r="D4186" s="53"/>
      <c r="E4186" s="53"/>
      <c r="F4186" s="53"/>
      <c r="G4186" s="53"/>
      <c r="H4186" s="53"/>
      <c r="I4186" s="53"/>
    </row>
    <row r="4187" customFormat="false" ht="3" hidden="false" customHeight="true" outlineLevel="0" collapsed="false"/>
    <row r="4188" customFormat="false" ht="15" hidden="false" customHeight="true" outlineLevel="0" collapsed="false">
      <c r="C4188" s="56" t="str">
        <f aca="false">IF(助手收入!$R$281&lt;&gt;"",INDEX(助手收入!$B$2:$B$66,助手收入!$R$281),"")</f>
        <v/>
      </c>
      <c r="D4188" s="57" t="str">
        <f aca="false">IF(助手收入!$R$281&lt;&gt;"",参数!$B$2,"")</f>
        <v/>
      </c>
      <c r="E4188" s="57"/>
      <c r="F4188" s="58" t="str">
        <f aca="false">IF(助手收入!$R$281&lt;&gt;"",INDEX(助手收入!$C$2:$C$66,助手收入!$R$281)&amp;"  字第 "&amp;IF(参数!$B$9="是",INDEX(助手收入!$P$2:$P$66,助手收入!$R$281),"　　　　")&amp;" 号"&amp;IF(INDEX(助手收入!$L$2:$L$66,助手收入!$R$281)&gt;1,"  (共"&amp;INDEX(助手收入!$L$2:$L$66,助手收入!$R$281)&amp;"页 第"&amp;助手收入!$S$281&amp;"页)",""),"")</f>
        <v/>
      </c>
      <c r="G4188" s="58"/>
      <c r="H4188" s="58"/>
      <c r="I4188" s="58"/>
      <c r="M4188" s="79" t="str">
        <f aca="false">IF(助手收入!$R$281="","",助手收入!$Q$281)</f>
        <v/>
      </c>
      <c r="N4188" s="80" t="str">
        <f aca="false">IF(助手收入!$R$281="","",INDEX(助手收入!$P$2:$P$66,助手收入!$R$281))</f>
        <v/>
      </c>
      <c r="O4188" s="55" t="str">
        <f aca="false">IF(助手收入!$R$281="","",INDEX(助手收入!$C$2:$C$66,助手收入!$R$281)&amp;"  字第 "&amp;INDEX(助手收入!$P$2:$P$66,助手收入!$R$281)&amp;" 号"&amp;IF(INDEX(助手收入!$L$2:$L$66,助手收入!$R$281)&gt;1,"  (共"&amp;INDEX(助手收入!$L$2:$L$66,助手收入!$R$281)&amp;"页 第"&amp;助手收入!$S$281&amp;"页)",""))</f>
        <v/>
      </c>
    </row>
    <row r="4189" customFormat="false" ht="12.75" hidden="false" customHeight="true" outlineLevel="0" collapsed="false">
      <c r="B4189" s="61" t="str">
        <f aca="false">IF(助手收入!$R$281&lt;&gt;"","摘　　要","")</f>
        <v/>
      </c>
      <c r="C4189" s="61"/>
      <c r="D4189" s="62" t="str">
        <f aca="false">IF(助手收入!$R$281&lt;&gt;"","科　　　　目","")</f>
        <v/>
      </c>
      <c r="E4189" s="62"/>
      <c r="F4189" s="61" t="str">
        <f aca="false">IF(助手收入!$R$281&lt;&gt;"","借 方 金 额","")</f>
        <v/>
      </c>
      <c r="G4189" s="62" t="str">
        <f aca="false">IF(助手收入!$R$281&lt;&gt;"","贷 方 金 额","")</f>
        <v/>
      </c>
      <c r="H4189" s="63" t="str">
        <f aca="false">IF(助手收入!$R$281&lt;&gt;"","√","")</f>
        <v/>
      </c>
      <c r="I4189" s="64" t="str">
        <f aca="false">IF(助手收入!$R$281&lt;&gt;"","附单据  张","")</f>
        <v/>
      </c>
    </row>
    <row r="4190" customFormat="false" ht="12.75" hidden="false" customHeight="true" outlineLevel="0" collapsed="false">
      <c r="B4190" s="61"/>
      <c r="C4190" s="61"/>
      <c r="D4190" s="23" t="str">
        <f aca="false">IF(助手收入!$R$281&lt;&gt;"","总 账 科 目","")</f>
        <v/>
      </c>
      <c r="E4190" s="23" t="str">
        <f aca="false">IF(助手收入!$R$281&lt;&gt;"","明 细 科 目","")</f>
        <v/>
      </c>
      <c r="F4190" s="65"/>
      <c r="G4190" s="66"/>
      <c r="H4190" s="63"/>
      <c r="I4190" s="64"/>
    </row>
    <row r="4191" customFormat="false" ht="23.25" hidden="false" customHeight="true" outlineLevel="0" collapsed="false">
      <c r="B4191" s="67" t="str">
        <f aca="false">IFERROR(INDEX(分录收入!$M:$M,MATCH($L4191,分录收入!$L:$L,0)),"")</f>
        <v/>
      </c>
      <c r="C4191" s="67"/>
      <c r="D4191" s="23" t="str">
        <f aca="false">IFERROR(INDEX(分录收入!$E:$E,MATCH($L4191,分录收入!$L:$L,0)),"")</f>
        <v/>
      </c>
      <c r="E4191" s="23" t="str">
        <f aca="false">IFERROR(INDEX(分录收入!$F:$F,MATCH($L4191,分录收入!$L:$L,0)),"")</f>
        <v/>
      </c>
      <c r="F4191" s="68" t="str">
        <f aca="false">IFERROR(INDEX(分录收入!$H:$H,MATCH($L4191,分录收入!$L:$L,0)),"")</f>
        <v/>
      </c>
      <c r="G4191" s="69" t="str">
        <f aca="false">IFERROR(INDEX(分录收入!$I:$I,MATCH($L4191,分录收入!$L:$L,0)),"")</f>
        <v/>
      </c>
      <c r="H4191" s="23"/>
      <c r="I4191" s="70"/>
      <c r="L4191" s="71" t="n">
        <f aca="false">IF(助手收入!$R$281="",-1,助手收入!$R$281*100+(助手收入!$S$281-1)*6+1)</f>
        <v>-1</v>
      </c>
    </row>
    <row r="4192" customFormat="false" ht="23.25" hidden="false" customHeight="true" outlineLevel="0" collapsed="false">
      <c r="B4192" s="67" t="str">
        <f aca="false">""</f>
        <v/>
      </c>
      <c r="C4192" s="67"/>
      <c r="D4192" s="23" t="str">
        <f aca="false">IFERROR(INDEX(分录收入!$E:$E,MATCH($L4192,分录收入!$L:$L,0)),"")</f>
        <v/>
      </c>
      <c r="E4192" s="23" t="str">
        <f aca="false">IFERROR(INDEX(分录收入!$F:$F,MATCH($L4192,分录收入!$L:$L,0)),"")</f>
        <v/>
      </c>
      <c r="F4192" s="68" t="str">
        <f aca="false">IFERROR(INDEX(分录收入!$H:$H,MATCH($L4192,分录收入!$L:$L,0)),"")</f>
        <v/>
      </c>
      <c r="G4192" s="69" t="str">
        <f aca="false">IFERROR(INDEX(分录收入!$I:$I,MATCH($L4192,分录收入!$L:$L,0)),"")</f>
        <v/>
      </c>
      <c r="H4192" s="23"/>
      <c r="I4192" s="70"/>
      <c r="L4192" s="71" t="n">
        <f aca="false">IF(助手收入!$R$281="",-1,助手收入!$R$281*100+(助手收入!$S$281-1)*6+2)</f>
        <v>-1</v>
      </c>
    </row>
    <row r="4193" customFormat="false" ht="23.25" hidden="false" customHeight="true" outlineLevel="0" collapsed="false">
      <c r="B4193" s="67" t="str">
        <f aca="false">""</f>
        <v/>
      </c>
      <c r="C4193" s="67"/>
      <c r="D4193" s="23" t="str">
        <f aca="false">IFERROR(INDEX(分录收入!$E:$E,MATCH($L4193,分录收入!$L:$L,0)),"")</f>
        <v/>
      </c>
      <c r="E4193" s="23" t="str">
        <f aca="false">IFERROR(INDEX(分录收入!$F:$F,MATCH($L4193,分录收入!$L:$L,0)),"")</f>
        <v/>
      </c>
      <c r="F4193" s="68" t="str">
        <f aca="false">IFERROR(INDEX(分录收入!$H:$H,MATCH($L4193,分录收入!$L:$L,0)),"")</f>
        <v/>
      </c>
      <c r="G4193" s="69" t="str">
        <f aca="false">IFERROR(INDEX(分录收入!$I:$I,MATCH($L4193,分录收入!$L:$L,0)),"")</f>
        <v/>
      </c>
      <c r="H4193" s="23"/>
      <c r="I4193" s="70"/>
      <c r="L4193" s="71" t="n">
        <f aca="false">IF(助手收入!$R$281="",-1,助手收入!$R$281*100+(助手收入!$S$281-1)*6+3)</f>
        <v>-1</v>
      </c>
    </row>
    <row r="4194" customFormat="false" ht="23.25" hidden="false" customHeight="true" outlineLevel="0" collapsed="false">
      <c r="B4194" s="67" t="str">
        <f aca="false">""</f>
        <v/>
      </c>
      <c r="C4194" s="67"/>
      <c r="D4194" s="23" t="str">
        <f aca="false">IFERROR(INDEX(分录收入!$E:$E,MATCH($L4194,分录收入!$L:$L,0)),"")</f>
        <v/>
      </c>
      <c r="E4194" s="23" t="str">
        <f aca="false">IFERROR(INDEX(分录收入!$F:$F,MATCH($L4194,分录收入!$L:$L,0)),"")</f>
        <v/>
      </c>
      <c r="F4194" s="68" t="str">
        <f aca="false">IFERROR(INDEX(分录收入!$H:$H,MATCH($L4194,分录收入!$L:$L,0)),"")</f>
        <v/>
      </c>
      <c r="G4194" s="69" t="str">
        <f aca="false">IFERROR(INDEX(分录收入!$I:$I,MATCH($L4194,分录收入!$L:$L,0)),"")</f>
        <v/>
      </c>
      <c r="H4194" s="23"/>
      <c r="I4194" s="70"/>
      <c r="L4194" s="71" t="n">
        <f aca="false">IF(助手收入!$R$281="",-1,助手收入!$R$281*100+(助手收入!$S$281-1)*6+4)</f>
        <v>-1</v>
      </c>
    </row>
    <row r="4195" customFormat="false" ht="23.25" hidden="false" customHeight="true" outlineLevel="0" collapsed="false">
      <c r="B4195" s="67" t="str">
        <f aca="false">""</f>
        <v/>
      </c>
      <c r="C4195" s="67"/>
      <c r="D4195" s="23" t="str">
        <f aca="false">IFERROR(INDEX(分录收入!$E:$E,MATCH($L4195,分录收入!$L:$L,0)),"")</f>
        <v/>
      </c>
      <c r="E4195" s="23" t="str">
        <f aca="false">IFERROR(INDEX(分录收入!$F:$F,MATCH($L4195,分录收入!$L:$L,0)),"")</f>
        <v/>
      </c>
      <c r="F4195" s="68" t="str">
        <f aca="false">IFERROR(INDEX(分录收入!$H:$H,MATCH($L4195,分录收入!$L:$L,0)),"")</f>
        <v/>
      </c>
      <c r="G4195" s="69" t="str">
        <f aca="false">IFERROR(INDEX(分录收入!$I:$I,MATCH($L4195,分录收入!$L:$L,0)),"")</f>
        <v/>
      </c>
      <c r="H4195" s="23"/>
      <c r="I4195" s="70"/>
      <c r="L4195" s="71" t="n">
        <f aca="false">IF(助手收入!$R$281="",-1,助手收入!$R$281*100+(助手收入!$S$281-1)*6+5)</f>
        <v>-1</v>
      </c>
    </row>
    <row r="4196" customFormat="false" ht="23.25" hidden="false" customHeight="true" outlineLevel="0" collapsed="false">
      <c r="B4196" s="67" t="str">
        <f aca="false">""</f>
        <v/>
      </c>
      <c r="C4196" s="67"/>
      <c r="D4196" s="23" t="str">
        <f aca="false">IFERROR(INDEX(分录收入!$E:$E,MATCH($L4196,分录收入!$L:$L,0)),"")</f>
        <v/>
      </c>
      <c r="E4196" s="23" t="str">
        <f aca="false">IFERROR(INDEX(分录收入!$F:$F,MATCH($L4196,分录收入!$L:$L,0)),"")</f>
        <v/>
      </c>
      <c r="F4196" s="68" t="str">
        <f aca="false">IFERROR(INDEX(分录收入!$H:$H,MATCH($L4196,分录收入!$L:$L,0)),"")</f>
        <v/>
      </c>
      <c r="G4196" s="69" t="str">
        <f aca="false">IFERROR(INDEX(分录收入!$I:$I,MATCH($L4196,分录收入!$L:$L,0)),"")</f>
        <v/>
      </c>
      <c r="H4196" s="23"/>
      <c r="I4196" s="70"/>
      <c r="L4196" s="71" t="n">
        <f aca="false">IF(助手收入!$R$281="",-1,助手收入!$R$281*100+(助手收入!$S$281-1)*6+6)</f>
        <v>-1</v>
      </c>
    </row>
    <row r="4197" customFormat="false" ht="23.25" hidden="false" customHeight="true" outlineLevel="0" collapsed="false">
      <c r="B4197" s="72" t="str">
        <f aca="false">IF(助手收入!$T$281=1,"合计：","")</f>
        <v/>
      </c>
      <c r="C4197" s="73" t="str">
        <f aca="false">IF(助手收入!$T$281=1,$F4197,"")</f>
        <v/>
      </c>
      <c r="D4197" s="74"/>
      <c r="E4197" s="74"/>
      <c r="F4197" s="75" t="str">
        <f aca="false">IF(助手收入!$T$281=1,INDEX(助手收入!$N$2:$N$66,助手收入!$R$281),"")</f>
        <v/>
      </c>
      <c r="G4197" s="76" t="str">
        <f aca="false">IF(助手收入!$T$281=1,INDEX(助手收入!$O$2:$O$66,助手收入!$R$281),"")</f>
        <v/>
      </c>
      <c r="H4197" s="74"/>
      <c r="I4197" s="77"/>
    </row>
    <row r="4198" customFormat="false" ht="6" hidden="false" customHeight="true" outlineLevel="0" collapsed="false"/>
    <row r="4199" customFormat="false" ht="13.5" hidden="false" customHeight="false" outlineLevel="0" collapsed="false">
      <c r="B4199" s="78" t="str">
        <f aca="false">IF(助手收入!$R$281&lt;&gt;"","会计主管：","")</f>
        <v/>
      </c>
      <c r="D4199" s="78" t="str">
        <f aca="false">IF(助手收入!$R$281&lt;&gt;"","会计：","")</f>
        <v/>
      </c>
      <c r="E4199" s="78" t="str">
        <f aca="false">IF(助手收入!$R$281&lt;&gt;"","出纳：","")</f>
        <v/>
      </c>
      <c r="F4199" s="78" t="str">
        <f aca="false">IF(助手收入!$R$281&lt;&gt;"","复核：","")</f>
        <v/>
      </c>
      <c r="G4199" s="78" t="str">
        <f aca="false">IF(助手收入!$R$281&lt;&gt;"","制单：","")</f>
        <v/>
      </c>
    </row>
    <row r="4200" customFormat="false" ht="3" hidden="false" customHeight="true" outlineLevel="0" collapsed="false"/>
  </sheetData>
  <mergeCells count="3640">
    <mergeCell ref="B1:I1"/>
    <mergeCell ref="D3:E3"/>
    <mergeCell ref="F3:I3"/>
    <mergeCell ref="B4:C5"/>
    <mergeCell ref="D4:E4"/>
    <mergeCell ref="H4:H5"/>
    <mergeCell ref="I4:I5"/>
    <mergeCell ref="B6:C6"/>
    <mergeCell ref="B7:C7"/>
    <mergeCell ref="B8:C8"/>
    <mergeCell ref="B9:C9"/>
    <mergeCell ref="B10:C10"/>
    <mergeCell ref="B11:C11"/>
    <mergeCell ref="B16:I16"/>
    <mergeCell ref="D18:E18"/>
    <mergeCell ref="F18:I18"/>
    <mergeCell ref="B19:C20"/>
    <mergeCell ref="D19:E19"/>
    <mergeCell ref="H19:H20"/>
    <mergeCell ref="I19:I20"/>
    <mergeCell ref="B21:C21"/>
    <mergeCell ref="B22:C22"/>
    <mergeCell ref="B23:C23"/>
    <mergeCell ref="B24:C24"/>
    <mergeCell ref="B25:C25"/>
    <mergeCell ref="B26:C26"/>
    <mergeCell ref="B31:I31"/>
    <mergeCell ref="D33:E33"/>
    <mergeCell ref="F33:I33"/>
    <mergeCell ref="B34:C35"/>
    <mergeCell ref="D34:E34"/>
    <mergeCell ref="H34:H35"/>
    <mergeCell ref="I34:I35"/>
    <mergeCell ref="B36:C36"/>
    <mergeCell ref="B37:C37"/>
    <mergeCell ref="B38:C38"/>
    <mergeCell ref="B39:C39"/>
    <mergeCell ref="B40:C40"/>
    <mergeCell ref="B41:C41"/>
    <mergeCell ref="B46:I46"/>
    <mergeCell ref="D48:E48"/>
    <mergeCell ref="F48:I48"/>
    <mergeCell ref="B49:C50"/>
    <mergeCell ref="D49:E49"/>
    <mergeCell ref="H49:H50"/>
    <mergeCell ref="I49:I50"/>
    <mergeCell ref="B51:C51"/>
    <mergeCell ref="B52:C52"/>
    <mergeCell ref="B53:C53"/>
    <mergeCell ref="B54:C54"/>
    <mergeCell ref="B55:C55"/>
    <mergeCell ref="B56:C56"/>
    <mergeCell ref="B61:I61"/>
    <mergeCell ref="D63:E63"/>
    <mergeCell ref="F63:I63"/>
    <mergeCell ref="B64:C65"/>
    <mergeCell ref="D64:E64"/>
    <mergeCell ref="H64:H65"/>
    <mergeCell ref="I64:I65"/>
    <mergeCell ref="B66:C66"/>
    <mergeCell ref="B67:C67"/>
    <mergeCell ref="B68:C68"/>
    <mergeCell ref="B69:C69"/>
    <mergeCell ref="B70:C70"/>
    <mergeCell ref="B71:C71"/>
    <mergeCell ref="B76:I76"/>
    <mergeCell ref="D78:E78"/>
    <mergeCell ref="F78:I78"/>
    <mergeCell ref="B79:C80"/>
    <mergeCell ref="D79:E79"/>
    <mergeCell ref="H79:H80"/>
    <mergeCell ref="I79:I80"/>
    <mergeCell ref="B81:C81"/>
    <mergeCell ref="B82:C82"/>
    <mergeCell ref="B83:C83"/>
    <mergeCell ref="B84:C84"/>
    <mergeCell ref="B85:C85"/>
    <mergeCell ref="B86:C86"/>
    <mergeCell ref="B91:I91"/>
    <mergeCell ref="D93:E93"/>
    <mergeCell ref="F93:I93"/>
    <mergeCell ref="B94:C95"/>
    <mergeCell ref="D94:E94"/>
    <mergeCell ref="H94:H95"/>
    <mergeCell ref="I94:I95"/>
    <mergeCell ref="B96:C96"/>
    <mergeCell ref="B97:C97"/>
    <mergeCell ref="B98:C98"/>
    <mergeCell ref="B99:C99"/>
    <mergeCell ref="B100:C100"/>
    <mergeCell ref="B101:C101"/>
    <mergeCell ref="B106:I106"/>
    <mergeCell ref="D108:E108"/>
    <mergeCell ref="F108:I108"/>
    <mergeCell ref="B109:C110"/>
    <mergeCell ref="D109:E109"/>
    <mergeCell ref="H109:H110"/>
    <mergeCell ref="I109:I110"/>
    <mergeCell ref="B111:C111"/>
    <mergeCell ref="B112:C112"/>
    <mergeCell ref="B113:C113"/>
    <mergeCell ref="B114:C114"/>
    <mergeCell ref="B115:C115"/>
    <mergeCell ref="B116:C116"/>
    <mergeCell ref="B121:I121"/>
    <mergeCell ref="D123:E123"/>
    <mergeCell ref="F123:I123"/>
    <mergeCell ref="B124:C125"/>
    <mergeCell ref="D124:E124"/>
    <mergeCell ref="H124:H125"/>
    <mergeCell ref="I124:I125"/>
    <mergeCell ref="B126:C126"/>
    <mergeCell ref="B127:C127"/>
    <mergeCell ref="B128:C128"/>
    <mergeCell ref="B129:C129"/>
    <mergeCell ref="B130:C130"/>
    <mergeCell ref="B131:C131"/>
    <mergeCell ref="B136:I136"/>
    <mergeCell ref="D138:E138"/>
    <mergeCell ref="F138:I138"/>
    <mergeCell ref="B139:C140"/>
    <mergeCell ref="D139:E139"/>
    <mergeCell ref="H139:H140"/>
    <mergeCell ref="I139:I140"/>
    <mergeCell ref="B141:C141"/>
    <mergeCell ref="B142:C142"/>
    <mergeCell ref="B143:C143"/>
    <mergeCell ref="B144:C144"/>
    <mergeCell ref="B145:C145"/>
    <mergeCell ref="B146:C146"/>
    <mergeCell ref="B151:I151"/>
    <mergeCell ref="D153:E153"/>
    <mergeCell ref="F153:I153"/>
    <mergeCell ref="B154:C155"/>
    <mergeCell ref="D154:E154"/>
    <mergeCell ref="H154:H155"/>
    <mergeCell ref="I154:I155"/>
    <mergeCell ref="B156:C156"/>
    <mergeCell ref="B157:C157"/>
    <mergeCell ref="B158:C158"/>
    <mergeCell ref="B159:C159"/>
    <mergeCell ref="B160:C160"/>
    <mergeCell ref="B161:C161"/>
    <mergeCell ref="B166:I166"/>
    <mergeCell ref="D168:E168"/>
    <mergeCell ref="F168:I168"/>
    <mergeCell ref="B169:C170"/>
    <mergeCell ref="D169:E169"/>
    <mergeCell ref="H169:H170"/>
    <mergeCell ref="I169:I170"/>
    <mergeCell ref="B171:C171"/>
    <mergeCell ref="B172:C172"/>
    <mergeCell ref="B173:C173"/>
    <mergeCell ref="B174:C174"/>
    <mergeCell ref="B175:C175"/>
    <mergeCell ref="B176:C176"/>
    <mergeCell ref="B181:I181"/>
    <mergeCell ref="D183:E183"/>
    <mergeCell ref="F183:I183"/>
    <mergeCell ref="B184:C185"/>
    <mergeCell ref="D184:E184"/>
    <mergeCell ref="H184:H185"/>
    <mergeCell ref="I184:I185"/>
    <mergeCell ref="B186:C186"/>
    <mergeCell ref="B187:C187"/>
    <mergeCell ref="B188:C188"/>
    <mergeCell ref="B189:C189"/>
    <mergeCell ref="B190:C190"/>
    <mergeCell ref="B191:C191"/>
    <mergeCell ref="B196:I196"/>
    <mergeCell ref="D198:E198"/>
    <mergeCell ref="F198:I198"/>
    <mergeCell ref="B199:C200"/>
    <mergeCell ref="D199:E199"/>
    <mergeCell ref="H199:H200"/>
    <mergeCell ref="I199:I200"/>
    <mergeCell ref="B201:C201"/>
    <mergeCell ref="B202:C202"/>
    <mergeCell ref="B203:C203"/>
    <mergeCell ref="B204:C204"/>
    <mergeCell ref="B205:C205"/>
    <mergeCell ref="B206:C206"/>
    <mergeCell ref="B211:I211"/>
    <mergeCell ref="D213:E213"/>
    <mergeCell ref="F213:I213"/>
    <mergeCell ref="B214:C215"/>
    <mergeCell ref="D214:E214"/>
    <mergeCell ref="H214:H215"/>
    <mergeCell ref="I214:I215"/>
    <mergeCell ref="B216:C216"/>
    <mergeCell ref="B217:C217"/>
    <mergeCell ref="B218:C218"/>
    <mergeCell ref="B219:C219"/>
    <mergeCell ref="B220:C220"/>
    <mergeCell ref="B221:C221"/>
    <mergeCell ref="B226:I226"/>
    <mergeCell ref="D228:E228"/>
    <mergeCell ref="F228:I228"/>
    <mergeCell ref="B229:C230"/>
    <mergeCell ref="D229:E229"/>
    <mergeCell ref="H229:H230"/>
    <mergeCell ref="I229:I230"/>
    <mergeCell ref="B231:C231"/>
    <mergeCell ref="B232:C232"/>
    <mergeCell ref="B233:C233"/>
    <mergeCell ref="B234:C234"/>
    <mergeCell ref="B235:C235"/>
    <mergeCell ref="B236:C236"/>
    <mergeCell ref="B241:I241"/>
    <mergeCell ref="D243:E243"/>
    <mergeCell ref="F243:I243"/>
    <mergeCell ref="B244:C245"/>
    <mergeCell ref="D244:E244"/>
    <mergeCell ref="H244:H245"/>
    <mergeCell ref="I244:I245"/>
    <mergeCell ref="B246:C246"/>
    <mergeCell ref="B247:C247"/>
    <mergeCell ref="B248:C248"/>
    <mergeCell ref="B249:C249"/>
    <mergeCell ref="B250:C250"/>
    <mergeCell ref="B251:C251"/>
    <mergeCell ref="B256:I256"/>
    <mergeCell ref="D258:E258"/>
    <mergeCell ref="F258:I258"/>
    <mergeCell ref="B259:C260"/>
    <mergeCell ref="D259:E259"/>
    <mergeCell ref="H259:H260"/>
    <mergeCell ref="I259:I260"/>
    <mergeCell ref="B261:C261"/>
    <mergeCell ref="B262:C262"/>
    <mergeCell ref="B263:C263"/>
    <mergeCell ref="B264:C264"/>
    <mergeCell ref="B265:C265"/>
    <mergeCell ref="B266:C266"/>
    <mergeCell ref="B271:I271"/>
    <mergeCell ref="D273:E273"/>
    <mergeCell ref="F273:I273"/>
    <mergeCell ref="B274:C275"/>
    <mergeCell ref="D274:E274"/>
    <mergeCell ref="H274:H275"/>
    <mergeCell ref="I274:I275"/>
    <mergeCell ref="B276:C276"/>
    <mergeCell ref="B277:C277"/>
    <mergeCell ref="B278:C278"/>
    <mergeCell ref="B279:C279"/>
    <mergeCell ref="B280:C280"/>
    <mergeCell ref="B281:C281"/>
    <mergeCell ref="B286:I286"/>
    <mergeCell ref="D288:E288"/>
    <mergeCell ref="F288:I288"/>
    <mergeCell ref="B289:C290"/>
    <mergeCell ref="D289:E289"/>
    <mergeCell ref="H289:H290"/>
    <mergeCell ref="I289:I290"/>
    <mergeCell ref="B291:C291"/>
    <mergeCell ref="B292:C292"/>
    <mergeCell ref="B293:C293"/>
    <mergeCell ref="B294:C294"/>
    <mergeCell ref="B295:C295"/>
    <mergeCell ref="B296:C296"/>
    <mergeCell ref="B301:I301"/>
    <mergeCell ref="D303:E303"/>
    <mergeCell ref="F303:I303"/>
    <mergeCell ref="B304:C305"/>
    <mergeCell ref="D304:E304"/>
    <mergeCell ref="H304:H305"/>
    <mergeCell ref="I304:I305"/>
    <mergeCell ref="B306:C306"/>
    <mergeCell ref="B307:C307"/>
    <mergeCell ref="B308:C308"/>
    <mergeCell ref="B309:C309"/>
    <mergeCell ref="B310:C310"/>
    <mergeCell ref="B311:C311"/>
    <mergeCell ref="B316:I316"/>
    <mergeCell ref="D318:E318"/>
    <mergeCell ref="F318:I318"/>
    <mergeCell ref="B319:C320"/>
    <mergeCell ref="D319:E319"/>
    <mergeCell ref="H319:H320"/>
    <mergeCell ref="I319:I320"/>
    <mergeCell ref="B321:C321"/>
    <mergeCell ref="B322:C322"/>
    <mergeCell ref="B323:C323"/>
    <mergeCell ref="B324:C324"/>
    <mergeCell ref="B325:C325"/>
    <mergeCell ref="B326:C326"/>
    <mergeCell ref="B331:I331"/>
    <mergeCell ref="D333:E333"/>
    <mergeCell ref="F333:I333"/>
    <mergeCell ref="B334:C335"/>
    <mergeCell ref="D334:E334"/>
    <mergeCell ref="H334:H335"/>
    <mergeCell ref="I334:I335"/>
    <mergeCell ref="B336:C336"/>
    <mergeCell ref="B337:C337"/>
    <mergeCell ref="B338:C338"/>
    <mergeCell ref="B339:C339"/>
    <mergeCell ref="B340:C340"/>
    <mergeCell ref="B341:C341"/>
    <mergeCell ref="B346:I346"/>
    <mergeCell ref="D348:E348"/>
    <mergeCell ref="F348:I348"/>
    <mergeCell ref="B349:C350"/>
    <mergeCell ref="D349:E349"/>
    <mergeCell ref="H349:H350"/>
    <mergeCell ref="I349:I350"/>
    <mergeCell ref="B351:C351"/>
    <mergeCell ref="B352:C352"/>
    <mergeCell ref="B353:C353"/>
    <mergeCell ref="B354:C354"/>
    <mergeCell ref="B355:C355"/>
    <mergeCell ref="B356:C356"/>
    <mergeCell ref="B361:I361"/>
    <mergeCell ref="D363:E363"/>
    <mergeCell ref="F363:I363"/>
    <mergeCell ref="B364:C365"/>
    <mergeCell ref="D364:E364"/>
    <mergeCell ref="H364:H365"/>
    <mergeCell ref="I364:I365"/>
    <mergeCell ref="B366:C366"/>
    <mergeCell ref="B367:C367"/>
    <mergeCell ref="B368:C368"/>
    <mergeCell ref="B369:C369"/>
    <mergeCell ref="B370:C370"/>
    <mergeCell ref="B371:C371"/>
    <mergeCell ref="B376:I376"/>
    <mergeCell ref="D378:E378"/>
    <mergeCell ref="F378:I378"/>
    <mergeCell ref="B379:C380"/>
    <mergeCell ref="D379:E379"/>
    <mergeCell ref="H379:H380"/>
    <mergeCell ref="I379:I380"/>
    <mergeCell ref="B381:C381"/>
    <mergeCell ref="B382:C382"/>
    <mergeCell ref="B383:C383"/>
    <mergeCell ref="B384:C384"/>
    <mergeCell ref="B385:C385"/>
    <mergeCell ref="B386:C386"/>
    <mergeCell ref="B391:I391"/>
    <mergeCell ref="D393:E393"/>
    <mergeCell ref="F393:I393"/>
    <mergeCell ref="B394:C395"/>
    <mergeCell ref="D394:E394"/>
    <mergeCell ref="H394:H395"/>
    <mergeCell ref="I394:I395"/>
    <mergeCell ref="B396:C396"/>
    <mergeCell ref="B397:C397"/>
    <mergeCell ref="B398:C398"/>
    <mergeCell ref="B399:C399"/>
    <mergeCell ref="B400:C400"/>
    <mergeCell ref="B401:C401"/>
    <mergeCell ref="B406:I406"/>
    <mergeCell ref="D408:E408"/>
    <mergeCell ref="F408:I408"/>
    <mergeCell ref="B409:C410"/>
    <mergeCell ref="D409:E409"/>
    <mergeCell ref="H409:H410"/>
    <mergeCell ref="I409:I410"/>
    <mergeCell ref="B411:C411"/>
    <mergeCell ref="B412:C412"/>
    <mergeCell ref="B413:C413"/>
    <mergeCell ref="B414:C414"/>
    <mergeCell ref="B415:C415"/>
    <mergeCell ref="B416:C416"/>
    <mergeCell ref="B421:I421"/>
    <mergeCell ref="D423:E423"/>
    <mergeCell ref="F423:I423"/>
    <mergeCell ref="B424:C425"/>
    <mergeCell ref="D424:E424"/>
    <mergeCell ref="H424:H425"/>
    <mergeCell ref="I424:I425"/>
    <mergeCell ref="B426:C426"/>
    <mergeCell ref="B427:C427"/>
    <mergeCell ref="B428:C428"/>
    <mergeCell ref="B429:C429"/>
    <mergeCell ref="B430:C430"/>
    <mergeCell ref="B431:C431"/>
    <mergeCell ref="B436:I436"/>
    <mergeCell ref="D438:E438"/>
    <mergeCell ref="F438:I438"/>
    <mergeCell ref="B439:C440"/>
    <mergeCell ref="D439:E439"/>
    <mergeCell ref="H439:H440"/>
    <mergeCell ref="I439:I440"/>
    <mergeCell ref="B441:C441"/>
    <mergeCell ref="B442:C442"/>
    <mergeCell ref="B443:C443"/>
    <mergeCell ref="B444:C444"/>
    <mergeCell ref="B445:C445"/>
    <mergeCell ref="B446:C446"/>
    <mergeCell ref="B451:I451"/>
    <mergeCell ref="D453:E453"/>
    <mergeCell ref="F453:I453"/>
    <mergeCell ref="B454:C455"/>
    <mergeCell ref="D454:E454"/>
    <mergeCell ref="H454:H455"/>
    <mergeCell ref="I454:I455"/>
    <mergeCell ref="B456:C456"/>
    <mergeCell ref="B457:C457"/>
    <mergeCell ref="B458:C458"/>
    <mergeCell ref="B459:C459"/>
    <mergeCell ref="B460:C460"/>
    <mergeCell ref="B461:C461"/>
    <mergeCell ref="B466:I466"/>
    <mergeCell ref="D468:E468"/>
    <mergeCell ref="F468:I468"/>
    <mergeCell ref="B469:C470"/>
    <mergeCell ref="D469:E469"/>
    <mergeCell ref="H469:H470"/>
    <mergeCell ref="I469:I470"/>
    <mergeCell ref="B471:C471"/>
    <mergeCell ref="B472:C472"/>
    <mergeCell ref="B473:C473"/>
    <mergeCell ref="B474:C474"/>
    <mergeCell ref="B475:C475"/>
    <mergeCell ref="B476:C476"/>
    <mergeCell ref="B481:I481"/>
    <mergeCell ref="D483:E483"/>
    <mergeCell ref="F483:I483"/>
    <mergeCell ref="B484:C485"/>
    <mergeCell ref="D484:E484"/>
    <mergeCell ref="H484:H485"/>
    <mergeCell ref="I484:I485"/>
    <mergeCell ref="B486:C486"/>
    <mergeCell ref="B487:C487"/>
    <mergeCell ref="B488:C488"/>
    <mergeCell ref="B489:C489"/>
    <mergeCell ref="B490:C490"/>
    <mergeCell ref="B491:C491"/>
    <mergeCell ref="B496:I496"/>
    <mergeCell ref="D498:E498"/>
    <mergeCell ref="F498:I498"/>
    <mergeCell ref="B499:C500"/>
    <mergeCell ref="D499:E499"/>
    <mergeCell ref="H499:H500"/>
    <mergeCell ref="I499:I500"/>
    <mergeCell ref="B501:C501"/>
    <mergeCell ref="B502:C502"/>
    <mergeCell ref="B503:C503"/>
    <mergeCell ref="B504:C504"/>
    <mergeCell ref="B505:C505"/>
    <mergeCell ref="B506:C506"/>
    <mergeCell ref="B511:I511"/>
    <mergeCell ref="D513:E513"/>
    <mergeCell ref="F513:I513"/>
    <mergeCell ref="B514:C515"/>
    <mergeCell ref="D514:E514"/>
    <mergeCell ref="H514:H515"/>
    <mergeCell ref="I514:I515"/>
    <mergeCell ref="B516:C516"/>
    <mergeCell ref="B517:C517"/>
    <mergeCell ref="B518:C518"/>
    <mergeCell ref="B519:C519"/>
    <mergeCell ref="B520:C520"/>
    <mergeCell ref="B521:C521"/>
    <mergeCell ref="B526:I526"/>
    <mergeCell ref="D528:E528"/>
    <mergeCell ref="F528:I528"/>
    <mergeCell ref="B529:C530"/>
    <mergeCell ref="D529:E529"/>
    <mergeCell ref="H529:H530"/>
    <mergeCell ref="I529:I530"/>
    <mergeCell ref="B531:C531"/>
    <mergeCell ref="B532:C532"/>
    <mergeCell ref="B533:C533"/>
    <mergeCell ref="B534:C534"/>
    <mergeCell ref="B535:C535"/>
    <mergeCell ref="B536:C536"/>
    <mergeCell ref="B541:I541"/>
    <mergeCell ref="D543:E543"/>
    <mergeCell ref="F543:I543"/>
    <mergeCell ref="B544:C545"/>
    <mergeCell ref="D544:E544"/>
    <mergeCell ref="H544:H545"/>
    <mergeCell ref="I544:I545"/>
    <mergeCell ref="B546:C546"/>
    <mergeCell ref="B547:C547"/>
    <mergeCell ref="B548:C548"/>
    <mergeCell ref="B549:C549"/>
    <mergeCell ref="B550:C550"/>
    <mergeCell ref="B551:C551"/>
    <mergeCell ref="B556:I556"/>
    <mergeCell ref="D558:E558"/>
    <mergeCell ref="F558:I558"/>
    <mergeCell ref="B559:C560"/>
    <mergeCell ref="D559:E559"/>
    <mergeCell ref="H559:H560"/>
    <mergeCell ref="I559:I560"/>
    <mergeCell ref="B561:C561"/>
    <mergeCell ref="B562:C562"/>
    <mergeCell ref="B563:C563"/>
    <mergeCell ref="B564:C564"/>
    <mergeCell ref="B565:C565"/>
    <mergeCell ref="B566:C566"/>
    <mergeCell ref="B571:I571"/>
    <mergeCell ref="D573:E573"/>
    <mergeCell ref="F573:I573"/>
    <mergeCell ref="B574:C575"/>
    <mergeCell ref="D574:E574"/>
    <mergeCell ref="H574:H575"/>
    <mergeCell ref="I574:I575"/>
    <mergeCell ref="B576:C576"/>
    <mergeCell ref="B577:C577"/>
    <mergeCell ref="B578:C578"/>
    <mergeCell ref="B579:C579"/>
    <mergeCell ref="B580:C580"/>
    <mergeCell ref="B581:C581"/>
    <mergeCell ref="B586:I586"/>
    <mergeCell ref="D588:E588"/>
    <mergeCell ref="F588:I588"/>
    <mergeCell ref="B589:C590"/>
    <mergeCell ref="D589:E589"/>
    <mergeCell ref="H589:H590"/>
    <mergeCell ref="I589:I590"/>
    <mergeCell ref="B591:C591"/>
    <mergeCell ref="B592:C592"/>
    <mergeCell ref="B593:C593"/>
    <mergeCell ref="B594:C594"/>
    <mergeCell ref="B595:C595"/>
    <mergeCell ref="B596:C596"/>
    <mergeCell ref="B601:I601"/>
    <mergeCell ref="D603:E603"/>
    <mergeCell ref="F603:I603"/>
    <mergeCell ref="B604:C605"/>
    <mergeCell ref="D604:E604"/>
    <mergeCell ref="H604:H605"/>
    <mergeCell ref="I604:I605"/>
    <mergeCell ref="B606:C606"/>
    <mergeCell ref="B607:C607"/>
    <mergeCell ref="B608:C608"/>
    <mergeCell ref="B609:C609"/>
    <mergeCell ref="B610:C610"/>
    <mergeCell ref="B611:C611"/>
    <mergeCell ref="B616:I616"/>
    <mergeCell ref="D618:E618"/>
    <mergeCell ref="F618:I618"/>
    <mergeCell ref="B619:C620"/>
    <mergeCell ref="D619:E619"/>
    <mergeCell ref="H619:H620"/>
    <mergeCell ref="I619:I620"/>
    <mergeCell ref="B621:C621"/>
    <mergeCell ref="B622:C622"/>
    <mergeCell ref="B623:C623"/>
    <mergeCell ref="B624:C624"/>
    <mergeCell ref="B625:C625"/>
    <mergeCell ref="B626:C626"/>
    <mergeCell ref="B631:I631"/>
    <mergeCell ref="D633:E633"/>
    <mergeCell ref="F633:I633"/>
    <mergeCell ref="B634:C635"/>
    <mergeCell ref="D634:E634"/>
    <mergeCell ref="H634:H635"/>
    <mergeCell ref="I634:I635"/>
    <mergeCell ref="B636:C636"/>
    <mergeCell ref="B637:C637"/>
    <mergeCell ref="B638:C638"/>
    <mergeCell ref="B639:C639"/>
    <mergeCell ref="B640:C640"/>
    <mergeCell ref="B641:C641"/>
    <mergeCell ref="B646:I646"/>
    <mergeCell ref="D648:E648"/>
    <mergeCell ref="F648:I648"/>
    <mergeCell ref="B649:C650"/>
    <mergeCell ref="D649:E649"/>
    <mergeCell ref="H649:H650"/>
    <mergeCell ref="I649:I650"/>
    <mergeCell ref="B651:C651"/>
    <mergeCell ref="B652:C652"/>
    <mergeCell ref="B653:C653"/>
    <mergeCell ref="B654:C654"/>
    <mergeCell ref="B655:C655"/>
    <mergeCell ref="B656:C656"/>
    <mergeCell ref="B661:I661"/>
    <mergeCell ref="D663:E663"/>
    <mergeCell ref="F663:I663"/>
    <mergeCell ref="B664:C665"/>
    <mergeCell ref="D664:E664"/>
    <mergeCell ref="H664:H665"/>
    <mergeCell ref="I664:I665"/>
    <mergeCell ref="B666:C666"/>
    <mergeCell ref="B667:C667"/>
    <mergeCell ref="B668:C668"/>
    <mergeCell ref="B669:C669"/>
    <mergeCell ref="B670:C670"/>
    <mergeCell ref="B671:C671"/>
    <mergeCell ref="B676:I676"/>
    <mergeCell ref="D678:E678"/>
    <mergeCell ref="F678:I678"/>
    <mergeCell ref="B679:C680"/>
    <mergeCell ref="D679:E679"/>
    <mergeCell ref="H679:H680"/>
    <mergeCell ref="I679:I680"/>
    <mergeCell ref="B681:C681"/>
    <mergeCell ref="B682:C682"/>
    <mergeCell ref="B683:C683"/>
    <mergeCell ref="B684:C684"/>
    <mergeCell ref="B685:C685"/>
    <mergeCell ref="B686:C686"/>
    <mergeCell ref="B691:I691"/>
    <mergeCell ref="D693:E693"/>
    <mergeCell ref="F693:I693"/>
    <mergeCell ref="B694:C695"/>
    <mergeCell ref="D694:E694"/>
    <mergeCell ref="H694:H695"/>
    <mergeCell ref="I694:I695"/>
    <mergeCell ref="B696:C696"/>
    <mergeCell ref="B697:C697"/>
    <mergeCell ref="B698:C698"/>
    <mergeCell ref="B699:C699"/>
    <mergeCell ref="B700:C700"/>
    <mergeCell ref="B701:C701"/>
    <mergeCell ref="B706:I706"/>
    <mergeCell ref="D708:E708"/>
    <mergeCell ref="F708:I708"/>
    <mergeCell ref="B709:C710"/>
    <mergeCell ref="D709:E709"/>
    <mergeCell ref="H709:H710"/>
    <mergeCell ref="I709:I710"/>
    <mergeCell ref="B711:C711"/>
    <mergeCell ref="B712:C712"/>
    <mergeCell ref="B713:C713"/>
    <mergeCell ref="B714:C714"/>
    <mergeCell ref="B715:C715"/>
    <mergeCell ref="B716:C716"/>
    <mergeCell ref="B721:I721"/>
    <mergeCell ref="D723:E723"/>
    <mergeCell ref="F723:I723"/>
    <mergeCell ref="B724:C725"/>
    <mergeCell ref="D724:E724"/>
    <mergeCell ref="H724:H725"/>
    <mergeCell ref="I724:I725"/>
    <mergeCell ref="B726:C726"/>
    <mergeCell ref="B727:C727"/>
    <mergeCell ref="B728:C728"/>
    <mergeCell ref="B729:C729"/>
    <mergeCell ref="B730:C730"/>
    <mergeCell ref="B731:C731"/>
    <mergeCell ref="B736:I736"/>
    <mergeCell ref="D738:E738"/>
    <mergeCell ref="F738:I738"/>
    <mergeCell ref="B739:C740"/>
    <mergeCell ref="D739:E739"/>
    <mergeCell ref="H739:H740"/>
    <mergeCell ref="I739:I740"/>
    <mergeCell ref="B741:C741"/>
    <mergeCell ref="B742:C742"/>
    <mergeCell ref="B743:C743"/>
    <mergeCell ref="B744:C744"/>
    <mergeCell ref="B745:C745"/>
    <mergeCell ref="B746:C746"/>
    <mergeCell ref="B751:I751"/>
    <mergeCell ref="D753:E753"/>
    <mergeCell ref="F753:I753"/>
    <mergeCell ref="B754:C755"/>
    <mergeCell ref="D754:E754"/>
    <mergeCell ref="H754:H755"/>
    <mergeCell ref="I754:I755"/>
    <mergeCell ref="B756:C756"/>
    <mergeCell ref="B757:C757"/>
    <mergeCell ref="B758:C758"/>
    <mergeCell ref="B759:C759"/>
    <mergeCell ref="B760:C760"/>
    <mergeCell ref="B761:C761"/>
    <mergeCell ref="B766:I766"/>
    <mergeCell ref="D768:E768"/>
    <mergeCell ref="F768:I768"/>
    <mergeCell ref="B769:C770"/>
    <mergeCell ref="D769:E769"/>
    <mergeCell ref="H769:H770"/>
    <mergeCell ref="I769:I770"/>
    <mergeCell ref="B771:C771"/>
    <mergeCell ref="B772:C772"/>
    <mergeCell ref="B773:C773"/>
    <mergeCell ref="B774:C774"/>
    <mergeCell ref="B775:C775"/>
    <mergeCell ref="B776:C776"/>
    <mergeCell ref="B781:I781"/>
    <mergeCell ref="D783:E783"/>
    <mergeCell ref="F783:I783"/>
    <mergeCell ref="B784:C785"/>
    <mergeCell ref="D784:E784"/>
    <mergeCell ref="H784:H785"/>
    <mergeCell ref="I784:I785"/>
    <mergeCell ref="B786:C786"/>
    <mergeCell ref="B787:C787"/>
    <mergeCell ref="B788:C788"/>
    <mergeCell ref="B789:C789"/>
    <mergeCell ref="B790:C790"/>
    <mergeCell ref="B791:C791"/>
    <mergeCell ref="B796:I796"/>
    <mergeCell ref="D798:E798"/>
    <mergeCell ref="F798:I798"/>
    <mergeCell ref="B799:C800"/>
    <mergeCell ref="D799:E799"/>
    <mergeCell ref="H799:H800"/>
    <mergeCell ref="I799:I800"/>
    <mergeCell ref="B801:C801"/>
    <mergeCell ref="B802:C802"/>
    <mergeCell ref="B803:C803"/>
    <mergeCell ref="B804:C804"/>
    <mergeCell ref="B805:C805"/>
    <mergeCell ref="B806:C806"/>
    <mergeCell ref="B811:I811"/>
    <mergeCell ref="D813:E813"/>
    <mergeCell ref="F813:I813"/>
    <mergeCell ref="B814:C815"/>
    <mergeCell ref="D814:E814"/>
    <mergeCell ref="H814:H815"/>
    <mergeCell ref="I814:I815"/>
    <mergeCell ref="B816:C816"/>
    <mergeCell ref="B817:C817"/>
    <mergeCell ref="B818:C818"/>
    <mergeCell ref="B819:C819"/>
    <mergeCell ref="B820:C820"/>
    <mergeCell ref="B821:C821"/>
    <mergeCell ref="B826:I826"/>
    <mergeCell ref="D828:E828"/>
    <mergeCell ref="F828:I828"/>
    <mergeCell ref="B829:C830"/>
    <mergeCell ref="D829:E829"/>
    <mergeCell ref="H829:H830"/>
    <mergeCell ref="I829:I830"/>
    <mergeCell ref="B831:C831"/>
    <mergeCell ref="B832:C832"/>
    <mergeCell ref="B833:C833"/>
    <mergeCell ref="B834:C834"/>
    <mergeCell ref="B835:C835"/>
    <mergeCell ref="B836:C836"/>
    <mergeCell ref="B841:I841"/>
    <mergeCell ref="D843:E843"/>
    <mergeCell ref="F843:I843"/>
    <mergeCell ref="B844:C845"/>
    <mergeCell ref="D844:E844"/>
    <mergeCell ref="H844:H845"/>
    <mergeCell ref="I844:I845"/>
    <mergeCell ref="B846:C846"/>
    <mergeCell ref="B847:C847"/>
    <mergeCell ref="B848:C848"/>
    <mergeCell ref="B849:C849"/>
    <mergeCell ref="B850:C850"/>
    <mergeCell ref="B851:C851"/>
    <mergeCell ref="B856:I856"/>
    <mergeCell ref="D858:E858"/>
    <mergeCell ref="F858:I858"/>
    <mergeCell ref="B859:C860"/>
    <mergeCell ref="D859:E859"/>
    <mergeCell ref="H859:H860"/>
    <mergeCell ref="I859:I860"/>
    <mergeCell ref="B861:C861"/>
    <mergeCell ref="B862:C862"/>
    <mergeCell ref="B863:C863"/>
    <mergeCell ref="B864:C864"/>
    <mergeCell ref="B865:C865"/>
    <mergeCell ref="B866:C866"/>
    <mergeCell ref="B871:I871"/>
    <mergeCell ref="D873:E873"/>
    <mergeCell ref="F873:I873"/>
    <mergeCell ref="B874:C875"/>
    <mergeCell ref="D874:E874"/>
    <mergeCell ref="H874:H875"/>
    <mergeCell ref="I874:I875"/>
    <mergeCell ref="B876:C876"/>
    <mergeCell ref="B877:C877"/>
    <mergeCell ref="B878:C878"/>
    <mergeCell ref="B879:C879"/>
    <mergeCell ref="B880:C880"/>
    <mergeCell ref="B881:C881"/>
    <mergeCell ref="B886:I886"/>
    <mergeCell ref="D888:E888"/>
    <mergeCell ref="F888:I888"/>
    <mergeCell ref="B889:C890"/>
    <mergeCell ref="D889:E889"/>
    <mergeCell ref="H889:H890"/>
    <mergeCell ref="I889:I890"/>
    <mergeCell ref="B891:C891"/>
    <mergeCell ref="B892:C892"/>
    <mergeCell ref="B893:C893"/>
    <mergeCell ref="B894:C894"/>
    <mergeCell ref="B895:C895"/>
    <mergeCell ref="B896:C896"/>
    <mergeCell ref="B901:I901"/>
    <mergeCell ref="D903:E903"/>
    <mergeCell ref="F903:I903"/>
    <mergeCell ref="B904:C905"/>
    <mergeCell ref="D904:E904"/>
    <mergeCell ref="H904:H905"/>
    <mergeCell ref="I904:I905"/>
    <mergeCell ref="B906:C906"/>
    <mergeCell ref="B907:C907"/>
    <mergeCell ref="B908:C908"/>
    <mergeCell ref="B909:C909"/>
    <mergeCell ref="B910:C910"/>
    <mergeCell ref="B911:C911"/>
    <mergeCell ref="B916:I916"/>
    <mergeCell ref="D918:E918"/>
    <mergeCell ref="F918:I918"/>
    <mergeCell ref="B919:C920"/>
    <mergeCell ref="D919:E919"/>
    <mergeCell ref="H919:H920"/>
    <mergeCell ref="I919:I920"/>
    <mergeCell ref="B921:C921"/>
    <mergeCell ref="B922:C922"/>
    <mergeCell ref="B923:C923"/>
    <mergeCell ref="B924:C924"/>
    <mergeCell ref="B925:C925"/>
    <mergeCell ref="B926:C926"/>
    <mergeCell ref="B931:I931"/>
    <mergeCell ref="D933:E933"/>
    <mergeCell ref="F933:I933"/>
    <mergeCell ref="B934:C935"/>
    <mergeCell ref="D934:E934"/>
    <mergeCell ref="H934:H935"/>
    <mergeCell ref="I934:I935"/>
    <mergeCell ref="B936:C936"/>
    <mergeCell ref="B937:C937"/>
    <mergeCell ref="B938:C938"/>
    <mergeCell ref="B939:C939"/>
    <mergeCell ref="B940:C940"/>
    <mergeCell ref="B941:C941"/>
    <mergeCell ref="B946:I946"/>
    <mergeCell ref="D948:E948"/>
    <mergeCell ref="F948:I948"/>
    <mergeCell ref="B949:C950"/>
    <mergeCell ref="D949:E949"/>
    <mergeCell ref="H949:H950"/>
    <mergeCell ref="I949:I950"/>
    <mergeCell ref="B951:C951"/>
    <mergeCell ref="B952:C952"/>
    <mergeCell ref="B953:C953"/>
    <mergeCell ref="B954:C954"/>
    <mergeCell ref="B955:C955"/>
    <mergeCell ref="B956:C956"/>
    <mergeCell ref="B961:I961"/>
    <mergeCell ref="D963:E963"/>
    <mergeCell ref="F963:I963"/>
    <mergeCell ref="B964:C965"/>
    <mergeCell ref="D964:E964"/>
    <mergeCell ref="H964:H965"/>
    <mergeCell ref="I964:I965"/>
    <mergeCell ref="B966:C966"/>
    <mergeCell ref="B967:C967"/>
    <mergeCell ref="B968:C968"/>
    <mergeCell ref="B969:C969"/>
    <mergeCell ref="B970:C970"/>
    <mergeCell ref="B971:C971"/>
    <mergeCell ref="B976:I976"/>
    <mergeCell ref="D978:E978"/>
    <mergeCell ref="F978:I978"/>
    <mergeCell ref="B979:C980"/>
    <mergeCell ref="D979:E979"/>
    <mergeCell ref="H979:H980"/>
    <mergeCell ref="I979:I980"/>
    <mergeCell ref="B981:C981"/>
    <mergeCell ref="B982:C982"/>
    <mergeCell ref="B983:C983"/>
    <mergeCell ref="B984:C984"/>
    <mergeCell ref="B985:C985"/>
    <mergeCell ref="B986:C986"/>
    <mergeCell ref="B991:I991"/>
    <mergeCell ref="D993:E993"/>
    <mergeCell ref="F993:I993"/>
    <mergeCell ref="B994:C995"/>
    <mergeCell ref="D994:E994"/>
    <mergeCell ref="H994:H995"/>
    <mergeCell ref="I994:I995"/>
    <mergeCell ref="B996:C996"/>
    <mergeCell ref="B997:C997"/>
    <mergeCell ref="B998:C998"/>
    <mergeCell ref="B999:C999"/>
    <mergeCell ref="B1000:C1000"/>
    <mergeCell ref="B1001:C1001"/>
    <mergeCell ref="B1006:I1006"/>
    <mergeCell ref="D1008:E1008"/>
    <mergeCell ref="F1008:I1008"/>
    <mergeCell ref="B1009:C1010"/>
    <mergeCell ref="D1009:E1009"/>
    <mergeCell ref="H1009:H1010"/>
    <mergeCell ref="I1009:I1010"/>
    <mergeCell ref="B1011:C1011"/>
    <mergeCell ref="B1012:C1012"/>
    <mergeCell ref="B1013:C1013"/>
    <mergeCell ref="B1014:C1014"/>
    <mergeCell ref="B1015:C1015"/>
    <mergeCell ref="B1016:C1016"/>
    <mergeCell ref="B1021:I1021"/>
    <mergeCell ref="D1023:E1023"/>
    <mergeCell ref="F1023:I1023"/>
    <mergeCell ref="B1024:C1025"/>
    <mergeCell ref="D1024:E1024"/>
    <mergeCell ref="H1024:H1025"/>
    <mergeCell ref="I1024:I1025"/>
    <mergeCell ref="B1026:C1026"/>
    <mergeCell ref="B1027:C1027"/>
    <mergeCell ref="B1028:C1028"/>
    <mergeCell ref="B1029:C1029"/>
    <mergeCell ref="B1030:C1030"/>
    <mergeCell ref="B1031:C1031"/>
    <mergeCell ref="B1036:I1036"/>
    <mergeCell ref="D1038:E1038"/>
    <mergeCell ref="F1038:I1038"/>
    <mergeCell ref="B1039:C1040"/>
    <mergeCell ref="D1039:E1039"/>
    <mergeCell ref="H1039:H1040"/>
    <mergeCell ref="I1039:I1040"/>
    <mergeCell ref="B1041:C1041"/>
    <mergeCell ref="B1042:C1042"/>
    <mergeCell ref="B1043:C1043"/>
    <mergeCell ref="B1044:C1044"/>
    <mergeCell ref="B1045:C1045"/>
    <mergeCell ref="B1046:C1046"/>
    <mergeCell ref="B1051:I1051"/>
    <mergeCell ref="D1053:E1053"/>
    <mergeCell ref="F1053:I1053"/>
    <mergeCell ref="B1054:C1055"/>
    <mergeCell ref="D1054:E1054"/>
    <mergeCell ref="H1054:H1055"/>
    <mergeCell ref="I1054:I1055"/>
    <mergeCell ref="B1056:C1056"/>
    <mergeCell ref="B1057:C1057"/>
    <mergeCell ref="B1058:C1058"/>
    <mergeCell ref="B1059:C1059"/>
    <mergeCell ref="B1060:C1060"/>
    <mergeCell ref="B1061:C1061"/>
    <mergeCell ref="B1066:I1066"/>
    <mergeCell ref="D1068:E1068"/>
    <mergeCell ref="F1068:I1068"/>
    <mergeCell ref="B1069:C1070"/>
    <mergeCell ref="D1069:E1069"/>
    <mergeCell ref="H1069:H1070"/>
    <mergeCell ref="I1069:I1070"/>
    <mergeCell ref="B1071:C1071"/>
    <mergeCell ref="B1072:C1072"/>
    <mergeCell ref="B1073:C1073"/>
    <mergeCell ref="B1074:C1074"/>
    <mergeCell ref="B1075:C1075"/>
    <mergeCell ref="B1076:C1076"/>
    <mergeCell ref="B1081:I1081"/>
    <mergeCell ref="D1083:E1083"/>
    <mergeCell ref="F1083:I1083"/>
    <mergeCell ref="B1084:C1085"/>
    <mergeCell ref="D1084:E1084"/>
    <mergeCell ref="H1084:H1085"/>
    <mergeCell ref="I1084:I1085"/>
    <mergeCell ref="B1086:C1086"/>
    <mergeCell ref="B1087:C1087"/>
    <mergeCell ref="B1088:C1088"/>
    <mergeCell ref="B1089:C1089"/>
    <mergeCell ref="B1090:C1090"/>
    <mergeCell ref="B1091:C1091"/>
    <mergeCell ref="B1096:I1096"/>
    <mergeCell ref="D1098:E1098"/>
    <mergeCell ref="F1098:I1098"/>
    <mergeCell ref="B1099:C1100"/>
    <mergeCell ref="D1099:E1099"/>
    <mergeCell ref="H1099:H1100"/>
    <mergeCell ref="I1099:I1100"/>
    <mergeCell ref="B1101:C1101"/>
    <mergeCell ref="B1102:C1102"/>
    <mergeCell ref="B1103:C1103"/>
    <mergeCell ref="B1104:C1104"/>
    <mergeCell ref="B1105:C1105"/>
    <mergeCell ref="B1106:C1106"/>
    <mergeCell ref="B1111:I1111"/>
    <mergeCell ref="D1113:E1113"/>
    <mergeCell ref="F1113:I1113"/>
    <mergeCell ref="B1114:C1115"/>
    <mergeCell ref="D1114:E1114"/>
    <mergeCell ref="H1114:H1115"/>
    <mergeCell ref="I1114:I1115"/>
    <mergeCell ref="B1116:C1116"/>
    <mergeCell ref="B1117:C1117"/>
    <mergeCell ref="B1118:C1118"/>
    <mergeCell ref="B1119:C1119"/>
    <mergeCell ref="B1120:C1120"/>
    <mergeCell ref="B1121:C1121"/>
    <mergeCell ref="B1126:I1126"/>
    <mergeCell ref="D1128:E1128"/>
    <mergeCell ref="F1128:I1128"/>
    <mergeCell ref="B1129:C1130"/>
    <mergeCell ref="D1129:E1129"/>
    <mergeCell ref="H1129:H1130"/>
    <mergeCell ref="I1129:I1130"/>
    <mergeCell ref="B1131:C1131"/>
    <mergeCell ref="B1132:C1132"/>
    <mergeCell ref="B1133:C1133"/>
    <mergeCell ref="B1134:C1134"/>
    <mergeCell ref="B1135:C1135"/>
    <mergeCell ref="B1136:C1136"/>
    <mergeCell ref="B1141:I1141"/>
    <mergeCell ref="D1143:E1143"/>
    <mergeCell ref="F1143:I1143"/>
    <mergeCell ref="B1144:C1145"/>
    <mergeCell ref="D1144:E1144"/>
    <mergeCell ref="H1144:H1145"/>
    <mergeCell ref="I1144:I1145"/>
    <mergeCell ref="B1146:C1146"/>
    <mergeCell ref="B1147:C1147"/>
    <mergeCell ref="B1148:C1148"/>
    <mergeCell ref="B1149:C1149"/>
    <mergeCell ref="B1150:C1150"/>
    <mergeCell ref="B1151:C1151"/>
    <mergeCell ref="B1156:I1156"/>
    <mergeCell ref="D1158:E1158"/>
    <mergeCell ref="F1158:I1158"/>
    <mergeCell ref="B1159:C1160"/>
    <mergeCell ref="D1159:E1159"/>
    <mergeCell ref="H1159:H1160"/>
    <mergeCell ref="I1159:I1160"/>
    <mergeCell ref="B1161:C1161"/>
    <mergeCell ref="B1162:C1162"/>
    <mergeCell ref="B1163:C1163"/>
    <mergeCell ref="B1164:C1164"/>
    <mergeCell ref="B1165:C1165"/>
    <mergeCell ref="B1166:C1166"/>
    <mergeCell ref="B1171:I1171"/>
    <mergeCell ref="D1173:E1173"/>
    <mergeCell ref="F1173:I1173"/>
    <mergeCell ref="B1174:C1175"/>
    <mergeCell ref="D1174:E1174"/>
    <mergeCell ref="H1174:H1175"/>
    <mergeCell ref="I1174:I1175"/>
    <mergeCell ref="B1176:C1176"/>
    <mergeCell ref="B1177:C1177"/>
    <mergeCell ref="B1178:C1178"/>
    <mergeCell ref="B1179:C1179"/>
    <mergeCell ref="B1180:C1180"/>
    <mergeCell ref="B1181:C1181"/>
    <mergeCell ref="B1186:I1186"/>
    <mergeCell ref="D1188:E1188"/>
    <mergeCell ref="F1188:I1188"/>
    <mergeCell ref="B1189:C1190"/>
    <mergeCell ref="D1189:E1189"/>
    <mergeCell ref="H1189:H1190"/>
    <mergeCell ref="I1189:I1190"/>
    <mergeCell ref="B1191:C1191"/>
    <mergeCell ref="B1192:C1192"/>
    <mergeCell ref="B1193:C1193"/>
    <mergeCell ref="B1194:C1194"/>
    <mergeCell ref="B1195:C1195"/>
    <mergeCell ref="B1196:C1196"/>
    <mergeCell ref="B1201:I1201"/>
    <mergeCell ref="D1203:E1203"/>
    <mergeCell ref="F1203:I1203"/>
    <mergeCell ref="B1204:C1205"/>
    <mergeCell ref="D1204:E1204"/>
    <mergeCell ref="H1204:H1205"/>
    <mergeCell ref="I1204:I1205"/>
    <mergeCell ref="B1206:C1206"/>
    <mergeCell ref="B1207:C1207"/>
    <mergeCell ref="B1208:C1208"/>
    <mergeCell ref="B1209:C1209"/>
    <mergeCell ref="B1210:C1210"/>
    <mergeCell ref="B1211:C1211"/>
    <mergeCell ref="B1216:I1216"/>
    <mergeCell ref="D1218:E1218"/>
    <mergeCell ref="F1218:I1218"/>
    <mergeCell ref="B1219:C1220"/>
    <mergeCell ref="D1219:E1219"/>
    <mergeCell ref="H1219:H1220"/>
    <mergeCell ref="I1219:I1220"/>
    <mergeCell ref="B1221:C1221"/>
    <mergeCell ref="B1222:C1222"/>
    <mergeCell ref="B1223:C1223"/>
    <mergeCell ref="B1224:C1224"/>
    <mergeCell ref="B1225:C1225"/>
    <mergeCell ref="B1226:C1226"/>
    <mergeCell ref="B1231:I1231"/>
    <mergeCell ref="D1233:E1233"/>
    <mergeCell ref="F1233:I1233"/>
    <mergeCell ref="B1234:C1235"/>
    <mergeCell ref="D1234:E1234"/>
    <mergeCell ref="H1234:H1235"/>
    <mergeCell ref="I1234:I1235"/>
    <mergeCell ref="B1236:C1236"/>
    <mergeCell ref="B1237:C1237"/>
    <mergeCell ref="B1238:C1238"/>
    <mergeCell ref="B1239:C1239"/>
    <mergeCell ref="B1240:C1240"/>
    <mergeCell ref="B1241:C1241"/>
    <mergeCell ref="B1246:I1246"/>
    <mergeCell ref="D1248:E1248"/>
    <mergeCell ref="F1248:I1248"/>
    <mergeCell ref="B1249:C1250"/>
    <mergeCell ref="D1249:E1249"/>
    <mergeCell ref="H1249:H1250"/>
    <mergeCell ref="I1249:I1250"/>
    <mergeCell ref="B1251:C1251"/>
    <mergeCell ref="B1252:C1252"/>
    <mergeCell ref="B1253:C1253"/>
    <mergeCell ref="B1254:C1254"/>
    <mergeCell ref="B1255:C1255"/>
    <mergeCell ref="B1256:C1256"/>
    <mergeCell ref="B1261:I1261"/>
    <mergeCell ref="D1263:E1263"/>
    <mergeCell ref="F1263:I1263"/>
    <mergeCell ref="B1264:C1265"/>
    <mergeCell ref="D1264:E1264"/>
    <mergeCell ref="H1264:H1265"/>
    <mergeCell ref="I1264:I1265"/>
    <mergeCell ref="B1266:C1266"/>
    <mergeCell ref="B1267:C1267"/>
    <mergeCell ref="B1268:C1268"/>
    <mergeCell ref="B1269:C1269"/>
    <mergeCell ref="B1270:C1270"/>
    <mergeCell ref="B1271:C1271"/>
    <mergeCell ref="B1276:I1276"/>
    <mergeCell ref="D1278:E1278"/>
    <mergeCell ref="F1278:I1278"/>
    <mergeCell ref="B1279:C1280"/>
    <mergeCell ref="D1279:E1279"/>
    <mergeCell ref="H1279:H1280"/>
    <mergeCell ref="I1279:I1280"/>
    <mergeCell ref="B1281:C1281"/>
    <mergeCell ref="B1282:C1282"/>
    <mergeCell ref="B1283:C1283"/>
    <mergeCell ref="B1284:C1284"/>
    <mergeCell ref="B1285:C1285"/>
    <mergeCell ref="B1286:C1286"/>
    <mergeCell ref="B1291:I1291"/>
    <mergeCell ref="D1293:E1293"/>
    <mergeCell ref="F1293:I1293"/>
    <mergeCell ref="B1294:C1295"/>
    <mergeCell ref="D1294:E1294"/>
    <mergeCell ref="H1294:H1295"/>
    <mergeCell ref="I1294:I1295"/>
    <mergeCell ref="B1296:C1296"/>
    <mergeCell ref="B1297:C1297"/>
    <mergeCell ref="B1298:C1298"/>
    <mergeCell ref="B1299:C1299"/>
    <mergeCell ref="B1300:C1300"/>
    <mergeCell ref="B1301:C1301"/>
    <mergeCell ref="B1306:I1306"/>
    <mergeCell ref="D1308:E1308"/>
    <mergeCell ref="F1308:I1308"/>
    <mergeCell ref="B1309:C1310"/>
    <mergeCell ref="D1309:E1309"/>
    <mergeCell ref="H1309:H1310"/>
    <mergeCell ref="I1309:I1310"/>
    <mergeCell ref="B1311:C1311"/>
    <mergeCell ref="B1312:C1312"/>
    <mergeCell ref="B1313:C1313"/>
    <mergeCell ref="B1314:C1314"/>
    <mergeCell ref="B1315:C1315"/>
    <mergeCell ref="B1316:C1316"/>
    <mergeCell ref="B1321:I1321"/>
    <mergeCell ref="D1323:E1323"/>
    <mergeCell ref="F1323:I1323"/>
    <mergeCell ref="B1324:C1325"/>
    <mergeCell ref="D1324:E1324"/>
    <mergeCell ref="H1324:H1325"/>
    <mergeCell ref="I1324:I1325"/>
    <mergeCell ref="B1326:C1326"/>
    <mergeCell ref="B1327:C1327"/>
    <mergeCell ref="B1328:C1328"/>
    <mergeCell ref="B1329:C1329"/>
    <mergeCell ref="B1330:C1330"/>
    <mergeCell ref="B1331:C1331"/>
    <mergeCell ref="B1336:I1336"/>
    <mergeCell ref="D1338:E1338"/>
    <mergeCell ref="F1338:I1338"/>
    <mergeCell ref="B1339:C1340"/>
    <mergeCell ref="D1339:E1339"/>
    <mergeCell ref="H1339:H1340"/>
    <mergeCell ref="I1339:I1340"/>
    <mergeCell ref="B1341:C1341"/>
    <mergeCell ref="B1342:C1342"/>
    <mergeCell ref="B1343:C1343"/>
    <mergeCell ref="B1344:C1344"/>
    <mergeCell ref="B1345:C1345"/>
    <mergeCell ref="B1346:C1346"/>
    <mergeCell ref="B1351:I1351"/>
    <mergeCell ref="D1353:E1353"/>
    <mergeCell ref="F1353:I1353"/>
    <mergeCell ref="B1354:C1355"/>
    <mergeCell ref="D1354:E1354"/>
    <mergeCell ref="H1354:H1355"/>
    <mergeCell ref="I1354:I1355"/>
    <mergeCell ref="B1356:C1356"/>
    <mergeCell ref="B1357:C1357"/>
    <mergeCell ref="B1358:C1358"/>
    <mergeCell ref="B1359:C1359"/>
    <mergeCell ref="B1360:C1360"/>
    <mergeCell ref="B1361:C1361"/>
    <mergeCell ref="B1366:I1366"/>
    <mergeCell ref="D1368:E1368"/>
    <mergeCell ref="F1368:I1368"/>
    <mergeCell ref="B1369:C1370"/>
    <mergeCell ref="D1369:E1369"/>
    <mergeCell ref="H1369:H1370"/>
    <mergeCell ref="I1369:I1370"/>
    <mergeCell ref="B1371:C1371"/>
    <mergeCell ref="B1372:C1372"/>
    <mergeCell ref="B1373:C1373"/>
    <mergeCell ref="B1374:C1374"/>
    <mergeCell ref="B1375:C1375"/>
    <mergeCell ref="B1376:C1376"/>
    <mergeCell ref="B1381:I1381"/>
    <mergeCell ref="D1383:E1383"/>
    <mergeCell ref="F1383:I1383"/>
    <mergeCell ref="B1384:C1385"/>
    <mergeCell ref="D1384:E1384"/>
    <mergeCell ref="H1384:H1385"/>
    <mergeCell ref="I1384:I1385"/>
    <mergeCell ref="B1386:C1386"/>
    <mergeCell ref="B1387:C1387"/>
    <mergeCell ref="B1388:C1388"/>
    <mergeCell ref="B1389:C1389"/>
    <mergeCell ref="B1390:C1390"/>
    <mergeCell ref="B1391:C1391"/>
    <mergeCell ref="B1396:I1396"/>
    <mergeCell ref="D1398:E1398"/>
    <mergeCell ref="F1398:I1398"/>
    <mergeCell ref="B1399:C1400"/>
    <mergeCell ref="D1399:E1399"/>
    <mergeCell ref="H1399:H1400"/>
    <mergeCell ref="I1399:I1400"/>
    <mergeCell ref="B1401:C1401"/>
    <mergeCell ref="B1402:C1402"/>
    <mergeCell ref="B1403:C1403"/>
    <mergeCell ref="B1404:C1404"/>
    <mergeCell ref="B1405:C1405"/>
    <mergeCell ref="B1406:C1406"/>
    <mergeCell ref="B1411:I1411"/>
    <mergeCell ref="D1413:E1413"/>
    <mergeCell ref="F1413:I1413"/>
    <mergeCell ref="B1414:C1415"/>
    <mergeCell ref="D1414:E1414"/>
    <mergeCell ref="H1414:H1415"/>
    <mergeCell ref="I1414:I1415"/>
    <mergeCell ref="B1416:C1416"/>
    <mergeCell ref="B1417:C1417"/>
    <mergeCell ref="B1418:C1418"/>
    <mergeCell ref="B1419:C1419"/>
    <mergeCell ref="B1420:C1420"/>
    <mergeCell ref="B1421:C1421"/>
    <mergeCell ref="B1426:I1426"/>
    <mergeCell ref="D1428:E1428"/>
    <mergeCell ref="F1428:I1428"/>
    <mergeCell ref="B1429:C1430"/>
    <mergeCell ref="D1429:E1429"/>
    <mergeCell ref="H1429:H1430"/>
    <mergeCell ref="I1429:I1430"/>
    <mergeCell ref="B1431:C1431"/>
    <mergeCell ref="B1432:C1432"/>
    <mergeCell ref="B1433:C1433"/>
    <mergeCell ref="B1434:C1434"/>
    <mergeCell ref="B1435:C1435"/>
    <mergeCell ref="B1436:C1436"/>
    <mergeCell ref="B1441:I1441"/>
    <mergeCell ref="D1443:E1443"/>
    <mergeCell ref="F1443:I1443"/>
    <mergeCell ref="B1444:C1445"/>
    <mergeCell ref="D1444:E1444"/>
    <mergeCell ref="H1444:H1445"/>
    <mergeCell ref="I1444:I1445"/>
    <mergeCell ref="B1446:C1446"/>
    <mergeCell ref="B1447:C1447"/>
    <mergeCell ref="B1448:C1448"/>
    <mergeCell ref="B1449:C1449"/>
    <mergeCell ref="B1450:C1450"/>
    <mergeCell ref="B1451:C1451"/>
    <mergeCell ref="B1456:I1456"/>
    <mergeCell ref="D1458:E1458"/>
    <mergeCell ref="F1458:I1458"/>
    <mergeCell ref="B1459:C1460"/>
    <mergeCell ref="D1459:E1459"/>
    <mergeCell ref="H1459:H1460"/>
    <mergeCell ref="I1459:I1460"/>
    <mergeCell ref="B1461:C1461"/>
    <mergeCell ref="B1462:C1462"/>
    <mergeCell ref="B1463:C1463"/>
    <mergeCell ref="B1464:C1464"/>
    <mergeCell ref="B1465:C1465"/>
    <mergeCell ref="B1466:C1466"/>
    <mergeCell ref="B1471:I1471"/>
    <mergeCell ref="D1473:E1473"/>
    <mergeCell ref="F1473:I1473"/>
    <mergeCell ref="B1474:C1475"/>
    <mergeCell ref="D1474:E1474"/>
    <mergeCell ref="H1474:H1475"/>
    <mergeCell ref="I1474:I1475"/>
    <mergeCell ref="B1476:C1476"/>
    <mergeCell ref="B1477:C1477"/>
    <mergeCell ref="B1478:C1478"/>
    <mergeCell ref="B1479:C1479"/>
    <mergeCell ref="B1480:C1480"/>
    <mergeCell ref="B1481:C1481"/>
    <mergeCell ref="B1486:I1486"/>
    <mergeCell ref="D1488:E1488"/>
    <mergeCell ref="F1488:I1488"/>
    <mergeCell ref="B1489:C1490"/>
    <mergeCell ref="D1489:E1489"/>
    <mergeCell ref="H1489:H1490"/>
    <mergeCell ref="I1489:I1490"/>
    <mergeCell ref="B1491:C1491"/>
    <mergeCell ref="B1492:C1492"/>
    <mergeCell ref="B1493:C1493"/>
    <mergeCell ref="B1494:C1494"/>
    <mergeCell ref="B1495:C1495"/>
    <mergeCell ref="B1496:C1496"/>
    <mergeCell ref="B1501:I1501"/>
    <mergeCell ref="D1503:E1503"/>
    <mergeCell ref="F1503:I1503"/>
    <mergeCell ref="B1504:C1505"/>
    <mergeCell ref="D1504:E1504"/>
    <mergeCell ref="H1504:H1505"/>
    <mergeCell ref="I1504:I1505"/>
    <mergeCell ref="B1506:C1506"/>
    <mergeCell ref="B1507:C1507"/>
    <mergeCell ref="B1508:C1508"/>
    <mergeCell ref="B1509:C1509"/>
    <mergeCell ref="B1510:C1510"/>
    <mergeCell ref="B1511:C1511"/>
    <mergeCell ref="B1516:I1516"/>
    <mergeCell ref="D1518:E1518"/>
    <mergeCell ref="F1518:I1518"/>
    <mergeCell ref="B1519:C1520"/>
    <mergeCell ref="D1519:E1519"/>
    <mergeCell ref="H1519:H1520"/>
    <mergeCell ref="I1519:I1520"/>
    <mergeCell ref="B1521:C1521"/>
    <mergeCell ref="B1522:C1522"/>
    <mergeCell ref="B1523:C1523"/>
    <mergeCell ref="B1524:C1524"/>
    <mergeCell ref="B1525:C1525"/>
    <mergeCell ref="B1526:C1526"/>
    <mergeCell ref="B1531:I1531"/>
    <mergeCell ref="D1533:E1533"/>
    <mergeCell ref="F1533:I1533"/>
    <mergeCell ref="B1534:C1535"/>
    <mergeCell ref="D1534:E1534"/>
    <mergeCell ref="H1534:H1535"/>
    <mergeCell ref="I1534:I1535"/>
    <mergeCell ref="B1536:C1536"/>
    <mergeCell ref="B1537:C1537"/>
    <mergeCell ref="B1538:C1538"/>
    <mergeCell ref="B1539:C1539"/>
    <mergeCell ref="B1540:C1540"/>
    <mergeCell ref="B1541:C1541"/>
    <mergeCell ref="B1546:I1546"/>
    <mergeCell ref="D1548:E1548"/>
    <mergeCell ref="F1548:I1548"/>
    <mergeCell ref="B1549:C1550"/>
    <mergeCell ref="D1549:E1549"/>
    <mergeCell ref="H1549:H1550"/>
    <mergeCell ref="I1549:I1550"/>
    <mergeCell ref="B1551:C1551"/>
    <mergeCell ref="B1552:C1552"/>
    <mergeCell ref="B1553:C1553"/>
    <mergeCell ref="B1554:C1554"/>
    <mergeCell ref="B1555:C1555"/>
    <mergeCell ref="B1556:C1556"/>
    <mergeCell ref="B1561:I1561"/>
    <mergeCell ref="D1563:E1563"/>
    <mergeCell ref="F1563:I1563"/>
    <mergeCell ref="B1564:C1565"/>
    <mergeCell ref="D1564:E1564"/>
    <mergeCell ref="H1564:H1565"/>
    <mergeCell ref="I1564:I1565"/>
    <mergeCell ref="B1566:C1566"/>
    <mergeCell ref="B1567:C1567"/>
    <mergeCell ref="B1568:C1568"/>
    <mergeCell ref="B1569:C1569"/>
    <mergeCell ref="B1570:C1570"/>
    <mergeCell ref="B1571:C1571"/>
    <mergeCell ref="B1576:I1576"/>
    <mergeCell ref="D1578:E1578"/>
    <mergeCell ref="F1578:I1578"/>
    <mergeCell ref="B1579:C1580"/>
    <mergeCell ref="D1579:E1579"/>
    <mergeCell ref="H1579:H1580"/>
    <mergeCell ref="I1579:I1580"/>
    <mergeCell ref="B1581:C1581"/>
    <mergeCell ref="B1582:C1582"/>
    <mergeCell ref="B1583:C1583"/>
    <mergeCell ref="B1584:C1584"/>
    <mergeCell ref="B1585:C1585"/>
    <mergeCell ref="B1586:C1586"/>
    <mergeCell ref="B1591:I1591"/>
    <mergeCell ref="D1593:E1593"/>
    <mergeCell ref="F1593:I1593"/>
    <mergeCell ref="B1594:C1595"/>
    <mergeCell ref="D1594:E1594"/>
    <mergeCell ref="H1594:H1595"/>
    <mergeCell ref="I1594:I1595"/>
    <mergeCell ref="B1596:C1596"/>
    <mergeCell ref="B1597:C1597"/>
    <mergeCell ref="B1598:C1598"/>
    <mergeCell ref="B1599:C1599"/>
    <mergeCell ref="B1600:C1600"/>
    <mergeCell ref="B1601:C1601"/>
    <mergeCell ref="B1606:I1606"/>
    <mergeCell ref="D1608:E1608"/>
    <mergeCell ref="F1608:I1608"/>
    <mergeCell ref="B1609:C1610"/>
    <mergeCell ref="D1609:E1609"/>
    <mergeCell ref="H1609:H1610"/>
    <mergeCell ref="I1609:I1610"/>
    <mergeCell ref="B1611:C1611"/>
    <mergeCell ref="B1612:C1612"/>
    <mergeCell ref="B1613:C1613"/>
    <mergeCell ref="B1614:C1614"/>
    <mergeCell ref="B1615:C1615"/>
    <mergeCell ref="B1616:C1616"/>
    <mergeCell ref="B1621:I1621"/>
    <mergeCell ref="D1623:E1623"/>
    <mergeCell ref="F1623:I1623"/>
    <mergeCell ref="B1624:C1625"/>
    <mergeCell ref="D1624:E1624"/>
    <mergeCell ref="H1624:H1625"/>
    <mergeCell ref="I1624:I1625"/>
    <mergeCell ref="B1626:C1626"/>
    <mergeCell ref="B1627:C1627"/>
    <mergeCell ref="B1628:C1628"/>
    <mergeCell ref="B1629:C1629"/>
    <mergeCell ref="B1630:C1630"/>
    <mergeCell ref="B1631:C1631"/>
    <mergeCell ref="B1636:I1636"/>
    <mergeCell ref="D1638:E1638"/>
    <mergeCell ref="F1638:I1638"/>
    <mergeCell ref="B1639:C1640"/>
    <mergeCell ref="D1639:E1639"/>
    <mergeCell ref="H1639:H1640"/>
    <mergeCell ref="I1639:I1640"/>
    <mergeCell ref="B1641:C1641"/>
    <mergeCell ref="B1642:C1642"/>
    <mergeCell ref="B1643:C1643"/>
    <mergeCell ref="B1644:C1644"/>
    <mergeCell ref="B1645:C1645"/>
    <mergeCell ref="B1646:C1646"/>
    <mergeCell ref="B1651:I1651"/>
    <mergeCell ref="D1653:E1653"/>
    <mergeCell ref="F1653:I1653"/>
    <mergeCell ref="B1654:C1655"/>
    <mergeCell ref="D1654:E1654"/>
    <mergeCell ref="H1654:H1655"/>
    <mergeCell ref="I1654:I1655"/>
    <mergeCell ref="B1656:C1656"/>
    <mergeCell ref="B1657:C1657"/>
    <mergeCell ref="B1658:C1658"/>
    <mergeCell ref="B1659:C1659"/>
    <mergeCell ref="B1660:C1660"/>
    <mergeCell ref="B1661:C1661"/>
    <mergeCell ref="B1666:I1666"/>
    <mergeCell ref="D1668:E1668"/>
    <mergeCell ref="F1668:I1668"/>
    <mergeCell ref="B1669:C1670"/>
    <mergeCell ref="D1669:E1669"/>
    <mergeCell ref="H1669:H1670"/>
    <mergeCell ref="I1669:I1670"/>
    <mergeCell ref="B1671:C1671"/>
    <mergeCell ref="B1672:C1672"/>
    <mergeCell ref="B1673:C1673"/>
    <mergeCell ref="B1674:C1674"/>
    <mergeCell ref="B1675:C1675"/>
    <mergeCell ref="B1676:C1676"/>
    <mergeCell ref="B1681:I1681"/>
    <mergeCell ref="D1683:E1683"/>
    <mergeCell ref="F1683:I1683"/>
    <mergeCell ref="B1684:C1685"/>
    <mergeCell ref="D1684:E1684"/>
    <mergeCell ref="H1684:H1685"/>
    <mergeCell ref="I1684:I1685"/>
    <mergeCell ref="B1686:C1686"/>
    <mergeCell ref="B1687:C1687"/>
    <mergeCell ref="B1688:C1688"/>
    <mergeCell ref="B1689:C1689"/>
    <mergeCell ref="B1690:C1690"/>
    <mergeCell ref="B1691:C1691"/>
    <mergeCell ref="B1696:I1696"/>
    <mergeCell ref="D1698:E1698"/>
    <mergeCell ref="F1698:I1698"/>
    <mergeCell ref="B1699:C1700"/>
    <mergeCell ref="D1699:E1699"/>
    <mergeCell ref="H1699:H1700"/>
    <mergeCell ref="I1699:I1700"/>
    <mergeCell ref="B1701:C1701"/>
    <mergeCell ref="B1702:C1702"/>
    <mergeCell ref="B1703:C1703"/>
    <mergeCell ref="B1704:C1704"/>
    <mergeCell ref="B1705:C1705"/>
    <mergeCell ref="B1706:C1706"/>
    <mergeCell ref="B1711:I1711"/>
    <mergeCell ref="D1713:E1713"/>
    <mergeCell ref="F1713:I1713"/>
    <mergeCell ref="B1714:C1715"/>
    <mergeCell ref="D1714:E1714"/>
    <mergeCell ref="H1714:H1715"/>
    <mergeCell ref="I1714:I1715"/>
    <mergeCell ref="B1716:C1716"/>
    <mergeCell ref="B1717:C1717"/>
    <mergeCell ref="B1718:C1718"/>
    <mergeCell ref="B1719:C1719"/>
    <mergeCell ref="B1720:C1720"/>
    <mergeCell ref="B1721:C1721"/>
    <mergeCell ref="B1726:I1726"/>
    <mergeCell ref="D1728:E1728"/>
    <mergeCell ref="F1728:I1728"/>
    <mergeCell ref="B1729:C1730"/>
    <mergeCell ref="D1729:E1729"/>
    <mergeCell ref="H1729:H1730"/>
    <mergeCell ref="I1729:I1730"/>
    <mergeCell ref="B1731:C1731"/>
    <mergeCell ref="B1732:C1732"/>
    <mergeCell ref="B1733:C1733"/>
    <mergeCell ref="B1734:C1734"/>
    <mergeCell ref="B1735:C1735"/>
    <mergeCell ref="B1736:C1736"/>
    <mergeCell ref="B1741:I1741"/>
    <mergeCell ref="D1743:E1743"/>
    <mergeCell ref="F1743:I1743"/>
    <mergeCell ref="B1744:C1745"/>
    <mergeCell ref="D1744:E1744"/>
    <mergeCell ref="H1744:H1745"/>
    <mergeCell ref="I1744:I1745"/>
    <mergeCell ref="B1746:C1746"/>
    <mergeCell ref="B1747:C1747"/>
    <mergeCell ref="B1748:C1748"/>
    <mergeCell ref="B1749:C1749"/>
    <mergeCell ref="B1750:C1750"/>
    <mergeCell ref="B1751:C1751"/>
    <mergeCell ref="B1756:I1756"/>
    <mergeCell ref="D1758:E1758"/>
    <mergeCell ref="F1758:I1758"/>
    <mergeCell ref="B1759:C1760"/>
    <mergeCell ref="D1759:E1759"/>
    <mergeCell ref="H1759:H1760"/>
    <mergeCell ref="I1759:I1760"/>
    <mergeCell ref="B1761:C1761"/>
    <mergeCell ref="B1762:C1762"/>
    <mergeCell ref="B1763:C1763"/>
    <mergeCell ref="B1764:C1764"/>
    <mergeCell ref="B1765:C1765"/>
    <mergeCell ref="B1766:C1766"/>
    <mergeCell ref="B1771:I1771"/>
    <mergeCell ref="D1773:E1773"/>
    <mergeCell ref="F1773:I1773"/>
    <mergeCell ref="B1774:C1775"/>
    <mergeCell ref="D1774:E1774"/>
    <mergeCell ref="H1774:H1775"/>
    <mergeCell ref="I1774:I1775"/>
    <mergeCell ref="B1776:C1776"/>
    <mergeCell ref="B1777:C1777"/>
    <mergeCell ref="B1778:C1778"/>
    <mergeCell ref="B1779:C1779"/>
    <mergeCell ref="B1780:C1780"/>
    <mergeCell ref="B1781:C1781"/>
    <mergeCell ref="B1786:I1786"/>
    <mergeCell ref="D1788:E1788"/>
    <mergeCell ref="F1788:I1788"/>
    <mergeCell ref="B1789:C1790"/>
    <mergeCell ref="D1789:E1789"/>
    <mergeCell ref="H1789:H1790"/>
    <mergeCell ref="I1789:I1790"/>
    <mergeCell ref="B1791:C1791"/>
    <mergeCell ref="B1792:C1792"/>
    <mergeCell ref="B1793:C1793"/>
    <mergeCell ref="B1794:C1794"/>
    <mergeCell ref="B1795:C1795"/>
    <mergeCell ref="B1796:C1796"/>
    <mergeCell ref="B1801:I1801"/>
    <mergeCell ref="D1803:E1803"/>
    <mergeCell ref="F1803:I1803"/>
    <mergeCell ref="B1804:C1805"/>
    <mergeCell ref="D1804:E1804"/>
    <mergeCell ref="H1804:H1805"/>
    <mergeCell ref="I1804:I1805"/>
    <mergeCell ref="B1806:C1806"/>
    <mergeCell ref="B1807:C1807"/>
    <mergeCell ref="B1808:C1808"/>
    <mergeCell ref="B1809:C1809"/>
    <mergeCell ref="B1810:C1810"/>
    <mergeCell ref="B1811:C1811"/>
    <mergeCell ref="B1816:I1816"/>
    <mergeCell ref="D1818:E1818"/>
    <mergeCell ref="F1818:I1818"/>
    <mergeCell ref="B1819:C1820"/>
    <mergeCell ref="D1819:E1819"/>
    <mergeCell ref="H1819:H1820"/>
    <mergeCell ref="I1819:I1820"/>
    <mergeCell ref="B1821:C1821"/>
    <mergeCell ref="B1822:C1822"/>
    <mergeCell ref="B1823:C1823"/>
    <mergeCell ref="B1824:C1824"/>
    <mergeCell ref="B1825:C1825"/>
    <mergeCell ref="B1826:C1826"/>
    <mergeCell ref="B1831:I1831"/>
    <mergeCell ref="D1833:E1833"/>
    <mergeCell ref="F1833:I1833"/>
    <mergeCell ref="B1834:C1835"/>
    <mergeCell ref="D1834:E1834"/>
    <mergeCell ref="H1834:H1835"/>
    <mergeCell ref="I1834:I1835"/>
    <mergeCell ref="B1836:C1836"/>
    <mergeCell ref="B1837:C1837"/>
    <mergeCell ref="B1838:C1838"/>
    <mergeCell ref="B1839:C1839"/>
    <mergeCell ref="B1840:C1840"/>
    <mergeCell ref="B1841:C1841"/>
    <mergeCell ref="B1846:I1846"/>
    <mergeCell ref="D1848:E1848"/>
    <mergeCell ref="F1848:I1848"/>
    <mergeCell ref="B1849:C1850"/>
    <mergeCell ref="D1849:E1849"/>
    <mergeCell ref="H1849:H1850"/>
    <mergeCell ref="I1849:I1850"/>
    <mergeCell ref="B1851:C1851"/>
    <mergeCell ref="B1852:C1852"/>
    <mergeCell ref="B1853:C1853"/>
    <mergeCell ref="B1854:C1854"/>
    <mergeCell ref="B1855:C1855"/>
    <mergeCell ref="B1856:C1856"/>
    <mergeCell ref="B1861:I1861"/>
    <mergeCell ref="D1863:E1863"/>
    <mergeCell ref="F1863:I1863"/>
    <mergeCell ref="B1864:C1865"/>
    <mergeCell ref="D1864:E1864"/>
    <mergeCell ref="H1864:H1865"/>
    <mergeCell ref="I1864:I1865"/>
    <mergeCell ref="B1866:C1866"/>
    <mergeCell ref="B1867:C1867"/>
    <mergeCell ref="B1868:C1868"/>
    <mergeCell ref="B1869:C1869"/>
    <mergeCell ref="B1870:C1870"/>
    <mergeCell ref="B1871:C1871"/>
    <mergeCell ref="B1876:I1876"/>
    <mergeCell ref="D1878:E1878"/>
    <mergeCell ref="F1878:I1878"/>
    <mergeCell ref="B1879:C1880"/>
    <mergeCell ref="D1879:E1879"/>
    <mergeCell ref="H1879:H1880"/>
    <mergeCell ref="I1879:I1880"/>
    <mergeCell ref="B1881:C1881"/>
    <mergeCell ref="B1882:C1882"/>
    <mergeCell ref="B1883:C1883"/>
    <mergeCell ref="B1884:C1884"/>
    <mergeCell ref="B1885:C1885"/>
    <mergeCell ref="B1886:C1886"/>
    <mergeCell ref="B1891:I1891"/>
    <mergeCell ref="D1893:E1893"/>
    <mergeCell ref="F1893:I1893"/>
    <mergeCell ref="B1894:C1895"/>
    <mergeCell ref="D1894:E1894"/>
    <mergeCell ref="H1894:H1895"/>
    <mergeCell ref="I1894:I1895"/>
    <mergeCell ref="B1896:C1896"/>
    <mergeCell ref="B1897:C1897"/>
    <mergeCell ref="B1898:C1898"/>
    <mergeCell ref="B1899:C1899"/>
    <mergeCell ref="B1900:C1900"/>
    <mergeCell ref="B1901:C1901"/>
    <mergeCell ref="B1906:I1906"/>
    <mergeCell ref="D1908:E1908"/>
    <mergeCell ref="F1908:I1908"/>
    <mergeCell ref="B1909:C1910"/>
    <mergeCell ref="D1909:E1909"/>
    <mergeCell ref="H1909:H1910"/>
    <mergeCell ref="I1909:I1910"/>
    <mergeCell ref="B1911:C1911"/>
    <mergeCell ref="B1912:C1912"/>
    <mergeCell ref="B1913:C1913"/>
    <mergeCell ref="B1914:C1914"/>
    <mergeCell ref="B1915:C1915"/>
    <mergeCell ref="B1916:C1916"/>
    <mergeCell ref="B1921:I1921"/>
    <mergeCell ref="D1923:E1923"/>
    <mergeCell ref="F1923:I1923"/>
    <mergeCell ref="B1924:C1925"/>
    <mergeCell ref="D1924:E1924"/>
    <mergeCell ref="H1924:H1925"/>
    <mergeCell ref="I1924:I1925"/>
    <mergeCell ref="B1926:C1926"/>
    <mergeCell ref="B1927:C1927"/>
    <mergeCell ref="B1928:C1928"/>
    <mergeCell ref="B1929:C1929"/>
    <mergeCell ref="B1930:C1930"/>
    <mergeCell ref="B1931:C1931"/>
    <mergeCell ref="B1936:I1936"/>
    <mergeCell ref="D1938:E1938"/>
    <mergeCell ref="F1938:I1938"/>
    <mergeCell ref="B1939:C1940"/>
    <mergeCell ref="D1939:E1939"/>
    <mergeCell ref="H1939:H1940"/>
    <mergeCell ref="I1939:I1940"/>
    <mergeCell ref="B1941:C1941"/>
    <mergeCell ref="B1942:C1942"/>
    <mergeCell ref="B1943:C1943"/>
    <mergeCell ref="B1944:C1944"/>
    <mergeCell ref="B1945:C1945"/>
    <mergeCell ref="B1946:C1946"/>
    <mergeCell ref="B1951:I1951"/>
    <mergeCell ref="D1953:E1953"/>
    <mergeCell ref="F1953:I1953"/>
    <mergeCell ref="B1954:C1955"/>
    <mergeCell ref="D1954:E1954"/>
    <mergeCell ref="H1954:H1955"/>
    <mergeCell ref="I1954:I1955"/>
    <mergeCell ref="B1956:C1956"/>
    <mergeCell ref="B1957:C1957"/>
    <mergeCell ref="B1958:C1958"/>
    <mergeCell ref="B1959:C1959"/>
    <mergeCell ref="B1960:C1960"/>
    <mergeCell ref="B1961:C1961"/>
    <mergeCell ref="B1966:I1966"/>
    <mergeCell ref="D1968:E1968"/>
    <mergeCell ref="F1968:I1968"/>
    <mergeCell ref="B1969:C1970"/>
    <mergeCell ref="D1969:E1969"/>
    <mergeCell ref="H1969:H1970"/>
    <mergeCell ref="I1969:I1970"/>
    <mergeCell ref="B1971:C1971"/>
    <mergeCell ref="B1972:C1972"/>
    <mergeCell ref="B1973:C1973"/>
    <mergeCell ref="B1974:C1974"/>
    <mergeCell ref="B1975:C1975"/>
    <mergeCell ref="B1976:C1976"/>
    <mergeCell ref="B1981:I1981"/>
    <mergeCell ref="D1983:E1983"/>
    <mergeCell ref="F1983:I1983"/>
    <mergeCell ref="B1984:C1985"/>
    <mergeCell ref="D1984:E1984"/>
    <mergeCell ref="H1984:H1985"/>
    <mergeCell ref="I1984:I1985"/>
    <mergeCell ref="B1986:C1986"/>
    <mergeCell ref="B1987:C1987"/>
    <mergeCell ref="B1988:C1988"/>
    <mergeCell ref="B1989:C1989"/>
    <mergeCell ref="B1990:C1990"/>
    <mergeCell ref="B1991:C1991"/>
    <mergeCell ref="B1996:I1996"/>
    <mergeCell ref="D1998:E1998"/>
    <mergeCell ref="F1998:I1998"/>
    <mergeCell ref="B1999:C2000"/>
    <mergeCell ref="D1999:E1999"/>
    <mergeCell ref="H1999:H2000"/>
    <mergeCell ref="I1999:I2000"/>
    <mergeCell ref="B2001:C2001"/>
    <mergeCell ref="B2002:C2002"/>
    <mergeCell ref="B2003:C2003"/>
    <mergeCell ref="B2004:C2004"/>
    <mergeCell ref="B2005:C2005"/>
    <mergeCell ref="B2006:C2006"/>
    <mergeCell ref="B2011:I2011"/>
    <mergeCell ref="D2013:E2013"/>
    <mergeCell ref="F2013:I2013"/>
    <mergeCell ref="B2014:C2015"/>
    <mergeCell ref="D2014:E2014"/>
    <mergeCell ref="H2014:H2015"/>
    <mergeCell ref="I2014:I2015"/>
    <mergeCell ref="B2016:C2016"/>
    <mergeCell ref="B2017:C2017"/>
    <mergeCell ref="B2018:C2018"/>
    <mergeCell ref="B2019:C2019"/>
    <mergeCell ref="B2020:C2020"/>
    <mergeCell ref="B2021:C2021"/>
    <mergeCell ref="B2026:I2026"/>
    <mergeCell ref="D2028:E2028"/>
    <mergeCell ref="F2028:I2028"/>
    <mergeCell ref="B2029:C2030"/>
    <mergeCell ref="D2029:E2029"/>
    <mergeCell ref="H2029:H2030"/>
    <mergeCell ref="I2029:I2030"/>
    <mergeCell ref="B2031:C2031"/>
    <mergeCell ref="B2032:C2032"/>
    <mergeCell ref="B2033:C2033"/>
    <mergeCell ref="B2034:C2034"/>
    <mergeCell ref="B2035:C2035"/>
    <mergeCell ref="B2036:C2036"/>
    <mergeCell ref="B2041:I2041"/>
    <mergeCell ref="D2043:E2043"/>
    <mergeCell ref="F2043:I2043"/>
    <mergeCell ref="B2044:C2045"/>
    <mergeCell ref="D2044:E2044"/>
    <mergeCell ref="H2044:H2045"/>
    <mergeCell ref="I2044:I2045"/>
    <mergeCell ref="B2046:C2046"/>
    <mergeCell ref="B2047:C2047"/>
    <mergeCell ref="B2048:C2048"/>
    <mergeCell ref="B2049:C2049"/>
    <mergeCell ref="B2050:C2050"/>
    <mergeCell ref="B2051:C2051"/>
    <mergeCell ref="B2056:I2056"/>
    <mergeCell ref="D2058:E2058"/>
    <mergeCell ref="F2058:I2058"/>
    <mergeCell ref="B2059:C2060"/>
    <mergeCell ref="D2059:E2059"/>
    <mergeCell ref="H2059:H2060"/>
    <mergeCell ref="I2059:I2060"/>
    <mergeCell ref="B2061:C2061"/>
    <mergeCell ref="B2062:C2062"/>
    <mergeCell ref="B2063:C2063"/>
    <mergeCell ref="B2064:C2064"/>
    <mergeCell ref="B2065:C2065"/>
    <mergeCell ref="B2066:C2066"/>
    <mergeCell ref="B2071:I2071"/>
    <mergeCell ref="D2073:E2073"/>
    <mergeCell ref="F2073:I2073"/>
    <mergeCell ref="B2074:C2075"/>
    <mergeCell ref="D2074:E2074"/>
    <mergeCell ref="H2074:H2075"/>
    <mergeCell ref="I2074:I2075"/>
    <mergeCell ref="B2076:C2076"/>
    <mergeCell ref="B2077:C2077"/>
    <mergeCell ref="B2078:C2078"/>
    <mergeCell ref="B2079:C2079"/>
    <mergeCell ref="B2080:C2080"/>
    <mergeCell ref="B2081:C2081"/>
    <mergeCell ref="B2086:I2086"/>
    <mergeCell ref="D2088:E2088"/>
    <mergeCell ref="F2088:I2088"/>
    <mergeCell ref="B2089:C2090"/>
    <mergeCell ref="D2089:E2089"/>
    <mergeCell ref="H2089:H2090"/>
    <mergeCell ref="I2089:I2090"/>
    <mergeCell ref="B2091:C2091"/>
    <mergeCell ref="B2092:C2092"/>
    <mergeCell ref="B2093:C2093"/>
    <mergeCell ref="B2094:C2094"/>
    <mergeCell ref="B2095:C2095"/>
    <mergeCell ref="B2096:C2096"/>
    <mergeCell ref="B2101:I2101"/>
    <mergeCell ref="D2103:E2103"/>
    <mergeCell ref="F2103:I2103"/>
    <mergeCell ref="B2104:C2105"/>
    <mergeCell ref="D2104:E2104"/>
    <mergeCell ref="H2104:H2105"/>
    <mergeCell ref="I2104:I2105"/>
    <mergeCell ref="B2106:C2106"/>
    <mergeCell ref="B2107:C2107"/>
    <mergeCell ref="B2108:C2108"/>
    <mergeCell ref="B2109:C2109"/>
    <mergeCell ref="B2110:C2110"/>
    <mergeCell ref="B2111:C2111"/>
    <mergeCell ref="B2116:I2116"/>
    <mergeCell ref="D2118:E2118"/>
    <mergeCell ref="F2118:I2118"/>
    <mergeCell ref="B2119:C2120"/>
    <mergeCell ref="D2119:E2119"/>
    <mergeCell ref="H2119:H2120"/>
    <mergeCell ref="I2119:I2120"/>
    <mergeCell ref="B2121:C2121"/>
    <mergeCell ref="B2122:C2122"/>
    <mergeCell ref="B2123:C2123"/>
    <mergeCell ref="B2124:C2124"/>
    <mergeCell ref="B2125:C2125"/>
    <mergeCell ref="B2126:C2126"/>
    <mergeCell ref="B2131:I2131"/>
    <mergeCell ref="D2133:E2133"/>
    <mergeCell ref="F2133:I2133"/>
    <mergeCell ref="B2134:C2135"/>
    <mergeCell ref="D2134:E2134"/>
    <mergeCell ref="H2134:H2135"/>
    <mergeCell ref="I2134:I2135"/>
    <mergeCell ref="B2136:C2136"/>
    <mergeCell ref="B2137:C2137"/>
    <mergeCell ref="B2138:C2138"/>
    <mergeCell ref="B2139:C2139"/>
    <mergeCell ref="B2140:C2140"/>
    <mergeCell ref="B2141:C2141"/>
    <mergeCell ref="B2146:I2146"/>
    <mergeCell ref="D2148:E2148"/>
    <mergeCell ref="F2148:I2148"/>
    <mergeCell ref="B2149:C2150"/>
    <mergeCell ref="D2149:E2149"/>
    <mergeCell ref="H2149:H2150"/>
    <mergeCell ref="I2149:I2150"/>
    <mergeCell ref="B2151:C2151"/>
    <mergeCell ref="B2152:C2152"/>
    <mergeCell ref="B2153:C2153"/>
    <mergeCell ref="B2154:C2154"/>
    <mergeCell ref="B2155:C2155"/>
    <mergeCell ref="B2156:C2156"/>
    <mergeCell ref="B2161:I2161"/>
    <mergeCell ref="D2163:E2163"/>
    <mergeCell ref="F2163:I2163"/>
    <mergeCell ref="B2164:C2165"/>
    <mergeCell ref="D2164:E2164"/>
    <mergeCell ref="H2164:H2165"/>
    <mergeCell ref="I2164:I2165"/>
    <mergeCell ref="B2166:C2166"/>
    <mergeCell ref="B2167:C2167"/>
    <mergeCell ref="B2168:C2168"/>
    <mergeCell ref="B2169:C2169"/>
    <mergeCell ref="B2170:C2170"/>
    <mergeCell ref="B2171:C2171"/>
    <mergeCell ref="B2176:I2176"/>
    <mergeCell ref="D2178:E2178"/>
    <mergeCell ref="F2178:I2178"/>
    <mergeCell ref="B2179:C2180"/>
    <mergeCell ref="D2179:E2179"/>
    <mergeCell ref="H2179:H2180"/>
    <mergeCell ref="I2179:I2180"/>
    <mergeCell ref="B2181:C2181"/>
    <mergeCell ref="B2182:C2182"/>
    <mergeCell ref="B2183:C2183"/>
    <mergeCell ref="B2184:C2184"/>
    <mergeCell ref="B2185:C2185"/>
    <mergeCell ref="B2186:C2186"/>
    <mergeCell ref="B2191:I2191"/>
    <mergeCell ref="D2193:E2193"/>
    <mergeCell ref="F2193:I2193"/>
    <mergeCell ref="B2194:C2195"/>
    <mergeCell ref="D2194:E2194"/>
    <mergeCell ref="H2194:H2195"/>
    <mergeCell ref="I2194:I2195"/>
    <mergeCell ref="B2196:C2196"/>
    <mergeCell ref="B2197:C2197"/>
    <mergeCell ref="B2198:C2198"/>
    <mergeCell ref="B2199:C2199"/>
    <mergeCell ref="B2200:C2200"/>
    <mergeCell ref="B2201:C2201"/>
    <mergeCell ref="B2206:I2206"/>
    <mergeCell ref="D2208:E2208"/>
    <mergeCell ref="F2208:I2208"/>
    <mergeCell ref="B2209:C2210"/>
    <mergeCell ref="D2209:E2209"/>
    <mergeCell ref="H2209:H2210"/>
    <mergeCell ref="I2209:I2210"/>
    <mergeCell ref="B2211:C2211"/>
    <mergeCell ref="B2212:C2212"/>
    <mergeCell ref="B2213:C2213"/>
    <mergeCell ref="B2214:C2214"/>
    <mergeCell ref="B2215:C2215"/>
    <mergeCell ref="B2216:C2216"/>
    <mergeCell ref="B2221:I2221"/>
    <mergeCell ref="D2223:E2223"/>
    <mergeCell ref="F2223:I2223"/>
    <mergeCell ref="B2224:C2225"/>
    <mergeCell ref="D2224:E2224"/>
    <mergeCell ref="H2224:H2225"/>
    <mergeCell ref="I2224:I2225"/>
    <mergeCell ref="B2226:C2226"/>
    <mergeCell ref="B2227:C2227"/>
    <mergeCell ref="B2228:C2228"/>
    <mergeCell ref="B2229:C2229"/>
    <mergeCell ref="B2230:C2230"/>
    <mergeCell ref="B2231:C2231"/>
    <mergeCell ref="B2236:I2236"/>
    <mergeCell ref="D2238:E2238"/>
    <mergeCell ref="F2238:I2238"/>
    <mergeCell ref="B2239:C2240"/>
    <mergeCell ref="D2239:E2239"/>
    <mergeCell ref="H2239:H2240"/>
    <mergeCell ref="I2239:I2240"/>
    <mergeCell ref="B2241:C2241"/>
    <mergeCell ref="B2242:C2242"/>
    <mergeCell ref="B2243:C2243"/>
    <mergeCell ref="B2244:C2244"/>
    <mergeCell ref="B2245:C2245"/>
    <mergeCell ref="B2246:C2246"/>
    <mergeCell ref="B2251:I2251"/>
    <mergeCell ref="D2253:E2253"/>
    <mergeCell ref="F2253:I2253"/>
    <mergeCell ref="B2254:C2255"/>
    <mergeCell ref="D2254:E2254"/>
    <mergeCell ref="H2254:H2255"/>
    <mergeCell ref="I2254:I2255"/>
    <mergeCell ref="B2256:C2256"/>
    <mergeCell ref="B2257:C2257"/>
    <mergeCell ref="B2258:C2258"/>
    <mergeCell ref="B2259:C2259"/>
    <mergeCell ref="B2260:C2260"/>
    <mergeCell ref="B2261:C2261"/>
    <mergeCell ref="B2266:I2266"/>
    <mergeCell ref="D2268:E2268"/>
    <mergeCell ref="F2268:I2268"/>
    <mergeCell ref="B2269:C2270"/>
    <mergeCell ref="D2269:E2269"/>
    <mergeCell ref="H2269:H2270"/>
    <mergeCell ref="I2269:I2270"/>
    <mergeCell ref="B2271:C2271"/>
    <mergeCell ref="B2272:C2272"/>
    <mergeCell ref="B2273:C2273"/>
    <mergeCell ref="B2274:C2274"/>
    <mergeCell ref="B2275:C2275"/>
    <mergeCell ref="B2276:C2276"/>
    <mergeCell ref="B2281:I2281"/>
    <mergeCell ref="D2283:E2283"/>
    <mergeCell ref="F2283:I2283"/>
    <mergeCell ref="B2284:C2285"/>
    <mergeCell ref="D2284:E2284"/>
    <mergeCell ref="H2284:H2285"/>
    <mergeCell ref="I2284:I2285"/>
    <mergeCell ref="B2286:C2286"/>
    <mergeCell ref="B2287:C2287"/>
    <mergeCell ref="B2288:C2288"/>
    <mergeCell ref="B2289:C2289"/>
    <mergeCell ref="B2290:C2290"/>
    <mergeCell ref="B2291:C2291"/>
    <mergeCell ref="B2296:I2296"/>
    <mergeCell ref="D2298:E2298"/>
    <mergeCell ref="F2298:I2298"/>
    <mergeCell ref="B2299:C2300"/>
    <mergeCell ref="D2299:E2299"/>
    <mergeCell ref="H2299:H2300"/>
    <mergeCell ref="I2299:I2300"/>
    <mergeCell ref="B2301:C2301"/>
    <mergeCell ref="B2302:C2302"/>
    <mergeCell ref="B2303:C2303"/>
    <mergeCell ref="B2304:C2304"/>
    <mergeCell ref="B2305:C2305"/>
    <mergeCell ref="B2306:C2306"/>
    <mergeCell ref="B2311:I2311"/>
    <mergeCell ref="D2313:E2313"/>
    <mergeCell ref="F2313:I2313"/>
    <mergeCell ref="B2314:C2315"/>
    <mergeCell ref="D2314:E2314"/>
    <mergeCell ref="H2314:H2315"/>
    <mergeCell ref="I2314:I2315"/>
    <mergeCell ref="B2316:C2316"/>
    <mergeCell ref="B2317:C2317"/>
    <mergeCell ref="B2318:C2318"/>
    <mergeCell ref="B2319:C2319"/>
    <mergeCell ref="B2320:C2320"/>
    <mergeCell ref="B2321:C2321"/>
    <mergeCell ref="B2326:I2326"/>
    <mergeCell ref="D2328:E2328"/>
    <mergeCell ref="F2328:I2328"/>
    <mergeCell ref="B2329:C2330"/>
    <mergeCell ref="D2329:E2329"/>
    <mergeCell ref="H2329:H2330"/>
    <mergeCell ref="I2329:I2330"/>
    <mergeCell ref="B2331:C2331"/>
    <mergeCell ref="B2332:C2332"/>
    <mergeCell ref="B2333:C2333"/>
    <mergeCell ref="B2334:C2334"/>
    <mergeCell ref="B2335:C2335"/>
    <mergeCell ref="B2336:C2336"/>
    <mergeCell ref="B2341:I2341"/>
    <mergeCell ref="D2343:E2343"/>
    <mergeCell ref="F2343:I2343"/>
    <mergeCell ref="B2344:C2345"/>
    <mergeCell ref="D2344:E2344"/>
    <mergeCell ref="H2344:H2345"/>
    <mergeCell ref="I2344:I2345"/>
    <mergeCell ref="B2346:C2346"/>
    <mergeCell ref="B2347:C2347"/>
    <mergeCell ref="B2348:C2348"/>
    <mergeCell ref="B2349:C2349"/>
    <mergeCell ref="B2350:C2350"/>
    <mergeCell ref="B2351:C2351"/>
    <mergeCell ref="B2356:I2356"/>
    <mergeCell ref="D2358:E2358"/>
    <mergeCell ref="F2358:I2358"/>
    <mergeCell ref="B2359:C2360"/>
    <mergeCell ref="D2359:E2359"/>
    <mergeCell ref="H2359:H2360"/>
    <mergeCell ref="I2359:I2360"/>
    <mergeCell ref="B2361:C2361"/>
    <mergeCell ref="B2362:C2362"/>
    <mergeCell ref="B2363:C2363"/>
    <mergeCell ref="B2364:C2364"/>
    <mergeCell ref="B2365:C2365"/>
    <mergeCell ref="B2366:C2366"/>
    <mergeCell ref="B2371:I2371"/>
    <mergeCell ref="D2373:E2373"/>
    <mergeCell ref="F2373:I2373"/>
    <mergeCell ref="B2374:C2375"/>
    <mergeCell ref="D2374:E2374"/>
    <mergeCell ref="H2374:H2375"/>
    <mergeCell ref="I2374:I2375"/>
    <mergeCell ref="B2376:C2376"/>
    <mergeCell ref="B2377:C2377"/>
    <mergeCell ref="B2378:C2378"/>
    <mergeCell ref="B2379:C2379"/>
    <mergeCell ref="B2380:C2380"/>
    <mergeCell ref="B2381:C2381"/>
    <mergeCell ref="B2386:I2386"/>
    <mergeCell ref="D2388:E2388"/>
    <mergeCell ref="F2388:I2388"/>
    <mergeCell ref="B2389:C2390"/>
    <mergeCell ref="D2389:E2389"/>
    <mergeCell ref="H2389:H2390"/>
    <mergeCell ref="I2389:I2390"/>
    <mergeCell ref="B2391:C2391"/>
    <mergeCell ref="B2392:C2392"/>
    <mergeCell ref="B2393:C2393"/>
    <mergeCell ref="B2394:C2394"/>
    <mergeCell ref="B2395:C2395"/>
    <mergeCell ref="B2396:C2396"/>
    <mergeCell ref="B2401:I2401"/>
    <mergeCell ref="D2403:E2403"/>
    <mergeCell ref="F2403:I2403"/>
    <mergeCell ref="B2404:C2405"/>
    <mergeCell ref="D2404:E2404"/>
    <mergeCell ref="H2404:H2405"/>
    <mergeCell ref="I2404:I2405"/>
    <mergeCell ref="B2406:C2406"/>
    <mergeCell ref="B2407:C2407"/>
    <mergeCell ref="B2408:C2408"/>
    <mergeCell ref="B2409:C2409"/>
    <mergeCell ref="B2410:C2410"/>
    <mergeCell ref="B2411:C2411"/>
    <mergeCell ref="B2416:I2416"/>
    <mergeCell ref="D2418:E2418"/>
    <mergeCell ref="F2418:I2418"/>
    <mergeCell ref="B2419:C2420"/>
    <mergeCell ref="D2419:E2419"/>
    <mergeCell ref="H2419:H2420"/>
    <mergeCell ref="I2419:I2420"/>
    <mergeCell ref="B2421:C2421"/>
    <mergeCell ref="B2422:C2422"/>
    <mergeCell ref="B2423:C2423"/>
    <mergeCell ref="B2424:C2424"/>
    <mergeCell ref="B2425:C2425"/>
    <mergeCell ref="B2426:C2426"/>
    <mergeCell ref="B2431:I2431"/>
    <mergeCell ref="D2433:E2433"/>
    <mergeCell ref="F2433:I2433"/>
    <mergeCell ref="B2434:C2435"/>
    <mergeCell ref="D2434:E2434"/>
    <mergeCell ref="H2434:H2435"/>
    <mergeCell ref="I2434:I2435"/>
    <mergeCell ref="B2436:C2436"/>
    <mergeCell ref="B2437:C2437"/>
    <mergeCell ref="B2438:C2438"/>
    <mergeCell ref="B2439:C2439"/>
    <mergeCell ref="B2440:C2440"/>
    <mergeCell ref="B2441:C2441"/>
    <mergeCell ref="B2446:I2446"/>
    <mergeCell ref="D2448:E2448"/>
    <mergeCell ref="F2448:I2448"/>
    <mergeCell ref="B2449:C2450"/>
    <mergeCell ref="D2449:E2449"/>
    <mergeCell ref="H2449:H2450"/>
    <mergeCell ref="I2449:I2450"/>
    <mergeCell ref="B2451:C2451"/>
    <mergeCell ref="B2452:C2452"/>
    <mergeCell ref="B2453:C2453"/>
    <mergeCell ref="B2454:C2454"/>
    <mergeCell ref="B2455:C2455"/>
    <mergeCell ref="B2456:C2456"/>
    <mergeCell ref="B2461:I2461"/>
    <mergeCell ref="D2463:E2463"/>
    <mergeCell ref="F2463:I2463"/>
    <mergeCell ref="B2464:C2465"/>
    <mergeCell ref="D2464:E2464"/>
    <mergeCell ref="H2464:H2465"/>
    <mergeCell ref="I2464:I2465"/>
    <mergeCell ref="B2466:C2466"/>
    <mergeCell ref="B2467:C2467"/>
    <mergeCell ref="B2468:C2468"/>
    <mergeCell ref="B2469:C2469"/>
    <mergeCell ref="B2470:C2470"/>
    <mergeCell ref="B2471:C2471"/>
    <mergeCell ref="B2476:I2476"/>
    <mergeCell ref="D2478:E2478"/>
    <mergeCell ref="F2478:I2478"/>
    <mergeCell ref="B2479:C2480"/>
    <mergeCell ref="D2479:E2479"/>
    <mergeCell ref="H2479:H2480"/>
    <mergeCell ref="I2479:I2480"/>
    <mergeCell ref="B2481:C2481"/>
    <mergeCell ref="B2482:C2482"/>
    <mergeCell ref="B2483:C2483"/>
    <mergeCell ref="B2484:C2484"/>
    <mergeCell ref="B2485:C2485"/>
    <mergeCell ref="B2486:C2486"/>
    <mergeCell ref="B2491:I2491"/>
    <mergeCell ref="D2493:E2493"/>
    <mergeCell ref="F2493:I2493"/>
    <mergeCell ref="B2494:C2495"/>
    <mergeCell ref="D2494:E2494"/>
    <mergeCell ref="H2494:H2495"/>
    <mergeCell ref="I2494:I2495"/>
    <mergeCell ref="B2496:C2496"/>
    <mergeCell ref="B2497:C2497"/>
    <mergeCell ref="B2498:C2498"/>
    <mergeCell ref="B2499:C2499"/>
    <mergeCell ref="B2500:C2500"/>
    <mergeCell ref="B2501:C2501"/>
    <mergeCell ref="B2506:I2506"/>
    <mergeCell ref="D2508:E2508"/>
    <mergeCell ref="F2508:I2508"/>
    <mergeCell ref="B2509:C2510"/>
    <mergeCell ref="D2509:E2509"/>
    <mergeCell ref="H2509:H2510"/>
    <mergeCell ref="I2509:I2510"/>
    <mergeCell ref="B2511:C2511"/>
    <mergeCell ref="B2512:C2512"/>
    <mergeCell ref="B2513:C2513"/>
    <mergeCell ref="B2514:C2514"/>
    <mergeCell ref="B2515:C2515"/>
    <mergeCell ref="B2516:C2516"/>
    <mergeCell ref="B2521:I2521"/>
    <mergeCell ref="D2523:E2523"/>
    <mergeCell ref="F2523:I2523"/>
    <mergeCell ref="B2524:C2525"/>
    <mergeCell ref="D2524:E2524"/>
    <mergeCell ref="H2524:H2525"/>
    <mergeCell ref="I2524:I2525"/>
    <mergeCell ref="B2526:C2526"/>
    <mergeCell ref="B2527:C2527"/>
    <mergeCell ref="B2528:C2528"/>
    <mergeCell ref="B2529:C2529"/>
    <mergeCell ref="B2530:C2530"/>
    <mergeCell ref="B2531:C2531"/>
    <mergeCell ref="B2536:I2536"/>
    <mergeCell ref="D2538:E2538"/>
    <mergeCell ref="F2538:I2538"/>
    <mergeCell ref="B2539:C2540"/>
    <mergeCell ref="D2539:E2539"/>
    <mergeCell ref="H2539:H2540"/>
    <mergeCell ref="I2539:I2540"/>
    <mergeCell ref="B2541:C2541"/>
    <mergeCell ref="B2542:C2542"/>
    <mergeCell ref="B2543:C2543"/>
    <mergeCell ref="B2544:C2544"/>
    <mergeCell ref="B2545:C2545"/>
    <mergeCell ref="B2546:C2546"/>
    <mergeCell ref="B2551:I2551"/>
    <mergeCell ref="D2553:E2553"/>
    <mergeCell ref="F2553:I2553"/>
    <mergeCell ref="B2554:C2555"/>
    <mergeCell ref="D2554:E2554"/>
    <mergeCell ref="H2554:H2555"/>
    <mergeCell ref="I2554:I2555"/>
    <mergeCell ref="B2556:C2556"/>
    <mergeCell ref="B2557:C2557"/>
    <mergeCell ref="B2558:C2558"/>
    <mergeCell ref="B2559:C2559"/>
    <mergeCell ref="B2560:C2560"/>
    <mergeCell ref="B2561:C2561"/>
    <mergeCell ref="B2566:I2566"/>
    <mergeCell ref="D2568:E2568"/>
    <mergeCell ref="F2568:I2568"/>
    <mergeCell ref="B2569:C2570"/>
    <mergeCell ref="D2569:E2569"/>
    <mergeCell ref="H2569:H2570"/>
    <mergeCell ref="I2569:I2570"/>
    <mergeCell ref="B2571:C2571"/>
    <mergeCell ref="B2572:C2572"/>
    <mergeCell ref="B2573:C2573"/>
    <mergeCell ref="B2574:C2574"/>
    <mergeCell ref="B2575:C2575"/>
    <mergeCell ref="B2576:C2576"/>
    <mergeCell ref="B2581:I2581"/>
    <mergeCell ref="D2583:E2583"/>
    <mergeCell ref="F2583:I2583"/>
    <mergeCell ref="B2584:C2585"/>
    <mergeCell ref="D2584:E2584"/>
    <mergeCell ref="H2584:H2585"/>
    <mergeCell ref="I2584:I2585"/>
    <mergeCell ref="B2586:C2586"/>
    <mergeCell ref="B2587:C2587"/>
    <mergeCell ref="B2588:C2588"/>
    <mergeCell ref="B2589:C2589"/>
    <mergeCell ref="B2590:C2590"/>
    <mergeCell ref="B2591:C2591"/>
    <mergeCell ref="B2596:I2596"/>
    <mergeCell ref="D2598:E2598"/>
    <mergeCell ref="F2598:I2598"/>
    <mergeCell ref="B2599:C2600"/>
    <mergeCell ref="D2599:E2599"/>
    <mergeCell ref="H2599:H2600"/>
    <mergeCell ref="I2599:I2600"/>
    <mergeCell ref="B2601:C2601"/>
    <mergeCell ref="B2602:C2602"/>
    <mergeCell ref="B2603:C2603"/>
    <mergeCell ref="B2604:C2604"/>
    <mergeCell ref="B2605:C2605"/>
    <mergeCell ref="B2606:C2606"/>
    <mergeCell ref="B2611:I2611"/>
    <mergeCell ref="D2613:E2613"/>
    <mergeCell ref="F2613:I2613"/>
    <mergeCell ref="B2614:C2615"/>
    <mergeCell ref="D2614:E2614"/>
    <mergeCell ref="H2614:H2615"/>
    <mergeCell ref="I2614:I2615"/>
    <mergeCell ref="B2616:C2616"/>
    <mergeCell ref="B2617:C2617"/>
    <mergeCell ref="B2618:C2618"/>
    <mergeCell ref="B2619:C2619"/>
    <mergeCell ref="B2620:C2620"/>
    <mergeCell ref="B2621:C2621"/>
    <mergeCell ref="B2626:I2626"/>
    <mergeCell ref="D2628:E2628"/>
    <mergeCell ref="F2628:I2628"/>
    <mergeCell ref="B2629:C2630"/>
    <mergeCell ref="D2629:E2629"/>
    <mergeCell ref="H2629:H2630"/>
    <mergeCell ref="I2629:I2630"/>
    <mergeCell ref="B2631:C2631"/>
    <mergeCell ref="B2632:C2632"/>
    <mergeCell ref="B2633:C2633"/>
    <mergeCell ref="B2634:C2634"/>
    <mergeCell ref="B2635:C2635"/>
    <mergeCell ref="B2636:C2636"/>
    <mergeCell ref="B2641:I2641"/>
    <mergeCell ref="D2643:E2643"/>
    <mergeCell ref="F2643:I2643"/>
    <mergeCell ref="B2644:C2645"/>
    <mergeCell ref="D2644:E2644"/>
    <mergeCell ref="H2644:H2645"/>
    <mergeCell ref="I2644:I2645"/>
    <mergeCell ref="B2646:C2646"/>
    <mergeCell ref="B2647:C2647"/>
    <mergeCell ref="B2648:C2648"/>
    <mergeCell ref="B2649:C2649"/>
    <mergeCell ref="B2650:C2650"/>
    <mergeCell ref="B2651:C2651"/>
    <mergeCell ref="B2656:I2656"/>
    <mergeCell ref="D2658:E2658"/>
    <mergeCell ref="F2658:I2658"/>
    <mergeCell ref="B2659:C2660"/>
    <mergeCell ref="D2659:E2659"/>
    <mergeCell ref="H2659:H2660"/>
    <mergeCell ref="I2659:I2660"/>
    <mergeCell ref="B2661:C2661"/>
    <mergeCell ref="B2662:C2662"/>
    <mergeCell ref="B2663:C2663"/>
    <mergeCell ref="B2664:C2664"/>
    <mergeCell ref="B2665:C2665"/>
    <mergeCell ref="B2666:C2666"/>
    <mergeCell ref="B2671:I2671"/>
    <mergeCell ref="D2673:E2673"/>
    <mergeCell ref="F2673:I2673"/>
    <mergeCell ref="B2674:C2675"/>
    <mergeCell ref="D2674:E2674"/>
    <mergeCell ref="H2674:H2675"/>
    <mergeCell ref="I2674:I2675"/>
    <mergeCell ref="B2676:C2676"/>
    <mergeCell ref="B2677:C2677"/>
    <mergeCell ref="B2678:C2678"/>
    <mergeCell ref="B2679:C2679"/>
    <mergeCell ref="B2680:C2680"/>
    <mergeCell ref="B2681:C2681"/>
    <mergeCell ref="B2686:I2686"/>
    <mergeCell ref="D2688:E2688"/>
    <mergeCell ref="F2688:I2688"/>
    <mergeCell ref="B2689:C2690"/>
    <mergeCell ref="D2689:E2689"/>
    <mergeCell ref="H2689:H2690"/>
    <mergeCell ref="I2689:I2690"/>
    <mergeCell ref="B2691:C2691"/>
    <mergeCell ref="B2692:C2692"/>
    <mergeCell ref="B2693:C2693"/>
    <mergeCell ref="B2694:C2694"/>
    <mergeCell ref="B2695:C2695"/>
    <mergeCell ref="B2696:C2696"/>
    <mergeCell ref="B2701:I2701"/>
    <mergeCell ref="D2703:E2703"/>
    <mergeCell ref="F2703:I2703"/>
    <mergeCell ref="B2704:C2705"/>
    <mergeCell ref="D2704:E2704"/>
    <mergeCell ref="H2704:H2705"/>
    <mergeCell ref="I2704:I2705"/>
    <mergeCell ref="B2706:C2706"/>
    <mergeCell ref="B2707:C2707"/>
    <mergeCell ref="B2708:C2708"/>
    <mergeCell ref="B2709:C2709"/>
    <mergeCell ref="B2710:C2710"/>
    <mergeCell ref="B2711:C2711"/>
    <mergeCell ref="B2716:I2716"/>
    <mergeCell ref="D2718:E2718"/>
    <mergeCell ref="F2718:I2718"/>
    <mergeCell ref="B2719:C2720"/>
    <mergeCell ref="D2719:E2719"/>
    <mergeCell ref="H2719:H2720"/>
    <mergeCell ref="I2719:I2720"/>
    <mergeCell ref="B2721:C2721"/>
    <mergeCell ref="B2722:C2722"/>
    <mergeCell ref="B2723:C2723"/>
    <mergeCell ref="B2724:C2724"/>
    <mergeCell ref="B2725:C2725"/>
    <mergeCell ref="B2726:C2726"/>
    <mergeCell ref="B2731:I2731"/>
    <mergeCell ref="D2733:E2733"/>
    <mergeCell ref="F2733:I2733"/>
    <mergeCell ref="B2734:C2735"/>
    <mergeCell ref="D2734:E2734"/>
    <mergeCell ref="H2734:H2735"/>
    <mergeCell ref="I2734:I2735"/>
    <mergeCell ref="B2736:C2736"/>
    <mergeCell ref="B2737:C2737"/>
    <mergeCell ref="B2738:C2738"/>
    <mergeCell ref="B2739:C2739"/>
    <mergeCell ref="B2740:C2740"/>
    <mergeCell ref="B2741:C2741"/>
    <mergeCell ref="B2746:I2746"/>
    <mergeCell ref="D2748:E2748"/>
    <mergeCell ref="F2748:I2748"/>
    <mergeCell ref="B2749:C2750"/>
    <mergeCell ref="D2749:E2749"/>
    <mergeCell ref="H2749:H2750"/>
    <mergeCell ref="I2749:I2750"/>
    <mergeCell ref="B2751:C2751"/>
    <mergeCell ref="B2752:C2752"/>
    <mergeCell ref="B2753:C2753"/>
    <mergeCell ref="B2754:C2754"/>
    <mergeCell ref="B2755:C2755"/>
    <mergeCell ref="B2756:C2756"/>
    <mergeCell ref="B2761:I2761"/>
    <mergeCell ref="D2763:E2763"/>
    <mergeCell ref="F2763:I2763"/>
    <mergeCell ref="B2764:C2765"/>
    <mergeCell ref="D2764:E2764"/>
    <mergeCell ref="H2764:H2765"/>
    <mergeCell ref="I2764:I2765"/>
    <mergeCell ref="B2766:C2766"/>
    <mergeCell ref="B2767:C2767"/>
    <mergeCell ref="B2768:C2768"/>
    <mergeCell ref="B2769:C2769"/>
    <mergeCell ref="B2770:C2770"/>
    <mergeCell ref="B2771:C2771"/>
    <mergeCell ref="B2776:I2776"/>
    <mergeCell ref="D2778:E2778"/>
    <mergeCell ref="F2778:I2778"/>
    <mergeCell ref="B2779:C2780"/>
    <mergeCell ref="D2779:E2779"/>
    <mergeCell ref="H2779:H2780"/>
    <mergeCell ref="I2779:I2780"/>
    <mergeCell ref="B2781:C2781"/>
    <mergeCell ref="B2782:C2782"/>
    <mergeCell ref="B2783:C2783"/>
    <mergeCell ref="B2784:C2784"/>
    <mergeCell ref="B2785:C2785"/>
    <mergeCell ref="B2786:C2786"/>
    <mergeCell ref="B2791:I2791"/>
    <mergeCell ref="D2793:E2793"/>
    <mergeCell ref="F2793:I2793"/>
    <mergeCell ref="B2794:C2795"/>
    <mergeCell ref="D2794:E2794"/>
    <mergeCell ref="H2794:H2795"/>
    <mergeCell ref="I2794:I2795"/>
    <mergeCell ref="B2796:C2796"/>
    <mergeCell ref="B2797:C2797"/>
    <mergeCell ref="B2798:C2798"/>
    <mergeCell ref="B2799:C2799"/>
    <mergeCell ref="B2800:C2800"/>
    <mergeCell ref="B2801:C2801"/>
    <mergeCell ref="B2806:I2806"/>
    <mergeCell ref="D2808:E2808"/>
    <mergeCell ref="F2808:I2808"/>
    <mergeCell ref="B2809:C2810"/>
    <mergeCell ref="D2809:E2809"/>
    <mergeCell ref="H2809:H2810"/>
    <mergeCell ref="I2809:I2810"/>
    <mergeCell ref="B2811:C2811"/>
    <mergeCell ref="B2812:C2812"/>
    <mergeCell ref="B2813:C2813"/>
    <mergeCell ref="B2814:C2814"/>
    <mergeCell ref="B2815:C2815"/>
    <mergeCell ref="B2816:C2816"/>
    <mergeCell ref="B2821:I2821"/>
    <mergeCell ref="D2823:E2823"/>
    <mergeCell ref="F2823:I2823"/>
    <mergeCell ref="B2824:C2825"/>
    <mergeCell ref="D2824:E2824"/>
    <mergeCell ref="H2824:H2825"/>
    <mergeCell ref="I2824:I2825"/>
    <mergeCell ref="B2826:C2826"/>
    <mergeCell ref="B2827:C2827"/>
    <mergeCell ref="B2828:C2828"/>
    <mergeCell ref="B2829:C2829"/>
    <mergeCell ref="B2830:C2830"/>
    <mergeCell ref="B2831:C2831"/>
    <mergeCell ref="B2836:I2836"/>
    <mergeCell ref="D2838:E2838"/>
    <mergeCell ref="F2838:I2838"/>
    <mergeCell ref="B2839:C2840"/>
    <mergeCell ref="D2839:E2839"/>
    <mergeCell ref="H2839:H2840"/>
    <mergeCell ref="I2839:I2840"/>
    <mergeCell ref="B2841:C2841"/>
    <mergeCell ref="B2842:C2842"/>
    <mergeCell ref="B2843:C2843"/>
    <mergeCell ref="B2844:C2844"/>
    <mergeCell ref="B2845:C2845"/>
    <mergeCell ref="B2846:C2846"/>
    <mergeCell ref="B2851:I2851"/>
    <mergeCell ref="D2853:E2853"/>
    <mergeCell ref="F2853:I2853"/>
    <mergeCell ref="B2854:C2855"/>
    <mergeCell ref="D2854:E2854"/>
    <mergeCell ref="H2854:H2855"/>
    <mergeCell ref="I2854:I2855"/>
    <mergeCell ref="B2856:C2856"/>
    <mergeCell ref="B2857:C2857"/>
    <mergeCell ref="B2858:C2858"/>
    <mergeCell ref="B2859:C2859"/>
    <mergeCell ref="B2860:C2860"/>
    <mergeCell ref="B2861:C2861"/>
    <mergeCell ref="B2866:I2866"/>
    <mergeCell ref="D2868:E2868"/>
    <mergeCell ref="F2868:I2868"/>
    <mergeCell ref="B2869:C2870"/>
    <mergeCell ref="D2869:E2869"/>
    <mergeCell ref="H2869:H2870"/>
    <mergeCell ref="I2869:I2870"/>
    <mergeCell ref="B2871:C2871"/>
    <mergeCell ref="B2872:C2872"/>
    <mergeCell ref="B2873:C2873"/>
    <mergeCell ref="B2874:C2874"/>
    <mergeCell ref="B2875:C2875"/>
    <mergeCell ref="B2876:C2876"/>
    <mergeCell ref="B2881:I2881"/>
    <mergeCell ref="D2883:E2883"/>
    <mergeCell ref="F2883:I2883"/>
    <mergeCell ref="B2884:C2885"/>
    <mergeCell ref="D2884:E2884"/>
    <mergeCell ref="H2884:H2885"/>
    <mergeCell ref="I2884:I2885"/>
    <mergeCell ref="B2886:C2886"/>
    <mergeCell ref="B2887:C2887"/>
    <mergeCell ref="B2888:C2888"/>
    <mergeCell ref="B2889:C2889"/>
    <mergeCell ref="B2890:C2890"/>
    <mergeCell ref="B2891:C2891"/>
    <mergeCell ref="B2896:I2896"/>
    <mergeCell ref="D2898:E2898"/>
    <mergeCell ref="F2898:I2898"/>
    <mergeCell ref="B2899:C2900"/>
    <mergeCell ref="D2899:E2899"/>
    <mergeCell ref="H2899:H2900"/>
    <mergeCell ref="I2899:I2900"/>
    <mergeCell ref="B2901:C2901"/>
    <mergeCell ref="B2902:C2902"/>
    <mergeCell ref="B2903:C2903"/>
    <mergeCell ref="B2904:C2904"/>
    <mergeCell ref="B2905:C2905"/>
    <mergeCell ref="B2906:C2906"/>
    <mergeCell ref="B2911:I2911"/>
    <mergeCell ref="D2913:E2913"/>
    <mergeCell ref="F2913:I2913"/>
    <mergeCell ref="B2914:C2915"/>
    <mergeCell ref="D2914:E2914"/>
    <mergeCell ref="H2914:H2915"/>
    <mergeCell ref="I2914:I2915"/>
    <mergeCell ref="B2916:C2916"/>
    <mergeCell ref="B2917:C2917"/>
    <mergeCell ref="B2918:C2918"/>
    <mergeCell ref="B2919:C2919"/>
    <mergeCell ref="B2920:C2920"/>
    <mergeCell ref="B2921:C2921"/>
    <mergeCell ref="B2926:I2926"/>
    <mergeCell ref="D2928:E2928"/>
    <mergeCell ref="F2928:I2928"/>
    <mergeCell ref="B2929:C2930"/>
    <mergeCell ref="D2929:E2929"/>
    <mergeCell ref="H2929:H2930"/>
    <mergeCell ref="I2929:I2930"/>
    <mergeCell ref="B2931:C2931"/>
    <mergeCell ref="B2932:C2932"/>
    <mergeCell ref="B2933:C2933"/>
    <mergeCell ref="B2934:C2934"/>
    <mergeCell ref="B2935:C2935"/>
    <mergeCell ref="B2936:C2936"/>
    <mergeCell ref="B2941:I2941"/>
    <mergeCell ref="D2943:E2943"/>
    <mergeCell ref="F2943:I2943"/>
    <mergeCell ref="B2944:C2945"/>
    <mergeCell ref="D2944:E2944"/>
    <mergeCell ref="H2944:H2945"/>
    <mergeCell ref="I2944:I2945"/>
    <mergeCell ref="B2946:C2946"/>
    <mergeCell ref="B2947:C2947"/>
    <mergeCell ref="B2948:C2948"/>
    <mergeCell ref="B2949:C2949"/>
    <mergeCell ref="B2950:C2950"/>
    <mergeCell ref="B2951:C2951"/>
    <mergeCell ref="B2956:I2956"/>
    <mergeCell ref="D2958:E2958"/>
    <mergeCell ref="F2958:I2958"/>
    <mergeCell ref="B2959:C2960"/>
    <mergeCell ref="D2959:E2959"/>
    <mergeCell ref="H2959:H2960"/>
    <mergeCell ref="I2959:I2960"/>
    <mergeCell ref="B2961:C2961"/>
    <mergeCell ref="B2962:C2962"/>
    <mergeCell ref="B2963:C2963"/>
    <mergeCell ref="B2964:C2964"/>
    <mergeCell ref="B2965:C2965"/>
    <mergeCell ref="B2966:C2966"/>
    <mergeCell ref="B2971:I2971"/>
    <mergeCell ref="D2973:E2973"/>
    <mergeCell ref="F2973:I2973"/>
    <mergeCell ref="B2974:C2975"/>
    <mergeCell ref="D2974:E2974"/>
    <mergeCell ref="H2974:H2975"/>
    <mergeCell ref="I2974:I2975"/>
    <mergeCell ref="B2976:C2976"/>
    <mergeCell ref="B2977:C2977"/>
    <mergeCell ref="B2978:C2978"/>
    <mergeCell ref="B2979:C2979"/>
    <mergeCell ref="B2980:C2980"/>
    <mergeCell ref="B2981:C2981"/>
    <mergeCell ref="B2986:I2986"/>
    <mergeCell ref="D2988:E2988"/>
    <mergeCell ref="F2988:I2988"/>
    <mergeCell ref="B2989:C2990"/>
    <mergeCell ref="D2989:E2989"/>
    <mergeCell ref="H2989:H2990"/>
    <mergeCell ref="I2989:I2990"/>
    <mergeCell ref="B2991:C2991"/>
    <mergeCell ref="B2992:C2992"/>
    <mergeCell ref="B2993:C2993"/>
    <mergeCell ref="B2994:C2994"/>
    <mergeCell ref="B2995:C2995"/>
    <mergeCell ref="B2996:C2996"/>
    <mergeCell ref="B3001:I3001"/>
    <mergeCell ref="D3003:E3003"/>
    <mergeCell ref="F3003:I3003"/>
    <mergeCell ref="B3004:C3005"/>
    <mergeCell ref="D3004:E3004"/>
    <mergeCell ref="H3004:H3005"/>
    <mergeCell ref="I3004:I3005"/>
    <mergeCell ref="B3006:C3006"/>
    <mergeCell ref="B3007:C3007"/>
    <mergeCell ref="B3008:C3008"/>
    <mergeCell ref="B3009:C3009"/>
    <mergeCell ref="B3010:C3010"/>
    <mergeCell ref="B3011:C3011"/>
    <mergeCell ref="B3016:I3016"/>
    <mergeCell ref="D3018:E3018"/>
    <mergeCell ref="F3018:I3018"/>
    <mergeCell ref="B3019:C3020"/>
    <mergeCell ref="D3019:E3019"/>
    <mergeCell ref="H3019:H3020"/>
    <mergeCell ref="I3019:I3020"/>
    <mergeCell ref="B3021:C3021"/>
    <mergeCell ref="B3022:C3022"/>
    <mergeCell ref="B3023:C3023"/>
    <mergeCell ref="B3024:C3024"/>
    <mergeCell ref="B3025:C3025"/>
    <mergeCell ref="B3026:C3026"/>
    <mergeCell ref="B3031:I3031"/>
    <mergeCell ref="D3033:E3033"/>
    <mergeCell ref="F3033:I3033"/>
    <mergeCell ref="B3034:C3035"/>
    <mergeCell ref="D3034:E3034"/>
    <mergeCell ref="H3034:H3035"/>
    <mergeCell ref="I3034:I3035"/>
    <mergeCell ref="B3036:C3036"/>
    <mergeCell ref="B3037:C3037"/>
    <mergeCell ref="B3038:C3038"/>
    <mergeCell ref="B3039:C3039"/>
    <mergeCell ref="B3040:C3040"/>
    <mergeCell ref="B3041:C3041"/>
    <mergeCell ref="B3046:I3046"/>
    <mergeCell ref="D3048:E3048"/>
    <mergeCell ref="F3048:I3048"/>
    <mergeCell ref="B3049:C3050"/>
    <mergeCell ref="D3049:E3049"/>
    <mergeCell ref="H3049:H3050"/>
    <mergeCell ref="I3049:I3050"/>
    <mergeCell ref="B3051:C3051"/>
    <mergeCell ref="B3052:C3052"/>
    <mergeCell ref="B3053:C3053"/>
    <mergeCell ref="B3054:C3054"/>
    <mergeCell ref="B3055:C3055"/>
    <mergeCell ref="B3056:C3056"/>
    <mergeCell ref="B3061:I3061"/>
    <mergeCell ref="D3063:E3063"/>
    <mergeCell ref="F3063:I3063"/>
    <mergeCell ref="B3064:C3065"/>
    <mergeCell ref="D3064:E3064"/>
    <mergeCell ref="H3064:H3065"/>
    <mergeCell ref="I3064:I3065"/>
    <mergeCell ref="B3066:C3066"/>
    <mergeCell ref="B3067:C3067"/>
    <mergeCell ref="B3068:C3068"/>
    <mergeCell ref="B3069:C3069"/>
    <mergeCell ref="B3070:C3070"/>
    <mergeCell ref="B3071:C3071"/>
    <mergeCell ref="B3076:I3076"/>
    <mergeCell ref="D3078:E3078"/>
    <mergeCell ref="F3078:I3078"/>
    <mergeCell ref="B3079:C3080"/>
    <mergeCell ref="D3079:E3079"/>
    <mergeCell ref="H3079:H3080"/>
    <mergeCell ref="I3079:I3080"/>
    <mergeCell ref="B3081:C3081"/>
    <mergeCell ref="B3082:C3082"/>
    <mergeCell ref="B3083:C3083"/>
    <mergeCell ref="B3084:C3084"/>
    <mergeCell ref="B3085:C3085"/>
    <mergeCell ref="B3086:C3086"/>
    <mergeCell ref="B3091:I3091"/>
    <mergeCell ref="D3093:E3093"/>
    <mergeCell ref="F3093:I3093"/>
    <mergeCell ref="B3094:C3095"/>
    <mergeCell ref="D3094:E3094"/>
    <mergeCell ref="H3094:H3095"/>
    <mergeCell ref="I3094:I3095"/>
    <mergeCell ref="B3096:C3096"/>
    <mergeCell ref="B3097:C3097"/>
    <mergeCell ref="B3098:C3098"/>
    <mergeCell ref="B3099:C3099"/>
    <mergeCell ref="B3100:C3100"/>
    <mergeCell ref="B3101:C3101"/>
    <mergeCell ref="B3106:I3106"/>
    <mergeCell ref="D3108:E3108"/>
    <mergeCell ref="F3108:I3108"/>
    <mergeCell ref="B3109:C3110"/>
    <mergeCell ref="D3109:E3109"/>
    <mergeCell ref="H3109:H3110"/>
    <mergeCell ref="I3109:I3110"/>
    <mergeCell ref="B3111:C3111"/>
    <mergeCell ref="B3112:C3112"/>
    <mergeCell ref="B3113:C3113"/>
    <mergeCell ref="B3114:C3114"/>
    <mergeCell ref="B3115:C3115"/>
    <mergeCell ref="B3116:C3116"/>
    <mergeCell ref="B3121:I3121"/>
    <mergeCell ref="D3123:E3123"/>
    <mergeCell ref="F3123:I3123"/>
    <mergeCell ref="B3124:C3125"/>
    <mergeCell ref="D3124:E3124"/>
    <mergeCell ref="H3124:H3125"/>
    <mergeCell ref="I3124:I3125"/>
    <mergeCell ref="B3126:C3126"/>
    <mergeCell ref="B3127:C3127"/>
    <mergeCell ref="B3128:C3128"/>
    <mergeCell ref="B3129:C3129"/>
    <mergeCell ref="B3130:C3130"/>
    <mergeCell ref="B3131:C3131"/>
    <mergeCell ref="B3136:I3136"/>
    <mergeCell ref="D3138:E3138"/>
    <mergeCell ref="F3138:I3138"/>
    <mergeCell ref="B3139:C3140"/>
    <mergeCell ref="D3139:E3139"/>
    <mergeCell ref="H3139:H3140"/>
    <mergeCell ref="I3139:I3140"/>
    <mergeCell ref="B3141:C3141"/>
    <mergeCell ref="B3142:C3142"/>
    <mergeCell ref="B3143:C3143"/>
    <mergeCell ref="B3144:C3144"/>
    <mergeCell ref="B3145:C3145"/>
    <mergeCell ref="B3146:C3146"/>
    <mergeCell ref="B3151:I3151"/>
    <mergeCell ref="D3153:E3153"/>
    <mergeCell ref="F3153:I3153"/>
    <mergeCell ref="B3154:C3155"/>
    <mergeCell ref="D3154:E3154"/>
    <mergeCell ref="H3154:H3155"/>
    <mergeCell ref="I3154:I3155"/>
    <mergeCell ref="B3156:C3156"/>
    <mergeCell ref="B3157:C3157"/>
    <mergeCell ref="B3158:C3158"/>
    <mergeCell ref="B3159:C3159"/>
    <mergeCell ref="B3160:C3160"/>
    <mergeCell ref="B3161:C3161"/>
    <mergeCell ref="B3166:I3166"/>
    <mergeCell ref="D3168:E3168"/>
    <mergeCell ref="F3168:I3168"/>
    <mergeCell ref="B3169:C3170"/>
    <mergeCell ref="D3169:E3169"/>
    <mergeCell ref="H3169:H3170"/>
    <mergeCell ref="I3169:I3170"/>
    <mergeCell ref="B3171:C3171"/>
    <mergeCell ref="B3172:C3172"/>
    <mergeCell ref="B3173:C3173"/>
    <mergeCell ref="B3174:C3174"/>
    <mergeCell ref="B3175:C3175"/>
    <mergeCell ref="B3176:C3176"/>
    <mergeCell ref="B3181:I3181"/>
    <mergeCell ref="D3183:E3183"/>
    <mergeCell ref="F3183:I3183"/>
    <mergeCell ref="B3184:C3185"/>
    <mergeCell ref="D3184:E3184"/>
    <mergeCell ref="H3184:H3185"/>
    <mergeCell ref="I3184:I3185"/>
    <mergeCell ref="B3186:C3186"/>
    <mergeCell ref="B3187:C3187"/>
    <mergeCell ref="B3188:C3188"/>
    <mergeCell ref="B3189:C3189"/>
    <mergeCell ref="B3190:C3190"/>
    <mergeCell ref="B3191:C3191"/>
    <mergeCell ref="B3196:I3196"/>
    <mergeCell ref="D3198:E3198"/>
    <mergeCell ref="F3198:I3198"/>
    <mergeCell ref="B3199:C3200"/>
    <mergeCell ref="D3199:E3199"/>
    <mergeCell ref="H3199:H3200"/>
    <mergeCell ref="I3199:I3200"/>
    <mergeCell ref="B3201:C3201"/>
    <mergeCell ref="B3202:C3202"/>
    <mergeCell ref="B3203:C3203"/>
    <mergeCell ref="B3204:C3204"/>
    <mergeCell ref="B3205:C3205"/>
    <mergeCell ref="B3206:C3206"/>
    <mergeCell ref="B3211:I3211"/>
    <mergeCell ref="D3213:E3213"/>
    <mergeCell ref="F3213:I3213"/>
    <mergeCell ref="B3214:C3215"/>
    <mergeCell ref="D3214:E3214"/>
    <mergeCell ref="H3214:H3215"/>
    <mergeCell ref="I3214:I3215"/>
    <mergeCell ref="B3216:C3216"/>
    <mergeCell ref="B3217:C3217"/>
    <mergeCell ref="B3218:C3218"/>
    <mergeCell ref="B3219:C3219"/>
    <mergeCell ref="B3220:C3220"/>
    <mergeCell ref="B3221:C3221"/>
    <mergeCell ref="B3226:I3226"/>
    <mergeCell ref="D3228:E3228"/>
    <mergeCell ref="F3228:I3228"/>
    <mergeCell ref="B3229:C3230"/>
    <mergeCell ref="D3229:E3229"/>
    <mergeCell ref="H3229:H3230"/>
    <mergeCell ref="I3229:I3230"/>
    <mergeCell ref="B3231:C3231"/>
    <mergeCell ref="B3232:C3232"/>
    <mergeCell ref="B3233:C3233"/>
    <mergeCell ref="B3234:C3234"/>
    <mergeCell ref="B3235:C3235"/>
    <mergeCell ref="B3236:C3236"/>
    <mergeCell ref="B3241:I3241"/>
    <mergeCell ref="D3243:E3243"/>
    <mergeCell ref="F3243:I3243"/>
    <mergeCell ref="B3244:C3245"/>
    <mergeCell ref="D3244:E3244"/>
    <mergeCell ref="H3244:H3245"/>
    <mergeCell ref="I3244:I3245"/>
    <mergeCell ref="B3246:C3246"/>
    <mergeCell ref="B3247:C3247"/>
    <mergeCell ref="B3248:C3248"/>
    <mergeCell ref="B3249:C3249"/>
    <mergeCell ref="B3250:C3250"/>
    <mergeCell ref="B3251:C3251"/>
    <mergeCell ref="B3256:I3256"/>
    <mergeCell ref="D3258:E3258"/>
    <mergeCell ref="F3258:I3258"/>
    <mergeCell ref="B3259:C3260"/>
    <mergeCell ref="D3259:E3259"/>
    <mergeCell ref="H3259:H3260"/>
    <mergeCell ref="I3259:I3260"/>
    <mergeCell ref="B3261:C3261"/>
    <mergeCell ref="B3262:C3262"/>
    <mergeCell ref="B3263:C3263"/>
    <mergeCell ref="B3264:C3264"/>
    <mergeCell ref="B3265:C3265"/>
    <mergeCell ref="B3266:C3266"/>
    <mergeCell ref="B3271:I3271"/>
    <mergeCell ref="D3273:E3273"/>
    <mergeCell ref="F3273:I3273"/>
    <mergeCell ref="B3274:C3275"/>
    <mergeCell ref="D3274:E3274"/>
    <mergeCell ref="H3274:H3275"/>
    <mergeCell ref="I3274:I3275"/>
    <mergeCell ref="B3276:C3276"/>
    <mergeCell ref="B3277:C3277"/>
    <mergeCell ref="B3278:C3278"/>
    <mergeCell ref="B3279:C3279"/>
    <mergeCell ref="B3280:C3280"/>
    <mergeCell ref="B3281:C3281"/>
    <mergeCell ref="B3286:I3286"/>
    <mergeCell ref="D3288:E3288"/>
    <mergeCell ref="F3288:I3288"/>
    <mergeCell ref="B3289:C3290"/>
    <mergeCell ref="D3289:E3289"/>
    <mergeCell ref="H3289:H3290"/>
    <mergeCell ref="I3289:I3290"/>
    <mergeCell ref="B3291:C3291"/>
    <mergeCell ref="B3292:C3292"/>
    <mergeCell ref="B3293:C3293"/>
    <mergeCell ref="B3294:C3294"/>
    <mergeCell ref="B3295:C3295"/>
    <mergeCell ref="B3296:C3296"/>
    <mergeCell ref="B3301:I3301"/>
    <mergeCell ref="D3303:E3303"/>
    <mergeCell ref="F3303:I3303"/>
    <mergeCell ref="B3304:C3305"/>
    <mergeCell ref="D3304:E3304"/>
    <mergeCell ref="H3304:H3305"/>
    <mergeCell ref="I3304:I3305"/>
    <mergeCell ref="B3306:C3306"/>
    <mergeCell ref="B3307:C3307"/>
    <mergeCell ref="B3308:C3308"/>
    <mergeCell ref="B3309:C3309"/>
    <mergeCell ref="B3310:C3310"/>
    <mergeCell ref="B3311:C3311"/>
    <mergeCell ref="B3316:I3316"/>
    <mergeCell ref="D3318:E3318"/>
    <mergeCell ref="F3318:I3318"/>
    <mergeCell ref="B3319:C3320"/>
    <mergeCell ref="D3319:E3319"/>
    <mergeCell ref="H3319:H3320"/>
    <mergeCell ref="I3319:I3320"/>
    <mergeCell ref="B3321:C3321"/>
    <mergeCell ref="B3322:C3322"/>
    <mergeCell ref="B3323:C3323"/>
    <mergeCell ref="B3324:C3324"/>
    <mergeCell ref="B3325:C3325"/>
    <mergeCell ref="B3326:C3326"/>
    <mergeCell ref="B3331:I3331"/>
    <mergeCell ref="D3333:E3333"/>
    <mergeCell ref="F3333:I3333"/>
    <mergeCell ref="B3334:C3335"/>
    <mergeCell ref="D3334:E3334"/>
    <mergeCell ref="H3334:H3335"/>
    <mergeCell ref="I3334:I3335"/>
    <mergeCell ref="B3336:C3336"/>
    <mergeCell ref="B3337:C3337"/>
    <mergeCell ref="B3338:C3338"/>
    <mergeCell ref="B3339:C3339"/>
    <mergeCell ref="B3340:C3340"/>
    <mergeCell ref="B3341:C3341"/>
    <mergeCell ref="B3346:I3346"/>
    <mergeCell ref="D3348:E3348"/>
    <mergeCell ref="F3348:I3348"/>
    <mergeCell ref="B3349:C3350"/>
    <mergeCell ref="D3349:E3349"/>
    <mergeCell ref="H3349:H3350"/>
    <mergeCell ref="I3349:I3350"/>
    <mergeCell ref="B3351:C3351"/>
    <mergeCell ref="B3352:C3352"/>
    <mergeCell ref="B3353:C3353"/>
    <mergeCell ref="B3354:C3354"/>
    <mergeCell ref="B3355:C3355"/>
    <mergeCell ref="B3356:C3356"/>
    <mergeCell ref="B3361:I3361"/>
    <mergeCell ref="D3363:E3363"/>
    <mergeCell ref="F3363:I3363"/>
    <mergeCell ref="B3364:C3365"/>
    <mergeCell ref="D3364:E3364"/>
    <mergeCell ref="H3364:H3365"/>
    <mergeCell ref="I3364:I3365"/>
    <mergeCell ref="B3366:C3366"/>
    <mergeCell ref="B3367:C3367"/>
    <mergeCell ref="B3368:C3368"/>
    <mergeCell ref="B3369:C3369"/>
    <mergeCell ref="B3370:C3370"/>
    <mergeCell ref="B3371:C3371"/>
    <mergeCell ref="B3376:I3376"/>
    <mergeCell ref="D3378:E3378"/>
    <mergeCell ref="F3378:I3378"/>
    <mergeCell ref="B3379:C3380"/>
    <mergeCell ref="D3379:E3379"/>
    <mergeCell ref="H3379:H3380"/>
    <mergeCell ref="I3379:I3380"/>
    <mergeCell ref="B3381:C3381"/>
    <mergeCell ref="B3382:C3382"/>
    <mergeCell ref="B3383:C3383"/>
    <mergeCell ref="B3384:C3384"/>
    <mergeCell ref="B3385:C3385"/>
    <mergeCell ref="B3386:C3386"/>
    <mergeCell ref="B3391:I3391"/>
    <mergeCell ref="D3393:E3393"/>
    <mergeCell ref="F3393:I3393"/>
    <mergeCell ref="B3394:C3395"/>
    <mergeCell ref="D3394:E3394"/>
    <mergeCell ref="H3394:H3395"/>
    <mergeCell ref="I3394:I3395"/>
    <mergeCell ref="B3396:C3396"/>
    <mergeCell ref="B3397:C3397"/>
    <mergeCell ref="B3398:C3398"/>
    <mergeCell ref="B3399:C3399"/>
    <mergeCell ref="B3400:C3400"/>
    <mergeCell ref="B3401:C3401"/>
    <mergeCell ref="B3406:I3406"/>
    <mergeCell ref="D3408:E3408"/>
    <mergeCell ref="F3408:I3408"/>
    <mergeCell ref="B3409:C3410"/>
    <mergeCell ref="D3409:E3409"/>
    <mergeCell ref="H3409:H3410"/>
    <mergeCell ref="I3409:I3410"/>
    <mergeCell ref="B3411:C3411"/>
    <mergeCell ref="B3412:C3412"/>
    <mergeCell ref="B3413:C3413"/>
    <mergeCell ref="B3414:C3414"/>
    <mergeCell ref="B3415:C3415"/>
    <mergeCell ref="B3416:C3416"/>
    <mergeCell ref="B3421:I3421"/>
    <mergeCell ref="D3423:E3423"/>
    <mergeCell ref="F3423:I3423"/>
    <mergeCell ref="B3424:C3425"/>
    <mergeCell ref="D3424:E3424"/>
    <mergeCell ref="H3424:H3425"/>
    <mergeCell ref="I3424:I3425"/>
    <mergeCell ref="B3426:C3426"/>
    <mergeCell ref="B3427:C3427"/>
    <mergeCell ref="B3428:C3428"/>
    <mergeCell ref="B3429:C3429"/>
    <mergeCell ref="B3430:C3430"/>
    <mergeCell ref="B3431:C3431"/>
    <mergeCell ref="B3436:I3436"/>
    <mergeCell ref="D3438:E3438"/>
    <mergeCell ref="F3438:I3438"/>
    <mergeCell ref="B3439:C3440"/>
    <mergeCell ref="D3439:E3439"/>
    <mergeCell ref="H3439:H3440"/>
    <mergeCell ref="I3439:I3440"/>
    <mergeCell ref="B3441:C3441"/>
    <mergeCell ref="B3442:C3442"/>
    <mergeCell ref="B3443:C3443"/>
    <mergeCell ref="B3444:C3444"/>
    <mergeCell ref="B3445:C3445"/>
    <mergeCell ref="B3446:C3446"/>
    <mergeCell ref="B3451:I3451"/>
    <mergeCell ref="D3453:E3453"/>
    <mergeCell ref="F3453:I3453"/>
    <mergeCell ref="B3454:C3455"/>
    <mergeCell ref="D3454:E3454"/>
    <mergeCell ref="H3454:H3455"/>
    <mergeCell ref="I3454:I3455"/>
    <mergeCell ref="B3456:C3456"/>
    <mergeCell ref="B3457:C3457"/>
    <mergeCell ref="B3458:C3458"/>
    <mergeCell ref="B3459:C3459"/>
    <mergeCell ref="B3460:C3460"/>
    <mergeCell ref="B3461:C3461"/>
    <mergeCell ref="B3466:I3466"/>
    <mergeCell ref="D3468:E3468"/>
    <mergeCell ref="F3468:I3468"/>
    <mergeCell ref="B3469:C3470"/>
    <mergeCell ref="D3469:E3469"/>
    <mergeCell ref="H3469:H3470"/>
    <mergeCell ref="I3469:I3470"/>
    <mergeCell ref="B3471:C3471"/>
    <mergeCell ref="B3472:C3472"/>
    <mergeCell ref="B3473:C3473"/>
    <mergeCell ref="B3474:C3474"/>
    <mergeCell ref="B3475:C3475"/>
    <mergeCell ref="B3476:C3476"/>
    <mergeCell ref="B3481:I3481"/>
    <mergeCell ref="D3483:E3483"/>
    <mergeCell ref="F3483:I3483"/>
    <mergeCell ref="B3484:C3485"/>
    <mergeCell ref="D3484:E3484"/>
    <mergeCell ref="H3484:H3485"/>
    <mergeCell ref="I3484:I3485"/>
    <mergeCell ref="B3486:C3486"/>
    <mergeCell ref="B3487:C3487"/>
    <mergeCell ref="B3488:C3488"/>
    <mergeCell ref="B3489:C3489"/>
    <mergeCell ref="B3490:C3490"/>
    <mergeCell ref="B3491:C3491"/>
    <mergeCell ref="B3496:I3496"/>
    <mergeCell ref="D3498:E3498"/>
    <mergeCell ref="F3498:I3498"/>
    <mergeCell ref="B3499:C3500"/>
    <mergeCell ref="D3499:E3499"/>
    <mergeCell ref="H3499:H3500"/>
    <mergeCell ref="I3499:I3500"/>
    <mergeCell ref="B3501:C3501"/>
    <mergeCell ref="B3502:C3502"/>
    <mergeCell ref="B3503:C3503"/>
    <mergeCell ref="B3504:C3504"/>
    <mergeCell ref="B3505:C3505"/>
    <mergeCell ref="B3506:C3506"/>
    <mergeCell ref="B3511:I3511"/>
    <mergeCell ref="D3513:E3513"/>
    <mergeCell ref="F3513:I3513"/>
    <mergeCell ref="B3514:C3515"/>
    <mergeCell ref="D3514:E3514"/>
    <mergeCell ref="H3514:H3515"/>
    <mergeCell ref="I3514:I3515"/>
    <mergeCell ref="B3516:C3516"/>
    <mergeCell ref="B3517:C3517"/>
    <mergeCell ref="B3518:C3518"/>
    <mergeCell ref="B3519:C3519"/>
    <mergeCell ref="B3520:C3520"/>
    <mergeCell ref="B3521:C3521"/>
    <mergeCell ref="B3526:I3526"/>
    <mergeCell ref="D3528:E3528"/>
    <mergeCell ref="F3528:I3528"/>
    <mergeCell ref="B3529:C3530"/>
    <mergeCell ref="D3529:E3529"/>
    <mergeCell ref="H3529:H3530"/>
    <mergeCell ref="I3529:I3530"/>
    <mergeCell ref="B3531:C3531"/>
    <mergeCell ref="B3532:C3532"/>
    <mergeCell ref="B3533:C3533"/>
    <mergeCell ref="B3534:C3534"/>
    <mergeCell ref="B3535:C3535"/>
    <mergeCell ref="B3536:C3536"/>
    <mergeCell ref="B3541:I3541"/>
    <mergeCell ref="D3543:E3543"/>
    <mergeCell ref="F3543:I3543"/>
    <mergeCell ref="B3544:C3545"/>
    <mergeCell ref="D3544:E3544"/>
    <mergeCell ref="H3544:H3545"/>
    <mergeCell ref="I3544:I3545"/>
    <mergeCell ref="B3546:C3546"/>
    <mergeCell ref="B3547:C3547"/>
    <mergeCell ref="B3548:C3548"/>
    <mergeCell ref="B3549:C3549"/>
    <mergeCell ref="B3550:C3550"/>
    <mergeCell ref="B3551:C3551"/>
    <mergeCell ref="B3556:I3556"/>
    <mergeCell ref="D3558:E3558"/>
    <mergeCell ref="F3558:I3558"/>
    <mergeCell ref="B3559:C3560"/>
    <mergeCell ref="D3559:E3559"/>
    <mergeCell ref="H3559:H3560"/>
    <mergeCell ref="I3559:I3560"/>
    <mergeCell ref="B3561:C3561"/>
    <mergeCell ref="B3562:C3562"/>
    <mergeCell ref="B3563:C3563"/>
    <mergeCell ref="B3564:C3564"/>
    <mergeCell ref="B3565:C3565"/>
    <mergeCell ref="B3566:C3566"/>
    <mergeCell ref="B3571:I3571"/>
    <mergeCell ref="D3573:E3573"/>
    <mergeCell ref="F3573:I3573"/>
    <mergeCell ref="B3574:C3575"/>
    <mergeCell ref="D3574:E3574"/>
    <mergeCell ref="H3574:H3575"/>
    <mergeCell ref="I3574:I3575"/>
    <mergeCell ref="B3576:C3576"/>
    <mergeCell ref="B3577:C3577"/>
    <mergeCell ref="B3578:C3578"/>
    <mergeCell ref="B3579:C3579"/>
    <mergeCell ref="B3580:C3580"/>
    <mergeCell ref="B3581:C3581"/>
    <mergeCell ref="B3586:I3586"/>
    <mergeCell ref="D3588:E3588"/>
    <mergeCell ref="F3588:I3588"/>
    <mergeCell ref="B3589:C3590"/>
    <mergeCell ref="D3589:E3589"/>
    <mergeCell ref="H3589:H3590"/>
    <mergeCell ref="I3589:I3590"/>
    <mergeCell ref="B3591:C3591"/>
    <mergeCell ref="B3592:C3592"/>
    <mergeCell ref="B3593:C3593"/>
    <mergeCell ref="B3594:C3594"/>
    <mergeCell ref="B3595:C3595"/>
    <mergeCell ref="B3596:C3596"/>
    <mergeCell ref="B3601:I3601"/>
    <mergeCell ref="D3603:E3603"/>
    <mergeCell ref="F3603:I3603"/>
    <mergeCell ref="B3604:C3605"/>
    <mergeCell ref="D3604:E3604"/>
    <mergeCell ref="H3604:H3605"/>
    <mergeCell ref="I3604:I3605"/>
    <mergeCell ref="B3606:C3606"/>
    <mergeCell ref="B3607:C3607"/>
    <mergeCell ref="B3608:C3608"/>
    <mergeCell ref="B3609:C3609"/>
    <mergeCell ref="B3610:C3610"/>
    <mergeCell ref="B3611:C3611"/>
    <mergeCell ref="B3616:I3616"/>
    <mergeCell ref="D3618:E3618"/>
    <mergeCell ref="F3618:I3618"/>
    <mergeCell ref="B3619:C3620"/>
    <mergeCell ref="D3619:E3619"/>
    <mergeCell ref="H3619:H3620"/>
    <mergeCell ref="I3619:I3620"/>
    <mergeCell ref="B3621:C3621"/>
    <mergeCell ref="B3622:C3622"/>
    <mergeCell ref="B3623:C3623"/>
    <mergeCell ref="B3624:C3624"/>
    <mergeCell ref="B3625:C3625"/>
    <mergeCell ref="B3626:C3626"/>
    <mergeCell ref="B3631:I3631"/>
    <mergeCell ref="D3633:E3633"/>
    <mergeCell ref="F3633:I3633"/>
    <mergeCell ref="B3634:C3635"/>
    <mergeCell ref="D3634:E3634"/>
    <mergeCell ref="H3634:H3635"/>
    <mergeCell ref="I3634:I3635"/>
    <mergeCell ref="B3636:C3636"/>
    <mergeCell ref="B3637:C3637"/>
    <mergeCell ref="B3638:C3638"/>
    <mergeCell ref="B3639:C3639"/>
    <mergeCell ref="B3640:C3640"/>
    <mergeCell ref="B3641:C3641"/>
    <mergeCell ref="B3646:I3646"/>
    <mergeCell ref="D3648:E3648"/>
    <mergeCell ref="F3648:I3648"/>
    <mergeCell ref="B3649:C3650"/>
    <mergeCell ref="D3649:E3649"/>
    <mergeCell ref="H3649:H3650"/>
    <mergeCell ref="I3649:I3650"/>
    <mergeCell ref="B3651:C3651"/>
    <mergeCell ref="B3652:C3652"/>
    <mergeCell ref="B3653:C3653"/>
    <mergeCell ref="B3654:C3654"/>
    <mergeCell ref="B3655:C3655"/>
    <mergeCell ref="B3656:C3656"/>
    <mergeCell ref="B3661:I3661"/>
    <mergeCell ref="D3663:E3663"/>
    <mergeCell ref="F3663:I3663"/>
    <mergeCell ref="B3664:C3665"/>
    <mergeCell ref="D3664:E3664"/>
    <mergeCell ref="H3664:H3665"/>
    <mergeCell ref="I3664:I3665"/>
    <mergeCell ref="B3666:C3666"/>
    <mergeCell ref="B3667:C3667"/>
    <mergeCell ref="B3668:C3668"/>
    <mergeCell ref="B3669:C3669"/>
    <mergeCell ref="B3670:C3670"/>
    <mergeCell ref="B3671:C3671"/>
    <mergeCell ref="B3676:I3676"/>
    <mergeCell ref="D3678:E3678"/>
    <mergeCell ref="F3678:I3678"/>
    <mergeCell ref="B3679:C3680"/>
    <mergeCell ref="D3679:E3679"/>
    <mergeCell ref="H3679:H3680"/>
    <mergeCell ref="I3679:I3680"/>
    <mergeCell ref="B3681:C3681"/>
    <mergeCell ref="B3682:C3682"/>
    <mergeCell ref="B3683:C3683"/>
    <mergeCell ref="B3684:C3684"/>
    <mergeCell ref="B3685:C3685"/>
    <mergeCell ref="B3686:C3686"/>
    <mergeCell ref="B3691:I3691"/>
    <mergeCell ref="D3693:E3693"/>
    <mergeCell ref="F3693:I3693"/>
    <mergeCell ref="B3694:C3695"/>
    <mergeCell ref="D3694:E3694"/>
    <mergeCell ref="H3694:H3695"/>
    <mergeCell ref="I3694:I3695"/>
    <mergeCell ref="B3696:C3696"/>
    <mergeCell ref="B3697:C3697"/>
    <mergeCell ref="B3698:C3698"/>
    <mergeCell ref="B3699:C3699"/>
    <mergeCell ref="B3700:C3700"/>
    <mergeCell ref="B3701:C3701"/>
    <mergeCell ref="B3706:I3706"/>
    <mergeCell ref="D3708:E3708"/>
    <mergeCell ref="F3708:I3708"/>
    <mergeCell ref="B3709:C3710"/>
    <mergeCell ref="D3709:E3709"/>
    <mergeCell ref="H3709:H3710"/>
    <mergeCell ref="I3709:I3710"/>
    <mergeCell ref="B3711:C3711"/>
    <mergeCell ref="B3712:C3712"/>
    <mergeCell ref="B3713:C3713"/>
    <mergeCell ref="B3714:C3714"/>
    <mergeCell ref="B3715:C3715"/>
    <mergeCell ref="B3716:C3716"/>
    <mergeCell ref="B3721:I3721"/>
    <mergeCell ref="D3723:E3723"/>
    <mergeCell ref="F3723:I3723"/>
    <mergeCell ref="B3724:C3725"/>
    <mergeCell ref="D3724:E3724"/>
    <mergeCell ref="H3724:H3725"/>
    <mergeCell ref="I3724:I3725"/>
    <mergeCell ref="B3726:C3726"/>
    <mergeCell ref="B3727:C3727"/>
    <mergeCell ref="B3728:C3728"/>
    <mergeCell ref="B3729:C3729"/>
    <mergeCell ref="B3730:C3730"/>
    <mergeCell ref="B3731:C3731"/>
    <mergeCell ref="B3736:I3736"/>
    <mergeCell ref="D3738:E3738"/>
    <mergeCell ref="F3738:I3738"/>
    <mergeCell ref="B3739:C3740"/>
    <mergeCell ref="D3739:E3739"/>
    <mergeCell ref="H3739:H3740"/>
    <mergeCell ref="I3739:I3740"/>
    <mergeCell ref="B3741:C3741"/>
    <mergeCell ref="B3742:C3742"/>
    <mergeCell ref="B3743:C3743"/>
    <mergeCell ref="B3744:C3744"/>
    <mergeCell ref="B3745:C3745"/>
    <mergeCell ref="B3746:C3746"/>
    <mergeCell ref="B3751:I3751"/>
    <mergeCell ref="D3753:E3753"/>
    <mergeCell ref="F3753:I3753"/>
    <mergeCell ref="B3754:C3755"/>
    <mergeCell ref="D3754:E3754"/>
    <mergeCell ref="H3754:H3755"/>
    <mergeCell ref="I3754:I3755"/>
    <mergeCell ref="B3756:C3756"/>
    <mergeCell ref="B3757:C3757"/>
    <mergeCell ref="B3758:C3758"/>
    <mergeCell ref="B3759:C3759"/>
    <mergeCell ref="B3760:C3760"/>
    <mergeCell ref="B3761:C3761"/>
    <mergeCell ref="B3766:I3766"/>
    <mergeCell ref="D3768:E3768"/>
    <mergeCell ref="F3768:I3768"/>
    <mergeCell ref="B3769:C3770"/>
    <mergeCell ref="D3769:E3769"/>
    <mergeCell ref="H3769:H3770"/>
    <mergeCell ref="I3769:I3770"/>
    <mergeCell ref="B3771:C3771"/>
    <mergeCell ref="B3772:C3772"/>
    <mergeCell ref="B3773:C3773"/>
    <mergeCell ref="B3774:C3774"/>
    <mergeCell ref="B3775:C3775"/>
    <mergeCell ref="B3776:C3776"/>
    <mergeCell ref="B3781:I3781"/>
    <mergeCell ref="D3783:E3783"/>
    <mergeCell ref="F3783:I3783"/>
    <mergeCell ref="B3784:C3785"/>
    <mergeCell ref="D3784:E3784"/>
    <mergeCell ref="H3784:H3785"/>
    <mergeCell ref="I3784:I3785"/>
    <mergeCell ref="B3786:C3786"/>
    <mergeCell ref="B3787:C3787"/>
    <mergeCell ref="B3788:C3788"/>
    <mergeCell ref="B3789:C3789"/>
    <mergeCell ref="B3790:C3790"/>
    <mergeCell ref="B3791:C3791"/>
    <mergeCell ref="B3796:I3796"/>
    <mergeCell ref="D3798:E3798"/>
    <mergeCell ref="F3798:I3798"/>
    <mergeCell ref="B3799:C3800"/>
    <mergeCell ref="D3799:E3799"/>
    <mergeCell ref="H3799:H3800"/>
    <mergeCell ref="I3799:I3800"/>
    <mergeCell ref="B3801:C3801"/>
    <mergeCell ref="B3802:C3802"/>
    <mergeCell ref="B3803:C3803"/>
    <mergeCell ref="B3804:C3804"/>
    <mergeCell ref="B3805:C3805"/>
    <mergeCell ref="B3806:C3806"/>
    <mergeCell ref="B3811:I3811"/>
    <mergeCell ref="D3813:E3813"/>
    <mergeCell ref="F3813:I3813"/>
    <mergeCell ref="B3814:C3815"/>
    <mergeCell ref="D3814:E3814"/>
    <mergeCell ref="H3814:H3815"/>
    <mergeCell ref="I3814:I3815"/>
    <mergeCell ref="B3816:C3816"/>
    <mergeCell ref="B3817:C3817"/>
    <mergeCell ref="B3818:C3818"/>
    <mergeCell ref="B3819:C3819"/>
    <mergeCell ref="B3820:C3820"/>
    <mergeCell ref="B3821:C3821"/>
    <mergeCell ref="B3826:I3826"/>
    <mergeCell ref="D3828:E3828"/>
    <mergeCell ref="F3828:I3828"/>
    <mergeCell ref="B3829:C3830"/>
    <mergeCell ref="D3829:E3829"/>
    <mergeCell ref="H3829:H3830"/>
    <mergeCell ref="I3829:I3830"/>
    <mergeCell ref="B3831:C3831"/>
    <mergeCell ref="B3832:C3832"/>
    <mergeCell ref="B3833:C3833"/>
    <mergeCell ref="B3834:C3834"/>
    <mergeCell ref="B3835:C3835"/>
    <mergeCell ref="B3836:C3836"/>
    <mergeCell ref="B3841:I3841"/>
    <mergeCell ref="D3843:E3843"/>
    <mergeCell ref="F3843:I3843"/>
    <mergeCell ref="B3844:C3845"/>
    <mergeCell ref="D3844:E3844"/>
    <mergeCell ref="H3844:H3845"/>
    <mergeCell ref="I3844:I3845"/>
    <mergeCell ref="B3846:C3846"/>
    <mergeCell ref="B3847:C3847"/>
    <mergeCell ref="B3848:C3848"/>
    <mergeCell ref="B3849:C3849"/>
    <mergeCell ref="B3850:C3850"/>
    <mergeCell ref="B3851:C3851"/>
    <mergeCell ref="B3856:I3856"/>
    <mergeCell ref="D3858:E3858"/>
    <mergeCell ref="F3858:I3858"/>
    <mergeCell ref="B3859:C3860"/>
    <mergeCell ref="D3859:E3859"/>
    <mergeCell ref="H3859:H3860"/>
    <mergeCell ref="I3859:I3860"/>
    <mergeCell ref="B3861:C3861"/>
    <mergeCell ref="B3862:C3862"/>
    <mergeCell ref="B3863:C3863"/>
    <mergeCell ref="B3864:C3864"/>
    <mergeCell ref="B3865:C3865"/>
    <mergeCell ref="B3866:C3866"/>
    <mergeCell ref="B3871:I3871"/>
    <mergeCell ref="D3873:E3873"/>
    <mergeCell ref="F3873:I3873"/>
    <mergeCell ref="B3874:C3875"/>
    <mergeCell ref="D3874:E3874"/>
    <mergeCell ref="H3874:H3875"/>
    <mergeCell ref="I3874:I3875"/>
    <mergeCell ref="B3876:C3876"/>
    <mergeCell ref="B3877:C3877"/>
    <mergeCell ref="B3878:C3878"/>
    <mergeCell ref="B3879:C3879"/>
    <mergeCell ref="B3880:C3880"/>
    <mergeCell ref="B3881:C3881"/>
    <mergeCell ref="B3886:I3886"/>
    <mergeCell ref="D3888:E3888"/>
    <mergeCell ref="F3888:I3888"/>
    <mergeCell ref="B3889:C3890"/>
    <mergeCell ref="D3889:E3889"/>
    <mergeCell ref="H3889:H3890"/>
    <mergeCell ref="I3889:I3890"/>
    <mergeCell ref="B3891:C3891"/>
    <mergeCell ref="B3892:C3892"/>
    <mergeCell ref="B3893:C3893"/>
    <mergeCell ref="B3894:C3894"/>
    <mergeCell ref="B3895:C3895"/>
    <mergeCell ref="B3896:C3896"/>
    <mergeCell ref="B3901:I3901"/>
    <mergeCell ref="D3903:E3903"/>
    <mergeCell ref="F3903:I3903"/>
    <mergeCell ref="B3904:C3905"/>
    <mergeCell ref="D3904:E3904"/>
    <mergeCell ref="H3904:H3905"/>
    <mergeCell ref="I3904:I3905"/>
    <mergeCell ref="B3906:C3906"/>
    <mergeCell ref="B3907:C3907"/>
    <mergeCell ref="B3908:C3908"/>
    <mergeCell ref="B3909:C3909"/>
    <mergeCell ref="B3910:C3910"/>
    <mergeCell ref="B3911:C3911"/>
    <mergeCell ref="B3916:I3916"/>
    <mergeCell ref="D3918:E3918"/>
    <mergeCell ref="F3918:I3918"/>
    <mergeCell ref="B3919:C3920"/>
    <mergeCell ref="D3919:E3919"/>
    <mergeCell ref="H3919:H3920"/>
    <mergeCell ref="I3919:I3920"/>
    <mergeCell ref="B3921:C3921"/>
    <mergeCell ref="B3922:C3922"/>
    <mergeCell ref="B3923:C3923"/>
    <mergeCell ref="B3924:C3924"/>
    <mergeCell ref="B3925:C3925"/>
    <mergeCell ref="B3926:C3926"/>
    <mergeCell ref="B3931:I3931"/>
    <mergeCell ref="D3933:E3933"/>
    <mergeCell ref="F3933:I3933"/>
    <mergeCell ref="B3934:C3935"/>
    <mergeCell ref="D3934:E3934"/>
    <mergeCell ref="H3934:H3935"/>
    <mergeCell ref="I3934:I3935"/>
    <mergeCell ref="B3936:C3936"/>
    <mergeCell ref="B3937:C3937"/>
    <mergeCell ref="B3938:C3938"/>
    <mergeCell ref="B3939:C3939"/>
    <mergeCell ref="B3940:C3940"/>
    <mergeCell ref="B3941:C3941"/>
    <mergeCell ref="B3946:I3946"/>
    <mergeCell ref="D3948:E3948"/>
    <mergeCell ref="F3948:I3948"/>
    <mergeCell ref="B3949:C3950"/>
    <mergeCell ref="D3949:E3949"/>
    <mergeCell ref="H3949:H3950"/>
    <mergeCell ref="I3949:I3950"/>
    <mergeCell ref="B3951:C3951"/>
    <mergeCell ref="B3952:C3952"/>
    <mergeCell ref="B3953:C3953"/>
    <mergeCell ref="B3954:C3954"/>
    <mergeCell ref="B3955:C3955"/>
    <mergeCell ref="B3956:C3956"/>
    <mergeCell ref="B3961:I3961"/>
    <mergeCell ref="D3963:E3963"/>
    <mergeCell ref="F3963:I3963"/>
    <mergeCell ref="B3964:C3965"/>
    <mergeCell ref="D3964:E3964"/>
    <mergeCell ref="H3964:H3965"/>
    <mergeCell ref="I3964:I3965"/>
    <mergeCell ref="B3966:C3966"/>
    <mergeCell ref="B3967:C3967"/>
    <mergeCell ref="B3968:C3968"/>
    <mergeCell ref="B3969:C3969"/>
    <mergeCell ref="B3970:C3970"/>
    <mergeCell ref="B3971:C3971"/>
    <mergeCell ref="B3976:I3976"/>
    <mergeCell ref="D3978:E3978"/>
    <mergeCell ref="F3978:I3978"/>
    <mergeCell ref="B3979:C3980"/>
    <mergeCell ref="D3979:E3979"/>
    <mergeCell ref="H3979:H3980"/>
    <mergeCell ref="I3979:I3980"/>
    <mergeCell ref="B3981:C3981"/>
    <mergeCell ref="B3982:C3982"/>
    <mergeCell ref="B3983:C3983"/>
    <mergeCell ref="B3984:C3984"/>
    <mergeCell ref="B3985:C3985"/>
    <mergeCell ref="B3986:C3986"/>
    <mergeCell ref="B3991:I3991"/>
    <mergeCell ref="D3993:E3993"/>
    <mergeCell ref="F3993:I3993"/>
    <mergeCell ref="B3994:C3995"/>
    <mergeCell ref="D3994:E3994"/>
    <mergeCell ref="H3994:H3995"/>
    <mergeCell ref="I3994:I3995"/>
    <mergeCell ref="B3996:C3996"/>
    <mergeCell ref="B3997:C3997"/>
    <mergeCell ref="B3998:C3998"/>
    <mergeCell ref="B3999:C3999"/>
    <mergeCell ref="B4000:C4000"/>
    <mergeCell ref="B4001:C4001"/>
    <mergeCell ref="B4006:I4006"/>
    <mergeCell ref="D4008:E4008"/>
    <mergeCell ref="F4008:I4008"/>
    <mergeCell ref="B4009:C4010"/>
    <mergeCell ref="D4009:E4009"/>
    <mergeCell ref="H4009:H4010"/>
    <mergeCell ref="I4009:I4010"/>
    <mergeCell ref="B4011:C4011"/>
    <mergeCell ref="B4012:C4012"/>
    <mergeCell ref="B4013:C4013"/>
    <mergeCell ref="B4014:C4014"/>
    <mergeCell ref="B4015:C4015"/>
    <mergeCell ref="B4016:C4016"/>
    <mergeCell ref="B4021:I4021"/>
    <mergeCell ref="D4023:E4023"/>
    <mergeCell ref="F4023:I4023"/>
    <mergeCell ref="B4024:C4025"/>
    <mergeCell ref="D4024:E4024"/>
    <mergeCell ref="H4024:H4025"/>
    <mergeCell ref="I4024:I4025"/>
    <mergeCell ref="B4026:C4026"/>
    <mergeCell ref="B4027:C4027"/>
    <mergeCell ref="B4028:C4028"/>
    <mergeCell ref="B4029:C4029"/>
    <mergeCell ref="B4030:C4030"/>
    <mergeCell ref="B4031:C4031"/>
    <mergeCell ref="B4036:I4036"/>
    <mergeCell ref="D4038:E4038"/>
    <mergeCell ref="F4038:I4038"/>
    <mergeCell ref="B4039:C4040"/>
    <mergeCell ref="D4039:E4039"/>
    <mergeCell ref="H4039:H4040"/>
    <mergeCell ref="I4039:I4040"/>
    <mergeCell ref="B4041:C4041"/>
    <mergeCell ref="B4042:C4042"/>
    <mergeCell ref="B4043:C4043"/>
    <mergeCell ref="B4044:C4044"/>
    <mergeCell ref="B4045:C4045"/>
    <mergeCell ref="B4046:C4046"/>
    <mergeCell ref="B4051:I4051"/>
    <mergeCell ref="D4053:E4053"/>
    <mergeCell ref="F4053:I4053"/>
    <mergeCell ref="B4054:C4055"/>
    <mergeCell ref="D4054:E4054"/>
    <mergeCell ref="H4054:H4055"/>
    <mergeCell ref="I4054:I4055"/>
    <mergeCell ref="B4056:C4056"/>
    <mergeCell ref="B4057:C4057"/>
    <mergeCell ref="B4058:C4058"/>
    <mergeCell ref="B4059:C4059"/>
    <mergeCell ref="B4060:C4060"/>
    <mergeCell ref="B4061:C4061"/>
    <mergeCell ref="B4066:I4066"/>
    <mergeCell ref="D4068:E4068"/>
    <mergeCell ref="F4068:I4068"/>
    <mergeCell ref="B4069:C4070"/>
    <mergeCell ref="D4069:E4069"/>
    <mergeCell ref="H4069:H4070"/>
    <mergeCell ref="I4069:I4070"/>
    <mergeCell ref="B4071:C4071"/>
    <mergeCell ref="B4072:C4072"/>
    <mergeCell ref="B4073:C4073"/>
    <mergeCell ref="B4074:C4074"/>
    <mergeCell ref="B4075:C4075"/>
    <mergeCell ref="B4076:C4076"/>
    <mergeCell ref="B4081:I4081"/>
    <mergeCell ref="D4083:E4083"/>
    <mergeCell ref="F4083:I4083"/>
    <mergeCell ref="B4084:C4085"/>
    <mergeCell ref="D4084:E4084"/>
    <mergeCell ref="H4084:H4085"/>
    <mergeCell ref="I4084:I4085"/>
    <mergeCell ref="B4086:C4086"/>
    <mergeCell ref="B4087:C4087"/>
    <mergeCell ref="B4088:C4088"/>
    <mergeCell ref="B4089:C4089"/>
    <mergeCell ref="B4090:C4090"/>
    <mergeCell ref="B4091:C4091"/>
    <mergeCell ref="B4096:I4096"/>
    <mergeCell ref="D4098:E4098"/>
    <mergeCell ref="F4098:I4098"/>
    <mergeCell ref="B4099:C4100"/>
    <mergeCell ref="D4099:E4099"/>
    <mergeCell ref="H4099:H4100"/>
    <mergeCell ref="I4099:I4100"/>
    <mergeCell ref="B4101:C4101"/>
    <mergeCell ref="B4102:C4102"/>
    <mergeCell ref="B4103:C4103"/>
    <mergeCell ref="B4104:C4104"/>
    <mergeCell ref="B4105:C4105"/>
    <mergeCell ref="B4106:C4106"/>
    <mergeCell ref="B4111:I4111"/>
    <mergeCell ref="D4113:E4113"/>
    <mergeCell ref="F4113:I4113"/>
    <mergeCell ref="B4114:C4115"/>
    <mergeCell ref="D4114:E4114"/>
    <mergeCell ref="H4114:H4115"/>
    <mergeCell ref="I4114:I4115"/>
    <mergeCell ref="B4116:C4116"/>
    <mergeCell ref="B4117:C4117"/>
    <mergeCell ref="B4118:C4118"/>
    <mergeCell ref="B4119:C4119"/>
    <mergeCell ref="B4120:C4120"/>
    <mergeCell ref="B4121:C4121"/>
    <mergeCell ref="B4126:I4126"/>
    <mergeCell ref="D4128:E4128"/>
    <mergeCell ref="F4128:I4128"/>
    <mergeCell ref="B4129:C4130"/>
    <mergeCell ref="D4129:E4129"/>
    <mergeCell ref="H4129:H4130"/>
    <mergeCell ref="I4129:I4130"/>
    <mergeCell ref="B4131:C4131"/>
    <mergeCell ref="B4132:C4132"/>
    <mergeCell ref="B4133:C4133"/>
    <mergeCell ref="B4134:C4134"/>
    <mergeCell ref="B4135:C4135"/>
    <mergeCell ref="B4136:C4136"/>
    <mergeCell ref="B4141:I4141"/>
    <mergeCell ref="D4143:E4143"/>
    <mergeCell ref="F4143:I4143"/>
    <mergeCell ref="B4144:C4145"/>
    <mergeCell ref="D4144:E4144"/>
    <mergeCell ref="H4144:H4145"/>
    <mergeCell ref="I4144:I4145"/>
    <mergeCell ref="B4146:C4146"/>
    <mergeCell ref="B4147:C4147"/>
    <mergeCell ref="B4148:C4148"/>
    <mergeCell ref="B4149:C4149"/>
    <mergeCell ref="B4150:C4150"/>
    <mergeCell ref="B4151:C4151"/>
    <mergeCell ref="B4156:I4156"/>
    <mergeCell ref="D4158:E4158"/>
    <mergeCell ref="F4158:I4158"/>
    <mergeCell ref="B4159:C4160"/>
    <mergeCell ref="D4159:E4159"/>
    <mergeCell ref="H4159:H4160"/>
    <mergeCell ref="I4159:I4160"/>
    <mergeCell ref="B4161:C4161"/>
    <mergeCell ref="B4162:C4162"/>
    <mergeCell ref="B4163:C4163"/>
    <mergeCell ref="B4164:C4164"/>
    <mergeCell ref="B4165:C4165"/>
    <mergeCell ref="B4166:C4166"/>
    <mergeCell ref="B4171:I4171"/>
    <mergeCell ref="D4173:E4173"/>
    <mergeCell ref="F4173:I4173"/>
    <mergeCell ref="B4174:C4175"/>
    <mergeCell ref="D4174:E4174"/>
    <mergeCell ref="H4174:H4175"/>
    <mergeCell ref="I4174:I4175"/>
    <mergeCell ref="B4176:C4176"/>
    <mergeCell ref="B4177:C4177"/>
    <mergeCell ref="B4178:C4178"/>
    <mergeCell ref="B4179:C4179"/>
    <mergeCell ref="B4180:C4180"/>
    <mergeCell ref="B4181:C4181"/>
    <mergeCell ref="B4186:I4186"/>
    <mergeCell ref="D4188:E4188"/>
    <mergeCell ref="F4188:I4188"/>
    <mergeCell ref="B4189:C4190"/>
    <mergeCell ref="D4189:E4189"/>
    <mergeCell ref="H4189:H4190"/>
    <mergeCell ref="I4189:I4190"/>
    <mergeCell ref="B4191:C4191"/>
    <mergeCell ref="B4192:C4192"/>
    <mergeCell ref="B4193:C4193"/>
    <mergeCell ref="B4194:C4194"/>
    <mergeCell ref="B4195:C4195"/>
    <mergeCell ref="B4196:C4196"/>
  </mergeCells>
  <printOptions headings="false" gridLines="false" gridLinesSet="true" horizontalCentered="false" verticalCentered="false"/>
  <pageMargins left="0.3" right="0.3" top="0.4" bottom="0.3" header="0.511811023622047" footer="0.511811023622047"/>
  <pageSetup paperSize="1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79" manualBreakCount="279">
    <brk id="15" man="true" max="16383" min="0"/>
    <brk id="30" man="true" max="16383" min="0"/>
    <brk id="45" man="true" max="16383" min="0"/>
    <brk id="60" man="true" max="16383" min="0"/>
    <brk id="75" man="true" max="16383" min="0"/>
    <brk id="90" man="true" max="16383" min="0"/>
    <brk id="105" man="true" max="16383" min="0"/>
    <brk id="120" man="true" max="16383" min="0"/>
    <brk id="135" man="true" max="16383" min="0"/>
    <brk id="150" man="true" max="16383" min="0"/>
    <brk id="165" man="true" max="16383" min="0"/>
    <brk id="180" man="true" max="16383" min="0"/>
    <brk id="195" man="true" max="16383" min="0"/>
    <brk id="210" man="true" max="16383" min="0"/>
    <brk id="225" man="true" max="16383" min="0"/>
    <brk id="240" man="true" max="16383" min="0"/>
    <brk id="255" man="true" max="16383" min="0"/>
    <brk id="270" man="true" max="16383" min="0"/>
    <brk id="285" man="true" max="16383" min="0"/>
    <brk id="300" man="true" max="16383" min="0"/>
    <brk id="315" man="true" max="16383" min="0"/>
    <brk id="330" man="true" max="16383" min="0"/>
    <brk id="345" man="true" max="16383" min="0"/>
    <brk id="360" man="true" max="16383" min="0"/>
    <brk id="375" man="true" max="16383" min="0"/>
    <brk id="390" man="true" max="16383" min="0"/>
    <brk id="405" man="true" max="16383" min="0"/>
    <brk id="420" man="true" max="16383" min="0"/>
    <brk id="435" man="true" max="16383" min="0"/>
    <brk id="450" man="true" max="16383" min="0"/>
    <brk id="465" man="true" max="16383" min="0"/>
    <brk id="480" man="true" max="16383" min="0"/>
    <brk id="495" man="true" max="16383" min="0"/>
    <brk id="510" man="true" max="16383" min="0"/>
    <brk id="525" man="true" max="16383" min="0"/>
    <brk id="540" man="true" max="16383" min="0"/>
    <brk id="555" man="true" max="16383" min="0"/>
    <brk id="570" man="true" max="16383" min="0"/>
    <brk id="585" man="true" max="16383" min="0"/>
    <brk id="600" man="true" max="16383" min="0"/>
    <brk id="615" man="true" max="16383" min="0"/>
    <brk id="630" man="true" max="16383" min="0"/>
    <brk id="645" man="true" max="16383" min="0"/>
    <brk id="660" man="true" max="16383" min="0"/>
    <brk id="675" man="true" max="16383" min="0"/>
    <brk id="690" man="true" max="16383" min="0"/>
    <brk id="705" man="true" max="16383" min="0"/>
    <brk id="720" man="true" max="16383" min="0"/>
    <brk id="735" man="true" max="16383" min="0"/>
    <brk id="750" man="true" max="16383" min="0"/>
    <brk id="765" man="true" max="16383" min="0"/>
    <brk id="780" man="true" max="16383" min="0"/>
    <brk id="795" man="true" max="16383" min="0"/>
    <brk id="810" man="true" max="16383" min="0"/>
    <brk id="825" man="true" max="16383" min="0"/>
    <brk id="840" man="true" max="16383" min="0"/>
    <brk id="855" man="true" max="16383" min="0"/>
    <brk id="870" man="true" max="16383" min="0"/>
    <brk id="885" man="true" max="16383" min="0"/>
    <brk id="900" man="true" max="16383" min="0"/>
    <brk id="915" man="true" max="16383" min="0"/>
    <brk id="930" man="true" max="16383" min="0"/>
    <brk id="945" man="true" max="16383" min="0"/>
    <brk id="960" man="true" max="16383" min="0"/>
    <brk id="975" man="true" max="16383" min="0"/>
    <brk id="990" man="true" max="16383" min="0"/>
    <brk id="1005" man="true" max="16383" min="0"/>
    <brk id="1020" man="true" max="16383" min="0"/>
    <brk id="1035" man="true" max="16383" min="0"/>
    <brk id="1050" man="true" max="16383" min="0"/>
    <brk id="1065" man="true" max="16383" min="0"/>
    <brk id="1080" man="true" max="16383" min="0"/>
    <brk id="1095" man="true" max="16383" min="0"/>
    <brk id="1110" man="true" max="16383" min="0"/>
    <brk id="1125" man="true" max="16383" min="0"/>
    <brk id="1140" man="true" max="16383" min="0"/>
    <brk id="1155" man="true" max="16383" min="0"/>
    <brk id="1170" man="true" max="16383" min="0"/>
    <brk id="1185" man="true" max="16383" min="0"/>
    <brk id="1200" man="true" max="16383" min="0"/>
    <brk id="1215" man="true" max="16383" min="0"/>
    <brk id="1230" man="true" max="16383" min="0"/>
    <brk id="1245" man="true" max="16383" min="0"/>
    <brk id="1260" man="true" max="16383" min="0"/>
    <brk id="1275" man="true" max="16383" min="0"/>
    <brk id="1290" man="true" max="16383" min="0"/>
    <brk id="1305" man="true" max="16383" min="0"/>
    <brk id="1320" man="true" max="16383" min="0"/>
    <brk id="1335" man="true" max="16383" min="0"/>
    <brk id="1350" man="true" max="16383" min="0"/>
    <brk id="1365" man="true" max="16383" min="0"/>
    <brk id="1380" man="true" max="16383" min="0"/>
    <brk id="1395" man="true" max="16383" min="0"/>
    <brk id="1410" man="true" max="16383" min="0"/>
    <brk id="1425" man="true" max="16383" min="0"/>
    <brk id="1440" man="true" max="16383" min="0"/>
    <brk id="1455" man="true" max="16383" min="0"/>
    <brk id="1470" man="true" max="16383" min="0"/>
    <brk id="1485" man="true" max="16383" min="0"/>
    <brk id="1500" man="true" max="16383" min="0"/>
    <brk id="1515" man="true" max="16383" min="0"/>
    <brk id="1530" man="true" max="16383" min="0"/>
    <brk id="1545" man="true" max="16383" min="0"/>
    <brk id="1560" man="true" max="16383" min="0"/>
    <brk id="1575" man="true" max="16383" min="0"/>
    <brk id="1590" man="true" max="16383" min="0"/>
    <brk id="1605" man="true" max="16383" min="0"/>
    <brk id="1620" man="true" max="16383" min="0"/>
    <brk id="1635" man="true" max="16383" min="0"/>
    <brk id="1650" man="true" max="16383" min="0"/>
    <brk id="1665" man="true" max="16383" min="0"/>
    <brk id="1680" man="true" max="16383" min="0"/>
    <brk id="1695" man="true" max="16383" min="0"/>
    <brk id="1710" man="true" max="16383" min="0"/>
    <brk id="1725" man="true" max="16383" min="0"/>
    <brk id="1740" man="true" max="16383" min="0"/>
    <brk id="1755" man="true" max="16383" min="0"/>
    <brk id="1770" man="true" max="16383" min="0"/>
    <brk id="1785" man="true" max="16383" min="0"/>
    <brk id="1800" man="true" max="16383" min="0"/>
    <brk id="1815" man="true" max="16383" min="0"/>
    <brk id="1830" man="true" max="16383" min="0"/>
    <brk id="1845" man="true" max="16383" min="0"/>
    <brk id="1860" man="true" max="16383" min="0"/>
    <brk id="1875" man="true" max="16383" min="0"/>
    <brk id="1890" man="true" max="16383" min="0"/>
    <brk id="1905" man="true" max="16383" min="0"/>
    <brk id="1920" man="true" max="16383" min="0"/>
    <brk id="1935" man="true" max="16383" min="0"/>
    <brk id="1950" man="true" max="16383" min="0"/>
    <brk id="1965" man="true" max="16383" min="0"/>
    <brk id="1980" man="true" max="16383" min="0"/>
    <brk id="1995" man="true" max="16383" min="0"/>
    <brk id="2010" man="true" max="16383" min="0"/>
    <brk id="2025" man="true" max="16383" min="0"/>
    <brk id="2040" man="true" max="16383" min="0"/>
    <brk id="2055" man="true" max="16383" min="0"/>
    <brk id="2070" man="true" max="16383" min="0"/>
    <brk id="2085" man="true" max="16383" min="0"/>
    <brk id="2100" man="true" max="16383" min="0"/>
    <brk id="2115" man="true" max="16383" min="0"/>
    <brk id="2130" man="true" max="16383" min="0"/>
    <brk id="2145" man="true" max="16383" min="0"/>
    <brk id="2160" man="true" max="16383" min="0"/>
    <brk id="2175" man="true" max="16383" min="0"/>
    <brk id="2190" man="true" max="16383" min="0"/>
    <brk id="2205" man="true" max="16383" min="0"/>
    <brk id="2220" man="true" max="16383" min="0"/>
    <brk id="2235" man="true" max="16383" min="0"/>
    <brk id="2250" man="true" max="16383" min="0"/>
    <brk id="2265" man="true" max="16383" min="0"/>
    <brk id="2280" man="true" max="16383" min="0"/>
    <brk id="2295" man="true" max="16383" min="0"/>
    <brk id="2310" man="true" max="16383" min="0"/>
    <brk id="2325" man="true" max="16383" min="0"/>
    <brk id="2340" man="true" max="16383" min="0"/>
    <brk id="2355" man="true" max="16383" min="0"/>
    <brk id="2370" man="true" max="16383" min="0"/>
    <brk id="2385" man="true" max="16383" min="0"/>
    <brk id="2400" man="true" max="16383" min="0"/>
    <brk id="2415" man="true" max="16383" min="0"/>
    <brk id="2430" man="true" max="16383" min="0"/>
    <brk id="2445" man="true" max="16383" min="0"/>
    <brk id="2460" man="true" max="16383" min="0"/>
    <brk id="2475" man="true" max="16383" min="0"/>
    <brk id="2490" man="true" max="16383" min="0"/>
    <brk id="2505" man="true" max="16383" min="0"/>
    <brk id="2520" man="true" max="16383" min="0"/>
    <brk id="2535" man="true" max="16383" min="0"/>
    <brk id="2550" man="true" max="16383" min="0"/>
    <brk id="2565" man="true" max="16383" min="0"/>
    <brk id="2580" man="true" max="16383" min="0"/>
    <brk id="2595" man="true" max="16383" min="0"/>
    <brk id="2610" man="true" max="16383" min="0"/>
    <brk id="2625" man="true" max="16383" min="0"/>
    <brk id="2640" man="true" max="16383" min="0"/>
    <brk id="2655" man="true" max="16383" min="0"/>
    <brk id="2670" man="true" max="16383" min="0"/>
    <brk id="2685" man="true" max="16383" min="0"/>
    <brk id="2700" man="true" max="16383" min="0"/>
    <brk id="2715" man="true" max="16383" min="0"/>
    <brk id="2730" man="true" max="16383" min="0"/>
    <brk id="2745" man="true" max="16383" min="0"/>
    <brk id="2760" man="true" max="16383" min="0"/>
    <brk id="2775" man="true" max="16383" min="0"/>
    <brk id="2790" man="true" max="16383" min="0"/>
    <brk id="2805" man="true" max="16383" min="0"/>
    <brk id="2820" man="true" max="16383" min="0"/>
    <brk id="2835" man="true" max="16383" min="0"/>
    <brk id="2850" man="true" max="16383" min="0"/>
    <brk id="2865" man="true" max="16383" min="0"/>
    <brk id="2880" man="true" max="16383" min="0"/>
    <brk id="2895" man="true" max="16383" min="0"/>
    <brk id="2910" man="true" max="16383" min="0"/>
    <brk id="2925" man="true" max="16383" min="0"/>
    <brk id="2940" man="true" max="16383" min="0"/>
    <brk id="2955" man="true" max="16383" min="0"/>
    <brk id="2970" man="true" max="16383" min="0"/>
    <brk id="2985" man="true" max="16383" min="0"/>
    <brk id="3000" man="true" max="16383" min="0"/>
    <brk id="3015" man="true" max="16383" min="0"/>
    <brk id="3030" man="true" max="16383" min="0"/>
    <brk id="3045" man="true" max="16383" min="0"/>
    <brk id="3060" man="true" max="16383" min="0"/>
    <brk id="3075" man="true" max="16383" min="0"/>
    <brk id="3090" man="true" max="16383" min="0"/>
    <brk id="3105" man="true" max="16383" min="0"/>
    <brk id="3120" man="true" max="16383" min="0"/>
    <brk id="3135" man="true" max="16383" min="0"/>
    <brk id="3150" man="true" max="16383" min="0"/>
    <brk id="3165" man="true" max="16383" min="0"/>
    <brk id="3180" man="true" max="16383" min="0"/>
    <brk id="3195" man="true" max="16383" min="0"/>
    <brk id="3210" man="true" max="16383" min="0"/>
    <brk id="3225" man="true" max="16383" min="0"/>
    <brk id="3240" man="true" max="16383" min="0"/>
    <brk id="3255" man="true" max="16383" min="0"/>
    <brk id="3270" man="true" max="16383" min="0"/>
    <brk id="3285" man="true" max="16383" min="0"/>
    <brk id="3300" man="true" max="16383" min="0"/>
    <brk id="3315" man="true" max="16383" min="0"/>
    <brk id="3330" man="true" max="16383" min="0"/>
    <brk id="3345" man="true" max="16383" min="0"/>
    <brk id="3360" man="true" max="16383" min="0"/>
    <brk id="3375" man="true" max="16383" min="0"/>
    <brk id="3390" man="true" max="16383" min="0"/>
    <brk id="3405" man="true" max="16383" min="0"/>
    <brk id="3420" man="true" max="16383" min="0"/>
    <brk id="3435" man="true" max="16383" min="0"/>
    <brk id="3450" man="true" max="16383" min="0"/>
    <brk id="3465" man="true" max="16383" min="0"/>
    <brk id="3480" man="true" max="16383" min="0"/>
    <brk id="3495" man="true" max="16383" min="0"/>
    <brk id="3510" man="true" max="16383" min="0"/>
    <brk id="3525" man="true" max="16383" min="0"/>
    <brk id="3540" man="true" max="16383" min="0"/>
    <brk id="3555" man="true" max="16383" min="0"/>
    <brk id="3570" man="true" max="16383" min="0"/>
    <brk id="3585" man="true" max="16383" min="0"/>
    <brk id="3600" man="true" max="16383" min="0"/>
    <brk id="3615" man="true" max="16383" min="0"/>
    <brk id="3630" man="true" max="16383" min="0"/>
    <brk id="3645" man="true" max="16383" min="0"/>
    <brk id="3660" man="true" max="16383" min="0"/>
    <brk id="3675" man="true" max="16383" min="0"/>
    <brk id="3690" man="true" max="16383" min="0"/>
    <brk id="3705" man="true" max="16383" min="0"/>
    <brk id="3720" man="true" max="16383" min="0"/>
    <brk id="3735" man="true" max="16383" min="0"/>
    <brk id="3750" man="true" max="16383" min="0"/>
    <brk id="3765" man="true" max="16383" min="0"/>
    <brk id="3780" man="true" max="16383" min="0"/>
    <brk id="3795" man="true" max="16383" min="0"/>
    <brk id="3810" man="true" max="16383" min="0"/>
    <brk id="3825" man="true" max="16383" min="0"/>
    <brk id="3840" man="true" max="16383" min="0"/>
    <brk id="3855" man="true" max="16383" min="0"/>
    <brk id="3870" man="true" max="16383" min="0"/>
    <brk id="3885" man="true" max="16383" min="0"/>
    <brk id="3900" man="true" max="16383" min="0"/>
    <brk id="3915" man="true" max="16383" min="0"/>
    <brk id="3930" man="true" max="16383" min="0"/>
    <brk id="3945" man="true" max="16383" min="0"/>
    <brk id="3960" man="true" max="16383" min="0"/>
    <brk id="3975" man="true" max="16383" min="0"/>
    <brk id="3990" man="true" max="16383" min="0"/>
    <brk id="4005" man="true" max="16383" min="0"/>
    <brk id="4020" man="true" max="16383" min="0"/>
    <brk id="4035" man="true" max="16383" min="0"/>
    <brk id="4050" man="true" max="16383" min="0"/>
    <brk id="4065" man="true" max="16383" min="0"/>
    <brk id="4080" man="true" max="16383" min="0"/>
    <brk id="4095" man="true" max="16383" min="0"/>
    <brk id="4110" man="true" max="16383" min="0"/>
    <brk id="4125" man="true" max="16383" min="0"/>
    <brk id="4140" man="true" max="16383" min="0"/>
    <brk id="4155" man="true" max="16383" min="0"/>
    <brk id="4170" man="true" max="16383" min="0"/>
    <brk id="4185" man="true" max="16383" min="0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6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6" min="3" style="0" width="14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6"/>
    <col collapsed="false" customWidth="true" hidden="false" outlineLevel="0" max="11" min="11" style="0" width="7"/>
    <col collapsed="false" customWidth="true" hidden="false" outlineLevel="0" max="13" min="13" style="0" width="14"/>
  </cols>
  <sheetData>
    <row r="1" customFormat="false" ht="14.9" hidden="false" customHeight="false" outlineLevel="0" collapsed="false">
      <c r="A1" s="17" t="s">
        <v>448</v>
      </c>
      <c r="B1" s="17" t="s">
        <v>88</v>
      </c>
      <c r="C1" s="17" t="s">
        <v>412</v>
      </c>
      <c r="D1" s="17" t="s">
        <v>208</v>
      </c>
      <c r="E1" s="17" t="s">
        <v>209</v>
      </c>
      <c r="F1" s="17" t="s">
        <v>210</v>
      </c>
      <c r="G1" s="17" t="s">
        <v>449</v>
      </c>
      <c r="H1" s="17" t="s">
        <v>450</v>
      </c>
      <c r="I1" s="17" t="s">
        <v>451</v>
      </c>
      <c r="J1" s="17" t="s">
        <v>452</v>
      </c>
      <c r="K1" s="17" t="s">
        <v>453</v>
      </c>
      <c r="L1" s="17" t="s">
        <v>454</v>
      </c>
      <c r="M1" s="17" t="s">
        <v>413</v>
      </c>
    </row>
    <row r="2" customFormat="false" ht="13.5" hidden="false" customHeight="false" outlineLevel="0" collapsed="false">
      <c r="A2" s="47" t="n">
        <v>1</v>
      </c>
      <c r="B2" s="38" t="n">
        <f aca="false">助手回款!$B2</f>
        <v>2001</v>
      </c>
      <c r="C2" s="48" t="str">
        <f aca="false">助手回款!$C2</f>
        <v>柏人商城店</v>
      </c>
      <c r="D2" s="48" t="str">
        <f aca="false">科目对照回款!$B2&amp;""</f>
        <v>库存现金</v>
      </c>
      <c r="E2" s="48" t="str">
        <f aca="false">科目对照回款!$C2&amp;""</f>
        <v>库存现金</v>
      </c>
      <c r="F2" s="48" t="str">
        <f aca="false">科目对照回款!$D2&amp;""</f>
        <v/>
      </c>
      <c r="G2" s="49" t="n">
        <f aca="false">助手回款!$E2</f>
        <v>32050.31</v>
      </c>
      <c r="H2" s="49" t="n">
        <f aca="false">IF(ROUND($G2,2)&gt;0,ROUND($G2,2),"")</f>
        <v>32050.31</v>
      </c>
      <c r="I2" s="49" t="str">
        <f aca="false">IF(ROUND($G2,2)&lt;0,-ROUND($G2,2),"")</f>
        <v/>
      </c>
      <c r="J2" s="20" t="n">
        <f aca="false">IF(ROUND($G2,2)=0,0,1)</f>
        <v>1</v>
      </c>
      <c r="K2" s="20" t="n">
        <f aca="false">IF($J2=0,"",SUM($J$2:$J2))</f>
        <v>1</v>
      </c>
      <c r="L2" s="20" t="n">
        <f aca="false">IF($K2="","",$A2*100+$K2)</f>
        <v>101</v>
      </c>
      <c r="M2" s="48" t="str">
        <f aca="false">参数!$B$4</f>
        <v>回款</v>
      </c>
    </row>
    <row r="3" customFormat="false" ht="13.5" hidden="false" customHeight="false" outlineLevel="0" collapsed="false">
      <c r="A3" s="47" t="n">
        <v>1</v>
      </c>
      <c r="B3" s="38" t="n">
        <f aca="false">助手回款!$B2</f>
        <v>2001</v>
      </c>
      <c r="C3" s="48" t="str">
        <f aca="false">助手回款!$C2</f>
        <v>柏人商城店</v>
      </c>
      <c r="D3" s="48" t="str">
        <f aca="false">科目对照回款!$B3&amp;""</f>
        <v>手续费</v>
      </c>
      <c r="E3" s="48" t="str">
        <f aca="false">科目对照回款!$C3&amp;""</f>
        <v>财务费用</v>
      </c>
      <c r="F3" s="48" t="str">
        <f aca="false">科目对照回款!$D3&amp;""</f>
        <v>手续费</v>
      </c>
      <c r="G3" s="49" t="n">
        <f aca="false">助手回款!$F2</f>
        <v>54.73</v>
      </c>
      <c r="H3" s="49" t="n">
        <f aca="false">IF(ROUND($G3,2)&gt;0,ROUND($G3,2),"")</f>
        <v>54.73</v>
      </c>
      <c r="I3" s="49" t="str">
        <f aca="false">IF(ROUND($G3,2)&lt;0,-ROUND($G3,2),"")</f>
        <v/>
      </c>
      <c r="J3" s="20" t="n">
        <f aca="false">IF(ROUND($G3,2)=0,0,1)</f>
        <v>1</v>
      </c>
      <c r="K3" s="20" t="n">
        <f aca="false">IF($J3=0,"",SUM($J$2:$J3))</f>
        <v>2</v>
      </c>
      <c r="L3" s="20" t="n">
        <f aca="false">IF($K3="","",$A3*100+$K3)</f>
        <v>102</v>
      </c>
      <c r="M3" s="48" t="str">
        <f aca="false">参数!$B$4</f>
        <v>回款</v>
      </c>
    </row>
    <row r="4" customFormat="false" ht="13.5" hidden="false" customHeight="false" outlineLevel="0" collapsed="false">
      <c r="A4" s="47" t="n">
        <v>1</v>
      </c>
      <c r="B4" s="38" t="n">
        <f aca="false">助手回款!$B2</f>
        <v>2001</v>
      </c>
      <c r="C4" s="48" t="str">
        <f aca="false">助手回款!$C2</f>
        <v>柏人商城店</v>
      </c>
      <c r="D4" s="48" t="str">
        <f aca="false">科目对照回款!$B4&amp;""</f>
        <v>聚合支付</v>
      </c>
      <c r="E4" s="48" t="str">
        <f aca="false">科目对照回款!$C4&amp;""</f>
        <v>应收账款</v>
      </c>
      <c r="F4" s="48" t="str">
        <f aca="false">科目对照回款!$D4&amp;""</f>
        <v>聚合支付</v>
      </c>
      <c r="G4" s="49" t="n">
        <f aca="false">-ROUND(IF(科目对照回款!$F$4="",0,SUMIFS(输入回款!$C:$C,输入回款!$A:$A,助手回款!$X2,输入回款!$B:$B,科目对照回款!$F$4)+SUMIFS(输入回款!$D:$D,输入回款!$A:$A,助手回款!$X2,输入回款!$B:$B,科目对照回款!$F$4))+IF(科目对照回款!$G$4="",0,SUMIFS(输入回款!$C:$C,输入回款!$A:$A,助手回款!$X2,输入回款!$B:$B,科目对照回款!$G$4)+SUMIFS(输入回款!$D:$D,输入回款!$A:$A,助手回款!$X2,输入回款!$B:$B,科目对照回款!$G$4))+IF(科目对照回款!$H$4="",0,SUMIFS(输入回款!$C:$C,输入回款!$A:$A,助手回款!$X2,输入回款!$B:$B,科目对照回款!$H$4)+SUMIFS(输入回款!$D:$D,输入回款!$A:$A,助手回款!$X2,输入回款!$B:$B,科目对照回款!$H$4)),2)</f>
        <v>-24279.15</v>
      </c>
      <c r="H4" s="49" t="str">
        <f aca="false">IF(ROUND($G4,2)&gt;0,ROUND($G4,2),"")</f>
        <v/>
      </c>
      <c r="I4" s="49" t="n">
        <f aca="false">IF(ROUND($G4,2)&lt;0,-ROUND($G4,2),"")</f>
        <v>24279.15</v>
      </c>
      <c r="J4" s="20" t="n">
        <f aca="false">IF(ROUND($G4,2)=0,0,1)</f>
        <v>1</v>
      </c>
      <c r="K4" s="20" t="n">
        <f aca="false">IF($J4=0,"",SUM($J$2:$J4))</f>
        <v>3</v>
      </c>
      <c r="L4" s="20" t="n">
        <f aca="false">IF($K4="","",$A4*100+$K4)</f>
        <v>103</v>
      </c>
      <c r="M4" s="48" t="str">
        <f aca="false">参数!$B$4</f>
        <v>回款</v>
      </c>
    </row>
    <row r="5" customFormat="false" ht="13.5" hidden="false" customHeight="false" outlineLevel="0" collapsed="false">
      <c r="A5" s="47" t="n">
        <v>1</v>
      </c>
      <c r="B5" s="38" t="n">
        <f aca="false">助手回款!$B2</f>
        <v>2001</v>
      </c>
      <c r="C5" s="48" t="str">
        <f aca="false">助手回款!$C2</f>
        <v>柏人商城店</v>
      </c>
      <c r="D5" s="48" t="str">
        <f aca="false">科目对照回款!$B5&amp;""</f>
        <v>医保</v>
      </c>
      <c r="E5" s="48" t="str">
        <f aca="false">科目对照回款!$C5&amp;""</f>
        <v>应收账款</v>
      </c>
      <c r="F5" s="48" t="str">
        <f aca="false">科目对照回款!$D5&amp;""</f>
        <v>医保</v>
      </c>
      <c r="G5" s="49" t="n">
        <f aca="false">-ROUND(IF(科目对照回款!$F$5="",0,SUMIFS(输入回款!$C:$C,输入回款!$A:$A,助手回款!$X2,输入回款!$B:$B,科目对照回款!$F$5)+SUMIFS(输入回款!$D:$D,输入回款!$A:$A,助手回款!$X2,输入回款!$B:$B,科目对照回款!$F$5))+IF(科目对照回款!$G$5="",0,SUMIFS(输入回款!$C:$C,输入回款!$A:$A,助手回款!$X2,输入回款!$B:$B,科目对照回款!$G$5)+SUMIFS(输入回款!$D:$D,输入回款!$A:$A,助手回款!$X2,输入回款!$B:$B,科目对照回款!$G$5))+IF(科目对照回款!$H$5="",0,SUMIFS(输入回款!$C:$C,输入回款!$A:$A,助手回款!$X2,输入回款!$B:$B,科目对照回款!$H$5)+SUMIFS(输入回款!$D:$D,输入回款!$A:$A,助手回款!$X2,输入回款!$B:$B,科目对照回款!$H$5)),2)</f>
        <v>-7544.09</v>
      </c>
      <c r="H5" s="49" t="str">
        <f aca="false">IF(ROUND($G5,2)&gt;0,ROUND($G5,2),"")</f>
        <v/>
      </c>
      <c r="I5" s="49" t="n">
        <f aca="false">IF(ROUND($G5,2)&lt;0,-ROUND($G5,2),"")</f>
        <v>7544.09</v>
      </c>
      <c r="J5" s="20" t="n">
        <f aca="false">IF(ROUND($G5,2)=0,0,1)</f>
        <v>1</v>
      </c>
      <c r="K5" s="20" t="n">
        <f aca="false">IF($J5=0,"",SUM($J$2:$J5))</f>
        <v>4</v>
      </c>
      <c r="L5" s="20" t="n">
        <f aca="false">IF($K5="","",$A5*100+$K5)</f>
        <v>104</v>
      </c>
      <c r="M5" s="48" t="str">
        <f aca="false">参数!$B$4</f>
        <v>回款</v>
      </c>
    </row>
    <row r="6" customFormat="false" ht="13.5" hidden="false" customHeight="false" outlineLevel="0" collapsed="false">
      <c r="A6" s="47" t="n">
        <v>1</v>
      </c>
      <c r="B6" s="38" t="n">
        <f aca="false">助手回款!$B2</f>
        <v>2001</v>
      </c>
      <c r="C6" s="48" t="str">
        <f aca="false">助手回款!$C2</f>
        <v>柏人商城店</v>
      </c>
      <c r="D6" s="48" t="str">
        <f aca="false">科目对照回款!$B6&amp;""</f>
        <v>美团</v>
      </c>
      <c r="E6" s="48" t="str">
        <f aca="false">科目对照回款!$C6&amp;""</f>
        <v>应收账款</v>
      </c>
      <c r="F6" s="48" t="str">
        <f aca="false">科目对照回款!$D6&amp;""</f>
        <v>美团</v>
      </c>
      <c r="G6" s="49" t="n">
        <f aca="false">-ROUND(IF(科目对照回款!$F$6="",0,SUMIFS(输入回款!$C:$C,输入回款!$A:$A,助手回款!$X2,输入回款!$B:$B,科目对照回款!$F$6)+SUMIFS(输入回款!$D:$D,输入回款!$A:$A,助手回款!$X2,输入回款!$B:$B,科目对照回款!$F$6))+IF(科目对照回款!$G$6="",0,SUMIFS(输入回款!$C:$C,输入回款!$A:$A,助手回款!$X2,输入回款!$B:$B,科目对照回款!$G$6)+SUMIFS(输入回款!$D:$D,输入回款!$A:$A,助手回款!$X2,输入回款!$B:$B,科目对照回款!$G$6))+IF(科目对照回款!$H$6="",0,SUMIFS(输入回款!$C:$C,输入回款!$A:$A,助手回款!$X2,输入回款!$B:$B,科目对照回款!$H$6)+SUMIFS(输入回款!$D:$D,输入回款!$A:$A,助手回款!$X2,输入回款!$B:$B,科目对照回款!$H$6)),2)</f>
        <v>-281.8</v>
      </c>
      <c r="H6" s="49" t="str">
        <f aca="false">IF(ROUND($G6,2)&gt;0,ROUND($G6,2),"")</f>
        <v/>
      </c>
      <c r="I6" s="49" t="n">
        <f aca="false">IF(ROUND($G6,2)&lt;0,-ROUND($G6,2),"")</f>
        <v>281.8</v>
      </c>
      <c r="J6" s="20" t="n">
        <f aca="false">IF(ROUND($G6,2)=0,0,1)</f>
        <v>1</v>
      </c>
      <c r="K6" s="20" t="n">
        <f aca="false">IF($J6=0,"",SUM($J$2:$J6))</f>
        <v>5</v>
      </c>
      <c r="L6" s="20" t="n">
        <f aca="false">IF($K6="","",$A6*100+$K6)</f>
        <v>105</v>
      </c>
      <c r="M6" s="48" t="str">
        <f aca="false">参数!$B$4</f>
        <v>回款</v>
      </c>
    </row>
    <row r="7" customFormat="false" ht="13.5" hidden="false" customHeight="false" outlineLevel="0" collapsed="false">
      <c r="A7" s="47" t="n">
        <v>1</v>
      </c>
      <c r="B7" s="38" t="n">
        <f aca="false">助手回款!$B2</f>
        <v>2001</v>
      </c>
      <c r="C7" s="48" t="str">
        <f aca="false">助手回款!$C2</f>
        <v>柏人商城店</v>
      </c>
      <c r="D7" s="48" t="str">
        <f aca="false">科目对照回款!$B7&amp;""</f>
        <v>饿了么</v>
      </c>
      <c r="E7" s="48" t="str">
        <f aca="false">科目对照回款!$C7&amp;""</f>
        <v>应收账款</v>
      </c>
      <c r="F7" s="48" t="str">
        <f aca="false">科目对照回款!$D7&amp;""</f>
        <v>饿了么</v>
      </c>
      <c r="G7" s="49" t="n">
        <f aca="false">-ROUND(IF(科目对照回款!$F$7="",0,SUMIFS(输入回款!$C:$C,输入回款!$A:$A,助手回款!$X2,输入回款!$B:$B,科目对照回款!$F$7)+SUMIFS(输入回款!$D:$D,输入回款!$A:$A,助手回款!$X2,输入回款!$B:$B,科目对照回款!$F$7))+IF(科目对照回款!$G$7="",0,SUMIFS(输入回款!$C:$C,输入回款!$A:$A,助手回款!$X2,输入回款!$B:$B,科目对照回款!$G$7)+SUMIFS(输入回款!$D:$D,输入回款!$A:$A,助手回款!$X2,输入回款!$B:$B,科目对照回款!$G$7))+IF(科目对照回款!$H$7="",0,SUMIFS(输入回款!$C:$C,输入回款!$A:$A,助手回款!$X2,输入回款!$B:$B,科目对照回款!$H$7)+SUMIFS(输入回款!$D:$D,输入回款!$A:$A,助手回款!$X2,输入回款!$B:$B,科目对照回款!$H$7)),2)</f>
        <v>-0</v>
      </c>
      <c r="H7" s="49" t="str">
        <f aca="false">IF(ROUND($G7,2)&gt;0,ROUND($G7,2),"")</f>
        <v/>
      </c>
      <c r="I7" s="49" t="str">
        <f aca="false">IF(ROUND($G7,2)&lt;0,-ROUND($G7,2),"")</f>
        <v/>
      </c>
      <c r="J7" s="20" t="n">
        <f aca="false">IF(ROUND($G7,2)=0,0,1)</f>
        <v>0</v>
      </c>
      <c r="K7" s="20" t="str">
        <f aca="false">IF($J7=0,"",SUM($J$2:$J7))</f>
        <v/>
      </c>
      <c r="L7" s="20" t="str">
        <f aca="false">IF($K7="","",$A7*100+$K7)</f>
        <v/>
      </c>
      <c r="M7" s="48" t="str">
        <f aca="false">参数!$B$4</f>
        <v>回款</v>
      </c>
    </row>
    <row r="8" customFormat="false" ht="13.5" hidden="false" customHeight="false" outlineLevel="0" collapsed="false">
      <c r="A8" s="47" t="n">
        <v>1</v>
      </c>
      <c r="B8" s="38" t="n">
        <f aca="false">助手回款!$B2</f>
        <v>2001</v>
      </c>
      <c r="C8" s="48" t="str">
        <f aca="false">助手回款!$C2</f>
        <v>柏人商城店</v>
      </c>
      <c r="D8" s="48" t="str">
        <f aca="false">科目对照回款!$B8&amp;""</f>
        <v>24小时</v>
      </c>
      <c r="E8" s="48" t="str">
        <f aca="false">科目对照回款!$C8&amp;""</f>
        <v>应收账款</v>
      </c>
      <c r="F8" s="48" t="str">
        <f aca="false">科目对照回款!$D8&amp;""</f>
        <v>24小时</v>
      </c>
      <c r="G8" s="49" t="n">
        <f aca="false">-ROUND(IF(科目对照回款!$F$8="",0,SUMIFS(输入回款!$C:$C,输入回款!$A:$A,助手回款!$X2,输入回款!$B:$B,科目对照回款!$F$8)+SUMIFS(输入回款!$D:$D,输入回款!$A:$A,助手回款!$X2,输入回款!$B:$B,科目对照回款!$F$8))+IF(科目对照回款!$G$8="",0,SUMIFS(输入回款!$C:$C,输入回款!$A:$A,助手回款!$X2,输入回款!$B:$B,科目对照回款!$G$8)+SUMIFS(输入回款!$D:$D,输入回款!$A:$A,助手回款!$X2,输入回款!$B:$B,科目对照回款!$G$8))+IF(科目对照回款!$H$8="",0,SUMIFS(输入回款!$C:$C,输入回款!$A:$A,助手回款!$X2,输入回款!$B:$B,科目对照回款!$H$8)+SUMIFS(输入回款!$D:$D,输入回款!$A:$A,助手回款!$X2,输入回款!$B:$B,科目对照回款!$H$8)),2)</f>
        <v>-0</v>
      </c>
      <c r="H8" s="49" t="str">
        <f aca="false">IF(ROUND($G8,2)&gt;0,ROUND($G8,2),"")</f>
        <v/>
      </c>
      <c r="I8" s="49" t="str">
        <f aca="false">IF(ROUND($G8,2)&lt;0,-ROUND($G8,2),"")</f>
        <v/>
      </c>
      <c r="J8" s="20" t="n">
        <f aca="false">IF(ROUND($G8,2)=0,0,1)</f>
        <v>0</v>
      </c>
      <c r="K8" s="20" t="str">
        <f aca="false">IF($J8=0,"",SUM($J$2:$J8))</f>
        <v/>
      </c>
      <c r="L8" s="20" t="str">
        <f aca="false">IF($K8="","",$A8*100+$K8)</f>
        <v/>
      </c>
      <c r="M8" s="48" t="str">
        <f aca="false">参数!$B$4</f>
        <v>回款</v>
      </c>
    </row>
    <row r="9" customFormat="false" ht="13.5" hidden="false" customHeight="false" outlineLevel="0" collapsed="false">
      <c r="A9" s="47" t="n">
        <v>1</v>
      </c>
      <c r="B9" s="38" t="n">
        <f aca="false">助手回款!$B2</f>
        <v>2001</v>
      </c>
      <c r="C9" s="48" t="str">
        <f aca="false">助手回款!$C2</f>
        <v>柏人商城店</v>
      </c>
      <c r="D9" s="48" t="str">
        <f aca="false">科目对照回款!$B9&amp;""</f>
        <v>健E卡</v>
      </c>
      <c r="E9" s="48" t="str">
        <f aca="false">科目对照回款!$C9&amp;""</f>
        <v>应收账款</v>
      </c>
      <c r="F9" s="48" t="str">
        <f aca="false">科目对照回款!$D9&amp;""</f>
        <v>健E卡</v>
      </c>
      <c r="G9" s="49" t="n">
        <f aca="false">-ROUND(IF(科目对照回款!$F$9="",0,SUMIFS(输入回款!$C:$C,输入回款!$A:$A,助手回款!$X2,输入回款!$B:$B,科目对照回款!$F$9)+SUMIFS(输入回款!$D:$D,输入回款!$A:$A,助手回款!$X2,输入回款!$B:$B,科目对照回款!$F$9))+IF(科目对照回款!$G$9="",0,SUMIFS(输入回款!$C:$C,输入回款!$A:$A,助手回款!$X2,输入回款!$B:$B,科目对照回款!$G$9)+SUMIFS(输入回款!$D:$D,输入回款!$A:$A,助手回款!$X2,输入回款!$B:$B,科目对照回款!$G$9))+IF(科目对照回款!$H$9="",0,SUMIFS(输入回款!$C:$C,输入回款!$A:$A,助手回款!$X2,输入回款!$B:$B,科目对照回款!$H$9)+SUMIFS(输入回款!$D:$D,输入回款!$A:$A,助手回款!$X2,输入回款!$B:$B,科目对照回款!$H$9)),2)</f>
        <v>-0</v>
      </c>
      <c r="H9" s="49" t="str">
        <f aca="false">IF(ROUND($G9,2)&gt;0,ROUND($G9,2),"")</f>
        <v/>
      </c>
      <c r="I9" s="49" t="str">
        <f aca="false">IF(ROUND($G9,2)&lt;0,-ROUND($G9,2),"")</f>
        <v/>
      </c>
      <c r="J9" s="20" t="n">
        <f aca="false">IF(ROUND($G9,2)=0,0,1)</f>
        <v>0</v>
      </c>
      <c r="K9" s="20" t="str">
        <f aca="false">IF($J9=0,"",SUM($J$2:$J9))</f>
        <v/>
      </c>
      <c r="L9" s="20" t="str">
        <f aca="false">IF($K9="","",$A9*100+$K9)</f>
        <v/>
      </c>
      <c r="M9" s="48" t="str">
        <f aca="false">参数!$B$4</f>
        <v>回款</v>
      </c>
    </row>
    <row r="10" customFormat="false" ht="13.5" hidden="false" customHeight="false" outlineLevel="0" collapsed="false">
      <c r="A10" s="47" t="n">
        <v>1</v>
      </c>
      <c r="B10" s="38" t="n">
        <f aca="false">助手回款!$B2</f>
        <v>2001</v>
      </c>
      <c r="C10" s="48" t="str">
        <f aca="false">助手回款!$C2</f>
        <v>柏人商城店</v>
      </c>
      <c r="D10" s="48" t="str">
        <f aca="false">科目对照回款!$B10&amp;""</f>
        <v>医卡通</v>
      </c>
      <c r="E10" s="48" t="str">
        <f aca="false">科目对照回款!$C10&amp;""</f>
        <v>应收账款</v>
      </c>
      <c r="F10" s="48" t="str">
        <f aca="false">科目对照回款!$D10&amp;""</f>
        <v>医卡通</v>
      </c>
      <c r="G10" s="49" t="n">
        <f aca="false">-ROUND(IF(科目对照回款!$F$10="",0,SUMIFS(输入回款!$C:$C,输入回款!$A:$A,助手回款!$X2,输入回款!$B:$B,科目对照回款!$F$10)+SUMIFS(输入回款!$D:$D,输入回款!$A:$A,助手回款!$X2,输入回款!$B:$B,科目对照回款!$F$10))+IF(科目对照回款!$G$10="",0,SUMIFS(输入回款!$C:$C,输入回款!$A:$A,助手回款!$X2,输入回款!$B:$B,科目对照回款!$G$10)+SUMIFS(输入回款!$D:$D,输入回款!$A:$A,助手回款!$X2,输入回款!$B:$B,科目对照回款!$G$10))+IF(科目对照回款!$H$10="",0,SUMIFS(输入回款!$C:$C,输入回款!$A:$A,助手回款!$X2,输入回款!$B:$B,科目对照回款!$H$10)+SUMIFS(输入回款!$D:$D,输入回款!$A:$A,助手回款!$X2,输入回款!$B:$B,科目对照回款!$H$10)),2)</f>
        <v>-0</v>
      </c>
      <c r="H10" s="49" t="str">
        <f aca="false">IF(ROUND($G10,2)&gt;0,ROUND($G10,2),"")</f>
        <v/>
      </c>
      <c r="I10" s="49" t="str">
        <f aca="false">IF(ROUND($G10,2)&lt;0,-ROUND($G10,2),"")</f>
        <v/>
      </c>
      <c r="J10" s="20" t="n">
        <f aca="false">IF(ROUND($G10,2)=0,0,1)</f>
        <v>0</v>
      </c>
      <c r="K10" s="20" t="str">
        <f aca="false">IF($J10=0,"",SUM($J$2:$J10))</f>
        <v/>
      </c>
      <c r="L10" s="20" t="str">
        <f aca="false">IF($K10="","",$A10*100+$K10)</f>
        <v/>
      </c>
      <c r="M10" s="48" t="str">
        <f aca="false">参数!$B$4</f>
        <v>回款</v>
      </c>
    </row>
    <row r="11" customFormat="false" ht="13.5" hidden="false" customHeight="false" outlineLevel="0" collapsed="false">
      <c r="A11" s="47" t="n">
        <v>1</v>
      </c>
      <c r="B11" s="38" t="n">
        <f aca="false">助手回款!$B2</f>
        <v>2001</v>
      </c>
      <c r="C11" s="48" t="str">
        <f aca="false">助手回款!$C2</f>
        <v>柏人商城店</v>
      </c>
      <c r="D11" s="48" t="str">
        <f aca="false">科目对照回款!$B11&amp;""</f>
        <v>企健网</v>
      </c>
      <c r="E11" s="48" t="str">
        <f aca="false">科目对照回款!$C11&amp;""</f>
        <v>应收账款</v>
      </c>
      <c r="F11" s="48" t="str">
        <f aca="false">科目对照回款!$D11&amp;""</f>
        <v>企健网</v>
      </c>
      <c r="G11" s="49" t="n">
        <f aca="false">-ROUND(IF(科目对照回款!$F$11="",0,SUMIFS(输入回款!$C:$C,输入回款!$A:$A,助手回款!$X2,输入回款!$B:$B,科目对照回款!$F$11)+SUMIFS(输入回款!$D:$D,输入回款!$A:$A,助手回款!$X2,输入回款!$B:$B,科目对照回款!$F$11))+IF(科目对照回款!$G$11="",0,SUMIFS(输入回款!$C:$C,输入回款!$A:$A,助手回款!$X2,输入回款!$B:$B,科目对照回款!$G$11)+SUMIFS(输入回款!$D:$D,输入回款!$A:$A,助手回款!$X2,输入回款!$B:$B,科目对照回款!$G$11))+IF(科目对照回款!$H$11="",0,SUMIFS(输入回款!$C:$C,输入回款!$A:$A,助手回款!$X2,输入回款!$B:$B,科目对照回款!$H$11)+SUMIFS(输入回款!$D:$D,输入回款!$A:$A,助手回款!$X2,输入回款!$B:$B,科目对照回款!$H$11)),2)</f>
        <v>-0</v>
      </c>
      <c r="H11" s="49" t="str">
        <f aca="false">IF(ROUND($G11,2)&gt;0,ROUND($G11,2),"")</f>
        <v/>
      </c>
      <c r="I11" s="49" t="str">
        <f aca="false">IF(ROUND($G11,2)&lt;0,-ROUND($G11,2),"")</f>
        <v/>
      </c>
      <c r="J11" s="20" t="n">
        <f aca="false">IF(ROUND($G11,2)=0,0,1)</f>
        <v>0</v>
      </c>
      <c r="K11" s="20" t="str">
        <f aca="false">IF($J11=0,"",SUM($J$2:$J11))</f>
        <v/>
      </c>
      <c r="L11" s="20" t="str">
        <f aca="false">IF($K11="","",$A11*100+$K11)</f>
        <v/>
      </c>
      <c r="M11" s="48" t="str">
        <f aca="false">参数!$B$4</f>
        <v>回款</v>
      </c>
    </row>
    <row r="12" customFormat="false" ht="13.5" hidden="false" customHeight="false" outlineLevel="0" collapsed="false">
      <c r="A12" s="47" t="n">
        <v>1</v>
      </c>
      <c r="B12" s="38" t="n">
        <f aca="false">助手回款!$B2</f>
        <v>2001</v>
      </c>
      <c r="C12" s="48" t="str">
        <f aca="false">助手回款!$C2</f>
        <v>柏人商城店</v>
      </c>
      <c r="D12" s="48" t="str">
        <f aca="false">科目对照回款!$B12&amp;""</f>
        <v>亲情卡</v>
      </c>
      <c r="E12" s="48" t="str">
        <f aca="false">科目对照回款!$C12&amp;""</f>
        <v>应收账款</v>
      </c>
      <c r="F12" s="48" t="str">
        <f aca="false">科目对照回款!$D12&amp;""</f>
        <v>亲情卡</v>
      </c>
      <c r="G12" s="49" t="n">
        <f aca="false">-ROUND(IF(科目对照回款!$F$12="",0,SUMIFS(输入回款!$C:$C,输入回款!$A:$A,助手回款!$X2,输入回款!$B:$B,科目对照回款!$F$12)+SUMIFS(输入回款!$D:$D,输入回款!$A:$A,助手回款!$X2,输入回款!$B:$B,科目对照回款!$F$12))+IF(科目对照回款!$G$12="",0,SUMIFS(输入回款!$C:$C,输入回款!$A:$A,助手回款!$X2,输入回款!$B:$B,科目对照回款!$G$12)+SUMIFS(输入回款!$D:$D,输入回款!$A:$A,助手回款!$X2,输入回款!$B:$B,科目对照回款!$G$12))+IF(科目对照回款!$H$12="",0,SUMIFS(输入回款!$C:$C,输入回款!$A:$A,助手回款!$X2,输入回款!$B:$B,科目对照回款!$H$12)+SUMIFS(输入回款!$D:$D,输入回款!$A:$A,助手回款!$X2,输入回款!$B:$B,科目对照回款!$H$12)),2)</f>
        <v>-0</v>
      </c>
      <c r="H12" s="49" t="str">
        <f aca="false">IF(ROUND($G12,2)&gt;0,ROUND($G12,2),"")</f>
        <v/>
      </c>
      <c r="I12" s="49" t="str">
        <f aca="false">IF(ROUND($G12,2)&lt;0,-ROUND($G12,2),"")</f>
        <v/>
      </c>
      <c r="J12" s="20" t="n">
        <f aca="false">IF(ROUND($G12,2)=0,0,1)</f>
        <v>0</v>
      </c>
      <c r="K12" s="20" t="str">
        <f aca="false">IF($J12=0,"",SUM($J$2:$J12))</f>
        <v/>
      </c>
      <c r="L12" s="20" t="str">
        <f aca="false">IF($K12="","",$A12*100+$K12)</f>
        <v/>
      </c>
      <c r="M12" s="48" t="str">
        <f aca="false">参数!$B$4</f>
        <v>回款</v>
      </c>
    </row>
    <row r="13" customFormat="false" ht="13.5" hidden="false" customHeight="false" outlineLevel="0" collapsed="false">
      <c r="A13" s="47" t="n">
        <v>1</v>
      </c>
      <c r="B13" s="38" t="n">
        <f aca="false">助手回款!$B2</f>
        <v>2001</v>
      </c>
      <c r="C13" s="48" t="str">
        <f aca="false">助手回款!$C2</f>
        <v>柏人商城店</v>
      </c>
      <c r="D13" s="48" t="str">
        <f aca="false">科目对照回款!$B13&amp;""</f>
        <v>银联</v>
      </c>
      <c r="E13" s="48" t="str">
        <f aca="false">科目对照回款!$C13&amp;""</f>
        <v>应收账款</v>
      </c>
      <c r="F13" s="48" t="str">
        <f aca="false">科目对照回款!$D13&amp;""</f>
        <v>银联</v>
      </c>
      <c r="G13" s="49" t="n">
        <f aca="false">-ROUND(IF(科目对照回款!$F$13="",0,SUMIFS(输入回款!$C:$C,输入回款!$A:$A,助手回款!$X2,输入回款!$B:$B,科目对照回款!$F$13)+SUMIFS(输入回款!$D:$D,输入回款!$A:$A,助手回款!$X2,输入回款!$B:$B,科目对照回款!$F$13))+IF(科目对照回款!$G$13="",0,SUMIFS(输入回款!$C:$C,输入回款!$A:$A,助手回款!$X2,输入回款!$B:$B,科目对照回款!$G$13)+SUMIFS(输入回款!$D:$D,输入回款!$A:$A,助手回款!$X2,输入回款!$B:$B,科目对照回款!$G$13))+IF(科目对照回款!$H$13="",0,SUMIFS(输入回款!$C:$C,输入回款!$A:$A,助手回款!$X2,输入回款!$B:$B,科目对照回款!$H$13)+SUMIFS(输入回款!$D:$D,输入回款!$A:$A,助手回款!$X2,输入回款!$B:$B,科目对照回款!$H$13)),2)</f>
        <v>-0</v>
      </c>
      <c r="H13" s="49" t="str">
        <f aca="false">IF(ROUND($G13,2)&gt;0,ROUND($G13,2),"")</f>
        <v/>
      </c>
      <c r="I13" s="49" t="str">
        <f aca="false">IF(ROUND($G13,2)&lt;0,-ROUND($G13,2),"")</f>
        <v/>
      </c>
      <c r="J13" s="20" t="n">
        <f aca="false">IF(ROUND($G13,2)=0,0,1)</f>
        <v>0</v>
      </c>
      <c r="K13" s="20" t="str">
        <f aca="false">IF($J13=0,"",SUM($J$2:$J13))</f>
        <v/>
      </c>
      <c r="L13" s="20" t="str">
        <f aca="false">IF($K13="","",$A13*100+$K13)</f>
        <v/>
      </c>
      <c r="M13" s="48" t="str">
        <f aca="false">参数!$B$4</f>
        <v>回款</v>
      </c>
    </row>
    <row r="14" customFormat="false" ht="13.5" hidden="false" customHeight="false" outlineLevel="0" collapsed="false">
      <c r="A14" s="47" t="n">
        <v>1</v>
      </c>
      <c r="B14" s="38" t="n">
        <f aca="false">助手回款!$B2</f>
        <v>2001</v>
      </c>
      <c r="C14" s="48" t="str">
        <f aca="false">助手回款!$C2</f>
        <v>柏人商城店</v>
      </c>
      <c r="D14" s="48" t="str">
        <f aca="false">科目对照回款!$B14&amp;""</f>
        <v>代金券</v>
      </c>
      <c r="E14" s="48" t="str">
        <f aca="false">科目对照回款!$C14&amp;""</f>
        <v>应收账款</v>
      </c>
      <c r="F14" s="48" t="str">
        <f aca="false">科目对照回款!$D14&amp;""</f>
        <v>代金券</v>
      </c>
      <c r="G14" s="49" t="n">
        <f aca="false">-ROUND(IF(科目对照回款!$F$14="",0,SUMIFS(输入回款!$C:$C,输入回款!$A:$A,助手回款!$X2,输入回款!$B:$B,科目对照回款!$F$14)+SUMIFS(输入回款!$D:$D,输入回款!$A:$A,助手回款!$X2,输入回款!$B:$B,科目对照回款!$F$14))+IF(科目对照回款!$G$14="",0,SUMIFS(输入回款!$C:$C,输入回款!$A:$A,助手回款!$X2,输入回款!$B:$B,科目对照回款!$G$14)+SUMIFS(输入回款!$D:$D,输入回款!$A:$A,助手回款!$X2,输入回款!$B:$B,科目对照回款!$G$14))+IF(科目对照回款!$H$14="",0,SUMIFS(输入回款!$C:$C,输入回款!$A:$A,助手回款!$X2,输入回款!$B:$B,科目对照回款!$H$14)+SUMIFS(输入回款!$D:$D,输入回款!$A:$A,助手回款!$X2,输入回款!$B:$B,科目对照回款!$H$14)),2)</f>
        <v>-0</v>
      </c>
      <c r="H14" s="49" t="str">
        <f aca="false">IF(ROUND($G14,2)&gt;0,ROUND($G14,2),"")</f>
        <v/>
      </c>
      <c r="I14" s="49" t="str">
        <f aca="false">IF(ROUND($G14,2)&lt;0,-ROUND($G14,2),"")</f>
        <v/>
      </c>
      <c r="J14" s="20" t="n">
        <f aca="false">IF(ROUND($G14,2)=0,0,1)</f>
        <v>0</v>
      </c>
      <c r="K14" s="20" t="str">
        <f aca="false">IF($J14=0,"",SUM($J$2:$J14))</f>
        <v/>
      </c>
      <c r="L14" s="20" t="str">
        <f aca="false">IF($K14="","",$A14*100+$K14)</f>
        <v/>
      </c>
      <c r="M14" s="48" t="str">
        <f aca="false">参数!$B$4</f>
        <v>回款</v>
      </c>
    </row>
    <row r="15" customFormat="false" ht="13.5" hidden="false" customHeight="false" outlineLevel="0" collapsed="false">
      <c r="A15" s="47" t="n">
        <v>1</v>
      </c>
      <c r="B15" s="38" t="n">
        <f aca="false">助手回款!$B2</f>
        <v>2001</v>
      </c>
      <c r="C15" s="48" t="str">
        <f aca="false">助手回款!$C2</f>
        <v>柏人商城店</v>
      </c>
      <c r="D15" s="48" t="str">
        <f aca="false">科目对照回款!$B15&amp;""</f>
        <v>药机微信</v>
      </c>
      <c r="E15" s="48" t="str">
        <f aca="false">科目对照回款!$C15&amp;""</f>
        <v>应收账款</v>
      </c>
      <c r="F15" s="48" t="str">
        <f aca="false">科目对照回款!$D15&amp;""</f>
        <v>药机微信</v>
      </c>
      <c r="G15" s="49" t="n">
        <f aca="false">-ROUND(IF(科目对照回款!$F$15="",0,SUMIFS(输入回款!$C:$C,输入回款!$A:$A,助手回款!$X2,输入回款!$B:$B,科目对照回款!$F$15)+SUMIFS(输入回款!$D:$D,输入回款!$A:$A,助手回款!$X2,输入回款!$B:$B,科目对照回款!$F$15))+IF(科目对照回款!$G$15="",0,SUMIFS(输入回款!$C:$C,输入回款!$A:$A,助手回款!$X2,输入回款!$B:$B,科目对照回款!$G$15)+SUMIFS(输入回款!$D:$D,输入回款!$A:$A,助手回款!$X2,输入回款!$B:$B,科目对照回款!$G$15))+IF(科目对照回款!$H$15="",0,SUMIFS(输入回款!$C:$C,输入回款!$A:$A,助手回款!$X2,输入回款!$B:$B,科目对照回款!$H$15)+SUMIFS(输入回款!$D:$D,输入回款!$A:$A,助手回款!$X2,输入回款!$B:$B,科目对照回款!$H$15)),2)</f>
        <v>-0</v>
      </c>
      <c r="H15" s="49" t="str">
        <f aca="false">IF(ROUND($G15,2)&gt;0,ROUND($G15,2),"")</f>
        <v/>
      </c>
      <c r="I15" s="49" t="str">
        <f aca="false">IF(ROUND($G15,2)&lt;0,-ROUND($G15,2),"")</f>
        <v/>
      </c>
      <c r="J15" s="20" t="n">
        <f aca="false">IF(ROUND($G15,2)=0,0,1)</f>
        <v>0</v>
      </c>
      <c r="K15" s="20" t="str">
        <f aca="false">IF($J15=0,"",SUM($J$2:$J15))</f>
        <v/>
      </c>
      <c r="L15" s="20" t="str">
        <f aca="false">IF($K15="","",$A15*100+$K15)</f>
        <v/>
      </c>
      <c r="M15" s="48" t="str">
        <f aca="false">参数!$B$4</f>
        <v>回款</v>
      </c>
    </row>
    <row r="16" customFormat="false" ht="13.5" hidden="false" customHeight="false" outlineLevel="0" collapsed="false">
      <c r="A16" s="47" t="n">
        <v>1</v>
      </c>
      <c r="B16" s="38" t="n">
        <f aca="false">助手回款!$B2</f>
        <v>2001</v>
      </c>
      <c r="C16" s="48" t="str">
        <f aca="false">助手回款!$C2</f>
        <v>柏人商城店</v>
      </c>
      <c r="D16" s="48" t="str">
        <f aca="false">科目对照回款!$B16&amp;""</f>
        <v>储值卡</v>
      </c>
      <c r="E16" s="48" t="str">
        <f aca="false">科目对照回款!$C16&amp;""</f>
        <v>其他应收款</v>
      </c>
      <c r="F16" s="48" t="str">
        <f aca="false">科目对照回款!$D16&amp;""</f>
        <v>储值卡</v>
      </c>
      <c r="G16" s="49" t="n">
        <f aca="false">-ROUND(IF(科目对照回款!$F$16="",0,SUMIFS(输入回款!$C:$C,输入回款!$A:$A,助手回款!$X2,输入回款!$B:$B,科目对照回款!$F$16)+SUMIFS(输入回款!$D:$D,输入回款!$A:$A,助手回款!$X2,输入回款!$B:$B,科目对照回款!$F$16))+IF(科目对照回款!$G$16="",0,SUMIFS(输入回款!$C:$C,输入回款!$A:$A,助手回款!$X2,输入回款!$B:$B,科目对照回款!$G$16)+SUMIFS(输入回款!$D:$D,输入回款!$A:$A,助手回款!$X2,输入回款!$B:$B,科目对照回款!$G$16))+IF(科目对照回款!$H$16="",0,SUMIFS(输入回款!$C:$C,输入回款!$A:$A,助手回款!$X2,输入回款!$B:$B,科目对照回款!$H$16)+SUMIFS(输入回款!$D:$D,输入回款!$A:$A,助手回款!$X2,输入回款!$B:$B,科目对照回款!$H$16)),2)</f>
        <v>-0</v>
      </c>
      <c r="H16" s="49" t="str">
        <f aca="false">IF(ROUND($G16,2)&gt;0,ROUND($G16,2),"")</f>
        <v/>
      </c>
      <c r="I16" s="49" t="str">
        <f aca="false">IF(ROUND($G16,2)&lt;0,-ROUND($G16,2),"")</f>
        <v/>
      </c>
      <c r="J16" s="20" t="n">
        <f aca="false">IF(ROUND($G16,2)=0,0,1)</f>
        <v>0</v>
      </c>
      <c r="K16" s="20" t="str">
        <f aca="false">IF($J16=0,"",SUM($J$2:$J16))</f>
        <v/>
      </c>
      <c r="L16" s="20" t="str">
        <f aca="false">IF($K16="","",$A16*100+$K16)</f>
        <v/>
      </c>
      <c r="M16" s="48" t="str">
        <f aca="false">参数!$B$4</f>
        <v>回款</v>
      </c>
    </row>
    <row r="17" customFormat="false" ht="13.5" hidden="false" customHeight="false" outlineLevel="0" collapsed="false">
      <c r="A17" s="47" t="n">
        <v>2</v>
      </c>
      <c r="B17" s="38" t="n">
        <f aca="false">助手回款!$B3</f>
        <v>2002</v>
      </c>
      <c r="C17" s="48" t="str">
        <f aca="false">助手回款!$C3</f>
        <v>新隆店</v>
      </c>
      <c r="D17" s="48" t="str">
        <f aca="false">科目对照回款!$B2&amp;""</f>
        <v>库存现金</v>
      </c>
      <c r="E17" s="48" t="str">
        <f aca="false">科目对照回款!$C2&amp;""</f>
        <v>库存现金</v>
      </c>
      <c r="F17" s="48" t="str">
        <f aca="false">科目对照回款!$D2&amp;""</f>
        <v/>
      </c>
      <c r="G17" s="49" t="n">
        <f aca="false">助手回款!$E3</f>
        <v>150110.95</v>
      </c>
      <c r="H17" s="49" t="n">
        <f aca="false">IF(ROUND($G17,2)&gt;0,ROUND($G17,2),"")</f>
        <v>150110.95</v>
      </c>
      <c r="I17" s="49" t="str">
        <f aca="false">IF(ROUND($G17,2)&lt;0,-ROUND($G17,2),"")</f>
        <v/>
      </c>
      <c r="J17" s="20" t="n">
        <f aca="false">IF(ROUND($G17,2)=0,0,1)</f>
        <v>1</v>
      </c>
      <c r="K17" s="20" t="n">
        <f aca="false">IF($J17=0,"",SUM($J$17:$J17))</f>
        <v>1</v>
      </c>
      <c r="L17" s="20" t="n">
        <f aca="false">IF($K17="","",$A17*100+$K17)</f>
        <v>201</v>
      </c>
      <c r="M17" s="48" t="str">
        <f aca="false">参数!$B$4</f>
        <v>回款</v>
      </c>
    </row>
    <row r="18" customFormat="false" ht="13.5" hidden="false" customHeight="false" outlineLevel="0" collapsed="false">
      <c r="A18" s="47" t="n">
        <v>2</v>
      </c>
      <c r="B18" s="38" t="n">
        <f aca="false">助手回款!$B3</f>
        <v>2002</v>
      </c>
      <c r="C18" s="48" t="str">
        <f aca="false">助手回款!$C3</f>
        <v>新隆店</v>
      </c>
      <c r="D18" s="48" t="str">
        <f aca="false">科目对照回款!$B3&amp;""</f>
        <v>手续费</v>
      </c>
      <c r="E18" s="48" t="str">
        <f aca="false">科目对照回款!$C3&amp;""</f>
        <v>财务费用</v>
      </c>
      <c r="F18" s="48" t="str">
        <f aca="false">科目对照回款!$D3&amp;""</f>
        <v>手续费</v>
      </c>
      <c r="G18" s="49" t="n">
        <f aca="false">助手回款!$F3</f>
        <v>0</v>
      </c>
      <c r="H18" s="49" t="str">
        <f aca="false">IF(ROUND($G18,2)&gt;0,ROUND($G18,2),"")</f>
        <v/>
      </c>
      <c r="I18" s="49" t="str">
        <f aca="false">IF(ROUND($G18,2)&lt;0,-ROUND($G18,2),"")</f>
        <v/>
      </c>
      <c r="J18" s="20" t="n">
        <f aca="false">IF(ROUND($G18,2)=0,0,1)</f>
        <v>0</v>
      </c>
      <c r="K18" s="20" t="str">
        <f aca="false">IF($J18=0,"",SUM($J$17:$J18))</f>
        <v/>
      </c>
      <c r="L18" s="20" t="str">
        <f aca="false">IF($K18="","",$A18*100+$K18)</f>
        <v/>
      </c>
      <c r="M18" s="48" t="str">
        <f aca="false">参数!$B$4</f>
        <v>回款</v>
      </c>
    </row>
    <row r="19" customFormat="false" ht="13.5" hidden="false" customHeight="false" outlineLevel="0" collapsed="false">
      <c r="A19" s="47" t="n">
        <v>2</v>
      </c>
      <c r="B19" s="38" t="n">
        <f aca="false">助手回款!$B3</f>
        <v>2002</v>
      </c>
      <c r="C19" s="48" t="str">
        <f aca="false">助手回款!$C3</f>
        <v>新隆店</v>
      </c>
      <c r="D19" s="48" t="str">
        <f aca="false">科目对照回款!$B4&amp;""</f>
        <v>聚合支付</v>
      </c>
      <c r="E19" s="48" t="str">
        <f aca="false">科目对照回款!$C4&amp;""</f>
        <v>应收账款</v>
      </c>
      <c r="F19" s="48" t="str">
        <f aca="false">科目对照回款!$D4&amp;""</f>
        <v>聚合支付</v>
      </c>
      <c r="G19" s="49" t="n">
        <f aca="false">-ROUND(IF(科目对照回款!$F$4="",0,SUMIFS(输入回款!$C:$C,输入回款!$A:$A,助手回款!$X3,输入回款!$B:$B,科目对照回款!$F$4)+SUMIFS(输入回款!$D:$D,输入回款!$A:$A,助手回款!$X3,输入回款!$B:$B,科目对照回款!$F$4))+IF(科目对照回款!$G$4="",0,SUMIFS(输入回款!$C:$C,输入回款!$A:$A,助手回款!$X3,输入回款!$B:$B,科目对照回款!$G$4)+SUMIFS(输入回款!$D:$D,输入回款!$A:$A,助手回款!$X3,输入回款!$B:$B,科目对照回款!$G$4))+IF(科目对照回款!$H$4="",0,SUMIFS(输入回款!$C:$C,输入回款!$A:$A,助手回款!$X3,输入回款!$B:$B,科目对照回款!$H$4)+SUMIFS(输入回款!$D:$D,输入回款!$A:$A,助手回款!$X3,输入回款!$B:$B,科目对照回款!$H$4)),2)</f>
        <v>-99405.36</v>
      </c>
      <c r="H19" s="49" t="str">
        <f aca="false">IF(ROUND($G19,2)&gt;0,ROUND($G19,2),"")</f>
        <v/>
      </c>
      <c r="I19" s="49" t="n">
        <f aca="false">IF(ROUND($G19,2)&lt;0,-ROUND($G19,2),"")</f>
        <v>99405.36</v>
      </c>
      <c r="J19" s="20" t="n">
        <f aca="false">IF(ROUND($G19,2)=0,0,1)</f>
        <v>1</v>
      </c>
      <c r="K19" s="20" t="n">
        <f aca="false">IF($J19=0,"",SUM($J$17:$J19))</f>
        <v>2</v>
      </c>
      <c r="L19" s="20" t="n">
        <f aca="false">IF($K19="","",$A19*100+$K19)</f>
        <v>202</v>
      </c>
      <c r="M19" s="48" t="str">
        <f aca="false">参数!$B$4</f>
        <v>回款</v>
      </c>
    </row>
    <row r="20" customFormat="false" ht="13.5" hidden="false" customHeight="false" outlineLevel="0" collapsed="false">
      <c r="A20" s="47" t="n">
        <v>2</v>
      </c>
      <c r="B20" s="38" t="n">
        <f aca="false">助手回款!$B3</f>
        <v>2002</v>
      </c>
      <c r="C20" s="48" t="str">
        <f aca="false">助手回款!$C3</f>
        <v>新隆店</v>
      </c>
      <c r="D20" s="48" t="str">
        <f aca="false">科目对照回款!$B5&amp;""</f>
        <v>医保</v>
      </c>
      <c r="E20" s="48" t="str">
        <f aca="false">科目对照回款!$C5&amp;""</f>
        <v>应收账款</v>
      </c>
      <c r="F20" s="48" t="str">
        <f aca="false">科目对照回款!$D5&amp;""</f>
        <v>医保</v>
      </c>
      <c r="G20" s="49" t="n">
        <f aca="false">-ROUND(IF(科目对照回款!$F$5="",0,SUMIFS(输入回款!$C:$C,输入回款!$A:$A,助手回款!$X3,输入回款!$B:$B,科目对照回款!$F$5)+SUMIFS(输入回款!$D:$D,输入回款!$A:$A,助手回款!$X3,输入回款!$B:$B,科目对照回款!$F$5))+IF(科目对照回款!$G$5="",0,SUMIFS(输入回款!$C:$C,输入回款!$A:$A,助手回款!$X3,输入回款!$B:$B,科目对照回款!$G$5)+SUMIFS(输入回款!$D:$D,输入回款!$A:$A,助手回款!$X3,输入回款!$B:$B,科目对照回款!$G$5))+IF(科目对照回款!$H$5="",0,SUMIFS(输入回款!$C:$C,输入回款!$A:$A,助手回款!$X3,输入回款!$B:$B,科目对照回款!$H$5)+SUMIFS(输入回款!$D:$D,输入回款!$A:$A,助手回款!$X3,输入回款!$B:$B,科目对照回款!$H$5)),2)</f>
        <v>-50705.59</v>
      </c>
      <c r="H20" s="49" t="str">
        <f aca="false">IF(ROUND($G20,2)&gt;0,ROUND($G20,2),"")</f>
        <v/>
      </c>
      <c r="I20" s="49" t="n">
        <f aca="false">IF(ROUND($G20,2)&lt;0,-ROUND($G20,2),"")</f>
        <v>50705.59</v>
      </c>
      <c r="J20" s="20" t="n">
        <f aca="false">IF(ROUND($G20,2)=0,0,1)</f>
        <v>1</v>
      </c>
      <c r="K20" s="20" t="n">
        <f aca="false">IF($J20=0,"",SUM($J$17:$J20))</f>
        <v>3</v>
      </c>
      <c r="L20" s="20" t="n">
        <f aca="false">IF($K20="","",$A20*100+$K20)</f>
        <v>203</v>
      </c>
      <c r="M20" s="48" t="str">
        <f aca="false">参数!$B$4</f>
        <v>回款</v>
      </c>
    </row>
    <row r="21" customFormat="false" ht="13.5" hidden="false" customHeight="false" outlineLevel="0" collapsed="false">
      <c r="A21" s="47" t="n">
        <v>2</v>
      </c>
      <c r="B21" s="38" t="n">
        <f aca="false">助手回款!$B3</f>
        <v>2002</v>
      </c>
      <c r="C21" s="48" t="str">
        <f aca="false">助手回款!$C3</f>
        <v>新隆店</v>
      </c>
      <c r="D21" s="48" t="str">
        <f aca="false">科目对照回款!$B6&amp;""</f>
        <v>美团</v>
      </c>
      <c r="E21" s="48" t="str">
        <f aca="false">科目对照回款!$C6&amp;""</f>
        <v>应收账款</v>
      </c>
      <c r="F21" s="48" t="str">
        <f aca="false">科目对照回款!$D6&amp;""</f>
        <v>美团</v>
      </c>
      <c r="G21" s="49" t="n">
        <f aca="false">-ROUND(IF(科目对照回款!$F$6="",0,SUMIFS(输入回款!$C:$C,输入回款!$A:$A,助手回款!$X3,输入回款!$B:$B,科目对照回款!$F$6)+SUMIFS(输入回款!$D:$D,输入回款!$A:$A,助手回款!$X3,输入回款!$B:$B,科目对照回款!$F$6))+IF(科目对照回款!$G$6="",0,SUMIFS(输入回款!$C:$C,输入回款!$A:$A,助手回款!$X3,输入回款!$B:$B,科目对照回款!$G$6)+SUMIFS(输入回款!$D:$D,输入回款!$A:$A,助手回款!$X3,输入回款!$B:$B,科目对照回款!$G$6))+IF(科目对照回款!$H$6="",0,SUMIFS(输入回款!$C:$C,输入回款!$A:$A,助手回款!$X3,输入回款!$B:$B,科目对照回款!$H$6)+SUMIFS(输入回款!$D:$D,输入回款!$A:$A,助手回款!$X3,输入回款!$B:$B,科目对照回款!$H$6)),2)</f>
        <v>-0</v>
      </c>
      <c r="H21" s="49" t="str">
        <f aca="false">IF(ROUND($G21,2)&gt;0,ROUND($G21,2),"")</f>
        <v/>
      </c>
      <c r="I21" s="49" t="str">
        <f aca="false">IF(ROUND($G21,2)&lt;0,-ROUND($G21,2),"")</f>
        <v/>
      </c>
      <c r="J21" s="20" t="n">
        <f aca="false">IF(ROUND($G21,2)=0,0,1)</f>
        <v>0</v>
      </c>
      <c r="K21" s="20" t="str">
        <f aca="false">IF($J21=0,"",SUM($J$17:$J21))</f>
        <v/>
      </c>
      <c r="L21" s="20" t="str">
        <f aca="false">IF($K21="","",$A21*100+$K21)</f>
        <v/>
      </c>
      <c r="M21" s="48" t="str">
        <f aca="false">参数!$B$4</f>
        <v>回款</v>
      </c>
    </row>
    <row r="22" customFormat="false" ht="13.5" hidden="false" customHeight="false" outlineLevel="0" collapsed="false">
      <c r="A22" s="47" t="n">
        <v>2</v>
      </c>
      <c r="B22" s="38" t="n">
        <f aca="false">助手回款!$B3</f>
        <v>2002</v>
      </c>
      <c r="C22" s="48" t="str">
        <f aca="false">助手回款!$C3</f>
        <v>新隆店</v>
      </c>
      <c r="D22" s="48" t="str">
        <f aca="false">科目对照回款!$B7&amp;""</f>
        <v>饿了么</v>
      </c>
      <c r="E22" s="48" t="str">
        <f aca="false">科目对照回款!$C7&amp;""</f>
        <v>应收账款</v>
      </c>
      <c r="F22" s="48" t="str">
        <f aca="false">科目对照回款!$D7&amp;""</f>
        <v>饿了么</v>
      </c>
      <c r="G22" s="49" t="n">
        <f aca="false">-ROUND(IF(科目对照回款!$F$7="",0,SUMIFS(输入回款!$C:$C,输入回款!$A:$A,助手回款!$X3,输入回款!$B:$B,科目对照回款!$F$7)+SUMIFS(输入回款!$D:$D,输入回款!$A:$A,助手回款!$X3,输入回款!$B:$B,科目对照回款!$F$7))+IF(科目对照回款!$G$7="",0,SUMIFS(输入回款!$C:$C,输入回款!$A:$A,助手回款!$X3,输入回款!$B:$B,科目对照回款!$G$7)+SUMIFS(输入回款!$D:$D,输入回款!$A:$A,助手回款!$X3,输入回款!$B:$B,科目对照回款!$G$7))+IF(科目对照回款!$H$7="",0,SUMIFS(输入回款!$C:$C,输入回款!$A:$A,助手回款!$X3,输入回款!$B:$B,科目对照回款!$H$7)+SUMIFS(输入回款!$D:$D,输入回款!$A:$A,助手回款!$X3,输入回款!$B:$B,科目对照回款!$H$7)),2)</f>
        <v>-0</v>
      </c>
      <c r="H22" s="49" t="str">
        <f aca="false">IF(ROUND($G22,2)&gt;0,ROUND($G22,2),"")</f>
        <v/>
      </c>
      <c r="I22" s="49" t="str">
        <f aca="false">IF(ROUND($G22,2)&lt;0,-ROUND($G22,2),"")</f>
        <v/>
      </c>
      <c r="J22" s="20" t="n">
        <f aca="false">IF(ROUND($G22,2)=0,0,1)</f>
        <v>0</v>
      </c>
      <c r="K22" s="20" t="str">
        <f aca="false">IF($J22=0,"",SUM($J$17:$J22))</f>
        <v/>
      </c>
      <c r="L22" s="20" t="str">
        <f aca="false">IF($K22="","",$A22*100+$K22)</f>
        <v/>
      </c>
      <c r="M22" s="48" t="str">
        <f aca="false">参数!$B$4</f>
        <v>回款</v>
      </c>
    </row>
    <row r="23" customFormat="false" ht="13.5" hidden="false" customHeight="false" outlineLevel="0" collapsed="false">
      <c r="A23" s="47" t="n">
        <v>2</v>
      </c>
      <c r="B23" s="38" t="n">
        <f aca="false">助手回款!$B3</f>
        <v>2002</v>
      </c>
      <c r="C23" s="48" t="str">
        <f aca="false">助手回款!$C3</f>
        <v>新隆店</v>
      </c>
      <c r="D23" s="48" t="str">
        <f aca="false">科目对照回款!$B8&amp;""</f>
        <v>24小时</v>
      </c>
      <c r="E23" s="48" t="str">
        <f aca="false">科目对照回款!$C8&amp;""</f>
        <v>应收账款</v>
      </c>
      <c r="F23" s="48" t="str">
        <f aca="false">科目对照回款!$D8&amp;""</f>
        <v>24小时</v>
      </c>
      <c r="G23" s="49" t="n">
        <f aca="false">-ROUND(IF(科目对照回款!$F$8="",0,SUMIFS(输入回款!$C:$C,输入回款!$A:$A,助手回款!$X3,输入回款!$B:$B,科目对照回款!$F$8)+SUMIFS(输入回款!$D:$D,输入回款!$A:$A,助手回款!$X3,输入回款!$B:$B,科目对照回款!$F$8))+IF(科目对照回款!$G$8="",0,SUMIFS(输入回款!$C:$C,输入回款!$A:$A,助手回款!$X3,输入回款!$B:$B,科目对照回款!$G$8)+SUMIFS(输入回款!$D:$D,输入回款!$A:$A,助手回款!$X3,输入回款!$B:$B,科目对照回款!$G$8))+IF(科目对照回款!$H$8="",0,SUMIFS(输入回款!$C:$C,输入回款!$A:$A,助手回款!$X3,输入回款!$B:$B,科目对照回款!$H$8)+SUMIFS(输入回款!$D:$D,输入回款!$A:$A,助手回款!$X3,输入回款!$B:$B,科目对照回款!$H$8)),2)</f>
        <v>-0</v>
      </c>
      <c r="H23" s="49" t="str">
        <f aca="false">IF(ROUND($G23,2)&gt;0,ROUND($G23,2),"")</f>
        <v/>
      </c>
      <c r="I23" s="49" t="str">
        <f aca="false">IF(ROUND($G23,2)&lt;0,-ROUND($G23,2),"")</f>
        <v/>
      </c>
      <c r="J23" s="20" t="n">
        <f aca="false">IF(ROUND($G23,2)=0,0,1)</f>
        <v>0</v>
      </c>
      <c r="K23" s="20" t="str">
        <f aca="false">IF($J23=0,"",SUM($J$17:$J23))</f>
        <v/>
      </c>
      <c r="L23" s="20" t="str">
        <f aca="false">IF($K23="","",$A23*100+$K23)</f>
        <v/>
      </c>
      <c r="M23" s="48" t="str">
        <f aca="false">参数!$B$4</f>
        <v>回款</v>
      </c>
    </row>
    <row r="24" customFormat="false" ht="13.5" hidden="false" customHeight="false" outlineLevel="0" collapsed="false">
      <c r="A24" s="47" t="n">
        <v>2</v>
      </c>
      <c r="B24" s="38" t="n">
        <f aca="false">助手回款!$B3</f>
        <v>2002</v>
      </c>
      <c r="C24" s="48" t="str">
        <f aca="false">助手回款!$C3</f>
        <v>新隆店</v>
      </c>
      <c r="D24" s="48" t="str">
        <f aca="false">科目对照回款!$B9&amp;""</f>
        <v>健E卡</v>
      </c>
      <c r="E24" s="48" t="str">
        <f aca="false">科目对照回款!$C9&amp;""</f>
        <v>应收账款</v>
      </c>
      <c r="F24" s="48" t="str">
        <f aca="false">科目对照回款!$D9&amp;""</f>
        <v>健E卡</v>
      </c>
      <c r="G24" s="49" t="n">
        <f aca="false">-ROUND(IF(科目对照回款!$F$9="",0,SUMIFS(输入回款!$C:$C,输入回款!$A:$A,助手回款!$X3,输入回款!$B:$B,科目对照回款!$F$9)+SUMIFS(输入回款!$D:$D,输入回款!$A:$A,助手回款!$X3,输入回款!$B:$B,科目对照回款!$F$9))+IF(科目对照回款!$G$9="",0,SUMIFS(输入回款!$C:$C,输入回款!$A:$A,助手回款!$X3,输入回款!$B:$B,科目对照回款!$G$9)+SUMIFS(输入回款!$D:$D,输入回款!$A:$A,助手回款!$X3,输入回款!$B:$B,科目对照回款!$G$9))+IF(科目对照回款!$H$9="",0,SUMIFS(输入回款!$C:$C,输入回款!$A:$A,助手回款!$X3,输入回款!$B:$B,科目对照回款!$H$9)+SUMIFS(输入回款!$D:$D,输入回款!$A:$A,助手回款!$X3,输入回款!$B:$B,科目对照回款!$H$9)),2)</f>
        <v>-0</v>
      </c>
      <c r="H24" s="49" t="str">
        <f aca="false">IF(ROUND($G24,2)&gt;0,ROUND($G24,2),"")</f>
        <v/>
      </c>
      <c r="I24" s="49" t="str">
        <f aca="false">IF(ROUND($G24,2)&lt;0,-ROUND($G24,2),"")</f>
        <v/>
      </c>
      <c r="J24" s="20" t="n">
        <f aca="false">IF(ROUND($G24,2)=0,0,1)</f>
        <v>0</v>
      </c>
      <c r="K24" s="20" t="str">
        <f aca="false">IF($J24=0,"",SUM($J$17:$J24))</f>
        <v/>
      </c>
      <c r="L24" s="20" t="str">
        <f aca="false">IF($K24="","",$A24*100+$K24)</f>
        <v/>
      </c>
      <c r="M24" s="48" t="str">
        <f aca="false">参数!$B$4</f>
        <v>回款</v>
      </c>
    </row>
    <row r="25" customFormat="false" ht="13.5" hidden="false" customHeight="false" outlineLevel="0" collapsed="false">
      <c r="A25" s="47" t="n">
        <v>2</v>
      </c>
      <c r="B25" s="38" t="n">
        <f aca="false">助手回款!$B3</f>
        <v>2002</v>
      </c>
      <c r="C25" s="48" t="str">
        <f aca="false">助手回款!$C3</f>
        <v>新隆店</v>
      </c>
      <c r="D25" s="48" t="str">
        <f aca="false">科目对照回款!$B10&amp;""</f>
        <v>医卡通</v>
      </c>
      <c r="E25" s="48" t="str">
        <f aca="false">科目对照回款!$C10&amp;""</f>
        <v>应收账款</v>
      </c>
      <c r="F25" s="48" t="str">
        <f aca="false">科目对照回款!$D10&amp;""</f>
        <v>医卡通</v>
      </c>
      <c r="G25" s="49" t="n">
        <f aca="false">-ROUND(IF(科目对照回款!$F$10="",0,SUMIFS(输入回款!$C:$C,输入回款!$A:$A,助手回款!$X3,输入回款!$B:$B,科目对照回款!$F$10)+SUMIFS(输入回款!$D:$D,输入回款!$A:$A,助手回款!$X3,输入回款!$B:$B,科目对照回款!$F$10))+IF(科目对照回款!$G$10="",0,SUMIFS(输入回款!$C:$C,输入回款!$A:$A,助手回款!$X3,输入回款!$B:$B,科目对照回款!$G$10)+SUMIFS(输入回款!$D:$D,输入回款!$A:$A,助手回款!$X3,输入回款!$B:$B,科目对照回款!$G$10))+IF(科目对照回款!$H$10="",0,SUMIFS(输入回款!$C:$C,输入回款!$A:$A,助手回款!$X3,输入回款!$B:$B,科目对照回款!$H$10)+SUMIFS(输入回款!$D:$D,输入回款!$A:$A,助手回款!$X3,输入回款!$B:$B,科目对照回款!$H$10)),2)</f>
        <v>-0</v>
      </c>
      <c r="H25" s="49" t="str">
        <f aca="false">IF(ROUND($G25,2)&gt;0,ROUND($G25,2),"")</f>
        <v/>
      </c>
      <c r="I25" s="49" t="str">
        <f aca="false">IF(ROUND($G25,2)&lt;0,-ROUND($G25,2),"")</f>
        <v/>
      </c>
      <c r="J25" s="20" t="n">
        <f aca="false">IF(ROUND($G25,2)=0,0,1)</f>
        <v>0</v>
      </c>
      <c r="K25" s="20" t="str">
        <f aca="false">IF($J25=0,"",SUM($J$17:$J25))</f>
        <v/>
      </c>
      <c r="L25" s="20" t="str">
        <f aca="false">IF($K25="","",$A25*100+$K25)</f>
        <v/>
      </c>
      <c r="M25" s="48" t="str">
        <f aca="false">参数!$B$4</f>
        <v>回款</v>
      </c>
    </row>
    <row r="26" customFormat="false" ht="13.5" hidden="false" customHeight="false" outlineLevel="0" collapsed="false">
      <c r="A26" s="47" t="n">
        <v>2</v>
      </c>
      <c r="B26" s="38" t="n">
        <f aca="false">助手回款!$B3</f>
        <v>2002</v>
      </c>
      <c r="C26" s="48" t="str">
        <f aca="false">助手回款!$C3</f>
        <v>新隆店</v>
      </c>
      <c r="D26" s="48" t="str">
        <f aca="false">科目对照回款!$B11&amp;""</f>
        <v>企健网</v>
      </c>
      <c r="E26" s="48" t="str">
        <f aca="false">科目对照回款!$C11&amp;""</f>
        <v>应收账款</v>
      </c>
      <c r="F26" s="48" t="str">
        <f aca="false">科目对照回款!$D11&amp;""</f>
        <v>企健网</v>
      </c>
      <c r="G26" s="49" t="n">
        <f aca="false">-ROUND(IF(科目对照回款!$F$11="",0,SUMIFS(输入回款!$C:$C,输入回款!$A:$A,助手回款!$X3,输入回款!$B:$B,科目对照回款!$F$11)+SUMIFS(输入回款!$D:$D,输入回款!$A:$A,助手回款!$X3,输入回款!$B:$B,科目对照回款!$F$11))+IF(科目对照回款!$G$11="",0,SUMIFS(输入回款!$C:$C,输入回款!$A:$A,助手回款!$X3,输入回款!$B:$B,科目对照回款!$G$11)+SUMIFS(输入回款!$D:$D,输入回款!$A:$A,助手回款!$X3,输入回款!$B:$B,科目对照回款!$G$11))+IF(科目对照回款!$H$11="",0,SUMIFS(输入回款!$C:$C,输入回款!$A:$A,助手回款!$X3,输入回款!$B:$B,科目对照回款!$H$11)+SUMIFS(输入回款!$D:$D,输入回款!$A:$A,助手回款!$X3,输入回款!$B:$B,科目对照回款!$H$11)),2)</f>
        <v>-0</v>
      </c>
      <c r="H26" s="49" t="str">
        <f aca="false">IF(ROUND($G26,2)&gt;0,ROUND($G26,2),"")</f>
        <v/>
      </c>
      <c r="I26" s="49" t="str">
        <f aca="false">IF(ROUND($G26,2)&lt;0,-ROUND($G26,2),"")</f>
        <v/>
      </c>
      <c r="J26" s="20" t="n">
        <f aca="false">IF(ROUND($G26,2)=0,0,1)</f>
        <v>0</v>
      </c>
      <c r="K26" s="20" t="str">
        <f aca="false">IF($J26=0,"",SUM($J$17:$J26))</f>
        <v/>
      </c>
      <c r="L26" s="20" t="str">
        <f aca="false">IF($K26="","",$A26*100+$K26)</f>
        <v/>
      </c>
      <c r="M26" s="48" t="str">
        <f aca="false">参数!$B$4</f>
        <v>回款</v>
      </c>
    </row>
    <row r="27" customFormat="false" ht="13.5" hidden="false" customHeight="false" outlineLevel="0" collapsed="false">
      <c r="A27" s="47" t="n">
        <v>2</v>
      </c>
      <c r="B27" s="38" t="n">
        <f aca="false">助手回款!$B3</f>
        <v>2002</v>
      </c>
      <c r="C27" s="48" t="str">
        <f aca="false">助手回款!$C3</f>
        <v>新隆店</v>
      </c>
      <c r="D27" s="48" t="str">
        <f aca="false">科目对照回款!$B12&amp;""</f>
        <v>亲情卡</v>
      </c>
      <c r="E27" s="48" t="str">
        <f aca="false">科目对照回款!$C12&amp;""</f>
        <v>应收账款</v>
      </c>
      <c r="F27" s="48" t="str">
        <f aca="false">科目对照回款!$D12&amp;""</f>
        <v>亲情卡</v>
      </c>
      <c r="G27" s="49" t="n">
        <f aca="false">-ROUND(IF(科目对照回款!$F$12="",0,SUMIFS(输入回款!$C:$C,输入回款!$A:$A,助手回款!$X3,输入回款!$B:$B,科目对照回款!$F$12)+SUMIFS(输入回款!$D:$D,输入回款!$A:$A,助手回款!$X3,输入回款!$B:$B,科目对照回款!$F$12))+IF(科目对照回款!$G$12="",0,SUMIFS(输入回款!$C:$C,输入回款!$A:$A,助手回款!$X3,输入回款!$B:$B,科目对照回款!$G$12)+SUMIFS(输入回款!$D:$D,输入回款!$A:$A,助手回款!$X3,输入回款!$B:$B,科目对照回款!$G$12))+IF(科目对照回款!$H$12="",0,SUMIFS(输入回款!$C:$C,输入回款!$A:$A,助手回款!$X3,输入回款!$B:$B,科目对照回款!$H$12)+SUMIFS(输入回款!$D:$D,输入回款!$A:$A,助手回款!$X3,输入回款!$B:$B,科目对照回款!$H$12)),2)</f>
        <v>-0</v>
      </c>
      <c r="H27" s="49" t="str">
        <f aca="false">IF(ROUND($G27,2)&gt;0,ROUND($G27,2),"")</f>
        <v/>
      </c>
      <c r="I27" s="49" t="str">
        <f aca="false">IF(ROUND($G27,2)&lt;0,-ROUND($G27,2),"")</f>
        <v/>
      </c>
      <c r="J27" s="20" t="n">
        <f aca="false">IF(ROUND($G27,2)=0,0,1)</f>
        <v>0</v>
      </c>
      <c r="K27" s="20" t="str">
        <f aca="false">IF($J27=0,"",SUM($J$17:$J27))</f>
        <v/>
      </c>
      <c r="L27" s="20" t="str">
        <f aca="false">IF($K27="","",$A27*100+$K27)</f>
        <v/>
      </c>
      <c r="M27" s="48" t="str">
        <f aca="false">参数!$B$4</f>
        <v>回款</v>
      </c>
    </row>
    <row r="28" customFormat="false" ht="13.5" hidden="false" customHeight="false" outlineLevel="0" collapsed="false">
      <c r="A28" s="47" t="n">
        <v>2</v>
      </c>
      <c r="B28" s="38" t="n">
        <f aca="false">助手回款!$B3</f>
        <v>2002</v>
      </c>
      <c r="C28" s="48" t="str">
        <f aca="false">助手回款!$C3</f>
        <v>新隆店</v>
      </c>
      <c r="D28" s="48" t="str">
        <f aca="false">科目对照回款!$B13&amp;""</f>
        <v>银联</v>
      </c>
      <c r="E28" s="48" t="str">
        <f aca="false">科目对照回款!$C13&amp;""</f>
        <v>应收账款</v>
      </c>
      <c r="F28" s="48" t="str">
        <f aca="false">科目对照回款!$D13&amp;""</f>
        <v>银联</v>
      </c>
      <c r="G28" s="49" t="n">
        <f aca="false">-ROUND(IF(科目对照回款!$F$13="",0,SUMIFS(输入回款!$C:$C,输入回款!$A:$A,助手回款!$X3,输入回款!$B:$B,科目对照回款!$F$13)+SUMIFS(输入回款!$D:$D,输入回款!$A:$A,助手回款!$X3,输入回款!$B:$B,科目对照回款!$F$13))+IF(科目对照回款!$G$13="",0,SUMIFS(输入回款!$C:$C,输入回款!$A:$A,助手回款!$X3,输入回款!$B:$B,科目对照回款!$G$13)+SUMIFS(输入回款!$D:$D,输入回款!$A:$A,助手回款!$X3,输入回款!$B:$B,科目对照回款!$G$13))+IF(科目对照回款!$H$13="",0,SUMIFS(输入回款!$C:$C,输入回款!$A:$A,助手回款!$X3,输入回款!$B:$B,科目对照回款!$H$13)+SUMIFS(输入回款!$D:$D,输入回款!$A:$A,助手回款!$X3,输入回款!$B:$B,科目对照回款!$H$13)),2)</f>
        <v>-0</v>
      </c>
      <c r="H28" s="49" t="str">
        <f aca="false">IF(ROUND($G28,2)&gt;0,ROUND($G28,2),"")</f>
        <v/>
      </c>
      <c r="I28" s="49" t="str">
        <f aca="false">IF(ROUND($G28,2)&lt;0,-ROUND($G28,2),"")</f>
        <v/>
      </c>
      <c r="J28" s="20" t="n">
        <f aca="false">IF(ROUND($G28,2)=0,0,1)</f>
        <v>0</v>
      </c>
      <c r="K28" s="20" t="str">
        <f aca="false">IF($J28=0,"",SUM($J$17:$J28))</f>
        <v/>
      </c>
      <c r="L28" s="20" t="str">
        <f aca="false">IF($K28="","",$A28*100+$K28)</f>
        <v/>
      </c>
      <c r="M28" s="48" t="str">
        <f aca="false">参数!$B$4</f>
        <v>回款</v>
      </c>
    </row>
    <row r="29" customFormat="false" ht="13.5" hidden="false" customHeight="false" outlineLevel="0" collapsed="false">
      <c r="A29" s="47" t="n">
        <v>2</v>
      </c>
      <c r="B29" s="38" t="n">
        <f aca="false">助手回款!$B3</f>
        <v>2002</v>
      </c>
      <c r="C29" s="48" t="str">
        <f aca="false">助手回款!$C3</f>
        <v>新隆店</v>
      </c>
      <c r="D29" s="48" t="str">
        <f aca="false">科目对照回款!$B14&amp;""</f>
        <v>代金券</v>
      </c>
      <c r="E29" s="48" t="str">
        <f aca="false">科目对照回款!$C14&amp;""</f>
        <v>应收账款</v>
      </c>
      <c r="F29" s="48" t="str">
        <f aca="false">科目对照回款!$D14&amp;""</f>
        <v>代金券</v>
      </c>
      <c r="G29" s="49" t="n">
        <f aca="false">-ROUND(IF(科目对照回款!$F$14="",0,SUMIFS(输入回款!$C:$C,输入回款!$A:$A,助手回款!$X3,输入回款!$B:$B,科目对照回款!$F$14)+SUMIFS(输入回款!$D:$D,输入回款!$A:$A,助手回款!$X3,输入回款!$B:$B,科目对照回款!$F$14))+IF(科目对照回款!$G$14="",0,SUMIFS(输入回款!$C:$C,输入回款!$A:$A,助手回款!$X3,输入回款!$B:$B,科目对照回款!$G$14)+SUMIFS(输入回款!$D:$D,输入回款!$A:$A,助手回款!$X3,输入回款!$B:$B,科目对照回款!$G$14))+IF(科目对照回款!$H$14="",0,SUMIFS(输入回款!$C:$C,输入回款!$A:$A,助手回款!$X3,输入回款!$B:$B,科目对照回款!$H$14)+SUMIFS(输入回款!$D:$D,输入回款!$A:$A,助手回款!$X3,输入回款!$B:$B,科目对照回款!$H$14)),2)</f>
        <v>-0</v>
      </c>
      <c r="H29" s="49" t="str">
        <f aca="false">IF(ROUND($G29,2)&gt;0,ROUND($G29,2),"")</f>
        <v/>
      </c>
      <c r="I29" s="49" t="str">
        <f aca="false">IF(ROUND($G29,2)&lt;0,-ROUND($G29,2),"")</f>
        <v/>
      </c>
      <c r="J29" s="20" t="n">
        <f aca="false">IF(ROUND($G29,2)=0,0,1)</f>
        <v>0</v>
      </c>
      <c r="K29" s="20" t="str">
        <f aca="false">IF($J29=0,"",SUM($J$17:$J29))</f>
        <v/>
      </c>
      <c r="L29" s="20" t="str">
        <f aca="false">IF($K29="","",$A29*100+$K29)</f>
        <v/>
      </c>
      <c r="M29" s="48" t="str">
        <f aca="false">参数!$B$4</f>
        <v>回款</v>
      </c>
    </row>
    <row r="30" customFormat="false" ht="13.5" hidden="false" customHeight="false" outlineLevel="0" collapsed="false">
      <c r="A30" s="47" t="n">
        <v>2</v>
      </c>
      <c r="B30" s="38" t="n">
        <f aca="false">助手回款!$B3</f>
        <v>2002</v>
      </c>
      <c r="C30" s="48" t="str">
        <f aca="false">助手回款!$C3</f>
        <v>新隆店</v>
      </c>
      <c r="D30" s="48" t="str">
        <f aca="false">科目对照回款!$B15&amp;""</f>
        <v>药机微信</v>
      </c>
      <c r="E30" s="48" t="str">
        <f aca="false">科目对照回款!$C15&amp;""</f>
        <v>应收账款</v>
      </c>
      <c r="F30" s="48" t="str">
        <f aca="false">科目对照回款!$D15&amp;""</f>
        <v>药机微信</v>
      </c>
      <c r="G30" s="49" t="n">
        <f aca="false">-ROUND(IF(科目对照回款!$F$15="",0,SUMIFS(输入回款!$C:$C,输入回款!$A:$A,助手回款!$X3,输入回款!$B:$B,科目对照回款!$F$15)+SUMIFS(输入回款!$D:$D,输入回款!$A:$A,助手回款!$X3,输入回款!$B:$B,科目对照回款!$F$15))+IF(科目对照回款!$G$15="",0,SUMIFS(输入回款!$C:$C,输入回款!$A:$A,助手回款!$X3,输入回款!$B:$B,科目对照回款!$G$15)+SUMIFS(输入回款!$D:$D,输入回款!$A:$A,助手回款!$X3,输入回款!$B:$B,科目对照回款!$G$15))+IF(科目对照回款!$H$15="",0,SUMIFS(输入回款!$C:$C,输入回款!$A:$A,助手回款!$X3,输入回款!$B:$B,科目对照回款!$H$15)+SUMIFS(输入回款!$D:$D,输入回款!$A:$A,助手回款!$X3,输入回款!$B:$B,科目对照回款!$H$15)),2)</f>
        <v>-0</v>
      </c>
      <c r="H30" s="49" t="str">
        <f aca="false">IF(ROUND($G30,2)&gt;0,ROUND($G30,2),"")</f>
        <v/>
      </c>
      <c r="I30" s="49" t="str">
        <f aca="false">IF(ROUND($G30,2)&lt;0,-ROUND($G30,2),"")</f>
        <v/>
      </c>
      <c r="J30" s="20" t="n">
        <f aca="false">IF(ROUND($G30,2)=0,0,1)</f>
        <v>0</v>
      </c>
      <c r="K30" s="20" t="str">
        <f aca="false">IF($J30=0,"",SUM($J$17:$J30))</f>
        <v/>
      </c>
      <c r="L30" s="20" t="str">
        <f aca="false">IF($K30="","",$A30*100+$K30)</f>
        <v/>
      </c>
      <c r="M30" s="48" t="str">
        <f aca="false">参数!$B$4</f>
        <v>回款</v>
      </c>
    </row>
    <row r="31" customFormat="false" ht="13.5" hidden="false" customHeight="false" outlineLevel="0" collapsed="false">
      <c r="A31" s="47" t="n">
        <v>2</v>
      </c>
      <c r="B31" s="38" t="n">
        <f aca="false">助手回款!$B3</f>
        <v>2002</v>
      </c>
      <c r="C31" s="48" t="str">
        <f aca="false">助手回款!$C3</f>
        <v>新隆店</v>
      </c>
      <c r="D31" s="48" t="str">
        <f aca="false">科目对照回款!$B16&amp;""</f>
        <v>储值卡</v>
      </c>
      <c r="E31" s="48" t="str">
        <f aca="false">科目对照回款!$C16&amp;""</f>
        <v>其他应收款</v>
      </c>
      <c r="F31" s="48" t="str">
        <f aca="false">科目对照回款!$D16&amp;""</f>
        <v>储值卡</v>
      </c>
      <c r="G31" s="49" t="n">
        <f aca="false">-ROUND(IF(科目对照回款!$F$16="",0,SUMIFS(输入回款!$C:$C,输入回款!$A:$A,助手回款!$X3,输入回款!$B:$B,科目对照回款!$F$16)+SUMIFS(输入回款!$D:$D,输入回款!$A:$A,助手回款!$X3,输入回款!$B:$B,科目对照回款!$F$16))+IF(科目对照回款!$G$16="",0,SUMIFS(输入回款!$C:$C,输入回款!$A:$A,助手回款!$X3,输入回款!$B:$B,科目对照回款!$G$16)+SUMIFS(输入回款!$D:$D,输入回款!$A:$A,助手回款!$X3,输入回款!$B:$B,科目对照回款!$G$16))+IF(科目对照回款!$H$16="",0,SUMIFS(输入回款!$C:$C,输入回款!$A:$A,助手回款!$X3,输入回款!$B:$B,科目对照回款!$H$16)+SUMIFS(输入回款!$D:$D,输入回款!$A:$A,助手回款!$X3,输入回款!$B:$B,科目对照回款!$H$16)),2)</f>
        <v>-0</v>
      </c>
      <c r="H31" s="49" t="str">
        <f aca="false">IF(ROUND($G31,2)&gt;0,ROUND($G31,2),"")</f>
        <v/>
      </c>
      <c r="I31" s="49" t="str">
        <f aca="false">IF(ROUND($G31,2)&lt;0,-ROUND($G31,2),"")</f>
        <v/>
      </c>
      <c r="J31" s="20" t="n">
        <f aca="false">IF(ROUND($G31,2)=0,0,1)</f>
        <v>0</v>
      </c>
      <c r="K31" s="20" t="str">
        <f aca="false">IF($J31=0,"",SUM($J$17:$J31))</f>
        <v/>
      </c>
      <c r="L31" s="20" t="str">
        <f aca="false">IF($K31="","",$A31*100+$K31)</f>
        <v/>
      </c>
      <c r="M31" s="48" t="str">
        <f aca="false">参数!$B$4</f>
        <v>回款</v>
      </c>
    </row>
    <row r="32" customFormat="false" ht="13.5" hidden="false" customHeight="false" outlineLevel="0" collapsed="false">
      <c r="A32" s="47" t="n">
        <v>3</v>
      </c>
      <c r="B32" s="38" t="n">
        <f aca="false">助手回款!$B4</f>
        <v>2003</v>
      </c>
      <c r="C32" s="48" t="str">
        <f aca="false">助手回款!$C4</f>
        <v>康庄路店</v>
      </c>
      <c r="D32" s="48" t="str">
        <f aca="false">科目对照回款!$B2&amp;""</f>
        <v>库存现金</v>
      </c>
      <c r="E32" s="48" t="str">
        <f aca="false">科目对照回款!$C2&amp;""</f>
        <v>库存现金</v>
      </c>
      <c r="F32" s="48" t="str">
        <f aca="false">科目对照回款!$D2&amp;""</f>
        <v/>
      </c>
      <c r="G32" s="49" t="n">
        <f aca="false">助手回款!$E4</f>
        <v>156113.63</v>
      </c>
      <c r="H32" s="49" t="n">
        <f aca="false">IF(ROUND($G32,2)&gt;0,ROUND($G32,2),"")</f>
        <v>156113.63</v>
      </c>
      <c r="I32" s="49" t="str">
        <f aca="false">IF(ROUND($G32,2)&lt;0,-ROUND($G32,2),"")</f>
        <v/>
      </c>
      <c r="J32" s="20" t="n">
        <f aca="false">IF(ROUND($G32,2)=0,0,1)</f>
        <v>1</v>
      </c>
      <c r="K32" s="20" t="n">
        <f aca="false">IF($J32=0,"",SUM($J$32:$J32))</f>
        <v>1</v>
      </c>
      <c r="L32" s="20" t="n">
        <f aca="false">IF($K32="","",$A32*100+$K32)</f>
        <v>301</v>
      </c>
      <c r="M32" s="48" t="str">
        <f aca="false">参数!$B$4</f>
        <v>回款</v>
      </c>
    </row>
    <row r="33" customFormat="false" ht="13.5" hidden="false" customHeight="false" outlineLevel="0" collapsed="false">
      <c r="A33" s="47" t="n">
        <v>3</v>
      </c>
      <c r="B33" s="38" t="n">
        <f aca="false">助手回款!$B4</f>
        <v>2003</v>
      </c>
      <c r="C33" s="48" t="str">
        <f aca="false">助手回款!$C4</f>
        <v>康庄路店</v>
      </c>
      <c r="D33" s="48" t="str">
        <f aca="false">科目对照回款!$B3&amp;""</f>
        <v>手续费</v>
      </c>
      <c r="E33" s="48" t="str">
        <f aca="false">科目对照回款!$C3&amp;""</f>
        <v>财务费用</v>
      </c>
      <c r="F33" s="48" t="str">
        <f aca="false">科目对照回款!$D3&amp;""</f>
        <v>手续费</v>
      </c>
      <c r="G33" s="49" t="n">
        <f aca="false">助手回款!$F4</f>
        <v>81.68</v>
      </c>
      <c r="H33" s="49" t="n">
        <f aca="false">IF(ROUND($G33,2)&gt;0,ROUND($G33,2),"")</f>
        <v>81.68</v>
      </c>
      <c r="I33" s="49" t="str">
        <f aca="false">IF(ROUND($G33,2)&lt;0,-ROUND($G33,2),"")</f>
        <v/>
      </c>
      <c r="J33" s="20" t="n">
        <f aca="false">IF(ROUND($G33,2)=0,0,1)</f>
        <v>1</v>
      </c>
      <c r="K33" s="20" t="n">
        <f aca="false">IF($J33=0,"",SUM($J$32:$J33))</f>
        <v>2</v>
      </c>
      <c r="L33" s="20" t="n">
        <f aca="false">IF($K33="","",$A33*100+$K33)</f>
        <v>302</v>
      </c>
      <c r="M33" s="48" t="str">
        <f aca="false">参数!$B$4</f>
        <v>回款</v>
      </c>
    </row>
    <row r="34" customFormat="false" ht="13.5" hidden="false" customHeight="false" outlineLevel="0" collapsed="false">
      <c r="A34" s="47" t="n">
        <v>3</v>
      </c>
      <c r="B34" s="38" t="n">
        <f aca="false">助手回款!$B4</f>
        <v>2003</v>
      </c>
      <c r="C34" s="48" t="str">
        <f aca="false">助手回款!$C4</f>
        <v>康庄路店</v>
      </c>
      <c r="D34" s="48" t="str">
        <f aca="false">科目对照回款!$B4&amp;""</f>
        <v>聚合支付</v>
      </c>
      <c r="E34" s="48" t="str">
        <f aca="false">科目对照回款!$C4&amp;""</f>
        <v>应收账款</v>
      </c>
      <c r="F34" s="48" t="str">
        <f aca="false">科目对照回款!$D4&amp;""</f>
        <v>聚合支付</v>
      </c>
      <c r="G34" s="49" t="n">
        <f aca="false">-ROUND(IF(科目对照回款!$F$4="",0,SUMIFS(输入回款!$C:$C,输入回款!$A:$A,助手回款!$X4,输入回款!$B:$B,科目对照回款!$F$4)+SUMIFS(输入回款!$D:$D,输入回款!$A:$A,助手回款!$X4,输入回款!$B:$B,科目对照回款!$F$4))+IF(科目对照回款!$G$4="",0,SUMIFS(输入回款!$C:$C,输入回款!$A:$A,助手回款!$X4,输入回款!$B:$B,科目对照回款!$G$4)+SUMIFS(输入回款!$D:$D,输入回款!$A:$A,助手回款!$X4,输入回款!$B:$B,科目对照回款!$G$4))+IF(科目对照回款!$H$4="",0,SUMIFS(输入回款!$C:$C,输入回款!$A:$A,助手回款!$X4,输入回款!$B:$B,科目对照回款!$H$4)+SUMIFS(输入回款!$D:$D,输入回款!$A:$A,助手回款!$X4,输入回款!$B:$B,科目对照回款!$H$4)),2)</f>
        <v>-7997.23</v>
      </c>
      <c r="H34" s="49" t="str">
        <f aca="false">IF(ROUND($G34,2)&gt;0,ROUND($G34,2),"")</f>
        <v/>
      </c>
      <c r="I34" s="49" t="n">
        <f aca="false">IF(ROUND($G34,2)&lt;0,-ROUND($G34,2),"")</f>
        <v>7997.23</v>
      </c>
      <c r="J34" s="20" t="n">
        <f aca="false">IF(ROUND($G34,2)=0,0,1)</f>
        <v>1</v>
      </c>
      <c r="K34" s="20" t="n">
        <f aca="false">IF($J34=0,"",SUM($J$32:$J34))</f>
        <v>3</v>
      </c>
      <c r="L34" s="20" t="n">
        <f aca="false">IF($K34="","",$A34*100+$K34)</f>
        <v>303</v>
      </c>
      <c r="M34" s="48" t="str">
        <f aca="false">参数!$B$4</f>
        <v>回款</v>
      </c>
    </row>
    <row r="35" customFormat="false" ht="13.5" hidden="false" customHeight="false" outlineLevel="0" collapsed="false">
      <c r="A35" s="47" t="n">
        <v>3</v>
      </c>
      <c r="B35" s="38" t="n">
        <f aca="false">助手回款!$B4</f>
        <v>2003</v>
      </c>
      <c r="C35" s="48" t="str">
        <f aca="false">助手回款!$C4</f>
        <v>康庄路店</v>
      </c>
      <c r="D35" s="48" t="str">
        <f aca="false">科目对照回款!$B5&amp;""</f>
        <v>医保</v>
      </c>
      <c r="E35" s="48" t="str">
        <f aca="false">科目对照回款!$C5&amp;""</f>
        <v>应收账款</v>
      </c>
      <c r="F35" s="48" t="str">
        <f aca="false">科目对照回款!$D5&amp;""</f>
        <v>医保</v>
      </c>
      <c r="G35" s="49" t="n">
        <f aca="false">-ROUND(IF(科目对照回款!$F$5="",0,SUMIFS(输入回款!$C:$C,输入回款!$A:$A,助手回款!$X4,输入回款!$B:$B,科目对照回款!$F$5)+SUMIFS(输入回款!$D:$D,输入回款!$A:$A,助手回款!$X4,输入回款!$B:$B,科目对照回款!$F$5))+IF(科目对照回款!$G$5="",0,SUMIFS(输入回款!$C:$C,输入回款!$A:$A,助手回款!$X4,输入回款!$B:$B,科目对照回款!$G$5)+SUMIFS(输入回款!$D:$D,输入回款!$A:$A,助手回款!$X4,输入回款!$B:$B,科目对照回款!$G$5))+IF(科目对照回款!$H$5="",0,SUMIFS(输入回款!$C:$C,输入回款!$A:$A,助手回款!$X4,输入回款!$B:$B,科目对照回款!$H$5)+SUMIFS(输入回款!$D:$D,输入回款!$A:$A,助手回款!$X4,输入回款!$B:$B,科目对照回款!$H$5)),2)</f>
        <v>-29213.06</v>
      </c>
      <c r="H35" s="49" t="str">
        <f aca="false">IF(ROUND($G35,2)&gt;0,ROUND($G35,2),"")</f>
        <v/>
      </c>
      <c r="I35" s="49" t="n">
        <f aca="false">IF(ROUND($G35,2)&lt;0,-ROUND($G35,2),"")</f>
        <v>29213.06</v>
      </c>
      <c r="J35" s="20" t="n">
        <f aca="false">IF(ROUND($G35,2)=0,0,1)</f>
        <v>1</v>
      </c>
      <c r="K35" s="20" t="n">
        <f aca="false">IF($J35=0,"",SUM($J$32:$J35))</f>
        <v>4</v>
      </c>
      <c r="L35" s="20" t="n">
        <f aca="false">IF($K35="","",$A35*100+$K35)</f>
        <v>304</v>
      </c>
      <c r="M35" s="48" t="str">
        <f aca="false">参数!$B$4</f>
        <v>回款</v>
      </c>
    </row>
    <row r="36" customFormat="false" ht="13.5" hidden="false" customHeight="false" outlineLevel="0" collapsed="false">
      <c r="A36" s="47" t="n">
        <v>3</v>
      </c>
      <c r="B36" s="38" t="n">
        <f aca="false">助手回款!$B4</f>
        <v>2003</v>
      </c>
      <c r="C36" s="48" t="str">
        <f aca="false">助手回款!$C4</f>
        <v>康庄路店</v>
      </c>
      <c r="D36" s="48" t="str">
        <f aca="false">科目对照回款!$B6&amp;""</f>
        <v>美团</v>
      </c>
      <c r="E36" s="48" t="str">
        <f aca="false">科目对照回款!$C6&amp;""</f>
        <v>应收账款</v>
      </c>
      <c r="F36" s="48" t="str">
        <f aca="false">科目对照回款!$D6&amp;""</f>
        <v>美团</v>
      </c>
      <c r="G36" s="49" t="n">
        <f aca="false">-ROUND(IF(科目对照回款!$F$6="",0,SUMIFS(输入回款!$C:$C,输入回款!$A:$A,助手回款!$X4,输入回款!$B:$B,科目对照回款!$F$6)+SUMIFS(输入回款!$D:$D,输入回款!$A:$A,助手回款!$X4,输入回款!$B:$B,科目对照回款!$F$6))+IF(科目对照回款!$G$6="",0,SUMIFS(输入回款!$C:$C,输入回款!$A:$A,助手回款!$X4,输入回款!$B:$B,科目对照回款!$G$6)+SUMIFS(输入回款!$D:$D,输入回款!$A:$A,助手回款!$X4,输入回款!$B:$B,科目对照回款!$G$6))+IF(科目对照回款!$H$6="",0,SUMIFS(输入回款!$C:$C,输入回款!$A:$A,助手回款!$X4,输入回款!$B:$B,科目对照回款!$H$6)+SUMIFS(输入回款!$D:$D,输入回款!$A:$A,助手回款!$X4,输入回款!$B:$B,科目对照回款!$H$6)),2)</f>
        <v>-238</v>
      </c>
      <c r="H36" s="49" t="str">
        <f aca="false">IF(ROUND($G36,2)&gt;0,ROUND($G36,2),"")</f>
        <v/>
      </c>
      <c r="I36" s="49" t="n">
        <f aca="false">IF(ROUND($G36,2)&lt;0,-ROUND($G36,2),"")</f>
        <v>238</v>
      </c>
      <c r="J36" s="20" t="n">
        <f aca="false">IF(ROUND($G36,2)=0,0,1)</f>
        <v>1</v>
      </c>
      <c r="K36" s="20" t="n">
        <f aca="false">IF($J36=0,"",SUM($J$32:$J36))</f>
        <v>5</v>
      </c>
      <c r="L36" s="20" t="n">
        <f aca="false">IF($K36="","",$A36*100+$K36)</f>
        <v>305</v>
      </c>
      <c r="M36" s="48" t="str">
        <f aca="false">参数!$B$4</f>
        <v>回款</v>
      </c>
    </row>
    <row r="37" customFormat="false" ht="13.5" hidden="false" customHeight="false" outlineLevel="0" collapsed="false">
      <c r="A37" s="47" t="n">
        <v>3</v>
      </c>
      <c r="B37" s="38" t="n">
        <f aca="false">助手回款!$B4</f>
        <v>2003</v>
      </c>
      <c r="C37" s="48" t="str">
        <f aca="false">助手回款!$C4</f>
        <v>康庄路店</v>
      </c>
      <c r="D37" s="48" t="str">
        <f aca="false">科目对照回款!$B7&amp;""</f>
        <v>饿了么</v>
      </c>
      <c r="E37" s="48" t="str">
        <f aca="false">科目对照回款!$C7&amp;""</f>
        <v>应收账款</v>
      </c>
      <c r="F37" s="48" t="str">
        <f aca="false">科目对照回款!$D7&amp;""</f>
        <v>饿了么</v>
      </c>
      <c r="G37" s="49" t="n">
        <f aca="false">-ROUND(IF(科目对照回款!$F$7="",0,SUMIFS(输入回款!$C:$C,输入回款!$A:$A,助手回款!$X4,输入回款!$B:$B,科目对照回款!$F$7)+SUMIFS(输入回款!$D:$D,输入回款!$A:$A,助手回款!$X4,输入回款!$B:$B,科目对照回款!$F$7))+IF(科目对照回款!$G$7="",0,SUMIFS(输入回款!$C:$C,输入回款!$A:$A,助手回款!$X4,输入回款!$B:$B,科目对照回款!$G$7)+SUMIFS(输入回款!$D:$D,输入回款!$A:$A,助手回款!$X4,输入回款!$B:$B,科目对照回款!$G$7))+IF(科目对照回款!$H$7="",0,SUMIFS(输入回款!$C:$C,输入回款!$A:$A,助手回款!$X4,输入回款!$B:$B,科目对照回款!$H$7)+SUMIFS(输入回款!$D:$D,输入回款!$A:$A,助手回款!$X4,输入回款!$B:$B,科目对照回款!$H$7)),2)</f>
        <v>-0</v>
      </c>
      <c r="H37" s="49" t="str">
        <f aca="false">IF(ROUND($G37,2)&gt;0,ROUND($G37,2),"")</f>
        <v/>
      </c>
      <c r="I37" s="49" t="str">
        <f aca="false">IF(ROUND($G37,2)&lt;0,-ROUND($G37,2),"")</f>
        <v/>
      </c>
      <c r="J37" s="20" t="n">
        <f aca="false">IF(ROUND($G37,2)=0,0,1)</f>
        <v>0</v>
      </c>
      <c r="K37" s="20" t="str">
        <f aca="false">IF($J37=0,"",SUM($J$32:$J37))</f>
        <v/>
      </c>
      <c r="L37" s="20" t="str">
        <f aca="false">IF($K37="","",$A37*100+$K37)</f>
        <v/>
      </c>
      <c r="M37" s="48" t="str">
        <f aca="false">参数!$B$4</f>
        <v>回款</v>
      </c>
    </row>
    <row r="38" customFormat="false" ht="13.5" hidden="false" customHeight="false" outlineLevel="0" collapsed="false">
      <c r="A38" s="47" t="n">
        <v>3</v>
      </c>
      <c r="B38" s="38" t="n">
        <f aca="false">助手回款!$B4</f>
        <v>2003</v>
      </c>
      <c r="C38" s="48" t="str">
        <f aca="false">助手回款!$C4</f>
        <v>康庄路店</v>
      </c>
      <c r="D38" s="48" t="str">
        <f aca="false">科目对照回款!$B8&amp;""</f>
        <v>24小时</v>
      </c>
      <c r="E38" s="48" t="str">
        <f aca="false">科目对照回款!$C8&amp;""</f>
        <v>应收账款</v>
      </c>
      <c r="F38" s="48" t="str">
        <f aca="false">科目对照回款!$D8&amp;""</f>
        <v>24小时</v>
      </c>
      <c r="G38" s="49" t="n">
        <f aca="false">-ROUND(IF(科目对照回款!$F$8="",0,SUMIFS(输入回款!$C:$C,输入回款!$A:$A,助手回款!$X4,输入回款!$B:$B,科目对照回款!$F$8)+SUMIFS(输入回款!$D:$D,输入回款!$A:$A,助手回款!$X4,输入回款!$B:$B,科目对照回款!$F$8))+IF(科目对照回款!$G$8="",0,SUMIFS(输入回款!$C:$C,输入回款!$A:$A,助手回款!$X4,输入回款!$B:$B,科目对照回款!$G$8)+SUMIFS(输入回款!$D:$D,输入回款!$A:$A,助手回款!$X4,输入回款!$B:$B,科目对照回款!$G$8))+IF(科目对照回款!$H$8="",0,SUMIFS(输入回款!$C:$C,输入回款!$A:$A,助手回款!$X4,输入回款!$B:$B,科目对照回款!$H$8)+SUMIFS(输入回款!$D:$D,输入回款!$A:$A,助手回款!$X4,输入回款!$B:$B,科目对照回款!$H$8)),2)</f>
        <v>-0</v>
      </c>
      <c r="H38" s="49" t="str">
        <f aca="false">IF(ROUND($G38,2)&gt;0,ROUND($G38,2),"")</f>
        <v/>
      </c>
      <c r="I38" s="49" t="str">
        <f aca="false">IF(ROUND($G38,2)&lt;0,-ROUND($G38,2),"")</f>
        <v/>
      </c>
      <c r="J38" s="20" t="n">
        <f aca="false">IF(ROUND($G38,2)=0,0,1)</f>
        <v>0</v>
      </c>
      <c r="K38" s="20" t="str">
        <f aca="false">IF($J38=0,"",SUM($J$32:$J38))</f>
        <v/>
      </c>
      <c r="L38" s="20" t="str">
        <f aca="false">IF($K38="","",$A38*100+$K38)</f>
        <v/>
      </c>
      <c r="M38" s="48" t="str">
        <f aca="false">参数!$B$4</f>
        <v>回款</v>
      </c>
    </row>
    <row r="39" customFormat="false" ht="13.5" hidden="false" customHeight="false" outlineLevel="0" collapsed="false">
      <c r="A39" s="47" t="n">
        <v>3</v>
      </c>
      <c r="B39" s="38" t="n">
        <f aca="false">助手回款!$B4</f>
        <v>2003</v>
      </c>
      <c r="C39" s="48" t="str">
        <f aca="false">助手回款!$C4</f>
        <v>康庄路店</v>
      </c>
      <c r="D39" s="48" t="str">
        <f aca="false">科目对照回款!$B9&amp;""</f>
        <v>健E卡</v>
      </c>
      <c r="E39" s="48" t="str">
        <f aca="false">科目对照回款!$C9&amp;""</f>
        <v>应收账款</v>
      </c>
      <c r="F39" s="48" t="str">
        <f aca="false">科目对照回款!$D9&amp;""</f>
        <v>健E卡</v>
      </c>
      <c r="G39" s="49" t="n">
        <f aca="false">-ROUND(IF(科目对照回款!$F$9="",0,SUMIFS(输入回款!$C:$C,输入回款!$A:$A,助手回款!$X4,输入回款!$B:$B,科目对照回款!$F$9)+SUMIFS(输入回款!$D:$D,输入回款!$A:$A,助手回款!$X4,输入回款!$B:$B,科目对照回款!$F$9))+IF(科目对照回款!$G$9="",0,SUMIFS(输入回款!$C:$C,输入回款!$A:$A,助手回款!$X4,输入回款!$B:$B,科目对照回款!$G$9)+SUMIFS(输入回款!$D:$D,输入回款!$A:$A,助手回款!$X4,输入回款!$B:$B,科目对照回款!$G$9))+IF(科目对照回款!$H$9="",0,SUMIFS(输入回款!$C:$C,输入回款!$A:$A,助手回款!$X4,输入回款!$B:$B,科目对照回款!$H$9)+SUMIFS(输入回款!$D:$D,输入回款!$A:$A,助手回款!$X4,输入回款!$B:$B,科目对照回款!$H$9)),2)</f>
        <v>-118495.62</v>
      </c>
      <c r="H39" s="49" t="str">
        <f aca="false">IF(ROUND($G39,2)&gt;0,ROUND($G39,2),"")</f>
        <v/>
      </c>
      <c r="I39" s="49" t="n">
        <f aca="false">IF(ROUND($G39,2)&lt;0,-ROUND($G39,2),"")</f>
        <v>118495.62</v>
      </c>
      <c r="J39" s="20" t="n">
        <f aca="false">IF(ROUND($G39,2)=0,0,1)</f>
        <v>1</v>
      </c>
      <c r="K39" s="20" t="n">
        <f aca="false">IF($J39=0,"",SUM($J$32:$J39))</f>
        <v>6</v>
      </c>
      <c r="L39" s="20" t="n">
        <f aca="false">IF($K39="","",$A39*100+$K39)</f>
        <v>306</v>
      </c>
      <c r="M39" s="48" t="str">
        <f aca="false">参数!$B$4</f>
        <v>回款</v>
      </c>
    </row>
    <row r="40" customFormat="false" ht="13.5" hidden="false" customHeight="false" outlineLevel="0" collapsed="false">
      <c r="A40" s="47" t="n">
        <v>3</v>
      </c>
      <c r="B40" s="38" t="n">
        <f aca="false">助手回款!$B4</f>
        <v>2003</v>
      </c>
      <c r="C40" s="48" t="str">
        <f aca="false">助手回款!$C4</f>
        <v>康庄路店</v>
      </c>
      <c r="D40" s="48" t="str">
        <f aca="false">科目对照回款!$B10&amp;""</f>
        <v>医卡通</v>
      </c>
      <c r="E40" s="48" t="str">
        <f aca="false">科目对照回款!$C10&amp;""</f>
        <v>应收账款</v>
      </c>
      <c r="F40" s="48" t="str">
        <f aca="false">科目对照回款!$D10&amp;""</f>
        <v>医卡通</v>
      </c>
      <c r="G40" s="49" t="n">
        <f aca="false">-ROUND(IF(科目对照回款!$F$10="",0,SUMIFS(输入回款!$C:$C,输入回款!$A:$A,助手回款!$X4,输入回款!$B:$B,科目对照回款!$F$10)+SUMIFS(输入回款!$D:$D,输入回款!$A:$A,助手回款!$X4,输入回款!$B:$B,科目对照回款!$F$10))+IF(科目对照回款!$G$10="",0,SUMIFS(输入回款!$C:$C,输入回款!$A:$A,助手回款!$X4,输入回款!$B:$B,科目对照回款!$G$10)+SUMIFS(输入回款!$D:$D,输入回款!$A:$A,助手回款!$X4,输入回款!$B:$B,科目对照回款!$G$10))+IF(科目对照回款!$H$10="",0,SUMIFS(输入回款!$C:$C,输入回款!$A:$A,助手回款!$X4,输入回款!$B:$B,科目对照回款!$H$10)+SUMIFS(输入回款!$D:$D,输入回款!$A:$A,助手回款!$X4,输入回款!$B:$B,科目对照回款!$H$10)),2)</f>
        <v>-251.4</v>
      </c>
      <c r="H40" s="49" t="str">
        <f aca="false">IF(ROUND($G40,2)&gt;0,ROUND($G40,2),"")</f>
        <v/>
      </c>
      <c r="I40" s="49" t="n">
        <f aca="false">IF(ROUND($G40,2)&lt;0,-ROUND($G40,2),"")</f>
        <v>251.4</v>
      </c>
      <c r="J40" s="20" t="n">
        <f aca="false">IF(ROUND($G40,2)=0,0,1)</f>
        <v>1</v>
      </c>
      <c r="K40" s="20" t="n">
        <f aca="false">IF($J40=0,"",SUM($J$32:$J40))</f>
        <v>7</v>
      </c>
      <c r="L40" s="20" t="n">
        <f aca="false">IF($K40="","",$A40*100+$K40)</f>
        <v>307</v>
      </c>
      <c r="M40" s="48" t="str">
        <f aca="false">参数!$B$4</f>
        <v>回款</v>
      </c>
    </row>
    <row r="41" customFormat="false" ht="13.5" hidden="false" customHeight="false" outlineLevel="0" collapsed="false">
      <c r="A41" s="47" t="n">
        <v>3</v>
      </c>
      <c r="B41" s="38" t="n">
        <f aca="false">助手回款!$B4</f>
        <v>2003</v>
      </c>
      <c r="C41" s="48" t="str">
        <f aca="false">助手回款!$C4</f>
        <v>康庄路店</v>
      </c>
      <c r="D41" s="48" t="str">
        <f aca="false">科目对照回款!$B11&amp;""</f>
        <v>企健网</v>
      </c>
      <c r="E41" s="48" t="str">
        <f aca="false">科目对照回款!$C11&amp;""</f>
        <v>应收账款</v>
      </c>
      <c r="F41" s="48" t="str">
        <f aca="false">科目对照回款!$D11&amp;""</f>
        <v>企健网</v>
      </c>
      <c r="G41" s="49" t="n">
        <f aca="false">-ROUND(IF(科目对照回款!$F$11="",0,SUMIFS(输入回款!$C:$C,输入回款!$A:$A,助手回款!$X4,输入回款!$B:$B,科目对照回款!$F$11)+SUMIFS(输入回款!$D:$D,输入回款!$A:$A,助手回款!$X4,输入回款!$B:$B,科目对照回款!$F$11))+IF(科目对照回款!$G$11="",0,SUMIFS(输入回款!$C:$C,输入回款!$A:$A,助手回款!$X4,输入回款!$B:$B,科目对照回款!$G$11)+SUMIFS(输入回款!$D:$D,输入回款!$A:$A,助手回款!$X4,输入回款!$B:$B,科目对照回款!$G$11))+IF(科目对照回款!$H$11="",0,SUMIFS(输入回款!$C:$C,输入回款!$A:$A,助手回款!$X4,输入回款!$B:$B,科目对照回款!$H$11)+SUMIFS(输入回款!$D:$D,输入回款!$A:$A,助手回款!$X4,输入回款!$B:$B,科目对照回款!$H$11)),2)</f>
        <v>-0</v>
      </c>
      <c r="H41" s="49" t="str">
        <f aca="false">IF(ROUND($G41,2)&gt;0,ROUND($G41,2),"")</f>
        <v/>
      </c>
      <c r="I41" s="49" t="str">
        <f aca="false">IF(ROUND($G41,2)&lt;0,-ROUND($G41,2),"")</f>
        <v/>
      </c>
      <c r="J41" s="20" t="n">
        <f aca="false">IF(ROUND($G41,2)=0,0,1)</f>
        <v>0</v>
      </c>
      <c r="K41" s="20" t="str">
        <f aca="false">IF($J41=0,"",SUM($J$32:$J41))</f>
        <v/>
      </c>
      <c r="L41" s="20" t="str">
        <f aca="false">IF($K41="","",$A41*100+$K41)</f>
        <v/>
      </c>
      <c r="M41" s="48" t="str">
        <f aca="false">参数!$B$4</f>
        <v>回款</v>
      </c>
    </row>
    <row r="42" customFormat="false" ht="13.5" hidden="false" customHeight="false" outlineLevel="0" collapsed="false">
      <c r="A42" s="47" t="n">
        <v>3</v>
      </c>
      <c r="B42" s="38" t="n">
        <f aca="false">助手回款!$B4</f>
        <v>2003</v>
      </c>
      <c r="C42" s="48" t="str">
        <f aca="false">助手回款!$C4</f>
        <v>康庄路店</v>
      </c>
      <c r="D42" s="48" t="str">
        <f aca="false">科目对照回款!$B12&amp;""</f>
        <v>亲情卡</v>
      </c>
      <c r="E42" s="48" t="str">
        <f aca="false">科目对照回款!$C12&amp;""</f>
        <v>应收账款</v>
      </c>
      <c r="F42" s="48" t="str">
        <f aca="false">科目对照回款!$D12&amp;""</f>
        <v>亲情卡</v>
      </c>
      <c r="G42" s="49" t="n">
        <f aca="false">-ROUND(IF(科目对照回款!$F$12="",0,SUMIFS(输入回款!$C:$C,输入回款!$A:$A,助手回款!$X4,输入回款!$B:$B,科目对照回款!$F$12)+SUMIFS(输入回款!$D:$D,输入回款!$A:$A,助手回款!$X4,输入回款!$B:$B,科目对照回款!$F$12))+IF(科目对照回款!$G$12="",0,SUMIFS(输入回款!$C:$C,输入回款!$A:$A,助手回款!$X4,输入回款!$B:$B,科目对照回款!$G$12)+SUMIFS(输入回款!$D:$D,输入回款!$A:$A,助手回款!$X4,输入回款!$B:$B,科目对照回款!$G$12))+IF(科目对照回款!$H$12="",0,SUMIFS(输入回款!$C:$C,输入回款!$A:$A,助手回款!$X4,输入回款!$B:$B,科目对照回款!$H$12)+SUMIFS(输入回款!$D:$D,输入回款!$A:$A,助手回款!$X4,输入回款!$B:$B,科目对照回款!$H$12)),2)</f>
        <v>-0</v>
      </c>
      <c r="H42" s="49" t="str">
        <f aca="false">IF(ROUND($G42,2)&gt;0,ROUND($G42,2),"")</f>
        <v/>
      </c>
      <c r="I42" s="49" t="str">
        <f aca="false">IF(ROUND($G42,2)&lt;0,-ROUND($G42,2),"")</f>
        <v/>
      </c>
      <c r="J42" s="20" t="n">
        <f aca="false">IF(ROUND($G42,2)=0,0,1)</f>
        <v>0</v>
      </c>
      <c r="K42" s="20" t="str">
        <f aca="false">IF($J42=0,"",SUM($J$32:$J42))</f>
        <v/>
      </c>
      <c r="L42" s="20" t="str">
        <f aca="false">IF($K42="","",$A42*100+$K42)</f>
        <v/>
      </c>
      <c r="M42" s="48" t="str">
        <f aca="false">参数!$B$4</f>
        <v>回款</v>
      </c>
    </row>
    <row r="43" customFormat="false" ht="13.5" hidden="false" customHeight="false" outlineLevel="0" collapsed="false">
      <c r="A43" s="47" t="n">
        <v>3</v>
      </c>
      <c r="B43" s="38" t="n">
        <f aca="false">助手回款!$B4</f>
        <v>2003</v>
      </c>
      <c r="C43" s="48" t="str">
        <f aca="false">助手回款!$C4</f>
        <v>康庄路店</v>
      </c>
      <c r="D43" s="48" t="str">
        <f aca="false">科目对照回款!$B13&amp;""</f>
        <v>银联</v>
      </c>
      <c r="E43" s="48" t="str">
        <f aca="false">科目对照回款!$C13&amp;""</f>
        <v>应收账款</v>
      </c>
      <c r="F43" s="48" t="str">
        <f aca="false">科目对照回款!$D13&amp;""</f>
        <v>银联</v>
      </c>
      <c r="G43" s="49" t="n">
        <f aca="false">-ROUND(IF(科目对照回款!$F$13="",0,SUMIFS(输入回款!$C:$C,输入回款!$A:$A,助手回款!$X4,输入回款!$B:$B,科目对照回款!$F$13)+SUMIFS(输入回款!$D:$D,输入回款!$A:$A,助手回款!$X4,输入回款!$B:$B,科目对照回款!$F$13))+IF(科目对照回款!$G$13="",0,SUMIFS(输入回款!$C:$C,输入回款!$A:$A,助手回款!$X4,输入回款!$B:$B,科目对照回款!$G$13)+SUMIFS(输入回款!$D:$D,输入回款!$A:$A,助手回款!$X4,输入回款!$B:$B,科目对照回款!$G$13))+IF(科目对照回款!$H$13="",0,SUMIFS(输入回款!$C:$C,输入回款!$A:$A,助手回款!$X4,输入回款!$B:$B,科目对照回款!$H$13)+SUMIFS(输入回款!$D:$D,输入回款!$A:$A,助手回款!$X4,输入回款!$B:$B,科目对照回款!$H$13)),2)</f>
        <v>-0</v>
      </c>
      <c r="H43" s="49" t="str">
        <f aca="false">IF(ROUND($G43,2)&gt;0,ROUND($G43,2),"")</f>
        <v/>
      </c>
      <c r="I43" s="49" t="str">
        <f aca="false">IF(ROUND($G43,2)&lt;0,-ROUND($G43,2),"")</f>
        <v/>
      </c>
      <c r="J43" s="20" t="n">
        <f aca="false">IF(ROUND($G43,2)=0,0,1)</f>
        <v>0</v>
      </c>
      <c r="K43" s="20" t="str">
        <f aca="false">IF($J43=0,"",SUM($J$32:$J43))</f>
        <v/>
      </c>
      <c r="L43" s="20" t="str">
        <f aca="false">IF($K43="","",$A43*100+$K43)</f>
        <v/>
      </c>
      <c r="M43" s="48" t="str">
        <f aca="false">参数!$B$4</f>
        <v>回款</v>
      </c>
    </row>
    <row r="44" customFormat="false" ht="13.5" hidden="false" customHeight="false" outlineLevel="0" collapsed="false">
      <c r="A44" s="47" t="n">
        <v>3</v>
      </c>
      <c r="B44" s="38" t="n">
        <f aca="false">助手回款!$B4</f>
        <v>2003</v>
      </c>
      <c r="C44" s="48" t="str">
        <f aca="false">助手回款!$C4</f>
        <v>康庄路店</v>
      </c>
      <c r="D44" s="48" t="str">
        <f aca="false">科目对照回款!$B14&amp;""</f>
        <v>代金券</v>
      </c>
      <c r="E44" s="48" t="str">
        <f aca="false">科目对照回款!$C14&amp;""</f>
        <v>应收账款</v>
      </c>
      <c r="F44" s="48" t="str">
        <f aca="false">科目对照回款!$D14&amp;""</f>
        <v>代金券</v>
      </c>
      <c r="G44" s="49" t="n">
        <f aca="false">-ROUND(IF(科目对照回款!$F$14="",0,SUMIFS(输入回款!$C:$C,输入回款!$A:$A,助手回款!$X4,输入回款!$B:$B,科目对照回款!$F$14)+SUMIFS(输入回款!$D:$D,输入回款!$A:$A,助手回款!$X4,输入回款!$B:$B,科目对照回款!$F$14))+IF(科目对照回款!$G$14="",0,SUMIFS(输入回款!$C:$C,输入回款!$A:$A,助手回款!$X4,输入回款!$B:$B,科目对照回款!$G$14)+SUMIFS(输入回款!$D:$D,输入回款!$A:$A,助手回款!$X4,输入回款!$B:$B,科目对照回款!$G$14))+IF(科目对照回款!$H$14="",0,SUMIFS(输入回款!$C:$C,输入回款!$A:$A,助手回款!$X4,输入回款!$B:$B,科目对照回款!$H$14)+SUMIFS(输入回款!$D:$D,输入回款!$A:$A,助手回款!$X4,输入回款!$B:$B,科目对照回款!$H$14)),2)</f>
        <v>-0</v>
      </c>
      <c r="H44" s="49" t="str">
        <f aca="false">IF(ROUND($G44,2)&gt;0,ROUND($G44,2),"")</f>
        <v/>
      </c>
      <c r="I44" s="49" t="str">
        <f aca="false">IF(ROUND($G44,2)&lt;0,-ROUND($G44,2),"")</f>
        <v/>
      </c>
      <c r="J44" s="20" t="n">
        <f aca="false">IF(ROUND($G44,2)=0,0,1)</f>
        <v>0</v>
      </c>
      <c r="K44" s="20" t="str">
        <f aca="false">IF($J44=0,"",SUM($J$32:$J44))</f>
        <v/>
      </c>
      <c r="L44" s="20" t="str">
        <f aca="false">IF($K44="","",$A44*100+$K44)</f>
        <v/>
      </c>
      <c r="M44" s="48" t="str">
        <f aca="false">参数!$B$4</f>
        <v>回款</v>
      </c>
    </row>
    <row r="45" customFormat="false" ht="13.5" hidden="false" customHeight="false" outlineLevel="0" collapsed="false">
      <c r="A45" s="47" t="n">
        <v>3</v>
      </c>
      <c r="B45" s="38" t="n">
        <f aca="false">助手回款!$B4</f>
        <v>2003</v>
      </c>
      <c r="C45" s="48" t="str">
        <f aca="false">助手回款!$C4</f>
        <v>康庄路店</v>
      </c>
      <c r="D45" s="48" t="str">
        <f aca="false">科目对照回款!$B15&amp;""</f>
        <v>药机微信</v>
      </c>
      <c r="E45" s="48" t="str">
        <f aca="false">科目对照回款!$C15&amp;""</f>
        <v>应收账款</v>
      </c>
      <c r="F45" s="48" t="str">
        <f aca="false">科目对照回款!$D15&amp;""</f>
        <v>药机微信</v>
      </c>
      <c r="G45" s="49" t="n">
        <f aca="false">-ROUND(IF(科目对照回款!$F$15="",0,SUMIFS(输入回款!$C:$C,输入回款!$A:$A,助手回款!$X4,输入回款!$B:$B,科目对照回款!$F$15)+SUMIFS(输入回款!$D:$D,输入回款!$A:$A,助手回款!$X4,输入回款!$B:$B,科目对照回款!$F$15))+IF(科目对照回款!$G$15="",0,SUMIFS(输入回款!$C:$C,输入回款!$A:$A,助手回款!$X4,输入回款!$B:$B,科目对照回款!$G$15)+SUMIFS(输入回款!$D:$D,输入回款!$A:$A,助手回款!$X4,输入回款!$B:$B,科目对照回款!$G$15))+IF(科目对照回款!$H$15="",0,SUMIFS(输入回款!$C:$C,输入回款!$A:$A,助手回款!$X4,输入回款!$B:$B,科目对照回款!$H$15)+SUMIFS(输入回款!$D:$D,输入回款!$A:$A,助手回款!$X4,输入回款!$B:$B,科目对照回款!$H$15)),2)</f>
        <v>-0</v>
      </c>
      <c r="H45" s="49" t="str">
        <f aca="false">IF(ROUND($G45,2)&gt;0,ROUND($G45,2),"")</f>
        <v/>
      </c>
      <c r="I45" s="49" t="str">
        <f aca="false">IF(ROUND($G45,2)&lt;0,-ROUND($G45,2),"")</f>
        <v/>
      </c>
      <c r="J45" s="20" t="n">
        <f aca="false">IF(ROUND($G45,2)=0,0,1)</f>
        <v>0</v>
      </c>
      <c r="K45" s="20" t="str">
        <f aca="false">IF($J45=0,"",SUM($J$32:$J45))</f>
        <v/>
      </c>
      <c r="L45" s="20" t="str">
        <f aca="false">IF($K45="","",$A45*100+$K45)</f>
        <v/>
      </c>
      <c r="M45" s="48" t="str">
        <f aca="false">参数!$B$4</f>
        <v>回款</v>
      </c>
    </row>
    <row r="46" customFormat="false" ht="13.5" hidden="false" customHeight="false" outlineLevel="0" collapsed="false">
      <c r="A46" s="47" t="n">
        <v>3</v>
      </c>
      <c r="B46" s="38" t="n">
        <f aca="false">助手回款!$B4</f>
        <v>2003</v>
      </c>
      <c r="C46" s="48" t="str">
        <f aca="false">助手回款!$C4</f>
        <v>康庄路店</v>
      </c>
      <c r="D46" s="48" t="str">
        <f aca="false">科目对照回款!$B16&amp;""</f>
        <v>储值卡</v>
      </c>
      <c r="E46" s="48" t="str">
        <f aca="false">科目对照回款!$C16&amp;""</f>
        <v>其他应收款</v>
      </c>
      <c r="F46" s="48" t="str">
        <f aca="false">科目对照回款!$D16&amp;""</f>
        <v>储值卡</v>
      </c>
      <c r="G46" s="49" t="n">
        <f aca="false">-ROUND(IF(科目对照回款!$F$16="",0,SUMIFS(输入回款!$C:$C,输入回款!$A:$A,助手回款!$X4,输入回款!$B:$B,科目对照回款!$F$16)+SUMIFS(输入回款!$D:$D,输入回款!$A:$A,助手回款!$X4,输入回款!$B:$B,科目对照回款!$F$16))+IF(科目对照回款!$G$16="",0,SUMIFS(输入回款!$C:$C,输入回款!$A:$A,助手回款!$X4,输入回款!$B:$B,科目对照回款!$G$16)+SUMIFS(输入回款!$D:$D,输入回款!$A:$A,助手回款!$X4,输入回款!$B:$B,科目对照回款!$G$16))+IF(科目对照回款!$H$16="",0,SUMIFS(输入回款!$C:$C,输入回款!$A:$A,助手回款!$X4,输入回款!$B:$B,科目对照回款!$H$16)+SUMIFS(输入回款!$D:$D,输入回款!$A:$A,助手回款!$X4,输入回款!$B:$B,科目对照回款!$H$16)),2)</f>
        <v>-0</v>
      </c>
      <c r="H46" s="49" t="str">
        <f aca="false">IF(ROUND($G46,2)&gt;0,ROUND($G46,2),"")</f>
        <v/>
      </c>
      <c r="I46" s="49" t="str">
        <f aca="false">IF(ROUND($G46,2)&lt;0,-ROUND($G46,2),"")</f>
        <v/>
      </c>
      <c r="J46" s="20" t="n">
        <f aca="false">IF(ROUND($G46,2)=0,0,1)</f>
        <v>0</v>
      </c>
      <c r="K46" s="20" t="str">
        <f aca="false">IF($J46=0,"",SUM($J$32:$J46))</f>
        <v/>
      </c>
      <c r="L46" s="20" t="str">
        <f aca="false">IF($K46="","",$A46*100+$K46)</f>
        <v/>
      </c>
      <c r="M46" s="48" t="str">
        <f aca="false">参数!$B$4</f>
        <v>回款</v>
      </c>
    </row>
    <row r="47" customFormat="false" ht="13.5" hidden="false" customHeight="false" outlineLevel="0" collapsed="false">
      <c r="A47" s="47" t="n">
        <v>4</v>
      </c>
      <c r="B47" s="38" t="n">
        <f aca="false">助手回款!$B5</f>
        <v>2004</v>
      </c>
      <c r="C47" s="48" t="str">
        <f aca="false">助手回款!$C5</f>
        <v>东关店</v>
      </c>
      <c r="D47" s="48" t="str">
        <f aca="false">科目对照回款!$B2&amp;""</f>
        <v>库存现金</v>
      </c>
      <c r="E47" s="48" t="str">
        <f aca="false">科目对照回款!$C2&amp;""</f>
        <v>库存现金</v>
      </c>
      <c r="F47" s="48" t="str">
        <f aca="false">科目对照回款!$D2&amp;""</f>
        <v/>
      </c>
      <c r="G47" s="49" t="n">
        <f aca="false">助手回款!$E5</f>
        <v>30287.44</v>
      </c>
      <c r="H47" s="49" t="n">
        <f aca="false">IF(ROUND($G47,2)&gt;0,ROUND($G47,2),"")</f>
        <v>30287.44</v>
      </c>
      <c r="I47" s="49" t="str">
        <f aca="false">IF(ROUND($G47,2)&lt;0,-ROUND($G47,2),"")</f>
        <v/>
      </c>
      <c r="J47" s="20" t="n">
        <f aca="false">IF(ROUND($G47,2)=0,0,1)</f>
        <v>1</v>
      </c>
      <c r="K47" s="20" t="n">
        <f aca="false">IF($J47=0,"",SUM($J$47:$J47))</f>
        <v>1</v>
      </c>
      <c r="L47" s="20" t="n">
        <f aca="false">IF($K47="","",$A47*100+$K47)</f>
        <v>401</v>
      </c>
      <c r="M47" s="48" t="str">
        <f aca="false">参数!$B$4</f>
        <v>回款</v>
      </c>
    </row>
    <row r="48" customFormat="false" ht="13.5" hidden="false" customHeight="false" outlineLevel="0" collapsed="false">
      <c r="A48" s="47" t="n">
        <v>4</v>
      </c>
      <c r="B48" s="38" t="n">
        <f aca="false">助手回款!$B5</f>
        <v>2004</v>
      </c>
      <c r="C48" s="48" t="str">
        <f aca="false">助手回款!$C5</f>
        <v>东关店</v>
      </c>
      <c r="D48" s="48" t="str">
        <f aca="false">科目对照回款!$B3&amp;""</f>
        <v>手续费</v>
      </c>
      <c r="E48" s="48" t="str">
        <f aca="false">科目对照回款!$C3&amp;""</f>
        <v>财务费用</v>
      </c>
      <c r="F48" s="48" t="str">
        <f aca="false">科目对照回款!$D3&amp;""</f>
        <v>手续费</v>
      </c>
      <c r="G48" s="49" t="n">
        <f aca="false">助手回款!$F5</f>
        <v>111.32</v>
      </c>
      <c r="H48" s="49" t="n">
        <f aca="false">IF(ROUND($G48,2)&gt;0,ROUND($G48,2),"")</f>
        <v>111.32</v>
      </c>
      <c r="I48" s="49" t="str">
        <f aca="false">IF(ROUND($G48,2)&lt;0,-ROUND($G48,2),"")</f>
        <v/>
      </c>
      <c r="J48" s="20" t="n">
        <f aca="false">IF(ROUND($G48,2)=0,0,1)</f>
        <v>1</v>
      </c>
      <c r="K48" s="20" t="n">
        <f aca="false">IF($J48=0,"",SUM($J$47:$J48))</f>
        <v>2</v>
      </c>
      <c r="L48" s="20" t="n">
        <f aca="false">IF($K48="","",$A48*100+$K48)</f>
        <v>402</v>
      </c>
      <c r="M48" s="48" t="str">
        <f aca="false">参数!$B$4</f>
        <v>回款</v>
      </c>
    </row>
    <row r="49" customFormat="false" ht="13.5" hidden="false" customHeight="false" outlineLevel="0" collapsed="false">
      <c r="A49" s="47" t="n">
        <v>4</v>
      </c>
      <c r="B49" s="38" t="n">
        <f aca="false">助手回款!$B5</f>
        <v>2004</v>
      </c>
      <c r="C49" s="48" t="str">
        <f aca="false">助手回款!$C5</f>
        <v>东关店</v>
      </c>
      <c r="D49" s="48" t="str">
        <f aca="false">科目对照回款!$B4&amp;""</f>
        <v>聚合支付</v>
      </c>
      <c r="E49" s="48" t="str">
        <f aca="false">科目对照回款!$C4&amp;""</f>
        <v>应收账款</v>
      </c>
      <c r="F49" s="48" t="str">
        <f aca="false">科目对照回款!$D4&amp;""</f>
        <v>聚合支付</v>
      </c>
      <c r="G49" s="49" t="n">
        <f aca="false">-ROUND(IF(科目对照回款!$F$4="",0,SUMIFS(输入回款!$C:$C,输入回款!$A:$A,助手回款!$X5,输入回款!$B:$B,科目对照回款!$F$4)+SUMIFS(输入回款!$D:$D,输入回款!$A:$A,助手回款!$X5,输入回款!$B:$B,科目对照回款!$F$4))+IF(科目对照回款!$G$4="",0,SUMIFS(输入回款!$C:$C,输入回款!$A:$A,助手回款!$X5,输入回款!$B:$B,科目对照回款!$G$4)+SUMIFS(输入回款!$D:$D,输入回款!$A:$A,助手回款!$X5,输入回款!$B:$B,科目对照回款!$G$4))+IF(科目对照回款!$H$4="",0,SUMIFS(输入回款!$C:$C,输入回款!$A:$A,助手回款!$X5,输入回款!$B:$B,科目对照回款!$H$4)+SUMIFS(输入回款!$D:$D,输入回款!$A:$A,助手回款!$X5,输入回款!$B:$B,科目对照回款!$H$4)),2)</f>
        <v>-3891.92</v>
      </c>
      <c r="H49" s="49" t="str">
        <f aca="false">IF(ROUND($G49,2)&gt;0,ROUND($G49,2),"")</f>
        <v/>
      </c>
      <c r="I49" s="49" t="n">
        <f aca="false">IF(ROUND($G49,2)&lt;0,-ROUND($G49,2),"")</f>
        <v>3891.92</v>
      </c>
      <c r="J49" s="20" t="n">
        <f aca="false">IF(ROUND($G49,2)=0,0,1)</f>
        <v>1</v>
      </c>
      <c r="K49" s="20" t="n">
        <f aca="false">IF($J49=0,"",SUM($J$47:$J49))</f>
        <v>3</v>
      </c>
      <c r="L49" s="20" t="n">
        <f aca="false">IF($K49="","",$A49*100+$K49)</f>
        <v>403</v>
      </c>
      <c r="M49" s="48" t="str">
        <f aca="false">参数!$B$4</f>
        <v>回款</v>
      </c>
    </row>
    <row r="50" customFormat="false" ht="13.5" hidden="false" customHeight="false" outlineLevel="0" collapsed="false">
      <c r="A50" s="47" t="n">
        <v>4</v>
      </c>
      <c r="B50" s="38" t="n">
        <f aca="false">助手回款!$B5</f>
        <v>2004</v>
      </c>
      <c r="C50" s="48" t="str">
        <f aca="false">助手回款!$C5</f>
        <v>东关店</v>
      </c>
      <c r="D50" s="48" t="str">
        <f aca="false">科目对照回款!$B5&amp;""</f>
        <v>医保</v>
      </c>
      <c r="E50" s="48" t="str">
        <f aca="false">科目对照回款!$C5&amp;""</f>
        <v>应收账款</v>
      </c>
      <c r="F50" s="48" t="str">
        <f aca="false">科目对照回款!$D5&amp;""</f>
        <v>医保</v>
      </c>
      <c r="G50" s="49" t="n">
        <f aca="false">-ROUND(IF(科目对照回款!$F$5="",0,SUMIFS(输入回款!$C:$C,输入回款!$A:$A,助手回款!$X5,输入回款!$B:$B,科目对照回款!$F$5)+SUMIFS(输入回款!$D:$D,输入回款!$A:$A,助手回款!$X5,输入回款!$B:$B,科目对照回款!$F$5))+IF(科目对照回款!$G$5="",0,SUMIFS(输入回款!$C:$C,输入回款!$A:$A,助手回款!$X5,输入回款!$B:$B,科目对照回款!$G$5)+SUMIFS(输入回款!$D:$D,输入回款!$A:$A,助手回款!$X5,输入回款!$B:$B,科目对照回款!$G$5))+IF(科目对照回款!$H$5="",0,SUMIFS(输入回款!$C:$C,输入回款!$A:$A,助手回款!$X5,输入回款!$B:$B,科目对照回款!$H$5)+SUMIFS(输入回款!$D:$D,输入回款!$A:$A,助手回款!$X5,输入回款!$B:$B,科目对照回款!$H$5)),2)</f>
        <v>-25974.44</v>
      </c>
      <c r="H50" s="49" t="str">
        <f aca="false">IF(ROUND($G50,2)&gt;0,ROUND($G50,2),"")</f>
        <v/>
      </c>
      <c r="I50" s="49" t="n">
        <f aca="false">IF(ROUND($G50,2)&lt;0,-ROUND($G50,2),"")</f>
        <v>25974.44</v>
      </c>
      <c r="J50" s="20" t="n">
        <f aca="false">IF(ROUND($G50,2)=0,0,1)</f>
        <v>1</v>
      </c>
      <c r="K50" s="20" t="n">
        <f aca="false">IF($J50=0,"",SUM($J$47:$J50))</f>
        <v>4</v>
      </c>
      <c r="L50" s="20" t="n">
        <f aca="false">IF($K50="","",$A50*100+$K50)</f>
        <v>404</v>
      </c>
      <c r="M50" s="48" t="str">
        <f aca="false">参数!$B$4</f>
        <v>回款</v>
      </c>
    </row>
    <row r="51" customFormat="false" ht="13.5" hidden="false" customHeight="false" outlineLevel="0" collapsed="false">
      <c r="A51" s="47" t="n">
        <v>4</v>
      </c>
      <c r="B51" s="38" t="n">
        <f aca="false">助手回款!$B5</f>
        <v>2004</v>
      </c>
      <c r="C51" s="48" t="str">
        <f aca="false">助手回款!$C5</f>
        <v>东关店</v>
      </c>
      <c r="D51" s="48" t="str">
        <f aca="false">科目对照回款!$B6&amp;""</f>
        <v>美团</v>
      </c>
      <c r="E51" s="48" t="str">
        <f aca="false">科目对照回款!$C6&amp;""</f>
        <v>应收账款</v>
      </c>
      <c r="F51" s="48" t="str">
        <f aca="false">科目对照回款!$D6&amp;""</f>
        <v>美团</v>
      </c>
      <c r="G51" s="49" t="n">
        <f aca="false">-ROUND(IF(科目对照回款!$F$6="",0,SUMIFS(输入回款!$C:$C,输入回款!$A:$A,助手回款!$X5,输入回款!$B:$B,科目对照回款!$F$6)+SUMIFS(输入回款!$D:$D,输入回款!$A:$A,助手回款!$X5,输入回款!$B:$B,科目对照回款!$F$6))+IF(科目对照回款!$G$6="",0,SUMIFS(输入回款!$C:$C,输入回款!$A:$A,助手回款!$X5,输入回款!$B:$B,科目对照回款!$G$6)+SUMIFS(输入回款!$D:$D,输入回款!$A:$A,助手回款!$X5,输入回款!$B:$B,科目对照回款!$G$6))+IF(科目对照回款!$H$6="",0,SUMIFS(输入回款!$C:$C,输入回款!$A:$A,助手回款!$X5,输入回款!$B:$B,科目对照回款!$H$6)+SUMIFS(输入回款!$D:$D,输入回款!$A:$A,助手回款!$X5,输入回款!$B:$B,科目对照回款!$H$6)),2)</f>
        <v>-425.6</v>
      </c>
      <c r="H51" s="49" t="str">
        <f aca="false">IF(ROUND($G51,2)&gt;0,ROUND($G51,2),"")</f>
        <v/>
      </c>
      <c r="I51" s="49" t="n">
        <f aca="false">IF(ROUND($G51,2)&lt;0,-ROUND($G51,2),"")</f>
        <v>425.6</v>
      </c>
      <c r="J51" s="20" t="n">
        <f aca="false">IF(ROUND($G51,2)=0,0,1)</f>
        <v>1</v>
      </c>
      <c r="K51" s="20" t="n">
        <f aca="false">IF($J51=0,"",SUM($J$47:$J51))</f>
        <v>5</v>
      </c>
      <c r="L51" s="20" t="n">
        <f aca="false">IF($K51="","",$A51*100+$K51)</f>
        <v>405</v>
      </c>
      <c r="M51" s="48" t="str">
        <f aca="false">参数!$B$4</f>
        <v>回款</v>
      </c>
    </row>
    <row r="52" customFormat="false" ht="13.5" hidden="false" customHeight="false" outlineLevel="0" collapsed="false">
      <c r="A52" s="47" t="n">
        <v>4</v>
      </c>
      <c r="B52" s="38" t="n">
        <f aca="false">助手回款!$B5</f>
        <v>2004</v>
      </c>
      <c r="C52" s="48" t="str">
        <f aca="false">助手回款!$C5</f>
        <v>东关店</v>
      </c>
      <c r="D52" s="48" t="str">
        <f aca="false">科目对照回款!$B7&amp;""</f>
        <v>饿了么</v>
      </c>
      <c r="E52" s="48" t="str">
        <f aca="false">科目对照回款!$C7&amp;""</f>
        <v>应收账款</v>
      </c>
      <c r="F52" s="48" t="str">
        <f aca="false">科目对照回款!$D7&amp;""</f>
        <v>饿了么</v>
      </c>
      <c r="G52" s="49" t="n">
        <f aca="false">-ROUND(IF(科目对照回款!$F$7="",0,SUMIFS(输入回款!$C:$C,输入回款!$A:$A,助手回款!$X5,输入回款!$B:$B,科目对照回款!$F$7)+SUMIFS(输入回款!$D:$D,输入回款!$A:$A,助手回款!$X5,输入回款!$B:$B,科目对照回款!$F$7))+IF(科目对照回款!$G$7="",0,SUMIFS(输入回款!$C:$C,输入回款!$A:$A,助手回款!$X5,输入回款!$B:$B,科目对照回款!$G$7)+SUMIFS(输入回款!$D:$D,输入回款!$A:$A,助手回款!$X5,输入回款!$B:$B,科目对照回款!$G$7))+IF(科目对照回款!$H$7="",0,SUMIFS(输入回款!$C:$C,输入回款!$A:$A,助手回款!$X5,输入回款!$B:$B,科目对照回款!$H$7)+SUMIFS(输入回款!$D:$D,输入回款!$A:$A,助手回款!$X5,输入回款!$B:$B,科目对照回款!$H$7)),2)</f>
        <v>-106.8</v>
      </c>
      <c r="H52" s="49" t="str">
        <f aca="false">IF(ROUND($G52,2)&gt;0,ROUND($G52,2),"")</f>
        <v/>
      </c>
      <c r="I52" s="49" t="n">
        <f aca="false">IF(ROUND($G52,2)&lt;0,-ROUND($G52,2),"")</f>
        <v>106.8</v>
      </c>
      <c r="J52" s="20" t="n">
        <f aca="false">IF(ROUND($G52,2)=0,0,1)</f>
        <v>1</v>
      </c>
      <c r="K52" s="20" t="n">
        <f aca="false">IF($J52=0,"",SUM($J$47:$J52))</f>
        <v>6</v>
      </c>
      <c r="L52" s="20" t="n">
        <f aca="false">IF($K52="","",$A52*100+$K52)</f>
        <v>406</v>
      </c>
      <c r="M52" s="48" t="str">
        <f aca="false">参数!$B$4</f>
        <v>回款</v>
      </c>
    </row>
    <row r="53" customFormat="false" ht="13.5" hidden="false" customHeight="false" outlineLevel="0" collapsed="false">
      <c r="A53" s="47" t="n">
        <v>4</v>
      </c>
      <c r="B53" s="38" t="n">
        <f aca="false">助手回款!$B5</f>
        <v>2004</v>
      </c>
      <c r="C53" s="48" t="str">
        <f aca="false">助手回款!$C5</f>
        <v>东关店</v>
      </c>
      <c r="D53" s="48" t="str">
        <f aca="false">科目对照回款!$B8&amp;""</f>
        <v>24小时</v>
      </c>
      <c r="E53" s="48" t="str">
        <f aca="false">科目对照回款!$C8&amp;""</f>
        <v>应收账款</v>
      </c>
      <c r="F53" s="48" t="str">
        <f aca="false">科目对照回款!$D8&amp;""</f>
        <v>24小时</v>
      </c>
      <c r="G53" s="49" t="n">
        <f aca="false">-ROUND(IF(科目对照回款!$F$8="",0,SUMIFS(输入回款!$C:$C,输入回款!$A:$A,助手回款!$X5,输入回款!$B:$B,科目对照回款!$F$8)+SUMIFS(输入回款!$D:$D,输入回款!$A:$A,助手回款!$X5,输入回款!$B:$B,科目对照回款!$F$8))+IF(科目对照回款!$G$8="",0,SUMIFS(输入回款!$C:$C,输入回款!$A:$A,助手回款!$X5,输入回款!$B:$B,科目对照回款!$G$8)+SUMIFS(输入回款!$D:$D,输入回款!$A:$A,助手回款!$X5,输入回款!$B:$B,科目对照回款!$G$8))+IF(科目对照回款!$H$8="",0,SUMIFS(输入回款!$C:$C,输入回款!$A:$A,助手回款!$X5,输入回款!$B:$B,科目对照回款!$H$8)+SUMIFS(输入回款!$D:$D,输入回款!$A:$A,助手回款!$X5,输入回款!$B:$B,科目对照回款!$H$8)),2)</f>
        <v>-0</v>
      </c>
      <c r="H53" s="49" t="str">
        <f aca="false">IF(ROUND($G53,2)&gt;0,ROUND($G53,2),"")</f>
        <v/>
      </c>
      <c r="I53" s="49" t="str">
        <f aca="false">IF(ROUND($G53,2)&lt;0,-ROUND($G53,2),"")</f>
        <v/>
      </c>
      <c r="J53" s="20" t="n">
        <f aca="false">IF(ROUND($G53,2)=0,0,1)</f>
        <v>0</v>
      </c>
      <c r="K53" s="20" t="str">
        <f aca="false">IF($J53=0,"",SUM($J$47:$J53))</f>
        <v/>
      </c>
      <c r="L53" s="20" t="str">
        <f aca="false">IF($K53="","",$A53*100+$K53)</f>
        <v/>
      </c>
      <c r="M53" s="48" t="str">
        <f aca="false">参数!$B$4</f>
        <v>回款</v>
      </c>
    </row>
    <row r="54" customFormat="false" ht="13.5" hidden="false" customHeight="false" outlineLevel="0" collapsed="false">
      <c r="A54" s="47" t="n">
        <v>4</v>
      </c>
      <c r="B54" s="38" t="n">
        <f aca="false">助手回款!$B5</f>
        <v>2004</v>
      </c>
      <c r="C54" s="48" t="str">
        <f aca="false">助手回款!$C5</f>
        <v>东关店</v>
      </c>
      <c r="D54" s="48" t="str">
        <f aca="false">科目对照回款!$B9&amp;""</f>
        <v>健E卡</v>
      </c>
      <c r="E54" s="48" t="str">
        <f aca="false">科目对照回款!$C9&amp;""</f>
        <v>应收账款</v>
      </c>
      <c r="F54" s="48" t="str">
        <f aca="false">科目对照回款!$D9&amp;""</f>
        <v>健E卡</v>
      </c>
      <c r="G54" s="49" t="n">
        <f aca="false">-ROUND(IF(科目对照回款!$F$9="",0,SUMIFS(输入回款!$C:$C,输入回款!$A:$A,助手回款!$X5,输入回款!$B:$B,科目对照回款!$F$9)+SUMIFS(输入回款!$D:$D,输入回款!$A:$A,助手回款!$X5,输入回款!$B:$B,科目对照回款!$F$9))+IF(科目对照回款!$G$9="",0,SUMIFS(输入回款!$C:$C,输入回款!$A:$A,助手回款!$X5,输入回款!$B:$B,科目对照回款!$G$9)+SUMIFS(输入回款!$D:$D,输入回款!$A:$A,助手回款!$X5,输入回款!$B:$B,科目对照回款!$G$9))+IF(科目对照回款!$H$9="",0,SUMIFS(输入回款!$C:$C,输入回款!$A:$A,助手回款!$X5,输入回款!$B:$B,科目对照回款!$H$9)+SUMIFS(输入回款!$D:$D,输入回款!$A:$A,助手回款!$X5,输入回款!$B:$B,科目对照回款!$H$9)),2)</f>
        <v>-0</v>
      </c>
      <c r="H54" s="49" t="str">
        <f aca="false">IF(ROUND($G54,2)&gt;0,ROUND($G54,2),"")</f>
        <v/>
      </c>
      <c r="I54" s="49" t="str">
        <f aca="false">IF(ROUND($G54,2)&lt;0,-ROUND($G54,2),"")</f>
        <v/>
      </c>
      <c r="J54" s="20" t="n">
        <f aca="false">IF(ROUND($G54,2)=0,0,1)</f>
        <v>0</v>
      </c>
      <c r="K54" s="20" t="str">
        <f aca="false">IF($J54=0,"",SUM($J$47:$J54))</f>
        <v/>
      </c>
      <c r="L54" s="20" t="str">
        <f aca="false">IF($K54="","",$A54*100+$K54)</f>
        <v/>
      </c>
      <c r="M54" s="48" t="str">
        <f aca="false">参数!$B$4</f>
        <v>回款</v>
      </c>
    </row>
    <row r="55" customFormat="false" ht="13.5" hidden="false" customHeight="false" outlineLevel="0" collapsed="false">
      <c r="A55" s="47" t="n">
        <v>4</v>
      </c>
      <c r="B55" s="38" t="n">
        <f aca="false">助手回款!$B5</f>
        <v>2004</v>
      </c>
      <c r="C55" s="48" t="str">
        <f aca="false">助手回款!$C5</f>
        <v>东关店</v>
      </c>
      <c r="D55" s="48" t="str">
        <f aca="false">科目对照回款!$B10&amp;""</f>
        <v>医卡通</v>
      </c>
      <c r="E55" s="48" t="str">
        <f aca="false">科目对照回款!$C10&amp;""</f>
        <v>应收账款</v>
      </c>
      <c r="F55" s="48" t="str">
        <f aca="false">科目对照回款!$D10&amp;""</f>
        <v>医卡通</v>
      </c>
      <c r="G55" s="49" t="n">
        <f aca="false">-ROUND(IF(科目对照回款!$F$10="",0,SUMIFS(输入回款!$C:$C,输入回款!$A:$A,助手回款!$X5,输入回款!$B:$B,科目对照回款!$F$10)+SUMIFS(输入回款!$D:$D,输入回款!$A:$A,助手回款!$X5,输入回款!$B:$B,科目对照回款!$F$10))+IF(科目对照回款!$G$10="",0,SUMIFS(输入回款!$C:$C,输入回款!$A:$A,助手回款!$X5,输入回款!$B:$B,科目对照回款!$G$10)+SUMIFS(输入回款!$D:$D,输入回款!$A:$A,助手回款!$X5,输入回款!$B:$B,科目对照回款!$G$10))+IF(科目对照回款!$H$10="",0,SUMIFS(输入回款!$C:$C,输入回款!$A:$A,助手回款!$X5,输入回款!$B:$B,科目对照回款!$H$10)+SUMIFS(输入回款!$D:$D,输入回款!$A:$A,助手回款!$X5,输入回款!$B:$B,科目对照回款!$H$10)),2)</f>
        <v>-0</v>
      </c>
      <c r="H55" s="49" t="str">
        <f aca="false">IF(ROUND($G55,2)&gt;0,ROUND($G55,2),"")</f>
        <v/>
      </c>
      <c r="I55" s="49" t="str">
        <f aca="false">IF(ROUND($G55,2)&lt;0,-ROUND($G55,2),"")</f>
        <v/>
      </c>
      <c r="J55" s="20" t="n">
        <f aca="false">IF(ROUND($G55,2)=0,0,1)</f>
        <v>0</v>
      </c>
      <c r="K55" s="20" t="str">
        <f aca="false">IF($J55=0,"",SUM($J$47:$J55))</f>
        <v/>
      </c>
      <c r="L55" s="20" t="str">
        <f aca="false">IF($K55="","",$A55*100+$K55)</f>
        <v/>
      </c>
      <c r="M55" s="48" t="str">
        <f aca="false">参数!$B$4</f>
        <v>回款</v>
      </c>
    </row>
    <row r="56" customFormat="false" ht="13.5" hidden="false" customHeight="false" outlineLevel="0" collapsed="false">
      <c r="A56" s="47" t="n">
        <v>4</v>
      </c>
      <c r="B56" s="38" t="n">
        <f aca="false">助手回款!$B5</f>
        <v>2004</v>
      </c>
      <c r="C56" s="48" t="str">
        <f aca="false">助手回款!$C5</f>
        <v>东关店</v>
      </c>
      <c r="D56" s="48" t="str">
        <f aca="false">科目对照回款!$B11&amp;""</f>
        <v>企健网</v>
      </c>
      <c r="E56" s="48" t="str">
        <f aca="false">科目对照回款!$C11&amp;""</f>
        <v>应收账款</v>
      </c>
      <c r="F56" s="48" t="str">
        <f aca="false">科目对照回款!$D11&amp;""</f>
        <v>企健网</v>
      </c>
      <c r="G56" s="49" t="n">
        <f aca="false">-ROUND(IF(科目对照回款!$F$11="",0,SUMIFS(输入回款!$C:$C,输入回款!$A:$A,助手回款!$X5,输入回款!$B:$B,科目对照回款!$F$11)+SUMIFS(输入回款!$D:$D,输入回款!$A:$A,助手回款!$X5,输入回款!$B:$B,科目对照回款!$F$11))+IF(科目对照回款!$G$11="",0,SUMIFS(输入回款!$C:$C,输入回款!$A:$A,助手回款!$X5,输入回款!$B:$B,科目对照回款!$G$11)+SUMIFS(输入回款!$D:$D,输入回款!$A:$A,助手回款!$X5,输入回款!$B:$B,科目对照回款!$G$11))+IF(科目对照回款!$H$11="",0,SUMIFS(输入回款!$C:$C,输入回款!$A:$A,助手回款!$X5,输入回款!$B:$B,科目对照回款!$H$11)+SUMIFS(输入回款!$D:$D,输入回款!$A:$A,助手回款!$X5,输入回款!$B:$B,科目对照回款!$H$11)),2)</f>
        <v>-0</v>
      </c>
      <c r="H56" s="49" t="str">
        <f aca="false">IF(ROUND($G56,2)&gt;0,ROUND($G56,2),"")</f>
        <v/>
      </c>
      <c r="I56" s="49" t="str">
        <f aca="false">IF(ROUND($G56,2)&lt;0,-ROUND($G56,2),"")</f>
        <v/>
      </c>
      <c r="J56" s="20" t="n">
        <f aca="false">IF(ROUND($G56,2)=0,0,1)</f>
        <v>0</v>
      </c>
      <c r="K56" s="20" t="str">
        <f aca="false">IF($J56=0,"",SUM($J$47:$J56))</f>
        <v/>
      </c>
      <c r="L56" s="20" t="str">
        <f aca="false">IF($K56="","",$A56*100+$K56)</f>
        <v/>
      </c>
      <c r="M56" s="48" t="str">
        <f aca="false">参数!$B$4</f>
        <v>回款</v>
      </c>
    </row>
    <row r="57" customFormat="false" ht="13.5" hidden="false" customHeight="false" outlineLevel="0" collapsed="false">
      <c r="A57" s="47" t="n">
        <v>4</v>
      </c>
      <c r="B57" s="38" t="n">
        <f aca="false">助手回款!$B5</f>
        <v>2004</v>
      </c>
      <c r="C57" s="48" t="str">
        <f aca="false">助手回款!$C5</f>
        <v>东关店</v>
      </c>
      <c r="D57" s="48" t="str">
        <f aca="false">科目对照回款!$B12&amp;""</f>
        <v>亲情卡</v>
      </c>
      <c r="E57" s="48" t="str">
        <f aca="false">科目对照回款!$C12&amp;""</f>
        <v>应收账款</v>
      </c>
      <c r="F57" s="48" t="str">
        <f aca="false">科目对照回款!$D12&amp;""</f>
        <v>亲情卡</v>
      </c>
      <c r="G57" s="49" t="n">
        <f aca="false">-ROUND(IF(科目对照回款!$F$12="",0,SUMIFS(输入回款!$C:$C,输入回款!$A:$A,助手回款!$X5,输入回款!$B:$B,科目对照回款!$F$12)+SUMIFS(输入回款!$D:$D,输入回款!$A:$A,助手回款!$X5,输入回款!$B:$B,科目对照回款!$F$12))+IF(科目对照回款!$G$12="",0,SUMIFS(输入回款!$C:$C,输入回款!$A:$A,助手回款!$X5,输入回款!$B:$B,科目对照回款!$G$12)+SUMIFS(输入回款!$D:$D,输入回款!$A:$A,助手回款!$X5,输入回款!$B:$B,科目对照回款!$G$12))+IF(科目对照回款!$H$12="",0,SUMIFS(输入回款!$C:$C,输入回款!$A:$A,助手回款!$X5,输入回款!$B:$B,科目对照回款!$H$12)+SUMIFS(输入回款!$D:$D,输入回款!$A:$A,助手回款!$X5,输入回款!$B:$B,科目对照回款!$H$12)),2)</f>
        <v>-0</v>
      </c>
      <c r="H57" s="49" t="str">
        <f aca="false">IF(ROUND($G57,2)&gt;0,ROUND($G57,2),"")</f>
        <v/>
      </c>
      <c r="I57" s="49" t="str">
        <f aca="false">IF(ROUND($G57,2)&lt;0,-ROUND($G57,2),"")</f>
        <v/>
      </c>
      <c r="J57" s="20" t="n">
        <f aca="false">IF(ROUND($G57,2)=0,0,1)</f>
        <v>0</v>
      </c>
      <c r="K57" s="20" t="str">
        <f aca="false">IF($J57=0,"",SUM($J$47:$J57))</f>
        <v/>
      </c>
      <c r="L57" s="20" t="str">
        <f aca="false">IF($K57="","",$A57*100+$K57)</f>
        <v/>
      </c>
      <c r="M57" s="48" t="str">
        <f aca="false">参数!$B$4</f>
        <v>回款</v>
      </c>
    </row>
    <row r="58" customFormat="false" ht="13.5" hidden="false" customHeight="false" outlineLevel="0" collapsed="false">
      <c r="A58" s="47" t="n">
        <v>4</v>
      </c>
      <c r="B58" s="38" t="n">
        <f aca="false">助手回款!$B5</f>
        <v>2004</v>
      </c>
      <c r="C58" s="48" t="str">
        <f aca="false">助手回款!$C5</f>
        <v>东关店</v>
      </c>
      <c r="D58" s="48" t="str">
        <f aca="false">科目对照回款!$B13&amp;""</f>
        <v>银联</v>
      </c>
      <c r="E58" s="48" t="str">
        <f aca="false">科目对照回款!$C13&amp;""</f>
        <v>应收账款</v>
      </c>
      <c r="F58" s="48" t="str">
        <f aca="false">科目对照回款!$D13&amp;""</f>
        <v>银联</v>
      </c>
      <c r="G58" s="49" t="n">
        <f aca="false">-ROUND(IF(科目对照回款!$F$13="",0,SUMIFS(输入回款!$C:$C,输入回款!$A:$A,助手回款!$X5,输入回款!$B:$B,科目对照回款!$F$13)+SUMIFS(输入回款!$D:$D,输入回款!$A:$A,助手回款!$X5,输入回款!$B:$B,科目对照回款!$F$13))+IF(科目对照回款!$G$13="",0,SUMIFS(输入回款!$C:$C,输入回款!$A:$A,助手回款!$X5,输入回款!$B:$B,科目对照回款!$G$13)+SUMIFS(输入回款!$D:$D,输入回款!$A:$A,助手回款!$X5,输入回款!$B:$B,科目对照回款!$G$13))+IF(科目对照回款!$H$13="",0,SUMIFS(输入回款!$C:$C,输入回款!$A:$A,助手回款!$X5,输入回款!$B:$B,科目对照回款!$H$13)+SUMIFS(输入回款!$D:$D,输入回款!$A:$A,助手回款!$X5,输入回款!$B:$B,科目对照回款!$H$13)),2)</f>
        <v>-0</v>
      </c>
      <c r="H58" s="49" t="str">
        <f aca="false">IF(ROUND($G58,2)&gt;0,ROUND($G58,2),"")</f>
        <v/>
      </c>
      <c r="I58" s="49" t="str">
        <f aca="false">IF(ROUND($G58,2)&lt;0,-ROUND($G58,2),"")</f>
        <v/>
      </c>
      <c r="J58" s="20" t="n">
        <f aca="false">IF(ROUND($G58,2)=0,0,1)</f>
        <v>0</v>
      </c>
      <c r="K58" s="20" t="str">
        <f aca="false">IF($J58=0,"",SUM($J$47:$J58))</f>
        <v/>
      </c>
      <c r="L58" s="20" t="str">
        <f aca="false">IF($K58="","",$A58*100+$K58)</f>
        <v/>
      </c>
      <c r="M58" s="48" t="str">
        <f aca="false">参数!$B$4</f>
        <v>回款</v>
      </c>
    </row>
    <row r="59" customFormat="false" ht="13.5" hidden="false" customHeight="false" outlineLevel="0" collapsed="false">
      <c r="A59" s="47" t="n">
        <v>4</v>
      </c>
      <c r="B59" s="38" t="n">
        <f aca="false">助手回款!$B5</f>
        <v>2004</v>
      </c>
      <c r="C59" s="48" t="str">
        <f aca="false">助手回款!$C5</f>
        <v>东关店</v>
      </c>
      <c r="D59" s="48" t="str">
        <f aca="false">科目对照回款!$B14&amp;""</f>
        <v>代金券</v>
      </c>
      <c r="E59" s="48" t="str">
        <f aca="false">科目对照回款!$C14&amp;""</f>
        <v>应收账款</v>
      </c>
      <c r="F59" s="48" t="str">
        <f aca="false">科目对照回款!$D14&amp;""</f>
        <v>代金券</v>
      </c>
      <c r="G59" s="49" t="n">
        <f aca="false">-ROUND(IF(科目对照回款!$F$14="",0,SUMIFS(输入回款!$C:$C,输入回款!$A:$A,助手回款!$X5,输入回款!$B:$B,科目对照回款!$F$14)+SUMIFS(输入回款!$D:$D,输入回款!$A:$A,助手回款!$X5,输入回款!$B:$B,科目对照回款!$F$14))+IF(科目对照回款!$G$14="",0,SUMIFS(输入回款!$C:$C,输入回款!$A:$A,助手回款!$X5,输入回款!$B:$B,科目对照回款!$G$14)+SUMIFS(输入回款!$D:$D,输入回款!$A:$A,助手回款!$X5,输入回款!$B:$B,科目对照回款!$G$14))+IF(科目对照回款!$H$14="",0,SUMIFS(输入回款!$C:$C,输入回款!$A:$A,助手回款!$X5,输入回款!$B:$B,科目对照回款!$H$14)+SUMIFS(输入回款!$D:$D,输入回款!$A:$A,助手回款!$X5,输入回款!$B:$B,科目对照回款!$H$14)),2)</f>
        <v>-0</v>
      </c>
      <c r="H59" s="49" t="str">
        <f aca="false">IF(ROUND($G59,2)&gt;0,ROUND($G59,2),"")</f>
        <v/>
      </c>
      <c r="I59" s="49" t="str">
        <f aca="false">IF(ROUND($G59,2)&lt;0,-ROUND($G59,2),"")</f>
        <v/>
      </c>
      <c r="J59" s="20" t="n">
        <f aca="false">IF(ROUND($G59,2)=0,0,1)</f>
        <v>0</v>
      </c>
      <c r="K59" s="20" t="str">
        <f aca="false">IF($J59=0,"",SUM($J$47:$J59))</f>
        <v/>
      </c>
      <c r="L59" s="20" t="str">
        <f aca="false">IF($K59="","",$A59*100+$K59)</f>
        <v/>
      </c>
      <c r="M59" s="48" t="str">
        <f aca="false">参数!$B$4</f>
        <v>回款</v>
      </c>
    </row>
    <row r="60" customFormat="false" ht="13.5" hidden="false" customHeight="false" outlineLevel="0" collapsed="false">
      <c r="A60" s="47" t="n">
        <v>4</v>
      </c>
      <c r="B60" s="38" t="n">
        <f aca="false">助手回款!$B5</f>
        <v>2004</v>
      </c>
      <c r="C60" s="48" t="str">
        <f aca="false">助手回款!$C5</f>
        <v>东关店</v>
      </c>
      <c r="D60" s="48" t="str">
        <f aca="false">科目对照回款!$B15&amp;""</f>
        <v>药机微信</v>
      </c>
      <c r="E60" s="48" t="str">
        <f aca="false">科目对照回款!$C15&amp;""</f>
        <v>应收账款</v>
      </c>
      <c r="F60" s="48" t="str">
        <f aca="false">科目对照回款!$D15&amp;""</f>
        <v>药机微信</v>
      </c>
      <c r="G60" s="49" t="n">
        <f aca="false">-ROUND(IF(科目对照回款!$F$15="",0,SUMIFS(输入回款!$C:$C,输入回款!$A:$A,助手回款!$X5,输入回款!$B:$B,科目对照回款!$F$15)+SUMIFS(输入回款!$D:$D,输入回款!$A:$A,助手回款!$X5,输入回款!$B:$B,科目对照回款!$F$15))+IF(科目对照回款!$G$15="",0,SUMIFS(输入回款!$C:$C,输入回款!$A:$A,助手回款!$X5,输入回款!$B:$B,科目对照回款!$G$15)+SUMIFS(输入回款!$D:$D,输入回款!$A:$A,助手回款!$X5,输入回款!$B:$B,科目对照回款!$G$15))+IF(科目对照回款!$H$15="",0,SUMIFS(输入回款!$C:$C,输入回款!$A:$A,助手回款!$X5,输入回款!$B:$B,科目对照回款!$H$15)+SUMIFS(输入回款!$D:$D,输入回款!$A:$A,助手回款!$X5,输入回款!$B:$B,科目对照回款!$H$15)),2)</f>
        <v>-0</v>
      </c>
      <c r="H60" s="49" t="str">
        <f aca="false">IF(ROUND($G60,2)&gt;0,ROUND($G60,2),"")</f>
        <v/>
      </c>
      <c r="I60" s="49" t="str">
        <f aca="false">IF(ROUND($G60,2)&lt;0,-ROUND($G60,2),"")</f>
        <v/>
      </c>
      <c r="J60" s="20" t="n">
        <f aca="false">IF(ROUND($G60,2)=0,0,1)</f>
        <v>0</v>
      </c>
      <c r="K60" s="20" t="str">
        <f aca="false">IF($J60=0,"",SUM($J$47:$J60))</f>
        <v/>
      </c>
      <c r="L60" s="20" t="str">
        <f aca="false">IF($K60="","",$A60*100+$K60)</f>
        <v/>
      </c>
      <c r="M60" s="48" t="str">
        <f aca="false">参数!$B$4</f>
        <v>回款</v>
      </c>
    </row>
    <row r="61" customFormat="false" ht="13.5" hidden="false" customHeight="false" outlineLevel="0" collapsed="false">
      <c r="A61" s="47" t="n">
        <v>4</v>
      </c>
      <c r="B61" s="38" t="n">
        <f aca="false">助手回款!$B5</f>
        <v>2004</v>
      </c>
      <c r="C61" s="48" t="str">
        <f aca="false">助手回款!$C5</f>
        <v>东关店</v>
      </c>
      <c r="D61" s="48" t="str">
        <f aca="false">科目对照回款!$B16&amp;""</f>
        <v>储值卡</v>
      </c>
      <c r="E61" s="48" t="str">
        <f aca="false">科目对照回款!$C16&amp;""</f>
        <v>其他应收款</v>
      </c>
      <c r="F61" s="48" t="str">
        <f aca="false">科目对照回款!$D16&amp;""</f>
        <v>储值卡</v>
      </c>
      <c r="G61" s="49" t="n">
        <f aca="false">-ROUND(IF(科目对照回款!$F$16="",0,SUMIFS(输入回款!$C:$C,输入回款!$A:$A,助手回款!$X5,输入回款!$B:$B,科目对照回款!$F$16)+SUMIFS(输入回款!$D:$D,输入回款!$A:$A,助手回款!$X5,输入回款!$B:$B,科目对照回款!$F$16))+IF(科目对照回款!$G$16="",0,SUMIFS(输入回款!$C:$C,输入回款!$A:$A,助手回款!$X5,输入回款!$B:$B,科目对照回款!$G$16)+SUMIFS(输入回款!$D:$D,输入回款!$A:$A,助手回款!$X5,输入回款!$B:$B,科目对照回款!$G$16))+IF(科目对照回款!$H$16="",0,SUMIFS(输入回款!$C:$C,输入回款!$A:$A,助手回款!$X5,输入回款!$B:$B,科目对照回款!$H$16)+SUMIFS(输入回款!$D:$D,输入回款!$A:$A,助手回款!$X5,输入回款!$B:$B,科目对照回款!$H$16)),2)</f>
        <v>-0</v>
      </c>
      <c r="H61" s="49" t="str">
        <f aca="false">IF(ROUND($G61,2)&gt;0,ROUND($G61,2),"")</f>
        <v/>
      </c>
      <c r="I61" s="49" t="str">
        <f aca="false">IF(ROUND($G61,2)&lt;0,-ROUND($G61,2),"")</f>
        <v/>
      </c>
      <c r="J61" s="20" t="n">
        <f aca="false">IF(ROUND($G61,2)=0,0,1)</f>
        <v>0</v>
      </c>
      <c r="K61" s="20" t="str">
        <f aca="false">IF($J61=0,"",SUM($J$47:$J61))</f>
        <v/>
      </c>
      <c r="L61" s="20" t="str">
        <f aca="false">IF($K61="","",$A61*100+$K61)</f>
        <v/>
      </c>
      <c r="M61" s="48" t="str">
        <f aca="false">参数!$B$4</f>
        <v>回款</v>
      </c>
    </row>
    <row r="62" customFormat="false" ht="13.5" hidden="false" customHeight="false" outlineLevel="0" collapsed="false">
      <c r="A62" s="47" t="n">
        <v>5</v>
      </c>
      <c r="B62" s="38" t="n">
        <f aca="false">助手回款!$B6</f>
        <v>2005</v>
      </c>
      <c r="C62" s="48" t="str">
        <f aca="false">助手回款!$C6</f>
        <v>象城街店</v>
      </c>
      <c r="D62" s="48" t="str">
        <f aca="false">科目对照回款!$B2&amp;""</f>
        <v>库存现金</v>
      </c>
      <c r="E62" s="48" t="str">
        <f aca="false">科目对照回款!$C2&amp;""</f>
        <v>库存现金</v>
      </c>
      <c r="F62" s="48" t="str">
        <f aca="false">科目对照回款!$D2&amp;""</f>
        <v/>
      </c>
      <c r="G62" s="49" t="n">
        <f aca="false">助手回款!$E6</f>
        <v>47151.07</v>
      </c>
      <c r="H62" s="49" t="n">
        <f aca="false">IF(ROUND($G62,2)&gt;0,ROUND($G62,2),"")</f>
        <v>47151.07</v>
      </c>
      <c r="I62" s="49" t="str">
        <f aca="false">IF(ROUND($G62,2)&lt;0,-ROUND($G62,2),"")</f>
        <v/>
      </c>
      <c r="J62" s="20" t="n">
        <f aca="false">IF(ROUND($G62,2)=0,0,1)</f>
        <v>1</v>
      </c>
      <c r="K62" s="20" t="n">
        <f aca="false">IF($J62=0,"",SUM($J$62:$J62))</f>
        <v>1</v>
      </c>
      <c r="L62" s="20" t="n">
        <f aca="false">IF($K62="","",$A62*100+$K62)</f>
        <v>501</v>
      </c>
      <c r="M62" s="48" t="str">
        <f aca="false">参数!$B$4</f>
        <v>回款</v>
      </c>
    </row>
    <row r="63" customFormat="false" ht="13.5" hidden="false" customHeight="false" outlineLevel="0" collapsed="false">
      <c r="A63" s="47" t="n">
        <v>5</v>
      </c>
      <c r="B63" s="38" t="n">
        <f aca="false">助手回款!$B6</f>
        <v>2005</v>
      </c>
      <c r="C63" s="48" t="str">
        <f aca="false">助手回款!$C6</f>
        <v>象城街店</v>
      </c>
      <c r="D63" s="48" t="str">
        <f aca="false">科目对照回款!$B3&amp;""</f>
        <v>手续费</v>
      </c>
      <c r="E63" s="48" t="str">
        <f aca="false">科目对照回款!$C3&amp;""</f>
        <v>财务费用</v>
      </c>
      <c r="F63" s="48" t="str">
        <f aca="false">科目对照回款!$D3&amp;""</f>
        <v>手续费</v>
      </c>
      <c r="G63" s="49" t="n">
        <f aca="false">助手回款!$F6</f>
        <v>82.32</v>
      </c>
      <c r="H63" s="49" t="n">
        <f aca="false">IF(ROUND($G63,2)&gt;0,ROUND($G63,2),"")</f>
        <v>82.32</v>
      </c>
      <c r="I63" s="49" t="str">
        <f aca="false">IF(ROUND($G63,2)&lt;0,-ROUND($G63,2),"")</f>
        <v/>
      </c>
      <c r="J63" s="20" t="n">
        <f aca="false">IF(ROUND($G63,2)=0,0,1)</f>
        <v>1</v>
      </c>
      <c r="K63" s="20" t="n">
        <f aca="false">IF($J63=0,"",SUM($J$62:$J63))</f>
        <v>2</v>
      </c>
      <c r="L63" s="20" t="n">
        <f aca="false">IF($K63="","",$A63*100+$K63)</f>
        <v>502</v>
      </c>
      <c r="M63" s="48" t="str">
        <f aca="false">参数!$B$4</f>
        <v>回款</v>
      </c>
    </row>
    <row r="64" customFormat="false" ht="13.5" hidden="false" customHeight="false" outlineLevel="0" collapsed="false">
      <c r="A64" s="47" t="n">
        <v>5</v>
      </c>
      <c r="B64" s="38" t="n">
        <f aca="false">助手回款!$B6</f>
        <v>2005</v>
      </c>
      <c r="C64" s="48" t="str">
        <f aca="false">助手回款!$C6</f>
        <v>象城街店</v>
      </c>
      <c r="D64" s="48" t="str">
        <f aca="false">科目对照回款!$B4&amp;""</f>
        <v>聚合支付</v>
      </c>
      <c r="E64" s="48" t="str">
        <f aca="false">科目对照回款!$C4&amp;""</f>
        <v>应收账款</v>
      </c>
      <c r="F64" s="48" t="str">
        <f aca="false">科目对照回款!$D4&amp;""</f>
        <v>聚合支付</v>
      </c>
      <c r="G64" s="49" t="n">
        <f aca="false">-ROUND(IF(科目对照回款!$F$4="",0,SUMIFS(输入回款!$C:$C,输入回款!$A:$A,助手回款!$X6,输入回款!$B:$B,科目对照回款!$F$4)+SUMIFS(输入回款!$D:$D,输入回款!$A:$A,助手回款!$X6,输入回款!$B:$B,科目对照回款!$F$4))+IF(科目对照回款!$G$4="",0,SUMIFS(输入回款!$C:$C,输入回款!$A:$A,助手回款!$X6,输入回款!$B:$B,科目对照回款!$G$4)+SUMIFS(输入回款!$D:$D,输入回款!$A:$A,助手回款!$X6,输入回款!$B:$B,科目对照回款!$G$4))+IF(科目对照回款!$H$4="",0,SUMIFS(输入回款!$C:$C,输入回款!$A:$A,助手回款!$X6,输入回款!$B:$B,科目对照回款!$H$4)+SUMIFS(输入回款!$D:$D,输入回款!$A:$A,助手回款!$X6,输入回款!$B:$B,科目对照回款!$H$4)),2)</f>
        <v>-17238.67</v>
      </c>
      <c r="H64" s="49" t="str">
        <f aca="false">IF(ROUND($G64,2)&gt;0,ROUND($G64,2),"")</f>
        <v/>
      </c>
      <c r="I64" s="49" t="n">
        <f aca="false">IF(ROUND($G64,2)&lt;0,-ROUND($G64,2),"")</f>
        <v>17238.67</v>
      </c>
      <c r="J64" s="20" t="n">
        <f aca="false">IF(ROUND($G64,2)=0,0,1)</f>
        <v>1</v>
      </c>
      <c r="K64" s="20" t="n">
        <f aca="false">IF($J64=0,"",SUM($J$62:$J64))</f>
        <v>3</v>
      </c>
      <c r="L64" s="20" t="n">
        <f aca="false">IF($K64="","",$A64*100+$K64)</f>
        <v>503</v>
      </c>
      <c r="M64" s="48" t="str">
        <f aca="false">参数!$B$4</f>
        <v>回款</v>
      </c>
    </row>
    <row r="65" customFormat="false" ht="13.5" hidden="false" customHeight="false" outlineLevel="0" collapsed="false">
      <c r="A65" s="47" t="n">
        <v>5</v>
      </c>
      <c r="B65" s="38" t="n">
        <f aca="false">助手回款!$B6</f>
        <v>2005</v>
      </c>
      <c r="C65" s="48" t="str">
        <f aca="false">助手回款!$C6</f>
        <v>象城街店</v>
      </c>
      <c r="D65" s="48" t="str">
        <f aca="false">科目对照回款!$B5&amp;""</f>
        <v>医保</v>
      </c>
      <c r="E65" s="48" t="str">
        <f aca="false">科目对照回款!$C5&amp;""</f>
        <v>应收账款</v>
      </c>
      <c r="F65" s="48" t="str">
        <f aca="false">科目对照回款!$D5&amp;""</f>
        <v>医保</v>
      </c>
      <c r="G65" s="49" t="n">
        <f aca="false">-ROUND(IF(科目对照回款!$F$5="",0,SUMIFS(输入回款!$C:$C,输入回款!$A:$A,助手回款!$X6,输入回款!$B:$B,科目对照回款!$F$5)+SUMIFS(输入回款!$D:$D,输入回款!$A:$A,助手回款!$X6,输入回款!$B:$B,科目对照回款!$F$5))+IF(科目对照回款!$G$5="",0,SUMIFS(输入回款!$C:$C,输入回款!$A:$A,助手回款!$X6,输入回款!$B:$B,科目对照回款!$G$5)+SUMIFS(输入回款!$D:$D,输入回款!$A:$A,助手回款!$X6,输入回款!$B:$B,科目对照回款!$G$5))+IF(科目对照回款!$H$5="",0,SUMIFS(输入回款!$C:$C,输入回款!$A:$A,助手回款!$X6,输入回款!$B:$B,科目对照回款!$H$5)+SUMIFS(输入回款!$D:$D,输入回款!$A:$A,助手回款!$X6,输入回款!$B:$B,科目对照回款!$H$5)),2)</f>
        <v>-29457.94</v>
      </c>
      <c r="H65" s="49" t="str">
        <f aca="false">IF(ROUND($G65,2)&gt;0,ROUND($G65,2),"")</f>
        <v/>
      </c>
      <c r="I65" s="49" t="n">
        <f aca="false">IF(ROUND($G65,2)&lt;0,-ROUND($G65,2),"")</f>
        <v>29457.94</v>
      </c>
      <c r="J65" s="20" t="n">
        <f aca="false">IF(ROUND($G65,2)=0,0,1)</f>
        <v>1</v>
      </c>
      <c r="K65" s="20" t="n">
        <f aca="false">IF($J65=0,"",SUM($J$62:$J65))</f>
        <v>4</v>
      </c>
      <c r="L65" s="20" t="n">
        <f aca="false">IF($K65="","",$A65*100+$K65)</f>
        <v>504</v>
      </c>
      <c r="M65" s="48" t="str">
        <f aca="false">参数!$B$4</f>
        <v>回款</v>
      </c>
    </row>
    <row r="66" customFormat="false" ht="13.5" hidden="false" customHeight="false" outlineLevel="0" collapsed="false">
      <c r="A66" s="47" t="n">
        <v>5</v>
      </c>
      <c r="B66" s="38" t="n">
        <f aca="false">助手回款!$B6</f>
        <v>2005</v>
      </c>
      <c r="C66" s="48" t="str">
        <f aca="false">助手回款!$C6</f>
        <v>象城街店</v>
      </c>
      <c r="D66" s="48" t="str">
        <f aca="false">科目对照回款!$B6&amp;""</f>
        <v>美团</v>
      </c>
      <c r="E66" s="48" t="str">
        <f aca="false">科目对照回款!$C6&amp;""</f>
        <v>应收账款</v>
      </c>
      <c r="F66" s="48" t="str">
        <f aca="false">科目对照回款!$D6&amp;""</f>
        <v>美团</v>
      </c>
      <c r="G66" s="49" t="n">
        <f aca="false">-ROUND(IF(科目对照回款!$F$6="",0,SUMIFS(输入回款!$C:$C,输入回款!$A:$A,助手回款!$X6,输入回款!$B:$B,科目对照回款!$F$6)+SUMIFS(输入回款!$D:$D,输入回款!$A:$A,助手回款!$X6,输入回款!$B:$B,科目对照回款!$F$6))+IF(科目对照回款!$G$6="",0,SUMIFS(输入回款!$C:$C,输入回款!$A:$A,助手回款!$X6,输入回款!$B:$B,科目对照回款!$G$6)+SUMIFS(输入回款!$D:$D,输入回款!$A:$A,助手回款!$X6,输入回款!$B:$B,科目对照回款!$G$6))+IF(科目对照回款!$H$6="",0,SUMIFS(输入回款!$C:$C,输入回款!$A:$A,助手回款!$X6,输入回款!$B:$B,科目对照回款!$H$6)+SUMIFS(输入回款!$D:$D,输入回款!$A:$A,助手回款!$X6,输入回款!$B:$B,科目对照回款!$H$6)),2)</f>
        <v>-246.9</v>
      </c>
      <c r="H66" s="49" t="str">
        <f aca="false">IF(ROUND($G66,2)&gt;0,ROUND($G66,2),"")</f>
        <v/>
      </c>
      <c r="I66" s="49" t="n">
        <f aca="false">IF(ROUND($G66,2)&lt;0,-ROUND($G66,2),"")</f>
        <v>246.9</v>
      </c>
      <c r="J66" s="20" t="n">
        <f aca="false">IF(ROUND($G66,2)=0,0,1)</f>
        <v>1</v>
      </c>
      <c r="K66" s="20" t="n">
        <f aca="false">IF($J66=0,"",SUM($J$62:$J66))</f>
        <v>5</v>
      </c>
      <c r="L66" s="20" t="n">
        <f aca="false">IF($K66="","",$A66*100+$K66)</f>
        <v>505</v>
      </c>
      <c r="M66" s="48" t="str">
        <f aca="false">参数!$B$4</f>
        <v>回款</v>
      </c>
    </row>
    <row r="67" customFormat="false" ht="13.5" hidden="false" customHeight="false" outlineLevel="0" collapsed="false">
      <c r="A67" s="47" t="n">
        <v>5</v>
      </c>
      <c r="B67" s="38" t="n">
        <f aca="false">助手回款!$B6</f>
        <v>2005</v>
      </c>
      <c r="C67" s="48" t="str">
        <f aca="false">助手回款!$C6</f>
        <v>象城街店</v>
      </c>
      <c r="D67" s="48" t="str">
        <f aca="false">科目对照回款!$B7&amp;""</f>
        <v>饿了么</v>
      </c>
      <c r="E67" s="48" t="str">
        <f aca="false">科目对照回款!$C7&amp;""</f>
        <v>应收账款</v>
      </c>
      <c r="F67" s="48" t="str">
        <f aca="false">科目对照回款!$D7&amp;""</f>
        <v>饿了么</v>
      </c>
      <c r="G67" s="49" t="n">
        <f aca="false">-ROUND(IF(科目对照回款!$F$7="",0,SUMIFS(输入回款!$C:$C,输入回款!$A:$A,助手回款!$X6,输入回款!$B:$B,科目对照回款!$F$7)+SUMIFS(输入回款!$D:$D,输入回款!$A:$A,助手回款!$X6,输入回款!$B:$B,科目对照回款!$F$7))+IF(科目对照回款!$G$7="",0,SUMIFS(输入回款!$C:$C,输入回款!$A:$A,助手回款!$X6,输入回款!$B:$B,科目对照回款!$G$7)+SUMIFS(输入回款!$D:$D,输入回款!$A:$A,助手回款!$X6,输入回款!$B:$B,科目对照回款!$G$7))+IF(科目对照回款!$H$7="",0,SUMIFS(输入回款!$C:$C,输入回款!$A:$A,助手回款!$X6,输入回款!$B:$B,科目对照回款!$H$7)+SUMIFS(输入回款!$D:$D,输入回款!$A:$A,助手回款!$X6,输入回款!$B:$B,科目对照回款!$H$7)),2)</f>
        <v>-0</v>
      </c>
      <c r="H67" s="49" t="str">
        <f aca="false">IF(ROUND($G67,2)&gt;0,ROUND($G67,2),"")</f>
        <v/>
      </c>
      <c r="I67" s="49" t="str">
        <f aca="false">IF(ROUND($G67,2)&lt;0,-ROUND($G67,2),"")</f>
        <v/>
      </c>
      <c r="J67" s="20" t="n">
        <f aca="false">IF(ROUND($G67,2)=0,0,1)</f>
        <v>0</v>
      </c>
      <c r="K67" s="20" t="str">
        <f aca="false">IF($J67=0,"",SUM($J$62:$J67))</f>
        <v/>
      </c>
      <c r="L67" s="20" t="str">
        <f aca="false">IF($K67="","",$A67*100+$K67)</f>
        <v/>
      </c>
      <c r="M67" s="48" t="str">
        <f aca="false">参数!$B$4</f>
        <v>回款</v>
      </c>
    </row>
    <row r="68" customFormat="false" ht="13.5" hidden="false" customHeight="false" outlineLevel="0" collapsed="false">
      <c r="A68" s="47" t="n">
        <v>5</v>
      </c>
      <c r="B68" s="38" t="n">
        <f aca="false">助手回款!$B6</f>
        <v>2005</v>
      </c>
      <c r="C68" s="48" t="str">
        <f aca="false">助手回款!$C6</f>
        <v>象城街店</v>
      </c>
      <c r="D68" s="48" t="str">
        <f aca="false">科目对照回款!$B8&amp;""</f>
        <v>24小时</v>
      </c>
      <c r="E68" s="48" t="str">
        <f aca="false">科目对照回款!$C8&amp;""</f>
        <v>应收账款</v>
      </c>
      <c r="F68" s="48" t="str">
        <f aca="false">科目对照回款!$D8&amp;""</f>
        <v>24小时</v>
      </c>
      <c r="G68" s="49" t="n">
        <f aca="false">-ROUND(IF(科目对照回款!$F$8="",0,SUMIFS(输入回款!$C:$C,输入回款!$A:$A,助手回款!$X6,输入回款!$B:$B,科目对照回款!$F$8)+SUMIFS(输入回款!$D:$D,输入回款!$A:$A,助手回款!$X6,输入回款!$B:$B,科目对照回款!$F$8))+IF(科目对照回款!$G$8="",0,SUMIFS(输入回款!$C:$C,输入回款!$A:$A,助手回款!$X6,输入回款!$B:$B,科目对照回款!$G$8)+SUMIFS(输入回款!$D:$D,输入回款!$A:$A,助手回款!$X6,输入回款!$B:$B,科目对照回款!$G$8))+IF(科目对照回款!$H$8="",0,SUMIFS(输入回款!$C:$C,输入回款!$A:$A,助手回款!$X6,输入回款!$B:$B,科目对照回款!$H$8)+SUMIFS(输入回款!$D:$D,输入回款!$A:$A,助手回款!$X6,输入回款!$B:$B,科目对照回款!$H$8)),2)</f>
        <v>-0</v>
      </c>
      <c r="H68" s="49" t="str">
        <f aca="false">IF(ROUND($G68,2)&gt;0,ROUND($G68,2),"")</f>
        <v/>
      </c>
      <c r="I68" s="49" t="str">
        <f aca="false">IF(ROUND($G68,2)&lt;0,-ROUND($G68,2),"")</f>
        <v/>
      </c>
      <c r="J68" s="20" t="n">
        <f aca="false">IF(ROUND($G68,2)=0,0,1)</f>
        <v>0</v>
      </c>
      <c r="K68" s="20" t="str">
        <f aca="false">IF($J68=0,"",SUM($J$62:$J68))</f>
        <v/>
      </c>
      <c r="L68" s="20" t="str">
        <f aca="false">IF($K68="","",$A68*100+$K68)</f>
        <v/>
      </c>
      <c r="M68" s="48" t="str">
        <f aca="false">参数!$B$4</f>
        <v>回款</v>
      </c>
    </row>
    <row r="69" customFormat="false" ht="13.5" hidden="false" customHeight="false" outlineLevel="0" collapsed="false">
      <c r="A69" s="47" t="n">
        <v>5</v>
      </c>
      <c r="B69" s="38" t="n">
        <f aca="false">助手回款!$B6</f>
        <v>2005</v>
      </c>
      <c r="C69" s="48" t="str">
        <f aca="false">助手回款!$C6</f>
        <v>象城街店</v>
      </c>
      <c r="D69" s="48" t="str">
        <f aca="false">科目对照回款!$B9&amp;""</f>
        <v>健E卡</v>
      </c>
      <c r="E69" s="48" t="str">
        <f aca="false">科目对照回款!$C9&amp;""</f>
        <v>应收账款</v>
      </c>
      <c r="F69" s="48" t="str">
        <f aca="false">科目对照回款!$D9&amp;""</f>
        <v>健E卡</v>
      </c>
      <c r="G69" s="49" t="n">
        <f aca="false">-ROUND(IF(科目对照回款!$F$9="",0,SUMIFS(输入回款!$C:$C,输入回款!$A:$A,助手回款!$X6,输入回款!$B:$B,科目对照回款!$F$9)+SUMIFS(输入回款!$D:$D,输入回款!$A:$A,助手回款!$X6,输入回款!$B:$B,科目对照回款!$F$9))+IF(科目对照回款!$G$9="",0,SUMIFS(输入回款!$C:$C,输入回款!$A:$A,助手回款!$X6,输入回款!$B:$B,科目对照回款!$G$9)+SUMIFS(输入回款!$D:$D,输入回款!$A:$A,助手回款!$X6,输入回款!$B:$B,科目对照回款!$G$9))+IF(科目对照回款!$H$9="",0,SUMIFS(输入回款!$C:$C,输入回款!$A:$A,助手回款!$X6,输入回款!$B:$B,科目对照回款!$H$9)+SUMIFS(输入回款!$D:$D,输入回款!$A:$A,助手回款!$X6,输入回款!$B:$B,科目对照回款!$H$9)),2)</f>
        <v>-0</v>
      </c>
      <c r="H69" s="49" t="str">
        <f aca="false">IF(ROUND($G69,2)&gt;0,ROUND($G69,2),"")</f>
        <v/>
      </c>
      <c r="I69" s="49" t="str">
        <f aca="false">IF(ROUND($G69,2)&lt;0,-ROUND($G69,2),"")</f>
        <v/>
      </c>
      <c r="J69" s="20" t="n">
        <f aca="false">IF(ROUND($G69,2)=0,0,1)</f>
        <v>0</v>
      </c>
      <c r="K69" s="20" t="str">
        <f aca="false">IF($J69=0,"",SUM($J$62:$J69))</f>
        <v/>
      </c>
      <c r="L69" s="20" t="str">
        <f aca="false">IF($K69="","",$A69*100+$K69)</f>
        <v/>
      </c>
      <c r="M69" s="48" t="str">
        <f aca="false">参数!$B$4</f>
        <v>回款</v>
      </c>
    </row>
    <row r="70" customFormat="false" ht="13.5" hidden="false" customHeight="false" outlineLevel="0" collapsed="false">
      <c r="A70" s="47" t="n">
        <v>5</v>
      </c>
      <c r="B70" s="38" t="n">
        <f aca="false">助手回款!$B6</f>
        <v>2005</v>
      </c>
      <c r="C70" s="48" t="str">
        <f aca="false">助手回款!$C6</f>
        <v>象城街店</v>
      </c>
      <c r="D70" s="48" t="str">
        <f aca="false">科目对照回款!$B10&amp;""</f>
        <v>医卡通</v>
      </c>
      <c r="E70" s="48" t="str">
        <f aca="false">科目对照回款!$C10&amp;""</f>
        <v>应收账款</v>
      </c>
      <c r="F70" s="48" t="str">
        <f aca="false">科目对照回款!$D10&amp;""</f>
        <v>医卡通</v>
      </c>
      <c r="G70" s="49" t="n">
        <f aca="false">-ROUND(IF(科目对照回款!$F$10="",0,SUMIFS(输入回款!$C:$C,输入回款!$A:$A,助手回款!$X6,输入回款!$B:$B,科目对照回款!$F$10)+SUMIFS(输入回款!$D:$D,输入回款!$A:$A,助手回款!$X6,输入回款!$B:$B,科目对照回款!$F$10))+IF(科目对照回款!$G$10="",0,SUMIFS(输入回款!$C:$C,输入回款!$A:$A,助手回款!$X6,输入回款!$B:$B,科目对照回款!$G$10)+SUMIFS(输入回款!$D:$D,输入回款!$A:$A,助手回款!$X6,输入回款!$B:$B,科目对照回款!$G$10))+IF(科目对照回款!$H$10="",0,SUMIFS(输入回款!$C:$C,输入回款!$A:$A,助手回款!$X6,输入回款!$B:$B,科目对照回款!$H$10)+SUMIFS(输入回款!$D:$D,输入回款!$A:$A,助手回款!$X6,输入回款!$B:$B,科目对照回款!$H$10)),2)</f>
        <v>-289.88</v>
      </c>
      <c r="H70" s="49" t="str">
        <f aca="false">IF(ROUND($G70,2)&gt;0,ROUND($G70,2),"")</f>
        <v/>
      </c>
      <c r="I70" s="49" t="n">
        <f aca="false">IF(ROUND($G70,2)&lt;0,-ROUND($G70,2),"")</f>
        <v>289.88</v>
      </c>
      <c r="J70" s="20" t="n">
        <f aca="false">IF(ROUND($G70,2)=0,0,1)</f>
        <v>1</v>
      </c>
      <c r="K70" s="20" t="n">
        <f aca="false">IF($J70=0,"",SUM($J$62:$J70))</f>
        <v>6</v>
      </c>
      <c r="L70" s="20" t="n">
        <f aca="false">IF($K70="","",$A70*100+$K70)</f>
        <v>506</v>
      </c>
      <c r="M70" s="48" t="str">
        <f aca="false">参数!$B$4</f>
        <v>回款</v>
      </c>
    </row>
    <row r="71" customFormat="false" ht="13.5" hidden="false" customHeight="false" outlineLevel="0" collapsed="false">
      <c r="A71" s="47" t="n">
        <v>5</v>
      </c>
      <c r="B71" s="38" t="n">
        <f aca="false">助手回款!$B6</f>
        <v>2005</v>
      </c>
      <c r="C71" s="48" t="str">
        <f aca="false">助手回款!$C6</f>
        <v>象城街店</v>
      </c>
      <c r="D71" s="48" t="str">
        <f aca="false">科目对照回款!$B11&amp;""</f>
        <v>企健网</v>
      </c>
      <c r="E71" s="48" t="str">
        <f aca="false">科目对照回款!$C11&amp;""</f>
        <v>应收账款</v>
      </c>
      <c r="F71" s="48" t="str">
        <f aca="false">科目对照回款!$D11&amp;""</f>
        <v>企健网</v>
      </c>
      <c r="G71" s="49" t="n">
        <f aca="false">-ROUND(IF(科目对照回款!$F$11="",0,SUMIFS(输入回款!$C:$C,输入回款!$A:$A,助手回款!$X6,输入回款!$B:$B,科目对照回款!$F$11)+SUMIFS(输入回款!$D:$D,输入回款!$A:$A,助手回款!$X6,输入回款!$B:$B,科目对照回款!$F$11))+IF(科目对照回款!$G$11="",0,SUMIFS(输入回款!$C:$C,输入回款!$A:$A,助手回款!$X6,输入回款!$B:$B,科目对照回款!$G$11)+SUMIFS(输入回款!$D:$D,输入回款!$A:$A,助手回款!$X6,输入回款!$B:$B,科目对照回款!$G$11))+IF(科目对照回款!$H$11="",0,SUMIFS(输入回款!$C:$C,输入回款!$A:$A,助手回款!$X6,输入回款!$B:$B,科目对照回款!$H$11)+SUMIFS(输入回款!$D:$D,输入回款!$A:$A,助手回款!$X6,输入回款!$B:$B,科目对照回款!$H$11)),2)</f>
        <v>-0</v>
      </c>
      <c r="H71" s="49" t="str">
        <f aca="false">IF(ROUND($G71,2)&gt;0,ROUND($G71,2),"")</f>
        <v/>
      </c>
      <c r="I71" s="49" t="str">
        <f aca="false">IF(ROUND($G71,2)&lt;0,-ROUND($G71,2),"")</f>
        <v/>
      </c>
      <c r="J71" s="20" t="n">
        <f aca="false">IF(ROUND($G71,2)=0,0,1)</f>
        <v>0</v>
      </c>
      <c r="K71" s="20" t="str">
        <f aca="false">IF($J71=0,"",SUM($J$62:$J71))</f>
        <v/>
      </c>
      <c r="L71" s="20" t="str">
        <f aca="false">IF($K71="","",$A71*100+$K71)</f>
        <v/>
      </c>
      <c r="M71" s="48" t="str">
        <f aca="false">参数!$B$4</f>
        <v>回款</v>
      </c>
    </row>
    <row r="72" customFormat="false" ht="13.5" hidden="false" customHeight="false" outlineLevel="0" collapsed="false">
      <c r="A72" s="47" t="n">
        <v>5</v>
      </c>
      <c r="B72" s="38" t="n">
        <f aca="false">助手回款!$B6</f>
        <v>2005</v>
      </c>
      <c r="C72" s="48" t="str">
        <f aca="false">助手回款!$C6</f>
        <v>象城街店</v>
      </c>
      <c r="D72" s="48" t="str">
        <f aca="false">科目对照回款!$B12&amp;""</f>
        <v>亲情卡</v>
      </c>
      <c r="E72" s="48" t="str">
        <f aca="false">科目对照回款!$C12&amp;""</f>
        <v>应收账款</v>
      </c>
      <c r="F72" s="48" t="str">
        <f aca="false">科目对照回款!$D12&amp;""</f>
        <v>亲情卡</v>
      </c>
      <c r="G72" s="49" t="n">
        <f aca="false">-ROUND(IF(科目对照回款!$F$12="",0,SUMIFS(输入回款!$C:$C,输入回款!$A:$A,助手回款!$X6,输入回款!$B:$B,科目对照回款!$F$12)+SUMIFS(输入回款!$D:$D,输入回款!$A:$A,助手回款!$X6,输入回款!$B:$B,科目对照回款!$F$12))+IF(科目对照回款!$G$12="",0,SUMIFS(输入回款!$C:$C,输入回款!$A:$A,助手回款!$X6,输入回款!$B:$B,科目对照回款!$G$12)+SUMIFS(输入回款!$D:$D,输入回款!$A:$A,助手回款!$X6,输入回款!$B:$B,科目对照回款!$G$12))+IF(科目对照回款!$H$12="",0,SUMIFS(输入回款!$C:$C,输入回款!$A:$A,助手回款!$X6,输入回款!$B:$B,科目对照回款!$H$12)+SUMIFS(输入回款!$D:$D,输入回款!$A:$A,助手回款!$X6,输入回款!$B:$B,科目对照回款!$H$12)),2)</f>
        <v>-0</v>
      </c>
      <c r="H72" s="49" t="str">
        <f aca="false">IF(ROUND($G72,2)&gt;0,ROUND($G72,2),"")</f>
        <v/>
      </c>
      <c r="I72" s="49" t="str">
        <f aca="false">IF(ROUND($G72,2)&lt;0,-ROUND($G72,2),"")</f>
        <v/>
      </c>
      <c r="J72" s="20" t="n">
        <f aca="false">IF(ROUND($G72,2)=0,0,1)</f>
        <v>0</v>
      </c>
      <c r="K72" s="20" t="str">
        <f aca="false">IF($J72=0,"",SUM($J$62:$J72))</f>
        <v/>
      </c>
      <c r="L72" s="20" t="str">
        <f aca="false">IF($K72="","",$A72*100+$K72)</f>
        <v/>
      </c>
      <c r="M72" s="48" t="str">
        <f aca="false">参数!$B$4</f>
        <v>回款</v>
      </c>
    </row>
    <row r="73" customFormat="false" ht="13.5" hidden="false" customHeight="false" outlineLevel="0" collapsed="false">
      <c r="A73" s="47" t="n">
        <v>5</v>
      </c>
      <c r="B73" s="38" t="n">
        <f aca="false">助手回款!$B6</f>
        <v>2005</v>
      </c>
      <c r="C73" s="48" t="str">
        <f aca="false">助手回款!$C6</f>
        <v>象城街店</v>
      </c>
      <c r="D73" s="48" t="str">
        <f aca="false">科目对照回款!$B13&amp;""</f>
        <v>银联</v>
      </c>
      <c r="E73" s="48" t="str">
        <f aca="false">科目对照回款!$C13&amp;""</f>
        <v>应收账款</v>
      </c>
      <c r="F73" s="48" t="str">
        <f aca="false">科目对照回款!$D13&amp;""</f>
        <v>银联</v>
      </c>
      <c r="G73" s="49" t="n">
        <f aca="false">-ROUND(IF(科目对照回款!$F$13="",0,SUMIFS(输入回款!$C:$C,输入回款!$A:$A,助手回款!$X6,输入回款!$B:$B,科目对照回款!$F$13)+SUMIFS(输入回款!$D:$D,输入回款!$A:$A,助手回款!$X6,输入回款!$B:$B,科目对照回款!$F$13))+IF(科目对照回款!$G$13="",0,SUMIFS(输入回款!$C:$C,输入回款!$A:$A,助手回款!$X6,输入回款!$B:$B,科目对照回款!$G$13)+SUMIFS(输入回款!$D:$D,输入回款!$A:$A,助手回款!$X6,输入回款!$B:$B,科目对照回款!$G$13))+IF(科目对照回款!$H$13="",0,SUMIFS(输入回款!$C:$C,输入回款!$A:$A,助手回款!$X6,输入回款!$B:$B,科目对照回款!$H$13)+SUMIFS(输入回款!$D:$D,输入回款!$A:$A,助手回款!$X6,输入回款!$B:$B,科目对照回款!$H$13)),2)</f>
        <v>-0</v>
      </c>
      <c r="H73" s="49" t="str">
        <f aca="false">IF(ROUND($G73,2)&gt;0,ROUND($G73,2),"")</f>
        <v/>
      </c>
      <c r="I73" s="49" t="str">
        <f aca="false">IF(ROUND($G73,2)&lt;0,-ROUND($G73,2),"")</f>
        <v/>
      </c>
      <c r="J73" s="20" t="n">
        <f aca="false">IF(ROUND($G73,2)=0,0,1)</f>
        <v>0</v>
      </c>
      <c r="K73" s="20" t="str">
        <f aca="false">IF($J73=0,"",SUM($J$62:$J73))</f>
        <v/>
      </c>
      <c r="L73" s="20" t="str">
        <f aca="false">IF($K73="","",$A73*100+$K73)</f>
        <v/>
      </c>
      <c r="M73" s="48" t="str">
        <f aca="false">参数!$B$4</f>
        <v>回款</v>
      </c>
    </row>
    <row r="74" customFormat="false" ht="13.5" hidden="false" customHeight="false" outlineLevel="0" collapsed="false">
      <c r="A74" s="47" t="n">
        <v>5</v>
      </c>
      <c r="B74" s="38" t="n">
        <f aca="false">助手回款!$B6</f>
        <v>2005</v>
      </c>
      <c r="C74" s="48" t="str">
        <f aca="false">助手回款!$C6</f>
        <v>象城街店</v>
      </c>
      <c r="D74" s="48" t="str">
        <f aca="false">科目对照回款!$B14&amp;""</f>
        <v>代金券</v>
      </c>
      <c r="E74" s="48" t="str">
        <f aca="false">科目对照回款!$C14&amp;""</f>
        <v>应收账款</v>
      </c>
      <c r="F74" s="48" t="str">
        <f aca="false">科目对照回款!$D14&amp;""</f>
        <v>代金券</v>
      </c>
      <c r="G74" s="49" t="n">
        <f aca="false">-ROUND(IF(科目对照回款!$F$14="",0,SUMIFS(输入回款!$C:$C,输入回款!$A:$A,助手回款!$X6,输入回款!$B:$B,科目对照回款!$F$14)+SUMIFS(输入回款!$D:$D,输入回款!$A:$A,助手回款!$X6,输入回款!$B:$B,科目对照回款!$F$14))+IF(科目对照回款!$G$14="",0,SUMIFS(输入回款!$C:$C,输入回款!$A:$A,助手回款!$X6,输入回款!$B:$B,科目对照回款!$G$14)+SUMIFS(输入回款!$D:$D,输入回款!$A:$A,助手回款!$X6,输入回款!$B:$B,科目对照回款!$G$14))+IF(科目对照回款!$H$14="",0,SUMIFS(输入回款!$C:$C,输入回款!$A:$A,助手回款!$X6,输入回款!$B:$B,科目对照回款!$H$14)+SUMIFS(输入回款!$D:$D,输入回款!$A:$A,助手回款!$X6,输入回款!$B:$B,科目对照回款!$H$14)),2)</f>
        <v>-0</v>
      </c>
      <c r="H74" s="49" t="str">
        <f aca="false">IF(ROUND($G74,2)&gt;0,ROUND($G74,2),"")</f>
        <v/>
      </c>
      <c r="I74" s="49" t="str">
        <f aca="false">IF(ROUND($G74,2)&lt;0,-ROUND($G74,2),"")</f>
        <v/>
      </c>
      <c r="J74" s="20" t="n">
        <f aca="false">IF(ROUND($G74,2)=0,0,1)</f>
        <v>0</v>
      </c>
      <c r="K74" s="20" t="str">
        <f aca="false">IF($J74=0,"",SUM($J$62:$J74))</f>
        <v/>
      </c>
      <c r="L74" s="20" t="str">
        <f aca="false">IF($K74="","",$A74*100+$K74)</f>
        <v/>
      </c>
      <c r="M74" s="48" t="str">
        <f aca="false">参数!$B$4</f>
        <v>回款</v>
      </c>
    </row>
    <row r="75" customFormat="false" ht="13.5" hidden="false" customHeight="false" outlineLevel="0" collapsed="false">
      <c r="A75" s="47" t="n">
        <v>5</v>
      </c>
      <c r="B75" s="38" t="n">
        <f aca="false">助手回款!$B6</f>
        <v>2005</v>
      </c>
      <c r="C75" s="48" t="str">
        <f aca="false">助手回款!$C6</f>
        <v>象城街店</v>
      </c>
      <c r="D75" s="48" t="str">
        <f aca="false">科目对照回款!$B15&amp;""</f>
        <v>药机微信</v>
      </c>
      <c r="E75" s="48" t="str">
        <f aca="false">科目对照回款!$C15&amp;""</f>
        <v>应收账款</v>
      </c>
      <c r="F75" s="48" t="str">
        <f aca="false">科目对照回款!$D15&amp;""</f>
        <v>药机微信</v>
      </c>
      <c r="G75" s="49" t="n">
        <f aca="false">-ROUND(IF(科目对照回款!$F$15="",0,SUMIFS(输入回款!$C:$C,输入回款!$A:$A,助手回款!$X6,输入回款!$B:$B,科目对照回款!$F$15)+SUMIFS(输入回款!$D:$D,输入回款!$A:$A,助手回款!$X6,输入回款!$B:$B,科目对照回款!$F$15))+IF(科目对照回款!$G$15="",0,SUMIFS(输入回款!$C:$C,输入回款!$A:$A,助手回款!$X6,输入回款!$B:$B,科目对照回款!$G$15)+SUMIFS(输入回款!$D:$D,输入回款!$A:$A,助手回款!$X6,输入回款!$B:$B,科目对照回款!$G$15))+IF(科目对照回款!$H$15="",0,SUMIFS(输入回款!$C:$C,输入回款!$A:$A,助手回款!$X6,输入回款!$B:$B,科目对照回款!$H$15)+SUMIFS(输入回款!$D:$D,输入回款!$A:$A,助手回款!$X6,输入回款!$B:$B,科目对照回款!$H$15)),2)</f>
        <v>-0</v>
      </c>
      <c r="H75" s="49" t="str">
        <f aca="false">IF(ROUND($G75,2)&gt;0,ROUND($G75,2),"")</f>
        <v/>
      </c>
      <c r="I75" s="49" t="str">
        <f aca="false">IF(ROUND($G75,2)&lt;0,-ROUND($G75,2),"")</f>
        <v/>
      </c>
      <c r="J75" s="20" t="n">
        <f aca="false">IF(ROUND($G75,2)=0,0,1)</f>
        <v>0</v>
      </c>
      <c r="K75" s="20" t="str">
        <f aca="false">IF($J75=0,"",SUM($J$62:$J75))</f>
        <v/>
      </c>
      <c r="L75" s="20" t="str">
        <f aca="false">IF($K75="","",$A75*100+$K75)</f>
        <v/>
      </c>
      <c r="M75" s="48" t="str">
        <f aca="false">参数!$B$4</f>
        <v>回款</v>
      </c>
    </row>
    <row r="76" customFormat="false" ht="13.5" hidden="false" customHeight="false" outlineLevel="0" collapsed="false">
      <c r="A76" s="47" t="n">
        <v>5</v>
      </c>
      <c r="B76" s="38" t="n">
        <f aca="false">助手回款!$B6</f>
        <v>2005</v>
      </c>
      <c r="C76" s="48" t="str">
        <f aca="false">助手回款!$C6</f>
        <v>象城街店</v>
      </c>
      <c r="D76" s="48" t="str">
        <f aca="false">科目对照回款!$B16&amp;""</f>
        <v>储值卡</v>
      </c>
      <c r="E76" s="48" t="str">
        <f aca="false">科目对照回款!$C16&amp;""</f>
        <v>其他应收款</v>
      </c>
      <c r="F76" s="48" t="str">
        <f aca="false">科目对照回款!$D16&amp;""</f>
        <v>储值卡</v>
      </c>
      <c r="G76" s="49" t="n">
        <f aca="false">-ROUND(IF(科目对照回款!$F$16="",0,SUMIFS(输入回款!$C:$C,输入回款!$A:$A,助手回款!$X6,输入回款!$B:$B,科目对照回款!$F$16)+SUMIFS(输入回款!$D:$D,输入回款!$A:$A,助手回款!$X6,输入回款!$B:$B,科目对照回款!$F$16))+IF(科目对照回款!$G$16="",0,SUMIFS(输入回款!$C:$C,输入回款!$A:$A,助手回款!$X6,输入回款!$B:$B,科目对照回款!$G$16)+SUMIFS(输入回款!$D:$D,输入回款!$A:$A,助手回款!$X6,输入回款!$B:$B,科目对照回款!$G$16))+IF(科目对照回款!$H$16="",0,SUMIFS(输入回款!$C:$C,输入回款!$A:$A,助手回款!$X6,输入回款!$B:$B,科目对照回款!$H$16)+SUMIFS(输入回款!$D:$D,输入回款!$A:$A,助手回款!$X6,输入回款!$B:$B,科目对照回款!$H$16)),2)</f>
        <v>-0</v>
      </c>
      <c r="H76" s="49" t="str">
        <f aca="false">IF(ROUND($G76,2)&gt;0,ROUND($G76,2),"")</f>
        <v/>
      </c>
      <c r="I76" s="49" t="str">
        <f aca="false">IF(ROUND($G76,2)&lt;0,-ROUND($G76,2),"")</f>
        <v/>
      </c>
      <c r="J76" s="20" t="n">
        <f aca="false">IF(ROUND($G76,2)=0,0,1)</f>
        <v>0</v>
      </c>
      <c r="K76" s="20" t="str">
        <f aca="false">IF($J76=0,"",SUM($J$62:$J76))</f>
        <v/>
      </c>
      <c r="L76" s="20" t="str">
        <f aca="false">IF($K76="","",$A76*100+$K76)</f>
        <v/>
      </c>
      <c r="M76" s="48" t="str">
        <f aca="false">参数!$B$4</f>
        <v>回款</v>
      </c>
    </row>
    <row r="77" customFormat="false" ht="13.5" hidden="false" customHeight="false" outlineLevel="0" collapsed="false">
      <c r="A77" s="47" t="n">
        <v>6</v>
      </c>
      <c r="B77" s="38" t="n">
        <f aca="false">助手回款!$B7</f>
        <v>2006</v>
      </c>
      <c r="C77" s="48" t="str">
        <f aca="false">助手回款!$C7</f>
        <v>博荣店</v>
      </c>
      <c r="D77" s="48" t="str">
        <f aca="false">科目对照回款!$B2&amp;""</f>
        <v>库存现金</v>
      </c>
      <c r="E77" s="48" t="str">
        <f aca="false">科目对照回款!$C2&amp;""</f>
        <v>库存现金</v>
      </c>
      <c r="F77" s="48" t="str">
        <f aca="false">科目对照回款!$D2&amp;""</f>
        <v/>
      </c>
      <c r="G77" s="49" t="n">
        <f aca="false">助手回款!$E7</f>
        <v>77638.99</v>
      </c>
      <c r="H77" s="49" t="n">
        <f aca="false">IF(ROUND($G77,2)&gt;0,ROUND($G77,2),"")</f>
        <v>77638.99</v>
      </c>
      <c r="I77" s="49" t="str">
        <f aca="false">IF(ROUND($G77,2)&lt;0,-ROUND($G77,2),"")</f>
        <v/>
      </c>
      <c r="J77" s="20" t="n">
        <f aca="false">IF(ROUND($G77,2)=0,0,1)</f>
        <v>1</v>
      </c>
      <c r="K77" s="20" t="n">
        <f aca="false">IF($J77=0,"",SUM($J$77:$J77))</f>
        <v>1</v>
      </c>
      <c r="L77" s="20" t="n">
        <f aca="false">IF($K77="","",$A77*100+$K77)</f>
        <v>601</v>
      </c>
      <c r="M77" s="48" t="str">
        <f aca="false">参数!$B$4</f>
        <v>回款</v>
      </c>
    </row>
    <row r="78" customFormat="false" ht="13.5" hidden="false" customHeight="false" outlineLevel="0" collapsed="false">
      <c r="A78" s="47" t="n">
        <v>6</v>
      </c>
      <c r="B78" s="38" t="n">
        <f aca="false">助手回款!$B7</f>
        <v>2006</v>
      </c>
      <c r="C78" s="48" t="str">
        <f aca="false">助手回款!$C7</f>
        <v>博荣店</v>
      </c>
      <c r="D78" s="48" t="str">
        <f aca="false">科目对照回款!$B3&amp;""</f>
        <v>手续费</v>
      </c>
      <c r="E78" s="48" t="str">
        <f aca="false">科目对照回款!$C3&amp;""</f>
        <v>财务费用</v>
      </c>
      <c r="F78" s="48" t="str">
        <f aca="false">科目对照回款!$D3&amp;""</f>
        <v>手续费</v>
      </c>
      <c r="G78" s="49" t="n">
        <f aca="false">助手回款!$F7</f>
        <v>27.84</v>
      </c>
      <c r="H78" s="49" t="n">
        <f aca="false">IF(ROUND($G78,2)&gt;0,ROUND($G78,2),"")</f>
        <v>27.84</v>
      </c>
      <c r="I78" s="49" t="str">
        <f aca="false">IF(ROUND($G78,2)&lt;0,-ROUND($G78,2),"")</f>
        <v/>
      </c>
      <c r="J78" s="20" t="n">
        <f aca="false">IF(ROUND($G78,2)=0,0,1)</f>
        <v>1</v>
      </c>
      <c r="K78" s="20" t="n">
        <f aca="false">IF($J78=0,"",SUM($J$77:$J78))</f>
        <v>2</v>
      </c>
      <c r="L78" s="20" t="n">
        <f aca="false">IF($K78="","",$A78*100+$K78)</f>
        <v>602</v>
      </c>
      <c r="M78" s="48" t="str">
        <f aca="false">参数!$B$4</f>
        <v>回款</v>
      </c>
    </row>
    <row r="79" customFormat="false" ht="13.5" hidden="false" customHeight="false" outlineLevel="0" collapsed="false">
      <c r="A79" s="47" t="n">
        <v>6</v>
      </c>
      <c r="B79" s="38" t="n">
        <f aca="false">助手回款!$B7</f>
        <v>2006</v>
      </c>
      <c r="C79" s="48" t="str">
        <f aca="false">助手回款!$C7</f>
        <v>博荣店</v>
      </c>
      <c r="D79" s="48" t="str">
        <f aca="false">科目对照回款!$B4&amp;""</f>
        <v>聚合支付</v>
      </c>
      <c r="E79" s="48" t="str">
        <f aca="false">科目对照回款!$C4&amp;""</f>
        <v>应收账款</v>
      </c>
      <c r="F79" s="48" t="str">
        <f aca="false">科目对照回款!$D4&amp;""</f>
        <v>聚合支付</v>
      </c>
      <c r="G79" s="49" t="n">
        <f aca="false">-ROUND(IF(科目对照回款!$F$4="",0,SUMIFS(输入回款!$C:$C,输入回款!$A:$A,助手回款!$X7,输入回款!$B:$B,科目对照回款!$F$4)+SUMIFS(输入回款!$D:$D,输入回款!$A:$A,助手回款!$X7,输入回款!$B:$B,科目对照回款!$F$4))+IF(科目对照回款!$G$4="",0,SUMIFS(输入回款!$C:$C,输入回款!$A:$A,助手回款!$X7,输入回款!$B:$B,科目对照回款!$G$4)+SUMIFS(输入回款!$D:$D,输入回款!$A:$A,助手回款!$X7,输入回款!$B:$B,科目对照回款!$G$4))+IF(科目对照回款!$H$4="",0,SUMIFS(输入回款!$C:$C,输入回款!$A:$A,助手回款!$X7,输入回款!$B:$B,科目对照回款!$H$4)+SUMIFS(输入回款!$D:$D,输入回款!$A:$A,助手回款!$X7,输入回款!$B:$B,科目对照回款!$H$4)),2)</f>
        <v>-33904.99</v>
      </c>
      <c r="H79" s="49" t="str">
        <f aca="false">IF(ROUND($G79,2)&gt;0,ROUND($G79,2),"")</f>
        <v/>
      </c>
      <c r="I79" s="49" t="n">
        <f aca="false">IF(ROUND($G79,2)&lt;0,-ROUND($G79,2),"")</f>
        <v>33904.99</v>
      </c>
      <c r="J79" s="20" t="n">
        <f aca="false">IF(ROUND($G79,2)=0,0,1)</f>
        <v>1</v>
      </c>
      <c r="K79" s="20" t="n">
        <f aca="false">IF($J79=0,"",SUM($J$77:$J79))</f>
        <v>3</v>
      </c>
      <c r="L79" s="20" t="n">
        <f aca="false">IF($K79="","",$A79*100+$K79)</f>
        <v>603</v>
      </c>
      <c r="M79" s="48" t="str">
        <f aca="false">参数!$B$4</f>
        <v>回款</v>
      </c>
    </row>
    <row r="80" customFormat="false" ht="13.5" hidden="false" customHeight="false" outlineLevel="0" collapsed="false">
      <c r="A80" s="47" t="n">
        <v>6</v>
      </c>
      <c r="B80" s="38" t="n">
        <f aca="false">助手回款!$B7</f>
        <v>2006</v>
      </c>
      <c r="C80" s="48" t="str">
        <f aca="false">助手回款!$C7</f>
        <v>博荣店</v>
      </c>
      <c r="D80" s="48" t="str">
        <f aca="false">科目对照回款!$B5&amp;""</f>
        <v>医保</v>
      </c>
      <c r="E80" s="48" t="str">
        <f aca="false">科目对照回款!$C5&amp;""</f>
        <v>应收账款</v>
      </c>
      <c r="F80" s="48" t="str">
        <f aca="false">科目对照回款!$D5&amp;""</f>
        <v>医保</v>
      </c>
      <c r="G80" s="49" t="n">
        <f aca="false">-ROUND(IF(科目对照回款!$F$5="",0,SUMIFS(输入回款!$C:$C,输入回款!$A:$A,助手回款!$X7,输入回款!$B:$B,科目对照回款!$F$5)+SUMIFS(输入回款!$D:$D,输入回款!$A:$A,助手回款!$X7,输入回款!$B:$B,科目对照回款!$F$5))+IF(科目对照回款!$G$5="",0,SUMIFS(输入回款!$C:$C,输入回款!$A:$A,助手回款!$X7,输入回款!$B:$B,科目对照回款!$G$5)+SUMIFS(输入回款!$D:$D,输入回款!$A:$A,助手回款!$X7,输入回款!$B:$B,科目对照回款!$G$5))+IF(科目对照回款!$H$5="",0,SUMIFS(输入回款!$C:$C,输入回款!$A:$A,助手回款!$X7,输入回款!$B:$B,科目对照回款!$H$5)+SUMIFS(输入回款!$D:$D,输入回款!$A:$A,助手回款!$X7,输入回款!$B:$B,科目对照回款!$H$5)),2)</f>
        <v>-22380.67</v>
      </c>
      <c r="H80" s="49" t="str">
        <f aca="false">IF(ROUND($G80,2)&gt;0,ROUND($G80,2),"")</f>
        <v/>
      </c>
      <c r="I80" s="49" t="n">
        <f aca="false">IF(ROUND($G80,2)&lt;0,-ROUND($G80,2),"")</f>
        <v>22380.67</v>
      </c>
      <c r="J80" s="20" t="n">
        <f aca="false">IF(ROUND($G80,2)=0,0,1)</f>
        <v>1</v>
      </c>
      <c r="K80" s="20" t="n">
        <f aca="false">IF($J80=0,"",SUM($J$77:$J80))</f>
        <v>4</v>
      </c>
      <c r="L80" s="20" t="n">
        <f aca="false">IF($K80="","",$A80*100+$K80)</f>
        <v>604</v>
      </c>
      <c r="M80" s="48" t="str">
        <f aca="false">参数!$B$4</f>
        <v>回款</v>
      </c>
    </row>
    <row r="81" customFormat="false" ht="13.5" hidden="false" customHeight="false" outlineLevel="0" collapsed="false">
      <c r="A81" s="47" t="n">
        <v>6</v>
      </c>
      <c r="B81" s="38" t="n">
        <f aca="false">助手回款!$B7</f>
        <v>2006</v>
      </c>
      <c r="C81" s="48" t="str">
        <f aca="false">助手回款!$C7</f>
        <v>博荣店</v>
      </c>
      <c r="D81" s="48" t="str">
        <f aca="false">科目对照回款!$B6&amp;""</f>
        <v>美团</v>
      </c>
      <c r="E81" s="48" t="str">
        <f aca="false">科目对照回款!$C6&amp;""</f>
        <v>应收账款</v>
      </c>
      <c r="F81" s="48" t="str">
        <f aca="false">科目对照回款!$D6&amp;""</f>
        <v>美团</v>
      </c>
      <c r="G81" s="49" t="n">
        <f aca="false">-ROUND(IF(科目对照回款!$F$6="",0,SUMIFS(输入回款!$C:$C,输入回款!$A:$A,助手回款!$X7,输入回款!$B:$B,科目对照回款!$F$6)+SUMIFS(输入回款!$D:$D,输入回款!$A:$A,助手回款!$X7,输入回款!$B:$B,科目对照回款!$F$6))+IF(科目对照回款!$G$6="",0,SUMIFS(输入回款!$C:$C,输入回款!$A:$A,助手回款!$X7,输入回款!$B:$B,科目对照回款!$G$6)+SUMIFS(输入回款!$D:$D,输入回款!$A:$A,助手回款!$X7,输入回款!$B:$B,科目对照回款!$G$6))+IF(科目对照回款!$H$6="",0,SUMIFS(输入回款!$C:$C,输入回款!$A:$A,助手回款!$X7,输入回款!$B:$B,科目对照回款!$H$6)+SUMIFS(输入回款!$D:$D,输入回款!$A:$A,助手回款!$X7,输入回款!$B:$B,科目对照回款!$H$6)),2)</f>
        <v>-188</v>
      </c>
      <c r="H81" s="49" t="str">
        <f aca="false">IF(ROUND($G81,2)&gt;0,ROUND($G81,2),"")</f>
        <v/>
      </c>
      <c r="I81" s="49" t="n">
        <f aca="false">IF(ROUND($G81,2)&lt;0,-ROUND($G81,2),"")</f>
        <v>188</v>
      </c>
      <c r="J81" s="20" t="n">
        <f aca="false">IF(ROUND($G81,2)=0,0,1)</f>
        <v>1</v>
      </c>
      <c r="K81" s="20" t="n">
        <f aca="false">IF($J81=0,"",SUM($J$77:$J81))</f>
        <v>5</v>
      </c>
      <c r="L81" s="20" t="n">
        <f aca="false">IF($K81="","",$A81*100+$K81)</f>
        <v>605</v>
      </c>
      <c r="M81" s="48" t="str">
        <f aca="false">参数!$B$4</f>
        <v>回款</v>
      </c>
    </row>
    <row r="82" customFormat="false" ht="13.5" hidden="false" customHeight="false" outlineLevel="0" collapsed="false">
      <c r="A82" s="47" t="n">
        <v>6</v>
      </c>
      <c r="B82" s="38" t="n">
        <f aca="false">助手回款!$B7</f>
        <v>2006</v>
      </c>
      <c r="C82" s="48" t="str">
        <f aca="false">助手回款!$C7</f>
        <v>博荣店</v>
      </c>
      <c r="D82" s="48" t="str">
        <f aca="false">科目对照回款!$B7&amp;""</f>
        <v>饿了么</v>
      </c>
      <c r="E82" s="48" t="str">
        <f aca="false">科目对照回款!$C7&amp;""</f>
        <v>应收账款</v>
      </c>
      <c r="F82" s="48" t="str">
        <f aca="false">科目对照回款!$D7&amp;""</f>
        <v>饿了么</v>
      </c>
      <c r="G82" s="49" t="n">
        <f aca="false">-ROUND(IF(科目对照回款!$F$7="",0,SUMIFS(输入回款!$C:$C,输入回款!$A:$A,助手回款!$X7,输入回款!$B:$B,科目对照回款!$F$7)+SUMIFS(输入回款!$D:$D,输入回款!$A:$A,助手回款!$X7,输入回款!$B:$B,科目对照回款!$F$7))+IF(科目对照回款!$G$7="",0,SUMIFS(输入回款!$C:$C,输入回款!$A:$A,助手回款!$X7,输入回款!$B:$B,科目对照回款!$G$7)+SUMIFS(输入回款!$D:$D,输入回款!$A:$A,助手回款!$X7,输入回款!$B:$B,科目对照回款!$G$7))+IF(科目对照回款!$H$7="",0,SUMIFS(输入回款!$C:$C,输入回款!$A:$A,助手回款!$X7,输入回款!$B:$B,科目对照回款!$H$7)+SUMIFS(输入回款!$D:$D,输入回款!$A:$A,助手回款!$X7,输入回款!$B:$B,科目对照回款!$H$7)),2)</f>
        <v>-0</v>
      </c>
      <c r="H82" s="49" t="str">
        <f aca="false">IF(ROUND($G82,2)&gt;0,ROUND($G82,2),"")</f>
        <v/>
      </c>
      <c r="I82" s="49" t="str">
        <f aca="false">IF(ROUND($G82,2)&lt;0,-ROUND($G82,2),"")</f>
        <v/>
      </c>
      <c r="J82" s="20" t="n">
        <f aca="false">IF(ROUND($G82,2)=0,0,1)</f>
        <v>0</v>
      </c>
      <c r="K82" s="20" t="str">
        <f aca="false">IF($J82=0,"",SUM($J$77:$J82))</f>
        <v/>
      </c>
      <c r="L82" s="20" t="str">
        <f aca="false">IF($K82="","",$A82*100+$K82)</f>
        <v/>
      </c>
      <c r="M82" s="48" t="str">
        <f aca="false">参数!$B$4</f>
        <v>回款</v>
      </c>
    </row>
    <row r="83" customFormat="false" ht="13.5" hidden="false" customHeight="false" outlineLevel="0" collapsed="false">
      <c r="A83" s="47" t="n">
        <v>6</v>
      </c>
      <c r="B83" s="38" t="n">
        <f aca="false">助手回款!$B7</f>
        <v>2006</v>
      </c>
      <c r="C83" s="48" t="str">
        <f aca="false">助手回款!$C7</f>
        <v>博荣店</v>
      </c>
      <c r="D83" s="48" t="str">
        <f aca="false">科目对照回款!$B8&amp;""</f>
        <v>24小时</v>
      </c>
      <c r="E83" s="48" t="str">
        <f aca="false">科目对照回款!$C8&amp;""</f>
        <v>应收账款</v>
      </c>
      <c r="F83" s="48" t="str">
        <f aca="false">科目对照回款!$D8&amp;""</f>
        <v>24小时</v>
      </c>
      <c r="G83" s="49" t="n">
        <f aca="false">-ROUND(IF(科目对照回款!$F$8="",0,SUMIFS(输入回款!$C:$C,输入回款!$A:$A,助手回款!$X7,输入回款!$B:$B,科目对照回款!$F$8)+SUMIFS(输入回款!$D:$D,输入回款!$A:$A,助手回款!$X7,输入回款!$B:$B,科目对照回款!$F$8))+IF(科目对照回款!$G$8="",0,SUMIFS(输入回款!$C:$C,输入回款!$A:$A,助手回款!$X7,输入回款!$B:$B,科目对照回款!$G$8)+SUMIFS(输入回款!$D:$D,输入回款!$A:$A,助手回款!$X7,输入回款!$B:$B,科目对照回款!$G$8))+IF(科目对照回款!$H$8="",0,SUMIFS(输入回款!$C:$C,输入回款!$A:$A,助手回款!$X7,输入回款!$B:$B,科目对照回款!$H$8)+SUMIFS(输入回款!$D:$D,输入回款!$A:$A,助手回款!$X7,输入回款!$B:$B,科目对照回款!$H$8)),2)</f>
        <v>-0</v>
      </c>
      <c r="H83" s="49" t="str">
        <f aca="false">IF(ROUND($G83,2)&gt;0,ROUND($G83,2),"")</f>
        <v/>
      </c>
      <c r="I83" s="49" t="str">
        <f aca="false">IF(ROUND($G83,2)&lt;0,-ROUND($G83,2),"")</f>
        <v/>
      </c>
      <c r="J83" s="20" t="n">
        <f aca="false">IF(ROUND($G83,2)=0,0,1)</f>
        <v>0</v>
      </c>
      <c r="K83" s="20" t="str">
        <f aca="false">IF($J83=0,"",SUM($J$77:$J83))</f>
        <v/>
      </c>
      <c r="L83" s="20" t="str">
        <f aca="false">IF($K83="","",$A83*100+$K83)</f>
        <v/>
      </c>
      <c r="M83" s="48" t="str">
        <f aca="false">参数!$B$4</f>
        <v>回款</v>
      </c>
    </row>
    <row r="84" customFormat="false" ht="13.5" hidden="false" customHeight="false" outlineLevel="0" collapsed="false">
      <c r="A84" s="47" t="n">
        <v>6</v>
      </c>
      <c r="B84" s="38" t="n">
        <f aca="false">助手回款!$B7</f>
        <v>2006</v>
      </c>
      <c r="C84" s="48" t="str">
        <f aca="false">助手回款!$C7</f>
        <v>博荣店</v>
      </c>
      <c r="D84" s="48" t="str">
        <f aca="false">科目对照回款!$B9&amp;""</f>
        <v>健E卡</v>
      </c>
      <c r="E84" s="48" t="str">
        <f aca="false">科目对照回款!$C9&amp;""</f>
        <v>应收账款</v>
      </c>
      <c r="F84" s="48" t="str">
        <f aca="false">科目对照回款!$D9&amp;""</f>
        <v>健E卡</v>
      </c>
      <c r="G84" s="49" t="n">
        <f aca="false">-ROUND(IF(科目对照回款!$F$9="",0,SUMIFS(输入回款!$C:$C,输入回款!$A:$A,助手回款!$X7,输入回款!$B:$B,科目对照回款!$F$9)+SUMIFS(输入回款!$D:$D,输入回款!$A:$A,助手回款!$X7,输入回款!$B:$B,科目对照回款!$F$9))+IF(科目对照回款!$G$9="",0,SUMIFS(输入回款!$C:$C,输入回款!$A:$A,助手回款!$X7,输入回款!$B:$B,科目对照回款!$G$9)+SUMIFS(输入回款!$D:$D,输入回款!$A:$A,助手回款!$X7,输入回款!$B:$B,科目对照回款!$G$9))+IF(科目对照回款!$H$9="",0,SUMIFS(输入回款!$C:$C,输入回款!$A:$A,助手回款!$X7,输入回款!$B:$B,科目对照回款!$H$9)+SUMIFS(输入回款!$D:$D,输入回款!$A:$A,助手回款!$X7,输入回款!$B:$B,科目对照回款!$H$9)),2)</f>
        <v>-21193.17</v>
      </c>
      <c r="H84" s="49" t="str">
        <f aca="false">IF(ROUND($G84,2)&gt;0,ROUND($G84,2),"")</f>
        <v/>
      </c>
      <c r="I84" s="49" t="n">
        <f aca="false">IF(ROUND($G84,2)&lt;0,-ROUND($G84,2),"")</f>
        <v>21193.17</v>
      </c>
      <c r="J84" s="20" t="n">
        <f aca="false">IF(ROUND($G84,2)=0,0,1)</f>
        <v>1</v>
      </c>
      <c r="K84" s="20" t="n">
        <f aca="false">IF($J84=0,"",SUM($J$77:$J84))</f>
        <v>6</v>
      </c>
      <c r="L84" s="20" t="n">
        <f aca="false">IF($K84="","",$A84*100+$K84)</f>
        <v>606</v>
      </c>
      <c r="M84" s="48" t="str">
        <f aca="false">参数!$B$4</f>
        <v>回款</v>
      </c>
    </row>
    <row r="85" customFormat="false" ht="13.5" hidden="false" customHeight="false" outlineLevel="0" collapsed="false">
      <c r="A85" s="47" t="n">
        <v>6</v>
      </c>
      <c r="B85" s="38" t="n">
        <f aca="false">助手回款!$B7</f>
        <v>2006</v>
      </c>
      <c r="C85" s="48" t="str">
        <f aca="false">助手回款!$C7</f>
        <v>博荣店</v>
      </c>
      <c r="D85" s="48" t="str">
        <f aca="false">科目对照回款!$B10&amp;""</f>
        <v>医卡通</v>
      </c>
      <c r="E85" s="48" t="str">
        <f aca="false">科目对照回款!$C10&amp;""</f>
        <v>应收账款</v>
      </c>
      <c r="F85" s="48" t="str">
        <f aca="false">科目对照回款!$D10&amp;""</f>
        <v>医卡通</v>
      </c>
      <c r="G85" s="49" t="n">
        <f aca="false">-ROUND(IF(科目对照回款!$F$10="",0,SUMIFS(输入回款!$C:$C,输入回款!$A:$A,助手回款!$X7,输入回款!$B:$B,科目对照回款!$F$10)+SUMIFS(输入回款!$D:$D,输入回款!$A:$A,助手回款!$X7,输入回款!$B:$B,科目对照回款!$F$10))+IF(科目对照回款!$G$10="",0,SUMIFS(输入回款!$C:$C,输入回款!$A:$A,助手回款!$X7,输入回款!$B:$B,科目对照回款!$G$10)+SUMIFS(输入回款!$D:$D,输入回款!$A:$A,助手回款!$X7,输入回款!$B:$B,科目对照回款!$G$10))+IF(科目对照回款!$H$10="",0,SUMIFS(输入回款!$C:$C,输入回款!$A:$A,助手回款!$X7,输入回款!$B:$B,科目对照回款!$H$10)+SUMIFS(输入回款!$D:$D,输入回款!$A:$A,助手回款!$X7,输入回款!$B:$B,科目对照回款!$H$10)),2)</f>
        <v>-0</v>
      </c>
      <c r="H85" s="49" t="str">
        <f aca="false">IF(ROUND($G85,2)&gt;0,ROUND($G85,2),"")</f>
        <v/>
      </c>
      <c r="I85" s="49" t="str">
        <f aca="false">IF(ROUND($G85,2)&lt;0,-ROUND($G85,2),"")</f>
        <v/>
      </c>
      <c r="J85" s="20" t="n">
        <f aca="false">IF(ROUND($G85,2)=0,0,1)</f>
        <v>0</v>
      </c>
      <c r="K85" s="20" t="str">
        <f aca="false">IF($J85=0,"",SUM($J$77:$J85))</f>
        <v/>
      </c>
      <c r="L85" s="20" t="str">
        <f aca="false">IF($K85="","",$A85*100+$K85)</f>
        <v/>
      </c>
      <c r="M85" s="48" t="str">
        <f aca="false">参数!$B$4</f>
        <v>回款</v>
      </c>
    </row>
    <row r="86" customFormat="false" ht="13.5" hidden="false" customHeight="false" outlineLevel="0" collapsed="false">
      <c r="A86" s="47" t="n">
        <v>6</v>
      </c>
      <c r="B86" s="38" t="n">
        <f aca="false">助手回款!$B7</f>
        <v>2006</v>
      </c>
      <c r="C86" s="48" t="str">
        <f aca="false">助手回款!$C7</f>
        <v>博荣店</v>
      </c>
      <c r="D86" s="48" t="str">
        <f aca="false">科目对照回款!$B11&amp;""</f>
        <v>企健网</v>
      </c>
      <c r="E86" s="48" t="str">
        <f aca="false">科目对照回款!$C11&amp;""</f>
        <v>应收账款</v>
      </c>
      <c r="F86" s="48" t="str">
        <f aca="false">科目对照回款!$D11&amp;""</f>
        <v>企健网</v>
      </c>
      <c r="G86" s="49" t="n">
        <f aca="false">-ROUND(IF(科目对照回款!$F$11="",0,SUMIFS(输入回款!$C:$C,输入回款!$A:$A,助手回款!$X7,输入回款!$B:$B,科目对照回款!$F$11)+SUMIFS(输入回款!$D:$D,输入回款!$A:$A,助手回款!$X7,输入回款!$B:$B,科目对照回款!$F$11))+IF(科目对照回款!$G$11="",0,SUMIFS(输入回款!$C:$C,输入回款!$A:$A,助手回款!$X7,输入回款!$B:$B,科目对照回款!$G$11)+SUMIFS(输入回款!$D:$D,输入回款!$A:$A,助手回款!$X7,输入回款!$B:$B,科目对照回款!$G$11))+IF(科目对照回款!$H$11="",0,SUMIFS(输入回款!$C:$C,输入回款!$A:$A,助手回款!$X7,输入回款!$B:$B,科目对照回款!$H$11)+SUMIFS(输入回款!$D:$D,输入回款!$A:$A,助手回款!$X7,输入回款!$B:$B,科目对照回款!$H$11)),2)</f>
        <v>-0</v>
      </c>
      <c r="H86" s="49" t="str">
        <f aca="false">IF(ROUND($G86,2)&gt;0,ROUND($G86,2),"")</f>
        <v/>
      </c>
      <c r="I86" s="49" t="str">
        <f aca="false">IF(ROUND($G86,2)&lt;0,-ROUND($G86,2),"")</f>
        <v/>
      </c>
      <c r="J86" s="20" t="n">
        <f aca="false">IF(ROUND($G86,2)=0,0,1)</f>
        <v>0</v>
      </c>
      <c r="K86" s="20" t="str">
        <f aca="false">IF($J86=0,"",SUM($J$77:$J86))</f>
        <v/>
      </c>
      <c r="L86" s="20" t="str">
        <f aca="false">IF($K86="","",$A86*100+$K86)</f>
        <v/>
      </c>
      <c r="M86" s="48" t="str">
        <f aca="false">参数!$B$4</f>
        <v>回款</v>
      </c>
    </row>
    <row r="87" customFormat="false" ht="13.5" hidden="false" customHeight="false" outlineLevel="0" collapsed="false">
      <c r="A87" s="47" t="n">
        <v>6</v>
      </c>
      <c r="B87" s="38" t="n">
        <f aca="false">助手回款!$B7</f>
        <v>2006</v>
      </c>
      <c r="C87" s="48" t="str">
        <f aca="false">助手回款!$C7</f>
        <v>博荣店</v>
      </c>
      <c r="D87" s="48" t="str">
        <f aca="false">科目对照回款!$B12&amp;""</f>
        <v>亲情卡</v>
      </c>
      <c r="E87" s="48" t="str">
        <f aca="false">科目对照回款!$C12&amp;""</f>
        <v>应收账款</v>
      </c>
      <c r="F87" s="48" t="str">
        <f aca="false">科目对照回款!$D12&amp;""</f>
        <v>亲情卡</v>
      </c>
      <c r="G87" s="49" t="n">
        <f aca="false">-ROUND(IF(科目对照回款!$F$12="",0,SUMIFS(输入回款!$C:$C,输入回款!$A:$A,助手回款!$X7,输入回款!$B:$B,科目对照回款!$F$12)+SUMIFS(输入回款!$D:$D,输入回款!$A:$A,助手回款!$X7,输入回款!$B:$B,科目对照回款!$F$12))+IF(科目对照回款!$G$12="",0,SUMIFS(输入回款!$C:$C,输入回款!$A:$A,助手回款!$X7,输入回款!$B:$B,科目对照回款!$G$12)+SUMIFS(输入回款!$D:$D,输入回款!$A:$A,助手回款!$X7,输入回款!$B:$B,科目对照回款!$G$12))+IF(科目对照回款!$H$12="",0,SUMIFS(输入回款!$C:$C,输入回款!$A:$A,助手回款!$X7,输入回款!$B:$B,科目对照回款!$H$12)+SUMIFS(输入回款!$D:$D,输入回款!$A:$A,助手回款!$X7,输入回款!$B:$B,科目对照回款!$H$12)),2)</f>
        <v>-0</v>
      </c>
      <c r="H87" s="49" t="str">
        <f aca="false">IF(ROUND($G87,2)&gt;0,ROUND($G87,2),"")</f>
        <v/>
      </c>
      <c r="I87" s="49" t="str">
        <f aca="false">IF(ROUND($G87,2)&lt;0,-ROUND($G87,2),"")</f>
        <v/>
      </c>
      <c r="J87" s="20" t="n">
        <f aca="false">IF(ROUND($G87,2)=0,0,1)</f>
        <v>0</v>
      </c>
      <c r="K87" s="20" t="str">
        <f aca="false">IF($J87=0,"",SUM($J$77:$J87))</f>
        <v/>
      </c>
      <c r="L87" s="20" t="str">
        <f aca="false">IF($K87="","",$A87*100+$K87)</f>
        <v/>
      </c>
      <c r="M87" s="48" t="str">
        <f aca="false">参数!$B$4</f>
        <v>回款</v>
      </c>
    </row>
    <row r="88" customFormat="false" ht="13.5" hidden="false" customHeight="false" outlineLevel="0" collapsed="false">
      <c r="A88" s="47" t="n">
        <v>6</v>
      </c>
      <c r="B88" s="38" t="n">
        <f aca="false">助手回款!$B7</f>
        <v>2006</v>
      </c>
      <c r="C88" s="48" t="str">
        <f aca="false">助手回款!$C7</f>
        <v>博荣店</v>
      </c>
      <c r="D88" s="48" t="str">
        <f aca="false">科目对照回款!$B13&amp;""</f>
        <v>银联</v>
      </c>
      <c r="E88" s="48" t="str">
        <f aca="false">科目对照回款!$C13&amp;""</f>
        <v>应收账款</v>
      </c>
      <c r="F88" s="48" t="str">
        <f aca="false">科目对照回款!$D13&amp;""</f>
        <v>银联</v>
      </c>
      <c r="G88" s="49" t="n">
        <f aca="false">-ROUND(IF(科目对照回款!$F$13="",0,SUMIFS(输入回款!$C:$C,输入回款!$A:$A,助手回款!$X7,输入回款!$B:$B,科目对照回款!$F$13)+SUMIFS(输入回款!$D:$D,输入回款!$A:$A,助手回款!$X7,输入回款!$B:$B,科目对照回款!$F$13))+IF(科目对照回款!$G$13="",0,SUMIFS(输入回款!$C:$C,输入回款!$A:$A,助手回款!$X7,输入回款!$B:$B,科目对照回款!$G$13)+SUMIFS(输入回款!$D:$D,输入回款!$A:$A,助手回款!$X7,输入回款!$B:$B,科目对照回款!$G$13))+IF(科目对照回款!$H$13="",0,SUMIFS(输入回款!$C:$C,输入回款!$A:$A,助手回款!$X7,输入回款!$B:$B,科目对照回款!$H$13)+SUMIFS(输入回款!$D:$D,输入回款!$A:$A,助手回款!$X7,输入回款!$B:$B,科目对照回款!$H$13)),2)</f>
        <v>-0</v>
      </c>
      <c r="H88" s="49" t="str">
        <f aca="false">IF(ROUND($G88,2)&gt;0,ROUND($G88,2),"")</f>
        <v/>
      </c>
      <c r="I88" s="49" t="str">
        <f aca="false">IF(ROUND($G88,2)&lt;0,-ROUND($G88,2),"")</f>
        <v/>
      </c>
      <c r="J88" s="20" t="n">
        <f aca="false">IF(ROUND($G88,2)=0,0,1)</f>
        <v>0</v>
      </c>
      <c r="K88" s="20" t="str">
        <f aca="false">IF($J88=0,"",SUM($J$77:$J88))</f>
        <v/>
      </c>
      <c r="L88" s="20" t="str">
        <f aca="false">IF($K88="","",$A88*100+$K88)</f>
        <v/>
      </c>
      <c r="M88" s="48" t="str">
        <f aca="false">参数!$B$4</f>
        <v>回款</v>
      </c>
    </row>
    <row r="89" customFormat="false" ht="13.5" hidden="false" customHeight="false" outlineLevel="0" collapsed="false">
      <c r="A89" s="47" t="n">
        <v>6</v>
      </c>
      <c r="B89" s="38" t="n">
        <f aca="false">助手回款!$B7</f>
        <v>2006</v>
      </c>
      <c r="C89" s="48" t="str">
        <f aca="false">助手回款!$C7</f>
        <v>博荣店</v>
      </c>
      <c r="D89" s="48" t="str">
        <f aca="false">科目对照回款!$B14&amp;""</f>
        <v>代金券</v>
      </c>
      <c r="E89" s="48" t="str">
        <f aca="false">科目对照回款!$C14&amp;""</f>
        <v>应收账款</v>
      </c>
      <c r="F89" s="48" t="str">
        <f aca="false">科目对照回款!$D14&amp;""</f>
        <v>代金券</v>
      </c>
      <c r="G89" s="49" t="n">
        <f aca="false">-ROUND(IF(科目对照回款!$F$14="",0,SUMIFS(输入回款!$C:$C,输入回款!$A:$A,助手回款!$X7,输入回款!$B:$B,科目对照回款!$F$14)+SUMIFS(输入回款!$D:$D,输入回款!$A:$A,助手回款!$X7,输入回款!$B:$B,科目对照回款!$F$14))+IF(科目对照回款!$G$14="",0,SUMIFS(输入回款!$C:$C,输入回款!$A:$A,助手回款!$X7,输入回款!$B:$B,科目对照回款!$G$14)+SUMIFS(输入回款!$D:$D,输入回款!$A:$A,助手回款!$X7,输入回款!$B:$B,科目对照回款!$G$14))+IF(科目对照回款!$H$14="",0,SUMIFS(输入回款!$C:$C,输入回款!$A:$A,助手回款!$X7,输入回款!$B:$B,科目对照回款!$H$14)+SUMIFS(输入回款!$D:$D,输入回款!$A:$A,助手回款!$X7,输入回款!$B:$B,科目对照回款!$H$14)),2)</f>
        <v>-0</v>
      </c>
      <c r="H89" s="49" t="str">
        <f aca="false">IF(ROUND($G89,2)&gt;0,ROUND($G89,2),"")</f>
        <v/>
      </c>
      <c r="I89" s="49" t="str">
        <f aca="false">IF(ROUND($G89,2)&lt;0,-ROUND($G89,2),"")</f>
        <v/>
      </c>
      <c r="J89" s="20" t="n">
        <f aca="false">IF(ROUND($G89,2)=0,0,1)</f>
        <v>0</v>
      </c>
      <c r="K89" s="20" t="str">
        <f aca="false">IF($J89=0,"",SUM($J$77:$J89))</f>
        <v/>
      </c>
      <c r="L89" s="20" t="str">
        <f aca="false">IF($K89="","",$A89*100+$K89)</f>
        <v/>
      </c>
      <c r="M89" s="48" t="str">
        <f aca="false">参数!$B$4</f>
        <v>回款</v>
      </c>
    </row>
    <row r="90" customFormat="false" ht="13.5" hidden="false" customHeight="false" outlineLevel="0" collapsed="false">
      <c r="A90" s="47" t="n">
        <v>6</v>
      </c>
      <c r="B90" s="38" t="n">
        <f aca="false">助手回款!$B7</f>
        <v>2006</v>
      </c>
      <c r="C90" s="48" t="str">
        <f aca="false">助手回款!$C7</f>
        <v>博荣店</v>
      </c>
      <c r="D90" s="48" t="str">
        <f aca="false">科目对照回款!$B15&amp;""</f>
        <v>药机微信</v>
      </c>
      <c r="E90" s="48" t="str">
        <f aca="false">科目对照回款!$C15&amp;""</f>
        <v>应收账款</v>
      </c>
      <c r="F90" s="48" t="str">
        <f aca="false">科目对照回款!$D15&amp;""</f>
        <v>药机微信</v>
      </c>
      <c r="G90" s="49" t="n">
        <f aca="false">-ROUND(IF(科目对照回款!$F$15="",0,SUMIFS(输入回款!$C:$C,输入回款!$A:$A,助手回款!$X7,输入回款!$B:$B,科目对照回款!$F$15)+SUMIFS(输入回款!$D:$D,输入回款!$A:$A,助手回款!$X7,输入回款!$B:$B,科目对照回款!$F$15))+IF(科目对照回款!$G$15="",0,SUMIFS(输入回款!$C:$C,输入回款!$A:$A,助手回款!$X7,输入回款!$B:$B,科目对照回款!$G$15)+SUMIFS(输入回款!$D:$D,输入回款!$A:$A,助手回款!$X7,输入回款!$B:$B,科目对照回款!$G$15))+IF(科目对照回款!$H$15="",0,SUMIFS(输入回款!$C:$C,输入回款!$A:$A,助手回款!$X7,输入回款!$B:$B,科目对照回款!$H$15)+SUMIFS(输入回款!$D:$D,输入回款!$A:$A,助手回款!$X7,输入回款!$B:$B,科目对照回款!$H$15)),2)</f>
        <v>-0</v>
      </c>
      <c r="H90" s="49" t="str">
        <f aca="false">IF(ROUND($G90,2)&gt;0,ROUND($G90,2),"")</f>
        <v/>
      </c>
      <c r="I90" s="49" t="str">
        <f aca="false">IF(ROUND($G90,2)&lt;0,-ROUND($G90,2),"")</f>
        <v/>
      </c>
      <c r="J90" s="20" t="n">
        <f aca="false">IF(ROUND($G90,2)=0,0,1)</f>
        <v>0</v>
      </c>
      <c r="K90" s="20" t="str">
        <f aca="false">IF($J90=0,"",SUM($J$77:$J90))</f>
        <v/>
      </c>
      <c r="L90" s="20" t="str">
        <f aca="false">IF($K90="","",$A90*100+$K90)</f>
        <v/>
      </c>
      <c r="M90" s="48" t="str">
        <f aca="false">参数!$B$4</f>
        <v>回款</v>
      </c>
    </row>
    <row r="91" customFormat="false" ht="13.5" hidden="false" customHeight="false" outlineLevel="0" collapsed="false">
      <c r="A91" s="47" t="n">
        <v>6</v>
      </c>
      <c r="B91" s="38" t="n">
        <f aca="false">助手回款!$B7</f>
        <v>2006</v>
      </c>
      <c r="C91" s="48" t="str">
        <f aca="false">助手回款!$C7</f>
        <v>博荣店</v>
      </c>
      <c r="D91" s="48" t="str">
        <f aca="false">科目对照回款!$B16&amp;""</f>
        <v>储值卡</v>
      </c>
      <c r="E91" s="48" t="str">
        <f aca="false">科目对照回款!$C16&amp;""</f>
        <v>其他应收款</v>
      </c>
      <c r="F91" s="48" t="str">
        <f aca="false">科目对照回款!$D16&amp;""</f>
        <v>储值卡</v>
      </c>
      <c r="G91" s="49" t="n">
        <f aca="false">-ROUND(IF(科目对照回款!$F$16="",0,SUMIFS(输入回款!$C:$C,输入回款!$A:$A,助手回款!$X7,输入回款!$B:$B,科目对照回款!$F$16)+SUMIFS(输入回款!$D:$D,输入回款!$A:$A,助手回款!$X7,输入回款!$B:$B,科目对照回款!$F$16))+IF(科目对照回款!$G$16="",0,SUMIFS(输入回款!$C:$C,输入回款!$A:$A,助手回款!$X7,输入回款!$B:$B,科目对照回款!$G$16)+SUMIFS(输入回款!$D:$D,输入回款!$A:$A,助手回款!$X7,输入回款!$B:$B,科目对照回款!$G$16))+IF(科目对照回款!$H$16="",0,SUMIFS(输入回款!$C:$C,输入回款!$A:$A,助手回款!$X7,输入回款!$B:$B,科目对照回款!$H$16)+SUMIFS(输入回款!$D:$D,输入回款!$A:$A,助手回款!$X7,输入回款!$B:$B,科目对照回款!$H$16)),2)</f>
        <v>-0</v>
      </c>
      <c r="H91" s="49" t="str">
        <f aca="false">IF(ROUND($G91,2)&gt;0,ROUND($G91,2),"")</f>
        <v/>
      </c>
      <c r="I91" s="49" t="str">
        <f aca="false">IF(ROUND($G91,2)&lt;0,-ROUND($G91,2),"")</f>
        <v/>
      </c>
      <c r="J91" s="20" t="n">
        <f aca="false">IF(ROUND($G91,2)=0,0,1)</f>
        <v>0</v>
      </c>
      <c r="K91" s="20" t="str">
        <f aca="false">IF($J91=0,"",SUM($J$77:$J91))</f>
        <v/>
      </c>
      <c r="L91" s="20" t="str">
        <f aca="false">IF($K91="","",$A91*100+$K91)</f>
        <v/>
      </c>
      <c r="M91" s="48" t="str">
        <f aca="false">参数!$B$4</f>
        <v>回款</v>
      </c>
    </row>
    <row r="92" customFormat="false" ht="13.5" hidden="false" customHeight="false" outlineLevel="0" collapsed="false">
      <c r="A92" s="47" t="n">
        <v>7</v>
      </c>
      <c r="B92" s="38" t="n">
        <f aca="false">助手回款!$B8</f>
        <v>2007</v>
      </c>
      <c r="C92" s="48" t="str">
        <f aca="false">助手回款!$C8</f>
        <v>华鑫店</v>
      </c>
      <c r="D92" s="48" t="str">
        <f aca="false">科目对照回款!$B2&amp;""</f>
        <v>库存现金</v>
      </c>
      <c r="E92" s="48" t="str">
        <f aca="false">科目对照回款!$C2&amp;""</f>
        <v>库存现金</v>
      </c>
      <c r="F92" s="48" t="str">
        <f aca="false">科目对照回款!$D2&amp;""</f>
        <v/>
      </c>
      <c r="G92" s="49" t="n">
        <f aca="false">助手回款!$E8</f>
        <v>42985.8</v>
      </c>
      <c r="H92" s="49" t="n">
        <f aca="false">IF(ROUND($G92,2)&gt;0,ROUND($G92,2),"")</f>
        <v>42985.8</v>
      </c>
      <c r="I92" s="49" t="str">
        <f aca="false">IF(ROUND($G92,2)&lt;0,-ROUND($G92,2),"")</f>
        <v/>
      </c>
      <c r="J92" s="20" t="n">
        <f aca="false">IF(ROUND($G92,2)=0,0,1)</f>
        <v>1</v>
      </c>
      <c r="K92" s="20" t="n">
        <f aca="false">IF($J92=0,"",SUM($J$92:$J92))</f>
        <v>1</v>
      </c>
      <c r="L92" s="20" t="n">
        <f aca="false">IF($K92="","",$A92*100+$K92)</f>
        <v>701</v>
      </c>
      <c r="M92" s="48" t="str">
        <f aca="false">参数!$B$4</f>
        <v>回款</v>
      </c>
    </row>
    <row r="93" customFormat="false" ht="13.5" hidden="false" customHeight="false" outlineLevel="0" collapsed="false">
      <c r="A93" s="47" t="n">
        <v>7</v>
      </c>
      <c r="B93" s="38" t="n">
        <f aca="false">助手回款!$B8</f>
        <v>2007</v>
      </c>
      <c r="C93" s="48" t="str">
        <f aca="false">助手回款!$C8</f>
        <v>华鑫店</v>
      </c>
      <c r="D93" s="48" t="str">
        <f aca="false">科目对照回款!$B3&amp;""</f>
        <v>手续费</v>
      </c>
      <c r="E93" s="48" t="str">
        <f aca="false">科目对照回款!$C3&amp;""</f>
        <v>财务费用</v>
      </c>
      <c r="F93" s="48" t="str">
        <f aca="false">科目对照回款!$D3&amp;""</f>
        <v>手续费</v>
      </c>
      <c r="G93" s="49" t="n">
        <f aca="false">助手回款!$F8</f>
        <v>65.84</v>
      </c>
      <c r="H93" s="49" t="n">
        <f aca="false">IF(ROUND($G93,2)&gt;0,ROUND($G93,2),"")</f>
        <v>65.84</v>
      </c>
      <c r="I93" s="49" t="str">
        <f aca="false">IF(ROUND($G93,2)&lt;0,-ROUND($G93,2),"")</f>
        <v/>
      </c>
      <c r="J93" s="20" t="n">
        <f aca="false">IF(ROUND($G93,2)=0,0,1)</f>
        <v>1</v>
      </c>
      <c r="K93" s="20" t="n">
        <f aca="false">IF($J93=0,"",SUM($J$92:$J93))</f>
        <v>2</v>
      </c>
      <c r="L93" s="20" t="n">
        <f aca="false">IF($K93="","",$A93*100+$K93)</f>
        <v>702</v>
      </c>
      <c r="M93" s="48" t="str">
        <f aca="false">参数!$B$4</f>
        <v>回款</v>
      </c>
    </row>
    <row r="94" customFormat="false" ht="13.5" hidden="false" customHeight="false" outlineLevel="0" collapsed="false">
      <c r="A94" s="47" t="n">
        <v>7</v>
      </c>
      <c r="B94" s="38" t="n">
        <f aca="false">助手回款!$B8</f>
        <v>2007</v>
      </c>
      <c r="C94" s="48" t="str">
        <f aca="false">助手回款!$C8</f>
        <v>华鑫店</v>
      </c>
      <c r="D94" s="48" t="str">
        <f aca="false">科目对照回款!$B4&amp;""</f>
        <v>聚合支付</v>
      </c>
      <c r="E94" s="48" t="str">
        <f aca="false">科目对照回款!$C4&amp;""</f>
        <v>应收账款</v>
      </c>
      <c r="F94" s="48" t="str">
        <f aca="false">科目对照回款!$D4&amp;""</f>
        <v>聚合支付</v>
      </c>
      <c r="G94" s="49" t="n">
        <f aca="false">-ROUND(IF(科目对照回款!$F$4="",0,SUMIFS(输入回款!$C:$C,输入回款!$A:$A,助手回款!$X8,输入回款!$B:$B,科目对照回款!$F$4)+SUMIFS(输入回款!$D:$D,输入回款!$A:$A,助手回款!$X8,输入回款!$B:$B,科目对照回款!$F$4))+IF(科目对照回款!$G$4="",0,SUMIFS(输入回款!$C:$C,输入回款!$A:$A,助手回款!$X8,输入回款!$B:$B,科目对照回款!$G$4)+SUMIFS(输入回款!$D:$D,输入回款!$A:$A,助手回款!$X8,输入回款!$B:$B,科目对照回款!$G$4))+IF(科目对照回款!$H$4="",0,SUMIFS(输入回款!$C:$C,输入回款!$A:$A,助手回款!$X8,输入回款!$B:$B,科目对照回款!$H$4)+SUMIFS(输入回款!$D:$D,输入回款!$A:$A,助手回款!$X8,输入回款!$B:$B,科目对照回款!$H$4)),2)</f>
        <v>-30413.09</v>
      </c>
      <c r="H94" s="49" t="str">
        <f aca="false">IF(ROUND($G94,2)&gt;0,ROUND($G94,2),"")</f>
        <v/>
      </c>
      <c r="I94" s="49" t="n">
        <f aca="false">IF(ROUND($G94,2)&lt;0,-ROUND($G94,2),"")</f>
        <v>30413.09</v>
      </c>
      <c r="J94" s="20" t="n">
        <f aca="false">IF(ROUND($G94,2)=0,0,1)</f>
        <v>1</v>
      </c>
      <c r="K94" s="20" t="n">
        <f aca="false">IF($J94=0,"",SUM($J$92:$J94))</f>
        <v>3</v>
      </c>
      <c r="L94" s="20" t="n">
        <f aca="false">IF($K94="","",$A94*100+$K94)</f>
        <v>703</v>
      </c>
      <c r="M94" s="48" t="str">
        <f aca="false">参数!$B$4</f>
        <v>回款</v>
      </c>
    </row>
    <row r="95" customFormat="false" ht="13.5" hidden="false" customHeight="false" outlineLevel="0" collapsed="false">
      <c r="A95" s="47" t="n">
        <v>7</v>
      </c>
      <c r="B95" s="38" t="n">
        <f aca="false">助手回款!$B8</f>
        <v>2007</v>
      </c>
      <c r="C95" s="48" t="str">
        <f aca="false">助手回款!$C8</f>
        <v>华鑫店</v>
      </c>
      <c r="D95" s="48" t="str">
        <f aca="false">科目对照回款!$B5&amp;""</f>
        <v>医保</v>
      </c>
      <c r="E95" s="48" t="str">
        <f aca="false">科目对照回款!$C5&amp;""</f>
        <v>应收账款</v>
      </c>
      <c r="F95" s="48" t="str">
        <f aca="false">科目对照回款!$D5&amp;""</f>
        <v>医保</v>
      </c>
      <c r="G95" s="49" t="n">
        <f aca="false">-ROUND(IF(科目对照回款!$F$5="",0,SUMIFS(输入回款!$C:$C,输入回款!$A:$A,助手回款!$X8,输入回款!$B:$B,科目对照回款!$F$5)+SUMIFS(输入回款!$D:$D,输入回款!$A:$A,助手回款!$X8,输入回款!$B:$B,科目对照回款!$F$5))+IF(科目对照回款!$G$5="",0,SUMIFS(输入回款!$C:$C,输入回款!$A:$A,助手回款!$X8,输入回款!$B:$B,科目对照回款!$G$5)+SUMIFS(输入回款!$D:$D,输入回款!$A:$A,助手回款!$X8,输入回款!$B:$B,科目对照回款!$G$5))+IF(科目对照回款!$H$5="",0,SUMIFS(输入回款!$C:$C,输入回款!$A:$A,助手回款!$X8,输入回款!$B:$B,科目对照回款!$H$5)+SUMIFS(输入回款!$D:$D,输入回款!$A:$A,助手回款!$X8,输入回款!$B:$B,科目对照回款!$H$5)),2)</f>
        <v>-11979.59</v>
      </c>
      <c r="H95" s="49" t="str">
        <f aca="false">IF(ROUND($G95,2)&gt;0,ROUND($G95,2),"")</f>
        <v/>
      </c>
      <c r="I95" s="49" t="n">
        <f aca="false">IF(ROUND($G95,2)&lt;0,-ROUND($G95,2),"")</f>
        <v>11979.59</v>
      </c>
      <c r="J95" s="20" t="n">
        <f aca="false">IF(ROUND($G95,2)=0,0,1)</f>
        <v>1</v>
      </c>
      <c r="K95" s="20" t="n">
        <f aca="false">IF($J95=0,"",SUM($J$92:$J95))</f>
        <v>4</v>
      </c>
      <c r="L95" s="20" t="n">
        <f aca="false">IF($K95="","",$A95*100+$K95)</f>
        <v>704</v>
      </c>
      <c r="M95" s="48" t="str">
        <f aca="false">参数!$B$4</f>
        <v>回款</v>
      </c>
    </row>
    <row r="96" customFormat="false" ht="13.5" hidden="false" customHeight="false" outlineLevel="0" collapsed="false">
      <c r="A96" s="47" t="n">
        <v>7</v>
      </c>
      <c r="B96" s="38" t="n">
        <f aca="false">助手回款!$B8</f>
        <v>2007</v>
      </c>
      <c r="C96" s="48" t="str">
        <f aca="false">助手回款!$C8</f>
        <v>华鑫店</v>
      </c>
      <c r="D96" s="48" t="str">
        <f aca="false">科目对照回款!$B6&amp;""</f>
        <v>美团</v>
      </c>
      <c r="E96" s="48" t="str">
        <f aca="false">科目对照回款!$C6&amp;""</f>
        <v>应收账款</v>
      </c>
      <c r="F96" s="48" t="str">
        <f aca="false">科目对照回款!$D6&amp;""</f>
        <v>美团</v>
      </c>
      <c r="G96" s="49" t="n">
        <f aca="false">-ROUND(IF(科目对照回款!$F$6="",0,SUMIFS(输入回款!$C:$C,输入回款!$A:$A,助手回款!$X8,输入回款!$B:$B,科目对照回款!$F$6)+SUMIFS(输入回款!$D:$D,输入回款!$A:$A,助手回款!$X8,输入回款!$B:$B,科目对照回款!$F$6))+IF(科目对照回款!$G$6="",0,SUMIFS(输入回款!$C:$C,输入回款!$A:$A,助手回款!$X8,输入回款!$B:$B,科目对照回款!$G$6)+SUMIFS(输入回款!$D:$D,输入回款!$A:$A,助手回款!$X8,输入回款!$B:$B,科目对照回款!$G$6))+IF(科目对照回款!$H$6="",0,SUMIFS(输入回款!$C:$C,输入回款!$A:$A,助手回款!$X8,输入回款!$B:$B,科目对照回款!$H$6)+SUMIFS(输入回款!$D:$D,输入回款!$A:$A,助手回款!$X8,输入回款!$B:$B,科目对照回款!$H$6)),2)</f>
        <v>-158.96</v>
      </c>
      <c r="H96" s="49" t="str">
        <f aca="false">IF(ROUND($G96,2)&gt;0,ROUND($G96,2),"")</f>
        <v/>
      </c>
      <c r="I96" s="49" t="n">
        <f aca="false">IF(ROUND($G96,2)&lt;0,-ROUND($G96,2),"")</f>
        <v>158.96</v>
      </c>
      <c r="J96" s="20" t="n">
        <f aca="false">IF(ROUND($G96,2)=0,0,1)</f>
        <v>1</v>
      </c>
      <c r="K96" s="20" t="n">
        <f aca="false">IF($J96=0,"",SUM($J$92:$J96))</f>
        <v>5</v>
      </c>
      <c r="L96" s="20" t="n">
        <f aca="false">IF($K96="","",$A96*100+$K96)</f>
        <v>705</v>
      </c>
      <c r="M96" s="48" t="str">
        <f aca="false">参数!$B$4</f>
        <v>回款</v>
      </c>
    </row>
    <row r="97" customFormat="false" ht="13.5" hidden="false" customHeight="false" outlineLevel="0" collapsed="false">
      <c r="A97" s="47" t="n">
        <v>7</v>
      </c>
      <c r="B97" s="38" t="n">
        <f aca="false">助手回款!$B8</f>
        <v>2007</v>
      </c>
      <c r="C97" s="48" t="str">
        <f aca="false">助手回款!$C8</f>
        <v>华鑫店</v>
      </c>
      <c r="D97" s="48" t="str">
        <f aca="false">科目对照回款!$B7&amp;""</f>
        <v>饿了么</v>
      </c>
      <c r="E97" s="48" t="str">
        <f aca="false">科目对照回款!$C7&amp;""</f>
        <v>应收账款</v>
      </c>
      <c r="F97" s="48" t="str">
        <f aca="false">科目对照回款!$D7&amp;""</f>
        <v>饿了么</v>
      </c>
      <c r="G97" s="49" t="n">
        <f aca="false">-ROUND(IF(科目对照回款!$F$7="",0,SUMIFS(输入回款!$C:$C,输入回款!$A:$A,助手回款!$X8,输入回款!$B:$B,科目对照回款!$F$7)+SUMIFS(输入回款!$D:$D,输入回款!$A:$A,助手回款!$X8,输入回款!$B:$B,科目对照回款!$F$7))+IF(科目对照回款!$G$7="",0,SUMIFS(输入回款!$C:$C,输入回款!$A:$A,助手回款!$X8,输入回款!$B:$B,科目对照回款!$G$7)+SUMIFS(输入回款!$D:$D,输入回款!$A:$A,助手回款!$X8,输入回款!$B:$B,科目对照回款!$G$7))+IF(科目对照回款!$H$7="",0,SUMIFS(输入回款!$C:$C,输入回款!$A:$A,助手回款!$X8,输入回款!$B:$B,科目对照回款!$H$7)+SUMIFS(输入回款!$D:$D,输入回款!$A:$A,助手回款!$X8,输入回款!$B:$B,科目对照回款!$H$7)),2)</f>
        <v>-142.8</v>
      </c>
      <c r="H97" s="49" t="str">
        <f aca="false">IF(ROUND($G97,2)&gt;0,ROUND($G97,2),"")</f>
        <v/>
      </c>
      <c r="I97" s="49" t="n">
        <f aca="false">IF(ROUND($G97,2)&lt;0,-ROUND($G97,2),"")</f>
        <v>142.8</v>
      </c>
      <c r="J97" s="20" t="n">
        <f aca="false">IF(ROUND($G97,2)=0,0,1)</f>
        <v>1</v>
      </c>
      <c r="K97" s="20" t="n">
        <f aca="false">IF($J97=0,"",SUM($J$92:$J97))</f>
        <v>6</v>
      </c>
      <c r="L97" s="20" t="n">
        <f aca="false">IF($K97="","",$A97*100+$K97)</f>
        <v>706</v>
      </c>
      <c r="M97" s="48" t="str">
        <f aca="false">参数!$B$4</f>
        <v>回款</v>
      </c>
    </row>
    <row r="98" customFormat="false" ht="13.5" hidden="false" customHeight="false" outlineLevel="0" collapsed="false">
      <c r="A98" s="47" t="n">
        <v>7</v>
      </c>
      <c r="B98" s="38" t="n">
        <f aca="false">助手回款!$B8</f>
        <v>2007</v>
      </c>
      <c r="C98" s="48" t="str">
        <f aca="false">助手回款!$C8</f>
        <v>华鑫店</v>
      </c>
      <c r="D98" s="48" t="str">
        <f aca="false">科目对照回款!$B8&amp;""</f>
        <v>24小时</v>
      </c>
      <c r="E98" s="48" t="str">
        <f aca="false">科目对照回款!$C8&amp;""</f>
        <v>应收账款</v>
      </c>
      <c r="F98" s="48" t="str">
        <f aca="false">科目对照回款!$D8&amp;""</f>
        <v>24小时</v>
      </c>
      <c r="G98" s="49" t="n">
        <f aca="false">-ROUND(IF(科目对照回款!$F$8="",0,SUMIFS(输入回款!$C:$C,输入回款!$A:$A,助手回款!$X8,输入回款!$B:$B,科目对照回款!$F$8)+SUMIFS(输入回款!$D:$D,输入回款!$A:$A,助手回款!$X8,输入回款!$B:$B,科目对照回款!$F$8))+IF(科目对照回款!$G$8="",0,SUMIFS(输入回款!$C:$C,输入回款!$A:$A,助手回款!$X8,输入回款!$B:$B,科目对照回款!$G$8)+SUMIFS(输入回款!$D:$D,输入回款!$A:$A,助手回款!$X8,输入回款!$B:$B,科目对照回款!$G$8))+IF(科目对照回款!$H$8="",0,SUMIFS(输入回款!$C:$C,输入回款!$A:$A,助手回款!$X8,输入回款!$B:$B,科目对照回款!$H$8)+SUMIFS(输入回款!$D:$D,输入回款!$A:$A,助手回款!$X8,输入回款!$B:$B,科目对照回款!$H$8)),2)</f>
        <v>-0</v>
      </c>
      <c r="H98" s="49" t="str">
        <f aca="false">IF(ROUND($G98,2)&gt;0,ROUND($G98,2),"")</f>
        <v/>
      </c>
      <c r="I98" s="49" t="str">
        <f aca="false">IF(ROUND($G98,2)&lt;0,-ROUND($G98,2),"")</f>
        <v/>
      </c>
      <c r="J98" s="20" t="n">
        <f aca="false">IF(ROUND($G98,2)=0,0,1)</f>
        <v>0</v>
      </c>
      <c r="K98" s="20" t="str">
        <f aca="false">IF($J98=0,"",SUM($J$92:$J98))</f>
        <v/>
      </c>
      <c r="L98" s="20" t="str">
        <f aca="false">IF($K98="","",$A98*100+$K98)</f>
        <v/>
      </c>
      <c r="M98" s="48" t="str">
        <f aca="false">参数!$B$4</f>
        <v>回款</v>
      </c>
    </row>
    <row r="99" customFormat="false" ht="13.5" hidden="false" customHeight="false" outlineLevel="0" collapsed="false">
      <c r="A99" s="47" t="n">
        <v>7</v>
      </c>
      <c r="B99" s="38" t="n">
        <f aca="false">助手回款!$B8</f>
        <v>2007</v>
      </c>
      <c r="C99" s="48" t="str">
        <f aca="false">助手回款!$C8</f>
        <v>华鑫店</v>
      </c>
      <c r="D99" s="48" t="str">
        <f aca="false">科目对照回款!$B9&amp;""</f>
        <v>健E卡</v>
      </c>
      <c r="E99" s="48" t="str">
        <f aca="false">科目对照回款!$C9&amp;""</f>
        <v>应收账款</v>
      </c>
      <c r="F99" s="48" t="str">
        <f aca="false">科目对照回款!$D9&amp;""</f>
        <v>健E卡</v>
      </c>
      <c r="G99" s="49" t="n">
        <f aca="false">-ROUND(IF(科目对照回款!$F$9="",0,SUMIFS(输入回款!$C:$C,输入回款!$A:$A,助手回款!$X8,输入回款!$B:$B,科目对照回款!$F$9)+SUMIFS(输入回款!$D:$D,输入回款!$A:$A,助手回款!$X8,输入回款!$B:$B,科目对照回款!$F$9))+IF(科目对照回款!$G$9="",0,SUMIFS(输入回款!$C:$C,输入回款!$A:$A,助手回款!$X8,输入回款!$B:$B,科目对照回款!$G$9)+SUMIFS(输入回款!$D:$D,输入回款!$A:$A,助手回款!$X8,输入回款!$B:$B,科目对照回款!$G$9))+IF(科目对照回款!$H$9="",0,SUMIFS(输入回款!$C:$C,输入回款!$A:$A,助手回款!$X8,输入回款!$B:$B,科目对照回款!$H$9)+SUMIFS(输入回款!$D:$D,输入回款!$A:$A,助手回款!$X8,输入回款!$B:$B,科目对照回款!$H$9)),2)</f>
        <v>-0</v>
      </c>
      <c r="H99" s="49" t="str">
        <f aca="false">IF(ROUND($G99,2)&gt;0,ROUND($G99,2),"")</f>
        <v/>
      </c>
      <c r="I99" s="49" t="str">
        <f aca="false">IF(ROUND($G99,2)&lt;0,-ROUND($G99,2),"")</f>
        <v/>
      </c>
      <c r="J99" s="20" t="n">
        <f aca="false">IF(ROUND($G99,2)=0,0,1)</f>
        <v>0</v>
      </c>
      <c r="K99" s="20" t="str">
        <f aca="false">IF($J99=0,"",SUM($J$92:$J99))</f>
        <v/>
      </c>
      <c r="L99" s="20" t="str">
        <f aca="false">IF($K99="","",$A99*100+$K99)</f>
        <v/>
      </c>
      <c r="M99" s="48" t="str">
        <f aca="false">参数!$B$4</f>
        <v>回款</v>
      </c>
    </row>
    <row r="100" customFormat="false" ht="13.5" hidden="false" customHeight="false" outlineLevel="0" collapsed="false">
      <c r="A100" s="47" t="n">
        <v>7</v>
      </c>
      <c r="B100" s="38" t="n">
        <f aca="false">助手回款!$B8</f>
        <v>2007</v>
      </c>
      <c r="C100" s="48" t="str">
        <f aca="false">助手回款!$C8</f>
        <v>华鑫店</v>
      </c>
      <c r="D100" s="48" t="str">
        <f aca="false">科目对照回款!$B10&amp;""</f>
        <v>医卡通</v>
      </c>
      <c r="E100" s="48" t="str">
        <f aca="false">科目对照回款!$C10&amp;""</f>
        <v>应收账款</v>
      </c>
      <c r="F100" s="48" t="str">
        <f aca="false">科目对照回款!$D10&amp;""</f>
        <v>医卡通</v>
      </c>
      <c r="G100" s="49" t="n">
        <f aca="false">-ROUND(IF(科目对照回款!$F$10="",0,SUMIFS(输入回款!$C:$C,输入回款!$A:$A,助手回款!$X8,输入回款!$B:$B,科目对照回款!$F$10)+SUMIFS(输入回款!$D:$D,输入回款!$A:$A,助手回款!$X8,输入回款!$B:$B,科目对照回款!$F$10))+IF(科目对照回款!$G$10="",0,SUMIFS(输入回款!$C:$C,输入回款!$A:$A,助手回款!$X8,输入回款!$B:$B,科目对照回款!$G$10)+SUMIFS(输入回款!$D:$D,输入回款!$A:$A,助手回款!$X8,输入回款!$B:$B,科目对照回款!$G$10))+IF(科目对照回款!$H$10="",0,SUMIFS(输入回款!$C:$C,输入回款!$A:$A,助手回款!$X8,输入回款!$B:$B,科目对照回款!$H$10)+SUMIFS(输入回款!$D:$D,输入回款!$A:$A,助手回款!$X8,输入回款!$B:$B,科目对照回款!$H$10)),2)</f>
        <v>-0</v>
      </c>
      <c r="H100" s="49" t="str">
        <f aca="false">IF(ROUND($G100,2)&gt;0,ROUND($G100,2),"")</f>
        <v/>
      </c>
      <c r="I100" s="49" t="str">
        <f aca="false">IF(ROUND($G100,2)&lt;0,-ROUND($G100,2),"")</f>
        <v/>
      </c>
      <c r="J100" s="20" t="n">
        <f aca="false">IF(ROUND($G100,2)=0,0,1)</f>
        <v>0</v>
      </c>
      <c r="K100" s="20" t="str">
        <f aca="false">IF($J100=0,"",SUM($J$92:$J100))</f>
        <v/>
      </c>
      <c r="L100" s="20" t="str">
        <f aca="false">IF($K100="","",$A100*100+$K100)</f>
        <v/>
      </c>
      <c r="M100" s="48" t="str">
        <f aca="false">参数!$B$4</f>
        <v>回款</v>
      </c>
    </row>
    <row r="101" customFormat="false" ht="13.5" hidden="false" customHeight="false" outlineLevel="0" collapsed="false">
      <c r="A101" s="47" t="n">
        <v>7</v>
      </c>
      <c r="B101" s="38" t="n">
        <f aca="false">助手回款!$B8</f>
        <v>2007</v>
      </c>
      <c r="C101" s="48" t="str">
        <f aca="false">助手回款!$C8</f>
        <v>华鑫店</v>
      </c>
      <c r="D101" s="48" t="str">
        <f aca="false">科目对照回款!$B11&amp;""</f>
        <v>企健网</v>
      </c>
      <c r="E101" s="48" t="str">
        <f aca="false">科目对照回款!$C11&amp;""</f>
        <v>应收账款</v>
      </c>
      <c r="F101" s="48" t="str">
        <f aca="false">科目对照回款!$D11&amp;""</f>
        <v>企健网</v>
      </c>
      <c r="G101" s="49" t="n">
        <f aca="false">-ROUND(IF(科目对照回款!$F$11="",0,SUMIFS(输入回款!$C:$C,输入回款!$A:$A,助手回款!$X8,输入回款!$B:$B,科目对照回款!$F$11)+SUMIFS(输入回款!$D:$D,输入回款!$A:$A,助手回款!$X8,输入回款!$B:$B,科目对照回款!$F$11))+IF(科目对照回款!$G$11="",0,SUMIFS(输入回款!$C:$C,输入回款!$A:$A,助手回款!$X8,输入回款!$B:$B,科目对照回款!$G$11)+SUMIFS(输入回款!$D:$D,输入回款!$A:$A,助手回款!$X8,输入回款!$B:$B,科目对照回款!$G$11))+IF(科目对照回款!$H$11="",0,SUMIFS(输入回款!$C:$C,输入回款!$A:$A,助手回款!$X8,输入回款!$B:$B,科目对照回款!$H$11)+SUMIFS(输入回款!$D:$D,输入回款!$A:$A,助手回款!$X8,输入回款!$B:$B,科目对照回款!$H$11)),2)</f>
        <v>-357.2</v>
      </c>
      <c r="H101" s="49" t="str">
        <f aca="false">IF(ROUND($G101,2)&gt;0,ROUND($G101,2),"")</f>
        <v/>
      </c>
      <c r="I101" s="49" t="n">
        <f aca="false">IF(ROUND($G101,2)&lt;0,-ROUND($G101,2),"")</f>
        <v>357.2</v>
      </c>
      <c r="J101" s="20" t="n">
        <f aca="false">IF(ROUND($G101,2)=0,0,1)</f>
        <v>1</v>
      </c>
      <c r="K101" s="20" t="n">
        <f aca="false">IF($J101=0,"",SUM($J$92:$J101))</f>
        <v>7</v>
      </c>
      <c r="L101" s="20" t="n">
        <f aca="false">IF($K101="","",$A101*100+$K101)</f>
        <v>707</v>
      </c>
      <c r="M101" s="48" t="str">
        <f aca="false">参数!$B$4</f>
        <v>回款</v>
      </c>
    </row>
    <row r="102" customFormat="false" ht="13.5" hidden="false" customHeight="false" outlineLevel="0" collapsed="false">
      <c r="A102" s="47" t="n">
        <v>7</v>
      </c>
      <c r="B102" s="38" t="n">
        <f aca="false">助手回款!$B8</f>
        <v>2007</v>
      </c>
      <c r="C102" s="48" t="str">
        <f aca="false">助手回款!$C8</f>
        <v>华鑫店</v>
      </c>
      <c r="D102" s="48" t="str">
        <f aca="false">科目对照回款!$B12&amp;""</f>
        <v>亲情卡</v>
      </c>
      <c r="E102" s="48" t="str">
        <f aca="false">科目对照回款!$C12&amp;""</f>
        <v>应收账款</v>
      </c>
      <c r="F102" s="48" t="str">
        <f aca="false">科目对照回款!$D12&amp;""</f>
        <v>亲情卡</v>
      </c>
      <c r="G102" s="49" t="n">
        <f aca="false">-ROUND(IF(科目对照回款!$F$12="",0,SUMIFS(输入回款!$C:$C,输入回款!$A:$A,助手回款!$X8,输入回款!$B:$B,科目对照回款!$F$12)+SUMIFS(输入回款!$D:$D,输入回款!$A:$A,助手回款!$X8,输入回款!$B:$B,科目对照回款!$F$12))+IF(科目对照回款!$G$12="",0,SUMIFS(输入回款!$C:$C,输入回款!$A:$A,助手回款!$X8,输入回款!$B:$B,科目对照回款!$G$12)+SUMIFS(输入回款!$D:$D,输入回款!$A:$A,助手回款!$X8,输入回款!$B:$B,科目对照回款!$G$12))+IF(科目对照回款!$H$12="",0,SUMIFS(输入回款!$C:$C,输入回款!$A:$A,助手回款!$X8,输入回款!$B:$B,科目对照回款!$H$12)+SUMIFS(输入回款!$D:$D,输入回款!$A:$A,助手回款!$X8,输入回款!$B:$B,科目对照回款!$H$12)),2)</f>
        <v>-0</v>
      </c>
      <c r="H102" s="49" t="str">
        <f aca="false">IF(ROUND($G102,2)&gt;0,ROUND($G102,2),"")</f>
        <v/>
      </c>
      <c r="I102" s="49" t="str">
        <f aca="false">IF(ROUND($G102,2)&lt;0,-ROUND($G102,2),"")</f>
        <v/>
      </c>
      <c r="J102" s="20" t="n">
        <f aca="false">IF(ROUND($G102,2)=0,0,1)</f>
        <v>0</v>
      </c>
      <c r="K102" s="20" t="str">
        <f aca="false">IF($J102=0,"",SUM($J$92:$J102))</f>
        <v/>
      </c>
      <c r="L102" s="20" t="str">
        <f aca="false">IF($K102="","",$A102*100+$K102)</f>
        <v/>
      </c>
      <c r="M102" s="48" t="str">
        <f aca="false">参数!$B$4</f>
        <v>回款</v>
      </c>
    </row>
    <row r="103" customFormat="false" ht="13.5" hidden="false" customHeight="false" outlineLevel="0" collapsed="false">
      <c r="A103" s="47" t="n">
        <v>7</v>
      </c>
      <c r="B103" s="38" t="n">
        <f aca="false">助手回款!$B8</f>
        <v>2007</v>
      </c>
      <c r="C103" s="48" t="str">
        <f aca="false">助手回款!$C8</f>
        <v>华鑫店</v>
      </c>
      <c r="D103" s="48" t="str">
        <f aca="false">科目对照回款!$B13&amp;""</f>
        <v>银联</v>
      </c>
      <c r="E103" s="48" t="str">
        <f aca="false">科目对照回款!$C13&amp;""</f>
        <v>应收账款</v>
      </c>
      <c r="F103" s="48" t="str">
        <f aca="false">科目对照回款!$D13&amp;""</f>
        <v>银联</v>
      </c>
      <c r="G103" s="49" t="n">
        <f aca="false">-ROUND(IF(科目对照回款!$F$13="",0,SUMIFS(输入回款!$C:$C,输入回款!$A:$A,助手回款!$X8,输入回款!$B:$B,科目对照回款!$F$13)+SUMIFS(输入回款!$D:$D,输入回款!$A:$A,助手回款!$X8,输入回款!$B:$B,科目对照回款!$F$13))+IF(科目对照回款!$G$13="",0,SUMIFS(输入回款!$C:$C,输入回款!$A:$A,助手回款!$X8,输入回款!$B:$B,科目对照回款!$G$13)+SUMIFS(输入回款!$D:$D,输入回款!$A:$A,助手回款!$X8,输入回款!$B:$B,科目对照回款!$G$13))+IF(科目对照回款!$H$13="",0,SUMIFS(输入回款!$C:$C,输入回款!$A:$A,助手回款!$X8,输入回款!$B:$B,科目对照回款!$H$13)+SUMIFS(输入回款!$D:$D,输入回款!$A:$A,助手回款!$X8,输入回款!$B:$B,科目对照回款!$H$13)),2)</f>
        <v>-0</v>
      </c>
      <c r="H103" s="49" t="str">
        <f aca="false">IF(ROUND($G103,2)&gt;0,ROUND($G103,2),"")</f>
        <v/>
      </c>
      <c r="I103" s="49" t="str">
        <f aca="false">IF(ROUND($G103,2)&lt;0,-ROUND($G103,2),"")</f>
        <v/>
      </c>
      <c r="J103" s="20" t="n">
        <f aca="false">IF(ROUND($G103,2)=0,0,1)</f>
        <v>0</v>
      </c>
      <c r="K103" s="20" t="str">
        <f aca="false">IF($J103=0,"",SUM($J$92:$J103))</f>
        <v/>
      </c>
      <c r="L103" s="20" t="str">
        <f aca="false">IF($K103="","",$A103*100+$K103)</f>
        <v/>
      </c>
      <c r="M103" s="48" t="str">
        <f aca="false">参数!$B$4</f>
        <v>回款</v>
      </c>
    </row>
    <row r="104" customFormat="false" ht="13.5" hidden="false" customHeight="false" outlineLevel="0" collapsed="false">
      <c r="A104" s="47" t="n">
        <v>7</v>
      </c>
      <c r="B104" s="38" t="n">
        <f aca="false">助手回款!$B8</f>
        <v>2007</v>
      </c>
      <c r="C104" s="48" t="str">
        <f aca="false">助手回款!$C8</f>
        <v>华鑫店</v>
      </c>
      <c r="D104" s="48" t="str">
        <f aca="false">科目对照回款!$B14&amp;""</f>
        <v>代金券</v>
      </c>
      <c r="E104" s="48" t="str">
        <f aca="false">科目对照回款!$C14&amp;""</f>
        <v>应收账款</v>
      </c>
      <c r="F104" s="48" t="str">
        <f aca="false">科目对照回款!$D14&amp;""</f>
        <v>代金券</v>
      </c>
      <c r="G104" s="49" t="n">
        <f aca="false">-ROUND(IF(科目对照回款!$F$14="",0,SUMIFS(输入回款!$C:$C,输入回款!$A:$A,助手回款!$X8,输入回款!$B:$B,科目对照回款!$F$14)+SUMIFS(输入回款!$D:$D,输入回款!$A:$A,助手回款!$X8,输入回款!$B:$B,科目对照回款!$F$14))+IF(科目对照回款!$G$14="",0,SUMIFS(输入回款!$C:$C,输入回款!$A:$A,助手回款!$X8,输入回款!$B:$B,科目对照回款!$G$14)+SUMIFS(输入回款!$D:$D,输入回款!$A:$A,助手回款!$X8,输入回款!$B:$B,科目对照回款!$G$14))+IF(科目对照回款!$H$14="",0,SUMIFS(输入回款!$C:$C,输入回款!$A:$A,助手回款!$X8,输入回款!$B:$B,科目对照回款!$H$14)+SUMIFS(输入回款!$D:$D,输入回款!$A:$A,助手回款!$X8,输入回款!$B:$B,科目对照回款!$H$14)),2)</f>
        <v>-0</v>
      </c>
      <c r="H104" s="49" t="str">
        <f aca="false">IF(ROUND($G104,2)&gt;0,ROUND($G104,2),"")</f>
        <v/>
      </c>
      <c r="I104" s="49" t="str">
        <f aca="false">IF(ROUND($G104,2)&lt;0,-ROUND($G104,2),"")</f>
        <v/>
      </c>
      <c r="J104" s="20" t="n">
        <f aca="false">IF(ROUND($G104,2)=0,0,1)</f>
        <v>0</v>
      </c>
      <c r="K104" s="20" t="str">
        <f aca="false">IF($J104=0,"",SUM($J$92:$J104))</f>
        <v/>
      </c>
      <c r="L104" s="20" t="str">
        <f aca="false">IF($K104="","",$A104*100+$K104)</f>
        <v/>
      </c>
      <c r="M104" s="48" t="str">
        <f aca="false">参数!$B$4</f>
        <v>回款</v>
      </c>
    </row>
    <row r="105" customFormat="false" ht="13.5" hidden="false" customHeight="false" outlineLevel="0" collapsed="false">
      <c r="A105" s="47" t="n">
        <v>7</v>
      </c>
      <c r="B105" s="38" t="n">
        <f aca="false">助手回款!$B8</f>
        <v>2007</v>
      </c>
      <c r="C105" s="48" t="str">
        <f aca="false">助手回款!$C8</f>
        <v>华鑫店</v>
      </c>
      <c r="D105" s="48" t="str">
        <f aca="false">科目对照回款!$B15&amp;""</f>
        <v>药机微信</v>
      </c>
      <c r="E105" s="48" t="str">
        <f aca="false">科目对照回款!$C15&amp;""</f>
        <v>应收账款</v>
      </c>
      <c r="F105" s="48" t="str">
        <f aca="false">科目对照回款!$D15&amp;""</f>
        <v>药机微信</v>
      </c>
      <c r="G105" s="49" t="n">
        <f aca="false">-ROUND(IF(科目对照回款!$F$15="",0,SUMIFS(输入回款!$C:$C,输入回款!$A:$A,助手回款!$X8,输入回款!$B:$B,科目对照回款!$F$15)+SUMIFS(输入回款!$D:$D,输入回款!$A:$A,助手回款!$X8,输入回款!$B:$B,科目对照回款!$F$15))+IF(科目对照回款!$G$15="",0,SUMIFS(输入回款!$C:$C,输入回款!$A:$A,助手回款!$X8,输入回款!$B:$B,科目对照回款!$G$15)+SUMIFS(输入回款!$D:$D,输入回款!$A:$A,助手回款!$X8,输入回款!$B:$B,科目对照回款!$G$15))+IF(科目对照回款!$H$15="",0,SUMIFS(输入回款!$C:$C,输入回款!$A:$A,助手回款!$X8,输入回款!$B:$B,科目对照回款!$H$15)+SUMIFS(输入回款!$D:$D,输入回款!$A:$A,助手回款!$X8,输入回款!$B:$B,科目对照回款!$H$15)),2)</f>
        <v>-0</v>
      </c>
      <c r="H105" s="49" t="str">
        <f aca="false">IF(ROUND($G105,2)&gt;0,ROUND($G105,2),"")</f>
        <v/>
      </c>
      <c r="I105" s="49" t="str">
        <f aca="false">IF(ROUND($G105,2)&lt;0,-ROUND($G105,2),"")</f>
        <v/>
      </c>
      <c r="J105" s="20" t="n">
        <f aca="false">IF(ROUND($G105,2)=0,0,1)</f>
        <v>0</v>
      </c>
      <c r="K105" s="20" t="str">
        <f aca="false">IF($J105=0,"",SUM($J$92:$J105))</f>
        <v/>
      </c>
      <c r="L105" s="20" t="str">
        <f aca="false">IF($K105="","",$A105*100+$K105)</f>
        <v/>
      </c>
      <c r="M105" s="48" t="str">
        <f aca="false">参数!$B$4</f>
        <v>回款</v>
      </c>
    </row>
    <row r="106" customFormat="false" ht="13.5" hidden="false" customHeight="false" outlineLevel="0" collapsed="false">
      <c r="A106" s="47" t="n">
        <v>7</v>
      </c>
      <c r="B106" s="38" t="n">
        <f aca="false">助手回款!$B8</f>
        <v>2007</v>
      </c>
      <c r="C106" s="48" t="str">
        <f aca="false">助手回款!$C8</f>
        <v>华鑫店</v>
      </c>
      <c r="D106" s="48" t="str">
        <f aca="false">科目对照回款!$B16&amp;""</f>
        <v>储值卡</v>
      </c>
      <c r="E106" s="48" t="str">
        <f aca="false">科目对照回款!$C16&amp;""</f>
        <v>其他应收款</v>
      </c>
      <c r="F106" s="48" t="str">
        <f aca="false">科目对照回款!$D16&amp;""</f>
        <v>储值卡</v>
      </c>
      <c r="G106" s="49" t="n">
        <f aca="false">-ROUND(IF(科目对照回款!$F$16="",0,SUMIFS(输入回款!$C:$C,输入回款!$A:$A,助手回款!$X8,输入回款!$B:$B,科目对照回款!$F$16)+SUMIFS(输入回款!$D:$D,输入回款!$A:$A,助手回款!$X8,输入回款!$B:$B,科目对照回款!$F$16))+IF(科目对照回款!$G$16="",0,SUMIFS(输入回款!$C:$C,输入回款!$A:$A,助手回款!$X8,输入回款!$B:$B,科目对照回款!$G$16)+SUMIFS(输入回款!$D:$D,输入回款!$A:$A,助手回款!$X8,输入回款!$B:$B,科目对照回款!$G$16))+IF(科目对照回款!$H$16="",0,SUMIFS(输入回款!$C:$C,输入回款!$A:$A,助手回款!$X8,输入回款!$B:$B,科目对照回款!$H$16)+SUMIFS(输入回款!$D:$D,输入回款!$A:$A,助手回款!$X8,输入回款!$B:$B,科目对照回款!$H$16)),2)</f>
        <v>-0</v>
      </c>
      <c r="H106" s="49" t="str">
        <f aca="false">IF(ROUND($G106,2)&gt;0,ROUND($G106,2),"")</f>
        <v/>
      </c>
      <c r="I106" s="49" t="str">
        <f aca="false">IF(ROUND($G106,2)&lt;0,-ROUND($G106,2),"")</f>
        <v/>
      </c>
      <c r="J106" s="20" t="n">
        <f aca="false">IF(ROUND($G106,2)=0,0,1)</f>
        <v>0</v>
      </c>
      <c r="K106" s="20" t="str">
        <f aca="false">IF($J106=0,"",SUM($J$92:$J106))</f>
        <v/>
      </c>
      <c r="L106" s="20" t="str">
        <f aca="false">IF($K106="","",$A106*100+$K106)</f>
        <v/>
      </c>
      <c r="M106" s="48" t="str">
        <f aca="false">参数!$B$4</f>
        <v>回款</v>
      </c>
    </row>
    <row r="107" customFormat="false" ht="13.5" hidden="false" customHeight="false" outlineLevel="0" collapsed="false">
      <c r="A107" s="47" t="n">
        <v>8</v>
      </c>
      <c r="B107" s="38" t="n">
        <f aca="false">助手回款!$B9</f>
        <v>2008</v>
      </c>
      <c r="C107" s="48" t="str">
        <f aca="false">助手回款!$C9</f>
        <v>博昭店</v>
      </c>
      <c r="D107" s="48" t="str">
        <f aca="false">科目对照回款!$B2&amp;""</f>
        <v>库存现金</v>
      </c>
      <c r="E107" s="48" t="str">
        <f aca="false">科目对照回款!$C2&amp;""</f>
        <v>库存现金</v>
      </c>
      <c r="F107" s="48" t="str">
        <f aca="false">科目对照回款!$D2&amp;""</f>
        <v/>
      </c>
      <c r="G107" s="49" t="n">
        <f aca="false">助手回款!$E9</f>
        <v>73981.1</v>
      </c>
      <c r="H107" s="49" t="n">
        <f aca="false">IF(ROUND($G107,2)&gt;0,ROUND($G107,2),"")</f>
        <v>73981.1</v>
      </c>
      <c r="I107" s="49" t="str">
        <f aca="false">IF(ROUND($G107,2)&lt;0,-ROUND($G107,2),"")</f>
        <v/>
      </c>
      <c r="J107" s="20" t="n">
        <f aca="false">IF(ROUND($G107,2)=0,0,1)</f>
        <v>1</v>
      </c>
      <c r="K107" s="20" t="n">
        <f aca="false">IF($J107=0,"",SUM($J$107:$J107))</f>
        <v>1</v>
      </c>
      <c r="L107" s="20" t="n">
        <f aca="false">IF($K107="","",$A107*100+$K107)</f>
        <v>801</v>
      </c>
      <c r="M107" s="48" t="str">
        <f aca="false">参数!$B$4</f>
        <v>回款</v>
      </c>
    </row>
    <row r="108" customFormat="false" ht="13.5" hidden="false" customHeight="false" outlineLevel="0" collapsed="false">
      <c r="A108" s="47" t="n">
        <v>8</v>
      </c>
      <c r="B108" s="38" t="n">
        <f aca="false">助手回款!$B9</f>
        <v>2008</v>
      </c>
      <c r="C108" s="48" t="str">
        <f aca="false">助手回款!$C9</f>
        <v>博昭店</v>
      </c>
      <c r="D108" s="48" t="str">
        <f aca="false">科目对照回款!$B3&amp;""</f>
        <v>手续费</v>
      </c>
      <c r="E108" s="48" t="str">
        <f aca="false">科目对照回款!$C3&amp;""</f>
        <v>财务费用</v>
      </c>
      <c r="F108" s="48" t="str">
        <f aca="false">科目对照回款!$D3&amp;""</f>
        <v>手续费</v>
      </c>
      <c r="G108" s="49" t="n">
        <f aca="false">助手回款!$F9</f>
        <v>5</v>
      </c>
      <c r="H108" s="49" t="n">
        <f aca="false">IF(ROUND($G108,2)&gt;0,ROUND($G108,2),"")</f>
        <v>5</v>
      </c>
      <c r="I108" s="49" t="str">
        <f aca="false">IF(ROUND($G108,2)&lt;0,-ROUND($G108,2),"")</f>
        <v/>
      </c>
      <c r="J108" s="20" t="n">
        <f aca="false">IF(ROUND($G108,2)=0,0,1)</f>
        <v>1</v>
      </c>
      <c r="K108" s="20" t="n">
        <f aca="false">IF($J108=0,"",SUM($J$107:$J108))</f>
        <v>2</v>
      </c>
      <c r="L108" s="20" t="n">
        <f aca="false">IF($K108="","",$A108*100+$K108)</f>
        <v>802</v>
      </c>
      <c r="M108" s="48" t="str">
        <f aca="false">参数!$B$4</f>
        <v>回款</v>
      </c>
    </row>
    <row r="109" customFormat="false" ht="13.5" hidden="false" customHeight="false" outlineLevel="0" collapsed="false">
      <c r="A109" s="47" t="n">
        <v>8</v>
      </c>
      <c r="B109" s="38" t="n">
        <f aca="false">助手回款!$B9</f>
        <v>2008</v>
      </c>
      <c r="C109" s="48" t="str">
        <f aca="false">助手回款!$C9</f>
        <v>博昭店</v>
      </c>
      <c r="D109" s="48" t="str">
        <f aca="false">科目对照回款!$B4&amp;""</f>
        <v>聚合支付</v>
      </c>
      <c r="E109" s="48" t="str">
        <f aca="false">科目对照回款!$C4&amp;""</f>
        <v>应收账款</v>
      </c>
      <c r="F109" s="48" t="str">
        <f aca="false">科目对照回款!$D4&amp;""</f>
        <v>聚合支付</v>
      </c>
      <c r="G109" s="49" t="n">
        <f aca="false">-ROUND(IF(科目对照回款!$F$4="",0,SUMIFS(输入回款!$C:$C,输入回款!$A:$A,助手回款!$X9,输入回款!$B:$B,科目对照回款!$F$4)+SUMIFS(输入回款!$D:$D,输入回款!$A:$A,助手回款!$X9,输入回款!$B:$B,科目对照回款!$F$4))+IF(科目对照回款!$G$4="",0,SUMIFS(输入回款!$C:$C,输入回款!$A:$A,助手回款!$X9,输入回款!$B:$B,科目对照回款!$G$4)+SUMIFS(输入回款!$D:$D,输入回款!$A:$A,助手回款!$X9,输入回款!$B:$B,科目对照回款!$G$4))+IF(科目对照回款!$H$4="",0,SUMIFS(输入回款!$C:$C,输入回款!$A:$A,助手回款!$X9,输入回款!$B:$B,科目对照回款!$H$4)+SUMIFS(输入回款!$D:$D,输入回款!$A:$A,助手回款!$X9,输入回款!$B:$B,科目对照回款!$H$4)),2)</f>
        <v>-59537.32</v>
      </c>
      <c r="H109" s="49" t="str">
        <f aca="false">IF(ROUND($G109,2)&gt;0,ROUND($G109,2),"")</f>
        <v/>
      </c>
      <c r="I109" s="49" t="n">
        <f aca="false">IF(ROUND($G109,2)&lt;0,-ROUND($G109,2),"")</f>
        <v>59537.32</v>
      </c>
      <c r="J109" s="20" t="n">
        <f aca="false">IF(ROUND($G109,2)=0,0,1)</f>
        <v>1</v>
      </c>
      <c r="K109" s="20" t="n">
        <f aca="false">IF($J109=0,"",SUM($J$107:$J109))</f>
        <v>3</v>
      </c>
      <c r="L109" s="20" t="n">
        <f aca="false">IF($K109="","",$A109*100+$K109)</f>
        <v>803</v>
      </c>
      <c r="M109" s="48" t="str">
        <f aca="false">参数!$B$4</f>
        <v>回款</v>
      </c>
    </row>
    <row r="110" customFormat="false" ht="13.5" hidden="false" customHeight="false" outlineLevel="0" collapsed="false">
      <c r="A110" s="47" t="n">
        <v>8</v>
      </c>
      <c r="B110" s="38" t="n">
        <f aca="false">助手回款!$B9</f>
        <v>2008</v>
      </c>
      <c r="C110" s="48" t="str">
        <f aca="false">助手回款!$C9</f>
        <v>博昭店</v>
      </c>
      <c r="D110" s="48" t="str">
        <f aca="false">科目对照回款!$B5&amp;""</f>
        <v>医保</v>
      </c>
      <c r="E110" s="48" t="str">
        <f aca="false">科目对照回款!$C5&amp;""</f>
        <v>应收账款</v>
      </c>
      <c r="F110" s="48" t="str">
        <f aca="false">科目对照回款!$D5&amp;""</f>
        <v>医保</v>
      </c>
      <c r="G110" s="49" t="n">
        <f aca="false">-ROUND(IF(科目对照回款!$F$5="",0,SUMIFS(输入回款!$C:$C,输入回款!$A:$A,助手回款!$X9,输入回款!$B:$B,科目对照回款!$F$5)+SUMIFS(输入回款!$D:$D,输入回款!$A:$A,助手回款!$X9,输入回款!$B:$B,科目对照回款!$F$5))+IF(科目对照回款!$G$5="",0,SUMIFS(输入回款!$C:$C,输入回款!$A:$A,助手回款!$X9,输入回款!$B:$B,科目对照回款!$G$5)+SUMIFS(输入回款!$D:$D,输入回款!$A:$A,助手回款!$X9,输入回款!$B:$B,科目对照回款!$G$5))+IF(科目对照回款!$H$5="",0,SUMIFS(输入回款!$C:$C,输入回款!$A:$A,助手回款!$X9,输入回款!$B:$B,科目对照回款!$H$5)+SUMIFS(输入回款!$D:$D,输入回款!$A:$A,助手回款!$X9,输入回款!$B:$B,科目对照回款!$H$5)),2)</f>
        <v>-14423.78</v>
      </c>
      <c r="H110" s="49" t="str">
        <f aca="false">IF(ROUND($G110,2)&gt;0,ROUND($G110,2),"")</f>
        <v/>
      </c>
      <c r="I110" s="49" t="n">
        <f aca="false">IF(ROUND($G110,2)&lt;0,-ROUND($G110,2),"")</f>
        <v>14423.78</v>
      </c>
      <c r="J110" s="20" t="n">
        <f aca="false">IF(ROUND($G110,2)=0,0,1)</f>
        <v>1</v>
      </c>
      <c r="K110" s="20" t="n">
        <f aca="false">IF($J110=0,"",SUM($J$107:$J110))</f>
        <v>4</v>
      </c>
      <c r="L110" s="20" t="n">
        <f aca="false">IF($K110="","",$A110*100+$K110)</f>
        <v>804</v>
      </c>
      <c r="M110" s="48" t="str">
        <f aca="false">参数!$B$4</f>
        <v>回款</v>
      </c>
    </row>
    <row r="111" customFormat="false" ht="13.5" hidden="false" customHeight="false" outlineLevel="0" collapsed="false">
      <c r="A111" s="47" t="n">
        <v>8</v>
      </c>
      <c r="B111" s="38" t="n">
        <f aca="false">助手回款!$B9</f>
        <v>2008</v>
      </c>
      <c r="C111" s="48" t="str">
        <f aca="false">助手回款!$C9</f>
        <v>博昭店</v>
      </c>
      <c r="D111" s="48" t="str">
        <f aca="false">科目对照回款!$B6&amp;""</f>
        <v>美团</v>
      </c>
      <c r="E111" s="48" t="str">
        <f aca="false">科目对照回款!$C6&amp;""</f>
        <v>应收账款</v>
      </c>
      <c r="F111" s="48" t="str">
        <f aca="false">科目对照回款!$D6&amp;""</f>
        <v>美团</v>
      </c>
      <c r="G111" s="49" t="n">
        <f aca="false">-ROUND(IF(科目对照回款!$F$6="",0,SUMIFS(输入回款!$C:$C,输入回款!$A:$A,助手回款!$X9,输入回款!$B:$B,科目对照回款!$F$6)+SUMIFS(输入回款!$D:$D,输入回款!$A:$A,助手回款!$X9,输入回款!$B:$B,科目对照回款!$F$6))+IF(科目对照回款!$G$6="",0,SUMIFS(输入回款!$C:$C,输入回款!$A:$A,助手回款!$X9,输入回款!$B:$B,科目对照回款!$G$6)+SUMIFS(输入回款!$D:$D,输入回款!$A:$A,助手回款!$X9,输入回款!$B:$B,科目对照回款!$G$6))+IF(科目对照回款!$H$6="",0,SUMIFS(输入回款!$C:$C,输入回款!$A:$A,助手回款!$X9,输入回款!$B:$B,科目对照回款!$H$6)+SUMIFS(输入回款!$D:$D,输入回款!$A:$A,助手回款!$X9,输入回款!$B:$B,科目对照回款!$H$6)),2)</f>
        <v>-25</v>
      </c>
      <c r="H111" s="49" t="str">
        <f aca="false">IF(ROUND($G111,2)&gt;0,ROUND($G111,2),"")</f>
        <v/>
      </c>
      <c r="I111" s="49" t="n">
        <f aca="false">IF(ROUND($G111,2)&lt;0,-ROUND($G111,2),"")</f>
        <v>25</v>
      </c>
      <c r="J111" s="20" t="n">
        <f aca="false">IF(ROUND($G111,2)=0,0,1)</f>
        <v>1</v>
      </c>
      <c r="K111" s="20" t="n">
        <f aca="false">IF($J111=0,"",SUM($J$107:$J111))</f>
        <v>5</v>
      </c>
      <c r="L111" s="20" t="n">
        <f aca="false">IF($K111="","",$A111*100+$K111)</f>
        <v>805</v>
      </c>
      <c r="M111" s="48" t="str">
        <f aca="false">参数!$B$4</f>
        <v>回款</v>
      </c>
    </row>
    <row r="112" customFormat="false" ht="13.5" hidden="false" customHeight="false" outlineLevel="0" collapsed="false">
      <c r="A112" s="47" t="n">
        <v>8</v>
      </c>
      <c r="B112" s="38" t="n">
        <f aca="false">助手回款!$B9</f>
        <v>2008</v>
      </c>
      <c r="C112" s="48" t="str">
        <f aca="false">助手回款!$C9</f>
        <v>博昭店</v>
      </c>
      <c r="D112" s="48" t="str">
        <f aca="false">科目对照回款!$B7&amp;""</f>
        <v>饿了么</v>
      </c>
      <c r="E112" s="48" t="str">
        <f aca="false">科目对照回款!$C7&amp;""</f>
        <v>应收账款</v>
      </c>
      <c r="F112" s="48" t="str">
        <f aca="false">科目对照回款!$D7&amp;""</f>
        <v>饿了么</v>
      </c>
      <c r="G112" s="49" t="n">
        <f aca="false">-ROUND(IF(科目对照回款!$F$7="",0,SUMIFS(输入回款!$C:$C,输入回款!$A:$A,助手回款!$X9,输入回款!$B:$B,科目对照回款!$F$7)+SUMIFS(输入回款!$D:$D,输入回款!$A:$A,助手回款!$X9,输入回款!$B:$B,科目对照回款!$F$7))+IF(科目对照回款!$G$7="",0,SUMIFS(输入回款!$C:$C,输入回款!$A:$A,助手回款!$X9,输入回款!$B:$B,科目对照回款!$G$7)+SUMIFS(输入回款!$D:$D,输入回款!$A:$A,助手回款!$X9,输入回款!$B:$B,科目对照回款!$G$7))+IF(科目对照回款!$H$7="",0,SUMIFS(输入回款!$C:$C,输入回款!$A:$A,助手回款!$X9,输入回款!$B:$B,科目对照回款!$H$7)+SUMIFS(输入回款!$D:$D,输入回款!$A:$A,助手回款!$X9,输入回款!$B:$B,科目对照回款!$H$7)),2)</f>
        <v>-0</v>
      </c>
      <c r="H112" s="49" t="str">
        <f aca="false">IF(ROUND($G112,2)&gt;0,ROUND($G112,2),"")</f>
        <v/>
      </c>
      <c r="I112" s="49" t="str">
        <f aca="false">IF(ROUND($G112,2)&lt;0,-ROUND($G112,2),"")</f>
        <v/>
      </c>
      <c r="J112" s="20" t="n">
        <f aca="false">IF(ROUND($G112,2)=0,0,1)</f>
        <v>0</v>
      </c>
      <c r="K112" s="20" t="str">
        <f aca="false">IF($J112=0,"",SUM($J$107:$J112))</f>
        <v/>
      </c>
      <c r="L112" s="20" t="str">
        <f aca="false">IF($K112="","",$A112*100+$K112)</f>
        <v/>
      </c>
      <c r="M112" s="48" t="str">
        <f aca="false">参数!$B$4</f>
        <v>回款</v>
      </c>
    </row>
    <row r="113" customFormat="false" ht="13.5" hidden="false" customHeight="false" outlineLevel="0" collapsed="false">
      <c r="A113" s="47" t="n">
        <v>8</v>
      </c>
      <c r="B113" s="38" t="n">
        <f aca="false">助手回款!$B9</f>
        <v>2008</v>
      </c>
      <c r="C113" s="48" t="str">
        <f aca="false">助手回款!$C9</f>
        <v>博昭店</v>
      </c>
      <c r="D113" s="48" t="str">
        <f aca="false">科目对照回款!$B8&amp;""</f>
        <v>24小时</v>
      </c>
      <c r="E113" s="48" t="str">
        <f aca="false">科目对照回款!$C8&amp;""</f>
        <v>应收账款</v>
      </c>
      <c r="F113" s="48" t="str">
        <f aca="false">科目对照回款!$D8&amp;""</f>
        <v>24小时</v>
      </c>
      <c r="G113" s="49" t="n">
        <f aca="false">-ROUND(IF(科目对照回款!$F$8="",0,SUMIFS(输入回款!$C:$C,输入回款!$A:$A,助手回款!$X9,输入回款!$B:$B,科目对照回款!$F$8)+SUMIFS(输入回款!$D:$D,输入回款!$A:$A,助手回款!$X9,输入回款!$B:$B,科目对照回款!$F$8))+IF(科目对照回款!$G$8="",0,SUMIFS(输入回款!$C:$C,输入回款!$A:$A,助手回款!$X9,输入回款!$B:$B,科目对照回款!$G$8)+SUMIFS(输入回款!$D:$D,输入回款!$A:$A,助手回款!$X9,输入回款!$B:$B,科目对照回款!$G$8))+IF(科目对照回款!$H$8="",0,SUMIFS(输入回款!$C:$C,输入回款!$A:$A,助手回款!$X9,输入回款!$B:$B,科目对照回款!$H$8)+SUMIFS(输入回款!$D:$D,输入回款!$A:$A,助手回款!$X9,输入回款!$B:$B,科目对照回款!$H$8)),2)</f>
        <v>-0</v>
      </c>
      <c r="H113" s="49" t="str">
        <f aca="false">IF(ROUND($G113,2)&gt;0,ROUND($G113,2),"")</f>
        <v/>
      </c>
      <c r="I113" s="49" t="str">
        <f aca="false">IF(ROUND($G113,2)&lt;0,-ROUND($G113,2),"")</f>
        <v/>
      </c>
      <c r="J113" s="20" t="n">
        <f aca="false">IF(ROUND($G113,2)=0,0,1)</f>
        <v>0</v>
      </c>
      <c r="K113" s="20" t="str">
        <f aca="false">IF($J113=0,"",SUM($J$107:$J113))</f>
        <v/>
      </c>
      <c r="L113" s="20" t="str">
        <f aca="false">IF($K113="","",$A113*100+$K113)</f>
        <v/>
      </c>
      <c r="M113" s="48" t="str">
        <f aca="false">参数!$B$4</f>
        <v>回款</v>
      </c>
    </row>
    <row r="114" customFormat="false" ht="13.5" hidden="false" customHeight="false" outlineLevel="0" collapsed="false">
      <c r="A114" s="47" t="n">
        <v>8</v>
      </c>
      <c r="B114" s="38" t="n">
        <f aca="false">助手回款!$B9</f>
        <v>2008</v>
      </c>
      <c r="C114" s="48" t="str">
        <f aca="false">助手回款!$C9</f>
        <v>博昭店</v>
      </c>
      <c r="D114" s="48" t="str">
        <f aca="false">科目对照回款!$B9&amp;""</f>
        <v>健E卡</v>
      </c>
      <c r="E114" s="48" t="str">
        <f aca="false">科目对照回款!$C9&amp;""</f>
        <v>应收账款</v>
      </c>
      <c r="F114" s="48" t="str">
        <f aca="false">科目对照回款!$D9&amp;""</f>
        <v>健E卡</v>
      </c>
      <c r="G114" s="49" t="n">
        <f aca="false">-ROUND(IF(科目对照回款!$F$9="",0,SUMIFS(输入回款!$C:$C,输入回款!$A:$A,助手回款!$X9,输入回款!$B:$B,科目对照回款!$F$9)+SUMIFS(输入回款!$D:$D,输入回款!$A:$A,助手回款!$X9,输入回款!$B:$B,科目对照回款!$F$9))+IF(科目对照回款!$G$9="",0,SUMIFS(输入回款!$C:$C,输入回款!$A:$A,助手回款!$X9,输入回款!$B:$B,科目对照回款!$G$9)+SUMIFS(输入回款!$D:$D,输入回款!$A:$A,助手回款!$X9,输入回款!$B:$B,科目对照回款!$G$9))+IF(科目对照回款!$H$9="",0,SUMIFS(输入回款!$C:$C,输入回款!$A:$A,助手回款!$X9,输入回款!$B:$B,科目对照回款!$H$9)+SUMIFS(输入回款!$D:$D,输入回款!$A:$A,助手回款!$X9,输入回款!$B:$B,科目对照回款!$H$9)),2)</f>
        <v>-0</v>
      </c>
      <c r="H114" s="49" t="str">
        <f aca="false">IF(ROUND($G114,2)&gt;0,ROUND($G114,2),"")</f>
        <v/>
      </c>
      <c r="I114" s="49" t="str">
        <f aca="false">IF(ROUND($G114,2)&lt;0,-ROUND($G114,2),"")</f>
        <v/>
      </c>
      <c r="J114" s="20" t="n">
        <f aca="false">IF(ROUND($G114,2)=0,0,1)</f>
        <v>0</v>
      </c>
      <c r="K114" s="20" t="str">
        <f aca="false">IF($J114=0,"",SUM($J$107:$J114))</f>
        <v/>
      </c>
      <c r="L114" s="20" t="str">
        <f aca="false">IF($K114="","",$A114*100+$K114)</f>
        <v/>
      </c>
      <c r="M114" s="48" t="str">
        <f aca="false">参数!$B$4</f>
        <v>回款</v>
      </c>
    </row>
    <row r="115" customFormat="false" ht="13.5" hidden="false" customHeight="false" outlineLevel="0" collapsed="false">
      <c r="A115" s="47" t="n">
        <v>8</v>
      </c>
      <c r="B115" s="38" t="n">
        <f aca="false">助手回款!$B9</f>
        <v>2008</v>
      </c>
      <c r="C115" s="48" t="str">
        <f aca="false">助手回款!$C9</f>
        <v>博昭店</v>
      </c>
      <c r="D115" s="48" t="str">
        <f aca="false">科目对照回款!$B10&amp;""</f>
        <v>医卡通</v>
      </c>
      <c r="E115" s="48" t="str">
        <f aca="false">科目对照回款!$C10&amp;""</f>
        <v>应收账款</v>
      </c>
      <c r="F115" s="48" t="str">
        <f aca="false">科目对照回款!$D10&amp;""</f>
        <v>医卡通</v>
      </c>
      <c r="G115" s="49" t="n">
        <f aca="false">-ROUND(IF(科目对照回款!$F$10="",0,SUMIFS(输入回款!$C:$C,输入回款!$A:$A,助手回款!$X9,输入回款!$B:$B,科目对照回款!$F$10)+SUMIFS(输入回款!$D:$D,输入回款!$A:$A,助手回款!$X9,输入回款!$B:$B,科目对照回款!$F$10))+IF(科目对照回款!$G$10="",0,SUMIFS(输入回款!$C:$C,输入回款!$A:$A,助手回款!$X9,输入回款!$B:$B,科目对照回款!$G$10)+SUMIFS(输入回款!$D:$D,输入回款!$A:$A,助手回款!$X9,输入回款!$B:$B,科目对照回款!$G$10))+IF(科目对照回款!$H$10="",0,SUMIFS(输入回款!$C:$C,输入回款!$A:$A,助手回款!$X9,输入回款!$B:$B,科目对照回款!$H$10)+SUMIFS(输入回款!$D:$D,输入回款!$A:$A,助手回款!$X9,输入回款!$B:$B,科目对照回款!$H$10)),2)</f>
        <v>-0</v>
      </c>
      <c r="H115" s="49" t="str">
        <f aca="false">IF(ROUND($G115,2)&gt;0,ROUND($G115,2),"")</f>
        <v/>
      </c>
      <c r="I115" s="49" t="str">
        <f aca="false">IF(ROUND($G115,2)&lt;0,-ROUND($G115,2),"")</f>
        <v/>
      </c>
      <c r="J115" s="20" t="n">
        <f aca="false">IF(ROUND($G115,2)=0,0,1)</f>
        <v>0</v>
      </c>
      <c r="K115" s="20" t="str">
        <f aca="false">IF($J115=0,"",SUM($J$107:$J115))</f>
        <v/>
      </c>
      <c r="L115" s="20" t="str">
        <f aca="false">IF($K115="","",$A115*100+$K115)</f>
        <v/>
      </c>
      <c r="M115" s="48" t="str">
        <f aca="false">参数!$B$4</f>
        <v>回款</v>
      </c>
    </row>
    <row r="116" customFormat="false" ht="13.5" hidden="false" customHeight="false" outlineLevel="0" collapsed="false">
      <c r="A116" s="47" t="n">
        <v>8</v>
      </c>
      <c r="B116" s="38" t="n">
        <f aca="false">助手回款!$B9</f>
        <v>2008</v>
      </c>
      <c r="C116" s="48" t="str">
        <f aca="false">助手回款!$C9</f>
        <v>博昭店</v>
      </c>
      <c r="D116" s="48" t="str">
        <f aca="false">科目对照回款!$B11&amp;""</f>
        <v>企健网</v>
      </c>
      <c r="E116" s="48" t="str">
        <f aca="false">科目对照回款!$C11&amp;""</f>
        <v>应收账款</v>
      </c>
      <c r="F116" s="48" t="str">
        <f aca="false">科目对照回款!$D11&amp;""</f>
        <v>企健网</v>
      </c>
      <c r="G116" s="49" t="n">
        <f aca="false">-ROUND(IF(科目对照回款!$F$11="",0,SUMIFS(输入回款!$C:$C,输入回款!$A:$A,助手回款!$X9,输入回款!$B:$B,科目对照回款!$F$11)+SUMIFS(输入回款!$D:$D,输入回款!$A:$A,助手回款!$X9,输入回款!$B:$B,科目对照回款!$F$11))+IF(科目对照回款!$G$11="",0,SUMIFS(输入回款!$C:$C,输入回款!$A:$A,助手回款!$X9,输入回款!$B:$B,科目对照回款!$G$11)+SUMIFS(输入回款!$D:$D,输入回款!$A:$A,助手回款!$X9,输入回款!$B:$B,科目对照回款!$G$11))+IF(科目对照回款!$H$11="",0,SUMIFS(输入回款!$C:$C,输入回款!$A:$A,助手回款!$X9,输入回款!$B:$B,科目对照回款!$H$11)+SUMIFS(输入回款!$D:$D,输入回款!$A:$A,助手回款!$X9,输入回款!$B:$B,科目对照回款!$H$11)),2)</f>
        <v>-0</v>
      </c>
      <c r="H116" s="49" t="str">
        <f aca="false">IF(ROUND($G116,2)&gt;0,ROUND($G116,2),"")</f>
        <v/>
      </c>
      <c r="I116" s="49" t="str">
        <f aca="false">IF(ROUND($G116,2)&lt;0,-ROUND($G116,2),"")</f>
        <v/>
      </c>
      <c r="J116" s="20" t="n">
        <f aca="false">IF(ROUND($G116,2)=0,0,1)</f>
        <v>0</v>
      </c>
      <c r="K116" s="20" t="str">
        <f aca="false">IF($J116=0,"",SUM($J$107:$J116))</f>
        <v/>
      </c>
      <c r="L116" s="20" t="str">
        <f aca="false">IF($K116="","",$A116*100+$K116)</f>
        <v/>
      </c>
      <c r="M116" s="48" t="str">
        <f aca="false">参数!$B$4</f>
        <v>回款</v>
      </c>
    </row>
    <row r="117" customFormat="false" ht="13.5" hidden="false" customHeight="false" outlineLevel="0" collapsed="false">
      <c r="A117" s="47" t="n">
        <v>8</v>
      </c>
      <c r="B117" s="38" t="n">
        <f aca="false">助手回款!$B9</f>
        <v>2008</v>
      </c>
      <c r="C117" s="48" t="str">
        <f aca="false">助手回款!$C9</f>
        <v>博昭店</v>
      </c>
      <c r="D117" s="48" t="str">
        <f aca="false">科目对照回款!$B12&amp;""</f>
        <v>亲情卡</v>
      </c>
      <c r="E117" s="48" t="str">
        <f aca="false">科目对照回款!$C12&amp;""</f>
        <v>应收账款</v>
      </c>
      <c r="F117" s="48" t="str">
        <f aca="false">科目对照回款!$D12&amp;""</f>
        <v>亲情卡</v>
      </c>
      <c r="G117" s="49" t="n">
        <f aca="false">-ROUND(IF(科目对照回款!$F$12="",0,SUMIFS(输入回款!$C:$C,输入回款!$A:$A,助手回款!$X9,输入回款!$B:$B,科目对照回款!$F$12)+SUMIFS(输入回款!$D:$D,输入回款!$A:$A,助手回款!$X9,输入回款!$B:$B,科目对照回款!$F$12))+IF(科目对照回款!$G$12="",0,SUMIFS(输入回款!$C:$C,输入回款!$A:$A,助手回款!$X9,输入回款!$B:$B,科目对照回款!$G$12)+SUMIFS(输入回款!$D:$D,输入回款!$A:$A,助手回款!$X9,输入回款!$B:$B,科目对照回款!$G$12))+IF(科目对照回款!$H$12="",0,SUMIFS(输入回款!$C:$C,输入回款!$A:$A,助手回款!$X9,输入回款!$B:$B,科目对照回款!$H$12)+SUMIFS(输入回款!$D:$D,输入回款!$A:$A,助手回款!$X9,输入回款!$B:$B,科目对照回款!$H$12)),2)</f>
        <v>-0</v>
      </c>
      <c r="H117" s="49" t="str">
        <f aca="false">IF(ROUND($G117,2)&gt;0,ROUND($G117,2),"")</f>
        <v/>
      </c>
      <c r="I117" s="49" t="str">
        <f aca="false">IF(ROUND($G117,2)&lt;0,-ROUND($G117,2),"")</f>
        <v/>
      </c>
      <c r="J117" s="20" t="n">
        <f aca="false">IF(ROUND($G117,2)=0,0,1)</f>
        <v>0</v>
      </c>
      <c r="K117" s="20" t="str">
        <f aca="false">IF($J117=0,"",SUM($J$107:$J117))</f>
        <v/>
      </c>
      <c r="L117" s="20" t="str">
        <f aca="false">IF($K117="","",$A117*100+$K117)</f>
        <v/>
      </c>
      <c r="M117" s="48" t="str">
        <f aca="false">参数!$B$4</f>
        <v>回款</v>
      </c>
    </row>
    <row r="118" customFormat="false" ht="13.5" hidden="false" customHeight="false" outlineLevel="0" collapsed="false">
      <c r="A118" s="47" t="n">
        <v>8</v>
      </c>
      <c r="B118" s="38" t="n">
        <f aca="false">助手回款!$B9</f>
        <v>2008</v>
      </c>
      <c r="C118" s="48" t="str">
        <f aca="false">助手回款!$C9</f>
        <v>博昭店</v>
      </c>
      <c r="D118" s="48" t="str">
        <f aca="false">科目对照回款!$B13&amp;""</f>
        <v>银联</v>
      </c>
      <c r="E118" s="48" t="str">
        <f aca="false">科目对照回款!$C13&amp;""</f>
        <v>应收账款</v>
      </c>
      <c r="F118" s="48" t="str">
        <f aca="false">科目对照回款!$D13&amp;""</f>
        <v>银联</v>
      </c>
      <c r="G118" s="49" t="n">
        <f aca="false">-ROUND(IF(科目对照回款!$F$13="",0,SUMIFS(输入回款!$C:$C,输入回款!$A:$A,助手回款!$X9,输入回款!$B:$B,科目对照回款!$F$13)+SUMIFS(输入回款!$D:$D,输入回款!$A:$A,助手回款!$X9,输入回款!$B:$B,科目对照回款!$F$13))+IF(科目对照回款!$G$13="",0,SUMIFS(输入回款!$C:$C,输入回款!$A:$A,助手回款!$X9,输入回款!$B:$B,科目对照回款!$G$13)+SUMIFS(输入回款!$D:$D,输入回款!$A:$A,助手回款!$X9,输入回款!$B:$B,科目对照回款!$G$13))+IF(科目对照回款!$H$13="",0,SUMIFS(输入回款!$C:$C,输入回款!$A:$A,助手回款!$X9,输入回款!$B:$B,科目对照回款!$H$13)+SUMIFS(输入回款!$D:$D,输入回款!$A:$A,助手回款!$X9,输入回款!$B:$B,科目对照回款!$H$13)),2)</f>
        <v>-0</v>
      </c>
      <c r="H118" s="49" t="str">
        <f aca="false">IF(ROUND($G118,2)&gt;0,ROUND($G118,2),"")</f>
        <v/>
      </c>
      <c r="I118" s="49" t="str">
        <f aca="false">IF(ROUND($G118,2)&lt;0,-ROUND($G118,2),"")</f>
        <v/>
      </c>
      <c r="J118" s="20" t="n">
        <f aca="false">IF(ROUND($G118,2)=0,0,1)</f>
        <v>0</v>
      </c>
      <c r="K118" s="20" t="str">
        <f aca="false">IF($J118=0,"",SUM($J$107:$J118))</f>
        <v/>
      </c>
      <c r="L118" s="20" t="str">
        <f aca="false">IF($K118="","",$A118*100+$K118)</f>
        <v/>
      </c>
      <c r="M118" s="48" t="str">
        <f aca="false">参数!$B$4</f>
        <v>回款</v>
      </c>
    </row>
    <row r="119" customFormat="false" ht="13.5" hidden="false" customHeight="false" outlineLevel="0" collapsed="false">
      <c r="A119" s="47" t="n">
        <v>8</v>
      </c>
      <c r="B119" s="38" t="n">
        <f aca="false">助手回款!$B9</f>
        <v>2008</v>
      </c>
      <c r="C119" s="48" t="str">
        <f aca="false">助手回款!$C9</f>
        <v>博昭店</v>
      </c>
      <c r="D119" s="48" t="str">
        <f aca="false">科目对照回款!$B14&amp;""</f>
        <v>代金券</v>
      </c>
      <c r="E119" s="48" t="str">
        <f aca="false">科目对照回款!$C14&amp;""</f>
        <v>应收账款</v>
      </c>
      <c r="F119" s="48" t="str">
        <f aca="false">科目对照回款!$D14&amp;""</f>
        <v>代金券</v>
      </c>
      <c r="G119" s="49" t="n">
        <f aca="false">-ROUND(IF(科目对照回款!$F$14="",0,SUMIFS(输入回款!$C:$C,输入回款!$A:$A,助手回款!$X9,输入回款!$B:$B,科目对照回款!$F$14)+SUMIFS(输入回款!$D:$D,输入回款!$A:$A,助手回款!$X9,输入回款!$B:$B,科目对照回款!$F$14))+IF(科目对照回款!$G$14="",0,SUMIFS(输入回款!$C:$C,输入回款!$A:$A,助手回款!$X9,输入回款!$B:$B,科目对照回款!$G$14)+SUMIFS(输入回款!$D:$D,输入回款!$A:$A,助手回款!$X9,输入回款!$B:$B,科目对照回款!$G$14))+IF(科目对照回款!$H$14="",0,SUMIFS(输入回款!$C:$C,输入回款!$A:$A,助手回款!$X9,输入回款!$B:$B,科目对照回款!$H$14)+SUMIFS(输入回款!$D:$D,输入回款!$A:$A,助手回款!$X9,输入回款!$B:$B,科目对照回款!$H$14)),2)</f>
        <v>-0</v>
      </c>
      <c r="H119" s="49" t="str">
        <f aca="false">IF(ROUND($G119,2)&gt;0,ROUND($G119,2),"")</f>
        <v/>
      </c>
      <c r="I119" s="49" t="str">
        <f aca="false">IF(ROUND($G119,2)&lt;0,-ROUND($G119,2),"")</f>
        <v/>
      </c>
      <c r="J119" s="20" t="n">
        <f aca="false">IF(ROUND($G119,2)=0,0,1)</f>
        <v>0</v>
      </c>
      <c r="K119" s="20" t="str">
        <f aca="false">IF($J119=0,"",SUM($J$107:$J119))</f>
        <v/>
      </c>
      <c r="L119" s="20" t="str">
        <f aca="false">IF($K119="","",$A119*100+$K119)</f>
        <v/>
      </c>
      <c r="M119" s="48" t="str">
        <f aca="false">参数!$B$4</f>
        <v>回款</v>
      </c>
    </row>
    <row r="120" customFormat="false" ht="13.5" hidden="false" customHeight="false" outlineLevel="0" collapsed="false">
      <c r="A120" s="47" t="n">
        <v>8</v>
      </c>
      <c r="B120" s="38" t="n">
        <f aca="false">助手回款!$B9</f>
        <v>2008</v>
      </c>
      <c r="C120" s="48" t="str">
        <f aca="false">助手回款!$C9</f>
        <v>博昭店</v>
      </c>
      <c r="D120" s="48" t="str">
        <f aca="false">科目对照回款!$B15&amp;""</f>
        <v>药机微信</v>
      </c>
      <c r="E120" s="48" t="str">
        <f aca="false">科目对照回款!$C15&amp;""</f>
        <v>应收账款</v>
      </c>
      <c r="F120" s="48" t="str">
        <f aca="false">科目对照回款!$D15&amp;""</f>
        <v>药机微信</v>
      </c>
      <c r="G120" s="49" t="n">
        <f aca="false">-ROUND(IF(科目对照回款!$F$15="",0,SUMIFS(输入回款!$C:$C,输入回款!$A:$A,助手回款!$X9,输入回款!$B:$B,科目对照回款!$F$15)+SUMIFS(输入回款!$D:$D,输入回款!$A:$A,助手回款!$X9,输入回款!$B:$B,科目对照回款!$F$15))+IF(科目对照回款!$G$15="",0,SUMIFS(输入回款!$C:$C,输入回款!$A:$A,助手回款!$X9,输入回款!$B:$B,科目对照回款!$G$15)+SUMIFS(输入回款!$D:$D,输入回款!$A:$A,助手回款!$X9,输入回款!$B:$B,科目对照回款!$G$15))+IF(科目对照回款!$H$15="",0,SUMIFS(输入回款!$C:$C,输入回款!$A:$A,助手回款!$X9,输入回款!$B:$B,科目对照回款!$H$15)+SUMIFS(输入回款!$D:$D,输入回款!$A:$A,助手回款!$X9,输入回款!$B:$B,科目对照回款!$H$15)),2)</f>
        <v>-0</v>
      </c>
      <c r="H120" s="49" t="str">
        <f aca="false">IF(ROUND($G120,2)&gt;0,ROUND($G120,2),"")</f>
        <v/>
      </c>
      <c r="I120" s="49" t="str">
        <f aca="false">IF(ROUND($G120,2)&lt;0,-ROUND($G120,2),"")</f>
        <v/>
      </c>
      <c r="J120" s="20" t="n">
        <f aca="false">IF(ROUND($G120,2)=0,0,1)</f>
        <v>0</v>
      </c>
      <c r="K120" s="20" t="str">
        <f aca="false">IF($J120=0,"",SUM($J$107:$J120))</f>
        <v/>
      </c>
      <c r="L120" s="20" t="str">
        <f aca="false">IF($K120="","",$A120*100+$K120)</f>
        <v/>
      </c>
      <c r="M120" s="48" t="str">
        <f aca="false">参数!$B$4</f>
        <v>回款</v>
      </c>
    </row>
    <row r="121" customFormat="false" ht="13.5" hidden="false" customHeight="false" outlineLevel="0" collapsed="false">
      <c r="A121" s="47" t="n">
        <v>8</v>
      </c>
      <c r="B121" s="38" t="n">
        <f aca="false">助手回款!$B9</f>
        <v>2008</v>
      </c>
      <c r="C121" s="48" t="str">
        <f aca="false">助手回款!$C9</f>
        <v>博昭店</v>
      </c>
      <c r="D121" s="48" t="str">
        <f aca="false">科目对照回款!$B16&amp;""</f>
        <v>储值卡</v>
      </c>
      <c r="E121" s="48" t="str">
        <f aca="false">科目对照回款!$C16&amp;""</f>
        <v>其他应收款</v>
      </c>
      <c r="F121" s="48" t="str">
        <f aca="false">科目对照回款!$D16&amp;""</f>
        <v>储值卡</v>
      </c>
      <c r="G121" s="49" t="n">
        <f aca="false">-ROUND(IF(科目对照回款!$F$16="",0,SUMIFS(输入回款!$C:$C,输入回款!$A:$A,助手回款!$X9,输入回款!$B:$B,科目对照回款!$F$16)+SUMIFS(输入回款!$D:$D,输入回款!$A:$A,助手回款!$X9,输入回款!$B:$B,科目对照回款!$F$16))+IF(科目对照回款!$G$16="",0,SUMIFS(输入回款!$C:$C,输入回款!$A:$A,助手回款!$X9,输入回款!$B:$B,科目对照回款!$G$16)+SUMIFS(输入回款!$D:$D,输入回款!$A:$A,助手回款!$X9,输入回款!$B:$B,科目对照回款!$G$16))+IF(科目对照回款!$H$16="",0,SUMIFS(输入回款!$C:$C,输入回款!$A:$A,助手回款!$X9,输入回款!$B:$B,科目对照回款!$H$16)+SUMIFS(输入回款!$D:$D,输入回款!$A:$A,助手回款!$X9,输入回款!$B:$B,科目对照回款!$H$16)),2)</f>
        <v>-0</v>
      </c>
      <c r="H121" s="49" t="str">
        <f aca="false">IF(ROUND($G121,2)&gt;0,ROUND($G121,2),"")</f>
        <v/>
      </c>
      <c r="I121" s="49" t="str">
        <f aca="false">IF(ROUND($G121,2)&lt;0,-ROUND($G121,2),"")</f>
        <v/>
      </c>
      <c r="J121" s="20" t="n">
        <f aca="false">IF(ROUND($G121,2)=0,0,1)</f>
        <v>0</v>
      </c>
      <c r="K121" s="20" t="str">
        <f aca="false">IF($J121=0,"",SUM($J$107:$J121))</f>
        <v/>
      </c>
      <c r="L121" s="20" t="str">
        <f aca="false">IF($K121="","",$A121*100+$K121)</f>
        <v/>
      </c>
      <c r="M121" s="48" t="str">
        <f aca="false">参数!$B$4</f>
        <v>回款</v>
      </c>
    </row>
    <row r="122" customFormat="false" ht="13.5" hidden="false" customHeight="false" outlineLevel="0" collapsed="false">
      <c r="A122" s="47" t="n">
        <v>9</v>
      </c>
      <c r="B122" s="38" t="n">
        <f aca="false">助手回款!$B10</f>
        <v>2009</v>
      </c>
      <c r="C122" s="48" t="str">
        <f aca="false">助手回款!$C10</f>
        <v>大霍店</v>
      </c>
      <c r="D122" s="48" t="str">
        <f aca="false">科目对照回款!$B2&amp;""</f>
        <v>库存现金</v>
      </c>
      <c r="E122" s="48" t="str">
        <f aca="false">科目对照回款!$C2&amp;""</f>
        <v>库存现金</v>
      </c>
      <c r="F122" s="48" t="str">
        <f aca="false">科目对照回款!$D2&amp;""</f>
        <v/>
      </c>
      <c r="G122" s="49" t="n">
        <f aca="false">助手回款!$E10</f>
        <v>34503.35</v>
      </c>
      <c r="H122" s="49" t="n">
        <f aca="false">IF(ROUND($G122,2)&gt;0,ROUND($G122,2),"")</f>
        <v>34503.35</v>
      </c>
      <c r="I122" s="49" t="str">
        <f aca="false">IF(ROUND($G122,2)&lt;0,-ROUND($G122,2),"")</f>
        <v/>
      </c>
      <c r="J122" s="20" t="n">
        <f aca="false">IF(ROUND($G122,2)=0,0,1)</f>
        <v>1</v>
      </c>
      <c r="K122" s="20" t="n">
        <f aca="false">IF($J122=0,"",SUM($J$122:$J122))</f>
        <v>1</v>
      </c>
      <c r="L122" s="20" t="n">
        <f aca="false">IF($K122="","",$A122*100+$K122)</f>
        <v>901</v>
      </c>
      <c r="M122" s="48" t="str">
        <f aca="false">参数!$B$4</f>
        <v>回款</v>
      </c>
    </row>
    <row r="123" customFormat="false" ht="13.5" hidden="false" customHeight="false" outlineLevel="0" collapsed="false">
      <c r="A123" s="47" t="n">
        <v>9</v>
      </c>
      <c r="B123" s="38" t="n">
        <f aca="false">助手回款!$B10</f>
        <v>2009</v>
      </c>
      <c r="C123" s="48" t="str">
        <f aca="false">助手回款!$C10</f>
        <v>大霍店</v>
      </c>
      <c r="D123" s="48" t="str">
        <f aca="false">科目对照回款!$B3&amp;""</f>
        <v>手续费</v>
      </c>
      <c r="E123" s="48" t="str">
        <f aca="false">科目对照回款!$C3&amp;""</f>
        <v>财务费用</v>
      </c>
      <c r="F123" s="48" t="str">
        <f aca="false">科目对照回款!$D3&amp;""</f>
        <v>手续费</v>
      </c>
      <c r="G123" s="49" t="n">
        <f aca="false">助手回款!$F10</f>
        <v>0</v>
      </c>
      <c r="H123" s="49" t="str">
        <f aca="false">IF(ROUND($G123,2)&gt;0,ROUND($G123,2),"")</f>
        <v/>
      </c>
      <c r="I123" s="49" t="str">
        <f aca="false">IF(ROUND($G123,2)&lt;0,-ROUND($G123,2),"")</f>
        <v/>
      </c>
      <c r="J123" s="20" t="n">
        <f aca="false">IF(ROUND($G123,2)=0,0,1)</f>
        <v>0</v>
      </c>
      <c r="K123" s="20" t="str">
        <f aca="false">IF($J123=0,"",SUM($J$122:$J123))</f>
        <v/>
      </c>
      <c r="L123" s="20" t="str">
        <f aca="false">IF($K123="","",$A123*100+$K123)</f>
        <v/>
      </c>
      <c r="M123" s="48" t="str">
        <f aca="false">参数!$B$4</f>
        <v>回款</v>
      </c>
    </row>
    <row r="124" customFormat="false" ht="13.5" hidden="false" customHeight="false" outlineLevel="0" collapsed="false">
      <c r="A124" s="47" t="n">
        <v>9</v>
      </c>
      <c r="B124" s="38" t="n">
        <f aca="false">助手回款!$B10</f>
        <v>2009</v>
      </c>
      <c r="C124" s="48" t="str">
        <f aca="false">助手回款!$C10</f>
        <v>大霍店</v>
      </c>
      <c r="D124" s="48" t="str">
        <f aca="false">科目对照回款!$B4&amp;""</f>
        <v>聚合支付</v>
      </c>
      <c r="E124" s="48" t="str">
        <f aca="false">科目对照回款!$C4&amp;""</f>
        <v>应收账款</v>
      </c>
      <c r="F124" s="48" t="str">
        <f aca="false">科目对照回款!$D4&amp;""</f>
        <v>聚合支付</v>
      </c>
      <c r="G124" s="49" t="n">
        <f aca="false">-ROUND(IF(科目对照回款!$F$4="",0,SUMIFS(输入回款!$C:$C,输入回款!$A:$A,助手回款!$X10,输入回款!$B:$B,科目对照回款!$F$4)+SUMIFS(输入回款!$D:$D,输入回款!$A:$A,助手回款!$X10,输入回款!$B:$B,科目对照回款!$F$4))+IF(科目对照回款!$G$4="",0,SUMIFS(输入回款!$C:$C,输入回款!$A:$A,助手回款!$X10,输入回款!$B:$B,科目对照回款!$G$4)+SUMIFS(输入回款!$D:$D,输入回款!$A:$A,助手回款!$X10,输入回款!$B:$B,科目对照回款!$G$4))+IF(科目对照回款!$H$4="",0,SUMIFS(输入回款!$C:$C,输入回款!$A:$A,助手回款!$X10,输入回款!$B:$B,科目对照回款!$H$4)+SUMIFS(输入回款!$D:$D,输入回款!$A:$A,助手回款!$X10,输入回款!$B:$B,科目对照回款!$H$4)),2)</f>
        <v>-30903.16</v>
      </c>
      <c r="H124" s="49" t="str">
        <f aca="false">IF(ROUND($G124,2)&gt;0,ROUND($G124,2),"")</f>
        <v/>
      </c>
      <c r="I124" s="49" t="n">
        <f aca="false">IF(ROUND($G124,2)&lt;0,-ROUND($G124,2),"")</f>
        <v>30903.16</v>
      </c>
      <c r="J124" s="20" t="n">
        <f aca="false">IF(ROUND($G124,2)=0,0,1)</f>
        <v>1</v>
      </c>
      <c r="K124" s="20" t="n">
        <f aca="false">IF($J124=0,"",SUM($J$122:$J124))</f>
        <v>2</v>
      </c>
      <c r="L124" s="20" t="n">
        <f aca="false">IF($K124="","",$A124*100+$K124)</f>
        <v>902</v>
      </c>
      <c r="M124" s="48" t="str">
        <f aca="false">参数!$B$4</f>
        <v>回款</v>
      </c>
    </row>
    <row r="125" customFormat="false" ht="13.5" hidden="false" customHeight="false" outlineLevel="0" collapsed="false">
      <c r="A125" s="47" t="n">
        <v>9</v>
      </c>
      <c r="B125" s="38" t="n">
        <f aca="false">助手回款!$B10</f>
        <v>2009</v>
      </c>
      <c r="C125" s="48" t="str">
        <f aca="false">助手回款!$C10</f>
        <v>大霍店</v>
      </c>
      <c r="D125" s="48" t="str">
        <f aca="false">科目对照回款!$B5&amp;""</f>
        <v>医保</v>
      </c>
      <c r="E125" s="48" t="str">
        <f aca="false">科目对照回款!$C5&amp;""</f>
        <v>应收账款</v>
      </c>
      <c r="F125" s="48" t="str">
        <f aca="false">科目对照回款!$D5&amp;""</f>
        <v>医保</v>
      </c>
      <c r="G125" s="49" t="n">
        <f aca="false">-ROUND(IF(科目对照回款!$F$5="",0,SUMIFS(输入回款!$C:$C,输入回款!$A:$A,助手回款!$X10,输入回款!$B:$B,科目对照回款!$F$5)+SUMIFS(输入回款!$D:$D,输入回款!$A:$A,助手回款!$X10,输入回款!$B:$B,科目对照回款!$F$5))+IF(科目对照回款!$G$5="",0,SUMIFS(输入回款!$C:$C,输入回款!$A:$A,助手回款!$X10,输入回款!$B:$B,科目对照回款!$G$5)+SUMIFS(输入回款!$D:$D,输入回款!$A:$A,助手回款!$X10,输入回款!$B:$B,科目对照回款!$G$5))+IF(科目对照回款!$H$5="",0,SUMIFS(输入回款!$C:$C,输入回款!$A:$A,助手回款!$X10,输入回款!$B:$B,科目对照回款!$H$5)+SUMIFS(输入回款!$D:$D,输入回款!$A:$A,助手回款!$X10,输入回款!$B:$B,科目对照回款!$H$5)),2)</f>
        <v>-3600.19</v>
      </c>
      <c r="H125" s="49" t="str">
        <f aca="false">IF(ROUND($G125,2)&gt;0,ROUND($G125,2),"")</f>
        <v/>
      </c>
      <c r="I125" s="49" t="n">
        <f aca="false">IF(ROUND($G125,2)&lt;0,-ROUND($G125,2),"")</f>
        <v>3600.19</v>
      </c>
      <c r="J125" s="20" t="n">
        <f aca="false">IF(ROUND($G125,2)=0,0,1)</f>
        <v>1</v>
      </c>
      <c r="K125" s="20" t="n">
        <f aca="false">IF($J125=0,"",SUM($J$122:$J125))</f>
        <v>3</v>
      </c>
      <c r="L125" s="20" t="n">
        <f aca="false">IF($K125="","",$A125*100+$K125)</f>
        <v>903</v>
      </c>
      <c r="M125" s="48" t="str">
        <f aca="false">参数!$B$4</f>
        <v>回款</v>
      </c>
    </row>
    <row r="126" customFormat="false" ht="13.5" hidden="false" customHeight="false" outlineLevel="0" collapsed="false">
      <c r="A126" s="47" t="n">
        <v>9</v>
      </c>
      <c r="B126" s="38" t="n">
        <f aca="false">助手回款!$B10</f>
        <v>2009</v>
      </c>
      <c r="C126" s="48" t="str">
        <f aca="false">助手回款!$C10</f>
        <v>大霍店</v>
      </c>
      <c r="D126" s="48" t="str">
        <f aca="false">科目对照回款!$B6&amp;""</f>
        <v>美团</v>
      </c>
      <c r="E126" s="48" t="str">
        <f aca="false">科目对照回款!$C6&amp;""</f>
        <v>应收账款</v>
      </c>
      <c r="F126" s="48" t="str">
        <f aca="false">科目对照回款!$D6&amp;""</f>
        <v>美团</v>
      </c>
      <c r="G126" s="49" t="n">
        <f aca="false">-ROUND(IF(科目对照回款!$F$6="",0,SUMIFS(输入回款!$C:$C,输入回款!$A:$A,助手回款!$X10,输入回款!$B:$B,科目对照回款!$F$6)+SUMIFS(输入回款!$D:$D,输入回款!$A:$A,助手回款!$X10,输入回款!$B:$B,科目对照回款!$F$6))+IF(科目对照回款!$G$6="",0,SUMIFS(输入回款!$C:$C,输入回款!$A:$A,助手回款!$X10,输入回款!$B:$B,科目对照回款!$G$6)+SUMIFS(输入回款!$D:$D,输入回款!$A:$A,助手回款!$X10,输入回款!$B:$B,科目对照回款!$G$6))+IF(科目对照回款!$H$6="",0,SUMIFS(输入回款!$C:$C,输入回款!$A:$A,助手回款!$X10,输入回款!$B:$B,科目对照回款!$H$6)+SUMIFS(输入回款!$D:$D,输入回款!$A:$A,助手回款!$X10,输入回款!$B:$B,科目对照回款!$H$6)),2)</f>
        <v>-0</v>
      </c>
      <c r="H126" s="49" t="str">
        <f aca="false">IF(ROUND($G126,2)&gt;0,ROUND($G126,2),"")</f>
        <v/>
      </c>
      <c r="I126" s="49" t="str">
        <f aca="false">IF(ROUND($G126,2)&lt;0,-ROUND($G126,2),"")</f>
        <v/>
      </c>
      <c r="J126" s="20" t="n">
        <f aca="false">IF(ROUND($G126,2)=0,0,1)</f>
        <v>0</v>
      </c>
      <c r="K126" s="20" t="str">
        <f aca="false">IF($J126=0,"",SUM($J$122:$J126))</f>
        <v/>
      </c>
      <c r="L126" s="20" t="str">
        <f aca="false">IF($K126="","",$A126*100+$K126)</f>
        <v/>
      </c>
      <c r="M126" s="48" t="str">
        <f aca="false">参数!$B$4</f>
        <v>回款</v>
      </c>
    </row>
    <row r="127" customFormat="false" ht="13.5" hidden="false" customHeight="false" outlineLevel="0" collapsed="false">
      <c r="A127" s="47" t="n">
        <v>9</v>
      </c>
      <c r="B127" s="38" t="n">
        <f aca="false">助手回款!$B10</f>
        <v>2009</v>
      </c>
      <c r="C127" s="48" t="str">
        <f aca="false">助手回款!$C10</f>
        <v>大霍店</v>
      </c>
      <c r="D127" s="48" t="str">
        <f aca="false">科目对照回款!$B7&amp;""</f>
        <v>饿了么</v>
      </c>
      <c r="E127" s="48" t="str">
        <f aca="false">科目对照回款!$C7&amp;""</f>
        <v>应收账款</v>
      </c>
      <c r="F127" s="48" t="str">
        <f aca="false">科目对照回款!$D7&amp;""</f>
        <v>饿了么</v>
      </c>
      <c r="G127" s="49" t="n">
        <f aca="false">-ROUND(IF(科目对照回款!$F$7="",0,SUMIFS(输入回款!$C:$C,输入回款!$A:$A,助手回款!$X10,输入回款!$B:$B,科目对照回款!$F$7)+SUMIFS(输入回款!$D:$D,输入回款!$A:$A,助手回款!$X10,输入回款!$B:$B,科目对照回款!$F$7))+IF(科目对照回款!$G$7="",0,SUMIFS(输入回款!$C:$C,输入回款!$A:$A,助手回款!$X10,输入回款!$B:$B,科目对照回款!$G$7)+SUMIFS(输入回款!$D:$D,输入回款!$A:$A,助手回款!$X10,输入回款!$B:$B,科目对照回款!$G$7))+IF(科目对照回款!$H$7="",0,SUMIFS(输入回款!$C:$C,输入回款!$A:$A,助手回款!$X10,输入回款!$B:$B,科目对照回款!$H$7)+SUMIFS(输入回款!$D:$D,输入回款!$A:$A,助手回款!$X10,输入回款!$B:$B,科目对照回款!$H$7)),2)</f>
        <v>-0</v>
      </c>
      <c r="H127" s="49" t="str">
        <f aca="false">IF(ROUND($G127,2)&gt;0,ROUND($G127,2),"")</f>
        <v/>
      </c>
      <c r="I127" s="49" t="str">
        <f aca="false">IF(ROUND($G127,2)&lt;0,-ROUND($G127,2),"")</f>
        <v/>
      </c>
      <c r="J127" s="20" t="n">
        <f aca="false">IF(ROUND($G127,2)=0,0,1)</f>
        <v>0</v>
      </c>
      <c r="K127" s="20" t="str">
        <f aca="false">IF($J127=0,"",SUM($J$122:$J127))</f>
        <v/>
      </c>
      <c r="L127" s="20" t="str">
        <f aca="false">IF($K127="","",$A127*100+$K127)</f>
        <v/>
      </c>
      <c r="M127" s="48" t="str">
        <f aca="false">参数!$B$4</f>
        <v>回款</v>
      </c>
    </row>
    <row r="128" customFormat="false" ht="13.5" hidden="false" customHeight="false" outlineLevel="0" collapsed="false">
      <c r="A128" s="47" t="n">
        <v>9</v>
      </c>
      <c r="B128" s="38" t="n">
        <f aca="false">助手回款!$B10</f>
        <v>2009</v>
      </c>
      <c r="C128" s="48" t="str">
        <f aca="false">助手回款!$C10</f>
        <v>大霍店</v>
      </c>
      <c r="D128" s="48" t="str">
        <f aca="false">科目对照回款!$B8&amp;""</f>
        <v>24小时</v>
      </c>
      <c r="E128" s="48" t="str">
        <f aca="false">科目对照回款!$C8&amp;""</f>
        <v>应收账款</v>
      </c>
      <c r="F128" s="48" t="str">
        <f aca="false">科目对照回款!$D8&amp;""</f>
        <v>24小时</v>
      </c>
      <c r="G128" s="49" t="n">
        <f aca="false">-ROUND(IF(科目对照回款!$F$8="",0,SUMIFS(输入回款!$C:$C,输入回款!$A:$A,助手回款!$X10,输入回款!$B:$B,科目对照回款!$F$8)+SUMIFS(输入回款!$D:$D,输入回款!$A:$A,助手回款!$X10,输入回款!$B:$B,科目对照回款!$F$8))+IF(科目对照回款!$G$8="",0,SUMIFS(输入回款!$C:$C,输入回款!$A:$A,助手回款!$X10,输入回款!$B:$B,科目对照回款!$G$8)+SUMIFS(输入回款!$D:$D,输入回款!$A:$A,助手回款!$X10,输入回款!$B:$B,科目对照回款!$G$8))+IF(科目对照回款!$H$8="",0,SUMIFS(输入回款!$C:$C,输入回款!$A:$A,助手回款!$X10,输入回款!$B:$B,科目对照回款!$H$8)+SUMIFS(输入回款!$D:$D,输入回款!$A:$A,助手回款!$X10,输入回款!$B:$B,科目对照回款!$H$8)),2)</f>
        <v>-0</v>
      </c>
      <c r="H128" s="49" t="str">
        <f aca="false">IF(ROUND($G128,2)&gt;0,ROUND($G128,2),"")</f>
        <v/>
      </c>
      <c r="I128" s="49" t="str">
        <f aca="false">IF(ROUND($G128,2)&lt;0,-ROUND($G128,2),"")</f>
        <v/>
      </c>
      <c r="J128" s="20" t="n">
        <f aca="false">IF(ROUND($G128,2)=0,0,1)</f>
        <v>0</v>
      </c>
      <c r="K128" s="20" t="str">
        <f aca="false">IF($J128=0,"",SUM($J$122:$J128))</f>
        <v/>
      </c>
      <c r="L128" s="20" t="str">
        <f aca="false">IF($K128="","",$A128*100+$K128)</f>
        <v/>
      </c>
      <c r="M128" s="48" t="str">
        <f aca="false">参数!$B$4</f>
        <v>回款</v>
      </c>
    </row>
    <row r="129" customFormat="false" ht="13.5" hidden="false" customHeight="false" outlineLevel="0" collapsed="false">
      <c r="A129" s="47" t="n">
        <v>9</v>
      </c>
      <c r="B129" s="38" t="n">
        <f aca="false">助手回款!$B10</f>
        <v>2009</v>
      </c>
      <c r="C129" s="48" t="str">
        <f aca="false">助手回款!$C10</f>
        <v>大霍店</v>
      </c>
      <c r="D129" s="48" t="str">
        <f aca="false">科目对照回款!$B9&amp;""</f>
        <v>健E卡</v>
      </c>
      <c r="E129" s="48" t="str">
        <f aca="false">科目对照回款!$C9&amp;""</f>
        <v>应收账款</v>
      </c>
      <c r="F129" s="48" t="str">
        <f aca="false">科目对照回款!$D9&amp;""</f>
        <v>健E卡</v>
      </c>
      <c r="G129" s="49" t="n">
        <f aca="false">-ROUND(IF(科目对照回款!$F$9="",0,SUMIFS(输入回款!$C:$C,输入回款!$A:$A,助手回款!$X10,输入回款!$B:$B,科目对照回款!$F$9)+SUMIFS(输入回款!$D:$D,输入回款!$A:$A,助手回款!$X10,输入回款!$B:$B,科目对照回款!$F$9))+IF(科目对照回款!$G$9="",0,SUMIFS(输入回款!$C:$C,输入回款!$A:$A,助手回款!$X10,输入回款!$B:$B,科目对照回款!$G$9)+SUMIFS(输入回款!$D:$D,输入回款!$A:$A,助手回款!$X10,输入回款!$B:$B,科目对照回款!$G$9))+IF(科目对照回款!$H$9="",0,SUMIFS(输入回款!$C:$C,输入回款!$A:$A,助手回款!$X10,输入回款!$B:$B,科目对照回款!$H$9)+SUMIFS(输入回款!$D:$D,输入回款!$A:$A,助手回款!$X10,输入回款!$B:$B,科目对照回款!$H$9)),2)</f>
        <v>-0</v>
      </c>
      <c r="H129" s="49" t="str">
        <f aca="false">IF(ROUND($G129,2)&gt;0,ROUND($G129,2),"")</f>
        <v/>
      </c>
      <c r="I129" s="49" t="str">
        <f aca="false">IF(ROUND($G129,2)&lt;0,-ROUND($G129,2),"")</f>
        <v/>
      </c>
      <c r="J129" s="20" t="n">
        <f aca="false">IF(ROUND($G129,2)=0,0,1)</f>
        <v>0</v>
      </c>
      <c r="K129" s="20" t="str">
        <f aca="false">IF($J129=0,"",SUM($J$122:$J129))</f>
        <v/>
      </c>
      <c r="L129" s="20" t="str">
        <f aca="false">IF($K129="","",$A129*100+$K129)</f>
        <v/>
      </c>
      <c r="M129" s="48" t="str">
        <f aca="false">参数!$B$4</f>
        <v>回款</v>
      </c>
    </row>
    <row r="130" customFormat="false" ht="13.5" hidden="false" customHeight="false" outlineLevel="0" collapsed="false">
      <c r="A130" s="47" t="n">
        <v>9</v>
      </c>
      <c r="B130" s="38" t="n">
        <f aca="false">助手回款!$B10</f>
        <v>2009</v>
      </c>
      <c r="C130" s="48" t="str">
        <f aca="false">助手回款!$C10</f>
        <v>大霍店</v>
      </c>
      <c r="D130" s="48" t="str">
        <f aca="false">科目对照回款!$B10&amp;""</f>
        <v>医卡通</v>
      </c>
      <c r="E130" s="48" t="str">
        <f aca="false">科目对照回款!$C10&amp;""</f>
        <v>应收账款</v>
      </c>
      <c r="F130" s="48" t="str">
        <f aca="false">科目对照回款!$D10&amp;""</f>
        <v>医卡通</v>
      </c>
      <c r="G130" s="49" t="n">
        <f aca="false">-ROUND(IF(科目对照回款!$F$10="",0,SUMIFS(输入回款!$C:$C,输入回款!$A:$A,助手回款!$X10,输入回款!$B:$B,科目对照回款!$F$10)+SUMIFS(输入回款!$D:$D,输入回款!$A:$A,助手回款!$X10,输入回款!$B:$B,科目对照回款!$F$10))+IF(科目对照回款!$G$10="",0,SUMIFS(输入回款!$C:$C,输入回款!$A:$A,助手回款!$X10,输入回款!$B:$B,科目对照回款!$G$10)+SUMIFS(输入回款!$D:$D,输入回款!$A:$A,助手回款!$X10,输入回款!$B:$B,科目对照回款!$G$10))+IF(科目对照回款!$H$10="",0,SUMIFS(输入回款!$C:$C,输入回款!$A:$A,助手回款!$X10,输入回款!$B:$B,科目对照回款!$H$10)+SUMIFS(输入回款!$D:$D,输入回款!$A:$A,助手回款!$X10,输入回款!$B:$B,科目对照回款!$H$10)),2)</f>
        <v>-0</v>
      </c>
      <c r="H130" s="49" t="str">
        <f aca="false">IF(ROUND($G130,2)&gt;0,ROUND($G130,2),"")</f>
        <v/>
      </c>
      <c r="I130" s="49" t="str">
        <f aca="false">IF(ROUND($G130,2)&lt;0,-ROUND($G130,2),"")</f>
        <v/>
      </c>
      <c r="J130" s="20" t="n">
        <f aca="false">IF(ROUND($G130,2)=0,0,1)</f>
        <v>0</v>
      </c>
      <c r="K130" s="20" t="str">
        <f aca="false">IF($J130=0,"",SUM($J$122:$J130))</f>
        <v/>
      </c>
      <c r="L130" s="20" t="str">
        <f aca="false">IF($K130="","",$A130*100+$K130)</f>
        <v/>
      </c>
      <c r="M130" s="48" t="str">
        <f aca="false">参数!$B$4</f>
        <v>回款</v>
      </c>
    </row>
    <row r="131" customFormat="false" ht="13.5" hidden="false" customHeight="false" outlineLevel="0" collapsed="false">
      <c r="A131" s="47" t="n">
        <v>9</v>
      </c>
      <c r="B131" s="38" t="n">
        <f aca="false">助手回款!$B10</f>
        <v>2009</v>
      </c>
      <c r="C131" s="48" t="str">
        <f aca="false">助手回款!$C10</f>
        <v>大霍店</v>
      </c>
      <c r="D131" s="48" t="str">
        <f aca="false">科目对照回款!$B11&amp;""</f>
        <v>企健网</v>
      </c>
      <c r="E131" s="48" t="str">
        <f aca="false">科目对照回款!$C11&amp;""</f>
        <v>应收账款</v>
      </c>
      <c r="F131" s="48" t="str">
        <f aca="false">科目对照回款!$D11&amp;""</f>
        <v>企健网</v>
      </c>
      <c r="G131" s="49" t="n">
        <f aca="false">-ROUND(IF(科目对照回款!$F$11="",0,SUMIFS(输入回款!$C:$C,输入回款!$A:$A,助手回款!$X10,输入回款!$B:$B,科目对照回款!$F$11)+SUMIFS(输入回款!$D:$D,输入回款!$A:$A,助手回款!$X10,输入回款!$B:$B,科目对照回款!$F$11))+IF(科目对照回款!$G$11="",0,SUMIFS(输入回款!$C:$C,输入回款!$A:$A,助手回款!$X10,输入回款!$B:$B,科目对照回款!$G$11)+SUMIFS(输入回款!$D:$D,输入回款!$A:$A,助手回款!$X10,输入回款!$B:$B,科目对照回款!$G$11))+IF(科目对照回款!$H$11="",0,SUMIFS(输入回款!$C:$C,输入回款!$A:$A,助手回款!$X10,输入回款!$B:$B,科目对照回款!$H$11)+SUMIFS(输入回款!$D:$D,输入回款!$A:$A,助手回款!$X10,输入回款!$B:$B,科目对照回款!$H$11)),2)</f>
        <v>-0</v>
      </c>
      <c r="H131" s="49" t="str">
        <f aca="false">IF(ROUND($G131,2)&gt;0,ROUND($G131,2),"")</f>
        <v/>
      </c>
      <c r="I131" s="49" t="str">
        <f aca="false">IF(ROUND($G131,2)&lt;0,-ROUND($G131,2),"")</f>
        <v/>
      </c>
      <c r="J131" s="20" t="n">
        <f aca="false">IF(ROUND($G131,2)=0,0,1)</f>
        <v>0</v>
      </c>
      <c r="K131" s="20" t="str">
        <f aca="false">IF($J131=0,"",SUM($J$122:$J131))</f>
        <v/>
      </c>
      <c r="L131" s="20" t="str">
        <f aca="false">IF($K131="","",$A131*100+$K131)</f>
        <v/>
      </c>
      <c r="M131" s="48" t="str">
        <f aca="false">参数!$B$4</f>
        <v>回款</v>
      </c>
    </row>
    <row r="132" customFormat="false" ht="13.5" hidden="false" customHeight="false" outlineLevel="0" collapsed="false">
      <c r="A132" s="47" t="n">
        <v>9</v>
      </c>
      <c r="B132" s="38" t="n">
        <f aca="false">助手回款!$B10</f>
        <v>2009</v>
      </c>
      <c r="C132" s="48" t="str">
        <f aca="false">助手回款!$C10</f>
        <v>大霍店</v>
      </c>
      <c r="D132" s="48" t="str">
        <f aca="false">科目对照回款!$B12&amp;""</f>
        <v>亲情卡</v>
      </c>
      <c r="E132" s="48" t="str">
        <f aca="false">科目对照回款!$C12&amp;""</f>
        <v>应收账款</v>
      </c>
      <c r="F132" s="48" t="str">
        <f aca="false">科目对照回款!$D12&amp;""</f>
        <v>亲情卡</v>
      </c>
      <c r="G132" s="49" t="n">
        <f aca="false">-ROUND(IF(科目对照回款!$F$12="",0,SUMIFS(输入回款!$C:$C,输入回款!$A:$A,助手回款!$X10,输入回款!$B:$B,科目对照回款!$F$12)+SUMIFS(输入回款!$D:$D,输入回款!$A:$A,助手回款!$X10,输入回款!$B:$B,科目对照回款!$F$12))+IF(科目对照回款!$G$12="",0,SUMIFS(输入回款!$C:$C,输入回款!$A:$A,助手回款!$X10,输入回款!$B:$B,科目对照回款!$G$12)+SUMIFS(输入回款!$D:$D,输入回款!$A:$A,助手回款!$X10,输入回款!$B:$B,科目对照回款!$G$12))+IF(科目对照回款!$H$12="",0,SUMIFS(输入回款!$C:$C,输入回款!$A:$A,助手回款!$X10,输入回款!$B:$B,科目对照回款!$H$12)+SUMIFS(输入回款!$D:$D,输入回款!$A:$A,助手回款!$X10,输入回款!$B:$B,科目对照回款!$H$12)),2)</f>
        <v>-0</v>
      </c>
      <c r="H132" s="49" t="str">
        <f aca="false">IF(ROUND($G132,2)&gt;0,ROUND($G132,2),"")</f>
        <v/>
      </c>
      <c r="I132" s="49" t="str">
        <f aca="false">IF(ROUND($G132,2)&lt;0,-ROUND($G132,2),"")</f>
        <v/>
      </c>
      <c r="J132" s="20" t="n">
        <f aca="false">IF(ROUND($G132,2)=0,0,1)</f>
        <v>0</v>
      </c>
      <c r="K132" s="20" t="str">
        <f aca="false">IF($J132=0,"",SUM($J$122:$J132))</f>
        <v/>
      </c>
      <c r="L132" s="20" t="str">
        <f aca="false">IF($K132="","",$A132*100+$K132)</f>
        <v/>
      </c>
      <c r="M132" s="48" t="str">
        <f aca="false">参数!$B$4</f>
        <v>回款</v>
      </c>
    </row>
    <row r="133" customFormat="false" ht="13.5" hidden="false" customHeight="false" outlineLevel="0" collapsed="false">
      <c r="A133" s="47" t="n">
        <v>9</v>
      </c>
      <c r="B133" s="38" t="n">
        <f aca="false">助手回款!$B10</f>
        <v>2009</v>
      </c>
      <c r="C133" s="48" t="str">
        <f aca="false">助手回款!$C10</f>
        <v>大霍店</v>
      </c>
      <c r="D133" s="48" t="str">
        <f aca="false">科目对照回款!$B13&amp;""</f>
        <v>银联</v>
      </c>
      <c r="E133" s="48" t="str">
        <f aca="false">科目对照回款!$C13&amp;""</f>
        <v>应收账款</v>
      </c>
      <c r="F133" s="48" t="str">
        <f aca="false">科目对照回款!$D13&amp;""</f>
        <v>银联</v>
      </c>
      <c r="G133" s="49" t="n">
        <f aca="false">-ROUND(IF(科目对照回款!$F$13="",0,SUMIFS(输入回款!$C:$C,输入回款!$A:$A,助手回款!$X10,输入回款!$B:$B,科目对照回款!$F$13)+SUMIFS(输入回款!$D:$D,输入回款!$A:$A,助手回款!$X10,输入回款!$B:$B,科目对照回款!$F$13))+IF(科目对照回款!$G$13="",0,SUMIFS(输入回款!$C:$C,输入回款!$A:$A,助手回款!$X10,输入回款!$B:$B,科目对照回款!$G$13)+SUMIFS(输入回款!$D:$D,输入回款!$A:$A,助手回款!$X10,输入回款!$B:$B,科目对照回款!$G$13))+IF(科目对照回款!$H$13="",0,SUMIFS(输入回款!$C:$C,输入回款!$A:$A,助手回款!$X10,输入回款!$B:$B,科目对照回款!$H$13)+SUMIFS(输入回款!$D:$D,输入回款!$A:$A,助手回款!$X10,输入回款!$B:$B,科目对照回款!$H$13)),2)</f>
        <v>-0</v>
      </c>
      <c r="H133" s="49" t="str">
        <f aca="false">IF(ROUND($G133,2)&gt;0,ROUND($G133,2),"")</f>
        <v/>
      </c>
      <c r="I133" s="49" t="str">
        <f aca="false">IF(ROUND($G133,2)&lt;0,-ROUND($G133,2),"")</f>
        <v/>
      </c>
      <c r="J133" s="20" t="n">
        <f aca="false">IF(ROUND($G133,2)=0,0,1)</f>
        <v>0</v>
      </c>
      <c r="K133" s="20" t="str">
        <f aca="false">IF($J133=0,"",SUM($J$122:$J133))</f>
        <v/>
      </c>
      <c r="L133" s="20" t="str">
        <f aca="false">IF($K133="","",$A133*100+$K133)</f>
        <v/>
      </c>
      <c r="M133" s="48" t="str">
        <f aca="false">参数!$B$4</f>
        <v>回款</v>
      </c>
    </row>
    <row r="134" customFormat="false" ht="13.5" hidden="false" customHeight="false" outlineLevel="0" collapsed="false">
      <c r="A134" s="47" t="n">
        <v>9</v>
      </c>
      <c r="B134" s="38" t="n">
        <f aca="false">助手回款!$B10</f>
        <v>2009</v>
      </c>
      <c r="C134" s="48" t="str">
        <f aca="false">助手回款!$C10</f>
        <v>大霍店</v>
      </c>
      <c r="D134" s="48" t="str">
        <f aca="false">科目对照回款!$B14&amp;""</f>
        <v>代金券</v>
      </c>
      <c r="E134" s="48" t="str">
        <f aca="false">科目对照回款!$C14&amp;""</f>
        <v>应收账款</v>
      </c>
      <c r="F134" s="48" t="str">
        <f aca="false">科目对照回款!$D14&amp;""</f>
        <v>代金券</v>
      </c>
      <c r="G134" s="49" t="n">
        <f aca="false">-ROUND(IF(科目对照回款!$F$14="",0,SUMIFS(输入回款!$C:$C,输入回款!$A:$A,助手回款!$X10,输入回款!$B:$B,科目对照回款!$F$14)+SUMIFS(输入回款!$D:$D,输入回款!$A:$A,助手回款!$X10,输入回款!$B:$B,科目对照回款!$F$14))+IF(科目对照回款!$G$14="",0,SUMIFS(输入回款!$C:$C,输入回款!$A:$A,助手回款!$X10,输入回款!$B:$B,科目对照回款!$G$14)+SUMIFS(输入回款!$D:$D,输入回款!$A:$A,助手回款!$X10,输入回款!$B:$B,科目对照回款!$G$14))+IF(科目对照回款!$H$14="",0,SUMIFS(输入回款!$C:$C,输入回款!$A:$A,助手回款!$X10,输入回款!$B:$B,科目对照回款!$H$14)+SUMIFS(输入回款!$D:$D,输入回款!$A:$A,助手回款!$X10,输入回款!$B:$B,科目对照回款!$H$14)),2)</f>
        <v>-0</v>
      </c>
      <c r="H134" s="49" t="str">
        <f aca="false">IF(ROUND($G134,2)&gt;0,ROUND($G134,2),"")</f>
        <v/>
      </c>
      <c r="I134" s="49" t="str">
        <f aca="false">IF(ROUND($G134,2)&lt;0,-ROUND($G134,2),"")</f>
        <v/>
      </c>
      <c r="J134" s="20" t="n">
        <f aca="false">IF(ROUND($G134,2)=0,0,1)</f>
        <v>0</v>
      </c>
      <c r="K134" s="20" t="str">
        <f aca="false">IF($J134=0,"",SUM($J$122:$J134))</f>
        <v/>
      </c>
      <c r="L134" s="20" t="str">
        <f aca="false">IF($K134="","",$A134*100+$K134)</f>
        <v/>
      </c>
      <c r="M134" s="48" t="str">
        <f aca="false">参数!$B$4</f>
        <v>回款</v>
      </c>
    </row>
    <row r="135" customFormat="false" ht="13.5" hidden="false" customHeight="false" outlineLevel="0" collapsed="false">
      <c r="A135" s="47" t="n">
        <v>9</v>
      </c>
      <c r="B135" s="38" t="n">
        <f aca="false">助手回款!$B10</f>
        <v>2009</v>
      </c>
      <c r="C135" s="48" t="str">
        <f aca="false">助手回款!$C10</f>
        <v>大霍店</v>
      </c>
      <c r="D135" s="48" t="str">
        <f aca="false">科目对照回款!$B15&amp;""</f>
        <v>药机微信</v>
      </c>
      <c r="E135" s="48" t="str">
        <f aca="false">科目对照回款!$C15&amp;""</f>
        <v>应收账款</v>
      </c>
      <c r="F135" s="48" t="str">
        <f aca="false">科目对照回款!$D15&amp;""</f>
        <v>药机微信</v>
      </c>
      <c r="G135" s="49" t="n">
        <f aca="false">-ROUND(IF(科目对照回款!$F$15="",0,SUMIFS(输入回款!$C:$C,输入回款!$A:$A,助手回款!$X10,输入回款!$B:$B,科目对照回款!$F$15)+SUMIFS(输入回款!$D:$D,输入回款!$A:$A,助手回款!$X10,输入回款!$B:$B,科目对照回款!$F$15))+IF(科目对照回款!$G$15="",0,SUMIFS(输入回款!$C:$C,输入回款!$A:$A,助手回款!$X10,输入回款!$B:$B,科目对照回款!$G$15)+SUMIFS(输入回款!$D:$D,输入回款!$A:$A,助手回款!$X10,输入回款!$B:$B,科目对照回款!$G$15))+IF(科目对照回款!$H$15="",0,SUMIFS(输入回款!$C:$C,输入回款!$A:$A,助手回款!$X10,输入回款!$B:$B,科目对照回款!$H$15)+SUMIFS(输入回款!$D:$D,输入回款!$A:$A,助手回款!$X10,输入回款!$B:$B,科目对照回款!$H$15)),2)</f>
        <v>-0</v>
      </c>
      <c r="H135" s="49" t="str">
        <f aca="false">IF(ROUND($G135,2)&gt;0,ROUND($G135,2),"")</f>
        <v/>
      </c>
      <c r="I135" s="49" t="str">
        <f aca="false">IF(ROUND($G135,2)&lt;0,-ROUND($G135,2),"")</f>
        <v/>
      </c>
      <c r="J135" s="20" t="n">
        <f aca="false">IF(ROUND($G135,2)=0,0,1)</f>
        <v>0</v>
      </c>
      <c r="K135" s="20" t="str">
        <f aca="false">IF($J135=0,"",SUM($J$122:$J135))</f>
        <v/>
      </c>
      <c r="L135" s="20" t="str">
        <f aca="false">IF($K135="","",$A135*100+$K135)</f>
        <v/>
      </c>
      <c r="M135" s="48" t="str">
        <f aca="false">参数!$B$4</f>
        <v>回款</v>
      </c>
    </row>
    <row r="136" customFormat="false" ht="13.5" hidden="false" customHeight="false" outlineLevel="0" collapsed="false">
      <c r="A136" s="47" t="n">
        <v>9</v>
      </c>
      <c r="B136" s="38" t="n">
        <f aca="false">助手回款!$B10</f>
        <v>2009</v>
      </c>
      <c r="C136" s="48" t="str">
        <f aca="false">助手回款!$C10</f>
        <v>大霍店</v>
      </c>
      <c r="D136" s="48" t="str">
        <f aca="false">科目对照回款!$B16&amp;""</f>
        <v>储值卡</v>
      </c>
      <c r="E136" s="48" t="str">
        <f aca="false">科目对照回款!$C16&amp;""</f>
        <v>其他应收款</v>
      </c>
      <c r="F136" s="48" t="str">
        <f aca="false">科目对照回款!$D16&amp;""</f>
        <v>储值卡</v>
      </c>
      <c r="G136" s="49" t="n">
        <f aca="false">-ROUND(IF(科目对照回款!$F$16="",0,SUMIFS(输入回款!$C:$C,输入回款!$A:$A,助手回款!$X10,输入回款!$B:$B,科目对照回款!$F$16)+SUMIFS(输入回款!$D:$D,输入回款!$A:$A,助手回款!$X10,输入回款!$B:$B,科目对照回款!$F$16))+IF(科目对照回款!$G$16="",0,SUMIFS(输入回款!$C:$C,输入回款!$A:$A,助手回款!$X10,输入回款!$B:$B,科目对照回款!$G$16)+SUMIFS(输入回款!$D:$D,输入回款!$A:$A,助手回款!$X10,输入回款!$B:$B,科目对照回款!$G$16))+IF(科目对照回款!$H$16="",0,SUMIFS(输入回款!$C:$C,输入回款!$A:$A,助手回款!$X10,输入回款!$B:$B,科目对照回款!$H$16)+SUMIFS(输入回款!$D:$D,输入回款!$A:$A,助手回款!$X10,输入回款!$B:$B,科目对照回款!$H$16)),2)</f>
        <v>-0</v>
      </c>
      <c r="H136" s="49" t="str">
        <f aca="false">IF(ROUND($G136,2)&gt;0,ROUND($G136,2),"")</f>
        <v/>
      </c>
      <c r="I136" s="49" t="str">
        <f aca="false">IF(ROUND($G136,2)&lt;0,-ROUND($G136,2),"")</f>
        <v/>
      </c>
      <c r="J136" s="20" t="n">
        <f aca="false">IF(ROUND($G136,2)=0,0,1)</f>
        <v>0</v>
      </c>
      <c r="K136" s="20" t="str">
        <f aca="false">IF($J136=0,"",SUM($J$122:$J136))</f>
        <v/>
      </c>
      <c r="L136" s="20" t="str">
        <f aca="false">IF($K136="","",$A136*100+$K136)</f>
        <v/>
      </c>
      <c r="M136" s="48" t="str">
        <f aca="false">参数!$B$4</f>
        <v>回款</v>
      </c>
    </row>
    <row r="137" customFormat="false" ht="13.5" hidden="false" customHeight="false" outlineLevel="0" collapsed="false">
      <c r="A137" s="47" t="n">
        <v>10</v>
      </c>
      <c r="B137" s="38" t="n">
        <f aca="false">助手回款!$B11</f>
        <v>2010</v>
      </c>
      <c r="C137" s="48" t="str">
        <f aca="false">助手回款!$C11</f>
        <v>莲子镇店</v>
      </c>
      <c r="D137" s="48" t="str">
        <f aca="false">科目对照回款!$B2&amp;""</f>
        <v>库存现金</v>
      </c>
      <c r="E137" s="48" t="str">
        <f aca="false">科目对照回款!$C2&amp;""</f>
        <v>库存现金</v>
      </c>
      <c r="F137" s="48" t="str">
        <f aca="false">科目对照回款!$D2&amp;""</f>
        <v/>
      </c>
      <c r="G137" s="49" t="n">
        <f aca="false">助手回款!$E11</f>
        <v>90939.53</v>
      </c>
      <c r="H137" s="49" t="n">
        <f aca="false">IF(ROUND($G137,2)&gt;0,ROUND($G137,2),"")</f>
        <v>90939.53</v>
      </c>
      <c r="I137" s="49" t="str">
        <f aca="false">IF(ROUND($G137,2)&lt;0,-ROUND($G137,2),"")</f>
        <v/>
      </c>
      <c r="J137" s="20" t="n">
        <f aca="false">IF(ROUND($G137,2)=0,0,1)</f>
        <v>1</v>
      </c>
      <c r="K137" s="20" t="n">
        <f aca="false">IF($J137=0,"",SUM($J$137:$J137))</f>
        <v>1</v>
      </c>
      <c r="L137" s="20" t="n">
        <f aca="false">IF($K137="","",$A137*100+$K137)</f>
        <v>1001</v>
      </c>
      <c r="M137" s="48" t="str">
        <f aca="false">参数!$B$4</f>
        <v>回款</v>
      </c>
    </row>
    <row r="138" customFormat="false" ht="13.5" hidden="false" customHeight="false" outlineLevel="0" collapsed="false">
      <c r="A138" s="47" t="n">
        <v>10</v>
      </c>
      <c r="B138" s="38" t="n">
        <f aca="false">助手回款!$B11</f>
        <v>2010</v>
      </c>
      <c r="C138" s="48" t="str">
        <f aca="false">助手回款!$C11</f>
        <v>莲子镇店</v>
      </c>
      <c r="D138" s="48" t="str">
        <f aca="false">科目对照回款!$B3&amp;""</f>
        <v>手续费</v>
      </c>
      <c r="E138" s="48" t="str">
        <f aca="false">科目对照回款!$C3&amp;""</f>
        <v>财务费用</v>
      </c>
      <c r="F138" s="48" t="str">
        <f aca="false">科目对照回款!$D3&amp;""</f>
        <v>手续费</v>
      </c>
      <c r="G138" s="49" t="n">
        <f aca="false">助手回款!$F11</f>
        <v>0</v>
      </c>
      <c r="H138" s="49" t="str">
        <f aca="false">IF(ROUND($G138,2)&gt;0,ROUND($G138,2),"")</f>
        <v/>
      </c>
      <c r="I138" s="49" t="str">
        <f aca="false">IF(ROUND($G138,2)&lt;0,-ROUND($G138,2),"")</f>
        <v/>
      </c>
      <c r="J138" s="20" t="n">
        <f aca="false">IF(ROUND($G138,2)=0,0,1)</f>
        <v>0</v>
      </c>
      <c r="K138" s="20" t="str">
        <f aca="false">IF($J138=0,"",SUM($J$137:$J138))</f>
        <v/>
      </c>
      <c r="L138" s="20" t="str">
        <f aca="false">IF($K138="","",$A138*100+$K138)</f>
        <v/>
      </c>
      <c r="M138" s="48" t="str">
        <f aca="false">参数!$B$4</f>
        <v>回款</v>
      </c>
    </row>
    <row r="139" customFormat="false" ht="13.5" hidden="false" customHeight="false" outlineLevel="0" collapsed="false">
      <c r="A139" s="47" t="n">
        <v>10</v>
      </c>
      <c r="B139" s="38" t="n">
        <f aca="false">助手回款!$B11</f>
        <v>2010</v>
      </c>
      <c r="C139" s="48" t="str">
        <f aca="false">助手回款!$C11</f>
        <v>莲子镇店</v>
      </c>
      <c r="D139" s="48" t="str">
        <f aca="false">科目对照回款!$B4&amp;""</f>
        <v>聚合支付</v>
      </c>
      <c r="E139" s="48" t="str">
        <f aca="false">科目对照回款!$C4&amp;""</f>
        <v>应收账款</v>
      </c>
      <c r="F139" s="48" t="str">
        <f aca="false">科目对照回款!$D4&amp;""</f>
        <v>聚合支付</v>
      </c>
      <c r="G139" s="49" t="n">
        <f aca="false">-ROUND(IF(科目对照回款!$F$4="",0,SUMIFS(输入回款!$C:$C,输入回款!$A:$A,助手回款!$X11,输入回款!$B:$B,科目对照回款!$F$4)+SUMIFS(输入回款!$D:$D,输入回款!$A:$A,助手回款!$X11,输入回款!$B:$B,科目对照回款!$F$4))+IF(科目对照回款!$G$4="",0,SUMIFS(输入回款!$C:$C,输入回款!$A:$A,助手回款!$X11,输入回款!$B:$B,科目对照回款!$G$4)+SUMIFS(输入回款!$D:$D,输入回款!$A:$A,助手回款!$X11,输入回款!$B:$B,科目对照回款!$G$4))+IF(科目对照回款!$H$4="",0,SUMIFS(输入回款!$C:$C,输入回款!$A:$A,助手回款!$X11,输入回款!$B:$B,科目对照回款!$H$4)+SUMIFS(输入回款!$D:$D,输入回款!$A:$A,助手回款!$X11,输入回款!$B:$B,科目对照回款!$H$4)),2)</f>
        <v>-72193.49</v>
      </c>
      <c r="H139" s="49" t="str">
        <f aca="false">IF(ROUND($G139,2)&gt;0,ROUND($G139,2),"")</f>
        <v/>
      </c>
      <c r="I139" s="49" t="n">
        <f aca="false">IF(ROUND($G139,2)&lt;0,-ROUND($G139,2),"")</f>
        <v>72193.49</v>
      </c>
      <c r="J139" s="20" t="n">
        <f aca="false">IF(ROUND($G139,2)=0,0,1)</f>
        <v>1</v>
      </c>
      <c r="K139" s="20" t="n">
        <f aca="false">IF($J139=0,"",SUM($J$137:$J139))</f>
        <v>2</v>
      </c>
      <c r="L139" s="20" t="n">
        <f aca="false">IF($K139="","",$A139*100+$K139)</f>
        <v>1002</v>
      </c>
      <c r="M139" s="48" t="str">
        <f aca="false">参数!$B$4</f>
        <v>回款</v>
      </c>
    </row>
    <row r="140" customFormat="false" ht="13.5" hidden="false" customHeight="false" outlineLevel="0" collapsed="false">
      <c r="A140" s="47" t="n">
        <v>10</v>
      </c>
      <c r="B140" s="38" t="n">
        <f aca="false">助手回款!$B11</f>
        <v>2010</v>
      </c>
      <c r="C140" s="48" t="str">
        <f aca="false">助手回款!$C11</f>
        <v>莲子镇店</v>
      </c>
      <c r="D140" s="48" t="str">
        <f aca="false">科目对照回款!$B5&amp;""</f>
        <v>医保</v>
      </c>
      <c r="E140" s="48" t="str">
        <f aca="false">科目对照回款!$C5&amp;""</f>
        <v>应收账款</v>
      </c>
      <c r="F140" s="48" t="str">
        <f aca="false">科目对照回款!$D5&amp;""</f>
        <v>医保</v>
      </c>
      <c r="G140" s="49" t="n">
        <f aca="false">-ROUND(IF(科目对照回款!$F$5="",0,SUMIFS(输入回款!$C:$C,输入回款!$A:$A,助手回款!$X11,输入回款!$B:$B,科目对照回款!$F$5)+SUMIFS(输入回款!$D:$D,输入回款!$A:$A,助手回款!$X11,输入回款!$B:$B,科目对照回款!$F$5))+IF(科目对照回款!$G$5="",0,SUMIFS(输入回款!$C:$C,输入回款!$A:$A,助手回款!$X11,输入回款!$B:$B,科目对照回款!$G$5)+SUMIFS(输入回款!$D:$D,输入回款!$A:$A,助手回款!$X11,输入回款!$B:$B,科目对照回款!$G$5))+IF(科目对照回款!$H$5="",0,SUMIFS(输入回款!$C:$C,输入回款!$A:$A,助手回款!$X11,输入回款!$B:$B,科目对照回款!$H$5)+SUMIFS(输入回款!$D:$D,输入回款!$A:$A,助手回款!$X11,输入回款!$B:$B,科目对照回款!$H$5)),2)</f>
        <v>-18746.04</v>
      </c>
      <c r="H140" s="49" t="str">
        <f aca="false">IF(ROUND($G140,2)&gt;0,ROUND($G140,2),"")</f>
        <v/>
      </c>
      <c r="I140" s="49" t="n">
        <f aca="false">IF(ROUND($G140,2)&lt;0,-ROUND($G140,2),"")</f>
        <v>18746.04</v>
      </c>
      <c r="J140" s="20" t="n">
        <f aca="false">IF(ROUND($G140,2)=0,0,1)</f>
        <v>1</v>
      </c>
      <c r="K140" s="20" t="n">
        <f aca="false">IF($J140=0,"",SUM($J$137:$J140))</f>
        <v>3</v>
      </c>
      <c r="L140" s="20" t="n">
        <f aca="false">IF($K140="","",$A140*100+$K140)</f>
        <v>1003</v>
      </c>
      <c r="M140" s="48" t="str">
        <f aca="false">参数!$B$4</f>
        <v>回款</v>
      </c>
    </row>
    <row r="141" customFormat="false" ht="13.5" hidden="false" customHeight="false" outlineLevel="0" collapsed="false">
      <c r="A141" s="47" t="n">
        <v>10</v>
      </c>
      <c r="B141" s="38" t="n">
        <f aca="false">助手回款!$B11</f>
        <v>2010</v>
      </c>
      <c r="C141" s="48" t="str">
        <f aca="false">助手回款!$C11</f>
        <v>莲子镇店</v>
      </c>
      <c r="D141" s="48" t="str">
        <f aca="false">科目对照回款!$B6&amp;""</f>
        <v>美团</v>
      </c>
      <c r="E141" s="48" t="str">
        <f aca="false">科目对照回款!$C6&amp;""</f>
        <v>应收账款</v>
      </c>
      <c r="F141" s="48" t="str">
        <f aca="false">科目对照回款!$D6&amp;""</f>
        <v>美团</v>
      </c>
      <c r="G141" s="49" t="n">
        <f aca="false">-ROUND(IF(科目对照回款!$F$6="",0,SUMIFS(输入回款!$C:$C,输入回款!$A:$A,助手回款!$X11,输入回款!$B:$B,科目对照回款!$F$6)+SUMIFS(输入回款!$D:$D,输入回款!$A:$A,助手回款!$X11,输入回款!$B:$B,科目对照回款!$F$6))+IF(科目对照回款!$G$6="",0,SUMIFS(输入回款!$C:$C,输入回款!$A:$A,助手回款!$X11,输入回款!$B:$B,科目对照回款!$G$6)+SUMIFS(输入回款!$D:$D,输入回款!$A:$A,助手回款!$X11,输入回款!$B:$B,科目对照回款!$G$6))+IF(科目对照回款!$H$6="",0,SUMIFS(输入回款!$C:$C,输入回款!$A:$A,助手回款!$X11,输入回款!$B:$B,科目对照回款!$H$6)+SUMIFS(输入回款!$D:$D,输入回款!$A:$A,助手回款!$X11,输入回款!$B:$B,科目对照回款!$H$6)),2)</f>
        <v>-0</v>
      </c>
      <c r="H141" s="49" t="str">
        <f aca="false">IF(ROUND($G141,2)&gt;0,ROUND($G141,2),"")</f>
        <v/>
      </c>
      <c r="I141" s="49" t="str">
        <f aca="false">IF(ROUND($G141,2)&lt;0,-ROUND($G141,2),"")</f>
        <v/>
      </c>
      <c r="J141" s="20" t="n">
        <f aca="false">IF(ROUND($G141,2)=0,0,1)</f>
        <v>0</v>
      </c>
      <c r="K141" s="20" t="str">
        <f aca="false">IF($J141=0,"",SUM($J$137:$J141))</f>
        <v/>
      </c>
      <c r="L141" s="20" t="str">
        <f aca="false">IF($K141="","",$A141*100+$K141)</f>
        <v/>
      </c>
      <c r="M141" s="48" t="str">
        <f aca="false">参数!$B$4</f>
        <v>回款</v>
      </c>
    </row>
    <row r="142" customFormat="false" ht="13.5" hidden="false" customHeight="false" outlineLevel="0" collapsed="false">
      <c r="A142" s="47" t="n">
        <v>10</v>
      </c>
      <c r="B142" s="38" t="n">
        <f aca="false">助手回款!$B11</f>
        <v>2010</v>
      </c>
      <c r="C142" s="48" t="str">
        <f aca="false">助手回款!$C11</f>
        <v>莲子镇店</v>
      </c>
      <c r="D142" s="48" t="str">
        <f aca="false">科目对照回款!$B7&amp;""</f>
        <v>饿了么</v>
      </c>
      <c r="E142" s="48" t="str">
        <f aca="false">科目对照回款!$C7&amp;""</f>
        <v>应收账款</v>
      </c>
      <c r="F142" s="48" t="str">
        <f aca="false">科目对照回款!$D7&amp;""</f>
        <v>饿了么</v>
      </c>
      <c r="G142" s="49" t="n">
        <f aca="false">-ROUND(IF(科目对照回款!$F$7="",0,SUMIFS(输入回款!$C:$C,输入回款!$A:$A,助手回款!$X11,输入回款!$B:$B,科目对照回款!$F$7)+SUMIFS(输入回款!$D:$D,输入回款!$A:$A,助手回款!$X11,输入回款!$B:$B,科目对照回款!$F$7))+IF(科目对照回款!$G$7="",0,SUMIFS(输入回款!$C:$C,输入回款!$A:$A,助手回款!$X11,输入回款!$B:$B,科目对照回款!$G$7)+SUMIFS(输入回款!$D:$D,输入回款!$A:$A,助手回款!$X11,输入回款!$B:$B,科目对照回款!$G$7))+IF(科目对照回款!$H$7="",0,SUMIFS(输入回款!$C:$C,输入回款!$A:$A,助手回款!$X11,输入回款!$B:$B,科目对照回款!$H$7)+SUMIFS(输入回款!$D:$D,输入回款!$A:$A,助手回款!$X11,输入回款!$B:$B,科目对照回款!$H$7)),2)</f>
        <v>-0</v>
      </c>
      <c r="H142" s="49" t="str">
        <f aca="false">IF(ROUND($G142,2)&gt;0,ROUND($G142,2),"")</f>
        <v/>
      </c>
      <c r="I142" s="49" t="str">
        <f aca="false">IF(ROUND($G142,2)&lt;0,-ROUND($G142,2),"")</f>
        <v/>
      </c>
      <c r="J142" s="20" t="n">
        <f aca="false">IF(ROUND($G142,2)=0,0,1)</f>
        <v>0</v>
      </c>
      <c r="K142" s="20" t="str">
        <f aca="false">IF($J142=0,"",SUM($J$137:$J142))</f>
        <v/>
      </c>
      <c r="L142" s="20" t="str">
        <f aca="false">IF($K142="","",$A142*100+$K142)</f>
        <v/>
      </c>
      <c r="M142" s="48" t="str">
        <f aca="false">参数!$B$4</f>
        <v>回款</v>
      </c>
    </row>
    <row r="143" customFormat="false" ht="13.5" hidden="false" customHeight="false" outlineLevel="0" collapsed="false">
      <c r="A143" s="47" t="n">
        <v>10</v>
      </c>
      <c r="B143" s="38" t="n">
        <f aca="false">助手回款!$B11</f>
        <v>2010</v>
      </c>
      <c r="C143" s="48" t="str">
        <f aca="false">助手回款!$C11</f>
        <v>莲子镇店</v>
      </c>
      <c r="D143" s="48" t="str">
        <f aca="false">科目对照回款!$B8&amp;""</f>
        <v>24小时</v>
      </c>
      <c r="E143" s="48" t="str">
        <f aca="false">科目对照回款!$C8&amp;""</f>
        <v>应收账款</v>
      </c>
      <c r="F143" s="48" t="str">
        <f aca="false">科目对照回款!$D8&amp;""</f>
        <v>24小时</v>
      </c>
      <c r="G143" s="49" t="n">
        <f aca="false">-ROUND(IF(科目对照回款!$F$8="",0,SUMIFS(输入回款!$C:$C,输入回款!$A:$A,助手回款!$X11,输入回款!$B:$B,科目对照回款!$F$8)+SUMIFS(输入回款!$D:$D,输入回款!$A:$A,助手回款!$X11,输入回款!$B:$B,科目对照回款!$F$8))+IF(科目对照回款!$G$8="",0,SUMIFS(输入回款!$C:$C,输入回款!$A:$A,助手回款!$X11,输入回款!$B:$B,科目对照回款!$G$8)+SUMIFS(输入回款!$D:$D,输入回款!$A:$A,助手回款!$X11,输入回款!$B:$B,科目对照回款!$G$8))+IF(科目对照回款!$H$8="",0,SUMIFS(输入回款!$C:$C,输入回款!$A:$A,助手回款!$X11,输入回款!$B:$B,科目对照回款!$H$8)+SUMIFS(输入回款!$D:$D,输入回款!$A:$A,助手回款!$X11,输入回款!$B:$B,科目对照回款!$H$8)),2)</f>
        <v>-0</v>
      </c>
      <c r="H143" s="49" t="str">
        <f aca="false">IF(ROUND($G143,2)&gt;0,ROUND($G143,2),"")</f>
        <v/>
      </c>
      <c r="I143" s="49" t="str">
        <f aca="false">IF(ROUND($G143,2)&lt;0,-ROUND($G143,2),"")</f>
        <v/>
      </c>
      <c r="J143" s="20" t="n">
        <f aca="false">IF(ROUND($G143,2)=0,0,1)</f>
        <v>0</v>
      </c>
      <c r="K143" s="20" t="str">
        <f aca="false">IF($J143=0,"",SUM($J$137:$J143))</f>
        <v/>
      </c>
      <c r="L143" s="20" t="str">
        <f aca="false">IF($K143="","",$A143*100+$K143)</f>
        <v/>
      </c>
      <c r="M143" s="48" t="str">
        <f aca="false">参数!$B$4</f>
        <v>回款</v>
      </c>
    </row>
    <row r="144" customFormat="false" ht="13.5" hidden="false" customHeight="false" outlineLevel="0" collapsed="false">
      <c r="A144" s="47" t="n">
        <v>10</v>
      </c>
      <c r="B144" s="38" t="n">
        <f aca="false">助手回款!$B11</f>
        <v>2010</v>
      </c>
      <c r="C144" s="48" t="str">
        <f aca="false">助手回款!$C11</f>
        <v>莲子镇店</v>
      </c>
      <c r="D144" s="48" t="str">
        <f aca="false">科目对照回款!$B9&amp;""</f>
        <v>健E卡</v>
      </c>
      <c r="E144" s="48" t="str">
        <f aca="false">科目对照回款!$C9&amp;""</f>
        <v>应收账款</v>
      </c>
      <c r="F144" s="48" t="str">
        <f aca="false">科目对照回款!$D9&amp;""</f>
        <v>健E卡</v>
      </c>
      <c r="G144" s="49" t="n">
        <f aca="false">-ROUND(IF(科目对照回款!$F$9="",0,SUMIFS(输入回款!$C:$C,输入回款!$A:$A,助手回款!$X11,输入回款!$B:$B,科目对照回款!$F$9)+SUMIFS(输入回款!$D:$D,输入回款!$A:$A,助手回款!$X11,输入回款!$B:$B,科目对照回款!$F$9))+IF(科目对照回款!$G$9="",0,SUMIFS(输入回款!$C:$C,输入回款!$A:$A,助手回款!$X11,输入回款!$B:$B,科目对照回款!$G$9)+SUMIFS(输入回款!$D:$D,输入回款!$A:$A,助手回款!$X11,输入回款!$B:$B,科目对照回款!$G$9))+IF(科目对照回款!$H$9="",0,SUMIFS(输入回款!$C:$C,输入回款!$A:$A,助手回款!$X11,输入回款!$B:$B,科目对照回款!$H$9)+SUMIFS(输入回款!$D:$D,输入回款!$A:$A,助手回款!$X11,输入回款!$B:$B,科目对照回款!$H$9)),2)</f>
        <v>-0</v>
      </c>
      <c r="H144" s="49" t="str">
        <f aca="false">IF(ROUND($G144,2)&gt;0,ROUND($G144,2),"")</f>
        <v/>
      </c>
      <c r="I144" s="49" t="str">
        <f aca="false">IF(ROUND($G144,2)&lt;0,-ROUND($G144,2),"")</f>
        <v/>
      </c>
      <c r="J144" s="20" t="n">
        <f aca="false">IF(ROUND($G144,2)=0,0,1)</f>
        <v>0</v>
      </c>
      <c r="K144" s="20" t="str">
        <f aca="false">IF($J144=0,"",SUM($J$137:$J144))</f>
        <v/>
      </c>
      <c r="L144" s="20" t="str">
        <f aca="false">IF($K144="","",$A144*100+$K144)</f>
        <v/>
      </c>
      <c r="M144" s="48" t="str">
        <f aca="false">参数!$B$4</f>
        <v>回款</v>
      </c>
    </row>
    <row r="145" customFormat="false" ht="13.5" hidden="false" customHeight="false" outlineLevel="0" collapsed="false">
      <c r="A145" s="47" t="n">
        <v>10</v>
      </c>
      <c r="B145" s="38" t="n">
        <f aca="false">助手回款!$B11</f>
        <v>2010</v>
      </c>
      <c r="C145" s="48" t="str">
        <f aca="false">助手回款!$C11</f>
        <v>莲子镇店</v>
      </c>
      <c r="D145" s="48" t="str">
        <f aca="false">科目对照回款!$B10&amp;""</f>
        <v>医卡通</v>
      </c>
      <c r="E145" s="48" t="str">
        <f aca="false">科目对照回款!$C10&amp;""</f>
        <v>应收账款</v>
      </c>
      <c r="F145" s="48" t="str">
        <f aca="false">科目对照回款!$D10&amp;""</f>
        <v>医卡通</v>
      </c>
      <c r="G145" s="49" t="n">
        <f aca="false">-ROUND(IF(科目对照回款!$F$10="",0,SUMIFS(输入回款!$C:$C,输入回款!$A:$A,助手回款!$X11,输入回款!$B:$B,科目对照回款!$F$10)+SUMIFS(输入回款!$D:$D,输入回款!$A:$A,助手回款!$X11,输入回款!$B:$B,科目对照回款!$F$10))+IF(科目对照回款!$G$10="",0,SUMIFS(输入回款!$C:$C,输入回款!$A:$A,助手回款!$X11,输入回款!$B:$B,科目对照回款!$G$10)+SUMIFS(输入回款!$D:$D,输入回款!$A:$A,助手回款!$X11,输入回款!$B:$B,科目对照回款!$G$10))+IF(科目对照回款!$H$10="",0,SUMIFS(输入回款!$C:$C,输入回款!$A:$A,助手回款!$X11,输入回款!$B:$B,科目对照回款!$H$10)+SUMIFS(输入回款!$D:$D,输入回款!$A:$A,助手回款!$X11,输入回款!$B:$B,科目对照回款!$H$10)),2)</f>
        <v>-0</v>
      </c>
      <c r="H145" s="49" t="str">
        <f aca="false">IF(ROUND($G145,2)&gt;0,ROUND($G145,2),"")</f>
        <v/>
      </c>
      <c r="I145" s="49" t="str">
        <f aca="false">IF(ROUND($G145,2)&lt;0,-ROUND($G145,2),"")</f>
        <v/>
      </c>
      <c r="J145" s="20" t="n">
        <f aca="false">IF(ROUND($G145,2)=0,0,1)</f>
        <v>0</v>
      </c>
      <c r="K145" s="20" t="str">
        <f aca="false">IF($J145=0,"",SUM($J$137:$J145))</f>
        <v/>
      </c>
      <c r="L145" s="20" t="str">
        <f aca="false">IF($K145="","",$A145*100+$K145)</f>
        <v/>
      </c>
      <c r="M145" s="48" t="str">
        <f aca="false">参数!$B$4</f>
        <v>回款</v>
      </c>
    </row>
    <row r="146" customFormat="false" ht="13.5" hidden="false" customHeight="false" outlineLevel="0" collapsed="false">
      <c r="A146" s="47" t="n">
        <v>10</v>
      </c>
      <c r="B146" s="38" t="n">
        <f aca="false">助手回款!$B11</f>
        <v>2010</v>
      </c>
      <c r="C146" s="48" t="str">
        <f aca="false">助手回款!$C11</f>
        <v>莲子镇店</v>
      </c>
      <c r="D146" s="48" t="str">
        <f aca="false">科目对照回款!$B11&amp;""</f>
        <v>企健网</v>
      </c>
      <c r="E146" s="48" t="str">
        <f aca="false">科目对照回款!$C11&amp;""</f>
        <v>应收账款</v>
      </c>
      <c r="F146" s="48" t="str">
        <f aca="false">科目对照回款!$D11&amp;""</f>
        <v>企健网</v>
      </c>
      <c r="G146" s="49" t="n">
        <f aca="false">-ROUND(IF(科目对照回款!$F$11="",0,SUMIFS(输入回款!$C:$C,输入回款!$A:$A,助手回款!$X11,输入回款!$B:$B,科目对照回款!$F$11)+SUMIFS(输入回款!$D:$D,输入回款!$A:$A,助手回款!$X11,输入回款!$B:$B,科目对照回款!$F$11))+IF(科目对照回款!$G$11="",0,SUMIFS(输入回款!$C:$C,输入回款!$A:$A,助手回款!$X11,输入回款!$B:$B,科目对照回款!$G$11)+SUMIFS(输入回款!$D:$D,输入回款!$A:$A,助手回款!$X11,输入回款!$B:$B,科目对照回款!$G$11))+IF(科目对照回款!$H$11="",0,SUMIFS(输入回款!$C:$C,输入回款!$A:$A,助手回款!$X11,输入回款!$B:$B,科目对照回款!$H$11)+SUMIFS(输入回款!$D:$D,输入回款!$A:$A,助手回款!$X11,输入回款!$B:$B,科目对照回款!$H$11)),2)</f>
        <v>-0</v>
      </c>
      <c r="H146" s="49" t="str">
        <f aca="false">IF(ROUND($G146,2)&gt;0,ROUND($G146,2),"")</f>
        <v/>
      </c>
      <c r="I146" s="49" t="str">
        <f aca="false">IF(ROUND($G146,2)&lt;0,-ROUND($G146,2),"")</f>
        <v/>
      </c>
      <c r="J146" s="20" t="n">
        <f aca="false">IF(ROUND($G146,2)=0,0,1)</f>
        <v>0</v>
      </c>
      <c r="K146" s="20" t="str">
        <f aca="false">IF($J146=0,"",SUM($J$137:$J146))</f>
        <v/>
      </c>
      <c r="L146" s="20" t="str">
        <f aca="false">IF($K146="","",$A146*100+$K146)</f>
        <v/>
      </c>
      <c r="M146" s="48" t="str">
        <f aca="false">参数!$B$4</f>
        <v>回款</v>
      </c>
    </row>
    <row r="147" customFormat="false" ht="13.5" hidden="false" customHeight="false" outlineLevel="0" collapsed="false">
      <c r="A147" s="47" t="n">
        <v>10</v>
      </c>
      <c r="B147" s="38" t="n">
        <f aca="false">助手回款!$B11</f>
        <v>2010</v>
      </c>
      <c r="C147" s="48" t="str">
        <f aca="false">助手回款!$C11</f>
        <v>莲子镇店</v>
      </c>
      <c r="D147" s="48" t="str">
        <f aca="false">科目对照回款!$B12&amp;""</f>
        <v>亲情卡</v>
      </c>
      <c r="E147" s="48" t="str">
        <f aca="false">科目对照回款!$C12&amp;""</f>
        <v>应收账款</v>
      </c>
      <c r="F147" s="48" t="str">
        <f aca="false">科目对照回款!$D12&amp;""</f>
        <v>亲情卡</v>
      </c>
      <c r="G147" s="49" t="n">
        <f aca="false">-ROUND(IF(科目对照回款!$F$12="",0,SUMIFS(输入回款!$C:$C,输入回款!$A:$A,助手回款!$X11,输入回款!$B:$B,科目对照回款!$F$12)+SUMIFS(输入回款!$D:$D,输入回款!$A:$A,助手回款!$X11,输入回款!$B:$B,科目对照回款!$F$12))+IF(科目对照回款!$G$12="",0,SUMIFS(输入回款!$C:$C,输入回款!$A:$A,助手回款!$X11,输入回款!$B:$B,科目对照回款!$G$12)+SUMIFS(输入回款!$D:$D,输入回款!$A:$A,助手回款!$X11,输入回款!$B:$B,科目对照回款!$G$12))+IF(科目对照回款!$H$12="",0,SUMIFS(输入回款!$C:$C,输入回款!$A:$A,助手回款!$X11,输入回款!$B:$B,科目对照回款!$H$12)+SUMIFS(输入回款!$D:$D,输入回款!$A:$A,助手回款!$X11,输入回款!$B:$B,科目对照回款!$H$12)),2)</f>
        <v>-0</v>
      </c>
      <c r="H147" s="49" t="str">
        <f aca="false">IF(ROUND($G147,2)&gt;0,ROUND($G147,2),"")</f>
        <v/>
      </c>
      <c r="I147" s="49" t="str">
        <f aca="false">IF(ROUND($G147,2)&lt;0,-ROUND($G147,2),"")</f>
        <v/>
      </c>
      <c r="J147" s="20" t="n">
        <f aca="false">IF(ROUND($G147,2)=0,0,1)</f>
        <v>0</v>
      </c>
      <c r="K147" s="20" t="str">
        <f aca="false">IF($J147=0,"",SUM($J$137:$J147))</f>
        <v/>
      </c>
      <c r="L147" s="20" t="str">
        <f aca="false">IF($K147="","",$A147*100+$K147)</f>
        <v/>
      </c>
      <c r="M147" s="48" t="str">
        <f aca="false">参数!$B$4</f>
        <v>回款</v>
      </c>
    </row>
    <row r="148" customFormat="false" ht="13.5" hidden="false" customHeight="false" outlineLevel="0" collapsed="false">
      <c r="A148" s="47" t="n">
        <v>10</v>
      </c>
      <c r="B148" s="38" t="n">
        <f aca="false">助手回款!$B11</f>
        <v>2010</v>
      </c>
      <c r="C148" s="48" t="str">
        <f aca="false">助手回款!$C11</f>
        <v>莲子镇店</v>
      </c>
      <c r="D148" s="48" t="str">
        <f aca="false">科目对照回款!$B13&amp;""</f>
        <v>银联</v>
      </c>
      <c r="E148" s="48" t="str">
        <f aca="false">科目对照回款!$C13&amp;""</f>
        <v>应收账款</v>
      </c>
      <c r="F148" s="48" t="str">
        <f aca="false">科目对照回款!$D13&amp;""</f>
        <v>银联</v>
      </c>
      <c r="G148" s="49" t="n">
        <f aca="false">-ROUND(IF(科目对照回款!$F$13="",0,SUMIFS(输入回款!$C:$C,输入回款!$A:$A,助手回款!$X11,输入回款!$B:$B,科目对照回款!$F$13)+SUMIFS(输入回款!$D:$D,输入回款!$A:$A,助手回款!$X11,输入回款!$B:$B,科目对照回款!$F$13))+IF(科目对照回款!$G$13="",0,SUMIFS(输入回款!$C:$C,输入回款!$A:$A,助手回款!$X11,输入回款!$B:$B,科目对照回款!$G$13)+SUMIFS(输入回款!$D:$D,输入回款!$A:$A,助手回款!$X11,输入回款!$B:$B,科目对照回款!$G$13))+IF(科目对照回款!$H$13="",0,SUMIFS(输入回款!$C:$C,输入回款!$A:$A,助手回款!$X11,输入回款!$B:$B,科目对照回款!$H$13)+SUMIFS(输入回款!$D:$D,输入回款!$A:$A,助手回款!$X11,输入回款!$B:$B,科目对照回款!$H$13)),2)</f>
        <v>-0</v>
      </c>
      <c r="H148" s="49" t="str">
        <f aca="false">IF(ROUND($G148,2)&gt;0,ROUND($G148,2),"")</f>
        <v/>
      </c>
      <c r="I148" s="49" t="str">
        <f aca="false">IF(ROUND($G148,2)&lt;0,-ROUND($G148,2),"")</f>
        <v/>
      </c>
      <c r="J148" s="20" t="n">
        <f aca="false">IF(ROUND($G148,2)=0,0,1)</f>
        <v>0</v>
      </c>
      <c r="K148" s="20" t="str">
        <f aca="false">IF($J148=0,"",SUM($J$137:$J148))</f>
        <v/>
      </c>
      <c r="L148" s="20" t="str">
        <f aca="false">IF($K148="","",$A148*100+$K148)</f>
        <v/>
      </c>
      <c r="M148" s="48" t="str">
        <f aca="false">参数!$B$4</f>
        <v>回款</v>
      </c>
    </row>
    <row r="149" customFormat="false" ht="13.5" hidden="false" customHeight="false" outlineLevel="0" collapsed="false">
      <c r="A149" s="47" t="n">
        <v>10</v>
      </c>
      <c r="B149" s="38" t="n">
        <f aca="false">助手回款!$B11</f>
        <v>2010</v>
      </c>
      <c r="C149" s="48" t="str">
        <f aca="false">助手回款!$C11</f>
        <v>莲子镇店</v>
      </c>
      <c r="D149" s="48" t="str">
        <f aca="false">科目对照回款!$B14&amp;""</f>
        <v>代金券</v>
      </c>
      <c r="E149" s="48" t="str">
        <f aca="false">科目对照回款!$C14&amp;""</f>
        <v>应收账款</v>
      </c>
      <c r="F149" s="48" t="str">
        <f aca="false">科目对照回款!$D14&amp;""</f>
        <v>代金券</v>
      </c>
      <c r="G149" s="49" t="n">
        <f aca="false">-ROUND(IF(科目对照回款!$F$14="",0,SUMIFS(输入回款!$C:$C,输入回款!$A:$A,助手回款!$X11,输入回款!$B:$B,科目对照回款!$F$14)+SUMIFS(输入回款!$D:$D,输入回款!$A:$A,助手回款!$X11,输入回款!$B:$B,科目对照回款!$F$14))+IF(科目对照回款!$G$14="",0,SUMIFS(输入回款!$C:$C,输入回款!$A:$A,助手回款!$X11,输入回款!$B:$B,科目对照回款!$G$14)+SUMIFS(输入回款!$D:$D,输入回款!$A:$A,助手回款!$X11,输入回款!$B:$B,科目对照回款!$G$14))+IF(科目对照回款!$H$14="",0,SUMIFS(输入回款!$C:$C,输入回款!$A:$A,助手回款!$X11,输入回款!$B:$B,科目对照回款!$H$14)+SUMIFS(输入回款!$D:$D,输入回款!$A:$A,助手回款!$X11,输入回款!$B:$B,科目对照回款!$H$14)),2)</f>
        <v>-0</v>
      </c>
      <c r="H149" s="49" t="str">
        <f aca="false">IF(ROUND($G149,2)&gt;0,ROUND($G149,2),"")</f>
        <v/>
      </c>
      <c r="I149" s="49" t="str">
        <f aca="false">IF(ROUND($G149,2)&lt;0,-ROUND($G149,2),"")</f>
        <v/>
      </c>
      <c r="J149" s="20" t="n">
        <f aca="false">IF(ROUND($G149,2)=0,0,1)</f>
        <v>0</v>
      </c>
      <c r="K149" s="20" t="str">
        <f aca="false">IF($J149=0,"",SUM($J$137:$J149))</f>
        <v/>
      </c>
      <c r="L149" s="20" t="str">
        <f aca="false">IF($K149="","",$A149*100+$K149)</f>
        <v/>
      </c>
      <c r="M149" s="48" t="str">
        <f aca="false">参数!$B$4</f>
        <v>回款</v>
      </c>
    </row>
    <row r="150" customFormat="false" ht="13.5" hidden="false" customHeight="false" outlineLevel="0" collapsed="false">
      <c r="A150" s="47" t="n">
        <v>10</v>
      </c>
      <c r="B150" s="38" t="n">
        <f aca="false">助手回款!$B11</f>
        <v>2010</v>
      </c>
      <c r="C150" s="48" t="str">
        <f aca="false">助手回款!$C11</f>
        <v>莲子镇店</v>
      </c>
      <c r="D150" s="48" t="str">
        <f aca="false">科目对照回款!$B15&amp;""</f>
        <v>药机微信</v>
      </c>
      <c r="E150" s="48" t="str">
        <f aca="false">科目对照回款!$C15&amp;""</f>
        <v>应收账款</v>
      </c>
      <c r="F150" s="48" t="str">
        <f aca="false">科目对照回款!$D15&amp;""</f>
        <v>药机微信</v>
      </c>
      <c r="G150" s="49" t="n">
        <f aca="false">-ROUND(IF(科目对照回款!$F$15="",0,SUMIFS(输入回款!$C:$C,输入回款!$A:$A,助手回款!$X11,输入回款!$B:$B,科目对照回款!$F$15)+SUMIFS(输入回款!$D:$D,输入回款!$A:$A,助手回款!$X11,输入回款!$B:$B,科目对照回款!$F$15))+IF(科目对照回款!$G$15="",0,SUMIFS(输入回款!$C:$C,输入回款!$A:$A,助手回款!$X11,输入回款!$B:$B,科目对照回款!$G$15)+SUMIFS(输入回款!$D:$D,输入回款!$A:$A,助手回款!$X11,输入回款!$B:$B,科目对照回款!$G$15))+IF(科目对照回款!$H$15="",0,SUMIFS(输入回款!$C:$C,输入回款!$A:$A,助手回款!$X11,输入回款!$B:$B,科目对照回款!$H$15)+SUMIFS(输入回款!$D:$D,输入回款!$A:$A,助手回款!$X11,输入回款!$B:$B,科目对照回款!$H$15)),2)</f>
        <v>-0</v>
      </c>
      <c r="H150" s="49" t="str">
        <f aca="false">IF(ROUND($G150,2)&gt;0,ROUND($G150,2),"")</f>
        <v/>
      </c>
      <c r="I150" s="49" t="str">
        <f aca="false">IF(ROUND($G150,2)&lt;0,-ROUND($G150,2),"")</f>
        <v/>
      </c>
      <c r="J150" s="20" t="n">
        <f aca="false">IF(ROUND($G150,2)=0,0,1)</f>
        <v>0</v>
      </c>
      <c r="K150" s="20" t="str">
        <f aca="false">IF($J150=0,"",SUM($J$137:$J150))</f>
        <v/>
      </c>
      <c r="L150" s="20" t="str">
        <f aca="false">IF($K150="","",$A150*100+$K150)</f>
        <v/>
      </c>
      <c r="M150" s="48" t="str">
        <f aca="false">参数!$B$4</f>
        <v>回款</v>
      </c>
    </row>
    <row r="151" customFormat="false" ht="13.5" hidden="false" customHeight="false" outlineLevel="0" collapsed="false">
      <c r="A151" s="47" t="n">
        <v>10</v>
      </c>
      <c r="B151" s="38" t="n">
        <f aca="false">助手回款!$B11</f>
        <v>2010</v>
      </c>
      <c r="C151" s="48" t="str">
        <f aca="false">助手回款!$C11</f>
        <v>莲子镇店</v>
      </c>
      <c r="D151" s="48" t="str">
        <f aca="false">科目对照回款!$B16&amp;""</f>
        <v>储值卡</v>
      </c>
      <c r="E151" s="48" t="str">
        <f aca="false">科目对照回款!$C16&amp;""</f>
        <v>其他应收款</v>
      </c>
      <c r="F151" s="48" t="str">
        <f aca="false">科目对照回款!$D16&amp;""</f>
        <v>储值卡</v>
      </c>
      <c r="G151" s="49" t="n">
        <f aca="false">-ROUND(IF(科目对照回款!$F$16="",0,SUMIFS(输入回款!$C:$C,输入回款!$A:$A,助手回款!$X11,输入回款!$B:$B,科目对照回款!$F$16)+SUMIFS(输入回款!$D:$D,输入回款!$A:$A,助手回款!$X11,输入回款!$B:$B,科目对照回款!$F$16))+IF(科目对照回款!$G$16="",0,SUMIFS(输入回款!$C:$C,输入回款!$A:$A,助手回款!$X11,输入回款!$B:$B,科目对照回款!$G$16)+SUMIFS(输入回款!$D:$D,输入回款!$A:$A,助手回款!$X11,输入回款!$B:$B,科目对照回款!$G$16))+IF(科目对照回款!$H$16="",0,SUMIFS(输入回款!$C:$C,输入回款!$A:$A,助手回款!$X11,输入回款!$B:$B,科目对照回款!$H$16)+SUMIFS(输入回款!$D:$D,输入回款!$A:$A,助手回款!$X11,输入回款!$B:$B,科目对照回款!$H$16)),2)</f>
        <v>-0</v>
      </c>
      <c r="H151" s="49" t="str">
        <f aca="false">IF(ROUND($G151,2)&gt;0,ROUND($G151,2),"")</f>
        <v/>
      </c>
      <c r="I151" s="49" t="str">
        <f aca="false">IF(ROUND($G151,2)&lt;0,-ROUND($G151,2),"")</f>
        <v/>
      </c>
      <c r="J151" s="20" t="n">
        <f aca="false">IF(ROUND($G151,2)=0,0,1)</f>
        <v>0</v>
      </c>
      <c r="K151" s="20" t="str">
        <f aca="false">IF($J151=0,"",SUM($J$137:$J151))</f>
        <v/>
      </c>
      <c r="L151" s="20" t="str">
        <f aca="false">IF($K151="","",$A151*100+$K151)</f>
        <v/>
      </c>
      <c r="M151" s="48" t="str">
        <f aca="false">参数!$B$4</f>
        <v>回款</v>
      </c>
    </row>
    <row r="152" customFormat="false" ht="13.5" hidden="false" customHeight="false" outlineLevel="0" collapsed="false">
      <c r="A152" s="47" t="n">
        <v>11</v>
      </c>
      <c r="B152" s="38" t="n">
        <f aca="false">助手回款!$B12</f>
        <v>2011</v>
      </c>
      <c r="C152" s="48" t="str">
        <f aca="false">助手回款!$C12</f>
        <v>毛尔寨店</v>
      </c>
      <c r="D152" s="48" t="str">
        <f aca="false">科目对照回款!$B2&amp;""</f>
        <v>库存现金</v>
      </c>
      <c r="E152" s="48" t="str">
        <f aca="false">科目对照回款!$C2&amp;""</f>
        <v>库存现金</v>
      </c>
      <c r="F152" s="48" t="str">
        <f aca="false">科目对照回款!$D2&amp;""</f>
        <v/>
      </c>
      <c r="G152" s="49" t="n">
        <f aca="false">助手回款!$E12</f>
        <v>17341.43</v>
      </c>
      <c r="H152" s="49" t="n">
        <f aca="false">IF(ROUND($G152,2)&gt;0,ROUND($G152,2),"")</f>
        <v>17341.43</v>
      </c>
      <c r="I152" s="49" t="str">
        <f aca="false">IF(ROUND($G152,2)&lt;0,-ROUND($G152,2),"")</f>
        <v/>
      </c>
      <c r="J152" s="20" t="n">
        <f aca="false">IF(ROUND($G152,2)=0,0,1)</f>
        <v>1</v>
      </c>
      <c r="K152" s="20" t="n">
        <f aca="false">IF($J152=0,"",SUM($J$152:$J152))</f>
        <v>1</v>
      </c>
      <c r="L152" s="20" t="n">
        <f aca="false">IF($K152="","",$A152*100+$K152)</f>
        <v>1101</v>
      </c>
      <c r="M152" s="48" t="str">
        <f aca="false">参数!$B$4</f>
        <v>回款</v>
      </c>
    </row>
    <row r="153" customFormat="false" ht="13.5" hidden="false" customHeight="false" outlineLevel="0" collapsed="false">
      <c r="A153" s="47" t="n">
        <v>11</v>
      </c>
      <c r="B153" s="38" t="n">
        <f aca="false">助手回款!$B12</f>
        <v>2011</v>
      </c>
      <c r="C153" s="48" t="str">
        <f aca="false">助手回款!$C12</f>
        <v>毛尔寨店</v>
      </c>
      <c r="D153" s="48" t="str">
        <f aca="false">科目对照回款!$B3&amp;""</f>
        <v>手续费</v>
      </c>
      <c r="E153" s="48" t="str">
        <f aca="false">科目对照回款!$C3&amp;""</f>
        <v>财务费用</v>
      </c>
      <c r="F153" s="48" t="str">
        <f aca="false">科目对照回款!$D3&amp;""</f>
        <v>手续费</v>
      </c>
      <c r="G153" s="49" t="n">
        <f aca="false">助手回款!$F12</f>
        <v>0</v>
      </c>
      <c r="H153" s="49" t="str">
        <f aca="false">IF(ROUND($G153,2)&gt;0,ROUND($G153,2),"")</f>
        <v/>
      </c>
      <c r="I153" s="49" t="str">
        <f aca="false">IF(ROUND($G153,2)&lt;0,-ROUND($G153,2),"")</f>
        <v/>
      </c>
      <c r="J153" s="20" t="n">
        <f aca="false">IF(ROUND($G153,2)=0,0,1)</f>
        <v>0</v>
      </c>
      <c r="K153" s="20" t="str">
        <f aca="false">IF($J153=0,"",SUM($J$152:$J153))</f>
        <v/>
      </c>
      <c r="L153" s="20" t="str">
        <f aca="false">IF($K153="","",$A153*100+$K153)</f>
        <v/>
      </c>
      <c r="M153" s="48" t="str">
        <f aca="false">参数!$B$4</f>
        <v>回款</v>
      </c>
    </row>
    <row r="154" customFormat="false" ht="13.5" hidden="false" customHeight="false" outlineLevel="0" collapsed="false">
      <c r="A154" s="47" t="n">
        <v>11</v>
      </c>
      <c r="B154" s="38" t="n">
        <f aca="false">助手回款!$B12</f>
        <v>2011</v>
      </c>
      <c r="C154" s="48" t="str">
        <f aca="false">助手回款!$C12</f>
        <v>毛尔寨店</v>
      </c>
      <c r="D154" s="48" t="str">
        <f aca="false">科目对照回款!$B4&amp;""</f>
        <v>聚合支付</v>
      </c>
      <c r="E154" s="48" t="str">
        <f aca="false">科目对照回款!$C4&amp;""</f>
        <v>应收账款</v>
      </c>
      <c r="F154" s="48" t="str">
        <f aca="false">科目对照回款!$D4&amp;""</f>
        <v>聚合支付</v>
      </c>
      <c r="G154" s="49" t="n">
        <f aca="false">-ROUND(IF(科目对照回款!$F$4="",0,SUMIFS(输入回款!$C:$C,输入回款!$A:$A,助手回款!$X12,输入回款!$B:$B,科目对照回款!$F$4)+SUMIFS(输入回款!$D:$D,输入回款!$A:$A,助手回款!$X12,输入回款!$B:$B,科目对照回款!$F$4))+IF(科目对照回款!$G$4="",0,SUMIFS(输入回款!$C:$C,输入回款!$A:$A,助手回款!$X12,输入回款!$B:$B,科目对照回款!$G$4)+SUMIFS(输入回款!$D:$D,输入回款!$A:$A,助手回款!$X12,输入回款!$B:$B,科目对照回款!$G$4))+IF(科目对照回款!$H$4="",0,SUMIFS(输入回款!$C:$C,输入回款!$A:$A,助手回款!$X12,输入回款!$B:$B,科目对照回款!$H$4)+SUMIFS(输入回款!$D:$D,输入回款!$A:$A,助手回款!$X12,输入回款!$B:$B,科目对照回款!$H$4)),2)</f>
        <v>-12673.23</v>
      </c>
      <c r="H154" s="49" t="str">
        <f aca="false">IF(ROUND($G154,2)&gt;0,ROUND($G154,2),"")</f>
        <v/>
      </c>
      <c r="I154" s="49" t="n">
        <f aca="false">IF(ROUND($G154,2)&lt;0,-ROUND($G154,2),"")</f>
        <v>12673.23</v>
      </c>
      <c r="J154" s="20" t="n">
        <f aca="false">IF(ROUND($G154,2)=0,0,1)</f>
        <v>1</v>
      </c>
      <c r="K154" s="20" t="n">
        <f aca="false">IF($J154=0,"",SUM($J$152:$J154))</f>
        <v>2</v>
      </c>
      <c r="L154" s="20" t="n">
        <f aca="false">IF($K154="","",$A154*100+$K154)</f>
        <v>1102</v>
      </c>
      <c r="M154" s="48" t="str">
        <f aca="false">参数!$B$4</f>
        <v>回款</v>
      </c>
    </row>
    <row r="155" customFormat="false" ht="13.5" hidden="false" customHeight="false" outlineLevel="0" collapsed="false">
      <c r="A155" s="47" t="n">
        <v>11</v>
      </c>
      <c r="B155" s="38" t="n">
        <f aca="false">助手回款!$B12</f>
        <v>2011</v>
      </c>
      <c r="C155" s="48" t="str">
        <f aca="false">助手回款!$C12</f>
        <v>毛尔寨店</v>
      </c>
      <c r="D155" s="48" t="str">
        <f aca="false">科目对照回款!$B5&amp;""</f>
        <v>医保</v>
      </c>
      <c r="E155" s="48" t="str">
        <f aca="false">科目对照回款!$C5&amp;""</f>
        <v>应收账款</v>
      </c>
      <c r="F155" s="48" t="str">
        <f aca="false">科目对照回款!$D5&amp;""</f>
        <v>医保</v>
      </c>
      <c r="G155" s="49" t="n">
        <f aca="false">-ROUND(IF(科目对照回款!$F$5="",0,SUMIFS(输入回款!$C:$C,输入回款!$A:$A,助手回款!$X12,输入回款!$B:$B,科目对照回款!$F$5)+SUMIFS(输入回款!$D:$D,输入回款!$A:$A,助手回款!$X12,输入回款!$B:$B,科目对照回款!$F$5))+IF(科目对照回款!$G$5="",0,SUMIFS(输入回款!$C:$C,输入回款!$A:$A,助手回款!$X12,输入回款!$B:$B,科目对照回款!$G$5)+SUMIFS(输入回款!$D:$D,输入回款!$A:$A,助手回款!$X12,输入回款!$B:$B,科目对照回款!$G$5))+IF(科目对照回款!$H$5="",0,SUMIFS(输入回款!$C:$C,输入回款!$A:$A,助手回款!$X12,输入回款!$B:$B,科目对照回款!$H$5)+SUMIFS(输入回款!$D:$D,输入回款!$A:$A,助手回款!$X12,输入回款!$B:$B,科目对照回款!$H$5)),2)</f>
        <v>-4668.2</v>
      </c>
      <c r="H155" s="49" t="str">
        <f aca="false">IF(ROUND($G155,2)&gt;0,ROUND($G155,2),"")</f>
        <v/>
      </c>
      <c r="I155" s="49" t="n">
        <f aca="false">IF(ROUND($G155,2)&lt;0,-ROUND($G155,2),"")</f>
        <v>4668.2</v>
      </c>
      <c r="J155" s="20" t="n">
        <f aca="false">IF(ROUND($G155,2)=0,0,1)</f>
        <v>1</v>
      </c>
      <c r="K155" s="20" t="n">
        <f aca="false">IF($J155=0,"",SUM($J$152:$J155))</f>
        <v>3</v>
      </c>
      <c r="L155" s="20" t="n">
        <f aca="false">IF($K155="","",$A155*100+$K155)</f>
        <v>1103</v>
      </c>
      <c r="M155" s="48" t="str">
        <f aca="false">参数!$B$4</f>
        <v>回款</v>
      </c>
    </row>
    <row r="156" customFormat="false" ht="13.5" hidden="false" customHeight="false" outlineLevel="0" collapsed="false">
      <c r="A156" s="47" t="n">
        <v>11</v>
      </c>
      <c r="B156" s="38" t="n">
        <f aca="false">助手回款!$B12</f>
        <v>2011</v>
      </c>
      <c r="C156" s="48" t="str">
        <f aca="false">助手回款!$C12</f>
        <v>毛尔寨店</v>
      </c>
      <c r="D156" s="48" t="str">
        <f aca="false">科目对照回款!$B6&amp;""</f>
        <v>美团</v>
      </c>
      <c r="E156" s="48" t="str">
        <f aca="false">科目对照回款!$C6&amp;""</f>
        <v>应收账款</v>
      </c>
      <c r="F156" s="48" t="str">
        <f aca="false">科目对照回款!$D6&amp;""</f>
        <v>美团</v>
      </c>
      <c r="G156" s="49" t="n">
        <f aca="false">-ROUND(IF(科目对照回款!$F$6="",0,SUMIFS(输入回款!$C:$C,输入回款!$A:$A,助手回款!$X12,输入回款!$B:$B,科目对照回款!$F$6)+SUMIFS(输入回款!$D:$D,输入回款!$A:$A,助手回款!$X12,输入回款!$B:$B,科目对照回款!$F$6))+IF(科目对照回款!$G$6="",0,SUMIFS(输入回款!$C:$C,输入回款!$A:$A,助手回款!$X12,输入回款!$B:$B,科目对照回款!$G$6)+SUMIFS(输入回款!$D:$D,输入回款!$A:$A,助手回款!$X12,输入回款!$B:$B,科目对照回款!$G$6))+IF(科目对照回款!$H$6="",0,SUMIFS(输入回款!$C:$C,输入回款!$A:$A,助手回款!$X12,输入回款!$B:$B,科目对照回款!$H$6)+SUMIFS(输入回款!$D:$D,输入回款!$A:$A,助手回款!$X12,输入回款!$B:$B,科目对照回款!$H$6)),2)</f>
        <v>-0</v>
      </c>
      <c r="H156" s="49" t="str">
        <f aca="false">IF(ROUND($G156,2)&gt;0,ROUND($G156,2),"")</f>
        <v/>
      </c>
      <c r="I156" s="49" t="str">
        <f aca="false">IF(ROUND($G156,2)&lt;0,-ROUND($G156,2),"")</f>
        <v/>
      </c>
      <c r="J156" s="20" t="n">
        <f aca="false">IF(ROUND($G156,2)=0,0,1)</f>
        <v>0</v>
      </c>
      <c r="K156" s="20" t="str">
        <f aca="false">IF($J156=0,"",SUM($J$152:$J156))</f>
        <v/>
      </c>
      <c r="L156" s="20" t="str">
        <f aca="false">IF($K156="","",$A156*100+$K156)</f>
        <v/>
      </c>
      <c r="M156" s="48" t="str">
        <f aca="false">参数!$B$4</f>
        <v>回款</v>
      </c>
    </row>
    <row r="157" customFormat="false" ht="13.5" hidden="false" customHeight="false" outlineLevel="0" collapsed="false">
      <c r="A157" s="47" t="n">
        <v>11</v>
      </c>
      <c r="B157" s="38" t="n">
        <f aca="false">助手回款!$B12</f>
        <v>2011</v>
      </c>
      <c r="C157" s="48" t="str">
        <f aca="false">助手回款!$C12</f>
        <v>毛尔寨店</v>
      </c>
      <c r="D157" s="48" t="str">
        <f aca="false">科目对照回款!$B7&amp;""</f>
        <v>饿了么</v>
      </c>
      <c r="E157" s="48" t="str">
        <f aca="false">科目对照回款!$C7&amp;""</f>
        <v>应收账款</v>
      </c>
      <c r="F157" s="48" t="str">
        <f aca="false">科目对照回款!$D7&amp;""</f>
        <v>饿了么</v>
      </c>
      <c r="G157" s="49" t="n">
        <f aca="false">-ROUND(IF(科目对照回款!$F$7="",0,SUMIFS(输入回款!$C:$C,输入回款!$A:$A,助手回款!$X12,输入回款!$B:$B,科目对照回款!$F$7)+SUMIFS(输入回款!$D:$D,输入回款!$A:$A,助手回款!$X12,输入回款!$B:$B,科目对照回款!$F$7))+IF(科目对照回款!$G$7="",0,SUMIFS(输入回款!$C:$C,输入回款!$A:$A,助手回款!$X12,输入回款!$B:$B,科目对照回款!$G$7)+SUMIFS(输入回款!$D:$D,输入回款!$A:$A,助手回款!$X12,输入回款!$B:$B,科目对照回款!$G$7))+IF(科目对照回款!$H$7="",0,SUMIFS(输入回款!$C:$C,输入回款!$A:$A,助手回款!$X12,输入回款!$B:$B,科目对照回款!$H$7)+SUMIFS(输入回款!$D:$D,输入回款!$A:$A,助手回款!$X12,输入回款!$B:$B,科目对照回款!$H$7)),2)</f>
        <v>-0</v>
      </c>
      <c r="H157" s="49" t="str">
        <f aca="false">IF(ROUND($G157,2)&gt;0,ROUND($G157,2),"")</f>
        <v/>
      </c>
      <c r="I157" s="49" t="str">
        <f aca="false">IF(ROUND($G157,2)&lt;0,-ROUND($G157,2),"")</f>
        <v/>
      </c>
      <c r="J157" s="20" t="n">
        <f aca="false">IF(ROUND($G157,2)=0,0,1)</f>
        <v>0</v>
      </c>
      <c r="K157" s="20" t="str">
        <f aca="false">IF($J157=0,"",SUM($J$152:$J157))</f>
        <v/>
      </c>
      <c r="L157" s="20" t="str">
        <f aca="false">IF($K157="","",$A157*100+$K157)</f>
        <v/>
      </c>
      <c r="M157" s="48" t="str">
        <f aca="false">参数!$B$4</f>
        <v>回款</v>
      </c>
    </row>
    <row r="158" customFormat="false" ht="13.5" hidden="false" customHeight="false" outlineLevel="0" collapsed="false">
      <c r="A158" s="47" t="n">
        <v>11</v>
      </c>
      <c r="B158" s="38" t="n">
        <f aca="false">助手回款!$B12</f>
        <v>2011</v>
      </c>
      <c r="C158" s="48" t="str">
        <f aca="false">助手回款!$C12</f>
        <v>毛尔寨店</v>
      </c>
      <c r="D158" s="48" t="str">
        <f aca="false">科目对照回款!$B8&amp;""</f>
        <v>24小时</v>
      </c>
      <c r="E158" s="48" t="str">
        <f aca="false">科目对照回款!$C8&amp;""</f>
        <v>应收账款</v>
      </c>
      <c r="F158" s="48" t="str">
        <f aca="false">科目对照回款!$D8&amp;""</f>
        <v>24小时</v>
      </c>
      <c r="G158" s="49" t="n">
        <f aca="false">-ROUND(IF(科目对照回款!$F$8="",0,SUMIFS(输入回款!$C:$C,输入回款!$A:$A,助手回款!$X12,输入回款!$B:$B,科目对照回款!$F$8)+SUMIFS(输入回款!$D:$D,输入回款!$A:$A,助手回款!$X12,输入回款!$B:$B,科目对照回款!$F$8))+IF(科目对照回款!$G$8="",0,SUMIFS(输入回款!$C:$C,输入回款!$A:$A,助手回款!$X12,输入回款!$B:$B,科目对照回款!$G$8)+SUMIFS(输入回款!$D:$D,输入回款!$A:$A,助手回款!$X12,输入回款!$B:$B,科目对照回款!$G$8))+IF(科目对照回款!$H$8="",0,SUMIFS(输入回款!$C:$C,输入回款!$A:$A,助手回款!$X12,输入回款!$B:$B,科目对照回款!$H$8)+SUMIFS(输入回款!$D:$D,输入回款!$A:$A,助手回款!$X12,输入回款!$B:$B,科目对照回款!$H$8)),2)</f>
        <v>-0</v>
      </c>
      <c r="H158" s="49" t="str">
        <f aca="false">IF(ROUND($G158,2)&gt;0,ROUND($G158,2),"")</f>
        <v/>
      </c>
      <c r="I158" s="49" t="str">
        <f aca="false">IF(ROUND($G158,2)&lt;0,-ROUND($G158,2),"")</f>
        <v/>
      </c>
      <c r="J158" s="20" t="n">
        <f aca="false">IF(ROUND($G158,2)=0,0,1)</f>
        <v>0</v>
      </c>
      <c r="K158" s="20" t="str">
        <f aca="false">IF($J158=0,"",SUM($J$152:$J158))</f>
        <v/>
      </c>
      <c r="L158" s="20" t="str">
        <f aca="false">IF($K158="","",$A158*100+$K158)</f>
        <v/>
      </c>
      <c r="M158" s="48" t="str">
        <f aca="false">参数!$B$4</f>
        <v>回款</v>
      </c>
    </row>
    <row r="159" customFormat="false" ht="13.5" hidden="false" customHeight="false" outlineLevel="0" collapsed="false">
      <c r="A159" s="47" t="n">
        <v>11</v>
      </c>
      <c r="B159" s="38" t="n">
        <f aca="false">助手回款!$B12</f>
        <v>2011</v>
      </c>
      <c r="C159" s="48" t="str">
        <f aca="false">助手回款!$C12</f>
        <v>毛尔寨店</v>
      </c>
      <c r="D159" s="48" t="str">
        <f aca="false">科目对照回款!$B9&amp;""</f>
        <v>健E卡</v>
      </c>
      <c r="E159" s="48" t="str">
        <f aca="false">科目对照回款!$C9&amp;""</f>
        <v>应收账款</v>
      </c>
      <c r="F159" s="48" t="str">
        <f aca="false">科目对照回款!$D9&amp;""</f>
        <v>健E卡</v>
      </c>
      <c r="G159" s="49" t="n">
        <f aca="false">-ROUND(IF(科目对照回款!$F$9="",0,SUMIFS(输入回款!$C:$C,输入回款!$A:$A,助手回款!$X12,输入回款!$B:$B,科目对照回款!$F$9)+SUMIFS(输入回款!$D:$D,输入回款!$A:$A,助手回款!$X12,输入回款!$B:$B,科目对照回款!$F$9))+IF(科目对照回款!$G$9="",0,SUMIFS(输入回款!$C:$C,输入回款!$A:$A,助手回款!$X12,输入回款!$B:$B,科目对照回款!$G$9)+SUMIFS(输入回款!$D:$D,输入回款!$A:$A,助手回款!$X12,输入回款!$B:$B,科目对照回款!$G$9))+IF(科目对照回款!$H$9="",0,SUMIFS(输入回款!$C:$C,输入回款!$A:$A,助手回款!$X12,输入回款!$B:$B,科目对照回款!$H$9)+SUMIFS(输入回款!$D:$D,输入回款!$A:$A,助手回款!$X12,输入回款!$B:$B,科目对照回款!$H$9)),2)</f>
        <v>-0</v>
      </c>
      <c r="H159" s="49" t="str">
        <f aca="false">IF(ROUND($G159,2)&gt;0,ROUND($G159,2),"")</f>
        <v/>
      </c>
      <c r="I159" s="49" t="str">
        <f aca="false">IF(ROUND($G159,2)&lt;0,-ROUND($G159,2),"")</f>
        <v/>
      </c>
      <c r="J159" s="20" t="n">
        <f aca="false">IF(ROUND($G159,2)=0,0,1)</f>
        <v>0</v>
      </c>
      <c r="K159" s="20" t="str">
        <f aca="false">IF($J159=0,"",SUM($J$152:$J159))</f>
        <v/>
      </c>
      <c r="L159" s="20" t="str">
        <f aca="false">IF($K159="","",$A159*100+$K159)</f>
        <v/>
      </c>
      <c r="M159" s="48" t="str">
        <f aca="false">参数!$B$4</f>
        <v>回款</v>
      </c>
    </row>
    <row r="160" customFormat="false" ht="13.5" hidden="false" customHeight="false" outlineLevel="0" collapsed="false">
      <c r="A160" s="47" t="n">
        <v>11</v>
      </c>
      <c r="B160" s="38" t="n">
        <f aca="false">助手回款!$B12</f>
        <v>2011</v>
      </c>
      <c r="C160" s="48" t="str">
        <f aca="false">助手回款!$C12</f>
        <v>毛尔寨店</v>
      </c>
      <c r="D160" s="48" t="str">
        <f aca="false">科目对照回款!$B10&amp;""</f>
        <v>医卡通</v>
      </c>
      <c r="E160" s="48" t="str">
        <f aca="false">科目对照回款!$C10&amp;""</f>
        <v>应收账款</v>
      </c>
      <c r="F160" s="48" t="str">
        <f aca="false">科目对照回款!$D10&amp;""</f>
        <v>医卡通</v>
      </c>
      <c r="G160" s="49" t="n">
        <f aca="false">-ROUND(IF(科目对照回款!$F$10="",0,SUMIFS(输入回款!$C:$C,输入回款!$A:$A,助手回款!$X12,输入回款!$B:$B,科目对照回款!$F$10)+SUMIFS(输入回款!$D:$D,输入回款!$A:$A,助手回款!$X12,输入回款!$B:$B,科目对照回款!$F$10))+IF(科目对照回款!$G$10="",0,SUMIFS(输入回款!$C:$C,输入回款!$A:$A,助手回款!$X12,输入回款!$B:$B,科目对照回款!$G$10)+SUMIFS(输入回款!$D:$D,输入回款!$A:$A,助手回款!$X12,输入回款!$B:$B,科目对照回款!$G$10))+IF(科目对照回款!$H$10="",0,SUMIFS(输入回款!$C:$C,输入回款!$A:$A,助手回款!$X12,输入回款!$B:$B,科目对照回款!$H$10)+SUMIFS(输入回款!$D:$D,输入回款!$A:$A,助手回款!$X12,输入回款!$B:$B,科目对照回款!$H$10)),2)</f>
        <v>-0</v>
      </c>
      <c r="H160" s="49" t="str">
        <f aca="false">IF(ROUND($G160,2)&gt;0,ROUND($G160,2),"")</f>
        <v/>
      </c>
      <c r="I160" s="49" t="str">
        <f aca="false">IF(ROUND($G160,2)&lt;0,-ROUND($G160,2),"")</f>
        <v/>
      </c>
      <c r="J160" s="20" t="n">
        <f aca="false">IF(ROUND($G160,2)=0,0,1)</f>
        <v>0</v>
      </c>
      <c r="K160" s="20" t="str">
        <f aca="false">IF($J160=0,"",SUM($J$152:$J160))</f>
        <v/>
      </c>
      <c r="L160" s="20" t="str">
        <f aca="false">IF($K160="","",$A160*100+$K160)</f>
        <v/>
      </c>
      <c r="M160" s="48" t="str">
        <f aca="false">参数!$B$4</f>
        <v>回款</v>
      </c>
    </row>
    <row r="161" customFormat="false" ht="13.5" hidden="false" customHeight="false" outlineLevel="0" collapsed="false">
      <c r="A161" s="47" t="n">
        <v>11</v>
      </c>
      <c r="B161" s="38" t="n">
        <f aca="false">助手回款!$B12</f>
        <v>2011</v>
      </c>
      <c r="C161" s="48" t="str">
        <f aca="false">助手回款!$C12</f>
        <v>毛尔寨店</v>
      </c>
      <c r="D161" s="48" t="str">
        <f aca="false">科目对照回款!$B11&amp;""</f>
        <v>企健网</v>
      </c>
      <c r="E161" s="48" t="str">
        <f aca="false">科目对照回款!$C11&amp;""</f>
        <v>应收账款</v>
      </c>
      <c r="F161" s="48" t="str">
        <f aca="false">科目对照回款!$D11&amp;""</f>
        <v>企健网</v>
      </c>
      <c r="G161" s="49" t="n">
        <f aca="false">-ROUND(IF(科目对照回款!$F$11="",0,SUMIFS(输入回款!$C:$C,输入回款!$A:$A,助手回款!$X12,输入回款!$B:$B,科目对照回款!$F$11)+SUMIFS(输入回款!$D:$D,输入回款!$A:$A,助手回款!$X12,输入回款!$B:$B,科目对照回款!$F$11))+IF(科目对照回款!$G$11="",0,SUMIFS(输入回款!$C:$C,输入回款!$A:$A,助手回款!$X12,输入回款!$B:$B,科目对照回款!$G$11)+SUMIFS(输入回款!$D:$D,输入回款!$A:$A,助手回款!$X12,输入回款!$B:$B,科目对照回款!$G$11))+IF(科目对照回款!$H$11="",0,SUMIFS(输入回款!$C:$C,输入回款!$A:$A,助手回款!$X12,输入回款!$B:$B,科目对照回款!$H$11)+SUMIFS(输入回款!$D:$D,输入回款!$A:$A,助手回款!$X12,输入回款!$B:$B,科目对照回款!$H$11)),2)</f>
        <v>-0</v>
      </c>
      <c r="H161" s="49" t="str">
        <f aca="false">IF(ROUND($G161,2)&gt;0,ROUND($G161,2),"")</f>
        <v/>
      </c>
      <c r="I161" s="49" t="str">
        <f aca="false">IF(ROUND($G161,2)&lt;0,-ROUND($G161,2),"")</f>
        <v/>
      </c>
      <c r="J161" s="20" t="n">
        <f aca="false">IF(ROUND($G161,2)=0,0,1)</f>
        <v>0</v>
      </c>
      <c r="K161" s="20" t="str">
        <f aca="false">IF($J161=0,"",SUM($J$152:$J161))</f>
        <v/>
      </c>
      <c r="L161" s="20" t="str">
        <f aca="false">IF($K161="","",$A161*100+$K161)</f>
        <v/>
      </c>
      <c r="M161" s="48" t="str">
        <f aca="false">参数!$B$4</f>
        <v>回款</v>
      </c>
    </row>
    <row r="162" customFormat="false" ht="13.5" hidden="false" customHeight="false" outlineLevel="0" collapsed="false">
      <c r="A162" s="47" t="n">
        <v>11</v>
      </c>
      <c r="B162" s="38" t="n">
        <f aca="false">助手回款!$B12</f>
        <v>2011</v>
      </c>
      <c r="C162" s="48" t="str">
        <f aca="false">助手回款!$C12</f>
        <v>毛尔寨店</v>
      </c>
      <c r="D162" s="48" t="str">
        <f aca="false">科目对照回款!$B12&amp;""</f>
        <v>亲情卡</v>
      </c>
      <c r="E162" s="48" t="str">
        <f aca="false">科目对照回款!$C12&amp;""</f>
        <v>应收账款</v>
      </c>
      <c r="F162" s="48" t="str">
        <f aca="false">科目对照回款!$D12&amp;""</f>
        <v>亲情卡</v>
      </c>
      <c r="G162" s="49" t="n">
        <f aca="false">-ROUND(IF(科目对照回款!$F$12="",0,SUMIFS(输入回款!$C:$C,输入回款!$A:$A,助手回款!$X12,输入回款!$B:$B,科目对照回款!$F$12)+SUMIFS(输入回款!$D:$D,输入回款!$A:$A,助手回款!$X12,输入回款!$B:$B,科目对照回款!$F$12))+IF(科目对照回款!$G$12="",0,SUMIFS(输入回款!$C:$C,输入回款!$A:$A,助手回款!$X12,输入回款!$B:$B,科目对照回款!$G$12)+SUMIFS(输入回款!$D:$D,输入回款!$A:$A,助手回款!$X12,输入回款!$B:$B,科目对照回款!$G$12))+IF(科目对照回款!$H$12="",0,SUMIFS(输入回款!$C:$C,输入回款!$A:$A,助手回款!$X12,输入回款!$B:$B,科目对照回款!$H$12)+SUMIFS(输入回款!$D:$D,输入回款!$A:$A,助手回款!$X12,输入回款!$B:$B,科目对照回款!$H$12)),2)</f>
        <v>-0</v>
      </c>
      <c r="H162" s="49" t="str">
        <f aca="false">IF(ROUND($G162,2)&gt;0,ROUND($G162,2),"")</f>
        <v/>
      </c>
      <c r="I162" s="49" t="str">
        <f aca="false">IF(ROUND($G162,2)&lt;0,-ROUND($G162,2),"")</f>
        <v/>
      </c>
      <c r="J162" s="20" t="n">
        <f aca="false">IF(ROUND($G162,2)=0,0,1)</f>
        <v>0</v>
      </c>
      <c r="K162" s="20" t="str">
        <f aca="false">IF($J162=0,"",SUM($J$152:$J162))</f>
        <v/>
      </c>
      <c r="L162" s="20" t="str">
        <f aca="false">IF($K162="","",$A162*100+$K162)</f>
        <v/>
      </c>
      <c r="M162" s="48" t="str">
        <f aca="false">参数!$B$4</f>
        <v>回款</v>
      </c>
    </row>
    <row r="163" customFormat="false" ht="13.5" hidden="false" customHeight="false" outlineLevel="0" collapsed="false">
      <c r="A163" s="47" t="n">
        <v>11</v>
      </c>
      <c r="B163" s="38" t="n">
        <f aca="false">助手回款!$B12</f>
        <v>2011</v>
      </c>
      <c r="C163" s="48" t="str">
        <f aca="false">助手回款!$C12</f>
        <v>毛尔寨店</v>
      </c>
      <c r="D163" s="48" t="str">
        <f aca="false">科目对照回款!$B13&amp;""</f>
        <v>银联</v>
      </c>
      <c r="E163" s="48" t="str">
        <f aca="false">科目对照回款!$C13&amp;""</f>
        <v>应收账款</v>
      </c>
      <c r="F163" s="48" t="str">
        <f aca="false">科目对照回款!$D13&amp;""</f>
        <v>银联</v>
      </c>
      <c r="G163" s="49" t="n">
        <f aca="false">-ROUND(IF(科目对照回款!$F$13="",0,SUMIFS(输入回款!$C:$C,输入回款!$A:$A,助手回款!$X12,输入回款!$B:$B,科目对照回款!$F$13)+SUMIFS(输入回款!$D:$D,输入回款!$A:$A,助手回款!$X12,输入回款!$B:$B,科目对照回款!$F$13))+IF(科目对照回款!$G$13="",0,SUMIFS(输入回款!$C:$C,输入回款!$A:$A,助手回款!$X12,输入回款!$B:$B,科目对照回款!$G$13)+SUMIFS(输入回款!$D:$D,输入回款!$A:$A,助手回款!$X12,输入回款!$B:$B,科目对照回款!$G$13))+IF(科目对照回款!$H$13="",0,SUMIFS(输入回款!$C:$C,输入回款!$A:$A,助手回款!$X12,输入回款!$B:$B,科目对照回款!$H$13)+SUMIFS(输入回款!$D:$D,输入回款!$A:$A,助手回款!$X12,输入回款!$B:$B,科目对照回款!$H$13)),2)</f>
        <v>-0</v>
      </c>
      <c r="H163" s="49" t="str">
        <f aca="false">IF(ROUND($G163,2)&gt;0,ROUND($G163,2),"")</f>
        <v/>
      </c>
      <c r="I163" s="49" t="str">
        <f aca="false">IF(ROUND($G163,2)&lt;0,-ROUND($G163,2),"")</f>
        <v/>
      </c>
      <c r="J163" s="20" t="n">
        <f aca="false">IF(ROUND($G163,2)=0,0,1)</f>
        <v>0</v>
      </c>
      <c r="K163" s="20" t="str">
        <f aca="false">IF($J163=0,"",SUM($J$152:$J163))</f>
        <v/>
      </c>
      <c r="L163" s="20" t="str">
        <f aca="false">IF($K163="","",$A163*100+$K163)</f>
        <v/>
      </c>
      <c r="M163" s="48" t="str">
        <f aca="false">参数!$B$4</f>
        <v>回款</v>
      </c>
    </row>
    <row r="164" customFormat="false" ht="13.5" hidden="false" customHeight="false" outlineLevel="0" collapsed="false">
      <c r="A164" s="47" t="n">
        <v>11</v>
      </c>
      <c r="B164" s="38" t="n">
        <f aca="false">助手回款!$B12</f>
        <v>2011</v>
      </c>
      <c r="C164" s="48" t="str">
        <f aca="false">助手回款!$C12</f>
        <v>毛尔寨店</v>
      </c>
      <c r="D164" s="48" t="str">
        <f aca="false">科目对照回款!$B14&amp;""</f>
        <v>代金券</v>
      </c>
      <c r="E164" s="48" t="str">
        <f aca="false">科目对照回款!$C14&amp;""</f>
        <v>应收账款</v>
      </c>
      <c r="F164" s="48" t="str">
        <f aca="false">科目对照回款!$D14&amp;""</f>
        <v>代金券</v>
      </c>
      <c r="G164" s="49" t="n">
        <f aca="false">-ROUND(IF(科目对照回款!$F$14="",0,SUMIFS(输入回款!$C:$C,输入回款!$A:$A,助手回款!$X12,输入回款!$B:$B,科目对照回款!$F$14)+SUMIFS(输入回款!$D:$D,输入回款!$A:$A,助手回款!$X12,输入回款!$B:$B,科目对照回款!$F$14))+IF(科目对照回款!$G$14="",0,SUMIFS(输入回款!$C:$C,输入回款!$A:$A,助手回款!$X12,输入回款!$B:$B,科目对照回款!$G$14)+SUMIFS(输入回款!$D:$D,输入回款!$A:$A,助手回款!$X12,输入回款!$B:$B,科目对照回款!$G$14))+IF(科目对照回款!$H$14="",0,SUMIFS(输入回款!$C:$C,输入回款!$A:$A,助手回款!$X12,输入回款!$B:$B,科目对照回款!$H$14)+SUMIFS(输入回款!$D:$D,输入回款!$A:$A,助手回款!$X12,输入回款!$B:$B,科目对照回款!$H$14)),2)</f>
        <v>-0</v>
      </c>
      <c r="H164" s="49" t="str">
        <f aca="false">IF(ROUND($G164,2)&gt;0,ROUND($G164,2),"")</f>
        <v/>
      </c>
      <c r="I164" s="49" t="str">
        <f aca="false">IF(ROUND($G164,2)&lt;0,-ROUND($G164,2),"")</f>
        <v/>
      </c>
      <c r="J164" s="20" t="n">
        <f aca="false">IF(ROUND($G164,2)=0,0,1)</f>
        <v>0</v>
      </c>
      <c r="K164" s="20" t="str">
        <f aca="false">IF($J164=0,"",SUM($J$152:$J164))</f>
        <v/>
      </c>
      <c r="L164" s="20" t="str">
        <f aca="false">IF($K164="","",$A164*100+$K164)</f>
        <v/>
      </c>
      <c r="M164" s="48" t="str">
        <f aca="false">参数!$B$4</f>
        <v>回款</v>
      </c>
    </row>
    <row r="165" customFormat="false" ht="13.5" hidden="false" customHeight="false" outlineLevel="0" collapsed="false">
      <c r="A165" s="47" t="n">
        <v>11</v>
      </c>
      <c r="B165" s="38" t="n">
        <f aca="false">助手回款!$B12</f>
        <v>2011</v>
      </c>
      <c r="C165" s="48" t="str">
        <f aca="false">助手回款!$C12</f>
        <v>毛尔寨店</v>
      </c>
      <c r="D165" s="48" t="str">
        <f aca="false">科目对照回款!$B15&amp;""</f>
        <v>药机微信</v>
      </c>
      <c r="E165" s="48" t="str">
        <f aca="false">科目对照回款!$C15&amp;""</f>
        <v>应收账款</v>
      </c>
      <c r="F165" s="48" t="str">
        <f aca="false">科目对照回款!$D15&amp;""</f>
        <v>药机微信</v>
      </c>
      <c r="G165" s="49" t="n">
        <f aca="false">-ROUND(IF(科目对照回款!$F$15="",0,SUMIFS(输入回款!$C:$C,输入回款!$A:$A,助手回款!$X12,输入回款!$B:$B,科目对照回款!$F$15)+SUMIFS(输入回款!$D:$D,输入回款!$A:$A,助手回款!$X12,输入回款!$B:$B,科目对照回款!$F$15))+IF(科目对照回款!$G$15="",0,SUMIFS(输入回款!$C:$C,输入回款!$A:$A,助手回款!$X12,输入回款!$B:$B,科目对照回款!$G$15)+SUMIFS(输入回款!$D:$D,输入回款!$A:$A,助手回款!$X12,输入回款!$B:$B,科目对照回款!$G$15))+IF(科目对照回款!$H$15="",0,SUMIFS(输入回款!$C:$C,输入回款!$A:$A,助手回款!$X12,输入回款!$B:$B,科目对照回款!$H$15)+SUMIFS(输入回款!$D:$D,输入回款!$A:$A,助手回款!$X12,输入回款!$B:$B,科目对照回款!$H$15)),2)</f>
        <v>-0</v>
      </c>
      <c r="H165" s="49" t="str">
        <f aca="false">IF(ROUND($G165,2)&gt;0,ROUND($G165,2),"")</f>
        <v/>
      </c>
      <c r="I165" s="49" t="str">
        <f aca="false">IF(ROUND($G165,2)&lt;0,-ROUND($G165,2),"")</f>
        <v/>
      </c>
      <c r="J165" s="20" t="n">
        <f aca="false">IF(ROUND($G165,2)=0,0,1)</f>
        <v>0</v>
      </c>
      <c r="K165" s="20" t="str">
        <f aca="false">IF($J165=0,"",SUM($J$152:$J165))</f>
        <v/>
      </c>
      <c r="L165" s="20" t="str">
        <f aca="false">IF($K165="","",$A165*100+$K165)</f>
        <v/>
      </c>
      <c r="M165" s="48" t="str">
        <f aca="false">参数!$B$4</f>
        <v>回款</v>
      </c>
    </row>
    <row r="166" customFormat="false" ht="13.5" hidden="false" customHeight="false" outlineLevel="0" collapsed="false">
      <c r="A166" s="47" t="n">
        <v>11</v>
      </c>
      <c r="B166" s="38" t="n">
        <f aca="false">助手回款!$B12</f>
        <v>2011</v>
      </c>
      <c r="C166" s="48" t="str">
        <f aca="false">助手回款!$C12</f>
        <v>毛尔寨店</v>
      </c>
      <c r="D166" s="48" t="str">
        <f aca="false">科目对照回款!$B16&amp;""</f>
        <v>储值卡</v>
      </c>
      <c r="E166" s="48" t="str">
        <f aca="false">科目对照回款!$C16&amp;""</f>
        <v>其他应收款</v>
      </c>
      <c r="F166" s="48" t="str">
        <f aca="false">科目对照回款!$D16&amp;""</f>
        <v>储值卡</v>
      </c>
      <c r="G166" s="49" t="n">
        <f aca="false">-ROUND(IF(科目对照回款!$F$16="",0,SUMIFS(输入回款!$C:$C,输入回款!$A:$A,助手回款!$X12,输入回款!$B:$B,科目对照回款!$F$16)+SUMIFS(输入回款!$D:$D,输入回款!$A:$A,助手回款!$X12,输入回款!$B:$B,科目对照回款!$F$16))+IF(科目对照回款!$G$16="",0,SUMIFS(输入回款!$C:$C,输入回款!$A:$A,助手回款!$X12,输入回款!$B:$B,科目对照回款!$G$16)+SUMIFS(输入回款!$D:$D,输入回款!$A:$A,助手回款!$X12,输入回款!$B:$B,科目对照回款!$G$16))+IF(科目对照回款!$H$16="",0,SUMIFS(输入回款!$C:$C,输入回款!$A:$A,助手回款!$X12,输入回款!$B:$B,科目对照回款!$H$16)+SUMIFS(输入回款!$D:$D,输入回款!$A:$A,助手回款!$X12,输入回款!$B:$B,科目对照回款!$H$16)),2)</f>
        <v>-0</v>
      </c>
      <c r="H166" s="49" t="str">
        <f aca="false">IF(ROUND($G166,2)&gt;0,ROUND($G166,2),"")</f>
        <v/>
      </c>
      <c r="I166" s="49" t="str">
        <f aca="false">IF(ROUND($G166,2)&lt;0,-ROUND($G166,2),"")</f>
        <v/>
      </c>
      <c r="J166" s="20" t="n">
        <f aca="false">IF(ROUND($G166,2)=0,0,1)</f>
        <v>0</v>
      </c>
      <c r="K166" s="20" t="str">
        <f aca="false">IF($J166=0,"",SUM($J$152:$J166))</f>
        <v/>
      </c>
      <c r="L166" s="20" t="str">
        <f aca="false">IF($K166="","",$A166*100+$K166)</f>
        <v/>
      </c>
      <c r="M166" s="48" t="str">
        <f aca="false">参数!$B$4</f>
        <v>回款</v>
      </c>
    </row>
    <row r="167" customFormat="false" ht="13.5" hidden="false" customHeight="false" outlineLevel="0" collapsed="false">
      <c r="A167" s="47" t="n">
        <v>12</v>
      </c>
      <c r="B167" s="38" t="n">
        <f aca="false">助手回款!$B13</f>
        <v>2012</v>
      </c>
      <c r="C167" s="48" t="str">
        <f aca="false">助手回款!$C13</f>
        <v>泽畔店</v>
      </c>
      <c r="D167" s="48" t="str">
        <f aca="false">科目对照回款!$B2&amp;""</f>
        <v>库存现金</v>
      </c>
      <c r="E167" s="48" t="str">
        <f aca="false">科目对照回款!$C2&amp;""</f>
        <v>库存现金</v>
      </c>
      <c r="F167" s="48" t="str">
        <f aca="false">科目对照回款!$D2&amp;""</f>
        <v/>
      </c>
      <c r="G167" s="49" t="n">
        <f aca="false">助手回款!$E13</f>
        <v>33713.92</v>
      </c>
      <c r="H167" s="49" t="n">
        <f aca="false">IF(ROUND($G167,2)&gt;0,ROUND($G167,2),"")</f>
        <v>33713.92</v>
      </c>
      <c r="I167" s="49" t="str">
        <f aca="false">IF(ROUND($G167,2)&lt;0,-ROUND($G167,2),"")</f>
        <v/>
      </c>
      <c r="J167" s="20" t="n">
        <f aca="false">IF(ROUND($G167,2)=0,0,1)</f>
        <v>1</v>
      </c>
      <c r="K167" s="20" t="n">
        <f aca="false">IF($J167=0,"",SUM($J$167:$J167))</f>
        <v>1</v>
      </c>
      <c r="L167" s="20" t="n">
        <f aca="false">IF($K167="","",$A167*100+$K167)</f>
        <v>1201</v>
      </c>
      <c r="M167" s="48" t="str">
        <f aca="false">参数!$B$4</f>
        <v>回款</v>
      </c>
    </row>
    <row r="168" customFormat="false" ht="13.5" hidden="false" customHeight="false" outlineLevel="0" collapsed="false">
      <c r="A168" s="47" t="n">
        <v>12</v>
      </c>
      <c r="B168" s="38" t="n">
        <f aca="false">助手回款!$B13</f>
        <v>2012</v>
      </c>
      <c r="C168" s="48" t="str">
        <f aca="false">助手回款!$C13</f>
        <v>泽畔店</v>
      </c>
      <c r="D168" s="48" t="str">
        <f aca="false">科目对照回款!$B3&amp;""</f>
        <v>手续费</v>
      </c>
      <c r="E168" s="48" t="str">
        <f aca="false">科目对照回款!$C3&amp;""</f>
        <v>财务费用</v>
      </c>
      <c r="F168" s="48" t="str">
        <f aca="false">科目对照回款!$D3&amp;""</f>
        <v>手续费</v>
      </c>
      <c r="G168" s="49" t="n">
        <f aca="false">助手回款!$F13</f>
        <v>0</v>
      </c>
      <c r="H168" s="49" t="str">
        <f aca="false">IF(ROUND($G168,2)&gt;0,ROUND($G168,2),"")</f>
        <v/>
      </c>
      <c r="I168" s="49" t="str">
        <f aca="false">IF(ROUND($G168,2)&lt;0,-ROUND($G168,2),"")</f>
        <v/>
      </c>
      <c r="J168" s="20" t="n">
        <f aca="false">IF(ROUND($G168,2)=0,0,1)</f>
        <v>0</v>
      </c>
      <c r="K168" s="20" t="str">
        <f aca="false">IF($J168=0,"",SUM($J$167:$J168))</f>
        <v/>
      </c>
      <c r="L168" s="20" t="str">
        <f aca="false">IF($K168="","",$A168*100+$K168)</f>
        <v/>
      </c>
      <c r="M168" s="48" t="str">
        <f aca="false">参数!$B$4</f>
        <v>回款</v>
      </c>
    </row>
    <row r="169" customFormat="false" ht="13.5" hidden="false" customHeight="false" outlineLevel="0" collapsed="false">
      <c r="A169" s="47" t="n">
        <v>12</v>
      </c>
      <c r="B169" s="38" t="n">
        <f aca="false">助手回款!$B13</f>
        <v>2012</v>
      </c>
      <c r="C169" s="48" t="str">
        <f aca="false">助手回款!$C13</f>
        <v>泽畔店</v>
      </c>
      <c r="D169" s="48" t="str">
        <f aca="false">科目对照回款!$B4&amp;""</f>
        <v>聚合支付</v>
      </c>
      <c r="E169" s="48" t="str">
        <f aca="false">科目对照回款!$C4&amp;""</f>
        <v>应收账款</v>
      </c>
      <c r="F169" s="48" t="str">
        <f aca="false">科目对照回款!$D4&amp;""</f>
        <v>聚合支付</v>
      </c>
      <c r="G169" s="49" t="n">
        <f aca="false">-ROUND(IF(科目对照回款!$F$4="",0,SUMIFS(输入回款!$C:$C,输入回款!$A:$A,助手回款!$X13,输入回款!$B:$B,科目对照回款!$F$4)+SUMIFS(输入回款!$D:$D,输入回款!$A:$A,助手回款!$X13,输入回款!$B:$B,科目对照回款!$F$4))+IF(科目对照回款!$G$4="",0,SUMIFS(输入回款!$C:$C,输入回款!$A:$A,助手回款!$X13,输入回款!$B:$B,科目对照回款!$G$4)+SUMIFS(输入回款!$D:$D,输入回款!$A:$A,助手回款!$X13,输入回款!$B:$B,科目对照回款!$G$4))+IF(科目对照回款!$H$4="",0,SUMIFS(输入回款!$C:$C,输入回款!$A:$A,助手回款!$X13,输入回款!$B:$B,科目对照回款!$H$4)+SUMIFS(输入回款!$D:$D,输入回款!$A:$A,助手回款!$X13,输入回款!$B:$B,科目对照回款!$H$4)),2)</f>
        <v>-30920.38</v>
      </c>
      <c r="H169" s="49" t="str">
        <f aca="false">IF(ROUND($G169,2)&gt;0,ROUND($G169,2),"")</f>
        <v/>
      </c>
      <c r="I169" s="49" t="n">
        <f aca="false">IF(ROUND($G169,2)&lt;0,-ROUND($G169,2),"")</f>
        <v>30920.38</v>
      </c>
      <c r="J169" s="20" t="n">
        <f aca="false">IF(ROUND($G169,2)=0,0,1)</f>
        <v>1</v>
      </c>
      <c r="K169" s="20" t="n">
        <f aca="false">IF($J169=0,"",SUM($J$167:$J169))</f>
        <v>2</v>
      </c>
      <c r="L169" s="20" t="n">
        <f aca="false">IF($K169="","",$A169*100+$K169)</f>
        <v>1202</v>
      </c>
      <c r="M169" s="48" t="str">
        <f aca="false">参数!$B$4</f>
        <v>回款</v>
      </c>
    </row>
    <row r="170" customFormat="false" ht="13.5" hidden="false" customHeight="false" outlineLevel="0" collapsed="false">
      <c r="A170" s="47" t="n">
        <v>12</v>
      </c>
      <c r="B170" s="38" t="n">
        <f aca="false">助手回款!$B13</f>
        <v>2012</v>
      </c>
      <c r="C170" s="48" t="str">
        <f aca="false">助手回款!$C13</f>
        <v>泽畔店</v>
      </c>
      <c r="D170" s="48" t="str">
        <f aca="false">科目对照回款!$B5&amp;""</f>
        <v>医保</v>
      </c>
      <c r="E170" s="48" t="str">
        <f aca="false">科目对照回款!$C5&amp;""</f>
        <v>应收账款</v>
      </c>
      <c r="F170" s="48" t="str">
        <f aca="false">科目对照回款!$D5&amp;""</f>
        <v>医保</v>
      </c>
      <c r="G170" s="49" t="n">
        <f aca="false">-ROUND(IF(科目对照回款!$F$5="",0,SUMIFS(输入回款!$C:$C,输入回款!$A:$A,助手回款!$X13,输入回款!$B:$B,科目对照回款!$F$5)+SUMIFS(输入回款!$D:$D,输入回款!$A:$A,助手回款!$X13,输入回款!$B:$B,科目对照回款!$F$5))+IF(科目对照回款!$G$5="",0,SUMIFS(输入回款!$C:$C,输入回款!$A:$A,助手回款!$X13,输入回款!$B:$B,科目对照回款!$G$5)+SUMIFS(输入回款!$D:$D,输入回款!$A:$A,助手回款!$X13,输入回款!$B:$B,科目对照回款!$G$5))+IF(科目对照回款!$H$5="",0,SUMIFS(输入回款!$C:$C,输入回款!$A:$A,助手回款!$X13,输入回款!$B:$B,科目对照回款!$H$5)+SUMIFS(输入回款!$D:$D,输入回款!$A:$A,助手回款!$X13,输入回款!$B:$B,科目对照回款!$H$5)),2)</f>
        <v>-2793.54</v>
      </c>
      <c r="H170" s="49" t="str">
        <f aca="false">IF(ROUND($G170,2)&gt;0,ROUND($G170,2),"")</f>
        <v/>
      </c>
      <c r="I170" s="49" t="n">
        <f aca="false">IF(ROUND($G170,2)&lt;0,-ROUND($G170,2),"")</f>
        <v>2793.54</v>
      </c>
      <c r="J170" s="20" t="n">
        <f aca="false">IF(ROUND($G170,2)=0,0,1)</f>
        <v>1</v>
      </c>
      <c r="K170" s="20" t="n">
        <f aca="false">IF($J170=0,"",SUM($J$167:$J170))</f>
        <v>3</v>
      </c>
      <c r="L170" s="20" t="n">
        <f aca="false">IF($K170="","",$A170*100+$K170)</f>
        <v>1203</v>
      </c>
      <c r="M170" s="48" t="str">
        <f aca="false">参数!$B$4</f>
        <v>回款</v>
      </c>
    </row>
    <row r="171" customFormat="false" ht="13.5" hidden="false" customHeight="false" outlineLevel="0" collapsed="false">
      <c r="A171" s="47" t="n">
        <v>12</v>
      </c>
      <c r="B171" s="38" t="n">
        <f aca="false">助手回款!$B13</f>
        <v>2012</v>
      </c>
      <c r="C171" s="48" t="str">
        <f aca="false">助手回款!$C13</f>
        <v>泽畔店</v>
      </c>
      <c r="D171" s="48" t="str">
        <f aca="false">科目对照回款!$B6&amp;""</f>
        <v>美团</v>
      </c>
      <c r="E171" s="48" t="str">
        <f aca="false">科目对照回款!$C6&amp;""</f>
        <v>应收账款</v>
      </c>
      <c r="F171" s="48" t="str">
        <f aca="false">科目对照回款!$D6&amp;""</f>
        <v>美团</v>
      </c>
      <c r="G171" s="49" t="n">
        <f aca="false">-ROUND(IF(科目对照回款!$F$6="",0,SUMIFS(输入回款!$C:$C,输入回款!$A:$A,助手回款!$X13,输入回款!$B:$B,科目对照回款!$F$6)+SUMIFS(输入回款!$D:$D,输入回款!$A:$A,助手回款!$X13,输入回款!$B:$B,科目对照回款!$F$6))+IF(科目对照回款!$G$6="",0,SUMIFS(输入回款!$C:$C,输入回款!$A:$A,助手回款!$X13,输入回款!$B:$B,科目对照回款!$G$6)+SUMIFS(输入回款!$D:$D,输入回款!$A:$A,助手回款!$X13,输入回款!$B:$B,科目对照回款!$G$6))+IF(科目对照回款!$H$6="",0,SUMIFS(输入回款!$C:$C,输入回款!$A:$A,助手回款!$X13,输入回款!$B:$B,科目对照回款!$H$6)+SUMIFS(输入回款!$D:$D,输入回款!$A:$A,助手回款!$X13,输入回款!$B:$B,科目对照回款!$H$6)),2)</f>
        <v>-0</v>
      </c>
      <c r="H171" s="49" t="str">
        <f aca="false">IF(ROUND($G171,2)&gt;0,ROUND($G171,2),"")</f>
        <v/>
      </c>
      <c r="I171" s="49" t="str">
        <f aca="false">IF(ROUND($G171,2)&lt;0,-ROUND($G171,2),"")</f>
        <v/>
      </c>
      <c r="J171" s="20" t="n">
        <f aca="false">IF(ROUND($G171,2)=0,0,1)</f>
        <v>0</v>
      </c>
      <c r="K171" s="20" t="str">
        <f aca="false">IF($J171=0,"",SUM($J$167:$J171))</f>
        <v/>
      </c>
      <c r="L171" s="20" t="str">
        <f aca="false">IF($K171="","",$A171*100+$K171)</f>
        <v/>
      </c>
      <c r="M171" s="48" t="str">
        <f aca="false">参数!$B$4</f>
        <v>回款</v>
      </c>
    </row>
    <row r="172" customFormat="false" ht="13.5" hidden="false" customHeight="false" outlineLevel="0" collapsed="false">
      <c r="A172" s="47" t="n">
        <v>12</v>
      </c>
      <c r="B172" s="38" t="n">
        <f aca="false">助手回款!$B13</f>
        <v>2012</v>
      </c>
      <c r="C172" s="48" t="str">
        <f aca="false">助手回款!$C13</f>
        <v>泽畔店</v>
      </c>
      <c r="D172" s="48" t="str">
        <f aca="false">科目对照回款!$B7&amp;""</f>
        <v>饿了么</v>
      </c>
      <c r="E172" s="48" t="str">
        <f aca="false">科目对照回款!$C7&amp;""</f>
        <v>应收账款</v>
      </c>
      <c r="F172" s="48" t="str">
        <f aca="false">科目对照回款!$D7&amp;""</f>
        <v>饿了么</v>
      </c>
      <c r="G172" s="49" t="n">
        <f aca="false">-ROUND(IF(科目对照回款!$F$7="",0,SUMIFS(输入回款!$C:$C,输入回款!$A:$A,助手回款!$X13,输入回款!$B:$B,科目对照回款!$F$7)+SUMIFS(输入回款!$D:$D,输入回款!$A:$A,助手回款!$X13,输入回款!$B:$B,科目对照回款!$F$7))+IF(科目对照回款!$G$7="",0,SUMIFS(输入回款!$C:$C,输入回款!$A:$A,助手回款!$X13,输入回款!$B:$B,科目对照回款!$G$7)+SUMIFS(输入回款!$D:$D,输入回款!$A:$A,助手回款!$X13,输入回款!$B:$B,科目对照回款!$G$7))+IF(科目对照回款!$H$7="",0,SUMIFS(输入回款!$C:$C,输入回款!$A:$A,助手回款!$X13,输入回款!$B:$B,科目对照回款!$H$7)+SUMIFS(输入回款!$D:$D,输入回款!$A:$A,助手回款!$X13,输入回款!$B:$B,科目对照回款!$H$7)),2)</f>
        <v>-0</v>
      </c>
      <c r="H172" s="49" t="str">
        <f aca="false">IF(ROUND($G172,2)&gt;0,ROUND($G172,2),"")</f>
        <v/>
      </c>
      <c r="I172" s="49" t="str">
        <f aca="false">IF(ROUND($G172,2)&lt;0,-ROUND($G172,2),"")</f>
        <v/>
      </c>
      <c r="J172" s="20" t="n">
        <f aca="false">IF(ROUND($G172,2)=0,0,1)</f>
        <v>0</v>
      </c>
      <c r="K172" s="20" t="str">
        <f aca="false">IF($J172=0,"",SUM($J$167:$J172))</f>
        <v/>
      </c>
      <c r="L172" s="20" t="str">
        <f aca="false">IF($K172="","",$A172*100+$K172)</f>
        <v/>
      </c>
      <c r="M172" s="48" t="str">
        <f aca="false">参数!$B$4</f>
        <v>回款</v>
      </c>
    </row>
    <row r="173" customFormat="false" ht="13.5" hidden="false" customHeight="false" outlineLevel="0" collapsed="false">
      <c r="A173" s="47" t="n">
        <v>12</v>
      </c>
      <c r="B173" s="38" t="n">
        <f aca="false">助手回款!$B13</f>
        <v>2012</v>
      </c>
      <c r="C173" s="48" t="str">
        <f aca="false">助手回款!$C13</f>
        <v>泽畔店</v>
      </c>
      <c r="D173" s="48" t="str">
        <f aca="false">科目对照回款!$B8&amp;""</f>
        <v>24小时</v>
      </c>
      <c r="E173" s="48" t="str">
        <f aca="false">科目对照回款!$C8&amp;""</f>
        <v>应收账款</v>
      </c>
      <c r="F173" s="48" t="str">
        <f aca="false">科目对照回款!$D8&amp;""</f>
        <v>24小时</v>
      </c>
      <c r="G173" s="49" t="n">
        <f aca="false">-ROUND(IF(科目对照回款!$F$8="",0,SUMIFS(输入回款!$C:$C,输入回款!$A:$A,助手回款!$X13,输入回款!$B:$B,科目对照回款!$F$8)+SUMIFS(输入回款!$D:$D,输入回款!$A:$A,助手回款!$X13,输入回款!$B:$B,科目对照回款!$F$8))+IF(科目对照回款!$G$8="",0,SUMIFS(输入回款!$C:$C,输入回款!$A:$A,助手回款!$X13,输入回款!$B:$B,科目对照回款!$G$8)+SUMIFS(输入回款!$D:$D,输入回款!$A:$A,助手回款!$X13,输入回款!$B:$B,科目对照回款!$G$8))+IF(科目对照回款!$H$8="",0,SUMIFS(输入回款!$C:$C,输入回款!$A:$A,助手回款!$X13,输入回款!$B:$B,科目对照回款!$H$8)+SUMIFS(输入回款!$D:$D,输入回款!$A:$A,助手回款!$X13,输入回款!$B:$B,科目对照回款!$H$8)),2)</f>
        <v>-0</v>
      </c>
      <c r="H173" s="49" t="str">
        <f aca="false">IF(ROUND($G173,2)&gt;0,ROUND($G173,2),"")</f>
        <v/>
      </c>
      <c r="I173" s="49" t="str">
        <f aca="false">IF(ROUND($G173,2)&lt;0,-ROUND($G173,2),"")</f>
        <v/>
      </c>
      <c r="J173" s="20" t="n">
        <f aca="false">IF(ROUND($G173,2)=0,0,1)</f>
        <v>0</v>
      </c>
      <c r="K173" s="20" t="str">
        <f aca="false">IF($J173=0,"",SUM($J$167:$J173))</f>
        <v/>
      </c>
      <c r="L173" s="20" t="str">
        <f aca="false">IF($K173="","",$A173*100+$K173)</f>
        <v/>
      </c>
      <c r="M173" s="48" t="str">
        <f aca="false">参数!$B$4</f>
        <v>回款</v>
      </c>
    </row>
    <row r="174" customFormat="false" ht="13.5" hidden="false" customHeight="false" outlineLevel="0" collapsed="false">
      <c r="A174" s="47" t="n">
        <v>12</v>
      </c>
      <c r="B174" s="38" t="n">
        <f aca="false">助手回款!$B13</f>
        <v>2012</v>
      </c>
      <c r="C174" s="48" t="str">
        <f aca="false">助手回款!$C13</f>
        <v>泽畔店</v>
      </c>
      <c r="D174" s="48" t="str">
        <f aca="false">科目对照回款!$B9&amp;""</f>
        <v>健E卡</v>
      </c>
      <c r="E174" s="48" t="str">
        <f aca="false">科目对照回款!$C9&amp;""</f>
        <v>应收账款</v>
      </c>
      <c r="F174" s="48" t="str">
        <f aca="false">科目对照回款!$D9&amp;""</f>
        <v>健E卡</v>
      </c>
      <c r="G174" s="49" t="n">
        <f aca="false">-ROUND(IF(科目对照回款!$F$9="",0,SUMIFS(输入回款!$C:$C,输入回款!$A:$A,助手回款!$X13,输入回款!$B:$B,科目对照回款!$F$9)+SUMIFS(输入回款!$D:$D,输入回款!$A:$A,助手回款!$X13,输入回款!$B:$B,科目对照回款!$F$9))+IF(科目对照回款!$G$9="",0,SUMIFS(输入回款!$C:$C,输入回款!$A:$A,助手回款!$X13,输入回款!$B:$B,科目对照回款!$G$9)+SUMIFS(输入回款!$D:$D,输入回款!$A:$A,助手回款!$X13,输入回款!$B:$B,科目对照回款!$G$9))+IF(科目对照回款!$H$9="",0,SUMIFS(输入回款!$C:$C,输入回款!$A:$A,助手回款!$X13,输入回款!$B:$B,科目对照回款!$H$9)+SUMIFS(输入回款!$D:$D,输入回款!$A:$A,助手回款!$X13,输入回款!$B:$B,科目对照回款!$H$9)),2)</f>
        <v>-0</v>
      </c>
      <c r="H174" s="49" t="str">
        <f aca="false">IF(ROUND($G174,2)&gt;0,ROUND($G174,2),"")</f>
        <v/>
      </c>
      <c r="I174" s="49" t="str">
        <f aca="false">IF(ROUND($G174,2)&lt;0,-ROUND($G174,2),"")</f>
        <v/>
      </c>
      <c r="J174" s="20" t="n">
        <f aca="false">IF(ROUND($G174,2)=0,0,1)</f>
        <v>0</v>
      </c>
      <c r="K174" s="20" t="str">
        <f aca="false">IF($J174=0,"",SUM($J$167:$J174))</f>
        <v/>
      </c>
      <c r="L174" s="20" t="str">
        <f aca="false">IF($K174="","",$A174*100+$K174)</f>
        <v/>
      </c>
      <c r="M174" s="48" t="str">
        <f aca="false">参数!$B$4</f>
        <v>回款</v>
      </c>
    </row>
    <row r="175" customFormat="false" ht="13.5" hidden="false" customHeight="false" outlineLevel="0" collapsed="false">
      <c r="A175" s="47" t="n">
        <v>12</v>
      </c>
      <c r="B175" s="38" t="n">
        <f aca="false">助手回款!$B13</f>
        <v>2012</v>
      </c>
      <c r="C175" s="48" t="str">
        <f aca="false">助手回款!$C13</f>
        <v>泽畔店</v>
      </c>
      <c r="D175" s="48" t="str">
        <f aca="false">科目对照回款!$B10&amp;""</f>
        <v>医卡通</v>
      </c>
      <c r="E175" s="48" t="str">
        <f aca="false">科目对照回款!$C10&amp;""</f>
        <v>应收账款</v>
      </c>
      <c r="F175" s="48" t="str">
        <f aca="false">科目对照回款!$D10&amp;""</f>
        <v>医卡通</v>
      </c>
      <c r="G175" s="49" t="n">
        <f aca="false">-ROUND(IF(科目对照回款!$F$10="",0,SUMIFS(输入回款!$C:$C,输入回款!$A:$A,助手回款!$X13,输入回款!$B:$B,科目对照回款!$F$10)+SUMIFS(输入回款!$D:$D,输入回款!$A:$A,助手回款!$X13,输入回款!$B:$B,科目对照回款!$F$10))+IF(科目对照回款!$G$10="",0,SUMIFS(输入回款!$C:$C,输入回款!$A:$A,助手回款!$X13,输入回款!$B:$B,科目对照回款!$G$10)+SUMIFS(输入回款!$D:$D,输入回款!$A:$A,助手回款!$X13,输入回款!$B:$B,科目对照回款!$G$10))+IF(科目对照回款!$H$10="",0,SUMIFS(输入回款!$C:$C,输入回款!$A:$A,助手回款!$X13,输入回款!$B:$B,科目对照回款!$H$10)+SUMIFS(输入回款!$D:$D,输入回款!$A:$A,助手回款!$X13,输入回款!$B:$B,科目对照回款!$H$10)),2)</f>
        <v>-0</v>
      </c>
      <c r="H175" s="49" t="str">
        <f aca="false">IF(ROUND($G175,2)&gt;0,ROUND($G175,2),"")</f>
        <v/>
      </c>
      <c r="I175" s="49" t="str">
        <f aca="false">IF(ROUND($G175,2)&lt;0,-ROUND($G175,2),"")</f>
        <v/>
      </c>
      <c r="J175" s="20" t="n">
        <f aca="false">IF(ROUND($G175,2)=0,0,1)</f>
        <v>0</v>
      </c>
      <c r="K175" s="20" t="str">
        <f aca="false">IF($J175=0,"",SUM($J$167:$J175))</f>
        <v/>
      </c>
      <c r="L175" s="20" t="str">
        <f aca="false">IF($K175="","",$A175*100+$K175)</f>
        <v/>
      </c>
      <c r="M175" s="48" t="str">
        <f aca="false">参数!$B$4</f>
        <v>回款</v>
      </c>
    </row>
    <row r="176" customFormat="false" ht="13.5" hidden="false" customHeight="false" outlineLevel="0" collapsed="false">
      <c r="A176" s="47" t="n">
        <v>12</v>
      </c>
      <c r="B176" s="38" t="n">
        <f aca="false">助手回款!$B13</f>
        <v>2012</v>
      </c>
      <c r="C176" s="48" t="str">
        <f aca="false">助手回款!$C13</f>
        <v>泽畔店</v>
      </c>
      <c r="D176" s="48" t="str">
        <f aca="false">科目对照回款!$B11&amp;""</f>
        <v>企健网</v>
      </c>
      <c r="E176" s="48" t="str">
        <f aca="false">科目对照回款!$C11&amp;""</f>
        <v>应收账款</v>
      </c>
      <c r="F176" s="48" t="str">
        <f aca="false">科目对照回款!$D11&amp;""</f>
        <v>企健网</v>
      </c>
      <c r="G176" s="49" t="n">
        <f aca="false">-ROUND(IF(科目对照回款!$F$11="",0,SUMIFS(输入回款!$C:$C,输入回款!$A:$A,助手回款!$X13,输入回款!$B:$B,科目对照回款!$F$11)+SUMIFS(输入回款!$D:$D,输入回款!$A:$A,助手回款!$X13,输入回款!$B:$B,科目对照回款!$F$11))+IF(科目对照回款!$G$11="",0,SUMIFS(输入回款!$C:$C,输入回款!$A:$A,助手回款!$X13,输入回款!$B:$B,科目对照回款!$G$11)+SUMIFS(输入回款!$D:$D,输入回款!$A:$A,助手回款!$X13,输入回款!$B:$B,科目对照回款!$G$11))+IF(科目对照回款!$H$11="",0,SUMIFS(输入回款!$C:$C,输入回款!$A:$A,助手回款!$X13,输入回款!$B:$B,科目对照回款!$H$11)+SUMIFS(输入回款!$D:$D,输入回款!$A:$A,助手回款!$X13,输入回款!$B:$B,科目对照回款!$H$11)),2)</f>
        <v>-0</v>
      </c>
      <c r="H176" s="49" t="str">
        <f aca="false">IF(ROUND($G176,2)&gt;0,ROUND($G176,2),"")</f>
        <v/>
      </c>
      <c r="I176" s="49" t="str">
        <f aca="false">IF(ROUND($G176,2)&lt;0,-ROUND($G176,2),"")</f>
        <v/>
      </c>
      <c r="J176" s="20" t="n">
        <f aca="false">IF(ROUND($G176,2)=0,0,1)</f>
        <v>0</v>
      </c>
      <c r="K176" s="20" t="str">
        <f aca="false">IF($J176=0,"",SUM($J$167:$J176))</f>
        <v/>
      </c>
      <c r="L176" s="20" t="str">
        <f aca="false">IF($K176="","",$A176*100+$K176)</f>
        <v/>
      </c>
      <c r="M176" s="48" t="str">
        <f aca="false">参数!$B$4</f>
        <v>回款</v>
      </c>
    </row>
    <row r="177" customFormat="false" ht="13.5" hidden="false" customHeight="false" outlineLevel="0" collapsed="false">
      <c r="A177" s="47" t="n">
        <v>12</v>
      </c>
      <c r="B177" s="38" t="n">
        <f aca="false">助手回款!$B13</f>
        <v>2012</v>
      </c>
      <c r="C177" s="48" t="str">
        <f aca="false">助手回款!$C13</f>
        <v>泽畔店</v>
      </c>
      <c r="D177" s="48" t="str">
        <f aca="false">科目对照回款!$B12&amp;""</f>
        <v>亲情卡</v>
      </c>
      <c r="E177" s="48" t="str">
        <f aca="false">科目对照回款!$C12&amp;""</f>
        <v>应收账款</v>
      </c>
      <c r="F177" s="48" t="str">
        <f aca="false">科目对照回款!$D12&amp;""</f>
        <v>亲情卡</v>
      </c>
      <c r="G177" s="49" t="n">
        <f aca="false">-ROUND(IF(科目对照回款!$F$12="",0,SUMIFS(输入回款!$C:$C,输入回款!$A:$A,助手回款!$X13,输入回款!$B:$B,科目对照回款!$F$12)+SUMIFS(输入回款!$D:$D,输入回款!$A:$A,助手回款!$X13,输入回款!$B:$B,科目对照回款!$F$12))+IF(科目对照回款!$G$12="",0,SUMIFS(输入回款!$C:$C,输入回款!$A:$A,助手回款!$X13,输入回款!$B:$B,科目对照回款!$G$12)+SUMIFS(输入回款!$D:$D,输入回款!$A:$A,助手回款!$X13,输入回款!$B:$B,科目对照回款!$G$12))+IF(科目对照回款!$H$12="",0,SUMIFS(输入回款!$C:$C,输入回款!$A:$A,助手回款!$X13,输入回款!$B:$B,科目对照回款!$H$12)+SUMIFS(输入回款!$D:$D,输入回款!$A:$A,助手回款!$X13,输入回款!$B:$B,科目对照回款!$H$12)),2)</f>
        <v>-0</v>
      </c>
      <c r="H177" s="49" t="str">
        <f aca="false">IF(ROUND($G177,2)&gt;0,ROUND($G177,2),"")</f>
        <v/>
      </c>
      <c r="I177" s="49" t="str">
        <f aca="false">IF(ROUND($G177,2)&lt;0,-ROUND($G177,2),"")</f>
        <v/>
      </c>
      <c r="J177" s="20" t="n">
        <f aca="false">IF(ROUND($G177,2)=0,0,1)</f>
        <v>0</v>
      </c>
      <c r="K177" s="20" t="str">
        <f aca="false">IF($J177=0,"",SUM($J$167:$J177))</f>
        <v/>
      </c>
      <c r="L177" s="20" t="str">
        <f aca="false">IF($K177="","",$A177*100+$K177)</f>
        <v/>
      </c>
      <c r="M177" s="48" t="str">
        <f aca="false">参数!$B$4</f>
        <v>回款</v>
      </c>
    </row>
    <row r="178" customFormat="false" ht="13.5" hidden="false" customHeight="false" outlineLevel="0" collapsed="false">
      <c r="A178" s="47" t="n">
        <v>12</v>
      </c>
      <c r="B178" s="38" t="n">
        <f aca="false">助手回款!$B13</f>
        <v>2012</v>
      </c>
      <c r="C178" s="48" t="str">
        <f aca="false">助手回款!$C13</f>
        <v>泽畔店</v>
      </c>
      <c r="D178" s="48" t="str">
        <f aca="false">科目对照回款!$B13&amp;""</f>
        <v>银联</v>
      </c>
      <c r="E178" s="48" t="str">
        <f aca="false">科目对照回款!$C13&amp;""</f>
        <v>应收账款</v>
      </c>
      <c r="F178" s="48" t="str">
        <f aca="false">科目对照回款!$D13&amp;""</f>
        <v>银联</v>
      </c>
      <c r="G178" s="49" t="n">
        <f aca="false">-ROUND(IF(科目对照回款!$F$13="",0,SUMIFS(输入回款!$C:$C,输入回款!$A:$A,助手回款!$X13,输入回款!$B:$B,科目对照回款!$F$13)+SUMIFS(输入回款!$D:$D,输入回款!$A:$A,助手回款!$X13,输入回款!$B:$B,科目对照回款!$F$13))+IF(科目对照回款!$G$13="",0,SUMIFS(输入回款!$C:$C,输入回款!$A:$A,助手回款!$X13,输入回款!$B:$B,科目对照回款!$G$13)+SUMIFS(输入回款!$D:$D,输入回款!$A:$A,助手回款!$X13,输入回款!$B:$B,科目对照回款!$G$13))+IF(科目对照回款!$H$13="",0,SUMIFS(输入回款!$C:$C,输入回款!$A:$A,助手回款!$X13,输入回款!$B:$B,科目对照回款!$H$13)+SUMIFS(输入回款!$D:$D,输入回款!$A:$A,助手回款!$X13,输入回款!$B:$B,科目对照回款!$H$13)),2)</f>
        <v>-0</v>
      </c>
      <c r="H178" s="49" t="str">
        <f aca="false">IF(ROUND($G178,2)&gt;0,ROUND($G178,2),"")</f>
        <v/>
      </c>
      <c r="I178" s="49" t="str">
        <f aca="false">IF(ROUND($G178,2)&lt;0,-ROUND($G178,2),"")</f>
        <v/>
      </c>
      <c r="J178" s="20" t="n">
        <f aca="false">IF(ROUND($G178,2)=0,0,1)</f>
        <v>0</v>
      </c>
      <c r="K178" s="20" t="str">
        <f aca="false">IF($J178=0,"",SUM($J$167:$J178))</f>
        <v/>
      </c>
      <c r="L178" s="20" t="str">
        <f aca="false">IF($K178="","",$A178*100+$K178)</f>
        <v/>
      </c>
      <c r="M178" s="48" t="str">
        <f aca="false">参数!$B$4</f>
        <v>回款</v>
      </c>
    </row>
    <row r="179" customFormat="false" ht="13.5" hidden="false" customHeight="false" outlineLevel="0" collapsed="false">
      <c r="A179" s="47" t="n">
        <v>12</v>
      </c>
      <c r="B179" s="38" t="n">
        <f aca="false">助手回款!$B13</f>
        <v>2012</v>
      </c>
      <c r="C179" s="48" t="str">
        <f aca="false">助手回款!$C13</f>
        <v>泽畔店</v>
      </c>
      <c r="D179" s="48" t="str">
        <f aca="false">科目对照回款!$B14&amp;""</f>
        <v>代金券</v>
      </c>
      <c r="E179" s="48" t="str">
        <f aca="false">科目对照回款!$C14&amp;""</f>
        <v>应收账款</v>
      </c>
      <c r="F179" s="48" t="str">
        <f aca="false">科目对照回款!$D14&amp;""</f>
        <v>代金券</v>
      </c>
      <c r="G179" s="49" t="n">
        <f aca="false">-ROUND(IF(科目对照回款!$F$14="",0,SUMIFS(输入回款!$C:$C,输入回款!$A:$A,助手回款!$X13,输入回款!$B:$B,科目对照回款!$F$14)+SUMIFS(输入回款!$D:$D,输入回款!$A:$A,助手回款!$X13,输入回款!$B:$B,科目对照回款!$F$14))+IF(科目对照回款!$G$14="",0,SUMIFS(输入回款!$C:$C,输入回款!$A:$A,助手回款!$X13,输入回款!$B:$B,科目对照回款!$G$14)+SUMIFS(输入回款!$D:$D,输入回款!$A:$A,助手回款!$X13,输入回款!$B:$B,科目对照回款!$G$14))+IF(科目对照回款!$H$14="",0,SUMIFS(输入回款!$C:$C,输入回款!$A:$A,助手回款!$X13,输入回款!$B:$B,科目对照回款!$H$14)+SUMIFS(输入回款!$D:$D,输入回款!$A:$A,助手回款!$X13,输入回款!$B:$B,科目对照回款!$H$14)),2)</f>
        <v>-0</v>
      </c>
      <c r="H179" s="49" t="str">
        <f aca="false">IF(ROUND($G179,2)&gt;0,ROUND($G179,2),"")</f>
        <v/>
      </c>
      <c r="I179" s="49" t="str">
        <f aca="false">IF(ROUND($G179,2)&lt;0,-ROUND($G179,2),"")</f>
        <v/>
      </c>
      <c r="J179" s="20" t="n">
        <f aca="false">IF(ROUND($G179,2)=0,0,1)</f>
        <v>0</v>
      </c>
      <c r="K179" s="20" t="str">
        <f aca="false">IF($J179=0,"",SUM($J$167:$J179))</f>
        <v/>
      </c>
      <c r="L179" s="20" t="str">
        <f aca="false">IF($K179="","",$A179*100+$K179)</f>
        <v/>
      </c>
      <c r="M179" s="48" t="str">
        <f aca="false">参数!$B$4</f>
        <v>回款</v>
      </c>
    </row>
    <row r="180" customFormat="false" ht="13.5" hidden="false" customHeight="false" outlineLevel="0" collapsed="false">
      <c r="A180" s="47" t="n">
        <v>12</v>
      </c>
      <c r="B180" s="38" t="n">
        <f aca="false">助手回款!$B13</f>
        <v>2012</v>
      </c>
      <c r="C180" s="48" t="str">
        <f aca="false">助手回款!$C13</f>
        <v>泽畔店</v>
      </c>
      <c r="D180" s="48" t="str">
        <f aca="false">科目对照回款!$B15&amp;""</f>
        <v>药机微信</v>
      </c>
      <c r="E180" s="48" t="str">
        <f aca="false">科目对照回款!$C15&amp;""</f>
        <v>应收账款</v>
      </c>
      <c r="F180" s="48" t="str">
        <f aca="false">科目对照回款!$D15&amp;""</f>
        <v>药机微信</v>
      </c>
      <c r="G180" s="49" t="n">
        <f aca="false">-ROUND(IF(科目对照回款!$F$15="",0,SUMIFS(输入回款!$C:$C,输入回款!$A:$A,助手回款!$X13,输入回款!$B:$B,科目对照回款!$F$15)+SUMIFS(输入回款!$D:$D,输入回款!$A:$A,助手回款!$X13,输入回款!$B:$B,科目对照回款!$F$15))+IF(科目对照回款!$G$15="",0,SUMIFS(输入回款!$C:$C,输入回款!$A:$A,助手回款!$X13,输入回款!$B:$B,科目对照回款!$G$15)+SUMIFS(输入回款!$D:$D,输入回款!$A:$A,助手回款!$X13,输入回款!$B:$B,科目对照回款!$G$15))+IF(科目对照回款!$H$15="",0,SUMIFS(输入回款!$C:$C,输入回款!$A:$A,助手回款!$X13,输入回款!$B:$B,科目对照回款!$H$15)+SUMIFS(输入回款!$D:$D,输入回款!$A:$A,助手回款!$X13,输入回款!$B:$B,科目对照回款!$H$15)),2)</f>
        <v>-0</v>
      </c>
      <c r="H180" s="49" t="str">
        <f aca="false">IF(ROUND($G180,2)&gt;0,ROUND($G180,2),"")</f>
        <v/>
      </c>
      <c r="I180" s="49" t="str">
        <f aca="false">IF(ROUND($G180,2)&lt;0,-ROUND($G180,2),"")</f>
        <v/>
      </c>
      <c r="J180" s="20" t="n">
        <f aca="false">IF(ROUND($G180,2)=0,0,1)</f>
        <v>0</v>
      </c>
      <c r="K180" s="20" t="str">
        <f aca="false">IF($J180=0,"",SUM($J$167:$J180))</f>
        <v/>
      </c>
      <c r="L180" s="20" t="str">
        <f aca="false">IF($K180="","",$A180*100+$K180)</f>
        <v/>
      </c>
      <c r="M180" s="48" t="str">
        <f aca="false">参数!$B$4</f>
        <v>回款</v>
      </c>
    </row>
    <row r="181" customFormat="false" ht="13.5" hidden="false" customHeight="false" outlineLevel="0" collapsed="false">
      <c r="A181" s="47" t="n">
        <v>12</v>
      </c>
      <c r="B181" s="38" t="n">
        <f aca="false">助手回款!$B13</f>
        <v>2012</v>
      </c>
      <c r="C181" s="48" t="str">
        <f aca="false">助手回款!$C13</f>
        <v>泽畔店</v>
      </c>
      <c r="D181" s="48" t="str">
        <f aca="false">科目对照回款!$B16&amp;""</f>
        <v>储值卡</v>
      </c>
      <c r="E181" s="48" t="str">
        <f aca="false">科目对照回款!$C16&amp;""</f>
        <v>其他应收款</v>
      </c>
      <c r="F181" s="48" t="str">
        <f aca="false">科目对照回款!$D16&amp;""</f>
        <v>储值卡</v>
      </c>
      <c r="G181" s="49" t="n">
        <f aca="false">-ROUND(IF(科目对照回款!$F$16="",0,SUMIFS(输入回款!$C:$C,输入回款!$A:$A,助手回款!$X13,输入回款!$B:$B,科目对照回款!$F$16)+SUMIFS(输入回款!$D:$D,输入回款!$A:$A,助手回款!$X13,输入回款!$B:$B,科目对照回款!$F$16))+IF(科目对照回款!$G$16="",0,SUMIFS(输入回款!$C:$C,输入回款!$A:$A,助手回款!$X13,输入回款!$B:$B,科目对照回款!$G$16)+SUMIFS(输入回款!$D:$D,输入回款!$A:$A,助手回款!$X13,输入回款!$B:$B,科目对照回款!$G$16))+IF(科目对照回款!$H$16="",0,SUMIFS(输入回款!$C:$C,输入回款!$A:$A,助手回款!$X13,输入回款!$B:$B,科目对照回款!$H$16)+SUMIFS(输入回款!$D:$D,输入回款!$A:$A,助手回款!$X13,输入回款!$B:$B,科目对照回款!$H$16)),2)</f>
        <v>-0</v>
      </c>
      <c r="H181" s="49" t="str">
        <f aca="false">IF(ROUND($G181,2)&gt;0,ROUND($G181,2),"")</f>
        <v/>
      </c>
      <c r="I181" s="49" t="str">
        <f aca="false">IF(ROUND($G181,2)&lt;0,-ROUND($G181,2),"")</f>
        <v/>
      </c>
      <c r="J181" s="20" t="n">
        <f aca="false">IF(ROUND($G181,2)=0,0,1)</f>
        <v>0</v>
      </c>
      <c r="K181" s="20" t="str">
        <f aca="false">IF($J181=0,"",SUM($J$167:$J181))</f>
        <v/>
      </c>
      <c r="L181" s="20" t="str">
        <f aca="false">IF($K181="","",$A181*100+$K181)</f>
        <v/>
      </c>
      <c r="M181" s="48" t="str">
        <f aca="false">参数!$B$4</f>
        <v>回款</v>
      </c>
    </row>
    <row r="182" customFormat="false" ht="13.5" hidden="false" customHeight="false" outlineLevel="0" collapsed="false">
      <c r="A182" s="47" t="n">
        <v>13</v>
      </c>
      <c r="B182" s="38" t="n">
        <f aca="false">助手回款!$B14</f>
        <v>2014</v>
      </c>
      <c r="C182" s="48" t="str">
        <f aca="false">助手回款!$C14</f>
        <v>博桥店</v>
      </c>
      <c r="D182" s="48" t="str">
        <f aca="false">科目对照回款!$B2&amp;""</f>
        <v>库存现金</v>
      </c>
      <c r="E182" s="48" t="str">
        <f aca="false">科目对照回款!$C2&amp;""</f>
        <v>库存现金</v>
      </c>
      <c r="F182" s="48" t="str">
        <f aca="false">科目对照回款!$D2&amp;""</f>
        <v/>
      </c>
      <c r="G182" s="49" t="n">
        <f aca="false">助手回款!$E14</f>
        <v>57332.73</v>
      </c>
      <c r="H182" s="49" t="n">
        <f aca="false">IF(ROUND($G182,2)&gt;0,ROUND($G182,2),"")</f>
        <v>57332.73</v>
      </c>
      <c r="I182" s="49" t="str">
        <f aca="false">IF(ROUND($G182,2)&lt;0,-ROUND($G182,2),"")</f>
        <v/>
      </c>
      <c r="J182" s="20" t="n">
        <f aca="false">IF(ROUND($G182,2)=0,0,1)</f>
        <v>1</v>
      </c>
      <c r="K182" s="20" t="n">
        <f aca="false">IF($J182=0,"",SUM($J$182:$J182))</f>
        <v>1</v>
      </c>
      <c r="L182" s="20" t="n">
        <f aca="false">IF($K182="","",$A182*100+$K182)</f>
        <v>1301</v>
      </c>
      <c r="M182" s="48" t="str">
        <f aca="false">参数!$B$4</f>
        <v>回款</v>
      </c>
    </row>
    <row r="183" customFormat="false" ht="13.5" hidden="false" customHeight="false" outlineLevel="0" collapsed="false">
      <c r="A183" s="47" t="n">
        <v>13</v>
      </c>
      <c r="B183" s="38" t="n">
        <f aca="false">助手回款!$B14</f>
        <v>2014</v>
      </c>
      <c r="C183" s="48" t="str">
        <f aca="false">助手回款!$C14</f>
        <v>博桥店</v>
      </c>
      <c r="D183" s="48" t="str">
        <f aca="false">科目对照回款!$B3&amp;""</f>
        <v>手续费</v>
      </c>
      <c r="E183" s="48" t="str">
        <f aca="false">科目对照回款!$C3&amp;""</f>
        <v>财务费用</v>
      </c>
      <c r="F183" s="48" t="str">
        <f aca="false">科目对照回款!$D3&amp;""</f>
        <v>手续费</v>
      </c>
      <c r="G183" s="49" t="n">
        <f aca="false">助手回款!$F14</f>
        <v>0</v>
      </c>
      <c r="H183" s="49" t="str">
        <f aca="false">IF(ROUND($G183,2)&gt;0,ROUND($G183,2),"")</f>
        <v/>
      </c>
      <c r="I183" s="49" t="str">
        <f aca="false">IF(ROUND($G183,2)&lt;0,-ROUND($G183,2),"")</f>
        <v/>
      </c>
      <c r="J183" s="20" t="n">
        <f aca="false">IF(ROUND($G183,2)=0,0,1)</f>
        <v>0</v>
      </c>
      <c r="K183" s="20" t="str">
        <f aca="false">IF($J183=0,"",SUM($J$182:$J183))</f>
        <v/>
      </c>
      <c r="L183" s="20" t="str">
        <f aca="false">IF($K183="","",$A183*100+$K183)</f>
        <v/>
      </c>
      <c r="M183" s="48" t="str">
        <f aca="false">参数!$B$4</f>
        <v>回款</v>
      </c>
    </row>
    <row r="184" customFormat="false" ht="13.5" hidden="false" customHeight="false" outlineLevel="0" collapsed="false">
      <c r="A184" s="47" t="n">
        <v>13</v>
      </c>
      <c r="B184" s="38" t="n">
        <f aca="false">助手回款!$B14</f>
        <v>2014</v>
      </c>
      <c r="C184" s="48" t="str">
        <f aca="false">助手回款!$C14</f>
        <v>博桥店</v>
      </c>
      <c r="D184" s="48" t="str">
        <f aca="false">科目对照回款!$B4&amp;""</f>
        <v>聚合支付</v>
      </c>
      <c r="E184" s="48" t="str">
        <f aca="false">科目对照回款!$C4&amp;""</f>
        <v>应收账款</v>
      </c>
      <c r="F184" s="48" t="str">
        <f aca="false">科目对照回款!$D4&amp;""</f>
        <v>聚合支付</v>
      </c>
      <c r="G184" s="49" t="n">
        <f aca="false">-ROUND(IF(科目对照回款!$F$4="",0,SUMIFS(输入回款!$C:$C,输入回款!$A:$A,助手回款!$X14,输入回款!$B:$B,科目对照回款!$F$4)+SUMIFS(输入回款!$D:$D,输入回款!$A:$A,助手回款!$X14,输入回款!$B:$B,科目对照回款!$F$4))+IF(科目对照回款!$G$4="",0,SUMIFS(输入回款!$C:$C,输入回款!$A:$A,助手回款!$X14,输入回款!$B:$B,科目对照回款!$G$4)+SUMIFS(输入回款!$D:$D,输入回款!$A:$A,助手回款!$X14,输入回款!$B:$B,科目对照回款!$G$4))+IF(科目对照回款!$H$4="",0,SUMIFS(输入回款!$C:$C,输入回款!$A:$A,助手回款!$X14,输入回款!$B:$B,科目对照回款!$H$4)+SUMIFS(输入回款!$D:$D,输入回款!$A:$A,助手回款!$X14,输入回款!$B:$B,科目对照回款!$H$4)),2)</f>
        <v>-47703.25</v>
      </c>
      <c r="H184" s="49" t="str">
        <f aca="false">IF(ROUND($G184,2)&gt;0,ROUND($G184,2),"")</f>
        <v/>
      </c>
      <c r="I184" s="49" t="n">
        <f aca="false">IF(ROUND($G184,2)&lt;0,-ROUND($G184,2),"")</f>
        <v>47703.25</v>
      </c>
      <c r="J184" s="20" t="n">
        <f aca="false">IF(ROUND($G184,2)=0,0,1)</f>
        <v>1</v>
      </c>
      <c r="K184" s="20" t="n">
        <f aca="false">IF($J184=0,"",SUM($J$182:$J184))</f>
        <v>2</v>
      </c>
      <c r="L184" s="20" t="n">
        <f aca="false">IF($K184="","",$A184*100+$K184)</f>
        <v>1302</v>
      </c>
      <c r="M184" s="48" t="str">
        <f aca="false">参数!$B$4</f>
        <v>回款</v>
      </c>
    </row>
    <row r="185" customFormat="false" ht="13.5" hidden="false" customHeight="false" outlineLevel="0" collapsed="false">
      <c r="A185" s="47" t="n">
        <v>13</v>
      </c>
      <c r="B185" s="38" t="n">
        <f aca="false">助手回款!$B14</f>
        <v>2014</v>
      </c>
      <c r="C185" s="48" t="str">
        <f aca="false">助手回款!$C14</f>
        <v>博桥店</v>
      </c>
      <c r="D185" s="48" t="str">
        <f aca="false">科目对照回款!$B5&amp;""</f>
        <v>医保</v>
      </c>
      <c r="E185" s="48" t="str">
        <f aca="false">科目对照回款!$C5&amp;""</f>
        <v>应收账款</v>
      </c>
      <c r="F185" s="48" t="str">
        <f aca="false">科目对照回款!$D5&amp;""</f>
        <v>医保</v>
      </c>
      <c r="G185" s="49" t="n">
        <f aca="false">-ROUND(IF(科目对照回款!$F$5="",0,SUMIFS(输入回款!$C:$C,输入回款!$A:$A,助手回款!$X14,输入回款!$B:$B,科目对照回款!$F$5)+SUMIFS(输入回款!$D:$D,输入回款!$A:$A,助手回款!$X14,输入回款!$B:$B,科目对照回款!$F$5))+IF(科目对照回款!$G$5="",0,SUMIFS(输入回款!$C:$C,输入回款!$A:$A,助手回款!$X14,输入回款!$B:$B,科目对照回款!$G$5)+SUMIFS(输入回款!$D:$D,输入回款!$A:$A,助手回款!$X14,输入回款!$B:$B,科目对照回款!$G$5))+IF(科目对照回款!$H$5="",0,SUMIFS(输入回款!$C:$C,输入回款!$A:$A,助手回款!$X14,输入回款!$B:$B,科目对照回款!$H$5)+SUMIFS(输入回款!$D:$D,输入回款!$A:$A,助手回款!$X14,输入回款!$B:$B,科目对照回款!$H$5)),2)</f>
        <v>-9629.48</v>
      </c>
      <c r="H185" s="49" t="str">
        <f aca="false">IF(ROUND($G185,2)&gt;0,ROUND($G185,2),"")</f>
        <v/>
      </c>
      <c r="I185" s="49" t="n">
        <f aca="false">IF(ROUND($G185,2)&lt;0,-ROUND($G185,2),"")</f>
        <v>9629.48</v>
      </c>
      <c r="J185" s="20" t="n">
        <f aca="false">IF(ROUND($G185,2)=0,0,1)</f>
        <v>1</v>
      </c>
      <c r="K185" s="20" t="n">
        <f aca="false">IF($J185=0,"",SUM($J$182:$J185))</f>
        <v>3</v>
      </c>
      <c r="L185" s="20" t="n">
        <f aca="false">IF($K185="","",$A185*100+$K185)</f>
        <v>1303</v>
      </c>
      <c r="M185" s="48" t="str">
        <f aca="false">参数!$B$4</f>
        <v>回款</v>
      </c>
    </row>
    <row r="186" customFormat="false" ht="13.5" hidden="false" customHeight="false" outlineLevel="0" collapsed="false">
      <c r="A186" s="47" t="n">
        <v>13</v>
      </c>
      <c r="B186" s="38" t="n">
        <f aca="false">助手回款!$B14</f>
        <v>2014</v>
      </c>
      <c r="C186" s="48" t="str">
        <f aca="false">助手回款!$C14</f>
        <v>博桥店</v>
      </c>
      <c r="D186" s="48" t="str">
        <f aca="false">科目对照回款!$B6&amp;""</f>
        <v>美团</v>
      </c>
      <c r="E186" s="48" t="str">
        <f aca="false">科目对照回款!$C6&amp;""</f>
        <v>应收账款</v>
      </c>
      <c r="F186" s="48" t="str">
        <f aca="false">科目对照回款!$D6&amp;""</f>
        <v>美团</v>
      </c>
      <c r="G186" s="49" t="n">
        <f aca="false">-ROUND(IF(科目对照回款!$F$6="",0,SUMIFS(输入回款!$C:$C,输入回款!$A:$A,助手回款!$X14,输入回款!$B:$B,科目对照回款!$F$6)+SUMIFS(输入回款!$D:$D,输入回款!$A:$A,助手回款!$X14,输入回款!$B:$B,科目对照回款!$F$6))+IF(科目对照回款!$G$6="",0,SUMIFS(输入回款!$C:$C,输入回款!$A:$A,助手回款!$X14,输入回款!$B:$B,科目对照回款!$G$6)+SUMIFS(输入回款!$D:$D,输入回款!$A:$A,助手回款!$X14,输入回款!$B:$B,科目对照回款!$G$6))+IF(科目对照回款!$H$6="",0,SUMIFS(输入回款!$C:$C,输入回款!$A:$A,助手回款!$X14,输入回款!$B:$B,科目对照回款!$H$6)+SUMIFS(输入回款!$D:$D,输入回款!$A:$A,助手回款!$X14,输入回款!$B:$B,科目对照回款!$H$6)),2)</f>
        <v>-0</v>
      </c>
      <c r="H186" s="49" t="str">
        <f aca="false">IF(ROUND($G186,2)&gt;0,ROUND($G186,2),"")</f>
        <v/>
      </c>
      <c r="I186" s="49" t="str">
        <f aca="false">IF(ROUND($G186,2)&lt;0,-ROUND($G186,2),"")</f>
        <v/>
      </c>
      <c r="J186" s="20" t="n">
        <f aca="false">IF(ROUND($G186,2)=0,0,1)</f>
        <v>0</v>
      </c>
      <c r="K186" s="20" t="str">
        <f aca="false">IF($J186=0,"",SUM($J$182:$J186))</f>
        <v/>
      </c>
      <c r="L186" s="20" t="str">
        <f aca="false">IF($K186="","",$A186*100+$K186)</f>
        <v/>
      </c>
      <c r="M186" s="48" t="str">
        <f aca="false">参数!$B$4</f>
        <v>回款</v>
      </c>
    </row>
    <row r="187" customFormat="false" ht="13.5" hidden="false" customHeight="false" outlineLevel="0" collapsed="false">
      <c r="A187" s="47" t="n">
        <v>13</v>
      </c>
      <c r="B187" s="38" t="n">
        <f aca="false">助手回款!$B14</f>
        <v>2014</v>
      </c>
      <c r="C187" s="48" t="str">
        <f aca="false">助手回款!$C14</f>
        <v>博桥店</v>
      </c>
      <c r="D187" s="48" t="str">
        <f aca="false">科目对照回款!$B7&amp;""</f>
        <v>饿了么</v>
      </c>
      <c r="E187" s="48" t="str">
        <f aca="false">科目对照回款!$C7&amp;""</f>
        <v>应收账款</v>
      </c>
      <c r="F187" s="48" t="str">
        <f aca="false">科目对照回款!$D7&amp;""</f>
        <v>饿了么</v>
      </c>
      <c r="G187" s="49" t="n">
        <f aca="false">-ROUND(IF(科目对照回款!$F$7="",0,SUMIFS(输入回款!$C:$C,输入回款!$A:$A,助手回款!$X14,输入回款!$B:$B,科目对照回款!$F$7)+SUMIFS(输入回款!$D:$D,输入回款!$A:$A,助手回款!$X14,输入回款!$B:$B,科目对照回款!$F$7))+IF(科目对照回款!$G$7="",0,SUMIFS(输入回款!$C:$C,输入回款!$A:$A,助手回款!$X14,输入回款!$B:$B,科目对照回款!$G$7)+SUMIFS(输入回款!$D:$D,输入回款!$A:$A,助手回款!$X14,输入回款!$B:$B,科目对照回款!$G$7))+IF(科目对照回款!$H$7="",0,SUMIFS(输入回款!$C:$C,输入回款!$A:$A,助手回款!$X14,输入回款!$B:$B,科目对照回款!$H$7)+SUMIFS(输入回款!$D:$D,输入回款!$A:$A,助手回款!$X14,输入回款!$B:$B,科目对照回款!$H$7)),2)</f>
        <v>-0</v>
      </c>
      <c r="H187" s="49" t="str">
        <f aca="false">IF(ROUND($G187,2)&gt;0,ROUND($G187,2),"")</f>
        <v/>
      </c>
      <c r="I187" s="49" t="str">
        <f aca="false">IF(ROUND($G187,2)&lt;0,-ROUND($G187,2),"")</f>
        <v/>
      </c>
      <c r="J187" s="20" t="n">
        <f aca="false">IF(ROUND($G187,2)=0,0,1)</f>
        <v>0</v>
      </c>
      <c r="K187" s="20" t="str">
        <f aca="false">IF($J187=0,"",SUM($J$182:$J187))</f>
        <v/>
      </c>
      <c r="L187" s="20" t="str">
        <f aca="false">IF($K187="","",$A187*100+$K187)</f>
        <v/>
      </c>
      <c r="M187" s="48" t="str">
        <f aca="false">参数!$B$4</f>
        <v>回款</v>
      </c>
    </row>
    <row r="188" customFormat="false" ht="13.5" hidden="false" customHeight="false" outlineLevel="0" collapsed="false">
      <c r="A188" s="47" t="n">
        <v>13</v>
      </c>
      <c r="B188" s="38" t="n">
        <f aca="false">助手回款!$B14</f>
        <v>2014</v>
      </c>
      <c r="C188" s="48" t="str">
        <f aca="false">助手回款!$C14</f>
        <v>博桥店</v>
      </c>
      <c r="D188" s="48" t="str">
        <f aca="false">科目对照回款!$B8&amp;""</f>
        <v>24小时</v>
      </c>
      <c r="E188" s="48" t="str">
        <f aca="false">科目对照回款!$C8&amp;""</f>
        <v>应收账款</v>
      </c>
      <c r="F188" s="48" t="str">
        <f aca="false">科目对照回款!$D8&amp;""</f>
        <v>24小时</v>
      </c>
      <c r="G188" s="49" t="n">
        <f aca="false">-ROUND(IF(科目对照回款!$F$8="",0,SUMIFS(输入回款!$C:$C,输入回款!$A:$A,助手回款!$X14,输入回款!$B:$B,科目对照回款!$F$8)+SUMIFS(输入回款!$D:$D,输入回款!$A:$A,助手回款!$X14,输入回款!$B:$B,科目对照回款!$F$8))+IF(科目对照回款!$G$8="",0,SUMIFS(输入回款!$C:$C,输入回款!$A:$A,助手回款!$X14,输入回款!$B:$B,科目对照回款!$G$8)+SUMIFS(输入回款!$D:$D,输入回款!$A:$A,助手回款!$X14,输入回款!$B:$B,科目对照回款!$G$8))+IF(科目对照回款!$H$8="",0,SUMIFS(输入回款!$C:$C,输入回款!$A:$A,助手回款!$X14,输入回款!$B:$B,科目对照回款!$H$8)+SUMIFS(输入回款!$D:$D,输入回款!$A:$A,助手回款!$X14,输入回款!$B:$B,科目对照回款!$H$8)),2)</f>
        <v>-0</v>
      </c>
      <c r="H188" s="49" t="str">
        <f aca="false">IF(ROUND($G188,2)&gt;0,ROUND($G188,2),"")</f>
        <v/>
      </c>
      <c r="I188" s="49" t="str">
        <f aca="false">IF(ROUND($G188,2)&lt;0,-ROUND($G188,2),"")</f>
        <v/>
      </c>
      <c r="J188" s="20" t="n">
        <f aca="false">IF(ROUND($G188,2)=0,0,1)</f>
        <v>0</v>
      </c>
      <c r="K188" s="20" t="str">
        <f aca="false">IF($J188=0,"",SUM($J$182:$J188))</f>
        <v/>
      </c>
      <c r="L188" s="20" t="str">
        <f aca="false">IF($K188="","",$A188*100+$K188)</f>
        <v/>
      </c>
      <c r="M188" s="48" t="str">
        <f aca="false">参数!$B$4</f>
        <v>回款</v>
      </c>
    </row>
    <row r="189" customFormat="false" ht="13.5" hidden="false" customHeight="false" outlineLevel="0" collapsed="false">
      <c r="A189" s="47" t="n">
        <v>13</v>
      </c>
      <c r="B189" s="38" t="n">
        <f aca="false">助手回款!$B14</f>
        <v>2014</v>
      </c>
      <c r="C189" s="48" t="str">
        <f aca="false">助手回款!$C14</f>
        <v>博桥店</v>
      </c>
      <c r="D189" s="48" t="str">
        <f aca="false">科目对照回款!$B9&amp;""</f>
        <v>健E卡</v>
      </c>
      <c r="E189" s="48" t="str">
        <f aca="false">科目对照回款!$C9&amp;""</f>
        <v>应收账款</v>
      </c>
      <c r="F189" s="48" t="str">
        <f aca="false">科目对照回款!$D9&amp;""</f>
        <v>健E卡</v>
      </c>
      <c r="G189" s="49" t="n">
        <f aca="false">-ROUND(IF(科目对照回款!$F$9="",0,SUMIFS(输入回款!$C:$C,输入回款!$A:$A,助手回款!$X14,输入回款!$B:$B,科目对照回款!$F$9)+SUMIFS(输入回款!$D:$D,输入回款!$A:$A,助手回款!$X14,输入回款!$B:$B,科目对照回款!$F$9))+IF(科目对照回款!$G$9="",0,SUMIFS(输入回款!$C:$C,输入回款!$A:$A,助手回款!$X14,输入回款!$B:$B,科目对照回款!$G$9)+SUMIFS(输入回款!$D:$D,输入回款!$A:$A,助手回款!$X14,输入回款!$B:$B,科目对照回款!$G$9))+IF(科目对照回款!$H$9="",0,SUMIFS(输入回款!$C:$C,输入回款!$A:$A,助手回款!$X14,输入回款!$B:$B,科目对照回款!$H$9)+SUMIFS(输入回款!$D:$D,输入回款!$A:$A,助手回款!$X14,输入回款!$B:$B,科目对照回款!$H$9)),2)</f>
        <v>-0</v>
      </c>
      <c r="H189" s="49" t="str">
        <f aca="false">IF(ROUND($G189,2)&gt;0,ROUND($G189,2),"")</f>
        <v/>
      </c>
      <c r="I189" s="49" t="str">
        <f aca="false">IF(ROUND($G189,2)&lt;0,-ROUND($G189,2),"")</f>
        <v/>
      </c>
      <c r="J189" s="20" t="n">
        <f aca="false">IF(ROUND($G189,2)=0,0,1)</f>
        <v>0</v>
      </c>
      <c r="K189" s="20" t="str">
        <f aca="false">IF($J189=0,"",SUM($J$182:$J189))</f>
        <v/>
      </c>
      <c r="L189" s="20" t="str">
        <f aca="false">IF($K189="","",$A189*100+$K189)</f>
        <v/>
      </c>
      <c r="M189" s="48" t="str">
        <f aca="false">参数!$B$4</f>
        <v>回款</v>
      </c>
    </row>
    <row r="190" customFormat="false" ht="13.5" hidden="false" customHeight="false" outlineLevel="0" collapsed="false">
      <c r="A190" s="47" t="n">
        <v>13</v>
      </c>
      <c r="B190" s="38" t="n">
        <f aca="false">助手回款!$B14</f>
        <v>2014</v>
      </c>
      <c r="C190" s="48" t="str">
        <f aca="false">助手回款!$C14</f>
        <v>博桥店</v>
      </c>
      <c r="D190" s="48" t="str">
        <f aca="false">科目对照回款!$B10&amp;""</f>
        <v>医卡通</v>
      </c>
      <c r="E190" s="48" t="str">
        <f aca="false">科目对照回款!$C10&amp;""</f>
        <v>应收账款</v>
      </c>
      <c r="F190" s="48" t="str">
        <f aca="false">科目对照回款!$D10&amp;""</f>
        <v>医卡通</v>
      </c>
      <c r="G190" s="49" t="n">
        <f aca="false">-ROUND(IF(科目对照回款!$F$10="",0,SUMIFS(输入回款!$C:$C,输入回款!$A:$A,助手回款!$X14,输入回款!$B:$B,科目对照回款!$F$10)+SUMIFS(输入回款!$D:$D,输入回款!$A:$A,助手回款!$X14,输入回款!$B:$B,科目对照回款!$F$10))+IF(科目对照回款!$G$10="",0,SUMIFS(输入回款!$C:$C,输入回款!$A:$A,助手回款!$X14,输入回款!$B:$B,科目对照回款!$G$10)+SUMIFS(输入回款!$D:$D,输入回款!$A:$A,助手回款!$X14,输入回款!$B:$B,科目对照回款!$G$10))+IF(科目对照回款!$H$10="",0,SUMIFS(输入回款!$C:$C,输入回款!$A:$A,助手回款!$X14,输入回款!$B:$B,科目对照回款!$H$10)+SUMIFS(输入回款!$D:$D,输入回款!$A:$A,助手回款!$X14,输入回款!$B:$B,科目对照回款!$H$10)),2)</f>
        <v>-0</v>
      </c>
      <c r="H190" s="49" t="str">
        <f aca="false">IF(ROUND($G190,2)&gt;0,ROUND($G190,2),"")</f>
        <v/>
      </c>
      <c r="I190" s="49" t="str">
        <f aca="false">IF(ROUND($G190,2)&lt;0,-ROUND($G190,2),"")</f>
        <v/>
      </c>
      <c r="J190" s="20" t="n">
        <f aca="false">IF(ROUND($G190,2)=0,0,1)</f>
        <v>0</v>
      </c>
      <c r="K190" s="20" t="str">
        <f aca="false">IF($J190=0,"",SUM($J$182:$J190))</f>
        <v/>
      </c>
      <c r="L190" s="20" t="str">
        <f aca="false">IF($K190="","",$A190*100+$K190)</f>
        <v/>
      </c>
      <c r="M190" s="48" t="str">
        <f aca="false">参数!$B$4</f>
        <v>回款</v>
      </c>
    </row>
    <row r="191" customFormat="false" ht="13.5" hidden="false" customHeight="false" outlineLevel="0" collapsed="false">
      <c r="A191" s="47" t="n">
        <v>13</v>
      </c>
      <c r="B191" s="38" t="n">
        <f aca="false">助手回款!$B14</f>
        <v>2014</v>
      </c>
      <c r="C191" s="48" t="str">
        <f aca="false">助手回款!$C14</f>
        <v>博桥店</v>
      </c>
      <c r="D191" s="48" t="str">
        <f aca="false">科目对照回款!$B11&amp;""</f>
        <v>企健网</v>
      </c>
      <c r="E191" s="48" t="str">
        <f aca="false">科目对照回款!$C11&amp;""</f>
        <v>应收账款</v>
      </c>
      <c r="F191" s="48" t="str">
        <f aca="false">科目对照回款!$D11&amp;""</f>
        <v>企健网</v>
      </c>
      <c r="G191" s="49" t="n">
        <f aca="false">-ROUND(IF(科目对照回款!$F$11="",0,SUMIFS(输入回款!$C:$C,输入回款!$A:$A,助手回款!$X14,输入回款!$B:$B,科目对照回款!$F$11)+SUMIFS(输入回款!$D:$D,输入回款!$A:$A,助手回款!$X14,输入回款!$B:$B,科目对照回款!$F$11))+IF(科目对照回款!$G$11="",0,SUMIFS(输入回款!$C:$C,输入回款!$A:$A,助手回款!$X14,输入回款!$B:$B,科目对照回款!$G$11)+SUMIFS(输入回款!$D:$D,输入回款!$A:$A,助手回款!$X14,输入回款!$B:$B,科目对照回款!$G$11))+IF(科目对照回款!$H$11="",0,SUMIFS(输入回款!$C:$C,输入回款!$A:$A,助手回款!$X14,输入回款!$B:$B,科目对照回款!$H$11)+SUMIFS(输入回款!$D:$D,输入回款!$A:$A,助手回款!$X14,输入回款!$B:$B,科目对照回款!$H$11)),2)</f>
        <v>-0</v>
      </c>
      <c r="H191" s="49" t="str">
        <f aca="false">IF(ROUND($G191,2)&gt;0,ROUND($G191,2),"")</f>
        <v/>
      </c>
      <c r="I191" s="49" t="str">
        <f aca="false">IF(ROUND($G191,2)&lt;0,-ROUND($G191,2),"")</f>
        <v/>
      </c>
      <c r="J191" s="20" t="n">
        <f aca="false">IF(ROUND($G191,2)=0,0,1)</f>
        <v>0</v>
      </c>
      <c r="K191" s="20" t="str">
        <f aca="false">IF($J191=0,"",SUM($J$182:$J191))</f>
        <v/>
      </c>
      <c r="L191" s="20" t="str">
        <f aca="false">IF($K191="","",$A191*100+$K191)</f>
        <v/>
      </c>
      <c r="M191" s="48" t="str">
        <f aca="false">参数!$B$4</f>
        <v>回款</v>
      </c>
    </row>
    <row r="192" customFormat="false" ht="13.5" hidden="false" customHeight="false" outlineLevel="0" collapsed="false">
      <c r="A192" s="47" t="n">
        <v>13</v>
      </c>
      <c r="B192" s="38" t="n">
        <f aca="false">助手回款!$B14</f>
        <v>2014</v>
      </c>
      <c r="C192" s="48" t="str">
        <f aca="false">助手回款!$C14</f>
        <v>博桥店</v>
      </c>
      <c r="D192" s="48" t="str">
        <f aca="false">科目对照回款!$B12&amp;""</f>
        <v>亲情卡</v>
      </c>
      <c r="E192" s="48" t="str">
        <f aca="false">科目对照回款!$C12&amp;""</f>
        <v>应收账款</v>
      </c>
      <c r="F192" s="48" t="str">
        <f aca="false">科目对照回款!$D12&amp;""</f>
        <v>亲情卡</v>
      </c>
      <c r="G192" s="49" t="n">
        <f aca="false">-ROUND(IF(科目对照回款!$F$12="",0,SUMIFS(输入回款!$C:$C,输入回款!$A:$A,助手回款!$X14,输入回款!$B:$B,科目对照回款!$F$12)+SUMIFS(输入回款!$D:$D,输入回款!$A:$A,助手回款!$X14,输入回款!$B:$B,科目对照回款!$F$12))+IF(科目对照回款!$G$12="",0,SUMIFS(输入回款!$C:$C,输入回款!$A:$A,助手回款!$X14,输入回款!$B:$B,科目对照回款!$G$12)+SUMIFS(输入回款!$D:$D,输入回款!$A:$A,助手回款!$X14,输入回款!$B:$B,科目对照回款!$G$12))+IF(科目对照回款!$H$12="",0,SUMIFS(输入回款!$C:$C,输入回款!$A:$A,助手回款!$X14,输入回款!$B:$B,科目对照回款!$H$12)+SUMIFS(输入回款!$D:$D,输入回款!$A:$A,助手回款!$X14,输入回款!$B:$B,科目对照回款!$H$12)),2)</f>
        <v>-0</v>
      </c>
      <c r="H192" s="49" t="str">
        <f aca="false">IF(ROUND($G192,2)&gt;0,ROUND($G192,2),"")</f>
        <v/>
      </c>
      <c r="I192" s="49" t="str">
        <f aca="false">IF(ROUND($G192,2)&lt;0,-ROUND($G192,2),"")</f>
        <v/>
      </c>
      <c r="J192" s="20" t="n">
        <f aca="false">IF(ROUND($G192,2)=0,0,1)</f>
        <v>0</v>
      </c>
      <c r="K192" s="20" t="str">
        <f aca="false">IF($J192=0,"",SUM($J$182:$J192))</f>
        <v/>
      </c>
      <c r="L192" s="20" t="str">
        <f aca="false">IF($K192="","",$A192*100+$K192)</f>
        <v/>
      </c>
      <c r="M192" s="48" t="str">
        <f aca="false">参数!$B$4</f>
        <v>回款</v>
      </c>
    </row>
    <row r="193" customFormat="false" ht="13.5" hidden="false" customHeight="false" outlineLevel="0" collapsed="false">
      <c r="A193" s="47" t="n">
        <v>13</v>
      </c>
      <c r="B193" s="38" t="n">
        <f aca="false">助手回款!$B14</f>
        <v>2014</v>
      </c>
      <c r="C193" s="48" t="str">
        <f aca="false">助手回款!$C14</f>
        <v>博桥店</v>
      </c>
      <c r="D193" s="48" t="str">
        <f aca="false">科目对照回款!$B13&amp;""</f>
        <v>银联</v>
      </c>
      <c r="E193" s="48" t="str">
        <f aca="false">科目对照回款!$C13&amp;""</f>
        <v>应收账款</v>
      </c>
      <c r="F193" s="48" t="str">
        <f aca="false">科目对照回款!$D13&amp;""</f>
        <v>银联</v>
      </c>
      <c r="G193" s="49" t="n">
        <f aca="false">-ROUND(IF(科目对照回款!$F$13="",0,SUMIFS(输入回款!$C:$C,输入回款!$A:$A,助手回款!$X14,输入回款!$B:$B,科目对照回款!$F$13)+SUMIFS(输入回款!$D:$D,输入回款!$A:$A,助手回款!$X14,输入回款!$B:$B,科目对照回款!$F$13))+IF(科目对照回款!$G$13="",0,SUMIFS(输入回款!$C:$C,输入回款!$A:$A,助手回款!$X14,输入回款!$B:$B,科目对照回款!$G$13)+SUMIFS(输入回款!$D:$D,输入回款!$A:$A,助手回款!$X14,输入回款!$B:$B,科目对照回款!$G$13))+IF(科目对照回款!$H$13="",0,SUMIFS(输入回款!$C:$C,输入回款!$A:$A,助手回款!$X14,输入回款!$B:$B,科目对照回款!$H$13)+SUMIFS(输入回款!$D:$D,输入回款!$A:$A,助手回款!$X14,输入回款!$B:$B,科目对照回款!$H$13)),2)</f>
        <v>-0</v>
      </c>
      <c r="H193" s="49" t="str">
        <f aca="false">IF(ROUND($G193,2)&gt;0,ROUND($G193,2),"")</f>
        <v/>
      </c>
      <c r="I193" s="49" t="str">
        <f aca="false">IF(ROUND($G193,2)&lt;0,-ROUND($G193,2),"")</f>
        <v/>
      </c>
      <c r="J193" s="20" t="n">
        <f aca="false">IF(ROUND($G193,2)=0,0,1)</f>
        <v>0</v>
      </c>
      <c r="K193" s="20" t="str">
        <f aca="false">IF($J193=0,"",SUM($J$182:$J193))</f>
        <v/>
      </c>
      <c r="L193" s="20" t="str">
        <f aca="false">IF($K193="","",$A193*100+$K193)</f>
        <v/>
      </c>
      <c r="M193" s="48" t="str">
        <f aca="false">参数!$B$4</f>
        <v>回款</v>
      </c>
    </row>
    <row r="194" customFormat="false" ht="13.5" hidden="false" customHeight="false" outlineLevel="0" collapsed="false">
      <c r="A194" s="47" t="n">
        <v>13</v>
      </c>
      <c r="B194" s="38" t="n">
        <f aca="false">助手回款!$B14</f>
        <v>2014</v>
      </c>
      <c r="C194" s="48" t="str">
        <f aca="false">助手回款!$C14</f>
        <v>博桥店</v>
      </c>
      <c r="D194" s="48" t="str">
        <f aca="false">科目对照回款!$B14&amp;""</f>
        <v>代金券</v>
      </c>
      <c r="E194" s="48" t="str">
        <f aca="false">科目对照回款!$C14&amp;""</f>
        <v>应收账款</v>
      </c>
      <c r="F194" s="48" t="str">
        <f aca="false">科目对照回款!$D14&amp;""</f>
        <v>代金券</v>
      </c>
      <c r="G194" s="49" t="n">
        <f aca="false">-ROUND(IF(科目对照回款!$F$14="",0,SUMIFS(输入回款!$C:$C,输入回款!$A:$A,助手回款!$X14,输入回款!$B:$B,科目对照回款!$F$14)+SUMIFS(输入回款!$D:$D,输入回款!$A:$A,助手回款!$X14,输入回款!$B:$B,科目对照回款!$F$14))+IF(科目对照回款!$G$14="",0,SUMIFS(输入回款!$C:$C,输入回款!$A:$A,助手回款!$X14,输入回款!$B:$B,科目对照回款!$G$14)+SUMIFS(输入回款!$D:$D,输入回款!$A:$A,助手回款!$X14,输入回款!$B:$B,科目对照回款!$G$14))+IF(科目对照回款!$H$14="",0,SUMIFS(输入回款!$C:$C,输入回款!$A:$A,助手回款!$X14,输入回款!$B:$B,科目对照回款!$H$14)+SUMIFS(输入回款!$D:$D,输入回款!$A:$A,助手回款!$X14,输入回款!$B:$B,科目对照回款!$H$14)),2)</f>
        <v>-0</v>
      </c>
      <c r="H194" s="49" t="str">
        <f aca="false">IF(ROUND($G194,2)&gt;0,ROUND($G194,2),"")</f>
        <v/>
      </c>
      <c r="I194" s="49" t="str">
        <f aca="false">IF(ROUND($G194,2)&lt;0,-ROUND($G194,2),"")</f>
        <v/>
      </c>
      <c r="J194" s="20" t="n">
        <f aca="false">IF(ROUND($G194,2)=0,0,1)</f>
        <v>0</v>
      </c>
      <c r="K194" s="20" t="str">
        <f aca="false">IF($J194=0,"",SUM($J$182:$J194))</f>
        <v/>
      </c>
      <c r="L194" s="20" t="str">
        <f aca="false">IF($K194="","",$A194*100+$K194)</f>
        <v/>
      </c>
      <c r="M194" s="48" t="str">
        <f aca="false">参数!$B$4</f>
        <v>回款</v>
      </c>
    </row>
    <row r="195" customFormat="false" ht="13.5" hidden="false" customHeight="false" outlineLevel="0" collapsed="false">
      <c r="A195" s="47" t="n">
        <v>13</v>
      </c>
      <c r="B195" s="38" t="n">
        <f aca="false">助手回款!$B14</f>
        <v>2014</v>
      </c>
      <c r="C195" s="48" t="str">
        <f aca="false">助手回款!$C14</f>
        <v>博桥店</v>
      </c>
      <c r="D195" s="48" t="str">
        <f aca="false">科目对照回款!$B15&amp;""</f>
        <v>药机微信</v>
      </c>
      <c r="E195" s="48" t="str">
        <f aca="false">科目对照回款!$C15&amp;""</f>
        <v>应收账款</v>
      </c>
      <c r="F195" s="48" t="str">
        <f aca="false">科目对照回款!$D15&amp;""</f>
        <v>药机微信</v>
      </c>
      <c r="G195" s="49" t="n">
        <f aca="false">-ROUND(IF(科目对照回款!$F$15="",0,SUMIFS(输入回款!$C:$C,输入回款!$A:$A,助手回款!$X14,输入回款!$B:$B,科目对照回款!$F$15)+SUMIFS(输入回款!$D:$D,输入回款!$A:$A,助手回款!$X14,输入回款!$B:$B,科目对照回款!$F$15))+IF(科目对照回款!$G$15="",0,SUMIFS(输入回款!$C:$C,输入回款!$A:$A,助手回款!$X14,输入回款!$B:$B,科目对照回款!$G$15)+SUMIFS(输入回款!$D:$D,输入回款!$A:$A,助手回款!$X14,输入回款!$B:$B,科目对照回款!$G$15))+IF(科目对照回款!$H$15="",0,SUMIFS(输入回款!$C:$C,输入回款!$A:$A,助手回款!$X14,输入回款!$B:$B,科目对照回款!$H$15)+SUMIFS(输入回款!$D:$D,输入回款!$A:$A,助手回款!$X14,输入回款!$B:$B,科目对照回款!$H$15)),2)</f>
        <v>-0</v>
      </c>
      <c r="H195" s="49" t="str">
        <f aca="false">IF(ROUND($G195,2)&gt;0,ROUND($G195,2),"")</f>
        <v/>
      </c>
      <c r="I195" s="49" t="str">
        <f aca="false">IF(ROUND($G195,2)&lt;0,-ROUND($G195,2),"")</f>
        <v/>
      </c>
      <c r="J195" s="20" t="n">
        <f aca="false">IF(ROUND($G195,2)=0,0,1)</f>
        <v>0</v>
      </c>
      <c r="K195" s="20" t="str">
        <f aca="false">IF($J195=0,"",SUM($J$182:$J195))</f>
        <v/>
      </c>
      <c r="L195" s="20" t="str">
        <f aca="false">IF($K195="","",$A195*100+$K195)</f>
        <v/>
      </c>
      <c r="M195" s="48" t="str">
        <f aca="false">参数!$B$4</f>
        <v>回款</v>
      </c>
    </row>
    <row r="196" customFormat="false" ht="13.5" hidden="false" customHeight="false" outlineLevel="0" collapsed="false">
      <c r="A196" s="47" t="n">
        <v>13</v>
      </c>
      <c r="B196" s="38" t="n">
        <f aca="false">助手回款!$B14</f>
        <v>2014</v>
      </c>
      <c r="C196" s="48" t="str">
        <f aca="false">助手回款!$C14</f>
        <v>博桥店</v>
      </c>
      <c r="D196" s="48" t="str">
        <f aca="false">科目对照回款!$B16&amp;""</f>
        <v>储值卡</v>
      </c>
      <c r="E196" s="48" t="str">
        <f aca="false">科目对照回款!$C16&amp;""</f>
        <v>其他应收款</v>
      </c>
      <c r="F196" s="48" t="str">
        <f aca="false">科目对照回款!$D16&amp;""</f>
        <v>储值卡</v>
      </c>
      <c r="G196" s="49" t="n">
        <f aca="false">-ROUND(IF(科目对照回款!$F$16="",0,SUMIFS(输入回款!$C:$C,输入回款!$A:$A,助手回款!$X14,输入回款!$B:$B,科目对照回款!$F$16)+SUMIFS(输入回款!$D:$D,输入回款!$A:$A,助手回款!$X14,输入回款!$B:$B,科目对照回款!$F$16))+IF(科目对照回款!$G$16="",0,SUMIFS(输入回款!$C:$C,输入回款!$A:$A,助手回款!$X14,输入回款!$B:$B,科目对照回款!$G$16)+SUMIFS(输入回款!$D:$D,输入回款!$A:$A,助手回款!$X14,输入回款!$B:$B,科目对照回款!$G$16))+IF(科目对照回款!$H$16="",0,SUMIFS(输入回款!$C:$C,输入回款!$A:$A,助手回款!$X14,输入回款!$B:$B,科目对照回款!$H$16)+SUMIFS(输入回款!$D:$D,输入回款!$A:$A,助手回款!$X14,输入回款!$B:$B,科目对照回款!$H$16)),2)</f>
        <v>-0</v>
      </c>
      <c r="H196" s="49" t="str">
        <f aca="false">IF(ROUND($G196,2)&gt;0,ROUND($G196,2),"")</f>
        <v/>
      </c>
      <c r="I196" s="49" t="str">
        <f aca="false">IF(ROUND($G196,2)&lt;0,-ROUND($G196,2),"")</f>
        <v/>
      </c>
      <c r="J196" s="20" t="n">
        <f aca="false">IF(ROUND($G196,2)=0,0,1)</f>
        <v>0</v>
      </c>
      <c r="K196" s="20" t="str">
        <f aca="false">IF($J196=0,"",SUM($J$182:$J196))</f>
        <v/>
      </c>
      <c r="L196" s="20" t="str">
        <f aca="false">IF($K196="","",$A196*100+$K196)</f>
        <v/>
      </c>
      <c r="M196" s="48" t="str">
        <f aca="false">参数!$B$4</f>
        <v>回款</v>
      </c>
    </row>
    <row r="197" customFormat="false" ht="13.5" hidden="false" customHeight="false" outlineLevel="0" collapsed="false">
      <c r="A197" s="47" t="n">
        <v>14</v>
      </c>
      <c r="B197" s="38" t="n">
        <f aca="false">助手回款!$B15</f>
        <v>2015</v>
      </c>
      <c r="C197" s="48" t="str">
        <f aca="false">助手回款!$C15</f>
        <v>齐村店</v>
      </c>
      <c r="D197" s="48" t="str">
        <f aca="false">科目对照回款!$B2&amp;""</f>
        <v>库存现金</v>
      </c>
      <c r="E197" s="48" t="str">
        <f aca="false">科目对照回款!$C2&amp;""</f>
        <v>库存现金</v>
      </c>
      <c r="F197" s="48" t="str">
        <f aca="false">科目对照回款!$D2&amp;""</f>
        <v/>
      </c>
      <c r="G197" s="49" t="n">
        <f aca="false">助手回款!$E15</f>
        <v>0</v>
      </c>
      <c r="H197" s="49" t="str">
        <f aca="false">IF(ROUND($G197,2)&gt;0,ROUND($G197,2),"")</f>
        <v/>
      </c>
      <c r="I197" s="49" t="str">
        <f aca="false">IF(ROUND($G197,2)&lt;0,-ROUND($G197,2),"")</f>
        <v/>
      </c>
      <c r="J197" s="20" t="n">
        <f aca="false">IF(ROUND($G197,2)=0,0,1)</f>
        <v>0</v>
      </c>
      <c r="K197" s="20" t="str">
        <f aca="false">IF($J197=0,"",SUM($J$197:$J197))</f>
        <v/>
      </c>
      <c r="L197" s="20" t="str">
        <f aca="false">IF($K197="","",$A197*100+$K197)</f>
        <v/>
      </c>
      <c r="M197" s="48" t="str">
        <f aca="false">参数!$B$4</f>
        <v>回款</v>
      </c>
    </row>
    <row r="198" customFormat="false" ht="13.5" hidden="false" customHeight="false" outlineLevel="0" collapsed="false">
      <c r="A198" s="47" t="n">
        <v>14</v>
      </c>
      <c r="B198" s="38" t="n">
        <f aca="false">助手回款!$B15</f>
        <v>2015</v>
      </c>
      <c r="C198" s="48" t="str">
        <f aca="false">助手回款!$C15</f>
        <v>齐村店</v>
      </c>
      <c r="D198" s="48" t="str">
        <f aca="false">科目对照回款!$B3&amp;""</f>
        <v>手续费</v>
      </c>
      <c r="E198" s="48" t="str">
        <f aca="false">科目对照回款!$C3&amp;""</f>
        <v>财务费用</v>
      </c>
      <c r="F198" s="48" t="str">
        <f aca="false">科目对照回款!$D3&amp;""</f>
        <v>手续费</v>
      </c>
      <c r="G198" s="49" t="n">
        <f aca="false">助手回款!$F15</f>
        <v>0</v>
      </c>
      <c r="H198" s="49" t="str">
        <f aca="false">IF(ROUND($G198,2)&gt;0,ROUND($G198,2),"")</f>
        <v/>
      </c>
      <c r="I198" s="49" t="str">
        <f aca="false">IF(ROUND($G198,2)&lt;0,-ROUND($G198,2),"")</f>
        <v/>
      </c>
      <c r="J198" s="20" t="n">
        <f aca="false">IF(ROUND($G198,2)=0,0,1)</f>
        <v>0</v>
      </c>
      <c r="K198" s="20" t="str">
        <f aca="false">IF($J198=0,"",SUM($J$197:$J198))</f>
        <v/>
      </c>
      <c r="L198" s="20" t="str">
        <f aca="false">IF($K198="","",$A198*100+$K198)</f>
        <v/>
      </c>
      <c r="M198" s="48" t="str">
        <f aca="false">参数!$B$4</f>
        <v>回款</v>
      </c>
    </row>
    <row r="199" customFormat="false" ht="13.5" hidden="false" customHeight="false" outlineLevel="0" collapsed="false">
      <c r="A199" s="47" t="n">
        <v>14</v>
      </c>
      <c r="B199" s="38" t="n">
        <f aca="false">助手回款!$B15</f>
        <v>2015</v>
      </c>
      <c r="C199" s="48" t="str">
        <f aca="false">助手回款!$C15</f>
        <v>齐村店</v>
      </c>
      <c r="D199" s="48" t="str">
        <f aca="false">科目对照回款!$B4&amp;""</f>
        <v>聚合支付</v>
      </c>
      <c r="E199" s="48" t="str">
        <f aca="false">科目对照回款!$C4&amp;""</f>
        <v>应收账款</v>
      </c>
      <c r="F199" s="48" t="str">
        <f aca="false">科目对照回款!$D4&amp;""</f>
        <v>聚合支付</v>
      </c>
      <c r="G199" s="49" t="n">
        <f aca="false">-ROUND(IF(科目对照回款!$F$4="",0,SUMIFS(输入回款!$C:$C,输入回款!$A:$A,助手回款!$X15,输入回款!$B:$B,科目对照回款!$F$4)+SUMIFS(输入回款!$D:$D,输入回款!$A:$A,助手回款!$X15,输入回款!$B:$B,科目对照回款!$F$4))+IF(科目对照回款!$G$4="",0,SUMIFS(输入回款!$C:$C,输入回款!$A:$A,助手回款!$X15,输入回款!$B:$B,科目对照回款!$G$4)+SUMIFS(输入回款!$D:$D,输入回款!$A:$A,助手回款!$X15,输入回款!$B:$B,科目对照回款!$G$4))+IF(科目对照回款!$H$4="",0,SUMIFS(输入回款!$C:$C,输入回款!$A:$A,助手回款!$X15,输入回款!$B:$B,科目对照回款!$H$4)+SUMIFS(输入回款!$D:$D,输入回款!$A:$A,助手回款!$X15,输入回款!$B:$B,科目对照回款!$H$4)),2)</f>
        <v>-0</v>
      </c>
      <c r="H199" s="49" t="str">
        <f aca="false">IF(ROUND($G199,2)&gt;0,ROUND($G199,2),"")</f>
        <v/>
      </c>
      <c r="I199" s="49" t="str">
        <f aca="false">IF(ROUND($G199,2)&lt;0,-ROUND($G199,2),"")</f>
        <v/>
      </c>
      <c r="J199" s="20" t="n">
        <f aca="false">IF(ROUND($G199,2)=0,0,1)</f>
        <v>0</v>
      </c>
      <c r="K199" s="20" t="str">
        <f aca="false">IF($J199=0,"",SUM($J$197:$J199))</f>
        <v/>
      </c>
      <c r="L199" s="20" t="str">
        <f aca="false">IF($K199="","",$A199*100+$K199)</f>
        <v/>
      </c>
      <c r="M199" s="48" t="str">
        <f aca="false">参数!$B$4</f>
        <v>回款</v>
      </c>
    </row>
    <row r="200" customFormat="false" ht="13.5" hidden="false" customHeight="false" outlineLevel="0" collapsed="false">
      <c r="A200" s="47" t="n">
        <v>14</v>
      </c>
      <c r="B200" s="38" t="n">
        <f aca="false">助手回款!$B15</f>
        <v>2015</v>
      </c>
      <c r="C200" s="48" t="str">
        <f aca="false">助手回款!$C15</f>
        <v>齐村店</v>
      </c>
      <c r="D200" s="48" t="str">
        <f aca="false">科目对照回款!$B5&amp;""</f>
        <v>医保</v>
      </c>
      <c r="E200" s="48" t="str">
        <f aca="false">科目对照回款!$C5&amp;""</f>
        <v>应收账款</v>
      </c>
      <c r="F200" s="48" t="str">
        <f aca="false">科目对照回款!$D5&amp;""</f>
        <v>医保</v>
      </c>
      <c r="G200" s="49" t="n">
        <f aca="false">-ROUND(IF(科目对照回款!$F$5="",0,SUMIFS(输入回款!$C:$C,输入回款!$A:$A,助手回款!$X15,输入回款!$B:$B,科目对照回款!$F$5)+SUMIFS(输入回款!$D:$D,输入回款!$A:$A,助手回款!$X15,输入回款!$B:$B,科目对照回款!$F$5))+IF(科目对照回款!$G$5="",0,SUMIFS(输入回款!$C:$C,输入回款!$A:$A,助手回款!$X15,输入回款!$B:$B,科目对照回款!$G$5)+SUMIFS(输入回款!$D:$D,输入回款!$A:$A,助手回款!$X15,输入回款!$B:$B,科目对照回款!$G$5))+IF(科目对照回款!$H$5="",0,SUMIFS(输入回款!$C:$C,输入回款!$A:$A,助手回款!$X15,输入回款!$B:$B,科目对照回款!$H$5)+SUMIFS(输入回款!$D:$D,输入回款!$A:$A,助手回款!$X15,输入回款!$B:$B,科目对照回款!$H$5)),2)</f>
        <v>-0</v>
      </c>
      <c r="H200" s="49" t="str">
        <f aca="false">IF(ROUND($G200,2)&gt;0,ROUND($G200,2),"")</f>
        <v/>
      </c>
      <c r="I200" s="49" t="str">
        <f aca="false">IF(ROUND($G200,2)&lt;0,-ROUND($G200,2),"")</f>
        <v/>
      </c>
      <c r="J200" s="20" t="n">
        <f aca="false">IF(ROUND($G200,2)=0,0,1)</f>
        <v>0</v>
      </c>
      <c r="K200" s="20" t="str">
        <f aca="false">IF($J200=0,"",SUM($J$197:$J200))</f>
        <v/>
      </c>
      <c r="L200" s="20" t="str">
        <f aca="false">IF($K200="","",$A200*100+$K200)</f>
        <v/>
      </c>
      <c r="M200" s="48" t="str">
        <f aca="false">参数!$B$4</f>
        <v>回款</v>
      </c>
    </row>
    <row r="201" customFormat="false" ht="13.5" hidden="false" customHeight="false" outlineLevel="0" collapsed="false">
      <c r="A201" s="47" t="n">
        <v>14</v>
      </c>
      <c r="B201" s="38" t="n">
        <f aca="false">助手回款!$B15</f>
        <v>2015</v>
      </c>
      <c r="C201" s="48" t="str">
        <f aca="false">助手回款!$C15</f>
        <v>齐村店</v>
      </c>
      <c r="D201" s="48" t="str">
        <f aca="false">科目对照回款!$B6&amp;""</f>
        <v>美团</v>
      </c>
      <c r="E201" s="48" t="str">
        <f aca="false">科目对照回款!$C6&amp;""</f>
        <v>应收账款</v>
      </c>
      <c r="F201" s="48" t="str">
        <f aca="false">科目对照回款!$D6&amp;""</f>
        <v>美团</v>
      </c>
      <c r="G201" s="49" t="n">
        <f aca="false">-ROUND(IF(科目对照回款!$F$6="",0,SUMIFS(输入回款!$C:$C,输入回款!$A:$A,助手回款!$X15,输入回款!$B:$B,科目对照回款!$F$6)+SUMIFS(输入回款!$D:$D,输入回款!$A:$A,助手回款!$X15,输入回款!$B:$B,科目对照回款!$F$6))+IF(科目对照回款!$G$6="",0,SUMIFS(输入回款!$C:$C,输入回款!$A:$A,助手回款!$X15,输入回款!$B:$B,科目对照回款!$G$6)+SUMIFS(输入回款!$D:$D,输入回款!$A:$A,助手回款!$X15,输入回款!$B:$B,科目对照回款!$G$6))+IF(科目对照回款!$H$6="",0,SUMIFS(输入回款!$C:$C,输入回款!$A:$A,助手回款!$X15,输入回款!$B:$B,科目对照回款!$H$6)+SUMIFS(输入回款!$D:$D,输入回款!$A:$A,助手回款!$X15,输入回款!$B:$B,科目对照回款!$H$6)),2)</f>
        <v>-0</v>
      </c>
      <c r="H201" s="49" t="str">
        <f aca="false">IF(ROUND($G201,2)&gt;0,ROUND($G201,2),"")</f>
        <v/>
      </c>
      <c r="I201" s="49" t="str">
        <f aca="false">IF(ROUND($G201,2)&lt;0,-ROUND($G201,2),"")</f>
        <v/>
      </c>
      <c r="J201" s="20" t="n">
        <f aca="false">IF(ROUND($G201,2)=0,0,1)</f>
        <v>0</v>
      </c>
      <c r="K201" s="20" t="str">
        <f aca="false">IF($J201=0,"",SUM($J$197:$J201))</f>
        <v/>
      </c>
      <c r="L201" s="20" t="str">
        <f aca="false">IF($K201="","",$A201*100+$K201)</f>
        <v/>
      </c>
      <c r="M201" s="48" t="str">
        <f aca="false">参数!$B$4</f>
        <v>回款</v>
      </c>
    </row>
    <row r="202" customFormat="false" ht="13.5" hidden="false" customHeight="false" outlineLevel="0" collapsed="false">
      <c r="A202" s="47" t="n">
        <v>14</v>
      </c>
      <c r="B202" s="38" t="n">
        <f aca="false">助手回款!$B15</f>
        <v>2015</v>
      </c>
      <c r="C202" s="48" t="str">
        <f aca="false">助手回款!$C15</f>
        <v>齐村店</v>
      </c>
      <c r="D202" s="48" t="str">
        <f aca="false">科目对照回款!$B7&amp;""</f>
        <v>饿了么</v>
      </c>
      <c r="E202" s="48" t="str">
        <f aca="false">科目对照回款!$C7&amp;""</f>
        <v>应收账款</v>
      </c>
      <c r="F202" s="48" t="str">
        <f aca="false">科目对照回款!$D7&amp;""</f>
        <v>饿了么</v>
      </c>
      <c r="G202" s="49" t="n">
        <f aca="false">-ROUND(IF(科目对照回款!$F$7="",0,SUMIFS(输入回款!$C:$C,输入回款!$A:$A,助手回款!$X15,输入回款!$B:$B,科目对照回款!$F$7)+SUMIFS(输入回款!$D:$D,输入回款!$A:$A,助手回款!$X15,输入回款!$B:$B,科目对照回款!$F$7))+IF(科目对照回款!$G$7="",0,SUMIFS(输入回款!$C:$C,输入回款!$A:$A,助手回款!$X15,输入回款!$B:$B,科目对照回款!$G$7)+SUMIFS(输入回款!$D:$D,输入回款!$A:$A,助手回款!$X15,输入回款!$B:$B,科目对照回款!$G$7))+IF(科目对照回款!$H$7="",0,SUMIFS(输入回款!$C:$C,输入回款!$A:$A,助手回款!$X15,输入回款!$B:$B,科目对照回款!$H$7)+SUMIFS(输入回款!$D:$D,输入回款!$A:$A,助手回款!$X15,输入回款!$B:$B,科目对照回款!$H$7)),2)</f>
        <v>-0</v>
      </c>
      <c r="H202" s="49" t="str">
        <f aca="false">IF(ROUND($G202,2)&gt;0,ROUND($G202,2),"")</f>
        <v/>
      </c>
      <c r="I202" s="49" t="str">
        <f aca="false">IF(ROUND($G202,2)&lt;0,-ROUND($G202,2),"")</f>
        <v/>
      </c>
      <c r="J202" s="20" t="n">
        <f aca="false">IF(ROUND($G202,2)=0,0,1)</f>
        <v>0</v>
      </c>
      <c r="K202" s="20" t="str">
        <f aca="false">IF($J202=0,"",SUM($J$197:$J202))</f>
        <v/>
      </c>
      <c r="L202" s="20" t="str">
        <f aca="false">IF($K202="","",$A202*100+$K202)</f>
        <v/>
      </c>
      <c r="M202" s="48" t="str">
        <f aca="false">参数!$B$4</f>
        <v>回款</v>
      </c>
    </row>
    <row r="203" customFormat="false" ht="13.5" hidden="false" customHeight="false" outlineLevel="0" collapsed="false">
      <c r="A203" s="47" t="n">
        <v>14</v>
      </c>
      <c r="B203" s="38" t="n">
        <f aca="false">助手回款!$B15</f>
        <v>2015</v>
      </c>
      <c r="C203" s="48" t="str">
        <f aca="false">助手回款!$C15</f>
        <v>齐村店</v>
      </c>
      <c r="D203" s="48" t="str">
        <f aca="false">科目对照回款!$B8&amp;""</f>
        <v>24小时</v>
      </c>
      <c r="E203" s="48" t="str">
        <f aca="false">科目对照回款!$C8&amp;""</f>
        <v>应收账款</v>
      </c>
      <c r="F203" s="48" t="str">
        <f aca="false">科目对照回款!$D8&amp;""</f>
        <v>24小时</v>
      </c>
      <c r="G203" s="49" t="n">
        <f aca="false">-ROUND(IF(科目对照回款!$F$8="",0,SUMIFS(输入回款!$C:$C,输入回款!$A:$A,助手回款!$X15,输入回款!$B:$B,科目对照回款!$F$8)+SUMIFS(输入回款!$D:$D,输入回款!$A:$A,助手回款!$X15,输入回款!$B:$B,科目对照回款!$F$8))+IF(科目对照回款!$G$8="",0,SUMIFS(输入回款!$C:$C,输入回款!$A:$A,助手回款!$X15,输入回款!$B:$B,科目对照回款!$G$8)+SUMIFS(输入回款!$D:$D,输入回款!$A:$A,助手回款!$X15,输入回款!$B:$B,科目对照回款!$G$8))+IF(科目对照回款!$H$8="",0,SUMIFS(输入回款!$C:$C,输入回款!$A:$A,助手回款!$X15,输入回款!$B:$B,科目对照回款!$H$8)+SUMIFS(输入回款!$D:$D,输入回款!$A:$A,助手回款!$X15,输入回款!$B:$B,科目对照回款!$H$8)),2)</f>
        <v>-0</v>
      </c>
      <c r="H203" s="49" t="str">
        <f aca="false">IF(ROUND($G203,2)&gt;0,ROUND($G203,2),"")</f>
        <v/>
      </c>
      <c r="I203" s="49" t="str">
        <f aca="false">IF(ROUND($G203,2)&lt;0,-ROUND($G203,2),"")</f>
        <v/>
      </c>
      <c r="J203" s="20" t="n">
        <f aca="false">IF(ROUND($G203,2)=0,0,1)</f>
        <v>0</v>
      </c>
      <c r="K203" s="20" t="str">
        <f aca="false">IF($J203=0,"",SUM($J$197:$J203))</f>
        <v/>
      </c>
      <c r="L203" s="20" t="str">
        <f aca="false">IF($K203="","",$A203*100+$K203)</f>
        <v/>
      </c>
      <c r="M203" s="48" t="str">
        <f aca="false">参数!$B$4</f>
        <v>回款</v>
      </c>
    </row>
    <row r="204" customFormat="false" ht="13.5" hidden="false" customHeight="false" outlineLevel="0" collapsed="false">
      <c r="A204" s="47" t="n">
        <v>14</v>
      </c>
      <c r="B204" s="38" t="n">
        <f aca="false">助手回款!$B15</f>
        <v>2015</v>
      </c>
      <c r="C204" s="48" t="str">
        <f aca="false">助手回款!$C15</f>
        <v>齐村店</v>
      </c>
      <c r="D204" s="48" t="str">
        <f aca="false">科目对照回款!$B9&amp;""</f>
        <v>健E卡</v>
      </c>
      <c r="E204" s="48" t="str">
        <f aca="false">科目对照回款!$C9&amp;""</f>
        <v>应收账款</v>
      </c>
      <c r="F204" s="48" t="str">
        <f aca="false">科目对照回款!$D9&amp;""</f>
        <v>健E卡</v>
      </c>
      <c r="G204" s="49" t="n">
        <f aca="false">-ROUND(IF(科目对照回款!$F$9="",0,SUMIFS(输入回款!$C:$C,输入回款!$A:$A,助手回款!$X15,输入回款!$B:$B,科目对照回款!$F$9)+SUMIFS(输入回款!$D:$D,输入回款!$A:$A,助手回款!$X15,输入回款!$B:$B,科目对照回款!$F$9))+IF(科目对照回款!$G$9="",0,SUMIFS(输入回款!$C:$C,输入回款!$A:$A,助手回款!$X15,输入回款!$B:$B,科目对照回款!$G$9)+SUMIFS(输入回款!$D:$D,输入回款!$A:$A,助手回款!$X15,输入回款!$B:$B,科目对照回款!$G$9))+IF(科目对照回款!$H$9="",0,SUMIFS(输入回款!$C:$C,输入回款!$A:$A,助手回款!$X15,输入回款!$B:$B,科目对照回款!$H$9)+SUMIFS(输入回款!$D:$D,输入回款!$A:$A,助手回款!$X15,输入回款!$B:$B,科目对照回款!$H$9)),2)</f>
        <v>-0</v>
      </c>
      <c r="H204" s="49" t="str">
        <f aca="false">IF(ROUND($G204,2)&gt;0,ROUND($G204,2),"")</f>
        <v/>
      </c>
      <c r="I204" s="49" t="str">
        <f aca="false">IF(ROUND($G204,2)&lt;0,-ROUND($G204,2),"")</f>
        <v/>
      </c>
      <c r="J204" s="20" t="n">
        <f aca="false">IF(ROUND($G204,2)=0,0,1)</f>
        <v>0</v>
      </c>
      <c r="K204" s="20" t="str">
        <f aca="false">IF($J204=0,"",SUM($J$197:$J204))</f>
        <v/>
      </c>
      <c r="L204" s="20" t="str">
        <f aca="false">IF($K204="","",$A204*100+$K204)</f>
        <v/>
      </c>
      <c r="M204" s="48" t="str">
        <f aca="false">参数!$B$4</f>
        <v>回款</v>
      </c>
    </row>
    <row r="205" customFormat="false" ht="13.5" hidden="false" customHeight="false" outlineLevel="0" collapsed="false">
      <c r="A205" s="47" t="n">
        <v>14</v>
      </c>
      <c r="B205" s="38" t="n">
        <f aca="false">助手回款!$B15</f>
        <v>2015</v>
      </c>
      <c r="C205" s="48" t="str">
        <f aca="false">助手回款!$C15</f>
        <v>齐村店</v>
      </c>
      <c r="D205" s="48" t="str">
        <f aca="false">科目对照回款!$B10&amp;""</f>
        <v>医卡通</v>
      </c>
      <c r="E205" s="48" t="str">
        <f aca="false">科目对照回款!$C10&amp;""</f>
        <v>应收账款</v>
      </c>
      <c r="F205" s="48" t="str">
        <f aca="false">科目对照回款!$D10&amp;""</f>
        <v>医卡通</v>
      </c>
      <c r="G205" s="49" t="n">
        <f aca="false">-ROUND(IF(科目对照回款!$F$10="",0,SUMIFS(输入回款!$C:$C,输入回款!$A:$A,助手回款!$X15,输入回款!$B:$B,科目对照回款!$F$10)+SUMIFS(输入回款!$D:$D,输入回款!$A:$A,助手回款!$X15,输入回款!$B:$B,科目对照回款!$F$10))+IF(科目对照回款!$G$10="",0,SUMIFS(输入回款!$C:$C,输入回款!$A:$A,助手回款!$X15,输入回款!$B:$B,科目对照回款!$G$10)+SUMIFS(输入回款!$D:$D,输入回款!$A:$A,助手回款!$X15,输入回款!$B:$B,科目对照回款!$G$10))+IF(科目对照回款!$H$10="",0,SUMIFS(输入回款!$C:$C,输入回款!$A:$A,助手回款!$X15,输入回款!$B:$B,科目对照回款!$H$10)+SUMIFS(输入回款!$D:$D,输入回款!$A:$A,助手回款!$X15,输入回款!$B:$B,科目对照回款!$H$10)),2)</f>
        <v>-0</v>
      </c>
      <c r="H205" s="49" t="str">
        <f aca="false">IF(ROUND($G205,2)&gt;0,ROUND($G205,2),"")</f>
        <v/>
      </c>
      <c r="I205" s="49" t="str">
        <f aca="false">IF(ROUND($G205,2)&lt;0,-ROUND($G205,2),"")</f>
        <v/>
      </c>
      <c r="J205" s="20" t="n">
        <f aca="false">IF(ROUND($G205,2)=0,0,1)</f>
        <v>0</v>
      </c>
      <c r="K205" s="20" t="str">
        <f aca="false">IF($J205=0,"",SUM($J$197:$J205))</f>
        <v/>
      </c>
      <c r="L205" s="20" t="str">
        <f aca="false">IF($K205="","",$A205*100+$K205)</f>
        <v/>
      </c>
      <c r="M205" s="48" t="str">
        <f aca="false">参数!$B$4</f>
        <v>回款</v>
      </c>
    </row>
    <row r="206" customFormat="false" ht="13.5" hidden="false" customHeight="false" outlineLevel="0" collapsed="false">
      <c r="A206" s="47" t="n">
        <v>14</v>
      </c>
      <c r="B206" s="38" t="n">
        <f aca="false">助手回款!$B15</f>
        <v>2015</v>
      </c>
      <c r="C206" s="48" t="str">
        <f aca="false">助手回款!$C15</f>
        <v>齐村店</v>
      </c>
      <c r="D206" s="48" t="str">
        <f aca="false">科目对照回款!$B11&amp;""</f>
        <v>企健网</v>
      </c>
      <c r="E206" s="48" t="str">
        <f aca="false">科目对照回款!$C11&amp;""</f>
        <v>应收账款</v>
      </c>
      <c r="F206" s="48" t="str">
        <f aca="false">科目对照回款!$D11&amp;""</f>
        <v>企健网</v>
      </c>
      <c r="G206" s="49" t="n">
        <f aca="false">-ROUND(IF(科目对照回款!$F$11="",0,SUMIFS(输入回款!$C:$C,输入回款!$A:$A,助手回款!$X15,输入回款!$B:$B,科目对照回款!$F$11)+SUMIFS(输入回款!$D:$D,输入回款!$A:$A,助手回款!$X15,输入回款!$B:$B,科目对照回款!$F$11))+IF(科目对照回款!$G$11="",0,SUMIFS(输入回款!$C:$C,输入回款!$A:$A,助手回款!$X15,输入回款!$B:$B,科目对照回款!$G$11)+SUMIFS(输入回款!$D:$D,输入回款!$A:$A,助手回款!$X15,输入回款!$B:$B,科目对照回款!$G$11))+IF(科目对照回款!$H$11="",0,SUMIFS(输入回款!$C:$C,输入回款!$A:$A,助手回款!$X15,输入回款!$B:$B,科目对照回款!$H$11)+SUMIFS(输入回款!$D:$D,输入回款!$A:$A,助手回款!$X15,输入回款!$B:$B,科目对照回款!$H$11)),2)</f>
        <v>-0</v>
      </c>
      <c r="H206" s="49" t="str">
        <f aca="false">IF(ROUND($G206,2)&gt;0,ROUND($G206,2),"")</f>
        <v/>
      </c>
      <c r="I206" s="49" t="str">
        <f aca="false">IF(ROUND($G206,2)&lt;0,-ROUND($G206,2),"")</f>
        <v/>
      </c>
      <c r="J206" s="20" t="n">
        <f aca="false">IF(ROUND($G206,2)=0,0,1)</f>
        <v>0</v>
      </c>
      <c r="K206" s="20" t="str">
        <f aca="false">IF($J206=0,"",SUM($J$197:$J206))</f>
        <v/>
      </c>
      <c r="L206" s="20" t="str">
        <f aca="false">IF($K206="","",$A206*100+$K206)</f>
        <v/>
      </c>
      <c r="M206" s="48" t="str">
        <f aca="false">参数!$B$4</f>
        <v>回款</v>
      </c>
    </row>
    <row r="207" customFormat="false" ht="13.5" hidden="false" customHeight="false" outlineLevel="0" collapsed="false">
      <c r="A207" s="47" t="n">
        <v>14</v>
      </c>
      <c r="B207" s="38" t="n">
        <f aca="false">助手回款!$B15</f>
        <v>2015</v>
      </c>
      <c r="C207" s="48" t="str">
        <f aca="false">助手回款!$C15</f>
        <v>齐村店</v>
      </c>
      <c r="D207" s="48" t="str">
        <f aca="false">科目对照回款!$B12&amp;""</f>
        <v>亲情卡</v>
      </c>
      <c r="E207" s="48" t="str">
        <f aca="false">科目对照回款!$C12&amp;""</f>
        <v>应收账款</v>
      </c>
      <c r="F207" s="48" t="str">
        <f aca="false">科目对照回款!$D12&amp;""</f>
        <v>亲情卡</v>
      </c>
      <c r="G207" s="49" t="n">
        <f aca="false">-ROUND(IF(科目对照回款!$F$12="",0,SUMIFS(输入回款!$C:$C,输入回款!$A:$A,助手回款!$X15,输入回款!$B:$B,科目对照回款!$F$12)+SUMIFS(输入回款!$D:$D,输入回款!$A:$A,助手回款!$X15,输入回款!$B:$B,科目对照回款!$F$12))+IF(科目对照回款!$G$12="",0,SUMIFS(输入回款!$C:$C,输入回款!$A:$A,助手回款!$X15,输入回款!$B:$B,科目对照回款!$G$12)+SUMIFS(输入回款!$D:$D,输入回款!$A:$A,助手回款!$X15,输入回款!$B:$B,科目对照回款!$G$12))+IF(科目对照回款!$H$12="",0,SUMIFS(输入回款!$C:$C,输入回款!$A:$A,助手回款!$X15,输入回款!$B:$B,科目对照回款!$H$12)+SUMIFS(输入回款!$D:$D,输入回款!$A:$A,助手回款!$X15,输入回款!$B:$B,科目对照回款!$H$12)),2)</f>
        <v>-0</v>
      </c>
      <c r="H207" s="49" t="str">
        <f aca="false">IF(ROUND($G207,2)&gt;0,ROUND($G207,2),"")</f>
        <v/>
      </c>
      <c r="I207" s="49" t="str">
        <f aca="false">IF(ROUND($G207,2)&lt;0,-ROUND($G207,2),"")</f>
        <v/>
      </c>
      <c r="J207" s="20" t="n">
        <f aca="false">IF(ROUND($G207,2)=0,0,1)</f>
        <v>0</v>
      </c>
      <c r="K207" s="20" t="str">
        <f aca="false">IF($J207=0,"",SUM($J$197:$J207))</f>
        <v/>
      </c>
      <c r="L207" s="20" t="str">
        <f aca="false">IF($K207="","",$A207*100+$K207)</f>
        <v/>
      </c>
      <c r="M207" s="48" t="str">
        <f aca="false">参数!$B$4</f>
        <v>回款</v>
      </c>
    </row>
    <row r="208" customFormat="false" ht="13.5" hidden="false" customHeight="false" outlineLevel="0" collapsed="false">
      <c r="A208" s="47" t="n">
        <v>14</v>
      </c>
      <c r="B208" s="38" t="n">
        <f aca="false">助手回款!$B15</f>
        <v>2015</v>
      </c>
      <c r="C208" s="48" t="str">
        <f aca="false">助手回款!$C15</f>
        <v>齐村店</v>
      </c>
      <c r="D208" s="48" t="str">
        <f aca="false">科目对照回款!$B13&amp;""</f>
        <v>银联</v>
      </c>
      <c r="E208" s="48" t="str">
        <f aca="false">科目对照回款!$C13&amp;""</f>
        <v>应收账款</v>
      </c>
      <c r="F208" s="48" t="str">
        <f aca="false">科目对照回款!$D13&amp;""</f>
        <v>银联</v>
      </c>
      <c r="G208" s="49" t="n">
        <f aca="false">-ROUND(IF(科目对照回款!$F$13="",0,SUMIFS(输入回款!$C:$C,输入回款!$A:$A,助手回款!$X15,输入回款!$B:$B,科目对照回款!$F$13)+SUMIFS(输入回款!$D:$D,输入回款!$A:$A,助手回款!$X15,输入回款!$B:$B,科目对照回款!$F$13))+IF(科目对照回款!$G$13="",0,SUMIFS(输入回款!$C:$C,输入回款!$A:$A,助手回款!$X15,输入回款!$B:$B,科目对照回款!$G$13)+SUMIFS(输入回款!$D:$D,输入回款!$A:$A,助手回款!$X15,输入回款!$B:$B,科目对照回款!$G$13))+IF(科目对照回款!$H$13="",0,SUMIFS(输入回款!$C:$C,输入回款!$A:$A,助手回款!$X15,输入回款!$B:$B,科目对照回款!$H$13)+SUMIFS(输入回款!$D:$D,输入回款!$A:$A,助手回款!$X15,输入回款!$B:$B,科目对照回款!$H$13)),2)</f>
        <v>-0</v>
      </c>
      <c r="H208" s="49" t="str">
        <f aca="false">IF(ROUND($G208,2)&gt;0,ROUND($G208,2),"")</f>
        <v/>
      </c>
      <c r="I208" s="49" t="str">
        <f aca="false">IF(ROUND($G208,2)&lt;0,-ROUND($G208,2),"")</f>
        <v/>
      </c>
      <c r="J208" s="20" t="n">
        <f aca="false">IF(ROUND($G208,2)=0,0,1)</f>
        <v>0</v>
      </c>
      <c r="K208" s="20" t="str">
        <f aca="false">IF($J208=0,"",SUM($J$197:$J208))</f>
        <v/>
      </c>
      <c r="L208" s="20" t="str">
        <f aca="false">IF($K208="","",$A208*100+$K208)</f>
        <v/>
      </c>
      <c r="M208" s="48" t="str">
        <f aca="false">参数!$B$4</f>
        <v>回款</v>
      </c>
    </row>
    <row r="209" customFormat="false" ht="13.5" hidden="false" customHeight="false" outlineLevel="0" collapsed="false">
      <c r="A209" s="47" t="n">
        <v>14</v>
      </c>
      <c r="B209" s="38" t="n">
        <f aca="false">助手回款!$B15</f>
        <v>2015</v>
      </c>
      <c r="C209" s="48" t="str">
        <f aca="false">助手回款!$C15</f>
        <v>齐村店</v>
      </c>
      <c r="D209" s="48" t="str">
        <f aca="false">科目对照回款!$B14&amp;""</f>
        <v>代金券</v>
      </c>
      <c r="E209" s="48" t="str">
        <f aca="false">科目对照回款!$C14&amp;""</f>
        <v>应收账款</v>
      </c>
      <c r="F209" s="48" t="str">
        <f aca="false">科目对照回款!$D14&amp;""</f>
        <v>代金券</v>
      </c>
      <c r="G209" s="49" t="n">
        <f aca="false">-ROUND(IF(科目对照回款!$F$14="",0,SUMIFS(输入回款!$C:$C,输入回款!$A:$A,助手回款!$X15,输入回款!$B:$B,科目对照回款!$F$14)+SUMIFS(输入回款!$D:$D,输入回款!$A:$A,助手回款!$X15,输入回款!$B:$B,科目对照回款!$F$14))+IF(科目对照回款!$G$14="",0,SUMIFS(输入回款!$C:$C,输入回款!$A:$A,助手回款!$X15,输入回款!$B:$B,科目对照回款!$G$14)+SUMIFS(输入回款!$D:$D,输入回款!$A:$A,助手回款!$X15,输入回款!$B:$B,科目对照回款!$G$14))+IF(科目对照回款!$H$14="",0,SUMIFS(输入回款!$C:$C,输入回款!$A:$A,助手回款!$X15,输入回款!$B:$B,科目对照回款!$H$14)+SUMIFS(输入回款!$D:$D,输入回款!$A:$A,助手回款!$X15,输入回款!$B:$B,科目对照回款!$H$14)),2)</f>
        <v>-0</v>
      </c>
      <c r="H209" s="49" t="str">
        <f aca="false">IF(ROUND($G209,2)&gt;0,ROUND($G209,2),"")</f>
        <v/>
      </c>
      <c r="I209" s="49" t="str">
        <f aca="false">IF(ROUND($G209,2)&lt;0,-ROUND($G209,2),"")</f>
        <v/>
      </c>
      <c r="J209" s="20" t="n">
        <f aca="false">IF(ROUND($G209,2)=0,0,1)</f>
        <v>0</v>
      </c>
      <c r="K209" s="20" t="str">
        <f aca="false">IF($J209=0,"",SUM($J$197:$J209))</f>
        <v/>
      </c>
      <c r="L209" s="20" t="str">
        <f aca="false">IF($K209="","",$A209*100+$K209)</f>
        <v/>
      </c>
      <c r="M209" s="48" t="str">
        <f aca="false">参数!$B$4</f>
        <v>回款</v>
      </c>
    </row>
    <row r="210" customFormat="false" ht="13.5" hidden="false" customHeight="false" outlineLevel="0" collapsed="false">
      <c r="A210" s="47" t="n">
        <v>14</v>
      </c>
      <c r="B210" s="38" t="n">
        <f aca="false">助手回款!$B15</f>
        <v>2015</v>
      </c>
      <c r="C210" s="48" t="str">
        <f aca="false">助手回款!$C15</f>
        <v>齐村店</v>
      </c>
      <c r="D210" s="48" t="str">
        <f aca="false">科目对照回款!$B15&amp;""</f>
        <v>药机微信</v>
      </c>
      <c r="E210" s="48" t="str">
        <f aca="false">科目对照回款!$C15&amp;""</f>
        <v>应收账款</v>
      </c>
      <c r="F210" s="48" t="str">
        <f aca="false">科目对照回款!$D15&amp;""</f>
        <v>药机微信</v>
      </c>
      <c r="G210" s="49" t="n">
        <f aca="false">-ROUND(IF(科目对照回款!$F$15="",0,SUMIFS(输入回款!$C:$C,输入回款!$A:$A,助手回款!$X15,输入回款!$B:$B,科目对照回款!$F$15)+SUMIFS(输入回款!$D:$D,输入回款!$A:$A,助手回款!$X15,输入回款!$B:$B,科目对照回款!$F$15))+IF(科目对照回款!$G$15="",0,SUMIFS(输入回款!$C:$C,输入回款!$A:$A,助手回款!$X15,输入回款!$B:$B,科目对照回款!$G$15)+SUMIFS(输入回款!$D:$D,输入回款!$A:$A,助手回款!$X15,输入回款!$B:$B,科目对照回款!$G$15))+IF(科目对照回款!$H$15="",0,SUMIFS(输入回款!$C:$C,输入回款!$A:$A,助手回款!$X15,输入回款!$B:$B,科目对照回款!$H$15)+SUMIFS(输入回款!$D:$D,输入回款!$A:$A,助手回款!$X15,输入回款!$B:$B,科目对照回款!$H$15)),2)</f>
        <v>-0</v>
      </c>
      <c r="H210" s="49" t="str">
        <f aca="false">IF(ROUND($G210,2)&gt;0,ROUND($G210,2),"")</f>
        <v/>
      </c>
      <c r="I210" s="49" t="str">
        <f aca="false">IF(ROUND($G210,2)&lt;0,-ROUND($G210,2),"")</f>
        <v/>
      </c>
      <c r="J210" s="20" t="n">
        <f aca="false">IF(ROUND($G210,2)=0,0,1)</f>
        <v>0</v>
      </c>
      <c r="K210" s="20" t="str">
        <f aca="false">IF($J210=0,"",SUM($J$197:$J210))</f>
        <v/>
      </c>
      <c r="L210" s="20" t="str">
        <f aca="false">IF($K210="","",$A210*100+$K210)</f>
        <v/>
      </c>
      <c r="M210" s="48" t="str">
        <f aca="false">参数!$B$4</f>
        <v>回款</v>
      </c>
    </row>
    <row r="211" customFormat="false" ht="13.5" hidden="false" customHeight="false" outlineLevel="0" collapsed="false">
      <c r="A211" s="47" t="n">
        <v>14</v>
      </c>
      <c r="B211" s="38" t="n">
        <f aca="false">助手回款!$B15</f>
        <v>2015</v>
      </c>
      <c r="C211" s="48" t="str">
        <f aca="false">助手回款!$C15</f>
        <v>齐村店</v>
      </c>
      <c r="D211" s="48" t="str">
        <f aca="false">科目对照回款!$B16&amp;""</f>
        <v>储值卡</v>
      </c>
      <c r="E211" s="48" t="str">
        <f aca="false">科目对照回款!$C16&amp;""</f>
        <v>其他应收款</v>
      </c>
      <c r="F211" s="48" t="str">
        <f aca="false">科目对照回款!$D16&amp;""</f>
        <v>储值卡</v>
      </c>
      <c r="G211" s="49" t="n">
        <f aca="false">-ROUND(IF(科目对照回款!$F$16="",0,SUMIFS(输入回款!$C:$C,输入回款!$A:$A,助手回款!$X15,输入回款!$B:$B,科目对照回款!$F$16)+SUMIFS(输入回款!$D:$D,输入回款!$A:$A,助手回款!$X15,输入回款!$B:$B,科目对照回款!$F$16))+IF(科目对照回款!$G$16="",0,SUMIFS(输入回款!$C:$C,输入回款!$A:$A,助手回款!$X15,输入回款!$B:$B,科目对照回款!$G$16)+SUMIFS(输入回款!$D:$D,输入回款!$A:$A,助手回款!$X15,输入回款!$B:$B,科目对照回款!$G$16))+IF(科目对照回款!$H$16="",0,SUMIFS(输入回款!$C:$C,输入回款!$A:$A,助手回款!$X15,输入回款!$B:$B,科目对照回款!$H$16)+SUMIFS(输入回款!$D:$D,输入回款!$A:$A,助手回款!$X15,输入回款!$B:$B,科目对照回款!$H$16)),2)</f>
        <v>-0</v>
      </c>
      <c r="H211" s="49" t="str">
        <f aca="false">IF(ROUND($G211,2)&gt;0,ROUND($G211,2),"")</f>
        <v/>
      </c>
      <c r="I211" s="49" t="str">
        <f aca="false">IF(ROUND($G211,2)&lt;0,-ROUND($G211,2),"")</f>
        <v/>
      </c>
      <c r="J211" s="20" t="n">
        <f aca="false">IF(ROUND($G211,2)=0,0,1)</f>
        <v>0</v>
      </c>
      <c r="K211" s="20" t="str">
        <f aca="false">IF($J211=0,"",SUM($J$197:$J211))</f>
        <v/>
      </c>
      <c r="L211" s="20" t="str">
        <f aca="false">IF($K211="","",$A211*100+$K211)</f>
        <v/>
      </c>
      <c r="M211" s="48" t="str">
        <f aca="false">参数!$B$4</f>
        <v>回款</v>
      </c>
    </row>
    <row r="212" customFormat="false" ht="13.5" hidden="false" customHeight="false" outlineLevel="0" collapsed="false">
      <c r="A212" s="47" t="n">
        <v>15</v>
      </c>
      <c r="B212" s="38" t="n">
        <f aca="false">助手回款!$B16</f>
        <v>2017</v>
      </c>
      <c r="C212" s="48" t="str">
        <f aca="false">助手回款!$C16</f>
        <v>博天店</v>
      </c>
      <c r="D212" s="48" t="str">
        <f aca="false">科目对照回款!$B2&amp;""</f>
        <v>库存现金</v>
      </c>
      <c r="E212" s="48" t="str">
        <f aca="false">科目对照回款!$C2&amp;""</f>
        <v>库存现金</v>
      </c>
      <c r="F212" s="48" t="str">
        <f aca="false">科目对照回款!$D2&amp;""</f>
        <v/>
      </c>
      <c r="G212" s="49" t="n">
        <f aca="false">助手回款!$E16</f>
        <v>2307.81</v>
      </c>
      <c r="H212" s="49" t="n">
        <f aca="false">IF(ROUND($G212,2)&gt;0,ROUND($G212,2),"")</f>
        <v>2307.81</v>
      </c>
      <c r="I212" s="49" t="str">
        <f aca="false">IF(ROUND($G212,2)&lt;0,-ROUND($G212,2),"")</f>
        <v/>
      </c>
      <c r="J212" s="20" t="n">
        <f aca="false">IF(ROUND($G212,2)=0,0,1)</f>
        <v>1</v>
      </c>
      <c r="K212" s="20" t="n">
        <f aca="false">IF($J212=0,"",SUM($J$212:$J212))</f>
        <v>1</v>
      </c>
      <c r="L212" s="20" t="n">
        <f aca="false">IF($K212="","",$A212*100+$K212)</f>
        <v>1501</v>
      </c>
      <c r="M212" s="48" t="str">
        <f aca="false">参数!$B$4</f>
        <v>回款</v>
      </c>
    </row>
    <row r="213" customFormat="false" ht="13.5" hidden="false" customHeight="false" outlineLevel="0" collapsed="false">
      <c r="A213" s="47" t="n">
        <v>15</v>
      </c>
      <c r="B213" s="38" t="n">
        <f aca="false">助手回款!$B16</f>
        <v>2017</v>
      </c>
      <c r="C213" s="48" t="str">
        <f aca="false">助手回款!$C16</f>
        <v>博天店</v>
      </c>
      <c r="D213" s="48" t="str">
        <f aca="false">科目对照回款!$B3&amp;""</f>
        <v>手续费</v>
      </c>
      <c r="E213" s="48" t="str">
        <f aca="false">科目对照回款!$C3&amp;""</f>
        <v>财务费用</v>
      </c>
      <c r="F213" s="48" t="str">
        <f aca="false">科目对照回款!$D3&amp;""</f>
        <v>手续费</v>
      </c>
      <c r="G213" s="49" t="n">
        <f aca="false">助手回款!$F16</f>
        <v>29.32</v>
      </c>
      <c r="H213" s="49" t="n">
        <f aca="false">IF(ROUND($G213,2)&gt;0,ROUND($G213,2),"")</f>
        <v>29.32</v>
      </c>
      <c r="I213" s="49" t="str">
        <f aca="false">IF(ROUND($G213,2)&lt;0,-ROUND($G213,2),"")</f>
        <v/>
      </c>
      <c r="J213" s="20" t="n">
        <f aca="false">IF(ROUND($G213,2)=0,0,1)</f>
        <v>1</v>
      </c>
      <c r="K213" s="20" t="n">
        <f aca="false">IF($J213=0,"",SUM($J$212:$J213))</f>
        <v>2</v>
      </c>
      <c r="L213" s="20" t="n">
        <f aca="false">IF($K213="","",$A213*100+$K213)</f>
        <v>1502</v>
      </c>
      <c r="M213" s="48" t="str">
        <f aca="false">参数!$B$4</f>
        <v>回款</v>
      </c>
    </row>
    <row r="214" customFormat="false" ht="13.5" hidden="false" customHeight="false" outlineLevel="0" collapsed="false">
      <c r="A214" s="47" t="n">
        <v>15</v>
      </c>
      <c r="B214" s="38" t="n">
        <f aca="false">助手回款!$B16</f>
        <v>2017</v>
      </c>
      <c r="C214" s="48" t="str">
        <f aca="false">助手回款!$C16</f>
        <v>博天店</v>
      </c>
      <c r="D214" s="48" t="str">
        <f aca="false">科目对照回款!$B4&amp;""</f>
        <v>聚合支付</v>
      </c>
      <c r="E214" s="48" t="str">
        <f aca="false">科目对照回款!$C4&amp;""</f>
        <v>应收账款</v>
      </c>
      <c r="F214" s="48" t="str">
        <f aca="false">科目对照回款!$D4&amp;""</f>
        <v>聚合支付</v>
      </c>
      <c r="G214" s="49" t="n">
        <f aca="false">-ROUND(IF(科目对照回款!$F$4="",0,SUMIFS(输入回款!$C:$C,输入回款!$A:$A,助手回款!$X16,输入回款!$B:$B,科目对照回款!$F$4)+SUMIFS(输入回款!$D:$D,输入回款!$A:$A,助手回款!$X16,输入回款!$B:$B,科目对照回款!$F$4))+IF(科目对照回款!$G$4="",0,SUMIFS(输入回款!$C:$C,输入回款!$A:$A,助手回款!$X16,输入回款!$B:$B,科目对照回款!$G$4)+SUMIFS(输入回款!$D:$D,输入回款!$A:$A,助手回款!$X16,输入回款!$B:$B,科目对照回款!$G$4))+IF(科目对照回款!$H$4="",0,SUMIFS(输入回款!$C:$C,输入回款!$A:$A,助手回款!$X16,输入回款!$B:$B,科目对照回款!$H$4)+SUMIFS(输入回款!$D:$D,输入回款!$A:$A,助手回款!$X16,输入回款!$B:$B,科目对照回款!$H$4)),2)</f>
        <v>-870.21</v>
      </c>
      <c r="H214" s="49" t="str">
        <f aca="false">IF(ROUND($G214,2)&gt;0,ROUND($G214,2),"")</f>
        <v/>
      </c>
      <c r="I214" s="49" t="n">
        <f aca="false">IF(ROUND($G214,2)&lt;0,-ROUND($G214,2),"")</f>
        <v>870.21</v>
      </c>
      <c r="J214" s="20" t="n">
        <f aca="false">IF(ROUND($G214,2)=0,0,1)</f>
        <v>1</v>
      </c>
      <c r="K214" s="20" t="n">
        <f aca="false">IF($J214=0,"",SUM($J$212:$J214))</f>
        <v>3</v>
      </c>
      <c r="L214" s="20" t="n">
        <f aca="false">IF($K214="","",$A214*100+$K214)</f>
        <v>1503</v>
      </c>
      <c r="M214" s="48" t="str">
        <f aca="false">参数!$B$4</f>
        <v>回款</v>
      </c>
    </row>
    <row r="215" customFormat="false" ht="13.5" hidden="false" customHeight="false" outlineLevel="0" collapsed="false">
      <c r="A215" s="47" t="n">
        <v>15</v>
      </c>
      <c r="B215" s="38" t="n">
        <f aca="false">助手回款!$B16</f>
        <v>2017</v>
      </c>
      <c r="C215" s="48" t="str">
        <f aca="false">助手回款!$C16</f>
        <v>博天店</v>
      </c>
      <c r="D215" s="48" t="str">
        <f aca="false">科目对照回款!$B5&amp;""</f>
        <v>医保</v>
      </c>
      <c r="E215" s="48" t="str">
        <f aca="false">科目对照回款!$C5&amp;""</f>
        <v>应收账款</v>
      </c>
      <c r="F215" s="48" t="str">
        <f aca="false">科目对照回款!$D5&amp;""</f>
        <v>医保</v>
      </c>
      <c r="G215" s="49" t="n">
        <f aca="false">-ROUND(IF(科目对照回款!$F$5="",0,SUMIFS(输入回款!$C:$C,输入回款!$A:$A,助手回款!$X16,输入回款!$B:$B,科目对照回款!$F$5)+SUMIFS(输入回款!$D:$D,输入回款!$A:$A,助手回款!$X16,输入回款!$B:$B,科目对照回款!$F$5))+IF(科目对照回款!$G$5="",0,SUMIFS(输入回款!$C:$C,输入回款!$A:$A,助手回款!$X16,输入回款!$B:$B,科目对照回款!$G$5)+SUMIFS(输入回款!$D:$D,输入回款!$A:$A,助手回款!$X16,输入回款!$B:$B,科目对照回款!$G$5))+IF(科目对照回款!$H$5="",0,SUMIFS(输入回款!$C:$C,输入回款!$A:$A,助手回款!$X16,输入回款!$B:$B,科目对照回款!$H$5)+SUMIFS(输入回款!$D:$D,输入回款!$A:$A,助手回款!$X16,输入回款!$B:$B,科目对照回款!$H$5)),2)</f>
        <v>-0</v>
      </c>
      <c r="H215" s="49" t="str">
        <f aca="false">IF(ROUND($G215,2)&gt;0,ROUND($G215,2),"")</f>
        <v/>
      </c>
      <c r="I215" s="49" t="str">
        <f aca="false">IF(ROUND($G215,2)&lt;0,-ROUND($G215,2),"")</f>
        <v/>
      </c>
      <c r="J215" s="20" t="n">
        <f aca="false">IF(ROUND($G215,2)=0,0,1)</f>
        <v>0</v>
      </c>
      <c r="K215" s="20" t="str">
        <f aca="false">IF($J215=0,"",SUM($J$212:$J215))</f>
        <v/>
      </c>
      <c r="L215" s="20" t="str">
        <f aca="false">IF($K215="","",$A215*100+$K215)</f>
        <v/>
      </c>
      <c r="M215" s="48" t="str">
        <f aca="false">参数!$B$4</f>
        <v>回款</v>
      </c>
    </row>
    <row r="216" customFormat="false" ht="13.5" hidden="false" customHeight="false" outlineLevel="0" collapsed="false">
      <c r="A216" s="47" t="n">
        <v>15</v>
      </c>
      <c r="B216" s="38" t="n">
        <f aca="false">助手回款!$B16</f>
        <v>2017</v>
      </c>
      <c r="C216" s="48" t="str">
        <f aca="false">助手回款!$C16</f>
        <v>博天店</v>
      </c>
      <c r="D216" s="48" t="str">
        <f aca="false">科目对照回款!$B6&amp;""</f>
        <v>美团</v>
      </c>
      <c r="E216" s="48" t="str">
        <f aca="false">科目对照回款!$C6&amp;""</f>
        <v>应收账款</v>
      </c>
      <c r="F216" s="48" t="str">
        <f aca="false">科目对照回款!$D6&amp;""</f>
        <v>美团</v>
      </c>
      <c r="G216" s="49" t="n">
        <f aca="false">-ROUND(IF(科目对照回款!$F$6="",0,SUMIFS(输入回款!$C:$C,输入回款!$A:$A,助手回款!$X16,输入回款!$B:$B,科目对照回款!$F$6)+SUMIFS(输入回款!$D:$D,输入回款!$A:$A,助手回款!$X16,输入回款!$B:$B,科目对照回款!$F$6))+IF(科目对照回款!$G$6="",0,SUMIFS(输入回款!$C:$C,输入回款!$A:$A,助手回款!$X16,输入回款!$B:$B,科目对照回款!$G$6)+SUMIFS(输入回款!$D:$D,输入回款!$A:$A,助手回款!$X16,输入回款!$B:$B,科目对照回款!$G$6))+IF(科目对照回款!$H$6="",0,SUMIFS(输入回款!$C:$C,输入回款!$A:$A,助手回款!$X16,输入回款!$B:$B,科目对照回款!$H$6)+SUMIFS(输入回款!$D:$D,输入回款!$A:$A,助手回款!$X16,输入回款!$B:$B,科目对照回款!$H$6)),2)</f>
        <v>-0</v>
      </c>
      <c r="H216" s="49" t="str">
        <f aca="false">IF(ROUND($G216,2)&gt;0,ROUND($G216,2),"")</f>
        <v/>
      </c>
      <c r="I216" s="49" t="str">
        <f aca="false">IF(ROUND($G216,2)&lt;0,-ROUND($G216,2),"")</f>
        <v/>
      </c>
      <c r="J216" s="20" t="n">
        <f aca="false">IF(ROUND($G216,2)=0,0,1)</f>
        <v>0</v>
      </c>
      <c r="K216" s="20" t="str">
        <f aca="false">IF($J216=0,"",SUM($J$212:$J216))</f>
        <v/>
      </c>
      <c r="L216" s="20" t="str">
        <f aca="false">IF($K216="","",$A216*100+$K216)</f>
        <v/>
      </c>
      <c r="M216" s="48" t="str">
        <f aca="false">参数!$B$4</f>
        <v>回款</v>
      </c>
    </row>
    <row r="217" customFormat="false" ht="13.5" hidden="false" customHeight="false" outlineLevel="0" collapsed="false">
      <c r="A217" s="47" t="n">
        <v>15</v>
      </c>
      <c r="B217" s="38" t="n">
        <f aca="false">助手回款!$B16</f>
        <v>2017</v>
      </c>
      <c r="C217" s="48" t="str">
        <f aca="false">助手回款!$C16</f>
        <v>博天店</v>
      </c>
      <c r="D217" s="48" t="str">
        <f aca="false">科目对照回款!$B7&amp;""</f>
        <v>饿了么</v>
      </c>
      <c r="E217" s="48" t="str">
        <f aca="false">科目对照回款!$C7&amp;""</f>
        <v>应收账款</v>
      </c>
      <c r="F217" s="48" t="str">
        <f aca="false">科目对照回款!$D7&amp;""</f>
        <v>饿了么</v>
      </c>
      <c r="G217" s="49" t="n">
        <f aca="false">-ROUND(IF(科目对照回款!$F$7="",0,SUMIFS(输入回款!$C:$C,输入回款!$A:$A,助手回款!$X16,输入回款!$B:$B,科目对照回款!$F$7)+SUMIFS(输入回款!$D:$D,输入回款!$A:$A,助手回款!$X16,输入回款!$B:$B,科目对照回款!$F$7))+IF(科目对照回款!$G$7="",0,SUMIFS(输入回款!$C:$C,输入回款!$A:$A,助手回款!$X16,输入回款!$B:$B,科目对照回款!$G$7)+SUMIFS(输入回款!$D:$D,输入回款!$A:$A,助手回款!$X16,输入回款!$B:$B,科目对照回款!$G$7))+IF(科目对照回款!$H$7="",0,SUMIFS(输入回款!$C:$C,输入回款!$A:$A,助手回款!$X16,输入回款!$B:$B,科目对照回款!$H$7)+SUMIFS(输入回款!$D:$D,输入回款!$A:$A,助手回款!$X16,输入回款!$B:$B,科目对照回款!$H$7)),2)</f>
        <v>-0</v>
      </c>
      <c r="H217" s="49" t="str">
        <f aca="false">IF(ROUND($G217,2)&gt;0,ROUND($G217,2),"")</f>
        <v/>
      </c>
      <c r="I217" s="49" t="str">
        <f aca="false">IF(ROUND($G217,2)&lt;0,-ROUND($G217,2),"")</f>
        <v/>
      </c>
      <c r="J217" s="20" t="n">
        <f aca="false">IF(ROUND($G217,2)=0,0,1)</f>
        <v>0</v>
      </c>
      <c r="K217" s="20" t="str">
        <f aca="false">IF($J217=0,"",SUM($J$212:$J217))</f>
        <v/>
      </c>
      <c r="L217" s="20" t="str">
        <f aca="false">IF($K217="","",$A217*100+$K217)</f>
        <v/>
      </c>
      <c r="M217" s="48" t="str">
        <f aca="false">参数!$B$4</f>
        <v>回款</v>
      </c>
    </row>
    <row r="218" customFormat="false" ht="13.5" hidden="false" customHeight="false" outlineLevel="0" collapsed="false">
      <c r="A218" s="47" t="n">
        <v>15</v>
      </c>
      <c r="B218" s="38" t="n">
        <f aca="false">助手回款!$B16</f>
        <v>2017</v>
      </c>
      <c r="C218" s="48" t="str">
        <f aca="false">助手回款!$C16</f>
        <v>博天店</v>
      </c>
      <c r="D218" s="48" t="str">
        <f aca="false">科目对照回款!$B8&amp;""</f>
        <v>24小时</v>
      </c>
      <c r="E218" s="48" t="str">
        <f aca="false">科目对照回款!$C8&amp;""</f>
        <v>应收账款</v>
      </c>
      <c r="F218" s="48" t="str">
        <f aca="false">科目对照回款!$D8&amp;""</f>
        <v>24小时</v>
      </c>
      <c r="G218" s="49" t="n">
        <f aca="false">-ROUND(IF(科目对照回款!$F$8="",0,SUMIFS(输入回款!$C:$C,输入回款!$A:$A,助手回款!$X16,输入回款!$B:$B,科目对照回款!$F$8)+SUMIFS(输入回款!$D:$D,输入回款!$A:$A,助手回款!$X16,输入回款!$B:$B,科目对照回款!$F$8))+IF(科目对照回款!$G$8="",0,SUMIFS(输入回款!$C:$C,输入回款!$A:$A,助手回款!$X16,输入回款!$B:$B,科目对照回款!$G$8)+SUMIFS(输入回款!$D:$D,输入回款!$A:$A,助手回款!$X16,输入回款!$B:$B,科目对照回款!$G$8))+IF(科目对照回款!$H$8="",0,SUMIFS(输入回款!$C:$C,输入回款!$A:$A,助手回款!$X16,输入回款!$B:$B,科目对照回款!$H$8)+SUMIFS(输入回款!$D:$D,输入回款!$A:$A,助手回款!$X16,输入回款!$B:$B,科目对照回款!$H$8)),2)</f>
        <v>-0</v>
      </c>
      <c r="H218" s="49" t="str">
        <f aca="false">IF(ROUND($G218,2)&gt;0,ROUND($G218,2),"")</f>
        <v/>
      </c>
      <c r="I218" s="49" t="str">
        <f aca="false">IF(ROUND($G218,2)&lt;0,-ROUND($G218,2),"")</f>
        <v/>
      </c>
      <c r="J218" s="20" t="n">
        <f aca="false">IF(ROUND($G218,2)=0,0,1)</f>
        <v>0</v>
      </c>
      <c r="K218" s="20" t="str">
        <f aca="false">IF($J218=0,"",SUM($J$212:$J218))</f>
        <v/>
      </c>
      <c r="L218" s="20" t="str">
        <f aca="false">IF($K218="","",$A218*100+$K218)</f>
        <v/>
      </c>
      <c r="M218" s="48" t="str">
        <f aca="false">参数!$B$4</f>
        <v>回款</v>
      </c>
    </row>
    <row r="219" customFormat="false" ht="13.5" hidden="false" customHeight="false" outlineLevel="0" collapsed="false">
      <c r="A219" s="47" t="n">
        <v>15</v>
      </c>
      <c r="B219" s="38" t="n">
        <f aca="false">助手回款!$B16</f>
        <v>2017</v>
      </c>
      <c r="C219" s="48" t="str">
        <f aca="false">助手回款!$C16</f>
        <v>博天店</v>
      </c>
      <c r="D219" s="48" t="str">
        <f aca="false">科目对照回款!$B9&amp;""</f>
        <v>健E卡</v>
      </c>
      <c r="E219" s="48" t="str">
        <f aca="false">科目对照回款!$C9&amp;""</f>
        <v>应收账款</v>
      </c>
      <c r="F219" s="48" t="str">
        <f aca="false">科目对照回款!$D9&amp;""</f>
        <v>健E卡</v>
      </c>
      <c r="G219" s="49" t="n">
        <f aca="false">-ROUND(IF(科目对照回款!$F$9="",0,SUMIFS(输入回款!$C:$C,输入回款!$A:$A,助手回款!$X16,输入回款!$B:$B,科目对照回款!$F$9)+SUMIFS(输入回款!$D:$D,输入回款!$A:$A,助手回款!$X16,输入回款!$B:$B,科目对照回款!$F$9))+IF(科目对照回款!$G$9="",0,SUMIFS(输入回款!$C:$C,输入回款!$A:$A,助手回款!$X16,输入回款!$B:$B,科目对照回款!$G$9)+SUMIFS(输入回款!$D:$D,输入回款!$A:$A,助手回款!$X16,输入回款!$B:$B,科目对照回款!$G$9))+IF(科目对照回款!$H$9="",0,SUMIFS(输入回款!$C:$C,输入回款!$A:$A,助手回款!$X16,输入回款!$B:$B,科目对照回款!$H$9)+SUMIFS(输入回款!$D:$D,输入回款!$A:$A,助手回款!$X16,输入回款!$B:$B,科目对照回款!$H$9)),2)</f>
        <v>-0</v>
      </c>
      <c r="H219" s="49" t="str">
        <f aca="false">IF(ROUND($G219,2)&gt;0,ROUND($G219,2),"")</f>
        <v/>
      </c>
      <c r="I219" s="49" t="str">
        <f aca="false">IF(ROUND($G219,2)&lt;0,-ROUND($G219,2),"")</f>
        <v/>
      </c>
      <c r="J219" s="20" t="n">
        <f aca="false">IF(ROUND($G219,2)=0,0,1)</f>
        <v>0</v>
      </c>
      <c r="K219" s="20" t="str">
        <f aca="false">IF($J219=0,"",SUM($J$212:$J219))</f>
        <v/>
      </c>
      <c r="L219" s="20" t="str">
        <f aca="false">IF($K219="","",$A219*100+$K219)</f>
        <v/>
      </c>
      <c r="M219" s="48" t="str">
        <f aca="false">参数!$B$4</f>
        <v>回款</v>
      </c>
    </row>
    <row r="220" customFormat="false" ht="13.5" hidden="false" customHeight="false" outlineLevel="0" collapsed="false">
      <c r="A220" s="47" t="n">
        <v>15</v>
      </c>
      <c r="B220" s="38" t="n">
        <f aca="false">助手回款!$B16</f>
        <v>2017</v>
      </c>
      <c r="C220" s="48" t="str">
        <f aca="false">助手回款!$C16</f>
        <v>博天店</v>
      </c>
      <c r="D220" s="48" t="str">
        <f aca="false">科目对照回款!$B10&amp;""</f>
        <v>医卡通</v>
      </c>
      <c r="E220" s="48" t="str">
        <f aca="false">科目对照回款!$C10&amp;""</f>
        <v>应收账款</v>
      </c>
      <c r="F220" s="48" t="str">
        <f aca="false">科目对照回款!$D10&amp;""</f>
        <v>医卡通</v>
      </c>
      <c r="G220" s="49" t="n">
        <f aca="false">-ROUND(IF(科目对照回款!$F$10="",0,SUMIFS(输入回款!$C:$C,输入回款!$A:$A,助手回款!$X16,输入回款!$B:$B,科目对照回款!$F$10)+SUMIFS(输入回款!$D:$D,输入回款!$A:$A,助手回款!$X16,输入回款!$B:$B,科目对照回款!$F$10))+IF(科目对照回款!$G$10="",0,SUMIFS(输入回款!$C:$C,输入回款!$A:$A,助手回款!$X16,输入回款!$B:$B,科目对照回款!$G$10)+SUMIFS(输入回款!$D:$D,输入回款!$A:$A,助手回款!$X16,输入回款!$B:$B,科目对照回款!$G$10))+IF(科目对照回款!$H$10="",0,SUMIFS(输入回款!$C:$C,输入回款!$A:$A,助手回款!$X16,输入回款!$B:$B,科目对照回款!$H$10)+SUMIFS(输入回款!$D:$D,输入回款!$A:$A,助手回款!$X16,输入回款!$B:$B,科目对照回款!$H$10)),2)</f>
        <v>-0</v>
      </c>
      <c r="H220" s="49" t="str">
        <f aca="false">IF(ROUND($G220,2)&gt;0,ROUND($G220,2),"")</f>
        <v/>
      </c>
      <c r="I220" s="49" t="str">
        <f aca="false">IF(ROUND($G220,2)&lt;0,-ROUND($G220,2),"")</f>
        <v/>
      </c>
      <c r="J220" s="20" t="n">
        <f aca="false">IF(ROUND($G220,2)=0,0,1)</f>
        <v>0</v>
      </c>
      <c r="K220" s="20" t="str">
        <f aca="false">IF($J220=0,"",SUM($J$212:$J220))</f>
        <v/>
      </c>
      <c r="L220" s="20" t="str">
        <f aca="false">IF($K220="","",$A220*100+$K220)</f>
        <v/>
      </c>
      <c r="M220" s="48" t="str">
        <f aca="false">参数!$B$4</f>
        <v>回款</v>
      </c>
    </row>
    <row r="221" customFormat="false" ht="13.5" hidden="false" customHeight="false" outlineLevel="0" collapsed="false">
      <c r="A221" s="47" t="n">
        <v>15</v>
      </c>
      <c r="B221" s="38" t="n">
        <f aca="false">助手回款!$B16</f>
        <v>2017</v>
      </c>
      <c r="C221" s="48" t="str">
        <f aca="false">助手回款!$C16</f>
        <v>博天店</v>
      </c>
      <c r="D221" s="48" t="str">
        <f aca="false">科目对照回款!$B11&amp;""</f>
        <v>企健网</v>
      </c>
      <c r="E221" s="48" t="str">
        <f aca="false">科目对照回款!$C11&amp;""</f>
        <v>应收账款</v>
      </c>
      <c r="F221" s="48" t="str">
        <f aca="false">科目对照回款!$D11&amp;""</f>
        <v>企健网</v>
      </c>
      <c r="G221" s="49" t="n">
        <f aca="false">-ROUND(IF(科目对照回款!$F$11="",0,SUMIFS(输入回款!$C:$C,输入回款!$A:$A,助手回款!$X16,输入回款!$B:$B,科目对照回款!$F$11)+SUMIFS(输入回款!$D:$D,输入回款!$A:$A,助手回款!$X16,输入回款!$B:$B,科目对照回款!$F$11))+IF(科目对照回款!$G$11="",0,SUMIFS(输入回款!$C:$C,输入回款!$A:$A,助手回款!$X16,输入回款!$B:$B,科目对照回款!$G$11)+SUMIFS(输入回款!$D:$D,输入回款!$A:$A,助手回款!$X16,输入回款!$B:$B,科目对照回款!$G$11))+IF(科目对照回款!$H$11="",0,SUMIFS(输入回款!$C:$C,输入回款!$A:$A,助手回款!$X16,输入回款!$B:$B,科目对照回款!$H$11)+SUMIFS(输入回款!$D:$D,输入回款!$A:$A,助手回款!$X16,输入回款!$B:$B,科目对照回款!$H$11)),2)</f>
        <v>-0</v>
      </c>
      <c r="H221" s="49" t="str">
        <f aca="false">IF(ROUND($G221,2)&gt;0,ROUND($G221,2),"")</f>
        <v/>
      </c>
      <c r="I221" s="49" t="str">
        <f aca="false">IF(ROUND($G221,2)&lt;0,-ROUND($G221,2),"")</f>
        <v/>
      </c>
      <c r="J221" s="20" t="n">
        <f aca="false">IF(ROUND($G221,2)=0,0,1)</f>
        <v>0</v>
      </c>
      <c r="K221" s="20" t="str">
        <f aca="false">IF($J221=0,"",SUM($J$212:$J221))</f>
        <v/>
      </c>
      <c r="L221" s="20" t="str">
        <f aca="false">IF($K221="","",$A221*100+$K221)</f>
        <v/>
      </c>
      <c r="M221" s="48" t="str">
        <f aca="false">参数!$B$4</f>
        <v>回款</v>
      </c>
    </row>
    <row r="222" customFormat="false" ht="13.5" hidden="false" customHeight="false" outlineLevel="0" collapsed="false">
      <c r="A222" s="47" t="n">
        <v>15</v>
      </c>
      <c r="B222" s="38" t="n">
        <f aca="false">助手回款!$B16</f>
        <v>2017</v>
      </c>
      <c r="C222" s="48" t="str">
        <f aca="false">助手回款!$C16</f>
        <v>博天店</v>
      </c>
      <c r="D222" s="48" t="str">
        <f aca="false">科目对照回款!$B12&amp;""</f>
        <v>亲情卡</v>
      </c>
      <c r="E222" s="48" t="str">
        <f aca="false">科目对照回款!$C12&amp;""</f>
        <v>应收账款</v>
      </c>
      <c r="F222" s="48" t="str">
        <f aca="false">科目对照回款!$D12&amp;""</f>
        <v>亲情卡</v>
      </c>
      <c r="G222" s="49" t="n">
        <f aca="false">-ROUND(IF(科目对照回款!$F$12="",0,SUMIFS(输入回款!$C:$C,输入回款!$A:$A,助手回款!$X16,输入回款!$B:$B,科目对照回款!$F$12)+SUMIFS(输入回款!$D:$D,输入回款!$A:$A,助手回款!$X16,输入回款!$B:$B,科目对照回款!$F$12))+IF(科目对照回款!$G$12="",0,SUMIFS(输入回款!$C:$C,输入回款!$A:$A,助手回款!$X16,输入回款!$B:$B,科目对照回款!$G$12)+SUMIFS(输入回款!$D:$D,输入回款!$A:$A,助手回款!$X16,输入回款!$B:$B,科目对照回款!$G$12))+IF(科目对照回款!$H$12="",0,SUMIFS(输入回款!$C:$C,输入回款!$A:$A,助手回款!$X16,输入回款!$B:$B,科目对照回款!$H$12)+SUMIFS(输入回款!$D:$D,输入回款!$A:$A,助手回款!$X16,输入回款!$B:$B,科目对照回款!$H$12)),2)</f>
        <v>-1466.92</v>
      </c>
      <c r="H222" s="49" t="str">
        <f aca="false">IF(ROUND($G222,2)&gt;0,ROUND($G222,2),"")</f>
        <v/>
      </c>
      <c r="I222" s="49" t="n">
        <f aca="false">IF(ROUND($G222,2)&lt;0,-ROUND($G222,2),"")</f>
        <v>1466.92</v>
      </c>
      <c r="J222" s="20" t="n">
        <f aca="false">IF(ROUND($G222,2)=0,0,1)</f>
        <v>1</v>
      </c>
      <c r="K222" s="20" t="n">
        <f aca="false">IF($J222=0,"",SUM($J$212:$J222))</f>
        <v>4</v>
      </c>
      <c r="L222" s="20" t="n">
        <f aca="false">IF($K222="","",$A222*100+$K222)</f>
        <v>1504</v>
      </c>
      <c r="M222" s="48" t="str">
        <f aca="false">参数!$B$4</f>
        <v>回款</v>
      </c>
    </row>
    <row r="223" customFormat="false" ht="13.5" hidden="false" customHeight="false" outlineLevel="0" collapsed="false">
      <c r="A223" s="47" t="n">
        <v>15</v>
      </c>
      <c r="B223" s="38" t="n">
        <f aca="false">助手回款!$B16</f>
        <v>2017</v>
      </c>
      <c r="C223" s="48" t="str">
        <f aca="false">助手回款!$C16</f>
        <v>博天店</v>
      </c>
      <c r="D223" s="48" t="str">
        <f aca="false">科目对照回款!$B13&amp;""</f>
        <v>银联</v>
      </c>
      <c r="E223" s="48" t="str">
        <f aca="false">科目对照回款!$C13&amp;""</f>
        <v>应收账款</v>
      </c>
      <c r="F223" s="48" t="str">
        <f aca="false">科目对照回款!$D13&amp;""</f>
        <v>银联</v>
      </c>
      <c r="G223" s="49" t="n">
        <f aca="false">-ROUND(IF(科目对照回款!$F$13="",0,SUMIFS(输入回款!$C:$C,输入回款!$A:$A,助手回款!$X16,输入回款!$B:$B,科目对照回款!$F$13)+SUMIFS(输入回款!$D:$D,输入回款!$A:$A,助手回款!$X16,输入回款!$B:$B,科目对照回款!$F$13))+IF(科目对照回款!$G$13="",0,SUMIFS(输入回款!$C:$C,输入回款!$A:$A,助手回款!$X16,输入回款!$B:$B,科目对照回款!$G$13)+SUMIFS(输入回款!$D:$D,输入回款!$A:$A,助手回款!$X16,输入回款!$B:$B,科目对照回款!$G$13))+IF(科目对照回款!$H$13="",0,SUMIFS(输入回款!$C:$C,输入回款!$A:$A,助手回款!$X16,输入回款!$B:$B,科目对照回款!$H$13)+SUMIFS(输入回款!$D:$D,输入回款!$A:$A,助手回款!$X16,输入回款!$B:$B,科目对照回款!$H$13)),2)</f>
        <v>-0</v>
      </c>
      <c r="H223" s="49" t="str">
        <f aca="false">IF(ROUND($G223,2)&gt;0,ROUND($G223,2),"")</f>
        <v/>
      </c>
      <c r="I223" s="49" t="str">
        <f aca="false">IF(ROUND($G223,2)&lt;0,-ROUND($G223,2),"")</f>
        <v/>
      </c>
      <c r="J223" s="20" t="n">
        <f aca="false">IF(ROUND($G223,2)=0,0,1)</f>
        <v>0</v>
      </c>
      <c r="K223" s="20" t="str">
        <f aca="false">IF($J223=0,"",SUM($J$212:$J223))</f>
        <v/>
      </c>
      <c r="L223" s="20" t="str">
        <f aca="false">IF($K223="","",$A223*100+$K223)</f>
        <v/>
      </c>
      <c r="M223" s="48" t="str">
        <f aca="false">参数!$B$4</f>
        <v>回款</v>
      </c>
    </row>
    <row r="224" customFormat="false" ht="13.5" hidden="false" customHeight="false" outlineLevel="0" collapsed="false">
      <c r="A224" s="47" t="n">
        <v>15</v>
      </c>
      <c r="B224" s="38" t="n">
        <f aca="false">助手回款!$B16</f>
        <v>2017</v>
      </c>
      <c r="C224" s="48" t="str">
        <f aca="false">助手回款!$C16</f>
        <v>博天店</v>
      </c>
      <c r="D224" s="48" t="str">
        <f aca="false">科目对照回款!$B14&amp;""</f>
        <v>代金券</v>
      </c>
      <c r="E224" s="48" t="str">
        <f aca="false">科目对照回款!$C14&amp;""</f>
        <v>应收账款</v>
      </c>
      <c r="F224" s="48" t="str">
        <f aca="false">科目对照回款!$D14&amp;""</f>
        <v>代金券</v>
      </c>
      <c r="G224" s="49" t="n">
        <f aca="false">-ROUND(IF(科目对照回款!$F$14="",0,SUMIFS(输入回款!$C:$C,输入回款!$A:$A,助手回款!$X16,输入回款!$B:$B,科目对照回款!$F$14)+SUMIFS(输入回款!$D:$D,输入回款!$A:$A,助手回款!$X16,输入回款!$B:$B,科目对照回款!$F$14))+IF(科目对照回款!$G$14="",0,SUMIFS(输入回款!$C:$C,输入回款!$A:$A,助手回款!$X16,输入回款!$B:$B,科目对照回款!$G$14)+SUMIFS(输入回款!$D:$D,输入回款!$A:$A,助手回款!$X16,输入回款!$B:$B,科目对照回款!$G$14))+IF(科目对照回款!$H$14="",0,SUMIFS(输入回款!$C:$C,输入回款!$A:$A,助手回款!$X16,输入回款!$B:$B,科目对照回款!$H$14)+SUMIFS(输入回款!$D:$D,输入回款!$A:$A,助手回款!$X16,输入回款!$B:$B,科目对照回款!$H$14)),2)</f>
        <v>-0</v>
      </c>
      <c r="H224" s="49" t="str">
        <f aca="false">IF(ROUND($G224,2)&gt;0,ROUND($G224,2),"")</f>
        <v/>
      </c>
      <c r="I224" s="49" t="str">
        <f aca="false">IF(ROUND($G224,2)&lt;0,-ROUND($G224,2),"")</f>
        <v/>
      </c>
      <c r="J224" s="20" t="n">
        <f aca="false">IF(ROUND($G224,2)=0,0,1)</f>
        <v>0</v>
      </c>
      <c r="K224" s="20" t="str">
        <f aca="false">IF($J224=0,"",SUM($J$212:$J224))</f>
        <v/>
      </c>
      <c r="L224" s="20" t="str">
        <f aca="false">IF($K224="","",$A224*100+$K224)</f>
        <v/>
      </c>
      <c r="M224" s="48" t="str">
        <f aca="false">参数!$B$4</f>
        <v>回款</v>
      </c>
    </row>
    <row r="225" customFormat="false" ht="13.5" hidden="false" customHeight="false" outlineLevel="0" collapsed="false">
      <c r="A225" s="47" t="n">
        <v>15</v>
      </c>
      <c r="B225" s="38" t="n">
        <f aca="false">助手回款!$B16</f>
        <v>2017</v>
      </c>
      <c r="C225" s="48" t="str">
        <f aca="false">助手回款!$C16</f>
        <v>博天店</v>
      </c>
      <c r="D225" s="48" t="str">
        <f aca="false">科目对照回款!$B15&amp;""</f>
        <v>药机微信</v>
      </c>
      <c r="E225" s="48" t="str">
        <f aca="false">科目对照回款!$C15&amp;""</f>
        <v>应收账款</v>
      </c>
      <c r="F225" s="48" t="str">
        <f aca="false">科目对照回款!$D15&amp;""</f>
        <v>药机微信</v>
      </c>
      <c r="G225" s="49" t="n">
        <f aca="false">-ROUND(IF(科目对照回款!$F$15="",0,SUMIFS(输入回款!$C:$C,输入回款!$A:$A,助手回款!$X16,输入回款!$B:$B,科目对照回款!$F$15)+SUMIFS(输入回款!$D:$D,输入回款!$A:$A,助手回款!$X16,输入回款!$B:$B,科目对照回款!$F$15))+IF(科目对照回款!$G$15="",0,SUMIFS(输入回款!$C:$C,输入回款!$A:$A,助手回款!$X16,输入回款!$B:$B,科目对照回款!$G$15)+SUMIFS(输入回款!$D:$D,输入回款!$A:$A,助手回款!$X16,输入回款!$B:$B,科目对照回款!$G$15))+IF(科目对照回款!$H$15="",0,SUMIFS(输入回款!$C:$C,输入回款!$A:$A,助手回款!$X16,输入回款!$B:$B,科目对照回款!$H$15)+SUMIFS(输入回款!$D:$D,输入回款!$A:$A,助手回款!$X16,输入回款!$B:$B,科目对照回款!$H$15)),2)</f>
        <v>-0</v>
      </c>
      <c r="H225" s="49" t="str">
        <f aca="false">IF(ROUND($G225,2)&gt;0,ROUND($G225,2),"")</f>
        <v/>
      </c>
      <c r="I225" s="49" t="str">
        <f aca="false">IF(ROUND($G225,2)&lt;0,-ROUND($G225,2),"")</f>
        <v/>
      </c>
      <c r="J225" s="20" t="n">
        <f aca="false">IF(ROUND($G225,2)=0,0,1)</f>
        <v>0</v>
      </c>
      <c r="K225" s="20" t="str">
        <f aca="false">IF($J225=0,"",SUM($J$212:$J225))</f>
        <v/>
      </c>
      <c r="L225" s="20" t="str">
        <f aca="false">IF($K225="","",$A225*100+$K225)</f>
        <v/>
      </c>
      <c r="M225" s="48" t="str">
        <f aca="false">参数!$B$4</f>
        <v>回款</v>
      </c>
    </row>
    <row r="226" customFormat="false" ht="13.5" hidden="false" customHeight="false" outlineLevel="0" collapsed="false">
      <c r="A226" s="47" t="n">
        <v>15</v>
      </c>
      <c r="B226" s="38" t="n">
        <f aca="false">助手回款!$B16</f>
        <v>2017</v>
      </c>
      <c r="C226" s="48" t="str">
        <f aca="false">助手回款!$C16</f>
        <v>博天店</v>
      </c>
      <c r="D226" s="48" t="str">
        <f aca="false">科目对照回款!$B16&amp;""</f>
        <v>储值卡</v>
      </c>
      <c r="E226" s="48" t="str">
        <f aca="false">科目对照回款!$C16&amp;""</f>
        <v>其他应收款</v>
      </c>
      <c r="F226" s="48" t="str">
        <f aca="false">科目对照回款!$D16&amp;""</f>
        <v>储值卡</v>
      </c>
      <c r="G226" s="49" t="n">
        <f aca="false">-ROUND(IF(科目对照回款!$F$16="",0,SUMIFS(输入回款!$C:$C,输入回款!$A:$A,助手回款!$X16,输入回款!$B:$B,科目对照回款!$F$16)+SUMIFS(输入回款!$D:$D,输入回款!$A:$A,助手回款!$X16,输入回款!$B:$B,科目对照回款!$F$16))+IF(科目对照回款!$G$16="",0,SUMIFS(输入回款!$C:$C,输入回款!$A:$A,助手回款!$X16,输入回款!$B:$B,科目对照回款!$G$16)+SUMIFS(输入回款!$D:$D,输入回款!$A:$A,助手回款!$X16,输入回款!$B:$B,科目对照回款!$G$16))+IF(科目对照回款!$H$16="",0,SUMIFS(输入回款!$C:$C,输入回款!$A:$A,助手回款!$X16,输入回款!$B:$B,科目对照回款!$H$16)+SUMIFS(输入回款!$D:$D,输入回款!$A:$A,助手回款!$X16,输入回款!$B:$B,科目对照回款!$H$16)),2)</f>
        <v>-0</v>
      </c>
      <c r="H226" s="49" t="str">
        <f aca="false">IF(ROUND($G226,2)&gt;0,ROUND($G226,2),"")</f>
        <v/>
      </c>
      <c r="I226" s="49" t="str">
        <f aca="false">IF(ROUND($G226,2)&lt;0,-ROUND($G226,2),"")</f>
        <v/>
      </c>
      <c r="J226" s="20" t="n">
        <f aca="false">IF(ROUND($G226,2)=0,0,1)</f>
        <v>0</v>
      </c>
      <c r="K226" s="20" t="str">
        <f aca="false">IF($J226=0,"",SUM($J$212:$J226))</f>
        <v/>
      </c>
      <c r="L226" s="20" t="str">
        <f aca="false">IF($K226="","",$A226*100+$K226)</f>
        <v/>
      </c>
      <c r="M226" s="48" t="str">
        <f aca="false">参数!$B$4</f>
        <v>回款</v>
      </c>
    </row>
    <row r="227" customFormat="false" ht="13.5" hidden="false" customHeight="false" outlineLevel="0" collapsed="false">
      <c r="A227" s="47" t="n">
        <v>16</v>
      </c>
      <c r="B227" s="38" t="n">
        <f aca="false">助手回款!$B17</f>
        <v>2018</v>
      </c>
      <c r="C227" s="48" t="str">
        <f aca="false">助手回款!$C17</f>
        <v>魏家庄店</v>
      </c>
      <c r="D227" s="48" t="str">
        <f aca="false">科目对照回款!$B2&amp;""</f>
        <v>库存现金</v>
      </c>
      <c r="E227" s="48" t="str">
        <f aca="false">科目对照回款!$C2&amp;""</f>
        <v>库存现金</v>
      </c>
      <c r="F227" s="48" t="str">
        <f aca="false">科目对照回款!$D2&amp;""</f>
        <v/>
      </c>
      <c r="G227" s="49" t="n">
        <f aca="false">助手回款!$E17</f>
        <v>29208</v>
      </c>
      <c r="H227" s="49" t="n">
        <f aca="false">IF(ROUND($G227,2)&gt;0,ROUND($G227,2),"")</f>
        <v>29208</v>
      </c>
      <c r="I227" s="49" t="str">
        <f aca="false">IF(ROUND($G227,2)&lt;0,-ROUND($G227,2),"")</f>
        <v/>
      </c>
      <c r="J227" s="20" t="n">
        <f aca="false">IF(ROUND($G227,2)=0,0,1)</f>
        <v>1</v>
      </c>
      <c r="K227" s="20" t="n">
        <f aca="false">IF($J227=0,"",SUM($J$227:$J227))</f>
        <v>1</v>
      </c>
      <c r="L227" s="20" t="n">
        <f aca="false">IF($K227="","",$A227*100+$K227)</f>
        <v>1601</v>
      </c>
      <c r="M227" s="48" t="str">
        <f aca="false">参数!$B$4</f>
        <v>回款</v>
      </c>
    </row>
    <row r="228" customFormat="false" ht="13.5" hidden="false" customHeight="false" outlineLevel="0" collapsed="false">
      <c r="A228" s="47" t="n">
        <v>16</v>
      </c>
      <c r="B228" s="38" t="n">
        <f aca="false">助手回款!$B17</f>
        <v>2018</v>
      </c>
      <c r="C228" s="48" t="str">
        <f aca="false">助手回款!$C17</f>
        <v>魏家庄店</v>
      </c>
      <c r="D228" s="48" t="str">
        <f aca="false">科目对照回款!$B3&amp;""</f>
        <v>手续费</v>
      </c>
      <c r="E228" s="48" t="str">
        <f aca="false">科目对照回款!$C3&amp;""</f>
        <v>财务费用</v>
      </c>
      <c r="F228" s="48" t="str">
        <f aca="false">科目对照回款!$D3&amp;""</f>
        <v>手续费</v>
      </c>
      <c r="G228" s="49" t="n">
        <f aca="false">助手回款!$F17</f>
        <v>0</v>
      </c>
      <c r="H228" s="49" t="str">
        <f aca="false">IF(ROUND($G228,2)&gt;0,ROUND($G228,2),"")</f>
        <v/>
      </c>
      <c r="I228" s="49" t="str">
        <f aca="false">IF(ROUND($G228,2)&lt;0,-ROUND($G228,2),"")</f>
        <v/>
      </c>
      <c r="J228" s="20" t="n">
        <f aca="false">IF(ROUND($G228,2)=0,0,1)</f>
        <v>0</v>
      </c>
      <c r="K228" s="20" t="str">
        <f aca="false">IF($J228=0,"",SUM($J$227:$J228))</f>
        <v/>
      </c>
      <c r="L228" s="20" t="str">
        <f aca="false">IF($K228="","",$A228*100+$K228)</f>
        <v/>
      </c>
      <c r="M228" s="48" t="str">
        <f aca="false">参数!$B$4</f>
        <v>回款</v>
      </c>
    </row>
    <row r="229" customFormat="false" ht="13.5" hidden="false" customHeight="false" outlineLevel="0" collapsed="false">
      <c r="A229" s="47" t="n">
        <v>16</v>
      </c>
      <c r="B229" s="38" t="n">
        <f aca="false">助手回款!$B17</f>
        <v>2018</v>
      </c>
      <c r="C229" s="48" t="str">
        <f aca="false">助手回款!$C17</f>
        <v>魏家庄店</v>
      </c>
      <c r="D229" s="48" t="str">
        <f aca="false">科目对照回款!$B4&amp;""</f>
        <v>聚合支付</v>
      </c>
      <c r="E229" s="48" t="str">
        <f aca="false">科目对照回款!$C4&amp;""</f>
        <v>应收账款</v>
      </c>
      <c r="F229" s="48" t="str">
        <f aca="false">科目对照回款!$D4&amp;""</f>
        <v>聚合支付</v>
      </c>
      <c r="G229" s="49" t="n">
        <f aca="false">-ROUND(IF(科目对照回款!$F$4="",0,SUMIFS(输入回款!$C:$C,输入回款!$A:$A,助手回款!$X17,输入回款!$B:$B,科目对照回款!$F$4)+SUMIFS(输入回款!$D:$D,输入回款!$A:$A,助手回款!$X17,输入回款!$B:$B,科目对照回款!$F$4))+IF(科目对照回款!$G$4="",0,SUMIFS(输入回款!$C:$C,输入回款!$A:$A,助手回款!$X17,输入回款!$B:$B,科目对照回款!$G$4)+SUMIFS(输入回款!$D:$D,输入回款!$A:$A,助手回款!$X17,输入回款!$B:$B,科目对照回款!$G$4))+IF(科目对照回款!$H$4="",0,SUMIFS(输入回款!$C:$C,输入回款!$A:$A,助手回款!$X17,输入回款!$B:$B,科目对照回款!$H$4)+SUMIFS(输入回款!$D:$D,输入回款!$A:$A,助手回款!$X17,输入回款!$B:$B,科目对照回款!$H$4)),2)</f>
        <v>-24661.76</v>
      </c>
      <c r="H229" s="49" t="str">
        <f aca="false">IF(ROUND($G229,2)&gt;0,ROUND($G229,2),"")</f>
        <v/>
      </c>
      <c r="I229" s="49" t="n">
        <f aca="false">IF(ROUND($G229,2)&lt;0,-ROUND($G229,2),"")</f>
        <v>24661.76</v>
      </c>
      <c r="J229" s="20" t="n">
        <f aca="false">IF(ROUND($G229,2)=0,0,1)</f>
        <v>1</v>
      </c>
      <c r="K229" s="20" t="n">
        <f aca="false">IF($J229=0,"",SUM($J$227:$J229))</f>
        <v>2</v>
      </c>
      <c r="L229" s="20" t="n">
        <f aca="false">IF($K229="","",$A229*100+$K229)</f>
        <v>1602</v>
      </c>
      <c r="M229" s="48" t="str">
        <f aca="false">参数!$B$4</f>
        <v>回款</v>
      </c>
    </row>
    <row r="230" customFormat="false" ht="13.5" hidden="false" customHeight="false" outlineLevel="0" collapsed="false">
      <c r="A230" s="47" t="n">
        <v>16</v>
      </c>
      <c r="B230" s="38" t="n">
        <f aca="false">助手回款!$B17</f>
        <v>2018</v>
      </c>
      <c r="C230" s="48" t="str">
        <f aca="false">助手回款!$C17</f>
        <v>魏家庄店</v>
      </c>
      <c r="D230" s="48" t="str">
        <f aca="false">科目对照回款!$B5&amp;""</f>
        <v>医保</v>
      </c>
      <c r="E230" s="48" t="str">
        <f aca="false">科目对照回款!$C5&amp;""</f>
        <v>应收账款</v>
      </c>
      <c r="F230" s="48" t="str">
        <f aca="false">科目对照回款!$D5&amp;""</f>
        <v>医保</v>
      </c>
      <c r="G230" s="49" t="n">
        <f aca="false">-ROUND(IF(科目对照回款!$F$5="",0,SUMIFS(输入回款!$C:$C,输入回款!$A:$A,助手回款!$X17,输入回款!$B:$B,科目对照回款!$F$5)+SUMIFS(输入回款!$D:$D,输入回款!$A:$A,助手回款!$X17,输入回款!$B:$B,科目对照回款!$F$5))+IF(科目对照回款!$G$5="",0,SUMIFS(输入回款!$C:$C,输入回款!$A:$A,助手回款!$X17,输入回款!$B:$B,科目对照回款!$G$5)+SUMIFS(输入回款!$D:$D,输入回款!$A:$A,助手回款!$X17,输入回款!$B:$B,科目对照回款!$G$5))+IF(科目对照回款!$H$5="",0,SUMIFS(输入回款!$C:$C,输入回款!$A:$A,助手回款!$X17,输入回款!$B:$B,科目对照回款!$H$5)+SUMIFS(输入回款!$D:$D,输入回款!$A:$A,助手回款!$X17,输入回款!$B:$B,科目对照回款!$H$5)),2)</f>
        <v>-4546.24</v>
      </c>
      <c r="H230" s="49" t="str">
        <f aca="false">IF(ROUND($G230,2)&gt;0,ROUND($G230,2),"")</f>
        <v/>
      </c>
      <c r="I230" s="49" t="n">
        <f aca="false">IF(ROUND($G230,2)&lt;0,-ROUND($G230,2),"")</f>
        <v>4546.24</v>
      </c>
      <c r="J230" s="20" t="n">
        <f aca="false">IF(ROUND($G230,2)=0,0,1)</f>
        <v>1</v>
      </c>
      <c r="K230" s="20" t="n">
        <f aca="false">IF($J230=0,"",SUM($J$227:$J230))</f>
        <v>3</v>
      </c>
      <c r="L230" s="20" t="n">
        <f aca="false">IF($K230="","",$A230*100+$K230)</f>
        <v>1603</v>
      </c>
      <c r="M230" s="48" t="str">
        <f aca="false">参数!$B$4</f>
        <v>回款</v>
      </c>
    </row>
    <row r="231" customFormat="false" ht="13.5" hidden="false" customHeight="false" outlineLevel="0" collapsed="false">
      <c r="A231" s="47" t="n">
        <v>16</v>
      </c>
      <c r="B231" s="38" t="n">
        <f aca="false">助手回款!$B17</f>
        <v>2018</v>
      </c>
      <c r="C231" s="48" t="str">
        <f aca="false">助手回款!$C17</f>
        <v>魏家庄店</v>
      </c>
      <c r="D231" s="48" t="str">
        <f aca="false">科目对照回款!$B6&amp;""</f>
        <v>美团</v>
      </c>
      <c r="E231" s="48" t="str">
        <f aca="false">科目对照回款!$C6&amp;""</f>
        <v>应收账款</v>
      </c>
      <c r="F231" s="48" t="str">
        <f aca="false">科目对照回款!$D6&amp;""</f>
        <v>美团</v>
      </c>
      <c r="G231" s="49" t="n">
        <f aca="false">-ROUND(IF(科目对照回款!$F$6="",0,SUMIFS(输入回款!$C:$C,输入回款!$A:$A,助手回款!$X17,输入回款!$B:$B,科目对照回款!$F$6)+SUMIFS(输入回款!$D:$D,输入回款!$A:$A,助手回款!$X17,输入回款!$B:$B,科目对照回款!$F$6))+IF(科目对照回款!$G$6="",0,SUMIFS(输入回款!$C:$C,输入回款!$A:$A,助手回款!$X17,输入回款!$B:$B,科目对照回款!$G$6)+SUMIFS(输入回款!$D:$D,输入回款!$A:$A,助手回款!$X17,输入回款!$B:$B,科目对照回款!$G$6))+IF(科目对照回款!$H$6="",0,SUMIFS(输入回款!$C:$C,输入回款!$A:$A,助手回款!$X17,输入回款!$B:$B,科目对照回款!$H$6)+SUMIFS(输入回款!$D:$D,输入回款!$A:$A,助手回款!$X17,输入回款!$B:$B,科目对照回款!$H$6)),2)</f>
        <v>-0</v>
      </c>
      <c r="H231" s="49" t="str">
        <f aca="false">IF(ROUND($G231,2)&gt;0,ROUND($G231,2),"")</f>
        <v/>
      </c>
      <c r="I231" s="49" t="str">
        <f aca="false">IF(ROUND($G231,2)&lt;0,-ROUND($G231,2),"")</f>
        <v/>
      </c>
      <c r="J231" s="20" t="n">
        <f aca="false">IF(ROUND($G231,2)=0,0,1)</f>
        <v>0</v>
      </c>
      <c r="K231" s="20" t="str">
        <f aca="false">IF($J231=0,"",SUM($J$227:$J231))</f>
        <v/>
      </c>
      <c r="L231" s="20" t="str">
        <f aca="false">IF($K231="","",$A231*100+$K231)</f>
        <v/>
      </c>
      <c r="M231" s="48" t="str">
        <f aca="false">参数!$B$4</f>
        <v>回款</v>
      </c>
    </row>
    <row r="232" customFormat="false" ht="13.5" hidden="false" customHeight="false" outlineLevel="0" collapsed="false">
      <c r="A232" s="47" t="n">
        <v>16</v>
      </c>
      <c r="B232" s="38" t="n">
        <f aca="false">助手回款!$B17</f>
        <v>2018</v>
      </c>
      <c r="C232" s="48" t="str">
        <f aca="false">助手回款!$C17</f>
        <v>魏家庄店</v>
      </c>
      <c r="D232" s="48" t="str">
        <f aca="false">科目对照回款!$B7&amp;""</f>
        <v>饿了么</v>
      </c>
      <c r="E232" s="48" t="str">
        <f aca="false">科目对照回款!$C7&amp;""</f>
        <v>应收账款</v>
      </c>
      <c r="F232" s="48" t="str">
        <f aca="false">科目对照回款!$D7&amp;""</f>
        <v>饿了么</v>
      </c>
      <c r="G232" s="49" t="n">
        <f aca="false">-ROUND(IF(科目对照回款!$F$7="",0,SUMIFS(输入回款!$C:$C,输入回款!$A:$A,助手回款!$X17,输入回款!$B:$B,科目对照回款!$F$7)+SUMIFS(输入回款!$D:$D,输入回款!$A:$A,助手回款!$X17,输入回款!$B:$B,科目对照回款!$F$7))+IF(科目对照回款!$G$7="",0,SUMIFS(输入回款!$C:$C,输入回款!$A:$A,助手回款!$X17,输入回款!$B:$B,科目对照回款!$G$7)+SUMIFS(输入回款!$D:$D,输入回款!$A:$A,助手回款!$X17,输入回款!$B:$B,科目对照回款!$G$7))+IF(科目对照回款!$H$7="",0,SUMIFS(输入回款!$C:$C,输入回款!$A:$A,助手回款!$X17,输入回款!$B:$B,科目对照回款!$H$7)+SUMIFS(输入回款!$D:$D,输入回款!$A:$A,助手回款!$X17,输入回款!$B:$B,科目对照回款!$H$7)),2)</f>
        <v>-0</v>
      </c>
      <c r="H232" s="49" t="str">
        <f aca="false">IF(ROUND($G232,2)&gt;0,ROUND($G232,2),"")</f>
        <v/>
      </c>
      <c r="I232" s="49" t="str">
        <f aca="false">IF(ROUND($G232,2)&lt;0,-ROUND($G232,2),"")</f>
        <v/>
      </c>
      <c r="J232" s="20" t="n">
        <f aca="false">IF(ROUND($G232,2)=0,0,1)</f>
        <v>0</v>
      </c>
      <c r="K232" s="20" t="str">
        <f aca="false">IF($J232=0,"",SUM($J$227:$J232))</f>
        <v/>
      </c>
      <c r="L232" s="20" t="str">
        <f aca="false">IF($K232="","",$A232*100+$K232)</f>
        <v/>
      </c>
      <c r="M232" s="48" t="str">
        <f aca="false">参数!$B$4</f>
        <v>回款</v>
      </c>
    </row>
    <row r="233" customFormat="false" ht="13.5" hidden="false" customHeight="false" outlineLevel="0" collapsed="false">
      <c r="A233" s="47" t="n">
        <v>16</v>
      </c>
      <c r="B233" s="38" t="n">
        <f aca="false">助手回款!$B17</f>
        <v>2018</v>
      </c>
      <c r="C233" s="48" t="str">
        <f aca="false">助手回款!$C17</f>
        <v>魏家庄店</v>
      </c>
      <c r="D233" s="48" t="str">
        <f aca="false">科目对照回款!$B8&amp;""</f>
        <v>24小时</v>
      </c>
      <c r="E233" s="48" t="str">
        <f aca="false">科目对照回款!$C8&amp;""</f>
        <v>应收账款</v>
      </c>
      <c r="F233" s="48" t="str">
        <f aca="false">科目对照回款!$D8&amp;""</f>
        <v>24小时</v>
      </c>
      <c r="G233" s="49" t="n">
        <f aca="false">-ROUND(IF(科目对照回款!$F$8="",0,SUMIFS(输入回款!$C:$C,输入回款!$A:$A,助手回款!$X17,输入回款!$B:$B,科目对照回款!$F$8)+SUMIFS(输入回款!$D:$D,输入回款!$A:$A,助手回款!$X17,输入回款!$B:$B,科目对照回款!$F$8))+IF(科目对照回款!$G$8="",0,SUMIFS(输入回款!$C:$C,输入回款!$A:$A,助手回款!$X17,输入回款!$B:$B,科目对照回款!$G$8)+SUMIFS(输入回款!$D:$D,输入回款!$A:$A,助手回款!$X17,输入回款!$B:$B,科目对照回款!$G$8))+IF(科目对照回款!$H$8="",0,SUMIFS(输入回款!$C:$C,输入回款!$A:$A,助手回款!$X17,输入回款!$B:$B,科目对照回款!$H$8)+SUMIFS(输入回款!$D:$D,输入回款!$A:$A,助手回款!$X17,输入回款!$B:$B,科目对照回款!$H$8)),2)</f>
        <v>-0</v>
      </c>
      <c r="H233" s="49" t="str">
        <f aca="false">IF(ROUND($G233,2)&gt;0,ROUND($G233,2),"")</f>
        <v/>
      </c>
      <c r="I233" s="49" t="str">
        <f aca="false">IF(ROUND($G233,2)&lt;0,-ROUND($G233,2),"")</f>
        <v/>
      </c>
      <c r="J233" s="20" t="n">
        <f aca="false">IF(ROUND($G233,2)=0,0,1)</f>
        <v>0</v>
      </c>
      <c r="K233" s="20" t="str">
        <f aca="false">IF($J233=0,"",SUM($J$227:$J233))</f>
        <v/>
      </c>
      <c r="L233" s="20" t="str">
        <f aca="false">IF($K233="","",$A233*100+$K233)</f>
        <v/>
      </c>
      <c r="M233" s="48" t="str">
        <f aca="false">参数!$B$4</f>
        <v>回款</v>
      </c>
    </row>
    <row r="234" customFormat="false" ht="13.5" hidden="false" customHeight="false" outlineLevel="0" collapsed="false">
      <c r="A234" s="47" t="n">
        <v>16</v>
      </c>
      <c r="B234" s="38" t="n">
        <f aca="false">助手回款!$B17</f>
        <v>2018</v>
      </c>
      <c r="C234" s="48" t="str">
        <f aca="false">助手回款!$C17</f>
        <v>魏家庄店</v>
      </c>
      <c r="D234" s="48" t="str">
        <f aca="false">科目对照回款!$B9&amp;""</f>
        <v>健E卡</v>
      </c>
      <c r="E234" s="48" t="str">
        <f aca="false">科目对照回款!$C9&amp;""</f>
        <v>应收账款</v>
      </c>
      <c r="F234" s="48" t="str">
        <f aca="false">科目对照回款!$D9&amp;""</f>
        <v>健E卡</v>
      </c>
      <c r="G234" s="49" t="n">
        <f aca="false">-ROUND(IF(科目对照回款!$F$9="",0,SUMIFS(输入回款!$C:$C,输入回款!$A:$A,助手回款!$X17,输入回款!$B:$B,科目对照回款!$F$9)+SUMIFS(输入回款!$D:$D,输入回款!$A:$A,助手回款!$X17,输入回款!$B:$B,科目对照回款!$F$9))+IF(科目对照回款!$G$9="",0,SUMIFS(输入回款!$C:$C,输入回款!$A:$A,助手回款!$X17,输入回款!$B:$B,科目对照回款!$G$9)+SUMIFS(输入回款!$D:$D,输入回款!$A:$A,助手回款!$X17,输入回款!$B:$B,科目对照回款!$G$9))+IF(科目对照回款!$H$9="",0,SUMIFS(输入回款!$C:$C,输入回款!$A:$A,助手回款!$X17,输入回款!$B:$B,科目对照回款!$H$9)+SUMIFS(输入回款!$D:$D,输入回款!$A:$A,助手回款!$X17,输入回款!$B:$B,科目对照回款!$H$9)),2)</f>
        <v>-0</v>
      </c>
      <c r="H234" s="49" t="str">
        <f aca="false">IF(ROUND($G234,2)&gt;0,ROUND($G234,2),"")</f>
        <v/>
      </c>
      <c r="I234" s="49" t="str">
        <f aca="false">IF(ROUND($G234,2)&lt;0,-ROUND($G234,2),"")</f>
        <v/>
      </c>
      <c r="J234" s="20" t="n">
        <f aca="false">IF(ROUND($G234,2)=0,0,1)</f>
        <v>0</v>
      </c>
      <c r="K234" s="20" t="str">
        <f aca="false">IF($J234=0,"",SUM($J$227:$J234))</f>
        <v/>
      </c>
      <c r="L234" s="20" t="str">
        <f aca="false">IF($K234="","",$A234*100+$K234)</f>
        <v/>
      </c>
      <c r="M234" s="48" t="str">
        <f aca="false">参数!$B$4</f>
        <v>回款</v>
      </c>
    </row>
    <row r="235" customFormat="false" ht="13.5" hidden="false" customHeight="false" outlineLevel="0" collapsed="false">
      <c r="A235" s="47" t="n">
        <v>16</v>
      </c>
      <c r="B235" s="38" t="n">
        <f aca="false">助手回款!$B17</f>
        <v>2018</v>
      </c>
      <c r="C235" s="48" t="str">
        <f aca="false">助手回款!$C17</f>
        <v>魏家庄店</v>
      </c>
      <c r="D235" s="48" t="str">
        <f aca="false">科目对照回款!$B10&amp;""</f>
        <v>医卡通</v>
      </c>
      <c r="E235" s="48" t="str">
        <f aca="false">科目对照回款!$C10&amp;""</f>
        <v>应收账款</v>
      </c>
      <c r="F235" s="48" t="str">
        <f aca="false">科目对照回款!$D10&amp;""</f>
        <v>医卡通</v>
      </c>
      <c r="G235" s="49" t="n">
        <f aca="false">-ROUND(IF(科目对照回款!$F$10="",0,SUMIFS(输入回款!$C:$C,输入回款!$A:$A,助手回款!$X17,输入回款!$B:$B,科目对照回款!$F$10)+SUMIFS(输入回款!$D:$D,输入回款!$A:$A,助手回款!$X17,输入回款!$B:$B,科目对照回款!$F$10))+IF(科目对照回款!$G$10="",0,SUMIFS(输入回款!$C:$C,输入回款!$A:$A,助手回款!$X17,输入回款!$B:$B,科目对照回款!$G$10)+SUMIFS(输入回款!$D:$D,输入回款!$A:$A,助手回款!$X17,输入回款!$B:$B,科目对照回款!$G$10))+IF(科目对照回款!$H$10="",0,SUMIFS(输入回款!$C:$C,输入回款!$A:$A,助手回款!$X17,输入回款!$B:$B,科目对照回款!$H$10)+SUMIFS(输入回款!$D:$D,输入回款!$A:$A,助手回款!$X17,输入回款!$B:$B,科目对照回款!$H$10)),2)</f>
        <v>-0</v>
      </c>
      <c r="H235" s="49" t="str">
        <f aca="false">IF(ROUND($G235,2)&gt;0,ROUND($G235,2),"")</f>
        <v/>
      </c>
      <c r="I235" s="49" t="str">
        <f aca="false">IF(ROUND($G235,2)&lt;0,-ROUND($G235,2),"")</f>
        <v/>
      </c>
      <c r="J235" s="20" t="n">
        <f aca="false">IF(ROUND($G235,2)=0,0,1)</f>
        <v>0</v>
      </c>
      <c r="K235" s="20" t="str">
        <f aca="false">IF($J235=0,"",SUM($J$227:$J235))</f>
        <v/>
      </c>
      <c r="L235" s="20" t="str">
        <f aca="false">IF($K235="","",$A235*100+$K235)</f>
        <v/>
      </c>
      <c r="M235" s="48" t="str">
        <f aca="false">参数!$B$4</f>
        <v>回款</v>
      </c>
    </row>
    <row r="236" customFormat="false" ht="13.5" hidden="false" customHeight="false" outlineLevel="0" collapsed="false">
      <c r="A236" s="47" t="n">
        <v>16</v>
      </c>
      <c r="B236" s="38" t="n">
        <f aca="false">助手回款!$B17</f>
        <v>2018</v>
      </c>
      <c r="C236" s="48" t="str">
        <f aca="false">助手回款!$C17</f>
        <v>魏家庄店</v>
      </c>
      <c r="D236" s="48" t="str">
        <f aca="false">科目对照回款!$B11&amp;""</f>
        <v>企健网</v>
      </c>
      <c r="E236" s="48" t="str">
        <f aca="false">科目对照回款!$C11&amp;""</f>
        <v>应收账款</v>
      </c>
      <c r="F236" s="48" t="str">
        <f aca="false">科目对照回款!$D11&amp;""</f>
        <v>企健网</v>
      </c>
      <c r="G236" s="49" t="n">
        <f aca="false">-ROUND(IF(科目对照回款!$F$11="",0,SUMIFS(输入回款!$C:$C,输入回款!$A:$A,助手回款!$X17,输入回款!$B:$B,科目对照回款!$F$11)+SUMIFS(输入回款!$D:$D,输入回款!$A:$A,助手回款!$X17,输入回款!$B:$B,科目对照回款!$F$11))+IF(科目对照回款!$G$11="",0,SUMIFS(输入回款!$C:$C,输入回款!$A:$A,助手回款!$X17,输入回款!$B:$B,科目对照回款!$G$11)+SUMIFS(输入回款!$D:$D,输入回款!$A:$A,助手回款!$X17,输入回款!$B:$B,科目对照回款!$G$11))+IF(科目对照回款!$H$11="",0,SUMIFS(输入回款!$C:$C,输入回款!$A:$A,助手回款!$X17,输入回款!$B:$B,科目对照回款!$H$11)+SUMIFS(输入回款!$D:$D,输入回款!$A:$A,助手回款!$X17,输入回款!$B:$B,科目对照回款!$H$11)),2)</f>
        <v>-0</v>
      </c>
      <c r="H236" s="49" t="str">
        <f aca="false">IF(ROUND($G236,2)&gt;0,ROUND($G236,2),"")</f>
        <v/>
      </c>
      <c r="I236" s="49" t="str">
        <f aca="false">IF(ROUND($G236,2)&lt;0,-ROUND($G236,2),"")</f>
        <v/>
      </c>
      <c r="J236" s="20" t="n">
        <f aca="false">IF(ROUND($G236,2)=0,0,1)</f>
        <v>0</v>
      </c>
      <c r="K236" s="20" t="str">
        <f aca="false">IF($J236=0,"",SUM($J$227:$J236))</f>
        <v/>
      </c>
      <c r="L236" s="20" t="str">
        <f aca="false">IF($K236="","",$A236*100+$K236)</f>
        <v/>
      </c>
      <c r="M236" s="48" t="str">
        <f aca="false">参数!$B$4</f>
        <v>回款</v>
      </c>
    </row>
    <row r="237" customFormat="false" ht="13.5" hidden="false" customHeight="false" outlineLevel="0" collapsed="false">
      <c r="A237" s="47" t="n">
        <v>16</v>
      </c>
      <c r="B237" s="38" t="n">
        <f aca="false">助手回款!$B17</f>
        <v>2018</v>
      </c>
      <c r="C237" s="48" t="str">
        <f aca="false">助手回款!$C17</f>
        <v>魏家庄店</v>
      </c>
      <c r="D237" s="48" t="str">
        <f aca="false">科目对照回款!$B12&amp;""</f>
        <v>亲情卡</v>
      </c>
      <c r="E237" s="48" t="str">
        <f aca="false">科目对照回款!$C12&amp;""</f>
        <v>应收账款</v>
      </c>
      <c r="F237" s="48" t="str">
        <f aca="false">科目对照回款!$D12&amp;""</f>
        <v>亲情卡</v>
      </c>
      <c r="G237" s="49" t="n">
        <f aca="false">-ROUND(IF(科目对照回款!$F$12="",0,SUMIFS(输入回款!$C:$C,输入回款!$A:$A,助手回款!$X17,输入回款!$B:$B,科目对照回款!$F$12)+SUMIFS(输入回款!$D:$D,输入回款!$A:$A,助手回款!$X17,输入回款!$B:$B,科目对照回款!$F$12))+IF(科目对照回款!$G$12="",0,SUMIFS(输入回款!$C:$C,输入回款!$A:$A,助手回款!$X17,输入回款!$B:$B,科目对照回款!$G$12)+SUMIFS(输入回款!$D:$D,输入回款!$A:$A,助手回款!$X17,输入回款!$B:$B,科目对照回款!$G$12))+IF(科目对照回款!$H$12="",0,SUMIFS(输入回款!$C:$C,输入回款!$A:$A,助手回款!$X17,输入回款!$B:$B,科目对照回款!$H$12)+SUMIFS(输入回款!$D:$D,输入回款!$A:$A,助手回款!$X17,输入回款!$B:$B,科目对照回款!$H$12)),2)</f>
        <v>-0</v>
      </c>
      <c r="H237" s="49" t="str">
        <f aca="false">IF(ROUND($G237,2)&gt;0,ROUND($G237,2),"")</f>
        <v/>
      </c>
      <c r="I237" s="49" t="str">
        <f aca="false">IF(ROUND($G237,2)&lt;0,-ROUND($G237,2),"")</f>
        <v/>
      </c>
      <c r="J237" s="20" t="n">
        <f aca="false">IF(ROUND($G237,2)=0,0,1)</f>
        <v>0</v>
      </c>
      <c r="K237" s="20" t="str">
        <f aca="false">IF($J237=0,"",SUM($J$227:$J237))</f>
        <v/>
      </c>
      <c r="L237" s="20" t="str">
        <f aca="false">IF($K237="","",$A237*100+$K237)</f>
        <v/>
      </c>
      <c r="M237" s="48" t="str">
        <f aca="false">参数!$B$4</f>
        <v>回款</v>
      </c>
    </row>
    <row r="238" customFormat="false" ht="13.5" hidden="false" customHeight="false" outlineLevel="0" collapsed="false">
      <c r="A238" s="47" t="n">
        <v>16</v>
      </c>
      <c r="B238" s="38" t="n">
        <f aca="false">助手回款!$B17</f>
        <v>2018</v>
      </c>
      <c r="C238" s="48" t="str">
        <f aca="false">助手回款!$C17</f>
        <v>魏家庄店</v>
      </c>
      <c r="D238" s="48" t="str">
        <f aca="false">科目对照回款!$B13&amp;""</f>
        <v>银联</v>
      </c>
      <c r="E238" s="48" t="str">
        <f aca="false">科目对照回款!$C13&amp;""</f>
        <v>应收账款</v>
      </c>
      <c r="F238" s="48" t="str">
        <f aca="false">科目对照回款!$D13&amp;""</f>
        <v>银联</v>
      </c>
      <c r="G238" s="49" t="n">
        <f aca="false">-ROUND(IF(科目对照回款!$F$13="",0,SUMIFS(输入回款!$C:$C,输入回款!$A:$A,助手回款!$X17,输入回款!$B:$B,科目对照回款!$F$13)+SUMIFS(输入回款!$D:$D,输入回款!$A:$A,助手回款!$X17,输入回款!$B:$B,科目对照回款!$F$13))+IF(科目对照回款!$G$13="",0,SUMIFS(输入回款!$C:$C,输入回款!$A:$A,助手回款!$X17,输入回款!$B:$B,科目对照回款!$G$13)+SUMIFS(输入回款!$D:$D,输入回款!$A:$A,助手回款!$X17,输入回款!$B:$B,科目对照回款!$G$13))+IF(科目对照回款!$H$13="",0,SUMIFS(输入回款!$C:$C,输入回款!$A:$A,助手回款!$X17,输入回款!$B:$B,科目对照回款!$H$13)+SUMIFS(输入回款!$D:$D,输入回款!$A:$A,助手回款!$X17,输入回款!$B:$B,科目对照回款!$H$13)),2)</f>
        <v>-0</v>
      </c>
      <c r="H238" s="49" t="str">
        <f aca="false">IF(ROUND($G238,2)&gt;0,ROUND($G238,2),"")</f>
        <v/>
      </c>
      <c r="I238" s="49" t="str">
        <f aca="false">IF(ROUND($G238,2)&lt;0,-ROUND($G238,2),"")</f>
        <v/>
      </c>
      <c r="J238" s="20" t="n">
        <f aca="false">IF(ROUND($G238,2)=0,0,1)</f>
        <v>0</v>
      </c>
      <c r="K238" s="20" t="str">
        <f aca="false">IF($J238=0,"",SUM($J$227:$J238))</f>
        <v/>
      </c>
      <c r="L238" s="20" t="str">
        <f aca="false">IF($K238="","",$A238*100+$K238)</f>
        <v/>
      </c>
      <c r="M238" s="48" t="str">
        <f aca="false">参数!$B$4</f>
        <v>回款</v>
      </c>
    </row>
    <row r="239" customFormat="false" ht="13.5" hidden="false" customHeight="false" outlineLevel="0" collapsed="false">
      <c r="A239" s="47" t="n">
        <v>16</v>
      </c>
      <c r="B239" s="38" t="n">
        <f aca="false">助手回款!$B17</f>
        <v>2018</v>
      </c>
      <c r="C239" s="48" t="str">
        <f aca="false">助手回款!$C17</f>
        <v>魏家庄店</v>
      </c>
      <c r="D239" s="48" t="str">
        <f aca="false">科目对照回款!$B14&amp;""</f>
        <v>代金券</v>
      </c>
      <c r="E239" s="48" t="str">
        <f aca="false">科目对照回款!$C14&amp;""</f>
        <v>应收账款</v>
      </c>
      <c r="F239" s="48" t="str">
        <f aca="false">科目对照回款!$D14&amp;""</f>
        <v>代金券</v>
      </c>
      <c r="G239" s="49" t="n">
        <f aca="false">-ROUND(IF(科目对照回款!$F$14="",0,SUMIFS(输入回款!$C:$C,输入回款!$A:$A,助手回款!$X17,输入回款!$B:$B,科目对照回款!$F$14)+SUMIFS(输入回款!$D:$D,输入回款!$A:$A,助手回款!$X17,输入回款!$B:$B,科目对照回款!$F$14))+IF(科目对照回款!$G$14="",0,SUMIFS(输入回款!$C:$C,输入回款!$A:$A,助手回款!$X17,输入回款!$B:$B,科目对照回款!$G$14)+SUMIFS(输入回款!$D:$D,输入回款!$A:$A,助手回款!$X17,输入回款!$B:$B,科目对照回款!$G$14))+IF(科目对照回款!$H$14="",0,SUMIFS(输入回款!$C:$C,输入回款!$A:$A,助手回款!$X17,输入回款!$B:$B,科目对照回款!$H$14)+SUMIFS(输入回款!$D:$D,输入回款!$A:$A,助手回款!$X17,输入回款!$B:$B,科目对照回款!$H$14)),2)</f>
        <v>-0</v>
      </c>
      <c r="H239" s="49" t="str">
        <f aca="false">IF(ROUND($G239,2)&gt;0,ROUND($G239,2),"")</f>
        <v/>
      </c>
      <c r="I239" s="49" t="str">
        <f aca="false">IF(ROUND($G239,2)&lt;0,-ROUND($G239,2),"")</f>
        <v/>
      </c>
      <c r="J239" s="20" t="n">
        <f aca="false">IF(ROUND($G239,2)=0,0,1)</f>
        <v>0</v>
      </c>
      <c r="K239" s="20" t="str">
        <f aca="false">IF($J239=0,"",SUM($J$227:$J239))</f>
        <v/>
      </c>
      <c r="L239" s="20" t="str">
        <f aca="false">IF($K239="","",$A239*100+$K239)</f>
        <v/>
      </c>
      <c r="M239" s="48" t="str">
        <f aca="false">参数!$B$4</f>
        <v>回款</v>
      </c>
    </row>
    <row r="240" customFormat="false" ht="13.5" hidden="false" customHeight="false" outlineLevel="0" collapsed="false">
      <c r="A240" s="47" t="n">
        <v>16</v>
      </c>
      <c r="B240" s="38" t="n">
        <f aca="false">助手回款!$B17</f>
        <v>2018</v>
      </c>
      <c r="C240" s="48" t="str">
        <f aca="false">助手回款!$C17</f>
        <v>魏家庄店</v>
      </c>
      <c r="D240" s="48" t="str">
        <f aca="false">科目对照回款!$B15&amp;""</f>
        <v>药机微信</v>
      </c>
      <c r="E240" s="48" t="str">
        <f aca="false">科目对照回款!$C15&amp;""</f>
        <v>应收账款</v>
      </c>
      <c r="F240" s="48" t="str">
        <f aca="false">科目对照回款!$D15&amp;""</f>
        <v>药机微信</v>
      </c>
      <c r="G240" s="49" t="n">
        <f aca="false">-ROUND(IF(科目对照回款!$F$15="",0,SUMIFS(输入回款!$C:$C,输入回款!$A:$A,助手回款!$X17,输入回款!$B:$B,科目对照回款!$F$15)+SUMIFS(输入回款!$D:$D,输入回款!$A:$A,助手回款!$X17,输入回款!$B:$B,科目对照回款!$F$15))+IF(科目对照回款!$G$15="",0,SUMIFS(输入回款!$C:$C,输入回款!$A:$A,助手回款!$X17,输入回款!$B:$B,科目对照回款!$G$15)+SUMIFS(输入回款!$D:$D,输入回款!$A:$A,助手回款!$X17,输入回款!$B:$B,科目对照回款!$G$15))+IF(科目对照回款!$H$15="",0,SUMIFS(输入回款!$C:$C,输入回款!$A:$A,助手回款!$X17,输入回款!$B:$B,科目对照回款!$H$15)+SUMIFS(输入回款!$D:$D,输入回款!$A:$A,助手回款!$X17,输入回款!$B:$B,科目对照回款!$H$15)),2)</f>
        <v>-0</v>
      </c>
      <c r="H240" s="49" t="str">
        <f aca="false">IF(ROUND($G240,2)&gt;0,ROUND($G240,2),"")</f>
        <v/>
      </c>
      <c r="I240" s="49" t="str">
        <f aca="false">IF(ROUND($G240,2)&lt;0,-ROUND($G240,2),"")</f>
        <v/>
      </c>
      <c r="J240" s="20" t="n">
        <f aca="false">IF(ROUND($G240,2)=0,0,1)</f>
        <v>0</v>
      </c>
      <c r="K240" s="20" t="str">
        <f aca="false">IF($J240=0,"",SUM($J$227:$J240))</f>
        <v/>
      </c>
      <c r="L240" s="20" t="str">
        <f aca="false">IF($K240="","",$A240*100+$K240)</f>
        <v/>
      </c>
      <c r="M240" s="48" t="str">
        <f aca="false">参数!$B$4</f>
        <v>回款</v>
      </c>
    </row>
    <row r="241" customFormat="false" ht="13.5" hidden="false" customHeight="false" outlineLevel="0" collapsed="false">
      <c r="A241" s="47" t="n">
        <v>16</v>
      </c>
      <c r="B241" s="38" t="n">
        <f aca="false">助手回款!$B17</f>
        <v>2018</v>
      </c>
      <c r="C241" s="48" t="str">
        <f aca="false">助手回款!$C17</f>
        <v>魏家庄店</v>
      </c>
      <c r="D241" s="48" t="str">
        <f aca="false">科目对照回款!$B16&amp;""</f>
        <v>储值卡</v>
      </c>
      <c r="E241" s="48" t="str">
        <f aca="false">科目对照回款!$C16&amp;""</f>
        <v>其他应收款</v>
      </c>
      <c r="F241" s="48" t="str">
        <f aca="false">科目对照回款!$D16&amp;""</f>
        <v>储值卡</v>
      </c>
      <c r="G241" s="49" t="n">
        <f aca="false">-ROUND(IF(科目对照回款!$F$16="",0,SUMIFS(输入回款!$C:$C,输入回款!$A:$A,助手回款!$X17,输入回款!$B:$B,科目对照回款!$F$16)+SUMIFS(输入回款!$D:$D,输入回款!$A:$A,助手回款!$X17,输入回款!$B:$B,科目对照回款!$F$16))+IF(科目对照回款!$G$16="",0,SUMIFS(输入回款!$C:$C,输入回款!$A:$A,助手回款!$X17,输入回款!$B:$B,科目对照回款!$G$16)+SUMIFS(输入回款!$D:$D,输入回款!$A:$A,助手回款!$X17,输入回款!$B:$B,科目对照回款!$G$16))+IF(科目对照回款!$H$16="",0,SUMIFS(输入回款!$C:$C,输入回款!$A:$A,助手回款!$X17,输入回款!$B:$B,科目对照回款!$H$16)+SUMIFS(输入回款!$D:$D,输入回款!$A:$A,助手回款!$X17,输入回款!$B:$B,科目对照回款!$H$16)),2)</f>
        <v>-0</v>
      </c>
      <c r="H241" s="49" t="str">
        <f aca="false">IF(ROUND($G241,2)&gt;0,ROUND($G241,2),"")</f>
        <v/>
      </c>
      <c r="I241" s="49" t="str">
        <f aca="false">IF(ROUND($G241,2)&lt;0,-ROUND($G241,2),"")</f>
        <v/>
      </c>
      <c r="J241" s="20" t="n">
        <f aca="false">IF(ROUND($G241,2)=0,0,1)</f>
        <v>0</v>
      </c>
      <c r="K241" s="20" t="str">
        <f aca="false">IF($J241=0,"",SUM($J$227:$J241))</f>
        <v/>
      </c>
      <c r="L241" s="20" t="str">
        <f aca="false">IF($K241="","",$A241*100+$K241)</f>
        <v/>
      </c>
      <c r="M241" s="48" t="str">
        <f aca="false">参数!$B$4</f>
        <v>回款</v>
      </c>
    </row>
    <row r="242" customFormat="false" ht="13.5" hidden="false" customHeight="false" outlineLevel="0" collapsed="false">
      <c r="A242" s="47" t="n">
        <v>17</v>
      </c>
      <c r="B242" s="38" t="n">
        <f aca="false">助手回款!$B18</f>
        <v>2022</v>
      </c>
      <c r="C242" s="48" t="str">
        <f aca="false">助手回款!$C18</f>
        <v>北楼店</v>
      </c>
      <c r="D242" s="48" t="str">
        <f aca="false">科目对照回款!$B2&amp;""</f>
        <v>库存现金</v>
      </c>
      <c r="E242" s="48" t="str">
        <f aca="false">科目对照回款!$C2&amp;""</f>
        <v>库存现金</v>
      </c>
      <c r="F242" s="48" t="str">
        <f aca="false">科目对照回款!$D2&amp;""</f>
        <v/>
      </c>
      <c r="G242" s="49" t="n">
        <f aca="false">助手回款!$E18</f>
        <v>58435.76</v>
      </c>
      <c r="H242" s="49" t="n">
        <f aca="false">IF(ROUND($G242,2)&gt;0,ROUND($G242,2),"")</f>
        <v>58435.76</v>
      </c>
      <c r="I242" s="49" t="str">
        <f aca="false">IF(ROUND($G242,2)&lt;0,-ROUND($G242,2),"")</f>
        <v/>
      </c>
      <c r="J242" s="20" t="n">
        <f aca="false">IF(ROUND($G242,2)=0,0,1)</f>
        <v>1</v>
      </c>
      <c r="K242" s="20" t="n">
        <f aca="false">IF($J242=0,"",SUM($J$242:$J242))</f>
        <v>1</v>
      </c>
      <c r="L242" s="20" t="n">
        <f aca="false">IF($K242="","",$A242*100+$K242)</f>
        <v>1701</v>
      </c>
      <c r="M242" s="48" t="str">
        <f aca="false">参数!$B$4</f>
        <v>回款</v>
      </c>
    </row>
    <row r="243" customFormat="false" ht="13.5" hidden="false" customHeight="false" outlineLevel="0" collapsed="false">
      <c r="A243" s="47" t="n">
        <v>17</v>
      </c>
      <c r="B243" s="38" t="n">
        <f aca="false">助手回款!$B18</f>
        <v>2022</v>
      </c>
      <c r="C243" s="48" t="str">
        <f aca="false">助手回款!$C18</f>
        <v>北楼店</v>
      </c>
      <c r="D243" s="48" t="str">
        <f aca="false">科目对照回款!$B3&amp;""</f>
        <v>手续费</v>
      </c>
      <c r="E243" s="48" t="str">
        <f aca="false">科目对照回款!$C3&amp;""</f>
        <v>财务费用</v>
      </c>
      <c r="F243" s="48" t="str">
        <f aca="false">科目对照回款!$D3&amp;""</f>
        <v>手续费</v>
      </c>
      <c r="G243" s="49" t="n">
        <f aca="false">助手回款!$F18</f>
        <v>0</v>
      </c>
      <c r="H243" s="49" t="str">
        <f aca="false">IF(ROUND($G243,2)&gt;0,ROUND($G243,2),"")</f>
        <v/>
      </c>
      <c r="I243" s="49" t="str">
        <f aca="false">IF(ROUND($G243,2)&lt;0,-ROUND($G243,2),"")</f>
        <v/>
      </c>
      <c r="J243" s="20" t="n">
        <f aca="false">IF(ROUND($G243,2)=0,0,1)</f>
        <v>0</v>
      </c>
      <c r="K243" s="20" t="str">
        <f aca="false">IF($J243=0,"",SUM($J$242:$J243))</f>
        <v/>
      </c>
      <c r="L243" s="20" t="str">
        <f aca="false">IF($K243="","",$A243*100+$K243)</f>
        <v/>
      </c>
      <c r="M243" s="48" t="str">
        <f aca="false">参数!$B$4</f>
        <v>回款</v>
      </c>
    </row>
    <row r="244" customFormat="false" ht="13.5" hidden="false" customHeight="false" outlineLevel="0" collapsed="false">
      <c r="A244" s="47" t="n">
        <v>17</v>
      </c>
      <c r="B244" s="38" t="n">
        <f aca="false">助手回款!$B18</f>
        <v>2022</v>
      </c>
      <c r="C244" s="48" t="str">
        <f aca="false">助手回款!$C18</f>
        <v>北楼店</v>
      </c>
      <c r="D244" s="48" t="str">
        <f aca="false">科目对照回款!$B4&amp;""</f>
        <v>聚合支付</v>
      </c>
      <c r="E244" s="48" t="str">
        <f aca="false">科目对照回款!$C4&amp;""</f>
        <v>应收账款</v>
      </c>
      <c r="F244" s="48" t="str">
        <f aca="false">科目对照回款!$D4&amp;""</f>
        <v>聚合支付</v>
      </c>
      <c r="G244" s="49" t="n">
        <f aca="false">-ROUND(IF(科目对照回款!$F$4="",0,SUMIFS(输入回款!$C:$C,输入回款!$A:$A,助手回款!$X18,输入回款!$B:$B,科目对照回款!$F$4)+SUMIFS(输入回款!$D:$D,输入回款!$A:$A,助手回款!$X18,输入回款!$B:$B,科目对照回款!$F$4))+IF(科目对照回款!$G$4="",0,SUMIFS(输入回款!$C:$C,输入回款!$A:$A,助手回款!$X18,输入回款!$B:$B,科目对照回款!$G$4)+SUMIFS(输入回款!$D:$D,输入回款!$A:$A,助手回款!$X18,输入回款!$B:$B,科目对照回款!$G$4))+IF(科目对照回款!$H$4="",0,SUMIFS(输入回款!$C:$C,输入回款!$A:$A,助手回款!$X18,输入回款!$B:$B,科目对照回款!$H$4)+SUMIFS(输入回款!$D:$D,输入回款!$A:$A,助手回款!$X18,输入回款!$B:$B,科目对照回款!$H$4)),2)</f>
        <v>-48343.27</v>
      </c>
      <c r="H244" s="49" t="str">
        <f aca="false">IF(ROUND($G244,2)&gt;0,ROUND($G244,2),"")</f>
        <v/>
      </c>
      <c r="I244" s="49" t="n">
        <f aca="false">IF(ROUND($G244,2)&lt;0,-ROUND($G244,2),"")</f>
        <v>48343.27</v>
      </c>
      <c r="J244" s="20" t="n">
        <f aca="false">IF(ROUND($G244,2)=0,0,1)</f>
        <v>1</v>
      </c>
      <c r="K244" s="20" t="n">
        <f aca="false">IF($J244=0,"",SUM($J$242:$J244))</f>
        <v>2</v>
      </c>
      <c r="L244" s="20" t="n">
        <f aca="false">IF($K244="","",$A244*100+$K244)</f>
        <v>1702</v>
      </c>
      <c r="M244" s="48" t="str">
        <f aca="false">参数!$B$4</f>
        <v>回款</v>
      </c>
    </row>
    <row r="245" customFormat="false" ht="13.5" hidden="false" customHeight="false" outlineLevel="0" collapsed="false">
      <c r="A245" s="47" t="n">
        <v>17</v>
      </c>
      <c r="B245" s="38" t="n">
        <f aca="false">助手回款!$B18</f>
        <v>2022</v>
      </c>
      <c r="C245" s="48" t="str">
        <f aca="false">助手回款!$C18</f>
        <v>北楼店</v>
      </c>
      <c r="D245" s="48" t="str">
        <f aca="false">科目对照回款!$B5&amp;""</f>
        <v>医保</v>
      </c>
      <c r="E245" s="48" t="str">
        <f aca="false">科目对照回款!$C5&amp;""</f>
        <v>应收账款</v>
      </c>
      <c r="F245" s="48" t="str">
        <f aca="false">科目对照回款!$D5&amp;""</f>
        <v>医保</v>
      </c>
      <c r="G245" s="49" t="n">
        <f aca="false">-ROUND(IF(科目对照回款!$F$5="",0,SUMIFS(输入回款!$C:$C,输入回款!$A:$A,助手回款!$X18,输入回款!$B:$B,科目对照回款!$F$5)+SUMIFS(输入回款!$D:$D,输入回款!$A:$A,助手回款!$X18,输入回款!$B:$B,科目对照回款!$F$5))+IF(科目对照回款!$G$5="",0,SUMIFS(输入回款!$C:$C,输入回款!$A:$A,助手回款!$X18,输入回款!$B:$B,科目对照回款!$G$5)+SUMIFS(输入回款!$D:$D,输入回款!$A:$A,助手回款!$X18,输入回款!$B:$B,科目对照回款!$G$5))+IF(科目对照回款!$H$5="",0,SUMIFS(输入回款!$C:$C,输入回款!$A:$A,助手回款!$X18,输入回款!$B:$B,科目对照回款!$H$5)+SUMIFS(输入回款!$D:$D,输入回款!$A:$A,助手回款!$X18,输入回款!$B:$B,科目对照回款!$H$5)),2)</f>
        <v>-10092.49</v>
      </c>
      <c r="H245" s="49" t="str">
        <f aca="false">IF(ROUND($G245,2)&gt;0,ROUND($G245,2),"")</f>
        <v/>
      </c>
      <c r="I245" s="49" t="n">
        <f aca="false">IF(ROUND($G245,2)&lt;0,-ROUND($G245,2),"")</f>
        <v>10092.49</v>
      </c>
      <c r="J245" s="20" t="n">
        <f aca="false">IF(ROUND($G245,2)=0,0,1)</f>
        <v>1</v>
      </c>
      <c r="K245" s="20" t="n">
        <f aca="false">IF($J245=0,"",SUM($J$242:$J245))</f>
        <v>3</v>
      </c>
      <c r="L245" s="20" t="n">
        <f aca="false">IF($K245="","",$A245*100+$K245)</f>
        <v>1703</v>
      </c>
      <c r="M245" s="48" t="str">
        <f aca="false">参数!$B$4</f>
        <v>回款</v>
      </c>
    </row>
    <row r="246" customFormat="false" ht="13.5" hidden="false" customHeight="false" outlineLevel="0" collapsed="false">
      <c r="A246" s="47" t="n">
        <v>17</v>
      </c>
      <c r="B246" s="38" t="n">
        <f aca="false">助手回款!$B18</f>
        <v>2022</v>
      </c>
      <c r="C246" s="48" t="str">
        <f aca="false">助手回款!$C18</f>
        <v>北楼店</v>
      </c>
      <c r="D246" s="48" t="str">
        <f aca="false">科目对照回款!$B6&amp;""</f>
        <v>美团</v>
      </c>
      <c r="E246" s="48" t="str">
        <f aca="false">科目对照回款!$C6&amp;""</f>
        <v>应收账款</v>
      </c>
      <c r="F246" s="48" t="str">
        <f aca="false">科目对照回款!$D6&amp;""</f>
        <v>美团</v>
      </c>
      <c r="G246" s="49" t="n">
        <f aca="false">-ROUND(IF(科目对照回款!$F$6="",0,SUMIFS(输入回款!$C:$C,输入回款!$A:$A,助手回款!$X18,输入回款!$B:$B,科目对照回款!$F$6)+SUMIFS(输入回款!$D:$D,输入回款!$A:$A,助手回款!$X18,输入回款!$B:$B,科目对照回款!$F$6))+IF(科目对照回款!$G$6="",0,SUMIFS(输入回款!$C:$C,输入回款!$A:$A,助手回款!$X18,输入回款!$B:$B,科目对照回款!$G$6)+SUMIFS(输入回款!$D:$D,输入回款!$A:$A,助手回款!$X18,输入回款!$B:$B,科目对照回款!$G$6))+IF(科目对照回款!$H$6="",0,SUMIFS(输入回款!$C:$C,输入回款!$A:$A,助手回款!$X18,输入回款!$B:$B,科目对照回款!$H$6)+SUMIFS(输入回款!$D:$D,输入回款!$A:$A,助手回款!$X18,输入回款!$B:$B,科目对照回款!$H$6)),2)</f>
        <v>-0</v>
      </c>
      <c r="H246" s="49" t="str">
        <f aca="false">IF(ROUND($G246,2)&gt;0,ROUND($G246,2),"")</f>
        <v/>
      </c>
      <c r="I246" s="49" t="str">
        <f aca="false">IF(ROUND($G246,2)&lt;0,-ROUND($G246,2),"")</f>
        <v/>
      </c>
      <c r="J246" s="20" t="n">
        <f aca="false">IF(ROUND($G246,2)=0,0,1)</f>
        <v>0</v>
      </c>
      <c r="K246" s="20" t="str">
        <f aca="false">IF($J246=0,"",SUM($J$242:$J246))</f>
        <v/>
      </c>
      <c r="L246" s="20" t="str">
        <f aca="false">IF($K246="","",$A246*100+$K246)</f>
        <v/>
      </c>
      <c r="M246" s="48" t="str">
        <f aca="false">参数!$B$4</f>
        <v>回款</v>
      </c>
    </row>
    <row r="247" customFormat="false" ht="13.5" hidden="false" customHeight="false" outlineLevel="0" collapsed="false">
      <c r="A247" s="47" t="n">
        <v>17</v>
      </c>
      <c r="B247" s="38" t="n">
        <f aca="false">助手回款!$B18</f>
        <v>2022</v>
      </c>
      <c r="C247" s="48" t="str">
        <f aca="false">助手回款!$C18</f>
        <v>北楼店</v>
      </c>
      <c r="D247" s="48" t="str">
        <f aca="false">科目对照回款!$B7&amp;""</f>
        <v>饿了么</v>
      </c>
      <c r="E247" s="48" t="str">
        <f aca="false">科目对照回款!$C7&amp;""</f>
        <v>应收账款</v>
      </c>
      <c r="F247" s="48" t="str">
        <f aca="false">科目对照回款!$D7&amp;""</f>
        <v>饿了么</v>
      </c>
      <c r="G247" s="49" t="n">
        <f aca="false">-ROUND(IF(科目对照回款!$F$7="",0,SUMIFS(输入回款!$C:$C,输入回款!$A:$A,助手回款!$X18,输入回款!$B:$B,科目对照回款!$F$7)+SUMIFS(输入回款!$D:$D,输入回款!$A:$A,助手回款!$X18,输入回款!$B:$B,科目对照回款!$F$7))+IF(科目对照回款!$G$7="",0,SUMIFS(输入回款!$C:$C,输入回款!$A:$A,助手回款!$X18,输入回款!$B:$B,科目对照回款!$G$7)+SUMIFS(输入回款!$D:$D,输入回款!$A:$A,助手回款!$X18,输入回款!$B:$B,科目对照回款!$G$7))+IF(科目对照回款!$H$7="",0,SUMIFS(输入回款!$C:$C,输入回款!$A:$A,助手回款!$X18,输入回款!$B:$B,科目对照回款!$H$7)+SUMIFS(输入回款!$D:$D,输入回款!$A:$A,助手回款!$X18,输入回款!$B:$B,科目对照回款!$H$7)),2)</f>
        <v>-0</v>
      </c>
      <c r="H247" s="49" t="str">
        <f aca="false">IF(ROUND($G247,2)&gt;0,ROUND($G247,2),"")</f>
        <v/>
      </c>
      <c r="I247" s="49" t="str">
        <f aca="false">IF(ROUND($G247,2)&lt;0,-ROUND($G247,2),"")</f>
        <v/>
      </c>
      <c r="J247" s="20" t="n">
        <f aca="false">IF(ROUND($G247,2)=0,0,1)</f>
        <v>0</v>
      </c>
      <c r="K247" s="20" t="str">
        <f aca="false">IF($J247=0,"",SUM($J$242:$J247))</f>
        <v/>
      </c>
      <c r="L247" s="20" t="str">
        <f aca="false">IF($K247="","",$A247*100+$K247)</f>
        <v/>
      </c>
      <c r="M247" s="48" t="str">
        <f aca="false">参数!$B$4</f>
        <v>回款</v>
      </c>
    </row>
    <row r="248" customFormat="false" ht="13.5" hidden="false" customHeight="false" outlineLevel="0" collapsed="false">
      <c r="A248" s="47" t="n">
        <v>17</v>
      </c>
      <c r="B248" s="38" t="n">
        <f aca="false">助手回款!$B18</f>
        <v>2022</v>
      </c>
      <c r="C248" s="48" t="str">
        <f aca="false">助手回款!$C18</f>
        <v>北楼店</v>
      </c>
      <c r="D248" s="48" t="str">
        <f aca="false">科目对照回款!$B8&amp;""</f>
        <v>24小时</v>
      </c>
      <c r="E248" s="48" t="str">
        <f aca="false">科目对照回款!$C8&amp;""</f>
        <v>应收账款</v>
      </c>
      <c r="F248" s="48" t="str">
        <f aca="false">科目对照回款!$D8&amp;""</f>
        <v>24小时</v>
      </c>
      <c r="G248" s="49" t="n">
        <f aca="false">-ROUND(IF(科目对照回款!$F$8="",0,SUMIFS(输入回款!$C:$C,输入回款!$A:$A,助手回款!$X18,输入回款!$B:$B,科目对照回款!$F$8)+SUMIFS(输入回款!$D:$D,输入回款!$A:$A,助手回款!$X18,输入回款!$B:$B,科目对照回款!$F$8))+IF(科目对照回款!$G$8="",0,SUMIFS(输入回款!$C:$C,输入回款!$A:$A,助手回款!$X18,输入回款!$B:$B,科目对照回款!$G$8)+SUMIFS(输入回款!$D:$D,输入回款!$A:$A,助手回款!$X18,输入回款!$B:$B,科目对照回款!$G$8))+IF(科目对照回款!$H$8="",0,SUMIFS(输入回款!$C:$C,输入回款!$A:$A,助手回款!$X18,输入回款!$B:$B,科目对照回款!$H$8)+SUMIFS(输入回款!$D:$D,输入回款!$A:$A,助手回款!$X18,输入回款!$B:$B,科目对照回款!$H$8)),2)</f>
        <v>-0</v>
      </c>
      <c r="H248" s="49" t="str">
        <f aca="false">IF(ROUND($G248,2)&gt;0,ROUND($G248,2),"")</f>
        <v/>
      </c>
      <c r="I248" s="49" t="str">
        <f aca="false">IF(ROUND($G248,2)&lt;0,-ROUND($G248,2),"")</f>
        <v/>
      </c>
      <c r="J248" s="20" t="n">
        <f aca="false">IF(ROUND($G248,2)=0,0,1)</f>
        <v>0</v>
      </c>
      <c r="K248" s="20" t="str">
        <f aca="false">IF($J248=0,"",SUM($J$242:$J248))</f>
        <v/>
      </c>
      <c r="L248" s="20" t="str">
        <f aca="false">IF($K248="","",$A248*100+$K248)</f>
        <v/>
      </c>
      <c r="M248" s="48" t="str">
        <f aca="false">参数!$B$4</f>
        <v>回款</v>
      </c>
    </row>
    <row r="249" customFormat="false" ht="13.5" hidden="false" customHeight="false" outlineLevel="0" collapsed="false">
      <c r="A249" s="47" t="n">
        <v>17</v>
      </c>
      <c r="B249" s="38" t="n">
        <f aca="false">助手回款!$B18</f>
        <v>2022</v>
      </c>
      <c r="C249" s="48" t="str">
        <f aca="false">助手回款!$C18</f>
        <v>北楼店</v>
      </c>
      <c r="D249" s="48" t="str">
        <f aca="false">科目对照回款!$B9&amp;""</f>
        <v>健E卡</v>
      </c>
      <c r="E249" s="48" t="str">
        <f aca="false">科目对照回款!$C9&amp;""</f>
        <v>应收账款</v>
      </c>
      <c r="F249" s="48" t="str">
        <f aca="false">科目对照回款!$D9&amp;""</f>
        <v>健E卡</v>
      </c>
      <c r="G249" s="49" t="n">
        <f aca="false">-ROUND(IF(科目对照回款!$F$9="",0,SUMIFS(输入回款!$C:$C,输入回款!$A:$A,助手回款!$X18,输入回款!$B:$B,科目对照回款!$F$9)+SUMIFS(输入回款!$D:$D,输入回款!$A:$A,助手回款!$X18,输入回款!$B:$B,科目对照回款!$F$9))+IF(科目对照回款!$G$9="",0,SUMIFS(输入回款!$C:$C,输入回款!$A:$A,助手回款!$X18,输入回款!$B:$B,科目对照回款!$G$9)+SUMIFS(输入回款!$D:$D,输入回款!$A:$A,助手回款!$X18,输入回款!$B:$B,科目对照回款!$G$9))+IF(科目对照回款!$H$9="",0,SUMIFS(输入回款!$C:$C,输入回款!$A:$A,助手回款!$X18,输入回款!$B:$B,科目对照回款!$H$9)+SUMIFS(输入回款!$D:$D,输入回款!$A:$A,助手回款!$X18,输入回款!$B:$B,科目对照回款!$H$9)),2)</f>
        <v>-0</v>
      </c>
      <c r="H249" s="49" t="str">
        <f aca="false">IF(ROUND($G249,2)&gt;0,ROUND($G249,2),"")</f>
        <v/>
      </c>
      <c r="I249" s="49" t="str">
        <f aca="false">IF(ROUND($G249,2)&lt;0,-ROUND($G249,2),"")</f>
        <v/>
      </c>
      <c r="J249" s="20" t="n">
        <f aca="false">IF(ROUND($G249,2)=0,0,1)</f>
        <v>0</v>
      </c>
      <c r="K249" s="20" t="str">
        <f aca="false">IF($J249=0,"",SUM($J$242:$J249))</f>
        <v/>
      </c>
      <c r="L249" s="20" t="str">
        <f aca="false">IF($K249="","",$A249*100+$K249)</f>
        <v/>
      </c>
      <c r="M249" s="48" t="str">
        <f aca="false">参数!$B$4</f>
        <v>回款</v>
      </c>
    </row>
    <row r="250" customFormat="false" ht="13.5" hidden="false" customHeight="false" outlineLevel="0" collapsed="false">
      <c r="A250" s="47" t="n">
        <v>17</v>
      </c>
      <c r="B250" s="38" t="n">
        <f aca="false">助手回款!$B18</f>
        <v>2022</v>
      </c>
      <c r="C250" s="48" t="str">
        <f aca="false">助手回款!$C18</f>
        <v>北楼店</v>
      </c>
      <c r="D250" s="48" t="str">
        <f aca="false">科目对照回款!$B10&amp;""</f>
        <v>医卡通</v>
      </c>
      <c r="E250" s="48" t="str">
        <f aca="false">科目对照回款!$C10&amp;""</f>
        <v>应收账款</v>
      </c>
      <c r="F250" s="48" t="str">
        <f aca="false">科目对照回款!$D10&amp;""</f>
        <v>医卡通</v>
      </c>
      <c r="G250" s="49" t="n">
        <f aca="false">-ROUND(IF(科目对照回款!$F$10="",0,SUMIFS(输入回款!$C:$C,输入回款!$A:$A,助手回款!$X18,输入回款!$B:$B,科目对照回款!$F$10)+SUMIFS(输入回款!$D:$D,输入回款!$A:$A,助手回款!$X18,输入回款!$B:$B,科目对照回款!$F$10))+IF(科目对照回款!$G$10="",0,SUMIFS(输入回款!$C:$C,输入回款!$A:$A,助手回款!$X18,输入回款!$B:$B,科目对照回款!$G$10)+SUMIFS(输入回款!$D:$D,输入回款!$A:$A,助手回款!$X18,输入回款!$B:$B,科目对照回款!$G$10))+IF(科目对照回款!$H$10="",0,SUMIFS(输入回款!$C:$C,输入回款!$A:$A,助手回款!$X18,输入回款!$B:$B,科目对照回款!$H$10)+SUMIFS(输入回款!$D:$D,输入回款!$A:$A,助手回款!$X18,输入回款!$B:$B,科目对照回款!$H$10)),2)</f>
        <v>-0</v>
      </c>
      <c r="H250" s="49" t="str">
        <f aca="false">IF(ROUND($G250,2)&gt;0,ROUND($G250,2),"")</f>
        <v/>
      </c>
      <c r="I250" s="49" t="str">
        <f aca="false">IF(ROUND($G250,2)&lt;0,-ROUND($G250,2),"")</f>
        <v/>
      </c>
      <c r="J250" s="20" t="n">
        <f aca="false">IF(ROUND($G250,2)=0,0,1)</f>
        <v>0</v>
      </c>
      <c r="K250" s="20" t="str">
        <f aca="false">IF($J250=0,"",SUM($J$242:$J250))</f>
        <v/>
      </c>
      <c r="L250" s="20" t="str">
        <f aca="false">IF($K250="","",$A250*100+$K250)</f>
        <v/>
      </c>
      <c r="M250" s="48" t="str">
        <f aca="false">参数!$B$4</f>
        <v>回款</v>
      </c>
    </row>
    <row r="251" customFormat="false" ht="13.5" hidden="false" customHeight="false" outlineLevel="0" collapsed="false">
      <c r="A251" s="47" t="n">
        <v>17</v>
      </c>
      <c r="B251" s="38" t="n">
        <f aca="false">助手回款!$B18</f>
        <v>2022</v>
      </c>
      <c r="C251" s="48" t="str">
        <f aca="false">助手回款!$C18</f>
        <v>北楼店</v>
      </c>
      <c r="D251" s="48" t="str">
        <f aca="false">科目对照回款!$B11&amp;""</f>
        <v>企健网</v>
      </c>
      <c r="E251" s="48" t="str">
        <f aca="false">科目对照回款!$C11&amp;""</f>
        <v>应收账款</v>
      </c>
      <c r="F251" s="48" t="str">
        <f aca="false">科目对照回款!$D11&amp;""</f>
        <v>企健网</v>
      </c>
      <c r="G251" s="49" t="n">
        <f aca="false">-ROUND(IF(科目对照回款!$F$11="",0,SUMIFS(输入回款!$C:$C,输入回款!$A:$A,助手回款!$X18,输入回款!$B:$B,科目对照回款!$F$11)+SUMIFS(输入回款!$D:$D,输入回款!$A:$A,助手回款!$X18,输入回款!$B:$B,科目对照回款!$F$11))+IF(科目对照回款!$G$11="",0,SUMIFS(输入回款!$C:$C,输入回款!$A:$A,助手回款!$X18,输入回款!$B:$B,科目对照回款!$G$11)+SUMIFS(输入回款!$D:$D,输入回款!$A:$A,助手回款!$X18,输入回款!$B:$B,科目对照回款!$G$11))+IF(科目对照回款!$H$11="",0,SUMIFS(输入回款!$C:$C,输入回款!$A:$A,助手回款!$X18,输入回款!$B:$B,科目对照回款!$H$11)+SUMIFS(输入回款!$D:$D,输入回款!$A:$A,助手回款!$X18,输入回款!$B:$B,科目对照回款!$H$11)),2)</f>
        <v>-0</v>
      </c>
      <c r="H251" s="49" t="str">
        <f aca="false">IF(ROUND($G251,2)&gt;0,ROUND($G251,2),"")</f>
        <v/>
      </c>
      <c r="I251" s="49" t="str">
        <f aca="false">IF(ROUND($G251,2)&lt;0,-ROUND($G251,2),"")</f>
        <v/>
      </c>
      <c r="J251" s="20" t="n">
        <f aca="false">IF(ROUND($G251,2)=0,0,1)</f>
        <v>0</v>
      </c>
      <c r="K251" s="20" t="str">
        <f aca="false">IF($J251=0,"",SUM($J$242:$J251))</f>
        <v/>
      </c>
      <c r="L251" s="20" t="str">
        <f aca="false">IF($K251="","",$A251*100+$K251)</f>
        <v/>
      </c>
      <c r="M251" s="48" t="str">
        <f aca="false">参数!$B$4</f>
        <v>回款</v>
      </c>
    </row>
    <row r="252" customFormat="false" ht="13.5" hidden="false" customHeight="false" outlineLevel="0" collapsed="false">
      <c r="A252" s="47" t="n">
        <v>17</v>
      </c>
      <c r="B252" s="38" t="n">
        <f aca="false">助手回款!$B18</f>
        <v>2022</v>
      </c>
      <c r="C252" s="48" t="str">
        <f aca="false">助手回款!$C18</f>
        <v>北楼店</v>
      </c>
      <c r="D252" s="48" t="str">
        <f aca="false">科目对照回款!$B12&amp;""</f>
        <v>亲情卡</v>
      </c>
      <c r="E252" s="48" t="str">
        <f aca="false">科目对照回款!$C12&amp;""</f>
        <v>应收账款</v>
      </c>
      <c r="F252" s="48" t="str">
        <f aca="false">科目对照回款!$D12&amp;""</f>
        <v>亲情卡</v>
      </c>
      <c r="G252" s="49" t="n">
        <f aca="false">-ROUND(IF(科目对照回款!$F$12="",0,SUMIFS(输入回款!$C:$C,输入回款!$A:$A,助手回款!$X18,输入回款!$B:$B,科目对照回款!$F$12)+SUMIFS(输入回款!$D:$D,输入回款!$A:$A,助手回款!$X18,输入回款!$B:$B,科目对照回款!$F$12))+IF(科目对照回款!$G$12="",0,SUMIFS(输入回款!$C:$C,输入回款!$A:$A,助手回款!$X18,输入回款!$B:$B,科目对照回款!$G$12)+SUMIFS(输入回款!$D:$D,输入回款!$A:$A,助手回款!$X18,输入回款!$B:$B,科目对照回款!$G$12))+IF(科目对照回款!$H$12="",0,SUMIFS(输入回款!$C:$C,输入回款!$A:$A,助手回款!$X18,输入回款!$B:$B,科目对照回款!$H$12)+SUMIFS(输入回款!$D:$D,输入回款!$A:$A,助手回款!$X18,输入回款!$B:$B,科目对照回款!$H$12)),2)</f>
        <v>-0</v>
      </c>
      <c r="H252" s="49" t="str">
        <f aca="false">IF(ROUND($G252,2)&gt;0,ROUND($G252,2),"")</f>
        <v/>
      </c>
      <c r="I252" s="49" t="str">
        <f aca="false">IF(ROUND($G252,2)&lt;0,-ROUND($G252,2),"")</f>
        <v/>
      </c>
      <c r="J252" s="20" t="n">
        <f aca="false">IF(ROUND($G252,2)=0,0,1)</f>
        <v>0</v>
      </c>
      <c r="K252" s="20" t="str">
        <f aca="false">IF($J252=0,"",SUM($J$242:$J252))</f>
        <v/>
      </c>
      <c r="L252" s="20" t="str">
        <f aca="false">IF($K252="","",$A252*100+$K252)</f>
        <v/>
      </c>
      <c r="M252" s="48" t="str">
        <f aca="false">参数!$B$4</f>
        <v>回款</v>
      </c>
    </row>
    <row r="253" customFormat="false" ht="13.5" hidden="false" customHeight="false" outlineLevel="0" collapsed="false">
      <c r="A253" s="47" t="n">
        <v>17</v>
      </c>
      <c r="B253" s="38" t="n">
        <f aca="false">助手回款!$B18</f>
        <v>2022</v>
      </c>
      <c r="C253" s="48" t="str">
        <f aca="false">助手回款!$C18</f>
        <v>北楼店</v>
      </c>
      <c r="D253" s="48" t="str">
        <f aca="false">科目对照回款!$B13&amp;""</f>
        <v>银联</v>
      </c>
      <c r="E253" s="48" t="str">
        <f aca="false">科目对照回款!$C13&amp;""</f>
        <v>应收账款</v>
      </c>
      <c r="F253" s="48" t="str">
        <f aca="false">科目对照回款!$D13&amp;""</f>
        <v>银联</v>
      </c>
      <c r="G253" s="49" t="n">
        <f aca="false">-ROUND(IF(科目对照回款!$F$13="",0,SUMIFS(输入回款!$C:$C,输入回款!$A:$A,助手回款!$X18,输入回款!$B:$B,科目对照回款!$F$13)+SUMIFS(输入回款!$D:$D,输入回款!$A:$A,助手回款!$X18,输入回款!$B:$B,科目对照回款!$F$13))+IF(科目对照回款!$G$13="",0,SUMIFS(输入回款!$C:$C,输入回款!$A:$A,助手回款!$X18,输入回款!$B:$B,科目对照回款!$G$13)+SUMIFS(输入回款!$D:$D,输入回款!$A:$A,助手回款!$X18,输入回款!$B:$B,科目对照回款!$G$13))+IF(科目对照回款!$H$13="",0,SUMIFS(输入回款!$C:$C,输入回款!$A:$A,助手回款!$X18,输入回款!$B:$B,科目对照回款!$H$13)+SUMIFS(输入回款!$D:$D,输入回款!$A:$A,助手回款!$X18,输入回款!$B:$B,科目对照回款!$H$13)),2)</f>
        <v>-0</v>
      </c>
      <c r="H253" s="49" t="str">
        <f aca="false">IF(ROUND($G253,2)&gt;0,ROUND($G253,2),"")</f>
        <v/>
      </c>
      <c r="I253" s="49" t="str">
        <f aca="false">IF(ROUND($G253,2)&lt;0,-ROUND($G253,2),"")</f>
        <v/>
      </c>
      <c r="J253" s="20" t="n">
        <f aca="false">IF(ROUND($G253,2)=0,0,1)</f>
        <v>0</v>
      </c>
      <c r="K253" s="20" t="str">
        <f aca="false">IF($J253=0,"",SUM($J$242:$J253))</f>
        <v/>
      </c>
      <c r="L253" s="20" t="str">
        <f aca="false">IF($K253="","",$A253*100+$K253)</f>
        <v/>
      </c>
      <c r="M253" s="48" t="str">
        <f aca="false">参数!$B$4</f>
        <v>回款</v>
      </c>
    </row>
    <row r="254" customFormat="false" ht="13.5" hidden="false" customHeight="false" outlineLevel="0" collapsed="false">
      <c r="A254" s="47" t="n">
        <v>17</v>
      </c>
      <c r="B254" s="38" t="n">
        <f aca="false">助手回款!$B18</f>
        <v>2022</v>
      </c>
      <c r="C254" s="48" t="str">
        <f aca="false">助手回款!$C18</f>
        <v>北楼店</v>
      </c>
      <c r="D254" s="48" t="str">
        <f aca="false">科目对照回款!$B14&amp;""</f>
        <v>代金券</v>
      </c>
      <c r="E254" s="48" t="str">
        <f aca="false">科目对照回款!$C14&amp;""</f>
        <v>应收账款</v>
      </c>
      <c r="F254" s="48" t="str">
        <f aca="false">科目对照回款!$D14&amp;""</f>
        <v>代金券</v>
      </c>
      <c r="G254" s="49" t="n">
        <f aca="false">-ROUND(IF(科目对照回款!$F$14="",0,SUMIFS(输入回款!$C:$C,输入回款!$A:$A,助手回款!$X18,输入回款!$B:$B,科目对照回款!$F$14)+SUMIFS(输入回款!$D:$D,输入回款!$A:$A,助手回款!$X18,输入回款!$B:$B,科目对照回款!$F$14))+IF(科目对照回款!$G$14="",0,SUMIFS(输入回款!$C:$C,输入回款!$A:$A,助手回款!$X18,输入回款!$B:$B,科目对照回款!$G$14)+SUMIFS(输入回款!$D:$D,输入回款!$A:$A,助手回款!$X18,输入回款!$B:$B,科目对照回款!$G$14))+IF(科目对照回款!$H$14="",0,SUMIFS(输入回款!$C:$C,输入回款!$A:$A,助手回款!$X18,输入回款!$B:$B,科目对照回款!$H$14)+SUMIFS(输入回款!$D:$D,输入回款!$A:$A,助手回款!$X18,输入回款!$B:$B,科目对照回款!$H$14)),2)</f>
        <v>-0</v>
      </c>
      <c r="H254" s="49" t="str">
        <f aca="false">IF(ROUND($G254,2)&gt;0,ROUND($G254,2),"")</f>
        <v/>
      </c>
      <c r="I254" s="49" t="str">
        <f aca="false">IF(ROUND($G254,2)&lt;0,-ROUND($G254,2),"")</f>
        <v/>
      </c>
      <c r="J254" s="20" t="n">
        <f aca="false">IF(ROUND($G254,2)=0,0,1)</f>
        <v>0</v>
      </c>
      <c r="K254" s="20" t="str">
        <f aca="false">IF($J254=0,"",SUM($J$242:$J254))</f>
        <v/>
      </c>
      <c r="L254" s="20" t="str">
        <f aca="false">IF($K254="","",$A254*100+$K254)</f>
        <v/>
      </c>
      <c r="M254" s="48" t="str">
        <f aca="false">参数!$B$4</f>
        <v>回款</v>
      </c>
    </row>
    <row r="255" customFormat="false" ht="13.5" hidden="false" customHeight="false" outlineLevel="0" collapsed="false">
      <c r="A255" s="47" t="n">
        <v>17</v>
      </c>
      <c r="B255" s="38" t="n">
        <f aca="false">助手回款!$B18</f>
        <v>2022</v>
      </c>
      <c r="C255" s="48" t="str">
        <f aca="false">助手回款!$C18</f>
        <v>北楼店</v>
      </c>
      <c r="D255" s="48" t="str">
        <f aca="false">科目对照回款!$B15&amp;""</f>
        <v>药机微信</v>
      </c>
      <c r="E255" s="48" t="str">
        <f aca="false">科目对照回款!$C15&amp;""</f>
        <v>应收账款</v>
      </c>
      <c r="F255" s="48" t="str">
        <f aca="false">科目对照回款!$D15&amp;""</f>
        <v>药机微信</v>
      </c>
      <c r="G255" s="49" t="n">
        <f aca="false">-ROUND(IF(科目对照回款!$F$15="",0,SUMIFS(输入回款!$C:$C,输入回款!$A:$A,助手回款!$X18,输入回款!$B:$B,科目对照回款!$F$15)+SUMIFS(输入回款!$D:$D,输入回款!$A:$A,助手回款!$X18,输入回款!$B:$B,科目对照回款!$F$15))+IF(科目对照回款!$G$15="",0,SUMIFS(输入回款!$C:$C,输入回款!$A:$A,助手回款!$X18,输入回款!$B:$B,科目对照回款!$G$15)+SUMIFS(输入回款!$D:$D,输入回款!$A:$A,助手回款!$X18,输入回款!$B:$B,科目对照回款!$G$15))+IF(科目对照回款!$H$15="",0,SUMIFS(输入回款!$C:$C,输入回款!$A:$A,助手回款!$X18,输入回款!$B:$B,科目对照回款!$H$15)+SUMIFS(输入回款!$D:$D,输入回款!$A:$A,助手回款!$X18,输入回款!$B:$B,科目对照回款!$H$15)),2)</f>
        <v>-0</v>
      </c>
      <c r="H255" s="49" t="str">
        <f aca="false">IF(ROUND($G255,2)&gt;0,ROUND($G255,2),"")</f>
        <v/>
      </c>
      <c r="I255" s="49" t="str">
        <f aca="false">IF(ROUND($G255,2)&lt;0,-ROUND($G255,2),"")</f>
        <v/>
      </c>
      <c r="J255" s="20" t="n">
        <f aca="false">IF(ROUND($G255,2)=0,0,1)</f>
        <v>0</v>
      </c>
      <c r="K255" s="20" t="str">
        <f aca="false">IF($J255=0,"",SUM($J$242:$J255))</f>
        <v/>
      </c>
      <c r="L255" s="20" t="str">
        <f aca="false">IF($K255="","",$A255*100+$K255)</f>
        <v/>
      </c>
      <c r="M255" s="48" t="str">
        <f aca="false">参数!$B$4</f>
        <v>回款</v>
      </c>
    </row>
    <row r="256" customFormat="false" ht="13.5" hidden="false" customHeight="false" outlineLevel="0" collapsed="false">
      <c r="A256" s="47" t="n">
        <v>17</v>
      </c>
      <c r="B256" s="38" t="n">
        <f aca="false">助手回款!$B18</f>
        <v>2022</v>
      </c>
      <c r="C256" s="48" t="str">
        <f aca="false">助手回款!$C18</f>
        <v>北楼店</v>
      </c>
      <c r="D256" s="48" t="str">
        <f aca="false">科目对照回款!$B16&amp;""</f>
        <v>储值卡</v>
      </c>
      <c r="E256" s="48" t="str">
        <f aca="false">科目对照回款!$C16&amp;""</f>
        <v>其他应收款</v>
      </c>
      <c r="F256" s="48" t="str">
        <f aca="false">科目对照回款!$D16&amp;""</f>
        <v>储值卡</v>
      </c>
      <c r="G256" s="49" t="n">
        <f aca="false">-ROUND(IF(科目对照回款!$F$16="",0,SUMIFS(输入回款!$C:$C,输入回款!$A:$A,助手回款!$X18,输入回款!$B:$B,科目对照回款!$F$16)+SUMIFS(输入回款!$D:$D,输入回款!$A:$A,助手回款!$X18,输入回款!$B:$B,科目对照回款!$F$16))+IF(科目对照回款!$G$16="",0,SUMIFS(输入回款!$C:$C,输入回款!$A:$A,助手回款!$X18,输入回款!$B:$B,科目对照回款!$G$16)+SUMIFS(输入回款!$D:$D,输入回款!$A:$A,助手回款!$X18,输入回款!$B:$B,科目对照回款!$G$16))+IF(科目对照回款!$H$16="",0,SUMIFS(输入回款!$C:$C,输入回款!$A:$A,助手回款!$X18,输入回款!$B:$B,科目对照回款!$H$16)+SUMIFS(输入回款!$D:$D,输入回款!$A:$A,助手回款!$X18,输入回款!$B:$B,科目对照回款!$H$16)),2)</f>
        <v>-0</v>
      </c>
      <c r="H256" s="49" t="str">
        <f aca="false">IF(ROUND($G256,2)&gt;0,ROUND($G256,2),"")</f>
        <v/>
      </c>
      <c r="I256" s="49" t="str">
        <f aca="false">IF(ROUND($G256,2)&lt;0,-ROUND($G256,2),"")</f>
        <v/>
      </c>
      <c r="J256" s="20" t="n">
        <f aca="false">IF(ROUND($G256,2)=0,0,1)</f>
        <v>0</v>
      </c>
      <c r="K256" s="20" t="str">
        <f aca="false">IF($J256=0,"",SUM($J$242:$J256))</f>
        <v/>
      </c>
      <c r="L256" s="20" t="str">
        <f aca="false">IF($K256="","",$A256*100+$K256)</f>
        <v/>
      </c>
      <c r="M256" s="48" t="str">
        <f aca="false">参数!$B$4</f>
        <v>回款</v>
      </c>
    </row>
    <row r="257" customFormat="false" ht="13.5" hidden="false" customHeight="false" outlineLevel="0" collapsed="false">
      <c r="A257" s="47" t="n">
        <v>18</v>
      </c>
      <c r="B257" s="38" t="n">
        <f aca="false">助手回款!$B19</f>
        <v>2023</v>
      </c>
      <c r="C257" s="48" t="str">
        <f aca="false">助手回款!$C19</f>
        <v>尹村店</v>
      </c>
      <c r="D257" s="48" t="str">
        <f aca="false">科目对照回款!$B2&amp;""</f>
        <v>库存现金</v>
      </c>
      <c r="E257" s="48" t="str">
        <f aca="false">科目对照回款!$C2&amp;""</f>
        <v>库存现金</v>
      </c>
      <c r="F257" s="48" t="str">
        <f aca="false">科目对照回款!$D2&amp;""</f>
        <v/>
      </c>
      <c r="G257" s="49" t="n">
        <f aca="false">助手回款!$E19</f>
        <v>39148.34</v>
      </c>
      <c r="H257" s="49" t="n">
        <f aca="false">IF(ROUND($G257,2)&gt;0,ROUND($G257,2),"")</f>
        <v>39148.34</v>
      </c>
      <c r="I257" s="49" t="str">
        <f aca="false">IF(ROUND($G257,2)&lt;0,-ROUND($G257,2),"")</f>
        <v/>
      </c>
      <c r="J257" s="20" t="n">
        <f aca="false">IF(ROUND($G257,2)=0,0,1)</f>
        <v>1</v>
      </c>
      <c r="K257" s="20" t="n">
        <f aca="false">IF($J257=0,"",SUM($J$257:$J257))</f>
        <v>1</v>
      </c>
      <c r="L257" s="20" t="n">
        <f aca="false">IF($K257="","",$A257*100+$K257)</f>
        <v>1801</v>
      </c>
      <c r="M257" s="48" t="str">
        <f aca="false">参数!$B$4</f>
        <v>回款</v>
      </c>
    </row>
    <row r="258" customFormat="false" ht="13.5" hidden="false" customHeight="false" outlineLevel="0" collapsed="false">
      <c r="A258" s="47" t="n">
        <v>18</v>
      </c>
      <c r="B258" s="38" t="n">
        <f aca="false">助手回款!$B19</f>
        <v>2023</v>
      </c>
      <c r="C258" s="48" t="str">
        <f aca="false">助手回款!$C19</f>
        <v>尹村店</v>
      </c>
      <c r="D258" s="48" t="str">
        <f aca="false">科目对照回款!$B3&amp;""</f>
        <v>手续费</v>
      </c>
      <c r="E258" s="48" t="str">
        <f aca="false">科目对照回款!$C3&amp;""</f>
        <v>财务费用</v>
      </c>
      <c r="F258" s="48" t="str">
        <f aca="false">科目对照回款!$D3&amp;""</f>
        <v>手续费</v>
      </c>
      <c r="G258" s="49" t="n">
        <f aca="false">助手回款!$F19</f>
        <v>0</v>
      </c>
      <c r="H258" s="49" t="str">
        <f aca="false">IF(ROUND($G258,2)&gt;0,ROUND($G258,2),"")</f>
        <v/>
      </c>
      <c r="I258" s="49" t="str">
        <f aca="false">IF(ROUND($G258,2)&lt;0,-ROUND($G258,2),"")</f>
        <v/>
      </c>
      <c r="J258" s="20" t="n">
        <f aca="false">IF(ROUND($G258,2)=0,0,1)</f>
        <v>0</v>
      </c>
      <c r="K258" s="20" t="str">
        <f aca="false">IF($J258=0,"",SUM($J$257:$J258))</f>
        <v/>
      </c>
      <c r="L258" s="20" t="str">
        <f aca="false">IF($K258="","",$A258*100+$K258)</f>
        <v/>
      </c>
      <c r="M258" s="48" t="str">
        <f aca="false">参数!$B$4</f>
        <v>回款</v>
      </c>
    </row>
    <row r="259" customFormat="false" ht="13.5" hidden="false" customHeight="false" outlineLevel="0" collapsed="false">
      <c r="A259" s="47" t="n">
        <v>18</v>
      </c>
      <c r="B259" s="38" t="n">
        <f aca="false">助手回款!$B19</f>
        <v>2023</v>
      </c>
      <c r="C259" s="48" t="str">
        <f aca="false">助手回款!$C19</f>
        <v>尹村店</v>
      </c>
      <c r="D259" s="48" t="str">
        <f aca="false">科目对照回款!$B4&amp;""</f>
        <v>聚合支付</v>
      </c>
      <c r="E259" s="48" t="str">
        <f aca="false">科目对照回款!$C4&amp;""</f>
        <v>应收账款</v>
      </c>
      <c r="F259" s="48" t="str">
        <f aca="false">科目对照回款!$D4&amp;""</f>
        <v>聚合支付</v>
      </c>
      <c r="G259" s="49" t="n">
        <f aca="false">-ROUND(IF(科目对照回款!$F$4="",0,SUMIFS(输入回款!$C:$C,输入回款!$A:$A,助手回款!$X19,输入回款!$B:$B,科目对照回款!$F$4)+SUMIFS(输入回款!$D:$D,输入回款!$A:$A,助手回款!$X19,输入回款!$B:$B,科目对照回款!$F$4))+IF(科目对照回款!$G$4="",0,SUMIFS(输入回款!$C:$C,输入回款!$A:$A,助手回款!$X19,输入回款!$B:$B,科目对照回款!$G$4)+SUMIFS(输入回款!$D:$D,输入回款!$A:$A,助手回款!$X19,输入回款!$B:$B,科目对照回款!$G$4))+IF(科目对照回款!$H$4="",0,SUMIFS(输入回款!$C:$C,输入回款!$A:$A,助手回款!$X19,输入回款!$B:$B,科目对照回款!$H$4)+SUMIFS(输入回款!$D:$D,输入回款!$A:$A,助手回款!$X19,输入回款!$B:$B,科目对照回款!$H$4)),2)</f>
        <v>-29969.07</v>
      </c>
      <c r="H259" s="49" t="str">
        <f aca="false">IF(ROUND($G259,2)&gt;0,ROUND($G259,2),"")</f>
        <v/>
      </c>
      <c r="I259" s="49" t="n">
        <f aca="false">IF(ROUND($G259,2)&lt;0,-ROUND($G259,2),"")</f>
        <v>29969.07</v>
      </c>
      <c r="J259" s="20" t="n">
        <f aca="false">IF(ROUND($G259,2)=0,0,1)</f>
        <v>1</v>
      </c>
      <c r="K259" s="20" t="n">
        <f aca="false">IF($J259=0,"",SUM($J$257:$J259))</f>
        <v>2</v>
      </c>
      <c r="L259" s="20" t="n">
        <f aca="false">IF($K259="","",$A259*100+$K259)</f>
        <v>1802</v>
      </c>
      <c r="M259" s="48" t="str">
        <f aca="false">参数!$B$4</f>
        <v>回款</v>
      </c>
    </row>
    <row r="260" customFormat="false" ht="13.5" hidden="false" customHeight="false" outlineLevel="0" collapsed="false">
      <c r="A260" s="47" t="n">
        <v>18</v>
      </c>
      <c r="B260" s="38" t="n">
        <f aca="false">助手回款!$B19</f>
        <v>2023</v>
      </c>
      <c r="C260" s="48" t="str">
        <f aca="false">助手回款!$C19</f>
        <v>尹村店</v>
      </c>
      <c r="D260" s="48" t="str">
        <f aca="false">科目对照回款!$B5&amp;""</f>
        <v>医保</v>
      </c>
      <c r="E260" s="48" t="str">
        <f aca="false">科目对照回款!$C5&amp;""</f>
        <v>应收账款</v>
      </c>
      <c r="F260" s="48" t="str">
        <f aca="false">科目对照回款!$D5&amp;""</f>
        <v>医保</v>
      </c>
      <c r="G260" s="49" t="n">
        <f aca="false">-ROUND(IF(科目对照回款!$F$5="",0,SUMIFS(输入回款!$C:$C,输入回款!$A:$A,助手回款!$X19,输入回款!$B:$B,科目对照回款!$F$5)+SUMIFS(输入回款!$D:$D,输入回款!$A:$A,助手回款!$X19,输入回款!$B:$B,科目对照回款!$F$5))+IF(科目对照回款!$G$5="",0,SUMIFS(输入回款!$C:$C,输入回款!$A:$A,助手回款!$X19,输入回款!$B:$B,科目对照回款!$G$5)+SUMIFS(输入回款!$D:$D,输入回款!$A:$A,助手回款!$X19,输入回款!$B:$B,科目对照回款!$G$5))+IF(科目对照回款!$H$5="",0,SUMIFS(输入回款!$C:$C,输入回款!$A:$A,助手回款!$X19,输入回款!$B:$B,科目对照回款!$H$5)+SUMIFS(输入回款!$D:$D,输入回款!$A:$A,助手回款!$X19,输入回款!$B:$B,科目对照回款!$H$5)),2)</f>
        <v>-9179.27</v>
      </c>
      <c r="H260" s="49" t="str">
        <f aca="false">IF(ROUND($G260,2)&gt;0,ROUND($G260,2),"")</f>
        <v/>
      </c>
      <c r="I260" s="49" t="n">
        <f aca="false">IF(ROUND($G260,2)&lt;0,-ROUND($G260,2),"")</f>
        <v>9179.27</v>
      </c>
      <c r="J260" s="20" t="n">
        <f aca="false">IF(ROUND($G260,2)=0,0,1)</f>
        <v>1</v>
      </c>
      <c r="K260" s="20" t="n">
        <f aca="false">IF($J260=0,"",SUM($J$257:$J260))</f>
        <v>3</v>
      </c>
      <c r="L260" s="20" t="n">
        <f aca="false">IF($K260="","",$A260*100+$K260)</f>
        <v>1803</v>
      </c>
      <c r="M260" s="48" t="str">
        <f aca="false">参数!$B$4</f>
        <v>回款</v>
      </c>
    </row>
    <row r="261" customFormat="false" ht="13.5" hidden="false" customHeight="false" outlineLevel="0" collapsed="false">
      <c r="A261" s="47" t="n">
        <v>18</v>
      </c>
      <c r="B261" s="38" t="n">
        <f aca="false">助手回款!$B19</f>
        <v>2023</v>
      </c>
      <c r="C261" s="48" t="str">
        <f aca="false">助手回款!$C19</f>
        <v>尹村店</v>
      </c>
      <c r="D261" s="48" t="str">
        <f aca="false">科目对照回款!$B6&amp;""</f>
        <v>美团</v>
      </c>
      <c r="E261" s="48" t="str">
        <f aca="false">科目对照回款!$C6&amp;""</f>
        <v>应收账款</v>
      </c>
      <c r="F261" s="48" t="str">
        <f aca="false">科目对照回款!$D6&amp;""</f>
        <v>美团</v>
      </c>
      <c r="G261" s="49" t="n">
        <f aca="false">-ROUND(IF(科目对照回款!$F$6="",0,SUMIFS(输入回款!$C:$C,输入回款!$A:$A,助手回款!$X19,输入回款!$B:$B,科目对照回款!$F$6)+SUMIFS(输入回款!$D:$D,输入回款!$A:$A,助手回款!$X19,输入回款!$B:$B,科目对照回款!$F$6))+IF(科目对照回款!$G$6="",0,SUMIFS(输入回款!$C:$C,输入回款!$A:$A,助手回款!$X19,输入回款!$B:$B,科目对照回款!$G$6)+SUMIFS(输入回款!$D:$D,输入回款!$A:$A,助手回款!$X19,输入回款!$B:$B,科目对照回款!$G$6))+IF(科目对照回款!$H$6="",0,SUMIFS(输入回款!$C:$C,输入回款!$A:$A,助手回款!$X19,输入回款!$B:$B,科目对照回款!$H$6)+SUMIFS(输入回款!$D:$D,输入回款!$A:$A,助手回款!$X19,输入回款!$B:$B,科目对照回款!$H$6)),2)</f>
        <v>-0</v>
      </c>
      <c r="H261" s="49" t="str">
        <f aca="false">IF(ROUND($G261,2)&gt;0,ROUND($G261,2),"")</f>
        <v/>
      </c>
      <c r="I261" s="49" t="str">
        <f aca="false">IF(ROUND($G261,2)&lt;0,-ROUND($G261,2),"")</f>
        <v/>
      </c>
      <c r="J261" s="20" t="n">
        <f aca="false">IF(ROUND($G261,2)=0,0,1)</f>
        <v>0</v>
      </c>
      <c r="K261" s="20" t="str">
        <f aca="false">IF($J261=0,"",SUM($J$257:$J261))</f>
        <v/>
      </c>
      <c r="L261" s="20" t="str">
        <f aca="false">IF($K261="","",$A261*100+$K261)</f>
        <v/>
      </c>
      <c r="M261" s="48" t="str">
        <f aca="false">参数!$B$4</f>
        <v>回款</v>
      </c>
    </row>
    <row r="262" customFormat="false" ht="13.5" hidden="false" customHeight="false" outlineLevel="0" collapsed="false">
      <c r="A262" s="47" t="n">
        <v>18</v>
      </c>
      <c r="B262" s="38" t="n">
        <f aca="false">助手回款!$B19</f>
        <v>2023</v>
      </c>
      <c r="C262" s="48" t="str">
        <f aca="false">助手回款!$C19</f>
        <v>尹村店</v>
      </c>
      <c r="D262" s="48" t="str">
        <f aca="false">科目对照回款!$B7&amp;""</f>
        <v>饿了么</v>
      </c>
      <c r="E262" s="48" t="str">
        <f aca="false">科目对照回款!$C7&amp;""</f>
        <v>应收账款</v>
      </c>
      <c r="F262" s="48" t="str">
        <f aca="false">科目对照回款!$D7&amp;""</f>
        <v>饿了么</v>
      </c>
      <c r="G262" s="49" t="n">
        <f aca="false">-ROUND(IF(科目对照回款!$F$7="",0,SUMIFS(输入回款!$C:$C,输入回款!$A:$A,助手回款!$X19,输入回款!$B:$B,科目对照回款!$F$7)+SUMIFS(输入回款!$D:$D,输入回款!$A:$A,助手回款!$X19,输入回款!$B:$B,科目对照回款!$F$7))+IF(科目对照回款!$G$7="",0,SUMIFS(输入回款!$C:$C,输入回款!$A:$A,助手回款!$X19,输入回款!$B:$B,科目对照回款!$G$7)+SUMIFS(输入回款!$D:$D,输入回款!$A:$A,助手回款!$X19,输入回款!$B:$B,科目对照回款!$G$7))+IF(科目对照回款!$H$7="",0,SUMIFS(输入回款!$C:$C,输入回款!$A:$A,助手回款!$X19,输入回款!$B:$B,科目对照回款!$H$7)+SUMIFS(输入回款!$D:$D,输入回款!$A:$A,助手回款!$X19,输入回款!$B:$B,科目对照回款!$H$7)),2)</f>
        <v>-0</v>
      </c>
      <c r="H262" s="49" t="str">
        <f aca="false">IF(ROUND($G262,2)&gt;0,ROUND($G262,2),"")</f>
        <v/>
      </c>
      <c r="I262" s="49" t="str">
        <f aca="false">IF(ROUND($G262,2)&lt;0,-ROUND($G262,2),"")</f>
        <v/>
      </c>
      <c r="J262" s="20" t="n">
        <f aca="false">IF(ROUND($G262,2)=0,0,1)</f>
        <v>0</v>
      </c>
      <c r="K262" s="20" t="str">
        <f aca="false">IF($J262=0,"",SUM($J$257:$J262))</f>
        <v/>
      </c>
      <c r="L262" s="20" t="str">
        <f aca="false">IF($K262="","",$A262*100+$K262)</f>
        <v/>
      </c>
      <c r="M262" s="48" t="str">
        <f aca="false">参数!$B$4</f>
        <v>回款</v>
      </c>
    </row>
    <row r="263" customFormat="false" ht="13.5" hidden="false" customHeight="false" outlineLevel="0" collapsed="false">
      <c r="A263" s="47" t="n">
        <v>18</v>
      </c>
      <c r="B263" s="38" t="n">
        <f aca="false">助手回款!$B19</f>
        <v>2023</v>
      </c>
      <c r="C263" s="48" t="str">
        <f aca="false">助手回款!$C19</f>
        <v>尹村店</v>
      </c>
      <c r="D263" s="48" t="str">
        <f aca="false">科目对照回款!$B8&amp;""</f>
        <v>24小时</v>
      </c>
      <c r="E263" s="48" t="str">
        <f aca="false">科目对照回款!$C8&amp;""</f>
        <v>应收账款</v>
      </c>
      <c r="F263" s="48" t="str">
        <f aca="false">科目对照回款!$D8&amp;""</f>
        <v>24小时</v>
      </c>
      <c r="G263" s="49" t="n">
        <f aca="false">-ROUND(IF(科目对照回款!$F$8="",0,SUMIFS(输入回款!$C:$C,输入回款!$A:$A,助手回款!$X19,输入回款!$B:$B,科目对照回款!$F$8)+SUMIFS(输入回款!$D:$D,输入回款!$A:$A,助手回款!$X19,输入回款!$B:$B,科目对照回款!$F$8))+IF(科目对照回款!$G$8="",0,SUMIFS(输入回款!$C:$C,输入回款!$A:$A,助手回款!$X19,输入回款!$B:$B,科目对照回款!$G$8)+SUMIFS(输入回款!$D:$D,输入回款!$A:$A,助手回款!$X19,输入回款!$B:$B,科目对照回款!$G$8))+IF(科目对照回款!$H$8="",0,SUMIFS(输入回款!$C:$C,输入回款!$A:$A,助手回款!$X19,输入回款!$B:$B,科目对照回款!$H$8)+SUMIFS(输入回款!$D:$D,输入回款!$A:$A,助手回款!$X19,输入回款!$B:$B,科目对照回款!$H$8)),2)</f>
        <v>-0</v>
      </c>
      <c r="H263" s="49" t="str">
        <f aca="false">IF(ROUND($G263,2)&gt;0,ROUND($G263,2),"")</f>
        <v/>
      </c>
      <c r="I263" s="49" t="str">
        <f aca="false">IF(ROUND($G263,2)&lt;0,-ROUND($G263,2),"")</f>
        <v/>
      </c>
      <c r="J263" s="20" t="n">
        <f aca="false">IF(ROUND($G263,2)=0,0,1)</f>
        <v>0</v>
      </c>
      <c r="K263" s="20" t="str">
        <f aca="false">IF($J263=0,"",SUM($J$257:$J263))</f>
        <v/>
      </c>
      <c r="L263" s="20" t="str">
        <f aca="false">IF($K263="","",$A263*100+$K263)</f>
        <v/>
      </c>
      <c r="M263" s="48" t="str">
        <f aca="false">参数!$B$4</f>
        <v>回款</v>
      </c>
    </row>
    <row r="264" customFormat="false" ht="13.5" hidden="false" customHeight="false" outlineLevel="0" collapsed="false">
      <c r="A264" s="47" t="n">
        <v>18</v>
      </c>
      <c r="B264" s="38" t="n">
        <f aca="false">助手回款!$B19</f>
        <v>2023</v>
      </c>
      <c r="C264" s="48" t="str">
        <f aca="false">助手回款!$C19</f>
        <v>尹村店</v>
      </c>
      <c r="D264" s="48" t="str">
        <f aca="false">科目对照回款!$B9&amp;""</f>
        <v>健E卡</v>
      </c>
      <c r="E264" s="48" t="str">
        <f aca="false">科目对照回款!$C9&amp;""</f>
        <v>应收账款</v>
      </c>
      <c r="F264" s="48" t="str">
        <f aca="false">科目对照回款!$D9&amp;""</f>
        <v>健E卡</v>
      </c>
      <c r="G264" s="49" t="n">
        <f aca="false">-ROUND(IF(科目对照回款!$F$9="",0,SUMIFS(输入回款!$C:$C,输入回款!$A:$A,助手回款!$X19,输入回款!$B:$B,科目对照回款!$F$9)+SUMIFS(输入回款!$D:$D,输入回款!$A:$A,助手回款!$X19,输入回款!$B:$B,科目对照回款!$F$9))+IF(科目对照回款!$G$9="",0,SUMIFS(输入回款!$C:$C,输入回款!$A:$A,助手回款!$X19,输入回款!$B:$B,科目对照回款!$G$9)+SUMIFS(输入回款!$D:$D,输入回款!$A:$A,助手回款!$X19,输入回款!$B:$B,科目对照回款!$G$9))+IF(科目对照回款!$H$9="",0,SUMIFS(输入回款!$C:$C,输入回款!$A:$A,助手回款!$X19,输入回款!$B:$B,科目对照回款!$H$9)+SUMIFS(输入回款!$D:$D,输入回款!$A:$A,助手回款!$X19,输入回款!$B:$B,科目对照回款!$H$9)),2)</f>
        <v>-0</v>
      </c>
      <c r="H264" s="49" t="str">
        <f aca="false">IF(ROUND($G264,2)&gt;0,ROUND($G264,2),"")</f>
        <v/>
      </c>
      <c r="I264" s="49" t="str">
        <f aca="false">IF(ROUND($G264,2)&lt;0,-ROUND($G264,2),"")</f>
        <v/>
      </c>
      <c r="J264" s="20" t="n">
        <f aca="false">IF(ROUND($G264,2)=0,0,1)</f>
        <v>0</v>
      </c>
      <c r="K264" s="20" t="str">
        <f aca="false">IF($J264=0,"",SUM($J$257:$J264))</f>
        <v/>
      </c>
      <c r="L264" s="20" t="str">
        <f aca="false">IF($K264="","",$A264*100+$K264)</f>
        <v/>
      </c>
      <c r="M264" s="48" t="str">
        <f aca="false">参数!$B$4</f>
        <v>回款</v>
      </c>
    </row>
    <row r="265" customFormat="false" ht="13.5" hidden="false" customHeight="false" outlineLevel="0" collapsed="false">
      <c r="A265" s="47" t="n">
        <v>18</v>
      </c>
      <c r="B265" s="38" t="n">
        <f aca="false">助手回款!$B19</f>
        <v>2023</v>
      </c>
      <c r="C265" s="48" t="str">
        <f aca="false">助手回款!$C19</f>
        <v>尹村店</v>
      </c>
      <c r="D265" s="48" t="str">
        <f aca="false">科目对照回款!$B10&amp;""</f>
        <v>医卡通</v>
      </c>
      <c r="E265" s="48" t="str">
        <f aca="false">科目对照回款!$C10&amp;""</f>
        <v>应收账款</v>
      </c>
      <c r="F265" s="48" t="str">
        <f aca="false">科目对照回款!$D10&amp;""</f>
        <v>医卡通</v>
      </c>
      <c r="G265" s="49" t="n">
        <f aca="false">-ROUND(IF(科目对照回款!$F$10="",0,SUMIFS(输入回款!$C:$C,输入回款!$A:$A,助手回款!$X19,输入回款!$B:$B,科目对照回款!$F$10)+SUMIFS(输入回款!$D:$D,输入回款!$A:$A,助手回款!$X19,输入回款!$B:$B,科目对照回款!$F$10))+IF(科目对照回款!$G$10="",0,SUMIFS(输入回款!$C:$C,输入回款!$A:$A,助手回款!$X19,输入回款!$B:$B,科目对照回款!$G$10)+SUMIFS(输入回款!$D:$D,输入回款!$A:$A,助手回款!$X19,输入回款!$B:$B,科目对照回款!$G$10))+IF(科目对照回款!$H$10="",0,SUMIFS(输入回款!$C:$C,输入回款!$A:$A,助手回款!$X19,输入回款!$B:$B,科目对照回款!$H$10)+SUMIFS(输入回款!$D:$D,输入回款!$A:$A,助手回款!$X19,输入回款!$B:$B,科目对照回款!$H$10)),2)</f>
        <v>-0</v>
      </c>
      <c r="H265" s="49" t="str">
        <f aca="false">IF(ROUND($G265,2)&gt;0,ROUND($G265,2),"")</f>
        <v/>
      </c>
      <c r="I265" s="49" t="str">
        <f aca="false">IF(ROUND($G265,2)&lt;0,-ROUND($G265,2),"")</f>
        <v/>
      </c>
      <c r="J265" s="20" t="n">
        <f aca="false">IF(ROUND($G265,2)=0,0,1)</f>
        <v>0</v>
      </c>
      <c r="K265" s="20" t="str">
        <f aca="false">IF($J265=0,"",SUM($J$257:$J265))</f>
        <v/>
      </c>
      <c r="L265" s="20" t="str">
        <f aca="false">IF($K265="","",$A265*100+$K265)</f>
        <v/>
      </c>
      <c r="M265" s="48" t="str">
        <f aca="false">参数!$B$4</f>
        <v>回款</v>
      </c>
    </row>
    <row r="266" customFormat="false" ht="13.5" hidden="false" customHeight="false" outlineLevel="0" collapsed="false">
      <c r="A266" s="47" t="n">
        <v>18</v>
      </c>
      <c r="B266" s="38" t="n">
        <f aca="false">助手回款!$B19</f>
        <v>2023</v>
      </c>
      <c r="C266" s="48" t="str">
        <f aca="false">助手回款!$C19</f>
        <v>尹村店</v>
      </c>
      <c r="D266" s="48" t="str">
        <f aca="false">科目对照回款!$B11&amp;""</f>
        <v>企健网</v>
      </c>
      <c r="E266" s="48" t="str">
        <f aca="false">科目对照回款!$C11&amp;""</f>
        <v>应收账款</v>
      </c>
      <c r="F266" s="48" t="str">
        <f aca="false">科目对照回款!$D11&amp;""</f>
        <v>企健网</v>
      </c>
      <c r="G266" s="49" t="n">
        <f aca="false">-ROUND(IF(科目对照回款!$F$11="",0,SUMIFS(输入回款!$C:$C,输入回款!$A:$A,助手回款!$X19,输入回款!$B:$B,科目对照回款!$F$11)+SUMIFS(输入回款!$D:$D,输入回款!$A:$A,助手回款!$X19,输入回款!$B:$B,科目对照回款!$F$11))+IF(科目对照回款!$G$11="",0,SUMIFS(输入回款!$C:$C,输入回款!$A:$A,助手回款!$X19,输入回款!$B:$B,科目对照回款!$G$11)+SUMIFS(输入回款!$D:$D,输入回款!$A:$A,助手回款!$X19,输入回款!$B:$B,科目对照回款!$G$11))+IF(科目对照回款!$H$11="",0,SUMIFS(输入回款!$C:$C,输入回款!$A:$A,助手回款!$X19,输入回款!$B:$B,科目对照回款!$H$11)+SUMIFS(输入回款!$D:$D,输入回款!$A:$A,助手回款!$X19,输入回款!$B:$B,科目对照回款!$H$11)),2)</f>
        <v>-0</v>
      </c>
      <c r="H266" s="49" t="str">
        <f aca="false">IF(ROUND($G266,2)&gt;0,ROUND($G266,2),"")</f>
        <v/>
      </c>
      <c r="I266" s="49" t="str">
        <f aca="false">IF(ROUND($G266,2)&lt;0,-ROUND($G266,2),"")</f>
        <v/>
      </c>
      <c r="J266" s="20" t="n">
        <f aca="false">IF(ROUND($G266,2)=0,0,1)</f>
        <v>0</v>
      </c>
      <c r="K266" s="20" t="str">
        <f aca="false">IF($J266=0,"",SUM($J$257:$J266))</f>
        <v/>
      </c>
      <c r="L266" s="20" t="str">
        <f aca="false">IF($K266="","",$A266*100+$K266)</f>
        <v/>
      </c>
      <c r="M266" s="48" t="str">
        <f aca="false">参数!$B$4</f>
        <v>回款</v>
      </c>
    </row>
    <row r="267" customFormat="false" ht="13.5" hidden="false" customHeight="false" outlineLevel="0" collapsed="false">
      <c r="A267" s="47" t="n">
        <v>18</v>
      </c>
      <c r="B267" s="38" t="n">
        <f aca="false">助手回款!$B19</f>
        <v>2023</v>
      </c>
      <c r="C267" s="48" t="str">
        <f aca="false">助手回款!$C19</f>
        <v>尹村店</v>
      </c>
      <c r="D267" s="48" t="str">
        <f aca="false">科目对照回款!$B12&amp;""</f>
        <v>亲情卡</v>
      </c>
      <c r="E267" s="48" t="str">
        <f aca="false">科目对照回款!$C12&amp;""</f>
        <v>应收账款</v>
      </c>
      <c r="F267" s="48" t="str">
        <f aca="false">科目对照回款!$D12&amp;""</f>
        <v>亲情卡</v>
      </c>
      <c r="G267" s="49" t="n">
        <f aca="false">-ROUND(IF(科目对照回款!$F$12="",0,SUMIFS(输入回款!$C:$C,输入回款!$A:$A,助手回款!$X19,输入回款!$B:$B,科目对照回款!$F$12)+SUMIFS(输入回款!$D:$D,输入回款!$A:$A,助手回款!$X19,输入回款!$B:$B,科目对照回款!$F$12))+IF(科目对照回款!$G$12="",0,SUMIFS(输入回款!$C:$C,输入回款!$A:$A,助手回款!$X19,输入回款!$B:$B,科目对照回款!$G$12)+SUMIFS(输入回款!$D:$D,输入回款!$A:$A,助手回款!$X19,输入回款!$B:$B,科目对照回款!$G$12))+IF(科目对照回款!$H$12="",0,SUMIFS(输入回款!$C:$C,输入回款!$A:$A,助手回款!$X19,输入回款!$B:$B,科目对照回款!$H$12)+SUMIFS(输入回款!$D:$D,输入回款!$A:$A,助手回款!$X19,输入回款!$B:$B,科目对照回款!$H$12)),2)</f>
        <v>-0</v>
      </c>
      <c r="H267" s="49" t="str">
        <f aca="false">IF(ROUND($G267,2)&gt;0,ROUND($G267,2),"")</f>
        <v/>
      </c>
      <c r="I267" s="49" t="str">
        <f aca="false">IF(ROUND($G267,2)&lt;0,-ROUND($G267,2),"")</f>
        <v/>
      </c>
      <c r="J267" s="20" t="n">
        <f aca="false">IF(ROUND($G267,2)=0,0,1)</f>
        <v>0</v>
      </c>
      <c r="K267" s="20" t="str">
        <f aca="false">IF($J267=0,"",SUM($J$257:$J267))</f>
        <v/>
      </c>
      <c r="L267" s="20" t="str">
        <f aca="false">IF($K267="","",$A267*100+$K267)</f>
        <v/>
      </c>
      <c r="M267" s="48" t="str">
        <f aca="false">参数!$B$4</f>
        <v>回款</v>
      </c>
    </row>
    <row r="268" customFormat="false" ht="13.5" hidden="false" customHeight="false" outlineLevel="0" collapsed="false">
      <c r="A268" s="47" t="n">
        <v>18</v>
      </c>
      <c r="B268" s="38" t="n">
        <f aca="false">助手回款!$B19</f>
        <v>2023</v>
      </c>
      <c r="C268" s="48" t="str">
        <f aca="false">助手回款!$C19</f>
        <v>尹村店</v>
      </c>
      <c r="D268" s="48" t="str">
        <f aca="false">科目对照回款!$B13&amp;""</f>
        <v>银联</v>
      </c>
      <c r="E268" s="48" t="str">
        <f aca="false">科目对照回款!$C13&amp;""</f>
        <v>应收账款</v>
      </c>
      <c r="F268" s="48" t="str">
        <f aca="false">科目对照回款!$D13&amp;""</f>
        <v>银联</v>
      </c>
      <c r="G268" s="49" t="n">
        <f aca="false">-ROUND(IF(科目对照回款!$F$13="",0,SUMIFS(输入回款!$C:$C,输入回款!$A:$A,助手回款!$X19,输入回款!$B:$B,科目对照回款!$F$13)+SUMIFS(输入回款!$D:$D,输入回款!$A:$A,助手回款!$X19,输入回款!$B:$B,科目对照回款!$F$13))+IF(科目对照回款!$G$13="",0,SUMIFS(输入回款!$C:$C,输入回款!$A:$A,助手回款!$X19,输入回款!$B:$B,科目对照回款!$G$13)+SUMIFS(输入回款!$D:$D,输入回款!$A:$A,助手回款!$X19,输入回款!$B:$B,科目对照回款!$G$13))+IF(科目对照回款!$H$13="",0,SUMIFS(输入回款!$C:$C,输入回款!$A:$A,助手回款!$X19,输入回款!$B:$B,科目对照回款!$H$13)+SUMIFS(输入回款!$D:$D,输入回款!$A:$A,助手回款!$X19,输入回款!$B:$B,科目对照回款!$H$13)),2)</f>
        <v>-0</v>
      </c>
      <c r="H268" s="49" t="str">
        <f aca="false">IF(ROUND($G268,2)&gt;0,ROUND($G268,2),"")</f>
        <v/>
      </c>
      <c r="I268" s="49" t="str">
        <f aca="false">IF(ROUND($G268,2)&lt;0,-ROUND($G268,2),"")</f>
        <v/>
      </c>
      <c r="J268" s="20" t="n">
        <f aca="false">IF(ROUND($G268,2)=0,0,1)</f>
        <v>0</v>
      </c>
      <c r="K268" s="20" t="str">
        <f aca="false">IF($J268=0,"",SUM($J$257:$J268))</f>
        <v/>
      </c>
      <c r="L268" s="20" t="str">
        <f aca="false">IF($K268="","",$A268*100+$K268)</f>
        <v/>
      </c>
      <c r="M268" s="48" t="str">
        <f aca="false">参数!$B$4</f>
        <v>回款</v>
      </c>
    </row>
    <row r="269" customFormat="false" ht="13.5" hidden="false" customHeight="false" outlineLevel="0" collapsed="false">
      <c r="A269" s="47" t="n">
        <v>18</v>
      </c>
      <c r="B269" s="38" t="n">
        <f aca="false">助手回款!$B19</f>
        <v>2023</v>
      </c>
      <c r="C269" s="48" t="str">
        <f aca="false">助手回款!$C19</f>
        <v>尹村店</v>
      </c>
      <c r="D269" s="48" t="str">
        <f aca="false">科目对照回款!$B14&amp;""</f>
        <v>代金券</v>
      </c>
      <c r="E269" s="48" t="str">
        <f aca="false">科目对照回款!$C14&amp;""</f>
        <v>应收账款</v>
      </c>
      <c r="F269" s="48" t="str">
        <f aca="false">科目对照回款!$D14&amp;""</f>
        <v>代金券</v>
      </c>
      <c r="G269" s="49" t="n">
        <f aca="false">-ROUND(IF(科目对照回款!$F$14="",0,SUMIFS(输入回款!$C:$C,输入回款!$A:$A,助手回款!$X19,输入回款!$B:$B,科目对照回款!$F$14)+SUMIFS(输入回款!$D:$D,输入回款!$A:$A,助手回款!$X19,输入回款!$B:$B,科目对照回款!$F$14))+IF(科目对照回款!$G$14="",0,SUMIFS(输入回款!$C:$C,输入回款!$A:$A,助手回款!$X19,输入回款!$B:$B,科目对照回款!$G$14)+SUMIFS(输入回款!$D:$D,输入回款!$A:$A,助手回款!$X19,输入回款!$B:$B,科目对照回款!$G$14))+IF(科目对照回款!$H$14="",0,SUMIFS(输入回款!$C:$C,输入回款!$A:$A,助手回款!$X19,输入回款!$B:$B,科目对照回款!$H$14)+SUMIFS(输入回款!$D:$D,输入回款!$A:$A,助手回款!$X19,输入回款!$B:$B,科目对照回款!$H$14)),2)</f>
        <v>-0</v>
      </c>
      <c r="H269" s="49" t="str">
        <f aca="false">IF(ROUND($G269,2)&gt;0,ROUND($G269,2),"")</f>
        <v/>
      </c>
      <c r="I269" s="49" t="str">
        <f aca="false">IF(ROUND($G269,2)&lt;0,-ROUND($G269,2),"")</f>
        <v/>
      </c>
      <c r="J269" s="20" t="n">
        <f aca="false">IF(ROUND($G269,2)=0,0,1)</f>
        <v>0</v>
      </c>
      <c r="K269" s="20" t="str">
        <f aca="false">IF($J269=0,"",SUM($J$257:$J269))</f>
        <v/>
      </c>
      <c r="L269" s="20" t="str">
        <f aca="false">IF($K269="","",$A269*100+$K269)</f>
        <v/>
      </c>
      <c r="M269" s="48" t="str">
        <f aca="false">参数!$B$4</f>
        <v>回款</v>
      </c>
    </row>
    <row r="270" customFormat="false" ht="13.5" hidden="false" customHeight="false" outlineLevel="0" collapsed="false">
      <c r="A270" s="47" t="n">
        <v>18</v>
      </c>
      <c r="B270" s="38" t="n">
        <f aca="false">助手回款!$B19</f>
        <v>2023</v>
      </c>
      <c r="C270" s="48" t="str">
        <f aca="false">助手回款!$C19</f>
        <v>尹村店</v>
      </c>
      <c r="D270" s="48" t="str">
        <f aca="false">科目对照回款!$B15&amp;""</f>
        <v>药机微信</v>
      </c>
      <c r="E270" s="48" t="str">
        <f aca="false">科目对照回款!$C15&amp;""</f>
        <v>应收账款</v>
      </c>
      <c r="F270" s="48" t="str">
        <f aca="false">科目对照回款!$D15&amp;""</f>
        <v>药机微信</v>
      </c>
      <c r="G270" s="49" t="n">
        <f aca="false">-ROUND(IF(科目对照回款!$F$15="",0,SUMIFS(输入回款!$C:$C,输入回款!$A:$A,助手回款!$X19,输入回款!$B:$B,科目对照回款!$F$15)+SUMIFS(输入回款!$D:$D,输入回款!$A:$A,助手回款!$X19,输入回款!$B:$B,科目对照回款!$F$15))+IF(科目对照回款!$G$15="",0,SUMIFS(输入回款!$C:$C,输入回款!$A:$A,助手回款!$X19,输入回款!$B:$B,科目对照回款!$G$15)+SUMIFS(输入回款!$D:$D,输入回款!$A:$A,助手回款!$X19,输入回款!$B:$B,科目对照回款!$G$15))+IF(科目对照回款!$H$15="",0,SUMIFS(输入回款!$C:$C,输入回款!$A:$A,助手回款!$X19,输入回款!$B:$B,科目对照回款!$H$15)+SUMIFS(输入回款!$D:$D,输入回款!$A:$A,助手回款!$X19,输入回款!$B:$B,科目对照回款!$H$15)),2)</f>
        <v>-0</v>
      </c>
      <c r="H270" s="49" t="str">
        <f aca="false">IF(ROUND($G270,2)&gt;0,ROUND($G270,2),"")</f>
        <v/>
      </c>
      <c r="I270" s="49" t="str">
        <f aca="false">IF(ROUND($G270,2)&lt;0,-ROUND($G270,2),"")</f>
        <v/>
      </c>
      <c r="J270" s="20" t="n">
        <f aca="false">IF(ROUND($G270,2)=0,0,1)</f>
        <v>0</v>
      </c>
      <c r="K270" s="20" t="str">
        <f aca="false">IF($J270=0,"",SUM($J$257:$J270))</f>
        <v/>
      </c>
      <c r="L270" s="20" t="str">
        <f aca="false">IF($K270="","",$A270*100+$K270)</f>
        <v/>
      </c>
      <c r="M270" s="48" t="str">
        <f aca="false">参数!$B$4</f>
        <v>回款</v>
      </c>
    </row>
    <row r="271" customFormat="false" ht="13.5" hidden="false" customHeight="false" outlineLevel="0" collapsed="false">
      <c r="A271" s="47" t="n">
        <v>18</v>
      </c>
      <c r="B271" s="38" t="n">
        <f aca="false">助手回款!$B19</f>
        <v>2023</v>
      </c>
      <c r="C271" s="48" t="str">
        <f aca="false">助手回款!$C19</f>
        <v>尹村店</v>
      </c>
      <c r="D271" s="48" t="str">
        <f aca="false">科目对照回款!$B16&amp;""</f>
        <v>储值卡</v>
      </c>
      <c r="E271" s="48" t="str">
        <f aca="false">科目对照回款!$C16&amp;""</f>
        <v>其他应收款</v>
      </c>
      <c r="F271" s="48" t="str">
        <f aca="false">科目对照回款!$D16&amp;""</f>
        <v>储值卡</v>
      </c>
      <c r="G271" s="49" t="n">
        <f aca="false">-ROUND(IF(科目对照回款!$F$16="",0,SUMIFS(输入回款!$C:$C,输入回款!$A:$A,助手回款!$X19,输入回款!$B:$B,科目对照回款!$F$16)+SUMIFS(输入回款!$D:$D,输入回款!$A:$A,助手回款!$X19,输入回款!$B:$B,科目对照回款!$F$16))+IF(科目对照回款!$G$16="",0,SUMIFS(输入回款!$C:$C,输入回款!$A:$A,助手回款!$X19,输入回款!$B:$B,科目对照回款!$G$16)+SUMIFS(输入回款!$D:$D,输入回款!$A:$A,助手回款!$X19,输入回款!$B:$B,科目对照回款!$G$16))+IF(科目对照回款!$H$16="",0,SUMIFS(输入回款!$C:$C,输入回款!$A:$A,助手回款!$X19,输入回款!$B:$B,科目对照回款!$H$16)+SUMIFS(输入回款!$D:$D,输入回款!$A:$A,助手回款!$X19,输入回款!$B:$B,科目对照回款!$H$16)),2)</f>
        <v>-0</v>
      </c>
      <c r="H271" s="49" t="str">
        <f aca="false">IF(ROUND($G271,2)&gt;0,ROUND($G271,2),"")</f>
        <v/>
      </c>
      <c r="I271" s="49" t="str">
        <f aca="false">IF(ROUND($G271,2)&lt;0,-ROUND($G271,2),"")</f>
        <v/>
      </c>
      <c r="J271" s="20" t="n">
        <f aca="false">IF(ROUND($G271,2)=0,0,1)</f>
        <v>0</v>
      </c>
      <c r="K271" s="20" t="str">
        <f aca="false">IF($J271=0,"",SUM($J$257:$J271))</f>
        <v/>
      </c>
      <c r="L271" s="20" t="str">
        <f aca="false">IF($K271="","",$A271*100+$K271)</f>
        <v/>
      </c>
      <c r="M271" s="48" t="str">
        <f aca="false">参数!$B$4</f>
        <v>回款</v>
      </c>
    </row>
    <row r="272" customFormat="false" ht="13.5" hidden="false" customHeight="false" outlineLevel="0" collapsed="false">
      <c r="A272" s="47" t="n">
        <v>19</v>
      </c>
      <c r="B272" s="38" t="n">
        <f aca="false">助手回款!$B20</f>
        <v>2024</v>
      </c>
      <c r="C272" s="48" t="str">
        <f aca="false">助手回款!$C20</f>
        <v>高村店</v>
      </c>
      <c r="D272" s="48" t="str">
        <f aca="false">科目对照回款!$B2&amp;""</f>
        <v>库存现金</v>
      </c>
      <c r="E272" s="48" t="str">
        <f aca="false">科目对照回款!$C2&amp;""</f>
        <v>库存现金</v>
      </c>
      <c r="F272" s="48" t="str">
        <f aca="false">科目对照回款!$D2&amp;""</f>
        <v/>
      </c>
      <c r="G272" s="49" t="n">
        <f aca="false">助手回款!$E20</f>
        <v>67730.22</v>
      </c>
      <c r="H272" s="49" t="n">
        <f aca="false">IF(ROUND($G272,2)&gt;0,ROUND($G272,2),"")</f>
        <v>67730.22</v>
      </c>
      <c r="I272" s="49" t="str">
        <f aca="false">IF(ROUND($G272,2)&lt;0,-ROUND($G272,2),"")</f>
        <v/>
      </c>
      <c r="J272" s="20" t="n">
        <f aca="false">IF(ROUND($G272,2)=0,0,1)</f>
        <v>1</v>
      </c>
      <c r="K272" s="20" t="n">
        <f aca="false">IF($J272=0,"",SUM($J$272:$J272))</f>
        <v>1</v>
      </c>
      <c r="L272" s="20" t="n">
        <f aca="false">IF($K272="","",$A272*100+$K272)</f>
        <v>1901</v>
      </c>
      <c r="M272" s="48" t="str">
        <f aca="false">参数!$B$4</f>
        <v>回款</v>
      </c>
    </row>
    <row r="273" customFormat="false" ht="13.5" hidden="false" customHeight="false" outlineLevel="0" collapsed="false">
      <c r="A273" s="47" t="n">
        <v>19</v>
      </c>
      <c r="B273" s="38" t="n">
        <f aca="false">助手回款!$B20</f>
        <v>2024</v>
      </c>
      <c r="C273" s="48" t="str">
        <f aca="false">助手回款!$C20</f>
        <v>高村店</v>
      </c>
      <c r="D273" s="48" t="str">
        <f aca="false">科目对照回款!$B3&amp;""</f>
        <v>手续费</v>
      </c>
      <c r="E273" s="48" t="str">
        <f aca="false">科目对照回款!$C3&amp;""</f>
        <v>财务费用</v>
      </c>
      <c r="F273" s="48" t="str">
        <f aca="false">科目对照回款!$D3&amp;""</f>
        <v>手续费</v>
      </c>
      <c r="G273" s="49" t="n">
        <f aca="false">助手回款!$F20</f>
        <v>0</v>
      </c>
      <c r="H273" s="49" t="str">
        <f aca="false">IF(ROUND($G273,2)&gt;0,ROUND($G273,2),"")</f>
        <v/>
      </c>
      <c r="I273" s="49" t="str">
        <f aca="false">IF(ROUND($G273,2)&lt;0,-ROUND($G273,2),"")</f>
        <v/>
      </c>
      <c r="J273" s="20" t="n">
        <f aca="false">IF(ROUND($G273,2)=0,0,1)</f>
        <v>0</v>
      </c>
      <c r="K273" s="20" t="str">
        <f aca="false">IF($J273=0,"",SUM($J$272:$J273))</f>
        <v/>
      </c>
      <c r="L273" s="20" t="str">
        <f aca="false">IF($K273="","",$A273*100+$K273)</f>
        <v/>
      </c>
      <c r="M273" s="48" t="str">
        <f aca="false">参数!$B$4</f>
        <v>回款</v>
      </c>
    </row>
    <row r="274" customFormat="false" ht="13.5" hidden="false" customHeight="false" outlineLevel="0" collapsed="false">
      <c r="A274" s="47" t="n">
        <v>19</v>
      </c>
      <c r="B274" s="38" t="n">
        <f aca="false">助手回款!$B20</f>
        <v>2024</v>
      </c>
      <c r="C274" s="48" t="str">
        <f aca="false">助手回款!$C20</f>
        <v>高村店</v>
      </c>
      <c r="D274" s="48" t="str">
        <f aca="false">科目对照回款!$B4&amp;""</f>
        <v>聚合支付</v>
      </c>
      <c r="E274" s="48" t="str">
        <f aca="false">科目对照回款!$C4&amp;""</f>
        <v>应收账款</v>
      </c>
      <c r="F274" s="48" t="str">
        <f aca="false">科目对照回款!$D4&amp;""</f>
        <v>聚合支付</v>
      </c>
      <c r="G274" s="49" t="n">
        <f aca="false">-ROUND(IF(科目对照回款!$F$4="",0,SUMIFS(输入回款!$C:$C,输入回款!$A:$A,助手回款!$X20,输入回款!$B:$B,科目对照回款!$F$4)+SUMIFS(输入回款!$D:$D,输入回款!$A:$A,助手回款!$X20,输入回款!$B:$B,科目对照回款!$F$4))+IF(科目对照回款!$G$4="",0,SUMIFS(输入回款!$C:$C,输入回款!$A:$A,助手回款!$X20,输入回款!$B:$B,科目对照回款!$G$4)+SUMIFS(输入回款!$D:$D,输入回款!$A:$A,助手回款!$X20,输入回款!$B:$B,科目对照回款!$G$4))+IF(科目对照回款!$H$4="",0,SUMIFS(输入回款!$C:$C,输入回款!$A:$A,助手回款!$X20,输入回款!$B:$B,科目对照回款!$H$4)+SUMIFS(输入回款!$D:$D,输入回款!$A:$A,助手回款!$X20,输入回款!$B:$B,科目对照回款!$H$4)),2)</f>
        <v>-49579.53</v>
      </c>
      <c r="H274" s="49" t="str">
        <f aca="false">IF(ROUND($G274,2)&gt;0,ROUND($G274,2),"")</f>
        <v/>
      </c>
      <c r="I274" s="49" t="n">
        <f aca="false">IF(ROUND($G274,2)&lt;0,-ROUND($G274,2),"")</f>
        <v>49579.53</v>
      </c>
      <c r="J274" s="20" t="n">
        <f aca="false">IF(ROUND($G274,2)=0,0,1)</f>
        <v>1</v>
      </c>
      <c r="K274" s="20" t="n">
        <f aca="false">IF($J274=0,"",SUM($J$272:$J274))</f>
        <v>2</v>
      </c>
      <c r="L274" s="20" t="n">
        <f aca="false">IF($K274="","",$A274*100+$K274)</f>
        <v>1902</v>
      </c>
      <c r="M274" s="48" t="str">
        <f aca="false">参数!$B$4</f>
        <v>回款</v>
      </c>
    </row>
    <row r="275" customFormat="false" ht="13.5" hidden="false" customHeight="false" outlineLevel="0" collapsed="false">
      <c r="A275" s="47" t="n">
        <v>19</v>
      </c>
      <c r="B275" s="38" t="n">
        <f aca="false">助手回款!$B20</f>
        <v>2024</v>
      </c>
      <c r="C275" s="48" t="str">
        <f aca="false">助手回款!$C20</f>
        <v>高村店</v>
      </c>
      <c r="D275" s="48" t="str">
        <f aca="false">科目对照回款!$B5&amp;""</f>
        <v>医保</v>
      </c>
      <c r="E275" s="48" t="str">
        <f aca="false">科目对照回款!$C5&amp;""</f>
        <v>应收账款</v>
      </c>
      <c r="F275" s="48" t="str">
        <f aca="false">科目对照回款!$D5&amp;""</f>
        <v>医保</v>
      </c>
      <c r="G275" s="49" t="n">
        <f aca="false">-ROUND(IF(科目对照回款!$F$5="",0,SUMIFS(输入回款!$C:$C,输入回款!$A:$A,助手回款!$X20,输入回款!$B:$B,科目对照回款!$F$5)+SUMIFS(输入回款!$D:$D,输入回款!$A:$A,助手回款!$X20,输入回款!$B:$B,科目对照回款!$F$5))+IF(科目对照回款!$G$5="",0,SUMIFS(输入回款!$C:$C,输入回款!$A:$A,助手回款!$X20,输入回款!$B:$B,科目对照回款!$G$5)+SUMIFS(输入回款!$D:$D,输入回款!$A:$A,助手回款!$X20,输入回款!$B:$B,科目对照回款!$G$5))+IF(科目对照回款!$H$5="",0,SUMIFS(输入回款!$C:$C,输入回款!$A:$A,助手回款!$X20,输入回款!$B:$B,科目对照回款!$H$5)+SUMIFS(输入回款!$D:$D,输入回款!$A:$A,助手回款!$X20,输入回款!$B:$B,科目对照回款!$H$5)),2)</f>
        <v>-18150.69</v>
      </c>
      <c r="H275" s="49" t="str">
        <f aca="false">IF(ROUND($G275,2)&gt;0,ROUND($G275,2),"")</f>
        <v/>
      </c>
      <c r="I275" s="49" t="n">
        <f aca="false">IF(ROUND($G275,2)&lt;0,-ROUND($G275,2),"")</f>
        <v>18150.69</v>
      </c>
      <c r="J275" s="20" t="n">
        <f aca="false">IF(ROUND($G275,2)=0,0,1)</f>
        <v>1</v>
      </c>
      <c r="K275" s="20" t="n">
        <f aca="false">IF($J275=0,"",SUM($J$272:$J275))</f>
        <v>3</v>
      </c>
      <c r="L275" s="20" t="n">
        <f aca="false">IF($K275="","",$A275*100+$K275)</f>
        <v>1903</v>
      </c>
      <c r="M275" s="48" t="str">
        <f aca="false">参数!$B$4</f>
        <v>回款</v>
      </c>
    </row>
    <row r="276" customFormat="false" ht="13.5" hidden="false" customHeight="false" outlineLevel="0" collapsed="false">
      <c r="A276" s="47" t="n">
        <v>19</v>
      </c>
      <c r="B276" s="38" t="n">
        <f aca="false">助手回款!$B20</f>
        <v>2024</v>
      </c>
      <c r="C276" s="48" t="str">
        <f aca="false">助手回款!$C20</f>
        <v>高村店</v>
      </c>
      <c r="D276" s="48" t="str">
        <f aca="false">科目对照回款!$B6&amp;""</f>
        <v>美团</v>
      </c>
      <c r="E276" s="48" t="str">
        <f aca="false">科目对照回款!$C6&amp;""</f>
        <v>应收账款</v>
      </c>
      <c r="F276" s="48" t="str">
        <f aca="false">科目对照回款!$D6&amp;""</f>
        <v>美团</v>
      </c>
      <c r="G276" s="49" t="n">
        <f aca="false">-ROUND(IF(科目对照回款!$F$6="",0,SUMIFS(输入回款!$C:$C,输入回款!$A:$A,助手回款!$X20,输入回款!$B:$B,科目对照回款!$F$6)+SUMIFS(输入回款!$D:$D,输入回款!$A:$A,助手回款!$X20,输入回款!$B:$B,科目对照回款!$F$6))+IF(科目对照回款!$G$6="",0,SUMIFS(输入回款!$C:$C,输入回款!$A:$A,助手回款!$X20,输入回款!$B:$B,科目对照回款!$G$6)+SUMIFS(输入回款!$D:$D,输入回款!$A:$A,助手回款!$X20,输入回款!$B:$B,科目对照回款!$G$6))+IF(科目对照回款!$H$6="",0,SUMIFS(输入回款!$C:$C,输入回款!$A:$A,助手回款!$X20,输入回款!$B:$B,科目对照回款!$H$6)+SUMIFS(输入回款!$D:$D,输入回款!$A:$A,助手回款!$X20,输入回款!$B:$B,科目对照回款!$H$6)),2)</f>
        <v>-0</v>
      </c>
      <c r="H276" s="49" t="str">
        <f aca="false">IF(ROUND($G276,2)&gt;0,ROUND($G276,2),"")</f>
        <v/>
      </c>
      <c r="I276" s="49" t="str">
        <f aca="false">IF(ROUND($G276,2)&lt;0,-ROUND($G276,2),"")</f>
        <v/>
      </c>
      <c r="J276" s="20" t="n">
        <f aca="false">IF(ROUND($G276,2)=0,0,1)</f>
        <v>0</v>
      </c>
      <c r="K276" s="20" t="str">
        <f aca="false">IF($J276=0,"",SUM($J$272:$J276))</f>
        <v/>
      </c>
      <c r="L276" s="20" t="str">
        <f aca="false">IF($K276="","",$A276*100+$K276)</f>
        <v/>
      </c>
      <c r="M276" s="48" t="str">
        <f aca="false">参数!$B$4</f>
        <v>回款</v>
      </c>
    </row>
    <row r="277" customFormat="false" ht="13.5" hidden="false" customHeight="false" outlineLevel="0" collapsed="false">
      <c r="A277" s="47" t="n">
        <v>19</v>
      </c>
      <c r="B277" s="38" t="n">
        <f aca="false">助手回款!$B20</f>
        <v>2024</v>
      </c>
      <c r="C277" s="48" t="str">
        <f aca="false">助手回款!$C20</f>
        <v>高村店</v>
      </c>
      <c r="D277" s="48" t="str">
        <f aca="false">科目对照回款!$B7&amp;""</f>
        <v>饿了么</v>
      </c>
      <c r="E277" s="48" t="str">
        <f aca="false">科目对照回款!$C7&amp;""</f>
        <v>应收账款</v>
      </c>
      <c r="F277" s="48" t="str">
        <f aca="false">科目对照回款!$D7&amp;""</f>
        <v>饿了么</v>
      </c>
      <c r="G277" s="49" t="n">
        <f aca="false">-ROUND(IF(科目对照回款!$F$7="",0,SUMIFS(输入回款!$C:$C,输入回款!$A:$A,助手回款!$X20,输入回款!$B:$B,科目对照回款!$F$7)+SUMIFS(输入回款!$D:$D,输入回款!$A:$A,助手回款!$X20,输入回款!$B:$B,科目对照回款!$F$7))+IF(科目对照回款!$G$7="",0,SUMIFS(输入回款!$C:$C,输入回款!$A:$A,助手回款!$X20,输入回款!$B:$B,科目对照回款!$G$7)+SUMIFS(输入回款!$D:$D,输入回款!$A:$A,助手回款!$X20,输入回款!$B:$B,科目对照回款!$G$7))+IF(科目对照回款!$H$7="",0,SUMIFS(输入回款!$C:$C,输入回款!$A:$A,助手回款!$X20,输入回款!$B:$B,科目对照回款!$H$7)+SUMIFS(输入回款!$D:$D,输入回款!$A:$A,助手回款!$X20,输入回款!$B:$B,科目对照回款!$H$7)),2)</f>
        <v>-0</v>
      </c>
      <c r="H277" s="49" t="str">
        <f aca="false">IF(ROUND($G277,2)&gt;0,ROUND($G277,2),"")</f>
        <v/>
      </c>
      <c r="I277" s="49" t="str">
        <f aca="false">IF(ROUND($G277,2)&lt;0,-ROUND($G277,2),"")</f>
        <v/>
      </c>
      <c r="J277" s="20" t="n">
        <f aca="false">IF(ROUND($G277,2)=0,0,1)</f>
        <v>0</v>
      </c>
      <c r="K277" s="20" t="str">
        <f aca="false">IF($J277=0,"",SUM($J$272:$J277))</f>
        <v/>
      </c>
      <c r="L277" s="20" t="str">
        <f aca="false">IF($K277="","",$A277*100+$K277)</f>
        <v/>
      </c>
      <c r="M277" s="48" t="str">
        <f aca="false">参数!$B$4</f>
        <v>回款</v>
      </c>
    </row>
    <row r="278" customFormat="false" ht="13.5" hidden="false" customHeight="false" outlineLevel="0" collapsed="false">
      <c r="A278" s="47" t="n">
        <v>19</v>
      </c>
      <c r="B278" s="38" t="n">
        <f aca="false">助手回款!$B20</f>
        <v>2024</v>
      </c>
      <c r="C278" s="48" t="str">
        <f aca="false">助手回款!$C20</f>
        <v>高村店</v>
      </c>
      <c r="D278" s="48" t="str">
        <f aca="false">科目对照回款!$B8&amp;""</f>
        <v>24小时</v>
      </c>
      <c r="E278" s="48" t="str">
        <f aca="false">科目对照回款!$C8&amp;""</f>
        <v>应收账款</v>
      </c>
      <c r="F278" s="48" t="str">
        <f aca="false">科目对照回款!$D8&amp;""</f>
        <v>24小时</v>
      </c>
      <c r="G278" s="49" t="n">
        <f aca="false">-ROUND(IF(科目对照回款!$F$8="",0,SUMIFS(输入回款!$C:$C,输入回款!$A:$A,助手回款!$X20,输入回款!$B:$B,科目对照回款!$F$8)+SUMIFS(输入回款!$D:$D,输入回款!$A:$A,助手回款!$X20,输入回款!$B:$B,科目对照回款!$F$8))+IF(科目对照回款!$G$8="",0,SUMIFS(输入回款!$C:$C,输入回款!$A:$A,助手回款!$X20,输入回款!$B:$B,科目对照回款!$G$8)+SUMIFS(输入回款!$D:$D,输入回款!$A:$A,助手回款!$X20,输入回款!$B:$B,科目对照回款!$G$8))+IF(科目对照回款!$H$8="",0,SUMIFS(输入回款!$C:$C,输入回款!$A:$A,助手回款!$X20,输入回款!$B:$B,科目对照回款!$H$8)+SUMIFS(输入回款!$D:$D,输入回款!$A:$A,助手回款!$X20,输入回款!$B:$B,科目对照回款!$H$8)),2)</f>
        <v>-0</v>
      </c>
      <c r="H278" s="49" t="str">
        <f aca="false">IF(ROUND($G278,2)&gt;0,ROUND($G278,2),"")</f>
        <v/>
      </c>
      <c r="I278" s="49" t="str">
        <f aca="false">IF(ROUND($G278,2)&lt;0,-ROUND($G278,2),"")</f>
        <v/>
      </c>
      <c r="J278" s="20" t="n">
        <f aca="false">IF(ROUND($G278,2)=0,0,1)</f>
        <v>0</v>
      </c>
      <c r="K278" s="20" t="str">
        <f aca="false">IF($J278=0,"",SUM($J$272:$J278))</f>
        <v/>
      </c>
      <c r="L278" s="20" t="str">
        <f aca="false">IF($K278="","",$A278*100+$K278)</f>
        <v/>
      </c>
      <c r="M278" s="48" t="str">
        <f aca="false">参数!$B$4</f>
        <v>回款</v>
      </c>
    </row>
    <row r="279" customFormat="false" ht="13.5" hidden="false" customHeight="false" outlineLevel="0" collapsed="false">
      <c r="A279" s="47" t="n">
        <v>19</v>
      </c>
      <c r="B279" s="38" t="n">
        <f aca="false">助手回款!$B20</f>
        <v>2024</v>
      </c>
      <c r="C279" s="48" t="str">
        <f aca="false">助手回款!$C20</f>
        <v>高村店</v>
      </c>
      <c r="D279" s="48" t="str">
        <f aca="false">科目对照回款!$B9&amp;""</f>
        <v>健E卡</v>
      </c>
      <c r="E279" s="48" t="str">
        <f aca="false">科目对照回款!$C9&amp;""</f>
        <v>应收账款</v>
      </c>
      <c r="F279" s="48" t="str">
        <f aca="false">科目对照回款!$D9&amp;""</f>
        <v>健E卡</v>
      </c>
      <c r="G279" s="49" t="n">
        <f aca="false">-ROUND(IF(科目对照回款!$F$9="",0,SUMIFS(输入回款!$C:$C,输入回款!$A:$A,助手回款!$X20,输入回款!$B:$B,科目对照回款!$F$9)+SUMIFS(输入回款!$D:$D,输入回款!$A:$A,助手回款!$X20,输入回款!$B:$B,科目对照回款!$F$9))+IF(科目对照回款!$G$9="",0,SUMIFS(输入回款!$C:$C,输入回款!$A:$A,助手回款!$X20,输入回款!$B:$B,科目对照回款!$G$9)+SUMIFS(输入回款!$D:$D,输入回款!$A:$A,助手回款!$X20,输入回款!$B:$B,科目对照回款!$G$9))+IF(科目对照回款!$H$9="",0,SUMIFS(输入回款!$C:$C,输入回款!$A:$A,助手回款!$X20,输入回款!$B:$B,科目对照回款!$H$9)+SUMIFS(输入回款!$D:$D,输入回款!$A:$A,助手回款!$X20,输入回款!$B:$B,科目对照回款!$H$9)),2)</f>
        <v>-0</v>
      </c>
      <c r="H279" s="49" t="str">
        <f aca="false">IF(ROUND($G279,2)&gt;0,ROUND($G279,2),"")</f>
        <v/>
      </c>
      <c r="I279" s="49" t="str">
        <f aca="false">IF(ROUND($G279,2)&lt;0,-ROUND($G279,2),"")</f>
        <v/>
      </c>
      <c r="J279" s="20" t="n">
        <f aca="false">IF(ROUND($G279,2)=0,0,1)</f>
        <v>0</v>
      </c>
      <c r="K279" s="20" t="str">
        <f aca="false">IF($J279=0,"",SUM($J$272:$J279))</f>
        <v/>
      </c>
      <c r="L279" s="20" t="str">
        <f aca="false">IF($K279="","",$A279*100+$K279)</f>
        <v/>
      </c>
      <c r="M279" s="48" t="str">
        <f aca="false">参数!$B$4</f>
        <v>回款</v>
      </c>
    </row>
    <row r="280" customFormat="false" ht="13.5" hidden="false" customHeight="false" outlineLevel="0" collapsed="false">
      <c r="A280" s="47" t="n">
        <v>19</v>
      </c>
      <c r="B280" s="38" t="n">
        <f aca="false">助手回款!$B20</f>
        <v>2024</v>
      </c>
      <c r="C280" s="48" t="str">
        <f aca="false">助手回款!$C20</f>
        <v>高村店</v>
      </c>
      <c r="D280" s="48" t="str">
        <f aca="false">科目对照回款!$B10&amp;""</f>
        <v>医卡通</v>
      </c>
      <c r="E280" s="48" t="str">
        <f aca="false">科目对照回款!$C10&amp;""</f>
        <v>应收账款</v>
      </c>
      <c r="F280" s="48" t="str">
        <f aca="false">科目对照回款!$D10&amp;""</f>
        <v>医卡通</v>
      </c>
      <c r="G280" s="49" t="n">
        <f aca="false">-ROUND(IF(科目对照回款!$F$10="",0,SUMIFS(输入回款!$C:$C,输入回款!$A:$A,助手回款!$X20,输入回款!$B:$B,科目对照回款!$F$10)+SUMIFS(输入回款!$D:$D,输入回款!$A:$A,助手回款!$X20,输入回款!$B:$B,科目对照回款!$F$10))+IF(科目对照回款!$G$10="",0,SUMIFS(输入回款!$C:$C,输入回款!$A:$A,助手回款!$X20,输入回款!$B:$B,科目对照回款!$G$10)+SUMIFS(输入回款!$D:$D,输入回款!$A:$A,助手回款!$X20,输入回款!$B:$B,科目对照回款!$G$10))+IF(科目对照回款!$H$10="",0,SUMIFS(输入回款!$C:$C,输入回款!$A:$A,助手回款!$X20,输入回款!$B:$B,科目对照回款!$H$10)+SUMIFS(输入回款!$D:$D,输入回款!$A:$A,助手回款!$X20,输入回款!$B:$B,科目对照回款!$H$10)),2)</f>
        <v>-0</v>
      </c>
      <c r="H280" s="49" t="str">
        <f aca="false">IF(ROUND($G280,2)&gt;0,ROUND($G280,2),"")</f>
        <v/>
      </c>
      <c r="I280" s="49" t="str">
        <f aca="false">IF(ROUND($G280,2)&lt;0,-ROUND($G280,2),"")</f>
        <v/>
      </c>
      <c r="J280" s="20" t="n">
        <f aca="false">IF(ROUND($G280,2)=0,0,1)</f>
        <v>0</v>
      </c>
      <c r="K280" s="20" t="str">
        <f aca="false">IF($J280=0,"",SUM($J$272:$J280))</f>
        <v/>
      </c>
      <c r="L280" s="20" t="str">
        <f aca="false">IF($K280="","",$A280*100+$K280)</f>
        <v/>
      </c>
      <c r="M280" s="48" t="str">
        <f aca="false">参数!$B$4</f>
        <v>回款</v>
      </c>
    </row>
    <row r="281" customFormat="false" ht="13.5" hidden="false" customHeight="false" outlineLevel="0" collapsed="false">
      <c r="A281" s="47" t="n">
        <v>19</v>
      </c>
      <c r="B281" s="38" t="n">
        <f aca="false">助手回款!$B20</f>
        <v>2024</v>
      </c>
      <c r="C281" s="48" t="str">
        <f aca="false">助手回款!$C20</f>
        <v>高村店</v>
      </c>
      <c r="D281" s="48" t="str">
        <f aca="false">科目对照回款!$B11&amp;""</f>
        <v>企健网</v>
      </c>
      <c r="E281" s="48" t="str">
        <f aca="false">科目对照回款!$C11&amp;""</f>
        <v>应收账款</v>
      </c>
      <c r="F281" s="48" t="str">
        <f aca="false">科目对照回款!$D11&amp;""</f>
        <v>企健网</v>
      </c>
      <c r="G281" s="49" t="n">
        <f aca="false">-ROUND(IF(科目对照回款!$F$11="",0,SUMIFS(输入回款!$C:$C,输入回款!$A:$A,助手回款!$X20,输入回款!$B:$B,科目对照回款!$F$11)+SUMIFS(输入回款!$D:$D,输入回款!$A:$A,助手回款!$X20,输入回款!$B:$B,科目对照回款!$F$11))+IF(科目对照回款!$G$11="",0,SUMIFS(输入回款!$C:$C,输入回款!$A:$A,助手回款!$X20,输入回款!$B:$B,科目对照回款!$G$11)+SUMIFS(输入回款!$D:$D,输入回款!$A:$A,助手回款!$X20,输入回款!$B:$B,科目对照回款!$G$11))+IF(科目对照回款!$H$11="",0,SUMIFS(输入回款!$C:$C,输入回款!$A:$A,助手回款!$X20,输入回款!$B:$B,科目对照回款!$H$11)+SUMIFS(输入回款!$D:$D,输入回款!$A:$A,助手回款!$X20,输入回款!$B:$B,科目对照回款!$H$11)),2)</f>
        <v>-0</v>
      </c>
      <c r="H281" s="49" t="str">
        <f aca="false">IF(ROUND($G281,2)&gt;0,ROUND($G281,2),"")</f>
        <v/>
      </c>
      <c r="I281" s="49" t="str">
        <f aca="false">IF(ROUND($G281,2)&lt;0,-ROUND($G281,2),"")</f>
        <v/>
      </c>
      <c r="J281" s="20" t="n">
        <f aca="false">IF(ROUND($G281,2)=0,0,1)</f>
        <v>0</v>
      </c>
      <c r="K281" s="20" t="str">
        <f aca="false">IF($J281=0,"",SUM($J$272:$J281))</f>
        <v/>
      </c>
      <c r="L281" s="20" t="str">
        <f aca="false">IF($K281="","",$A281*100+$K281)</f>
        <v/>
      </c>
      <c r="M281" s="48" t="str">
        <f aca="false">参数!$B$4</f>
        <v>回款</v>
      </c>
    </row>
    <row r="282" customFormat="false" ht="13.5" hidden="false" customHeight="false" outlineLevel="0" collapsed="false">
      <c r="A282" s="47" t="n">
        <v>19</v>
      </c>
      <c r="B282" s="38" t="n">
        <f aca="false">助手回款!$B20</f>
        <v>2024</v>
      </c>
      <c r="C282" s="48" t="str">
        <f aca="false">助手回款!$C20</f>
        <v>高村店</v>
      </c>
      <c r="D282" s="48" t="str">
        <f aca="false">科目对照回款!$B12&amp;""</f>
        <v>亲情卡</v>
      </c>
      <c r="E282" s="48" t="str">
        <f aca="false">科目对照回款!$C12&amp;""</f>
        <v>应收账款</v>
      </c>
      <c r="F282" s="48" t="str">
        <f aca="false">科目对照回款!$D12&amp;""</f>
        <v>亲情卡</v>
      </c>
      <c r="G282" s="49" t="n">
        <f aca="false">-ROUND(IF(科目对照回款!$F$12="",0,SUMIFS(输入回款!$C:$C,输入回款!$A:$A,助手回款!$X20,输入回款!$B:$B,科目对照回款!$F$12)+SUMIFS(输入回款!$D:$D,输入回款!$A:$A,助手回款!$X20,输入回款!$B:$B,科目对照回款!$F$12))+IF(科目对照回款!$G$12="",0,SUMIFS(输入回款!$C:$C,输入回款!$A:$A,助手回款!$X20,输入回款!$B:$B,科目对照回款!$G$12)+SUMIFS(输入回款!$D:$D,输入回款!$A:$A,助手回款!$X20,输入回款!$B:$B,科目对照回款!$G$12))+IF(科目对照回款!$H$12="",0,SUMIFS(输入回款!$C:$C,输入回款!$A:$A,助手回款!$X20,输入回款!$B:$B,科目对照回款!$H$12)+SUMIFS(输入回款!$D:$D,输入回款!$A:$A,助手回款!$X20,输入回款!$B:$B,科目对照回款!$H$12)),2)</f>
        <v>-0</v>
      </c>
      <c r="H282" s="49" t="str">
        <f aca="false">IF(ROUND($G282,2)&gt;0,ROUND($G282,2),"")</f>
        <v/>
      </c>
      <c r="I282" s="49" t="str">
        <f aca="false">IF(ROUND($G282,2)&lt;0,-ROUND($G282,2),"")</f>
        <v/>
      </c>
      <c r="J282" s="20" t="n">
        <f aca="false">IF(ROUND($G282,2)=0,0,1)</f>
        <v>0</v>
      </c>
      <c r="K282" s="20" t="str">
        <f aca="false">IF($J282=0,"",SUM($J$272:$J282))</f>
        <v/>
      </c>
      <c r="L282" s="20" t="str">
        <f aca="false">IF($K282="","",$A282*100+$K282)</f>
        <v/>
      </c>
      <c r="M282" s="48" t="str">
        <f aca="false">参数!$B$4</f>
        <v>回款</v>
      </c>
    </row>
    <row r="283" customFormat="false" ht="13.5" hidden="false" customHeight="false" outlineLevel="0" collapsed="false">
      <c r="A283" s="47" t="n">
        <v>19</v>
      </c>
      <c r="B283" s="38" t="n">
        <f aca="false">助手回款!$B20</f>
        <v>2024</v>
      </c>
      <c r="C283" s="48" t="str">
        <f aca="false">助手回款!$C20</f>
        <v>高村店</v>
      </c>
      <c r="D283" s="48" t="str">
        <f aca="false">科目对照回款!$B13&amp;""</f>
        <v>银联</v>
      </c>
      <c r="E283" s="48" t="str">
        <f aca="false">科目对照回款!$C13&amp;""</f>
        <v>应收账款</v>
      </c>
      <c r="F283" s="48" t="str">
        <f aca="false">科目对照回款!$D13&amp;""</f>
        <v>银联</v>
      </c>
      <c r="G283" s="49" t="n">
        <f aca="false">-ROUND(IF(科目对照回款!$F$13="",0,SUMIFS(输入回款!$C:$C,输入回款!$A:$A,助手回款!$X20,输入回款!$B:$B,科目对照回款!$F$13)+SUMIFS(输入回款!$D:$D,输入回款!$A:$A,助手回款!$X20,输入回款!$B:$B,科目对照回款!$F$13))+IF(科目对照回款!$G$13="",0,SUMIFS(输入回款!$C:$C,输入回款!$A:$A,助手回款!$X20,输入回款!$B:$B,科目对照回款!$G$13)+SUMIFS(输入回款!$D:$D,输入回款!$A:$A,助手回款!$X20,输入回款!$B:$B,科目对照回款!$G$13))+IF(科目对照回款!$H$13="",0,SUMIFS(输入回款!$C:$C,输入回款!$A:$A,助手回款!$X20,输入回款!$B:$B,科目对照回款!$H$13)+SUMIFS(输入回款!$D:$D,输入回款!$A:$A,助手回款!$X20,输入回款!$B:$B,科目对照回款!$H$13)),2)</f>
        <v>-0</v>
      </c>
      <c r="H283" s="49" t="str">
        <f aca="false">IF(ROUND($G283,2)&gt;0,ROUND($G283,2),"")</f>
        <v/>
      </c>
      <c r="I283" s="49" t="str">
        <f aca="false">IF(ROUND($G283,2)&lt;0,-ROUND($G283,2),"")</f>
        <v/>
      </c>
      <c r="J283" s="20" t="n">
        <f aca="false">IF(ROUND($G283,2)=0,0,1)</f>
        <v>0</v>
      </c>
      <c r="K283" s="20" t="str">
        <f aca="false">IF($J283=0,"",SUM($J$272:$J283))</f>
        <v/>
      </c>
      <c r="L283" s="20" t="str">
        <f aca="false">IF($K283="","",$A283*100+$K283)</f>
        <v/>
      </c>
      <c r="M283" s="48" t="str">
        <f aca="false">参数!$B$4</f>
        <v>回款</v>
      </c>
    </row>
    <row r="284" customFormat="false" ht="13.5" hidden="false" customHeight="false" outlineLevel="0" collapsed="false">
      <c r="A284" s="47" t="n">
        <v>19</v>
      </c>
      <c r="B284" s="38" t="n">
        <f aca="false">助手回款!$B20</f>
        <v>2024</v>
      </c>
      <c r="C284" s="48" t="str">
        <f aca="false">助手回款!$C20</f>
        <v>高村店</v>
      </c>
      <c r="D284" s="48" t="str">
        <f aca="false">科目对照回款!$B14&amp;""</f>
        <v>代金券</v>
      </c>
      <c r="E284" s="48" t="str">
        <f aca="false">科目对照回款!$C14&amp;""</f>
        <v>应收账款</v>
      </c>
      <c r="F284" s="48" t="str">
        <f aca="false">科目对照回款!$D14&amp;""</f>
        <v>代金券</v>
      </c>
      <c r="G284" s="49" t="n">
        <f aca="false">-ROUND(IF(科目对照回款!$F$14="",0,SUMIFS(输入回款!$C:$C,输入回款!$A:$A,助手回款!$X20,输入回款!$B:$B,科目对照回款!$F$14)+SUMIFS(输入回款!$D:$D,输入回款!$A:$A,助手回款!$X20,输入回款!$B:$B,科目对照回款!$F$14))+IF(科目对照回款!$G$14="",0,SUMIFS(输入回款!$C:$C,输入回款!$A:$A,助手回款!$X20,输入回款!$B:$B,科目对照回款!$G$14)+SUMIFS(输入回款!$D:$D,输入回款!$A:$A,助手回款!$X20,输入回款!$B:$B,科目对照回款!$G$14))+IF(科目对照回款!$H$14="",0,SUMIFS(输入回款!$C:$C,输入回款!$A:$A,助手回款!$X20,输入回款!$B:$B,科目对照回款!$H$14)+SUMIFS(输入回款!$D:$D,输入回款!$A:$A,助手回款!$X20,输入回款!$B:$B,科目对照回款!$H$14)),2)</f>
        <v>-0</v>
      </c>
      <c r="H284" s="49" t="str">
        <f aca="false">IF(ROUND($G284,2)&gt;0,ROUND($G284,2),"")</f>
        <v/>
      </c>
      <c r="I284" s="49" t="str">
        <f aca="false">IF(ROUND($G284,2)&lt;0,-ROUND($G284,2),"")</f>
        <v/>
      </c>
      <c r="J284" s="20" t="n">
        <f aca="false">IF(ROUND($G284,2)=0,0,1)</f>
        <v>0</v>
      </c>
      <c r="K284" s="20" t="str">
        <f aca="false">IF($J284=0,"",SUM($J$272:$J284))</f>
        <v/>
      </c>
      <c r="L284" s="20" t="str">
        <f aca="false">IF($K284="","",$A284*100+$K284)</f>
        <v/>
      </c>
      <c r="M284" s="48" t="str">
        <f aca="false">参数!$B$4</f>
        <v>回款</v>
      </c>
    </row>
    <row r="285" customFormat="false" ht="13.5" hidden="false" customHeight="false" outlineLevel="0" collapsed="false">
      <c r="A285" s="47" t="n">
        <v>19</v>
      </c>
      <c r="B285" s="38" t="n">
        <f aca="false">助手回款!$B20</f>
        <v>2024</v>
      </c>
      <c r="C285" s="48" t="str">
        <f aca="false">助手回款!$C20</f>
        <v>高村店</v>
      </c>
      <c r="D285" s="48" t="str">
        <f aca="false">科目对照回款!$B15&amp;""</f>
        <v>药机微信</v>
      </c>
      <c r="E285" s="48" t="str">
        <f aca="false">科目对照回款!$C15&amp;""</f>
        <v>应收账款</v>
      </c>
      <c r="F285" s="48" t="str">
        <f aca="false">科目对照回款!$D15&amp;""</f>
        <v>药机微信</v>
      </c>
      <c r="G285" s="49" t="n">
        <f aca="false">-ROUND(IF(科目对照回款!$F$15="",0,SUMIFS(输入回款!$C:$C,输入回款!$A:$A,助手回款!$X20,输入回款!$B:$B,科目对照回款!$F$15)+SUMIFS(输入回款!$D:$D,输入回款!$A:$A,助手回款!$X20,输入回款!$B:$B,科目对照回款!$F$15))+IF(科目对照回款!$G$15="",0,SUMIFS(输入回款!$C:$C,输入回款!$A:$A,助手回款!$X20,输入回款!$B:$B,科目对照回款!$G$15)+SUMIFS(输入回款!$D:$D,输入回款!$A:$A,助手回款!$X20,输入回款!$B:$B,科目对照回款!$G$15))+IF(科目对照回款!$H$15="",0,SUMIFS(输入回款!$C:$C,输入回款!$A:$A,助手回款!$X20,输入回款!$B:$B,科目对照回款!$H$15)+SUMIFS(输入回款!$D:$D,输入回款!$A:$A,助手回款!$X20,输入回款!$B:$B,科目对照回款!$H$15)),2)</f>
        <v>-0</v>
      </c>
      <c r="H285" s="49" t="str">
        <f aca="false">IF(ROUND($G285,2)&gt;0,ROUND($G285,2),"")</f>
        <v/>
      </c>
      <c r="I285" s="49" t="str">
        <f aca="false">IF(ROUND($G285,2)&lt;0,-ROUND($G285,2),"")</f>
        <v/>
      </c>
      <c r="J285" s="20" t="n">
        <f aca="false">IF(ROUND($G285,2)=0,0,1)</f>
        <v>0</v>
      </c>
      <c r="K285" s="20" t="str">
        <f aca="false">IF($J285=0,"",SUM($J$272:$J285))</f>
        <v/>
      </c>
      <c r="L285" s="20" t="str">
        <f aca="false">IF($K285="","",$A285*100+$K285)</f>
        <v/>
      </c>
      <c r="M285" s="48" t="str">
        <f aca="false">参数!$B$4</f>
        <v>回款</v>
      </c>
    </row>
    <row r="286" customFormat="false" ht="13.5" hidden="false" customHeight="false" outlineLevel="0" collapsed="false">
      <c r="A286" s="47" t="n">
        <v>19</v>
      </c>
      <c r="B286" s="38" t="n">
        <f aca="false">助手回款!$B20</f>
        <v>2024</v>
      </c>
      <c r="C286" s="48" t="str">
        <f aca="false">助手回款!$C20</f>
        <v>高村店</v>
      </c>
      <c r="D286" s="48" t="str">
        <f aca="false">科目对照回款!$B16&amp;""</f>
        <v>储值卡</v>
      </c>
      <c r="E286" s="48" t="str">
        <f aca="false">科目对照回款!$C16&amp;""</f>
        <v>其他应收款</v>
      </c>
      <c r="F286" s="48" t="str">
        <f aca="false">科目对照回款!$D16&amp;""</f>
        <v>储值卡</v>
      </c>
      <c r="G286" s="49" t="n">
        <f aca="false">-ROUND(IF(科目对照回款!$F$16="",0,SUMIFS(输入回款!$C:$C,输入回款!$A:$A,助手回款!$X20,输入回款!$B:$B,科目对照回款!$F$16)+SUMIFS(输入回款!$D:$D,输入回款!$A:$A,助手回款!$X20,输入回款!$B:$B,科目对照回款!$F$16))+IF(科目对照回款!$G$16="",0,SUMIFS(输入回款!$C:$C,输入回款!$A:$A,助手回款!$X20,输入回款!$B:$B,科目对照回款!$G$16)+SUMIFS(输入回款!$D:$D,输入回款!$A:$A,助手回款!$X20,输入回款!$B:$B,科目对照回款!$G$16))+IF(科目对照回款!$H$16="",0,SUMIFS(输入回款!$C:$C,输入回款!$A:$A,助手回款!$X20,输入回款!$B:$B,科目对照回款!$H$16)+SUMIFS(输入回款!$D:$D,输入回款!$A:$A,助手回款!$X20,输入回款!$B:$B,科目对照回款!$H$16)),2)</f>
        <v>-0</v>
      </c>
      <c r="H286" s="49" t="str">
        <f aca="false">IF(ROUND($G286,2)&gt;0,ROUND($G286,2),"")</f>
        <v/>
      </c>
      <c r="I286" s="49" t="str">
        <f aca="false">IF(ROUND($G286,2)&lt;0,-ROUND($G286,2),"")</f>
        <v/>
      </c>
      <c r="J286" s="20" t="n">
        <f aca="false">IF(ROUND($G286,2)=0,0,1)</f>
        <v>0</v>
      </c>
      <c r="K286" s="20" t="str">
        <f aca="false">IF($J286=0,"",SUM($J$272:$J286))</f>
        <v/>
      </c>
      <c r="L286" s="20" t="str">
        <f aca="false">IF($K286="","",$A286*100+$K286)</f>
        <v/>
      </c>
      <c r="M286" s="48" t="str">
        <f aca="false">参数!$B$4</f>
        <v>回款</v>
      </c>
    </row>
    <row r="287" customFormat="false" ht="13.5" hidden="false" customHeight="false" outlineLevel="0" collapsed="false">
      <c r="A287" s="47" t="n">
        <v>20</v>
      </c>
      <c r="B287" s="38" t="n">
        <f aca="false">助手回款!$B21</f>
        <v>2026</v>
      </c>
      <c r="C287" s="48" t="str">
        <f aca="false">助手回款!$C21</f>
        <v>彭村店</v>
      </c>
      <c r="D287" s="48" t="str">
        <f aca="false">科目对照回款!$B2&amp;""</f>
        <v>库存现金</v>
      </c>
      <c r="E287" s="48" t="str">
        <f aca="false">科目对照回款!$C2&amp;""</f>
        <v>库存现金</v>
      </c>
      <c r="F287" s="48" t="str">
        <f aca="false">科目对照回款!$D2&amp;""</f>
        <v/>
      </c>
      <c r="G287" s="49" t="n">
        <f aca="false">助手回款!$E21</f>
        <v>28850.25</v>
      </c>
      <c r="H287" s="49" t="n">
        <f aca="false">IF(ROUND($G287,2)&gt;0,ROUND($G287,2),"")</f>
        <v>28850.25</v>
      </c>
      <c r="I287" s="49" t="str">
        <f aca="false">IF(ROUND($G287,2)&lt;0,-ROUND($G287,2),"")</f>
        <v/>
      </c>
      <c r="J287" s="20" t="n">
        <f aca="false">IF(ROUND($G287,2)=0,0,1)</f>
        <v>1</v>
      </c>
      <c r="K287" s="20" t="n">
        <f aca="false">IF($J287=0,"",SUM($J$287:$J287))</f>
        <v>1</v>
      </c>
      <c r="L287" s="20" t="n">
        <f aca="false">IF($K287="","",$A287*100+$K287)</f>
        <v>2001</v>
      </c>
      <c r="M287" s="48" t="str">
        <f aca="false">参数!$B$4</f>
        <v>回款</v>
      </c>
    </row>
    <row r="288" customFormat="false" ht="13.5" hidden="false" customHeight="false" outlineLevel="0" collapsed="false">
      <c r="A288" s="47" t="n">
        <v>20</v>
      </c>
      <c r="B288" s="38" t="n">
        <f aca="false">助手回款!$B21</f>
        <v>2026</v>
      </c>
      <c r="C288" s="48" t="str">
        <f aca="false">助手回款!$C21</f>
        <v>彭村店</v>
      </c>
      <c r="D288" s="48" t="str">
        <f aca="false">科目对照回款!$B3&amp;""</f>
        <v>手续费</v>
      </c>
      <c r="E288" s="48" t="str">
        <f aca="false">科目对照回款!$C3&amp;""</f>
        <v>财务费用</v>
      </c>
      <c r="F288" s="48" t="str">
        <f aca="false">科目对照回款!$D3&amp;""</f>
        <v>手续费</v>
      </c>
      <c r="G288" s="49" t="n">
        <f aca="false">助手回款!$F21</f>
        <v>0</v>
      </c>
      <c r="H288" s="49" t="str">
        <f aca="false">IF(ROUND($G288,2)&gt;0,ROUND($G288,2),"")</f>
        <v/>
      </c>
      <c r="I288" s="49" t="str">
        <f aca="false">IF(ROUND($G288,2)&lt;0,-ROUND($G288,2),"")</f>
        <v/>
      </c>
      <c r="J288" s="20" t="n">
        <f aca="false">IF(ROUND($G288,2)=0,0,1)</f>
        <v>0</v>
      </c>
      <c r="K288" s="20" t="str">
        <f aca="false">IF($J288=0,"",SUM($J$287:$J288))</f>
        <v/>
      </c>
      <c r="L288" s="20" t="str">
        <f aca="false">IF($K288="","",$A288*100+$K288)</f>
        <v/>
      </c>
      <c r="M288" s="48" t="str">
        <f aca="false">参数!$B$4</f>
        <v>回款</v>
      </c>
    </row>
    <row r="289" customFormat="false" ht="13.5" hidden="false" customHeight="false" outlineLevel="0" collapsed="false">
      <c r="A289" s="47" t="n">
        <v>20</v>
      </c>
      <c r="B289" s="38" t="n">
        <f aca="false">助手回款!$B21</f>
        <v>2026</v>
      </c>
      <c r="C289" s="48" t="str">
        <f aca="false">助手回款!$C21</f>
        <v>彭村店</v>
      </c>
      <c r="D289" s="48" t="str">
        <f aca="false">科目对照回款!$B4&amp;""</f>
        <v>聚合支付</v>
      </c>
      <c r="E289" s="48" t="str">
        <f aca="false">科目对照回款!$C4&amp;""</f>
        <v>应收账款</v>
      </c>
      <c r="F289" s="48" t="str">
        <f aca="false">科目对照回款!$D4&amp;""</f>
        <v>聚合支付</v>
      </c>
      <c r="G289" s="49" t="n">
        <f aca="false">-ROUND(IF(科目对照回款!$F$4="",0,SUMIFS(输入回款!$C:$C,输入回款!$A:$A,助手回款!$X21,输入回款!$B:$B,科目对照回款!$F$4)+SUMIFS(输入回款!$D:$D,输入回款!$A:$A,助手回款!$X21,输入回款!$B:$B,科目对照回款!$F$4))+IF(科目对照回款!$G$4="",0,SUMIFS(输入回款!$C:$C,输入回款!$A:$A,助手回款!$X21,输入回款!$B:$B,科目对照回款!$G$4)+SUMIFS(输入回款!$D:$D,输入回款!$A:$A,助手回款!$X21,输入回款!$B:$B,科目对照回款!$G$4))+IF(科目对照回款!$H$4="",0,SUMIFS(输入回款!$C:$C,输入回款!$A:$A,助手回款!$X21,输入回款!$B:$B,科目对照回款!$H$4)+SUMIFS(输入回款!$D:$D,输入回款!$A:$A,助手回款!$X21,输入回款!$B:$B,科目对照回款!$H$4)),2)</f>
        <v>-26320.32</v>
      </c>
      <c r="H289" s="49" t="str">
        <f aca="false">IF(ROUND($G289,2)&gt;0,ROUND($G289,2),"")</f>
        <v/>
      </c>
      <c r="I289" s="49" t="n">
        <f aca="false">IF(ROUND($G289,2)&lt;0,-ROUND($G289,2),"")</f>
        <v>26320.32</v>
      </c>
      <c r="J289" s="20" t="n">
        <f aca="false">IF(ROUND($G289,2)=0,0,1)</f>
        <v>1</v>
      </c>
      <c r="K289" s="20" t="n">
        <f aca="false">IF($J289=0,"",SUM($J$287:$J289))</f>
        <v>2</v>
      </c>
      <c r="L289" s="20" t="n">
        <f aca="false">IF($K289="","",$A289*100+$K289)</f>
        <v>2002</v>
      </c>
      <c r="M289" s="48" t="str">
        <f aca="false">参数!$B$4</f>
        <v>回款</v>
      </c>
    </row>
    <row r="290" customFormat="false" ht="13.5" hidden="false" customHeight="false" outlineLevel="0" collapsed="false">
      <c r="A290" s="47" t="n">
        <v>20</v>
      </c>
      <c r="B290" s="38" t="n">
        <f aca="false">助手回款!$B21</f>
        <v>2026</v>
      </c>
      <c r="C290" s="48" t="str">
        <f aca="false">助手回款!$C21</f>
        <v>彭村店</v>
      </c>
      <c r="D290" s="48" t="str">
        <f aca="false">科目对照回款!$B5&amp;""</f>
        <v>医保</v>
      </c>
      <c r="E290" s="48" t="str">
        <f aca="false">科目对照回款!$C5&amp;""</f>
        <v>应收账款</v>
      </c>
      <c r="F290" s="48" t="str">
        <f aca="false">科目对照回款!$D5&amp;""</f>
        <v>医保</v>
      </c>
      <c r="G290" s="49" t="n">
        <f aca="false">-ROUND(IF(科目对照回款!$F$5="",0,SUMIFS(输入回款!$C:$C,输入回款!$A:$A,助手回款!$X21,输入回款!$B:$B,科目对照回款!$F$5)+SUMIFS(输入回款!$D:$D,输入回款!$A:$A,助手回款!$X21,输入回款!$B:$B,科目对照回款!$F$5))+IF(科目对照回款!$G$5="",0,SUMIFS(输入回款!$C:$C,输入回款!$A:$A,助手回款!$X21,输入回款!$B:$B,科目对照回款!$G$5)+SUMIFS(输入回款!$D:$D,输入回款!$A:$A,助手回款!$X21,输入回款!$B:$B,科目对照回款!$G$5))+IF(科目对照回款!$H$5="",0,SUMIFS(输入回款!$C:$C,输入回款!$A:$A,助手回款!$X21,输入回款!$B:$B,科目对照回款!$H$5)+SUMIFS(输入回款!$D:$D,输入回款!$A:$A,助手回款!$X21,输入回款!$B:$B,科目对照回款!$H$5)),2)</f>
        <v>-2529.93</v>
      </c>
      <c r="H290" s="49" t="str">
        <f aca="false">IF(ROUND($G290,2)&gt;0,ROUND($G290,2),"")</f>
        <v/>
      </c>
      <c r="I290" s="49" t="n">
        <f aca="false">IF(ROUND($G290,2)&lt;0,-ROUND($G290,2),"")</f>
        <v>2529.93</v>
      </c>
      <c r="J290" s="20" t="n">
        <f aca="false">IF(ROUND($G290,2)=0,0,1)</f>
        <v>1</v>
      </c>
      <c r="K290" s="20" t="n">
        <f aca="false">IF($J290=0,"",SUM($J$287:$J290))</f>
        <v>3</v>
      </c>
      <c r="L290" s="20" t="n">
        <f aca="false">IF($K290="","",$A290*100+$K290)</f>
        <v>2003</v>
      </c>
      <c r="M290" s="48" t="str">
        <f aca="false">参数!$B$4</f>
        <v>回款</v>
      </c>
    </row>
    <row r="291" customFormat="false" ht="13.5" hidden="false" customHeight="false" outlineLevel="0" collapsed="false">
      <c r="A291" s="47" t="n">
        <v>20</v>
      </c>
      <c r="B291" s="38" t="n">
        <f aca="false">助手回款!$B21</f>
        <v>2026</v>
      </c>
      <c r="C291" s="48" t="str">
        <f aca="false">助手回款!$C21</f>
        <v>彭村店</v>
      </c>
      <c r="D291" s="48" t="str">
        <f aca="false">科目对照回款!$B6&amp;""</f>
        <v>美团</v>
      </c>
      <c r="E291" s="48" t="str">
        <f aca="false">科目对照回款!$C6&amp;""</f>
        <v>应收账款</v>
      </c>
      <c r="F291" s="48" t="str">
        <f aca="false">科目对照回款!$D6&amp;""</f>
        <v>美团</v>
      </c>
      <c r="G291" s="49" t="n">
        <f aca="false">-ROUND(IF(科目对照回款!$F$6="",0,SUMIFS(输入回款!$C:$C,输入回款!$A:$A,助手回款!$X21,输入回款!$B:$B,科目对照回款!$F$6)+SUMIFS(输入回款!$D:$D,输入回款!$A:$A,助手回款!$X21,输入回款!$B:$B,科目对照回款!$F$6))+IF(科目对照回款!$G$6="",0,SUMIFS(输入回款!$C:$C,输入回款!$A:$A,助手回款!$X21,输入回款!$B:$B,科目对照回款!$G$6)+SUMIFS(输入回款!$D:$D,输入回款!$A:$A,助手回款!$X21,输入回款!$B:$B,科目对照回款!$G$6))+IF(科目对照回款!$H$6="",0,SUMIFS(输入回款!$C:$C,输入回款!$A:$A,助手回款!$X21,输入回款!$B:$B,科目对照回款!$H$6)+SUMIFS(输入回款!$D:$D,输入回款!$A:$A,助手回款!$X21,输入回款!$B:$B,科目对照回款!$H$6)),2)</f>
        <v>-0</v>
      </c>
      <c r="H291" s="49" t="str">
        <f aca="false">IF(ROUND($G291,2)&gt;0,ROUND($G291,2),"")</f>
        <v/>
      </c>
      <c r="I291" s="49" t="str">
        <f aca="false">IF(ROUND($G291,2)&lt;0,-ROUND($G291,2),"")</f>
        <v/>
      </c>
      <c r="J291" s="20" t="n">
        <f aca="false">IF(ROUND($G291,2)=0,0,1)</f>
        <v>0</v>
      </c>
      <c r="K291" s="20" t="str">
        <f aca="false">IF($J291=0,"",SUM($J$287:$J291))</f>
        <v/>
      </c>
      <c r="L291" s="20" t="str">
        <f aca="false">IF($K291="","",$A291*100+$K291)</f>
        <v/>
      </c>
      <c r="M291" s="48" t="str">
        <f aca="false">参数!$B$4</f>
        <v>回款</v>
      </c>
    </row>
    <row r="292" customFormat="false" ht="13.5" hidden="false" customHeight="false" outlineLevel="0" collapsed="false">
      <c r="A292" s="47" t="n">
        <v>20</v>
      </c>
      <c r="B292" s="38" t="n">
        <f aca="false">助手回款!$B21</f>
        <v>2026</v>
      </c>
      <c r="C292" s="48" t="str">
        <f aca="false">助手回款!$C21</f>
        <v>彭村店</v>
      </c>
      <c r="D292" s="48" t="str">
        <f aca="false">科目对照回款!$B7&amp;""</f>
        <v>饿了么</v>
      </c>
      <c r="E292" s="48" t="str">
        <f aca="false">科目对照回款!$C7&amp;""</f>
        <v>应收账款</v>
      </c>
      <c r="F292" s="48" t="str">
        <f aca="false">科目对照回款!$D7&amp;""</f>
        <v>饿了么</v>
      </c>
      <c r="G292" s="49" t="n">
        <f aca="false">-ROUND(IF(科目对照回款!$F$7="",0,SUMIFS(输入回款!$C:$C,输入回款!$A:$A,助手回款!$X21,输入回款!$B:$B,科目对照回款!$F$7)+SUMIFS(输入回款!$D:$D,输入回款!$A:$A,助手回款!$X21,输入回款!$B:$B,科目对照回款!$F$7))+IF(科目对照回款!$G$7="",0,SUMIFS(输入回款!$C:$C,输入回款!$A:$A,助手回款!$X21,输入回款!$B:$B,科目对照回款!$G$7)+SUMIFS(输入回款!$D:$D,输入回款!$A:$A,助手回款!$X21,输入回款!$B:$B,科目对照回款!$G$7))+IF(科目对照回款!$H$7="",0,SUMIFS(输入回款!$C:$C,输入回款!$A:$A,助手回款!$X21,输入回款!$B:$B,科目对照回款!$H$7)+SUMIFS(输入回款!$D:$D,输入回款!$A:$A,助手回款!$X21,输入回款!$B:$B,科目对照回款!$H$7)),2)</f>
        <v>-0</v>
      </c>
      <c r="H292" s="49" t="str">
        <f aca="false">IF(ROUND($G292,2)&gt;0,ROUND($G292,2),"")</f>
        <v/>
      </c>
      <c r="I292" s="49" t="str">
        <f aca="false">IF(ROUND($G292,2)&lt;0,-ROUND($G292,2),"")</f>
        <v/>
      </c>
      <c r="J292" s="20" t="n">
        <f aca="false">IF(ROUND($G292,2)=0,0,1)</f>
        <v>0</v>
      </c>
      <c r="K292" s="20" t="str">
        <f aca="false">IF($J292=0,"",SUM($J$287:$J292))</f>
        <v/>
      </c>
      <c r="L292" s="20" t="str">
        <f aca="false">IF($K292="","",$A292*100+$K292)</f>
        <v/>
      </c>
      <c r="M292" s="48" t="str">
        <f aca="false">参数!$B$4</f>
        <v>回款</v>
      </c>
    </row>
    <row r="293" customFormat="false" ht="13.5" hidden="false" customHeight="false" outlineLevel="0" collapsed="false">
      <c r="A293" s="47" t="n">
        <v>20</v>
      </c>
      <c r="B293" s="38" t="n">
        <f aca="false">助手回款!$B21</f>
        <v>2026</v>
      </c>
      <c r="C293" s="48" t="str">
        <f aca="false">助手回款!$C21</f>
        <v>彭村店</v>
      </c>
      <c r="D293" s="48" t="str">
        <f aca="false">科目对照回款!$B8&amp;""</f>
        <v>24小时</v>
      </c>
      <c r="E293" s="48" t="str">
        <f aca="false">科目对照回款!$C8&amp;""</f>
        <v>应收账款</v>
      </c>
      <c r="F293" s="48" t="str">
        <f aca="false">科目对照回款!$D8&amp;""</f>
        <v>24小时</v>
      </c>
      <c r="G293" s="49" t="n">
        <f aca="false">-ROUND(IF(科目对照回款!$F$8="",0,SUMIFS(输入回款!$C:$C,输入回款!$A:$A,助手回款!$X21,输入回款!$B:$B,科目对照回款!$F$8)+SUMIFS(输入回款!$D:$D,输入回款!$A:$A,助手回款!$X21,输入回款!$B:$B,科目对照回款!$F$8))+IF(科目对照回款!$G$8="",0,SUMIFS(输入回款!$C:$C,输入回款!$A:$A,助手回款!$X21,输入回款!$B:$B,科目对照回款!$G$8)+SUMIFS(输入回款!$D:$D,输入回款!$A:$A,助手回款!$X21,输入回款!$B:$B,科目对照回款!$G$8))+IF(科目对照回款!$H$8="",0,SUMIFS(输入回款!$C:$C,输入回款!$A:$A,助手回款!$X21,输入回款!$B:$B,科目对照回款!$H$8)+SUMIFS(输入回款!$D:$D,输入回款!$A:$A,助手回款!$X21,输入回款!$B:$B,科目对照回款!$H$8)),2)</f>
        <v>-0</v>
      </c>
      <c r="H293" s="49" t="str">
        <f aca="false">IF(ROUND($G293,2)&gt;0,ROUND($G293,2),"")</f>
        <v/>
      </c>
      <c r="I293" s="49" t="str">
        <f aca="false">IF(ROUND($G293,2)&lt;0,-ROUND($G293,2),"")</f>
        <v/>
      </c>
      <c r="J293" s="20" t="n">
        <f aca="false">IF(ROUND($G293,2)=0,0,1)</f>
        <v>0</v>
      </c>
      <c r="K293" s="20" t="str">
        <f aca="false">IF($J293=0,"",SUM($J$287:$J293))</f>
        <v/>
      </c>
      <c r="L293" s="20" t="str">
        <f aca="false">IF($K293="","",$A293*100+$K293)</f>
        <v/>
      </c>
      <c r="M293" s="48" t="str">
        <f aca="false">参数!$B$4</f>
        <v>回款</v>
      </c>
    </row>
    <row r="294" customFormat="false" ht="13.5" hidden="false" customHeight="false" outlineLevel="0" collapsed="false">
      <c r="A294" s="47" t="n">
        <v>20</v>
      </c>
      <c r="B294" s="38" t="n">
        <f aca="false">助手回款!$B21</f>
        <v>2026</v>
      </c>
      <c r="C294" s="48" t="str">
        <f aca="false">助手回款!$C21</f>
        <v>彭村店</v>
      </c>
      <c r="D294" s="48" t="str">
        <f aca="false">科目对照回款!$B9&amp;""</f>
        <v>健E卡</v>
      </c>
      <c r="E294" s="48" t="str">
        <f aca="false">科目对照回款!$C9&amp;""</f>
        <v>应收账款</v>
      </c>
      <c r="F294" s="48" t="str">
        <f aca="false">科目对照回款!$D9&amp;""</f>
        <v>健E卡</v>
      </c>
      <c r="G294" s="49" t="n">
        <f aca="false">-ROUND(IF(科目对照回款!$F$9="",0,SUMIFS(输入回款!$C:$C,输入回款!$A:$A,助手回款!$X21,输入回款!$B:$B,科目对照回款!$F$9)+SUMIFS(输入回款!$D:$D,输入回款!$A:$A,助手回款!$X21,输入回款!$B:$B,科目对照回款!$F$9))+IF(科目对照回款!$G$9="",0,SUMIFS(输入回款!$C:$C,输入回款!$A:$A,助手回款!$X21,输入回款!$B:$B,科目对照回款!$G$9)+SUMIFS(输入回款!$D:$D,输入回款!$A:$A,助手回款!$X21,输入回款!$B:$B,科目对照回款!$G$9))+IF(科目对照回款!$H$9="",0,SUMIFS(输入回款!$C:$C,输入回款!$A:$A,助手回款!$X21,输入回款!$B:$B,科目对照回款!$H$9)+SUMIFS(输入回款!$D:$D,输入回款!$A:$A,助手回款!$X21,输入回款!$B:$B,科目对照回款!$H$9)),2)</f>
        <v>-0</v>
      </c>
      <c r="H294" s="49" t="str">
        <f aca="false">IF(ROUND($G294,2)&gt;0,ROUND($G294,2),"")</f>
        <v/>
      </c>
      <c r="I294" s="49" t="str">
        <f aca="false">IF(ROUND($G294,2)&lt;0,-ROUND($G294,2),"")</f>
        <v/>
      </c>
      <c r="J294" s="20" t="n">
        <f aca="false">IF(ROUND($G294,2)=0,0,1)</f>
        <v>0</v>
      </c>
      <c r="K294" s="20" t="str">
        <f aca="false">IF($J294=0,"",SUM($J$287:$J294))</f>
        <v/>
      </c>
      <c r="L294" s="20" t="str">
        <f aca="false">IF($K294="","",$A294*100+$K294)</f>
        <v/>
      </c>
      <c r="M294" s="48" t="str">
        <f aca="false">参数!$B$4</f>
        <v>回款</v>
      </c>
    </row>
    <row r="295" customFormat="false" ht="13.5" hidden="false" customHeight="false" outlineLevel="0" collapsed="false">
      <c r="A295" s="47" t="n">
        <v>20</v>
      </c>
      <c r="B295" s="38" t="n">
        <f aca="false">助手回款!$B21</f>
        <v>2026</v>
      </c>
      <c r="C295" s="48" t="str">
        <f aca="false">助手回款!$C21</f>
        <v>彭村店</v>
      </c>
      <c r="D295" s="48" t="str">
        <f aca="false">科目对照回款!$B10&amp;""</f>
        <v>医卡通</v>
      </c>
      <c r="E295" s="48" t="str">
        <f aca="false">科目对照回款!$C10&amp;""</f>
        <v>应收账款</v>
      </c>
      <c r="F295" s="48" t="str">
        <f aca="false">科目对照回款!$D10&amp;""</f>
        <v>医卡通</v>
      </c>
      <c r="G295" s="49" t="n">
        <f aca="false">-ROUND(IF(科目对照回款!$F$10="",0,SUMIFS(输入回款!$C:$C,输入回款!$A:$A,助手回款!$X21,输入回款!$B:$B,科目对照回款!$F$10)+SUMIFS(输入回款!$D:$D,输入回款!$A:$A,助手回款!$X21,输入回款!$B:$B,科目对照回款!$F$10))+IF(科目对照回款!$G$10="",0,SUMIFS(输入回款!$C:$C,输入回款!$A:$A,助手回款!$X21,输入回款!$B:$B,科目对照回款!$G$10)+SUMIFS(输入回款!$D:$D,输入回款!$A:$A,助手回款!$X21,输入回款!$B:$B,科目对照回款!$G$10))+IF(科目对照回款!$H$10="",0,SUMIFS(输入回款!$C:$C,输入回款!$A:$A,助手回款!$X21,输入回款!$B:$B,科目对照回款!$H$10)+SUMIFS(输入回款!$D:$D,输入回款!$A:$A,助手回款!$X21,输入回款!$B:$B,科目对照回款!$H$10)),2)</f>
        <v>-0</v>
      </c>
      <c r="H295" s="49" t="str">
        <f aca="false">IF(ROUND($G295,2)&gt;0,ROUND($G295,2),"")</f>
        <v/>
      </c>
      <c r="I295" s="49" t="str">
        <f aca="false">IF(ROUND($G295,2)&lt;0,-ROUND($G295,2),"")</f>
        <v/>
      </c>
      <c r="J295" s="20" t="n">
        <f aca="false">IF(ROUND($G295,2)=0,0,1)</f>
        <v>0</v>
      </c>
      <c r="K295" s="20" t="str">
        <f aca="false">IF($J295=0,"",SUM($J$287:$J295))</f>
        <v/>
      </c>
      <c r="L295" s="20" t="str">
        <f aca="false">IF($K295="","",$A295*100+$K295)</f>
        <v/>
      </c>
      <c r="M295" s="48" t="str">
        <f aca="false">参数!$B$4</f>
        <v>回款</v>
      </c>
    </row>
    <row r="296" customFormat="false" ht="13.5" hidden="false" customHeight="false" outlineLevel="0" collapsed="false">
      <c r="A296" s="47" t="n">
        <v>20</v>
      </c>
      <c r="B296" s="38" t="n">
        <f aca="false">助手回款!$B21</f>
        <v>2026</v>
      </c>
      <c r="C296" s="48" t="str">
        <f aca="false">助手回款!$C21</f>
        <v>彭村店</v>
      </c>
      <c r="D296" s="48" t="str">
        <f aca="false">科目对照回款!$B11&amp;""</f>
        <v>企健网</v>
      </c>
      <c r="E296" s="48" t="str">
        <f aca="false">科目对照回款!$C11&amp;""</f>
        <v>应收账款</v>
      </c>
      <c r="F296" s="48" t="str">
        <f aca="false">科目对照回款!$D11&amp;""</f>
        <v>企健网</v>
      </c>
      <c r="G296" s="49" t="n">
        <f aca="false">-ROUND(IF(科目对照回款!$F$11="",0,SUMIFS(输入回款!$C:$C,输入回款!$A:$A,助手回款!$X21,输入回款!$B:$B,科目对照回款!$F$11)+SUMIFS(输入回款!$D:$D,输入回款!$A:$A,助手回款!$X21,输入回款!$B:$B,科目对照回款!$F$11))+IF(科目对照回款!$G$11="",0,SUMIFS(输入回款!$C:$C,输入回款!$A:$A,助手回款!$X21,输入回款!$B:$B,科目对照回款!$G$11)+SUMIFS(输入回款!$D:$D,输入回款!$A:$A,助手回款!$X21,输入回款!$B:$B,科目对照回款!$G$11))+IF(科目对照回款!$H$11="",0,SUMIFS(输入回款!$C:$C,输入回款!$A:$A,助手回款!$X21,输入回款!$B:$B,科目对照回款!$H$11)+SUMIFS(输入回款!$D:$D,输入回款!$A:$A,助手回款!$X21,输入回款!$B:$B,科目对照回款!$H$11)),2)</f>
        <v>-0</v>
      </c>
      <c r="H296" s="49" t="str">
        <f aca="false">IF(ROUND($G296,2)&gt;0,ROUND($G296,2),"")</f>
        <v/>
      </c>
      <c r="I296" s="49" t="str">
        <f aca="false">IF(ROUND($G296,2)&lt;0,-ROUND($G296,2),"")</f>
        <v/>
      </c>
      <c r="J296" s="20" t="n">
        <f aca="false">IF(ROUND($G296,2)=0,0,1)</f>
        <v>0</v>
      </c>
      <c r="K296" s="20" t="str">
        <f aca="false">IF($J296=0,"",SUM($J$287:$J296))</f>
        <v/>
      </c>
      <c r="L296" s="20" t="str">
        <f aca="false">IF($K296="","",$A296*100+$K296)</f>
        <v/>
      </c>
      <c r="M296" s="48" t="str">
        <f aca="false">参数!$B$4</f>
        <v>回款</v>
      </c>
    </row>
    <row r="297" customFormat="false" ht="13.5" hidden="false" customHeight="false" outlineLevel="0" collapsed="false">
      <c r="A297" s="47" t="n">
        <v>20</v>
      </c>
      <c r="B297" s="38" t="n">
        <f aca="false">助手回款!$B21</f>
        <v>2026</v>
      </c>
      <c r="C297" s="48" t="str">
        <f aca="false">助手回款!$C21</f>
        <v>彭村店</v>
      </c>
      <c r="D297" s="48" t="str">
        <f aca="false">科目对照回款!$B12&amp;""</f>
        <v>亲情卡</v>
      </c>
      <c r="E297" s="48" t="str">
        <f aca="false">科目对照回款!$C12&amp;""</f>
        <v>应收账款</v>
      </c>
      <c r="F297" s="48" t="str">
        <f aca="false">科目对照回款!$D12&amp;""</f>
        <v>亲情卡</v>
      </c>
      <c r="G297" s="49" t="n">
        <f aca="false">-ROUND(IF(科目对照回款!$F$12="",0,SUMIFS(输入回款!$C:$C,输入回款!$A:$A,助手回款!$X21,输入回款!$B:$B,科目对照回款!$F$12)+SUMIFS(输入回款!$D:$D,输入回款!$A:$A,助手回款!$X21,输入回款!$B:$B,科目对照回款!$F$12))+IF(科目对照回款!$G$12="",0,SUMIFS(输入回款!$C:$C,输入回款!$A:$A,助手回款!$X21,输入回款!$B:$B,科目对照回款!$G$12)+SUMIFS(输入回款!$D:$D,输入回款!$A:$A,助手回款!$X21,输入回款!$B:$B,科目对照回款!$G$12))+IF(科目对照回款!$H$12="",0,SUMIFS(输入回款!$C:$C,输入回款!$A:$A,助手回款!$X21,输入回款!$B:$B,科目对照回款!$H$12)+SUMIFS(输入回款!$D:$D,输入回款!$A:$A,助手回款!$X21,输入回款!$B:$B,科目对照回款!$H$12)),2)</f>
        <v>-0</v>
      </c>
      <c r="H297" s="49" t="str">
        <f aca="false">IF(ROUND($G297,2)&gt;0,ROUND($G297,2),"")</f>
        <v/>
      </c>
      <c r="I297" s="49" t="str">
        <f aca="false">IF(ROUND($G297,2)&lt;0,-ROUND($G297,2),"")</f>
        <v/>
      </c>
      <c r="J297" s="20" t="n">
        <f aca="false">IF(ROUND($G297,2)=0,0,1)</f>
        <v>0</v>
      </c>
      <c r="K297" s="20" t="str">
        <f aca="false">IF($J297=0,"",SUM($J$287:$J297))</f>
        <v/>
      </c>
      <c r="L297" s="20" t="str">
        <f aca="false">IF($K297="","",$A297*100+$K297)</f>
        <v/>
      </c>
      <c r="M297" s="48" t="str">
        <f aca="false">参数!$B$4</f>
        <v>回款</v>
      </c>
    </row>
    <row r="298" customFormat="false" ht="13.5" hidden="false" customHeight="false" outlineLevel="0" collapsed="false">
      <c r="A298" s="47" t="n">
        <v>20</v>
      </c>
      <c r="B298" s="38" t="n">
        <f aca="false">助手回款!$B21</f>
        <v>2026</v>
      </c>
      <c r="C298" s="48" t="str">
        <f aca="false">助手回款!$C21</f>
        <v>彭村店</v>
      </c>
      <c r="D298" s="48" t="str">
        <f aca="false">科目对照回款!$B13&amp;""</f>
        <v>银联</v>
      </c>
      <c r="E298" s="48" t="str">
        <f aca="false">科目对照回款!$C13&amp;""</f>
        <v>应收账款</v>
      </c>
      <c r="F298" s="48" t="str">
        <f aca="false">科目对照回款!$D13&amp;""</f>
        <v>银联</v>
      </c>
      <c r="G298" s="49" t="n">
        <f aca="false">-ROUND(IF(科目对照回款!$F$13="",0,SUMIFS(输入回款!$C:$C,输入回款!$A:$A,助手回款!$X21,输入回款!$B:$B,科目对照回款!$F$13)+SUMIFS(输入回款!$D:$D,输入回款!$A:$A,助手回款!$X21,输入回款!$B:$B,科目对照回款!$F$13))+IF(科目对照回款!$G$13="",0,SUMIFS(输入回款!$C:$C,输入回款!$A:$A,助手回款!$X21,输入回款!$B:$B,科目对照回款!$G$13)+SUMIFS(输入回款!$D:$D,输入回款!$A:$A,助手回款!$X21,输入回款!$B:$B,科目对照回款!$G$13))+IF(科目对照回款!$H$13="",0,SUMIFS(输入回款!$C:$C,输入回款!$A:$A,助手回款!$X21,输入回款!$B:$B,科目对照回款!$H$13)+SUMIFS(输入回款!$D:$D,输入回款!$A:$A,助手回款!$X21,输入回款!$B:$B,科目对照回款!$H$13)),2)</f>
        <v>-0</v>
      </c>
      <c r="H298" s="49" t="str">
        <f aca="false">IF(ROUND($G298,2)&gt;0,ROUND($G298,2),"")</f>
        <v/>
      </c>
      <c r="I298" s="49" t="str">
        <f aca="false">IF(ROUND($G298,2)&lt;0,-ROUND($G298,2),"")</f>
        <v/>
      </c>
      <c r="J298" s="20" t="n">
        <f aca="false">IF(ROUND($G298,2)=0,0,1)</f>
        <v>0</v>
      </c>
      <c r="K298" s="20" t="str">
        <f aca="false">IF($J298=0,"",SUM($J$287:$J298))</f>
        <v/>
      </c>
      <c r="L298" s="20" t="str">
        <f aca="false">IF($K298="","",$A298*100+$K298)</f>
        <v/>
      </c>
      <c r="M298" s="48" t="str">
        <f aca="false">参数!$B$4</f>
        <v>回款</v>
      </c>
    </row>
    <row r="299" customFormat="false" ht="13.5" hidden="false" customHeight="false" outlineLevel="0" collapsed="false">
      <c r="A299" s="47" t="n">
        <v>20</v>
      </c>
      <c r="B299" s="38" t="n">
        <f aca="false">助手回款!$B21</f>
        <v>2026</v>
      </c>
      <c r="C299" s="48" t="str">
        <f aca="false">助手回款!$C21</f>
        <v>彭村店</v>
      </c>
      <c r="D299" s="48" t="str">
        <f aca="false">科目对照回款!$B14&amp;""</f>
        <v>代金券</v>
      </c>
      <c r="E299" s="48" t="str">
        <f aca="false">科目对照回款!$C14&amp;""</f>
        <v>应收账款</v>
      </c>
      <c r="F299" s="48" t="str">
        <f aca="false">科目对照回款!$D14&amp;""</f>
        <v>代金券</v>
      </c>
      <c r="G299" s="49" t="n">
        <f aca="false">-ROUND(IF(科目对照回款!$F$14="",0,SUMIFS(输入回款!$C:$C,输入回款!$A:$A,助手回款!$X21,输入回款!$B:$B,科目对照回款!$F$14)+SUMIFS(输入回款!$D:$D,输入回款!$A:$A,助手回款!$X21,输入回款!$B:$B,科目对照回款!$F$14))+IF(科目对照回款!$G$14="",0,SUMIFS(输入回款!$C:$C,输入回款!$A:$A,助手回款!$X21,输入回款!$B:$B,科目对照回款!$G$14)+SUMIFS(输入回款!$D:$D,输入回款!$A:$A,助手回款!$X21,输入回款!$B:$B,科目对照回款!$G$14))+IF(科目对照回款!$H$14="",0,SUMIFS(输入回款!$C:$C,输入回款!$A:$A,助手回款!$X21,输入回款!$B:$B,科目对照回款!$H$14)+SUMIFS(输入回款!$D:$D,输入回款!$A:$A,助手回款!$X21,输入回款!$B:$B,科目对照回款!$H$14)),2)</f>
        <v>-0</v>
      </c>
      <c r="H299" s="49" t="str">
        <f aca="false">IF(ROUND($G299,2)&gt;0,ROUND($G299,2),"")</f>
        <v/>
      </c>
      <c r="I299" s="49" t="str">
        <f aca="false">IF(ROUND($G299,2)&lt;0,-ROUND($G299,2),"")</f>
        <v/>
      </c>
      <c r="J299" s="20" t="n">
        <f aca="false">IF(ROUND($G299,2)=0,0,1)</f>
        <v>0</v>
      </c>
      <c r="K299" s="20" t="str">
        <f aca="false">IF($J299=0,"",SUM($J$287:$J299))</f>
        <v/>
      </c>
      <c r="L299" s="20" t="str">
        <f aca="false">IF($K299="","",$A299*100+$K299)</f>
        <v/>
      </c>
      <c r="M299" s="48" t="str">
        <f aca="false">参数!$B$4</f>
        <v>回款</v>
      </c>
    </row>
    <row r="300" customFormat="false" ht="13.5" hidden="false" customHeight="false" outlineLevel="0" collapsed="false">
      <c r="A300" s="47" t="n">
        <v>20</v>
      </c>
      <c r="B300" s="38" t="n">
        <f aca="false">助手回款!$B21</f>
        <v>2026</v>
      </c>
      <c r="C300" s="48" t="str">
        <f aca="false">助手回款!$C21</f>
        <v>彭村店</v>
      </c>
      <c r="D300" s="48" t="str">
        <f aca="false">科目对照回款!$B15&amp;""</f>
        <v>药机微信</v>
      </c>
      <c r="E300" s="48" t="str">
        <f aca="false">科目对照回款!$C15&amp;""</f>
        <v>应收账款</v>
      </c>
      <c r="F300" s="48" t="str">
        <f aca="false">科目对照回款!$D15&amp;""</f>
        <v>药机微信</v>
      </c>
      <c r="G300" s="49" t="n">
        <f aca="false">-ROUND(IF(科目对照回款!$F$15="",0,SUMIFS(输入回款!$C:$C,输入回款!$A:$A,助手回款!$X21,输入回款!$B:$B,科目对照回款!$F$15)+SUMIFS(输入回款!$D:$D,输入回款!$A:$A,助手回款!$X21,输入回款!$B:$B,科目对照回款!$F$15))+IF(科目对照回款!$G$15="",0,SUMIFS(输入回款!$C:$C,输入回款!$A:$A,助手回款!$X21,输入回款!$B:$B,科目对照回款!$G$15)+SUMIFS(输入回款!$D:$D,输入回款!$A:$A,助手回款!$X21,输入回款!$B:$B,科目对照回款!$G$15))+IF(科目对照回款!$H$15="",0,SUMIFS(输入回款!$C:$C,输入回款!$A:$A,助手回款!$X21,输入回款!$B:$B,科目对照回款!$H$15)+SUMIFS(输入回款!$D:$D,输入回款!$A:$A,助手回款!$X21,输入回款!$B:$B,科目对照回款!$H$15)),2)</f>
        <v>-0</v>
      </c>
      <c r="H300" s="49" t="str">
        <f aca="false">IF(ROUND($G300,2)&gt;0,ROUND($G300,2),"")</f>
        <v/>
      </c>
      <c r="I300" s="49" t="str">
        <f aca="false">IF(ROUND($G300,2)&lt;0,-ROUND($G300,2),"")</f>
        <v/>
      </c>
      <c r="J300" s="20" t="n">
        <f aca="false">IF(ROUND($G300,2)=0,0,1)</f>
        <v>0</v>
      </c>
      <c r="K300" s="20" t="str">
        <f aca="false">IF($J300=0,"",SUM($J$287:$J300))</f>
        <v/>
      </c>
      <c r="L300" s="20" t="str">
        <f aca="false">IF($K300="","",$A300*100+$K300)</f>
        <v/>
      </c>
      <c r="M300" s="48" t="str">
        <f aca="false">参数!$B$4</f>
        <v>回款</v>
      </c>
    </row>
    <row r="301" customFormat="false" ht="13.5" hidden="false" customHeight="false" outlineLevel="0" collapsed="false">
      <c r="A301" s="47" t="n">
        <v>20</v>
      </c>
      <c r="B301" s="38" t="n">
        <f aca="false">助手回款!$B21</f>
        <v>2026</v>
      </c>
      <c r="C301" s="48" t="str">
        <f aca="false">助手回款!$C21</f>
        <v>彭村店</v>
      </c>
      <c r="D301" s="48" t="str">
        <f aca="false">科目对照回款!$B16&amp;""</f>
        <v>储值卡</v>
      </c>
      <c r="E301" s="48" t="str">
        <f aca="false">科目对照回款!$C16&amp;""</f>
        <v>其他应收款</v>
      </c>
      <c r="F301" s="48" t="str">
        <f aca="false">科目对照回款!$D16&amp;""</f>
        <v>储值卡</v>
      </c>
      <c r="G301" s="49" t="n">
        <f aca="false">-ROUND(IF(科目对照回款!$F$16="",0,SUMIFS(输入回款!$C:$C,输入回款!$A:$A,助手回款!$X21,输入回款!$B:$B,科目对照回款!$F$16)+SUMIFS(输入回款!$D:$D,输入回款!$A:$A,助手回款!$X21,输入回款!$B:$B,科目对照回款!$F$16))+IF(科目对照回款!$G$16="",0,SUMIFS(输入回款!$C:$C,输入回款!$A:$A,助手回款!$X21,输入回款!$B:$B,科目对照回款!$G$16)+SUMIFS(输入回款!$D:$D,输入回款!$A:$A,助手回款!$X21,输入回款!$B:$B,科目对照回款!$G$16))+IF(科目对照回款!$H$16="",0,SUMIFS(输入回款!$C:$C,输入回款!$A:$A,助手回款!$X21,输入回款!$B:$B,科目对照回款!$H$16)+SUMIFS(输入回款!$D:$D,输入回款!$A:$A,助手回款!$X21,输入回款!$B:$B,科目对照回款!$H$16)),2)</f>
        <v>-0</v>
      </c>
      <c r="H301" s="49" t="str">
        <f aca="false">IF(ROUND($G301,2)&gt;0,ROUND($G301,2),"")</f>
        <v/>
      </c>
      <c r="I301" s="49" t="str">
        <f aca="false">IF(ROUND($G301,2)&lt;0,-ROUND($G301,2),"")</f>
        <v/>
      </c>
      <c r="J301" s="20" t="n">
        <f aca="false">IF(ROUND($G301,2)=0,0,1)</f>
        <v>0</v>
      </c>
      <c r="K301" s="20" t="str">
        <f aca="false">IF($J301=0,"",SUM($J$287:$J301))</f>
        <v/>
      </c>
      <c r="L301" s="20" t="str">
        <f aca="false">IF($K301="","",$A301*100+$K301)</f>
        <v/>
      </c>
      <c r="M301" s="48" t="str">
        <f aca="false">参数!$B$4</f>
        <v>回款</v>
      </c>
    </row>
    <row r="302" customFormat="false" ht="13.5" hidden="false" customHeight="false" outlineLevel="0" collapsed="false">
      <c r="A302" s="47" t="n">
        <v>21</v>
      </c>
      <c r="B302" s="38" t="n">
        <f aca="false">助手回款!$B22</f>
        <v>2030</v>
      </c>
      <c r="C302" s="48" t="str">
        <f aca="false">助手回款!$C22</f>
        <v>南位店</v>
      </c>
      <c r="D302" s="48" t="str">
        <f aca="false">科目对照回款!$B2&amp;""</f>
        <v>库存现金</v>
      </c>
      <c r="E302" s="48" t="str">
        <f aca="false">科目对照回款!$C2&amp;""</f>
        <v>库存现金</v>
      </c>
      <c r="F302" s="48" t="str">
        <f aca="false">科目对照回款!$D2&amp;""</f>
        <v/>
      </c>
      <c r="G302" s="49" t="n">
        <f aca="false">助手回款!$E22</f>
        <v>21397.99</v>
      </c>
      <c r="H302" s="49" t="n">
        <f aca="false">IF(ROUND($G302,2)&gt;0,ROUND($G302,2),"")</f>
        <v>21397.99</v>
      </c>
      <c r="I302" s="49" t="str">
        <f aca="false">IF(ROUND($G302,2)&lt;0,-ROUND($G302,2),"")</f>
        <v/>
      </c>
      <c r="J302" s="20" t="n">
        <f aca="false">IF(ROUND($G302,2)=0,0,1)</f>
        <v>1</v>
      </c>
      <c r="K302" s="20" t="n">
        <f aca="false">IF($J302=0,"",SUM($J$302:$J302))</f>
        <v>1</v>
      </c>
      <c r="L302" s="20" t="n">
        <f aca="false">IF($K302="","",$A302*100+$K302)</f>
        <v>2101</v>
      </c>
      <c r="M302" s="48" t="str">
        <f aca="false">参数!$B$4</f>
        <v>回款</v>
      </c>
    </row>
    <row r="303" customFormat="false" ht="13.5" hidden="false" customHeight="false" outlineLevel="0" collapsed="false">
      <c r="A303" s="47" t="n">
        <v>21</v>
      </c>
      <c r="B303" s="38" t="n">
        <f aca="false">助手回款!$B22</f>
        <v>2030</v>
      </c>
      <c r="C303" s="48" t="str">
        <f aca="false">助手回款!$C22</f>
        <v>南位店</v>
      </c>
      <c r="D303" s="48" t="str">
        <f aca="false">科目对照回款!$B3&amp;""</f>
        <v>手续费</v>
      </c>
      <c r="E303" s="48" t="str">
        <f aca="false">科目对照回款!$C3&amp;""</f>
        <v>财务费用</v>
      </c>
      <c r="F303" s="48" t="str">
        <f aca="false">科目对照回款!$D3&amp;""</f>
        <v>手续费</v>
      </c>
      <c r="G303" s="49" t="n">
        <f aca="false">助手回款!$F22</f>
        <v>0</v>
      </c>
      <c r="H303" s="49" t="str">
        <f aca="false">IF(ROUND($G303,2)&gt;0,ROUND($G303,2),"")</f>
        <v/>
      </c>
      <c r="I303" s="49" t="str">
        <f aca="false">IF(ROUND($G303,2)&lt;0,-ROUND($G303,2),"")</f>
        <v/>
      </c>
      <c r="J303" s="20" t="n">
        <f aca="false">IF(ROUND($G303,2)=0,0,1)</f>
        <v>0</v>
      </c>
      <c r="K303" s="20" t="str">
        <f aca="false">IF($J303=0,"",SUM($J$302:$J303))</f>
        <v/>
      </c>
      <c r="L303" s="20" t="str">
        <f aca="false">IF($K303="","",$A303*100+$K303)</f>
        <v/>
      </c>
      <c r="M303" s="48" t="str">
        <f aca="false">参数!$B$4</f>
        <v>回款</v>
      </c>
    </row>
    <row r="304" customFormat="false" ht="13.5" hidden="false" customHeight="false" outlineLevel="0" collapsed="false">
      <c r="A304" s="47" t="n">
        <v>21</v>
      </c>
      <c r="B304" s="38" t="n">
        <f aca="false">助手回款!$B22</f>
        <v>2030</v>
      </c>
      <c r="C304" s="48" t="str">
        <f aca="false">助手回款!$C22</f>
        <v>南位店</v>
      </c>
      <c r="D304" s="48" t="str">
        <f aca="false">科目对照回款!$B4&amp;""</f>
        <v>聚合支付</v>
      </c>
      <c r="E304" s="48" t="str">
        <f aca="false">科目对照回款!$C4&amp;""</f>
        <v>应收账款</v>
      </c>
      <c r="F304" s="48" t="str">
        <f aca="false">科目对照回款!$D4&amp;""</f>
        <v>聚合支付</v>
      </c>
      <c r="G304" s="49" t="n">
        <f aca="false">-ROUND(IF(科目对照回款!$F$4="",0,SUMIFS(输入回款!$C:$C,输入回款!$A:$A,助手回款!$X22,输入回款!$B:$B,科目对照回款!$F$4)+SUMIFS(输入回款!$D:$D,输入回款!$A:$A,助手回款!$X22,输入回款!$B:$B,科目对照回款!$F$4))+IF(科目对照回款!$G$4="",0,SUMIFS(输入回款!$C:$C,输入回款!$A:$A,助手回款!$X22,输入回款!$B:$B,科目对照回款!$G$4)+SUMIFS(输入回款!$D:$D,输入回款!$A:$A,助手回款!$X22,输入回款!$B:$B,科目对照回款!$G$4))+IF(科目对照回款!$H$4="",0,SUMIFS(输入回款!$C:$C,输入回款!$A:$A,助手回款!$X22,输入回款!$B:$B,科目对照回款!$H$4)+SUMIFS(输入回款!$D:$D,输入回款!$A:$A,助手回款!$X22,输入回款!$B:$B,科目对照回款!$H$4)),2)</f>
        <v>-17154.53</v>
      </c>
      <c r="H304" s="49" t="str">
        <f aca="false">IF(ROUND($G304,2)&gt;0,ROUND($G304,2),"")</f>
        <v/>
      </c>
      <c r="I304" s="49" t="n">
        <f aca="false">IF(ROUND($G304,2)&lt;0,-ROUND($G304,2),"")</f>
        <v>17154.53</v>
      </c>
      <c r="J304" s="20" t="n">
        <f aca="false">IF(ROUND($G304,2)=0,0,1)</f>
        <v>1</v>
      </c>
      <c r="K304" s="20" t="n">
        <f aca="false">IF($J304=0,"",SUM($J$302:$J304))</f>
        <v>2</v>
      </c>
      <c r="L304" s="20" t="n">
        <f aca="false">IF($K304="","",$A304*100+$K304)</f>
        <v>2102</v>
      </c>
      <c r="M304" s="48" t="str">
        <f aca="false">参数!$B$4</f>
        <v>回款</v>
      </c>
    </row>
    <row r="305" customFormat="false" ht="13.5" hidden="false" customHeight="false" outlineLevel="0" collapsed="false">
      <c r="A305" s="47" t="n">
        <v>21</v>
      </c>
      <c r="B305" s="38" t="n">
        <f aca="false">助手回款!$B22</f>
        <v>2030</v>
      </c>
      <c r="C305" s="48" t="str">
        <f aca="false">助手回款!$C22</f>
        <v>南位店</v>
      </c>
      <c r="D305" s="48" t="str">
        <f aca="false">科目对照回款!$B5&amp;""</f>
        <v>医保</v>
      </c>
      <c r="E305" s="48" t="str">
        <f aca="false">科目对照回款!$C5&amp;""</f>
        <v>应收账款</v>
      </c>
      <c r="F305" s="48" t="str">
        <f aca="false">科目对照回款!$D5&amp;""</f>
        <v>医保</v>
      </c>
      <c r="G305" s="49" t="n">
        <f aca="false">-ROUND(IF(科目对照回款!$F$5="",0,SUMIFS(输入回款!$C:$C,输入回款!$A:$A,助手回款!$X22,输入回款!$B:$B,科目对照回款!$F$5)+SUMIFS(输入回款!$D:$D,输入回款!$A:$A,助手回款!$X22,输入回款!$B:$B,科目对照回款!$F$5))+IF(科目对照回款!$G$5="",0,SUMIFS(输入回款!$C:$C,输入回款!$A:$A,助手回款!$X22,输入回款!$B:$B,科目对照回款!$G$5)+SUMIFS(输入回款!$D:$D,输入回款!$A:$A,助手回款!$X22,输入回款!$B:$B,科目对照回款!$G$5))+IF(科目对照回款!$H$5="",0,SUMIFS(输入回款!$C:$C,输入回款!$A:$A,助手回款!$X22,输入回款!$B:$B,科目对照回款!$H$5)+SUMIFS(输入回款!$D:$D,输入回款!$A:$A,助手回款!$X22,输入回款!$B:$B,科目对照回款!$H$5)),2)</f>
        <v>-4243.46</v>
      </c>
      <c r="H305" s="49" t="str">
        <f aca="false">IF(ROUND($G305,2)&gt;0,ROUND($G305,2),"")</f>
        <v/>
      </c>
      <c r="I305" s="49" t="n">
        <f aca="false">IF(ROUND($G305,2)&lt;0,-ROUND($G305,2),"")</f>
        <v>4243.46</v>
      </c>
      <c r="J305" s="20" t="n">
        <f aca="false">IF(ROUND($G305,2)=0,0,1)</f>
        <v>1</v>
      </c>
      <c r="K305" s="20" t="n">
        <f aca="false">IF($J305=0,"",SUM($J$302:$J305))</f>
        <v>3</v>
      </c>
      <c r="L305" s="20" t="n">
        <f aca="false">IF($K305="","",$A305*100+$K305)</f>
        <v>2103</v>
      </c>
      <c r="M305" s="48" t="str">
        <f aca="false">参数!$B$4</f>
        <v>回款</v>
      </c>
    </row>
    <row r="306" customFormat="false" ht="13.5" hidden="false" customHeight="false" outlineLevel="0" collapsed="false">
      <c r="A306" s="47" t="n">
        <v>21</v>
      </c>
      <c r="B306" s="38" t="n">
        <f aca="false">助手回款!$B22</f>
        <v>2030</v>
      </c>
      <c r="C306" s="48" t="str">
        <f aca="false">助手回款!$C22</f>
        <v>南位店</v>
      </c>
      <c r="D306" s="48" t="str">
        <f aca="false">科目对照回款!$B6&amp;""</f>
        <v>美团</v>
      </c>
      <c r="E306" s="48" t="str">
        <f aca="false">科目对照回款!$C6&amp;""</f>
        <v>应收账款</v>
      </c>
      <c r="F306" s="48" t="str">
        <f aca="false">科目对照回款!$D6&amp;""</f>
        <v>美团</v>
      </c>
      <c r="G306" s="49" t="n">
        <f aca="false">-ROUND(IF(科目对照回款!$F$6="",0,SUMIFS(输入回款!$C:$C,输入回款!$A:$A,助手回款!$X22,输入回款!$B:$B,科目对照回款!$F$6)+SUMIFS(输入回款!$D:$D,输入回款!$A:$A,助手回款!$X22,输入回款!$B:$B,科目对照回款!$F$6))+IF(科目对照回款!$G$6="",0,SUMIFS(输入回款!$C:$C,输入回款!$A:$A,助手回款!$X22,输入回款!$B:$B,科目对照回款!$G$6)+SUMIFS(输入回款!$D:$D,输入回款!$A:$A,助手回款!$X22,输入回款!$B:$B,科目对照回款!$G$6))+IF(科目对照回款!$H$6="",0,SUMIFS(输入回款!$C:$C,输入回款!$A:$A,助手回款!$X22,输入回款!$B:$B,科目对照回款!$H$6)+SUMIFS(输入回款!$D:$D,输入回款!$A:$A,助手回款!$X22,输入回款!$B:$B,科目对照回款!$H$6)),2)</f>
        <v>-0</v>
      </c>
      <c r="H306" s="49" t="str">
        <f aca="false">IF(ROUND($G306,2)&gt;0,ROUND($G306,2),"")</f>
        <v/>
      </c>
      <c r="I306" s="49" t="str">
        <f aca="false">IF(ROUND($G306,2)&lt;0,-ROUND($G306,2),"")</f>
        <v/>
      </c>
      <c r="J306" s="20" t="n">
        <f aca="false">IF(ROUND($G306,2)=0,0,1)</f>
        <v>0</v>
      </c>
      <c r="K306" s="20" t="str">
        <f aca="false">IF($J306=0,"",SUM($J$302:$J306))</f>
        <v/>
      </c>
      <c r="L306" s="20" t="str">
        <f aca="false">IF($K306="","",$A306*100+$K306)</f>
        <v/>
      </c>
      <c r="M306" s="48" t="str">
        <f aca="false">参数!$B$4</f>
        <v>回款</v>
      </c>
    </row>
    <row r="307" customFormat="false" ht="13.5" hidden="false" customHeight="false" outlineLevel="0" collapsed="false">
      <c r="A307" s="47" t="n">
        <v>21</v>
      </c>
      <c r="B307" s="38" t="n">
        <f aca="false">助手回款!$B22</f>
        <v>2030</v>
      </c>
      <c r="C307" s="48" t="str">
        <f aca="false">助手回款!$C22</f>
        <v>南位店</v>
      </c>
      <c r="D307" s="48" t="str">
        <f aca="false">科目对照回款!$B7&amp;""</f>
        <v>饿了么</v>
      </c>
      <c r="E307" s="48" t="str">
        <f aca="false">科目对照回款!$C7&amp;""</f>
        <v>应收账款</v>
      </c>
      <c r="F307" s="48" t="str">
        <f aca="false">科目对照回款!$D7&amp;""</f>
        <v>饿了么</v>
      </c>
      <c r="G307" s="49" t="n">
        <f aca="false">-ROUND(IF(科目对照回款!$F$7="",0,SUMIFS(输入回款!$C:$C,输入回款!$A:$A,助手回款!$X22,输入回款!$B:$B,科目对照回款!$F$7)+SUMIFS(输入回款!$D:$D,输入回款!$A:$A,助手回款!$X22,输入回款!$B:$B,科目对照回款!$F$7))+IF(科目对照回款!$G$7="",0,SUMIFS(输入回款!$C:$C,输入回款!$A:$A,助手回款!$X22,输入回款!$B:$B,科目对照回款!$G$7)+SUMIFS(输入回款!$D:$D,输入回款!$A:$A,助手回款!$X22,输入回款!$B:$B,科目对照回款!$G$7))+IF(科目对照回款!$H$7="",0,SUMIFS(输入回款!$C:$C,输入回款!$A:$A,助手回款!$X22,输入回款!$B:$B,科目对照回款!$H$7)+SUMIFS(输入回款!$D:$D,输入回款!$A:$A,助手回款!$X22,输入回款!$B:$B,科目对照回款!$H$7)),2)</f>
        <v>-0</v>
      </c>
      <c r="H307" s="49" t="str">
        <f aca="false">IF(ROUND($G307,2)&gt;0,ROUND($G307,2),"")</f>
        <v/>
      </c>
      <c r="I307" s="49" t="str">
        <f aca="false">IF(ROUND($G307,2)&lt;0,-ROUND($G307,2),"")</f>
        <v/>
      </c>
      <c r="J307" s="20" t="n">
        <f aca="false">IF(ROUND($G307,2)=0,0,1)</f>
        <v>0</v>
      </c>
      <c r="K307" s="20" t="str">
        <f aca="false">IF($J307=0,"",SUM($J$302:$J307))</f>
        <v/>
      </c>
      <c r="L307" s="20" t="str">
        <f aca="false">IF($K307="","",$A307*100+$K307)</f>
        <v/>
      </c>
      <c r="M307" s="48" t="str">
        <f aca="false">参数!$B$4</f>
        <v>回款</v>
      </c>
    </row>
    <row r="308" customFormat="false" ht="13.5" hidden="false" customHeight="false" outlineLevel="0" collapsed="false">
      <c r="A308" s="47" t="n">
        <v>21</v>
      </c>
      <c r="B308" s="38" t="n">
        <f aca="false">助手回款!$B22</f>
        <v>2030</v>
      </c>
      <c r="C308" s="48" t="str">
        <f aca="false">助手回款!$C22</f>
        <v>南位店</v>
      </c>
      <c r="D308" s="48" t="str">
        <f aca="false">科目对照回款!$B8&amp;""</f>
        <v>24小时</v>
      </c>
      <c r="E308" s="48" t="str">
        <f aca="false">科目对照回款!$C8&amp;""</f>
        <v>应收账款</v>
      </c>
      <c r="F308" s="48" t="str">
        <f aca="false">科目对照回款!$D8&amp;""</f>
        <v>24小时</v>
      </c>
      <c r="G308" s="49" t="n">
        <f aca="false">-ROUND(IF(科目对照回款!$F$8="",0,SUMIFS(输入回款!$C:$C,输入回款!$A:$A,助手回款!$X22,输入回款!$B:$B,科目对照回款!$F$8)+SUMIFS(输入回款!$D:$D,输入回款!$A:$A,助手回款!$X22,输入回款!$B:$B,科目对照回款!$F$8))+IF(科目对照回款!$G$8="",0,SUMIFS(输入回款!$C:$C,输入回款!$A:$A,助手回款!$X22,输入回款!$B:$B,科目对照回款!$G$8)+SUMIFS(输入回款!$D:$D,输入回款!$A:$A,助手回款!$X22,输入回款!$B:$B,科目对照回款!$G$8))+IF(科目对照回款!$H$8="",0,SUMIFS(输入回款!$C:$C,输入回款!$A:$A,助手回款!$X22,输入回款!$B:$B,科目对照回款!$H$8)+SUMIFS(输入回款!$D:$D,输入回款!$A:$A,助手回款!$X22,输入回款!$B:$B,科目对照回款!$H$8)),2)</f>
        <v>-0</v>
      </c>
      <c r="H308" s="49" t="str">
        <f aca="false">IF(ROUND($G308,2)&gt;0,ROUND($G308,2),"")</f>
        <v/>
      </c>
      <c r="I308" s="49" t="str">
        <f aca="false">IF(ROUND($G308,2)&lt;0,-ROUND($G308,2),"")</f>
        <v/>
      </c>
      <c r="J308" s="20" t="n">
        <f aca="false">IF(ROUND($G308,2)=0,0,1)</f>
        <v>0</v>
      </c>
      <c r="K308" s="20" t="str">
        <f aca="false">IF($J308=0,"",SUM($J$302:$J308))</f>
        <v/>
      </c>
      <c r="L308" s="20" t="str">
        <f aca="false">IF($K308="","",$A308*100+$K308)</f>
        <v/>
      </c>
      <c r="M308" s="48" t="str">
        <f aca="false">参数!$B$4</f>
        <v>回款</v>
      </c>
    </row>
    <row r="309" customFormat="false" ht="13.5" hidden="false" customHeight="false" outlineLevel="0" collapsed="false">
      <c r="A309" s="47" t="n">
        <v>21</v>
      </c>
      <c r="B309" s="38" t="n">
        <f aca="false">助手回款!$B22</f>
        <v>2030</v>
      </c>
      <c r="C309" s="48" t="str">
        <f aca="false">助手回款!$C22</f>
        <v>南位店</v>
      </c>
      <c r="D309" s="48" t="str">
        <f aca="false">科目对照回款!$B9&amp;""</f>
        <v>健E卡</v>
      </c>
      <c r="E309" s="48" t="str">
        <f aca="false">科目对照回款!$C9&amp;""</f>
        <v>应收账款</v>
      </c>
      <c r="F309" s="48" t="str">
        <f aca="false">科目对照回款!$D9&amp;""</f>
        <v>健E卡</v>
      </c>
      <c r="G309" s="49" t="n">
        <f aca="false">-ROUND(IF(科目对照回款!$F$9="",0,SUMIFS(输入回款!$C:$C,输入回款!$A:$A,助手回款!$X22,输入回款!$B:$B,科目对照回款!$F$9)+SUMIFS(输入回款!$D:$D,输入回款!$A:$A,助手回款!$X22,输入回款!$B:$B,科目对照回款!$F$9))+IF(科目对照回款!$G$9="",0,SUMIFS(输入回款!$C:$C,输入回款!$A:$A,助手回款!$X22,输入回款!$B:$B,科目对照回款!$G$9)+SUMIFS(输入回款!$D:$D,输入回款!$A:$A,助手回款!$X22,输入回款!$B:$B,科目对照回款!$G$9))+IF(科目对照回款!$H$9="",0,SUMIFS(输入回款!$C:$C,输入回款!$A:$A,助手回款!$X22,输入回款!$B:$B,科目对照回款!$H$9)+SUMIFS(输入回款!$D:$D,输入回款!$A:$A,助手回款!$X22,输入回款!$B:$B,科目对照回款!$H$9)),2)</f>
        <v>-0</v>
      </c>
      <c r="H309" s="49" t="str">
        <f aca="false">IF(ROUND($G309,2)&gt;0,ROUND($G309,2),"")</f>
        <v/>
      </c>
      <c r="I309" s="49" t="str">
        <f aca="false">IF(ROUND($G309,2)&lt;0,-ROUND($G309,2),"")</f>
        <v/>
      </c>
      <c r="J309" s="20" t="n">
        <f aca="false">IF(ROUND($G309,2)=0,0,1)</f>
        <v>0</v>
      </c>
      <c r="K309" s="20" t="str">
        <f aca="false">IF($J309=0,"",SUM($J$302:$J309))</f>
        <v/>
      </c>
      <c r="L309" s="20" t="str">
        <f aca="false">IF($K309="","",$A309*100+$K309)</f>
        <v/>
      </c>
      <c r="M309" s="48" t="str">
        <f aca="false">参数!$B$4</f>
        <v>回款</v>
      </c>
    </row>
    <row r="310" customFormat="false" ht="13.5" hidden="false" customHeight="false" outlineLevel="0" collapsed="false">
      <c r="A310" s="47" t="n">
        <v>21</v>
      </c>
      <c r="B310" s="38" t="n">
        <f aca="false">助手回款!$B22</f>
        <v>2030</v>
      </c>
      <c r="C310" s="48" t="str">
        <f aca="false">助手回款!$C22</f>
        <v>南位店</v>
      </c>
      <c r="D310" s="48" t="str">
        <f aca="false">科目对照回款!$B10&amp;""</f>
        <v>医卡通</v>
      </c>
      <c r="E310" s="48" t="str">
        <f aca="false">科目对照回款!$C10&amp;""</f>
        <v>应收账款</v>
      </c>
      <c r="F310" s="48" t="str">
        <f aca="false">科目对照回款!$D10&amp;""</f>
        <v>医卡通</v>
      </c>
      <c r="G310" s="49" t="n">
        <f aca="false">-ROUND(IF(科目对照回款!$F$10="",0,SUMIFS(输入回款!$C:$C,输入回款!$A:$A,助手回款!$X22,输入回款!$B:$B,科目对照回款!$F$10)+SUMIFS(输入回款!$D:$D,输入回款!$A:$A,助手回款!$X22,输入回款!$B:$B,科目对照回款!$F$10))+IF(科目对照回款!$G$10="",0,SUMIFS(输入回款!$C:$C,输入回款!$A:$A,助手回款!$X22,输入回款!$B:$B,科目对照回款!$G$10)+SUMIFS(输入回款!$D:$D,输入回款!$A:$A,助手回款!$X22,输入回款!$B:$B,科目对照回款!$G$10))+IF(科目对照回款!$H$10="",0,SUMIFS(输入回款!$C:$C,输入回款!$A:$A,助手回款!$X22,输入回款!$B:$B,科目对照回款!$H$10)+SUMIFS(输入回款!$D:$D,输入回款!$A:$A,助手回款!$X22,输入回款!$B:$B,科目对照回款!$H$10)),2)</f>
        <v>-0</v>
      </c>
      <c r="H310" s="49" t="str">
        <f aca="false">IF(ROUND($G310,2)&gt;0,ROUND($G310,2),"")</f>
        <v/>
      </c>
      <c r="I310" s="49" t="str">
        <f aca="false">IF(ROUND($G310,2)&lt;0,-ROUND($G310,2),"")</f>
        <v/>
      </c>
      <c r="J310" s="20" t="n">
        <f aca="false">IF(ROUND($G310,2)=0,0,1)</f>
        <v>0</v>
      </c>
      <c r="K310" s="20" t="str">
        <f aca="false">IF($J310=0,"",SUM($J$302:$J310))</f>
        <v/>
      </c>
      <c r="L310" s="20" t="str">
        <f aca="false">IF($K310="","",$A310*100+$K310)</f>
        <v/>
      </c>
      <c r="M310" s="48" t="str">
        <f aca="false">参数!$B$4</f>
        <v>回款</v>
      </c>
    </row>
    <row r="311" customFormat="false" ht="13.5" hidden="false" customHeight="false" outlineLevel="0" collapsed="false">
      <c r="A311" s="47" t="n">
        <v>21</v>
      </c>
      <c r="B311" s="38" t="n">
        <f aca="false">助手回款!$B22</f>
        <v>2030</v>
      </c>
      <c r="C311" s="48" t="str">
        <f aca="false">助手回款!$C22</f>
        <v>南位店</v>
      </c>
      <c r="D311" s="48" t="str">
        <f aca="false">科目对照回款!$B11&amp;""</f>
        <v>企健网</v>
      </c>
      <c r="E311" s="48" t="str">
        <f aca="false">科目对照回款!$C11&amp;""</f>
        <v>应收账款</v>
      </c>
      <c r="F311" s="48" t="str">
        <f aca="false">科目对照回款!$D11&amp;""</f>
        <v>企健网</v>
      </c>
      <c r="G311" s="49" t="n">
        <f aca="false">-ROUND(IF(科目对照回款!$F$11="",0,SUMIFS(输入回款!$C:$C,输入回款!$A:$A,助手回款!$X22,输入回款!$B:$B,科目对照回款!$F$11)+SUMIFS(输入回款!$D:$D,输入回款!$A:$A,助手回款!$X22,输入回款!$B:$B,科目对照回款!$F$11))+IF(科目对照回款!$G$11="",0,SUMIFS(输入回款!$C:$C,输入回款!$A:$A,助手回款!$X22,输入回款!$B:$B,科目对照回款!$G$11)+SUMIFS(输入回款!$D:$D,输入回款!$A:$A,助手回款!$X22,输入回款!$B:$B,科目对照回款!$G$11))+IF(科目对照回款!$H$11="",0,SUMIFS(输入回款!$C:$C,输入回款!$A:$A,助手回款!$X22,输入回款!$B:$B,科目对照回款!$H$11)+SUMIFS(输入回款!$D:$D,输入回款!$A:$A,助手回款!$X22,输入回款!$B:$B,科目对照回款!$H$11)),2)</f>
        <v>-0</v>
      </c>
      <c r="H311" s="49" t="str">
        <f aca="false">IF(ROUND($G311,2)&gt;0,ROUND($G311,2),"")</f>
        <v/>
      </c>
      <c r="I311" s="49" t="str">
        <f aca="false">IF(ROUND($G311,2)&lt;0,-ROUND($G311,2),"")</f>
        <v/>
      </c>
      <c r="J311" s="20" t="n">
        <f aca="false">IF(ROUND($G311,2)=0,0,1)</f>
        <v>0</v>
      </c>
      <c r="K311" s="20" t="str">
        <f aca="false">IF($J311=0,"",SUM($J$302:$J311))</f>
        <v/>
      </c>
      <c r="L311" s="20" t="str">
        <f aca="false">IF($K311="","",$A311*100+$K311)</f>
        <v/>
      </c>
      <c r="M311" s="48" t="str">
        <f aca="false">参数!$B$4</f>
        <v>回款</v>
      </c>
    </row>
    <row r="312" customFormat="false" ht="13.5" hidden="false" customHeight="false" outlineLevel="0" collapsed="false">
      <c r="A312" s="47" t="n">
        <v>21</v>
      </c>
      <c r="B312" s="38" t="n">
        <f aca="false">助手回款!$B22</f>
        <v>2030</v>
      </c>
      <c r="C312" s="48" t="str">
        <f aca="false">助手回款!$C22</f>
        <v>南位店</v>
      </c>
      <c r="D312" s="48" t="str">
        <f aca="false">科目对照回款!$B12&amp;""</f>
        <v>亲情卡</v>
      </c>
      <c r="E312" s="48" t="str">
        <f aca="false">科目对照回款!$C12&amp;""</f>
        <v>应收账款</v>
      </c>
      <c r="F312" s="48" t="str">
        <f aca="false">科目对照回款!$D12&amp;""</f>
        <v>亲情卡</v>
      </c>
      <c r="G312" s="49" t="n">
        <f aca="false">-ROUND(IF(科目对照回款!$F$12="",0,SUMIFS(输入回款!$C:$C,输入回款!$A:$A,助手回款!$X22,输入回款!$B:$B,科目对照回款!$F$12)+SUMIFS(输入回款!$D:$D,输入回款!$A:$A,助手回款!$X22,输入回款!$B:$B,科目对照回款!$F$12))+IF(科目对照回款!$G$12="",0,SUMIFS(输入回款!$C:$C,输入回款!$A:$A,助手回款!$X22,输入回款!$B:$B,科目对照回款!$G$12)+SUMIFS(输入回款!$D:$D,输入回款!$A:$A,助手回款!$X22,输入回款!$B:$B,科目对照回款!$G$12))+IF(科目对照回款!$H$12="",0,SUMIFS(输入回款!$C:$C,输入回款!$A:$A,助手回款!$X22,输入回款!$B:$B,科目对照回款!$H$12)+SUMIFS(输入回款!$D:$D,输入回款!$A:$A,助手回款!$X22,输入回款!$B:$B,科目对照回款!$H$12)),2)</f>
        <v>-0</v>
      </c>
      <c r="H312" s="49" t="str">
        <f aca="false">IF(ROUND($G312,2)&gt;0,ROUND($G312,2),"")</f>
        <v/>
      </c>
      <c r="I312" s="49" t="str">
        <f aca="false">IF(ROUND($G312,2)&lt;0,-ROUND($G312,2),"")</f>
        <v/>
      </c>
      <c r="J312" s="20" t="n">
        <f aca="false">IF(ROUND($G312,2)=0,0,1)</f>
        <v>0</v>
      </c>
      <c r="K312" s="20" t="str">
        <f aca="false">IF($J312=0,"",SUM($J$302:$J312))</f>
        <v/>
      </c>
      <c r="L312" s="20" t="str">
        <f aca="false">IF($K312="","",$A312*100+$K312)</f>
        <v/>
      </c>
      <c r="M312" s="48" t="str">
        <f aca="false">参数!$B$4</f>
        <v>回款</v>
      </c>
    </row>
    <row r="313" customFormat="false" ht="13.5" hidden="false" customHeight="false" outlineLevel="0" collapsed="false">
      <c r="A313" s="47" t="n">
        <v>21</v>
      </c>
      <c r="B313" s="38" t="n">
        <f aca="false">助手回款!$B22</f>
        <v>2030</v>
      </c>
      <c r="C313" s="48" t="str">
        <f aca="false">助手回款!$C22</f>
        <v>南位店</v>
      </c>
      <c r="D313" s="48" t="str">
        <f aca="false">科目对照回款!$B13&amp;""</f>
        <v>银联</v>
      </c>
      <c r="E313" s="48" t="str">
        <f aca="false">科目对照回款!$C13&amp;""</f>
        <v>应收账款</v>
      </c>
      <c r="F313" s="48" t="str">
        <f aca="false">科目对照回款!$D13&amp;""</f>
        <v>银联</v>
      </c>
      <c r="G313" s="49" t="n">
        <f aca="false">-ROUND(IF(科目对照回款!$F$13="",0,SUMIFS(输入回款!$C:$C,输入回款!$A:$A,助手回款!$X22,输入回款!$B:$B,科目对照回款!$F$13)+SUMIFS(输入回款!$D:$D,输入回款!$A:$A,助手回款!$X22,输入回款!$B:$B,科目对照回款!$F$13))+IF(科目对照回款!$G$13="",0,SUMIFS(输入回款!$C:$C,输入回款!$A:$A,助手回款!$X22,输入回款!$B:$B,科目对照回款!$G$13)+SUMIFS(输入回款!$D:$D,输入回款!$A:$A,助手回款!$X22,输入回款!$B:$B,科目对照回款!$G$13))+IF(科目对照回款!$H$13="",0,SUMIFS(输入回款!$C:$C,输入回款!$A:$A,助手回款!$X22,输入回款!$B:$B,科目对照回款!$H$13)+SUMIFS(输入回款!$D:$D,输入回款!$A:$A,助手回款!$X22,输入回款!$B:$B,科目对照回款!$H$13)),2)</f>
        <v>-0</v>
      </c>
      <c r="H313" s="49" t="str">
        <f aca="false">IF(ROUND($G313,2)&gt;0,ROUND($G313,2),"")</f>
        <v/>
      </c>
      <c r="I313" s="49" t="str">
        <f aca="false">IF(ROUND($G313,2)&lt;0,-ROUND($G313,2),"")</f>
        <v/>
      </c>
      <c r="J313" s="20" t="n">
        <f aca="false">IF(ROUND($G313,2)=0,0,1)</f>
        <v>0</v>
      </c>
      <c r="K313" s="20" t="str">
        <f aca="false">IF($J313=0,"",SUM($J$302:$J313))</f>
        <v/>
      </c>
      <c r="L313" s="20" t="str">
        <f aca="false">IF($K313="","",$A313*100+$K313)</f>
        <v/>
      </c>
      <c r="M313" s="48" t="str">
        <f aca="false">参数!$B$4</f>
        <v>回款</v>
      </c>
    </row>
    <row r="314" customFormat="false" ht="13.5" hidden="false" customHeight="false" outlineLevel="0" collapsed="false">
      <c r="A314" s="47" t="n">
        <v>21</v>
      </c>
      <c r="B314" s="38" t="n">
        <f aca="false">助手回款!$B22</f>
        <v>2030</v>
      </c>
      <c r="C314" s="48" t="str">
        <f aca="false">助手回款!$C22</f>
        <v>南位店</v>
      </c>
      <c r="D314" s="48" t="str">
        <f aca="false">科目对照回款!$B14&amp;""</f>
        <v>代金券</v>
      </c>
      <c r="E314" s="48" t="str">
        <f aca="false">科目对照回款!$C14&amp;""</f>
        <v>应收账款</v>
      </c>
      <c r="F314" s="48" t="str">
        <f aca="false">科目对照回款!$D14&amp;""</f>
        <v>代金券</v>
      </c>
      <c r="G314" s="49" t="n">
        <f aca="false">-ROUND(IF(科目对照回款!$F$14="",0,SUMIFS(输入回款!$C:$C,输入回款!$A:$A,助手回款!$X22,输入回款!$B:$B,科目对照回款!$F$14)+SUMIFS(输入回款!$D:$D,输入回款!$A:$A,助手回款!$X22,输入回款!$B:$B,科目对照回款!$F$14))+IF(科目对照回款!$G$14="",0,SUMIFS(输入回款!$C:$C,输入回款!$A:$A,助手回款!$X22,输入回款!$B:$B,科目对照回款!$G$14)+SUMIFS(输入回款!$D:$D,输入回款!$A:$A,助手回款!$X22,输入回款!$B:$B,科目对照回款!$G$14))+IF(科目对照回款!$H$14="",0,SUMIFS(输入回款!$C:$C,输入回款!$A:$A,助手回款!$X22,输入回款!$B:$B,科目对照回款!$H$14)+SUMIFS(输入回款!$D:$D,输入回款!$A:$A,助手回款!$X22,输入回款!$B:$B,科目对照回款!$H$14)),2)</f>
        <v>-0</v>
      </c>
      <c r="H314" s="49" t="str">
        <f aca="false">IF(ROUND($G314,2)&gt;0,ROUND($G314,2),"")</f>
        <v/>
      </c>
      <c r="I314" s="49" t="str">
        <f aca="false">IF(ROUND($G314,2)&lt;0,-ROUND($G314,2),"")</f>
        <v/>
      </c>
      <c r="J314" s="20" t="n">
        <f aca="false">IF(ROUND($G314,2)=0,0,1)</f>
        <v>0</v>
      </c>
      <c r="K314" s="20" t="str">
        <f aca="false">IF($J314=0,"",SUM($J$302:$J314))</f>
        <v/>
      </c>
      <c r="L314" s="20" t="str">
        <f aca="false">IF($K314="","",$A314*100+$K314)</f>
        <v/>
      </c>
      <c r="M314" s="48" t="str">
        <f aca="false">参数!$B$4</f>
        <v>回款</v>
      </c>
    </row>
    <row r="315" customFormat="false" ht="13.5" hidden="false" customHeight="false" outlineLevel="0" collapsed="false">
      <c r="A315" s="47" t="n">
        <v>21</v>
      </c>
      <c r="B315" s="38" t="n">
        <f aca="false">助手回款!$B22</f>
        <v>2030</v>
      </c>
      <c r="C315" s="48" t="str">
        <f aca="false">助手回款!$C22</f>
        <v>南位店</v>
      </c>
      <c r="D315" s="48" t="str">
        <f aca="false">科目对照回款!$B15&amp;""</f>
        <v>药机微信</v>
      </c>
      <c r="E315" s="48" t="str">
        <f aca="false">科目对照回款!$C15&amp;""</f>
        <v>应收账款</v>
      </c>
      <c r="F315" s="48" t="str">
        <f aca="false">科目对照回款!$D15&amp;""</f>
        <v>药机微信</v>
      </c>
      <c r="G315" s="49" t="n">
        <f aca="false">-ROUND(IF(科目对照回款!$F$15="",0,SUMIFS(输入回款!$C:$C,输入回款!$A:$A,助手回款!$X22,输入回款!$B:$B,科目对照回款!$F$15)+SUMIFS(输入回款!$D:$D,输入回款!$A:$A,助手回款!$X22,输入回款!$B:$B,科目对照回款!$F$15))+IF(科目对照回款!$G$15="",0,SUMIFS(输入回款!$C:$C,输入回款!$A:$A,助手回款!$X22,输入回款!$B:$B,科目对照回款!$G$15)+SUMIFS(输入回款!$D:$D,输入回款!$A:$A,助手回款!$X22,输入回款!$B:$B,科目对照回款!$G$15))+IF(科目对照回款!$H$15="",0,SUMIFS(输入回款!$C:$C,输入回款!$A:$A,助手回款!$X22,输入回款!$B:$B,科目对照回款!$H$15)+SUMIFS(输入回款!$D:$D,输入回款!$A:$A,助手回款!$X22,输入回款!$B:$B,科目对照回款!$H$15)),2)</f>
        <v>-0</v>
      </c>
      <c r="H315" s="49" t="str">
        <f aca="false">IF(ROUND($G315,2)&gt;0,ROUND($G315,2),"")</f>
        <v/>
      </c>
      <c r="I315" s="49" t="str">
        <f aca="false">IF(ROUND($G315,2)&lt;0,-ROUND($G315,2),"")</f>
        <v/>
      </c>
      <c r="J315" s="20" t="n">
        <f aca="false">IF(ROUND($G315,2)=0,0,1)</f>
        <v>0</v>
      </c>
      <c r="K315" s="20" t="str">
        <f aca="false">IF($J315=0,"",SUM($J$302:$J315))</f>
        <v/>
      </c>
      <c r="L315" s="20" t="str">
        <f aca="false">IF($K315="","",$A315*100+$K315)</f>
        <v/>
      </c>
      <c r="M315" s="48" t="str">
        <f aca="false">参数!$B$4</f>
        <v>回款</v>
      </c>
    </row>
    <row r="316" customFormat="false" ht="13.5" hidden="false" customHeight="false" outlineLevel="0" collapsed="false">
      <c r="A316" s="47" t="n">
        <v>21</v>
      </c>
      <c r="B316" s="38" t="n">
        <f aca="false">助手回款!$B22</f>
        <v>2030</v>
      </c>
      <c r="C316" s="48" t="str">
        <f aca="false">助手回款!$C22</f>
        <v>南位店</v>
      </c>
      <c r="D316" s="48" t="str">
        <f aca="false">科目对照回款!$B16&amp;""</f>
        <v>储值卡</v>
      </c>
      <c r="E316" s="48" t="str">
        <f aca="false">科目对照回款!$C16&amp;""</f>
        <v>其他应收款</v>
      </c>
      <c r="F316" s="48" t="str">
        <f aca="false">科目对照回款!$D16&amp;""</f>
        <v>储值卡</v>
      </c>
      <c r="G316" s="49" t="n">
        <f aca="false">-ROUND(IF(科目对照回款!$F$16="",0,SUMIFS(输入回款!$C:$C,输入回款!$A:$A,助手回款!$X22,输入回款!$B:$B,科目对照回款!$F$16)+SUMIFS(输入回款!$D:$D,输入回款!$A:$A,助手回款!$X22,输入回款!$B:$B,科目对照回款!$F$16))+IF(科目对照回款!$G$16="",0,SUMIFS(输入回款!$C:$C,输入回款!$A:$A,助手回款!$X22,输入回款!$B:$B,科目对照回款!$G$16)+SUMIFS(输入回款!$D:$D,输入回款!$A:$A,助手回款!$X22,输入回款!$B:$B,科目对照回款!$G$16))+IF(科目对照回款!$H$16="",0,SUMIFS(输入回款!$C:$C,输入回款!$A:$A,助手回款!$X22,输入回款!$B:$B,科目对照回款!$H$16)+SUMIFS(输入回款!$D:$D,输入回款!$A:$A,助手回款!$X22,输入回款!$B:$B,科目对照回款!$H$16)),2)</f>
        <v>-0</v>
      </c>
      <c r="H316" s="49" t="str">
        <f aca="false">IF(ROUND($G316,2)&gt;0,ROUND($G316,2),"")</f>
        <v/>
      </c>
      <c r="I316" s="49" t="str">
        <f aca="false">IF(ROUND($G316,2)&lt;0,-ROUND($G316,2),"")</f>
        <v/>
      </c>
      <c r="J316" s="20" t="n">
        <f aca="false">IF(ROUND($G316,2)=0,0,1)</f>
        <v>0</v>
      </c>
      <c r="K316" s="20" t="str">
        <f aca="false">IF($J316=0,"",SUM($J$302:$J316))</f>
        <v/>
      </c>
      <c r="L316" s="20" t="str">
        <f aca="false">IF($K316="","",$A316*100+$K316)</f>
        <v/>
      </c>
      <c r="M316" s="48" t="str">
        <f aca="false">参数!$B$4</f>
        <v>回款</v>
      </c>
    </row>
    <row r="317" customFormat="false" ht="13.5" hidden="false" customHeight="false" outlineLevel="0" collapsed="false">
      <c r="A317" s="47" t="n">
        <v>22</v>
      </c>
      <c r="B317" s="38" t="n">
        <f aca="false">助手回款!$B23</f>
        <v>2032</v>
      </c>
      <c r="C317" s="48" t="str">
        <f aca="false">助手回款!$C23</f>
        <v>博园店</v>
      </c>
      <c r="D317" s="48" t="str">
        <f aca="false">科目对照回款!$B2&amp;""</f>
        <v>库存现金</v>
      </c>
      <c r="E317" s="48" t="str">
        <f aca="false">科目对照回款!$C2&amp;""</f>
        <v>库存现金</v>
      </c>
      <c r="F317" s="48" t="str">
        <f aca="false">科目对照回款!$D2&amp;""</f>
        <v/>
      </c>
      <c r="G317" s="49" t="n">
        <f aca="false">助手回款!$E23</f>
        <v>34752.49</v>
      </c>
      <c r="H317" s="49" t="n">
        <f aca="false">IF(ROUND($G317,2)&gt;0,ROUND($G317,2),"")</f>
        <v>34752.49</v>
      </c>
      <c r="I317" s="49" t="str">
        <f aca="false">IF(ROUND($G317,2)&lt;0,-ROUND($G317,2),"")</f>
        <v/>
      </c>
      <c r="J317" s="20" t="n">
        <f aca="false">IF(ROUND($G317,2)=0,0,1)</f>
        <v>1</v>
      </c>
      <c r="K317" s="20" t="n">
        <f aca="false">IF($J317=0,"",SUM($J$317:$J317))</f>
        <v>1</v>
      </c>
      <c r="L317" s="20" t="n">
        <f aca="false">IF($K317="","",$A317*100+$K317)</f>
        <v>2201</v>
      </c>
      <c r="M317" s="48" t="str">
        <f aca="false">参数!$B$4</f>
        <v>回款</v>
      </c>
    </row>
    <row r="318" customFormat="false" ht="13.5" hidden="false" customHeight="false" outlineLevel="0" collapsed="false">
      <c r="A318" s="47" t="n">
        <v>22</v>
      </c>
      <c r="B318" s="38" t="n">
        <f aca="false">助手回款!$B23</f>
        <v>2032</v>
      </c>
      <c r="C318" s="48" t="str">
        <f aca="false">助手回款!$C23</f>
        <v>博园店</v>
      </c>
      <c r="D318" s="48" t="str">
        <f aca="false">科目对照回款!$B3&amp;""</f>
        <v>手续费</v>
      </c>
      <c r="E318" s="48" t="str">
        <f aca="false">科目对照回款!$C3&amp;""</f>
        <v>财务费用</v>
      </c>
      <c r="F318" s="48" t="str">
        <f aca="false">科目对照回款!$D3&amp;""</f>
        <v>手续费</v>
      </c>
      <c r="G318" s="49" t="n">
        <f aca="false">助手回款!$F23</f>
        <v>0</v>
      </c>
      <c r="H318" s="49" t="str">
        <f aca="false">IF(ROUND($G318,2)&gt;0,ROUND($G318,2),"")</f>
        <v/>
      </c>
      <c r="I318" s="49" t="str">
        <f aca="false">IF(ROUND($G318,2)&lt;0,-ROUND($G318,2),"")</f>
        <v/>
      </c>
      <c r="J318" s="20" t="n">
        <f aca="false">IF(ROUND($G318,2)=0,0,1)</f>
        <v>0</v>
      </c>
      <c r="K318" s="20" t="str">
        <f aca="false">IF($J318=0,"",SUM($J$317:$J318))</f>
        <v/>
      </c>
      <c r="L318" s="20" t="str">
        <f aca="false">IF($K318="","",$A318*100+$K318)</f>
        <v/>
      </c>
      <c r="M318" s="48" t="str">
        <f aca="false">参数!$B$4</f>
        <v>回款</v>
      </c>
    </row>
    <row r="319" customFormat="false" ht="13.5" hidden="false" customHeight="false" outlineLevel="0" collapsed="false">
      <c r="A319" s="47" t="n">
        <v>22</v>
      </c>
      <c r="B319" s="38" t="n">
        <f aca="false">助手回款!$B23</f>
        <v>2032</v>
      </c>
      <c r="C319" s="48" t="str">
        <f aca="false">助手回款!$C23</f>
        <v>博园店</v>
      </c>
      <c r="D319" s="48" t="str">
        <f aca="false">科目对照回款!$B4&amp;""</f>
        <v>聚合支付</v>
      </c>
      <c r="E319" s="48" t="str">
        <f aca="false">科目对照回款!$C4&amp;""</f>
        <v>应收账款</v>
      </c>
      <c r="F319" s="48" t="str">
        <f aca="false">科目对照回款!$D4&amp;""</f>
        <v>聚合支付</v>
      </c>
      <c r="G319" s="49" t="n">
        <f aca="false">-ROUND(IF(科目对照回款!$F$4="",0,SUMIFS(输入回款!$C:$C,输入回款!$A:$A,助手回款!$X23,输入回款!$B:$B,科目对照回款!$F$4)+SUMIFS(输入回款!$D:$D,输入回款!$A:$A,助手回款!$X23,输入回款!$B:$B,科目对照回款!$F$4))+IF(科目对照回款!$G$4="",0,SUMIFS(输入回款!$C:$C,输入回款!$A:$A,助手回款!$X23,输入回款!$B:$B,科目对照回款!$G$4)+SUMIFS(输入回款!$D:$D,输入回款!$A:$A,助手回款!$X23,输入回款!$B:$B,科目对照回款!$G$4))+IF(科目对照回款!$H$4="",0,SUMIFS(输入回款!$C:$C,输入回款!$A:$A,助手回款!$X23,输入回款!$B:$B,科目对照回款!$H$4)+SUMIFS(输入回款!$D:$D,输入回款!$A:$A,助手回款!$X23,输入回款!$B:$B,科目对照回款!$H$4)),2)</f>
        <v>-24794.04</v>
      </c>
      <c r="H319" s="49" t="str">
        <f aca="false">IF(ROUND($G319,2)&gt;0,ROUND($G319,2),"")</f>
        <v/>
      </c>
      <c r="I319" s="49" t="n">
        <f aca="false">IF(ROUND($G319,2)&lt;0,-ROUND($G319,2),"")</f>
        <v>24794.04</v>
      </c>
      <c r="J319" s="20" t="n">
        <f aca="false">IF(ROUND($G319,2)=0,0,1)</f>
        <v>1</v>
      </c>
      <c r="K319" s="20" t="n">
        <f aca="false">IF($J319=0,"",SUM($J$317:$J319))</f>
        <v>2</v>
      </c>
      <c r="L319" s="20" t="n">
        <f aca="false">IF($K319="","",$A319*100+$K319)</f>
        <v>2202</v>
      </c>
      <c r="M319" s="48" t="str">
        <f aca="false">参数!$B$4</f>
        <v>回款</v>
      </c>
    </row>
    <row r="320" customFormat="false" ht="13.5" hidden="false" customHeight="false" outlineLevel="0" collapsed="false">
      <c r="A320" s="47" t="n">
        <v>22</v>
      </c>
      <c r="B320" s="38" t="n">
        <f aca="false">助手回款!$B23</f>
        <v>2032</v>
      </c>
      <c r="C320" s="48" t="str">
        <f aca="false">助手回款!$C23</f>
        <v>博园店</v>
      </c>
      <c r="D320" s="48" t="str">
        <f aca="false">科目对照回款!$B5&amp;""</f>
        <v>医保</v>
      </c>
      <c r="E320" s="48" t="str">
        <f aca="false">科目对照回款!$C5&amp;""</f>
        <v>应收账款</v>
      </c>
      <c r="F320" s="48" t="str">
        <f aca="false">科目对照回款!$D5&amp;""</f>
        <v>医保</v>
      </c>
      <c r="G320" s="49" t="n">
        <f aca="false">-ROUND(IF(科目对照回款!$F$5="",0,SUMIFS(输入回款!$C:$C,输入回款!$A:$A,助手回款!$X23,输入回款!$B:$B,科目对照回款!$F$5)+SUMIFS(输入回款!$D:$D,输入回款!$A:$A,助手回款!$X23,输入回款!$B:$B,科目对照回款!$F$5))+IF(科目对照回款!$G$5="",0,SUMIFS(输入回款!$C:$C,输入回款!$A:$A,助手回款!$X23,输入回款!$B:$B,科目对照回款!$G$5)+SUMIFS(输入回款!$D:$D,输入回款!$A:$A,助手回款!$X23,输入回款!$B:$B,科目对照回款!$G$5))+IF(科目对照回款!$H$5="",0,SUMIFS(输入回款!$C:$C,输入回款!$A:$A,助手回款!$X23,输入回款!$B:$B,科目对照回款!$H$5)+SUMIFS(输入回款!$D:$D,输入回款!$A:$A,助手回款!$X23,输入回款!$B:$B,科目对照回款!$H$5)),2)</f>
        <v>-9958.45</v>
      </c>
      <c r="H320" s="49" t="str">
        <f aca="false">IF(ROUND($G320,2)&gt;0,ROUND($G320,2),"")</f>
        <v/>
      </c>
      <c r="I320" s="49" t="n">
        <f aca="false">IF(ROUND($G320,2)&lt;0,-ROUND($G320,2),"")</f>
        <v>9958.45</v>
      </c>
      <c r="J320" s="20" t="n">
        <f aca="false">IF(ROUND($G320,2)=0,0,1)</f>
        <v>1</v>
      </c>
      <c r="K320" s="20" t="n">
        <f aca="false">IF($J320=0,"",SUM($J$317:$J320))</f>
        <v>3</v>
      </c>
      <c r="L320" s="20" t="n">
        <f aca="false">IF($K320="","",$A320*100+$K320)</f>
        <v>2203</v>
      </c>
      <c r="M320" s="48" t="str">
        <f aca="false">参数!$B$4</f>
        <v>回款</v>
      </c>
    </row>
    <row r="321" customFormat="false" ht="13.5" hidden="false" customHeight="false" outlineLevel="0" collapsed="false">
      <c r="A321" s="47" t="n">
        <v>22</v>
      </c>
      <c r="B321" s="38" t="n">
        <f aca="false">助手回款!$B23</f>
        <v>2032</v>
      </c>
      <c r="C321" s="48" t="str">
        <f aca="false">助手回款!$C23</f>
        <v>博园店</v>
      </c>
      <c r="D321" s="48" t="str">
        <f aca="false">科目对照回款!$B6&amp;""</f>
        <v>美团</v>
      </c>
      <c r="E321" s="48" t="str">
        <f aca="false">科目对照回款!$C6&amp;""</f>
        <v>应收账款</v>
      </c>
      <c r="F321" s="48" t="str">
        <f aca="false">科目对照回款!$D6&amp;""</f>
        <v>美团</v>
      </c>
      <c r="G321" s="49" t="n">
        <f aca="false">-ROUND(IF(科目对照回款!$F$6="",0,SUMIFS(输入回款!$C:$C,输入回款!$A:$A,助手回款!$X23,输入回款!$B:$B,科目对照回款!$F$6)+SUMIFS(输入回款!$D:$D,输入回款!$A:$A,助手回款!$X23,输入回款!$B:$B,科目对照回款!$F$6))+IF(科目对照回款!$G$6="",0,SUMIFS(输入回款!$C:$C,输入回款!$A:$A,助手回款!$X23,输入回款!$B:$B,科目对照回款!$G$6)+SUMIFS(输入回款!$D:$D,输入回款!$A:$A,助手回款!$X23,输入回款!$B:$B,科目对照回款!$G$6))+IF(科目对照回款!$H$6="",0,SUMIFS(输入回款!$C:$C,输入回款!$A:$A,助手回款!$X23,输入回款!$B:$B,科目对照回款!$H$6)+SUMIFS(输入回款!$D:$D,输入回款!$A:$A,助手回款!$X23,输入回款!$B:$B,科目对照回款!$H$6)),2)</f>
        <v>-0</v>
      </c>
      <c r="H321" s="49" t="str">
        <f aca="false">IF(ROUND($G321,2)&gt;0,ROUND($G321,2),"")</f>
        <v/>
      </c>
      <c r="I321" s="49" t="str">
        <f aca="false">IF(ROUND($G321,2)&lt;0,-ROUND($G321,2),"")</f>
        <v/>
      </c>
      <c r="J321" s="20" t="n">
        <f aca="false">IF(ROUND($G321,2)=0,0,1)</f>
        <v>0</v>
      </c>
      <c r="K321" s="20" t="str">
        <f aca="false">IF($J321=0,"",SUM($J$317:$J321))</f>
        <v/>
      </c>
      <c r="L321" s="20" t="str">
        <f aca="false">IF($K321="","",$A321*100+$K321)</f>
        <v/>
      </c>
      <c r="M321" s="48" t="str">
        <f aca="false">参数!$B$4</f>
        <v>回款</v>
      </c>
    </row>
    <row r="322" customFormat="false" ht="13.5" hidden="false" customHeight="false" outlineLevel="0" collapsed="false">
      <c r="A322" s="47" t="n">
        <v>22</v>
      </c>
      <c r="B322" s="38" t="n">
        <f aca="false">助手回款!$B23</f>
        <v>2032</v>
      </c>
      <c r="C322" s="48" t="str">
        <f aca="false">助手回款!$C23</f>
        <v>博园店</v>
      </c>
      <c r="D322" s="48" t="str">
        <f aca="false">科目对照回款!$B7&amp;""</f>
        <v>饿了么</v>
      </c>
      <c r="E322" s="48" t="str">
        <f aca="false">科目对照回款!$C7&amp;""</f>
        <v>应收账款</v>
      </c>
      <c r="F322" s="48" t="str">
        <f aca="false">科目对照回款!$D7&amp;""</f>
        <v>饿了么</v>
      </c>
      <c r="G322" s="49" t="n">
        <f aca="false">-ROUND(IF(科目对照回款!$F$7="",0,SUMIFS(输入回款!$C:$C,输入回款!$A:$A,助手回款!$X23,输入回款!$B:$B,科目对照回款!$F$7)+SUMIFS(输入回款!$D:$D,输入回款!$A:$A,助手回款!$X23,输入回款!$B:$B,科目对照回款!$F$7))+IF(科目对照回款!$G$7="",0,SUMIFS(输入回款!$C:$C,输入回款!$A:$A,助手回款!$X23,输入回款!$B:$B,科目对照回款!$G$7)+SUMIFS(输入回款!$D:$D,输入回款!$A:$A,助手回款!$X23,输入回款!$B:$B,科目对照回款!$G$7))+IF(科目对照回款!$H$7="",0,SUMIFS(输入回款!$C:$C,输入回款!$A:$A,助手回款!$X23,输入回款!$B:$B,科目对照回款!$H$7)+SUMIFS(输入回款!$D:$D,输入回款!$A:$A,助手回款!$X23,输入回款!$B:$B,科目对照回款!$H$7)),2)</f>
        <v>-0</v>
      </c>
      <c r="H322" s="49" t="str">
        <f aca="false">IF(ROUND($G322,2)&gt;0,ROUND($G322,2),"")</f>
        <v/>
      </c>
      <c r="I322" s="49" t="str">
        <f aca="false">IF(ROUND($G322,2)&lt;0,-ROUND($G322,2),"")</f>
        <v/>
      </c>
      <c r="J322" s="20" t="n">
        <f aca="false">IF(ROUND($G322,2)=0,0,1)</f>
        <v>0</v>
      </c>
      <c r="K322" s="20" t="str">
        <f aca="false">IF($J322=0,"",SUM($J$317:$J322))</f>
        <v/>
      </c>
      <c r="L322" s="20" t="str">
        <f aca="false">IF($K322="","",$A322*100+$K322)</f>
        <v/>
      </c>
      <c r="M322" s="48" t="str">
        <f aca="false">参数!$B$4</f>
        <v>回款</v>
      </c>
    </row>
    <row r="323" customFormat="false" ht="13.5" hidden="false" customHeight="false" outlineLevel="0" collapsed="false">
      <c r="A323" s="47" t="n">
        <v>22</v>
      </c>
      <c r="B323" s="38" t="n">
        <f aca="false">助手回款!$B23</f>
        <v>2032</v>
      </c>
      <c r="C323" s="48" t="str">
        <f aca="false">助手回款!$C23</f>
        <v>博园店</v>
      </c>
      <c r="D323" s="48" t="str">
        <f aca="false">科目对照回款!$B8&amp;""</f>
        <v>24小时</v>
      </c>
      <c r="E323" s="48" t="str">
        <f aca="false">科目对照回款!$C8&amp;""</f>
        <v>应收账款</v>
      </c>
      <c r="F323" s="48" t="str">
        <f aca="false">科目对照回款!$D8&amp;""</f>
        <v>24小时</v>
      </c>
      <c r="G323" s="49" t="n">
        <f aca="false">-ROUND(IF(科目对照回款!$F$8="",0,SUMIFS(输入回款!$C:$C,输入回款!$A:$A,助手回款!$X23,输入回款!$B:$B,科目对照回款!$F$8)+SUMIFS(输入回款!$D:$D,输入回款!$A:$A,助手回款!$X23,输入回款!$B:$B,科目对照回款!$F$8))+IF(科目对照回款!$G$8="",0,SUMIFS(输入回款!$C:$C,输入回款!$A:$A,助手回款!$X23,输入回款!$B:$B,科目对照回款!$G$8)+SUMIFS(输入回款!$D:$D,输入回款!$A:$A,助手回款!$X23,输入回款!$B:$B,科目对照回款!$G$8))+IF(科目对照回款!$H$8="",0,SUMIFS(输入回款!$C:$C,输入回款!$A:$A,助手回款!$X23,输入回款!$B:$B,科目对照回款!$H$8)+SUMIFS(输入回款!$D:$D,输入回款!$A:$A,助手回款!$X23,输入回款!$B:$B,科目对照回款!$H$8)),2)</f>
        <v>-0</v>
      </c>
      <c r="H323" s="49" t="str">
        <f aca="false">IF(ROUND($G323,2)&gt;0,ROUND($G323,2),"")</f>
        <v/>
      </c>
      <c r="I323" s="49" t="str">
        <f aca="false">IF(ROUND($G323,2)&lt;0,-ROUND($G323,2),"")</f>
        <v/>
      </c>
      <c r="J323" s="20" t="n">
        <f aca="false">IF(ROUND($G323,2)=0,0,1)</f>
        <v>0</v>
      </c>
      <c r="K323" s="20" t="str">
        <f aca="false">IF($J323=0,"",SUM($J$317:$J323))</f>
        <v/>
      </c>
      <c r="L323" s="20" t="str">
        <f aca="false">IF($K323="","",$A323*100+$K323)</f>
        <v/>
      </c>
      <c r="M323" s="48" t="str">
        <f aca="false">参数!$B$4</f>
        <v>回款</v>
      </c>
    </row>
    <row r="324" customFormat="false" ht="13.5" hidden="false" customHeight="false" outlineLevel="0" collapsed="false">
      <c r="A324" s="47" t="n">
        <v>22</v>
      </c>
      <c r="B324" s="38" t="n">
        <f aca="false">助手回款!$B23</f>
        <v>2032</v>
      </c>
      <c r="C324" s="48" t="str">
        <f aca="false">助手回款!$C23</f>
        <v>博园店</v>
      </c>
      <c r="D324" s="48" t="str">
        <f aca="false">科目对照回款!$B9&amp;""</f>
        <v>健E卡</v>
      </c>
      <c r="E324" s="48" t="str">
        <f aca="false">科目对照回款!$C9&amp;""</f>
        <v>应收账款</v>
      </c>
      <c r="F324" s="48" t="str">
        <f aca="false">科目对照回款!$D9&amp;""</f>
        <v>健E卡</v>
      </c>
      <c r="G324" s="49" t="n">
        <f aca="false">-ROUND(IF(科目对照回款!$F$9="",0,SUMIFS(输入回款!$C:$C,输入回款!$A:$A,助手回款!$X23,输入回款!$B:$B,科目对照回款!$F$9)+SUMIFS(输入回款!$D:$D,输入回款!$A:$A,助手回款!$X23,输入回款!$B:$B,科目对照回款!$F$9))+IF(科目对照回款!$G$9="",0,SUMIFS(输入回款!$C:$C,输入回款!$A:$A,助手回款!$X23,输入回款!$B:$B,科目对照回款!$G$9)+SUMIFS(输入回款!$D:$D,输入回款!$A:$A,助手回款!$X23,输入回款!$B:$B,科目对照回款!$G$9))+IF(科目对照回款!$H$9="",0,SUMIFS(输入回款!$C:$C,输入回款!$A:$A,助手回款!$X23,输入回款!$B:$B,科目对照回款!$H$9)+SUMIFS(输入回款!$D:$D,输入回款!$A:$A,助手回款!$X23,输入回款!$B:$B,科目对照回款!$H$9)),2)</f>
        <v>-0</v>
      </c>
      <c r="H324" s="49" t="str">
        <f aca="false">IF(ROUND($G324,2)&gt;0,ROUND($G324,2),"")</f>
        <v/>
      </c>
      <c r="I324" s="49" t="str">
        <f aca="false">IF(ROUND($G324,2)&lt;0,-ROUND($G324,2),"")</f>
        <v/>
      </c>
      <c r="J324" s="20" t="n">
        <f aca="false">IF(ROUND($G324,2)=0,0,1)</f>
        <v>0</v>
      </c>
      <c r="K324" s="20" t="str">
        <f aca="false">IF($J324=0,"",SUM($J$317:$J324))</f>
        <v/>
      </c>
      <c r="L324" s="20" t="str">
        <f aca="false">IF($K324="","",$A324*100+$K324)</f>
        <v/>
      </c>
      <c r="M324" s="48" t="str">
        <f aca="false">参数!$B$4</f>
        <v>回款</v>
      </c>
    </row>
    <row r="325" customFormat="false" ht="13.5" hidden="false" customHeight="false" outlineLevel="0" collapsed="false">
      <c r="A325" s="47" t="n">
        <v>22</v>
      </c>
      <c r="B325" s="38" t="n">
        <f aca="false">助手回款!$B23</f>
        <v>2032</v>
      </c>
      <c r="C325" s="48" t="str">
        <f aca="false">助手回款!$C23</f>
        <v>博园店</v>
      </c>
      <c r="D325" s="48" t="str">
        <f aca="false">科目对照回款!$B10&amp;""</f>
        <v>医卡通</v>
      </c>
      <c r="E325" s="48" t="str">
        <f aca="false">科目对照回款!$C10&amp;""</f>
        <v>应收账款</v>
      </c>
      <c r="F325" s="48" t="str">
        <f aca="false">科目对照回款!$D10&amp;""</f>
        <v>医卡通</v>
      </c>
      <c r="G325" s="49" t="n">
        <f aca="false">-ROUND(IF(科目对照回款!$F$10="",0,SUMIFS(输入回款!$C:$C,输入回款!$A:$A,助手回款!$X23,输入回款!$B:$B,科目对照回款!$F$10)+SUMIFS(输入回款!$D:$D,输入回款!$A:$A,助手回款!$X23,输入回款!$B:$B,科目对照回款!$F$10))+IF(科目对照回款!$G$10="",0,SUMIFS(输入回款!$C:$C,输入回款!$A:$A,助手回款!$X23,输入回款!$B:$B,科目对照回款!$G$10)+SUMIFS(输入回款!$D:$D,输入回款!$A:$A,助手回款!$X23,输入回款!$B:$B,科目对照回款!$G$10))+IF(科目对照回款!$H$10="",0,SUMIFS(输入回款!$C:$C,输入回款!$A:$A,助手回款!$X23,输入回款!$B:$B,科目对照回款!$H$10)+SUMIFS(输入回款!$D:$D,输入回款!$A:$A,助手回款!$X23,输入回款!$B:$B,科目对照回款!$H$10)),2)</f>
        <v>-0</v>
      </c>
      <c r="H325" s="49" t="str">
        <f aca="false">IF(ROUND($G325,2)&gt;0,ROUND($G325,2),"")</f>
        <v/>
      </c>
      <c r="I325" s="49" t="str">
        <f aca="false">IF(ROUND($G325,2)&lt;0,-ROUND($G325,2),"")</f>
        <v/>
      </c>
      <c r="J325" s="20" t="n">
        <f aca="false">IF(ROUND($G325,2)=0,0,1)</f>
        <v>0</v>
      </c>
      <c r="K325" s="20" t="str">
        <f aca="false">IF($J325=0,"",SUM($J$317:$J325))</f>
        <v/>
      </c>
      <c r="L325" s="20" t="str">
        <f aca="false">IF($K325="","",$A325*100+$K325)</f>
        <v/>
      </c>
      <c r="M325" s="48" t="str">
        <f aca="false">参数!$B$4</f>
        <v>回款</v>
      </c>
    </row>
    <row r="326" customFormat="false" ht="13.5" hidden="false" customHeight="false" outlineLevel="0" collapsed="false">
      <c r="A326" s="47" t="n">
        <v>22</v>
      </c>
      <c r="B326" s="38" t="n">
        <f aca="false">助手回款!$B23</f>
        <v>2032</v>
      </c>
      <c r="C326" s="48" t="str">
        <f aca="false">助手回款!$C23</f>
        <v>博园店</v>
      </c>
      <c r="D326" s="48" t="str">
        <f aca="false">科目对照回款!$B11&amp;""</f>
        <v>企健网</v>
      </c>
      <c r="E326" s="48" t="str">
        <f aca="false">科目对照回款!$C11&amp;""</f>
        <v>应收账款</v>
      </c>
      <c r="F326" s="48" t="str">
        <f aca="false">科目对照回款!$D11&amp;""</f>
        <v>企健网</v>
      </c>
      <c r="G326" s="49" t="n">
        <f aca="false">-ROUND(IF(科目对照回款!$F$11="",0,SUMIFS(输入回款!$C:$C,输入回款!$A:$A,助手回款!$X23,输入回款!$B:$B,科目对照回款!$F$11)+SUMIFS(输入回款!$D:$D,输入回款!$A:$A,助手回款!$X23,输入回款!$B:$B,科目对照回款!$F$11))+IF(科目对照回款!$G$11="",0,SUMIFS(输入回款!$C:$C,输入回款!$A:$A,助手回款!$X23,输入回款!$B:$B,科目对照回款!$G$11)+SUMIFS(输入回款!$D:$D,输入回款!$A:$A,助手回款!$X23,输入回款!$B:$B,科目对照回款!$G$11))+IF(科目对照回款!$H$11="",0,SUMIFS(输入回款!$C:$C,输入回款!$A:$A,助手回款!$X23,输入回款!$B:$B,科目对照回款!$H$11)+SUMIFS(输入回款!$D:$D,输入回款!$A:$A,助手回款!$X23,输入回款!$B:$B,科目对照回款!$H$11)),2)</f>
        <v>-0</v>
      </c>
      <c r="H326" s="49" t="str">
        <f aca="false">IF(ROUND($G326,2)&gt;0,ROUND($G326,2),"")</f>
        <v/>
      </c>
      <c r="I326" s="49" t="str">
        <f aca="false">IF(ROUND($G326,2)&lt;0,-ROUND($G326,2),"")</f>
        <v/>
      </c>
      <c r="J326" s="20" t="n">
        <f aca="false">IF(ROUND($G326,2)=0,0,1)</f>
        <v>0</v>
      </c>
      <c r="K326" s="20" t="str">
        <f aca="false">IF($J326=0,"",SUM($J$317:$J326))</f>
        <v/>
      </c>
      <c r="L326" s="20" t="str">
        <f aca="false">IF($K326="","",$A326*100+$K326)</f>
        <v/>
      </c>
      <c r="M326" s="48" t="str">
        <f aca="false">参数!$B$4</f>
        <v>回款</v>
      </c>
    </row>
    <row r="327" customFormat="false" ht="13.5" hidden="false" customHeight="false" outlineLevel="0" collapsed="false">
      <c r="A327" s="47" t="n">
        <v>22</v>
      </c>
      <c r="B327" s="38" t="n">
        <f aca="false">助手回款!$B23</f>
        <v>2032</v>
      </c>
      <c r="C327" s="48" t="str">
        <f aca="false">助手回款!$C23</f>
        <v>博园店</v>
      </c>
      <c r="D327" s="48" t="str">
        <f aca="false">科目对照回款!$B12&amp;""</f>
        <v>亲情卡</v>
      </c>
      <c r="E327" s="48" t="str">
        <f aca="false">科目对照回款!$C12&amp;""</f>
        <v>应收账款</v>
      </c>
      <c r="F327" s="48" t="str">
        <f aca="false">科目对照回款!$D12&amp;""</f>
        <v>亲情卡</v>
      </c>
      <c r="G327" s="49" t="n">
        <f aca="false">-ROUND(IF(科目对照回款!$F$12="",0,SUMIFS(输入回款!$C:$C,输入回款!$A:$A,助手回款!$X23,输入回款!$B:$B,科目对照回款!$F$12)+SUMIFS(输入回款!$D:$D,输入回款!$A:$A,助手回款!$X23,输入回款!$B:$B,科目对照回款!$F$12))+IF(科目对照回款!$G$12="",0,SUMIFS(输入回款!$C:$C,输入回款!$A:$A,助手回款!$X23,输入回款!$B:$B,科目对照回款!$G$12)+SUMIFS(输入回款!$D:$D,输入回款!$A:$A,助手回款!$X23,输入回款!$B:$B,科目对照回款!$G$12))+IF(科目对照回款!$H$12="",0,SUMIFS(输入回款!$C:$C,输入回款!$A:$A,助手回款!$X23,输入回款!$B:$B,科目对照回款!$H$12)+SUMIFS(输入回款!$D:$D,输入回款!$A:$A,助手回款!$X23,输入回款!$B:$B,科目对照回款!$H$12)),2)</f>
        <v>-0</v>
      </c>
      <c r="H327" s="49" t="str">
        <f aca="false">IF(ROUND($G327,2)&gt;0,ROUND($G327,2),"")</f>
        <v/>
      </c>
      <c r="I327" s="49" t="str">
        <f aca="false">IF(ROUND($G327,2)&lt;0,-ROUND($G327,2),"")</f>
        <v/>
      </c>
      <c r="J327" s="20" t="n">
        <f aca="false">IF(ROUND($G327,2)=0,0,1)</f>
        <v>0</v>
      </c>
      <c r="K327" s="20" t="str">
        <f aca="false">IF($J327=0,"",SUM($J$317:$J327))</f>
        <v/>
      </c>
      <c r="L327" s="20" t="str">
        <f aca="false">IF($K327="","",$A327*100+$K327)</f>
        <v/>
      </c>
      <c r="M327" s="48" t="str">
        <f aca="false">参数!$B$4</f>
        <v>回款</v>
      </c>
    </row>
    <row r="328" customFormat="false" ht="13.5" hidden="false" customHeight="false" outlineLevel="0" collapsed="false">
      <c r="A328" s="47" t="n">
        <v>22</v>
      </c>
      <c r="B328" s="38" t="n">
        <f aca="false">助手回款!$B23</f>
        <v>2032</v>
      </c>
      <c r="C328" s="48" t="str">
        <f aca="false">助手回款!$C23</f>
        <v>博园店</v>
      </c>
      <c r="D328" s="48" t="str">
        <f aca="false">科目对照回款!$B13&amp;""</f>
        <v>银联</v>
      </c>
      <c r="E328" s="48" t="str">
        <f aca="false">科目对照回款!$C13&amp;""</f>
        <v>应收账款</v>
      </c>
      <c r="F328" s="48" t="str">
        <f aca="false">科目对照回款!$D13&amp;""</f>
        <v>银联</v>
      </c>
      <c r="G328" s="49" t="n">
        <f aca="false">-ROUND(IF(科目对照回款!$F$13="",0,SUMIFS(输入回款!$C:$C,输入回款!$A:$A,助手回款!$X23,输入回款!$B:$B,科目对照回款!$F$13)+SUMIFS(输入回款!$D:$D,输入回款!$A:$A,助手回款!$X23,输入回款!$B:$B,科目对照回款!$F$13))+IF(科目对照回款!$G$13="",0,SUMIFS(输入回款!$C:$C,输入回款!$A:$A,助手回款!$X23,输入回款!$B:$B,科目对照回款!$G$13)+SUMIFS(输入回款!$D:$D,输入回款!$A:$A,助手回款!$X23,输入回款!$B:$B,科目对照回款!$G$13))+IF(科目对照回款!$H$13="",0,SUMIFS(输入回款!$C:$C,输入回款!$A:$A,助手回款!$X23,输入回款!$B:$B,科目对照回款!$H$13)+SUMIFS(输入回款!$D:$D,输入回款!$A:$A,助手回款!$X23,输入回款!$B:$B,科目对照回款!$H$13)),2)</f>
        <v>-0</v>
      </c>
      <c r="H328" s="49" t="str">
        <f aca="false">IF(ROUND($G328,2)&gt;0,ROUND($G328,2),"")</f>
        <v/>
      </c>
      <c r="I328" s="49" t="str">
        <f aca="false">IF(ROUND($G328,2)&lt;0,-ROUND($G328,2),"")</f>
        <v/>
      </c>
      <c r="J328" s="20" t="n">
        <f aca="false">IF(ROUND($G328,2)=0,0,1)</f>
        <v>0</v>
      </c>
      <c r="K328" s="20" t="str">
        <f aca="false">IF($J328=0,"",SUM($J$317:$J328))</f>
        <v/>
      </c>
      <c r="L328" s="20" t="str">
        <f aca="false">IF($K328="","",$A328*100+$K328)</f>
        <v/>
      </c>
      <c r="M328" s="48" t="str">
        <f aca="false">参数!$B$4</f>
        <v>回款</v>
      </c>
    </row>
    <row r="329" customFormat="false" ht="13.5" hidden="false" customHeight="false" outlineLevel="0" collapsed="false">
      <c r="A329" s="47" t="n">
        <v>22</v>
      </c>
      <c r="B329" s="38" t="n">
        <f aca="false">助手回款!$B23</f>
        <v>2032</v>
      </c>
      <c r="C329" s="48" t="str">
        <f aca="false">助手回款!$C23</f>
        <v>博园店</v>
      </c>
      <c r="D329" s="48" t="str">
        <f aca="false">科目对照回款!$B14&amp;""</f>
        <v>代金券</v>
      </c>
      <c r="E329" s="48" t="str">
        <f aca="false">科目对照回款!$C14&amp;""</f>
        <v>应收账款</v>
      </c>
      <c r="F329" s="48" t="str">
        <f aca="false">科目对照回款!$D14&amp;""</f>
        <v>代金券</v>
      </c>
      <c r="G329" s="49" t="n">
        <f aca="false">-ROUND(IF(科目对照回款!$F$14="",0,SUMIFS(输入回款!$C:$C,输入回款!$A:$A,助手回款!$X23,输入回款!$B:$B,科目对照回款!$F$14)+SUMIFS(输入回款!$D:$D,输入回款!$A:$A,助手回款!$X23,输入回款!$B:$B,科目对照回款!$F$14))+IF(科目对照回款!$G$14="",0,SUMIFS(输入回款!$C:$C,输入回款!$A:$A,助手回款!$X23,输入回款!$B:$B,科目对照回款!$G$14)+SUMIFS(输入回款!$D:$D,输入回款!$A:$A,助手回款!$X23,输入回款!$B:$B,科目对照回款!$G$14))+IF(科目对照回款!$H$14="",0,SUMIFS(输入回款!$C:$C,输入回款!$A:$A,助手回款!$X23,输入回款!$B:$B,科目对照回款!$H$14)+SUMIFS(输入回款!$D:$D,输入回款!$A:$A,助手回款!$X23,输入回款!$B:$B,科目对照回款!$H$14)),2)</f>
        <v>-0</v>
      </c>
      <c r="H329" s="49" t="str">
        <f aca="false">IF(ROUND($G329,2)&gt;0,ROUND($G329,2),"")</f>
        <v/>
      </c>
      <c r="I329" s="49" t="str">
        <f aca="false">IF(ROUND($G329,2)&lt;0,-ROUND($G329,2),"")</f>
        <v/>
      </c>
      <c r="J329" s="20" t="n">
        <f aca="false">IF(ROUND($G329,2)=0,0,1)</f>
        <v>0</v>
      </c>
      <c r="K329" s="20" t="str">
        <f aca="false">IF($J329=0,"",SUM($J$317:$J329))</f>
        <v/>
      </c>
      <c r="L329" s="20" t="str">
        <f aca="false">IF($K329="","",$A329*100+$K329)</f>
        <v/>
      </c>
      <c r="M329" s="48" t="str">
        <f aca="false">参数!$B$4</f>
        <v>回款</v>
      </c>
    </row>
    <row r="330" customFormat="false" ht="13.5" hidden="false" customHeight="false" outlineLevel="0" collapsed="false">
      <c r="A330" s="47" t="n">
        <v>22</v>
      </c>
      <c r="B330" s="38" t="n">
        <f aca="false">助手回款!$B23</f>
        <v>2032</v>
      </c>
      <c r="C330" s="48" t="str">
        <f aca="false">助手回款!$C23</f>
        <v>博园店</v>
      </c>
      <c r="D330" s="48" t="str">
        <f aca="false">科目对照回款!$B15&amp;""</f>
        <v>药机微信</v>
      </c>
      <c r="E330" s="48" t="str">
        <f aca="false">科目对照回款!$C15&amp;""</f>
        <v>应收账款</v>
      </c>
      <c r="F330" s="48" t="str">
        <f aca="false">科目对照回款!$D15&amp;""</f>
        <v>药机微信</v>
      </c>
      <c r="G330" s="49" t="n">
        <f aca="false">-ROUND(IF(科目对照回款!$F$15="",0,SUMIFS(输入回款!$C:$C,输入回款!$A:$A,助手回款!$X23,输入回款!$B:$B,科目对照回款!$F$15)+SUMIFS(输入回款!$D:$D,输入回款!$A:$A,助手回款!$X23,输入回款!$B:$B,科目对照回款!$F$15))+IF(科目对照回款!$G$15="",0,SUMIFS(输入回款!$C:$C,输入回款!$A:$A,助手回款!$X23,输入回款!$B:$B,科目对照回款!$G$15)+SUMIFS(输入回款!$D:$D,输入回款!$A:$A,助手回款!$X23,输入回款!$B:$B,科目对照回款!$G$15))+IF(科目对照回款!$H$15="",0,SUMIFS(输入回款!$C:$C,输入回款!$A:$A,助手回款!$X23,输入回款!$B:$B,科目对照回款!$H$15)+SUMIFS(输入回款!$D:$D,输入回款!$A:$A,助手回款!$X23,输入回款!$B:$B,科目对照回款!$H$15)),2)</f>
        <v>-0</v>
      </c>
      <c r="H330" s="49" t="str">
        <f aca="false">IF(ROUND($G330,2)&gt;0,ROUND($G330,2),"")</f>
        <v/>
      </c>
      <c r="I330" s="49" t="str">
        <f aca="false">IF(ROUND($G330,2)&lt;0,-ROUND($G330,2),"")</f>
        <v/>
      </c>
      <c r="J330" s="20" t="n">
        <f aca="false">IF(ROUND($G330,2)=0,0,1)</f>
        <v>0</v>
      </c>
      <c r="K330" s="20" t="str">
        <f aca="false">IF($J330=0,"",SUM($J$317:$J330))</f>
        <v/>
      </c>
      <c r="L330" s="20" t="str">
        <f aca="false">IF($K330="","",$A330*100+$K330)</f>
        <v/>
      </c>
      <c r="M330" s="48" t="str">
        <f aca="false">参数!$B$4</f>
        <v>回款</v>
      </c>
    </row>
    <row r="331" customFormat="false" ht="13.5" hidden="false" customHeight="false" outlineLevel="0" collapsed="false">
      <c r="A331" s="47" t="n">
        <v>22</v>
      </c>
      <c r="B331" s="38" t="n">
        <f aca="false">助手回款!$B23</f>
        <v>2032</v>
      </c>
      <c r="C331" s="48" t="str">
        <f aca="false">助手回款!$C23</f>
        <v>博园店</v>
      </c>
      <c r="D331" s="48" t="str">
        <f aca="false">科目对照回款!$B16&amp;""</f>
        <v>储值卡</v>
      </c>
      <c r="E331" s="48" t="str">
        <f aca="false">科目对照回款!$C16&amp;""</f>
        <v>其他应收款</v>
      </c>
      <c r="F331" s="48" t="str">
        <f aca="false">科目对照回款!$D16&amp;""</f>
        <v>储值卡</v>
      </c>
      <c r="G331" s="49" t="n">
        <f aca="false">-ROUND(IF(科目对照回款!$F$16="",0,SUMIFS(输入回款!$C:$C,输入回款!$A:$A,助手回款!$X23,输入回款!$B:$B,科目对照回款!$F$16)+SUMIFS(输入回款!$D:$D,输入回款!$A:$A,助手回款!$X23,输入回款!$B:$B,科目对照回款!$F$16))+IF(科目对照回款!$G$16="",0,SUMIFS(输入回款!$C:$C,输入回款!$A:$A,助手回款!$X23,输入回款!$B:$B,科目对照回款!$G$16)+SUMIFS(输入回款!$D:$D,输入回款!$A:$A,助手回款!$X23,输入回款!$B:$B,科目对照回款!$G$16))+IF(科目对照回款!$H$16="",0,SUMIFS(输入回款!$C:$C,输入回款!$A:$A,助手回款!$X23,输入回款!$B:$B,科目对照回款!$H$16)+SUMIFS(输入回款!$D:$D,输入回款!$A:$A,助手回款!$X23,输入回款!$B:$B,科目对照回款!$H$16)),2)</f>
        <v>-0</v>
      </c>
      <c r="H331" s="49" t="str">
        <f aca="false">IF(ROUND($G331,2)&gt;0,ROUND($G331,2),"")</f>
        <v/>
      </c>
      <c r="I331" s="49" t="str">
        <f aca="false">IF(ROUND($G331,2)&lt;0,-ROUND($G331,2),"")</f>
        <v/>
      </c>
      <c r="J331" s="20" t="n">
        <f aca="false">IF(ROUND($G331,2)=0,0,1)</f>
        <v>0</v>
      </c>
      <c r="K331" s="20" t="str">
        <f aca="false">IF($J331=0,"",SUM($J$317:$J331))</f>
        <v/>
      </c>
      <c r="L331" s="20" t="str">
        <f aca="false">IF($K331="","",$A331*100+$K331)</f>
        <v/>
      </c>
      <c r="M331" s="48" t="str">
        <f aca="false">参数!$B$4</f>
        <v>回款</v>
      </c>
    </row>
    <row r="332" customFormat="false" ht="13.5" hidden="false" customHeight="false" outlineLevel="0" collapsed="false">
      <c r="A332" s="47" t="n">
        <v>23</v>
      </c>
      <c r="B332" s="38" t="n">
        <f aca="false">助手回款!$B24</f>
        <v>2036</v>
      </c>
      <c r="C332" s="48" t="str">
        <f aca="false">助手回款!$C24</f>
        <v>黑城店</v>
      </c>
      <c r="D332" s="48" t="str">
        <f aca="false">科目对照回款!$B2&amp;""</f>
        <v>库存现金</v>
      </c>
      <c r="E332" s="48" t="str">
        <f aca="false">科目对照回款!$C2&amp;""</f>
        <v>库存现金</v>
      </c>
      <c r="F332" s="48" t="str">
        <f aca="false">科目对照回款!$D2&amp;""</f>
        <v/>
      </c>
      <c r="G332" s="49" t="n">
        <f aca="false">助手回款!$E24</f>
        <v>17642.02</v>
      </c>
      <c r="H332" s="49" t="n">
        <f aca="false">IF(ROUND($G332,2)&gt;0,ROUND($G332,2),"")</f>
        <v>17642.02</v>
      </c>
      <c r="I332" s="49" t="str">
        <f aca="false">IF(ROUND($G332,2)&lt;0,-ROUND($G332,2),"")</f>
        <v/>
      </c>
      <c r="J332" s="20" t="n">
        <f aca="false">IF(ROUND($G332,2)=0,0,1)</f>
        <v>1</v>
      </c>
      <c r="K332" s="20" t="n">
        <f aca="false">IF($J332=0,"",SUM($J$332:$J332))</f>
        <v>1</v>
      </c>
      <c r="L332" s="20" t="n">
        <f aca="false">IF($K332="","",$A332*100+$K332)</f>
        <v>2301</v>
      </c>
      <c r="M332" s="48" t="str">
        <f aca="false">参数!$B$4</f>
        <v>回款</v>
      </c>
    </row>
    <row r="333" customFormat="false" ht="13.5" hidden="false" customHeight="false" outlineLevel="0" collapsed="false">
      <c r="A333" s="47" t="n">
        <v>23</v>
      </c>
      <c r="B333" s="38" t="n">
        <f aca="false">助手回款!$B24</f>
        <v>2036</v>
      </c>
      <c r="C333" s="48" t="str">
        <f aca="false">助手回款!$C24</f>
        <v>黑城店</v>
      </c>
      <c r="D333" s="48" t="str">
        <f aca="false">科目对照回款!$B3&amp;""</f>
        <v>手续费</v>
      </c>
      <c r="E333" s="48" t="str">
        <f aca="false">科目对照回款!$C3&amp;""</f>
        <v>财务费用</v>
      </c>
      <c r="F333" s="48" t="str">
        <f aca="false">科目对照回款!$D3&amp;""</f>
        <v>手续费</v>
      </c>
      <c r="G333" s="49" t="n">
        <f aca="false">助手回款!$F24</f>
        <v>0</v>
      </c>
      <c r="H333" s="49" t="str">
        <f aca="false">IF(ROUND($G333,2)&gt;0,ROUND($G333,2),"")</f>
        <v/>
      </c>
      <c r="I333" s="49" t="str">
        <f aca="false">IF(ROUND($G333,2)&lt;0,-ROUND($G333,2),"")</f>
        <v/>
      </c>
      <c r="J333" s="20" t="n">
        <f aca="false">IF(ROUND($G333,2)=0,0,1)</f>
        <v>0</v>
      </c>
      <c r="K333" s="20" t="str">
        <f aca="false">IF($J333=0,"",SUM($J$332:$J333))</f>
        <v/>
      </c>
      <c r="L333" s="20" t="str">
        <f aca="false">IF($K333="","",$A333*100+$K333)</f>
        <v/>
      </c>
      <c r="M333" s="48" t="str">
        <f aca="false">参数!$B$4</f>
        <v>回款</v>
      </c>
    </row>
    <row r="334" customFormat="false" ht="13.5" hidden="false" customHeight="false" outlineLevel="0" collapsed="false">
      <c r="A334" s="47" t="n">
        <v>23</v>
      </c>
      <c r="B334" s="38" t="n">
        <f aca="false">助手回款!$B24</f>
        <v>2036</v>
      </c>
      <c r="C334" s="48" t="str">
        <f aca="false">助手回款!$C24</f>
        <v>黑城店</v>
      </c>
      <c r="D334" s="48" t="str">
        <f aca="false">科目对照回款!$B4&amp;""</f>
        <v>聚合支付</v>
      </c>
      <c r="E334" s="48" t="str">
        <f aca="false">科目对照回款!$C4&amp;""</f>
        <v>应收账款</v>
      </c>
      <c r="F334" s="48" t="str">
        <f aca="false">科目对照回款!$D4&amp;""</f>
        <v>聚合支付</v>
      </c>
      <c r="G334" s="49" t="n">
        <f aca="false">-ROUND(IF(科目对照回款!$F$4="",0,SUMIFS(输入回款!$C:$C,输入回款!$A:$A,助手回款!$X24,输入回款!$B:$B,科目对照回款!$F$4)+SUMIFS(输入回款!$D:$D,输入回款!$A:$A,助手回款!$X24,输入回款!$B:$B,科目对照回款!$F$4))+IF(科目对照回款!$G$4="",0,SUMIFS(输入回款!$C:$C,输入回款!$A:$A,助手回款!$X24,输入回款!$B:$B,科目对照回款!$G$4)+SUMIFS(输入回款!$D:$D,输入回款!$A:$A,助手回款!$X24,输入回款!$B:$B,科目对照回款!$G$4))+IF(科目对照回款!$H$4="",0,SUMIFS(输入回款!$C:$C,输入回款!$A:$A,助手回款!$X24,输入回款!$B:$B,科目对照回款!$H$4)+SUMIFS(输入回款!$D:$D,输入回款!$A:$A,助手回款!$X24,输入回款!$B:$B,科目对照回款!$H$4)),2)</f>
        <v>-17642.02</v>
      </c>
      <c r="H334" s="49" t="str">
        <f aca="false">IF(ROUND($G334,2)&gt;0,ROUND($G334,2),"")</f>
        <v/>
      </c>
      <c r="I334" s="49" t="n">
        <f aca="false">IF(ROUND($G334,2)&lt;0,-ROUND($G334,2),"")</f>
        <v>17642.02</v>
      </c>
      <c r="J334" s="20" t="n">
        <f aca="false">IF(ROUND($G334,2)=0,0,1)</f>
        <v>1</v>
      </c>
      <c r="K334" s="20" t="n">
        <f aca="false">IF($J334=0,"",SUM($J$332:$J334))</f>
        <v>2</v>
      </c>
      <c r="L334" s="20" t="n">
        <f aca="false">IF($K334="","",$A334*100+$K334)</f>
        <v>2302</v>
      </c>
      <c r="M334" s="48" t="str">
        <f aca="false">参数!$B$4</f>
        <v>回款</v>
      </c>
    </row>
    <row r="335" customFormat="false" ht="13.5" hidden="false" customHeight="false" outlineLevel="0" collapsed="false">
      <c r="A335" s="47" t="n">
        <v>23</v>
      </c>
      <c r="B335" s="38" t="n">
        <f aca="false">助手回款!$B24</f>
        <v>2036</v>
      </c>
      <c r="C335" s="48" t="str">
        <f aca="false">助手回款!$C24</f>
        <v>黑城店</v>
      </c>
      <c r="D335" s="48" t="str">
        <f aca="false">科目对照回款!$B5&amp;""</f>
        <v>医保</v>
      </c>
      <c r="E335" s="48" t="str">
        <f aca="false">科目对照回款!$C5&amp;""</f>
        <v>应收账款</v>
      </c>
      <c r="F335" s="48" t="str">
        <f aca="false">科目对照回款!$D5&amp;""</f>
        <v>医保</v>
      </c>
      <c r="G335" s="49" t="n">
        <f aca="false">-ROUND(IF(科目对照回款!$F$5="",0,SUMIFS(输入回款!$C:$C,输入回款!$A:$A,助手回款!$X24,输入回款!$B:$B,科目对照回款!$F$5)+SUMIFS(输入回款!$D:$D,输入回款!$A:$A,助手回款!$X24,输入回款!$B:$B,科目对照回款!$F$5))+IF(科目对照回款!$G$5="",0,SUMIFS(输入回款!$C:$C,输入回款!$A:$A,助手回款!$X24,输入回款!$B:$B,科目对照回款!$G$5)+SUMIFS(输入回款!$D:$D,输入回款!$A:$A,助手回款!$X24,输入回款!$B:$B,科目对照回款!$G$5))+IF(科目对照回款!$H$5="",0,SUMIFS(输入回款!$C:$C,输入回款!$A:$A,助手回款!$X24,输入回款!$B:$B,科目对照回款!$H$5)+SUMIFS(输入回款!$D:$D,输入回款!$A:$A,助手回款!$X24,输入回款!$B:$B,科目对照回款!$H$5)),2)</f>
        <v>-0</v>
      </c>
      <c r="H335" s="49" t="str">
        <f aca="false">IF(ROUND($G335,2)&gt;0,ROUND($G335,2),"")</f>
        <v/>
      </c>
      <c r="I335" s="49" t="str">
        <f aca="false">IF(ROUND($G335,2)&lt;0,-ROUND($G335,2),"")</f>
        <v/>
      </c>
      <c r="J335" s="20" t="n">
        <f aca="false">IF(ROUND($G335,2)=0,0,1)</f>
        <v>0</v>
      </c>
      <c r="K335" s="20" t="str">
        <f aca="false">IF($J335=0,"",SUM($J$332:$J335))</f>
        <v/>
      </c>
      <c r="L335" s="20" t="str">
        <f aca="false">IF($K335="","",$A335*100+$K335)</f>
        <v/>
      </c>
      <c r="M335" s="48" t="str">
        <f aca="false">参数!$B$4</f>
        <v>回款</v>
      </c>
    </row>
    <row r="336" customFormat="false" ht="13.5" hidden="false" customHeight="false" outlineLevel="0" collapsed="false">
      <c r="A336" s="47" t="n">
        <v>23</v>
      </c>
      <c r="B336" s="38" t="n">
        <f aca="false">助手回款!$B24</f>
        <v>2036</v>
      </c>
      <c r="C336" s="48" t="str">
        <f aca="false">助手回款!$C24</f>
        <v>黑城店</v>
      </c>
      <c r="D336" s="48" t="str">
        <f aca="false">科目对照回款!$B6&amp;""</f>
        <v>美团</v>
      </c>
      <c r="E336" s="48" t="str">
        <f aca="false">科目对照回款!$C6&amp;""</f>
        <v>应收账款</v>
      </c>
      <c r="F336" s="48" t="str">
        <f aca="false">科目对照回款!$D6&amp;""</f>
        <v>美团</v>
      </c>
      <c r="G336" s="49" t="n">
        <f aca="false">-ROUND(IF(科目对照回款!$F$6="",0,SUMIFS(输入回款!$C:$C,输入回款!$A:$A,助手回款!$X24,输入回款!$B:$B,科目对照回款!$F$6)+SUMIFS(输入回款!$D:$D,输入回款!$A:$A,助手回款!$X24,输入回款!$B:$B,科目对照回款!$F$6))+IF(科目对照回款!$G$6="",0,SUMIFS(输入回款!$C:$C,输入回款!$A:$A,助手回款!$X24,输入回款!$B:$B,科目对照回款!$G$6)+SUMIFS(输入回款!$D:$D,输入回款!$A:$A,助手回款!$X24,输入回款!$B:$B,科目对照回款!$G$6))+IF(科目对照回款!$H$6="",0,SUMIFS(输入回款!$C:$C,输入回款!$A:$A,助手回款!$X24,输入回款!$B:$B,科目对照回款!$H$6)+SUMIFS(输入回款!$D:$D,输入回款!$A:$A,助手回款!$X24,输入回款!$B:$B,科目对照回款!$H$6)),2)</f>
        <v>-0</v>
      </c>
      <c r="H336" s="49" t="str">
        <f aca="false">IF(ROUND($G336,2)&gt;0,ROUND($G336,2),"")</f>
        <v/>
      </c>
      <c r="I336" s="49" t="str">
        <f aca="false">IF(ROUND($G336,2)&lt;0,-ROUND($G336,2),"")</f>
        <v/>
      </c>
      <c r="J336" s="20" t="n">
        <f aca="false">IF(ROUND($G336,2)=0,0,1)</f>
        <v>0</v>
      </c>
      <c r="K336" s="20" t="str">
        <f aca="false">IF($J336=0,"",SUM($J$332:$J336))</f>
        <v/>
      </c>
      <c r="L336" s="20" t="str">
        <f aca="false">IF($K336="","",$A336*100+$K336)</f>
        <v/>
      </c>
      <c r="M336" s="48" t="str">
        <f aca="false">参数!$B$4</f>
        <v>回款</v>
      </c>
    </row>
    <row r="337" customFormat="false" ht="13.5" hidden="false" customHeight="false" outlineLevel="0" collapsed="false">
      <c r="A337" s="47" t="n">
        <v>23</v>
      </c>
      <c r="B337" s="38" t="n">
        <f aca="false">助手回款!$B24</f>
        <v>2036</v>
      </c>
      <c r="C337" s="48" t="str">
        <f aca="false">助手回款!$C24</f>
        <v>黑城店</v>
      </c>
      <c r="D337" s="48" t="str">
        <f aca="false">科目对照回款!$B7&amp;""</f>
        <v>饿了么</v>
      </c>
      <c r="E337" s="48" t="str">
        <f aca="false">科目对照回款!$C7&amp;""</f>
        <v>应收账款</v>
      </c>
      <c r="F337" s="48" t="str">
        <f aca="false">科目对照回款!$D7&amp;""</f>
        <v>饿了么</v>
      </c>
      <c r="G337" s="49" t="n">
        <f aca="false">-ROUND(IF(科目对照回款!$F$7="",0,SUMIFS(输入回款!$C:$C,输入回款!$A:$A,助手回款!$X24,输入回款!$B:$B,科目对照回款!$F$7)+SUMIFS(输入回款!$D:$D,输入回款!$A:$A,助手回款!$X24,输入回款!$B:$B,科目对照回款!$F$7))+IF(科目对照回款!$G$7="",0,SUMIFS(输入回款!$C:$C,输入回款!$A:$A,助手回款!$X24,输入回款!$B:$B,科目对照回款!$G$7)+SUMIFS(输入回款!$D:$D,输入回款!$A:$A,助手回款!$X24,输入回款!$B:$B,科目对照回款!$G$7))+IF(科目对照回款!$H$7="",0,SUMIFS(输入回款!$C:$C,输入回款!$A:$A,助手回款!$X24,输入回款!$B:$B,科目对照回款!$H$7)+SUMIFS(输入回款!$D:$D,输入回款!$A:$A,助手回款!$X24,输入回款!$B:$B,科目对照回款!$H$7)),2)</f>
        <v>-0</v>
      </c>
      <c r="H337" s="49" t="str">
        <f aca="false">IF(ROUND($G337,2)&gt;0,ROUND($G337,2),"")</f>
        <v/>
      </c>
      <c r="I337" s="49" t="str">
        <f aca="false">IF(ROUND($G337,2)&lt;0,-ROUND($G337,2),"")</f>
        <v/>
      </c>
      <c r="J337" s="20" t="n">
        <f aca="false">IF(ROUND($G337,2)=0,0,1)</f>
        <v>0</v>
      </c>
      <c r="K337" s="20" t="str">
        <f aca="false">IF($J337=0,"",SUM($J$332:$J337))</f>
        <v/>
      </c>
      <c r="L337" s="20" t="str">
        <f aca="false">IF($K337="","",$A337*100+$K337)</f>
        <v/>
      </c>
      <c r="M337" s="48" t="str">
        <f aca="false">参数!$B$4</f>
        <v>回款</v>
      </c>
    </row>
    <row r="338" customFormat="false" ht="13.5" hidden="false" customHeight="false" outlineLevel="0" collapsed="false">
      <c r="A338" s="47" t="n">
        <v>23</v>
      </c>
      <c r="B338" s="38" t="n">
        <f aca="false">助手回款!$B24</f>
        <v>2036</v>
      </c>
      <c r="C338" s="48" t="str">
        <f aca="false">助手回款!$C24</f>
        <v>黑城店</v>
      </c>
      <c r="D338" s="48" t="str">
        <f aca="false">科目对照回款!$B8&amp;""</f>
        <v>24小时</v>
      </c>
      <c r="E338" s="48" t="str">
        <f aca="false">科目对照回款!$C8&amp;""</f>
        <v>应收账款</v>
      </c>
      <c r="F338" s="48" t="str">
        <f aca="false">科目对照回款!$D8&amp;""</f>
        <v>24小时</v>
      </c>
      <c r="G338" s="49" t="n">
        <f aca="false">-ROUND(IF(科目对照回款!$F$8="",0,SUMIFS(输入回款!$C:$C,输入回款!$A:$A,助手回款!$X24,输入回款!$B:$B,科目对照回款!$F$8)+SUMIFS(输入回款!$D:$D,输入回款!$A:$A,助手回款!$X24,输入回款!$B:$B,科目对照回款!$F$8))+IF(科目对照回款!$G$8="",0,SUMIFS(输入回款!$C:$C,输入回款!$A:$A,助手回款!$X24,输入回款!$B:$B,科目对照回款!$G$8)+SUMIFS(输入回款!$D:$D,输入回款!$A:$A,助手回款!$X24,输入回款!$B:$B,科目对照回款!$G$8))+IF(科目对照回款!$H$8="",0,SUMIFS(输入回款!$C:$C,输入回款!$A:$A,助手回款!$X24,输入回款!$B:$B,科目对照回款!$H$8)+SUMIFS(输入回款!$D:$D,输入回款!$A:$A,助手回款!$X24,输入回款!$B:$B,科目对照回款!$H$8)),2)</f>
        <v>-0</v>
      </c>
      <c r="H338" s="49" t="str">
        <f aca="false">IF(ROUND($G338,2)&gt;0,ROUND($G338,2),"")</f>
        <v/>
      </c>
      <c r="I338" s="49" t="str">
        <f aca="false">IF(ROUND($G338,2)&lt;0,-ROUND($G338,2),"")</f>
        <v/>
      </c>
      <c r="J338" s="20" t="n">
        <f aca="false">IF(ROUND($G338,2)=0,0,1)</f>
        <v>0</v>
      </c>
      <c r="K338" s="20" t="str">
        <f aca="false">IF($J338=0,"",SUM($J$332:$J338))</f>
        <v/>
      </c>
      <c r="L338" s="20" t="str">
        <f aca="false">IF($K338="","",$A338*100+$K338)</f>
        <v/>
      </c>
      <c r="M338" s="48" t="str">
        <f aca="false">参数!$B$4</f>
        <v>回款</v>
      </c>
    </row>
    <row r="339" customFormat="false" ht="13.5" hidden="false" customHeight="false" outlineLevel="0" collapsed="false">
      <c r="A339" s="47" t="n">
        <v>23</v>
      </c>
      <c r="B339" s="38" t="n">
        <f aca="false">助手回款!$B24</f>
        <v>2036</v>
      </c>
      <c r="C339" s="48" t="str">
        <f aca="false">助手回款!$C24</f>
        <v>黑城店</v>
      </c>
      <c r="D339" s="48" t="str">
        <f aca="false">科目对照回款!$B9&amp;""</f>
        <v>健E卡</v>
      </c>
      <c r="E339" s="48" t="str">
        <f aca="false">科目对照回款!$C9&amp;""</f>
        <v>应收账款</v>
      </c>
      <c r="F339" s="48" t="str">
        <f aca="false">科目对照回款!$D9&amp;""</f>
        <v>健E卡</v>
      </c>
      <c r="G339" s="49" t="n">
        <f aca="false">-ROUND(IF(科目对照回款!$F$9="",0,SUMIFS(输入回款!$C:$C,输入回款!$A:$A,助手回款!$X24,输入回款!$B:$B,科目对照回款!$F$9)+SUMIFS(输入回款!$D:$D,输入回款!$A:$A,助手回款!$X24,输入回款!$B:$B,科目对照回款!$F$9))+IF(科目对照回款!$G$9="",0,SUMIFS(输入回款!$C:$C,输入回款!$A:$A,助手回款!$X24,输入回款!$B:$B,科目对照回款!$G$9)+SUMIFS(输入回款!$D:$D,输入回款!$A:$A,助手回款!$X24,输入回款!$B:$B,科目对照回款!$G$9))+IF(科目对照回款!$H$9="",0,SUMIFS(输入回款!$C:$C,输入回款!$A:$A,助手回款!$X24,输入回款!$B:$B,科目对照回款!$H$9)+SUMIFS(输入回款!$D:$D,输入回款!$A:$A,助手回款!$X24,输入回款!$B:$B,科目对照回款!$H$9)),2)</f>
        <v>-0</v>
      </c>
      <c r="H339" s="49" t="str">
        <f aca="false">IF(ROUND($G339,2)&gt;0,ROUND($G339,2),"")</f>
        <v/>
      </c>
      <c r="I339" s="49" t="str">
        <f aca="false">IF(ROUND($G339,2)&lt;0,-ROUND($G339,2),"")</f>
        <v/>
      </c>
      <c r="J339" s="20" t="n">
        <f aca="false">IF(ROUND($G339,2)=0,0,1)</f>
        <v>0</v>
      </c>
      <c r="K339" s="20" t="str">
        <f aca="false">IF($J339=0,"",SUM($J$332:$J339))</f>
        <v/>
      </c>
      <c r="L339" s="20" t="str">
        <f aca="false">IF($K339="","",$A339*100+$K339)</f>
        <v/>
      </c>
      <c r="M339" s="48" t="str">
        <f aca="false">参数!$B$4</f>
        <v>回款</v>
      </c>
    </row>
    <row r="340" customFormat="false" ht="13.5" hidden="false" customHeight="false" outlineLevel="0" collapsed="false">
      <c r="A340" s="47" t="n">
        <v>23</v>
      </c>
      <c r="B340" s="38" t="n">
        <f aca="false">助手回款!$B24</f>
        <v>2036</v>
      </c>
      <c r="C340" s="48" t="str">
        <f aca="false">助手回款!$C24</f>
        <v>黑城店</v>
      </c>
      <c r="D340" s="48" t="str">
        <f aca="false">科目对照回款!$B10&amp;""</f>
        <v>医卡通</v>
      </c>
      <c r="E340" s="48" t="str">
        <f aca="false">科目对照回款!$C10&amp;""</f>
        <v>应收账款</v>
      </c>
      <c r="F340" s="48" t="str">
        <f aca="false">科目对照回款!$D10&amp;""</f>
        <v>医卡通</v>
      </c>
      <c r="G340" s="49" t="n">
        <f aca="false">-ROUND(IF(科目对照回款!$F$10="",0,SUMIFS(输入回款!$C:$C,输入回款!$A:$A,助手回款!$X24,输入回款!$B:$B,科目对照回款!$F$10)+SUMIFS(输入回款!$D:$D,输入回款!$A:$A,助手回款!$X24,输入回款!$B:$B,科目对照回款!$F$10))+IF(科目对照回款!$G$10="",0,SUMIFS(输入回款!$C:$C,输入回款!$A:$A,助手回款!$X24,输入回款!$B:$B,科目对照回款!$G$10)+SUMIFS(输入回款!$D:$D,输入回款!$A:$A,助手回款!$X24,输入回款!$B:$B,科目对照回款!$G$10))+IF(科目对照回款!$H$10="",0,SUMIFS(输入回款!$C:$C,输入回款!$A:$A,助手回款!$X24,输入回款!$B:$B,科目对照回款!$H$10)+SUMIFS(输入回款!$D:$D,输入回款!$A:$A,助手回款!$X24,输入回款!$B:$B,科目对照回款!$H$10)),2)</f>
        <v>-0</v>
      </c>
      <c r="H340" s="49" t="str">
        <f aca="false">IF(ROUND($G340,2)&gt;0,ROUND($G340,2),"")</f>
        <v/>
      </c>
      <c r="I340" s="49" t="str">
        <f aca="false">IF(ROUND($G340,2)&lt;0,-ROUND($G340,2),"")</f>
        <v/>
      </c>
      <c r="J340" s="20" t="n">
        <f aca="false">IF(ROUND($G340,2)=0,0,1)</f>
        <v>0</v>
      </c>
      <c r="K340" s="20" t="str">
        <f aca="false">IF($J340=0,"",SUM($J$332:$J340))</f>
        <v/>
      </c>
      <c r="L340" s="20" t="str">
        <f aca="false">IF($K340="","",$A340*100+$K340)</f>
        <v/>
      </c>
      <c r="M340" s="48" t="str">
        <f aca="false">参数!$B$4</f>
        <v>回款</v>
      </c>
    </row>
    <row r="341" customFormat="false" ht="13.5" hidden="false" customHeight="false" outlineLevel="0" collapsed="false">
      <c r="A341" s="47" t="n">
        <v>23</v>
      </c>
      <c r="B341" s="38" t="n">
        <f aca="false">助手回款!$B24</f>
        <v>2036</v>
      </c>
      <c r="C341" s="48" t="str">
        <f aca="false">助手回款!$C24</f>
        <v>黑城店</v>
      </c>
      <c r="D341" s="48" t="str">
        <f aca="false">科目对照回款!$B11&amp;""</f>
        <v>企健网</v>
      </c>
      <c r="E341" s="48" t="str">
        <f aca="false">科目对照回款!$C11&amp;""</f>
        <v>应收账款</v>
      </c>
      <c r="F341" s="48" t="str">
        <f aca="false">科目对照回款!$D11&amp;""</f>
        <v>企健网</v>
      </c>
      <c r="G341" s="49" t="n">
        <f aca="false">-ROUND(IF(科目对照回款!$F$11="",0,SUMIFS(输入回款!$C:$C,输入回款!$A:$A,助手回款!$X24,输入回款!$B:$B,科目对照回款!$F$11)+SUMIFS(输入回款!$D:$D,输入回款!$A:$A,助手回款!$X24,输入回款!$B:$B,科目对照回款!$F$11))+IF(科目对照回款!$G$11="",0,SUMIFS(输入回款!$C:$C,输入回款!$A:$A,助手回款!$X24,输入回款!$B:$B,科目对照回款!$G$11)+SUMIFS(输入回款!$D:$D,输入回款!$A:$A,助手回款!$X24,输入回款!$B:$B,科目对照回款!$G$11))+IF(科目对照回款!$H$11="",0,SUMIFS(输入回款!$C:$C,输入回款!$A:$A,助手回款!$X24,输入回款!$B:$B,科目对照回款!$H$11)+SUMIFS(输入回款!$D:$D,输入回款!$A:$A,助手回款!$X24,输入回款!$B:$B,科目对照回款!$H$11)),2)</f>
        <v>-0</v>
      </c>
      <c r="H341" s="49" t="str">
        <f aca="false">IF(ROUND($G341,2)&gt;0,ROUND($G341,2),"")</f>
        <v/>
      </c>
      <c r="I341" s="49" t="str">
        <f aca="false">IF(ROUND($G341,2)&lt;0,-ROUND($G341,2),"")</f>
        <v/>
      </c>
      <c r="J341" s="20" t="n">
        <f aca="false">IF(ROUND($G341,2)=0,0,1)</f>
        <v>0</v>
      </c>
      <c r="K341" s="20" t="str">
        <f aca="false">IF($J341=0,"",SUM($J$332:$J341))</f>
        <v/>
      </c>
      <c r="L341" s="20" t="str">
        <f aca="false">IF($K341="","",$A341*100+$K341)</f>
        <v/>
      </c>
      <c r="M341" s="48" t="str">
        <f aca="false">参数!$B$4</f>
        <v>回款</v>
      </c>
    </row>
    <row r="342" customFormat="false" ht="13.5" hidden="false" customHeight="false" outlineLevel="0" collapsed="false">
      <c r="A342" s="47" t="n">
        <v>23</v>
      </c>
      <c r="B342" s="38" t="n">
        <f aca="false">助手回款!$B24</f>
        <v>2036</v>
      </c>
      <c r="C342" s="48" t="str">
        <f aca="false">助手回款!$C24</f>
        <v>黑城店</v>
      </c>
      <c r="D342" s="48" t="str">
        <f aca="false">科目对照回款!$B12&amp;""</f>
        <v>亲情卡</v>
      </c>
      <c r="E342" s="48" t="str">
        <f aca="false">科目对照回款!$C12&amp;""</f>
        <v>应收账款</v>
      </c>
      <c r="F342" s="48" t="str">
        <f aca="false">科目对照回款!$D12&amp;""</f>
        <v>亲情卡</v>
      </c>
      <c r="G342" s="49" t="n">
        <f aca="false">-ROUND(IF(科目对照回款!$F$12="",0,SUMIFS(输入回款!$C:$C,输入回款!$A:$A,助手回款!$X24,输入回款!$B:$B,科目对照回款!$F$12)+SUMIFS(输入回款!$D:$D,输入回款!$A:$A,助手回款!$X24,输入回款!$B:$B,科目对照回款!$F$12))+IF(科目对照回款!$G$12="",0,SUMIFS(输入回款!$C:$C,输入回款!$A:$A,助手回款!$X24,输入回款!$B:$B,科目对照回款!$G$12)+SUMIFS(输入回款!$D:$D,输入回款!$A:$A,助手回款!$X24,输入回款!$B:$B,科目对照回款!$G$12))+IF(科目对照回款!$H$12="",0,SUMIFS(输入回款!$C:$C,输入回款!$A:$A,助手回款!$X24,输入回款!$B:$B,科目对照回款!$H$12)+SUMIFS(输入回款!$D:$D,输入回款!$A:$A,助手回款!$X24,输入回款!$B:$B,科目对照回款!$H$12)),2)</f>
        <v>-0</v>
      </c>
      <c r="H342" s="49" t="str">
        <f aca="false">IF(ROUND($G342,2)&gt;0,ROUND($G342,2),"")</f>
        <v/>
      </c>
      <c r="I342" s="49" t="str">
        <f aca="false">IF(ROUND($G342,2)&lt;0,-ROUND($G342,2),"")</f>
        <v/>
      </c>
      <c r="J342" s="20" t="n">
        <f aca="false">IF(ROUND($G342,2)=0,0,1)</f>
        <v>0</v>
      </c>
      <c r="K342" s="20" t="str">
        <f aca="false">IF($J342=0,"",SUM($J$332:$J342))</f>
        <v/>
      </c>
      <c r="L342" s="20" t="str">
        <f aca="false">IF($K342="","",$A342*100+$K342)</f>
        <v/>
      </c>
      <c r="M342" s="48" t="str">
        <f aca="false">参数!$B$4</f>
        <v>回款</v>
      </c>
    </row>
    <row r="343" customFormat="false" ht="13.5" hidden="false" customHeight="false" outlineLevel="0" collapsed="false">
      <c r="A343" s="47" t="n">
        <v>23</v>
      </c>
      <c r="B343" s="38" t="n">
        <f aca="false">助手回款!$B24</f>
        <v>2036</v>
      </c>
      <c r="C343" s="48" t="str">
        <f aca="false">助手回款!$C24</f>
        <v>黑城店</v>
      </c>
      <c r="D343" s="48" t="str">
        <f aca="false">科目对照回款!$B13&amp;""</f>
        <v>银联</v>
      </c>
      <c r="E343" s="48" t="str">
        <f aca="false">科目对照回款!$C13&amp;""</f>
        <v>应收账款</v>
      </c>
      <c r="F343" s="48" t="str">
        <f aca="false">科目对照回款!$D13&amp;""</f>
        <v>银联</v>
      </c>
      <c r="G343" s="49" t="n">
        <f aca="false">-ROUND(IF(科目对照回款!$F$13="",0,SUMIFS(输入回款!$C:$C,输入回款!$A:$A,助手回款!$X24,输入回款!$B:$B,科目对照回款!$F$13)+SUMIFS(输入回款!$D:$D,输入回款!$A:$A,助手回款!$X24,输入回款!$B:$B,科目对照回款!$F$13))+IF(科目对照回款!$G$13="",0,SUMIFS(输入回款!$C:$C,输入回款!$A:$A,助手回款!$X24,输入回款!$B:$B,科目对照回款!$G$13)+SUMIFS(输入回款!$D:$D,输入回款!$A:$A,助手回款!$X24,输入回款!$B:$B,科目对照回款!$G$13))+IF(科目对照回款!$H$13="",0,SUMIFS(输入回款!$C:$C,输入回款!$A:$A,助手回款!$X24,输入回款!$B:$B,科目对照回款!$H$13)+SUMIFS(输入回款!$D:$D,输入回款!$A:$A,助手回款!$X24,输入回款!$B:$B,科目对照回款!$H$13)),2)</f>
        <v>-0</v>
      </c>
      <c r="H343" s="49" t="str">
        <f aca="false">IF(ROUND($G343,2)&gt;0,ROUND($G343,2),"")</f>
        <v/>
      </c>
      <c r="I343" s="49" t="str">
        <f aca="false">IF(ROUND($G343,2)&lt;0,-ROUND($G343,2),"")</f>
        <v/>
      </c>
      <c r="J343" s="20" t="n">
        <f aca="false">IF(ROUND($G343,2)=0,0,1)</f>
        <v>0</v>
      </c>
      <c r="K343" s="20" t="str">
        <f aca="false">IF($J343=0,"",SUM($J$332:$J343))</f>
        <v/>
      </c>
      <c r="L343" s="20" t="str">
        <f aca="false">IF($K343="","",$A343*100+$K343)</f>
        <v/>
      </c>
      <c r="M343" s="48" t="str">
        <f aca="false">参数!$B$4</f>
        <v>回款</v>
      </c>
    </row>
    <row r="344" customFormat="false" ht="13.5" hidden="false" customHeight="false" outlineLevel="0" collapsed="false">
      <c r="A344" s="47" t="n">
        <v>23</v>
      </c>
      <c r="B344" s="38" t="n">
        <f aca="false">助手回款!$B24</f>
        <v>2036</v>
      </c>
      <c r="C344" s="48" t="str">
        <f aca="false">助手回款!$C24</f>
        <v>黑城店</v>
      </c>
      <c r="D344" s="48" t="str">
        <f aca="false">科目对照回款!$B14&amp;""</f>
        <v>代金券</v>
      </c>
      <c r="E344" s="48" t="str">
        <f aca="false">科目对照回款!$C14&amp;""</f>
        <v>应收账款</v>
      </c>
      <c r="F344" s="48" t="str">
        <f aca="false">科目对照回款!$D14&amp;""</f>
        <v>代金券</v>
      </c>
      <c r="G344" s="49" t="n">
        <f aca="false">-ROUND(IF(科目对照回款!$F$14="",0,SUMIFS(输入回款!$C:$C,输入回款!$A:$A,助手回款!$X24,输入回款!$B:$B,科目对照回款!$F$14)+SUMIFS(输入回款!$D:$D,输入回款!$A:$A,助手回款!$X24,输入回款!$B:$B,科目对照回款!$F$14))+IF(科目对照回款!$G$14="",0,SUMIFS(输入回款!$C:$C,输入回款!$A:$A,助手回款!$X24,输入回款!$B:$B,科目对照回款!$G$14)+SUMIFS(输入回款!$D:$D,输入回款!$A:$A,助手回款!$X24,输入回款!$B:$B,科目对照回款!$G$14))+IF(科目对照回款!$H$14="",0,SUMIFS(输入回款!$C:$C,输入回款!$A:$A,助手回款!$X24,输入回款!$B:$B,科目对照回款!$H$14)+SUMIFS(输入回款!$D:$D,输入回款!$A:$A,助手回款!$X24,输入回款!$B:$B,科目对照回款!$H$14)),2)</f>
        <v>-0</v>
      </c>
      <c r="H344" s="49" t="str">
        <f aca="false">IF(ROUND($G344,2)&gt;0,ROUND($G344,2),"")</f>
        <v/>
      </c>
      <c r="I344" s="49" t="str">
        <f aca="false">IF(ROUND($G344,2)&lt;0,-ROUND($G344,2),"")</f>
        <v/>
      </c>
      <c r="J344" s="20" t="n">
        <f aca="false">IF(ROUND($G344,2)=0,0,1)</f>
        <v>0</v>
      </c>
      <c r="K344" s="20" t="str">
        <f aca="false">IF($J344=0,"",SUM($J$332:$J344))</f>
        <v/>
      </c>
      <c r="L344" s="20" t="str">
        <f aca="false">IF($K344="","",$A344*100+$K344)</f>
        <v/>
      </c>
      <c r="M344" s="48" t="str">
        <f aca="false">参数!$B$4</f>
        <v>回款</v>
      </c>
    </row>
    <row r="345" customFormat="false" ht="13.5" hidden="false" customHeight="false" outlineLevel="0" collapsed="false">
      <c r="A345" s="47" t="n">
        <v>23</v>
      </c>
      <c r="B345" s="38" t="n">
        <f aca="false">助手回款!$B24</f>
        <v>2036</v>
      </c>
      <c r="C345" s="48" t="str">
        <f aca="false">助手回款!$C24</f>
        <v>黑城店</v>
      </c>
      <c r="D345" s="48" t="str">
        <f aca="false">科目对照回款!$B15&amp;""</f>
        <v>药机微信</v>
      </c>
      <c r="E345" s="48" t="str">
        <f aca="false">科目对照回款!$C15&amp;""</f>
        <v>应收账款</v>
      </c>
      <c r="F345" s="48" t="str">
        <f aca="false">科目对照回款!$D15&amp;""</f>
        <v>药机微信</v>
      </c>
      <c r="G345" s="49" t="n">
        <f aca="false">-ROUND(IF(科目对照回款!$F$15="",0,SUMIFS(输入回款!$C:$C,输入回款!$A:$A,助手回款!$X24,输入回款!$B:$B,科目对照回款!$F$15)+SUMIFS(输入回款!$D:$D,输入回款!$A:$A,助手回款!$X24,输入回款!$B:$B,科目对照回款!$F$15))+IF(科目对照回款!$G$15="",0,SUMIFS(输入回款!$C:$C,输入回款!$A:$A,助手回款!$X24,输入回款!$B:$B,科目对照回款!$G$15)+SUMIFS(输入回款!$D:$D,输入回款!$A:$A,助手回款!$X24,输入回款!$B:$B,科目对照回款!$G$15))+IF(科目对照回款!$H$15="",0,SUMIFS(输入回款!$C:$C,输入回款!$A:$A,助手回款!$X24,输入回款!$B:$B,科目对照回款!$H$15)+SUMIFS(输入回款!$D:$D,输入回款!$A:$A,助手回款!$X24,输入回款!$B:$B,科目对照回款!$H$15)),2)</f>
        <v>-0</v>
      </c>
      <c r="H345" s="49" t="str">
        <f aca="false">IF(ROUND($G345,2)&gt;0,ROUND($G345,2),"")</f>
        <v/>
      </c>
      <c r="I345" s="49" t="str">
        <f aca="false">IF(ROUND($G345,2)&lt;0,-ROUND($G345,2),"")</f>
        <v/>
      </c>
      <c r="J345" s="20" t="n">
        <f aca="false">IF(ROUND($G345,2)=0,0,1)</f>
        <v>0</v>
      </c>
      <c r="K345" s="20" t="str">
        <f aca="false">IF($J345=0,"",SUM($J$332:$J345))</f>
        <v/>
      </c>
      <c r="L345" s="20" t="str">
        <f aca="false">IF($K345="","",$A345*100+$K345)</f>
        <v/>
      </c>
      <c r="M345" s="48" t="str">
        <f aca="false">参数!$B$4</f>
        <v>回款</v>
      </c>
    </row>
    <row r="346" customFormat="false" ht="13.5" hidden="false" customHeight="false" outlineLevel="0" collapsed="false">
      <c r="A346" s="47" t="n">
        <v>23</v>
      </c>
      <c r="B346" s="38" t="n">
        <f aca="false">助手回款!$B24</f>
        <v>2036</v>
      </c>
      <c r="C346" s="48" t="str">
        <f aca="false">助手回款!$C24</f>
        <v>黑城店</v>
      </c>
      <c r="D346" s="48" t="str">
        <f aca="false">科目对照回款!$B16&amp;""</f>
        <v>储值卡</v>
      </c>
      <c r="E346" s="48" t="str">
        <f aca="false">科目对照回款!$C16&amp;""</f>
        <v>其他应收款</v>
      </c>
      <c r="F346" s="48" t="str">
        <f aca="false">科目对照回款!$D16&amp;""</f>
        <v>储值卡</v>
      </c>
      <c r="G346" s="49" t="n">
        <f aca="false">-ROUND(IF(科目对照回款!$F$16="",0,SUMIFS(输入回款!$C:$C,输入回款!$A:$A,助手回款!$X24,输入回款!$B:$B,科目对照回款!$F$16)+SUMIFS(输入回款!$D:$D,输入回款!$A:$A,助手回款!$X24,输入回款!$B:$B,科目对照回款!$F$16))+IF(科目对照回款!$G$16="",0,SUMIFS(输入回款!$C:$C,输入回款!$A:$A,助手回款!$X24,输入回款!$B:$B,科目对照回款!$G$16)+SUMIFS(输入回款!$D:$D,输入回款!$A:$A,助手回款!$X24,输入回款!$B:$B,科目对照回款!$G$16))+IF(科目对照回款!$H$16="",0,SUMIFS(输入回款!$C:$C,输入回款!$A:$A,助手回款!$X24,输入回款!$B:$B,科目对照回款!$H$16)+SUMIFS(输入回款!$D:$D,输入回款!$A:$A,助手回款!$X24,输入回款!$B:$B,科目对照回款!$H$16)),2)</f>
        <v>-0</v>
      </c>
      <c r="H346" s="49" t="str">
        <f aca="false">IF(ROUND($G346,2)&gt;0,ROUND($G346,2),"")</f>
        <v/>
      </c>
      <c r="I346" s="49" t="str">
        <f aca="false">IF(ROUND($G346,2)&lt;0,-ROUND($G346,2),"")</f>
        <v/>
      </c>
      <c r="J346" s="20" t="n">
        <f aca="false">IF(ROUND($G346,2)=0,0,1)</f>
        <v>0</v>
      </c>
      <c r="K346" s="20" t="str">
        <f aca="false">IF($J346=0,"",SUM($J$332:$J346))</f>
        <v/>
      </c>
      <c r="L346" s="20" t="str">
        <f aca="false">IF($K346="","",$A346*100+$K346)</f>
        <v/>
      </c>
      <c r="M346" s="48" t="str">
        <f aca="false">参数!$B$4</f>
        <v>回款</v>
      </c>
    </row>
    <row r="347" customFormat="false" ht="13.5" hidden="false" customHeight="false" outlineLevel="0" collapsed="false">
      <c r="A347" s="47" t="n">
        <v>24</v>
      </c>
      <c r="B347" s="38" t="n">
        <f aca="false">助手回款!$B25</f>
        <v>2037</v>
      </c>
      <c r="C347" s="48" t="str">
        <f aca="false">助手回款!$C25</f>
        <v>新华路店</v>
      </c>
      <c r="D347" s="48" t="str">
        <f aca="false">科目对照回款!$B2&amp;""</f>
        <v>库存现金</v>
      </c>
      <c r="E347" s="48" t="str">
        <f aca="false">科目对照回款!$C2&amp;""</f>
        <v>库存现金</v>
      </c>
      <c r="F347" s="48" t="str">
        <f aca="false">科目对照回款!$D2&amp;""</f>
        <v/>
      </c>
      <c r="G347" s="49" t="n">
        <f aca="false">助手回款!$E25</f>
        <v>45182.19</v>
      </c>
      <c r="H347" s="49" t="n">
        <f aca="false">IF(ROUND($G347,2)&gt;0,ROUND($G347,2),"")</f>
        <v>45182.19</v>
      </c>
      <c r="I347" s="49" t="str">
        <f aca="false">IF(ROUND($G347,2)&lt;0,-ROUND($G347,2),"")</f>
        <v/>
      </c>
      <c r="J347" s="20" t="n">
        <f aca="false">IF(ROUND($G347,2)=0,0,1)</f>
        <v>1</v>
      </c>
      <c r="K347" s="20" t="n">
        <f aca="false">IF($J347=0,"",SUM($J$347:$J347))</f>
        <v>1</v>
      </c>
      <c r="L347" s="20" t="n">
        <f aca="false">IF($K347="","",$A347*100+$K347)</f>
        <v>2401</v>
      </c>
      <c r="M347" s="48" t="str">
        <f aca="false">参数!$B$4</f>
        <v>回款</v>
      </c>
    </row>
    <row r="348" customFormat="false" ht="13.5" hidden="false" customHeight="false" outlineLevel="0" collapsed="false">
      <c r="A348" s="47" t="n">
        <v>24</v>
      </c>
      <c r="B348" s="38" t="n">
        <f aca="false">助手回款!$B25</f>
        <v>2037</v>
      </c>
      <c r="C348" s="48" t="str">
        <f aca="false">助手回款!$C25</f>
        <v>新华路店</v>
      </c>
      <c r="D348" s="48" t="str">
        <f aca="false">科目对照回款!$B3&amp;""</f>
        <v>手续费</v>
      </c>
      <c r="E348" s="48" t="str">
        <f aca="false">科目对照回款!$C3&amp;""</f>
        <v>财务费用</v>
      </c>
      <c r="F348" s="48" t="str">
        <f aca="false">科目对照回款!$D3&amp;""</f>
        <v>手续费</v>
      </c>
      <c r="G348" s="49" t="n">
        <f aca="false">助手回款!$F25</f>
        <v>4147.09</v>
      </c>
      <c r="H348" s="49" t="n">
        <f aca="false">IF(ROUND($G348,2)&gt;0,ROUND($G348,2),"")</f>
        <v>4147.09</v>
      </c>
      <c r="I348" s="49" t="str">
        <f aca="false">IF(ROUND($G348,2)&lt;0,-ROUND($G348,2),"")</f>
        <v/>
      </c>
      <c r="J348" s="20" t="n">
        <f aca="false">IF(ROUND($G348,2)=0,0,1)</f>
        <v>1</v>
      </c>
      <c r="K348" s="20" t="n">
        <f aca="false">IF($J348=0,"",SUM($J$347:$J348))</f>
        <v>2</v>
      </c>
      <c r="L348" s="20" t="n">
        <f aca="false">IF($K348="","",$A348*100+$K348)</f>
        <v>2402</v>
      </c>
      <c r="M348" s="48" t="str">
        <f aca="false">参数!$B$4</f>
        <v>回款</v>
      </c>
    </row>
    <row r="349" customFormat="false" ht="13.5" hidden="false" customHeight="false" outlineLevel="0" collapsed="false">
      <c r="A349" s="47" t="n">
        <v>24</v>
      </c>
      <c r="B349" s="38" t="n">
        <f aca="false">助手回款!$B25</f>
        <v>2037</v>
      </c>
      <c r="C349" s="48" t="str">
        <f aca="false">助手回款!$C25</f>
        <v>新华路店</v>
      </c>
      <c r="D349" s="48" t="str">
        <f aca="false">科目对照回款!$B4&amp;""</f>
        <v>聚合支付</v>
      </c>
      <c r="E349" s="48" t="str">
        <f aca="false">科目对照回款!$C4&amp;""</f>
        <v>应收账款</v>
      </c>
      <c r="F349" s="48" t="str">
        <f aca="false">科目对照回款!$D4&amp;""</f>
        <v>聚合支付</v>
      </c>
      <c r="G349" s="49" t="n">
        <f aca="false">-ROUND(IF(科目对照回款!$F$4="",0,SUMIFS(输入回款!$C:$C,输入回款!$A:$A,助手回款!$X25,输入回款!$B:$B,科目对照回款!$F$4)+SUMIFS(输入回款!$D:$D,输入回款!$A:$A,助手回款!$X25,输入回款!$B:$B,科目对照回款!$F$4))+IF(科目对照回款!$G$4="",0,SUMIFS(输入回款!$C:$C,输入回款!$A:$A,助手回款!$X25,输入回款!$B:$B,科目对照回款!$G$4)+SUMIFS(输入回款!$D:$D,输入回款!$A:$A,助手回款!$X25,输入回款!$B:$B,科目对照回款!$G$4))+IF(科目对照回款!$H$4="",0,SUMIFS(输入回款!$C:$C,输入回款!$A:$A,助手回款!$X25,输入回款!$B:$B,科目对照回款!$H$4)+SUMIFS(输入回款!$D:$D,输入回款!$A:$A,助手回款!$X25,输入回款!$B:$B,科目对照回款!$H$4)),2)</f>
        <v>-22777.69</v>
      </c>
      <c r="H349" s="49" t="str">
        <f aca="false">IF(ROUND($G349,2)&gt;0,ROUND($G349,2),"")</f>
        <v/>
      </c>
      <c r="I349" s="49" t="n">
        <f aca="false">IF(ROUND($G349,2)&lt;0,-ROUND($G349,2),"")</f>
        <v>22777.69</v>
      </c>
      <c r="J349" s="20" t="n">
        <f aca="false">IF(ROUND($G349,2)=0,0,1)</f>
        <v>1</v>
      </c>
      <c r="K349" s="20" t="n">
        <f aca="false">IF($J349=0,"",SUM($J$347:$J349))</f>
        <v>3</v>
      </c>
      <c r="L349" s="20" t="n">
        <f aca="false">IF($K349="","",$A349*100+$K349)</f>
        <v>2403</v>
      </c>
      <c r="M349" s="48" t="str">
        <f aca="false">参数!$B$4</f>
        <v>回款</v>
      </c>
    </row>
    <row r="350" customFormat="false" ht="13.5" hidden="false" customHeight="false" outlineLevel="0" collapsed="false">
      <c r="A350" s="47" t="n">
        <v>24</v>
      </c>
      <c r="B350" s="38" t="n">
        <f aca="false">助手回款!$B25</f>
        <v>2037</v>
      </c>
      <c r="C350" s="48" t="str">
        <f aca="false">助手回款!$C25</f>
        <v>新华路店</v>
      </c>
      <c r="D350" s="48" t="str">
        <f aca="false">科目对照回款!$B5&amp;""</f>
        <v>医保</v>
      </c>
      <c r="E350" s="48" t="str">
        <f aca="false">科目对照回款!$C5&amp;""</f>
        <v>应收账款</v>
      </c>
      <c r="F350" s="48" t="str">
        <f aca="false">科目对照回款!$D5&amp;""</f>
        <v>医保</v>
      </c>
      <c r="G350" s="49" t="n">
        <f aca="false">-ROUND(IF(科目对照回款!$F$5="",0,SUMIFS(输入回款!$C:$C,输入回款!$A:$A,助手回款!$X25,输入回款!$B:$B,科目对照回款!$F$5)+SUMIFS(输入回款!$D:$D,输入回款!$A:$A,助手回款!$X25,输入回款!$B:$B,科目对照回款!$F$5))+IF(科目对照回款!$G$5="",0,SUMIFS(输入回款!$C:$C,输入回款!$A:$A,助手回款!$X25,输入回款!$B:$B,科目对照回款!$G$5)+SUMIFS(输入回款!$D:$D,输入回款!$A:$A,助手回款!$X25,输入回款!$B:$B,科目对照回款!$G$5))+IF(科目对照回款!$H$5="",0,SUMIFS(输入回款!$C:$C,输入回款!$A:$A,助手回款!$X25,输入回款!$B:$B,科目对照回款!$H$5)+SUMIFS(输入回款!$D:$D,输入回款!$A:$A,助手回款!$X25,输入回款!$B:$B,科目对照回款!$H$5)),2)</f>
        <v>-12655.09</v>
      </c>
      <c r="H350" s="49" t="str">
        <f aca="false">IF(ROUND($G350,2)&gt;0,ROUND($G350,2),"")</f>
        <v/>
      </c>
      <c r="I350" s="49" t="n">
        <f aca="false">IF(ROUND($G350,2)&lt;0,-ROUND($G350,2),"")</f>
        <v>12655.09</v>
      </c>
      <c r="J350" s="20" t="n">
        <f aca="false">IF(ROUND($G350,2)=0,0,1)</f>
        <v>1</v>
      </c>
      <c r="K350" s="20" t="n">
        <f aca="false">IF($J350=0,"",SUM($J$347:$J350))</f>
        <v>4</v>
      </c>
      <c r="L350" s="20" t="n">
        <f aca="false">IF($K350="","",$A350*100+$K350)</f>
        <v>2404</v>
      </c>
      <c r="M350" s="48" t="str">
        <f aca="false">参数!$B$4</f>
        <v>回款</v>
      </c>
    </row>
    <row r="351" customFormat="false" ht="13.5" hidden="false" customHeight="false" outlineLevel="0" collapsed="false">
      <c r="A351" s="47" t="n">
        <v>24</v>
      </c>
      <c r="B351" s="38" t="n">
        <f aca="false">助手回款!$B25</f>
        <v>2037</v>
      </c>
      <c r="C351" s="48" t="str">
        <f aca="false">助手回款!$C25</f>
        <v>新华路店</v>
      </c>
      <c r="D351" s="48" t="str">
        <f aca="false">科目对照回款!$B6&amp;""</f>
        <v>美团</v>
      </c>
      <c r="E351" s="48" t="str">
        <f aca="false">科目对照回款!$C6&amp;""</f>
        <v>应收账款</v>
      </c>
      <c r="F351" s="48" t="str">
        <f aca="false">科目对照回款!$D6&amp;""</f>
        <v>美团</v>
      </c>
      <c r="G351" s="49" t="n">
        <f aca="false">-ROUND(IF(科目对照回款!$F$6="",0,SUMIFS(输入回款!$C:$C,输入回款!$A:$A,助手回款!$X25,输入回款!$B:$B,科目对照回款!$F$6)+SUMIFS(输入回款!$D:$D,输入回款!$A:$A,助手回款!$X25,输入回款!$B:$B,科目对照回款!$F$6))+IF(科目对照回款!$G$6="",0,SUMIFS(输入回款!$C:$C,输入回款!$A:$A,助手回款!$X25,输入回款!$B:$B,科目对照回款!$G$6)+SUMIFS(输入回款!$D:$D,输入回款!$A:$A,助手回款!$X25,输入回款!$B:$B,科目对照回款!$G$6))+IF(科目对照回款!$H$6="",0,SUMIFS(输入回款!$C:$C,输入回款!$A:$A,助手回款!$X25,输入回款!$B:$B,科目对照回款!$H$6)+SUMIFS(输入回款!$D:$D,输入回款!$A:$A,助手回款!$X25,输入回款!$B:$B,科目对照回款!$H$6)),2)</f>
        <v>-7586.1</v>
      </c>
      <c r="H351" s="49" t="str">
        <f aca="false">IF(ROUND($G351,2)&gt;0,ROUND($G351,2),"")</f>
        <v/>
      </c>
      <c r="I351" s="49" t="n">
        <f aca="false">IF(ROUND($G351,2)&lt;0,-ROUND($G351,2),"")</f>
        <v>7586.1</v>
      </c>
      <c r="J351" s="20" t="n">
        <f aca="false">IF(ROUND($G351,2)=0,0,1)</f>
        <v>1</v>
      </c>
      <c r="K351" s="20" t="n">
        <f aca="false">IF($J351=0,"",SUM($J$347:$J351))</f>
        <v>5</v>
      </c>
      <c r="L351" s="20" t="n">
        <f aca="false">IF($K351="","",$A351*100+$K351)</f>
        <v>2405</v>
      </c>
      <c r="M351" s="48" t="str">
        <f aca="false">参数!$B$4</f>
        <v>回款</v>
      </c>
    </row>
    <row r="352" customFormat="false" ht="13.5" hidden="false" customHeight="false" outlineLevel="0" collapsed="false">
      <c r="A352" s="47" t="n">
        <v>24</v>
      </c>
      <c r="B352" s="38" t="n">
        <f aca="false">助手回款!$B25</f>
        <v>2037</v>
      </c>
      <c r="C352" s="48" t="str">
        <f aca="false">助手回款!$C25</f>
        <v>新华路店</v>
      </c>
      <c r="D352" s="48" t="str">
        <f aca="false">科目对照回款!$B7&amp;""</f>
        <v>饿了么</v>
      </c>
      <c r="E352" s="48" t="str">
        <f aca="false">科目对照回款!$C7&amp;""</f>
        <v>应收账款</v>
      </c>
      <c r="F352" s="48" t="str">
        <f aca="false">科目对照回款!$D7&amp;""</f>
        <v>饿了么</v>
      </c>
      <c r="G352" s="49" t="n">
        <f aca="false">-ROUND(IF(科目对照回款!$F$7="",0,SUMIFS(输入回款!$C:$C,输入回款!$A:$A,助手回款!$X25,输入回款!$B:$B,科目对照回款!$F$7)+SUMIFS(输入回款!$D:$D,输入回款!$A:$A,助手回款!$X25,输入回款!$B:$B,科目对照回款!$F$7))+IF(科目对照回款!$G$7="",0,SUMIFS(输入回款!$C:$C,输入回款!$A:$A,助手回款!$X25,输入回款!$B:$B,科目对照回款!$G$7)+SUMIFS(输入回款!$D:$D,输入回款!$A:$A,助手回款!$X25,输入回款!$B:$B,科目对照回款!$G$7))+IF(科目对照回款!$H$7="",0,SUMIFS(输入回款!$C:$C,输入回款!$A:$A,助手回款!$X25,输入回款!$B:$B,科目对照回款!$H$7)+SUMIFS(输入回款!$D:$D,输入回款!$A:$A,助手回款!$X25,输入回款!$B:$B,科目对照回款!$H$7)),2)</f>
        <v>-6310.4</v>
      </c>
      <c r="H352" s="49" t="str">
        <f aca="false">IF(ROUND($G352,2)&gt;0,ROUND($G352,2),"")</f>
        <v/>
      </c>
      <c r="I352" s="49" t="n">
        <f aca="false">IF(ROUND($G352,2)&lt;0,-ROUND($G352,2),"")</f>
        <v>6310.4</v>
      </c>
      <c r="J352" s="20" t="n">
        <f aca="false">IF(ROUND($G352,2)=0,0,1)</f>
        <v>1</v>
      </c>
      <c r="K352" s="20" t="n">
        <f aca="false">IF($J352=0,"",SUM($J$347:$J352))</f>
        <v>6</v>
      </c>
      <c r="L352" s="20" t="n">
        <f aca="false">IF($K352="","",$A352*100+$K352)</f>
        <v>2406</v>
      </c>
      <c r="M352" s="48" t="str">
        <f aca="false">参数!$B$4</f>
        <v>回款</v>
      </c>
    </row>
    <row r="353" customFormat="false" ht="13.5" hidden="false" customHeight="false" outlineLevel="0" collapsed="false">
      <c r="A353" s="47" t="n">
        <v>24</v>
      </c>
      <c r="B353" s="38" t="n">
        <f aca="false">助手回款!$B25</f>
        <v>2037</v>
      </c>
      <c r="C353" s="48" t="str">
        <f aca="false">助手回款!$C25</f>
        <v>新华路店</v>
      </c>
      <c r="D353" s="48" t="str">
        <f aca="false">科目对照回款!$B8&amp;""</f>
        <v>24小时</v>
      </c>
      <c r="E353" s="48" t="str">
        <f aca="false">科目对照回款!$C8&amp;""</f>
        <v>应收账款</v>
      </c>
      <c r="F353" s="48" t="str">
        <f aca="false">科目对照回款!$D8&amp;""</f>
        <v>24小时</v>
      </c>
      <c r="G353" s="49" t="n">
        <f aca="false">-ROUND(IF(科目对照回款!$F$8="",0,SUMIFS(输入回款!$C:$C,输入回款!$A:$A,助手回款!$X25,输入回款!$B:$B,科目对照回款!$F$8)+SUMIFS(输入回款!$D:$D,输入回款!$A:$A,助手回款!$X25,输入回款!$B:$B,科目对照回款!$F$8))+IF(科目对照回款!$G$8="",0,SUMIFS(输入回款!$C:$C,输入回款!$A:$A,助手回款!$X25,输入回款!$B:$B,科目对照回款!$G$8)+SUMIFS(输入回款!$D:$D,输入回款!$A:$A,助手回款!$X25,输入回款!$B:$B,科目对照回款!$G$8))+IF(科目对照回款!$H$8="",0,SUMIFS(输入回款!$C:$C,输入回款!$A:$A,助手回款!$X25,输入回款!$B:$B,科目对照回款!$H$8)+SUMIFS(输入回款!$D:$D,输入回款!$A:$A,助手回款!$X25,输入回款!$B:$B,科目对照回款!$H$8)),2)</f>
        <v>-0</v>
      </c>
      <c r="H353" s="49" t="str">
        <f aca="false">IF(ROUND($G353,2)&gt;0,ROUND($G353,2),"")</f>
        <v/>
      </c>
      <c r="I353" s="49" t="str">
        <f aca="false">IF(ROUND($G353,2)&lt;0,-ROUND($G353,2),"")</f>
        <v/>
      </c>
      <c r="J353" s="20" t="n">
        <f aca="false">IF(ROUND($G353,2)=0,0,1)</f>
        <v>0</v>
      </c>
      <c r="K353" s="20" t="str">
        <f aca="false">IF($J353=0,"",SUM($J$347:$J353))</f>
        <v/>
      </c>
      <c r="L353" s="20" t="str">
        <f aca="false">IF($K353="","",$A353*100+$K353)</f>
        <v/>
      </c>
      <c r="M353" s="48" t="str">
        <f aca="false">参数!$B$4</f>
        <v>回款</v>
      </c>
    </row>
    <row r="354" customFormat="false" ht="13.5" hidden="false" customHeight="false" outlineLevel="0" collapsed="false">
      <c r="A354" s="47" t="n">
        <v>24</v>
      </c>
      <c r="B354" s="38" t="n">
        <f aca="false">助手回款!$B25</f>
        <v>2037</v>
      </c>
      <c r="C354" s="48" t="str">
        <f aca="false">助手回款!$C25</f>
        <v>新华路店</v>
      </c>
      <c r="D354" s="48" t="str">
        <f aca="false">科目对照回款!$B9&amp;""</f>
        <v>健E卡</v>
      </c>
      <c r="E354" s="48" t="str">
        <f aca="false">科目对照回款!$C9&amp;""</f>
        <v>应收账款</v>
      </c>
      <c r="F354" s="48" t="str">
        <f aca="false">科目对照回款!$D9&amp;""</f>
        <v>健E卡</v>
      </c>
      <c r="G354" s="49" t="n">
        <f aca="false">-ROUND(IF(科目对照回款!$F$9="",0,SUMIFS(输入回款!$C:$C,输入回款!$A:$A,助手回款!$X25,输入回款!$B:$B,科目对照回款!$F$9)+SUMIFS(输入回款!$D:$D,输入回款!$A:$A,助手回款!$X25,输入回款!$B:$B,科目对照回款!$F$9))+IF(科目对照回款!$G$9="",0,SUMIFS(输入回款!$C:$C,输入回款!$A:$A,助手回款!$X25,输入回款!$B:$B,科目对照回款!$G$9)+SUMIFS(输入回款!$D:$D,输入回款!$A:$A,助手回款!$X25,输入回款!$B:$B,科目对照回款!$G$9))+IF(科目对照回款!$H$9="",0,SUMIFS(输入回款!$C:$C,输入回款!$A:$A,助手回款!$X25,输入回款!$B:$B,科目对照回款!$H$9)+SUMIFS(输入回款!$D:$D,输入回款!$A:$A,助手回款!$X25,输入回款!$B:$B,科目对照回款!$H$9)),2)</f>
        <v>-0</v>
      </c>
      <c r="H354" s="49" t="str">
        <f aca="false">IF(ROUND($G354,2)&gt;0,ROUND($G354,2),"")</f>
        <v/>
      </c>
      <c r="I354" s="49" t="str">
        <f aca="false">IF(ROUND($G354,2)&lt;0,-ROUND($G354,2),"")</f>
        <v/>
      </c>
      <c r="J354" s="20" t="n">
        <f aca="false">IF(ROUND($G354,2)=0,0,1)</f>
        <v>0</v>
      </c>
      <c r="K354" s="20" t="str">
        <f aca="false">IF($J354=0,"",SUM($J$347:$J354))</f>
        <v/>
      </c>
      <c r="L354" s="20" t="str">
        <f aca="false">IF($K354="","",$A354*100+$K354)</f>
        <v/>
      </c>
      <c r="M354" s="48" t="str">
        <f aca="false">参数!$B$4</f>
        <v>回款</v>
      </c>
    </row>
    <row r="355" customFormat="false" ht="13.5" hidden="false" customHeight="false" outlineLevel="0" collapsed="false">
      <c r="A355" s="47" t="n">
        <v>24</v>
      </c>
      <c r="B355" s="38" t="n">
        <f aca="false">助手回款!$B25</f>
        <v>2037</v>
      </c>
      <c r="C355" s="48" t="str">
        <f aca="false">助手回款!$C25</f>
        <v>新华路店</v>
      </c>
      <c r="D355" s="48" t="str">
        <f aca="false">科目对照回款!$B10&amp;""</f>
        <v>医卡通</v>
      </c>
      <c r="E355" s="48" t="str">
        <f aca="false">科目对照回款!$C10&amp;""</f>
        <v>应收账款</v>
      </c>
      <c r="F355" s="48" t="str">
        <f aca="false">科目对照回款!$D10&amp;""</f>
        <v>医卡通</v>
      </c>
      <c r="G355" s="49" t="n">
        <f aca="false">-ROUND(IF(科目对照回款!$F$10="",0,SUMIFS(输入回款!$C:$C,输入回款!$A:$A,助手回款!$X25,输入回款!$B:$B,科目对照回款!$F$10)+SUMIFS(输入回款!$D:$D,输入回款!$A:$A,助手回款!$X25,输入回款!$B:$B,科目对照回款!$F$10))+IF(科目对照回款!$G$10="",0,SUMIFS(输入回款!$C:$C,输入回款!$A:$A,助手回款!$X25,输入回款!$B:$B,科目对照回款!$G$10)+SUMIFS(输入回款!$D:$D,输入回款!$A:$A,助手回款!$X25,输入回款!$B:$B,科目对照回款!$G$10))+IF(科目对照回款!$H$10="",0,SUMIFS(输入回款!$C:$C,输入回款!$A:$A,助手回款!$X25,输入回款!$B:$B,科目对照回款!$H$10)+SUMIFS(输入回款!$D:$D,输入回款!$A:$A,助手回款!$X25,输入回款!$B:$B,科目对照回款!$H$10)),2)</f>
        <v>-0</v>
      </c>
      <c r="H355" s="49" t="str">
        <f aca="false">IF(ROUND($G355,2)&gt;0,ROUND($G355,2),"")</f>
        <v/>
      </c>
      <c r="I355" s="49" t="str">
        <f aca="false">IF(ROUND($G355,2)&lt;0,-ROUND($G355,2),"")</f>
        <v/>
      </c>
      <c r="J355" s="20" t="n">
        <f aca="false">IF(ROUND($G355,2)=0,0,1)</f>
        <v>0</v>
      </c>
      <c r="K355" s="20" t="str">
        <f aca="false">IF($J355=0,"",SUM($J$347:$J355))</f>
        <v/>
      </c>
      <c r="L355" s="20" t="str">
        <f aca="false">IF($K355="","",$A355*100+$K355)</f>
        <v/>
      </c>
      <c r="M355" s="48" t="str">
        <f aca="false">参数!$B$4</f>
        <v>回款</v>
      </c>
    </row>
    <row r="356" customFormat="false" ht="13.5" hidden="false" customHeight="false" outlineLevel="0" collapsed="false">
      <c r="A356" s="47" t="n">
        <v>24</v>
      </c>
      <c r="B356" s="38" t="n">
        <f aca="false">助手回款!$B25</f>
        <v>2037</v>
      </c>
      <c r="C356" s="48" t="str">
        <f aca="false">助手回款!$C25</f>
        <v>新华路店</v>
      </c>
      <c r="D356" s="48" t="str">
        <f aca="false">科目对照回款!$B11&amp;""</f>
        <v>企健网</v>
      </c>
      <c r="E356" s="48" t="str">
        <f aca="false">科目对照回款!$C11&amp;""</f>
        <v>应收账款</v>
      </c>
      <c r="F356" s="48" t="str">
        <f aca="false">科目对照回款!$D11&amp;""</f>
        <v>企健网</v>
      </c>
      <c r="G356" s="49" t="n">
        <f aca="false">-ROUND(IF(科目对照回款!$F$11="",0,SUMIFS(输入回款!$C:$C,输入回款!$A:$A,助手回款!$X25,输入回款!$B:$B,科目对照回款!$F$11)+SUMIFS(输入回款!$D:$D,输入回款!$A:$A,助手回款!$X25,输入回款!$B:$B,科目对照回款!$F$11))+IF(科目对照回款!$G$11="",0,SUMIFS(输入回款!$C:$C,输入回款!$A:$A,助手回款!$X25,输入回款!$B:$B,科目对照回款!$G$11)+SUMIFS(输入回款!$D:$D,输入回款!$A:$A,助手回款!$X25,输入回款!$B:$B,科目对照回款!$G$11))+IF(科目对照回款!$H$11="",0,SUMIFS(输入回款!$C:$C,输入回款!$A:$A,助手回款!$X25,输入回款!$B:$B,科目对照回款!$H$11)+SUMIFS(输入回款!$D:$D,输入回款!$A:$A,助手回款!$X25,输入回款!$B:$B,科目对照回款!$H$11)),2)</f>
        <v>-0</v>
      </c>
      <c r="H356" s="49" t="str">
        <f aca="false">IF(ROUND($G356,2)&gt;0,ROUND($G356,2),"")</f>
        <v/>
      </c>
      <c r="I356" s="49" t="str">
        <f aca="false">IF(ROUND($G356,2)&lt;0,-ROUND($G356,2),"")</f>
        <v/>
      </c>
      <c r="J356" s="20" t="n">
        <f aca="false">IF(ROUND($G356,2)=0,0,1)</f>
        <v>0</v>
      </c>
      <c r="K356" s="20" t="str">
        <f aca="false">IF($J356=0,"",SUM($J$347:$J356))</f>
        <v/>
      </c>
      <c r="L356" s="20" t="str">
        <f aca="false">IF($K356="","",$A356*100+$K356)</f>
        <v/>
      </c>
      <c r="M356" s="48" t="str">
        <f aca="false">参数!$B$4</f>
        <v>回款</v>
      </c>
    </row>
    <row r="357" customFormat="false" ht="13.5" hidden="false" customHeight="false" outlineLevel="0" collapsed="false">
      <c r="A357" s="47" t="n">
        <v>24</v>
      </c>
      <c r="B357" s="38" t="n">
        <f aca="false">助手回款!$B25</f>
        <v>2037</v>
      </c>
      <c r="C357" s="48" t="str">
        <f aca="false">助手回款!$C25</f>
        <v>新华路店</v>
      </c>
      <c r="D357" s="48" t="str">
        <f aca="false">科目对照回款!$B12&amp;""</f>
        <v>亲情卡</v>
      </c>
      <c r="E357" s="48" t="str">
        <f aca="false">科目对照回款!$C12&amp;""</f>
        <v>应收账款</v>
      </c>
      <c r="F357" s="48" t="str">
        <f aca="false">科目对照回款!$D12&amp;""</f>
        <v>亲情卡</v>
      </c>
      <c r="G357" s="49" t="n">
        <f aca="false">-ROUND(IF(科目对照回款!$F$12="",0,SUMIFS(输入回款!$C:$C,输入回款!$A:$A,助手回款!$X25,输入回款!$B:$B,科目对照回款!$F$12)+SUMIFS(输入回款!$D:$D,输入回款!$A:$A,助手回款!$X25,输入回款!$B:$B,科目对照回款!$F$12))+IF(科目对照回款!$G$12="",0,SUMIFS(输入回款!$C:$C,输入回款!$A:$A,助手回款!$X25,输入回款!$B:$B,科目对照回款!$G$12)+SUMIFS(输入回款!$D:$D,输入回款!$A:$A,助手回款!$X25,输入回款!$B:$B,科目对照回款!$G$12))+IF(科目对照回款!$H$12="",0,SUMIFS(输入回款!$C:$C,输入回款!$A:$A,助手回款!$X25,输入回款!$B:$B,科目对照回款!$H$12)+SUMIFS(输入回款!$D:$D,输入回款!$A:$A,助手回款!$X25,输入回款!$B:$B,科目对照回款!$H$12)),2)</f>
        <v>-0</v>
      </c>
      <c r="H357" s="49" t="str">
        <f aca="false">IF(ROUND($G357,2)&gt;0,ROUND($G357,2),"")</f>
        <v/>
      </c>
      <c r="I357" s="49" t="str">
        <f aca="false">IF(ROUND($G357,2)&lt;0,-ROUND($G357,2),"")</f>
        <v/>
      </c>
      <c r="J357" s="20" t="n">
        <f aca="false">IF(ROUND($G357,2)=0,0,1)</f>
        <v>0</v>
      </c>
      <c r="K357" s="20" t="str">
        <f aca="false">IF($J357=0,"",SUM($J$347:$J357))</f>
        <v/>
      </c>
      <c r="L357" s="20" t="str">
        <f aca="false">IF($K357="","",$A357*100+$K357)</f>
        <v/>
      </c>
      <c r="M357" s="48" t="str">
        <f aca="false">参数!$B$4</f>
        <v>回款</v>
      </c>
    </row>
    <row r="358" customFormat="false" ht="13.5" hidden="false" customHeight="false" outlineLevel="0" collapsed="false">
      <c r="A358" s="47" t="n">
        <v>24</v>
      </c>
      <c r="B358" s="38" t="n">
        <f aca="false">助手回款!$B25</f>
        <v>2037</v>
      </c>
      <c r="C358" s="48" t="str">
        <f aca="false">助手回款!$C25</f>
        <v>新华路店</v>
      </c>
      <c r="D358" s="48" t="str">
        <f aca="false">科目对照回款!$B13&amp;""</f>
        <v>银联</v>
      </c>
      <c r="E358" s="48" t="str">
        <f aca="false">科目对照回款!$C13&amp;""</f>
        <v>应收账款</v>
      </c>
      <c r="F358" s="48" t="str">
        <f aca="false">科目对照回款!$D13&amp;""</f>
        <v>银联</v>
      </c>
      <c r="G358" s="49" t="n">
        <f aca="false">-ROUND(IF(科目对照回款!$F$13="",0,SUMIFS(输入回款!$C:$C,输入回款!$A:$A,助手回款!$X25,输入回款!$B:$B,科目对照回款!$F$13)+SUMIFS(输入回款!$D:$D,输入回款!$A:$A,助手回款!$X25,输入回款!$B:$B,科目对照回款!$F$13))+IF(科目对照回款!$G$13="",0,SUMIFS(输入回款!$C:$C,输入回款!$A:$A,助手回款!$X25,输入回款!$B:$B,科目对照回款!$G$13)+SUMIFS(输入回款!$D:$D,输入回款!$A:$A,助手回款!$X25,输入回款!$B:$B,科目对照回款!$G$13))+IF(科目对照回款!$H$13="",0,SUMIFS(输入回款!$C:$C,输入回款!$A:$A,助手回款!$X25,输入回款!$B:$B,科目对照回款!$H$13)+SUMIFS(输入回款!$D:$D,输入回款!$A:$A,助手回款!$X25,输入回款!$B:$B,科目对照回款!$H$13)),2)</f>
        <v>-0</v>
      </c>
      <c r="H358" s="49" t="str">
        <f aca="false">IF(ROUND($G358,2)&gt;0,ROUND($G358,2),"")</f>
        <v/>
      </c>
      <c r="I358" s="49" t="str">
        <f aca="false">IF(ROUND($G358,2)&lt;0,-ROUND($G358,2),"")</f>
        <v/>
      </c>
      <c r="J358" s="20" t="n">
        <f aca="false">IF(ROUND($G358,2)=0,0,1)</f>
        <v>0</v>
      </c>
      <c r="K358" s="20" t="str">
        <f aca="false">IF($J358=0,"",SUM($J$347:$J358))</f>
        <v/>
      </c>
      <c r="L358" s="20" t="str">
        <f aca="false">IF($K358="","",$A358*100+$K358)</f>
        <v/>
      </c>
      <c r="M358" s="48" t="str">
        <f aca="false">参数!$B$4</f>
        <v>回款</v>
      </c>
    </row>
    <row r="359" customFormat="false" ht="13.5" hidden="false" customHeight="false" outlineLevel="0" collapsed="false">
      <c r="A359" s="47" t="n">
        <v>24</v>
      </c>
      <c r="B359" s="38" t="n">
        <f aca="false">助手回款!$B25</f>
        <v>2037</v>
      </c>
      <c r="C359" s="48" t="str">
        <f aca="false">助手回款!$C25</f>
        <v>新华路店</v>
      </c>
      <c r="D359" s="48" t="str">
        <f aca="false">科目对照回款!$B14&amp;""</f>
        <v>代金券</v>
      </c>
      <c r="E359" s="48" t="str">
        <f aca="false">科目对照回款!$C14&amp;""</f>
        <v>应收账款</v>
      </c>
      <c r="F359" s="48" t="str">
        <f aca="false">科目对照回款!$D14&amp;""</f>
        <v>代金券</v>
      </c>
      <c r="G359" s="49" t="n">
        <f aca="false">-ROUND(IF(科目对照回款!$F$14="",0,SUMIFS(输入回款!$C:$C,输入回款!$A:$A,助手回款!$X25,输入回款!$B:$B,科目对照回款!$F$14)+SUMIFS(输入回款!$D:$D,输入回款!$A:$A,助手回款!$X25,输入回款!$B:$B,科目对照回款!$F$14))+IF(科目对照回款!$G$14="",0,SUMIFS(输入回款!$C:$C,输入回款!$A:$A,助手回款!$X25,输入回款!$B:$B,科目对照回款!$G$14)+SUMIFS(输入回款!$D:$D,输入回款!$A:$A,助手回款!$X25,输入回款!$B:$B,科目对照回款!$G$14))+IF(科目对照回款!$H$14="",0,SUMIFS(输入回款!$C:$C,输入回款!$A:$A,助手回款!$X25,输入回款!$B:$B,科目对照回款!$H$14)+SUMIFS(输入回款!$D:$D,输入回款!$A:$A,助手回款!$X25,输入回款!$B:$B,科目对照回款!$H$14)),2)</f>
        <v>-0</v>
      </c>
      <c r="H359" s="49" t="str">
        <f aca="false">IF(ROUND($G359,2)&gt;0,ROUND($G359,2),"")</f>
        <v/>
      </c>
      <c r="I359" s="49" t="str">
        <f aca="false">IF(ROUND($G359,2)&lt;0,-ROUND($G359,2),"")</f>
        <v/>
      </c>
      <c r="J359" s="20" t="n">
        <f aca="false">IF(ROUND($G359,2)=0,0,1)</f>
        <v>0</v>
      </c>
      <c r="K359" s="20" t="str">
        <f aca="false">IF($J359=0,"",SUM($J$347:$J359))</f>
        <v/>
      </c>
      <c r="L359" s="20" t="str">
        <f aca="false">IF($K359="","",$A359*100+$K359)</f>
        <v/>
      </c>
      <c r="M359" s="48" t="str">
        <f aca="false">参数!$B$4</f>
        <v>回款</v>
      </c>
    </row>
    <row r="360" customFormat="false" ht="13.5" hidden="false" customHeight="false" outlineLevel="0" collapsed="false">
      <c r="A360" s="47" t="n">
        <v>24</v>
      </c>
      <c r="B360" s="38" t="n">
        <f aca="false">助手回款!$B25</f>
        <v>2037</v>
      </c>
      <c r="C360" s="48" t="str">
        <f aca="false">助手回款!$C25</f>
        <v>新华路店</v>
      </c>
      <c r="D360" s="48" t="str">
        <f aca="false">科目对照回款!$B15&amp;""</f>
        <v>药机微信</v>
      </c>
      <c r="E360" s="48" t="str">
        <f aca="false">科目对照回款!$C15&amp;""</f>
        <v>应收账款</v>
      </c>
      <c r="F360" s="48" t="str">
        <f aca="false">科目对照回款!$D15&amp;""</f>
        <v>药机微信</v>
      </c>
      <c r="G360" s="49" t="n">
        <f aca="false">-ROUND(IF(科目对照回款!$F$15="",0,SUMIFS(输入回款!$C:$C,输入回款!$A:$A,助手回款!$X25,输入回款!$B:$B,科目对照回款!$F$15)+SUMIFS(输入回款!$D:$D,输入回款!$A:$A,助手回款!$X25,输入回款!$B:$B,科目对照回款!$F$15))+IF(科目对照回款!$G$15="",0,SUMIFS(输入回款!$C:$C,输入回款!$A:$A,助手回款!$X25,输入回款!$B:$B,科目对照回款!$G$15)+SUMIFS(输入回款!$D:$D,输入回款!$A:$A,助手回款!$X25,输入回款!$B:$B,科目对照回款!$G$15))+IF(科目对照回款!$H$15="",0,SUMIFS(输入回款!$C:$C,输入回款!$A:$A,助手回款!$X25,输入回款!$B:$B,科目对照回款!$H$15)+SUMIFS(输入回款!$D:$D,输入回款!$A:$A,助手回款!$X25,输入回款!$B:$B,科目对照回款!$H$15)),2)</f>
        <v>-0</v>
      </c>
      <c r="H360" s="49" t="str">
        <f aca="false">IF(ROUND($G360,2)&gt;0,ROUND($G360,2),"")</f>
        <v/>
      </c>
      <c r="I360" s="49" t="str">
        <f aca="false">IF(ROUND($G360,2)&lt;0,-ROUND($G360,2),"")</f>
        <v/>
      </c>
      <c r="J360" s="20" t="n">
        <f aca="false">IF(ROUND($G360,2)=0,0,1)</f>
        <v>0</v>
      </c>
      <c r="K360" s="20" t="str">
        <f aca="false">IF($J360=0,"",SUM($J$347:$J360))</f>
        <v/>
      </c>
      <c r="L360" s="20" t="str">
        <f aca="false">IF($K360="","",$A360*100+$K360)</f>
        <v/>
      </c>
      <c r="M360" s="48" t="str">
        <f aca="false">参数!$B$4</f>
        <v>回款</v>
      </c>
    </row>
    <row r="361" customFormat="false" ht="13.5" hidden="false" customHeight="false" outlineLevel="0" collapsed="false">
      <c r="A361" s="47" t="n">
        <v>24</v>
      </c>
      <c r="B361" s="38" t="n">
        <f aca="false">助手回款!$B25</f>
        <v>2037</v>
      </c>
      <c r="C361" s="48" t="str">
        <f aca="false">助手回款!$C25</f>
        <v>新华路店</v>
      </c>
      <c r="D361" s="48" t="str">
        <f aca="false">科目对照回款!$B16&amp;""</f>
        <v>储值卡</v>
      </c>
      <c r="E361" s="48" t="str">
        <f aca="false">科目对照回款!$C16&amp;""</f>
        <v>其他应收款</v>
      </c>
      <c r="F361" s="48" t="str">
        <f aca="false">科目对照回款!$D16&amp;""</f>
        <v>储值卡</v>
      </c>
      <c r="G361" s="49" t="n">
        <f aca="false">-ROUND(IF(科目对照回款!$F$16="",0,SUMIFS(输入回款!$C:$C,输入回款!$A:$A,助手回款!$X25,输入回款!$B:$B,科目对照回款!$F$16)+SUMIFS(输入回款!$D:$D,输入回款!$A:$A,助手回款!$X25,输入回款!$B:$B,科目对照回款!$F$16))+IF(科目对照回款!$G$16="",0,SUMIFS(输入回款!$C:$C,输入回款!$A:$A,助手回款!$X25,输入回款!$B:$B,科目对照回款!$G$16)+SUMIFS(输入回款!$D:$D,输入回款!$A:$A,助手回款!$X25,输入回款!$B:$B,科目对照回款!$G$16))+IF(科目对照回款!$H$16="",0,SUMIFS(输入回款!$C:$C,输入回款!$A:$A,助手回款!$X25,输入回款!$B:$B,科目对照回款!$H$16)+SUMIFS(输入回款!$D:$D,输入回款!$A:$A,助手回款!$X25,输入回款!$B:$B,科目对照回款!$H$16)),2)</f>
        <v>-0</v>
      </c>
      <c r="H361" s="49" t="str">
        <f aca="false">IF(ROUND($G361,2)&gt;0,ROUND($G361,2),"")</f>
        <v/>
      </c>
      <c r="I361" s="49" t="str">
        <f aca="false">IF(ROUND($G361,2)&lt;0,-ROUND($G361,2),"")</f>
        <v/>
      </c>
      <c r="J361" s="20" t="n">
        <f aca="false">IF(ROUND($G361,2)=0,0,1)</f>
        <v>0</v>
      </c>
      <c r="K361" s="20" t="str">
        <f aca="false">IF($J361=0,"",SUM($J$347:$J361))</f>
        <v/>
      </c>
      <c r="L361" s="20" t="str">
        <f aca="false">IF($K361="","",$A361*100+$K361)</f>
        <v/>
      </c>
      <c r="M361" s="48" t="str">
        <f aca="false">参数!$B$4</f>
        <v>回款</v>
      </c>
    </row>
    <row r="362" customFormat="false" ht="13.5" hidden="false" customHeight="false" outlineLevel="0" collapsed="false">
      <c r="A362" s="47" t="n">
        <v>25</v>
      </c>
      <c r="B362" s="38" t="n">
        <f aca="false">助手回款!$B26</f>
        <v>2038</v>
      </c>
      <c r="C362" s="48" t="str">
        <f aca="false">助手回款!$C26</f>
        <v>杨村王街店</v>
      </c>
      <c r="D362" s="48" t="str">
        <f aca="false">科目对照回款!$B2&amp;""</f>
        <v>库存现金</v>
      </c>
      <c r="E362" s="48" t="str">
        <f aca="false">科目对照回款!$C2&amp;""</f>
        <v>库存现金</v>
      </c>
      <c r="F362" s="48" t="str">
        <f aca="false">科目对照回款!$D2&amp;""</f>
        <v/>
      </c>
      <c r="G362" s="49" t="n">
        <f aca="false">助手回款!$E26</f>
        <v>26989.38</v>
      </c>
      <c r="H362" s="49" t="n">
        <f aca="false">IF(ROUND($G362,2)&gt;0,ROUND($G362,2),"")</f>
        <v>26989.38</v>
      </c>
      <c r="I362" s="49" t="str">
        <f aca="false">IF(ROUND($G362,2)&lt;0,-ROUND($G362,2),"")</f>
        <v/>
      </c>
      <c r="J362" s="20" t="n">
        <f aca="false">IF(ROUND($G362,2)=0,0,1)</f>
        <v>1</v>
      </c>
      <c r="K362" s="20" t="n">
        <f aca="false">IF($J362=0,"",SUM($J$362:$J362))</f>
        <v>1</v>
      </c>
      <c r="L362" s="20" t="n">
        <f aca="false">IF($K362="","",$A362*100+$K362)</f>
        <v>2501</v>
      </c>
      <c r="M362" s="48" t="str">
        <f aca="false">参数!$B$4</f>
        <v>回款</v>
      </c>
    </row>
    <row r="363" customFormat="false" ht="13.5" hidden="false" customHeight="false" outlineLevel="0" collapsed="false">
      <c r="A363" s="47" t="n">
        <v>25</v>
      </c>
      <c r="B363" s="38" t="n">
        <f aca="false">助手回款!$B26</f>
        <v>2038</v>
      </c>
      <c r="C363" s="48" t="str">
        <f aca="false">助手回款!$C26</f>
        <v>杨村王街店</v>
      </c>
      <c r="D363" s="48" t="str">
        <f aca="false">科目对照回款!$B3&amp;""</f>
        <v>手续费</v>
      </c>
      <c r="E363" s="48" t="str">
        <f aca="false">科目对照回款!$C3&amp;""</f>
        <v>财务费用</v>
      </c>
      <c r="F363" s="48" t="str">
        <f aca="false">科目对照回款!$D3&amp;""</f>
        <v>手续费</v>
      </c>
      <c r="G363" s="49" t="n">
        <f aca="false">助手回款!$F26</f>
        <v>0</v>
      </c>
      <c r="H363" s="49" t="str">
        <f aca="false">IF(ROUND($G363,2)&gt;0,ROUND($G363,2),"")</f>
        <v/>
      </c>
      <c r="I363" s="49" t="str">
        <f aca="false">IF(ROUND($G363,2)&lt;0,-ROUND($G363,2),"")</f>
        <v/>
      </c>
      <c r="J363" s="20" t="n">
        <f aca="false">IF(ROUND($G363,2)=0,0,1)</f>
        <v>0</v>
      </c>
      <c r="K363" s="20" t="str">
        <f aca="false">IF($J363=0,"",SUM($J$362:$J363))</f>
        <v/>
      </c>
      <c r="L363" s="20" t="str">
        <f aca="false">IF($K363="","",$A363*100+$K363)</f>
        <v/>
      </c>
      <c r="M363" s="48" t="str">
        <f aca="false">参数!$B$4</f>
        <v>回款</v>
      </c>
    </row>
    <row r="364" customFormat="false" ht="13.5" hidden="false" customHeight="false" outlineLevel="0" collapsed="false">
      <c r="A364" s="47" t="n">
        <v>25</v>
      </c>
      <c r="B364" s="38" t="n">
        <f aca="false">助手回款!$B26</f>
        <v>2038</v>
      </c>
      <c r="C364" s="48" t="str">
        <f aca="false">助手回款!$C26</f>
        <v>杨村王街店</v>
      </c>
      <c r="D364" s="48" t="str">
        <f aca="false">科目对照回款!$B4&amp;""</f>
        <v>聚合支付</v>
      </c>
      <c r="E364" s="48" t="str">
        <f aca="false">科目对照回款!$C4&amp;""</f>
        <v>应收账款</v>
      </c>
      <c r="F364" s="48" t="str">
        <f aca="false">科目对照回款!$D4&amp;""</f>
        <v>聚合支付</v>
      </c>
      <c r="G364" s="49" t="n">
        <f aca="false">-ROUND(IF(科目对照回款!$F$4="",0,SUMIFS(输入回款!$C:$C,输入回款!$A:$A,助手回款!$X26,输入回款!$B:$B,科目对照回款!$F$4)+SUMIFS(输入回款!$D:$D,输入回款!$A:$A,助手回款!$X26,输入回款!$B:$B,科目对照回款!$F$4))+IF(科目对照回款!$G$4="",0,SUMIFS(输入回款!$C:$C,输入回款!$A:$A,助手回款!$X26,输入回款!$B:$B,科目对照回款!$G$4)+SUMIFS(输入回款!$D:$D,输入回款!$A:$A,助手回款!$X26,输入回款!$B:$B,科目对照回款!$G$4))+IF(科目对照回款!$H$4="",0,SUMIFS(输入回款!$C:$C,输入回款!$A:$A,助手回款!$X26,输入回款!$B:$B,科目对照回款!$H$4)+SUMIFS(输入回款!$D:$D,输入回款!$A:$A,助手回款!$X26,输入回款!$B:$B,科目对照回款!$H$4)),2)</f>
        <v>-22652</v>
      </c>
      <c r="H364" s="49" t="str">
        <f aca="false">IF(ROUND($G364,2)&gt;0,ROUND($G364,2),"")</f>
        <v/>
      </c>
      <c r="I364" s="49" t="n">
        <f aca="false">IF(ROUND($G364,2)&lt;0,-ROUND($G364,2),"")</f>
        <v>22652</v>
      </c>
      <c r="J364" s="20" t="n">
        <f aca="false">IF(ROUND($G364,2)=0,0,1)</f>
        <v>1</v>
      </c>
      <c r="K364" s="20" t="n">
        <f aca="false">IF($J364=0,"",SUM($J$362:$J364))</f>
        <v>2</v>
      </c>
      <c r="L364" s="20" t="n">
        <f aca="false">IF($K364="","",$A364*100+$K364)</f>
        <v>2502</v>
      </c>
      <c r="M364" s="48" t="str">
        <f aca="false">参数!$B$4</f>
        <v>回款</v>
      </c>
    </row>
    <row r="365" customFormat="false" ht="13.5" hidden="false" customHeight="false" outlineLevel="0" collapsed="false">
      <c r="A365" s="47" t="n">
        <v>25</v>
      </c>
      <c r="B365" s="38" t="n">
        <f aca="false">助手回款!$B26</f>
        <v>2038</v>
      </c>
      <c r="C365" s="48" t="str">
        <f aca="false">助手回款!$C26</f>
        <v>杨村王街店</v>
      </c>
      <c r="D365" s="48" t="str">
        <f aca="false">科目对照回款!$B5&amp;""</f>
        <v>医保</v>
      </c>
      <c r="E365" s="48" t="str">
        <f aca="false">科目对照回款!$C5&amp;""</f>
        <v>应收账款</v>
      </c>
      <c r="F365" s="48" t="str">
        <f aca="false">科目对照回款!$D5&amp;""</f>
        <v>医保</v>
      </c>
      <c r="G365" s="49" t="n">
        <f aca="false">-ROUND(IF(科目对照回款!$F$5="",0,SUMIFS(输入回款!$C:$C,输入回款!$A:$A,助手回款!$X26,输入回款!$B:$B,科目对照回款!$F$5)+SUMIFS(输入回款!$D:$D,输入回款!$A:$A,助手回款!$X26,输入回款!$B:$B,科目对照回款!$F$5))+IF(科目对照回款!$G$5="",0,SUMIFS(输入回款!$C:$C,输入回款!$A:$A,助手回款!$X26,输入回款!$B:$B,科目对照回款!$G$5)+SUMIFS(输入回款!$D:$D,输入回款!$A:$A,助手回款!$X26,输入回款!$B:$B,科目对照回款!$G$5))+IF(科目对照回款!$H$5="",0,SUMIFS(输入回款!$C:$C,输入回款!$A:$A,助手回款!$X26,输入回款!$B:$B,科目对照回款!$H$5)+SUMIFS(输入回款!$D:$D,输入回款!$A:$A,助手回款!$X26,输入回款!$B:$B,科目对照回款!$H$5)),2)</f>
        <v>-4337.38</v>
      </c>
      <c r="H365" s="49" t="str">
        <f aca="false">IF(ROUND($G365,2)&gt;0,ROUND($G365,2),"")</f>
        <v/>
      </c>
      <c r="I365" s="49" t="n">
        <f aca="false">IF(ROUND($G365,2)&lt;0,-ROUND($G365,2),"")</f>
        <v>4337.38</v>
      </c>
      <c r="J365" s="20" t="n">
        <f aca="false">IF(ROUND($G365,2)=0,0,1)</f>
        <v>1</v>
      </c>
      <c r="K365" s="20" t="n">
        <f aca="false">IF($J365=0,"",SUM($J$362:$J365))</f>
        <v>3</v>
      </c>
      <c r="L365" s="20" t="n">
        <f aca="false">IF($K365="","",$A365*100+$K365)</f>
        <v>2503</v>
      </c>
      <c r="M365" s="48" t="str">
        <f aca="false">参数!$B$4</f>
        <v>回款</v>
      </c>
    </row>
    <row r="366" customFormat="false" ht="13.5" hidden="false" customHeight="false" outlineLevel="0" collapsed="false">
      <c r="A366" s="47" t="n">
        <v>25</v>
      </c>
      <c r="B366" s="38" t="n">
        <f aca="false">助手回款!$B26</f>
        <v>2038</v>
      </c>
      <c r="C366" s="48" t="str">
        <f aca="false">助手回款!$C26</f>
        <v>杨村王街店</v>
      </c>
      <c r="D366" s="48" t="str">
        <f aca="false">科目对照回款!$B6&amp;""</f>
        <v>美团</v>
      </c>
      <c r="E366" s="48" t="str">
        <f aca="false">科目对照回款!$C6&amp;""</f>
        <v>应收账款</v>
      </c>
      <c r="F366" s="48" t="str">
        <f aca="false">科目对照回款!$D6&amp;""</f>
        <v>美团</v>
      </c>
      <c r="G366" s="49" t="n">
        <f aca="false">-ROUND(IF(科目对照回款!$F$6="",0,SUMIFS(输入回款!$C:$C,输入回款!$A:$A,助手回款!$X26,输入回款!$B:$B,科目对照回款!$F$6)+SUMIFS(输入回款!$D:$D,输入回款!$A:$A,助手回款!$X26,输入回款!$B:$B,科目对照回款!$F$6))+IF(科目对照回款!$G$6="",0,SUMIFS(输入回款!$C:$C,输入回款!$A:$A,助手回款!$X26,输入回款!$B:$B,科目对照回款!$G$6)+SUMIFS(输入回款!$D:$D,输入回款!$A:$A,助手回款!$X26,输入回款!$B:$B,科目对照回款!$G$6))+IF(科目对照回款!$H$6="",0,SUMIFS(输入回款!$C:$C,输入回款!$A:$A,助手回款!$X26,输入回款!$B:$B,科目对照回款!$H$6)+SUMIFS(输入回款!$D:$D,输入回款!$A:$A,助手回款!$X26,输入回款!$B:$B,科目对照回款!$H$6)),2)</f>
        <v>-0</v>
      </c>
      <c r="H366" s="49" t="str">
        <f aca="false">IF(ROUND($G366,2)&gt;0,ROUND($G366,2),"")</f>
        <v/>
      </c>
      <c r="I366" s="49" t="str">
        <f aca="false">IF(ROUND($G366,2)&lt;0,-ROUND($G366,2),"")</f>
        <v/>
      </c>
      <c r="J366" s="20" t="n">
        <f aca="false">IF(ROUND($G366,2)=0,0,1)</f>
        <v>0</v>
      </c>
      <c r="K366" s="20" t="str">
        <f aca="false">IF($J366=0,"",SUM($J$362:$J366))</f>
        <v/>
      </c>
      <c r="L366" s="20" t="str">
        <f aca="false">IF($K366="","",$A366*100+$K366)</f>
        <v/>
      </c>
      <c r="M366" s="48" t="str">
        <f aca="false">参数!$B$4</f>
        <v>回款</v>
      </c>
    </row>
    <row r="367" customFormat="false" ht="13.5" hidden="false" customHeight="false" outlineLevel="0" collapsed="false">
      <c r="A367" s="47" t="n">
        <v>25</v>
      </c>
      <c r="B367" s="38" t="n">
        <f aca="false">助手回款!$B26</f>
        <v>2038</v>
      </c>
      <c r="C367" s="48" t="str">
        <f aca="false">助手回款!$C26</f>
        <v>杨村王街店</v>
      </c>
      <c r="D367" s="48" t="str">
        <f aca="false">科目对照回款!$B7&amp;""</f>
        <v>饿了么</v>
      </c>
      <c r="E367" s="48" t="str">
        <f aca="false">科目对照回款!$C7&amp;""</f>
        <v>应收账款</v>
      </c>
      <c r="F367" s="48" t="str">
        <f aca="false">科目对照回款!$D7&amp;""</f>
        <v>饿了么</v>
      </c>
      <c r="G367" s="49" t="n">
        <f aca="false">-ROUND(IF(科目对照回款!$F$7="",0,SUMIFS(输入回款!$C:$C,输入回款!$A:$A,助手回款!$X26,输入回款!$B:$B,科目对照回款!$F$7)+SUMIFS(输入回款!$D:$D,输入回款!$A:$A,助手回款!$X26,输入回款!$B:$B,科目对照回款!$F$7))+IF(科目对照回款!$G$7="",0,SUMIFS(输入回款!$C:$C,输入回款!$A:$A,助手回款!$X26,输入回款!$B:$B,科目对照回款!$G$7)+SUMIFS(输入回款!$D:$D,输入回款!$A:$A,助手回款!$X26,输入回款!$B:$B,科目对照回款!$G$7))+IF(科目对照回款!$H$7="",0,SUMIFS(输入回款!$C:$C,输入回款!$A:$A,助手回款!$X26,输入回款!$B:$B,科目对照回款!$H$7)+SUMIFS(输入回款!$D:$D,输入回款!$A:$A,助手回款!$X26,输入回款!$B:$B,科目对照回款!$H$7)),2)</f>
        <v>-0</v>
      </c>
      <c r="H367" s="49" t="str">
        <f aca="false">IF(ROUND($G367,2)&gt;0,ROUND($G367,2),"")</f>
        <v/>
      </c>
      <c r="I367" s="49" t="str">
        <f aca="false">IF(ROUND($G367,2)&lt;0,-ROUND($G367,2),"")</f>
        <v/>
      </c>
      <c r="J367" s="20" t="n">
        <f aca="false">IF(ROUND($G367,2)=0,0,1)</f>
        <v>0</v>
      </c>
      <c r="K367" s="20" t="str">
        <f aca="false">IF($J367=0,"",SUM($J$362:$J367))</f>
        <v/>
      </c>
      <c r="L367" s="20" t="str">
        <f aca="false">IF($K367="","",$A367*100+$K367)</f>
        <v/>
      </c>
      <c r="M367" s="48" t="str">
        <f aca="false">参数!$B$4</f>
        <v>回款</v>
      </c>
    </row>
    <row r="368" customFormat="false" ht="13.5" hidden="false" customHeight="false" outlineLevel="0" collapsed="false">
      <c r="A368" s="47" t="n">
        <v>25</v>
      </c>
      <c r="B368" s="38" t="n">
        <f aca="false">助手回款!$B26</f>
        <v>2038</v>
      </c>
      <c r="C368" s="48" t="str">
        <f aca="false">助手回款!$C26</f>
        <v>杨村王街店</v>
      </c>
      <c r="D368" s="48" t="str">
        <f aca="false">科目对照回款!$B8&amp;""</f>
        <v>24小时</v>
      </c>
      <c r="E368" s="48" t="str">
        <f aca="false">科目对照回款!$C8&amp;""</f>
        <v>应收账款</v>
      </c>
      <c r="F368" s="48" t="str">
        <f aca="false">科目对照回款!$D8&amp;""</f>
        <v>24小时</v>
      </c>
      <c r="G368" s="49" t="n">
        <f aca="false">-ROUND(IF(科目对照回款!$F$8="",0,SUMIFS(输入回款!$C:$C,输入回款!$A:$A,助手回款!$X26,输入回款!$B:$B,科目对照回款!$F$8)+SUMIFS(输入回款!$D:$D,输入回款!$A:$A,助手回款!$X26,输入回款!$B:$B,科目对照回款!$F$8))+IF(科目对照回款!$G$8="",0,SUMIFS(输入回款!$C:$C,输入回款!$A:$A,助手回款!$X26,输入回款!$B:$B,科目对照回款!$G$8)+SUMIFS(输入回款!$D:$D,输入回款!$A:$A,助手回款!$X26,输入回款!$B:$B,科目对照回款!$G$8))+IF(科目对照回款!$H$8="",0,SUMIFS(输入回款!$C:$C,输入回款!$A:$A,助手回款!$X26,输入回款!$B:$B,科目对照回款!$H$8)+SUMIFS(输入回款!$D:$D,输入回款!$A:$A,助手回款!$X26,输入回款!$B:$B,科目对照回款!$H$8)),2)</f>
        <v>-0</v>
      </c>
      <c r="H368" s="49" t="str">
        <f aca="false">IF(ROUND($G368,2)&gt;0,ROUND($G368,2),"")</f>
        <v/>
      </c>
      <c r="I368" s="49" t="str">
        <f aca="false">IF(ROUND($G368,2)&lt;0,-ROUND($G368,2),"")</f>
        <v/>
      </c>
      <c r="J368" s="20" t="n">
        <f aca="false">IF(ROUND($G368,2)=0,0,1)</f>
        <v>0</v>
      </c>
      <c r="K368" s="20" t="str">
        <f aca="false">IF($J368=0,"",SUM($J$362:$J368))</f>
        <v/>
      </c>
      <c r="L368" s="20" t="str">
        <f aca="false">IF($K368="","",$A368*100+$K368)</f>
        <v/>
      </c>
      <c r="M368" s="48" t="str">
        <f aca="false">参数!$B$4</f>
        <v>回款</v>
      </c>
    </row>
    <row r="369" customFormat="false" ht="13.5" hidden="false" customHeight="false" outlineLevel="0" collapsed="false">
      <c r="A369" s="47" t="n">
        <v>25</v>
      </c>
      <c r="B369" s="38" t="n">
        <f aca="false">助手回款!$B26</f>
        <v>2038</v>
      </c>
      <c r="C369" s="48" t="str">
        <f aca="false">助手回款!$C26</f>
        <v>杨村王街店</v>
      </c>
      <c r="D369" s="48" t="str">
        <f aca="false">科目对照回款!$B9&amp;""</f>
        <v>健E卡</v>
      </c>
      <c r="E369" s="48" t="str">
        <f aca="false">科目对照回款!$C9&amp;""</f>
        <v>应收账款</v>
      </c>
      <c r="F369" s="48" t="str">
        <f aca="false">科目对照回款!$D9&amp;""</f>
        <v>健E卡</v>
      </c>
      <c r="G369" s="49" t="n">
        <f aca="false">-ROUND(IF(科目对照回款!$F$9="",0,SUMIFS(输入回款!$C:$C,输入回款!$A:$A,助手回款!$X26,输入回款!$B:$B,科目对照回款!$F$9)+SUMIFS(输入回款!$D:$D,输入回款!$A:$A,助手回款!$X26,输入回款!$B:$B,科目对照回款!$F$9))+IF(科目对照回款!$G$9="",0,SUMIFS(输入回款!$C:$C,输入回款!$A:$A,助手回款!$X26,输入回款!$B:$B,科目对照回款!$G$9)+SUMIFS(输入回款!$D:$D,输入回款!$A:$A,助手回款!$X26,输入回款!$B:$B,科目对照回款!$G$9))+IF(科目对照回款!$H$9="",0,SUMIFS(输入回款!$C:$C,输入回款!$A:$A,助手回款!$X26,输入回款!$B:$B,科目对照回款!$H$9)+SUMIFS(输入回款!$D:$D,输入回款!$A:$A,助手回款!$X26,输入回款!$B:$B,科目对照回款!$H$9)),2)</f>
        <v>-0</v>
      </c>
      <c r="H369" s="49" t="str">
        <f aca="false">IF(ROUND($G369,2)&gt;0,ROUND($G369,2),"")</f>
        <v/>
      </c>
      <c r="I369" s="49" t="str">
        <f aca="false">IF(ROUND($G369,2)&lt;0,-ROUND($G369,2),"")</f>
        <v/>
      </c>
      <c r="J369" s="20" t="n">
        <f aca="false">IF(ROUND($G369,2)=0,0,1)</f>
        <v>0</v>
      </c>
      <c r="K369" s="20" t="str">
        <f aca="false">IF($J369=0,"",SUM($J$362:$J369))</f>
        <v/>
      </c>
      <c r="L369" s="20" t="str">
        <f aca="false">IF($K369="","",$A369*100+$K369)</f>
        <v/>
      </c>
      <c r="M369" s="48" t="str">
        <f aca="false">参数!$B$4</f>
        <v>回款</v>
      </c>
    </row>
    <row r="370" customFormat="false" ht="13.5" hidden="false" customHeight="false" outlineLevel="0" collapsed="false">
      <c r="A370" s="47" t="n">
        <v>25</v>
      </c>
      <c r="B370" s="38" t="n">
        <f aca="false">助手回款!$B26</f>
        <v>2038</v>
      </c>
      <c r="C370" s="48" t="str">
        <f aca="false">助手回款!$C26</f>
        <v>杨村王街店</v>
      </c>
      <c r="D370" s="48" t="str">
        <f aca="false">科目对照回款!$B10&amp;""</f>
        <v>医卡通</v>
      </c>
      <c r="E370" s="48" t="str">
        <f aca="false">科目对照回款!$C10&amp;""</f>
        <v>应收账款</v>
      </c>
      <c r="F370" s="48" t="str">
        <f aca="false">科目对照回款!$D10&amp;""</f>
        <v>医卡通</v>
      </c>
      <c r="G370" s="49" t="n">
        <f aca="false">-ROUND(IF(科目对照回款!$F$10="",0,SUMIFS(输入回款!$C:$C,输入回款!$A:$A,助手回款!$X26,输入回款!$B:$B,科目对照回款!$F$10)+SUMIFS(输入回款!$D:$D,输入回款!$A:$A,助手回款!$X26,输入回款!$B:$B,科目对照回款!$F$10))+IF(科目对照回款!$G$10="",0,SUMIFS(输入回款!$C:$C,输入回款!$A:$A,助手回款!$X26,输入回款!$B:$B,科目对照回款!$G$10)+SUMIFS(输入回款!$D:$D,输入回款!$A:$A,助手回款!$X26,输入回款!$B:$B,科目对照回款!$G$10))+IF(科目对照回款!$H$10="",0,SUMIFS(输入回款!$C:$C,输入回款!$A:$A,助手回款!$X26,输入回款!$B:$B,科目对照回款!$H$10)+SUMIFS(输入回款!$D:$D,输入回款!$A:$A,助手回款!$X26,输入回款!$B:$B,科目对照回款!$H$10)),2)</f>
        <v>-0</v>
      </c>
      <c r="H370" s="49" t="str">
        <f aca="false">IF(ROUND($G370,2)&gt;0,ROUND($G370,2),"")</f>
        <v/>
      </c>
      <c r="I370" s="49" t="str">
        <f aca="false">IF(ROUND($G370,2)&lt;0,-ROUND($G370,2),"")</f>
        <v/>
      </c>
      <c r="J370" s="20" t="n">
        <f aca="false">IF(ROUND($G370,2)=0,0,1)</f>
        <v>0</v>
      </c>
      <c r="K370" s="20" t="str">
        <f aca="false">IF($J370=0,"",SUM($J$362:$J370))</f>
        <v/>
      </c>
      <c r="L370" s="20" t="str">
        <f aca="false">IF($K370="","",$A370*100+$K370)</f>
        <v/>
      </c>
      <c r="M370" s="48" t="str">
        <f aca="false">参数!$B$4</f>
        <v>回款</v>
      </c>
    </row>
    <row r="371" customFormat="false" ht="13.5" hidden="false" customHeight="false" outlineLevel="0" collapsed="false">
      <c r="A371" s="47" t="n">
        <v>25</v>
      </c>
      <c r="B371" s="38" t="n">
        <f aca="false">助手回款!$B26</f>
        <v>2038</v>
      </c>
      <c r="C371" s="48" t="str">
        <f aca="false">助手回款!$C26</f>
        <v>杨村王街店</v>
      </c>
      <c r="D371" s="48" t="str">
        <f aca="false">科目对照回款!$B11&amp;""</f>
        <v>企健网</v>
      </c>
      <c r="E371" s="48" t="str">
        <f aca="false">科目对照回款!$C11&amp;""</f>
        <v>应收账款</v>
      </c>
      <c r="F371" s="48" t="str">
        <f aca="false">科目对照回款!$D11&amp;""</f>
        <v>企健网</v>
      </c>
      <c r="G371" s="49" t="n">
        <f aca="false">-ROUND(IF(科目对照回款!$F$11="",0,SUMIFS(输入回款!$C:$C,输入回款!$A:$A,助手回款!$X26,输入回款!$B:$B,科目对照回款!$F$11)+SUMIFS(输入回款!$D:$D,输入回款!$A:$A,助手回款!$X26,输入回款!$B:$B,科目对照回款!$F$11))+IF(科目对照回款!$G$11="",0,SUMIFS(输入回款!$C:$C,输入回款!$A:$A,助手回款!$X26,输入回款!$B:$B,科目对照回款!$G$11)+SUMIFS(输入回款!$D:$D,输入回款!$A:$A,助手回款!$X26,输入回款!$B:$B,科目对照回款!$G$11))+IF(科目对照回款!$H$11="",0,SUMIFS(输入回款!$C:$C,输入回款!$A:$A,助手回款!$X26,输入回款!$B:$B,科目对照回款!$H$11)+SUMIFS(输入回款!$D:$D,输入回款!$A:$A,助手回款!$X26,输入回款!$B:$B,科目对照回款!$H$11)),2)</f>
        <v>-0</v>
      </c>
      <c r="H371" s="49" t="str">
        <f aca="false">IF(ROUND($G371,2)&gt;0,ROUND($G371,2),"")</f>
        <v/>
      </c>
      <c r="I371" s="49" t="str">
        <f aca="false">IF(ROUND($G371,2)&lt;0,-ROUND($G371,2),"")</f>
        <v/>
      </c>
      <c r="J371" s="20" t="n">
        <f aca="false">IF(ROUND($G371,2)=0,0,1)</f>
        <v>0</v>
      </c>
      <c r="K371" s="20" t="str">
        <f aca="false">IF($J371=0,"",SUM($J$362:$J371))</f>
        <v/>
      </c>
      <c r="L371" s="20" t="str">
        <f aca="false">IF($K371="","",$A371*100+$K371)</f>
        <v/>
      </c>
      <c r="M371" s="48" t="str">
        <f aca="false">参数!$B$4</f>
        <v>回款</v>
      </c>
    </row>
    <row r="372" customFormat="false" ht="13.5" hidden="false" customHeight="false" outlineLevel="0" collapsed="false">
      <c r="A372" s="47" t="n">
        <v>25</v>
      </c>
      <c r="B372" s="38" t="n">
        <f aca="false">助手回款!$B26</f>
        <v>2038</v>
      </c>
      <c r="C372" s="48" t="str">
        <f aca="false">助手回款!$C26</f>
        <v>杨村王街店</v>
      </c>
      <c r="D372" s="48" t="str">
        <f aca="false">科目对照回款!$B12&amp;""</f>
        <v>亲情卡</v>
      </c>
      <c r="E372" s="48" t="str">
        <f aca="false">科目对照回款!$C12&amp;""</f>
        <v>应收账款</v>
      </c>
      <c r="F372" s="48" t="str">
        <f aca="false">科目对照回款!$D12&amp;""</f>
        <v>亲情卡</v>
      </c>
      <c r="G372" s="49" t="n">
        <f aca="false">-ROUND(IF(科目对照回款!$F$12="",0,SUMIFS(输入回款!$C:$C,输入回款!$A:$A,助手回款!$X26,输入回款!$B:$B,科目对照回款!$F$12)+SUMIFS(输入回款!$D:$D,输入回款!$A:$A,助手回款!$X26,输入回款!$B:$B,科目对照回款!$F$12))+IF(科目对照回款!$G$12="",0,SUMIFS(输入回款!$C:$C,输入回款!$A:$A,助手回款!$X26,输入回款!$B:$B,科目对照回款!$G$12)+SUMIFS(输入回款!$D:$D,输入回款!$A:$A,助手回款!$X26,输入回款!$B:$B,科目对照回款!$G$12))+IF(科目对照回款!$H$12="",0,SUMIFS(输入回款!$C:$C,输入回款!$A:$A,助手回款!$X26,输入回款!$B:$B,科目对照回款!$H$12)+SUMIFS(输入回款!$D:$D,输入回款!$A:$A,助手回款!$X26,输入回款!$B:$B,科目对照回款!$H$12)),2)</f>
        <v>-0</v>
      </c>
      <c r="H372" s="49" t="str">
        <f aca="false">IF(ROUND($G372,2)&gt;0,ROUND($G372,2),"")</f>
        <v/>
      </c>
      <c r="I372" s="49" t="str">
        <f aca="false">IF(ROUND($G372,2)&lt;0,-ROUND($G372,2),"")</f>
        <v/>
      </c>
      <c r="J372" s="20" t="n">
        <f aca="false">IF(ROUND($G372,2)=0,0,1)</f>
        <v>0</v>
      </c>
      <c r="K372" s="20" t="str">
        <f aca="false">IF($J372=0,"",SUM($J$362:$J372))</f>
        <v/>
      </c>
      <c r="L372" s="20" t="str">
        <f aca="false">IF($K372="","",$A372*100+$K372)</f>
        <v/>
      </c>
      <c r="M372" s="48" t="str">
        <f aca="false">参数!$B$4</f>
        <v>回款</v>
      </c>
    </row>
    <row r="373" customFormat="false" ht="13.5" hidden="false" customHeight="false" outlineLevel="0" collapsed="false">
      <c r="A373" s="47" t="n">
        <v>25</v>
      </c>
      <c r="B373" s="38" t="n">
        <f aca="false">助手回款!$B26</f>
        <v>2038</v>
      </c>
      <c r="C373" s="48" t="str">
        <f aca="false">助手回款!$C26</f>
        <v>杨村王街店</v>
      </c>
      <c r="D373" s="48" t="str">
        <f aca="false">科目对照回款!$B13&amp;""</f>
        <v>银联</v>
      </c>
      <c r="E373" s="48" t="str">
        <f aca="false">科目对照回款!$C13&amp;""</f>
        <v>应收账款</v>
      </c>
      <c r="F373" s="48" t="str">
        <f aca="false">科目对照回款!$D13&amp;""</f>
        <v>银联</v>
      </c>
      <c r="G373" s="49" t="n">
        <f aca="false">-ROUND(IF(科目对照回款!$F$13="",0,SUMIFS(输入回款!$C:$C,输入回款!$A:$A,助手回款!$X26,输入回款!$B:$B,科目对照回款!$F$13)+SUMIFS(输入回款!$D:$D,输入回款!$A:$A,助手回款!$X26,输入回款!$B:$B,科目对照回款!$F$13))+IF(科目对照回款!$G$13="",0,SUMIFS(输入回款!$C:$C,输入回款!$A:$A,助手回款!$X26,输入回款!$B:$B,科目对照回款!$G$13)+SUMIFS(输入回款!$D:$D,输入回款!$A:$A,助手回款!$X26,输入回款!$B:$B,科目对照回款!$G$13))+IF(科目对照回款!$H$13="",0,SUMIFS(输入回款!$C:$C,输入回款!$A:$A,助手回款!$X26,输入回款!$B:$B,科目对照回款!$H$13)+SUMIFS(输入回款!$D:$D,输入回款!$A:$A,助手回款!$X26,输入回款!$B:$B,科目对照回款!$H$13)),2)</f>
        <v>-0</v>
      </c>
      <c r="H373" s="49" t="str">
        <f aca="false">IF(ROUND($G373,2)&gt;0,ROUND($G373,2),"")</f>
        <v/>
      </c>
      <c r="I373" s="49" t="str">
        <f aca="false">IF(ROUND($G373,2)&lt;0,-ROUND($G373,2),"")</f>
        <v/>
      </c>
      <c r="J373" s="20" t="n">
        <f aca="false">IF(ROUND($G373,2)=0,0,1)</f>
        <v>0</v>
      </c>
      <c r="K373" s="20" t="str">
        <f aca="false">IF($J373=0,"",SUM($J$362:$J373))</f>
        <v/>
      </c>
      <c r="L373" s="20" t="str">
        <f aca="false">IF($K373="","",$A373*100+$K373)</f>
        <v/>
      </c>
      <c r="M373" s="48" t="str">
        <f aca="false">参数!$B$4</f>
        <v>回款</v>
      </c>
    </row>
    <row r="374" customFormat="false" ht="13.5" hidden="false" customHeight="false" outlineLevel="0" collapsed="false">
      <c r="A374" s="47" t="n">
        <v>25</v>
      </c>
      <c r="B374" s="38" t="n">
        <f aca="false">助手回款!$B26</f>
        <v>2038</v>
      </c>
      <c r="C374" s="48" t="str">
        <f aca="false">助手回款!$C26</f>
        <v>杨村王街店</v>
      </c>
      <c r="D374" s="48" t="str">
        <f aca="false">科目对照回款!$B14&amp;""</f>
        <v>代金券</v>
      </c>
      <c r="E374" s="48" t="str">
        <f aca="false">科目对照回款!$C14&amp;""</f>
        <v>应收账款</v>
      </c>
      <c r="F374" s="48" t="str">
        <f aca="false">科目对照回款!$D14&amp;""</f>
        <v>代金券</v>
      </c>
      <c r="G374" s="49" t="n">
        <f aca="false">-ROUND(IF(科目对照回款!$F$14="",0,SUMIFS(输入回款!$C:$C,输入回款!$A:$A,助手回款!$X26,输入回款!$B:$B,科目对照回款!$F$14)+SUMIFS(输入回款!$D:$D,输入回款!$A:$A,助手回款!$X26,输入回款!$B:$B,科目对照回款!$F$14))+IF(科目对照回款!$G$14="",0,SUMIFS(输入回款!$C:$C,输入回款!$A:$A,助手回款!$X26,输入回款!$B:$B,科目对照回款!$G$14)+SUMIFS(输入回款!$D:$D,输入回款!$A:$A,助手回款!$X26,输入回款!$B:$B,科目对照回款!$G$14))+IF(科目对照回款!$H$14="",0,SUMIFS(输入回款!$C:$C,输入回款!$A:$A,助手回款!$X26,输入回款!$B:$B,科目对照回款!$H$14)+SUMIFS(输入回款!$D:$D,输入回款!$A:$A,助手回款!$X26,输入回款!$B:$B,科目对照回款!$H$14)),2)</f>
        <v>-0</v>
      </c>
      <c r="H374" s="49" t="str">
        <f aca="false">IF(ROUND($G374,2)&gt;0,ROUND($G374,2),"")</f>
        <v/>
      </c>
      <c r="I374" s="49" t="str">
        <f aca="false">IF(ROUND($G374,2)&lt;0,-ROUND($G374,2),"")</f>
        <v/>
      </c>
      <c r="J374" s="20" t="n">
        <f aca="false">IF(ROUND($G374,2)=0,0,1)</f>
        <v>0</v>
      </c>
      <c r="K374" s="20" t="str">
        <f aca="false">IF($J374=0,"",SUM($J$362:$J374))</f>
        <v/>
      </c>
      <c r="L374" s="20" t="str">
        <f aca="false">IF($K374="","",$A374*100+$K374)</f>
        <v/>
      </c>
      <c r="M374" s="48" t="str">
        <f aca="false">参数!$B$4</f>
        <v>回款</v>
      </c>
    </row>
    <row r="375" customFormat="false" ht="13.5" hidden="false" customHeight="false" outlineLevel="0" collapsed="false">
      <c r="A375" s="47" t="n">
        <v>25</v>
      </c>
      <c r="B375" s="38" t="n">
        <f aca="false">助手回款!$B26</f>
        <v>2038</v>
      </c>
      <c r="C375" s="48" t="str">
        <f aca="false">助手回款!$C26</f>
        <v>杨村王街店</v>
      </c>
      <c r="D375" s="48" t="str">
        <f aca="false">科目对照回款!$B15&amp;""</f>
        <v>药机微信</v>
      </c>
      <c r="E375" s="48" t="str">
        <f aca="false">科目对照回款!$C15&amp;""</f>
        <v>应收账款</v>
      </c>
      <c r="F375" s="48" t="str">
        <f aca="false">科目对照回款!$D15&amp;""</f>
        <v>药机微信</v>
      </c>
      <c r="G375" s="49" t="n">
        <f aca="false">-ROUND(IF(科目对照回款!$F$15="",0,SUMIFS(输入回款!$C:$C,输入回款!$A:$A,助手回款!$X26,输入回款!$B:$B,科目对照回款!$F$15)+SUMIFS(输入回款!$D:$D,输入回款!$A:$A,助手回款!$X26,输入回款!$B:$B,科目对照回款!$F$15))+IF(科目对照回款!$G$15="",0,SUMIFS(输入回款!$C:$C,输入回款!$A:$A,助手回款!$X26,输入回款!$B:$B,科目对照回款!$G$15)+SUMIFS(输入回款!$D:$D,输入回款!$A:$A,助手回款!$X26,输入回款!$B:$B,科目对照回款!$G$15))+IF(科目对照回款!$H$15="",0,SUMIFS(输入回款!$C:$C,输入回款!$A:$A,助手回款!$X26,输入回款!$B:$B,科目对照回款!$H$15)+SUMIFS(输入回款!$D:$D,输入回款!$A:$A,助手回款!$X26,输入回款!$B:$B,科目对照回款!$H$15)),2)</f>
        <v>-0</v>
      </c>
      <c r="H375" s="49" t="str">
        <f aca="false">IF(ROUND($G375,2)&gt;0,ROUND($G375,2),"")</f>
        <v/>
      </c>
      <c r="I375" s="49" t="str">
        <f aca="false">IF(ROUND($G375,2)&lt;0,-ROUND($G375,2),"")</f>
        <v/>
      </c>
      <c r="J375" s="20" t="n">
        <f aca="false">IF(ROUND($G375,2)=0,0,1)</f>
        <v>0</v>
      </c>
      <c r="K375" s="20" t="str">
        <f aca="false">IF($J375=0,"",SUM($J$362:$J375))</f>
        <v/>
      </c>
      <c r="L375" s="20" t="str">
        <f aca="false">IF($K375="","",$A375*100+$K375)</f>
        <v/>
      </c>
      <c r="M375" s="48" t="str">
        <f aca="false">参数!$B$4</f>
        <v>回款</v>
      </c>
    </row>
    <row r="376" customFormat="false" ht="13.5" hidden="false" customHeight="false" outlineLevel="0" collapsed="false">
      <c r="A376" s="47" t="n">
        <v>25</v>
      </c>
      <c r="B376" s="38" t="n">
        <f aca="false">助手回款!$B26</f>
        <v>2038</v>
      </c>
      <c r="C376" s="48" t="str">
        <f aca="false">助手回款!$C26</f>
        <v>杨村王街店</v>
      </c>
      <c r="D376" s="48" t="str">
        <f aca="false">科目对照回款!$B16&amp;""</f>
        <v>储值卡</v>
      </c>
      <c r="E376" s="48" t="str">
        <f aca="false">科目对照回款!$C16&amp;""</f>
        <v>其他应收款</v>
      </c>
      <c r="F376" s="48" t="str">
        <f aca="false">科目对照回款!$D16&amp;""</f>
        <v>储值卡</v>
      </c>
      <c r="G376" s="49" t="n">
        <f aca="false">-ROUND(IF(科目对照回款!$F$16="",0,SUMIFS(输入回款!$C:$C,输入回款!$A:$A,助手回款!$X26,输入回款!$B:$B,科目对照回款!$F$16)+SUMIFS(输入回款!$D:$D,输入回款!$A:$A,助手回款!$X26,输入回款!$B:$B,科目对照回款!$F$16))+IF(科目对照回款!$G$16="",0,SUMIFS(输入回款!$C:$C,输入回款!$A:$A,助手回款!$X26,输入回款!$B:$B,科目对照回款!$G$16)+SUMIFS(输入回款!$D:$D,输入回款!$A:$A,助手回款!$X26,输入回款!$B:$B,科目对照回款!$G$16))+IF(科目对照回款!$H$16="",0,SUMIFS(输入回款!$C:$C,输入回款!$A:$A,助手回款!$X26,输入回款!$B:$B,科目对照回款!$H$16)+SUMIFS(输入回款!$D:$D,输入回款!$A:$A,助手回款!$X26,输入回款!$B:$B,科目对照回款!$H$16)),2)</f>
        <v>-0</v>
      </c>
      <c r="H376" s="49" t="str">
        <f aca="false">IF(ROUND($G376,2)&gt;0,ROUND($G376,2),"")</f>
        <v/>
      </c>
      <c r="I376" s="49" t="str">
        <f aca="false">IF(ROUND($G376,2)&lt;0,-ROUND($G376,2),"")</f>
        <v/>
      </c>
      <c r="J376" s="20" t="n">
        <f aca="false">IF(ROUND($G376,2)=0,0,1)</f>
        <v>0</v>
      </c>
      <c r="K376" s="20" t="str">
        <f aca="false">IF($J376=0,"",SUM($J$362:$J376))</f>
        <v/>
      </c>
      <c r="L376" s="20" t="str">
        <f aca="false">IF($K376="","",$A376*100+$K376)</f>
        <v/>
      </c>
      <c r="M376" s="48" t="str">
        <f aca="false">参数!$B$4</f>
        <v>回款</v>
      </c>
    </row>
    <row r="377" customFormat="false" ht="13.5" hidden="false" customHeight="false" outlineLevel="0" collapsed="false">
      <c r="A377" s="47" t="n">
        <v>26</v>
      </c>
      <c r="B377" s="38" t="n">
        <f aca="false">助手回款!$B27</f>
        <v>2039</v>
      </c>
      <c r="C377" s="48" t="str">
        <f aca="false">助手回款!$C27</f>
        <v>千户营店</v>
      </c>
      <c r="D377" s="48" t="str">
        <f aca="false">科目对照回款!$B2&amp;""</f>
        <v>库存现金</v>
      </c>
      <c r="E377" s="48" t="str">
        <f aca="false">科目对照回款!$C2&amp;""</f>
        <v>库存现金</v>
      </c>
      <c r="F377" s="48" t="str">
        <f aca="false">科目对照回款!$D2&amp;""</f>
        <v/>
      </c>
      <c r="G377" s="49" t="n">
        <f aca="false">助手回款!$E27</f>
        <v>48822.62</v>
      </c>
      <c r="H377" s="49" t="n">
        <f aca="false">IF(ROUND($G377,2)&gt;0,ROUND($G377,2),"")</f>
        <v>48822.62</v>
      </c>
      <c r="I377" s="49" t="str">
        <f aca="false">IF(ROUND($G377,2)&lt;0,-ROUND($G377,2),"")</f>
        <v/>
      </c>
      <c r="J377" s="20" t="n">
        <f aca="false">IF(ROUND($G377,2)=0,0,1)</f>
        <v>1</v>
      </c>
      <c r="K377" s="20" t="n">
        <f aca="false">IF($J377=0,"",SUM($J$377:$J377))</f>
        <v>1</v>
      </c>
      <c r="L377" s="20" t="n">
        <f aca="false">IF($K377="","",$A377*100+$K377)</f>
        <v>2601</v>
      </c>
      <c r="M377" s="48" t="str">
        <f aca="false">参数!$B$4</f>
        <v>回款</v>
      </c>
    </row>
    <row r="378" customFormat="false" ht="13.5" hidden="false" customHeight="false" outlineLevel="0" collapsed="false">
      <c r="A378" s="47" t="n">
        <v>26</v>
      </c>
      <c r="B378" s="38" t="n">
        <f aca="false">助手回款!$B27</f>
        <v>2039</v>
      </c>
      <c r="C378" s="48" t="str">
        <f aca="false">助手回款!$C27</f>
        <v>千户营店</v>
      </c>
      <c r="D378" s="48" t="str">
        <f aca="false">科目对照回款!$B3&amp;""</f>
        <v>手续费</v>
      </c>
      <c r="E378" s="48" t="str">
        <f aca="false">科目对照回款!$C3&amp;""</f>
        <v>财务费用</v>
      </c>
      <c r="F378" s="48" t="str">
        <f aca="false">科目对照回款!$D3&amp;""</f>
        <v>手续费</v>
      </c>
      <c r="G378" s="49" t="n">
        <f aca="false">助手回款!$F27</f>
        <v>0</v>
      </c>
      <c r="H378" s="49" t="str">
        <f aca="false">IF(ROUND($G378,2)&gt;0,ROUND($G378,2),"")</f>
        <v/>
      </c>
      <c r="I378" s="49" t="str">
        <f aca="false">IF(ROUND($G378,2)&lt;0,-ROUND($G378,2),"")</f>
        <v/>
      </c>
      <c r="J378" s="20" t="n">
        <f aca="false">IF(ROUND($G378,2)=0,0,1)</f>
        <v>0</v>
      </c>
      <c r="K378" s="20" t="str">
        <f aca="false">IF($J378=0,"",SUM($J$377:$J378))</f>
        <v/>
      </c>
      <c r="L378" s="20" t="str">
        <f aca="false">IF($K378="","",$A378*100+$K378)</f>
        <v/>
      </c>
      <c r="M378" s="48" t="str">
        <f aca="false">参数!$B$4</f>
        <v>回款</v>
      </c>
    </row>
    <row r="379" customFormat="false" ht="13.5" hidden="false" customHeight="false" outlineLevel="0" collapsed="false">
      <c r="A379" s="47" t="n">
        <v>26</v>
      </c>
      <c r="B379" s="38" t="n">
        <f aca="false">助手回款!$B27</f>
        <v>2039</v>
      </c>
      <c r="C379" s="48" t="str">
        <f aca="false">助手回款!$C27</f>
        <v>千户营店</v>
      </c>
      <c r="D379" s="48" t="str">
        <f aca="false">科目对照回款!$B4&amp;""</f>
        <v>聚合支付</v>
      </c>
      <c r="E379" s="48" t="str">
        <f aca="false">科目对照回款!$C4&amp;""</f>
        <v>应收账款</v>
      </c>
      <c r="F379" s="48" t="str">
        <f aca="false">科目对照回款!$D4&amp;""</f>
        <v>聚合支付</v>
      </c>
      <c r="G379" s="49" t="n">
        <f aca="false">-ROUND(IF(科目对照回款!$F$4="",0,SUMIFS(输入回款!$C:$C,输入回款!$A:$A,助手回款!$X27,输入回款!$B:$B,科目对照回款!$F$4)+SUMIFS(输入回款!$D:$D,输入回款!$A:$A,助手回款!$X27,输入回款!$B:$B,科目对照回款!$F$4))+IF(科目对照回款!$G$4="",0,SUMIFS(输入回款!$C:$C,输入回款!$A:$A,助手回款!$X27,输入回款!$B:$B,科目对照回款!$G$4)+SUMIFS(输入回款!$D:$D,输入回款!$A:$A,助手回款!$X27,输入回款!$B:$B,科目对照回款!$G$4))+IF(科目对照回款!$H$4="",0,SUMIFS(输入回款!$C:$C,输入回款!$A:$A,助手回款!$X27,输入回款!$B:$B,科目对照回款!$H$4)+SUMIFS(输入回款!$D:$D,输入回款!$A:$A,助手回款!$X27,输入回款!$B:$B,科目对照回款!$H$4)),2)</f>
        <v>-41825.68</v>
      </c>
      <c r="H379" s="49" t="str">
        <f aca="false">IF(ROUND($G379,2)&gt;0,ROUND($G379,2),"")</f>
        <v/>
      </c>
      <c r="I379" s="49" t="n">
        <f aca="false">IF(ROUND($G379,2)&lt;0,-ROUND($G379,2),"")</f>
        <v>41825.68</v>
      </c>
      <c r="J379" s="20" t="n">
        <f aca="false">IF(ROUND($G379,2)=0,0,1)</f>
        <v>1</v>
      </c>
      <c r="K379" s="20" t="n">
        <f aca="false">IF($J379=0,"",SUM($J$377:$J379))</f>
        <v>2</v>
      </c>
      <c r="L379" s="20" t="n">
        <f aca="false">IF($K379="","",$A379*100+$K379)</f>
        <v>2602</v>
      </c>
      <c r="M379" s="48" t="str">
        <f aca="false">参数!$B$4</f>
        <v>回款</v>
      </c>
    </row>
    <row r="380" customFormat="false" ht="13.5" hidden="false" customHeight="false" outlineLevel="0" collapsed="false">
      <c r="A380" s="47" t="n">
        <v>26</v>
      </c>
      <c r="B380" s="38" t="n">
        <f aca="false">助手回款!$B27</f>
        <v>2039</v>
      </c>
      <c r="C380" s="48" t="str">
        <f aca="false">助手回款!$C27</f>
        <v>千户营店</v>
      </c>
      <c r="D380" s="48" t="str">
        <f aca="false">科目对照回款!$B5&amp;""</f>
        <v>医保</v>
      </c>
      <c r="E380" s="48" t="str">
        <f aca="false">科目对照回款!$C5&amp;""</f>
        <v>应收账款</v>
      </c>
      <c r="F380" s="48" t="str">
        <f aca="false">科目对照回款!$D5&amp;""</f>
        <v>医保</v>
      </c>
      <c r="G380" s="49" t="n">
        <f aca="false">-ROUND(IF(科目对照回款!$F$5="",0,SUMIFS(输入回款!$C:$C,输入回款!$A:$A,助手回款!$X27,输入回款!$B:$B,科目对照回款!$F$5)+SUMIFS(输入回款!$D:$D,输入回款!$A:$A,助手回款!$X27,输入回款!$B:$B,科目对照回款!$F$5))+IF(科目对照回款!$G$5="",0,SUMIFS(输入回款!$C:$C,输入回款!$A:$A,助手回款!$X27,输入回款!$B:$B,科目对照回款!$G$5)+SUMIFS(输入回款!$D:$D,输入回款!$A:$A,助手回款!$X27,输入回款!$B:$B,科目对照回款!$G$5))+IF(科目对照回款!$H$5="",0,SUMIFS(输入回款!$C:$C,输入回款!$A:$A,助手回款!$X27,输入回款!$B:$B,科目对照回款!$H$5)+SUMIFS(输入回款!$D:$D,输入回款!$A:$A,助手回款!$X27,输入回款!$B:$B,科目对照回款!$H$5)),2)</f>
        <v>-6996.94</v>
      </c>
      <c r="H380" s="49" t="str">
        <f aca="false">IF(ROUND($G380,2)&gt;0,ROUND($G380,2),"")</f>
        <v/>
      </c>
      <c r="I380" s="49" t="n">
        <f aca="false">IF(ROUND($G380,2)&lt;0,-ROUND($G380,2),"")</f>
        <v>6996.94</v>
      </c>
      <c r="J380" s="20" t="n">
        <f aca="false">IF(ROUND($G380,2)=0,0,1)</f>
        <v>1</v>
      </c>
      <c r="K380" s="20" t="n">
        <f aca="false">IF($J380=0,"",SUM($J$377:$J380))</f>
        <v>3</v>
      </c>
      <c r="L380" s="20" t="n">
        <f aca="false">IF($K380="","",$A380*100+$K380)</f>
        <v>2603</v>
      </c>
      <c r="M380" s="48" t="str">
        <f aca="false">参数!$B$4</f>
        <v>回款</v>
      </c>
    </row>
    <row r="381" customFormat="false" ht="13.5" hidden="false" customHeight="false" outlineLevel="0" collapsed="false">
      <c r="A381" s="47" t="n">
        <v>26</v>
      </c>
      <c r="B381" s="38" t="n">
        <f aca="false">助手回款!$B27</f>
        <v>2039</v>
      </c>
      <c r="C381" s="48" t="str">
        <f aca="false">助手回款!$C27</f>
        <v>千户营店</v>
      </c>
      <c r="D381" s="48" t="str">
        <f aca="false">科目对照回款!$B6&amp;""</f>
        <v>美团</v>
      </c>
      <c r="E381" s="48" t="str">
        <f aca="false">科目对照回款!$C6&amp;""</f>
        <v>应收账款</v>
      </c>
      <c r="F381" s="48" t="str">
        <f aca="false">科目对照回款!$D6&amp;""</f>
        <v>美团</v>
      </c>
      <c r="G381" s="49" t="n">
        <f aca="false">-ROUND(IF(科目对照回款!$F$6="",0,SUMIFS(输入回款!$C:$C,输入回款!$A:$A,助手回款!$X27,输入回款!$B:$B,科目对照回款!$F$6)+SUMIFS(输入回款!$D:$D,输入回款!$A:$A,助手回款!$X27,输入回款!$B:$B,科目对照回款!$F$6))+IF(科目对照回款!$G$6="",0,SUMIFS(输入回款!$C:$C,输入回款!$A:$A,助手回款!$X27,输入回款!$B:$B,科目对照回款!$G$6)+SUMIFS(输入回款!$D:$D,输入回款!$A:$A,助手回款!$X27,输入回款!$B:$B,科目对照回款!$G$6))+IF(科目对照回款!$H$6="",0,SUMIFS(输入回款!$C:$C,输入回款!$A:$A,助手回款!$X27,输入回款!$B:$B,科目对照回款!$H$6)+SUMIFS(输入回款!$D:$D,输入回款!$A:$A,助手回款!$X27,输入回款!$B:$B,科目对照回款!$H$6)),2)</f>
        <v>-0</v>
      </c>
      <c r="H381" s="49" t="str">
        <f aca="false">IF(ROUND($G381,2)&gt;0,ROUND($G381,2),"")</f>
        <v/>
      </c>
      <c r="I381" s="49" t="str">
        <f aca="false">IF(ROUND($G381,2)&lt;0,-ROUND($G381,2),"")</f>
        <v/>
      </c>
      <c r="J381" s="20" t="n">
        <f aca="false">IF(ROUND($G381,2)=0,0,1)</f>
        <v>0</v>
      </c>
      <c r="K381" s="20" t="str">
        <f aca="false">IF($J381=0,"",SUM($J$377:$J381))</f>
        <v/>
      </c>
      <c r="L381" s="20" t="str">
        <f aca="false">IF($K381="","",$A381*100+$K381)</f>
        <v/>
      </c>
      <c r="M381" s="48" t="str">
        <f aca="false">参数!$B$4</f>
        <v>回款</v>
      </c>
    </row>
    <row r="382" customFormat="false" ht="13.5" hidden="false" customHeight="false" outlineLevel="0" collapsed="false">
      <c r="A382" s="47" t="n">
        <v>26</v>
      </c>
      <c r="B382" s="38" t="n">
        <f aca="false">助手回款!$B27</f>
        <v>2039</v>
      </c>
      <c r="C382" s="48" t="str">
        <f aca="false">助手回款!$C27</f>
        <v>千户营店</v>
      </c>
      <c r="D382" s="48" t="str">
        <f aca="false">科目对照回款!$B7&amp;""</f>
        <v>饿了么</v>
      </c>
      <c r="E382" s="48" t="str">
        <f aca="false">科目对照回款!$C7&amp;""</f>
        <v>应收账款</v>
      </c>
      <c r="F382" s="48" t="str">
        <f aca="false">科目对照回款!$D7&amp;""</f>
        <v>饿了么</v>
      </c>
      <c r="G382" s="49" t="n">
        <f aca="false">-ROUND(IF(科目对照回款!$F$7="",0,SUMIFS(输入回款!$C:$C,输入回款!$A:$A,助手回款!$X27,输入回款!$B:$B,科目对照回款!$F$7)+SUMIFS(输入回款!$D:$D,输入回款!$A:$A,助手回款!$X27,输入回款!$B:$B,科目对照回款!$F$7))+IF(科目对照回款!$G$7="",0,SUMIFS(输入回款!$C:$C,输入回款!$A:$A,助手回款!$X27,输入回款!$B:$B,科目对照回款!$G$7)+SUMIFS(输入回款!$D:$D,输入回款!$A:$A,助手回款!$X27,输入回款!$B:$B,科目对照回款!$G$7))+IF(科目对照回款!$H$7="",0,SUMIFS(输入回款!$C:$C,输入回款!$A:$A,助手回款!$X27,输入回款!$B:$B,科目对照回款!$H$7)+SUMIFS(输入回款!$D:$D,输入回款!$A:$A,助手回款!$X27,输入回款!$B:$B,科目对照回款!$H$7)),2)</f>
        <v>-0</v>
      </c>
      <c r="H382" s="49" t="str">
        <f aca="false">IF(ROUND($G382,2)&gt;0,ROUND($G382,2),"")</f>
        <v/>
      </c>
      <c r="I382" s="49" t="str">
        <f aca="false">IF(ROUND($G382,2)&lt;0,-ROUND($G382,2),"")</f>
        <v/>
      </c>
      <c r="J382" s="20" t="n">
        <f aca="false">IF(ROUND($G382,2)=0,0,1)</f>
        <v>0</v>
      </c>
      <c r="K382" s="20" t="str">
        <f aca="false">IF($J382=0,"",SUM($J$377:$J382))</f>
        <v/>
      </c>
      <c r="L382" s="20" t="str">
        <f aca="false">IF($K382="","",$A382*100+$K382)</f>
        <v/>
      </c>
      <c r="M382" s="48" t="str">
        <f aca="false">参数!$B$4</f>
        <v>回款</v>
      </c>
    </row>
    <row r="383" customFormat="false" ht="13.5" hidden="false" customHeight="false" outlineLevel="0" collapsed="false">
      <c r="A383" s="47" t="n">
        <v>26</v>
      </c>
      <c r="B383" s="38" t="n">
        <f aca="false">助手回款!$B27</f>
        <v>2039</v>
      </c>
      <c r="C383" s="48" t="str">
        <f aca="false">助手回款!$C27</f>
        <v>千户营店</v>
      </c>
      <c r="D383" s="48" t="str">
        <f aca="false">科目对照回款!$B8&amp;""</f>
        <v>24小时</v>
      </c>
      <c r="E383" s="48" t="str">
        <f aca="false">科目对照回款!$C8&amp;""</f>
        <v>应收账款</v>
      </c>
      <c r="F383" s="48" t="str">
        <f aca="false">科目对照回款!$D8&amp;""</f>
        <v>24小时</v>
      </c>
      <c r="G383" s="49" t="n">
        <f aca="false">-ROUND(IF(科目对照回款!$F$8="",0,SUMIFS(输入回款!$C:$C,输入回款!$A:$A,助手回款!$X27,输入回款!$B:$B,科目对照回款!$F$8)+SUMIFS(输入回款!$D:$D,输入回款!$A:$A,助手回款!$X27,输入回款!$B:$B,科目对照回款!$F$8))+IF(科目对照回款!$G$8="",0,SUMIFS(输入回款!$C:$C,输入回款!$A:$A,助手回款!$X27,输入回款!$B:$B,科目对照回款!$G$8)+SUMIFS(输入回款!$D:$D,输入回款!$A:$A,助手回款!$X27,输入回款!$B:$B,科目对照回款!$G$8))+IF(科目对照回款!$H$8="",0,SUMIFS(输入回款!$C:$C,输入回款!$A:$A,助手回款!$X27,输入回款!$B:$B,科目对照回款!$H$8)+SUMIFS(输入回款!$D:$D,输入回款!$A:$A,助手回款!$X27,输入回款!$B:$B,科目对照回款!$H$8)),2)</f>
        <v>-0</v>
      </c>
      <c r="H383" s="49" t="str">
        <f aca="false">IF(ROUND($G383,2)&gt;0,ROUND($G383,2),"")</f>
        <v/>
      </c>
      <c r="I383" s="49" t="str">
        <f aca="false">IF(ROUND($G383,2)&lt;0,-ROUND($G383,2),"")</f>
        <v/>
      </c>
      <c r="J383" s="20" t="n">
        <f aca="false">IF(ROUND($G383,2)=0,0,1)</f>
        <v>0</v>
      </c>
      <c r="K383" s="20" t="str">
        <f aca="false">IF($J383=0,"",SUM($J$377:$J383))</f>
        <v/>
      </c>
      <c r="L383" s="20" t="str">
        <f aca="false">IF($K383="","",$A383*100+$K383)</f>
        <v/>
      </c>
      <c r="M383" s="48" t="str">
        <f aca="false">参数!$B$4</f>
        <v>回款</v>
      </c>
    </row>
    <row r="384" customFormat="false" ht="13.5" hidden="false" customHeight="false" outlineLevel="0" collapsed="false">
      <c r="A384" s="47" t="n">
        <v>26</v>
      </c>
      <c r="B384" s="38" t="n">
        <f aca="false">助手回款!$B27</f>
        <v>2039</v>
      </c>
      <c r="C384" s="48" t="str">
        <f aca="false">助手回款!$C27</f>
        <v>千户营店</v>
      </c>
      <c r="D384" s="48" t="str">
        <f aca="false">科目对照回款!$B9&amp;""</f>
        <v>健E卡</v>
      </c>
      <c r="E384" s="48" t="str">
        <f aca="false">科目对照回款!$C9&amp;""</f>
        <v>应收账款</v>
      </c>
      <c r="F384" s="48" t="str">
        <f aca="false">科目对照回款!$D9&amp;""</f>
        <v>健E卡</v>
      </c>
      <c r="G384" s="49" t="n">
        <f aca="false">-ROUND(IF(科目对照回款!$F$9="",0,SUMIFS(输入回款!$C:$C,输入回款!$A:$A,助手回款!$X27,输入回款!$B:$B,科目对照回款!$F$9)+SUMIFS(输入回款!$D:$D,输入回款!$A:$A,助手回款!$X27,输入回款!$B:$B,科目对照回款!$F$9))+IF(科目对照回款!$G$9="",0,SUMIFS(输入回款!$C:$C,输入回款!$A:$A,助手回款!$X27,输入回款!$B:$B,科目对照回款!$G$9)+SUMIFS(输入回款!$D:$D,输入回款!$A:$A,助手回款!$X27,输入回款!$B:$B,科目对照回款!$G$9))+IF(科目对照回款!$H$9="",0,SUMIFS(输入回款!$C:$C,输入回款!$A:$A,助手回款!$X27,输入回款!$B:$B,科目对照回款!$H$9)+SUMIFS(输入回款!$D:$D,输入回款!$A:$A,助手回款!$X27,输入回款!$B:$B,科目对照回款!$H$9)),2)</f>
        <v>-0</v>
      </c>
      <c r="H384" s="49" t="str">
        <f aca="false">IF(ROUND($G384,2)&gt;0,ROUND($G384,2),"")</f>
        <v/>
      </c>
      <c r="I384" s="49" t="str">
        <f aca="false">IF(ROUND($G384,2)&lt;0,-ROUND($G384,2),"")</f>
        <v/>
      </c>
      <c r="J384" s="20" t="n">
        <f aca="false">IF(ROUND($G384,2)=0,0,1)</f>
        <v>0</v>
      </c>
      <c r="K384" s="20" t="str">
        <f aca="false">IF($J384=0,"",SUM($J$377:$J384))</f>
        <v/>
      </c>
      <c r="L384" s="20" t="str">
        <f aca="false">IF($K384="","",$A384*100+$K384)</f>
        <v/>
      </c>
      <c r="M384" s="48" t="str">
        <f aca="false">参数!$B$4</f>
        <v>回款</v>
      </c>
    </row>
    <row r="385" customFormat="false" ht="13.5" hidden="false" customHeight="false" outlineLevel="0" collapsed="false">
      <c r="A385" s="47" t="n">
        <v>26</v>
      </c>
      <c r="B385" s="38" t="n">
        <f aca="false">助手回款!$B27</f>
        <v>2039</v>
      </c>
      <c r="C385" s="48" t="str">
        <f aca="false">助手回款!$C27</f>
        <v>千户营店</v>
      </c>
      <c r="D385" s="48" t="str">
        <f aca="false">科目对照回款!$B10&amp;""</f>
        <v>医卡通</v>
      </c>
      <c r="E385" s="48" t="str">
        <f aca="false">科目对照回款!$C10&amp;""</f>
        <v>应收账款</v>
      </c>
      <c r="F385" s="48" t="str">
        <f aca="false">科目对照回款!$D10&amp;""</f>
        <v>医卡通</v>
      </c>
      <c r="G385" s="49" t="n">
        <f aca="false">-ROUND(IF(科目对照回款!$F$10="",0,SUMIFS(输入回款!$C:$C,输入回款!$A:$A,助手回款!$X27,输入回款!$B:$B,科目对照回款!$F$10)+SUMIFS(输入回款!$D:$D,输入回款!$A:$A,助手回款!$X27,输入回款!$B:$B,科目对照回款!$F$10))+IF(科目对照回款!$G$10="",0,SUMIFS(输入回款!$C:$C,输入回款!$A:$A,助手回款!$X27,输入回款!$B:$B,科目对照回款!$G$10)+SUMIFS(输入回款!$D:$D,输入回款!$A:$A,助手回款!$X27,输入回款!$B:$B,科目对照回款!$G$10))+IF(科目对照回款!$H$10="",0,SUMIFS(输入回款!$C:$C,输入回款!$A:$A,助手回款!$X27,输入回款!$B:$B,科目对照回款!$H$10)+SUMIFS(输入回款!$D:$D,输入回款!$A:$A,助手回款!$X27,输入回款!$B:$B,科目对照回款!$H$10)),2)</f>
        <v>-0</v>
      </c>
      <c r="H385" s="49" t="str">
        <f aca="false">IF(ROUND($G385,2)&gt;0,ROUND($G385,2),"")</f>
        <v/>
      </c>
      <c r="I385" s="49" t="str">
        <f aca="false">IF(ROUND($G385,2)&lt;0,-ROUND($G385,2),"")</f>
        <v/>
      </c>
      <c r="J385" s="20" t="n">
        <f aca="false">IF(ROUND($G385,2)=0,0,1)</f>
        <v>0</v>
      </c>
      <c r="K385" s="20" t="str">
        <f aca="false">IF($J385=0,"",SUM($J$377:$J385))</f>
        <v/>
      </c>
      <c r="L385" s="20" t="str">
        <f aca="false">IF($K385="","",$A385*100+$K385)</f>
        <v/>
      </c>
      <c r="M385" s="48" t="str">
        <f aca="false">参数!$B$4</f>
        <v>回款</v>
      </c>
    </row>
    <row r="386" customFormat="false" ht="13.5" hidden="false" customHeight="false" outlineLevel="0" collapsed="false">
      <c r="A386" s="47" t="n">
        <v>26</v>
      </c>
      <c r="B386" s="38" t="n">
        <f aca="false">助手回款!$B27</f>
        <v>2039</v>
      </c>
      <c r="C386" s="48" t="str">
        <f aca="false">助手回款!$C27</f>
        <v>千户营店</v>
      </c>
      <c r="D386" s="48" t="str">
        <f aca="false">科目对照回款!$B11&amp;""</f>
        <v>企健网</v>
      </c>
      <c r="E386" s="48" t="str">
        <f aca="false">科目对照回款!$C11&amp;""</f>
        <v>应收账款</v>
      </c>
      <c r="F386" s="48" t="str">
        <f aca="false">科目对照回款!$D11&amp;""</f>
        <v>企健网</v>
      </c>
      <c r="G386" s="49" t="n">
        <f aca="false">-ROUND(IF(科目对照回款!$F$11="",0,SUMIFS(输入回款!$C:$C,输入回款!$A:$A,助手回款!$X27,输入回款!$B:$B,科目对照回款!$F$11)+SUMIFS(输入回款!$D:$D,输入回款!$A:$A,助手回款!$X27,输入回款!$B:$B,科目对照回款!$F$11))+IF(科目对照回款!$G$11="",0,SUMIFS(输入回款!$C:$C,输入回款!$A:$A,助手回款!$X27,输入回款!$B:$B,科目对照回款!$G$11)+SUMIFS(输入回款!$D:$D,输入回款!$A:$A,助手回款!$X27,输入回款!$B:$B,科目对照回款!$G$11))+IF(科目对照回款!$H$11="",0,SUMIFS(输入回款!$C:$C,输入回款!$A:$A,助手回款!$X27,输入回款!$B:$B,科目对照回款!$H$11)+SUMIFS(输入回款!$D:$D,输入回款!$A:$A,助手回款!$X27,输入回款!$B:$B,科目对照回款!$H$11)),2)</f>
        <v>-0</v>
      </c>
      <c r="H386" s="49" t="str">
        <f aca="false">IF(ROUND($G386,2)&gt;0,ROUND($G386,2),"")</f>
        <v/>
      </c>
      <c r="I386" s="49" t="str">
        <f aca="false">IF(ROUND($G386,2)&lt;0,-ROUND($G386,2),"")</f>
        <v/>
      </c>
      <c r="J386" s="20" t="n">
        <f aca="false">IF(ROUND($G386,2)=0,0,1)</f>
        <v>0</v>
      </c>
      <c r="K386" s="20" t="str">
        <f aca="false">IF($J386=0,"",SUM($J$377:$J386))</f>
        <v/>
      </c>
      <c r="L386" s="20" t="str">
        <f aca="false">IF($K386="","",$A386*100+$K386)</f>
        <v/>
      </c>
      <c r="M386" s="48" t="str">
        <f aca="false">参数!$B$4</f>
        <v>回款</v>
      </c>
    </row>
    <row r="387" customFormat="false" ht="13.5" hidden="false" customHeight="false" outlineLevel="0" collapsed="false">
      <c r="A387" s="47" t="n">
        <v>26</v>
      </c>
      <c r="B387" s="38" t="n">
        <f aca="false">助手回款!$B27</f>
        <v>2039</v>
      </c>
      <c r="C387" s="48" t="str">
        <f aca="false">助手回款!$C27</f>
        <v>千户营店</v>
      </c>
      <c r="D387" s="48" t="str">
        <f aca="false">科目对照回款!$B12&amp;""</f>
        <v>亲情卡</v>
      </c>
      <c r="E387" s="48" t="str">
        <f aca="false">科目对照回款!$C12&amp;""</f>
        <v>应收账款</v>
      </c>
      <c r="F387" s="48" t="str">
        <f aca="false">科目对照回款!$D12&amp;""</f>
        <v>亲情卡</v>
      </c>
      <c r="G387" s="49" t="n">
        <f aca="false">-ROUND(IF(科目对照回款!$F$12="",0,SUMIFS(输入回款!$C:$C,输入回款!$A:$A,助手回款!$X27,输入回款!$B:$B,科目对照回款!$F$12)+SUMIFS(输入回款!$D:$D,输入回款!$A:$A,助手回款!$X27,输入回款!$B:$B,科目对照回款!$F$12))+IF(科目对照回款!$G$12="",0,SUMIFS(输入回款!$C:$C,输入回款!$A:$A,助手回款!$X27,输入回款!$B:$B,科目对照回款!$G$12)+SUMIFS(输入回款!$D:$D,输入回款!$A:$A,助手回款!$X27,输入回款!$B:$B,科目对照回款!$G$12))+IF(科目对照回款!$H$12="",0,SUMIFS(输入回款!$C:$C,输入回款!$A:$A,助手回款!$X27,输入回款!$B:$B,科目对照回款!$H$12)+SUMIFS(输入回款!$D:$D,输入回款!$A:$A,助手回款!$X27,输入回款!$B:$B,科目对照回款!$H$12)),2)</f>
        <v>-0</v>
      </c>
      <c r="H387" s="49" t="str">
        <f aca="false">IF(ROUND($G387,2)&gt;0,ROUND($G387,2),"")</f>
        <v/>
      </c>
      <c r="I387" s="49" t="str">
        <f aca="false">IF(ROUND($G387,2)&lt;0,-ROUND($G387,2),"")</f>
        <v/>
      </c>
      <c r="J387" s="20" t="n">
        <f aca="false">IF(ROUND($G387,2)=0,0,1)</f>
        <v>0</v>
      </c>
      <c r="K387" s="20" t="str">
        <f aca="false">IF($J387=0,"",SUM($J$377:$J387))</f>
        <v/>
      </c>
      <c r="L387" s="20" t="str">
        <f aca="false">IF($K387="","",$A387*100+$K387)</f>
        <v/>
      </c>
      <c r="M387" s="48" t="str">
        <f aca="false">参数!$B$4</f>
        <v>回款</v>
      </c>
    </row>
    <row r="388" customFormat="false" ht="13.5" hidden="false" customHeight="false" outlineLevel="0" collapsed="false">
      <c r="A388" s="47" t="n">
        <v>26</v>
      </c>
      <c r="B388" s="38" t="n">
        <f aca="false">助手回款!$B27</f>
        <v>2039</v>
      </c>
      <c r="C388" s="48" t="str">
        <f aca="false">助手回款!$C27</f>
        <v>千户营店</v>
      </c>
      <c r="D388" s="48" t="str">
        <f aca="false">科目对照回款!$B13&amp;""</f>
        <v>银联</v>
      </c>
      <c r="E388" s="48" t="str">
        <f aca="false">科目对照回款!$C13&amp;""</f>
        <v>应收账款</v>
      </c>
      <c r="F388" s="48" t="str">
        <f aca="false">科目对照回款!$D13&amp;""</f>
        <v>银联</v>
      </c>
      <c r="G388" s="49" t="n">
        <f aca="false">-ROUND(IF(科目对照回款!$F$13="",0,SUMIFS(输入回款!$C:$C,输入回款!$A:$A,助手回款!$X27,输入回款!$B:$B,科目对照回款!$F$13)+SUMIFS(输入回款!$D:$D,输入回款!$A:$A,助手回款!$X27,输入回款!$B:$B,科目对照回款!$F$13))+IF(科目对照回款!$G$13="",0,SUMIFS(输入回款!$C:$C,输入回款!$A:$A,助手回款!$X27,输入回款!$B:$B,科目对照回款!$G$13)+SUMIFS(输入回款!$D:$D,输入回款!$A:$A,助手回款!$X27,输入回款!$B:$B,科目对照回款!$G$13))+IF(科目对照回款!$H$13="",0,SUMIFS(输入回款!$C:$C,输入回款!$A:$A,助手回款!$X27,输入回款!$B:$B,科目对照回款!$H$13)+SUMIFS(输入回款!$D:$D,输入回款!$A:$A,助手回款!$X27,输入回款!$B:$B,科目对照回款!$H$13)),2)</f>
        <v>-0</v>
      </c>
      <c r="H388" s="49" t="str">
        <f aca="false">IF(ROUND($G388,2)&gt;0,ROUND($G388,2),"")</f>
        <v/>
      </c>
      <c r="I388" s="49" t="str">
        <f aca="false">IF(ROUND($G388,2)&lt;0,-ROUND($G388,2),"")</f>
        <v/>
      </c>
      <c r="J388" s="20" t="n">
        <f aca="false">IF(ROUND($G388,2)=0,0,1)</f>
        <v>0</v>
      </c>
      <c r="K388" s="20" t="str">
        <f aca="false">IF($J388=0,"",SUM($J$377:$J388))</f>
        <v/>
      </c>
      <c r="L388" s="20" t="str">
        <f aca="false">IF($K388="","",$A388*100+$K388)</f>
        <v/>
      </c>
      <c r="M388" s="48" t="str">
        <f aca="false">参数!$B$4</f>
        <v>回款</v>
      </c>
    </row>
    <row r="389" customFormat="false" ht="13.5" hidden="false" customHeight="false" outlineLevel="0" collapsed="false">
      <c r="A389" s="47" t="n">
        <v>26</v>
      </c>
      <c r="B389" s="38" t="n">
        <f aca="false">助手回款!$B27</f>
        <v>2039</v>
      </c>
      <c r="C389" s="48" t="str">
        <f aca="false">助手回款!$C27</f>
        <v>千户营店</v>
      </c>
      <c r="D389" s="48" t="str">
        <f aca="false">科目对照回款!$B14&amp;""</f>
        <v>代金券</v>
      </c>
      <c r="E389" s="48" t="str">
        <f aca="false">科目对照回款!$C14&amp;""</f>
        <v>应收账款</v>
      </c>
      <c r="F389" s="48" t="str">
        <f aca="false">科目对照回款!$D14&amp;""</f>
        <v>代金券</v>
      </c>
      <c r="G389" s="49" t="n">
        <f aca="false">-ROUND(IF(科目对照回款!$F$14="",0,SUMIFS(输入回款!$C:$C,输入回款!$A:$A,助手回款!$X27,输入回款!$B:$B,科目对照回款!$F$14)+SUMIFS(输入回款!$D:$D,输入回款!$A:$A,助手回款!$X27,输入回款!$B:$B,科目对照回款!$F$14))+IF(科目对照回款!$G$14="",0,SUMIFS(输入回款!$C:$C,输入回款!$A:$A,助手回款!$X27,输入回款!$B:$B,科目对照回款!$G$14)+SUMIFS(输入回款!$D:$D,输入回款!$A:$A,助手回款!$X27,输入回款!$B:$B,科目对照回款!$G$14))+IF(科目对照回款!$H$14="",0,SUMIFS(输入回款!$C:$C,输入回款!$A:$A,助手回款!$X27,输入回款!$B:$B,科目对照回款!$H$14)+SUMIFS(输入回款!$D:$D,输入回款!$A:$A,助手回款!$X27,输入回款!$B:$B,科目对照回款!$H$14)),2)</f>
        <v>-0</v>
      </c>
      <c r="H389" s="49" t="str">
        <f aca="false">IF(ROUND($G389,2)&gt;0,ROUND($G389,2),"")</f>
        <v/>
      </c>
      <c r="I389" s="49" t="str">
        <f aca="false">IF(ROUND($G389,2)&lt;0,-ROUND($G389,2),"")</f>
        <v/>
      </c>
      <c r="J389" s="20" t="n">
        <f aca="false">IF(ROUND($G389,2)=0,0,1)</f>
        <v>0</v>
      </c>
      <c r="K389" s="20" t="str">
        <f aca="false">IF($J389=0,"",SUM($J$377:$J389))</f>
        <v/>
      </c>
      <c r="L389" s="20" t="str">
        <f aca="false">IF($K389="","",$A389*100+$K389)</f>
        <v/>
      </c>
      <c r="M389" s="48" t="str">
        <f aca="false">参数!$B$4</f>
        <v>回款</v>
      </c>
    </row>
    <row r="390" customFormat="false" ht="13.5" hidden="false" customHeight="false" outlineLevel="0" collapsed="false">
      <c r="A390" s="47" t="n">
        <v>26</v>
      </c>
      <c r="B390" s="38" t="n">
        <f aca="false">助手回款!$B27</f>
        <v>2039</v>
      </c>
      <c r="C390" s="48" t="str">
        <f aca="false">助手回款!$C27</f>
        <v>千户营店</v>
      </c>
      <c r="D390" s="48" t="str">
        <f aca="false">科目对照回款!$B15&amp;""</f>
        <v>药机微信</v>
      </c>
      <c r="E390" s="48" t="str">
        <f aca="false">科目对照回款!$C15&amp;""</f>
        <v>应收账款</v>
      </c>
      <c r="F390" s="48" t="str">
        <f aca="false">科目对照回款!$D15&amp;""</f>
        <v>药机微信</v>
      </c>
      <c r="G390" s="49" t="n">
        <f aca="false">-ROUND(IF(科目对照回款!$F$15="",0,SUMIFS(输入回款!$C:$C,输入回款!$A:$A,助手回款!$X27,输入回款!$B:$B,科目对照回款!$F$15)+SUMIFS(输入回款!$D:$D,输入回款!$A:$A,助手回款!$X27,输入回款!$B:$B,科目对照回款!$F$15))+IF(科目对照回款!$G$15="",0,SUMIFS(输入回款!$C:$C,输入回款!$A:$A,助手回款!$X27,输入回款!$B:$B,科目对照回款!$G$15)+SUMIFS(输入回款!$D:$D,输入回款!$A:$A,助手回款!$X27,输入回款!$B:$B,科目对照回款!$G$15))+IF(科目对照回款!$H$15="",0,SUMIFS(输入回款!$C:$C,输入回款!$A:$A,助手回款!$X27,输入回款!$B:$B,科目对照回款!$H$15)+SUMIFS(输入回款!$D:$D,输入回款!$A:$A,助手回款!$X27,输入回款!$B:$B,科目对照回款!$H$15)),2)</f>
        <v>-0</v>
      </c>
      <c r="H390" s="49" t="str">
        <f aca="false">IF(ROUND($G390,2)&gt;0,ROUND($G390,2),"")</f>
        <v/>
      </c>
      <c r="I390" s="49" t="str">
        <f aca="false">IF(ROUND($G390,2)&lt;0,-ROUND($G390,2),"")</f>
        <v/>
      </c>
      <c r="J390" s="20" t="n">
        <f aca="false">IF(ROUND($G390,2)=0,0,1)</f>
        <v>0</v>
      </c>
      <c r="K390" s="20" t="str">
        <f aca="false">IF($J390=0,"",SUM($J$377:$J390))</f>
        <v/>
      </c>
      <c r="L390" s="20" t="str">
        <f aca="false">IF($K390="","",$A390*100+$K390)</f>
        <v/>
      </c>
      <c r="M390" s="48" t="str">
        <f aca="false">参数!$B$4</f>
        <v>回款</v>
      </c>
    </row>
    <row r="391" customFormat="false" ht="13.5" hidden="false" customHeight="false" outlineLevel="0" collapsed="false">
      <c r="A391" s="47" t="n">
        <v>26</v>
      </c>
      <c r="B391" s="38" t="n">
        <f aca="false">助手回款!$B27</f>
        <v>2039</v>
      </c>
      <c r="C391" s="48" t="str">
        <f aca="false">助手回款!$C27</f>
        <v>千户营店</v>
      </c>
      <c r="D391" s="48" t="str">
        <f aca="false">科目对照回款!$B16&amp;""</f>
        <v>储值卡</v>
      </c>
      <c r="E391" s="48" t="str">
        <f aca="false">科目对照回款!$C16&amp;""</f>
        <v>其他应收款</v>
      </c>
      <c r="F391" s="48" t="str">
        <f aca="false">科目对照回款!$D16&amp;""</f>
        <v>储值卡</v>
      </c>
      <c r="G391" s="49" t="n">
        <f aca="false">-ROUND(IF(科目对照回款!$F$16="",0,SUMIFS(输入回款!$C:$C,输入回款!$A:$A,助手回款!$X27,输入回款!$B:$B,科目对照回款!$F$16)+SUMIFS(输入回款!$D:$D,输入回款!$A:$A,助手回款!$X27,输入回款!$B:$B,科目对照回款!$F$16))+IF(科目对照回款!$G$16="",0,SUMIFS(输入回款!$C:$C,输入回款!$A:$A,助手回款!$X27,输入回款!$B:$B,科目对照回款!$G$16)+SUMIFS(输入回款!$D:$D,输入回款!$A:$A,助手回款!$X27,输入回款!$B:$B,科目对照回款!$G$16))+IF(科目对照回款!$H$16="",0,SUMIFS(输入回款!$C:$C,输入回款!$A:$A,助手回款!$X27,输入回款!$B:$B,科目对照回款!$H$16)+SUMIFS(输入回款!$D:$D,输入回款!$A:$A,助手回款!$X27,输入回款!$B:$B,科目对照回款!$H$16)),2)</f>
        <v>-0</v>
      </c>
      <c r="H391" s="49" t="str">
        <f aca="false">IF(ROUND($G391,2)&gt;0,ROUND($G391,2),"")</f>
        <v/>
      </c>
      <c r="I391" s="49" t="str">
        <f aca="false">IF(ROUND($G391,2)&lt;0,-ROUND($G391,2),"")</f>
        <v/>
      </c>
      <c r="J391" s="20" t="n">
        <f aca="false">IF(ROUND($G391,2)=0,0,1)</f>
        <v>0</v>
      </c>
      <c r="K391" s="20" t="str">
        <f aca="false">IF($J391=0,"",SUM($J$377:$J391))</f>
        <v/>
      </c>
      <c r="L391" s="20" t="str">
        <f aca="false">IF($K391="","",$A391*100+$K391)</f>
        <v/>
      </c>
      <c r="M391" s="48" t="str">
        <f aca="false">参数!$B$4</f>
        <v>回款</v>
      </c>
    </row>
    <row r="392" customFormat="false" ht="13.5" hidden="false" customHeight="false" outlineLevel="0" collapsed="false">
      <c r="A392" s="47" t="n">
        <v>27</v>
      </c>
      <c r="B392" s="38" t="n">
        <f aca="false">助手回款!$B28</f>
        <v>2040</v>
      </c>
      <c r="C392" s="48" t="str">
        <f aca="false">助手回款!$C28</f>
        <v>大张庄店</v>
      </c>
      <c r="D392" s="48" t="str">
        <f aca="false">科目对照回款!$B2&amp;""</f>
        <v>库存现金</v>
      </c>
      <c r="E392" s="48" t="str">
        <f aca="false">科目对照回款!$C2&amp;""</f>
        <v>库存现金</v>
      </c>
      <c r="F392" s="48" t="str">
        <f aca="false">科目对照回款!$D2&amp;""</f>
        <v/>
      </c>
      <c r="G392" s="49" t="n">
        <f aca="false">助手回款!$E28</f>
        <v>62695.3</v>
      </c>
      <c r="H392" s="49" t="n">
        <f aca="false">IF(ROUND($G392,2)&gt;0,ROUND($G392,2),"")</f>
        <v>62695.3</v>
      </c>
      <c r="I392" s="49" t="str">
        <f aca="false">IF(ROUND($G392,2)&lt;0,-ROUND($G392,2),"")</f>
        <v/>
      </c>
      <c r="J392" s="20" t="n">
        <f aca="false">IF(ROUND($G392,2)=0,0,1)</f>
        <v>1</v>
      </c>
      <c r="K392" s="20" t="n">
        <f aca="false">IF($J392=0,"",SUM($J$392:$J392))</f>
        <v>1</v>
      </c>
      <c r="L392" s="20" t="n">
        <f aca="false">IF($K392="","",$A392*100+$K392)</f>
        <v>2701</v>
      </c>
      <c r="M392" s="48" t="str">
        <f aca="false">参数!$B$4</f>
        <v>回款</v>
      </c>
    </row>
    <row r="393" customFormat="false" ht="13.5" hidden="false" customHeight="false" outlineLevel="0" collapsed="false">
      <c r="A393" s="47" t="n">
        <v>27</v>
      </c>
      <c r="B393" s="38" t="n">
        <f aca="false">助手回款!$B28</f>
        <v>2040</v>
      </c>
      <c r="C393" s="48" t="str">
        <f aca="false">助手回款!$C28</f>
        <v>大张庄店</v>
      </c>
      <c r="D393" s="48" t="str">
        <f aca="false">科目对照回款!$B3&amp;""</f>
        <v>手续费</v>
      </c>
      <c r="E393" s="48" t="str">
        <f aca="false">科目对照回款!$C3&amp;""</f>
        <v>财务费用</v>
      </c>
      <c r="F393" s="48" t="str">
        <f aca="false">科目对照回款!$D3&amp;""</f>
        <v>手续费</v>
      </c>
      <c r="G393" s="49" t="n">
        <f aca="false">助手回款!$F28</f>
        <v>0</v>
      </c>
      <c r="H393" s="49" t="str">
        <f aca="false">IF(ROUND($G393,2)&gt;0,ROUND($G393,2),"")</f>
        <v/>
      </c>
      <c r="I393" s="49" t="str">
        <f aca="false">IF(ROUND($G393,2)&lt;0,-ROUND($G393,2),"")</f>
        <v/>
      </c>
      <c r="J393" s="20" t="n">
        <f aca="false">IF(ROUND($G393,2)=0,0,1)</f>
        <v>0</v>
      </c>
      <c r="K393" s="20" t="str">
        <f aca="false">IF($J393=0,"",SUM($J$392:$J393))</f>
        <v/>
      </c>
      <c r="L393" s="20" t="str">
        <f aca="false">IF($K393="","",$A393*100+$K393)</f>
        <v/>
      </c>
      <c r="M393" s="48" t="str">
        <f aca="false">参数!$B$4</f>
        <v>回款</v>
      </c>
    </row>
    <row r="394" customFormat="false" ht="13.5" hidden="false" customHeight="false" outlineLevel="0" collapsed="false">
      <c r="A394" s="47" t="n">
        <v>27</v>
      </c>
      <c r="B394" s="38" t="n">
        <f aca="false">助手回款!$B28</f>
        <v>2040</v>
      </c>
      <c r="C394" s="48" t="str">
        <f aca="false">助手回款!$C28</f>
        <v>大张庄店</v>
      </c>
      <c r="D394" s="48" t="str">
        <f aca="false">科目对照回款!$B4&amp;""</f>
        <v>聚合支付</v>
      </c>
      <c r="E394" s="48" t="str">
        <f aca="false">科目对照回款!$C4&amp;""</f>
        <v>应收账款</v>
      </c>
      <c r="F394" s="48" t="str">
        <f aca="false">科目对照回款!$D4&amp;""</f>
        <v>聚合支付</v>
      </c>
      <c r="G394" s="49" t="n">
        <f aca="false">-ROUND(IF(科目对照回款!$F$4="",0,SUMIFS(输入回款!$C:$C,输入回款!$A:$A,助手回款!$X28,输入回款!$B:$B,科目对照回款!$F$4)+SUMIFS(输入回款!$D:$D,输入回款!$A:$A,助手回款!$X28,输入回款!$B:$B,科目对照回款!$F$4))+IF(科目对照回款!$G$4="",0,SUMIFS(输入回款!$C:$C,输入回款!$A:$A,助手回款!$X28,输入回款!$B:$B,科目对照回款!$G$4)+SUMIFS(输入回款!$D:$D,输入回款!$A:$A,助手回款!$X28,输入回款!$B:$B,科目对照回款!$G$4))+IF(科目对照回款!$H$4="",0,SUMIFS(输入回款!$C:$C,输入回款!$A:$A,助手回款!$X28,输入回款!$B:$B,科目对照回款!$H$4)+SUMIFS(输入回款!$D:$D,输入回款!$A:$A,助手回款!$X28,输入回款!$B:$B,科目对照回款!$H$4)),2)</f>
        <v>-51124.15</v>
      </c>
      <c r="H394" s="49" t="str">
        <f aca="false">IF(ROUND($G394,2)&gt;0,ROUND($G394,2),"")</f>
        <v/>
      </c>
      <c r="I394" s="49" t="n">
        <f aca="false">IF(ROUND($G394,2)&lt;0,-ROUND($G394,2),"")</f>
        <v>51124.15</v>
      </c>
      <c r="J394" s="20" t="n">
        <f aca="false">IF(ROUND($G394,2)=0,0,1)</f>
        <v>1</v>
      </c>
      <c r="K394" s="20" t="n">
        <f aca="false">IF($J394=0,"",SUM($J$392:$J394))</f>
        <v>2</v>
      </c>
      <c r="L394" s="20" t="n">
        <f aca="false">IF($K394="","",$A394*100+$K394)</f>
        <v>2702</v>
      </c>
      <c r="M394" s="48" t="str">
        <f aca="false">参数!$B$4</f>
        <v>回款</v>
      </c>
    </row>
    <row r="395" customFormat="false" ht="13.5" hidden="false" customHeight="false" outlineLevel="0" collapsed="false">
      <c r="A395" s="47" t="n">
        <v>27</v>
      </c>
      <c r="B395" s="38" t="n">
        <f aca="false">助手回款!$B28</f>
        <v>2040</v>
      </c>
      <c r="C395" s="48" t="str">
        <f aca="false">助手回款!$C28</f>
        <v>大张庄店</v>
      </c>
      <c r="D395" s="48" t="str">
        <f aca="false">科目对照回款!$B5&amp;""</f>
        <v>医保</v>
      </c>
      <c r="E395" s="48" t="str">
        <f aca="false">科目对照回款!$C5&amp;""</f>
        <v>应收账款</v>
      </c>
      <c r="F395" s="48" t="str">
        <f aca="false">科目对照回款!$D5&amp;""</f>
        <v>医保</v>
      </c>
      <c r="G395" s="49" t="n">
        <f aca="false">-ROUND(IF(科目对照回款!$F$5="",0,SUMIFS(输入回款!$C:$C,输入回款!$A:$A,助手回款!$X28,输入回款!$B:$B,科目对照回款!$F$5)+SUMIFS(输入回款!$D:$D,输入回款!$A:$A,助手回款!$X28,输入回款!$B:$B,科目对照回款!$F$5))+IF(科目对照回款!$G$5="",0,SUMIFS(输入回款!$C:$C,输入回款!$A:$A,助手回款!$X28,输入回款!$B:$B,科目对照回款!$G$5)+SUMIFS(输入回款!$D:$D,输入回款!$A:$A,助手回款!$X28,输入回款!$B:$B,科目对照回款!$G$5))+IF(科目对照回款!$H$5="",0,SUMIFS(输入回款!$C:$C,输入回款!$A:$A,助手回款!$X28,输入回款!$B:$B,科目对照回款!$H$5)+SUMIFS(输入回款!$D:$D,输入回款!$A:$A,助手回款!$X28,输入回款!$B:$B,科目对照回款!$H$5)),2)</f>
        <v>-11571.15</v>
      </c>
      <c r="H395" s="49" t="str">
        <f aca="false">IF(ROUND($G395,2)&gt;0,ROUND($G395,2),"")</f>
        <v/>
      </c>
      <c r="I395" s="49" t="n">
        <f aca="false">IF(ROUND($G395,2)&lt;0,-ROUND($G395,2),"")</f>
        <v>11571.15</v>
      </c>
      <c r="J395" s="20" t="n">
        <f aca="false">IF(ROUND($G395,2)=0,0,1)</f>
        <v>1</v>
      </c>
      <c r="K395" s="20" t="n">
        <f aca="false">IF($J395=0,"",SUM($J$392:$J395))</f>
        <v>3</v>
      </c>
      <c r="L395" s="20" t="n">
        <f aca="false">IF($K395="","",$A395*100+$K395)</f>
        <v>2703</v>
      </c>
      <c r="M395" s="48" t="str">
        <f aca="false">参数!$B$4</f>
        <v>回款</v>
      </c>
    </row>
    <row r="396" customFormat="false" ht="13.5" hidden="false" customHeight="false" outlineLevel="0" collapsed="false">
      <c r="A396" s="47" t="n">
        <v>27</v>
      </c>
      <c r="B396" s="38" t="n">
        <f aca="false">助手回款!$B28</f>
        <v>2040</v>
      </c>
      <c r="C396" s="48" t="str">
        <f aca="false">助手回款!$C28</f>
        <v>大张庄店</v>
      </c>
      <c r="D396" s="48" t="str">
        <f aca="false">科目对照回款!$B6&amp;""</f>
        <v>美团</v>
      </c>
      <c r="E396" s="48" t="str">
        <f aca="false">科目对照回款!$C6&amp;""</f>
        <v>应收账款</v>
      </c>
      <c r="F396" s="48" t="str">
        <f aca="false">科目对照回款!$D6&amp;""</f>
        <v>美团</v>
      </c>
      <c r="G396" s="49" t="n">
        <f aca="false">-ROUND(IF(科目对照回款!$F$6="",0,SUMIFS(输入回款!$C:$C,输入回款!$A:$A,助手回款!$X28,输入回款!$B:$B,科目对照回款!$F$6)+SUMIFS(输入回款!$D:$D,输入回款!$A:$A,助手回款!$X28,输入回款!$B:$B,科目对照回款!$F$6))+IF(科目对照回款!$G$6="",0,SUMIFS(输入回款!$C:$C,输入回款!$A:$A,助手回款!$X28,输入回款!$B:$B,科目对照回款!$G$6)+SUMIFS(输入回款!$D:$D,输入回款!$A:$A,助手回款!$X28,输入回款!$B:$B,科目对照回款!$G$6))+IF(科目对照回款!$H$6="",0,SUMIFS(输入回款!$C:$C,输入回款!$A:$A,助手回款!$X28,输入回款!$B:$B,科目对照回款!$H$6)+SUMIFS(输入回款!$D:$D,输入回款!$A:$A,助手回款!$X28,输入回款!$B:$B,科目对照回款!$H$6)),2)</f>
        <v>-0</v>
      </c>
      <c r="H396" s="49" t="str">
        <f aca="false">IF(ROUND($G396,2)&gt;0,ROUND($G396,2),"")</f>
        <v/>
      </c>
      <c r="I396" s="49" t="str">
        <f aca="false">IF(ROUND($G396,2)&lt;0,-ROUND($G396,2),"")</f>
        <v/>
      </c>
      <c r="J396" s="20" t="n">
        <f aca="false">IF(ROUND($G396,2)=0,0,1)</f>
        <v>0</v>
      </c>
      <c r="K396" s="20" t="str">
        <f aca="false">IF($J396=0,"",SUM($J$392:$J396))</f>
        <v/>
      </c>
      <c r="L396" s="20" t="str">
        <f aca="false">IF($K396="","",$A396*100+$K396)</f>
        <v/>
      </c>
      <c r="M396" s="48" t="str">
        <f aca="false">参数!$B$4</f>
        <v>回款</v>
      </c>
    </row>
    <row r="397" customFormat="false" ht="13.5" hidden="false" customHeight="false" outlineLevel="0" collapsed="false">
      <c r="A397" s="47" t="n">
        <v>27</v>
      </c>
      <c r="B397" s="38" t="n">
        <f aca="false">助手回款!$B28</f>
        <v>2040</v>
      </c>
      <c r="C397" s="48" t="str">
        <f aca="false">助手回款!$C28</f>
        <v>大张庄店</v>
      </c>
      <c r="D397" s="48" t="str">
        <f aca="false">科目对照回款!$B7&amp;""</f>
        <v>饿了么</v>
      </c>
      <c r="E397" s="48" t="str">
        <f aca="false">科目对照回款!$C7&amp;""</f>
        <v>应收账款</v>
      </c>
      <c r="F397" s="48" t="str">
        <f aca="false">科目对照回款!$D7&amp;""</f>
        <v>饿了么</v>
      </c>
      <c r="G397" s="49" t="n">
        <f aca="false">-ROUND(IF(科目对照回款!$F$7="",0,SUMIFS(输入回款!$C:$C,输入回款!$A:$A,助手回款!$X28,输入回款!$B:$B,科目对照回款!$F$7)+SUMIFS(输入回款!$D:$D,输入回款!$A:$A,助手回款!$X28,输入回款!$B:$B,科目对照回款!$F$7))+IF(科目对照回款!$G$7="",0,SUMIFS(输入回款!$C:$C,输入回款!$A:$A,助手回款!$X28,输入回款!$B:$B,科目对照回款!$G$7)+SUMIFS(输入回款!$D:$D,输入回款!$A:$A,助手回款!$X28,输入回款!$B:$B,科目对照回款!$G$7))+IF(科目对照回款!$H$7="",0,SUMIFS(输入回款!$C:$C,输入回款!$A:$A,助手回款!$X28,输入回款!$B:$B,科目对照回款!$H$7)+SUMIFS(输入回款!$D:$D,输入回款!$A:$A,助手回款!$X28,输入回款!$B:$B,科目对照回款!$H$7)),2)</f>
        <v>-0</v>
      </c>
      <c r="H397" s="49" t="str">
        <f aca="false">IF(ROUND($G397,2)&gt;0,ROUND($G397,2),"")</f>
        <v/>
      </c>
      <c r="I397" s="49" t="str">
        <f aca="false">IF(ROUND($G397,2)&lt;0,-ROUND($G397,2),"")</f>
        <v/>
      </c>
      <c r="J397" s="20" t="n">
        <f aca="false">IF(ROUND($G397,2)=0,0,1)</f>
        <v>0</v>
      </c>
      <c r="K397" s="20" t="str">
        <f aca="false">IF($J397=0,"",SUM($J$392:$J397))</f>
        <v/>
      </c>
      <c r="L397" s="20" t="str">
        <f aca="false">IF($K397="","",$A397*100+$K397)</f>
        <v/>
      </c>
      <c r="M397" s="48" t="str">
        <f aca="false">参数!$B$4</f>
        <v>回款</v>
      </c>
    </row>
    <row r="398" customFormat="false" ht="13.5" hidden="false" customHeight="false" outlineLevel="0" collapsed="false">
      <c r="A398" s="47" t="n">
        <v>27</v>
      </c>
      <c r="B398" s="38" t="n">
        <f aca="false">助手回款!$B28</f>
        <v>2040</v>
      </c>
      <c r="C398" s="48" t="str">
        <f aca="false">助手回款!$C28</f>
        <v>大张庄店</v>
      </c>
      <c r="D398" s="48" t="str">
        <f aca="false">科目对照回款!$B8&amp;""</f>
        <v>24小时</v>
      </c>
      <c r="E398" s="48" t="str">
        <f aca="false">科目对照回款!$C8&amp;""</f>
        <v>应收账款</v>
      </c>
      <c r="F398" s="48" t="str">
        <f aca="false">科目对照回款!$D8&amp;""</f>
        <v>24小时</v>
      </c>
      <c r="G398" s="49" t="n">
        <f aca="false">-ROUND(IF(科目对照回款!$F$8="",0,SUMIFS(输入回款!$C:$C,输入回款!$A:$A,助手回款!$X28,输入回款!$B:$B,科目对照回款!$F$8)+SUMIFS(输入回款!$D:$D,输入回款!$A:$A,助手回款!$X28,输入回款!$B:$B,科目对照回款!$F$8))+IF(科目对照回款!$G$8="",0,SUMIFS(输入回款!$C:$C,输入回款!$A:$A,助手回款!$X28,输入回款!$B:$B,科目对照回款!$G$8)+SUMIFS(输入回款!$D:$D,输入回款!$A:$A,助手回款!$X28,输入回款!$B:$B,科目对照回款!$G$8))+IF(科目对照回款!$H$8="",0,SUMIFS(输入回款!$C:$C,输入回款!$A:$A,助手回款!$X28,输入回款!$B:$B,科目对照回款!$H$8)+SUMIFS(输入回款!$D:$D,输入回款!$A:$A,助手回款!$X28,输入回款!$B:$B,科目对照回款!$H$8)),2)</f>
        <v>-0</v>
      </c>
      <c r="H398" s="49" t="str">
        <f aca="false">IF(ROUND($G398,2)&gt;0,ROUND($G398,2),"")</f>
        <v/>
      </c>
      <c r="I398" s="49" t="str">
        <f aca="false">IF(ROUND($G398,2)&lt;0,-ROUND($G398,2),"")</f>
        <v/>
      </c>
      <c r="J398" s="20" t="n">
        <f aca="false">IF(ROUND($G398,2)=0,0,1)</f>
        <v>0</v>
      </c>
      <c r="K398" s="20" t="str">
        <f aca="false">IF($J398=0,"",SUM($J$392:$J398))</f>
        <v/>
      </c>
      <c r="L398" s="20" t="str">
        <f aca="false">IF($K398="","",$A398*100+$K398)</f>
        <v/>
      </c>
      <c r="M398" s="48" t="str">
        <f aca="false">参数!$B$4</f>
        <v>回款</v>
      </c>
    </row>
    <row r="399" customFormat="false" ht="13.5" hidden="false" customHeight="false" outlineLevel="0" collapsed="false">
      <c r="A399" s="47" t="n">
        <v>27</v>
      </c>
      <c r="B399" s="38" t="n">
        <f aca="false">助手回款!$B28</f>
        <v>2040</v>
      </c>
      <c r="C399" s="48" t="str">
        <f aca="false">助手回款!$C28</f>
        <v>大张庄店</v>
      </c>
      <c r="D399" s="48" t="str">
        <f aca="false">科目对照回款!$B9&amp;""</f>
        <v>健E卡</v>
      </c>
      <c r="E399" s="48" t="str">
        <f aca="false">科目对照回款!$C9&amp;""</f>
        <v>应收账款</v>
      </c>
      <c r="F399" s="48" t="str">
        <f aca="false">科目对照回款!$D9&amp;""</f>
        <v>健E卡</v>
      </c>
      <c r="G399" s="49" t="n">
        <f aca="false">-ROUND(IF(科目对照回款!$F$9="",0,SUMIFS(输入回款!$C:$C,输入回款!$A:$A,助手回款!$X28,输入回款!$B:$B,科目对照回款!$F$9)+SUMIFS(输入回款!$D:$D,输入回款!$A:$A,助手回款!$X28,输入回款!$B:$B,科目对照回款!$F$9))+IF(科目对照回款!$G$9="",0,SUMIFS(输入回款!$C:$C,输入回款!$A:$A,助手回款!$X28,输入回款!$B:$B,科目对照回款!$G$9)+SUMIFS(输入回款!$D:$D,输入回款!$A:$A,助手回款!$X28,输入回款!$B:$B,科目对照回款!$G$9))+IF(科目对照回款!$H$9="",0,SUMIFS(输入回款!$C:$C,输入回款!$A:$A,助手回款!$X28,输入回款!$B:$B,科目对照回款!$H$9)+SUMIFS(输入回款!$D:$D,输入回款!$A:$A,助手回款!$X28,输入回款!$B:$B,科目对照回款!$H$9)),2)</f>
        <v>-0</v>
      </c>
      <c r="H399" s="49" t="str">
        <f aca="false">IF(ROUND($G399,2)&gt;0,ROUND($G399,2),"")</f>
        <v/>
      </c>
      <c r="I399" s="49" t="str">
        <f aca="false">IF(ROUND($G399,2)&lt;0,-ROUND($G399,2),"")</f>
        <v/>
      </c>
      <c r="J399" s="20" t="n">
        <f aca="false">IF(ROUND($G399,2)=0,0,1)</f>
        <v>0</v>
      </c>
      <c r="K399" s="20" t="str">
        <f aca="false">IF($J399=0,"",SUM($J$392:$J399))</f>
        <v/>
      </c>
      <c r="L399" s="20" t="str">
        <f aca="false">IF($K399="","",$A399*100+$K399)</f>
        <v/>
      </c>
      <c r="M399" s="48" t="str">
        <f aca="false">参数!$B$4</f>
        <v>回款</v>
      </c>
    </row>
    <row r="400" customFormat="false" ht="13.5" hidden="false" customHeight="false" outlineLevel="0" collapsed="false">
      <c r="A400" s="47" t="n">
        <v>27</v>
      </c>
      <c r="B400" s="38" t="n">
        <f aca="false">助手回款!$B28</f>
        <v>2040</v>
      </c>
      <c r="C400" s="48" t="str">
        <f aca="false">助手回款!$C28</f>
        <v>大张庄店</v>
      </c>
      <c r="D400" s="48" t="str">
        <f aca="false">科目对照回款!$B10&amp;""</f>
        <v>医卡通</v>
      </c>
      <c r="E400" s="48" t="str">
        <f aca="false">科目对照回款!$C10&amp;""</f>
        <v>应收账款</v>
      </c>
      <c r="F400" s="48" t="str">
        <f aca="false">科目对照回款!$D10&amp;""</f>
        <v>医卡通</v>
      </c>
      <c r="G400" s="49" t="n">
        <f aca="false">-ROUND(IF(科目对照回款!$F$10="",0,SUMIFS(输入回款!$C:$C,输入回款!$A:$A,助手回款!$X28,输入回款!$B:$B,科目对照回款!$F$10)+SUMIFS(输入回款!$D:$D,输入回款!$A:$A,助手回款!$X28,输入回款!$B:$B,科目对照回款!$F$10))+IF(科目对照回款!$G$10="",0,SUMIFS(输入回款!$C:$C,输入回款!$A:$A,助手回款!$X28,输入回款!$B:$B,科目对照回款!$G$10)+SUMIFS(输入回款!$D:$D,输入回款!$A:$A,助手回款!$X28,输入回款!$B:$B,科目对照回款!$G$10))+IF(科目对照回款!$H$10="",0,SUMIFS(输入回款!$C:$C,输入回款!$A:$A,助手回款!$X28,输入回款!$B:$B,科目对照回款!$H$10)+SUMIFS(输入回款!$D:$D,输入回款!$A:$A,助手回款!$X28,输入回款!$B:$B,科目对照回款!$H$10)),2)</f>
        <v>-0</v>
      </c>
      <c r="H400" s="49" t="str">
        <f aca="false">IF(ROUND($G400,2)&gt;0,ROUND($G400,2),"")</f>
        <v/>
      </c>
      <c r="I400" s="49" t="str">
        <f aca="false">IF(ROUND($G400,2)&lt;0,-ROUND($G400,2),"")</f>
        <v/>
      </c>
      <c r="J400" s="20" t="n">
        <f aca="false">IF(ROUND($G400,2)=0,0,1)</f>
        <v>0</v>
      </c>
      <c r="K400" s="20" t="str">
        <f aca="false">IF($J400=0,"",SUM($J$392:$J400))</f>
        <v/>
      </c>
      <c r="L400" s="20" t="str">
        <f aca="false">IF($K400="","",$A400*100+$K400)</f>
        <v/>
      </c>
      <c r="M400" s="48" t="str">
        <f aca="false">参数!$B$4</f>
        <v>回款</v>
      </c>
    </row>
    <row r="401" customFormat="false" ht="13.5" hidden="false" customHeight="false" outlineLevel="0" collapsed="false">
      <c r="A401" s="47" t="n">
        <v>27</v>
      </c>
      <c r="B401" s="38" t="n">
        <f aca="false">助手回款!$B28</f>
        <v>2040</v>
      </c>
      <c r="C401" s="48" t="str">
        <f aca="false">助手回款!$C28</f>
        <v>大张庄店</v>
      </c>
      <c r="D401" s="48" t="str">
        <f aca="false">科目对照回款!$B11&amp;""</f>
        <v>企健网</v>
      </c>
      <c r="E401" s="48" t="str">
        <f aca="false">科目对照回款!$C11&amp;""</f>
        <v>应收账款</v>
      </c>
      <c r="F401" s="48" t="str">
        <f aca="false">科目对照回款!$D11&amp;""</f>
        <v>企健网</v>
      </c>
      <c r="G401" s="49" t="n">
        <f aca="false">-ROUND(IF(科目对照回款!$F$11="",0,SUMIFS(输入回款!$C:$C,输入回款!$A:$A,助手回款!$X28,输入回款!$B:$B,科目对照回款!$F$11)+SUMIFS(输入回款!$D:$D,输入回款!$A:$A,助手回款!$X28,输入回款!$B:$B,科目对照回款!$F$11))+IF(科目对照回款!$G$11="",0,SUMIFS(输入回款!$C:$C,输入回款!$A:$A,助手回款!$X28,输入回款!$B:$B,科目对照回款!$G$11)+SUMIFS(输入回款!$D:$D,输入回款!$A:$A,助手回款!$X28,输入回款!$B:$B,科目对照回款!$G$11))+IF(科目对照回款!$H$11="",0,SUMIFS(输入回款!$C:$C,输入回款!$A:$A,助手回款!$X28,输入回款!$B:$B,科目对照回款!$H$11)+SUMIFS(输入回款!$D:$D,输入回款!$A:$A,助手回款!$X28,输入回款!$B:$B,科目对照回款!$H$11)),2)</f>
        <v>-0</v>
      </c>
      <c r="H401" s="49" t="str">
        <f aca="false">IF(ROUND($G401,2)&gt;0,ROUND($G401,2),"")</f>
        <v/>
      </c>
      <c r="I401" s="49" t="str">
        <f aca="false">IF(ROUND($G401,2)&lt;0,-ROUND($G401,2),"")</f>
        <v/>
      </c>
      <c r="J401" s="20" t="n">
        <f aca="false">IF(ROUND($G401,2)=0,0,1)</f>
        <v>0</v>
      </c>
      <c r="K401" s="20" t="str">
        <f aca="false">IF($J401=0,"",SUM($J$392:$J401))</f>
        <v/>
      </c>
      <c r="L401" s="20" t="str">
        <f aca="false">IF($K401="","",$A401*100+$K401)</f>
        <v/>
      </c>
      <c r="M401" s="48" t="str">
        <f aca="false">参数!$B$4</f>
        <v>回款</v>
      </c>
    </row>
    <row r="402" customFormat="false" ht="13.5" hidden="false" customHeight="false" outlineLevel="0" collapsed="false">
      <c r="A402" s="47" t="n">
        <v>27</v>
      </c>
      <c r="B402" s="38" t="n">
        <f aca="false">助手回款!$B28</f>
        <v>2040</v>
      </c>
      <c r="C402" s="48" t="str">
        <f aca="false">助手回款!$C28</f>
        <v>大张庄店</v>
      </c>
      <c r="D402" s="48" t="str">
        <f aca="false">科目对照回款!$B12&amp;""</f>
        <v>亲情卡</v>
      </c>
      <c r="E402" s="48" t="str">
        <f aca="false">科目对照回款!$C12&amp;""</f>
        <v>应收账款</v>
      </c>
      <c r="F402" s="48" t="str">
        <f aca="false">科目对照回款!$D12&amp;""</f>
        <v>亲情卡</v>
      </c>
      <c r="G402" s="49" t="n">
        <f aca="false">-ROUND(IF(科目对照回款!$F$12="",0,SUMIFS(输入回款!$C:$C,输入回款!$A:$A,助手回款!$X28,输入回款!$B:$B,科目对照回款!$F$12)+SUMIFS(输入回款!$D:$D,输入回款!$A:$A,助手回款!$X28,输入回款!$B:$B,科目对照回款!$F$12))+IF(科目对照回款!$G$12="",0,SUMIFS(输入回款!$C:$C,输入回款!$A:$A,助手回款!$X28,输入回款!$B:$B,科目对照回款!$G$12)+SUMIFS(输入回款!$D:$D,输入回款!$A:$A,助手回款!$X28,输入回款!$B:$B,科目对照回款!$G$12))+IF(科目对照回款!$H$12="",0,SUMIFS(输入回款!$C:$C,输入回款!$A:$A,助手回款!$X28,输入回款!$B:$B,科目对照回款!$H$12)+SUMIFS(输入回款!$D:$D,输入回款!$A:$A,助手回款!$X28,输入回款!$B:$B,科目对照回款!$H$12)),2)</f>
        <v>-0</v>
      </c>
      <c r="H402" s="49" t="str">
        <f aca="false">IF(ROUND($G402,2)&gt;0,ROUND($G402,2),"")</f>
        <v/>
      </c>
      <c r="I402" s="49" t="str">
        <f aca="false">IF(ROUND($G402,2)&lt;0,-ROUND($G402,2),"")</f>
        <v/>
      </c>
      <c r="J402" s="20" t="n">
        <f aca="false">IF(ROUND($G402,2)=0,0,1)</f>
        <v>0</v>
      </c>
      <c r="K402" s="20" t="str">
        <f aca="false">IF($J402=0,"",SUM($J$392:$J402))</f>
        <v/>
      </c>
      <c r="L402" s="20" t="str">
        <f aca="false">IF($K402="","",$A402*100+$K402)</f>
        <v/>
      </c>
      <c r="M402" s="48" t="str">
        <f aca="false">参数!$B$4</f>
        <v>回款</v>
      </c>
    </row>
    <row r="403" customFormat="false" ht="13.5" hidden="false" customHeight="false" outlineLevel="0" collapsed="false">
      <c r="A403" s="47" t="n">
        <v>27</v>
      </c>
      <c r="B403" s="38" t="n">
        <f aca="false">助手回款!$B28</f>
        <v>2040</v>
      </c>
      <c r="C403" s="48" t="str">
        <f aca="false">助手回款!$C28</f>
        <v>大张庄店</v>
      </c>
      <c r="D403" s="48" t="str">
        <f aca="false">科目对照回款!$B13&amp;""</f>
        <v>银联</v>
      </c>
      <c r="E403" s="48" t="str">
        <f aca="false">科目对照回款!$C13&amp;""</f>
        <v>应收账款</v>
      </c>
      <c r="F403" s="48" t="str">
        <f aca="false">科目对照回款!$D13&amp;""</f>
        <v>银联</v>
      </c>
      <c r="G403" s="49" t="n">
        <f aca="false">-ROUND(IF(科目对照回款!$F$13="",0,SUMIFS(输入回款!$C:$C,输入回款!$A:$A,助手回款!$X28,输入回款!$B:$B,科目对照回款!$F$13)+SUMIFS(输入回款!$D:$D,输入回款!$A:$A,助手回款!$X28,输入回款!$B:$B,科目对照回款!$F$13))+IF(科目对照回款!$G$13="",0,SUMIFS(输入回款!$C:$C,输入回款!$A:$A,助手回款!$X28,输入回款!$B:$B,科目对照回款!$G$13)+SUMIFS(输入回款!$D:$D,输入回款!$A:$A,助手回款!$X28,输入回款!$B:$B,科目对照回款!$G$13))+IF(科目对照回款!$H$13="",0,SUMIFS(输入回款!$C:$C,输入回款!$A:$A,助手回款!$X28,输入回款!$B:$B,科目对照回款!$H$13)+SUMIFS(输入回款!$D:$D,输入回款!$A:$A,助手回款!$X28,输入回款!$B:$B,科目对照回款!$H$13)),2)</f>
        <v>-0</v>
      </c>
      <c r="H403" s="49" t="str">
        <f aca="false">IF(ROUND($G403,2)&gt;0,ROUND($G403,2),"")</f>
        <v/>
      </c>
      <c r="I403" s="49" t="str">
        <f aca="false">IF(ROUND($G403,2)&lt;0,-ROUND($G403,2),"")</f>
        <v/>
      </c>
      <c r="J403" s="20" t="n">
        <f aca="false">IF(ROUND($G403,2)=0,0,1)</f>
        <v>0</v>
      </c>
      <c r="K403" s="20" t="str">
        <f aca="false">IF($J403=0,"",SUM($J$392:$J403))</f>
        <v/>
      </c>
      <c r="L403" s="20" t="str">
        <f aca="false">IF($K403="","",$A403*100+$K403)</f>
        <v/>
      </c>
      <c r="M403" s="48" t="str">
        <f aca="false">参数!$B$4</f>
        <v>回款</v>
      </c>
    </row>
    <row r="404" customFormat="false" ht="13.5" hidden="false" customHeight="false" outlineLevel="0" collapsed="false">
      <c r="A404" s="47" t="n">
        <v>27</v>
      </c>
      <c r="B404" s="38" t="n">
        <f aca="false">助手回款!$B28</f>
        <v>2040</v>
      </c>
      <c r="C404" s="48" t="str">
        <f aca="false">助手回款!$C28</f>
        <v>大张庄店</v>
      </c>
      <c r="D404" s="48" t="str">
        <f aca="false">科目对照回款!$B14&amp;""</f>
        <v>代金券</v>
      </c>
      <c r="E404" s="48" t="str">
        <f aca="false">科目对照回款!$C14&amp;""</f>
        <v>应收账款</v>
      </c>
      <c r="F404" s="48" t="str">
        <f aca="false">科目对照回款!$D14&amp;""</f>
        <v>代金券</v>
      </c>
      <c r="G404" s="49" t="n">
        <f aca="false">-ROUND(IF(科目对照回款!$F$14="",0,SUMIFS(输入回款!$C:$C,输入回款!$A:$A,助手回款!$X28,输入回款!$B:$B,科目对照回款!$F$14)+SUMIFS(输入回款!$D:$D,输入回款!$A:$A,助手回款!$X28,输入回款!$B:$B,科目对照回款!$F$14))+IF(科目对照回款!$G$14="",0,SUMIFS(输入回款!$C:$C,输入回款!$A:$A,助手回款!$X28,输入回款!$B:$B,科目对照回款!$G$14)+SUMIFS(输入回款!$D:$D,输入回款!$A:$A,助手回款!$X28,输入回款!$B:$B,科目对照回款!$G$14))+IF(科目对照回款!$H$14="",0,SUMIFS(输入回款!$C:$C,输入回款!$A:$A,助手回款!$X28,输入回款!$B:$B,科目对照回款!$H$14)+SUMIFS(输入回款!$D:$D,输入回款!$A:$A,助手回款!$X28,输入回款!$B:$B,科目对照回款!$H$14)),2)</f>
        <v>-0</v>
      </c>
      <c r="H404" s="49" t="str">
        <f aca="false">IF(ROUND($G404,2)&gt;0,ROUND($G404,2),"")</f>
        <v/>
      </c>
      <c r="I404" s="49" t="str">
        <f aca="false">IF(ROUND($G404,2)&lt;0,-ROUND($G404,2),"")</f>
        <v/>
      </c>
      <c r="J404" s="20" t="n">
        <f aca="false">IF(ROUND($G404,2)=0,0,1)</f>
        <v>0</v>
      </c>
      <c r="K404" s="20" t="str">
        <f aca="false">IF($J404=0,"",SUM($J$392:$J404))</f>
        <v/>
      </c>
      <c r="L404" s="20" t="str">
        <f aca="false">IF($K404="","",$A404*100+$K404)</f>
        <v/>
      </c>
      <c r="M404" s="48" t="str">
        <f aca="false">参数!$B$4</f>
        <v>回款</v>
      </c>
    </row>
    <row r="405" customFormat="false" ht="13.5" hidden="false" customHeight="false" outlineLevel="0" collapsed="false">
      <c r="A405" s="47" t="n">
        <v>27</v>
      </c>
      <c r="B405" s="38" t="n">
        <f aca="false">助手回款!$B28</f>
        <v>2040</v>
      </c>
      <c r="C405" s="48" t="str">
        <f aca="false">助手回款!$C28</f>
        <v>大张庄店</v>
      </c>
      <c r="D405" s="48" t="str">
        <f aca="false">科目对照回款!$B15&amp;""</f>
        <v>药机微信</v>
      </c>
      <c r="E405" s="48" t="str">
        <f aca="false">科目对照回款!$C15&amp;""</f>
        <v>应收账款</v>
      </c>
      <c r="F405" s="48" t="str">
        <f aca="false">科目对照回款!$D15&amp;""</f>
        <v>药机微信</v>
      </c>
      <c r="G405" s="49" t="n">
        <f aca="false">-ROUND(IF(科目对照回款!$F$15="",0,SUMIFS(输入回款!$C:$C,输入回款!$A:$A,助手回款!$X28,输入回款!$B:$B,科目对照回款!$F$15)+SUMIFS(输入回款!$D:$D,输入回款!$A:$A,助手回款!$X28,输入回款!$B:$B,科目对照回款!$F$15))+IF(科目对照回款!$G$15="",0,SUMIFS(输入回款!$C:$C,输入回款!$A:$A,助手回款!$X28,输入回款!$B:$B,科目对照回款!$G$15)+SUMIFS(输入回款!$D:$D,输入回款!$A:$A,助手回款!$X28,输入回款!$B:$B,科目对照回款!$G$15))+IF(科目对照回款!$H$15="",0,SUMIFS(输入回款!$C:$C,输入回款!$A:$A,助手回款!$X28,输入回款!$B:$B,科目对照回款!$H$15)+SUMIFS(输入回款!$D:$D,输入回款!$A:$A,助手回款!$X28,输入回款!$B:$B,科目对照回款!$H$15)),2)</f>
        <v>-0</v>
      </c>
      <c r="H405" s="49" t="str">
        <f aca="false">IF(ROUND($G405,2)&gt;0,ROUND($G405,2),"")</f>
        <v/>
      </c>
      <c r="I405" s="49" t="str">
        <f aca="false">IF(ROUND($G405,2)&lt;0,-ROUND($G405,2),"")</f>
        <v/>
      </c>
      <c r="J405" s="20" t="n">
        <f aca="false">IF(ROUND($G405,2)=0,0,1)</f>
        <v>0</v>
      </c>
      <c r="K405" s="20" t="str">
        <f aca="false">IF($J405=0,"",SUM($J$392:$J405))</f>
        <v/>
      </c>
      <c r="L405" s="20" t="str">
        <f aca="false">IF($K405="","",$A405*100+$K405)</f>
        <v/>
      </c>
      <c r="M405" s="48" t="str">
        <f aca="false">参数!$B$4</f>
        <v>回款</v>
      </c>
    </row>
    <row r="406" customFormat="false" ht="13.5" hidden="false" customHeight="false" outlineLevel="0" collapsed="false">
      <c r="A406" s="47" t="n">
        <v>27</v>
      </c>
      <c r="B406" s="38" t="n">
        <f aca="false">助手回款!$B28</f>
        <v>2040</v>
      </c>
      <c r="C406" s="48" t="str">
        <f aca="false">助手回款!$C28</f>
        <v>大张庄店</v>
      </c>
      <c r="D406" s="48" t="str">
        <f aca="false">科目对照回款!$B16&amp;""</f>
        <v>储值卡</v>
      </c>
      <c r="E406" s="48" t="str">
        <f aca="false">科目对照回款!$C16&amp;""</f>
        <v>其他应收款</v>
      </c>
      <c r="F406" s="48" t="str">
        <f aca="false">科目对照回款!$D16&amp;""</f>
        <v>储值卡</v>
      </c>
      <c r="G406" s="49" t="n">
        <f aca="false">-ROUND(IF(科目对照回款!$F$16="",0,SUMIFS(输入回款!$C:$C,输入回款!$A:$A,助手回款!$X28,输入回款!$B:$B,科目对照回款!$F$16)+SUMIFS(输入回款!$D:$D,输入回款!$A:$A,助手回款!$X28,输入回款!$B:$B,科目对照回款!$F$16))+IF(科目对照回款!$G$16="",0,SUMIFS(输入回款!$C:$C,输入回款!$A:$A,助手回款!$X28,输入回款!$B:$B,科目对照回款!$G$16)+SUMIFS(输入回款!$D:$D,输入回款!$A:$A,助手回款!$X28,输入回款!$B:$B,科目对照回款!$G$16))+IF(科目对照回款!$H$16="",0,SUMIFS(输入回款!$C:$C,输入回款!$A:$A,助手回款!$X28,输入回款!$B:$B,科目对照回款!$H$16)+SUMIFS(输入回款!$D:$D,输入回款!$A:$A,助手回款!$X28,输入回款!$B:$B,科目对照回款!$H$16)),2)</f>
        <v>-0</v>
      </c>
      <c r="H406" s="49" t="str">
        <f aca="false">IF(ROUND($G406,2)&gt;0,ROUND($G406,2),"")</f>
        <v/>
      </c>
      <c r="I406" s="49" t="str">
        <f aca="false">IF(ROUND($G406,2)&lt;0,-ROUND($G406,2),"")</f>
        <v/>
      </c>
      <c r="J406" s="20" t="n">
        <f aca="false">IF(ROUND($G406,2)=0,0,1)</f>
        <v>0</v>
      </c>
      <c r="K406" s="20" t="str">
        <f aca="false">IF($J406=0,"",SUM($J$392:$J406))</f>
        <v/>
      </c>
      <c r="L406" s="20" t="str">
        <f aca="false">IF($K406="","",$A406*100+$K406)</f>
        <v/>
      </c>
      <c r="M406" s="48" t="str">
        <f aca="false">参数!$B$4</f>
        <v>回款</v>
      </c>
    </row>
    <row r="407" customFormat="false" ht="13.5" hidden="false" customHeight="false" outlineLevel="0" collapsed="false">
      <c r="A407" s="47" t="n">
        <v>28</v>
      </c>
      <c r="B407" s="38" t="n">
        <f aca="false">助手回款!$B29</f>
        <v>2041</v>
      </c>
      <c r="C407" s="48" t="str">
        <f aca="false">助手回款!$C29</f>
        <v>郝庄店</v>
      </c>
      <c r="D407" s="48" t="str">
        <f aca="false">科目对照回款!$B2&amp;""</f>
        <v>库存现金</v>
      </c>
      <c r="E407" s="48" t="str">
        <f aca="false">科目对照回款!$C2&amp;""</f>
        <v>库存现金</v>
      </c>
      <c r="F407" s="48" t="str">
        <f aca="false">科目对照回款!$D2&amp;""</f>
        <v/>
      </c>
      <c r="G407" s="49" t="n">
        <f aca="false">助手回款!$E29</f>
        <v>37197.81</v>
      </c>
      <c r="H407" s="49" t="n">
        <f aca="false">IF(ROUND($G407,2)&gt;0,ROUND($G407,2),"")</f>
        <v>37197.81</v>
      </c>
      <c r="I407" s="49" t="str">
        <f aca="false">IF(ROUND($G407,2)&lt;0,-ROUND($G407,2),"")</f>
        <v/>
      </c>
      <c r="J407" s="20" t="n">
        <f aca="false">IF(ROUND($G407,2)=0,0,1)</f>
        <v>1</v>
      </c>
      <c r="K407" s="20" t="n">
        <f aca="false">IF($J407=0,"",SUM($J$407:$J407))</f>
        <v>1</v>
      </c>
      <c r="L407" s="20" t="n">
        <f aca="false">IF($K407="","",$A407*100+$K407)</f>
        <v>2801</v>
      </c>
      <c r="M407" s="48" t="str">
        <f aca="false">参数!$B$4</f>
        <v>回款</v>
      </c>
    </row>
    <row r="408" customFormat="false" ht="13.5" hidden="false" customHeight="false" outlineLevel="0" collapsed="false">
      <c r="A408" s="47" t="n">
        <v>28</v>
      </c>
      <c r="B408" s="38" t="n">
        <f aca="false">助手回款!$B29</f>
        <v>2041</v>
      </c>
      <c r="C408" s="48" t="str">
        <f aca="false">助手回款!$C29</f>
        <v>郝庄店</v>
      </c>
      <c r="D408" s="48" t="str">
        <f aca="false">科目对照回款!$B3&amp;""</f>
        <v>手续费</v>
      </c>
      <c r="E408" s="48" t="str">
        <f aca="false">科目对照回款!$C3&amp;""</f>
        <v>财务费用</v>
      </c>
      <c r="F408" s="48" t="str">
        <f aca="false">科目对照回款!$D3&amp;""</f>
        <v>手续费</v>
      </c>
      <c r="G408" s="49" t="n">
        <f aca="false">助手回款!$F29</f>
        <v>0</v>
      </c>
      <c r="H408" s="49" t="str">
        <f aca="false">IF(ROUND($G408,2)&gt;0,ROUND($G408,2),"")</f>
        <v/>
      </c>
      <c r="I408" s="49" t="str">
        <f aca="false">IF(ROUND($G408,2)&lt;0,-ROUND($G408,2),"")</f>
        <v/>
      </c>
      <c r="J408" s="20" t="n">
        <f aca="false">IF(ROUND($G408,2)=0,0,1)</f>
        <v>0</v>
      </c>
      <c r="K408" s="20" t="str">
        <f aca="false">IF($J408=0,"",SUM($J$407:$J408))</f>
        <v/>
      </c>
      <c r="L408" s="20" t="str">
        <f aca="false">IF($K408="","",$A408*100+$K408)</f>
        <v/>
      </c>
      <c r="M408" s="48" t="str">
        <f aca="false">参数!$B$4</f>
        <v>回款</v>
      </c>
    </row>
    <row r="409" customFormat="false" ht="13.5" hidden="false" customHeight="false" outlineLevel="0" collapsed="false">
      <c r="A409" s="47" t="n">
        <v>28</v>
      </c>
      <c r="B409" s="38" t="n">
        <f aca="false">助手回款!$B29</f>
        <v>2041</v>
      </c>
      <c r="C409" s="48" t="str">
        <f aca="false">助手回款!$C29</f>
        <v>郝庄店</v>
      </c>
      <c r="D409" s="48" t="str">
        <f aca="false">科目对照回款!$B4&amp;""</f>
        <v>聚合支付</v>
      </c>
      <c r="E409" s="48" t="str">
        <f aca="false">科目对照回款!$C4&amp;""</f>
        <v>应收账款</v>
      </c>
      <c r="F409" s="48" t="str">
        <f aca="false">科目对照回款!$D4&amp;""</f>
        <v>聚合支付</v>
      </c>
      <c r="G409" s="49" t="n">
        <f aca="false">-ROUND(IF(科目对照回款!$F$4="",0,SUMIFS(输入回款!$C:$C,输入回款!$A:$A,助手回款!$X29,输入回款!$B:$B,科目对照回款!$F$4)+SUMIFS(输入回款!$D:$D,输入回款!$A:$A,助手回款!$X29,输入回款!$B:$B,科目对照回款!$F$4))+IF(科目对照回款!$G$4="",0,SUMIFS(输入回款!$C:$C,输入回款!$A:$A,助手回款!$X29,输入回款!$B:$B,科目对照回款!$G$4)+SUMIFS(输入回款!$D:$D,输入回款!$A:$A,助手回款!$X29,输入回款!$B:$B,科目对照回款!$G$4))+IF(科目对照回款!$H$4="",0,SUMIFS(输入回款!$C:$C,输入回款!$A:$A,助手回款!$X29,输入回款!$B:$B,科目对照回款!$H$4)+SUMIFS(输入回款!$D:$D,输入回款!$A:$A,助手回款!$X29,输入回款!$B:$B,科目对照回款!$H$4)),2)</f>
        <v>-37197.81</v>
      </c>
      <c r="H409" s="49" t="str">
        <f aca="false">IF(ROUND($G409,2)&gt;0,ROUND($G409,2),"")</f>
        <v/>
      </c>
      <c r="I409" s="49" t="n">
        <f aca="false">IF(ROUND($G409,2)&lt;0,-ROUND($G409,2),"")</f>
        <v>37197.81</v>
      </c>
      <c r="J409" s="20" t="n">
        <f aca="false">IF(ROUND($G409,2)=0,0,1)</f>
        <v>1</v>
      </c>
      <c r="K409" s="20" t="n">
        <f aca="false">IF($J409=0,"",SUM($J$407:$J409))</f>
        <v>2</v>
      </c>
      <c r="L409" s="20" t="n">
        <f aca="false">IF($K409="","",$A409*100+$K409)</f>
        <v>2802</v>
      </c>
      <c r="M409" s="48" t="str">
        <f aca="false">参数!$B$4</f>
        <v>回款</v>
      </c>
    </row>
    <row r="410" customFormat="false" ht="13.5" hidden="false" customHeight="false" outlineLevel="0" collapsed="false">
      <c r="A410" s="47" t="n">
        <v>28</v>
      </c>
      <c r="B410" s="38" t="n">
        <f aca="false">助手回款!$B29</f>
        <v>2041</v>
      </c>
      <c r="C410" s="48" t="str">
        <f aca="false">助手回款!$C29</f>
        <v>郝庄店</v>
      </c>
      <c r="D410" s="48" t="str">
        <f aca="false">科目对照回款!$B5&amp;""</f>
        <v>医保</v>
      </c>
      <c r="E410" s="48" t="str">
        <f aca="false">科目对照回款!$C5&amp;""</f>
        <v>应收账款</v>
      </c>
      <c r="F410" s="48" t="str">
        <f aca="false">科目对照回款!$D5&amp;""</f>
        <v>医保</v>
      </c>
      <c r="G410" s="49" t="n">
        <f aca="false">-ROUND(IF(科目对照回款!$F$5="",0,SUMIFS(输入回款!$C:$C,输入回款!$A:$A,助手回款!$X29,输入回款!$B:$B,科目对照回款!$F$5)+SUMIFS(输入回款!$D:$D,输入回款!$A:$A,助手回款!$X29,输入回款!$B:$B,科目对照回款!$F$5))+IF(科目对照回款!$G$5="",0,SUMIFS(输入回款!$C:$C,输入回款!$A:$A,助手回款!$X29,输入回款!$B:$B,科目对照回款!$G$5)+SUMIFS(输入回款!$D:$D,输入回款!$A:$A,助手回款!$X29,输入回款!$B:$B,科目对照回款!$G$5))+IF(科目对照回款!$H$5="",0,SUMIFS(输入回款!$C:$C,输入回款!$A:$A,助手回款!$X29,输入回款!$B:$B,科目对照回款!$H$5)+SUMIFS(输入回款!$D:$D,输入回款!$A:$A,助手回款!$X29,输入回款!$B:$B,科目对照回款!$H$5)),2)</f>
        <v>-0</v>
      </c>
      <c r="H410" s="49" t="str">
        <f aca="false">IF(ROUND($G410,2)&gt;0,ROUND($G410,2),"")</f>
        <v/>
      </c>
      <c r="I410" s="49" t="str">
        <f aca="false">IF(ROUND($G410,2)&lt;0,-ROUND($G410,2),"")</f>
        <v/>
      </c>
      <c r="J410" s="20" t="n">
        <f aca="false">IF(ROUND($G410,2)=0,0,1)</f>
        <v>0</v>
      </c>
      <c r="K410" s="20" t="str">
        <f aca="false">IF($J410=0,"",SUM($J$407:$J410))</f>
        <v/>
      </c>
      <c r="L410" s="20" t="str">
        <f aca="false">IF($K410="","",$A410*100+$K410)</f>
        <v/>
      </c>
      <c r="M410" s="48" t="str">
        <f aca="false">参数!$B$4</f>
        <v>回款</v>
      </c>
    </row>
    <row r="411" customFormat="false" ht="13.5" hidden="false" customHeight="false" outlineLevel="0" collapsed="false">
      <c r="A411" s="47" t="n">
        <v>28</v>
      </c>
      <c r="B411" s="38" t="n">
        <f aca="false">助手回款!$B29</f>
        <v>2041</v>
      </c>
      <c r="C411" s="48" t="str">
        <f aca="false">助手回款!$C29</f>
        <v>郝庄店</v>
      </c>
      <c r="D411" s="48" t="str">
        <f aca="false">科目对照回款!$B6&amp;""</f>
        <v>美团</v>
      </c>
      <c r="E411" s="48" t="str">
        <f aca="false">科目对照回款!$C6&amp;""</f>
        <v>应收账款</v>
      </c>
      <c r="F411" s="48" t="str">
        <f aca="false">科目对照回款!$D6&amp;""</f>
        <v>美团</v>
      </c>
      <c r="G411" s="49" t="n">
        <f aca="false">-ROUND(IF(科目对照回款!$F$6="",0,SUMIFS(输入回款!$C:$C,输入回款!$A:$A,助手回款!$X29,输入回款!$B:$B,科目对照回款!$F$6)+SUMIFS(输入回款!$D:$D,输入回款!$A:$A,助手回款!$X29,输入回款!$B:$B,科目对照回款!$F$6))+IF(科目对照回款!$G$6="",0,SUMIFS(输入回款!$C:$C,输入回款!$A:$A,助手回款!$X29,输入回款!$B:$B,科目对照回款!$G$6)+SUMIFS(输入回款!$D:$D,输入回款!$A:$A,助手回款!$X29,输入回款!$B:$B,科目对照回款!$G$6))+IF(科目对照回款!$H$6="",0,SUMIFS(输入回款!$C:$C,输入回款!$A:$A,助手回款!$X29,输入回款!$B:$B,科目对照回款!$H$6)+SUMIFS(输入回款!$D:$D,输入回款!$A:$A,助手回款!$X29,输入回款!$B:$B,科目对照回款!$H$6)),2)</f>
        <v>-0</v>
      </c>
      <c r="H411" s="49" t="str">
        <f aca="false">IF(ROUND($G411,2)&gt;0,ROUND($G411,2),"")</f>
        <v/>
      </c>
      <c r="I411" s="49" t="str">
        <f aca="false">IF(ROUND($G411,2)&lt;0,-ROUND($G411,2),"")</f>
        <v/>
      </c>
      <c r="J411" s="20" t="n">
        <f aca="false">IF(ROUND($G411,2)=0,0,1)</f>
        <v>0</v>
      </c>
      <c r="K411" s="20" t="str">
        <f aca="false">IF($J411=0,"",SUM($J$407:$J411))</f>
        <v/>
      </c>
      <c r="L411" s="20" t="str">
        <f aca="false">IF($K411="","",$A411*100+$K411)</f>
        <v/>
      </c>
      <c r="M411" s="48" t="str">
        <f aca="false">参数!$B$4</f>
        <v>回款</v>
      </c>
    </row>
    <row r="412" customFormat="false" ht="13.5" hidden="false" customHeight="false" outlineLevel="0" collapsed="false">
      <c r="A412" s="47" t="n">
        <v>28</v>
      </c>
      <c r="B412" s="38" t="n">
        <f aca="false">助手回款!$B29</f>
        <v>2041</v>
      </c>
      <c r="C412" s="48" t="str">
        <f aca="false">助手回款!$C29</f>
        <v>郝庄店</v>
      </c>
      <c r="D412" s="48" t="str">
        <f aca="false">科目对照回款!$B7&amp;""</f>
        <v>饿了么</v>
      </c>
      <c r="E412" s="48" t="str">
        <f aca="false">科目对照回款!$C7&amp;""</f>
        <v>应收账款</v>
      </c>
      <c r="F412" s="48" t="str">
        <f aca="false">科目对照回款!$D7&amp;""</f>
        <v>饿了么</v>
      </c>
      <c r="G412" s="49" t="n">
        <f aca="false">-ROUND(IF(科目对照回款!$F$7="",0,SUMIFS(输入回款!$C:$C,输入回款!$A:$A,助手回款!$X29,输入回款!$B:$B,科目对照回款!$F$7)+SUMIFS(输入回款!$D:$D,输入回款!$A:$A,助手回款!$X29,输入回款!$B:$B,科目对照回款!$F$7))+IF(科目对照回款!$G$7="",0,SUMIFS(输入回款!$C:$C,输入回款!$A:$A,助手回款!$X29,输入回款!$B:$B,科目对照回款!$G$7)+SUMIFS(输入回款!$D:$D,输入回款!$A:$A,助手回款!$X29,输入回款!$B:$B,科目对照回款!$G$7))+IF(科目对照回款!$H$7="",0,SUMIFS(输入回款!$C:$C,输入回款!$A:$A,助手回款!$X29,输入回款!$B:$B,科目对照回款!$H$7)+SUMIFS(输入回款!$D:$D,输入回款!$A:$A,助手回款!$X29,输入回款!$B:$B,科目对照回款!$H$7)),2)</f>
        <v>-0</v>
      </c>
      <c r="H412" s="49" t="str">
        <f aca="false">IF(ROUND($G412,2)&gt;0,ROUND($G412,2),"")</f>
        <v/>
      </c>
      <c r="I412" s="49" t="str">
        <f aca="false">IF(ROUND($G412,2)&lt;0,-ROUND($G412,2),"")</f>
        <v/>
      </c>
      <c r="J412" s="20" t="n">
        <f aca="false">IF(ROUND($G412,2)=0,0,1)</f>
        <v>0</v>
      </c>
      <c r="K412" s="20" t="str">
        <f aca="false">IF($J412=0,"",SUM($J$407:$J412))</f>
        <v/>
      </c>
      <c r="L412" s="20" t="str">
        <f aca="false">IF($K412="","",$A412*100+$K412)</f>
        <v/>
      </c>
      <c r="M412" s="48" t="str">
        <f aca="false">参数!$B$4</f>
        <v>回款</v>
      </c>
    </row>
    <row r="413" customFormat="false" ht="13.5" hidden="false" customHeight="false" outlineLevel="0" collapsed="false">
      <c r="A413" s="47" t="n">
        <v>28</v>
      </c>
      <c r="B413" s="38" t="n">
        <f aca="false">助手回款!$B29</f>
        <v>2041</v>
      </c>
      <c r="C413" s="48" t="str">
        <f aca="false">助手回款!$C29</f>
        <v>郝庄店</v>
      </c>
      <c r="D413" s="48" t="str">
        <f aca="false">科目对照回款!$B8&amp;""</f>
        <v>24小时</v>
      </c>
      <c r="E413" s="48" t="str">
        <f aca="false">科目对照回款!$C8&amp;""</f>
        <v>应收账款</v>
      </c>
      <c r="F413" s="48" t="str">
        <f aca="false">科目对照回款!$D8&amp;""</f>
        <v>24小时</v>
      </c>
      <c r="G413" s="49" t="n">
        <f aca="false">-ROUND(IF(科目对照回款!$F$8="",0,SUMIFS(输入回款!$C:$C,输入回款!$A:$A,助手回款!$X29,输入回款!$B:$B,科目对照回款!$F$8)+SUMIFS(输入回款!$D:$D,输入回款!$A:$A,助手回款!$X29,输入回款!$B:$B,科目对照回款!$F$8))+IF(科目对照回款!$G$8="",0,SUMIFS(输入回款!$C:$C,输入回款!$A:$A,助手回款!$X29,输入回款!$B:$B,科目对照回款!$G$8)+SUMIFS(输入回款!$D:$D,输入回款!$A:$A,助手回款!$X29,输入回款!$B:$B,科目对照回款!$G$8))+IF(科目对照回款!$H$8="",0,SUMIFS(输入回款!$C:$C,输入回款!$A:$A,助手回款!$X29,输入回款!$B:$B,科目对照回款!$H$8)+SUMIFS(输入回款!$D:$D,输入回款!$A:$A,助手回款!$X29,输入回款!$B:$B,科目对照回款!$H$8)),2)</f>
        <v>-0</v>
      </c>
      <c r="H413" s="49" t="str">
        <f aca="false">IF(ROUND($G413,2)&gt;0,ROUND($G413,2),"")</f>
        <v/>
      </c>
      <c r="I413" s="49" t="str">
        <f aca="false">IF(ROUND($G413,2)&lt;0,-ROUND($G413,2),"")</f>
        <v/>
      </c>
      <c r="J413" s="20" t="n">
        <f aca="false">IF(ROUND($G413,2)=0,0,1)</f>
        <v>0</v>
      </c>
      <c r="K413" s="20" t="str">
        <f aca="false">IF($J413=0,"",SUM($J$407:$J413))</f>
        <v/>
      </c>
      <c r="L413" s="20" t="str">
        <f aca="false">IF($K413="","",$A413*100+$K413)</f>
        <v/>
      </c>
      <c r="M413" s="48" t="str">
        <f aca="false">参数!$B$4</f>
        <v>回款</v>
      </c>
    </row>
    <row r="414" customFormat="false" ht="13.5" hidden="false" customHeight="false" outlineLevel="0" collapsed="false">
      <c r="A414" s="47" t="n">
        <v>28</v>
      </c>
      <c r="B414" s="38" t="n">
        <f aca="false">助手回款!$B29</f>
        <v>2041</v>
      </c>
      <c r="C414" s="48" t="str">
        <f aca="false">助手回款!$C29</f>
        <v>郝庄店</v>
      </c>
      <c r="D414" s="48" t="str">
        <f aca="false">科目对照回款!$B9&amp;""</f>
        <v>健E卡</v>
      </c>
      <c r="E414" s="48" t="str">
        <f aca="false">科目对照回款!$C9&amp;""</f>
        <v>应收账款</v>
      </c>
      <c r="F414" s="48" t="str">
        <f aca="false">科目对照回款!$D9&amp;""</f>
        <v>健E卡</v>
      </c>
      <c r="G414" s="49" t="n">
        <f aca="false">-ROUND(IF(科目对照回款!$F$9="",0,SUMIFS(输入回款!$C:$C,输入回款!$A:$A,助手回款!$X29,输入回款!$B:$B,科目对照回款!$F$9)+SUMIFS(输入回款!$D:$D,输入回款!$A:$A,助手回款!$X29,输入回款!$B:$B,科目对照回款!$F$9))+IF(科目对照回款!$G$9="",0,SUMIFS(输入回款!$C:$C,输入回款!$A:$A,助手回款!$X29,输入回款!$B:$B,科目对照回款!$G$9)+SUMIFS(输入回款!$D:$D,输入回款!$A:$A,助手回款!$X29,输入回款!$B:$B,科目对照回款!$G$9))+IF(科目对照回款!$H$9="",0,SUMIFS(输入回款!$C:$C,输入回款!$A:$A,助手回款!$X29,输入回款!$B:$B,科目对照回款!$H$9)+SUMIFS(输入回款!$D:$D,输入回款!$A:$A,助手回款!$X29,输入回款!$B:$B,科目对照回款!$H$9)),2)</f>
        <v>-0</v>
      </c>
      <c r="H414" s="49" t="str">
        <f aca="false">IF(ROUND($G414,2)&gt;0,ROUND($G414,2),"")</f>
        <v/>
      </c>
      <c r="I414" s="49" t="str">
        <f aca="false">IF(ROUND($G414,2)&lt;0,-ROUND($G414,2),"")</f>
        <v/>
      </c>
      <c r="J414" s="20" t="n">
        <f aca="false">IF(ROUND($G414,2)=0,0,1)</f>
        <v>0</v>
      </c>
      <c r="K414" s="20" t="str">
        <f aca="false">IF($J414=0,"",SUM($J$407:$J414))</f>
        <v/>
      </c>
      <c r="L414" s="20" t="str">
        <f aca="false">IF($K414="","",$A414*100+$K414)</f>
        <v/>
      </c>
      <c r="M414" s="48" t="str">
        <f aca="false">参数!$B$4</f>
        <v>回款</v>
      </c>
    </row>
    <row r="415" customFormat="false" ht="13.5" hidden="false" customHeight="false" outlineLevel="0" collapsed="false">
      <c r="A415" s="47" t="n">
        <v>28</v>
      </c>
      <c r="B415" s="38" t="n">
        <f aca="false">助手回款!$B29</f>
        <v>2041</v>
      </c>
      <c r="C415" s="48" t="str">
        <f aca="false">助手回款!$C29</f>
        <v>郝庄店</v>
      </c>
      <c r="D415" s="48" t="str">
        <f aca="false">科目对照回款!$B10&amp;""</f>
        <v>医卡通</v>
      </c>
      <c r="E415" s="48" t="str">
        <f aca="false">科目对照回款!$C10&amp;""</f>
        <v>应收账款</v>
      </c>
      <c r="F415" s="48" t="str">
        <f aca="false">科目对照回款!$D10&amp;""</f>
        <v>医卡通</v>
      </c>
      <c r="G415" s="49" t="n">
        <f aca="false">-ROUND(IF(科目对照回款!$F$10="",0,SUMIFS(输入回款!$C:$C,输入回款!$A:$A,助手回款!$X29,输入回款!$B:$B,科目对照回款!$F$10)+SUMIFS(输入回款!$D:$D,输入回款!$A:$A,助手回款!$X29,输入回款!$B:$B,科目对照回款!$F$10))+IF(科目对照回款!$G$10="",0,SUMIFS(输入回款!$C:$C,输入回款!$A:$A,助手回款!$X29,输入回款!$B:$B,科目对照回款!$G$10)+SUMIFS(输入回款!$D:$D,输入回款!$A:$A,助手回款!$X29,输入回款!$B:$B,科目对照回款!$G$10))+IF(科目对照回款!$H$10="",0,SUMIFS(输入回款!$C:$C,输入回款!$A:$A,助手回款!$X29,输入回款!$B:$B,科目对照回款!$H$10)+SUMIFS(输入回款!$D:$D,输入回款!$A:$A,助手回款!$X29,输入回款!$B:$B,科目对照回款!$H$10)),2)</f>
        <v>-0</v>
      </c>
      <c r="H415" s="49" t="str">
        <f aca="false">IF(ROUND($G415,2)&gt;0,ROUND($G415,2),"")</f>
        <v/>
      </c>
      <c r="I415" s="49" t="str">
        <f aca="false">IF(ROUND($G415,2)&lt;0,-ROUND($G415,2),"")</f>
        <v/>
      </c>
      <c r="J415" s="20" t="n">
        <f aca="false">IF(ROUND($G415,2)=0,0,1)</f>
        <v>0</v>
      </c>
      <c r="K415" s="20" t="str">
        <f aca="false">IF($J415=0,"",SUM($J$407:$J415))</f>
        <v/>
      </c>
      <c r="L415" s="20" t="str">
        <f aca="false">IF($K415="","",$A415*100+$K415)</f>
        <v/>
      </c>
      <c r="M415" s="48" t="str">
        <f aca="false">参数!$B$4</f>
        <v>回款</v>
      </c>
    </row>
    <row r="416" customFormat="false" ht="13.5" hidden="false" customHeight="false" outlineLevel="0" collapsed="false">
      <c r="A416" s="47" t="n">
        <v>28</v>
      </c>
      <c r="B416" s="38" t="n">
        <f aca="false">助手回款!$B29</f>
        <v>2041</v>
      </c>
      <c r="C416" s="48" t="str">
        <f aca="false">助手回款!$C29</f>
        <v>郝庄店</v>
      </c>
      <c r="D416" s="48" t="str">
        <f aca="false">科目对照回款!$B11&amp;""</f>
        <v>企健网</v>
      </c>
      <c r="E416" s="48" t="str">
        <f aca="false">科目对照回款!$C11&amp;""</f>
        <v>应收账款</v>
      </c>
      <c r="F416" s="48" t="str">
        <f aca="false">科目对照回款!$D11&amp;""</f>
        <v>企健网</v>
      </c>
      <c r="G416" s="49" t="n">
        <f aca="false">-ROUND(IF(科目对照回款!$F$11="",0,SUMIFS(输入回款!$C:$C,输入回款!$A:$A,助手回款!$X29,输入回款!$B:$B,科目对照回款!$F$11)+SUMIFS(输入回款!$D:$D,输入回款!$A:$A,助手回款!$X29,输入回款!$B:$B,科目对照回款!$F$11))+IF(科目对照回款!$G$11="",0,SUMIFS(输入回款!$C:$C,输入回款!$A:$A,助手回款!$X29,输入回款!$B:$B,科目对照回款!$G$11)+SUMIFS(输入回款!$D:$D,输入回款!$A:$A,助手回款!$X29,输入回款!$B:$B,科目对照回款!$G$11))+IF(科目对照回款!$H$11="",0,SUMIFS(输入回款!$C:$C,输入回款!$A:$A,助手回款!$X29,输入回款!$B:$B,科目对照回款!$H$11)+SUMIFS(输入回款!$D:$D,输入回款!$A:$A,助手回款!$X29,输入回款!$B:$B,科目对照回款!$H$11)),2)</f>
        <v>-0</v>
      </c>
      <c r="H416" s="49" t="str">
        <f aca="false">IF(ROUND($G416,2)&gt;0,ROUND($G416,2),"")</f>
        <v/>
      </c>
      <c r="I416" s="49" t="str">
        <f aca="false">IF(ROUND($G416,2)&lt;0,-ROUND($G416,2),"")</f>
        <v/>
      </c>
      <c r="J416" s="20" t="n">
        <f aca="false">IF(ROUND($G416,2)=0,0,1)</f>
        <v>0</v>
      </c>
      <c r="K416" s="20" t="str">
        <f aca="false">IF($J416=0,"",SUM($J$407:$J416))</f>
        <v/>
      </c>
      <c r="L416" s="20" t="str">
        <f aca="false">IF($K416="","",$A416*100+$K416)</f>
        <v/>
      </c>
      <c r="M416" s="48" t="str">
        <f aca="false">参数!$B$4</f>
        <v>回款</v>
      </c>
    </row>
    <row r="417" customFormat="false" ht="13.5" hidden="false" customHeight="false" outlineLevel="0" collapsed="false">
      <c r="A417" s="47" t="n">
        <v>28</v>
      </c>
      <c r="B417" s="38" t="n">
        <f aca="false">助手回款!$B29</f>
        <v>2041</v>
      </c>
      <c r="C417" s="48" t="str">
        <f aca="false">助手回款!$C29</f>
        <v>郝庄店</v>
      </c>
      <c r="D417" s="48" t="str">
        <f aca="false">科目对照回款!$B12&amp;""</f>
        <v>亲情卡</v>
      </c>
      <c r="E417" s="48" t="str">
        <f aca="false">科目对照回款!$C12&amp;""</f>
        <v>应收账款</v>
      </c>
      <c r="F417" s="48" t="str">
        <f aca="false">科目对照回款!$D12&amp;""</f>
        <v>亲情卡</v>
      </c>
      <c r="G417" s="49" t="n">
        <f aca="false">-ROUND(IF(科目对照回款!$F$12="",0,SUMIFS(输入回款!$C:$C,输入回款!$A:$A,助手回款!$X29,输入回款!$B:$B,科目对照回款!$F$12)+SUMIFS(输入回款!$D:$D,输入回款!$A:$A,助手回款!$X29,输入回款!$B:$B,科目对照回款!$F$12))+IF(科目对照回款!$G$12="",0,SUMIFS(输入回款!$C:$C,输入回款!$A:$A,助手回款!$X29,输入回款!$B:$B,科目对照回款!$G$12)+SUMIFS(输入回款!$D:$D,输入回款!$A:$A,助手回款!$X29,输入回款!$B:$B,科目对照回款!$G$12))+IF(科目对照回款!$H$12="",0,SUMIFS(输入回款!$C:$C,输入回款!$A:$A,助手回款!$X29,输入回款!$B:$B,科目对照回款!$H$12)+SUMIFS(输入回款!$D:$D,输入回款!$A:$A,助手回款!$X29,输入回款!$B:$B,科目对照回款!$H$12)),2)</f>
        <v>-0</v>
      </c>
      <c r="H417" s="49" t="str">
        <f aca="false">IF(ROUND($G417,2)&gt;0,ROUND($G417,2),"")</f>
        <v/>
      </c>
      <c r="I417" s="49" t="str">
        <f aca="false">IF(ROUND($G417,2)&lt;0,-ROUND($G417,2),"")</f>
        <v/>
      </c>
      <c r="J417" s="20" t="n">
        <f aca="false">IF(ROUND($G417,2)=0,0,1)</f>
        <v>0</v>
      </c>
      <c r="K417" s="20" t="str">
        <f aca="false">IF($J417=0,"",SUM($J$407:$J417))</f>
        <v/>
      </c>
      <c r="L417" s="20" t="str">
        <f aca="false">IF($K417="","",$A417*100+$K417)</f>
        <v/>
      </c>
      <c r="M417" s="48" t="str">
        <f aca="false">参数!$B$4</f>
        <v>回款</v>
      </c>
    </row>
    <row r="418" customFormat="false" ht="13.5" hidden="false" customHeight="false" outlineLevel="0" collapsed="false">
      <c r="A418" s="47" t="n">
        <v>28</v>
      </c>
      <c r="B418" s="38" t="n">
        <f aca="false">助手回款!$B29</f>
        <v>2041</v>
      </c>
      <c r="C418" s="48" t="str">
        <f aca="false">助手回款!$C29</f>
        <v>郝庄店</v>
      </c>
      <c r="D418" s="48" t="str">
        <f aca="false">科目对照回款!$B13&amp;""</f>
        <v>银联</v>
      </c>
      <c r="E418" s="48" t="str">
        <f aca="false">科目对照回款!$C13&amp;""</f>
        <v>应收账款</v>
      </c>
      <c r="F418" s="48" t="str">
        <f aca="false">科目对照回款!$D13&amp;""</f>
        <v>银联</v>
      </c>
      <c r="G418" s="49" t="n">
        <f aca="false">-ROUND(IF(科目对照回款!$F$13="",0,SUMIFS(输入回款!$C:$C,输入回款!$A:$A,助手回款!$X29,输入回款!$B:$B,科目对照回款!$F$13)+SUMIFS(输入回款!$D:$D,输入回款!$A:$A,助手回款!$X29,输入回款!$B:$B,科目对照回款!$F$13))+IF(科目对照回款!$G$13="",0,SUMIFS(输入回款!$C:$C,输入回款!$A:$A,助手回款!$X29,输入回款!$B:$B,科目对照回款!$G$13)+SUMIFS(输入回款!$D:$D,输入回款!$A:$A,助手回款!$X29,输入回款!$B:$B,科目对照回款!$G$13))+IF(科目对照回款!$H$13="",0,SUMIFS(输入回款!$C:$C,输入回款!$A:$A,助手回款!$X29,输入回款!$B:$B,科目对照回款!$H$13)+SUMIFS(输入回款!$D:$D,输入回款!$A:$A,助手回款!$X29,输入回款!$B:$B,科目对照回款!$H$13)),2)</f>
        <v>-0</v>
      </c>
      <c r="H418" s="49" t="str">
        <f aca="false">IF(ROUND($G418,2)&gt;0,ROUND($G418,2),"")</f>
        <v/>
      </c>
      <c r="I418" s="49" t="str">
        <f aca="false">IF(ROUND($G418,2)&lt;0,-ROUND($G418,2),"")</f>
        <v/>
      </c>
      <c r="J418" s="20" t="n">
        <f aca="false">IF(ROUND($G418,2)=0,0,1)</f>
        <v>0</v>
      </c>
      <c r="K418" s="20" t="str">
        <f aca="false">IF($J418=0,"",SUM($J$407:$J418))</f>
        <v/>
      </c>
      <c r="L418" s="20" t="str">
        <f aca="false">IF($K418="","",$A418*100+$K418)</f>
        <v/>
      </c>
      <c r="M418" s="48" t="str">
        <f aca="false">参数!$B$4</f>
        <v>回款</v>
      </c>
    </row>
    <row r="419" customFormat="false" ht="13.5" hidden="false" customHeight="false" outlineLevel="0" collapsed="false">
      <c r="A419" s="47" t="n">
        <v>28</v>
      </c>
      <c r="B419" s="38" t="n">
        <f aca="false">助手回款!$B29</f>
        <v>2041</v>
      </c>
      <c r="C419" s="48" t="str">
        <f aca="false">助手回款!$C29</f>
        <v>郝庄店</v>
      </c>
      <c r="D419" s="48" t="str">
        <f aca="false">科目对照回款!$B14&amp;""</f>
        <v>代金券</v>
      </c>
      <c r="E419" s="48" t="str">
        <f aca="false">科目对照回款!$C14&amp;""</f>
        <v>应收账款</v>
      </c>
      <c r="F419" s="48" t="str">
        <f aca="false">科目对照回款!$D14&amp;""</f>
        <v>代金券</v>
      </c>
      <c r="G419" s="49" t="n">
        <f aca="false">-ROUND(IF(科目对照回款!$F$14="",0,SUMIFS(输入回款!$C:$C,输入回款!$A:$A,助手回款!$X29,输入回款!$B:$B,科目对照回款!$F$14)+SUMIFS(输入回款!$D:$D,输入回款!$A:$A,助手回款!$X29,输入回款!$B:$B,科目对照回款!$F$14))+IF(科目对照回款!$G$14="",0,SUMIFS(输入回款!$C:$C,输入回款!$A:$A,助手回款!$X29,输入回款!$B:$B,科目对照回款!$G$14)+SUMIFS(输入回款!$D:$D,输入回款!$A:$A,助手回款!$X29,输入回款!$B:$B,科目对照回款!$G$14))+IF(科目对照回款!$H$14="",0,SUMIFS(输入回款!$C:$C,输入回款!$A:$A,助手回款!$X29,输入回款!$B:$B,科目对照回款!$H$14)+SUMIFS(输入回款!$D:$D,输入回款!$A:$A,助手回款!$X29,输入回款!$B:$B,科目对照回款!$H$14)),2)</f>
        <v>-0</v>
      </c>
      <c r="H419" s="49" t="str">
        <f aca="false">IF(ROUND($G419,2)&gt;0,ROUND($G419,2),"")</f>
        <v/>
      </c>
      <c r="I419" s="49" t="str">
        <f aca="false">IF(ROUND($G419,2)&lt;0,-ROUND($G419,2),"")</f>
        <v/>
      </c>
      <c r="J419" s="20" t="n">
        <f aca="false">IF(ROUND($G419,2)=0,0,1)</f>
        <v>0</v>
      </c>
      <c r="K419" s="20" t="str">
        <f aca="false">IF($J419=0,"",SUM($J$407:$J419))</f>
        <v/>
      </c>
      <c r="L419" s="20" t="str">
        <f aca="false">IF($K419="","",$A419*100+$K419)</f>
        <v/>
      </c>
      <c r="M419" s="48" t="str">
        <f aca="false">参数!$B$4</f>
        <v>回款</v>
      </c>
    </row>
    <row r="420" customFormat="false" ht="13.5" hidden="false" customHeight="false" outlineLevel="0" collapsed="false">
      <c r="A420" s="47" t="n">
        <v>28</v>
      </c>
      <c r="B420" s="38" t="n">
        <f aca="false">助手回款!$B29</f>
        <v>2041</v>
      </c>
      <c r="C420" s="48" t="str">
        <f aca="false">助手回款!$C29</f>
        <v>郝庄店</v>
      </c>
      <c r="D420" s="48" t="str">
        <f aca="false">科目对照回款!$B15&amp;""</f>
        <v>药机微信</v>
      </c>
      <c r="E420" s="48" t="str">
        <f aca="false">科目对照回款!$C15&amp;""</f>
        <v>应收账款</v>
      </c>
      <c r="F420" s="48" t="str">
        <f aca="false">科目对照回款!$D15&amp;""</f>
        <v>药机微信</v>
      </c>
      <c r="G420" s="49" t="n">
        <f aca="false">-ROUND(IF(科目对照回款!$F$15="",0,SUMIFS(输入回款!$C:$C,输入回款!$A:$A,助手回款!$X29,输入回款!$B:$B,科目对照回款!$F$15)+SUMIFS(输入回款!$D:$D,输入回款!$A:$A,助手回款!$X29,输入回款!$B:$B,科目对照回款!$F$15))+IF(科目对照回款!$G$15="",0,SUMIFS(输入回款!$C:$C,输入回款!$A:$A,助手回款!$X29,输入回款!$B:$B,科目对照回款!$G$15)+SUMIFS(输入回款!$D:$D,输入回款!$A:$A,助手回款!$X29,输入回款!$B:$B,科目对照回款!$G$15))+IF(科目对照回款!$H$15="",0,SUMIFS(输入回款!$C:$C,输入回款!$A:$A,助手回款!$X29,输入回款!$B:$B,科目对照回款!$H$15)+SUMIFS(输入回款!$D:$D,输入回款!$A:$A,助手回款!$X29,输入回款!$B:$B,科目对照回款!$H$15)),2)</f>
        <v>-0</v>
      </c>
      <c r="H420" s="49" t="str">
        <f aca="false">IF(ROUND($G420,2)&gt;0,ROUND($G420,2),"")</f>
        <v/>
      </c>
      <c r="I420" s="49" t="str">
        <f aca="false">IF(ROUND($G420,2)&lt;0,-ROUND($G420,2),"")</f>
        <v/>
      </c>
      <c r="J420" s="20" t="n">
        <f aca="false">IF(ROUND($G420,2)=0,0,1)</f>
        <v>0</v>
      </c>
      <c r="K420" s="20" t="str">
        <f aca="false">IF($J420=0,"",SUM($J$407:$J420))</f>
        <v/>
      </c>
      <c r="L420" s="20" t="str">
        <f aca="false">IF($K420="","",$A420*100+$K420)</f>
        <v/>
      </c>
      <c r="M420" s="48" t="str">
        <f aca="false">参数!$B$4</f>
        <v>回款</v>
      </c>
    </row>
    <row r="421" customFormat="false" ht="13.5" hidden="false" customHeight="false" outlineLevel="0" collapsed="false">
      <c r="A421" s="47" t="n">
        <v>28</v>
      </c>
      <c r="B421" s="38" t="n">
        <f aca="false">助手回款!$B29</f>
        <v>2041</v>
      </c>
      <c r="C421" s="48" t="str">
        <f aca="false">助手回款!$C29</f>
        <v>郝庄店</v>
      </c>
      <c r="D421" s="48" t="str">
        <f aca="false">科目对照回款!$B16&amp;""</f>
        <v>储值卡</v>
      </c>
      <c r="E421" s="48" t="str">
        <f aca="false">科目对照回款!$C16&amp;""</f>
        <v>其他应收款</v>
      </c>
      <c r="F421" s="48" t="str">
        <f aca="false">科目对照回款!$D16&amp;""</f>
        <v>储值卡</v>
      </c>
      <c r="G421" s="49" t="n">
        <f aca="false">-ROUND(IF(科目对照回款!$F$16="",0,SUMIFS(输入回款!$C:$C,输入回款!$A:$A,助手回款!$X29,输入回款!$B:$B,科目对照回款!$F$16)+SUMIFS(输入回款!$D:$D,输入回款!$A:$A,助手回款!$X29,输入回款!$B:$B,科目对照回款!$F$16))+IF(科目对照回款!$G$16="",0,SUMIFS(输入回款!$C:$C,输入回款!$A:$A,助手回款!$X29,输入回款!$B:$B,科目对照回款!$G$16)+SUMIFS(输入回款!$D:$D,输入回款!$A:$A,助手回款!$X29,输入回款!$B:$B,科目对照回款!$G$16))+IF(科目对照回款!$H$16="",0,SUMIFS(输入回款!$C:$C,输入回款!$A:$A,助手回款!$X29,输入回款!$B:$B,科目对照回款!$H$16)+SUMIFS(输入回款!$D:$D,输入回款!$A:$A,助手回款!$X29,输入回款!$B:$B,科目对照回款!$H$16)),2)</f>
        <v>-0</v>
      </c>
      <c r="H421" s="49" t="str">
        <f aca="false">IF(ROUND($G421,2)&gt;0,ROUND($G421,2),"")</f>
        <v/>
      </c>
      <c r="I421" s="49" t="str">
        <f aca="false">IF(ROUND($G421,2)&lt;0,-ROUND($G421,2),"")</f>
        <v/>
      </c>
      <c r="J421" s="20" t="n">
        <f aca="false">IF(ROUND($G421,2)=0,0,1)</f>
        <v>0</v>
      </c>
      <c r="K421" s="20" t="str">
        <f aca="false">IF($J421=0,"",SUM($J$407:$J421))</f>
        <v/>
      </c>
      <c r="L421" s="20" t="str">
        <f aca="false">IF($K421="","",$A421*100+$K421)</f>
        <v/>
      </c>
      <c r="M421" s="48" t="str">
        <f aca="false">参数!$B$4</f>
        <v>回款</v>
      </c>
    </row>
    <row r="422" customFormat="false" ht="13.5" hidden="false" customHeight="false" outlineLevel="0" collapsed="false">
      <c r="A422" s="47" t="n">
        <v>29</v>
      </c>
      <c r="B422" s="38" t="n">
        <f aca="false">助手回款!$B30</f>
        <v>2042</v>
      </c>
      <c r="C422" s="48" t="str">
        <f aca="false">助手回款!$C30</f>
        <v>白家寨店</v>
      </c>
      <c r="D422" s="48" t="str">
        <f aca="false">科目对照回款!$B2&amp;""</f>
        <v>库存现金</v>
      </c>
      <c r="E422" s="48" t="str">
        <f aca="false">科目对照回款!$C2&amp;""</f>
        <v>库存现金</v>
      </c>
      <c r="F422" s="48" t="str">
        <f aca="false">科目对照回款!$D2&amp;""</f>
        <v/>
      </c>
      <c r="G422" s="49" t="n">
        <f aca="false">助手回款!$E30</f>
        <v>37112.57</v>
      </c>
      <c r="H422" s="49" t="n">
        <f aca="false">IF(ROUND($G422,2)&gt;0,ROUND($G422,2),"")</f>
        <v>37112.57</v>
      </c>
      <c r="I422" s="49" t="str">
        <f aca="false">IF(ROUND($G422,2)&lt;0,-ROUND($G422,2),"")</f>
        <v/>
      </c>
      <c r="J422" s="20" t="n">
        <f aca="false">IF(ROUND($G422,2)=0,0,1)</f>
        <v>1</v>
      </c>
      <c r="K422" s="20" t="n">
        <f aca="false">IF($J422=0,"",SUM($J$422:$J422))</f>
        <v>1</v>
      </c>
      <c r="L422" s="20" t="n">
        <f aca="false">IF($K422="","",$A422*100+$K422)</f>
        <v>2901</v>
      </c>
      <c r="M422" s="48" t="str">
        <f aca="false">参数!$B$4</f>
        <v>回款</v>
      </c>
    </row>
    <row r="423" customFormat="false" ht="13.5" hidden="false" customHeight="false" outlineLevel="0" collapsed="false">
      <c r="A423" s="47" t="n">
        <v>29</v>
      </c>
      <c r="B423" s="38" t="n">
        <f aca="false">助手回款!$B30</f>
        <v>2042</v>
      </c>
      <c r="C423" s="48" t="str">
        <f aca="false">助手回款!$C30</f>
        <v>白家寨店</v>
      </c>
      <c r="D423" s="48" t="str">
        <f aca="false">科目对照回款!$B3&amp;""</f>
        <v>手续费</v>
      </c>
      <c r="E423" s="48" t="str">
        <f aca="false">科目对照回款!$C3&amp;""</f>
        <v>财务费用</v>
      </c>
      <c r="F423" s="48" t="str">
        <f aca="false">科目对照回款!$D3&amp;""</f>
        <v>手续费</v>
      </c>
      <c r="G423" s="49" t="n">
        <f aca="false">助手回款!$F30</f>
        <v>0</v>
      </c>
      <c r="H423" s="49" t="str">
        <f aca="false">IF(ROUND($G423,2)&gt;0,ROUND($G423,2),"")</f>
        <v/>
      </c>
      <c r="I423" s="49" t="str">
        <f aca="false">IF(ROUND($G423,2)&lt;0,-ROUND($G423,2),"")</f>
        <v/>
      </c>
      <c r="J423" s="20" t="n">
        <f aca="false">IF(ROUND($G423,2)=0,0,1)</f>
        <v>0</v>
      </c>
      <c r="K423" s="20" t="str">
        <f aca="false">IF($J423=0,"",SUM($J$422:$J423))</f>
        <v/>
      </c>
      <c r="L423" s="20" t="str">
        <f aca="false">IF($K423="","",$A423*100+$K423)</f>
        <v/>
      </c>
      <c r="M423" s="48" t="str">
        <f aca="false">参数!$B$4</f>
        <v>回款</v>
      </c>
    </row>
    <row r="424" customFormat="false" ht="13.5" hidden="false" customHeight="false" outlineLevel="0" collapsed="false">
      <c r="A424" s="47" t="n">
        <v>29</v>
      </c>
      <c r="B424" s="38" t="n">
        <f aca="false">助手回款!$B30</f>
        <v>2042</v>
      </c>
      <c r="C424" s="48" t="str">
        <f aca="false">助手回款!$C30</f>
        <v>白家寨店</v>
      </c>
      <c r="D424" s="48" t="str">
        <f aca="false">科目对照回款!$B4&amp;""</f>
        <v>聚合支付</v>
      </c>
      <c r="E424" s="48" t="str">
        <f aca="false">科目对照回款!$C4&amp;""</f>
        <v>应收账款</v>
      </c>
      <c r="F424" s="48" t="str">
        <f aca="false">科目对照回款!$D4&amp;""</f>
        <v>聚合支付</v>
      </c>
      <c r="G424" s="49" t="n">
        <f aca="false">-ROUND(IF(科目对照回款!$F$4="",0,SUMIFS(输入回款!$C:$C,输入回款!$A:$A,助手回款!$X30,输入回款!$B:$B,科目对照回款!$F$4)+SUMIFS(输入回款!$D:$D,输入回款!$A:$A,助手回款!$X30,输入回款!$B:$B,科目对照回款!$F$4))+IF(科目对照回款!$G$4="",0,SUMIFS(输入回款!$C:$C,输入回款!$A:$A,助手回款!$X30,输入回款!$B:$B,科目对照回款!$G$4)+SUMIFS(输入回款!$D:$D,输入回款!$A:$A,助手回款!$X30,输入回款!$B:$B,科目对照回款!$G$4))+IF(科目对照回款!$H$4="",0,SUMIFS(输入回款!$C:$C,输入回款!$A:$A,助手回款!$X30,输入回款!$B:$B,科目对照回款!$H$4)+SUMIFS(输入回款!$D:$D,输入回款!$A:$A,助手回款!$X30,输入回款!$B:$B,科目对照回款!$H$4)),2)</f>
        <v>-31450.32</v>
      </c>
      <c r="H424" s="49" t="str">
        <f aca="false">IF(ROUND($G424,2)&gt;0,ROUND($G424,2),"")</f>
        <v/>
      </c>
      <c r="I424" s="49" t="n">
        <f aca="false">IF(ROUND($G424,2)&lt;0,-ROUND($G424,2),"")</f>
        <v>31450.32</v>
      </c>
      <c r="J424" s="20" t="n">
        <f aca="false">IF(ROUND($G424,2)=0,0,1)</f>
        <v>1</v>
      </c>
      <c r="K424" s="20" t="n">
        <f aca="false">IF($J424=0,"",SUM($J$422:$J424))</f>
        <v>2</v>
      </c>
      <c r="L424" s="20" t="n">
        <f aca="false">IF($K424="","",$A424*100+$K424)</f>
        <v>2902</v>
      </c>
      <c r="M424" s="48" t="str">
        <f aca="false">参数!$B$4</f>
        <v>回款</v>
      </c>
    </row>
    <row r="425" customFormat="false" ht="13.5" hidden="false" customHeight="false" outlineLevel="0" collapsed="false">
      <c r="A425" s="47" t="n">
        <v>29</v>
      </c>
      <c r="B425" s="38" t="n">
        <f aca="false">助手回款!$B30</f>
        <v>2042</v>
      </c>
      <c r="C425" s="48" t="str">
        <f aca="false">助手回款!$C30</f>
        <v>白家寨店</v>
      </c>
      <c r="D425" s="48" t="str">
        <f aca="false">科目对照回款!$B5&amp;""</f>
        <v>医保</v>
      </c>
      <c r="E425" s="48" t="str">
        <f aca="false">科目对照回款!$C5&amp;""</f>
        <v>应收账款</v>
      </c>
      <c r="F425" s="48" t="str">
        <f aca="false">科目对照回款!$D5&amp;""</f>
        <v>医保</v>
      </c>
      <c r="G425" s="49" t="n">
        <f aca="false">-ROUND(IF(科目对照回款!$F$5="",0,SUMIFS(输入回款!$C:$C,输入回款!$A:$A,助手回款!$X30,输入回款!$B:$B,科目对照回款!$F$5)+SUMIFS(输入回款!$D:$D,输入回款!$A:$A,助手回款!$X30,输入回款!$B:$B,科目对照回款!$F$5))+IF(科目对照回款!$G$5="",0,SUMIFS(输入回款!$C:$C,输入回款!$A:$A,助手回款!$X30,输入回款!$B:$B,科目对照回款!$G$5)+SUMIFS(输入回款!$D:$D,输入回款!$A:$A,助手回款!$X30,输入回款!$B:$B,科目对照回款!$G$5))+IF(科目对照回款!$H$5="",0,SUMIFS(输入回款!$C:$C,输入回款!$A:$A,助手回款!$X30,输入回款!$B:$B,科目对照回款!$H$5)+SUMIFS(输入回款!$D:$D,输入回款!$A:$A,助手回款!$X30,输入回款!$B:$B,科目对照回款!$H$5)),2)</f>
        <v>-5662.25</v>
      </c>
      <c r="H425" s="49" t="str">
        <f aca="false">IF(ROUND($G425,2)&gt;0,ROUND($G425,2),"")</f>
        <v/>
      </c>
      <c r="I425" s="49" t="n">
        <f aca="false">IF(ROUND($G425,2)&lt;0,-ROUND($G425,2),"")</f>
        <v>5662.25</v>
      </c>
      <c r="J425" s="20" t="n">
        <f aca="false">IF(ROUND($G425,2)=0,0,1)</f>
        <v>1</v>
      </c>
      <c r="K425" s="20" t="n">
        <f aca="false">IF($J425=0,"",SUM($J$422:$J425))</f>
        <v>3</v>
      </c>
      <c r="L425" s="20" t="n">
        <f aca="false">IF($K425="","",$A425*100+$K425)</f>
        <v>2903</v>
      </c>
      <c r="M425" s="48" t="str">
        <f aca="false">参数!$B$4</f>
        <v>回款</v>
      </c>
    </row>
    <row r="426" customFormat="false" ht="13.5" hidden="false" customHeight="false" outlineLevel="0" collapsed="false">
      <c r="A426" s="47" t="n">
        <v>29</v>
      </c>
      <c r="B426" s="38" t="n">
        <f aca="false">助手回款!$B30</f>
        <v>2042</v>
      </c>
      <c r="C426" s="48" t="str">
        <f aca="false">助手回款!$C30</f>
        <v>白家寨店</v>
      </c>
      <c r="D426" s="48" t="str">
        <f aca="false">科目对照回款!$B6&amp;""</f>
        <v>美团</v>
      </c>
      <c r="E426" s="48" t="str">
        <f aca="false">科目对照回款!$C6&amp;""</f>
        <v>应收账款</v>
      </c>
      <c r="F426" s="48" t="str">
        <f aca="false">科目对照回款!$D6&amp;""</f>
        <v>美团</v>
      </c>
      <c r="G426" s="49" t="n">
        <f aca="false">-ROUND(IF(科目对照回款!$F$6="",0,SUMIFS(输入回款!$C:$C,输入回款!$A:$A,助手回款!$X30,输入回款!$B:$B,科目对照回款!$F$6)+SUMIFS(输入回款!$D:$D,输入回款!$A:$A,助手回款!$X30,输入回款!$B:$B,科目对照回款!$F$6))+IF(科目对照回款!$G$6="",0,SUMIFS(输入回款!$C:$C,输入回款!$A:$A,助手回款!$X30,输入回款!$B:$B,科目对照回款!$G$6)+SUMIFS(输入回款!$D:$D,输入回款!$A:$A,助手回款!$X30,输入回款!$B:$B,科目对照回款!$G$6))+IF(科目对照回款!$H$6="",0,SUMIFS(输入回款!$C:$C,输入回款!$A:$A,助手回款!$X30,输入回款!$B:$B,科目对照回款!$H$6)+SUMIFS(输入回款!$D:$D,输入回款!$A:$A,助手回款!$X30,输入回款!$B:$B,科目对照回款!$H$6)),2)</f>
        <v>-0</v>
      </c>
      <c r="H426" s="49" t="str">
        <f aca="false">IF(ROUND($G426,2)&gt;0,ROUND($G426,2),"")</f>
        <v/>
      </c>
      <c r="I426" s="49" t="str">
        <f aca="false">IF(ROUND($G426,2)&lt;0,-ROUND($G426,2),"")</f>
        <v/>
      </c>
      <c r="J426" s="20" t="n">
        <f aca="false">IF(ROUND($G426,2)=0,0,1)</f>
        <v>0</v>
      </c>
      <c r="K426" s="20" t="str">
        <f aca="false">IF($J426=0,"",SUM($J$422:$J426))</f>
        <v/>
      </c>
      <c r="L426" s="20" t="str">
        <f aca="false">IF($K426="","",$A426*100+$K426)</f>
        <v/>
      </c>
      <c r="M426" s="48" t="str">
        <f aca="false">参数!$B$4</f>
        <v>回款</v>
      </c>
    </row>
    <row r="427" customFormat="false" ht="13.5" hidden="false" customHeight="false" outlineLevel="0" collapsed="false">
      <c r="A427" s="47" t="n">
        <v>29</v>
      </c>
      <c r="B427" s="38" t="n">
        <f aca="false">助手回款!$B30</f>
        <v>2042</v>
      </c>
      <c r="C427" s="48" t="str">
        <f aca="false">助手回款!$C30</f>
        <v>白家寨店</v>
      </c>
      <c r="D427" s="48" t="str">
        <f aca="false">科目对照回款!$B7&amp;""</f>
        <v>饿了么</v>
      </c>
      <c r="E427" s="48" t="str">
        <f aca="false">科目对照回款!$C7&amp;""</f>
        <v>应收账款</v>
      </c>
      <c r="F427" s="48" t="str">
        <f aca="false">科目对照回款!$D7&amp;""</f>
        <v>饿了么</v>
      </c>
      <c r="G427" s="49" t="n">
        <f aca="false">-ROUND(IF(科目对照回款!$F$7="",0,SUMIFS(输入回款!$C:$C,输入回款!$A:$A,助手回款!$X30,输入回款!$B:$B,科目对照回款!$F$7)+SUMIFS(输入回款!$D:$D,输入回款!$A:$A,助手回款!$X30,输入回款!$B:$B,科目对照回款!$F$7))+IF(科目对照回款!$G$7="",0,SUMIFS(输入回款!$C:$C,输入回款!$A:$A,助手回款!$X30,输入回款!$B:$B,科目对照回款!$G$7)+SUMIFS(输入回款!$D:$D,输入回款!$A:$A,助手回款!$X30,输入回款!$B:$B,科目对照回款!$G$7))+IF(科目对照回款!$H$7="",0,SUMIFS(输入回款!$C:$C,输入回款!$A:$A,助手回款!$X30,输入回款!$B:$B,科目对照回款!$H$7)+SUMIFS(输入回款!$D:$D,输入回款!$A:$A,助手回款!$X30,输入回款!$B:$B,科目对照回款!$H$7)),2)</f>
        <v>-0</v>
      </c>
      <c r="H427" s="49" t="str">
        <f aca="false">IF(ROUND($G427,2)&gt;0,ROUND($G427,2),"")</f>
        <v/>
      </c>
      <c r="I427" s="49" t="str">
        <f aca="false">IF(ROUND($G427,2)&lt;0,-ROUND($G427,2),"")</f>
        <v/>
      </c>
      <c r="J427" s="20" t="n">
        <f aca="false">IF(ROUND($G427,2)=0,0,1)</f>
        <v>0</v>
      </c>
      <c r="K427" s="20" t="str">
        <f aca="false">IF($J427=0,"",SUM($J$422:$J427))</f>
        <v/>
      </c>
      <c r="L427" s="20" t="str">
        <f aca="false">IF($K427="","",$A427*100+$K427)</f>
        <v/>
      </c>
      <c r="M427" s="48" t="str">
        <f aca="false">参数!$B$4</f>
        <v>回款</v>
      </c>
    </row>
    <row r="428" customFormat="false" ht="13.5" hidden="false" customHeight="false" outlineLevel="0" collapsed="false">
      <c r="A428" s="47" t="n">
        <v>29</v>
      </c>
      <c r="B428" s="38" t="n">
        <f aca="false">助手回款!$B30</f>
        <v>2042</v>
      </c>
      <c r="C428" s="48" t="str">
        <f aca="false">助手回款!$C30</f>
        <v>白家寨店</v>
      </c>
      <c r="D428" s="48" t="str">
        <f aca="false">科目对照回款!$B8&amp;""</f>
        <v>24小时</v>
      </c>
      <c r="E428" s="48" t="str">
        <f aca="false">科目对照回款!$C8&amp;""</f>
        <v>应收账款</v>
      </c>
      <c r="F428" s="48" t="str">
        <f aca="false">科目对照回款!$D8&amp;""</f>
        <v>24小时</v>
      </c>
      <c r="G428" s="49" t="n">
        <f aca="false">-ROUND(IF(科目对照回款!$F$8="",0,SUMIFS(输入回款!$C:$C,输入回款!$A:$A,助手回款!$X30,输入回款!$B:$B,科目对照回款!$F$8)+SUMIFS(输入回款!$D:$D,输入回款!$A:$A,助手回款!$X30,输入回款!$B:$B,科目对照回款!$F$8))+IF(科目对照回款!$G$8="",0,SUMIFS(输入回款!$C:$C,输入回款!$A:$A,助手回款!$X30,输入回款!$B:$B,科目对照回款!$G$8)+SUMIFS(输入回款!$D:$D,输入回款!$A:$A,助手回款!$X30,输入回款!$B:$B,科目对照回款!$G$8))+IF(科目对照回款!$H$8="",0,SUMIFS(输入回款!$C:$C,输入回款!$A:$A,助手回款!$X30,输入回款!$B:$B,科目对照回款!$H$8)+SUMIFS(输入回款!$D:$D,输入回款!$A:$A,助手回款!$X30,输入回款!$B:$B,科目对照回款!$H$8)),2)</f>
        <v>-0</v>
      </c>
      <c r="H428" s="49" t="str">
        <f aca="false">IF(ROUND($G428,2)&gt;0,ROUND($G428,2),"")</f>
        <v/>
      </c>
      <c r="I428" s="49" t="str">
        <f aca="false">IF(ROUND($G428,2)&lt;0,-ROUND($G428,2),"")</f>
        <v/>
      </c>
      <c r="J428" s="20" t="n">
        <f aca="false">IF(ROUND($G428,2)=0,0,1)</f>
        <v>0</v>
      </c>
      <c r="K428" s="20" t="str">
        <f aca="false">IF($J428=0,"",SUM($J$422:$J428))</f>
        <v/>
      </c>
      <c r="L428" s="20" t="str">
        <f aca="false">IF($K428="","",$A428*100+$K428)</f>
        <v/>
      </c>
      <c r="M428" s="48" t="str">
        <f aca="false">参数!$B$4</f>
        <v>回款</v>
      </c>
    </row>
    <row r="429" customFormat="false" ht="13.5" hidden="false" customHeight="false" outlineLevel="0" collapsed="false">
      <c r="A429" s="47" t="n">
        <v>29</v>
      </c>
      <c r="B429" s="38" t="n">
        <f aca="false">助手回款!$B30</f>
        <v>2042</v>
      </c>
      <c r="C429" s="48" t="str">
        <f aca="false">助手回款!$C30</f>
        <v>白家寨店</v>
      </c>
      <c r="D429" s="48" t="str">
        <f aca="false">科目对照回款!$B9&amp;""</f>
        <v>健E卡</v>
      </c>
      <c r="E429" s="48" t="str">
        <f aca="false">科目对照回款!$C9&amp;""</f>
        <v>应收账款</v>
      </c>
      <c r="F429" s="48" t="str">
        <f aca="false">科目对照回款!$D9&amp;""</f>
        <v>健E卡</v>
      </c>
      <c r="G429" s="49" t="n">
        <f aca="false">-ROUND(IF(科目对照回款!$F$9="",0,SUMIFS(输入回款!$C:$C,输入回款!$A:$A,助手回款!$X30,输入回款!$B:$B,科目对照回款!$F$9)+SUMIFS(输入回款!$D:$D,输入回款!$A:$A,助手回款!$X30,输入回款!$B:$B,科目对照回款!$F$9))+IF(科目对照回款!$G$9="",0,SUMIFS(输入回款!$C:$C,输入回款!$A:$A,助手回款!$X30,输入回款!$B:$B,科目对照回款!$G$9)+SUMIFS(输入回款!$D:$D,输入回款!$A:$A,助手回款!$X30,输入回款!$B:$B,科目对照回款!$G$9))+IF(科目对照回款!$H$9="",0,SUMIFS(输入回款!$C:$C,输入回款!$A:$A,助手回款!$X30,输入回款!$B:$B,科目对照回款!$H$9)+SUMIFS(输入回款!$D:$D,输入回款!$A:$A,助手回款!$X30,输入回款!$B:$B,科目对照回款!$H$9)),2)</f>
        <v>-0</v>
      </c>
      <c r="H429" s="49" t="str">
        <f aca="false">IF(ROUND($G429,2)&gt;0,ROUND($G429,2),"")</f>
        <v/>
      </c>
      <c r="I429" s="49" t="str">
        <f aca="false">IF(ROUND($G429,2)&lt;0,-ROUND($G429,2),"")</f>
        <v/>
      </c>
      <c r="J429" s="20" t="n">
        <f aca="false">IF(ROUND($G429,2)=0,0,1)</f>
        <v>0</v>
      </c>
      <c r="K429" s="20" t="str">
        <f aca="false">IF($J429=0,"",SUM($J$422:$J429))</f>
        <v/>
      </c>
      <c r="L429" s="20" t="str">
        <f aca="false">IF($K429="","",$A429*100+$K429)</f>
        <v/>
      </c>
      <c r="M429" s="48" t="str">
        <f aca="false">参数!$B$4</f>
        <v>回款</v>
      </c>
    </row>
    <row r="430" customFormat="false" ht="13.5" hidden="false" customHeight="false" outlineLevel="0" collapsed="false">
      <c r="A430" s="47" t="n">
        <v>29</v>
      </c>
      <c r="B430" s="38" t="n">
        <f aca="false">助手回款!$B30</f>
        <v>2042</v>
      </c>
      <c r="C430" s="48" t="str">
        <f aca="false">助手回款!$C30</f>
        <v>白家寨店</v>
      </c>
      <c r="D430" s="48" t="str">
        <f aca="false">科目对照回款!$B10&amp;""</f>
        <v>医卡通</v>
      </c>
      <c r="E430" s="48" t="str">
        <f aca="false">科目对照回款!$C10&amp;""</f>
        <v>应收账款</v>
      </c>
      <c r="F430" s="48" t="str">
        <f aca="false">科目对照回款!$D10&amp;""</f>
        <v>医卡通</v>
      </c>
      <c r="G430" s="49" t="n">
        <f aca="false">-ROUND(IF(科目对照回款!$F$10="",0,SUMIFS(输入回款!$C:$C,输入回款!$A:$A,助手回款!$X30,输入回款!$B:$B,科目对照回款!$F$10)+SUMIFS(输入回款!$D:$D,输入回款!$A:$A,助手回款!$X30,输入回款!$B:$B,科目对照回款!$F$10))+IF(科目对照回款!$G$10="",0,SUMIFS(输入回款!$C:$C,输入回款!$A:$A,助手回款!$X30,输入回款!$B:$B,科目对照回款!$G$10)+SUMIFS(输入回款!$D:$D,输入回款!$A:$A,助手回款!$X30,输入回款!$B:$B,科目对照回款!$G$10))+IF(科目对照回款!$H$10="",0,SUMIFS(输入回款!$C:$C,输入回款!$A:$A,助手回款!$X30,输入回款!$B:$B,科目对照回款!$H$10)+SUMIFS(输入回款!$D:$D,输入回款!$A:$A,助手回款!$X30,输入回款!$B:$B,科目对照回款!$H$10)),2)</f>
        <v>-0</v>
      </c>
      <c r="H430" s="49" t="str">
        <f aca="false">IF(ROUND($G430,2)&gt;0,ROUND($G430,2),"")</f>
        <v/>
      </c>
      <c r="I430" s="49" t="str">
        <f aca="false">IF(ROUND($G430,2)&lt;0,-ROUND($G430,2),"")</f>
        <v/>
      </c>
      <c r="J430" s="20" t="n">
        <f aca="false">IF(ROUND($G430,2)=0,0,1)</f>
        <v>0</v>
      </c>
      <c r="K430" s="20" t="str">
        <f aca="false">IF($J430=0,"",SUM($J$422:$J430))</f>
        <v/>
      </c>
      <c r="L430" s="20" t="str">
        <f aca="false">IF($K430="","",$A430*100+$K430)</f>
        <v/>
      </c>
      <c r="M430" s="48" t="str">
        <f aca="false">参数!$B$4</f>
        <v>回款</v>
      </c>
    </row>
    <row r="431" customFormat="false" ht="13.5" hidden="false" customHeight="false" outlineLevel="0" collapsed="false">
      <c r="A431" s="47" t="n">
        <v>29</v>
      </c>
      <c r="B431" s="38" t="n">
        <f aca="false">助手回款!$B30</f>
        <v>2042</v>
      </c>
      <c r="C431" s="48" t="str">
        <f aca="false">助手回款!$C30</f>
        <v>白家寨店</v>
      </c>
      <c r="D431" s="48" t="str">
        <f aca="false">科目对照回款!$B11&amp;""</f>
        <v>企健网</v>
      </c>
      <c r="E431" s="48" t="str">
        <f aca="false">科目对照回款!$C11&amp;""</f>
        <v>应收账款</v>
      </c>
      <c r="F431" s="48" t="str">
        <f aca="false">科目对照回款!$D11&amp;""</f>
        <v>企健网</v>
      </c>
      <c r="G431" s="49" t="n">
        <f aca="false">-ROUND(IF(科目对照回款!$F$11="",0,SUMIFS(输入回款!$C:$C,输入回款!$A:$A,助手回款!$X30,输入回款!$B:$B,科目对照回款!$F$11)+SUMIFS(输入回款!$D:$D,输入回款!$A:$A,助手回款!$X30,输入回款!$B:$B,科目对照回款!$F$11))+IF(科目对照回款!$G$11="",0,SUMIFS(输入回款!$C:$C,输入回款!$A:$A,助手回款!$X30,输入回款!$B:$B,科目对照回款!$G$11)+SUMIFS(输入回款!$D:$D,输入回款!$A:$A,助手回款!$X30,输入回款!$B:$B,科目对照回款!$G$11))+IF(科目对照回款!$H$11="",0,SUMIFS(输入回款!$C:$C,输入回款!$A:$A,助手回款!$X30,输入回款!$B:$B,科目对照回款!$H$11)+SUMIFS(输入回款!$D:$D,输入回款!$A:$A,助手回款!$X30,输入回款!$B:$B,科目对照回款!$H$11)),2)</f>
        <v>-0</v>
      </c>
      <c r="H431" s="49" t="str">
        <f aca="false">IF(ROUND($G431,2)&gt;0,ROUND($G431,2),"")</f>
        <v/>
      </c>
      <c r="I431" s="49" t="str">
        <f aca="false">IF(ROUND($G431,2)&lt;0,-ROUND($G431,2),"")</f>
        <v/>
      </c>
      <c r="J431" s="20" t="n">
        <f aca="false">IF(ROUND($G431,2)=0,0,1)</f>
        <v>0</v>
      </c>
      <c r="K431" s="20" t="str">
        <f aca="false">IF($J431=0,"",SUM($J$422:$J431))</f>
        <v/>
      </c>
      <c r="L431" s="20" t="str">
        <f aca="false">IF($K431="","",$A431*100+$K431)</f>
        <v/>
      </c>
      <c r="M431" s="48" t="str">
        <f aca="false">参数!$B$4</f>
        <v>回款</v>
      </c>
    </row>
    <row r="432" customFormat="false" ht="13.5" hidden="false" customHeight="false" outlineLevel="0" collapsed="false">
      <c r="A432" s="47" t="n">
        <v>29</v>
      </c>
      <c r="B432" s="38" t="n">
        <f aca="false">助手回款!$B30</f>
        <v>2042</v>
      </c>
      <c r="C432" s="48" t="str">
        <f aca="false">助手回款!$C30</f>
        <v>白家寨店</v>
      </c>
      <c r="D432" s="48" t="str">
        <f aca="false">科目对照回款!$B12&amp;""</f>
        <v>亲情卡</v>
      </c>
      <c r="E432" s="48" t="str">
        <f aca="false">科目对照回款!$C12&amp;""</f>
        <v>应收账款</v>
      </c>
      <c r="F432" s="48" t="str">
        <f aca="false">科目对照回款!$D12&amp;""</f>
        <v>亲情卡</v>
      </c>
      <c r="G432" s="49" t="n">
        <f aca="false">-ROUND(IF(科目对照回款!$F$12="",0,SUMIFS(输入回款!$C:$C,输入回款!$A:$A,助手回款!$X30,输入回款!$B:$B,科目对照回款!$F$12)+SUMIFS(输入回款!$D:$D,输入回款!$A:$A,助手回款!$X30,输入回款!$B:$B,科目对照回款!$F$12))+IF(科目对照回款!$G$12="",0,SUMIFS(输入回款!$C:$C,输入回款!$A:$A,助手回款!$X30,输入回款!$B:$B,科目对照回款!$G$12)+SUMIFS(输入回款!$D:$D,输入回款!$A:$A,助手回款!$X30,输入回款!$B:$B,科目对照回款!$G$12))+IF(科目对照回款!$H$12="",0,SUMIFS(输入回款!$C:$C,输入回款!$A:$A,助手回款!$X30,输入回款!$B:$B,科目对照回款!$H$12)+SUMIFS(输入回款!$D:$D,输入回款!$A:$A,助手回款!$X30,输入回款!$B:$B,科目对照回款!$H$12)),2)</f>
        <v>-0</v>
      </c>
      <c r="H432" s="49" t="str">
        <f aca="false">IF(ROUND($G432,2)&gt;0,ROUND($G432,2),"")</f>
        <v/>
      </c>
      <c r="I432" s="49" t="str">
        <f aca="false">IF(ROUND($G432,2)&lt;0,-ROUND($G432,2),"")</f>
        <v/>
      </c>
      <c r="J432" s="20" t="n">
        <f aca="false">IF(ROUND($G432,2)=0,0,1)</f>
        <v>0</v>
      </c>
      <c r="K432" s="20" t="str">
        <f aca="false">IF($J432=0,"",SUM($J$422:$J432))</f>
        <v/>
      </c>
      <c r="L432" s="20" t="str">
        <f aca="false">IF($K432="","",$A432*100+$K432)</f>
        <v/>
      </c>
      <c r="M432" s="48" t="str">
        <f aca="false">参数!$B$4</f>
        <v>回款</v>
      </c>
    </row>
    <row r="433" customFormat="false" ht="13.5" hidden="false" customHeight="false" outlineLevel="0" collapsed="false">
      <c r="A433" s="47" t="n">
        <v>29</v>
      </c>
      <c r="B433" s="38" t="n">
        <f aca="false">助手回款!$B30</f>
        <v>2042</v>
      </c>
      <c r="C433" s="48" t="str">
        <f aca="false">助手回款!$C30</f>
        <v>白家寨店</v>
      </c>
      <c r="D433" s="48" t="str">
        <f aca="false">科目对照回款!$B13&amp;""</f>
        <v>银联</v>
      </c>
      <c r="E433" s="48" t="str">
        <f aca="false">科目对照回款!$C13&amp;""</f>
        <v>应收账款</v>
      </c>
      <c r="F433" s="48" t="str">
        <f aca="false">科目对照回款!$D13&amp;""</f>
        <v>银联</v>
      </c>
      <c r="G433" s="49" t="n">
        <f aca="false">-ROUND(IF(科目对照回款!$F$13="",0,SUMIFS(输入回款!$C:$C,输入回款!$A:$A,助手回款!$X30,输入回款!$B:$B,科目对照回款!$F$13)+SUMIFS(输入回款!$D:$D,输入回款!$A:$A,助手回款!$X30,输入回款!$B:$B,科目对照回款!$F$13))+IF(科目对照回款!$G$13="",0,SUMIFS(输入回款!$C:$C,输入回款!$A:$A,助手回款!$X30,输入回款!$B:$B,科目对照回款!$G$13)+SUMIFS(输入回款!$D:$D,输入回款!$A:$A,助手回款!$X30,输入回款!$B:$B,科目对照回款!$G$13))+IF(科目对照回款!$H$13="",0,SUMIFS(输入回款!$C:$C,输入回款!$A:$A,助手回款!$X30,输入回款!$B:$B,科目对照回款!$H$13)+SUMIFS(输入回款!$D:$D,输入回款!$A:$A,助手回款!$X30,输入回款!$B:$B,科目对照回款!$H$13)),2)</f>
        <v>-0</v>
      </c>
      <c r="H433" s="49" t="str">
        <f aca="false">IF(ROUND($G433,2)&gt;0,ROUND($G433,2),"")</f>
        <v/>
      </c>
      <c r="I433" s="49" t="str">
        <f aca="false">IF(ROUND($G433,2)&lt;0,-ROUND($G433,2),"")</f>
        <v/>
      </c>
      <c r="J433" s="20" t="n">
        <f aca="false">IF(ROUND($G433,2)=0,0,1)</f>
        <v>0</v>
      </c>
      <c r="K433" s="20" t="str">
        <f aca="false">IF($J433=0,"",SUM($J$422:$J433))</f>
        <v/>
      </c>
      <c r="L433" s="20" t="str">
        <f aca="false">IF($K433="","",$A433*100+$K433)</f>
        <v/>
      </c>
      <c r="M433" s="48" t="str">
        <f aca="false">参数!$B$4</f>
        <v>回款</v>
      </c>
    </row>
    <row r="434" customFormat="false" ht="13.5" hidden="false" customHeight="false" outlineLevel="0" collapsed="false">
      <c r="A434" s="47" t="n">
        <v>29</v>
      </c>
      <c r="B434" s="38" t="n">
        <f aca="false">助手回款!$B30</f>
        <v>2042</v>
      </c>
      <c r="C434" s="48" t="str">
        <f aca="false">助手回款!$C30</f>
        <v>白家寨店</v>
      </c>
      <c r="D434" s="48" t="str">
        <f aca="false">科目对照回款!$B14&amp;""</f>
        <v>代金券</v>
      </c>
      <c r="E434" s="48" t="str">
        <f aca="false">科目对照回款!$C14&amp;""</f>
        <v>应收账款</v>
      </c>
      <c r="F434" s="48" t="str">
        <f aca="false">科目对照回款!$D14&amp;""</f>
        <v>代金券</v>
      </c>
      <c r="G434" s="49" t="n">
        <f aca="false">-ROUND(IF(科目对照回款!$F$14="",0,SUMIFS(输入回款!$C:$C,输入回款!$A:$A,助手回款!$X30,输入回款!$B:$B,科目对照回款!$F$14)+SUMIFS(输入回款!$D:$D,输入回款!$A:$A,助手回款!$X30,输入回款!$B:$B,科目对照回款!$F$14))+IF(科目对照回款!$G$14="",0,SUMIFS(输入回款!$C:$C,输入回款!$A:$A,助手回款!$X30,输入回款!$B:$B,科目对照回款!$G$14)+SUMIFS(输入回款!$D:$D,输入回款!$A:$A,助手回款!$X30,输入回款!$B:$B,科目对照回款!$G$14))+IF(科目对照回款!$H$14="",0,SUMIFS(输入回款!$C:$C,输入回款!$A:$A,助手回款!$X30,输入回款!$B:$B,科目对照回款!$H$14)+SUMIFS(输入回款!$D:$D,输入回款!$A:$A,助手回款!$X30,输入回款!$B:$B,科目对照回款!$H$14)),2)</f>
        <v>-0</v>
      </c>
      <c r="H434" s="49" t="str">
        <f aca="false">IF(ROUND($G434,2)&gt;0,ROUND($G434,2),"")</f>
        <v/>
      </c>
      <c r="I434" s="49" t="str">
        <f aca="false">IF(ROUND($G434,2)&lt;0,-ROUND($G434,2),"")</f>
        <v/>
      </c>
      <c r="J434" s="20" t="n">
        <f aca="false">IF(ROUND($G434,2)=0,0,1)</f>
        <v>0</v>
      </c>
      <c r="K434" s="20" t="str">
        <f aca="false">IF($J434=0,"",SUM($J$422:$J434))</f>
        <v/>
      </c>
      <c r="L434" s="20" t="str">
        <f aca="false">IF($K434="","",$A434*100+$K434)</f>
        <v/>
      </c>
      <c r="M434" s="48" t="str">
        <f aca="false">参数!$B$4</f>
        <v>回款</v>
      </c>
    </row>
    <row r="435" customFormat="false" ht="13.5" hidden="false" customHeight="false" outlineLevel="0" collapsed="false">
      <c r="A435" s="47" t="n">
        <v>29</v>
      </c>
      <c r="B435" s="38" t="n">
        <f aca="false">助手回款!$B30</f>
        <v>2042</v>
      </c>
      <c r="C435" s="48" t="str">
        <f aca="false">助手回款!$C30</f>
        <v>白家寨店</v>
      </c>
      <c r="D435" s="48" t="str">
        <f aca="false">科目对照回款!$B15&amp;""</f>
        <v>药机微信</v>
      </c>
      <c r="E435" s="48" t="str">
        <f aca="false">科目对照回款!$C15&amp;""</f>
        <v>应收账款</v>
      </c>
      <c r="F435" s="48" t="str">
        <f aca="false">科目对照回款!$D15&amp;""</f>
        <v>药机微信</v>
      </c>
      <c r="G435" s="49" t="n">
        <f aca="false">-ROUND(IF(科目对照回款!$F$15="",0,SUMIFS(输入回款!$C:$C,输入回款!$A:$A,助手回款!$X30,输入回款!$B:$B,科目对照回款!$F$15)+SUMIFS(输入回款!$D:$D,输入回款!$A:$A,助手回款!$X30,输入回款!$B:$B,科目对照回款!$F$15))+IF(科目对照回款!$G$15="",0,SUMIFS(输入回款!$C:$C,输入回款!$A:$A,助手回款!$X30,输入回款!$B:$B,科目对照回款!$G$15)+SUMIFS(输入回款!$D:$D,输入回款!$A:$A,助手回款!$X30,输入回款!$B:$B,科目对照回款!$G$15))+IF(科目对照回款!$H$15="",0,SUMIFS(输入回款!$C:$C,输入回款!$A:$A,助手回款!$X30,输入回款!$B:$B,科目对照回款!$H$15)+SUMIFS(输入回款!$D:$D,输入回款!$A:$A,助手回款!$X30,输入回款!$B:$B,科目对照回款!$H$15)),2)</f>
        <v>-0</v>
      </c>
      <c r="H435" s="49" t="str">
        <f aca="false">IF(ROUND($G435,2)&gt;0,ROUND($G435,2),"")</f>
        <v/>
      </c>
      <c r="I435" s="49" t="str">
        <f aca="false">IF(ROUND($G435,2)&lt;0,-ROUND($G435,2),"")</f>
        <v/>
      </c>
      <c r="J435" s="20" t="n">
        <f aca="false">IF(ROUND($G435,2)=0,0,1)</f>
        <v>0</v>
      </c>
      <c r="K435" s="20" t="str">
        <f aca="false">IF($J435=0,"",SUM($J$422:$J435))</f>
        <v/>
      </c>
      <c r="L435" s="20" t="str">
        <f aca="false">IF($K435="","",$A435*100+$K435)</f>
        <v/>
      </c>
      <c r="M435" s="48" t="str">
        <f aca="false">参数!$B$4</f>
        <v>回款</v>
      </c>
    </row>
    <row r="436" customFormat="false" ht="13.5" hidden="false" customHeight="false" outlineLevel="0" collapsed="false">
      <c r="A436" s="47" t="n">
        <v>29</v>
      </c>
      <c r="B436" s="38" t="n">
        <f aca="false">助手回款!$B30</f>
        <v>2042</v>
      </c>
      <c r="C436" s="48" t="str">
        <f aca="false">助手回款!$C30</f>
        <v>白家寨店</v>
      </c>
      <c r="D436" s="48" t="str">
        <f aca="false">科目对照回款!$B16&amp;""</f>
        <v>储值卡</v>
      </c>
      <c r="E436" s="48" t="str">
        <f aca="false">科目对照回款!$C16&amp;""</f>
        <v>其他应收款</v>
      </c>
      <c r="F436" s="48" t="str">
        <f aca="false">科目对照回款!$D16&amp;""</f>
        <v>储值卡</v>
      </c>
      <c r="G436" s="49" t="n">
        <f aca="false">-ROUND(IF(科目对照回款!$F$16="",0,SUMIFS(输入回款!$C:$C,输入回款!$A:$A,助手回款!$X30,输入回款!$B:$B,科目对照回款!$F$16)+SUMIFS(输入回款!$D:$D,输入回款!$A:$A,助手回款!$X30,输入回款!$B:$B,科目对照回款!$F$16))+IF(科目对照回款!$G$16="",0,SUMIFS(输入回款!$C:$C,输入回款!$A:$A,助手回款!$X30,输入回款!$B:$B,科目对照回款!$G$16)+SUMIFS(输入回款!$D:$D,输入回款!$A:$A,助手回款!$X30,输入回款!$B:$B,科目对照回款!$G$16))+IF(科目对照回款!$H$16="",0,SUMIFS(输入回款!$C:$C,输入回款!$A:$A,助手回款!$X30,输入回款!$B:$B,科目对照回款!$H$16)+SUMIFS(输入回款!$D:$D,输入回款!$A:$A,助手回款!$X30,输入回款!$B:$B,科目对照回款!$H$16)),2)</f>
        <v>-0</v>
      </c>
      <c r="H436" s="49" t="str">
        <f aca="false">IF(ROUND($G436,2)&gt;0,ROUND($G436,2),"")</f>
        <v/>
      </c>
      <c r="I436" s="49" t="str">
        <f aca="false">IF(ROUND($G436,2)&lt;0,-ROUND($G436,2),"")</f>
        <v/>
      </c>
      <c r="J436" s="20" t="n">
        <f aca="false">IF(ROUND($G436,2)=0,0,1)</f>
        <v>0</v>
      </c>
      <c r="K436" s="20" t="str">
        <f aca="false">IF($J436=0,"",SUM($J$422:$J436))</f>
        <v/>
      </c>
      <c r="L436" s="20" t="str">
        <f aca="false">IF($K436="","",$A436*100+$K436)</f>
        <v/>
      </c>
      <c r="M436" s="48" t="str">
        <f aca="false">参数!$B$4</f>
        <v>回款</v>
      </c>
    </row>
    <row r="437" customFormat="false" ht="13.5" hidden="false" customHeight="false" outlineLevel="0" collapsed="false">
      <c r="A437" s="47" t="n">
        <v>30</v>
      </c>
      <c r="B437" s="38" t="n">
        <f aca="false">助手回款!$B31</f>
        <v>2043</v>
      </c>
      <c r="C437" s="48" t="str">
        <f aca="false">助手回款!$C31</f>
        <v>博福店</v>
      </c>
      <c r="D437" s="48" t="str">
        <f aca="false">科目对照回款!$B2&amp;""</f>
        <v>库存现金</v>
      </c>
      <c r="E437" s="48" t="str">
        <f aca="false">科目对照回款!$C2&amp;""</f>
        <v>库存现金</v>
      </c>
      <c r="F437" s="48" t="str">
        <f aca="false">科目对照回款!$D2&amp;""</f>
        <v/>
      </c>
      <c r="G437" s="49" t="n">
        <f aca="false">助手回款!$E31</f>
        <v>131492.43</v>
      </c>
      <c r="H437" s="49" t="n">
        <f aca="false">IF(ROUND($G437,2)&gt;0,ROUND($G437,2),"")</f>
        <v>131492.43</v>
      </c>
      <c r="I437" s="49" t="str">
        <f aca="false">IF(ROUND($G437,2)&lt;0,-ROUND($G437,2),"")</f>
        <v/>
      </c>
      <c r="J437" s="20" t="n">
        <f aca="false">IF(ROUND($G437,2)=0,0,1)</f>
        <v>1</v>
      </c>
      <c r="K437" s="20" t="n">
        <f aca="false">IF($J437=0,"",SUM($J$437:$J437))</f>
        <v>1</v>
      </c>
      <c r="L437" s="20" t="n">
        <f aca="false">IF($K437="","",$A437*100+$K437)</f>
        <v>3001</v>
      </c>
      <c r="M437" s="48" t="str">
        <f aca="false">参数!$B$4</f>
        <v>回款</v>
      </c>
    </row>
    <row r="438" customFormat="false" ht="13.5" hidden="false" customHeight="false" outlineLevel="0" collapsed="false">
      <c r="A438" s="47" t="n">
        <v>30</v>
      </c>
      <c r="B438" s="38" t="n">
        <f aca="false">助手回款!$B31</f>
        <v>2043</v>
      </c>
      <c r="C438" s="48" t="str">
        <f aca="false">助手回款!$C31</f>
        <v>博福店</v>
      </c>
      <c r="D438" s="48" t="str">
        <f aca="false">科目对照回款!$B3&amp;""</f>
        <v>手续费</v>
      </c>
      <c r="E438" s="48" t="str">
        <f aca="false">科目对照回款!$C3&amp;""</f>
        <v>财务费用</v>
      </c>
      <c r="F438" s="48" t="str">
        <f aca="false">科目对照回款!$D3&amp;""</f>
        <v>手续费</v>
      </c>
      <c r="G438" s="49" t="n">
        <f aca="false">助手回款!$F31</f>
        <v>319.26</v>
      </c>
      <c r="H438" s="49" t="n">
        <f aca="false">IF(ROUND($G438,2)&gt;0,ROUND($G438,2),"")</f>
        <v>319.26</v>
      </c>
      <c r="I438" s="49" t="str">
        <f aca="false">IF(ROUND($G438,2)&lt;0,-ROUND($G438,2),"")</f>
        <v/>
      </c>
      <c r="J438" s="20" t="n">
        <f aca="false">IF(ROUND($G438,2)=0,0,1)</f>
        <v>1</v>
      </c>
      <c r="K438" s="20" t="n">
        <f aca="false">IF($J438=0,"",SUM($J$437:$J438))</f>
        <v>2</v>
      </c>
      <c r="L438" s="20" t="n">
        <f aca="false">IF($K438="","",$A438*100+$K438)</f>
        <v>3002</v>
      </c>
      <c r="M438" s="48" t="str">
        <f aca="false">参数!$B$4</f>
        <v>回款</v>
      </c>
    </row>
    <row r="439" customFormat="false" ht="13.5" hidden="false" customHeight="false" outlineLevel="0" collapsed="false">
      <c r="A439" s="47" t="n">
        <v>30</v>
      </c>
      <c r="B439" s="38" t="n">
        <f aca="false">助手回款!$B31</f>
        <v>2043</v>
      </c>
      <c r="C439" s="48" t="str">
        <f aca="false">助手回款!$C31</f>
        <v>博福店</v>
      </c>
      <c r="D439" s="48" t="str">
        <f aca="false">科目对照回款!$B4&amp;""</f>
        <v>聚合支付</v>
      </c>
      <c r="E439" s="48" t="str">
        <f aca="false">科目对照回款!$C4&amp;""</f>
        <v>应收账款</v>
      </c>
      <c r="F439" s="48" t="str">
        <f aca="false">科目对照回款!$D4&amp;""</f>
        <v>聚合支付</v>
      </c>
      <c r="G439" s="49" t="n">
        <f aca="false">-ROUND(IF(科目对照回款!$F$4="",0,SUMIFS(输入回款!$C:$C,输入回款!$A:$A,助手回款!$X31,输入回款!$B:$B,科目对照回款!$F$4)+SUMIFS(输入回款!$D:$D,输入回款!$A:$A,助手回款!$X31,输入回款!$B:$B,科目对照回款!$F$4))+IF(科目对照回款!$G$4="",0,SUMIFS(输入回款!$C:$C,输入回款!$A:$A,助手回款!$X31,输入回款!$B:$B,科目对照回款!$G$4)+SUMIFS(输入回款!$D:$D,输入回款!$A:$A,助手回款!$X31,输入回款!$B:$B,科目对照回款!$G$4))+IF(科目对照回款!$H$4="",0,SUMIFS(输入回款!$C:$C,输入回款!$A:$A,助手回款!$X31,输入回款!$B:$B,科目对照回款!$H$4)+SUMIFS(输入回款!$D:$D,输入回款!$A:$A,助手回款!$X31,输入回款!$B:$B,科目对照回款!$H$4)),2)</f>
        <v>-26201.94</v>
      </c>
      <c r="H439" s="49" t="str">
        <f aca="false">IF(ROUND($G439,2)&gt;0,ROUND($G439,2),"")</f>
        <v/>
      </c>
      <c r="I439" s="49" t="n">
        <f aca="false">IF(ROUND($G439,2)&lt;0,-ROUND($G439,2),"")</f>
        <v>26201.94</v>
      </c>
      <c r="J439" s="20" t="n">
        <f aca="false">IF(ROUND($G439,2)=0,0,1)</f>
        <v>1</v>
      </c>
      <c r="K439" s="20" t="n">
        <f aca="false">IF($J439=0,"",SUM($J$437:$J439))</f>
        <v>3</v>
      </c>
      <c r="L439" s="20" t="n">
        <f aca="false">IF($K439="","",$A439*100+$K439)</f>
        <v>3003</v>
      </c>
      <c r="M439" s="48" t="str">
        <f aca="false">参数!$B$4</f>
        <v>回款</v>
      </c>
    </row>
    <row r="440" customFormat="false" ht="13.5" hidden="false" customHeight="false" outlineLevel="0" collapsed="false">
      <c r="A440" s="47" t="n">
        <v>30</v>
      </c>
      <c r="B440" s="38" t="n">
        <f aca="false">助手回款!$B31</f>
        <v>2043</v>
      </c>
      <c r="C440" s="48" t="str">
        <f aca="false">助手回款!$C31</f>
        <v>博福店</v>
      </c>
      <c r="D440" s="48" t="str">
        <f aca="false">科目对照回款!$B5&amp;""</f>
        <v>医保</v>
      </c>
      <c r="E440" s="48" t="str">
        <f aca="false">科目对照回款!$C5&amp;""</f>
        <v>应收账款</v>
      </c>
      <c r="F440" s="48" t="str">
        <f aca="false">科目对照回款!$D5&amp;""</f>
        <v>医保</v>
      </c>
      <c r="G440" s="49" t="n">
        <f aca="false">-ROUND(IF(科目对照回款!$F$5="",0,SUMIFS(输入回款!$C:$C,输入回款!$A:$A,助手回款!$X31,输入回款!$B:$B,科目对照回款!$F$5)+SUMIFS(输入回款!$D:$D,输入回款!$A:$A,助手回款!$X31,输入回款!$B:$B,科目对照回款!$F$5))+IF(科目对照回款!$G$5="",0,SUMIFS(输入回款!$C:$C,输入回款!$A:$A,助手回款!$X31,输入回款!$B:$B,科目对照回款!$G$5)+SUMIFS(输入回款!$D:$D,输入回款!$A:$A,助手回款!$X31,输入回款!$B:$B,科目对照回款!$G$5))+IF(科目对照回款!$H$5="",0,SUMIFS(输入回款!$C:$C,输入回款!$A:$A,助手回款!$X31,输入回款!$B:$B,科目对照回款!$H$5)+SUMIFS(输入回款!$D:$D,输入回款!$A:$A,助手回款!$X31,输入回款!$B:$B,科目对照回款!$H$5)),2)</f>
        <v>-13066.57</v>
      </c>
      <c r="H440" s="49" t="str">
        <f aca="false">IF(ROUND($G440,2)&gt;0,ROUND($G440,2),"")</f>
        <v/>
      </c>
      <c r="I440" s="49" t="n">
        <f aca="false">IF(ROUND($G440,2)&lt;0,-ROUND($G440,2),"")</f>
        <v>13066.57</v>
      </c>
      <c r="J440" s="20" t="n">
        <f aca="false">IF(ROUND($G440,2)=0,0,1)</f>
        <v>1</v>
      </c>
      <c r="K440" s="20" t="n">
        <f aca="false">IF($J440=0,"",SUM($J$437:$J440))</f>
        <v>4</v>
      </c>
      <c r="L440" s="20" t="n">
        <f aca="false">IF($K440="","",$A440*100+$K440)</f>
        <v>3004</v>
      </c>
      <c r="M440" s="48" t="str">
        <f aca="false">参数!$B$4</f>
        <v>回款</v>
      </c>
    </row>
    <row r="441" customFormat="false" ht="13.5" hidden="false" customHeight="false" outlineLevel="0" collapsed="false">
      <c r="A441" s="47" t="n">
        <v>30</v>
      </c>
      <c r="B441" s="38" t="n">
        <f aca="false">助手回款!$B31</f>
        <v>2043</v>
      </c>
      <c r="C441" s="48" t="str">
        <f aca="false">助手回款!$C31</f>
        <v>博福店</v>
      </c>
      <c r="D441" s="48" t="str">
        <f aca="false">科目对照回款!$B6&amp;""</f>
        <v>美团</v>
      </c>
      <c r="E441" s="48" t="str">
        <f aca="false">科目对照回款!$C6&amp;""</f>
        <v>应收账款</v>
      </c>
      <c r="F441" s="48" t="str">
        <f aca="false">科目对照回款!$D6&amp;""</f>
        <v>美团</v>
      </c>
      <c r="G441" s="49" t="n">
        <f aca="false">-ROUND(IF(科目对照回款!$F$6="",0,SUMIFS(输入回款!$C:$C,输入回款!$A:$A,助手回款!$X31,输入回款!$B:$B,科目对照回款!$F$6)+SUMIFS(输入回款!$D:$D,输入回款!$A:$A,助手回款!$X31,输入回款!$B:$B,科目对照回款!$F$6))+IF(科目对照回款!$G$6="",0,SUMIFS(输入回款!$C:$C,输入回款!$A:$A,助手回款!$X31,输入回款!$B:$B,科目对照回款!$G$6)+SUMIFS(输入回款!$D:$D,输入回款!$A:$A,助手回款!$X31,输入回款!$B:$B,科目对照回款!$G$6))+IF(科目对照回款!$H$6="",0,SUMIFS(输入回款!$C:$C,输入回款!$A:$A,助手回款!$X31,输入回款!$B:$B,科目对照回款!$H$6)+SUMIFS(输入回款!$D:$D,输入回款!$A:$A,助手回款!$X31,输入回款!$B:$B,科目对照回款!$H$6)),2)</f>
        <v>-394.9</v>
      </c>
      <c r="H441" s="49" t="str">
        <f aca="false">IF(ROUND($G441,2)&gt;0,ROUND($G441,2),"")</f>
        <v/>
      </c>
      <c r="I441" s="49" t="n">
        <f aca="false">IF(ROUND($G441,2)&lt;0,-ROUND($G441,2),"")</f>
        <v>394.9</v>
      </c>
      <c r="J441" s="20" t="n">
        <f aca="false">IF(ROUND($G441,2)=0,0,1)</f>
        <v>1</v>
      </c>
      <c r="K441" s="20" t="n">
        <f aca="false">IF($J441=0,"",SUM($J$437:$J441))</f>
        <v>5</v>
      </c>
      <c r="L441" s="20" t="n">
        <f aca="false">IF($K441="","",$A441*100+$K441)</f>
        <v>3005</v>
      </c>
      <c r="M441" s="48" t="str">
        <f aca="false">参数!$B$4</f>
        <v>回款</v>
      </c>
    </row>
    <row r="442" customFormat="false" ht="13.5" hidden="false" customHeight="false" outlineLevel="0" collapsed="false">
      <c r="A442" s="47" t="n">
        <v>30</v>
      </c>
      <c r="B442" s="38" t="n">
        <f aca="false">助手回款!$B31</f>
        <v>2043</v>
      </c>
      <c r="C442" s="48" t="str">
        <f aca="false">助手回款!$C31</f>
        <v>博福店</v>
      </c>
      <c r="D442" s="48" t="str">
        <f aca="false">科目对照回款!$B7&amp;""</f>
        <v>饿了么</v>
      </c>
      <c r="E442" s="48" t="str">
        <f aca="false">科目对照回款!$C7&amp;""</f>
        <v>应收账款</v>
      </c>
      <c r="F442" s="48" t="str">
        <f aca="false">科目对照回款!$D7&amp;""</f>
        <v>饿了么</v>
      </c>
      <c r="G442" s="49" t="n">
        <f aca="false">-ROUND(IF(科目对照回款!$F$7="",0,SUMIFS(输入回款!$C:$C,输入回款!$A:$A,助手回款!$X31,输入回款!$B:$B,科目对照回款!$F$7)+SUMIFS(输入回款!$D:$D,输入回款!$A:$A,助手回款!$X31,输入回款!$B:$B,科目对照回款!$F$7))+IF(科目对照回款!$G$7="",0,SUMIFS(输入回款!$C:$C,输入回款!$A:$A,助手回款!$X31,输入回款!$B:$B,科目对照回款!$G$7)+SUMIFS(输入回款!$D:$D,输入回款!$A:$A,助手回款!$X31,输入回款!$B:$B,科目对照回款!$G$7))+IF(科目对照回款!$H$7="",0,SUMIFS(输入回款!$C:$C,输入回款!$A:$A,助手回款!$X31,输入回款!$B:$B,科目对照回款!$H$7)+SUMIFS(输入回款!$D:$D,输入回款!$A:$A,助手回款!$X31,输入回款!$B:$B,科目对照回款!$H$7)),2)</f>
        <v>-0</v>
      </c>
      <c r="H442" s="49" t="str">
        <f aca="false">IF(ROUND($G442,2)&gt;0,ROUND($G442,2),"")</f>
        <v/>
      </c>
      <c r="I442" s="49" t="str">
        <f aca="false">IF(ROUND($G442,2)&lt;0,-ROUND($G442,2),"")</f>
        <v/>
      </c>
      <c r="J442" s="20" t="n">
        <f aca="false">IF(ROUND($G442,2)=0,0,1)</f>
        <v>0</v>
      </c>
      <c r="K442" s="20" t="str">
        <f aca="false">IF($J442=0,"",SUM($J$437:$J442))</f>
        <v/>
      </c>
      <c r="L442" s="20" t="str">
        <f aca="false">IF($K442="","",$A442*100+$K442)</f>
        <v/>
      </c>
      <c r="M442" s="48" t="str">
        <f aca="false">参数!$B$4</f>
        <v>回款</v>
      </c>
    </row>
    <row r="443" customFormat="false" ht="13.5" hidden="false" customHeight="false" outlineLevel="0" collapsed="false">
      <c r="A443" s="47" t="n">
        <v>30</v>
      </c>
      <c r="B443" s="38" t="n">
        <f aca="false">助手回款!$B31</f>
        <v>2043</v>
      </c>
      <c r="C443" s="48" t="str">
        <f aca="false">助手回款!$C31</f>
        <v>博福店</v>
      </c>
      <c r="D443" s="48" t="str">
        <f aca="false">科目对照回款!$B8&amp;""</f>
        <v>24小时</v>
      </c>
      <c r="E443" s="48" t="str">
        <f aca="false">科目对照回款!$C8&amp;""</f>
        <v>应收账款</v>
      </c>
      <c r="F443" s="48" t="str">
        <f aca="false">科目对照回款!$D8&amp;""</f>
        <v>24小时</v>
      </c>
      <c r="G443" s="49" t="n">
        <f aca="false">-ROUND(IF(科目对照回款!$F$8="",0,SUMIFS(输入回款!$C:$C,输入回款!$A:$A,助手回款!$X31,输入回款!$B:$B,科目对照回款!$F$8)+SUMIFS(输入回款!$D:$D,输入回款!$A:$A,助手回款!$X31,输入回款!$B:$B,科目对照回款!$F$8))+IF(科目对照回款!$G$8="",0,SUMIFS(输入回款!$C:$C,输入回款!$A:$A,助手回款!$X31,输入回款!$B:$B,科目对照回款!$G$8)+SUMIFS(输入回款!$D:$D,输入回款!$A:$A,助手回款!$X31,输入回款!$B:$B,科目对照回款!$G$8))+IF(科目对照回款!$H$8="",0,SUMIFS(输入回款!$C:$C,输入回款!$A:$A,助手回款!$X31,输入回款!$B:$B,科目对照回款!$H$8)+SUMIFS(输入回款!$D:$D,输入回款!$A:$A,助手回款!$X31,输入回款!$B:$B,科目对照回款!$H$8)),2)</f>
        <v>-3017.06</v>
      </c>
      <c r="H443" s="49" t="str">
        <f aca="false">IF(ROUND($G443,2)&gt;0,ROUND($G443,2),"")</f>
        <v/>
      </c>
      <c r="I443" s="49" t="n">
        <f aca="false">IF(ROUND($G443,2)&lt;0,-ROUND($G443,2),"")</f>
        <v>3017.06</v>
      </c>
      <c r="J443" s="20" t="n">
        <f aca="false">IF(ROUND($G443,2)=0,0,1)</f>
        <v>1</v>
      </c>
      <c r="K443" s="20" t="n">
        <f aca="false">IF($J443=0,"",SUM($J$437:$J443))</f>
        <v>6</v>
      </c>
      <c r="L443" s="20" t="n">
        <f aca="false">IF($K443="","",$A443*100+$K443)</f>
        <v>3006</v>
      </c>
      <c r="M443" s="48" t="str">
        <f aca="false">参数!$B$4</f>
        <v>回款</v>
      </c>
    </row>
    <row r="444" customFormat="false" ht="13.5" hidden="false" customHeight="false" outlineLevel="0" collapsed="false">
      <c r="A444" s="47" t="n">
        <v>30</v>
      </c>
      <c r="B444" s="38" t="n">
        <f aca="false">助手回款!$B31</f>
        <v>2043</v>
      </c>
      <c r="C444" s="48" t="str">
        <f aca="false">助手回款!$C31</f>
        <v>博福店</v>
      </c>
      <c r="D444" s="48" t="str">
        <f aca="false">科目对照回款!$B9&amp;""</f>
        <v>健E卡</v>
      </c>
      <c r="E444" s="48" t="str">
        <f aca="false">科目对照回款!$C9&amp;""</f>
        <v>应收账款</v>
      </c>
      <c r="F444" s="48" t="str">
        <f aca="false">科目对照回款!$D9&amp;""</f>
        <v>健E卡</v>
      </c>
      <c r="G444" s="49" t="n">
        <f aca="false">-ROUND(IF(科目对照回款!$F$9="",0,SUMIFS(输入回款!$C:$C,输入回款!$A:$A,助手回款!$X31,输入回款!$B:$B,科目对照回款!$F$9)+SUMIFS(输入回款!$D:$D,输入回款!$A:$A,助手回款!$X31,输入回款!$B:$B,科目对照回款!$F$9))+IF(科目对照回款!$G$9="",0,SUMIFS(输入回款!$C:$C,输入回款!$A:$A,助手回款!$X31,输入回款!$B:$B,科目对照回款!$G$9)+SUMIFS(输入回款!$D:$D,输入回款!$A:$A,助手回款!$X31,输入回款!$B:$B,科目对照回款!$G$9))+IF(科目对照回款!$H$9="",0,SUMIFS(输入回款!$C:$C,输入回款!$A:$A,助手回款!$X31,输入回款!$B:$B,科目对照回款!$H$9)+SUMIFS(输入回款!$D:$D,输入回款!$A:$A,助手回款!$X31,输入回款!$B:$B,科目对照回款!$H$9)),2)</f>
        <v>-89131.22</v>
      </c>
      <c r="H444" s="49" t="str">
        <f aca="false">IF(ROUND($G444,2)&gt;0,ROUND($G444,2),"")</f>
        <v/>
      </c>
      <c r="I444" s="49" t="n">
        <f aca="false">IF(ROUND($G444,2)&lt;0,-ROUND($G444,2),"")</f>
        <v>89131.22</v>
      </c>
      <c r="J444" s="20" t="n">
        <f aca="false">IF(ROUND($G444,2)=0,0,1)</f>
        <v>1</v>
      </c>
      <c r="K444" s="20" t="n">
        <f aca="false">IF($J444=0,"",SUM($J$437:$J444))</f>
        <v>7</v>
      </c>
      <c r="L444" s="20" t="n">
        <f aca="false">IF($K444="","",$A444*100+$K444)</f>
        <v>3007</v>
      </c>
      <c r="M444" s="48" t="str">
        <f aca="false">参数!$B$4</f>
        <v>回款</v>
      </c>
    </row>
    <row r="445" customFormat="false" ht="13.5" hidden="false" customHeight="false" outlineLevel="0" collapsed="false">
      <c r="A445" s="47" t="n">
        <v>30</v>
      </c>
      <c r="B445" s="38" t="n">
        <f aca="false">助手回款!$B31</f>
        <v>2043</v>
      </c>
      <c r="C445" s="48" t="str">
        <f aca="false">助手回款!$C31</f>
        <v>博福店</v>
      </c>
      <c r="D445" s="48" t="str">
        <f aca="false">科目对照回款!$B10&amp;""</f>
        <v>医卡通</v>
      </c>
      <c r="E445" s="48" t="str">
        <f aca="false">科目对照回款!$C10&amp;""</f>
        <v>应收账款</v>
      </c>
      <c r="F445" s="48" t="str">
        <f aca="false">科目对照回款!$D10&amp;""</f>
        <v>医卡通</v>
      </c>
      <c r="G445" s="49" t="n">
        <f aca="false">-ROUND(IF(科目对照回款!$F$10="",0,SUMIFS(输入回款!$C:$C,输入回款!$A:$A,助手回款!$X31,输入回款!$B:$B,科目对照回款!$F$10)+SUMIFS(输入回款!$D:$D,输入回款!$A:$A,助手回款!$X31,输入回款!$B:$B,科目对照回款!$F$10))+IF(科目对照回款!$G$10="",0,SUMIFS(输入回款!$C:$C,输入回款!$A:$A,助手回款!$X31,输入回款!$B:$B,科目对照回款!$G$10)+SUMIFS(输入回款!$D:$D,输入回款!$A:$A,助手回款!$X31,输入回款!$B:$B,科目对照回款!$G$10))+IF(科目对照回款!$H$10="",0,SUMIFS(输入回款!$C:$C,输入回款!$A:$A,助手回款!$X31,输入回款!$B:$B,科目对照回款!$H$10)+SUMIFS(输入回款!$D:$D,输入回款!$A:$A,助手回款!$X31,输入回款!$B:$B,科目对照回款!$H$10)),2)</f>
        <v>-0</v>
      </c>
      <c r="H445" s="49" t="str">
        <f aca="false">IF(ROUND($G445,2)&gt;0,ROUND($G445,2),"")</f>
        <v/>
      </c>
      <c r="I445" s="49" t="str">
        <f aca="false">IF(ROUND($G445,2)&lt;0,-ROUND($G445,2),"")</f>
        <v/>
      </c>
      <c r="J445" s="20" t="n">
        <f aca="false">IF(ROUND($G445,2)=0,0,1)</f>
        <v>0</v>
      </c>
      <c r="K445" s="20" t="str">
        <f aca="false">IF($J445=0,"",SUM($J$437:$J445))</f>
        <v/>
      </c>
      <c r="L445" s="20" t="str">
        <f aca="false">IF($K445="","",$A445*100+$K445)</f>
        <v/>
      </c>
      <c r="M445" s="48" t="str">
        <f aca="false">参数!$B$4</f>
        <v>回款</v>
      </c>
    </row>
    <row r="446" customFormat="false" ht="13.5" hidden="false" customHeight="false" outlineLevel="0" collapsed="false">
      <c r="A446" s="47" t="n">
        <v>30</v>
      </c>
      <c r="B446" s="38" t="n">
        <f aca="false">助手回款!$B31</f>
        <v>2043</v>
      </c>
      <c r="C446" s="48" t="str">
        <f aca="false">助手回款!$C31</f>
        <v>博福店</v>
      </c>
      <c r="D446" s="48" t="str">
        <f aca="false">科目对照回款!$B11&amp;""</f>
        <v>企健网</v>
      </c>
      <c r="E446" s="48" t="str">
        <f aca="false">科目对照回款!$C11&amp;""</f>
        <v>应收账款</v>
      </c>
      <c r="F446" s="48" t="str">
        <f aca="false">科目对照回款!$D11&amp;""</f>
        <v>企健网</v>
      </c>
      <c r="G446" s="49" t="n">
        <f aca="false">-ROUND(IF(科目对照回款!$F$11="",0,SUMIFS(输入回款!$C:$C,输入回款!$A:$A,助手回款!$X31,输入回款!$B:$B,科目对照回款!$F$11)+SUMIFS(输入回款!$D:$D,输入回款!$A:$A,助手回款!$X31,输入回款!$B:$B,科目对照回款!$F$11))+IF(科目对照回款!$G$11="",0,SUMIFS(输入回款!$C:$C,输入回款!$A:$A,助手回款!$X31,输入回款!$B:$B,科目对照回款!$G$11)+SUMIFS(输入回款!$D:$D,输入回款!$A:$A,助手回款!$X31,输入回款!$B:$B,科目对照回款!$G$11))+IF(科目对照回款!$H$11="",0,SUMIFS(输入回款!$C:$C,输入回款!$A:$A,助手回款!$X31,输入回款!$B:$B,科目对照回款!$H$11)+SUMIFS(输入回款!$D:$D,输入回款!$A:$A,助手回款!$X31,输入回款!$B:$B,科目对照回款!$H$11)),2)</f>
        <v>-0</v>
      </c>
      <c r="H446" s="49" t="str">
        <f aca="false">IF(ROUND($G446,2)&gt;0,ROUND($G446,2),"")</f>
        <v/>
      </c>
      <c r="I446" s="49" t="str">
        <f aca="false">IF(ROUND($G446,2)&lt;0,-ROUND($G446,2),"")</f>
        <v/>
      </c>
      <c r="J446" s="20" t="n">
        <f aca="false">IF(ROUND($G446,2)=0,0,1)</f>
        <v>0</v>
      </c>
      <c r="K446" s="20" t="str">
        <f aca="false">IF($J446=0,"",SUM($J$437:$J446))</f>
        <v/>
      </c>
      <c r="L446" s="20" t="str">
        <f aca="false">IF($K446="","",$A446*100+$K446)</f>
        <v/>
      </c>
      <c r="M446" s="48" t="str">
        <f aca="false">参数!$B$4</f>
        <v>回款</v>
      </c>
    </row>
    <row r="447" customFormat="false" ht="13.5" hidden="false" customHeight="false" outlineLevel="0" collapsed="false">
      <c r="A447" s="47" t="n">
        <v>30</v>
      </c>
      <c r="B447" s="38" t="n">
        <f aca="false">助手回款!$B31</f>
        <v>2043</v>
      </c>
      <c r="C447" s="48" t="str">
        <f aca="false">助手回款!$C31</f>
        <v>博福店</v>
      </c>
      <c r="D447" s="48" t="str">
        <f aca="false">科目对照回款!$B12&amp;""</f>
        <v>亲情卡</v>
      </c>
      <c r="E447" s="48" t="str">
        <f aca="false">科目对照回款!$C12&amp;""</f>
        <v>应收账款</v>
      </c>
      <c r="F447" s="48" t="str">
        <f aca="false">科目对照回款!$D12&amp;""</f>
        <v>亲情卡</v>
      </c>
      <c r="G447" s="49" t="n">
        <f aca="false">-ROUND(IF(科目对照回款!$F$12="",0,SUMIFS(输入回款!$C:$C,输入回款!$A:$A,助手回款!$X31,输入回款!$B:$B,科目对照回款!$F$12)+SUMIFS(输入回款!$D:$D,输入回款!$A:$A,助手回款!$X31,输入回款!$B:$B,科目对照回款!$F$12))+IF(科目对照回款!$G$12="",0,SUMIFS(输入回款!$C:$C,输入回款!$A:$A,助手回款!$X31,输入回款!$B:$B,科目对照回款!$G$12)+SUMIFS(输入回款!$D:$D,输入回款!$A:$A,助手回款!$X31,输入回款!$B:$B,科目对照回款!$G$12))+IF(科目对照回款!$H$12="",0,SUMIFS(输入回款!$C:$C,输入回款!$A:$A,助手回款!$X31,输入回款!$B:$B,科目对照回款!$H$12)+SUMIFS(输入回款!$D:$D,输入回款!$A:$A,助手回款!$X31,输入回款!$B:$B,科目对照回款!$H$12)),2)</f>
        <v>-0</v>
      </c>
      <c r="H447" s="49" t="str">
        <f aca="false">IF(ROUND($G447,2)&gt;0,ROUND($G447,2),"")</f>
        <v/>
      </c>
      <c r="I447" s="49" t="str">
        <f aca="false">IF(ROUND($G447,2)&lt;0,-ROUND($G447,2),"")</f>
        <v/>
      </c>
      <c r="J447" s="20" t="n">
        <f aca="false">IF(ROUND($G447,2)=0,0,1)</f>
        <v>0</v>
      </c>
      <c r="K447" s="20" t="str">
        <f aca="false">IF($J447=0,"",SUM($J$437:$J447))</f>
        <v/>
      </c>
      <c r="L447" s="20" t="str">
        <f aca="false">IF($K447="","",$A447*100+$K447)</f>
        <v/>
      </c>
      <c r="M447" s="48" t="str">
        <f aca="false">参数!$B$4</f>
        <v>回款</v>
      </c>
    </row>
    <row r="448" customFormat="false" ht="13.5" hidden="false" customHeight="false" outlineLevel="0" collapsed="false">
      <c r="A448" s="47" t="n">
        <v>30</v>
      </c>
      <c r="B448" s="38" t="n">
        <f aca="false">助手回款!$B31</f>
        <v>2043</v>
      </c>
      <c r="C448" s="48" t="str">
        <f aca="false">助手回款!$C31</f>
        <v>博福店</v>
      </c>
      <c r="D448" s="48" t="str">
        <f aca="false">科目对照回款!$B13&amp;""</f>
        <v>银联</v>
      </c>
      <c r="E448" s="48" t="str">
        <f aca="false">科目对照回款!$C13&amp;""</f>
        <v>应收账款</v>
      </c>
      <c r="F448" s="48" t="str">
        <f aca="false">科目对照回款!$D13&amp;""</f>
        <v>银联</v>
      </c>
      <c r="G448" s="49" t="n">
        <f aca="false">-ROUND(IF(科目对照回款!$F$13="",0,SUMIFS(输入回款!$C:$C,输入回款!$A:$A,助手回款!$X31,输入回款!$B:$B,科目对照回款!$F$13)+SUMIFS(输入回款!$D:$D,输入回款!$A:$A,助手回款!$X31,输入回款!$B:$B,科目对照回款!$F$13))+IF(科目对照回款!$G$13="",0,SUMIFS(输入回款!$C:$C,输入回款!$A:$A,助手回款!$X31,输入回款!$B:$B,科目对照回款!$G$13)+SUMIFS(输入回款!$D:$D,输入回款!$A:$A,助手回款!$X31,输入回款!$B:$B,科目对照回款!$G$13))+IF(科目对照回款!$H$13="",0,SUMIFS(输入回款!$C:$C,输入回款!$A:$A,助手回款!$X31,输入回款!$B:$B,科目对照回款!$H$13)+SUMIFS(输入回款!$D:$D,输入回款!$A:$A,助手回款!$X31,输入回款!$B:$B,科目对照回款!$H$13)),2)</f>
        <v>-0</v>
      </c>
      <c r="H448" s="49" t="str">
        <f aca="false">IF(ROUND($G448,2)&gt;0,ROUND($G448,2),"")</f>
        <v/>
      </c>
      <c r="I448" s="49" t="str">
        <f aca="false">IF(ROUND($G448,2)&lt;0,-ROUND($G448,2),"")</f>
        <v/>
      </c>
      <c r="J448" s="20" t="n">
        <f aca="false">IF(ROUND($G448,2)=0,0,1)</f>
        <v>0</v>
      </c>
      <c r="K448" s="20" t="str">
        <f aca="false">IF($J448=0,"",SUM($J$437:$J448))</f>
        <v/>
      </c>
      <c r="L448" s="20" t="str">
        <f aca="false">IF($K448="","",$A448*100+$K448)</f>
        <v/>
      </c>
      <c r="M448" s="48" t="str">
        <f aca="false">参数!$B$4</f>
        <v>回款</v>
      </c>
    </row>
    <row r="449" customFormat="false" ht="13.5" hidden="false" customHeight="false" outlineLevel="0" collapsed="false">
      <c r="A449" s="47" t="n">
        <v>30</v>
      </c>
      <c r="B449" s="38" t="n">
        <f aca="false">助手回款!$B31</f>
        <v>2043</v>
      </c>
      <c r="C449" s="48" t="str">
        <f aca="false">助手回款!$C31</f>
        <v>博福店</v>
      </c>
      <c r="D449" s="48" t="str">
        <f aca="false">科目对照回款!$B14&amp;""</f>
        <v>代金券</v>
      </c>
      <c r="E449" s="48" t="str">
        <f aca="false">科目对照回款!$C14&amp;""</f>
        <v>应收账款</v>
      </c>
      <c r="F449" s="48" t="str">
        <f aca="false">科目对照回款!$D14&amp;""</f>
        <v>代金券</v>
      </c>
      <c r="G449" s="49" t="n">
        <f aca="false">-ROUND(IF(科目对照回款!$F$14="",0,SUMIFS(输入回款!$C:$C,输入回款!$A:$A,助手回款!$X31,输入回款!$B:$B,科目对照回款!$F$14)+SUMIFS(输入回款!$D:$D,输入回款!$A:$A,助手回款!$X31,输入回款!$B:$B,科目对照回款!$F$14))+IF(科目对照回款!$G$14="",0,SUMIFS(输入回款!$C:$C,输入回款!$A:$A,助手回款!$X31,输入回款!$B:$B,科目对照回款!$G$14)+SUMIFS(输入回款!$D:$D,输入回款!$A:$A,助手回款!$X31,输入回款!$B:$B,科目对照回款!$G$14))+IF(科目对照回款!$H$14="",0,SUMIFS(输入回款!$C:$C,输入回款!$A:$A,助手回款!$X31,输入回款!$B:$B,科目对照回款!$H$14)+SUMIFS(输入回款!$D:$D,输入回款!$A:$A,助手回款!$X31,输入回款!$B:$B,科目对照回款!$H$14)),2)</f>
        <v>-0</v>
      </c>
      <c r="H449" s="49" t="str">
        <f aca="false">IF(ROUND($G449,2)&gt;0,ROUND($G449,2),"")</f>
        <v/>
      </c>
      <c r="I449" s="49" t="str">
        <f aca="false">IF(ROUND($G449,2)&lt;0,-ROUND($G449,2),"")</f>
        <v/>
      </c>
      <c r="J449" s="20" t="n">
        <f aca="false">IF(ROUND($G449,2)=0,0,1)</f>
        <v>0</v>
      </c>
      <c r="K449" s="20" t="str">
        <f aca="false">IF($J449=0,"",SUM($J$437:$J449))</f>
        <v/>
      </c>
      <c r="L449" s="20" t="str">
        <f aca="false">IF($K449="","",$A449*100+$K449)</f>
        <v/>
      </c>
      <c r="M449" s="48" t="str">
        <f aca="false">参数!$B$4</f>
        <v>回款</v>
      </c>
    </row>
    <row r="450" customFormat="false" ht="13.5" hidden="false" customHeight="false" outlineLevel="0" collapsed="false">
      <c r="A450" s="47" t="n">
        <v>30</v>
      </c>
      <c r="B450" s="38" t="n">
        <f aca="false">助手回款!$B31</f>
        <v>2043</v>
      </c>
      <c r="C450" s="48" t="str">
        <f aca="false">助手回款!$C31</f>
        <v>博福店</v>
      </c>
      <c r="D450" s="48" t="str">
        <f aca="false">科目对照回款!$B15&amp;""</f>
        <v>药机微信</v>
      </c>
      <c r="E450" s="48" t="str">
        <f aca="false">科目对照回款!$C15&amp;""</f>
        <v>应收账款</v>
      </c>
      <c r="F450" s="48" t="str">
        <f aca="false">科目对照回款!$D15&amp;""</f>
        <v>药机微信</v>
      </c>
      <c r="G450" s="49" t="n">
        <f aca="false">-ROUND(IF(科目对照回款!$F$15="",0,SUMIFS(输入回款!$C:$C,输入回款!$A:$A,助手回款!$X31,输入回款!$B:$B,科目对照回款!$F$15)+SUMIFS(输入回款!$D:$D,输入回款!$A:$A,助手回款!$X31,输入回款!$B:$B,科目对照回款!$F$15))+IF(科目对照回款!$G$15="",0,SUMIFS(输入回款!$C:$C,输入回款!$A:$A,助手回款!$X31,输入回款!$B:$B,科目对照回款!$G$15)+SUMIFS(输入回款!$D:$D,输入回款!$A:$A,助手回款!$X31,输入回款!$B:$B,科目对照回款!$G$15))+IF(科目对照回款!$H$15="",0,SUMIFS(输入回款!$C:$C,输入回款!$A:$A,助手回款!$X31,输入回款!$B:$B,科目对照回款!$H$15)+SUMIFS(输入回款!$D:$D,输入回款!$A:$A,助手回款!$X31,输入回款!$B:$B,科目对照回款!$H$15)),2)</f>
        <v>-0</v>
      </c>
      <c r="H450" s="49" t="str">
        <f aca="false">IF(ROUND($G450,2)&gt;0,ROUND($G450,2),"")</f>
        <v/>
      </c>
      <c r="I450" s="49" t="str">
        <f aca="false">IF(ROUND($G450,2)&lt;0,-ROUND($G450,2),"")</f>
        <v/>
      </c>
      <c r="J450" s="20" t="n">
        <f aca="false">IF(ROUND($G450,2)=0,0,1)</f>
        <v>0</v>
      </c>
      <c r="K450" s="20" t="str">
        <f aca="false">IF($J450=0,"",SUM($J$437:$J450))</f>
        <v/>
      </c>
      <c r="L450" s="20" t="str">
        <f aca="false">IF($K450="","",$A450*100+$K450)</f>
        <v/>
      </c>
      <c r="M450" s="48" t="str">
        <f aca="false">参数!$B$4</f>
        <v>回款</v>
      </c>
    </row>
    <row r="451" customFormat="false" ht="13.5" hidden="false" customHeight="false" outlineLevel="0" collapsed="false">
      <c r="A451" s="47" t="n">
        <v>30</v>
      </c>
      <c r="B451" s="38" t="n">
        <f aca="false">助手回款!$B31</f>
        <v>2043</v>
      </c>
      <c r="C451" s="48" t="str">
        <f aca="false">助手回款!$C31</f>
        <v>博福店</v>
      </c>
      <c r="D451" s="48" t="str">
        <f aca="false">科目对照回款!$B16&amp;""</f>
        <v>储值卡</v>
      </c>
      <c r="E451" s="48" t="str">
        <f aca="false">科目对照回款!$C16&amp;""</f>
        <v>其他应收款</v>
      </c>
      <c r="F451" s="48" t="str">
        <f aca="false">科目对照回款!$D16&amp;""</f>
        <v>储值卡</v>
      </c>
      <c r="G451" s="49" t="n">
        <f aca="false">-ROUND(IF(科目对照回款!$F$16="",0,SUMIFS(输入回款!$C:$C,输入回款!$A:$A,助手回款!$X31,输入回款!$B:$B,科目对照回款!$F$16)+SUMIFS(输入回款!$D:$D,输入回款!$A:$A,助手回款!$X31,输入回款!$B:$B,科目对照回款!$F$16))+IF(科目对照回款!$G$16="",0,SUMIFS(输入回款!$C:$C,输入回款!$A:$A,助手回款!$X31,输入回款!$B:$B,科目对照回款!$G$16)+SUMIFS(输入回款!$D:$D,输入回款!$A:$A,助手回款!$X31,输入回款!$B:$B,科目对照回款!$G$16))+IF(科目对照回款!$H$16="",0,SUMIFS(输入回款!$C:$C,输入回款!$A:$A,助手回款!$X31,输入回款!$B:$B,科目对照回款!$H$16)+SUMIFS(输入回款!$D:$D,输入回款!$A:$A,助手回款!$X31,输入回款!$B:$B,科目对照回款!$H$16)),2)</f>
        <v>-0</v>
      </c>
      <c r="H451" s="49" t="str">
        <f aca="false">IF(ROUND($G451,2)&gt;0,ROUND($G451,2),"")</f>
        <v/>
      </c>
      <c r="I451" s="49" t="str">
        <f aca="false">IF(ROUND($G451,2)&lt;0,-ROUND($G451,2),"")</f>
        <v/>
      </c>
      <c r="J451" s="20" t="n">
        <f aca="false">IF(ROUND($G451,2)=0,0,1)</f>
        <v>0</v>
      </c>
      <c r="K451" s="20" t="str">
        <f aca="false">IF($J451=0,"",SUM($J$437:$J451))</f>
        <v/>
      </c>
      <c r="L451" s="20" t="str">
        <f aca="false">IF($K451="","",$A451*100+$K451)</f>
        <v/>
      </c>
      <c r="M451" s="48" t="str">
        <f aca="false">参数!$B$4</f>
        <v>回款</v>
      </c>
    </row>
    <row r="452" customFormat="false" ht="13.5" hidden="false" customHeight="false" outlineLevel="0" collapsed="false">
      <c r="A452" s="47" t="n">
        <v>31</v>
      </c>
      <c r="B452" s="38" t="n">
        <f aca="false">助手回款!$B32</f>
        <v>2044</v>
      </c>
      <c r="C452" s="48" t="str">
        <f aca="false">助手回款!$C32</f>
        <v>博营店</v>
      </c>
      <c r="D452" s="48" t="str">
        <f aca="false">科目对照回款!$B2&amp;""</f>
        <v>库存现金</v>
      </c>
      <c r="E452" s="48" t="str">
        <f aca="false">科目对照回款!$C2&amp;""</f>
        <v>库存现金</v>
      </c>
      <c r="F452" s="48" t="str">
        <f aca="false">科目对照回款!$D2&amp;""</f>
        <v/>
      </c>
      <c r="G452" s="49" t="n">
        <f aca="false">助手回款!$E32</f>
        <v>25828.82</v>
      </c>
      <c r="H452" s="49" t="n">
        <f aca="false">IF(ROUND($G452,2)&gt;0,ROUND($G452,2),"")</f>
        <v>25828.82</v>
      </c>
      <c r="I452" s="49" t="str">
        <f aca="false">IF(ROUND($G452,2)&lt;0,-ROUND($G452,2),"")</f>
        <v/>
      </c>
      <c r="J452" s="20" t="n">
        <f aca="false">IF(ROUND($G452,2)=0,0,1)</f>
        <v>1</v>
      </c>
      <c r="K452" s="20" t="n">
        <f aca="false">IF($J452=0,"",SUM($J$452:$J452))</f>
        <v>1</v>
      </c>
      <c r="L452" s="20" t="n">
        <f aca="false">IF($K452="","",$A452*100+$K452)</f>
        <v>3101</v>
      </c>
      <c r="M452" s="48" t="str">
        <f aca="false">参数!$B$4</f>
        <v>回款</v>
      </c>
    </row>
    <row r="453" customFormat="false" ht="13.5" hidden="false" customHeight="false" outlineLevel="0" collapsed="false">
      <c r="A453" s="47" t="n">
        <v>31</v>
      </c>
      <c r="B453" s="38" t="n">
        <f aca="false">助手回款!$B32</f>
        <v>2044</v>
      </c>
      <c r="C453" s="48" t="str">
        <f aca="false">助手回款!$C32</f>
        <v>博营店</v>
      </c>
      <c r="D453" s="48" t="str">
        <f aca="false">科目对照回款!$B3&amp;""</f>
        <v>手续费</v>
      </c>
      <c r="E453" s="48" t="str">
        <f aca="false">科目对照回款!$C3&amp;""</f>
        <v>财务费用</v>
      </c>
      <c r="F453" s="48" t="str">
        <f aca="false">科目对照回款!$D3&amp;""</f>
        <v>手续费</v>
      </c>
      <c r="G453" s="49" t="n">
        <f aca="false">助手回款!$F32</f>
        <v>0</v>
      </c>
      <c r="H453" s="49" t="str">
        <f aca="false">IF(ROUND($G453,2)&gt;0,ROUND($G453,2),"")</f>
        <v/>
      </c>
      <c r="I453" s="49" t="str">
        <f aca="false">IF(ROUND($G453,2)&lt;0,-ROUND($G453,2),"")</f>
        <v/>
      </c>
      <c r="J453" s="20" t="n">
        <f aca="false">IF(ROUND($G453,2)=0,0,1)</f>
        <v>0</v>
      </c>
      <c r="K453" s="20" t="str">
        <f aca="false">IF($J453=0,"",SUM($J$452:$J453))</f>
        <v/>
      </c>
      <c r="L453" s="20" t="str">
        <f aca="false">IF($K453="","",$A453*100+$K453)</f>
        <v/>
      </c>
      <c r="M453" s="48" t="str">
        <f aca="false">参数!$B$4</f>
        <v>回款</v>
      </c>
    </row>
    <row r="454" customFormat="false" ht="13.5" hidden="false" customHeight="false" outlineLevel="0" collapsed="false">
      <c r="A454" s="47" t="n">
        <v>31</v>
      </c>
      <c r="B454" s="38" t="n">
        <f aca="false">助手回款!$B32</f>
        <v>2044</v>
      </c>
      <c r="C454" s="48" t="str">
        <f aca="false">助手回款!$C32</f>
        <v>博营店</v>
      </c>
      <c r="D454" s="48" t="str">
        <f aca="false">科目对照回款!$B4&amp;""</f>
        <v>聚合支付</v>
      </c>
      <c r="E454" s="48" t="str">
        <f aca="false">科目对照回款!$C4&amp;""</f>
        <v>应收账款</v>
      </c>
      <c r="F454" s="48" t="str">
        <f aca="false">科目对照回款!$D4&amp;""</f>
        <v>聚合支付</v>
      </c>
      <c r="G454" s="49" t="n">
        <f aca="false">-ROUND(IF(科目对照回款!$F$4="",0,SUMIFS(输入回款!$C:$C,输入回款!$A:$A,助手回款!$X32,输入回款!$B:$B,科目对照回款!$F$4)+SUMIFS(输入回款!$D:$D,输入回款!$A:$A,助手回款!$X32,输入回款!$B:$B,科目对照回款!$F$4))+IF(科目对照回款!$G$4="",0,SUMIFS(输入回款!$C:$C,输入回款!$A:$A,助手回款!$X32,输入回款!$B:$B,科目对照回款!$G$4)+SUMIFS(输入回款!$D:$D,输入回款!$A:$A,助手回款!$X32,输入回款!$B:$B,科目对照回款!$G$4))+IF(科目对照回款!$H$4="",0,SUMIFS(输入回款!$C:$C,输入回款!$A:$A,助手回款!$X32,输入回款!$B:$B,科目对照回款!$H$4)+SUMIFS(输入回款!$D:$D,输入回款!$A:$A,助手回款!$X32,输入回款!$B:$B,科目对照回款!$H$4)),2)</f>
        <v>-25828.82</v>
      </c>
      <c r="H454" s="49" t="str">
        <f aca="false">IF(ROUND($G454,2)&gt;0,ROUND($G454,2),"")</f>
        <v/>
      </c>
      <c r="I454" s="49" t="n">
        <f aca="false">IF(ROUND($G454,2)&lt;0,-ROUND($G454,2),"")</f>
        <v>25828.82</v>
      </c>
      <c r="J454" s="20" t="n">
        <f aca="false">IF(ROUND($G454,2)=0,0,1)</f>
        <v>1</v>
      </c>
      <c r="K454" s="20" t="n">
        <f aca="false">IF($J454=0,"",SUM($J$452:$J454))</f>
        <v>2</v>
      </c>
      <c r="L454" s="20" t="n">
        <f aca="false">IF($K454="","",$A454*100+$K454)</f>
        <v>3102</v>
      </c>
      <c r="M454" s="48" t="str">
        <f aca="false">参数!$B$4</f>
        <v>回款</v>
      </c>
    </row>
    <row r="455" customFormat="false" ht="13.5" hidden="false" customHeight="false" outlineLevel="0" collapsed="false">
      <c r="A455" s="47" t="n">
        <v>31</v>
      </c>
      <c r="B455" s="38" t="n">
        <f aca="false">助手回款!$B32</f>
        <v>2044</v>
      </c>
      <c r="C455" s="48" t="str">
        <f aca="false">助手回款!$C32</f>
        <v>博营店</v>
      </c>
      <c r="D455" s="48" t="str">
        <f aca="false">科目对照回款!$B5&amp;""</f>
        <v>医保</v>
      </c>
      <c r="E455" s="48" t="str">
        <f aca="false">科目对照回款!$C5&amp;""</f>
        <v>应收账款</v>
      </c>
      <c r="F455" s="48" t="str">
        <f aca="false">科目对照回款!$D5&amp;""</f>
        <v>医保</v>
      </c>
      <c r="G455" s="49" t="n">
        <f aca="false">-ROUND(IF(科目对照回款!$F$5="",0,SUMIFS(输入回款!$C:$C,输入回款!$A:$A,助手回款!$X32,输入回款!$B:$B,科目对照回款!$F$5)+SUMIFS(输入回款!$D:$D,输入回款!$A:$A,助手回款!$X32,输入回款!$B:$B,科目对照回款!$F$5))+IF(科目对照回款!$G$5="",0,SUMIFS(输入回款!$C:$C,输入回款!$A:$A,助手回款!$X32,输入回款!$B:$B,科目对照回款!$G$5)+SUMIFS(输入回款!$D:$D,输入回款!$A:$A,助手回款!$X32,输入回款!$B:$B,科目对照回款!$G$5))+IF(科目对照回款!$H$5="",0,SUMIFS(输入回款!$C:$C,输入回款!$A:$A,助手回款!$X32,输入回款!$B:$B,科目对照回款!$H$5)+SUMIFS(输入回款!$D:$D,输入回款!$A:$A,助手回款!$X32,输入回款!$B:$B,科目对照回款!$H$5)),2)</f>
        <v>-0</v>
      </c>
      <c r="H455" s="49" t="str">
        <f aca="false">IF(ROUND($G455,2)&gt;0,ROUND($G455,2),"")</f>
        <v/>
      </c>
      <c r="I455" s="49" t="str">
        <f aca="false">IF(ROUND($G455,2)&lt;0,-ROUND($G455,2),"")</f>
        <v/>
      </c>
      <c r="J455" s="20" t="n">
        <f aca="false">IF(ROUND($G455,2)=0,0,1)</f>
        <v>0</v>
      </c>
      <c r="K455" s="20" t="str">
        <f aca="false">IF($J455=0,"",SUM($J$452:$J455))</f>
        <v/>
      </c>
      <c r="L455" s="20" t="str">
        <f aca="false">IF($K455="","",$A455*100+$K455)</f>
        <v/>
      </c>
      <c r="M455" s="48" t="str">
        <f aca="false">参数!$B$4</f>
        <v>回款</v>
      </c>
    </row>
    <row r="456" customFormat="false" ht="13.5" hidden="false" customHeight="false" outlineLevel="0" collapsed="false">
      <c r="A456" s="47" t="n">
        <v>31</v>
      </c>
      <c r="B456" s="38" t="n">
        <f aca="false">助手回款!$B32</f>
        <v>2044</v>
      </c>
      <c r="C456" s="48" t="str">
        <f aca="false">助手回款!$C32</f>
        <v>博营店</v>
      </c>
      <c r="D456" s="48" t="str">
        <f aca="false">科目对照回款!$B6&amp;""</f>
        <v>美团</v>
      </c>
      <c r="E456" s="48" t="str">
        <f aca="false">科目对照回款!$C6&amp;""</f>
        <v>应收账款</v>
      </c>
      <c r="F456" s="48" t="str">
        <f aca="false">科目对照回款!$D6&amp;""</f>
        <v>美团</v>
      </c>
      <c r="G456" s="49" t="n">
        <f aca="false">-ROUND(IF(科目对照回款!$F$6="",0,SUMIFS(输入回款!$C:$C,输入回款!$A:$A,助手回款!$X32,输入回款!$B:$B,科目对照回款!$F$6)+SUMIFS(输入回款!$D:$D,输入回款!$A:$A,助手回款!$X32,输入回款!$B:$B,科目对照回款!$F$6))+IF(科目对照回款!$G$6="",0,SUMIFS(输入回款!$C:$C,输入回款!$A:$A,助手回款!$X32,输入回款!$B:$B,科目对照回款!$G$6)+SUMIFS(输入回款!$D:$D,输入回款!$A:$A,助手回款!$X32,输入回款!$B:$B,科目对照回款!$G$6))+IF(科目对照回款!$H$6="",0,SUMIFS(输入回款!$C:$C,输入回款!$A:$A,助手回款!$X32,输入回款!$B:$B,科目对照回款!$H$6)+SUMIFS(输入回款!$D:$D,输入回款!$A:$A,助手回款!$X32,输入回款!$B:$B,科目对照回款!$H$6)),2)</f>
        <v>-0</v>
      </c>
      <c r="H456" s="49" t="str">
        <f aca="false">IF(ROUND($G456,2)&gt;0,ROUND($G456,2),"")</f>
        <v/>
      </c>
      <c r="I456" s="49" t="str">
        <f aca="false">IF(ROUND($G456,2)&lt;0,-ROUND($G456,2),"")</f>
        <v/>
      </c>
      <c r="J456" s="20" t="n">
        <f aca="false">IF(ROUND($G456,2)=0,0,1)</f>
        <v>0</v>
      </c>
      <c r="K456" s="20" t="str">
        <f aca="false">IF($J456=0,"",SUM($J$452:$J456))</f>
        <v/>
      </c>
      <c r="L456" s="20" t="str">
        <f aca="false">IF($K456="","",$A456*100+$K456)</f>
        <v/>
      </c>
      <c r="M456" s="48" t="str">
        <f aca="false">参数!$B$4</f>
        <v>回款</v>
      </c>
    </row>
    <row r="457" customFormat="false" ht="13.5" hidden="false" customHeight="false" outlineLevel="0" collapsed="false">
      <c r="A457" s="47" t="n">
        <v>31</v>
      </c>
      <c r="B457" s="38" t="n">
        <f aca="false">助手回款!$B32</f>
        <v>2044</v>
      </c>
      <c r="C457" s="48" t="str">
        <f aca="false">助手回款!$C32</f>
        <v>博营店</v>
      </c>
      <c r="D457" s="48" t="str">
        <f aca="false">科目对照回款!$B7&amp;""</f>
        <v>饿了么</v>
      </c>
      <c r="E457" s="48" t="str">
        <f aca="false">科目对照回款!$C7&amp;""</f>
        <v>应收账款</v>
      </c>
      <c r="F457" s="48" t="str">
        <f aca="false">科目对照回款!$D7&amp;""</f>
        <v>饿了么</v>
      </c>
      <c r="G457" s="49" t="n">
        <f aca="false">-ROUND(IF(科目对照回款!$F$7="",0,SUMIFS(输入回款!$C:$C,输入回款!$A:$A,助手回款!$X32,输入回款!$B:$B,科目对照回款!$F$7)+SUMIFS(输入回款!$D:$D,输入回款!$A:$A,助手回款!$X32,输入回款!$B:$B,科目对照回款!$F$7))+IF(科目对照回款!$G$7="",0,SUMIFS(输入回款!$C:$C,输入回款!$A:$A,助手回款!$X32,输入回款!$B:$B,科目对照回款!$G$7)+SUMIFS(输入回款!$D:$D,输入回款!$A:$A,助手回款!$X32,输入回款!$B:$B,科目对照回款!$G$7))+IF(科目对照回款!$H$7="",0,SUMIFS(输入回款!$C:$C,输入回款!$A:$A,助手回款!$X32,输入回款!$B:$B,科目对照回款!$H$7)+SUMIFS(输入回款!$D:$D,输入回款!$A:$A,助手回款!$X32,输入回款!$B:$B,科目对照回款!$H$7)),2)</f>
        <v>-0</v>
      </c>
      <c r="H457" s="49" t="str">
        <f aca="false">IF(ROUND($G457,2)&gt;0,ROUND($G457,2),"")</f>
        <v/>
      </c>
      <c r="I457" s="49" t="str">
        <f aca="false">IF(ROUND($G457,2)&lt;0,-ROUND($G457,2),"")</f>
        <v/>
      </c>
      <c r="J457" s="20" t="n">
        <f aca="false">IF(ROUND($G457,2)=0,0,1)</f>
        <v>0</v>
      </c>
      <c r="K457" s="20" t="str">
        <f aca="false">IF($J457=0,"",SUM($J$452:$J457))</f>
        <v/>
      </c>
      <c r="L457" s="20" t="str">
        <f aca="false">IF($K457="","",$A457*100+$K457)</f>
        <v/>
      </c>
      <c r="M457" s="48" t="str">
        <f aca="false">参数!$B$4</f>
        <v>回款</v>
      </c>
    </row>
    <row r="458" customFormat="false" ht="13.5" hidden="false" customHeight="false" outlineLevel="0" collapsed="false">
      <c r="A458" s="47" t="n">
        <v>31</v>
      </c>
      <c r="B458" s="38" t="n">
        <f aca="false">助手回款!$B32</f>
        <v>2044</v>
      </c>
      <c r="C458" s="48" t="str">
        <f aca="false">助手回款!$C32</f>
        <v>博营店</v>
      </c>
      <c r="D458" s="48" t="str">
        <f aca="false">科目对照回款!$B8&amp;""</f>
        <v>24小时</v>
      </c>
      <c r="E458" s="48" t="str">
        <f aca="false">科目对照回款!$C8&amp;""</f>
        <v>应收账款</v>
      </c>
      <c r="F458" s="48" t="str">
        <f aca="false">科目对照回款!$D8&amp;""</f>
        <v>24小时</v>
      </c>
      <c r="G458" s="49" t="n">
        <f aca="false">-ROUND(IF(科目对照回款!$F$8="",0,SUMIFS(输入回款!$C:$C,输入回款!$A:$A,助手回款!$X32,输入回款!$B:$B,科目对照回款!$F$8)+SUMIFS(输入回款!$D:$D,输入回款!$A:$A,助手回款!$X32,输入回款!$B:$B,科目对照回款!$F$8))+IF(科目对照回款!$G$8="",0,SUMIFS(输入回款!$C:$C,输入回款!$A:$A,助手回款!$X32,输入回款!$B:$B,科目对照回款!$G$8)+SUMIFS(输入回款!$D:$D,输入回款!$A:$A,助手回款!$X32,输入回款!$B:$B,科目对照回款!$G$8))+IF(科目对照回款!$H$8="",0,SUMIFS(输入回款!$C:$C,输入回款!$A:$A,助手回款!$X32,输入回款!$B:$B,科目对照回款!$H$8)+SUMIFS(输入回款!$D:$D,输入回款!$A:$A,助手回款!$X32,输入回款!$B:$B,科目对照回款!$H$8)),2)</f>
        <v>-0</v>
      </c>
      <c r="H458" s="49" t="str">
        <f aca="false">IF(ROUND($G458,2)&gt;0,ROUND($G458,2),"")</f>
        <v/>
      </c>
      <c r="I458" s="49" t="str">
        <f aca="false">IF(ROUND($G458,2)&lt;0,-ROUND($G458,2),"")</f>
        <v/>
      </c>
      <c r="J458" s="20" t="n">
        <f aca="false">IF(ROUND($G458,2)=0,0,1)</f>
        <v>0</v>
      </c>
      <c r="K458" s="20" t="str">
        <f aca="false">IF($J458=0,"",SUM($J$452:$J458))</f>
        <v/>
      </c>
      <c r="L458" s="20" t="str">
        <f aca="false">IF($K458="","",$A458*100+$K458)</f>
        <v/>
      </c>
      <c r="M458" s="48" t="str">
        <f aca="false">参数!$B$4</f>
        <v>回款</v>
      </c>
    </row>
    <row r="459" customFormat="false" ht="13.5" hidden="false" customHeight="false" outlineLevel="0" collapsed="false">
      <c r="A459" s="47" t="n">
        <v>31</v>
      </c>
      <c r="B459" s="38" t="n">
        <f aca="false">助手回款!$B32</f>
        <v>2044</v>
      </c>
      <c r="C459" s="48" t="str">
        <f aca="false">助手回款!$C32</f>
        <v>博营店</v>
      </c>
      <c r="D459" s="48" t="str">
        <f aca="false">科目对照回款!$B9&amp;""</f>
        <v>健E卡</v>
      </c>
      <c r="E459" s="48" t="str">
        <f aca="false">科目对照回款!$C9&amp;""</f>
        <v>应收账款</v>
      </c>
      <c r="F459" s="48" t="str">
        <f aca="false">科目对照回款!$D9&amp;""</f>
        <v>健E卡</v>
      </c>
      <c r="G459" s="49" t="n">
        <f aca="false">-ROUND(IF(科目对照回款!$F$9="",0,SUMIFS(输入回款!$C:$C,输入回款!$A:$A,助手回款!$X32,输入回款!$B:$B,科目对照回款!$F$9)+SUMIFS(输入回款!$D:$D,输入回款!$A:$A,助手回款!$X32,输入回款!$B:$B,科目对照回款!$F$9))+IF(科目对照回款!$G$9="",0,SUMIFS(输入回款!$C:$C,输入回款!$A:$A,助手回款!$X32,输入回款!$B:$B,科目对照回款!$G$9)+SUMIFS(输入回款!$D:$D,输入回款!$A:$A,助手回款!$X32,输入回款!$B:$B,科目对照回款!$G$9))+IF(科目对照回款!$H$9="",0,SUMIFS(输入回款!$C:$C,输入回款!$A:$A,助手回款!$X32,输入回款!$B:$B,科目对照回款!$H$9)+SUMIFS(输入回款!$D:$D,输入回款!$A:$A,助手回款!$X32,输入回款!$B:$B,科目对照回款!$H$9)),2)</f>
        <v>-0</v>
      </c>
      <c r="H459" s="49" t="str">
        <f aca="false">IF(ROUND($G459,2)&gt;0,ROUND($G459,2),"")</f>
        <v/>
      </c>
      <c r="I459" s="49" t="str">
        <f aca="false">IF(ROUND($G459,2)&lt;0,-ROUND($G459,2),"")</f>
        <v/>
      </c>
      <c r="J459" s="20" t="n">
        <f aca="false">IF(ROUND($G459,2)=0,0,1)</f>
        <v>0</v>
      </c>
      <c r="K459" s="20" t="str">
        <f aca="false">IF($J459=0,"",SUM($J$452:$J459))</f>
        <v/>
      </c>
      <c r="L459" s="20" t="str">
        <f aca="false">IF($K459="","",$A459*100+$K459)</f>
        <v/>
      </c>
      <c r="M459" s="48" t="str">
        <f aca="false">参数!$B$4</f>
        <v>回款</v>
      </c>
    </row>
    <row r="460" customFormat="false" ht="13.5" hidden="false" customHeight="false" outlineLevel="0" collapsed="false">
      <c r="A460" s="47" t="n">
        <v>31</v>
      </c>
      <c r="B460" s="38" t="n">
        <f aca="false">助手回款!$B32</f>
        <v>2044</v>
      </c>
      <c r="C460" s="48" t="str">
        <f aca="false">助手回款!$C32</f>
        <v>博营店</v>
      </c>
      <c r="D460" s="48" t="str">
        <f aca="false">科目对照回款!$B10&amp;""</f>
        <v>医卡通</v>
      </c>
      <c r="E460" s="48" t="str">
        <f aca="false">科目对照回款!$C10&amp;""</f>
        <v>应收账款</v>
      </c>
      <c r="F460" s="48" t="str">
        <f aca="false">科目对照回款!$D10&amp;""</f>
        <v>医卡通</v>
      </c>
      <c r="G460" s="49" t="n">
        <f aca="false">-ROUND(IF(科目对照回款!$F$10="",0,SUMIFS(输入回款!$C:$C,输入回款!$A:$A,助手回款!$X32,输入回款!$B:$B,科目对照回款!$F$10)+SUMIFS(输入回款!$D:$D,输入回款!$A:$A,助手回款!$X32,输入回款!$B:$B,科目对照回款!$F$10))+IF(科目对照回款!$G$10="",0,SUMIFS(输入回款!$C:$C,输入回款!$A:$A,助手回款!$X32,输入回款!$B:$B,科目对照回款!$G$10)+SUMIFS(输入回款!$D:$D,输入回款!$A:$A,助手回款!$X32,输入回款!$B:$B,科目对照回款!$G$10))+IF(科目对照回款!$H$10="",0,SUMIFS(输入回款!$C:$C,输入回款!$A:$A,助手回款!$X32,输入回款!$B:$B,科目对照回款!$H$10)+SUMIFS(输入回款!$D:$D,输入回款!$A:$A,助手回款!$X32,输入回款!$B:$B,科目对照回款!$H$10)),2)</f>
        <v>-0</v>
      </c>
      <c r="H460" s="49" t="str">
        <f aca="false">IF(ROUND($G460,2)&gt;0,ROUND($G460,2),"")</f>
        <v/>
      </c>
      <c r="I460" s="49" t="str">
        <f aca="false">IF(ROUND($G460,2)&lt;0,-ROUND($G460,2),"")</f>
        <v/>
      </c>
      <c r="J460" s="20" t="n">
        <f aca="false">IF(ROUND($G460,2)=0,0,1)</f>
        <v>0</v>
      </c>
      <c r="K460" s="20" t="str">
        <f aca="false">IF($J460=0,"",SUM($J$452:$J460))</f>
        <v/>
      </c>
      <c r="L460" s="20" t="str">
        <f aca="false">IF($K460="","",$A460*100+$K460)</f>
        <v/>
      </c>
      <c r="M460" s="48" t="str">
        <f aca="false">参数!$B$4</f>
        <v>回款</v>
      </c>
    </row>
    <row r="461" customFormat="false" ht="13.5" hidden="false" customHeight="false" outlineLevel="0" collapsed="false">
      <c r="A461" s="47" t="n">
        <v>31</v>
      </c>
      <c r="B461" s="38" t="n">
        <f aca="false">助手回款!$B32</f>
        <v>2044</v>
      </c>
      <c r="C461" s="48" t="str">
        <f aca="false">助手回款!$C32</f>
        <v>博营店</v>
      </c>
      <c r="D461" s="48" t="str">
        <f aca="false">科目对照回款!$B11&amp;""</f>
        <v>企健网</v>
      </c>
      <c r="E461" s="48" t="str">
        <f aca="false">科目对照回款!$C11&amp;""</f>
        <v>应收账款</v>
      </c>
      <c r="F461" s="48" t="str">
        <f aca="false">科目对照回款!$D11&amp;""</f>
        <v>企健网</v>
      </c>
      <c r="G461" s="49" t="n">
        <f aca="false">-ROUND(IF(科目对照回款!$F$11="",0,SUMIFS(输入回款!$C:$C,输入回款!$A:$A,助手回款!$X32,输入回款!$B:$B,科目对照回款!$F$11)+SUMIFS(输入回款!$D:$D,输入回款!$A:$A,助手回款!$X32,输入回款!$B:$B,科目对照回款!$F$11))+IF(科目对照回款!$G$11="",0,SUMIFS(输入回款!$C:$C,输入回款!$A:$A,助手回款!$X32,输入回款!$B:$B,科目对照回款!$G$11)+SUMIFS(输入回款!$D:$D,输入回款!$A:$A,助手回款!$X32,输入回款!$B:$B,科目对照回款!$G$11))+IF(科目对照回款!$H$11="",0,SUMIFS(输入回款!$C:$C,输入回款!$A:$A,助手回款!$X32,输入回款!$B:$B,科目对照回款!$H$11)+SUMIFS(输入回款!$D:$D,输入回款!$A:$A,助手回款!$X32,输入回款!$B:$B,科目对照回款!$H$11)),2)</f>
        <v>-0</v>
      </c>
      <c r="H461" s="49" t="str">
        <f aca="false">IF(ROUND($G461,2)&gt;0,ROUND($G461,2),"")</f>
        <v/>
      </c>
      <c r="I461" s="49" t="str">
        <f aca="false">IF(ROUND($G461,2)&lt;0,-ROUND($G461,2),"")</f>
        <v/>
      </c>
      <c r="J461" s="20" t="n">
        <f aca="false">IF(ROUND($G461,2)=0,0,1)</f>
        <v>0</v>
      </c>
      <c r="K461" s="20" t="str">
        <f aca="false">IF($J461=0,"",SUM($J$452:$J461))</f>
        <v/>
      </c>
      <c r="L461" s="20" t="str">
        <f aca="false">IF($K461="","",$A461*100+$K461)</f>
        <v/>
      </c>
      <c r="M461" s="48" t="str">
        <f aca="false">参数!$B$4</f>
        <v>回款</v>
      </c>
    </row>
    <row r="462" customFormat="false" ht="13.5" hidden="false" customHeight="false" outlineLevel="0" collapsed="false">
      <c r="A462" s="47" t="n">
        <v>31</v>
      </c>
      <c r="B462" s="38" t="n">
        <f aca="false">助手回款!$B32</f>
        <v>2044</v>
      </c>
      <c r="C462" s="48" t="str">
        <f aca="false">助手回款!$C32</f>
        <v>博营店</v>
      </c>
      <c r="D462" s="48" t="str">
        <f aca="false">科目对照回款!$B12&amp;""</f>
        <v>亲情卡</v>
      </c>
      <c r="E462" s="48" t="str">
        <f aca="false">科目对照回款!$C12&amp;""</f>
        <v>应收账款</v>
      </c>
      <c r="F462" s="48" t="str">
        <f aca="false">科目对照回款!$D12&amp;""</f>
        <v>亲情卡</v>
      </c>
      <c r="G462" s="49" t="n">
        <f aca="false">-ROUND(IF(科目对照回款!$F$12="",0,SUMIFS(输入回款!$C:$C,输入回款!$A:$A,助手回款!$X32,输入回款!$B:$B,科目对照回款!$F$12)+SUMIFS(输入回款!$D:$D,输入回款!$A:$A,助手回款!$X32,输入回款!$B:$B,科目对照回款!$F$12))+IF(科目对照回款!$G$12="",0,SUMIFS(输入回款!$C:$C,输入回款!$A:$A,助手回款!$X32,输入回款!$B:$B,科目对照回款!$G$12)+SUMIFS(输入回款!$D:$D,输入回款!$A:$A,助手回款!$X32,输入回款!$B:$B,科目对照回款!$G$12))+IF(科目对照回款!$H$12="",0,SUMIFS(输入回款!$C:$C,输入回款!$A:$A,助手回款!$X32,输入回款!$B:$B,科目对照回款!$H$12)+SUMIFS(输入回款!$D:$D,输入回款!$A:$A,助手回款!$X32,输入回款!$B:$B,科目对照回款!$H$12)),2)</f>
        <v>-0</v>
      </c>
      <c r="H462" s="49" t="str">
        <f aca="false">IF(ROUND($G462,2)&gt;0,ROUND($G462,2),"")</f>
        <v/>
      </c>
      <c r="I462" s="49" t="str">
        <f aca="false">IF(ROUND($G462,2)&lt;0,-ROUND($G462,2),"")</f>
        <v/>
      </c>
      <c r="J462" s="20" t="n">
        <f aca="false">IF(ROUND($G462,2)=0,0,1)</f>
        <v>0</v>
      </c>
      <c r="K462" s="20" t="str">
        <f aca="false">IF($J462=0,"",SUM($J$452:$J462))</f>
        <v/>
      </c>
      <c r="L462" s="20" t="str">
        <f aca="false">IF($K462="","",$A462*100+$K462)</f>
        <v/>
      </c>
      <c r="M462" s="48" t="str">
        <f aca="false">参数!$B$4</f>
        <v>回款</v>
      </c>
    </row>
    <row r="463" customFormat="false" ht="13.5" hidden="false" customHeight="false" outlineLevel="0" collapsed="false">
      <c r="A463" s="47" t="n">
        <v>31</v>
      </c>
      <c r="B463" s="38" t="n">
        <f aca="false">助手回款!$B32</f>
        <v>2044</v>
      </c>
      <c r="C463" s="48" t="str">
        <f aca="false">助手回款!$C32</f>
        <v>博营店</v>
      </c>
      <c r="D463" s="48" t="str">
        <f aca="false">科目对照回款!$B13&amp;""</f>
        <v>银联</v>
      </c>
      <c r="E463" s="48" t="str">
        <f aca="false">科目对照回款!$C13&amp;""</f>
        <v>应收账款</v>
      </c>
      <c r="F463" s="48" t="str">
        <f aca="false">科目对照回款!$D13&amp;""</f>
        <v>银联</v>
      </c>
      <c r="G463" s="49" t="n">
        <f aca="false">-ROUND(IF(科目对照回款!$F$13="",0,SUMIFS(输入回款!$C:$C,输入回款!$A:$A,助手回款!$X32,输入回款!$B:$B,科目对照回款!$F$13)+SUMIFS(输入回款!$D:$D,输入回款!$A:$A,助手回款!$X32,输入回款!$B:$B,科目对照回款!$F$13))+IF(科目对照回款!$G$13="",0,SUMIFS(输入回款!$C:$C,输入回款!$A:$A,助手回款!$X32,输入回款!$B:$B,科目对照回款!$G$13)+SUMIFS(输入回款!$D:$D,输入回款!$A:$A,助手回款!$X32,输入回款!$B:$B,科目对照回款!$G$13))+IF(科目对照回款!$H$13="",0,SUMIFS(输入回款!$C:$C,输入回款!$A:$A,助手回款!$X32,输入回款!$B:$B,科目对照回款!$H$13)+SUMIFS(输入回款!$D:$D,输入回款!$A:$A,助手回款!$X32,输入回款!$B:$B,科目对照回款!$H$13)),2)</f>
        <v>-0</v>
      </c>
      <c r="H463" s="49" t="str">
        <f aca="false">IF(ROUND($G463,2)&gt;0,ROUND($G463,2),"")</f>
        <v/>
      </c>
      <c r="I463" s="49" t="str">
        <f aca="false">IF(ROUND($G463,2)&lt;0,-ROUND($G463,2),"")</f>
        <v/>
      </c>
      <c r="J463" s="20" t="n">
        <f aca="false">IF(ROUND($G463,2)=0,0,1)</f>
        <v>0</v>
      </c>
      <c r="K463" s="20" t="str">
        <f aca="false">IF($J463=0,"",SUM($J$452:$J463))</f>
        <v/>
      </c>
      <c r="L463" s="20" t="str">
        <f aca="false">IF($K463="","",$A463*100+$K463)</f>
        <v/>
      </c>
      <c r="M463" s="48" t="str">
        <f aca="false">参数!$B$4</f>
        <v>回款</v>
      </c>
    </row>
    <row r="464" customFormat="false" ht="13.5" hidden="false" customHeight="false" outlineLevel="0" collapsed="false">
      <c r="A464" s="47" t="n">
        <v>31</v>
      </c>
      <c r="B464" s="38" t="n">
        <f aca="false">助手回款!$B32</f>
        <v>2044</v>
      </c>
      <c r="C464" s="48" t="str">
        <f aca="false">助手回款!$C32</f>
        <v>博营店</v>
      </c>
      <c r="D464" s="48" t="str">
        <f aca="false">科目对照回款!$B14&amp;""</f>
        <v>代金券</v>
      </c>
      <c r="E464" s="48" t="str">
        <f aca="false">科目对照回款!$C14&amp;""</f>
        <v>应收账款</v>
      </c>
      <c r="F464" s="48" t="str">
        <f aca="false">科目对照回款!$D14&amp;""</f>
        <v>代金券</v>
      </c>
      <c r="G464" s="49" t="n">
        <f aca="false">-ROUND(IF(科目对照回款!$F$14="",0,SUMIFS(输入回款!$C:$C,输入回款!$A:$A,助手回款!$X32,输入回款!$B:$B,科目对照回款!$F$14)+SUMIFS(输入回款!$D:$D,输入回款!$A:$A,助手回款!$X32,输入回款!$B:$B,科目对照回款!$F$14))+IF(科目对照回款!$G$14="",0,SUMIFS(输入回款!$C:$C,输入回款!$A:$A,助手回款!$X32,输入回款!$B:$B,科目对照回款!$G$14)+SUMIFS(输入回款!$D:$D,输入回款!$A:$A,助手回款!$X32,输入回款!$B:$B,科目对照回款!$G$14))+IF(科目对照回款!$H$14="",0,SUMIFS(输入回款!$C:$C,输入回款!$A:$A,助手回款!$X32,输入回款!$B:$B,科目对照回款!$H$14)+SUMIFS(输入回款!$D:$D,输入回款!$A:$A,助手回款!$X32,输入回款!$B:$B,科目对照回款!$H$14)),2)</f>
        <v>-0</v>
      </c>
      <c r="H464" s="49" t="str">
        <f aca="false">IF(ROUND($G464,2)&gt;0,ROUND($G464,2),"")</f>
        <v/>
      </c>
      <c r="I464" s="49" t="str">
        <f aca="false">IF(ROUND($G464,2)&lt;0,-ROUND($G464,2),"")</f>
        <v/>
      </c>
      <c r="J464" s="20" t="n">
        <f aca="false">IF(ROUND($G464,2)=0,0,1)</f>
        <v>0</v>
      </c>
      <c r="K464" s="20" t="str">
        <f aca="false">IF($J464=0,"",SUM($J$452:$J464))</f>
        <v/>
      </c>
      <c r="L464" s="20" t="str">
        <f aca="false">IF($K464="","",$A464*100+$K464)</f>
        <v/>
      </c>
      <c r="M464" s="48" t="str">
        <f aca="false">参数!$B$4</f>
        <v>回款</v>
      </c>
    </row>
    <row r="465" customFormat="false" ht="13.5" hidden="false" customHeight="false" outlineLevel="0" collapsed="false">
      <c r="A465" s="47" t="n">
        <v>31</v>
      </c>
      <c r="B465" s="38" t="n">
        <f aca="false">助手回款!$B32</f>
        <v>2044</v>
      </c>
      <c r="C465" s="48" t="str">
        <f aca="false">助手回款!$C32</f>
        <v>博营店</v>
      </c>
      <c r="D465" s="48" t="str">
        <f aca="false">科目对照回款!$B15&amp;""</f>
        <v>药机微信</v>
      </c>
      <c r="E465" s="48" t="str">
        <f aca="false">科目对照回款!$C15&amp;""</f>
        <v>应收账款</v>
      </c>
      <c r="F465" s="48" t="str">
        <f aca="false">科目对照回款!$D15&amp;""</f>
        <v>药机微信</v>
      </c>
      <c r="G465" s="49" t="n">
        <f aca="false">-ROUND(IF(科目对照回款!$F$15="",0,SUMIFS(输入回款!$C:$C,输入回款!$A:$A,助手回款!$X32,输入回款!$B:$B,科目对照回款!$F$15)+SUMIFS(输入回款!$D:$D,输入回款!$A:$A,助手回款!$X32,输入回款!$B:$B,科目对照回款!$F$15))+IF(科目对照回款!$G$15="",0,SUMIFS(输入回款!$C:$C,输入回款!$A:$A,助手回款!$X32,输入回款!$B:$B,科目对照回款!$G$15)+SUMIFS(输入回款!$D:$D,输入回款!$A:$A,助手回款!$X32,输入回款!$B:$B,科目对照回款!$G$15))+IF(科目对照回款!$H$15="",0,SUMIFS(输入回款!$C:$C,输入回款!$A:$A,助手回款!$X32,输入回款!$B:$B,科目对照回款!$H$15)+SUMIFS(输入回款!$D:$D,输入回款!$A:$A,助手回款!$X32,输入回款!$B:$B,科目对照回款!$H$15)),2)</f>
        <v>-0</v>
      </c>
      <c r="H465" s="49" t="str">
        <f aca="false">IF(ROUND($G465,2)&gt;0,ROUND($G465,2),"")</f>
        <v/>
      </c>
      <c r="I465" s="49" t="str">
        <f aca="false">IF(ROUND($G465,2)&lt;0,-ROUND($G465,2),"")</f>
        <v/>
      </c>
      <c r="J465" s="20" t="n">
        <f aca="false">IF(ROUND($G465,2)=0,0,1)</f>
        <v>0</v>
      </c>
      <c r="K465" s="20" t="str">
        <f aca="false">IF($J465=0,"",SUM($J$452:$J465))</f>
        <v/>
      </c>
      <c r="L465" s="20" t="str">
        <f aca="false">IF($K465="","",$A465*100+$K465)</f>
        <v/>
      </c>
      <c r="M465" s="48" t="str">
        <f aca="false">参数!$B$4</f>
        <v>回款</v>
      </c>
    </row>
    <row r="466" customFormat="false" ht="13.5" hidden="false" customHeight="false" outlineLevel="0" collapsed="false">
      <c r="A466" s="47" t="n">
        <v>31</v>
      </c>
      <c r="B466" s="38" t="n">
        <f aca="false">助手回款!$B32</f>
        <v>2044</v>
      </c>
      <c r="C466" s="48" t="str">
        <f aca="false">助手回款!$C32</f>
        <v>博营店</v>
      </c>
      <c r="D466" s="48" t="str">
        <f aca="false">科目对照回款!$B16&amp;""</f>
        <v>储值卡</v>
      </c>
      <c r="E466" s="48" t="str">
        <f aca="false">科目对照回款!$C16&amp;""</f>
        <v>其他应收款</v>
      </c>
      <c r="F466" s="48" t="str">
        <f aca="false">科目对照回款!$D16&amp;""</f>
        <v>储值卡</v>
      </c>
      <c r="G466" s="49" t="n">
        <f aca="false">-ROUND(IF(科目对照回款!$F$16="",0,SUMIFS(输入回款!$C:$C,输入回款!$A:$A,助手回款!$X32,输入回款!$B:$B,科目对照回款!$F$16)+SUMIFS(输入回款!$D:$D,输入回款!$A:$A,助手回款!$X32,输入回款!$B:$B,科目对照回款!$F$16))+IF(科目对照回款!$G$16="",0,SUMIFS(输入回款!$C:$C,输入回款!$A:$A,助手回款!$X32,输入回款!$B:$B,科目对照回款!$G$16)+SUMIFS(输入回款!$D:$D,输入回款!$A:$A,助手回款!$X32,输入回款!$B:$B,科目对照回款!$G$16))+IF(科目对照回款!$H$16="",0,SUMIFS(输入回款!$C:$C,输入回款!$A:$A,助手回款!$X32,输入回款!$B:$B,科目对照回款!$H$16)+SUMIFS(输入回款!$D:$D,输入回款!$A:$A,助手回款!$X32,输入回款!$B:$B,科目对照回款!$H$16)),2)</f>
        <v>-0</v>
      </c>
      <c r="H466" s="49" t="str">
        <f aca="false">IF(ROUND($G466,2)&gt;0,ROUND($G466,2),"")</f>
        <v/>
      </c>
      <c r="I466" s="49" t="str">
        <f aca="false">IF(ROUND($G466,2)&lt;0,-ROUND($G466,2),"")</f>
        <v/>
      </c>
      <c r="J466" s="20" t="n">
        <f aca="false">IF(ROUND($G466,2)=0,0,1)</f>
        <v>0</v>
      </c>
      <c r="K466" s="20" t="str">
        <f aca="false">IF($J466=0,"",SUM($J$452:$J466))</f>
        <v/>
      </c>
      <c r="L466" s="20" t="str">
        <f aca="false">IF($K466="","",$A466*100+$K466)</f>
        <v/>
      </c>
      <c r="M466" s="48" t="str">
        <f aca="false">参数!$B$4</f>
        <v>回款</v>
      </c>
    </row>
    <row r="467" customFormat="false" ht="13.5" hidden="false" customHeight="false" outlineLevel="0" collapsed="false">
      <c r="A467" s="47" t="n">
        <v>32</v>
      </c>
      <c r="B467" s="38" t="n">
        <f aca="false">助手回款!$B33</f>
        <v>2046</v>
      </c>
      <c r="C467" s="48" t="str">
        <f aca="false">助手回款!$C33</f>
        <v>博康店</v>
      </c>
      <c r="D467" s="48" t="str">
        <f aca="false">科目对照回款!$B2&amp;""</f>
        <v>库存现金</v>
      </c>
      <c r="E467" s="48" t="str">
        <f aca="false">科目对照回款!$C2&amp;""</f>
        <v>库存现金</v>
      </c>
      <c r="F467" s="48" t="str">
        <f aca="false">科目对照回款!$D2&amp;""</f>
        <v/>
      </c>
      <c r="G467" s="49" t="n">
        <f aca="false">助手回款!$E33</f>
        <v>23497.92</v>
      </c>
      <c r="H467" s="49" t="n">
        <f aca="false">IF(ROUND($G467,2)&gt;0,ROUND($G467,2),"")</f>
        <v>23497.92</v>
      </c>
      <c r="I467" s="49" t="str">
        <f aca="false">IF(ROUND($G467,2)&lt;0,-ROUND($G467,2),"")</f>
        <v/>
      </c>
      <c r="J467" s="20" t="n">
        <f aca="false">IF(ROUND($G467,2)=0,0,1)</f>
        <v>1</v>
      </c>
      <c r="K467" s="20" t="n">
        <f aca="false">IF($J467=0,"",SUM($J$467:$J467))</f>
        <v>1</v>
      </c>
      <c r="L467" s="20" t="n">
        <f aca="false">IF($K467="","",$A467*100+$K467)</f>
        <v>3201</v>
      </c>
      <c r="M467" s="48" t="str">
        <f aca="false">参数!$B$4</f>
        <v>回款</v>
      </c>
    </row>
    <row r="468" customFormat="false" ht="13.5" hidden="false" customHeight="false" outlineLevel="0" collapsed="false">
      <c r="A468" s="47" t="n">
        <v>32</v>
      </c>
      <c r="B468" s="38" t="n">
        <f aca="false">助手回款!$B33</f>
        <v>2046</v>
      </c>
      <c r="C468" s="48" t="str">
        <f aca="false">助手回款!$C33</f>
        <v>博康店</v>
      </c>
      <c r="D468" s="48" t="str">
        <f aca="false">科目对照回款!$B3&amp;""</f>
        <v>手续费</v>
      </c>
      <c r="E468" s="48" t="str">
        <f aca="false">科目对照回款!$C3&amp;""</f>
        <v>财务费用</v>
      </c>
      <c r="F468" s="48" t="str">
        <f aca="false">科目对照回款!$D3&amp;""</f>
        <v>手续费</v>
      </c>
      <c r="G468" s="49" t="n">
        <f aca="false">助手回款!$F33</f>
        <v>226.58</v>
      </c>
      <c r="H468" s="49" t="n">
        <f aca="false">IF(ROUND($G468,2)&gt;0,ROUND($G468,2),"")</f>
        <v>226.58</v>
      </c>
      <c r="I468" s="49" t="str">
        <f aca="false">IF(ROUND($G468,2)&lt;0,-ROUND($G468,2),"")</f>
        <v/>
      </c>
      <c r="J468" s="20" t="n">
        <f aca="false">IF(ROUND($G468,2)=0,0,1)</f>
        <v>1</v>
      </c>
      <c r="K468" s="20" t="n">
        <f aca="false">IF($J468=0,"",SUM($J$467:$J468))</f>
        <v>2</v>
      </c>
      <c r="L468" s="20" t="n">
        <f aca="false">IF($K468="","",$A468*100+$K468)</f>
        <v>3202</v>
      </c>
      <c r="M468" s="48" t="str">
        <f aca="false">参数!$B$4</f>
        <v>回款</v>
      </c>
    </row>
    <row r="469" customFormat="false" ht="13.5" hidden="false" customHeight="false" outlineLevel="0" collapsed="false">
      <c r="A469" s="47" t="n">
        <v>32</v>
      </c>
      <c r="B469" s="38" t="n">
        <f aca="false">助手回款!$B33</f>
        <v>2046</v>
      </c>
      <c r="C469" s="48" t="str">
        <f aca="false">助手回款!$C33</f>
        <v>博康店</v>
      </c>
      <c r="D469" s="48" t="str">
        <f aca="false">科目对照回款!$B4&amp;""</f>
        <v>聚合支付</v>
      </c>
      <c r="E469" s="48" t="str">
        <f aca="false">科目对照回款!$C4&amp;""</f>
        <v>应收账款</v>
      </c>
      <c r="F469" s="48" t="str">
        <f aca="false">科目对照回款!$D4&amp;""</f>
        <v>聚合支付</v>
      </c>
      <c r="G469" s="49" t="n">
        <f aca="false">-ROUND(IF(科目对照回款!$F$4="",0,SUMIFS(输入回款!$C:$C,输入回款!$A:$A,助手回款!$X33,输入回款!$B:$B,科目对照回款!$F$4)+SUMIFS(输入回款!$D:$D,输入回款!$A:$A,助手回款!$X33,输入回款!$B:$B,科目对照回款!$F$4))+IF(科目对照回款!$G$4="",0,SUMIFS(输入回款!$C:$C,输入回款!$A:$A,助手回款!$X33,输入回款!$B:$B,科目对照回款!$G$4)+SUMIFS(输入回款!$D:$D,输入回款!$A:$A,助手回款!$X33,输入回款!$B:$B,科目对照回款!$G$4))+IF(科目对照回款!$H$4="",0,SUMIFS(输入回款!$C:$C,输入回款!$A:$A,助手回款!$X33,输入回款!$B:$B,科目对照回款!$H$4)+SUMIFS(输入回款!$D:$D,输入回款!$A:$A,助手回款!$X33,输入回款!$B:$B,科目对照回款!$H$4)),2)</f>
        <v>-21850.93</v>
      </c>
      <c r="H469" s="49" t="str">
        <f aca="false">IF(ROUND($G469,2)&gt;0,ROUND($G469,2),"")</f>
        <v/>
      </c>
      <c r="I469" s="49" t="n">
        <f aca="false">IF(ROUND($G469,2)&lt;0,-ROUND($G469,2),"")</f>
        <v>21850.93</v>
      </c>
      <c r="J469" s="20" t="n">
        <f aca="false">IF(ROUND($G469,2)=0,0,1)</f>
        <v>1</v>
      </c>
      <c r="K469" s="20" t="n">
        <f aca="false">IF($J469=0,"",SUM($J$467:$J469))</f>
        <v>3</v>
      </c>
      <c r="L469" s="20" t="n">
        <f aca="false">IF($K469="","",$A469*100+$K469)</f>
        <v>3203</v>
      </c>
      <c r="M469" s="48" t="str">
        <f aca="false">参数!$B$4</f>
        <v>回款</v>
      </c>
    </row>
    <row r="470" customFormat="false" ht="13.5" hidden="false" customHeight="false" outlineLevel="0" collapsed="false">
      <c r="A470" s="47" t="n">
        <v>32</v>
      </c>
      <c r="B470" s="38" t="n">
        <f aca="false">助手回款!$B33</f>
        <v>2046</v>
      </c>
      <c r="C470" s="48" t="str">
        <f aca="false">助手回款!$C33</f>
        <v>博康店</v>
      </c>
      <c r="D470" s="48" t="str">
        <f aca="false">科目对照回款!$B5&amp;""</f>
        <v>医保</v>
      </c>
      <c r="E470" s="48" t="str">
        <f aca="false">科目对照回款!$C5&amp;""</f>
        <v>应收账款</v>
      </c>
      <c r="F470" s="48" t="str">
        <f aca="false">科目对照回款!$D5&amp;""</f>
        <v>医保</v>
      </c>
      <c r="G470" s="49" t="n">
        <f aca="false">-ROUND(IF(科目对照回款!$F$5="",0,SUMIFS(输入回款!$C:$C,输入回款!$A:$A,助手回款!$X33,输入回款!$B:$B,科目对照回款!$F$5)+SUMIFS(输入回款!$D:$D,输入回款!$A:$A,助手回款!$X33,输入回款!$B:$B,科目对照回款!$F$5))+IF(科目对照回款!$G$5="",0,SUMIFS(输入回款!$C:$C,输入回款!$A:$A,助手回款!$X33,输入回款!$B:$B,科目对照回款!$G$5)+SUMIFS(输入回款!$D:$D,输入回款!$A:$A,助手回款!$X33,输入回款!$B:$B,科目对照回款!$G$5))+IF(科目对照回款!$H$5="",0,SUMIFS(输入回款!$C:$C,输入回款!$A:$A,助手回款!$X33,输入回款!$B:$B,科目对照回款!$H$5)+SUMIFS(输入回款!$D:$D,输入回款!$A:$A,助手回款!$X33,输入回款!$B:$B,科目对照回款!$H$5)),2)</f>
        <v>-0</v>
      </c>
      <c r="H470" s="49" t="str">
        <f aca="false">IF(ROUND($G470,2)&gt;0,ROUND($G470,2),"")</f>
        <v/>
      </c>
      <c r="I470" s="49" t="str">
        <f aca="false">IF(ROUND($G470,2)&lt;0,-ROUND($G470,2),"")</f>
        <v/>
      </c>
      <c r="J470" s="20" t="n">
        <f aca="false">IF(ROUND($G470,2)=0,0,1)</f>
        <v>0</v>
      </c>
      <c r="K470" s="20" t="str">
        <f aca="false">IF($J470=0,"",SUM($J$467:$J470))</f>
        <v/>
      </c>
      <c r="L470" s="20" t="str">
        <f aca="false">IF($K470="","",$A470*100+$K470)</f>
        <v/>
      </c>
      <c r="M470" s="48" t="str">
        <f aca="false">参数!$B$4</f>
        <v>回款</v>
      </c>
    </row>
    <row r="471" customFormat="false" ht="13.5" hidden="false" customHeight="false" outlineLevel="0" collapsed="false">
      <c r="A471" s="47" t="n">
        <v>32</v>
      </c>
      <c r="B471" s="38" t="n">
        <f aca="false">助手回款!$B33</f>
        <v>2046</v>
      </c>
      <c r="C471" s="48" t="str">
        <f aca="false">助手回款!$C33</f>
        <v>博康店</v>
      </c>
      <c r="D471" s="48" t="str">
        <f aca="false">科目对照回款!$B6&amp;""</f>
        <v>美团</v>
      </c>
      <c r="E471" s="48" t="str">
        <f aca="false">科目对照回款!$C6&amp;""</f>
        <v>应收账款</v>
      </c>
      <c r="F471" s="48" t="str">
        <f aca="false">科目对照回款!$D6&amp;""</f>
        <v>美团</v>
      </c>
      <c r="G471" s="49" t="n">
        <f aca="false">-ROUND(IF(科目对照回款!$F$6="",0,SUMIFS(输入回款!$C:$C,输入回款!$A:$A,助手回款!$X33,输入回款!$B:$B,科目对照回款!$F$6)+SUMIFS(输入回款!$D:$D,输入回款!$A:$A,助手回款!$X33,输入回款!$B:$B,科目对照回款!$F$6))+IF(科目对照回款!$G$6="",0,SUMIFS(输入回款!$C:$C,输入回款!$A:$A,助手回款!$X33,输入回款!$B:$B,科目对照回款!$G$6)+SUMIFS(输入回款!$D:$D,输入回款!$A:$A,助手回款!$X33,输入回款!$B:$B,科目对照回款!$G$6))+IF(科目对照回款!$H$6="",0,SUMIFS(输入回款!$C:$C,输入回款!$A:$A,助手回款!$X33,输入回款!$B:$B,科目对照回款!$H$6)+SUMIFS(输入回款!$D:$D,输入回款!$A:$A,助手回款!$X33,输入回款!$B:$B,科目对照回款!$H$6)),2)</f>
        <v>-66.8</v>
      </c>
      <c r="H471" s="49" t="str">
        <f aca="false">IF(ROUND($G471,2)&gt;0,ROUND($G471,2),"")</f>
        <v/>
      </c>
      <c r="I471" s="49" t="n">
        <f aca="false">IF(ROUND($G471,2)&lt;0,-ROUND($G471,2),"")</f>
        <v>66.8</v>
      </c>
      <c r="J471" s="20" t="n">
        <f aca="false">IF(ROUND($G471,2)=0,0,1)</f>
        <v>1</v>
      </c>
      <c r="K471" s="20" t="n">
        <f aca="false">IF($J471=0,"",SUM($J$467:$J471))</f>
        <v>4</v>
      </c>
      <c r="L471" s="20" t="n">
        <f aca="false">IF($K471="","",$A471*100+$K471)</f>
        <v>3204</v>
      </c>
      <c r="M471" s="48" t="str">
        <f aca="false">参数!$B$4</f>
        <v>回款</v>
      </c>
    </row>
    <row r="472" customFormat="false" ht="13.5" hidden="false" customHeight="false" outlineLevel="0" collapsed="false">
      <c r="A472" s="47" t="n">
        <v>32</v>
      </c>
      <c r="B472" s="38" t="n">
        <f aca="false">助手回款!$B33</f>
        <v>2046</v>
      </c>
      <c r="C472" s="48" t="str">
        <f aca="false">助手回款!$C33</f>
        <v>博康店</v>
      </c>
      <c r="D472" s="48" t="str">
        <f aca="false">科目对照回款!$B7&amp;""</f>
        <v>饿了么</v>
      </c>
      <c r="E472" s="48" t="str">
        <f aca="false">科目对照回款!$C7&amp;""</f>
        <v>应收账款</v>
      </c>
      <c r="F472" s="48" t="str">
        <f aca="false">科目对照回款!$D7&amp;""</f>
        <v>饿了么</v>
      </c>
      <c r="G472" s="49" t="n">
        <f aca="false">-ROUND(IF(科目对照回款!$F$7="",0,SUMIFS(输入回款!$C:$C,输入回款!$A:$A,助手回款!$X33,输入回款!$B:$B,科目对照回款!$F$7)+SUMIFS(输入回款!$D:$D,输入回款!$A:$A,助手回款!$X33,输入回款!$B:$B,科目对照回款!$F$7))+IF(科目对照回款!$G$7="",0,SUMIFS(输入回款!$C:$C,输入回款!$A:$A,助手回款!$X33,输入回款!$B:$B,科目对照回款!$G$7)+SUMIFS(输入回款!$D:$D,输入回款!$A:$A,助手回款!$X33,输入回款!$B:$B,科目对照回款!$G$7))+IF(科目对照回款!$H$7="",0,SUMIFS(输入回款!$C:$C,输入回款!$A:$A,助手回款!$X33,输入回款!$B:$B,科目对照回款!$H$7)+SUMIFS(输入回款!$D:$D,输入回款!$A:$A,助手回款!$X33,输入回款!$B:$B,科目对照回款!$H$7)),2)</f>
        <v>-0</v>
      </c>
      <c r="H472" s="49" t="str">
        <f aca="false">IF(ROUND($G472,2)&gt;0,ROUND($G472,2),"")</f>
        <v/>
      </c>
      <c r="I472" s="49" t="str">
        <f aca="false">IF(ROUND($G472,2)&lt;0,-ROUND($G472,2),"")</f>
        <v/>
      </c>
      <c r="J472" s="20" t="n">
        <f aca="false">IF(ROUND($G472,2)=0,0,1)</f>
        <v>0</v>
      </c>
      <c r="K472" s="20" t="str">
        <f aca="false">IF($J472=0,"",SUM($J$467:$J472))</f>
        <v/>
      </c>
      <c r="L472" s="20" t="str">
        <f aca="false">IF($K472="","",$A472*100+$K472)</f>
        <v/>
      </c>
      <c r="M472" s="48" t="str">
        <f aca="false">参数!$B$4</f>
        <v>回款</v>
      </c>
    </row>
    <row r="473" customFormat="false" ht="13.5" hidden="false" customHeight="false" outlineLevel="0" collapsed="false">
      <c r="A473" s="47" t="n">
        <v>32</v>
      </c>
      <c r="B473" s="38" t="n">
        <f aca="false">助手回款!$B33</f>
        <v>2046</v>
      </c>
      <c r="C473" s="48" t="str">
        <f aca="false">助手回款!$C33</f>
        <v>博康店</v>
      </c>
      <c r="D473" s="48" t="str">
        <f aca="false">科目对照回款!$B8&amp;""</f>
        <v>24小时</v>
      </c>
      <c r="E473" s="48" t="str">
        <f aca="false">科目对照回款!$C8&amp;""</f>
        <v>应收账款</v>
      </c>
      <c r="F473" s="48" t="str">
        <f aca="false">科目对照回款!$D8&amp;""</f>
        <v>24小时</v>
      </c>
      <c r="G473" s="49" t="n">
        <f aca="false">-ROUND(IF(科目对照回款!$F$8="",0,SUMIFS(输入回款!$C:$C,输入回款!$A:$A,助手回款!$X33,输入回款!$B:$B,科目对照回款!$F$8)+SUMIFS(输入回款!$D:$D,输入回款!$A:$A,助手回款!$X33,输入回款!$B:$B,科目对照回款!$F$8))+IF(科目对照回款!$G$8="",0,SUMIFS(输入回款!$C:$C,输入回款!$A:$A,助手回款!$X33,输入回款!$B:$B,科目对照回款!$G$8)+SUMIFS(输入回款!$D:$D,输入回款!$A:$A,助手回款!$X33,输入回款!$B:$B,科目对照回款!$G$8))+IF(科目对照回款!$H$8="",0,SUMIFS(输入回款!$C:$C,输入回款!$A:$A,助手回款!$X33,输入回款!$B:$B,科目对照回款!$H$8)+SUMIFS(输入回款!$D:$D,输入回款!$A:$A,助手回款!$X33,输入回款!$B:$B,科目对照回款!$H$8)),2)</f>
        <v>-0</v>
      </c>
      <c r="H473" s="49" t="str">
        <f aca="false">IF(ROUND($G473,2)&gt;0,ROUND($G473,2),"")</f>
        <v/>
      </c>
      <c r="I473" s="49" t="str">
        <f aca="false">IF(ROUND($G473,2)&lt;0,-ROUND($G473,2),"")</f>
        <v/>
      </c>
      <c r="J473" s="20" t="n">
        <f aca="false">IF(ROUND($G473,2)=0,0,1)</f>
        <v>0</v>
      </c>
      <c r="K473" s="20" t="str">
        <f aca="false">IF($J473=0,"",SUM($J$467:$J473))</f>
        <v/>
      </c>
      <c r="L473" s="20" t="str">
        <f aca="false">IF($K473="","",$A473*100+$K473)</f>
        <v/>
      </c>
      <c r="M473" s="48" t="str">
        <f aca="false">参数!$B$4</f>
        <v>回款</v>
      </c>
    </row>
    <row r="474" customFormat="false" ht="13.5" hidden="false" customHeight="false" outlineLevel="0" collapsed="false">
      <c r="A474" s="47" t="n">
        <v>32</v>
      </c>
      <c r="B474" s="38" t="n">
        <f aca="false">助手回款!$B33</f>
        <v>2046</v>
      </c>
      <c r="C474" s="48" t="str">
        <f aca="false">助手回款!$C33</f>
        <v>博康店</v>
      </c>
      <c r="D474" s="48" t="str">
        <f aca="false">科目对照回款!$B9&amp;""</f>
        <v>健E卡</v>
      </c>
      <c r="E474" s="48" t="str">
        <f aca="false">科目对照回款!$C9&amp;""</f>
        <v>应收账款</v>
      </c>
      <c r="F474" s="48" t="str">
        <f aca="false">科目对照回款!$D9&amp;""</f>
        <v>健E卡</v>
      </c>
      <c r="G474" s="49" t="n">
        <f aca="false">-ROUND(IF(科目对照回款!$F$9="",0,SUMIFS(输入回款!$C:$C,输入回款!$A:$A,助手回款!$X33,输入回款!$B:$B,科目对照回款!$F$9)+SUMIFS(输入回款!$D:$D,输入回款!$A:$A,助手回款!$X33,输入回款!$B:$B,科目对照回款!$F$9))+IF(科目对照回款!$G$9="",0,SUMIFS(输入回款!$C:$C,输入回款!$A:$A,助手回款!$X33,输入回款!$B:$B,科目对照回款!$G$9)+SUMIFS(输入回款!$D:$D,输入回款!$A:$A,助手回款!$X33,输入回款!$B:$B,科目对照回款!$G$9))+IF(科目对照回款!$H$9="",0,SUMIFS(输入回款!$C:$C,输入回款!$A:$A,助手回款!$X33,输入回款!$B:$B,科目对照回款!$H$9)+SUMIFS(输入回款!$D:$D,输入回款!$A:$A,助手回款!$X33,输入回款!$B:$B,科目对照回款!$H$9)),2)</f>
        <v>-0</v>
      </c>
      <c r="H474" s="49" t="str">
        <f aca="false">IF(ROUND($G474,2)&gt;0,ROUND($G474,2),"")</f>
        <v/>
      </c>
      <c r="I474" s="49" t="str">
        <f aca="false">IF(ROUND($G474,2)&lt;0,-ROUND($G474,2),"")</f>
        <v/>
      </c>
      <c r="J474" s="20" t="n">
        <f aca="false">IF(ROUND($G474,2)=0,0,1)</f>
        <v>0</v>
      </c>
      <c r="K474" s="20" t="str">
        <f aca="false">IF($J474=0,"",SUM($J$467:$J474))</f>
        <v/>
      </c>
      <c r="L474" s="20" t="str">
        <f aca="false">IF($K474="","",$A474*100+$K474)</f>
        <v/>
      </c>
      <c r="M474" s="48" t="str">
        <f aca="false">参数!$B$4</f>
        <v>回款</v>
      </c>
    </row>
    <row r="475" customFormat="false" ht="13.5" hidden="false" customHeight="false" outlineLevel="0" collapsed="false">
      <c r="A475" s="47" t="n">
        <v>32</v>
      </c>
      <c r="B475" s="38" t="n">
        <f aca="false">助手回款!$B33</f>
        <v>2046</v>
      </c>
      <c r="C475" s="48" t="str">
        <f aca="false">助手回款!$C33</f>
        <v>博康店</v>
      </c>
      <c r="D475" s="48" t="str">
        <f aca="false">科目对照回款!$B10&amp;""</f>
        <v>医卡通</v>
      </c>
      <c r="E475" s="48" t="str">
        <f aca="false">科目对照回款!$C10&amp;""</f>
        <v>应收账款</v>
      </c>
      <c r="F475" s="48" t="str">
        <f aca="false">科目对照回款!$D10&amp;""</f>
        <v>医卡通</v>
      </c>
      <c r="G475" s="49" t="n">
        <f aca="false">-ROUND(IF(科目对照回款!$F$10="",0,SUMIFS(输入回款!$C:$C,输入回款!$A:$A,助手回款!$X33,输入回款!$B:$B,科目对照回款!$F$10)+SUMIFS(输入回款!$D:$D,输入回款!$A:$A,助手回款!$X33,输入回款!$B:$B,科目对照回款!$F$10))+IF(科目对照回款!$G$10="",0,SUMIFS(输入回款!$C:$C,输入回款!$A:$A,助手回款!$X33,输入回款!$B:$B,科目对照回款!$G$10)+SUMIFS(输入回款!$D:$D,输入回款!$A:$A,助手回款!$X33,输入回款!$B:$B,科目对照回款!$G$10))+IF(科目对照回款!$H$10="",0,SUMIFS(输入回款!$C:$C,输入回款!$A:$A,助手回款!$X33,输入回款!$B:$B,科目对照回款!$H$10)+SUMIFS(输入回款!$D:$D,输入回款!$A:$A,助手回款!$X33,输入回款!$B:$B,科目对照回款!$H$10)),2)</f>
        <v>-1806.77</v>
      </c>
      <c r="H475" s="49" t="str">
        <f aca="false">IF(ROUND($G475,2)&gt;0,ROUND($G475,2),"")</f>
        <v/>
      </c>
      <c r="I475" s="49" t="n">
        <f aca="false">IF(ROUND($G475,2)&lt;0,-ROUND($G475,2),"")</f>
        <v>1806.77</v>
      </c>
      <c r="J475" s="20" t="n">
        <f aca="false">IF(ROUND($G475,2)=0,0,1)</f>
        <v>1</v>
      </c>
      <c r="K475" s="20" t="n">
        <f aca="false">IF($J475=0,"",SUM($J$467:$J475))</f>
        <v>5</v>
      </c>
      <c r="L475" s="20" t="n">
        <f aca="false">IF($K475="","",$A475*100+$K475)</f>
        <v>3205</v>
      </c>
      <c r="M475" s="48" t="str">
        <f aca="false">参数!$B$4</f>
        <v>回款</v>
      </c>
    </row>
    <row r="476" customFormat="false" ht="13.5" hidden="false" customHeight="false" outlineLevel="0" collapsed="false">
      <c r="A476" s="47" t="n">
        <v>32</v>
      </c>
      <c r="B476" s="38" t="n">
        <f aca="false">助手回款!$B33</f>
        <v>2046</v>
      </c>
      <c r="C476" s="48" t="str">
        <f aca="false">助手回款!$C33</f>
        <v>博康店</v>
      </c>
      <c r="D476" s="48" t="str">
        <f aca="false">科目对照回款!$B11&amp;""</f>
        <v>企健网</v>
      </c>
      <c r="E476" s="48" t="str">
        <f aca="false">科目对照回款!$C11&amp;""</f>
        <v>应收账款</v>
      </c>
      <c r="F476" s="48" t="str">
        <f aca="false">科目对照回款!$D11&amp;""</f>
        <v>企健网</v>
      </c>
      <c r="G476" s="49" t="n">
        <f aca="false">-ROUND(IF(科目对照回款!$F$11="",0,SUMIFS(输入回款!$C:$C,输入回款!$A:$A,助手回款!$X33,输入回款!$B:$B,科目对照回款!$F$11)+SUMIFS(输入回款!$D:$D,输入回款!$A:$A,助手回款!$X33,输入回款!$B:$B,科目对照回款!$F$11))+IF(科目对照回款!$G$11="",0,SUMIFS(输入回款!$C:$C,输入回款!$A:$A,助手回款!$X33,输入回款!$B:$B,科目对照回款!$G$11)+SUMIFS(输入回款!$D:$D,输入回款!$A:$A,助手回款!$X33,输入回款!$B:$B,科目对照回款!$G$11))+IF(科目对照回款!$H$11="",0,SUMIFS(输入回款!$C:$C,输入回款!$A:$A,助手回款!$X33,输入回款!$B:$B,科目对照回款!$H$11)+SUMIFS(输入回款!$D:$D,输入回款!$A:$A,助手回款!$X33,输入回款!$B:$B,科目对照回款!$H$11)),2)</f>
        <v>-0</v>
      </c>
      <c r="H476" s="49" t="str">
        <f aca="false">IF(ROUND($G476,2)&gt;0,ROUND($G476,2),"")</f>
        <v/>
      </c>
      <c r="I476" s="49" t="str">
        <f aca="false">IF(ROUND($G476,2)&lt;0,-ROUND($G476,2),"")</f>
        <v/>
      </c>
      <c r="J476" s="20" t="n">
        <f aca="false">IF(ROUND($G476,2)=0,0,1)</f>
        <v>0</v>
      </c>
      <c r="K476" s="20" t="str">
        <f aca="false">IF($J476=0,"",SUM($J$467:$J476))</f>
        <v/>
      </c>
      <c r="L476" s="20" t="str">
        <f aca="false">IF($K476="","",$A476*100+$K476)</f>
        <v/>
      </c>
      <c r="M476" s="48" t="str">
        <f aca="false">参数!$B$4</f>
        <v>回款</v>
      </c>
    </row>
    <row r="477" customFormat="false" ht="13.5" hidden="false" customHeight="false" outlineLevel="0" collapsed="false">
      <c r="A477" s="47" t="n">
        <v>32</v>
      </c>
      <c r="B477" s="38" t="n">
        <f aca="false">助手回款!$B33</f>
        <v>2046</v>
      </c>
      <c r="C477" s="48" t="str">
        <f aca="false">助手回款!$C33</f>
        <v>博康店</v>
      </c>
      <c r="D477" s="48" t="str">
        <f aca="false">科目对照回款!$B12&amp;""</f>
        <v>亲情卡</v>
      </c>
      <c r="E477" s="48" t="str">
        <f aca="false">科目对照回款!$C12&amp;""</f>
        <v>应收账款</v>
      </c>
      <c r="F477" s="48" t="str">
        <f aca="false">科目对照回款!$D12&amp;""</f>
        <v>亲情卡</v>
      </c>
      <c r="G477" s="49" t="n">
        <f aca="false">-ROUND(IF(科目对照回款!$F$12="",0,SUMIFS(输入回款!$C:$C,输入回款!$A:$A,助手回款!$X33,输入回款!$B:$B,科目对照回款!$F$12)+SUMIFS(输入回款!$D:$D,输入回款!$A:$A,助手回款!$X33,输入回款!$B:$B,科目对照回款!$F$12))+IF(科目对照回款!$G$12="",0,SUMIFS(输入回款!$C:$C,输入回款!$A:$A,助手回款!$X33,输入回款!$B:$B,科目对照回款!$G$12)+SUMIFS(输入回款!$D:$D,输入回款!$A:$A,助手回款!$X33,输入回款!$B:$B,科目对照回款!$G$12))+IF(科目对照回款!$H$12="",0,SUMIFS(输入回款!$C:$C,输入回款!$A:$A,助手回款!$X33,输入回款!$B:$B,科目对照回款!$H$12)+SUMIFS(输入回款!$D:$D,输入回款!$A:$A,助手回款!$X33,输入回款!$B:$B,科目对照回款!$H$12)),2)</f>
        <v>-0</v>
      </c>
      <c r="H477" s="49" t="str">
        <f aca="false">IF(ROUND($G477,2)&gt;0,ROUND($G477,2),"")</f>
        <v/>
      </c>
      <c r="I477" s="49" t="str">
        <f aca="false">IF(ROUND($G477,2)&lt;0,-ROUND($G477,2),"")</f>
        <v/>
      </c>
      <c r="J477" s="20" t="n">
        <f aca="false">IF(ROUND($G477,2)=0,0,1)</f>
        <v>0</v>
      </c>
      <c r="K477" s="20" t="str">
        <f aca="false">IF($J477=0,"",SUM($J$467:$J477))</f>
        <v/>
      </c>
      <c r="L477" s="20" t="str">
        <f aca="false">IF($K477="","",$A477*100+$K477)</f>
        <v/>
      </c>
      <c r="M477" s="48" t="str">
        <f aca="false">参数!$B$4</f>
        <v>回款</v>
      </c>
    </row>
    <row r="478" customFormat="false" ht="13.5" hidden="false" customHeight="false" outlineLevel="0" collapsed="false">
      <c r="A478" s="47" t="n">
        <v>32</v>
      </c>
      <c r="B478" s="38" t="n">
        <f aca="false">助手回款!$B33</f>
        <v>2046</v>
      </c>
      <c r="C478" s="48" t="str">
        <f aca="false">助手回款!$C33</f>
        <v>博康店</v>
      </c>
      <c r="D478" s="48" t="str">
        <f aca="false">科目对照回款!$B13&amp;""</f>
        <v>银联</v>
      </c>
      <c r="E478" s="48" t="str">
        <f aca="false">科目对照回款!$C13&amp;""</f>
        <v>应收账款</v>
      </c>
      <c r="F478" s="48" t="str">
        <f aca="false">科目对照回款!$D13&amp;""</f>
        <v>银联</v>
      </c>
      <c r="G478" s="49" t="n">
        <f aca="false">-ROUND(IF(科目对照回款!$F$13="",0,SUMIFS(输入回款!$C:$C,输入回款!$A:$A,助手回款!$X33,输入回款!$B:$B,科目对照回款!$F$13)+SUMIFS(输入回款!$D:$D,输入回款!$A:$A,助手回款!$X33,输入回款!$B:$B,科目对照回款!$F$13))+IF(科目对照回款!$G$13="",0,SUMIFS(输入回款!$C:$C,输入回款!$A:$A,助手回款!$X33,输入回款!$B:$B,科目对照回款!$G$13)+SUMIFS(输入回款!$D:$D,输入回款!$A:$A,助手回款!$X33,输入回款!$B:$B,科目对照回款!$G$13))+IF(科目对照回款!$H$13="",0,SUMIFS(输入回款!$C:$C,输入回款!$A:$A,助手回款!$X33,输入回款!$B:$B,科目对照回款!$H$13)+SUMIFS(输入回款!$D:$D,输入回款!$A:$A,助手回款!$X33,输入回款!$B:$B,科目对照回款!$H$13)),2)</f>
        <v>-0</v>
      </c>
      <c r="H478" s="49" t="str">
        <f aca="false">IF(ROUND($G478,2)&gt;0,ROUND($G478,2),"")</f>
        <v/>
      </c>
      <c r="I478" s="49" t="str">
        <f aca="false">IF(ROUND($G478,2)&lt;0,-ROUND($G478,2),"")</f>
        <v/>
      </c>
      <c r="J478" s="20" t="n">
        <f aca="false">IF(ROUND($G478,2)=0,0,1)</f>
        <v>0</v>
      </c>
      <c r="K478" s="20" t="str">
        <f aca="false">IF($J478=0,"",SUM($J$467:$J478))</f>
        <v/>
      </c>
      <c r="L478" s="20" t="str">
        <f aca="false">IF($K478="","",$A478*100+$K478)</f>
        <v/>
      </c>
      <c r="M478" s="48" t="str">
        <f aca="false">参数!$B$4</f>
        <v>回款</v>
      </c>
    </row>
    <row r="479" customFormat="false" ht="13.5" hidden="false" customHeight="false" outlineLevel="0" collapsed="false">
      <c r="A479" s="47" t="n">
        <v>32</v>
      </c>
      <c r="B479" s="38" t="n">
        <f aca="false">助手回款!$B33</f>
        <v>2046</v>
      </c>
      <c r="C479" s="48" t="str">
        <f aca="false">助手回款!$C33</f>
        <v>博康店</v>
      </c>
      <c r="D479" s="48" t="str">
        <f aca="false">科目对照回款!$B14&amp;""</f>
        <v>代金券</v>
      </c>
      <c r="E479" s="48" t="str">
        <f aca="false">科目对照回款!$C14&amp;""</f>
        <v>应收账款</v>
      </c>
      <c r="F479" s="48" t="str">
        <f aca="false">科目对照回款!$D14&amp;""</f>
        <v>代金券</v>
      </c>
      <c r="G479" s="49" t="n">
        <f aca="false">-ROUND(IF(科目对照回款!$F$14="",0,SUMIFS(输入回款!$C:$C,输入回款!$A:$A,助手回款!$X33,输入回款!$B:$B,科目对照回款!$F$14)+SUMIFS(输入回款!$D:$D,输入回款!$A:$A,助手回款!$X33,输入回款!$B:$B,科目对照回款!$F$14))+IF(科目对照回款!$G$14="",0,SUMIFS(输入回款!$C:$C,输入回款!$A:$A,助手回款!$X33,输入回款!$B:$B,科目对照回款!$G$14)+SUMIFS(输入回款!$D:$D,输入回款!$A:$A,助手回款!$X33,输入回款!$B:$B,科目对照回款!$G$14))+IF(科目对照回款!$H$14="",0,SUMIFS(输入回款!$C:$C,输入回款!$A:$A,助手回款!$X33,输入回款!$B:$B,科目对照回款!$H$14)+SUMIFS(输入回款!$D:$D,输入回款!$A:$A,助手回款!$X33,输入回款!$B:$B,科目对照回款!$H$14)),2)</f>
        <v>-0</v>
      </c>
      <c r="H479" s="49" t="str">
        <f aca="false">IF(ROUND($G479,2)&gt;0,ROUND($G479,2),"")</f>
        <v/>
      </c>
      <c r="I479" s="49" t="str">
        <f aca="false">IF(ROUND($G479,2)&lt;0,-ROUND($G479,2),"")</f>
        <v/>
      </c>
      <c r="J479" s="20" t="n">
        <f aca="false">IF(ROUND($G479,2)=0,0,1)</f>
        <v>0</v>
      </c>
      <c r="K479" s="20" t="str">
        <f aca="false">IF($J479=0,"",SUM($J$467:$J479))</f>
        <v/>
      </c>
      <c r="L479" s="20" t="str">
        <f aca="false">IF($K479="","",$A479*100+$K479)</f>
        <v/>
      </c>
      <c r="M479" s="48" t="str">
        <f aca="false">参数!$B$4</f>
        <v>回款</v>
      </c>
    </row>
    <row r="480" customFormat="false" ht="13.5" hidden="false" customHeight="false" outlineLevel="0" collapsed="false">
      <c r="A480" s="47" t="n">
        <v>32</v>
      </c>
      <c r="B480" s="38" t="n">
        <f aca="false">助手回款!$B33</f>
        <v>2046</v>
      </c>
      <c r="C480" s="48" t="str">
        <f aca="false">助手回款!$C33</f>
        <v>博康店</v>
      </c>
      <c r="D480" s="48" t="str">
        <f aca="false">科目对照回款!$B15&amp;""</f>
        <v>药机微信</v>
      </c>
      <c r="E480" s="48" t="str">
        <f aca="false">科目对照回款!$C15&amp;""</f>
        <v>应收账款</v>
      </c>
      <c r="F480" s="48" t="str">
        <f aca="false">科目对照回款!$D15&amp;""</f>
        <v>药机微信</v>
      </c>
      <c r="G480" s="49" t="n">
        <f aca="false">-ROUND(IF(科目对照回款!$F$15="",0,SUMIFS(输入回款!$C:$C,输入回款!$A:$A,助手回款!$X33,输入回款!$B:$B,科目对照回款!$F$15)+SUMIFS(输入回款!$D:$D,输入回款!$A:$A,助手回款!$X33,输入回款!$B:$B,科目对照回款!$F$15))+IF(科目对照回款!$G$15="",0,SUMIFS(输入回款!$C:$C,输入回款!$A:$A,助手回款!$X33,输入回款!$B:$B,科目对照回款!$G$15)+SUMIFS(输入回款!$D:$D,输入回款!$A:$A,助手回款!$X33,输入回款!$B:$B,科目对照回款!$G$15))+IF(科目对照回款!$H$15="",0,SUMIFS(输入回款!$C:$C,输入回款!$A:$A,助手回款!$X33,输入回款!$B:$B,科目对照回款!$H$15)+SUMIFS(输入回款!$D:$D,输入回款!$A:$A,助手回款!$X33,输入回款!$B:$B,科目对照回款!$H$15)),2)</f>
        <v>-0</v>
      </c>
      <c r="H480" s="49" t="str">
        <f aca="false">IF(ROUND($G480,2)&gt;0,ROUND($G480,2),"")</f>
        <v/>
      </c>
      <c r="I480" s="49" t="str">
        <f aca="false">IF(ROUND($G480,2)&lt;0,-ROUND($G480,2),"")</f>
        <v/>
      </c>
      <c r="J480" s="20" t="n">
        <f aca="false">IF(ROUND($G480,2)=0,0,1)</f>
        <v>0</v>
      </c>
      <c r="K480" s="20" t="str">
        <f aca="false">IF($J480=0,"",SUM($J$467:$J480))</f>
        <v/>
      </c>
      <c r="L480" s="20" t="str">
        <f aca="false">IF($K480="","",$A480*100+$K480)</f>
        <v/>
      </c>
      <c r="M480" s="48" t="str">
        <f aca="false">参数!$B$4</f>
        <v>回款</v>
      </c>
    </row>
    <row r="481" customFormat="false" ht="13.5" hidden="false" customHeight="false" outlineLevel="0" collapsed="false">
      <c r="A481" s="47" t="n">
        <v>32</v>
      </c>
      <c r="B481" s="38" t="n">
        <f aca="false">助手回款!$B33</f>
        <v>2046</v>
      </c>
      <c r="C481" s="48" t="str">
        <f aca="false">助手回款!$C33</f>
        <v>博康店</v>
      </c>
      <c r="D481" s="48" t="str">
        <f aca="false">科目对照回款!$B16&amp;""</f>
        <v>储值卡</v>
      </c>
      <c r="E481" s="48" t="str">
        <f aca="false">科目对照回款!$C16&amp;""</f>
        <v>其他应收款</v>
      </c>
      <c r="F481" s="48" t="str">
        <f aca="false">科目对照回款!$D16&amp;""</f>
        <v>储值卡</v>
      </c>
      <c r="G481" s="49" t="n">
        <f aca="false">-ROUND(IF(科目对照回款!$F$16="",0,SUMIFS(输入回款!$C:$C,输入回款!$A:$A,助手回款!$X33,输入回款!$B:$B,科目对照回款!$F$16)+SUMIFS(输入回款!$D:$D,输入回款!$A:$A,助手回款!$X33,输入回款!$B:$B,科目对照回款!$F$16))+IF(科目对照回款!$G$16="",0,SUMIFS(输入回款!$C:$C,输入回款!$A:$A,助手回款!$X33,输入回款!$B:$B,科目对照回款!$G$16)+SUMIFS(输入回款!$D:$D,输入回款!$A:$A,助手回款!$X33,输入回款!$B:$B,科目对照回款!$G$16))+IF(科目对照回款!$H$16="",0,SUMIFS(输入回款!$C:$C,输入回款!$A:$A,助手回款!$X33,输入回款!$B:$B,科目对照回款!$H$16)+SUMIFS(输入回款!$D:$D,输入回款!$A:$A,助手回款!$X33,输入回款!$B:$B,科目对照回款!$H$16)),2)</f>
        <v>-0</v>
      </c>
      <c r="H481" s="49" t="str">
        <f aca="false">IF(ROUND($G481,2)&gt;0,ROUND($G481,2),"")</f>
        <v/>
      </c>
      <c r="I481" s="49" t="str">
        <f aca="false">IF(ROUND($G481,2)&lt;0,-ROUND($G481,2),"")</f>
        <v/>
      </c>
      <c r="J481" s="20" t="n">
        <f aca="false">IF(ROUND($G481,2)=0,0,1)</f>
        <v>0</v>
      </c>
      <c r="K481" s="20" t="str">
        <f aca="false">IF($J481=0,"",SUM($J$467:$J481))</f>
        <v/>
      </c>
      <c r="L481" s="20" t="str">
        <f aca="false">IF($K481="","",$A481*100+$K481)</f>
        <v/>
      </c>
      <c r="M481" s="48" t="str">
        <f aca="false">参数!$B$4</f>
        <v>回款</v>
      </c>
    </row>
    <row r="482" customFormat="false" ht="13.5" hidden="false" customHeight="false" outlineLevel="0" collapsed="false">
      <c r="A482" s="47" t="n">
        <v>33</v>
      </c>
      <c r="B482" s="38" t="n">
        <f aca="false">助手回款!$B34</f>
        <v>2047</v>
      </c>
      <c r="C482" s="48" t="str">
        <f aca="false">助手回款!$C34</f>
        <v>博联店</v>
      </c>
      <c r="D482" s="48" t="str">
        <f aca="false">科目对照回款!$B2&amp;""</f>
        <v>库存现金</v>
      </c>
      <c r="E482" s="48" t="str">
        <f aca="false">科目对照回款!$C2&amp;""</f>
        <v>库存现金</v>
      </c>
      <c r="F482" s="48" t="str">
        <f aca="false">科目对照回款!$D2&amp;""</f>
        <v/>
      </c>
      <c r="G482" s="49" t="n">
        <f aca="false">助手回款!$E34</f>
        <v>14114.02</v>
      </c>
      <c r="H482" s="49" t="n">
        <f aca="false">IF(ROUND($G482,2)&gt;0,ROUND($G482,2),"")</f>
        <v>14114.02</v>
      </c>
      <c r="I482" s="49" t="str">
        <f aca="false">IF(ROUND($G482,2)&lt;0,-ROUND($G482,2),"")</f>
        <v/>
      </c>
      <c r="J482" s="20" t="n">
        <f aca="false">IF(ROUND($G482,2)=0,0,1)</f>
        <v>1</v>
      </c>
      <c r="K482" s="20" t="n">
        <f aca="false">IF($J482=0,"",SUM($J$482:$J482))</f>
        <v>1</v>
      </c>
      <c r="L482" s="20" t="n">
        <f aca="false">IF($K482="","",$A482*100+$K482)</f>
        <v>3301</v>
      </c>
      <c r="M482" s="48" t="str">
        <f aca="false">参数!$B$4</f>
        <v>回款</v>
      </c>
    </row>
    <row r="483" customFormat="false" ht="13.5" hidden="false" customHeight="false" outlineLevel="0" collapsed="false">
      <c r="A483" s="47" t="n">
        <v>33</v>
      </c>
      <c r="B483" s="38" t="n">
        <f aca="false">助手回款!$B34</f>
        <v>2047</v>
      </c>
      <c r="C483" s="48" t="str">
        <f aca="false">助手回款!$C34</f>
        <v>博联店</v>
      </c>
      <c r="D483" s="48" t="str">
        <f aca="false">科目对照回款!$B3&amp;""</f>
        <v>手续费</v>
      </c>
      <c r="E483" s="48" t="str">
        <f aca="false">科目对照回款!$C3&amp;""</f>
        <v>财务费用</v>
      </c>
      <c r="F483" s="48" t="str">
        <f aca="false">科目对照回款!$D3&amp;""</f>
        <v>手续费</v>
      </c>
      <c r="G483" s="49" t="n">
        <f aca="false">助手回款!$F34</f>
        <v>0</v>
      </c>
      <c r="H483" s="49" t="str">
        <f aca="false">IF(ROUND($G483,2)&gt;0,ROUND($G483,2),"")</f>
        <v/>
      </c>
      <c r="I483" s="49" t="str">
        <f aca="false">IF(ROUND($G483,2)&lt;0,-ROUND($G483,2),"")</f>
        <v/>
      </c>
      <c r="J483" s="20" t="n">
        <f aca="false">IF(ROUND($G483,2)=0,0,1)</f>
        <v>0</v>
      </c>
      <c r="K483" s="20" t="str">
        <f aca="false">IF($J483=0,"",SUM($J$482:$J483))</f>
        <v/>
      </c>
      <c r="L483" s="20" t="str">
        <f aca="false">IF($K483="","",$A483*100+$K483)</f>
        <v/>
      </c>
      <c r="M483" s="48" t="str">
        <f aca="false">参数!$B$4</f>
        <v>回款</v>
      </c>
    </row>
    <row r="484" customFormat="false" ht="13.5" hidden="false" customHeight="false" outlineLevel="0" collapsed="false">
      <c r="A484" s="47" t="n">
        <v>33</v>
      </c>
      <c r="B484" s="38" t="n">
        <f aca="false">助手回款!$B34</f>
        <v>2047</v>
      </c>
      <c r="C484" s="48" t="str">
        <f aca="false">助手回款!$C34</f>
        <v>博联店</v>
      </c>
      <c r="D484" s="48" t="str">
        <f aca="false">科目对照回款!$B4&amp;""</f>
        <v>聚合支付</v>
      </c>
      <c r="E484" s="48" t="str">
        <f aca="false">科目对照回款!$C4&amp;""</f>
        <v>应收账款</v>
      </c>
      <c r="F484" s="48" t="str">
        <f aca="false">科目对照回款!$D4&amp;""</f>
        <v>聚合支付</v>
      </c>
      <c r="G484" s="49" t="n">
        <f aca="false">-ROUND(IF(科目对照回款!$F$4="",0,SUMIFS(输入回款!$C:$C,输入回款!$A:$A,助手回款!$X34,输入回款!$B:$B,科目对照回款!$F$4)+SUMIFS(输入回款!$D:$D,输入回款!$A:$A,助手回款!$X34,输入回款!$B:$B,科目对照回款!$F$4))+IF(科目对照回款!$G$4="",0,SUMIFS(输入回款!$C:$C,输入回款!$A:$A,助手回款!$X34,输入回款!$B:$B,科目对照回款!$G$4)+SUMIFS(输入回款!$D:$D,输入回款!$A:$A,助手回款!$X34,输入回款!$B:$B,科目对照回款!$G$4))+IF(科目对照回款!$H$4="",0,SUMIFS(输入回款!$C:$C,输入回款!$A:$A,助手回款!$X34,输入回款!$B:$B,科目对照回款!$H$4)+SUMIFS(输入回款!$D:$D,输入回款!$A:$A,助手回款!$X34,输入回款!$B:$B,科目对照回款!$H$4)),2)</f>
        <v>-10968.81</v>
      </c>
      <c r="H484" s="49" t="str">
        <f aca="false">IF(ROUND($G484,2)&gt;0,ROUND($G484,2),"")</f>
        <v/>
      </c>
      <c r="I484" s="49" t="n">
        <f aca="false">IF(ROUND($G484,2)&lt;0,-ROUND($G484,2),"")</f>
        <v>10968.81</v>
      </c>
      <c r="J484" s="20" t="n">
        <f aca="false">IF(ROUND($G484,2)=0,0,1)</f>
        <v>1</v>
      </c>
      <c r="K484" s="20" t="n">
        <f aca="false">IF($J484=0,"",SUM($J$482:$J484))</f>
        <v>2</v>
      </c>
      <c r="L484" s="20" t="n">
        <f aca="false">IF($K484="","",$A484*100+$K484)</f>
        <v>3302</v>
      </c>
      <c r="M484" s="48" t="str">
        <f aca="false">参数!$B$4</f>
        <v>回款</v>
      </c>
    </row>
    <row r="485" customFormat="false" ht="13.5" hidden="false" customHeight="false" outlineLevel="0" collapsed="false">
      <c r="A485" s="47" t="n">
        <v>33</v>
      </c>
      <c r="B485" s="38" t="n">
        <f aca="false">助手回款!$B34</f>
        <v>2047</v>
      </c>
      <c r="C485" s="48" t="str">
        <f aca="false">助手回款!$C34</f>
        <v>博联店</v>
      </c>
      <c r="D485" s="48" t="str">
        <f aca="false">科目对照回款!$B5&amp;""</f>
        <v>医保</v>
      </c>
      <c r="E485" s="48" t="str">
        <f aca="false">科目对照回款!$C5&amp;""</f>
        <v>应收账款</v>
      </c>
      <c r="F485" s="48" t="str">
        <f aca="false">科目对照回款!$D5&amp;""</f>
        <v>医保</v>
      </c>
      <c r="G485" s="49" t="n">
        <f aca="false">-ROUND(IF(科目对照回款!$F$5="",0,SUMIFS(输入回款!$C:$C,输入回款!$A:$A,助手回款!$X34,输入回款!$B:$B,科目对照回款!$F$5)+SUMIFS(输入回款!$D:$D,输入回款!$A:$A,助手回款!$X34,输入回款!$B:$B,科目对照回款!$F$5))+IF(科目对照回款!$G$5="",0,SUMIFS(输入回款!$C:$C,输入回款!$A:$A,助手回款!$X34,输入回款!$B:$B,科目对照回款!$G$5)+SUMIFS(输入回款!$D:$D,输入回款!$A:$A,助手回款!$X34,输入回款!$B:$B,科目对照回款!$G$5))+IF(科目对照回款!$H$5="",0,SUMIFS(输入回款!$C:$C,输入回款!$A:$A,助手回款!$X34,输入回款!$B:$B,科目对照回款!$H$5)+SUMIFS(输入回款!$D:$D,输入回款!$A:$A,助手回款!$X34,输入回款!$B:$B,科目对照回款!$H$5)),2)</f>
        <v>-3145.21</v>
      </c>
      <c r="H485" s="49" t="str">
        <f aca="false">IF(ROUND($G485,2)&gt;0,ROUND($G485,2),"")</f>
        <v/>
      </c>
      <c r="I485" s="49" t="n">
        <f aca="false">IF(ROUND($G485,2)&lt;0,-ROUND($G485,2),"")</f>
        <v>3145.21</v>
      </c>
      <c r="J485" s="20" t="n">
        <f aca="false">IF(ROUND($G485,2)=0,0,1)</f>
        <v>1</v>
      </c>
      <c r="K485" s="20" t="n">
        <f aca="false">IF($J485=0,"",SUM($J$482:$J485))</f>
        <v>3</v>
      </c>
      <c r="L485" s="20" t="n">
        <f aca="false">IF($K485="","",$A485*100+$K485)</f>
        <v>3303</v>
      </c>
      <c r="M485" s="48" t="str">
        <f aca="false">参数!$B$4</f>
        <v>回款</v>
      </c>
    </row>
    <row r="486" customFormat="false" ht="13.5" hidden="false" customHeight="false" outlineLevel="0" collapsed="false">
      <c r="A486" s="47" t="n">
        <v>33</v>
      </c>
      <c r="B486" s="38" t="n">
        <f aca="false">助手回款!$B34</f>
        <v>2047</v>
      </c>
      <c r="C486" s="48" t="str">
        <f aca="false">助手回款!$C34</f>
        <v>博联店</v>
      </c>
      <c r="D486" s="48" t="str">
        <f aca="false">科目对照回款!$B6&amp;""</f>
        <v>美团</v>
      </c>
      <c r="E486" s="48" t="str">
        <f aca="false">科目对照回款!$C6&amp;""</f>
        <v>应收账款</v>
      </c>
      <c r="F486" s="48" t="str">
        <f aca="false">科目对照回款!$D6&amp;""</f>
        <v>美团</v>
      </c>
      <c r="G486" s="49" t="n">
        <f aca="false">-ROUND(IF(科目对照回款!$F$6="",0,SUMIFS(输入回款!$C:$C,输入回款!$A:$A,助手回款!$X34,输入回款!$B:$B,科目对照回款!$F$6)+SUMIFS(输入回款!$D:$D,输入回款!$A:$A,助手回款!$X34,输入回款!$B:$B,科目对照回款!$F$6))+IF(科目对照回款!$G$6="",0,SUMIFS(输入回款!$C:$C,输入回款!$A:$A,助手回款!$X34,输入回款!$B:$B,科目对照回款!$G$6)+SUMIFS(输入回款!$D:$D,输入回款!$A:$A,助手回款!$X34,输入回款!$B:$B,科目对照回款!$G$6))+IF(科目对照回款!$H$6="",0,SUMIFS(输入回款!$C:$C,输入回款!$A:$A,助手回款!$X34,输入回款!$B:$B,科目对照回款!$H$6)+SUMIFS(输入回款!$D:$D,输入回款!$A:$A,助手回款!$X34,输入回款!$B:$B,科目对照回款!$H$6)),2)</f>
        <v>-0</v>
      </c>
      <c r="H486" s="49" t="str">
        <f aca="false">IF(ROUND($G486,2)&gt;0,ROUND($G486,2),"")</f>
        <v/>
      </c>
      <c r="I486" s="49" t="str">
        <f aca="false">IF(ROUND($G486,2)&lt;0,-ROUND($G486,2),"")</f>
        <v/>
      </c>
      <c r="J486" s="20" t="n">
        <f aca="false">IF(ROUND($G486,2)=0,0,1)</f>
        <v>0</v>
      </c>
      <c r="K486" s="20" t="str">
        <f aca="false">IF($J486=0,"",SUM($J$482:$J486))</f>
        <v/>
      </c>
      <c r="L486" s="20" t="str">
        <f aca="false">IF($K486="","",$A486*100+$K486)</f>
        <v/>
      </c>
      <c r="M486" s="48" t="str">
        <f aca="false">参数!$B$4</f>
        <v>回款</v>
      </c>
    </row>
    <row r="487" customFormat="false" ht="13.5" hidden="false" customHeight="false" outlineLevel="0" collapsed="false">
      <c r="A487" s="47" t="n">
        <v>33</v>
      </c>
      <c r="B487" s="38" t="n">
        <f aca="false">助手回款!$B34</f>
        <v>2047</v>
      </c>
      <c r="C487" s="48" t="str">
        <f aca="false">助手回款!$C34</f>
        <v>博联店</v>
      </c>
      <c r="D487" s="48" t="str">
        <f aca="false">科目对照回款!$B7&amp;""</f>
        <v>饿了么</v>
      </c>
      <c r="E487" s="48" t="str">
        <f aca="false">科目对照回款!$C7&amp;""</f>
        <v>应收账款</v>
      </c>
      <c r="F487" s="48" t="str">
        <f aca="false">科目对照回款!$D7&amp;""</f>
        <v>饿了么</v>
      </c>
      <c r="G487" s="49" t="n">
        <f aca="false">-ROUND(IF(科目对照回款!$F$7="",0,SUMIFS(输入回款!$C:$C,输入回款!$A:$A,助手回款!$X34,输入回款!$B:$B,科目对照回款!$F$7)+SUMIFS(输入回款!$D:$D,输入回款!$A:$A,助手回款!$X34,输入回款!$B:$B,科目对照回款!$F$7))+IF(科目对照回款!$G$7="",0,SUMIFS(输入回款!$C:$C,输入回款!$A:$A,助手回款!$X34,输入回款!$B:$B,科目对照回款!$G$7)+SUMIFS(输入回款!$D:$D,输入回款!$A:$A,助手回款!$X34,输入回款!$B:$B,科目对照回款!$G$7))+IF(科目对照回款!$H$7="",0,SUMIFS(输入回款!$C:$C,输入回款!$A:$A,助手回款!$X34,输入回款!$B:$B,科目对照回款!$H$7)+SUMIFS(输入回款!$D:$D,输入回款!$A:$A,助手回款!$X34,输入回款!$B:$B,科目对照回款!$H$7)),2)</f>
        <v>-0</v>
      </c>
      <c r="H487" s="49" t="str">
        <f aca="false">IF(ROUND($G487,2)&gt;0,ROUND($G487,2),"")</f>
        <v/>
      </c>
      <c r="I487" s="49" t="str">
        <f aca="false">IF(ROUND($G487,2)&lt;0,-ROUND($G487,2),"")</f>
        <v/>
      </c>
      <c r="J487" s="20" t="n">
        <f aca="false">IF(ROUND($G487,2)=0,0,1)</f>
        <v>0</v>
      </c>
      <c r="K487" s="20" t="str">
        <f aca="false">IF($J487=0,"",SUM($J$482:$J487))</f>
        <v/>
      </c>
      <c r="L487" s="20" t="str">
        <f aca="false">IF($K487="","",$A487*100+$K487)</f>
        <v/>
      </c>
      <c r="M487" s="48" t="str">
        <f aca="false">参数!$B$4</f>
        <v>回款</v>
      </c>
    </row>
    <row r="488" customFormat="false" ht="13.5" hidden="false" customHeight="false" outlineLevel="0" collapsed="false">
      <c r="A488" s="47" t="n">
        <v>33</v>
      </c>
      <c r="B488" s="38" t="n">
        <f aca="false">助手回款!$B34</f>
        <v>2047</v>
      </c>
      <c r="C488" s="48" t="str">
        <f aca="false">助手回款!$C34</f>
        <v>博联店</v>
      </c>
      <c r="D488" s="48" t="str">
        <f aca="false">科目对照回款!$B8&amp;""</f>
        <v>24小时</v>
      </c>
      <c r="E488" s="48" t="str">
        <f aca="false">科目对照回款!$C8&amp;""</f>
        <v>应收账款</v>
      </c>
      <c r="F488" s="48" t="str">
        <f aca="false">科目对照回款!$D8&amp;""</f>
        <v>24小时</v>
      </c>
      <c r="G488" s="49" t="n">
        <f aca="false">-ROUND(IF(科目对照回款!$F$8="",0,SUMIFS(输入回款!$C:$C,输入回款!$A:$A,助手回款!$X34,输入回款!$B:$B,科目对照回款!$F$8)+SUMIFS(输入回款!$D:$D,输入回款!$A:$A,助手回款!$X34,输入回款!$B:$B,科目对照回款!$F$8))+IF(科目对照回款!$G$8="",0,SUMIFS(输入回款!$C:$C,输入回款!$A:$A,助手回款!$X34,输入回款!$B:$B,科目对照回款!$G$8)+SUMIFS(输入回款!$D:$D,输入回款!$A:$A,助手回款!$X34,输入回款!$B:$B,科目对照回款!$G$8))+IF(科目对照回款!$H$8="",0,SUMIFS(输入回款!$C:$C,输入回款!$A:$A,助手回款!$X34,输入回款!$B:$B,科目对照回款!$H$8)+SUMIFS(输入回款!$D:$D,输入回款!$A:$A,助手回款!$X34,输入回款!$B:$B,科目对照回款!$H$8)),2)</f>
        <v>-0</v>
      </c>
      <c r="H488" s="49" t="str">
        <f aca="false">IF(ROUND($G488,2)&gt;0,ROUND($G488,2),"")</f>
        <v/>
      </c>
      <c r="I488" s="49" t="str">
        <f aca="false">IF(ROUND($G488,2)&lt;0,-ROUND($G488,2),"")</f>
        <v/>
      </c>
      <c r="J488" s="20" t="n">
        <f aca="false">IF(ROUND($G488,2)=0,0,1)</f>
        <v>0</v>
      </c>
      <c r="K488" s="20" t="str">
        <f aca="false">IF($J488=0,"",SUM($J$482:$J488))</f>
        <v/>
      </c>
      <c r="L488" s="20" t="str">
        <f aca="false">IF($K488="","",$A488*100+$K488)</f>
        <v/>
      </c>
      <c r="M488" s="48" t="str">
        <f aca="false">参数!$B$4</f>
        <v>回款</v>
      </c>
    </row>
    <row r="489" customFormat="false" ht="13.5" hidden="false" customHeight="false" outlineLevel="0" collapsed="false">
      <c r="A489" s="47" t="n">
        <v>33</v>
      </c>
      <c r="B489" s="38" t="n">
        <f aca="false">助手回款!$B34</f>
        <v>2047</v>
      </c>
      <c r="C489" s="48" t="str">
        <f aca="false">助手回款!$C34</f>
        <v>博联店</v>
      </c>
      <c r="D489" s="48" t="str">
        <f aca="false">科目对照回款!$B9&amp;""</f>
        <v>健E卡</v>
      </c>
      <c r="E489" s="48" t="str">
        <f aca="false">科目对照回款!$C9&amp;""</f>
        <v>应收账款</v>
      </c>
      <c r="F489" s="48" t="str">
        <f aca="false">科目对照回款!$D9&amp;""</f>
        <v>健E卡</v>
      </c>
      <c r="G489" s="49" t="n">
        <f aca="false">-ROUND(IF(科目对照回款!$F$9="",0,SUMIFS(输入回款!$C:$C,输入回款!$A:$A,助手回款!$X34,输入回款!$B:$B,科目对照回款!$F$9)+SUMIFS(输入回款!$D:$D,输入回款!$A:$A,助手回款!$X34,输入回款!$B:$B,科目对照回款!$F$9))+IF(科目对照回款!$G$9="",0,SUMIFS(输入回款!$C:$C,输入回款!$A:$A,助手回款!$X34,输入回款!$B:$B,科目对照回款!$G$9)+SUMIFS(输入回款!$D:$D,输入回款!$A:$A,助手回款!$X34,输入回款!$B:$B,科目对照回款!$G$9))+IF(科目对照回款!$H$9="",0,SUMIFS(输入回款!$C:$C,输入回款!$A:$A,助手回款!$X34,输入回款!$B:$B,科目对照回款!$H$9)+SUMIFS(输入回款!$D:$D,输入回款!$A:$A,助手回款!$X34,输入回款!$B:$B,科目对照回款!$H$9)),2)</f>
        <v>-0</v>
      </c>
      <c r="H489" s="49" t="str">
        <f aca="false">IF(ROUND($G489,2)&gt;0,ROUND($G489,2),"")</f>
        <v/>
      </c>
      <c r="I489" s="49" t="str">
        <f aca="false">IF(ROUND($G489,2)&lt;0,-ROUND($G489,2),"")</f>
        <v/>
      </c>
      <c r="J489" s="20" t="n">
        <f aca="false">IF(ROUND($G489,2)=0,0,1)</f>
        <v>0</v>
      </c>
      <c r="K489" s="20" t="str">
        <f aca="false">IF($J489=0,"",SUM($J$482:$J489))</f>
        <v/>
      </c>
      <c r="L489" s="20" t="str">
        <f aca="false">IF($K489="","",$A489*100+$K489)</f>
        <v/>
      </c>
      <c r="M489" s="48" t="str">
        <f aca="false">参数!$B$4</f>
        <v>回款</v>
      </c>
    </row>
    <row r="490" customFormat="false" ht="13.5" hidden="false" customHeight="false" outlineLevel="0" collapsed="false">
      <c r="A490" s="47" t="n">
        <v>33</v>
      </c>
      <c r="B490" s="38" t="n">
        <f aca="false">助手回款!$B34</f>
        <v>2047</v>
      </c>
      <c r="C490" s="48" t="str">
        <f aca="false">助手回款!$C34</f>
        <v>博联店</v>
      </c>
      <c r="D490" s="48" t="str">
        <f aca="false">科目对照回款!$B10&amp;""</f>
        <v>医卡通</v>
      </c>
      <c r="E490" s="48" t="str">
        <f aca="false">科目对照回款!$C10&amp;""</f>
        <v>应收账款</v>
      </c>
      <c r="F490" s="48" t="str">
        <f aca="false">科目对照回款!$D10&amp;""</f>
        <v>医卡通</v>
      </c>
      <c r="G490" s="49" t="n">
        <f aca="false">-ROUND(IF(科目对照回款!$F$10="",0,SUMIFS(输入回款!$C:$C,输入回款!$A:$A,助手回款!$X34,输入回款!$B:$B,科目对照回款!$F$10)+SUMIFS(输入回款!$D:$D,输入回款!$A:$A,助手回款!$X34,输入回款!$B:$B,科目对照回款!$F$10))+IF(科目对照回款!$G$10="",0,SUMIFS(输入回款!$C:$C,输入回款!$A:$A,助手回款!$X34,输入回款!$B:$B,科目对照回款!$G$10)+SUMIFS(输入回款!$D:$D,输入回款!$A:$A,助手回款!$X34,输入回款!$B:$B,科目对照回款!$G$10))+IF(科目对照回款!$H$10="",0,SUMIFS(输入回款!$C:$C,输入回款!$A:$A,助手回款!$X34,输入回款!$B:$B,科目对照回款!$H$10)+SUMIFS(输入回款!$D:$D,输入回款!$A:$A,助手回款!$X34,输入回款!$B:$B,科目对照回款!$H$10)),2)</f>
        <v>-0</v>
      </c>
      <c r="H490" s="49" t="str">
        <f aca="false">IF(ROUND($G490,2)&gt;0,ROUND($G490,2),"")</f>
        <v/>
      </c>
      <c r="I490" s="49" t="str">
        <f aca="false">IF(ROUND($G490,2)&lt;0,-ROUND($G490,2),"")</f>
        <v/>
      </c>
      <c r="J490" s="20" t="n">
        <f aca="false">IF(ROUND($G490,2)=0,0,1)</f>
        <v>0</v>
      </c>
      <c r="K490" s="20" t="str">
        <f aca="false">IF($J490=0,"",SUM($J$482:$J490))</f>
        <v/>
      </c>
      <c r="L490" s="20" t="str">
        <f aca="false">IF($K490="","",$A490*100+$K490)</f>
        <v/>
      </c>
      <c r="M490" s="48" t="str">
        <f aca="false">参数!$B$4</f>
        <v>回款</v>
      </c>
    </row>
    <row r="491" customFormat="false" ht="13.5" hidden="false" customHeight="false" outlineLevel="0" collapsed="false">
      <c r="A491" s="47" t="n">
        <v>33</v>
      </c>
      <c r="B491" s="38" t="n">
        <f aca="false">助手回款!$B34</f>
        <v>2047</v>
      </c>
      <c r="C491" s="48" t="str">
        <f aca="false">助手回款!$C34</f>
        <v>博联店</v>
      </c>
      <c r="D491" s="48" t="str">
        <f aca="false">科目对照回款!$B11&amp;""</f>
        <v>企健网</v>
      </c>
      <c r="E491" s="48" t="str">
        <f aca="false">科目对照回款!$C11&amp;""</f>
        <v>应收账款</v>
      </c>
      <c r="F491" s="48" t="str">
        <f aca="false">科目对照回款!$D11&amp;""</f>
        <v>企健网</v>
      </c>
      <c r="G491" s="49" t="n">
        <f aca="false">-ROUND(IF(科目对照回款!$F$11="",0,SUMIFS(输入回款!$C:$C,输入回款!$A:$A,助手回款!$X34,输入回款!$B:$B,科目对照回款!$F$11)+SUMIFS(输入回款!$D:$D,输入回款!$A:$A,助手回款!$X34,输入回款!$B:$B,科目对照回款!$F$11))+IF(科目对照回款!$G$11="",0,SUMIFS(输入回款!$C:$C,输入回款!$A:$A,助手回款!$X34,输入回款!$B:$B,科目对照回款!$G$11)+SUMIFS(输入回款!$D:$D,输入回款!$A:$A,助手回款!$X34,输入回款!$B:$B,科目对照回款!$G$11))+IF(科目对照回款!$H$11="",0,SUMIFS(输入回款!$C:$C,输入回款!$A:$A,助手回款!$X34,输入回款!$B:$B,科目对照回款!$H$11)+SUMIFS(输入回款!$D:$D,输入回款!$A:$A,助手回款!$X34,输入回款!$B:$B,科目对照回款!$H$11)),2)</f>
        <v>-0</v>
      </c>
      <c r="H491" s="49" t="str">
        <f aca="false">IF(ROUND($G491,2)&gt;0,ROUND($G491,2),"")</f>
        <v/>
      </c>
      <c r="I491" s="49" t="str">
        <f aca="false">IF(ROUND($G491,2)&lt;0,-ROUND($G491,2),"")</f>
        <v/>
      </c>
      <c r="J491" s="20" t="n">
        <f aca="false">IF(ROUND($G491,2)=0,0,1)</f>
        <v>0</v>
      </c>
      <c r="K491" s="20" t="str">
        <f aca="false">IF($J491=0,"",SUM($J$482:$J491))</f>
        <v/>
      </c>
      <c r="L491" s="20" t="str">
        <f aca="false">IF($K491="","",$A491*100+$K491)</f>
        <v/>
      </c>
      <c r="M491" s="48" t="str">
        <f aca="false">参数!$B$4</f>
        <v>回款</v>
      </c>
    </row>
    <row r="492" customFormat="false" ht="13.5" hidden="false" customHeight="false" outlineLevel="0" collapsed="false">
      <c r="A492" s="47" t="n">
        <v>33</v>
      </c>
      <c r="B492" s="38" t="n">
        <f aca="false">助手回款!$B34</f>
        <v>2047</v>
      </c>
      <c r="C492" s="48" t="str">
        <f aca="false">助手回款!$C34</f>
        <v>博联店</v>
      </c>
      <c r="D492" s="48" t="str">
        <f aca="false">科目对照回款!$B12&amp;""</f>
        <v>亲情卡</v>
      </c>
      <c r="E492" s="48" t="str">
        <f aca="false">科目对照回款!$C12&amp;""</f>
        <v>应收账款</v>
      </c>
      <c r="F492" s="48" t="str">
        <f aca="false">科目对照回款!$D12&amp;""</f>
        <v>亲情卡</v>
      </c>
      <c r="G492" s="49" t="n">
        <f aca="false">-ROUND(IF(科目对照回款!$F$12="",0,SUMIFS(输入回款!$C:$C,输入回款!$A:$A,助手回款!$X34,输入回款!$B:$B,科目对照回款!$F$12)+SUMIFS(输入回款!$D:$D,输入回款!$A:$A,助手回款!$X34,输入回款!$B:$B,科目对照回款!$F$12))+IF(科目对照回款!$G$12="",0,SUMIFS(输入回款!$C:$C,输入回款!$A:$A,助手回款!$X34,输入回款!$B:$B,科目对照回款!$G$12)+SUMIFS(输入回款!$D:$D,输入回款!$A:$A,助手回款!$X34,输入回款!$B:$B,科目对照回款!$G$12))+IF(科目对照回款!$H$12="",0,SUMIFS(输入回款!$C:$C,输入回款!$A:$A,助手回款!$X34,输入回款!$B:$B,科目对照回款!$H$12)+SUMIFS(输入回款!$D:$D,输入回款!$A:$A,助手回款!$X34,输入回款!$B:$B,科目对照回款!$H$12)),2)</f>
        <v>-0</v>
      </c>
      <c r="H492" s="49" t="str">
        <f aca="false">IF(ROUND($G492,2)&gt;0,ROUND($G492,2),"")</f>
        <v/>
      </c>
      <c r="I492" s="49" t="str">
        <f aca="false">IF(ROUND($G492,2)&lt;0,-ROUND($G492,2),"")</f>
        <v/>
      </c>
      <c r="J492" s="20" t="n">
        <f aca="false">IF(ROUND($G492,2)=0,0,1)</f>
        <v>0</v>
      </c>
      <c r="K492" s="20" t="str">
        <f aca="false">IF($J492=0,"",SUM($J$482:$J492))</f>
        <v/>
      </c>
      <c r="L492" s="20" t="str">
        <f aca="false">IF($K492="","",$A492*100+$K492)</f>
        <v/>
      </c>
      <c r="M492" s="48" t="str">
        <f aca="false">参数!$B$4</f>
        <v>回款</v>
      </c>
    </row>
    <row r="493" customFormat="false" ht="13.5" hidden="false" customHeight="false" outlineLevel="0" collapsed="false">
      <c r="A493" s="47" t="n">
        <v>33</v>
      </c>
      <c r="B493" s="38" t="n">
        <f aca="false">助手回款!$B34</f>
        <v>2047</v>
      </c>
      <c r="C493" s="48" t="str">
        <f aca="false">助手回款!$C34</f>
        <v>博联店</v>
      </c>
      <c r="D493" s="48" t="str">
        <f aca="false">科目对照回款!$B13&amp;""</f>
        <v>银联</v>
      </c>
      <c r="E493" s="48" t="str">
        <f aca="false">科目对照回款!$C13&amp;""</f>
        <v>应收账款</v>
      </c>
      <c r="F493" s="48" t="str">
        <f aca="false">科目对照回款!$D13&amp;""</f>
        <v>银联</v>
      </c>
      <c r="G493" s="49" t="n">
        <f aca="false">-ROUND(IF(科目对照回款!$F$13="",0,SUMIFS(输入回款!$C:$C,输入回款!$A:$A,助手回款!$X34,输入回款!$B:$B,科目对照回款!$F$13)+SUMIFS(输入回款!$D:$D,输入回款!$A:$A,助手回款!$X34,输入回款!$B:$B,科目对照回款!$F$13))+IF(科目对照回款!$G$13="",0,SUMIFS(输入回款!$C:$C,输入回款!$A:$A,助手回款!$X34,输入回款!$B:$B,科目对照回款!$G$13)+SUMIFS(输入回款!$D:$D,输入回款!$A:$A,助手回款!$X34,输入回款!$B:$B,科目对照回款!$G$13))+IF(科目对照回款!$H$13="",0,SUMIFS(输入回款!$C:$C,输入回款!$A:$A,助手回款!$X34,输入回款!$B:$B,科目对照回款!$H$13)+SUMIFS(输入回款!$D:$D,输入回款!$A:$A,助手回款!$X34,输入回款!$B:$B,科目对照回款!$H$13)),2)</f>
        <v>-0</v>
      </c>
      <c r="H493" s="49" t="str">
        <f aca="false">IF(ROUND($G493,2)&gt;0,ROUND($G493,2),"")</f>
        <v/>
      </c>
      <c r="I493" s="49" t="str">
        <f aca="false">IF(ROUND($G493,2)&lt;0,-ROUND($G493,2),"")</f>
        <v/>
      </c>
      <c r="J493" s="20" t="n">
        <f aca="false">IF(ROUND($G493,2)=0,0,1)</f>
        <v>0</v>
      </c>
      <c r="K493" s="20" t="str">
        <f aca="false">IF($J493=0,"",SUM($J$482:$J493))</f>
        <v/>
      </c>
      <c r="L493" s="20" t="str">
        <f aca="false">IF($K493="","",$A493*100+$K493)</f>
        <v/>
      </c>
      <c r="M493" s="48" t="str">
        <f aca="false">参数!$B$4</f>
        <v>回款</v>
      </c>
    </row>
    <row r="494" customFormat="false" ht="13.5" hidden="false" customHeight="false" outlineLevel="0" collapsed="false">
      <c r="A494" s="47" t="n">
        <v>33</v>
      </c>
      <c r="B494" s="38" t="n">
        <f aca="false">助手回款!$B34</f>
        <v>2047</v>
      </c>
      <c r="C494" s="48" t="str">
        <f aca="false">助手回款!$C34</f>
        <v>博联店</v>
      </c>
      <c r="D494" s="48" t="str">
        <f aca="false">科目对照回款!$B14&amp;""</f>
        <v>代金券</v>
      </c>
      <c r="E494" s="48" t="str">
        <f aca="false">科目对照回款!$C14&amp;""</f>
        <v>应收账款</v>
      </c>
      <c r="F494" s="48" t="str">
        <f aca="false">科目对照回款!$D14&amp;""</f>
        <v>代金券</v>
      </c>
      <c r="G494" s="49" t="n">
        <f aca="false">-ROUND(IF(科目对照回款!$F$14="",0,SUMIFS(输入回款!$C:$C,输入回款!$A:$A,助手回款!$X34,输入回款!$B:$B,科目对照回款!$F$14)+SUMIFS(输入回款!$D:$D,输入回款!$A:$A,助手回款!$X34,输入回款!$B:$B,科目对照回款!$F$14))+IF(科目对照回款!$G$14="",0,SUMIFS(输入回款!$C:$C,输入回款!$A:$A,助手回款!$X34,输入回款!$B:$B,科目对照回款!$G$14)+SUMIFS(输入回款!$D:$D,输入回款!$A:$A,助手回款!$X34,输入回款!$B:$B,科目对照回款!$G$14))+IF(科目对照回款!$H$14="",0,SUMIFS(输入回款!$C:$C,输入回款!$A:$A,助手回款!$X34,输入回款!$B:$B,科目对照回款!$H$14)+SUMIFS(输入回款!$D:$D,输入回款!$A:$A,助手回款!$X34,输入回款!$B:$B,科目对照回款!$H$14)),2)</f>
        <v>-0</v>
      </c>
      <c r="H494" s="49" t="str">
        <f aca="false">IF(ROUND($G494,2)&gt;0,ROUND($G494,2),"")</f>
        <v/>
      </c>
      <c r="I494" s="49" t="str">
        <f aca="false">IF(ROUND($G494,2)&lt;0,-ROUND($G494,2),"")</f>
        <v/>
      </c>
      <c r="J494" s="20" t="n">
        <f aca="false">IF(ROUND($G494,2)=0,0,1)</f>
        <v>0</v>
      </c>
      <c r="K494" s="20" t="str">
        <f aca="false">IF($J494=0,"",SUM($J$482:$J494))</f>
        <v/>
      </c>
      <c r="L494" s="20" t="str">
        <f aca="false">IF($K494="","",$A494*100+$K494)</f>
        <v/>
      </c>
      <c r="M494" s="48" t="str">
        <f aca="false">参数!$B$4</f>
        <v>回款</v>
      </c>
    </row>
    <row r="495" customFormat="false" ht="13.5" hidden="false" customHeight="false" outlineLevel="0" collapsed="false">
      <c r="A495" s="47" t="n">
        <v>33</v>
      </c>
      <c r="B495" s="38" t="n">
        <f aca="false">助手回款!$B34</f>
        <v>2047</v>
      </c>
      <c r="C495" s="48" t="str">
        <f aca="false">助手回款!$C34</f>
        <v>博联店</v>
      </c>
      <c r="D495" s="48" t="str">
        <f aca="false">科目对照回款!$B15&amp;""</f>
        <v>药机微信</v>
      </c>
      <c r="E495" s="48" t="str">
        <f aca="false">科目对照回款!$C15&amp;""</f>
        <v>应收账款</v>
      </c>
      <c r="F495" s="48" t="str">
        <f aca="false">科目对照回款!$D15&amp;""</f>
        <v>药机微信</v>
      </c>
      <c r="G495" s="49" t="n">
        <f aca="false">-ROUND(IF(科目对照回款!$F$15="",0,SUMIFS(输入回款!$C:$C,输入回款!$A:$A,助手回款!$X34,输入回款!$B:$B,科目对照回款!$F$15)+SUMIFS(输入回款!$D:$D,输入回款!$A:$A,助手回款!$X34,输入回款!$B:$B,科目对照回款!$F$15))+IF(科目对照回款!$G$15="",0,SUMIFS(输入回款!$C:$C,输入回款!$A:$A,助手回款!$X34,输入回款!$B:$B,科目对照回款!$G$15)+SUMIFS(输入回款!$D:$D,输入回款!$A:$A,助手回款!$X34,输入回款!$B:$B,科目对照回款!$G$15))+IF(科目对照回款!$H$15="",0,SUMIFS(输入回款!$C:$C,输入回款!$A:$A,助手回款!$X34,输入回款!$B:$B,科目对照回款!$H$15)+SUMIFS(输入回款!$D:$D,输入回款!$A:$A,助手回款!$X34,输入回款!$B:$B,科目对照回款!$H$15)),2)</f>
        <v>-0</v>
      </c>
      <c r="H495" s="49" t="str">
        <f aca="false">IF(ROUND($G495,2)&gt;0,ROUND($G495,2),"")</f>
        <v/>
      </c>
      <c r="I495" s="49" t="str">
        <f aca="false">IF(ROUND($G495,2)&lt;0,-ROUND($G495,2),"")</f>
        <v/>
      </c>
      <c r="J495" s="20" t="n">
        <f aca="false">IF(ROUND($G495,2)=0,0,1)</f>
        <v>0</v>
      </c>
      <c r="K495" s="20" t="str">
        <f aca="false">IF($J495=0,"",SUM($J$482:$J495))</f>
        <v/>
      </c>
      <c r="L495" s="20" t="str">
        <f aca="false">IF($K495="","",$A495*100+$K495)</f>
        <v/>
      </c>
      <c r="M495" s="48" t="str">
        <f aca="false">参数!$B$4</f>
        <v>回款</v>
      </c>
    </row>
    <row r="496" customFormat="false" ht="13.5" hidden="false" customHeight="false" outlineLevel="0" collapsed="false">
      <c r="A496" s="47" t="n">
        <v>33</v>
      </c>
      <c r="B496" s="38" t="n">
        <f aca="false">助手回款!$B34</f>
        <v>2047</v>
      </c>
      <c r="C496" s="48" t="str">
        <f aca="false">助手回款!$C34</f>
        <v>博联店</v>
      </c>
      <c r="D496" s="48" t="str">
        <f aca="false">科目对照回款!$B16&amp;""</f>
        <v>储值卡</v>
      </c>
      <c r="E496" s="48" t="str">
        <f aca="false">科目对照回款!$C16&amp;""</f>
        <v>其他应收款</v>
      </c>
      <c r="F496" s="48" t="str">
        <f aca="false">科目对照回款!$D16&amp;""</f>
        <v>储值卡</v>
      </c>
      <c r="G496" s="49" t="n">
        <f aca="false">-ROUND(IF(科目对照回款!$F$16="",0,SUMIFS(输入回款!$C:$C,输入回款!$A:$A,助手回款!$X34,输入回款!$B:$B,科目对照回款!$F$16)+SUMIFS(输入回款!$D:$D,输入回款!$A:$A,助手回款!$X34,输入回款!$B:$B,科目对照回款!$F$16))+IF(科目对照回款!$G$16="",0,SUMIFS(输入回款!$C:$C,输入回款!$A:$A,助手回款!$X34,输入回款!$B:$B,科目对照回款!$G$16)+SUMIFS(输入回款!$D:$D,输入回款!$A:$A,助手回款!$X34,输入回款!$B:$B,科目对照回款!$G$16))+IF(科目对照回款!$H$16="",0,SUMIFS(输入回款!$C:$C,输入回款!$A:$A,助手回款!$X34,输入回款!$B:$B,科目对照回款!$H$16)+SUMIFS(输入回款!$D:$D,输入回款!$A:$A,助手回款!$X34,输入回款!$B:$B,科目对照回款!$H$16)),2)</f>
        <v>-0</v>
      </c>
      <c r="H496" s="49" t="str">
        <f aca="false">IF(ROUND($G496,2)&gt;0,ROUND($G496,2),"")</f>
        <v/>
      </c>
      <c r="I496" s="49" t="str">
        <f aca="false">IF(ROUND($G496,2)&lt;0,-ROUND($G496,2),"")</f>
        <v/>
      </c>
      <c r="J496" s="20" t="n">
        <f aca="false">IF(ROUND($G496,2)=0,0,1)</f>
        <v>0</v>
      </c>
      <c r="K496" s="20" t="str">
        <f aca="false">IF($J496=0,"",SUM($J$482:$J496))</f>
        <v/>
      </c>
      <c r="L496" s="20" t="str">
        <f aca="false">IF($K496="","",$A496*100+$K496)</f>
        <v/>
      </c>
      <c r="M496" s="48" t="str">
        <f aca="false">参数!$B$4</f>
        <v>回款</v>
      </c>
    </row>
    <row r="497" customFormat="false" ht="13.5" hidden="false" customHeight="false" outlineLevel="0" collapsed="false">
      <c r="A497" s="47" t="n">
        <v>34</v>
      </c>
      <c r="B497" s="38" t="n">
        <f aca="false">助手回款!$B35</f>
        <v>2050</v>
      </c>
      <c r="C497" s="48" t="str">
        <f aca="false">助手回款!$C35</f>
        <v>博尚店</v>
      </c>
      <c r="D497" s="48" t="str">
        <f aca="false">科目对照回款!$B2&amp;""</f>
        <v>库存现金</v>
      </c>
      <c r="E497" s="48" t="str">
        <f aca="false">科目对照回款!$C2&amp;""</f>
        <v>库存现金</v>
      </c>
      <c r="F497" s="48" t="str">
        <f aca="false">科目对照回款!$D2&amp;""</f>
        <v/>
      </c>
      <c r="G497" s="49" t="n">
        <f aca="false">助手回款!$E35</f>
        <v>25383.46</v>
      </c>
      <c r="H497" s="49" t="n">
        <f aca="false">IF(ROUND($G497,2)&gt;0,ROUND($G497,2),"")</f>
        <v>25383.46</v>
      </c>
      <c r="I497" s="49" t="str">
        <f aca="false">IF(ROUND($G497,2)&lt;0,-ROUND($G497,2),"")</f>
        <v/>
      </c>
      <c r="J497" s="20" t="n">
        <f aca="false">IF(ROUND($G497,2)=0,0,1)</f>
        <v>1</v>
      </c>
      <c r="K497" s="20" t="n">
        <f aca="false">IF($J497=0,"",SUM($J$497:$J497))</f>
        <v>1</v>
      </c>
      <c r="L497" s="20" t="n">
        <f aca="false">IF($K497="","",$A497*100+$K497)</f>
        <v>3401</v>
      </c>
      <c r="M497" s="48" t="str">
        <f aca="false">参数!$B$4</f>
        <v>回款</v>
      </c>
    </row>
    <row r="498" customFormat="false" ht="13.5" hidden="false" customHeight="false" outlineLevel="0" collapsed="false">
      <c r="A498" s="47" t="n">
        <v>34</v>
      </c>
      <c r="B498" s="38" t="n">
        <f aca="false">助手回款!$B35</f>
        <v>2050</v>
      </c>
      <c r="C498" s="48" t="str">
        <f aca="false">助手回款!$C35</f>
        <v>博尚店</v>
      </c>
      <c r="D498" s="48" t="str">
        <f aca="false">科目对照回款!$B3&amp;""</f>
        <v>手续费</v>
      </c>
      <c r="E498" s="48" t="str">
        <f aca="false">科目对照回款!$C3&amp;""</f>
        <v>财务费用</v>
      </c>
      <c r="F498" s="48" t="str">
        <f aca="false">科目对照回款!$D3&amp;""</f>
        <v>手续费</v>
      </c>
      <c r="G498" s="49" t="n">
        <f aca="false">助手回款!$F35</f>
        <v>73.91</v>
      </c>
      <c r="H498" s="49" t="n">
        <f aca="false">IF(ROUND($G498,2)&gt;0,ROUND($G498,2),"")</f>
        <v>73.91</v>
      </c>
      <c r="I498" s="49" t="str">
        <f aca="false">IF(ROUND($G498,2)&lt;0,-ROUND($G498,2),"")</f>
        <v/>
      </c>
      <c r="J498" s="20" t="n">
        <f aca="false">IF(ROUND($G498,2)=0,0,1)</f>
        <v>1</v>
      </c>
      <c r="K498" s="20" t="n">
        <f aca="false">IF($J498=0,"",SUM($J$497:$J498))</f>
        <v>2</v>
      </c>
      <c r="L498" s="20" t="n">
        <f aca="false">IF($K498="","",$A498*100+$K498)</f>
        <v>3402</v>
      </c>
      <c r="M498" s="48" t="str">
        <f aca="false">参数!$B$4</f>
        <v>回款</v>
      </c>
    </row>
    <row r="499" customFormat="false" ht="13.5" hidden="false" customHeight="false" outlineLevel="0" collapsed="false">
      <c r="A499" s="47" t="n">
        <v>34</v>
      </c>
      <c r="B499" s="38" t="n">
        <f aca="false">助手回款!$B35</f>
        <v>2050</v>
      </c>
      <c r="C499" s="48" t="str">
        <f aca="false">助手回款!$C35</f>
        <v>博尚店</v>
      </c>
      <c r="D499" s="48" t="str">
        <f aca="false">科目对照回款!$B4&amp;""</f>
        <v>聚合支付</v>
      </c>
      <c r="E499" s="48" t="str">
        <f aca="false">科目对照回款!$C4&amp;""</f>
        <v>应收账款</v>
      </c>
      <c r="F499" s="48" t="str">
        <f aca="false">科目对照回款!$D4&amp;""</f>
        <v>聚合支付</v>
      </c>
      <c r="G499" s="49" t="n">
        <f aca="false">-ROUND(IF(科目对照回款!$F$4="",0,SUMIFS(输入回款!$C:$C,输入回款!$A:$A,助手回款!$X35,输入回款!$B:$B,科目对照回款!$F$4)+SUMIFS(输入回款!$D:$D,输入回款!$A:$A,助手回款!$X35,输入回款!$B:$B,科目对照回款!$F$4))+IF(科目对照回款!$G$4="",0,SUMIFS(输入回款!$C:$C,输入回款!$A:$A,助手回款!$X35,输入回款!$B:$B,科目对照回款!$G$4)+SUMIFS(输入回款!$D:$D,输入回款!$A:$A,助手回款!$X35,输入回款!$B:$B,科目对照回款!$G$4))+IF(科目对照回款!$H$4="",0,SUMIFS(输入回款!$C:$C,输入回款!$A:$A,助手回款!$X35,输入回款!$B:$B,科目对照回款!$H$4)+SUMIFS(输入回款!$D:$D,输入回款!$A:$A,助手回款!$X35,输入回款!$B:$B,科目对照回款!$H$4)),2)</f>
        <v>-17000.61</v>
      </c>
      <c r="H499" s="49" t="str">
        <f aca="false">IF(ROUND($G499,2)&gt;0,ROUND($G499,2),"")</f>
        <v/>
      </c>
      <c r="I499" s="49" t="n">
        <f aca="false">IF(ROUND($G499,2)&lt;0,-ROUND($G499,2),"")</f>
        <v>17000.61</v>
      </c>
      <c r="J499" s="20" t="n">
        <f aca="false">IF(ROUND($G499,2)=0,0,1)</f>
        <v>1</v>
      </c>
      <c r="K499" s="20" t="n">
        <f aca="false">IF($J499=0,"",SUM($J$497:$J499))</f>
        <v>3</v>
      </c>
      <c r="L499" s="20" t="n">
        <f aca="false">IF($K499="","",$A499*100+$K499)</f>
        <v>3403</v>
      </c>
      <c r="M499" s="48" t="str">
        <f aca="false">参数!$B$4</f>
        <v>回款</v>
      </c>
    </row>
    <row r="500" customFormat="false" ht="13.5" hidden="false" customHeight="false" outlineLevel="0" collapsed="false">
      <c r="A500" s="47" t="n">
        <v>34</v>
      </c>
      <c r="B500" s="38" t="n">
        <f aca="false">助手回款!$B35</f>
        <v>2050</v>
      </c>
      <c r="C500" s="48" t="str">
        <f aca="false">助手回款!$C35</f>
        <v>博尚店</v>
      </c>
      <c r="D500" s="48" t="str">
        <f aca="false">科目对照回款!$B5&amp;""</f>
        <v>医保</v>
      </c>
      <c r="E500" s="48" t="str">
        <f aca="false">科目对照回款!$C5&amp;""</f>
        <v>应收账款</v>
      </c>
      <c r="F500" s="48" t="str">
        <f aca="false">科目对照回款!$D5&amp;""</f>
        <v>医保</v>
      </c>
      <c r="G500" s="49" t="n">
        <f aca="false">-ROUND(IF(科目对照回款!$F$5="",0,SUMIFS(输入回款!$C:$C,输入回款!$A:$A,助手回款!$X35,输入回款!$B:$B,科目对照回款!$F$5)+SUMIFS(输入回款!$D:$D,输入回款!$A:$A,助手回款!$X35,输入回款!$B:$B,科目对照回款!$F$5))+IF(科目对照回款!$G$5="",0,SUMIFS(输入回款!$C:$C,输入回款!$A:$A,助手回款!$X35,输入回款!$B:$B,科目对照回款!$G$5)+SUMIFS(输入回款!$D:$D,输入回款!$A:$A,助手回款!$X35,输入回款!$B:$B,科目对照回款!$G$5))+IF(科目对照回款!$H$5="",0,SUMIFS(输入回款!$C:$C,输入回款!$A:$A,助手回款!$X35,输入回款!$B:$B,科目对照回款!$H$5)+SUMIFS(输入回款!$D:$D,输入回款!$A:$A,助手回款!$X35,输入回款!$B:$B,科目对照回款!$H$5)),2)</f>
        <v>-7951.36</v>
      </c>
      <c r="H500" s="49" t="str">
        <f aca="false">IF(ROUND($G500,2)&gt;0,ROUND($G500,2),"")</f>
        <v/>
      </c>
      <c r="I500" s="49" t="n">
        <f aca="false">IF(ROUND($G500,2)&lt;0,-ROUND($G500,2),"")</f>
        <v>7951.36</v>
      </c>
      <c r="J500" s="20" t="n">
        <f aca="false">IF(ROUND($G500,2)=0,0,1)</f>
        <v>1</v>
      </c>
      <c r="K500" s="20" t="n">
        <f aca="false">IF($J500=0,"",SUM($J$497:$J500))</f>
        <v>4</v>
      </c>
      <c r="L500" s="20" t="n">
        <f aca="false">IF($K500="","",$A500*100+$K500)</f>
        <v>3404</v>
      </c>
      <c r="M500" s="48" t="str">
        <f aca="false">参数!$B$4</f>
        <v>回款</v>
      </c>
    </row>
    <row r="501" customFormat="false" ht="13.5" hidden="false" customHeight="false" outlineLevel="0" collapsed="false">
      <c r="A501" s="47" t="n">
        <v>34</v>
      </c>
      <c r="B501" s="38" t="n">
        <f aca="false">助手回款!$B35</f>
        <v>2050</v>
      </c>
      <c r="C501" s="48" t="str">
        <f aca="false">助手回款!$C35</f>
        <v>博尚店</v>
      </c>
      <c r="D501" s="48" t="str">
        <f aca="false">科目对照回款!$B6&amp;""</f>
        <v>美团</v>
      </c>
      <c r="E501" s="48" t="str">
        <f aca="false">科目对照回款!$C6&amp;""</f>
        <v>应收账款</v>
      </c>
      <c r="F501" s="48" t="str">
        <f aca="false">科目对照回款!$D6&amp;""</f>
        <v>美团</v>
      </c>
      <c r="G501" s="49" t="n">
        <f aca="false">-ROUND(IF(科目对照回款!$F$6="",0,SUMIFS(输入回款!$C:$C,输入回款!$A:$A,助手回款!$X35,输入回款!$B:$B,科目对照回款!$F$6)+SUMIFS(输入回款!$D:$D,输入回款!$A:$A,助手回款!$X35,输入回款!$B:$B,科目对照回款!$F$6))+IF(科目对照回款!$G$6="",0,SUMIFS(输入回款!$C:$C,输入回款!$A:$A,助手回款!$X35,输入回款!$B:$B,科目对照回款!$G$6)+SUMIFS(输入回款!$D:$D,输入回款!$A:$A,助手回款!$X35,输入回款!$B:$B,科目对照回款!$G$6))+IF(科目对照回款!$H$6="",0,SUMIFS(输入回款!$C:$C,输入回款!$A:$A,助手回款!$X35,输入回款!$B:$B,科目对照回款!$H$6)+SUMIFS(输入回款!$D:$D,输入回款!$A:$A,助手回款!$X35,输入回款!$B:$B,科目对照回款!$H$6)),2)</f>
        <v>-418.6</v>
      </c>
      <c r="H501" s="49" t="str">
        <f aca="false">IF(ROUND($G501,2)&gt;0,ROUND($G501,2),"")</f>
        <v/>
      </c>
      <c r="I501" s="49" t="n">
        <f aca="false">IF(ROUND($G501,2)&lt;0,-ROUND($G501,2),"")</f>
        <v>418.6</v>
      </c>
      <c r="J501" s="20" t="n">
        <f aca="false">IF(ROUND($G501,2)=0,0,1)</f>
        <v>1</v>
      </c>
      <c r="K501" s="20" t="n">
        <f aca="false">IF($J501=0,"",SUM($J$497:$J501))</f>
        <v>5</v>
      </c>
      <c r="L501" s="20" t="n">
        <f aca="false">IF($K501="","",$A501*100+$K501)</f>
        <v>3405</v>
      </c>
      <c r="M501" s="48" t="str">
        <f aca="false">参数!$B$4</f>
        <v>回款</v>
      </c>
    </row>
    <row r="502" customFormat="false" ht="13.5" hidden="false" customHeight="false" outlineLevel="0" collapsed="false">
      <c r="A502" s="47" t="n">
        <v>34</v>
      </c>
      <c r="B502" s="38" t="n">
        <f aca="false">助手回款!$B35</f>
        <v>2050</v>
      </c>
      <c r="C502" s="48" t="str">
        <f aca="false">助手回款!$C35</f>
        <v>博尚店</v>
      </c>
      <c r="D502" s="48" t="str">
        <f aca="false">科目对照回款!$B7&amp;""</f>
        <v>饿了么</v>
      </c>
      <c r="E502" s="48" t="str">
        <f aca="false">科目对照回款!$C7&amp;""</f>
        <v>应收账款</v>
      </c>
      <c r="F502" s="48" t="str">
        <f aca="false">科目对照回款!$D7&amp;""</f>
        <v>饿了么</v>
      </c>
      <c r="G502" s="49" t="n">
        <f aca="false">-ROUND(IF(科目对照回款!$F$7="",0,SUMIFS(输入回款!$C:$C,输入回款!$A:$A,助手回款!$X35,输入回款!$B:$B,科目对照回款!$F$7)+SUMIFS(输入回款!$D:$D,输入回款!$A:$A,助手回款!$X35,输入回款!$B:$B,科目对照回款!$F$7))+IF(科目对照回款!$G$7="",0,SUMIFS(输入回款!$C:$C,输入回款!$A:$A,助手回款!$X35,输入回款!$B:$B,科目对照回款!$G$7)+SUMIFS(输入回款!$D:$D,输入回款!$A:$A,助手回款!$X35,输入回款!$B:$B,科目对照回款!$G$7))+IF(科目对照回款!$H$7="",0,SUMIFS(输入回款!$C:$C,输入回款!$A:$A,助手回款!$X35,输入回款!$B:$B,科目对照回款!$H$7)+SUMIFS(输入回款!$D:$D,输入回款!$A:$A,助手回款!$X35,输入回款!$B:$B,科目对照回款!$H$7)),2)</f>
        <v>-0</v>
      </c>
      <c r="H502" s="49" t="str">
        <f aca="false">IF(ROUND($G502,2)&gt;0,ROUND($G502,2),"")</f>
        <v/>
      </c>
      <c r="I502" s="49" t="str">
        <f aca="false">IF(ROUND($G502,2)&lt;0,-ROUND($G502,2),"")</f>
        <v/>
      </c>
      <c r="J502" s="20" t="n">
        <f aca="false">IF(ROUND($G502,2)=0,0,1)</f>
        <v>0</v>
      </c>
      <c r="K502" s="20" t="str">
        <f aca="false">IF($J502=0,"",SUM($J$497:$J502))</f>
        <v/>
      </c>
      <c r="L502" s="20" t="str">
        <f aca="false">IF($K502="","",$A502*100+$K502)</f>
        <v/>
      </c>
      <c r="M502" s="48" t="str">
        <f aca="false">参数!$B$4</f>
        <v>回款</v>
      </c>
    </row>
    <row r="503" customFormat="false" ht="13.5" hidden="false" customHeight="false" outlineLevel="0" collapsed="false">
      <c r="A503" s="47" t="n">
        <v>34</v>
      </c>
      <c r="B503" s="38" t="n">
        <f aca="false">助手回款!$B35</f>
        <v>2050</v>
      </c>
      <c r="C503" s="48" t="str">
        <f aca="false">助手回款!$C35</f>
        <v>博尚店</v>
      </c>
      <c r="D503" s="48" t="str">
        <f aca="false">科目对照回款!$B8&amp;""</f>
        <v>24小时</v>
      </c>
      <c r="E503" s="48" t="str">
        <f aca="false">科目对照回款!$C8&amp;""</f>
        <v>应收账款</v>
      </c>
      <c r="F503" s="48" t="str">
        <f aca="false">科目对照回款!$D8&amp;""</f>
        <v>24小时</v>
      </c>
      <c r="G503" s="49" t="n">
        <f aca="false">-ROUND(IF(科目对照回款!$F$8="",0,SUMIFS(输入回款!$C:$C,输入回款!$A:$A,助手回款!$X35,输入回款!$B:$B,科目对照回款!$F$8)+SUMIFS(输入回款!$D:$D,输入回款!$A:$A,助手回款!$X35,输入回款!$B:$B,科目对照回款!$F$8))+IF(科目对照回款!$G$8="",0,SUMIFS(输入回款!$C:$C,输入回款!$A:$A,助手回款!$X35,输入回款!$B:$B,科目对照回款!$G$8)+SUMIFS(输入回款!$D:$D,输入回款!$A:$A,助手回款!$X35,输入回款!$B:$B,科目对照回款!$G$8))+IF(科目对照回款!$H$8="",0,SUMIFS(输入回款!$C:$C,输入回款!$A:$A,助手回款!$X35,输入回款!$B:$B,科目对照回款!$H$8)+SUMIFS(输入回款!$D:$D,输入回款!$A:$A,助手回款!$X35,输入回款!$B:$B,科目对照回款!$H$8)),2)</f>
        <v>-0</v>
      </c>
      <c r="H503" s="49" t="str">
        <f aca="false">IF(ROUND($G503,2)&gt;0,ROUND($G503,2),"")</f>
        <v/>
      </c>
      <c r="I503" s="49" t="str">
        <f aca="false">IF(ROUND($G503,2)&lt;0,-ROUND($G503,2),"")</f>
        <v/>
      </c>
      <c r="J503" s="20" t="n">
        <f aca="false">IF(ROUND($G503,2)=0,0,1)</f>
        <v>0</v>
      </c>
      <c r="K503" s="20" t="str">
        <f aca="false">IF($J503=0,"",SUM($J$497:$J503))</f>
        <v/>
      </c>
      <c r="L503" s="20" t="str">
        <f aca="false">IF($K503="","",$A503*100+$K503)</f>
        <v/>
      </c>
      <c r="M503" s="48" t="str">
        <f aca="false">参数!$B$4</f>
        <v>回款</v>
      </c>
    </row>
    <row r="504" customFormat="false" ht="13.5" hidden="false" customHeight="false" outlineLevel="0" collapsed="false">
      <c r="A504" s="47" t="n">
        <v>34</v>
      </c>
      <c r="B504" s="38" t="n">
        <f aca="false">助手回款!$B35</f>
        <v>2050</v>
      </c>
      <c r="C504" s="48" t="str">
        <f aca="false">助手回款!$C35</f>
        <v>博尚店</v>
      </c>
      <c r="D504" s="48" t="str">
        <f aca="false">科目对照回款!$B9&amp;""</f>
        <v>健E卡</v>
      </c>
      <c r="E504" s="48" t="str">
        <f aca="false">科目对照回款!$C9&amp;""</f>
        <v>应收账款</v>
      </c>
      <c r="F504" s="48" t="str">
        <f aca="false">科目对照回款!$D9&amp;""</f>
        <v>健E卡</v>
      </c>
      <c r="G504" s="49" t="n">
        <f aca="false">-ROUND(IF(科目对照回款!$F$9="",0,SUMIFS(输入回款!$C:$C,输入回款!$A:$A,助手回款!$X35,输入回款!$B:$B,科目对照回款!$F$9)+SUMIFS(输入回款!$D:$D,输入回款!$A:$A,助手回款!$X35,输入回款!$B:$B,科目对照回款!$F$9))+IF(科目对照回款!$G$9="",0,SUMIFS(输入回款!$C:$C,输入回款!$A:$A,助手回款!$X35,输入回款!$B:$B,科目对照回款!$G$9)+SUMIFS(输入回款!$D:$D,输入回款!$A:$A,助手回款!$X35,输入回款!$B:$B,科目对照回款!$G$9))+IF(科目对照回款!$H$9="",0,SUMIFS(输入回款!$C:$C,输入回款!$A:$A,助手回款!$X35,输入回款!$B:$B,科目对照回款!$H$9)+SUMIFS(输入回款!$D:$D,输入回款!$A:$A,助手回款!$X35,输入回款!$B:$B,科目对照回款!$H$9)),2)</f>
        <v>-0</v>
      </c>
      <c r="H504" s="49" t="str">
        <f aca="false">IF(ROUND($G504,2)&gt;0,ROUND($G504,2),"")</f>
        <v/>
      </c>
      <c r="I504" s="49" t="str">
        <f aca="false">IF(ROUND($G504,2)&lt;0,-ROUND($G504,2),"")</f>
        <v/>
      </c>
      <c r="J504" s="20" t="n">
        <f aca="false">IF(ROUND($G504,2)=0,0,1)</f>
        <v>0</v>
      </c>
      <c r="K504" s="20" t="str">
        <f aca="false">IF($J504=0,"",SUM($J$497:$J504))</f>
        <v/>
      </c>
      <c r="L504" s="20" t="str">
        <f aca="false">IF($K504="","",$A504*100+$K504)</f>
        <v/>
      </c>
      <c r="M504" s="48" t="str">
        <f aca="false">参数!$B$4</f>
        <v>回款</v>
      </c>
    </row>
    <row r="505" customFormat="false" ht="13.5" hidden="false" customHeight="false" outlineLevel="0" collapsed="false">
      <c r="A505" s="47" t="n">
        <v>34</v>
      </c>
      <c r="B505" s="38" t="n">
        <f aca="false">助手回款!$B35</f>
        <v>2050</v>
      </c>
      <c r="C505" s="48" t="str">
        <f aca="false">助手回款!$C35</f>
        <v>博尚店</v>
      </c>
      <c r="D505" s="48" t="str">
        <f aca="false">科目对照回款!$B10&amp;""</f>
        <v>医卡通</v>
      </c>
      <c r="E505" s="48" t="str">
        <f aca="false">科目对照回款!$C10&amp;""</f>
        <v>应收账款</v>
      </c>
      <c r="F505" s="48" t="str">
        <f aca="false">科目对照回款!$D10&amp;""</f>
        <v>医卡通</v>
      </c>
      <c r="G505" s="49" t="n">
        <f aca="false">-ROUND(IF(科目对照回款!$F$10="",0,SUMIFS(输入回款!$C:$C,输入回款!$A:$A,助手回款!$X35,输入回款!$B:$B,科目对照回款!$F$10)+SUMIFS(输入回款!$D:$D,输入回款!$A:$A,助手回款!$X35,输入回款!$B:$B,科目对照回款!$F$10))+IF(科目对照回款!$G$10="",0,SUMIFS(输入回款!$C:$C,输入回款!$A:$A,助手回款!$X35,输入回款!$B:$B,科目对照回款!$G$10)+SUMIFS(输入回款!$D:$D,输入回款!$A:$A,助手回款!$X35,输入回款!$B:$B,科目对照回款!$G$10))+IF(科目对照回款!$H$10="",0,SUMIFS(输入回款!$C:$C,输入回款!$A:$A,助手回款!$X35,输入回款!$B:$B,科目对照回款!$H$10)+SUMIFS(输入回款!$D:$D,输入回款!$A:$A,助手回款!$X35,输入回款!$B:$B,科目对照回款!$H$10)),2)</f>
        <v>-86.8</v>
      </c>
      <c r="H505" s="49" t="str">
        <f aca="false">IF(ROUND($G505,2)&gt;0,ROUND($G505,2),"")</f>
        <v/>
      </c>
      <c r="I505" s="49" t="n">
        <f aca="false">IF(ROUND($G505,2)&lt;0,-ROUND($G505,2),"")</f>
        <v>86.8</v>
      </c>
      <c r="J505" s="20" t="n">
        <f aca="false">IF(ROUND($G505,2)=0,0,1)</f>
        <v>1</v>
      </c>
      <c r="K505" s="20" t="n">
        <f aca="false">IF($J505=0,"",SUM($J$497:$J505))</f>
        <v>6</v>
      </c>
      <c r="L505" s="20" t="n">
        <f aca="false">IF($K505="","",$A505*100+$K505)</f>
        <v>3406</v>
      </c>
      <c r="M505" s="48" t="str">
        <f aca="false">参数!$B$4</f>
        <v>回款</v>
      </c>
    </row>
    <row r="506" customFormat="false" ht="13.5" hidden="false" customHeight="false" outlineLevel="0" collapsed="false">
      <c r="A506" s="47" t="n">
        <v>34</v>
      </c>
      <c r="B506" s="38" t="n">
        <f aca="false">助手回款!$B35</f>
        <v>2050</v>
      </c>
      <c r="C506" s="48" t="str">
        <f aca="false">助手回款!$C35</f>
        <v>博尚店</v>
      </c>
      <c r="D506" s="48" t="str">
        <f aca="false">科目对照回款!$B11&amp;""</f>
        <v>企健网</v>
      </c>
      <c r="E506" s="48" t="str">
        <f aca="false">科目对照回款!$C11&amp;""</f>
        <v>应收账款</v>
      </c>
      <c r="F506" s="48" t="str">
        <f aca="false">科目对照回款!$D11&amp;""</f>
        <v>企健网</v>
      </c>
      <c r="G506" s="49" t="n">
        <f aca="false">-ROUND(IF(科目对照回款!$F$11="",0,SUMIFS(输入回款!$C:$C,输入回款!$A:$A,助手回款!$X35,输入回款!$B:$B,科目对照回款!$F$11)+SUMIFS(输入回款!$D:$D,输入回款!$A:$A,助手回款!$X35,输入回款!$B:$B,科目对照回款!$F$11))+IF(科目对照回款!$G$11="",0,SUMIFS(输入回款!$C:$C,输入回款!$A:$A,助手回款!$X35,输入回款!$B:$B,科目对照回款!$G$11)+SUMIFS(输入回款!$D:$D,输入回款!$A:$A,助手回款!$X35,输入回款!$B:$B,科目对照回款!$G$11))+IF(科目对照回款!$H$11="",0,SUMIFS(输入回款!$C:$C,输入回款!$A:$A,助手回款!$X35,输入回款!$B:$B,科目对照回款!$H$11)+SUMIFS(输入回款!$D:$D,输入回款!$A:$A,助手回款!$X35,输入回款!$B:$B,科目对照回款!$H$11)),2)</f>
        <v>-0</v>
      </c>
      <c r="H506" s="49" t="str">
        <f aca="false">IF(ROUND($G506,2)&gt;0,ROUND($G506,2),"")</f>
        <v/>
      </c>
      <c r="I506" s="49" t="str">
        <f aca="false">IF(ROUND($G506,2)&lt;0,-ROUND($G506,2),"")</f>
        <v/>
      </c>
      <c r="J506" s="20" t="n">
        <f aca="false">IF(ROUND($G506,2)=0,0,1)</f>
        <v>0</v>
      </c>
      <c r="K506" s="20" t="str">
        <f aca="false">IF($J506=0,"",SUM($J$497:$J506))</f>
        <v/>
      </c>
      <c r="L506" s="20" t="str">
        <f aca="false">IF($K506="","",$A506*100+$K506)</f>
        <v/>
      </c>
      <c r="M506" s="48" t="str">
        <f aca="false">参数!$B$4</f>
        <v>回款</v>
      </c>
    </row>
    <row r="507" customFormat="false" ht="13.5" hidden="false" customHeight="false" outlineLevel="0" collapsed="false">
      <c r="A507" s="47" t="n">
        <v>34</v>
      </c>
      <c r="B507" s="38" t="n">
        <f aca="false">助手回款!$B35</f>
        <v>2050</v>
      </c>
      <c r="C507" s="48" t="str">
        <f aca="false">助手回款!$C35</f>
        <v>博尚店</v>
      </c>
      <c r="D507" s="48" t="str">
        <f aca="false">科目对照回款!$B12&amp;""</f>
        <v>亲情卡</v>
      </c>
      <c r="E507" s="48" t="str">
        <f aca="false">科目对照回款!$C12&amp;""</f>
        <v>应收账款</v>
      </c>
      <c r="F507" s="48" t="str">
        <f aca="false">科目对照回款!$D12&amp;""</f>
        <v>亲情卡</v>
      </c>
      <c r="G507" s="49" t="n">
        <f aca="false">-ROUND(IF(科目对照回款!$F$12="",0,SUMIFS(输入回款!$C:$C,输入回款!$A:$A,助手回款!$X35,输入回款!$B:$B,科目对照回款!$F$12)+SUMIFS(输入回款!$D:$D,输入回款!$A:$A,助手回款!$X35,输入回款!$B:$B,科目对照回款!$F$12))+IF(科目对照回款!$G$12="",0,SUMIFS(输入回款!$C:$C,输入回款!$A:$A,助手回款!$X35,输入回款!$B:$B,科目对照回款!$G$12)+SUMIFS(输入回款!$D:$D,输入回款!$A:$A,助手回款!$X35,输入回款!$B:$B,科目对照回款!$G$12))+IF(科目对照回款!$H$12="",0,SUMIFS(输入回款!$C:$C,输入回款!$A:$A,助手回款!$X35,输入回款!$B:$B,科目对照回款!$H$12)+SUMIFS(输入回款!$D:$D,输入回款!$A:$A,助手回款!$X35,输入回款!$B:$B,科目对照回款!$H$12)),2)</f>
        <v>-0</v>
      </c>
      <c r="H507" s="49" t="str">
        <f aca="false">IF(ROUND($G507,2)&gt;0,ROUND($G507,2),"")</f>
        <v/>
      </c>
      <c r="I507" s="49" t="str">
        <f aca="false">IF(ROUND($G507,2)&lt;0,-ROUND($G507,2),"")</f>
        <v/>
      </c>
      <c r="J507" s="20" t="n">
        <f aca="false">IF(ROUND($G507,2)=0,0,1)</f>
        <v>0</v>
      </c>
      <c r="K507" s="20" t="str">
        <f aca="false">IF($J507=0,"",SUM($J$497:$J507))</f>
        <v/>
      </c>
      <c r="L507" s="20" t="str">
        <f aca="false">IF($K507="","",$A507*100+$K507)</f>
        <v/>
      </c>
      <c r="M507" s="48" t="str">
        <f aca="false">参数!$B$4</f>
        <v>回款</v>
      </c>
    </row>
    <row r="508" customFormat="false" ht="13.5" hidden="false" customHeight="false" outlineLevel="0" collapsed="false">
      <c r="A508" s="47" t="n">
        <v>34</v>
      </c>
      <c r="B508" s="38" t="n">
        <f aca="false">助手回款!$B35</f>
        <v>2050</v>
      </c>
      <c r="C508" s="48" t="str">
        <f aca="false">助手回款!$C35</f>
        <v>博尚店</v>
      </c>
      <c r="D508" s="48" t="str">
        <f aca="false">科目对照回款!$B13&amp;""</f>
        <v>银联</v>
      </c>
      <c r="E508" s="48" t="str">
        <f aca="false">科目对照回款!$C13&amp;""</f>
        <v>应收账款</v>
      </c>
      <c r="F508" s="48" t="str">
        <f aca="false">科目对照回款!$D13&amp;""</f>
        <v>银联</v>
      </c>
      <c r="G508" s="49" t="n">
        <f aca="false">-ROUND(IF(科目对照回款!$F$13="",0,SUMIFS(输入回款!$C:$C,输入回款!$A:$A,助手回款!$X35,输入回款!$B:$B,科目对照回款!$F$13)+SUMIFS(输入回款!$D:$D,输入回款!$A:$A,助手回款!$X35,输入回款!$B:$B,科目对照回款!$F$13))+IF(科目对照回款!$G$13="",0,SUMIFS(输入回款!$C:$C,输入回款!$A:$A,助手回款!$X35,输入回款!$B:$B,科目对照回款!$G$13)+SUMIFS(输入回款!$D:$D,输入回款!$A:$A,助手回款!$X35,输入回款!$B:$B,科目对照回款!$G$13))+IF(科目对照回款!$H$13="",0,SUMIFS(输入回款!$C:$C,输入回款!$A:$A,助手回款!$X35,输入回款!$B:$B,科目对照回款!$H$13)+SUMIFS(输入回款!$D:$D,输入回款!$A:$A,助手回款!$X35,输入回款!$B:$B,科目对照回款!$H$13)),2)</f>
        <v>-0</v>
      </c>
      <c r="H508" s="49" t="str">
        <f aca="false">IF(ROUND($G508,2)&gt;0,ROUND($G508,2),"")</f>
        <v/>
      </c>
      <c r="I508" s="49" t="str">
        <f aca="false">IF(ROUND($G508,2)&lt;0,-ROUND($G508,2),"")</f>
        <v/>
      </c>
      <c r="J508" s="20" t="n">
        <f aca="false">IF(ROUND($G508,2)=0,0,1)</f>
        <v>0</v>
      </c>
      <c r="K508" s="20" t="str">
        <f aca="false">IF($J508=0,"",SUM($J$497:$J508))</f>
        <v/>
      </c>
      <c r="L508" s="20" t="str">
        <f aca="false">IF($K508="","",$A508*100+$K508)</f>
        <v/>
      </c>
      <c r="M508" s="48" t="str">
        <f aca="false">参数!$B$4</f>
        <v>回款</v>
      </c>
    </row>
    <row r="509" customFormat="false" ht="13.5" hidden="false" customHeight="false" outlineLevel="0" collapsed="false">
      <c r="A509" s="47" t="n">
        <v>34</v>
      </c>
      <c r="B509" s="38" t="n">
        <f aca="false">助手回款!$B35</f>
        <v>2050</v>
      </c>
      <c r="C509" s="48" t="str">
        <f aca="false">助手回款!$C35</f>
        <v>博尚店</v>
      </c>
      <c r="D509" s="48" t="str">
        <f aca="false">科目对照回款!$B14&amp;""</f>
        <v>代金券</v>
      </c>
      <c r="E509" s="48" t="str">
        <f aca="false">科目对照回款!$C14&amp;""</f>
        <v>应收账款</v>
      </c>
      <c r="F509" s="48" t="str">
        <f aca="false">科目对照回款!$D14&amp;""</f>
        <v>代金券</v>
      </c>
      <c r="G509" s="49" t="n">
        <f aca="false">-ROUND(IF(科目对照回款!$F$14="",0,SUMIFS(输入回款!$C:$C,输入回款!$A:$A,助手回款!$X35,输入回款!$B:$B,科目对照回款!$F$14)+SUMIFS(输入回款!$D:$D,输入回款!$A:$A,助手回款!$X35,输入回款!$B:$B,科目对照回款!$F$14))+IF(科目对照回款!$G$14="",0,SUMIFS(输入回款!$C:$C,输入回款!$A:$A,助手回款!$X35,输入回款!$B:$B,科目对照回款!$G$14)+SUMIFS(输入回款!$D:$D,输入回款!$A:$A,助手回款!$X35,输入回款!$B:$B,科目对照回款!$G$14))+IF(科目对照回款!$H$14="",0,SUMIFS(输入回款!$C:$C,输入回款!$A:$A,助手回款!$X35,输入回款!$B:$B,科目对照回款!$H$14)+SUMIFS(输入回款!$D:$D,输入回款!$A:$A,助手回款!$X35,输入回款!$B:$B,科目对照回款!$H$14)),2)</f>
        <v>-0</v>
      </c>
      <c r="H509" s="49" t="str">
        <f aca="false">IF(ROUND($G509,2)&gt;0,ROUND($G509,2),"")</f>
        <v/>
      </c>
      <c r="I509" s="49" t="str">
        <f aca="false">IF(ROUND($G509,2)&lt;0,-ROUND($G509,2),"")</f>
        <v/>
      </c>
      <c r="J509" s="20" t="n">
        <f aca="false">IF(ROUND($G509,2)=0,0,1)</f>
        <v>0</v>
      </c>
      <c r="K509" s="20" t="str">
        <f aca="false">IF($J509=0,"",SUM($J$497:$J509))</f>
        <v/>
      </c>
      <c r="L509" s="20" t="str">
        <f aca="false">IF($K509="","",$A509*100+$K509)</f>
        <v/>
      </c>
      <c r="M509" s="48" t="str">
        <f aca="false">参数!$B$4</f>
        <v>回款</v>
      </c>
    </row>
    <row r="510" customFormat="false" ht="13.5" hidden="false" customHeight="false" outlineLevel="0" collapsed="false">
      <c r="A510" s="47" t="n">
        <v>34</v>
      </c>
      <c r="B510" s="38" t="n">
        <f aca="false">助手回款!$B35</f>
        <v>2050</v>
      </c>
      <c r="C510" s="48" t="str">
        <f aca="false">助手回款!$C35</f>
        <v>博尚店</v>
      </c>
      <c r="D510" s="48" t="str">
        <f aca="false">科目对照回款!$B15&amp;""</f>
        <v>药机微信</v>
      </c>
      <c r="E510" s="48" t="str">
        <f aca="false">科目对照回款!$C15&amp;""</f>
        <v>应收账款</v>
      </c>
      <c r="F510" s="48" t="str">
        <f aca="false">科目对照回款!$D15&amp;""</f>
        <v>药机微信</v>
      </c>
      <c r="G510" s="49" t="n">
        <f aca="false">-ROUND(IF(科目对照回款!$F$15="",0,SUMIFS(输入回款!$C:$C,输入回款!$A:$A,助手回款!$X35,输入回款!$B:$B,科目对照回款!$F$15)+SUMIFS(输入回款!$D:$D,输入回款!$A:$A,助手回款!$X35,输入回款!$B:$B,科目对照回款!$F$15))+IF(科目对照回款!$G$15="",0,SUMIFS(输入回款!$C:$C,输入回款!$A:$A,助手回款!$X35,输入回款!$B:$B,科目对照回款!$G$15)+SUMIFS(输入回款!$D:$D,输入回款!$A:$A,助手回款!$X35,输入回款!$B:$B,科目对照回款!$G$15))+IF(科目对照回款!$H$15="",0,SUMIFS(输入回款!$C:$C,输入回款!$A:$A,助手回款!$X35,输入回款!$B:$B,科目对照回款!$H$15)+SUMIFS(输入回款!$D:$D,输入回款!$A:$A,助手回款!$X35,输入回款!$B:$B,科目对照回款!$H$15)),2)</f>
        <v>-0</v>
      </c>
      <c r="H510" s="49" t="str">
        <f aca="false">IF(ROUND($G510,2)&gt;0,ROUND($G510,2),"")</f>
        <v/>
      </c>
      <c r="I510" s="49" t="str">
        <f aca="false">IF(ROUND($G510,2)&lt;0,-ROUND($G510,2),"")</f>
        <v/>
      </c>
      <c r="J510" s="20" t="n">
        <f aca="false">IF(ROUND($G510,2)=0,0,1)</f>
        <v>0</v>
      </c>
      <c r="K510" s="20" t="str">
        <f aca="false">IF($J510=0,"",SUM($J$497:$J510))</f>
        <v/>
      </c>
      <c r="L510" s="20" t="str">
        <f aca="false">IF($K510="","",$A510*100+$K510)</f>
        <v/>
      </c>
      <c r="M510" s="48" t="str">
        <f aca="false">参数!$B$4</f>
        <v>回款</v>
      </c>
    </row>
    <row r="511" customFormat="false" ht="13.5" hidden="false" customHeight="false" outlineLevel="0" collapsed="false">
      <c r="A511" s="47" t="n">
        <v>34</v>
      </c>
      <c r="B511" s="38" t="n">
        <f aca="false">助手回款!$B35</f>
        <v>2050</v>
      </c>
      <c r="C511" s="48" t="str">
        <f aca="false">助手回款!$C35</f>
        <v>博尚店</v>
      </c>
      <c r="D511" s="48" t="str">
        <f aca="false">科目对照回款!$B16&amp;""</f>
        <v>储值卡</v>
      </c>
      <c r="E511" s="48" t="str">
        <f aca="false">科目对照回款!$C16&amp;""</f>
        <v>其他应收款</v>
      </c>
      <c r="F511" s="48" t="str">
        <f aca="false">科目对照回款!$D16&amp;""</f>
        <v>储值卡</v>
      </c>
      <c r="G511" s="49" t="n">
        <f aca="false">-ROUND(IF(科目对照回款!$F$16="",0,SUMIFS(输入回款!$C:$C,输入回款!$A:$A,助手回款!$X35,输入回款!$B:$B,科目对照回款!$F$16)+SUMIFS(输入回款!$D:$D,输入回款!$A:$A,助手回款!$X35,输入回款!$B:$B,科目对照回款!$F$16))+IF(科目对照回款!$G$16="",0,SUMIFS(输入回款!$C:$C,输入回款!$A:$A,助手回款!$X35,输入回款!$B:$B,科目对照回款!$G$16)+SUMIFS(输入回款!$D:$D,输入回款!$A:$A,助手回款!$X35,输入回款!$B:$B,科目对照回款!$G$16))+IF(科目对照回款!$H$16="",0,SUMIFS(输入回款!$C:$C,输入回款!$A:$A,助手回款!$X35,输入回款!$B:$B,科目对照回款!$H$16)+SUMIFS(输入回款!$D:$D,输入回款!$A:$A,助手回款!$X35,输入回款!$B:$B,科目对照回款!$H$16)),2)</f>
        <v>-0</v>
      </c>
      <c r="H511" s="49" t="str">
        <f aca="false">IF(ROUND($G511,2)&gt;0,ROUND($G511,2),"")</f>
        <v/>
      </c>
      <c r="I511" s="49" t="str">
        <f aca="false">IF(ROUND($G511,2)&lt;0,-ROUND($G511,2),"")</f>
        <v/>
      </c>
      <c r="J511" s="20" t="n">
        <f aca="false">IF(ROUND($G511,2)=0,0,1)</f>
        <v>0</v>
      </c>
      <c r="K511" s="20" t="str">
        <f aca="false">IF($J511=0,"",SUM($J$497:$J511))</f>
        <v/>
      </c>
      <c r="L511" s="20" t="str">
        <f aca="false">IF($K511="","",$A511*100+$K511)</f>
        <v/>
      </c>
      <c r="M511" s="48" t="str">
        <f aca="false">参数!$B$4</f>
        <v>回款</v>
      </c>
    </row>
    <row r="512" customFormat="false" ht="13.5" hidden="false" customHeight="false" outlineLevel="0" collapsed="false">
      <c r="A512" s="47" t="n">
        <v>35</v>
      </c>
      <c r="B512" s="38" t="n">
        <f aca="false">助手回款!$B36</f>
        <v>2053</v>
      </c>
      <c r="C512" s="48" t="str">
        <f aca="false">助手回款!$C36</f>
        <v>博鑫店</v>
      </c>
      <c r="D512" s="48" t="str">
        <f aca="false">科目对照回款!$B2&amp;""</f>
        <v>库存现金</v>
      </c>
      <c r="E512" s="48" t="str">
        <f aca="false">科目对照回款!$C2&amp;""</f>
        <v>库存现金</v>
      </c>
      <c r="F512" s="48" t="str">
        <f aca="false">科目对照回款!$D2&amp;""</f>
        <v/>
      </c>
      <c r="G512" s="49" t="n">
        <f aca="false">助手回款!$E36</f>
        <v>34379.69</v>
      </c>
      <c r="H512" s="49" t="n">
        <f aca="false">IF(ROUND($G512,2)&gt;0,ROUND($G512,2),"")</f>
        <v>34379.69</v>
      </c>
      <c r="I512" s="49" t="str">
        <f aca="false">IF(ROUND($G512,2)&lt;0,-ROUND($G512,2),"")</f>
        <v/>
      </c>
      <c r="J512" s="20" t="n">
        <f aca="false">IF(ROUND($G512,2)=0,0,1)</f>
        <v>1</v>
      </c>
      <c r="K512" s="20" t="n">
        <f aca="false">IF($J512=0,"",SUM($J$512:$J512))</f>
        <v>1</v>
      </c>
      <c r="L512" s="20" t="n">
        <f aca="false">IF($K512="","",$A512*100+$K512)</f>
        <v>3501</v>
      </c>
      <c r="M512" s="48" t="str">
        <f aca="false">参数!$B$4</f>
        <v>回款</v>
      </c>
    </row>
    <row r="513" customFormat="false" ht="13.5" hidden="false" customHeight="false" outlineLevel="0" collapsed="false">
      <c r="A513" s="47" t="n">
        <v>35</v>
      </c>
      <c r="B513" s="38" t="n">
        <f aca="false">助手回款!$B36</f>
        <v>2053</v>
      </c>
      <c r="C513" s="48" t="str">
        <f aca="false">助手回款!$C36</f>
        <v>博鑫店</v>
      </c>
      <c r="D513" s="48" t="str">
        <f aca="false">科目对照回款!$B3&amp;""</f>
        <v>手续费</v>
      </c>
      <c r="E513" s="48" t="str">
        <f aca="false">科目对照回款!$C3&amp;""</f>
        <v>财务费用</v>
      </c>
      <c r="F513" s="48" t="str">
        <f aca="false">科目对照回款!$D3&amp;""</f>
        <v>手续费</v>
      </c>
      <c r="G513" s="49" t="n">
        <f aca="false">助手回款!$F36</f>
        <v>15.78</v>
      </c>
      <c r="H513" s="49" t="n">
        <f aca="false">IF(ROUND($G513,2)&gt;0,ROUND($G513,2),"")</f>
        <v>15.78</v>
      </c>
      <c r="I513" s="49" t="str">
        <f aca="false">IF(ROUND($G513,2)&lt;0,-ROUND($G513,2),"")</f>
        <v/>
      </c>
      <c r="J513" s="20" t="n">
        <f aca="false">IF(ROUND($G513,2)=0,0,1)</f>
        <v>1</v>
      </c>
      <c r="K513" s="20" t="n">
        <f aca="false">IF($J513=0,"",SUM($J$512:$J513))</f>
        <v>2</v>
      </c>
      <c r="L513" s="20" t="n">
        <f aca="false">IF($K513="","",$A513*100+$K513)</f>
        <v>3502</v>
      </c>
      <c r="M513" s="48" t="str">
        <f aca="false">参数!$B$4</f>
        <v>回款</v>
      </c>
    </row>
    <row r="514" customFormat="false" ht="13.5" hidden="false" customHeight="false" outlineLevel="0" collapsed="false">
      <c r="A514" s="47" t="n">
        <v>35</v>
      </c>
      <c r="B514" s="38" t="n">
        <f aca="false">助手回款!$B36</f>
        <v>2053</v>
      </c>
      <c r="C514" s="48" t="str">
        <f aca="false">助手回款!$C36</f>
        <v>博鑫店</v>
      </c>
      <c r="D514" s="48" t="str">
        <f aca="false">科目对照回款!$B4&amp;""</f>
        <v>聚合支付</v>
      </c>
      <c r="E514" s="48" t="str">
        <f aca="false">科目对照回款!$C4&amp;""</f>
        <v>应收账款</v>
      </c>
      <c r="F514" s="48" t="str">
        <f aca="false">科目对照回款!$D4&amp;""</f>
        <v>聚合支付</v>
      </c>
      <c r="G514" s="49" t="n">
        <f aca="false">-ROUND(IF(科目对照回款!$F$4="",0,SUMIFS(输入回款!$C:$C,输入回款!$A:$A,助手回款!$X36,输入回款!$B:$B,科目对照回款!$F$4)+SUMIFS(输入回款!$D:$D,输入回款!$A:$A,助手回款!$X36,输入回款!$B:$B,科目对照回款!$F$4))+IF(科目对照回款!$G$4="",0,SUMIFS(输入回款!$C:$C,输入回款!$A:$A,助手回款!$X36,输入回款!$B:$B,科目对照回款!$G$4)+SUMIFS(输入回款!$D:$D,输入回款!$A:$A,助手回款!$X36,输入回款!$B:$B,科目对照回款!$G$4))+IF(科目对照回款!$H$4="",0,SUMIFS(输入回款!$C:$C,输入回款!$A:$A,助手回款!$X36,输入回款!$B:$B,科目对照回款!$H$4)+SUMIFS(输入回款!$D:$D,输入回款!$A:$A,助手回款!$X36,输入回款!$B:$B,科目对照回款!$H$4)),2)</f>
        <v>-25267.3</v>
      </c>
      <c r="H514" s="49" t="str">
        <f aca="false">IF(ROUND($G514,2)&gt;0,ROUND($G514,2),"")</f>
        <v/>
      </c>
      <c r="I514" s="49" t="n">
        <f aca="false">IF(ROUND($G514,2)&lt;0,-ROUND($G514,2),"")</f>
        <v>25267.3</v>
      </c>
      <c r="J514" s="20" t="n">
        <f aca="false">IF(ROUND($G514,2)=0,0,1)</f>
        <v>1</v>
      </c>
      <c r="K514" s="20" t="n">
        <f aca="false">IF($J514=0,"",SUM($J$512:$J514))</f>
        <v>3</v>
      </c>
      <c r="L514" s="20" t="n">
        <f aca="false">IF($K514="","",$A514*100+$K514)</f>
        <v>3503</v>
      </c>
      <c r="M514" s="48" t="str">
        <f aca="false">参数!$B$4</f>
        <v>回款</v>
      </c>
    </row>
    <row r="515" customFormat="false" ht="13.5" hidden="false" customHeight="false" outlineLevel="0" collapsed="false">
      <c r="A515" s="47" t="n">
        <v>35</v>
      </c>
      <c r="B515" s="38" t="n">
        <f aca="false">助手回款!$B36</f>
        <v>2053</v>
      </c>
      <c r="C515" s="48" t="str">
        <f aca="false">助手回款!$C36</f>
        <v>博鑫店</v>
      </c>
      <c r="D515" s="48" t="str">
        <f aca="false">科目对照回款!$B5&amp;""</f>
        <v>医保</v>
      </c>
      <c r="E515" s="48" t="str">
        <f aca="false">科目对照回款!$C5&amp;""</f>
        <v>应收账款</v>
      </c>
      <c r="F515" s="48" t="str">
        <f aca="false">科目对照回款!$D5&amp;""</f>
        <v>医保</v>
      </c>
      <c r="G515" s="49" t="n">
        <f aca="false">-ROUND(IF(科目对照回款!$F$5="",0,SUMIFS(输入回款!$C:$C,输入回款!$A:$A,助手回款!$X36,输入回款!$B:$B,科目对照回款!$F$5)+SUMIFS(输入回款!$D:$D,输入回款!$A:$A,助手回款!$X36,输入回款!$B:$B,科目对照回款!$F$5))+IF(科目对照回款!$G$5="",0,SUMIFS(输入回款!$C:$C,输入回款!$A:$A,助手回款!$X36,输入回款!$B:$B,科目对照回款!$G$5)+SUMIFS(输入回款!$D:$D,输入回款!$A:$A,助手回款!$X36,输入回款!$B:$B,科目对照回款!$G$5))+IF(科目对照回款!$H$5="",0,SUMIFS(输入回款!$C:$C,输入回款!$A:$A,助手回款!$X36,输入回款!$B:$B,科目对照回款!$H$5)+SUMIFS(输入回款!$D:$D,输入回款!$A:$A,助手回款!$X36,输入回款!$B:$B,科目对照回款!$H$5)),2)</f>
        <v>-9054.17</v>
      </c>
      <c r="H515" s="49" t="str">
        <f aca="false">IF(ROUND($G515,2)&gt;0,ROUND($G515,2),"")</f>
        <v/>
      </c>
      <c r="I515" s="49" t="n">
        <f aca="false">IF(ROUND($G515,2)&lt;0,-ROUND($G515,2),"")</f>
        <v>9054.17</v>
      </c>
      <c r="J515" s="20" t="n">
        <f aca="false">IF(ROUND($G515,2)=0,0,1)</f>
        <v>1</v>
      </c>
      <c r="K515" s="20" t="n">
        <f aca="false">IF($J515=0,"",SUM($J$512:$J515))</f>
        <v>4</v>
      </c>
      <c r="L515" s="20" t="n">
        <f aca="false">IF($K515="","",$A515*100+$K515)</f>
        <v>3504</v>
      </c>
      <c r="M515" s="48" t="str">
        <f aca="false">参数!$B$4</f>
        <v>回款</v>
      </c>
    </row>
    <row r="516" customFormat="false" ht="13.5" hidden="false" customHeight="false" outlineLevel="0" collapsed="false">
      <c r="A516" s="47" t="n">
        <v>35</v>
      </c>
      <c r="B516" s="38" t="n">
        <f aca="false">助手回款!$B36</f>
        <v>2053</v>
      </c>
      <c r="C516" s="48" t="str">
        <f aca="false">助手回款!$C36</f>
        <v>博鑫店</v>
      </c>
      <c r="D516" s="48" t="str">
        <f aca="false">科目对照回款!$B6&amp;""</f>
        <v>美团</v>
      </c>
      <c r="E516" s="48" t="str">
        <f aca="false">科目对照回款!$C6&amp;""</f>
        <v>应收账款</v>
      </c>
      <c r="F516" s="48" t="str">
        <f aca="false">科目对照回款!$D6&amp;""</f>
        <v>美团</v>
      </c>
      <c r="G516" s="49" t="n">
        <f aca="false">-ROUND(IF(科目对照回款!$F$6="",0,SUMIFS(输入回款!$C:$C,输入回款!$A:$A,助手回款!$X36,输入回款!$B:$B,科目对照回款!$F$6)+SUMIFS(输入回款!$D:$D,输入回款!$A:$A,助手回款!$X36,输入回款!$B:$B,科目对照回款!$F$6))+IF(科目对照回款!$G$6="",0,SUMIFS(输入回款!$C:$C,输入回款!$A:$A,助手回款!$X36,输入回款!$B:$B,科目对照回款!$G$6)+SUMIFS(输入回款!$D:$D,输入回款!$A:$A,助手回款!$X36,输入回款!$B:$B,科目对照回款!$G$6))+IF(科目对照回款!$H$6="",0,SUMIFS(输入回款!$C:$C,输入回款!$A:$A,助手回款!$X36,输入回款!$B:$B,科目对照回款!$H$6)+SUMIFS(输入回款!$D:$D,输入回款!$A:$A,助手回款!$X36,输入回款!$B:$B,科目对照回款!$H$6)),2)</f>
        <v>-74</v>
      </c>
      <c r="H516" s="49" t="str">
        <f aca="false">IF(ROUND($G516,2)&gt;0,ROUND($G516,2),"")</f>
        <v/>
      </c>
      <c r="I516" s="49" t="n">
        <f aca="false">IF(ROUND($G516,2)&lt;0,-ROUND($G516,2),"")</f>
        <v>74</v>
      </c>
      <c r="J516" s="20" t="n">
        <f aca="false">IF(ROUND($G516,2)=0,0,1)</f>
        <v>1</v>
      </c>
      <c r="K516" s="20" t="n">
        <f aca="false">IF($J516=0,"",SUM($J$512:$J516))</f>
        <v>5</v>
      </c>
      <c r="L516" s="20" t="n">
        <f aca="false">IF($K516="","",$A516*100+$K516)</f>
        <v>3505</v>
      </c>
      <c r="M516" s="48" t="str">
        <f aca="false">参数!$B$4</f>
        <v>回款</v>
      </c>
    </row>
    <row r="517" customFormat="false" ht="13.5" hidden="false" customHeight="false" outlineLevel="0" collapsed="false">
      <c r="A517" s="47" t="n">
        <v>35</v>
      </c>
      <c r="B517" s="38" t="n">
        <f aca="false">助手回款!$B36</f>
        <v>2053</v>
      </c>
      <c r="C517" s="48" t="str">
        <f aca="false">助手回款!$C36</f>
        <v>博鑫店</v>
      </c>
      <c r="D517" s="48" t="str">
        <f aca="false">科目对照回款!$B7&amp;""</f>
        <v>饿了么</v>
      </c>
      <c r="E517" s="48" t="str">
        <f aca="false">科目对照回款!$C7&amp;""</f>
        <v>应收账款</v>
      </c>
      <c r="F517" s="48" t="str">
        <f aca="false">科目对照回款!$D7&amp;""</f>
        <v>饿了么</v>
      </c>
      <c r="G517" s="49" t="n">
        <f aca="false">-ROUND(IF(科目对照回款!$F$7="",0,SUMIFS(输入回款!$C:$C,输入回款!$A:$A,助手回款!$X36,输入回款!$B:$B,科目对照回款!$F$7)+SUMIFS(输入回款!$D:$D,输入回款!$A:$A,助手回款!$X36,输入回款!$B:$B,科目对照回款!$F$7))+IF(科目对照回款!$G$7="",0,SUMIFS(输入回款!$C:$C,输入回款!$A:$A,助手回款!$X36,输入回款!$B:$B,科目对照回款!$G$7)+SUMIFS(输入回款!$D:$D,输入回款!$A:$A,助手回款!$X36,输入回款!$B:$B,科目对照回款!$G$7))+IF(科目对照回款!$H$7="",0,SUMIFS(输入回款!$C:$C,输入回款!$A:$A,助手回款!$X36,输入回款!$B:$B,科目对照回款!$H$7)+SUMIFS(输入回款!$D:$D,输入回款!$A:$A,助手回款!$X36,输入回款!$B:$B,科目对照回款!$H$7)),2)</f>
        <v>-0</v>
      </c>
      <c r="H517" s="49" t="str">
        <f aca="false">IF(ROUND($G517,2)&gt;0,ROUND($G517,2),"")</f>
        <v/>
      </c>
      <c r="I517" s="49" t="str">
        <f aca="false">IF(ROUND($G517,2)&lt;0,-ROUND($G517,2),"")</f>
        <v/>
      </c>
      <c r="J517" s="20" t="n">
        <f aca="false">IF(ROUND($G517,2)=0,0,1)</f>
        <v>0</v>
      </c>
      <c r="K517" s="20" t="str">
        <f aca="false">IF($J517=0,"",SUM($J$512:$J517))</f>
        <v/>
      </c>
      <c r="L517" s="20" t="str">
        <f aca="false">IF($K517="","",$A517*100+$K517)</f>
        <v/>
      </c>
      <c r="M517" s="48" t="str">
        <f aca="false">参数!$B$4</f>
        <v>回款</v>
      </c>
    </row>
    <row r="518" customFormat="false" ht="13.5" hidden="false" customHeight="false" outlineLevel="0" collapsed="false">
      <c r="A518" s="47" t="n">
        <v>35</v>
      </c>
      <c r="B518" s="38" t="n">
        <f aca="false">助手回款!$B36</f>
        <v>2053</v>
      </c>
      <c r="C518" s="48" t="str">
        <f aca="false">助手回款!$C36</f>
        <v>博鑫店</v>
      </c>
      <c r="D518" s="48" t="str">
        <f aca="false">科目对照回款!$B8&amp;""</f>
        <v>24小时</v>
      </c>
      <c r="E518" s="48" t="str">
        <f aca="false">科目对照回款!$C8&amp;""</f>
        <v>应收账款</v>
      </c>
      <c r="F518" s="48" t="str">
        <f aca="false">科目对照回款!$D8&amp;""</f>
        <v>24小时</v>
      </c>
      <c r="G518" s="49" t="n">
        <f aca="false">-ROUND(IF(科目对照回款!$F$8="",0,SUMIFS(输入回款!$C:$C,输入回款!$A:$A,助手回款!$X36,输入回款!$B:$B,科目对照回款!$F$8)+SUMIFS(输入回款!$D:$D,输入回款!$A:$A,助手回款!$X36,输入回款!$B:$B,科目对照回款!$F$8))+IF(科目对照回款!$G$8="",0,SUMIFS(输入回款!$C:$C,输入回款!$A:$A,助手回款!$X36,输入回款!$B:$B,科目对照回款!$G$8)+SUMIFS(输入回款!$D:$D,输入回款!$A:$A,助手回款!$X36,输入回款!$B:$B,科目对照回款!$G$8))+IF(科目对照回款!$H$8="",0,SUMIFS(输入回款!$C:$C,输入回款!$A:$A,助手回款!$X36,输入回款!$B:$B,科目对照回款!$H$8)+SUMIFS(输入回款!$D:$D,输入回款!$A:$A,助手回款!$X36,输入回款!$B:$B,科目对照回款!$H$8)),2)</f>
        <v>-0</v>
      </c>
      <c r="H518" s="49" t="str">
        <f aca="false">IF(ROUND($G518,2)&gt;0,ROUND($G518,2),"")</f>
        <v/>
      </c>
      <c r="I518" s="49" t="str">
        <f aca="false">IF(ROUND($G518,2)&lt;0,-ROUND($G518,2),"")</f>
        <v/>
      </c>
      <c r="J518" s="20" t="n">
        <f aca="false">IF(ROUND($G518,2)=0,0,1)</f>
        <v>0</v>
      </c>
      <c r="K518" s="20" t="str">
        <f aca="false">IF($J518=0,"",SUM($J$512:$J518))</f>
        <v/>
      </c>
      <c r="L518" s="20" t="str">
        <f aca="false">IF($K518="","",$A518*100+$K518)</f>
        <v/>
      </c>
      <c r="M518" s="48" t="str">
        <f aca="false">参数!$B$4</f>
        <v>回款</v>
      </c>
    </row>
    <row r="519" customFormat="false" ht="13.5" hidden="false" customHeight="false" outlineLevel="0" collapsed="false">
      <c r="A519" s="47" t="n">
        <v>35</v>
      </c>
      <c r="B519" s="38" t="n">
        <f aca="false">助手回款!$B36</f>
        <v>2053</v>
      </c>
      <c r="C519" s="48" t="str">
        <f aca="false">助手回款!$C36</f>
        <v>博鑫店</v>
      </c>
      <c r="D519" s="48" t="str">
        <f aca="false">科目对照回款!$B9&amp;""</f>
        <v>健E卡</v>
      </c>
      <c r="E519" s="48" t="str">
        <f aca="false">科目对照回款!$C9&amp;""</f>
        <v>应收账款</v>
      </c>
      <c r="F519" s="48" t="str">
        <f aca="false">科目对照回款!$D9&amp;""</f>
        <v>健E卡</v>
      </c>
      <c r="G519" s="49" t="n">
        <f aca="false">-ROUND(IF(科目对照回款!$F$9="",0,SUMIFS(输入回款!$C:$C,输入回款!$A:$A,助手回款!$X36,输入回款!$B:$B,科目对照回款!$F$9)+SUMIFS(输入回款!$D:$D,输入回款!$A:$A,助手回款!$X36,输入回款!$B:$B,科目对照回款!$F$9))+IF(科目对照回款!$G$9="",0,SUMIFS(输入回款!$C:$C,输入回款!$A:$A,助手回款!$X36,输入回款!$B:$B,科目对照回款!$G$9)+SUMIFS(输入回款!$D:$D,输入回款!$A:$A,助手回款!$X36,输入回款!$B:$B,科目对照回款!$G$9))+IF(科目对照回款!$H$9="",0,SUMIFS(输入回款!$C:$C,输入回款!$A:$A,助手回款!$X36,输入回款!$B:$B,科目对照回款!$H$9)+SUMIFS(输入回款!$D:$D,输入回款!$A:$A,助手回款!$X36,输入回款!$B:$B,科目对照回款!$H$9)),2)</f>
        <v>-0</v>
      </c>
      <c r="H519" s="49" t="str">
        <f aca="false">IF(ROUND($G519,2)&gt;0,ROUND($G519,2),"")</f>
        <v/>
      </c>
      <c r="I519" s="49" t="str">
        <f aca="false">IF(ROUND($G519,2)&lt;0,-ROUND($G519,2),"")</f>
        <v/>
      </c>
      <c r="J519" s="20" t="n">
        <f aca="false">IF(ROUND($G519,2)=0,0,1)</f>
        <v>0</v>
      </c>
      <c r="K519" s="20" t="str">
        <f aca="false">IF($J519=0,"",SUM($J$512:$J519))</f>
        <v/>
      </c>
      <c r="L519" s="20" t="str">
        <f aca="false">IF($K519="","",$A519*100+$K519)</f>
        <v/>
      </c>
      <c r="M519" s="48" t="str">
        <f aca="false">参数!$B$4</f>
        <v>回款</v>
      </c>
    </row>
    <row r="520" customFormat="false" ht="13.5" hidden="false" customHeight="false" outlineLevel="0" collapsed="false">
      <c r="A520" s="47" t="n">
        <v>35</v>
      </c>
      <c r="B520" s="38" t="n">
        <f aca="false">助手回款!$B36</f>
        <v>2053</v>
      </c>
      <c r="C520" s="48" t="str">
        <f aca="false">助手回款!$C36</f>
        <v>博鑫店</v>
      </c>
      <c r="D520" s="48" t="str">
        <f aca="false">科目对照回款!$B10&amp;""</f>
        <v>医卡通</v>
      </c>
      <c r="E520" s="48" t="str">
        <f aca="false">科目对照回款!$C10&amp;""</f>
        <v>应收账款</v>
      </c>
      <c r="F520" s="48" t="str">
        <f aca="false">科目对照回款!$D10&amp;""</f>
        <v>医卡通</v>
      </c>
      <c r="G520" s="49" t="n">
        <f aca="false">-ROUND(IF(科目对照回款!$F$10="",0,SUMIFS(输入回款!$C:$C,输入回款!$A:$A,助手回款!$X36,输入回款!$B:$B,科目对照回款!$F$10)+SUMIFS(输入回款!$D:$D,输入回款!$A:$A,助手回款!$X36,输入回款!$B:$B,科目对照回款!$F$10))+IF(科目对照回款!$G$10="",0,SUMIFS(输入回款!$C:$C,输入回款!$A:$A,助手回款!$X36,输入回款!$B:$B,科目对照回款!$G$10)+SUMIFS(输入回款!$D:$D,输入回款!$A:$A,助手回款!$X36,输入回款!$B:$B,科目对照回款!$G$10))+IF(科目对照回款!$H$10="",0,SUMIFS(输入回款!$C:$C,输入回款!$A:$A,助手回款!$X36,输入回款!$B:$B,科目对照回款!$H$10)+SUMIFS(输入回款!$D:$D,输入回款!$A:$A,助手回款!$X36,输入回款!$B:$B,科目对照回款!$H$10)),2)</f>
        <v>-0</v>
      </c>
      <c r="H520" s="49" t="str">
        <f aca="false">IF(ROUND($G520,2)&gt;0,ROUND($G520,2),"")</f>
        <v/>
      </c>
      <c r="I520" s="49" t="str">
        <f aca="false">IF(ROUND($G520,2)&lt;0,-ROUND($G520,2),"")</f>
        <v/>
      </c>
      <c r="J520" s="20" t="n">
        <f aca="false">IF(ROUND($G520,2)=0,0,1)</f>
        <v>0</v>
      </c>
      <c r="K520" s="20" t="str">
        <f aca="false">IF($J520=0,"",SUM($J$512:$J520))</f>
        <v/>
      </c>
      <c r="L520" s="20" t="str">
        <f aca="false">IF($K520="","",$A520*100+$K520)</f>
        <v/>
      </c>
      <c r="M520" s="48" t="str">
        <f aca="false">参数!$B$4</f>
        <v>回款</v>
      </c>
    </row>
    <row r="521" customFormat="false" ht="13.5" hidden="false" customHeight="false" outlineLevel="0" collapsed="false">
      <c r="A521" s="47" t="n">
        <v>35</v>
      </c>
      <c r="B521" s="38" t="n">
        <f aca="false">助手回款!$B36</f>
        <v>2053</v>
      </c>
      <c r="C521" s="48" t="str">
        <f aca="false">助手回款!$C36</f>
        <v>博鑫店</v>
      </c>
      <c r="D521" s="48" t="str">
        <f aca="false">科目对照回款!$B11&amp;""</f>
        <v>企健网</v>
      </c>
      <c r="E521" s="48" t="str">
        <f aca="false">科目对照回款!$C11&amp;""</f>
        <v>应收账款</v>
      </c>
      <c r="F521" s="48" t="str">
        <f aca="false">科目对照回款!$D11&amp;""</f>
        <v>企健网</v>
      </c>
      <c r="G521" s="49" t="n">
        <f aca="false">-ROUND(IF(科目对照回款!$F$11="",0,SUMIFS(输入回款!$C:$C,输入回款!$A:$A,助手回款!$X36,输入回款!$B:$B,科目对照回款!$F$11)+SUMIFS(输入回款!$D:$D,输入回款!$A:$A,助手回款!$X36,输入回款!$B:$B,科目对照回款!$F$11))+IF(科目对照回款!$G$11="",0,SUMIFS(输入回款!$C:$C,输入回款!$A:$A,助手回款!$X36,输入回款!$B:$B,科目对照回款!$G$11)+SUMIFS(输入回款!$D:$D,输入回款!$A:$A,助手回款!$X36,输入回款!$B:$B,科目对照回款!$G$11))+IF(科目对照回款!$H$11="",0,SUMIFS(输入回款!$C:$C,输入回款!$A:$A,助手回款!$X36,输入回款!$B:$B,科目对照回款!$H$11)+SUMIFS(输入回款!$D:$D,输入回款!$A:$A,助手回款!$X36,输入回款!$B:$B,科目对照回款!$H$11)),2)</f>
        <v>-0</v>
      </c>
      <c r="H521" s="49" t="str">
        <f aca="false">IF(ROUND($G521,2)&gt;0,ROUND($G521,2),"")</f>
        <v/>
      </c>
      <c r="I521" s="49" t="str">
        <f aca="false">IF(ROUND($G521,2)&lt;0,-ROUND($G521,2),"")</f>
        <v/>
      </c>
      <c r="J521" s="20" t="n">
        <f aca="false">IF(ROUND($G521,2)=0,0,1)</f>
        <v>0</v>
      </c>
      <c r="K521" s="20" t="str">
        <f aca="false">IF($J521=0,"",SUM($J$512:$J521))</f>
        <v/>
      </c>
      <c r="L521" s="20" t="str">
        <f aca="false">IF($K521="","",$A521*100+$K521)</f>
        <v/>
      </c>
      <c r="M521" s="48" t="str">
        <f aca="false">参数!$B$4</f>
        <v>回款</v>
      </c>
    </row>
    <row r="522" customFormat="false" ht="13.5" hidden="false" customHeight="false" outlineLevel="0" collapsed="false">
      <c r="A522" s="47" t="n">
        <v>35</v>
      </c>
      <c r="B522" s="38" t="n">
        <f aca="false">助手回款!$B36</f>
        <v>2053</v>
      </c>
      <c r="C522" s="48" t="str">
        <f aca="false">助手回款!$C36</f>
        <v>博鑫店</v>
      </c>
      <c r="D522" s="48" t="str">
        <f aca="false">科目对照回款!$B12&amp;""</f>
        <v>亲情卡</v>
      </c>
      <c r="E522" s="48" t="str">
        <f aca="false">科目对照回款!$C12&amp;""</f>
        <v>应收账款</v>
      </c>
      <c r="F522" s="48" t="str">
        <f aca="false">科目对照回款!$D12&amp;""</f>
        <v>亲情卡</v>
      </c>
      <c r="G522" s="49" t="n">
        <f aca="false">-ROUND(IF(科目对照回款!$F$12="",0,SUMIFS(输入回款!$C:$C,输入回款!$A:$A,助手回款!$X36,输入回款!$B:$B,科目对照回款!$F$12)+SUMIFS(输入回款!$D:$D,输入回款!$A:$A,助手回款!$X36,输入回款!$B:$B,科目对照回款!$F$12))+IF(科目对照回款!$G$12="",0,SUMIFS(输入回款!$C:$C,输入回款!$A:$A,助手回款!$X36,输入回款!$B:$B,科目对照回款!$G$12)+SUMIFS(输入回款!$D:$D,输入回款!$A:$A,助手回款!$X36,输入回款!$B:$B,科目对照回款!$G$12))+IF(科目对照回款!$H$12="",0,SUMIFS(输入回款!$C:$C,输入回款!$A:$A,助手回款!$X36,输入回款!$B:$B,科目对照回款!$H$12)+SUMIFS(输入回款!$D:$D,输入回款!$A:$A,助手回款!$X36,输入回款!$B:$B,科目对照回款!$H$12)),2)</f>
        <v>-0</v>
      </c>
      <c r="H522" s="49" t="str">
        <f aca="false">IF(ROUND($G522,2)&gt;0,ROUND($G522,2),"")</f>
        <v/>
      </c>
      <c r="I522" s="49" t="str">
        <f aca="false">IF(ROUND($G522,2)&lt;0,-ROUND($G522,2),"")</f>
        <v/>
      </c>
      <c r="J522" s="20" t="n">
        <f aca="false">IF(ROUND($G522,2)=0,0,1)</f>
        <v>0</v>
      </c>
      <c r="K522" s="20" t="str">
        <f aca="false">IF($J522=0,"",SUM($J$512:$J522))</f>
        <v/>
      </c>
      <c r="L522" s="20" t="str">
        <f aca="false">IF($K522="","",$A522*100+$K522)</f>
        <v/>
      </c>
      <c r="M522" s="48" t="str">
        <f aca="false">参数!$B$4</f>
        <v>回款</v>
      </c>
    </row>
    <row r="523" customFormat="false" ht="13.5" hidden="false" customHeight="false" outlineLevel="0" collapsed="false">
      <c r="A523" s="47" t="n">
        <v>35</v>
      </c>
      <c r="B523" s="38" t="n">
        <f aca="false">助手回款!$B36</f>
        <v>2053</v>
      </c>
      <c r="C523" s="48" t="str">
        <f aca="false">助手回款!$C36</f>
        <v>博鑫店</v>
      </c>
      <c r="D523" s="48" t="str">
        <f aca="false">科目对照回款!$B13&amp;""</f>
        <v>银联</v>
      </c>
      <c r="E523" s="48" t="str">
        <f aca="false">科目对照回款!$C13&amp;""</f>
        <v>应收账款</v>
      </c>
      <c r="F523" s="48" t="str">
        <f aca="false">科目对照回款!$D13&amp;""</f>
        <v>银联</v>
      </c>
      <c r="G523" s="49" t="n">
        <f aca="false">-ROUND(IF(科目对照回款!$F$13="",0,SUMIFS(输入回款!$C:$C,输入回款!$A:$A,助手回款!$X36,输入回款!$B:$B,科目对照回款!$F$13)+SUMIFS(输入回款!$D:$D,输入回款!$A:$A,助手回款!$X36,输入回款!$B:$B,科目对照回款!$F$13))+IF(科目对照回款!$G$13="",0,SUMIFS(输入回款!$C:$C,输入回款!$A:$A,助手回款!$X36,输入回款!$B:$B,科目对照回款!$G$13)+SUMIFS(输入回款!$D:$D,输入回款!$A:$A,助手回款!$X36,输入回款!$B:$B,科目对照回款!$G$13))+IF(科目对照回款!$H$13="",0,SUMIFS(输入回款!$C:$C,输入回款!$A:$A,助手回款!$X36,输入回款!$B:$B,科目对照回款!$H$13)+SUMIFS(输入回款!$D:$D,输入回款!$A:$A,助手回款!$X36,输入回款!$B:$B,科目对照回款!$H$13)),2)</f>
        <v>-0</v>
      </c>
      <c r="H523" s="49" t="str">
        <f aca="false">IF(ROUND($G523,2)&gt;0,ROUND($G523,2),"")</f>
        <v/>
      </c>
      <c r="I523" s="49" t="str">
        <f aca="false">IF(ROUND($G523,2)&lt;0,-ROUND($G523,2),"")</f>
        <v/>
      </c>
      <c r="J523" s="20" t="n">
        <f aca="false">IF(ROUND($G523,2)=0,0,1)</f>
        <v>0</v>
      </c>
      <c r="K523" s="20" t="str">
        <f aca="false">IF($J523=0,"",SUM($J$512:$J523))</f>
        <v/>
      </c>
      <c r="L523" s="20" t="str">
        <f aca="false">IF($K523="","",$A523*100+$K523)</f>
        <v/>
      </c>
      <c r="M523" s="48" t="str">
        <f aca="false">参数!$B$4</f>
        <v>回款</v>
      </c>
    </row>
    <row r="524" customFormat="false" ht="13.5" hidden="false" customHeight="false" outlineLevel="0" collapsed="false">
      <c r="A524" s="47" t="n">
        <v>35</v>
      </c>
      <c r="B524" s="38" t="n">
        <f aca="false">助手回款!$B36</f>
        <v>2053</v>
      </c>
      <c r="C524" s="48" t="str">
        <f aca="false">助手回款!$C36</f>
        <v>博鑫店</v>
      </c>
      <c r="D524" s="48" t="str">
        <f aca="false">科目对照回款!$B14&amp;""</f>
        <v>代金券</v>
      </c>
      <c r="E524" s="48" t="str">
        <f aca="false">科目对照回款!$C14&amp;""</f>
        <v>应收账款</v>
      </c>
      <c r="F524" s="48" t="str">
        <f aca="false">科目对照回款!$D14&amp;""</f>
        <v>代金券</v>
      </c>
      <c r="G524" s="49" t="n">
        <f aca="false">-ROUND(IF(科目对照回款!$F$14="",0,SUMIFS(输入回款!$C:$C,输入回款!$A:$A,助手回款!$X36,输入回款!$B:$B,科目对照回款!$F$14)+SUMIFS(输入回款!$D:$D,输入回款!$A:$A,助手回款!$X36,输入回款!$B:$B,科目对照回款!$F$14))+IF(科目对照回款!$G$14="",0,SUMIFS(输入回款!$C:$C,输入回款!$A:$A,助手回款!$X36,输入回款!$B:$B,科目对照回款!$G$14)+SUMIFS(输入回款!$D:$D,输入回款!$A:$A,助手回款!$X36,输入回款!$B:$B,科目对照回款!$G$14))+IF(科目对照回款!$H$14="",0,SUMIFS(输入回款!$C:$C,输入回款!$A:$A,助手回款!$X36,输入回款!$B:$B,科目对照回款!$H$14)+SUMIFS(输入回款!$D:$D,输入回款!$A:$A,助手回款!$X36,输入回款!$B:$B,科目对照回款!$H$14)),2)</f>
        <v>-0</v>
      </c>
      <c r="H524" s="49" t="str">
        <f aca="false">IF(ROUND($G524,2)&gt;0,ROUND($G524,2),"")</f>
        <v/>
      </c>
      <c r="I524" s="49" t="str">
        <f aca="false">IF(ROUND($G524,2)&lt;0,-ROUND($G524,2),"")</f>
        <v/>
      </c>
      <c r="J524" s="20" t="n">
        <f aca="false">IF(ROUND($G524,2)=0,0,1)</f>
        <v>0</v>
      </c>
      <c r="K524" s="20" t="str">
        <f aca="false">IF($J524=0,"",SUM($J$512:$J524))</f>
        <v/>
      </c>
      <c r="L524" s="20" t="str">
        <f aca="false">IF($K524="","",$A524*100+$K524)</f>
        <v/>
      </c>
      <c r="M524" s="48" t="str">
        <f aca="false">参数!$B$4</f>
        <v>回款</v>
      </c>
    </row>
    <row r="525" customFormat="false" ht="13.5" hidden="false" customHeight="false" outlineLevel="0" collapsed="false">
      <c r="A525" s="47" t="n">
        <v>35</v>
      </c>
      <c r="B525" s="38" t="n">
        <f aca="false">助手回款!$B36</f>
        <v>2053</v>
      </c>
      <c r="C525" s="48" t="str">
        <f aca="false">助手回款!$C36</f>
        <v>博鑫店</v>
      </c>
      <c r="D525" s="48" t="str">
        <f aca="false">科目对照回款!$B15&amp;""</f>
        <v>药机微信</v>
      </c>
      <c r="E525" s="48" t="str">
        <f aca="false">科目对照回款!$C15&amp;""</f>
        <v>应收账款</v>
      </c>
      <c r="F525" s="48" t="str">
        <f aca="false">科目对照回款!$D15&amp;""</f>
        <v>药机微信</v>
      </c>
      <c r="G525" s="49" t="n">
        <f aca="false">-ROUND(IF(科目对照回款!$F$15="",0,SUMIFS(输入回款!$C:$C,输入回款!$A:$A,助手回款!$X36,输入回款!$B:$B,科目对照回款!$F$15)+SUMIFS(输入回款!$D:$D,输入回款!$A:$A,助手回款!$X36,输入回款!$B:$B,科目对照回款!$F$15))+IF(科目对照回款!$G$15="",0,SUMIFS(输入回款!$C:$C,输入回款!$A:$A,助手回款!$X36,输入回款!$B:$B,科目对照回款!$G$15)+SUMIFS(输入回款!$D:$D,输入回款!$A:$A,助手回款!$X36,输入回款!$B:$B,科目对照回款!$G$15))+IF(科目对照回款!$H$15="",0,SUMIFS(输入回款!$C:$C,输入回款!$A:$A,助手回款!$X36,输入回款!$B:$B,科目对照回款!$H$15)+SUMIFS(输入回款!$D:$D,输入回款!$A:$A,助手回款!$X36,输入回款!$B:$B,科目对照回款!$H$15)),2)</f>
        <v>-0</v>
      </c>
      <c r="H525" s="49" t="str">
        <f aca="false">IF(ROUND($G525,2)&gt;0,ROUND($G525,2),"")</f>
        <v/>
      </c>
      <c r="I525" s="49" t="str">
        <f aca="false">IF(ROUND($G525,2)&lt;0,-ROUND($G525,2),"")</f>
        <v/>
      </c>
      <c r="J525" s="20" t="n">
        <f aca="false">IF(ROUND($G525,2)=0,0,1)</f>
        <v>0</v>
      </c>
      <c r="K525" s="20" t="str">
        <f aca="false">IF($J525=0,"",SUM($J$512:$J525))</f>
        <v/>
      </c>
      <c r="L525" s="20" t="str">
        <f aca="false">IF($K525="","",$A525*100+$K525)</f>
        <v/>
      </c>
      <c r="M525" s="48" t="str">
        <f aca="false">参数!$B$4</f>
        <v>回款</v>
      </c>
    </row>
    <row r="526" customFormat="false" ht="13.5" hidden="false" customHeight="false" outlineLevel="0" collapsed="false">
      <c r="A526" s="47" t="n">
        <v>35</v>
      </c>
      <c r="B526" s="38" t="n">
        <f aca="false">助手回款!$B36</f>
        <v>2053</v>
      </c>
      <c r="C526" s="48" t="str">
        <f aca="false">助手回款!$C36</f>
        <v>博鑫店</v>
      </c>
      <c r="D526" s="48" t="str">
        <f aca="false">科目对照回款!$B16&amp;""</f>
        <v>储值卡</v>
      </c>
      <c r="E526" s="48" t="str">
        <f aca="false">科目对照回款!$C16&amp;""</f>
        <v>其他应收款</v>
      </c>
      <c r="F526" s="48" t="str">
        <f aca="false">科目对照回款!$D16&amp;""</f>
        <v>储值卡</v>
      </c>
      <c r="G526" s="49" t="n">
        <f aca="false">-ROUND(IF(科目对照回款!$F$16="",0,SUMIFS(输入回款!$C:$C,输入回款!$A:$A,助手回款!$X36,输入回款!$B:$B,科目对照回款!$F$16)+SUMIFS(输入回款!$D:$D,输入回款!$A:$A,助手回款!$X36,输入回款!$B:$B,科目对照回款!$F$16))+IF(科目对照回款!$G$16="",0,SUMIFS(输入回款!$C:$C,输入回款!$A:$A,助手回款!$X36,输入回款!$B:$B,科目对照回款!$G$16)+SUMIFS(输入回款!$D:$D,输入回款!$A:$A,助手回款!$X36,输入回款!$B:$B,科目对照回款!$G$16))+IF(科目对照回款!$H$16="",0,SUMIFS(输入回款!$C:$C,输入回款!$A:$A,助手回款!$X36,输入回款!$B:$B,科目对照回款!$H$16)+SUMIFS(输入回款!$D:$D,输入回款!$A:$A,助手回款!$X36,输入回款!$B:$B,科目对照回款!$H$16)),2)</f>
        <v>-0</v>
      </c>
      <c r="H526" s="49" t="str">
        <f aca="false">IF(ROUND($G526,2)&gt;0,ROUND($G526,2),"")</f>
        <v/>
      </c>
      <c r="I526" s="49" t="str">
        <f aca="false">IF(ROUND($G526,2)&lt;0,-ROUND($G526,2),"")</f>
        <v/>
      </c>
      <c r="J526" s="20" t="n">
        <f aca="false">IF(ROUND($G526,2)=0,0,1)</f>
        <v>0</v>
      </c>
      <c r="K526" s="20" t="str">
        <f aca="false">IF($J526=0,"",SUM($J$512:$J526))</f>
        <v/>
      </c>
      <c r="L526" s="20" t="str">
        <f aca="false">IF($K526="","",$A526*100+$K526)</f>
        <v/>
      </c>
      <c r="M526" s="48" t="str">
        <f aca="false">参数!$B$4</f>
        <v>回款</v>
      </c>
    </row>
    <row r="527" customFormat="false" ht="13.5" hidden="false" customHeight="false" outlineLevel="0" collapsed="false">
      <c r="A527" s="47" t="n">
        <v>36</v>
      </c>
      <c r="B527" s="38" t="n">
        <f aca="false">助手回款!$B37</f>
        <v>2055</v>
      </c>
      <c r="C527" s="48" t="str">
        <f aca="false">助手回款!$C37</f>
        <v>博魏店</v>
      </c>
      <c r="D527" s="48" t="str">
        <f aca="false">科目对照回款!$B2&amp;""</f>
        <v>库存现金</v>
      </c>
      <c r="E527" s="48" t="str">
        <f aca="false">科目对照回款!$C2&amp;""</f>
        <v>库存现金</v>
      </c>
      <c r="F527" s="48" t="str">
        <f aca="false">科目对照回款!$D2&amp;""</f>
        <v/>
      </c>
      <c r="G527" s="49" t="n">
        <f aca="false">助手回款!$E37</f>
        <v>25814.11</v>
      </c>
      <c r="H527" s="49" t="n">
        <f aca="false">IF(ROUND($G527,2)&gt;0,ROUND($G527,2),"")</f>
        <v>25814.11</v>
      </c>
      <c r="I527" s="49" t="str">
        <f aca="false">IF(ROUND($G527,2)&lt;0,-ROUND($G527,2),"")</f>
        <v/>
      </c>
      <c r="J527" s="20" t="n">
        <f aca="false">IF(ROUND($G527,2)=0,0,1)</f>
        <v>1</v>
      </c>
      <c r="K527" s="20" t="n">
        <f aca="false">IF($J527=0,"",SUM($J$527:$J527))</f>
        <v>1</v>
      </c>
      <c r="L527" s="20" t="n">
        <f aca="false">IF($K527="","",$A527*100+$K527)</f>
        <v>3601</v>
      </c>
      <c r="M527" s="48" t="str">
        <f aca="false">参数!$B$4</f>
        <v>回款</v>
      </c>
    </row>
    <row r="528" customFormat="false" ht="13.5" hidden="false" customHeight="false" outlineLevel="0" collapsed="false">
      <c r="A528" s="47" t="n">
        <v>36</v>
      </c>
      <c r="B528" s="38" t="n">
        <f aca="false">助手回款!$B37</f>
        <v>2055</v>
      </c>
      <c r="C528" s="48" t="str">
        <f aca="false">助手回款!$C37</f>
        <v>博魏店</v>
      </c>
      <c r="D528" s="48" t="str">
        <f aca="false">科目对照回款!$B3&amp;""</f>
        <v>手续费</v>
      </c>
      <c r="E528" s="48" t="str">
        <f aca="false">科目对照回款!$C3&amp;""</f>
        <v>财务费用</v>
      </c>
      <c r="F528" s="48" t="str">
        <f aca="false">科目对照回款!$D3&amp;""</f>
        <v>手续费</v>
      </c>
      <c r="G528" s="49" t="n">
        <f aca="false">助手回款!$F37</f>
        <v>0</v>
      </c>
      <c r="H528" s="49" t="str">
        <f aca="false">IF(ROUND($G528,2)&gt;0,ROUND($G528,2),"")</f>
        <v/>
      </c>
      <c r="I528" s="49" t="str">
        <f aca="false">IF(ROUND($G528,2)&lt;0,-ROUND($G528,2),"")</f>
        <v/>
      </c>
      <c r="J528" s="20" t="n">
        <f aca="false">IF(ROUND($G528,2)=0,0,1)</f>
        <v>0</v>
      </c>
      <c r="K528" s="20" t="str">
        <f aca="false">IF($J528=0,"",SUM($J$527:$J528))</f>
        <v/>
      </c>
      <c r="L528" s="20" t="str">
        <f aca="false">IF($K528="","",$A528*100+$K528)</f>
        <v/>
      </c>
      <c r="M528" s="48" t="str">
        <f aca="false">参数!$B$4</f>
        <v>回款</v>
      </c>
    </row>
    <row r="529" customFormat="false" ht="13.5" hidden="false" customHeight="false" outlineLevel="0" collapsed="false">
      <c r="A529" s="47" t="n">
        <v>36</v>
      </c>
      <c r="B529" s="38" t="n">
        <f aca="false">助手回款!$B37</f>
        <v>2055</v>
      </c>
      <c r="C529" s="48" t="str">
        <f aca="false">助手回款!$C37</f>
        <v>博魏店</v>
      </c>
      <c r="D529" s="48" t="str">
        <f aca="false">科目对照回款!$B4&amp;""</f>
        <v>聚合支付</v>
      </c>
      <c r="E529" s="48" t="str">
        <f aca="false">科目对照回款!$C4&amp;""</f>
        <v>应收账款</v>
      </c>
      <c r="F529" s="48" t="str">
        <f aca="false">科目对照回款!$D4&amp;""</f>
        <v>聚合支付</v>
      </c>
      <c r="G529" s="49" t="n">
        <f aca="false">-ROUND(IF(科目对照回款!$F$4="",0,SUMIFS(输入回款!$C:$C,输入回款!$A:$A,助手回款!$X37,输入回款!$B:$B,科目对照回款!$F$4)+SUMIFS(输入回款!$D:$D,输入回款!$A:$A,助手回款!$X37,输入回款!$B:$B,科目对照回款!$F$4))+IF(科目对照回款!$G$4="",0,SUMIFS(输入回款!$C:$C,输入回款!$A:$A,助手回款!$X37,输入回款!$B:$B,科目对照回款!$G$4)+SUMIFS(输入回款!$D:$D,输入回款!$A:$A,助手回款!$X37,输入回款!$B:$B,科目对照回款!$G$4))+IF(科目对照回款!$H$4="",0,SUMIFS(输入回款!$C:$C,输入回款!$A:$A,助手回款!$X37,输入回款!$B:$B,科目对照回款!$H$4)+SUMIFS(输入回款!$D:$D,输入回款!$A:$A,助手回款!$X37,输入回款!$B:$B,科目对照回款!$H$4)),2)</f>
        <v>-25814.11</v>
      </c>
      <c r="H529" s="49" t="str">
        <f aca="false">IF(ROUND($G529,2)&gt;0,ROUND($G529,2),"")</f>
        <v/>
      </c>
      <c r="I529" s="49" t="n">
        <f aca="false">IF(ROUND($G529,2)&lt;0,-ROUND($G529,2),"")</f>
        <v>25814.11</v>
      </c>
      <c r="J529" s="20" t="n">
        <f aca="false">IF(ROUND($G529,2)=0,0,1)</f>
        <v>1</v>
      </c>
      <c r="K529" s="20" t="n">
        <f aca="false">IF($J529=0,"",SUM($J$527:$J529))</f>
        <v>2</v>
      </c>
      <c r="L529" s="20" t="n">
        <f aca="false">IF($K529="","",$A529*100+$K529)</f>
        <v>3602</v>
      </c>
      <c r="M529" s="48" t="str">
        <f aca="false">参数!$B$4</f>
        <v>回款</v>
      </c>
    </row>
    <row r="530" customFormat="false" ht="13.5" hidden="false" customHeight="false" outlineLevel="0" collapsed="false">
      <c r="A530" s="47" t="n">
        <v>36</v>
      </c>
      <c r="B530" s="38" t="n">
        <f aca="false">助手回款!$B37</f>
        <v>2055</v>
      </c>
      <c r="C530" s="48" t="str">
        <f aca="false">助手回款!$C37</f>
        <v>博魏店</v>
      </c>
      <c r="D530" s="48" t="str">
        <f aca="false">科目对照回款!$B5&amp;""</f>
        <v>医保</v>
      </c>
      <c r="E530" s="48" t="str">
        <f aca="false">科目对照回款!$C5&amp;""</f>
        <v>应收账款</v>
      </c>
      <c r="F530" s="48" t="str">
        <f aca="false">科目对照回款!$D5&amp;""</f>
        <v>医保</v>
      </c>
      <c r="G530" s="49" t="n">
        <f aca="false">-ROUND(IF(科目对照回款!$F$5="",0,SUMIFS(输入回款!$C:$C,输入回款!$A:$A,助手回款!$X37,输入回款!$B:$B,科目对照回款!$F$5)+SUMIFS(输入回款!$D:$D,输入回款!$A:$A,助手回款!$X37,输入回款!$B:$B,科目对照回款!$F$5))+IF(科目对照回款!$G$5="",0,SUMIFS(输入回款!$C:$C,输入回款!$A:$A,助手回款!$X37,输入回款!$B:$B,科目对照回款!$G$5)+SUMIFS(输入回款!$D:$D,输入回款!$A:$A,助手回款!$X37,输入回款!$B:$B,科目对照回款!$G$5))+IF(科目对照回款!$H$5="",0,SUMIFS(输入回款!$C:$C,输入回款!$A:$A,助手回款!$X37,输入回款!$B:$B,科目对照回款!$H$5)+SUMIFS(输入回款!$D:$D,输入回款!$A:$A,助手回款!$X37,输入回款!$B:$B,科目对照回款!$H$5)),2)</f>
        <v>-0</v>
      </c>
      <c r="H530" s="49" t="str">
        <f aca="false">IF(ROUND($G530,2)&gt;0,ROUND($G530,2),"")</f>
        <v/>
      </c>
      <c r="I530" s="49" t="str">
        <f aca="false">IF(ROUND($G530,2)&lt;0,-ROUND($G530,2),"")</f>
        <v/>
      </c>
      <c r="J530" s="20" t="n">
        <f aca="false">IF(ROUND($G530,2)=0,0,1)</f>
        <v>0</v>
      </c>
      <c r="K530" s="20" t="str">
        <f aca="false">IF($J530=0,"",SUM($J$527:$J530))</f>
        <v/>
      </c>
      <c r="L530" s="20" t="str">
        <f aca="false">IF($K530="","",$A530*100+$K530)</f>
        <v/>
      </c>
      <c r="M530" s="48" t="str">
        <f aca="false">参数!$B$4</f>
        <v>回款</v>
      </c>
    </row>
    <row r="531" customFormat="false" ht="13.5" hidden="false" customHeight="false" outlineLevel="0" collapsed="false">
      <c r="A531" s="47" t="n">
        <v>36</v>
      </c>
      <c r="B531" s="38" t="n">
        <f aca="false">助手回款!$B37</f>
        <v>2055</v>
      </c>
      <c r="C531" s="48" t="str">
        <f aca="false">助手回款!$C37</f>
        <v>博魏店</v>
      </c>
      <c r="D531" s="48" t="str">
        <f aca="false">科目对照回款!$B6&amp;""</f>
        <v>美团</v>
      </c>
      <c r="E531" s="48" t="str">
        <f aca="false">科目对照回款!$C6&amp;""</f>
        <v>应收账款</v>
      </c>
      <c r="F531" s="48" t="str">
        <f aca="false">科目对照回款!$D6&amp;""</f>
        <v>美团</v>
      </c>
      <c r="G531" s="49" t="n">
        <f aca="false">-ROUND(IF(科目对照回款!$F$6="",0,SUMIFS(输入回款!$C:$C,输入回款!$A:$A,助手回款!$X37,输入回款!$B:$B,科目对照回款!$F$6)+SUMIFS(输入回款!$D:$D,输入回款!$A:$A,助手回款!$X37,输入回款!$B:$B,科目对照回款!$F$6))+IF(科目对照回款!$G$6="",0,SUMIFS(输入回款!$C:$C,输入回款!$A:$A,助手回款!$X37,输入回款!$B:$B,科目对照回款!$G$6)+SUMIFS(输入回款!$D:$D,输入回款!$A:$A,助手回款!$X37,输入回款!$B:$B,科目对照回款!$G$6))+IF(科目对照回款!$H$6="",0,SUMIFS(输入回款!$C:$C,输入回款!$A:$A,助手回款!$X37,输入回款!$B:$B,科目对照回款!$H$6)+SUMIFS(输入回款!$D:$D,输入回款!$A:$A,助手回款!$X37,输入回款!$B:$B,科目对照回款!$H$6)),2)</f>
        <v>-0</v>
      </c>
      <c r="H531" s="49" t="str">
        <f aca="false">IF(ROUND($G531,2)&gt;0,ROUND($G531,2),"")</f>
        <v/>
      </c>
      <c r="I531" s="49" t="str">
        <f aca="false">IF(ROUND($G531,2)&lt;0,-ROUND($G531,2),"")</f>
        <v/>
      </c>
      <c r="J531" s="20" t="n">
        <f aca="false">IF(ROUND($G531,2)=0,0,1)</f>
        <v>0</v>
      </c>
      <c r="K531" s="20" t="str">
        <f aca="false">IF($J531=0,"",SUM($J$527:$J531))</f>
        <v/>
      </c>
      <c r="L531" s="20" t="str">
        <f aca="false">IF($K531="","",$A531*100+$K531)</f>
        <v/>
      </c>
      <c r="M531" s="48" t="str">
        <f aca="false">参数!$B$4</f>
        <v>回款</v>
      </c>
    </row>
    <row r="532" customFormat="false" ht="13.5" hidden="false" customHeight="false" outlineLevel="0" collapsed="false">
      <c r="A532" s="47" t="n">
        <v>36</v>
      </c>
      <c r="B532" s="38" t="n">
        <f aca="false">助手回款!$B37</f>
        <v>2055</v>
      </c>
      <c r="C532" s="48" t="str">
        <f aca="false">助手回款!$C37</f>
        <v>博魏店</v>
      </c>
      <c r="D532" s="48" t="str">
        <f aca="false">科目对照回款!$B7&amp;""</f>
        <v>饿了么</v>
      </c>
      <c r="E532" s="48" t="str">
        <f aca="false">科目对照回款!$C7&amp;""</f>
        <v>应收账款</v>
      </c>
      <c r="F532" s="48" t="str">
        <f aca="false">科目对照回款!$D7&amp;""</f>
        <v>饿了么</v>
      </c>
      <c r="G532" s="49" t="n">
        <f aca="false">-ROUND(IF(科目对照回款!$F$7="",0,SUMIFS(输入回款!$C:$C,输入回款!$A:$A,助手回款!$X37,输入回款!$B:$B,科目对照回款!$F$7)+SUMIFS(输入回款!$D:$D,输入回款!$A:$A,助手回款!$X37,输入回款!$B:$B,科目对照回款!$F$7))+IF(科目对照回款!$G$7="",0,SUMIFS(输入回款!$C:$C,输入回款!$A:$A,助手回款!$X37,输入回款!$B:$B,科目对照回款!$G$7)+SUMIFS(输入回款!$D:$D,输入回款!$A:$A,助手回款!$X37,输入回款!$B:$B,科目对照回款!$G$7))+IF(科目对照回款!$H$7="",0,SUMIFS(输入回款!$C:$C,输入回款!$A:$A,助手回款!$X37,输入回款!$B:$B,科目对照回款!$H$7)+SUMIFS(输入回款!$D:$D,输入回款!$A:$A,助手回款!$X37,输入回款!$B:$B,科目对照回款!$H$7)),2)</f>
        <v>-0</v>
      </c>
      <c r="H532" s="49" t="str">
        <f aca="false">IF(ROUND($G532,2)&gt;0,ROUND($G532,2),"")</f>
        <v/>
      </c>
      <c r="I532" s="49" t="str">
        <f aca="false">IF(ROUND($G532,2)&lt;0,-ROUND($G532,2),"")</f>
        <v/>
      </c>
      <c r="J532" s="20" t="n">
        <f aca="false">IF(ROUND($G532,2)=0,0,1)</f>
        <v>0</v>
      </c>
      <c r="K532" s="20" t="str">
        <f aca="false">IF($J532=0,"",SUM($J$527:$J532))</f>
        <v/>
      </c>
      <c r="L532" s="20" t="str">
        <f aca="false">IF($K532="","",$A532*100+$K532)</f>
        <v/>
      </c>
      <c r="M532" s="48" t="str">
        <f aca="false">参数!$B$4</f>
        <v>回款</v>
      </c>
    </row>
    <row r="533" customFormat="false" ht="13.5" hidden="false" customHeight="false" outlineLevel="0" collapsed="false">
      <c r="A533" s="47" t="n">
        <v>36</v>
      </c>
      <c r="B533" s="38" t="n">
        <f aca="false">助手回款!$B37</f>
        <v>2055</v>
      </c>
      <c r="C533" s="48" t="str">
        <f aca="false">助手回款!$C37</f>
        <v>博魏店</v>
      </c>
      <c r="D533" s="48" t="str">
        <f aca="false">科目对照回款!$B8&amp;""</f>
        <v>24小时</v>
      </c>
      <c r="E533" s="48" t="str">
        <f aca="false">科目对照回款!$C8&amp;""</f>
        <v>应收账款</v>
      </c>
      <c r="F533" s="48" t="str">
        <f aca="false">科目对照回款!$D8&amp;""</f>
        <v>24小时</v>
      </c>
      <c r="G533" s="49" t="n">
        <f aca="false">-ROUND(IF(科目对照回款!$F$8="",0,SUMIFS(输入回款!$C:$C,输入回款!$A:$A,助手回款!$X37,输入回款!$B:$B,科目对照回款!$F$8)+SUMIFS(输入回款!$D:$D,输入回款!$A:$A,助手回款!$X37,输入回款!$B:$B,科目对照回款!$F$8))+IF(科目对照回款!$G$8="",0,SUMIFS(输入回款!$C:$C,输入回款!$A:$A,助手回款!$X37,输入回款!$B:$B,科目对照回款!$G$8)+SUMIFS(输入回款!$D:$D,输入回款!$A:$A,助手回款!$X37,输入回款!$B:$B,科目对照回款!$G$8))+IF(科目对照回款!$H$8="",0,SUMIFS(输入回款!$C:$C,输入回款!$A:$A,助手回款!$X37,输入回款!$B:$B,科目对照回款!$H$8)+SUMIFS(输入回款!$D:$D,输入回款!$A:$A,助手回款!$X37,输入回款!$B:$B,科目对照回款!$H$8)),2)</f>
        <v>-0</v>
      </c>
      <c r="H533" s="49" t="str">
        <f aca="false">IF(ROUND($G533,2)&gt;0,ROUND($G533,2),"")</f>
        <v/>
      </c>
      <c r="I533" s="49" t="str">
        <f aca="false">IF(ROUND($G533,2)&lt;0,-ROUND($G533,2),"")</f>
        <v/>
      </c>
      <c r="J533" s="20" t="n">
        <f aca="false">IF(ROUND($G533,2)=0,0,1)</f>
        <v>0</v>
      </c>
      <c r="K533" s="20" t="str">
        <f aca="false">IF($J533=0,"",SUM($J$527:$J533))</f>
        <v/>
      </c>
      <c r="L533" s="20" t="str">
        <f aca="false">IF($K533="","",$A533*100+$K533)</f>
        <v/>
      </c>
      <c r="M533" s="48" t="str">
        <f aca="false">参数!$B$4</f>
        <v>回款</v>
      </c>
    </row>
    <row r="534" customFormat="false" ht="13.5" hidden="false" customHeight="false" outlineLevel="0" collapsed="false">
      <c r="A534" s="47" t="n">
        <v>36</v>
      </c>
      <c r="B534" s="38" t="n">
        <f aca="false">助手回款!$B37</f>
        <v>2055</v>
      </c>
      <c r="C534" s="48" t="str">
        <f aca="false">助手回款!$C37</f>
        <v>博魏店</v>
      </c>
      <c r="D534" s="48" t="str">
        <f aca="false">科目对照回款!$B9&amp;""</f>
        <v>健E卡</v>
      </c>
      <c r="E534" s="48" t="str">
        <f aca="false">科目对照回款!$C9&amp;""</f>
        <v>应收账款</v>
      </c>
      <c r="F534" s="48" t="str">
        <f aca="false">科目对照回款!$D9&amp;""</f>
        <v>健E卡</v>
      </c>
      <c r="G534" s="49" t="n">
        <f aca="false">-ROUND(IF(科目对照回款!$F$9="",0,SUMIFS(输入回款!$C:$C,输入回款!$A:$A,助手回款!$X37,输入回款!$B:$B,科目对照回款!$F$9)+SUMIFS(输入回款!$D:$D,输入回款!$A:$A,助手回款!$X37,输入回款!$B:$B,科目对照回款!$F$9))+IF(科目对照回款!$G$9="",0,SUMIFS(输入回款!$C:$C,输入回款!$A:$A,助手回款!$X37,输入回款!$B:$B,科目对照回款!$G$9)+SUMIFS(输入回款!$D:$D,输入回款!$A:$A,助手回款!$X37,输入回款!$B:$B,科目对照回款!$G$9))+IF(科目对照回款!$H$9="",0,SUMIFS(输入回款!$C:$C,输入回款!$A:$A,助手回款!$X37,输入回款!$B:$B,科目对照回款!$H$9)+SUMIFS(输入回款!$D:$D,输入回款!$A:$A,助手回款!$X37,输入回款!$B:$B,科目对照回款!$H$9)),2)</f>
        <v>-0</v>
      </c>
      <c r="H534" s="49" t="str">
        <f aca="false">IF(ROUND($G534,2)&gt;0,ROUND($G534,2),"")</f>
        <v/>
      </c>
      <c r="I534" s="49" t="str">
        <f aca="false">IF(ROUND($G534,2)&lt;0,-ROUND($G534,2),"")</f>
        <v/>
      </c>
      <c r="J534" s="20" t="n">
        <f aca="false">IF(ROUND($G534,2)=0,0,1)</f>
        <v>0</v>
      </c>
      <c r="K534" s="20" t="str">
        <f aca="false">IF($J534=0,"",SUM($J$527:$J534))</f>
        <v/>
      </c>
      <c r="L534" s="20" t="str">
        <f aca="false">IF($K534="","",$A534*100+$K534)</f>
        <v/>
      </c>
      <c r="M534" s="48" t="str">
        <f aca="false">参数!$B$4</f>
        <v>回款</v>
      </c>
    </row>
    <row r="535" customFormat="false" ht="13.5" hidden="false" customHeight="false" outlineLevel="0" collapsed="false">
      <c r="A535" s="47" t="n">
        <v>36</v>
      </c>
      <c r="B535" s="38" t="n">
        <f aca="false">助手回款!$B37</f>
        <v>2055</v>
      </c>
      <c r="C535" s="48" t="str">
        <f aca="false">助手回款!$C37</f>
        <v>博魏店</v>
      </c>
      <c r="D535" s="48" t="str">
        <f aca="false">科目对照回款!$B10&amp;""</f>
        <v>医卡通</v>
      </c>
      <c r="E535" s="48" t="str">
        <f aca="false">科目对照回款!$C10&amp;""</f>
        <v>应收账款</v>
      </c>
      <c r="F535" s="48" t="str">
        <f aca="false">科目对照回款!$D10&amp;""</f>
        <v>医卡通</v>
      </c>
      <c r="G535" s="49" t="n">
        <f aca="false">-ROUND(IF(科目对照回款!$F$10="",0,SUMIFS(输入回款!$C:$C,输入回款!$A:$A,助手回款!$X37,输入回款!$B:$B,科目对照回款!$F$10)+SUMIFS(输入回款!$D:$D,输入回款!$A:$A,助手回款!$X37,输入回款!$B:$B,科目对照回款!$F$10))+IF(科目对照回款!$G$10="",0,SUMIFS(输入回款!$C:$C,输入回款!$A:$A,助手回款!$X37,输入回款!$B:$B,科目对照回款!$G$10)+SUMIFS(输入回款!$D:$D,输入回款!$A:$A,助手回款!$X37,输入回款!$B:$B,科目对照回款!$G$10))+IF(科目对照回款!$H$10="",0,SUMIFS(输入回款!$C:$C,输入回款!$A:$A,助手回款!$X37,输入回款!$B:$B,科目对照回款!$H$10)+SUMIFS(输入回款!$D:$D,输入回款!$A:$A,助手回款!$X37,输入回款!$B:$B,科目对照回款!$H$10)),2)</f>
        <v>-0</v>
      </c>
      <c r="H535" s="49" t="str">
        <f aca="false">IF(ROUND($G535,2)&gt;0,ROUND($G535,2),"")</f>
        <v/>
      </c>
      <c r="I535" s="49" t="str">
        <f aca="false">IF(ROUND($G535,2)&lt;0,-ROUND($G535,2),"")</f>
        <v/>
      </c>
      <c r="J535" s="20" t="n">
        <f aca="false">IF(ROUND($G535,2)=0,0,1)</f>
        <v>0</v>
      </c>
      <c r="K535" s="20" t="str">
        <f aca="false">IF($J535=0,"",SUM($J$527:$J535))</f>
        <v/>
      </c>
      <c r="L535" s="20" t="str">
        <f aca="false">IF($K535="","",$A535*100+$K535)</f>
        <v/>
      </c>
      <c r="M535" s="48" t="str">
        <f aca="false">参数!$B$4</f>
        <v>回款</v>
      </c>
    </row>
    <row r="536" customFormat="false" ht="13.5" hidden="false" customHeight="false" outlineLevel="0" collapsed="false">
      <c r="A536" s="47" t="n">
        <v>36</v>
      </c>
      <c r="B536" s="38" t="n">
        <f aca="false">助手回款!$B37</f>
        <v>2055</v>
      </c>
      <c r="C536" s="48" t="str">
        <f aca="false">助手回款!$C37</f>
        <v>博魏店</v>
      </c>
      <c r="D536" s="48" t="str">
        <f aca="false">科目对照回款!$B11&amp;""</f>
        <v>企健网</v>
      </c>
      <c r="E536" s="48" t="str">
        <f aca="false">科目对照回款!$C11&amp;""</f>
        <v>应收账款</v>
      </c>
      <c r="F536" s="48" t="str">
        <f aca="false">科目对照回款!$D11&amp;""</f>
        <v>企健网</v>
      </c>
      <c r="G536" s="49" t="n">
        <f aca="false">-ROUND(IF(科目对照回款!$F$11="",0,SUMIFS(输入回款!$C:$C,输入回款!$A:$A,助手回款!$X37,输入回款!$B:$B,科目对照回款!$F$11)+SUMIFS(输入回款!$D:$D,输入回款!$A:$A,助手回款!$X37,输入回款!$B:$B,科目对照回款!$F$11))+IF(科目对照回款!$G$11="",0,SUMIFS(输入回款!$C:$C,输入回款!$A:$A,助手回款!$X37,输入回款!$B:$B,科目对照回款!$G$11)+SUMIFS(输入回款!$D:$D,输入回款!$A:$A,助手回款!$X37,输入回款!$B:$B,科目对照回款!$G$11))+IF(科目对照回款!$H$11="",0,SUMIFS(输入回款!$C:$C,输入回款!$A:$A,助手回款!$X37,输入回款!$B:$B,科目对照回款!$H$11)+SUMIFS(输入回款!$D:$D,输入回款!$A:$A,助手回款!$X37,输入回款!$B:$B,科目对照回款!$H$11)),2)</f>
        <v>-0</v>
      </c>
      <c r="H536" s="49" t="str">
        <f aca="false">IF(ROUND($G536,2)&gt;0,ROUND($G536,2),"")</f>
        <v/>
      </c>
      <c r="I536" s="49" t="str">
        <f aca="false">IF(ROUND($G536,2)&lt;0,-ROUND($G536,2),"")</f>
        <v/>
      </c>
      <c r="J536" s="20" t="n">
        <f aca="false">IF(ROUND($G536,2)=0,0,1)</f>
        <v>0</v>
      </c>
      <c r="K536" s="20" t="str">
        <f aca="false">IF($J536=0,"",SUM($J$527:$J536))</f>
        <v/>
      </c>
      <c r="L536" s="20" t="str">
        <f aca="false">IF($K536="","",$A536*100+$K536)</f>
        <v/>
      </c>
      <c r="M536" s="48" t="str">
        <f aca="false">参数!$B$4</f>
        <v>回款</v>
      </c>
    </row>
    <row r="537" customFormat="false" ht="13.5" hidden="false" customHeight="false" outlineLevel="0" collapsed="false">
      <c r="A537" s="47" t="n">
        <v>36</v>
      </c>
      <c r="B537" s="38" t="n">
        <f aca="false">助手回款!$B37</f>
        <v>2055</v>
      </c>
      <c r="C537" s="48" t="str">
        <f aca="false">助手回款!$C37</f>
        <v>博魏店</v>
      </c>
      <c r="D537" s="48" t="str">
        <f aca="false">科目对照回款!$B12&amp;""</f>
        <v>亲情卡</v>
      </c>
      <c r="E537" s="48" t="str">
        <f aca="false">科目对照回款!$C12&amp;""</f>
        <v>应收账款</v>
      </c>
      <c r="F537" s="48" t="str">
        <f aca="false">科目对照回款!$D12&amp;""</f>
        <v>亲情卡</v>
      </c>
      <c r="G537" s="49" t="n">
        <f aca="false">-ROUND(IF(科目对照回款!$F$12="",0,SUMIFS(输入回款!$C:$C,输入回款!$A:$A,助手回款!$X37,输入回款!$B:$B,科目对照回款!$F$12)+SUMIFS(输入回款!$D:$D,输入回款!$A:$A,助手回款!$X37,输入回款!$B:$B,科目对照回款!$F$12))+IF(科目对照回款!$G$12="",0,SUMIFS(输入回款!$C:$C,输入回款!$A:$A,助手回款!$X37,输入回款!$B:$B,科目对照回款!$G$12)+SUMIFS(输入回款!$D:$D,输入回款!$A:$A,助手回款!$X37,输入回款!$B:$B,科目对照回款!$G$12))+IF(科目对照回款!$H$12="",0,SUMIFS(输入回款!$C:$C,输入回款!$A:$A,助手回款!$X37,输入回款!$B:$B,科目对照回款!$H$12)+SUMIFS(输入回款!$D:$D,输入回款!$A:$A,助手回款!$X37,输入回款!$B:$B,科目对照回款!$H$12)),2)</f>
        <v>-0</v>
      </c>
      <c r="H537" s="49" t="str">
        <f aca="false">IF(ROUND($G537,2)&gt;0,ROUND($G537,2),"")</f>
        <v/>
      </c>
      <c r="I537" s="49" t="str">
        <f aca="false">IF(ROUND($G537,2)&lt;0,-ROUND($G537,2),"")</f>
        <v/>
      </c>
      <c r="J537" s="20" t="n">
        <f aca="false">IF(ROUND($G537,2)=0,0,1)</f>
        <v>0</v>
      </c>
      <c r="K537" s="20" t="str">
        <f aca="false">IF($J537=0,"",SUM($J$527:$J537))</f>
        <v/>
      </c>
      <c r="L537" s="20" t="str">
        <f aca="false">IF($K537="","",$A537*100+$K537)</f>
        <v/>
      </c>
      <c r="M537" s="48" t="str">
        <f aca="false">参数!$B$4</f>
        <v>回款</v>
      </c>
    </row>
    <row r="538" customFormat="false" ht="13.5" hidden="false" customHeight="false" outlineLevel="0" collapsed="false">
      <c r="A538" s="47" t="n">
        <v>36</v>
      </c>
      <c r="B538" s="38" t="n">
        <f aca="false">助手回款!$B37</f>
        <v>2055</v>
      </c>
      <c r="C538" s="48" t="str">
        <f aca="false">助手回款!$C37</f>
        <v>博魏店</v>
      </c>
      <c r="D538" s="48" t="str">
        <f aca="false">科目对照回款!$B13&amp;""</f>
        <v>银联</v>
      </c>
      <c r="E538" s="48" t="str">
        <f aca="false">科目对照回款!$C13&amp;""</f>
        <v>应收账款</v>
      </c>
      <c r="F538" s="48" t="str">
        <f aca="false">科目对照回款!$D13&amp;""</f>
        <v>银联</v>
      </c>
      <c r="G538" s="49" t="n">
        <f aca="false">-ROUND(IF(科目对照回款!$F$13="",0,SUMIFS(输入回款!$C:$C,输入回款!$A:$A,助手回款!$X37,输入回款!$B:$B,科目对照回款!$F$13)+SUMIFS(输入回款!$D:$D,输入回款!$A:$A,助手回款!$X37,输入回款!$B:$B,科目对照回款!$F$13))+IF(科目对照回款!$G$13="",0,SUMIFS(输入回款!$C:$C,输入回款!$A:$A,助手回款!$X37,输入回款!$B:$B,科目对照回款!$G$13)+SUMIFS(输入回款!$D:$D,输入回款!$A:$A,助手回款!$X37,输入回款!$B:$B,科目对照回款!$G$13))+IF(科目对照回款!$H$13="",0,SUMIFS(输入回款!$C:$C,输入回款!$A:$A,助手回款!$X37,输入回款!$B:$B,科目对照回款!$H$13)+SUMIFS(输入回款!$D:$D,输入回款!$A:$A,助手回款!$X37,输入回款!$B:$B,科目对照回款!$H$13)),2)</f>
        <v>-0</v>
      </c>
      <c r="H538" s="49" t="str">
        <f aca="false">IF(ROUND($G538,2)&gt;0,ROUND($G538,2),"")</f>
        <v/>
      </c>
      <c r="I538" s="49" t="str">
        <f aca="false">IF(ROUND($G538,2)&lt;0,-ROUND($G538,2),"")</f>
        <v/>
      </c>
      <c r="J538" s="20" t="n">
        <f aca="false">IF(ROUND($G538,2)=0,0,1)</f>
        <v>0</v>
      </c>
      <c r="K538" s="20" t="str">
        <f aca="false">IF($J538=0,"",SUM($J$527:$J538))</f>
        <v/>
      </c>
      <c r="L538" s="20" t="str">
        <f aca="false">IF($K538="","",$A538*100+$K538)</f>
        <v/>
      </c>
      <c r="M538" s="48" t="str">
        <f aca="false">参数!$B$4</f>
        <v>回款</v>
      </c>
    </row>
    <row r="539" customFormat="false" ht="13.5" hidden="false" customHeight="false" outlineLevel="0" collapsed="false">
      <c r="A539" s="47" t="n">
        <v>36</v>
      </c>
      <c r="B539" s="38" t="n">
        <f aca="false">助手回款!$B37</f>
        <v>2055</v>
      </c>
      <c r="C539" s="48" t="str">
        <f aca="false">助手回款!$C37</f>
        <v>博魏店</v>
      </c>
      <c r="D539" s="48" t="str">
        <f aca="false">科目对照回款!$B14&amp;""</f>
        <v>代金券</v>
      </c>
      <c r="E539" s="48" t="str">
        <f aca="false">科目对照回款!$C14&amp;""</f>
        <v>应收账款</v>
      </c>
      <c r="F539" s="48" t="str">
        <f aca="false">科目对照回款!$D14&amp;""</f>
        <v>代金券</v>
      </c>
      <c r="G539" s="49" t="n">
        <f aca="false">-ROUND(IF(科目对照回款!$F$14="",0,SUMIFS(输入回款!$C:$C,输入回款!$A:$A,助手回款!$X37,输入回款!$B:$B,科目对照回款!$F$14)+SUMIFS(输入回款!$D:$D,输入回款!$A:$A,助手回款!$X37,输入回款!$B:$B,科目对照回款!$F$14))+IF(科目对照回款!$G$14="",0,SUMIFS(输入回款!$C:$C,输入回款!$A:$A,助手回款!$X37,输入回款!$B:$B,科目对照回款!$G$14)+SUMIFS(输入回款!$D:$D,输入回款!$A:$A,助手回款!$X37,输入回款!$B:$B,科目对照回款!$G$14))+IF(科目对照回款!$H$14="",0,SUMIFS(输入回款!$C:$C,输入回款!$A:$A,助手回款!$X37,输入回款!$B:$B,科目对照回款!$H$14)+SUMIFS(输入回款!$D:$D,输入回款!$A:$A,助手回款!$X37,输入回款!$B:$B,科目对照回款!$H$14)),2)</f>
        <v>-0</v>
      </c>
      <c r="H539" s="49" t="str">
        <f aca="false">IF(ROUND($G539,2)&gt;0,ROUND($G539,2),"")</f>
        <v/>
      </c>
      <c r="I539" s="49" t="str">
        <f aca="false">IF(ROUND($G539,2)&lt;0,-ROUND($G539,2),"")</f>
        <v/>
      </c>
      <c r="J539" s="20" t="n">
        <f aca="false">IF(ROUND($G539,2)=0,0,1)</f>
        <v>0</v>
      </c>
      <c r="K539" s="20" t="str">
        <f aca="false">IF($J539=0,"",SUM($J$527:$J539))</f>
        <v/>
      </c>
      <c r="L539" s="20" t="str">
        <f aca="false">IF($K539="","",$A539*100+$K539)</f>
        <v/>
      </c>
      <c r="M539" s="48" t="str">
        <f aca="false">参数!$B$4</f>
        <v>回款</v>
      </c>
    </row>
    <row r="540" customFormat="false" ht="13.5" hidden="false" customHeight="false" outlineLevel="0" collapsed="false">
      <c r="A540" s="47" t="n">
        <v>36</v>
      </c>
      <c r="B540" s="38" t="n">
        <f aca="false">助手回款!$B37</f>
        <v>2055</v>
      </c>
      <c r="C540" s="48" t="str">
        <f aca="false">助手回款!$C37</f>
        <v>博魏店</v>
      </c>
      <c r="D540" s="48" t="str">
        <f aca="false">科目对照回款!$B15&amp;""</f>
        <v>药机微信</v>
      </c>
      <c r="E540" s="48" t="str">
        <f aca="false">科目对照回款!$C15&amp;""</f>
        <v>应收账款</v>
      </c>
      <c r="F540" s="48" t="str">
        <f aca="false">科目对照回款!$D15&amp;""</f>
        <v>药机微信</v>
      </c>
      <c r="G540" s="49" t="n">
        <f aca="false">-ROUND(IF(科目对照回款!$F$15="",0,SUMIFS(输入回款!$C:$C,输入回款!$A:$A,助手回款!$X37,输入回款!$B:$B,科目对照回款!$F$15)+SUMIFS(输入回款!$D:$D,输入回款!$A:$A,助手回款!$X37,输入回款!$B:$B,科目对照回款!$F$15))+IF(科目对照回款!$G$15="",0,SUMIFS(输入回款!$C:$C,输入回款!$A:$A,助手回款!$X37,输入回款!$B:$B,科目对照回款!$G$15)+SUMIFS(输入回款!$D:$D,输入回款!$A:$A,助手回款!$X37,输入回款!$B:$B,科目对照回款!$G$15))+IF(科目对照回款!$H$15="",0,SUMIFS(输入回款!$C:$C,输入回款!$A:$A,助手回款!$X37,输入回款!$B:$B,科目对照回款!$H$15)+SUMIFS(输入回款!$D:$D,输入回款!$A:$A,助手回款!$X37,输入回款!$B:$B,科目对照回款!$H$15)),2)</f>
        <v>-0</v>
      </c>
      <c r="H540" s="49" t="str">
        <f aca="false">IF(ROUND($G540,2)&gt;0,ROUND($G540,2),"")</f>
        <v/>
      </c>
      <c r="I540" s="49" t="str">
        <f aca="false">IF(ROUND($G540,2)&lt;0,-ROUND($G540,2),"")</f>
        <v/>
      </c>
      <c r="J540" s="20" t="n">
        <f aca="false">IF(ROUND($G540,2)=0,0,1)</f>
        <v>0</v>
      </c>
      <c r="K540" s="20" t="str">
        <f aca="false">IF($J540=0,"",SUM($J$527:$J540))</f>
        <v/>
      </c>
      <c r="L540" s="20" t="str">
        <f aca="false">IF($K540="","",$A540*100+$K540)</f>
        <v/>
      </c>
      <c r="M540" s="48" t="str">
        <f aca="false">参数!$B$4</f>
        <v>回款</v>
      </c>
    </row>
    <row r="541" customFormat="false" ht="13.5" hidden="false" customHeight="false" outlineLevel="0" collapsed="false">
      <c r="A541" s="47" t="n">
        <v>36</v>
      </c>
      <c r="B541" s="38" t="n">
        <f aca="false">助手回款!$B37</f>
        <v>2055</v>
      </c>
      <c r="C541" s="48" t="str">
        <f aca="false">助手回款!$C37</f>
        <v>博魏店</v>
      </c>
      <c r="D541" s="48" t="str">
        <f aca="false">科目对照回款!$B16&amp;""</f>
        <v>储值卡</v>
      </c>
      <c r="E541" s="48" t="str">
        <f aca="false">科目对照回款!$C16&amp;""</f>
        <v>其他应收款</v>
      </c>
      <c r="F541" s="48" t="str">
        <f aca="false">科目对照回款!$D16&amp;""</f>
        <v>储值卡</v>
      </c>
      <c r="G541" s="49" t="n">
        <f aca="false">-ROUND(IF(科目对照回款!$F$16="",0,SUMIFS(输入回款!$C:$C,输入回款!$A:$A,助手回款!$X37,输入回款!$B:$B,科目对照回款!$F$16)+SUMIFS(输入回款!$D:$D,输入回款!$A:$A,助手回款!$X37,输入回款!$B:$B,科目对照回款!$F$16))+IF(科目对照回款!$G$16="",0,SUMIFS(输入回款!$C:$C,输入回款!$A:$A,助手回款!$X37,输入回款!$B:$B,科目对照回款!$G$16)+SUMIFS(输入回款!$D:$D,输入回款!$A:$A,助手回款!$X37,输入回款!$B:$B,科目对照回款!$G$16))+IF(科目对照回款!$H$16="",0,SUMIFS(输入回款!$C:$C,输入回款!$A:$A,助手回款!$X37,输入回款!$B:$B,科目对照回款!$H$16)+SUMIFS(输入回款!$D:$D,输入回款!$A:$A,助手回款!$X37,输入回款!$B:$B,科目对照回款!$H$16)),2)</f>
        <v>-0</v>
      </c>
      <c r="H541" s="49" t="str">
        <f aca="false">IF(ROUND($G541,2)&gt;0,ROUND($G541,2),"")</f>
        <v/>
      </c>
      <c r="I541" s="49" t="str">
        <f aca="false">IF(ROUND($G541,2)&lt;0,-ROUND($G541,2),"")</f>
        <v/>
      </c>
      <c r="J541" s="20" t="n">
        <f aca="false">IF(ROUND($G541,2)=0,0,1)</f>
        <v>0</v>
      </c>
      <c r="K541" s="20" t="str">
        <f aca="false">IF($J541=0,"",SUM($J$527:$J541))</f>
        <v/>
      </c>
      <c r="L541" s="20" t="str">
        <f aca="false">IF($K541="","",$A541*100+$K541)</f>
        <v/>
      </c>
      <c r="M541" s="48" t="str">
        <f aca="false">参数!$B$4</f>
        <v>回款</v>
      </c>
    </row>
    <row r="542" customFormat="false" ht="13.5" hidden="false" customHeight="false" outlineLevel="0" collapsed="false">
      <c r="A542" s="47" t="n">
        <v>37</v>
      </c>
      <c r="B542" s="38" t="n">
        <f aca="false">助手回款!$B38</f>
        <v>2057</v>
      </c>
      <c r="C542" s="48" t="str">
        <f aca="false">助手回款!$C38</f>
        <v>博城店</v>
      </c>
      <c r="D542" s="48" t="str">
        <f aca="false">科目对照回款!$B2&amp;""</f>
        <v>库存现金</v>
      </c>
      <c r="E542" s="48" t="str">
        <f aca="false">科目对照回款!$C2&amp;""</f>
        <v>库存现金</v>
      </c>
      <c r="F542" s="48" t="str">
        <f aca="false">科目对照回款!$D2&amp;""</f>
        <v/>
      </c>
      <c r="G542" s="49" t="n">
        <f aca="false">助手回款!$E38</f>
        <v>13284.83</v>
      </c>
      <c r="H542" s="49" t="n">
        <f aca="false">IF(ROUND($G542,2)&gt;0,ROUND($G542,2),"")</f>
        <v>13284.83</v>
      </c>
      <c r="I542" s="49" t="str">
        <f aca="false">IF(ROUND($G542,2)&lt;0,-ROUND($G542,2),"")</f>
        <v/>
      </c>
      <c r="J542" s="20" t="n">
        <f aca="false">IF(ROUND($G542,2)=0,0,1)</f>
        <v>1</v>
      </c>
      <c r="K542" s="20" t="n">
        <f aca="false">IF($J542=0,"",SUM($J$542:$J542))</f>
        <v>1</v>
      </c>
      <c r="L542" s="20" t="n">
        <f aca="false">IF($K542="","",$A542*100+$K542)</f>
        <v>3701</v>
      </c>
      <c r="M542" s="48" t="str">
        <f aca="false">参数!$B$4</f>
        <v>回款</v>
      </c>
    </row>
    <row r="543" customFormat="false" ht="13.5" hidden="false" customHeight="false" outlineLevel="0" collapsed="false">
      <c r="A543" s="47" t="n">
        <v>37</v>
      </c>
      <c r="B543" s="38" t="n">
        <f aca="false">助手回款!$B38</f>
        <v>2057</v>
      </c>
      <c r="C543" s="48" t="str">
        <f aca="false">助手回款!$C38</f>
        <v>博城店</v>
      </c>
      <c r="D543" s="48" t="str">
        <f aca="false">科目对照回款!$B3&amp;""</f>
        <v>手续费</v>
      </c>
      <c r="E543" s="48" t="str">
        <f aca="false">科目对照回款!$C3&amp;""</f>
        <v>财务费用</v>
      </c>
      <c r="F543" s="48" t="str">
        <f aca="false">科目对照回款!$D3&amp;""</f>
        <v>手续费</v>
      </c>
      <c r="G543" s="49" t="n">
        <f aca="false">助手回款!$F38</f>
        <v>0</v>
      </c>
      <c r="H543" s="49" t="str">
        <f aca="false">IF(ROUND($G543,2)&gt;0,ROUND($G543,2),"")</f>
        <v/>
      </c>
      <c r="I543" s="49" t="str">
        <f aca="false">IF(ROUND($G543,2)&lt;0,-ROUND($G543,2),"")</f>
        <v/>
      </c>
      <c r="J543" s="20" t="n">
        <f aca="false">IF(ROUND($G543,2)=0,0,1)</f>
        <v>0</v>
      </c>
      <c r="K543" s="20" t="str">
        <f aca="false">IF($J543=0,"",SUM($J$542:$J543))</f>
        <v/>
      </c>
      <c r="L543" s="20" t="str">
        <f aca="false">IF($K543="","",$A543*100+$K543)</f>
        <v/>
      </c>
      <c r="M543" s="48" t="str">
        <f aca="false">参数!$B$4</f>
        <v>回款</v>
      </c>
    </row>
    <row r="544" customFormat="false" ht="13.5" hidden="false" customHeight="false" outlineLevel="0" collapsed="false">
      <c r="A544" s="47" t="n">
        <v>37</v>
      </c>
      <c r="B544" s="38" t="n">
        <f aca="false">助手回款!$B38</f>
        <v>2057</v>
      </c>
      <c r="C544" s="48" t="str">
        <f aca="false">助手回款!$C38</f>
        <v>博城店</v>
      </c>
      <c r="D544" s="48" t="str">
        <f aca="false">科目对照回款!$B4&amp;""</f>
        <v>聚合支付</v>
      </c>
      <c r="E544" s="48" t="str">
        <f aca="false">科目对照回款!$C4&amp;""</f>
        <v>应收账款</v>
      </c>
      <c r="F544" s="48" t="str">
        <f aca="false">科目对照回款!$D4&amp;""</f>
        <v>聚合支付</v>
      </c>
      <c r="G544" s="49" t="n">
        <f aca="false">-ROUND(IF(科目对照回款!$F$4="",0,SUMIFS(输入回款!$C:$C,输入回款!$A:$A,助手回款!$X38,输入回款!$B:$B,科目对照回款!$F$4)+SUMIFS(输入回款!$D:$D,输入回款!$A:$A,助手回款!$X38,输入回款!$B:$B,科目对照回款!$F$4))+IF(科目对照回款!$G$4="",0,SUMIFS(输入回款!$C:$C,输入回款!$A:$A,助手回款!$X38,输入回款!$B:$B,科目对照回款!$G$4)+SUMIFS(输入回款!$D:$D,输入回款!$A:$A,助手回款!$X38,输入回款!$B:$B,科目对照回款!$G$4))+IF(科目对照回款!$H$4="",0,SUMIFS(输入回款!$C:$C,输入回款!$A:$A,助手回款!$X38,输入回款!$B:$B,科目对照回款!$H$4)+SUMIFS(输入回款!$D:$D,输入回款!$A:$A,助手回款!$X38,输入回款!$B:$B,科目对照回款!$H$4)),2)</f>
        <v>-13284.83</v>
      </c>
      <c r="H544" s="49" t="str">
        <f aca="false">IF(ROUND($G544,2)&gt;0,ROUND($G544,2),"")</f>
        <v/>
      </c>
      <c r="I544" s="49" t="n">
        <f aca="false">IF(ROUND($G544,2)&lt;0,-ROUND($G544,2),"")</f>
        <v>13284.83</v>
      </c>
      <c r="J544" s="20" t="n">
        <f aca="false">IF(ROUND($G544,2)=0,0,1)</f>
        <v>1</v>
      </c>
      <c r="K544" s="20" t="n">
        <f aca="false">IF($J544=0,"",SUM($J$542:$J544))</f>
        <v>2</v>
      </c>
      <c r="L544" s="20" t="n">
        <f aca="false">IF($K544="","",$A544*100+$K544)</f>
        <v>3702</v>
      </c>
      <c r="M544" s="48" t="str">
        <f aca="false">参数!$B$4</f>
        <v>回款</v>
      </c>
    </row>
    <row r="545" customFormat="false" ht="13.5" hidden="false" customHeight="false" outlineLevel="0" collapsed="false">
      <c r="A545" s="47" t="n">
        <v>37</v>
      </c>
      <c r="B545" s="38" t="n">
        <f aca="false">助手回款!$B38</f>
        <v>2057</v>
      </c>
      <c r="C545" s="48" t="str">
        <f aca="false">助手回款!$C38</f>
        <v>博城店</v>
      </c>
      <c r="D545" s="48" t="str">
        <f aca="false">科目对照回款!$B5&amp;""</f>
        <v>医保</v>
      </c>
      <c r="E545" s="48" t="str">
        <f aca="false">科目对照回款!$C5&amp;""</f>
        <v>应收账款</v>
      </c>
      <c r="F545" s="48" t="str">
        <f aca="false">科目对照回款!$D5&amp;""</f>
        <v>医保</v>
      </c>
      <c r="G545" s="49" t="n">
        <f aca="false">-ROUND(IF(科目对照回款!$F$5="",0,SUMIFS(输入回款!$C:$C,输入回款!$A:$A,助手回款!$X38,输入回款!$B:$B,科目对照回款!$F$5)+SUMIFS(输入回款!$D:$D,输入回款!$A:$A,助手回款!$X38,输入回款!$B:$B,科目对照回款!$F$5))+IF(科目对照回款!$G$5="",0,SUMIFS(输入回款!$C:$C,输入回款!$A:$A,助手回款!$X38,输入回款!$B:$B,科目对照回款!$G$5)+SUMIFS(输入回款!$D:$D,输入回款!$A:$A,助手回款!$X38,输入回款!$B:$B,科目对照回款!$G$5))+IF(科目对照回款!$H$5="",0,SUMIFS(输入回款!$C:$C,输入回款!$A:$A,助手回款!$X38,输入回款!$B:$B,科目对照回款!$H$5)+SUMIFS(输入回款!$D:$D,输入回款!$A:$A,助手回款!$X38,输入回款!$B:$B,科目对照回款!$H$5)),2)</f>
        <v>-0</v>
      </c>
      <c r="H545" s="49" t="str">
        <f aca="false">IF(ROUND($G545,2)&gt;0,ROUND($G545,2),"")</f>
        <v/>
      </c>
      <c r="I545" s="49" t="str">
        <f aca="false">IF(ROUND($G545,2)&lt;0,-ROUND($G545,2),"")</f>
        <v/>
      </c>
      <c r="J545" s="20" t="n">
        <f aca="false">IF(ROUND($G545,2)=0,0,1)</f>
        <v>0</v>
      </c>
      <c r="K545" s="20" t="str">
        <f aca="false">IF($J545=0,"",SUM($J$542:$J545))</f>
        <v/>
      </c>
      <c r="L545" s="20" t="str">
        <f aca="false">IF($K545="","",$A545*100+$K545)</f>
        <v/>
      </c>
      <c r="M545" s="48" t="str">
        <f aca="false">参数!$B$4</f>
        <v>回款</v>
      </c>
    </row>
    <row r="546" customFormat="false" ht="13.5" hidden="false" customHeight="false" outlineLevel="0" collapsed="false">
      <c r="A546" s="47" t="n">
        <v>37</v>
      </c>
      <c r="B546" s="38" t="n">
        <f aca="false">助手回款!$B38</f>
        <v>2057</v>
      </c>
      <c r="C546" s="48" t="str">
        <f aca="false">助手回款!$C38</f>
        <v>博城店</v>
      </c>
      <c r="D546" s="48" t="str">
        <f aca="false">科目对照回款!$B6&amp;""</f>
        <v>美团</v>
      </c>
      <c r="E546" s="48" t="str">
        <f aca="false">科目对照回款!$C6&amp;""</f>
        <v>应收账款</v>
      </c>
      <c r="F546" s="48" t="str">
        <f aca="false">科目对照回款!$D6&amp;""</f>
        <v>美团</v>
      </c>
      <c r="G546" s="49" t="n">
        <f aca="false">-ROUND(IF(科目对照回款!$F$6="",0,SUMIFS(输入回款!$C:$C,输入回款!$A:$A,助手回款!$X38,输入回款!$B:$B,科目对照回款!$F$6)+SUMIFS(输入回款!$D:$D,输入回款!$A:$A,助手回款!$X38,输入回款!$B:$B,科目对照回款!$F$6))+IF(科目对照回款!$G$6="",0,SUMIFS(输入回款!$C:$C,输入回款!$A:$A,助手回款!$X38,输入回款!$B:$B,科目对照回款!$G$6)+SUMIFS(输入回款!$D:$D,输入回款!$A:$A,助手回款!$X38,输入回款!$B:$B,科目对照回款!$G$6))+IF(科目对照回款!$H$6="",0,SUMIFS(输入回款!$C:$C,输入回款!$A:$A,助手回款!$X38,输入回款!$B:$B,科目对照回款!$H$6)+SUMIFS(输入回款!$D:$D,输入回款!$A:$A,助手回款!$X38,输入回款!$B:$B,科目对照回款!$H$6)),2)</f>
        <v>-0</v>
      </c>
      <c r="H546" s="49" t="str">
        <f aca="false">IF(ROUND($G546,2)&gt;0,ROUND($G546,2),"")</f>
        <v/>
      </c>
      <c r="I546" s="49" t="str">
        <f aca="false">IF(ROUND($G546,2)&lt;0,-ROUND($G546,2),"")</f>
        <v/>
      </c>
      <c r="J546" s="20" t="n">
        <f aca="false">IF(ROUND($G546,2)=0,0,1)</f>
        <v>0</v>
      </c>
      <c r="K546" s="20" t="str">
        <f aca="false">IF($J546=0,"",SUM($J$542:$J546))</f>
        <v/>
      </c>
      <c r="L546" s="20" t="str">
        <f aca="false">IF($K546="","",$A546*100+$K546)</f>
        <v/>
      </c>
      <c r="M546" s="48" t="str">
        <f aca="false">参数!$B$4</f>
        <v>回款</v>
      </c>
    </row>
    <row r="547" customFormat="false" ht="13.5" hidden="false" customHeight="false" outlineLevel="0" collapsed="false">
      <c r="A547" s="47" t="n">
        <v>37</v>
      </c>
      <c r="B547" s="38" t="n">
        <f aca="false">助手回款!$B38</f>
        <v>2057</v>
      </c>
      <c r="C547" s="48" t="str">
        <f aca="false">助手回款!$C38</f>
        <v>博城店</v>
      </c>
      <c r="D547" s="48" t="str">
        <f aca="false">科目对照回款!$B7&amp;""</f>
        <v>饿了么</v>
      </c>
      <c r="E547" s="48" t="str">
        <f aca="false">科目对照回款!$C7&amp;""</f>
        <v>应收账款</v>
      </c>
      <c r="F547" s="48" t="str">
        <f aca="false">科目对照回款!$D7&amp;""</f>
        <v>饿了么</v>
      </c>
      <c r="G547" s="49" t="n">
        <f aca="false">-ROUND(IF(科目对照回款!$F$7="",0,SUMIFS(输入回款!$C:$C,输入回款!$A:$A,助手回款!$X38,输入回款!$B:$B,科目对照回款!$F$7)+SUMIFS(输入回款!$D:$D,输入回款!$A:$A,助手回款!$X38,输入回款!$B:$B,科目对照回款!$F$7))+IF(科目对照回款!$G$7="",0,SUMIFS(输入回款!$C:$C,输入回款!$A:$A,助手回款!$X38,输入回款!$B:$B,科目对照回款!$G$7)+SUMIFS(输入回款!$D:$D,输入回款!$A:$A,助手回款!$X38,输入回款!$B:$B,科目对照回款!$G$7))+IF(科目对照回款!$H$7="",0,SUMIFS(输入回款!$C:$C,输入回款!$A:$A,助手回款!$X38,输入回款!$B:$B,科目对照回款!$H$7)+SUMIFS(输入回款!$D:$D,输入回款!$A:$A,助手回款!$X38,输入回款!$B:$B,科目对照回款!$H$7)),2)</f>
        <v>-0</v>
      </c>
      <c r="H547" s="49" t="str">
        <f aca="false">IF(ROUND($G547,2)&gt;0,ROUND($G547,2),"")</f>
        <v/>
      </c>
      <c r="I547" s="49" t="str">
        <f aca="false">IF(ROUND($G547,2)&lt;0,-ROUND($G547,2),"")</f>
        <v/>
      </c>
      <c r="J547" s="20" t="n">
        <f aca="false">IF(ROUND($G547,2)=0,0,1)</f>
        <v>0</v>
      </c>
      <c r="K547" s="20" t="str">
        <f aca="false">IF($J547=0,"",SUM($J$542:$J547))</f>
        <v/>
      </c>
      <c r="L547" s="20" t="str">
        <f aca="false">IF($K547="","",$A547*100+$K547)</f>
        <v/>
      </c>
      <c r="M547" s="48" t="str">
        <f aca="false">参数!$B$4</f>
        <v>回款</v>
      </c>
    </row>
    <row r="548" customFormat="false" ht="13.5" hidden="false" customHeight="false" outlineLevel="0" collapsed="false">
      <c r="A548" s="47" t="n">
        <v>37</v>
      </c>
      <c r="B548" s="38" t="n">
        <f aca="false">助手回款!$B38</f>
        <v>2057</v>
      </c>
      <c r="C548" s="48" t="str">
        <f aca="false">助手回款!$C38</f>
        <v>博城店</v>
      </c>
      <c r="D548" s="48" t="str">
        <f aca="false">科目对照回款!$B8&amp;""</f>
        <v>24小时</v>
      </c>
      <c r="E548" s="48" t="str">
        <f aca="false">科目对照回款!$C8&amp;""</f>
        <v>应收账款</v>
      </c>
      <c r="F548" s="48" t="str">
        <f aca="false">科目对照回款!$D8&amp;""</f>
        <v>24小时</v>
      </c>
      <c r="G548" s="49" t="n">
        <f aca="false">-ROUND(IF(科目对照回款!$F$8="",0,SUMIFS(输入回款!$C:$C,输入回款!$A:$A,助手回款!$X38,输入回款!$B:$B,科目对照回款!$F$8)+SUMIFS(输入回款!$D:$D,输入回款!$A:$A,助手回款!$X38,输入回款!$B:$B,科目对照回款!$F$8))+IF(科目对照回款!$G$8="",0,SUMIFS(输入回款!$C:$C,输入回款!$A:$A,助手回款!$X38,输入回款!$B:$B,科目对照回款!$G$8)+SUMIFS(输入回款!$D:$D,输入回款!$A:$A,助手回款!$X38,输入回款!$B:$B,科目对照回款!$G$8))+IF(科目对照回款!$H$8="",0,SUMIFS(输入回款!$C:$C,输入回款!$A:$A,助手回款!$X38,输入回款!$B:$B,科目对照回款!$H$8)+SUMIFS(输入回款!$D:$D,输入回款!$A:$A,助手回款!$X38,输入回款!$B:$B,科目对照回款!$H$8)),2)</f>
        <v>-0</v>
      </c>
      <c r="H548" s="49" t="str">
        <f aca="false">IF(ROUND($G548,2)&gt;0,ROUND($G548,2),"")</f>
        <v/>
      </c>
      <c r="I548" s="49" t="str">
        <f aca="false">IF(ROUND($G548,2)&lt;0,-ROUND($G548,2),"")</f>
        <v/>
      </c>
      <c r="J548" s="20" t="n">
        <f aca="false">IF(ROUND($G548,2)=0,0,1)</f>
        <v>0</v>
      </c>
      <c r="K548" s="20" t="str">
        <f aca="false">IF($J548=0,"",SUM($J$542:$J548))</f>
        <v/>
      </c>
      <c r="L548" s="20" t="str">
        <f aca="false">IF($K548="","",$A548*100+$K548)</f>
        <v/>
      </c>
      <c r="M548" s="48" t="str">
        <f aca="false">参数!$B$4</f>
        <v>回款</v>
      </c>
    </row>
    <row r="549" customFormat="false" ht="13.5" hidden="false" customHeight="false" outlineLevel="0" collapsed="false">
      <c r="A549" s="47" t="n">
        <v>37</v>
      </c>
      <c r="B549" s="38" t="n">
        <f aca="false">助手回款!$B38</f>
        <v>2057</v>
      </c>
      <c r="C549" s="48" t="str">
        <f aca="false">助手回款!$C38</f>
        <v>博城店</v>
      </c>
      <c r="D549" s="48" t="str">
        <f aca="false">科目对照回款!$B9&amp;""</f>
        <v>健E卡</v>
      </c>
      <c r="E549" s="48" t="str">
        <f aca="false">科目对照回款!$C9&amp;""</f>
        <v>应收账款</v>
      </c>
      <c r="F549" s="48" t="str">
        <f aca="false">科目对照回款!$D9&amp;""</f>
        <v>健E卡</v>
      </c>
      <c r="G549" s="49" t="n">
        <f aca="false">-ROUND(IF(科目对照回款!$F$9="",0,SUMIFS(输入回款!$C:$C,输入回款!$A:$A,助手回款!$X38,输入回款!$B:$B,科目对照回款!$F$9)+SUMIFS(输入回款!$D:$D,输入回款!$A:$A,助手回款!$X38,输入回款!$B:$B,科目对照回款!$F$9))+IF(科目对照回款!$G$9="",0,SUMIFS(输入回款!$C:$C,输入回款!$A:$A,助手回款!$X38,输入回款!$B:$B,科目对照回款!$G$9)+SUMIFS(输入回款!$D:$D,输入回款!$A:$A,助手回款!$X38,输入回款!$B:$B,科目对照回款!$G$9))+IF(科目对照回款!$H$9="",0,SUMIFS(输入回款!$C:$C,输入回款!$A:$A,助手回款!$X38,输入回款!$B:$B,科目对照回款!$H$9)+SUMIFS(输入回款!$D:$D,输入回款!$A:$A,助手回款!$X38,输入回款!$B:$B,科目对照回款!$H$9)),2)</f>
        <v>-0</v>
      </c>
      <c r="H549" s="49" t="str">
        <f aca="false">IF(ROUND($G549,2)&gt;0,ROUND($G549,2),"")</f>
        <v/>
      </c>
      <c r="I549" s="49" t="str">
        <f aca="false">IF(ROUND($G549,2)&lt;0,-ROUND($G549,2),"")</f>
        <v/>
      </c>
      <c r="J549" s="20" t="n">
        <f aca="false">IF(ROUND($G549,2)=0,0,1)</f>
        <v>0</v>
      </c>
      <c r="K549" s="20" t="str">
        <f aca="false">IF($J549=0,"",SUM($J$542:$J549))</f>
        <v/>
      </c>
      <c r="L549" s="20" t="str">
        <f aca="false">IF($K549="","",$A549*100+$K549)</f>
        <v/>
      </c>
      <c r="M549" s="48" t="str">
        <f aca="false">参数!$B$4</f>
        <v>回款</v>
      </c>
    </row>
    <row r="550" customFormat="false" ht="13.5" hidden="false" customHeight="false" outlineLevel="0" collapsed="false">
      <c r="A550" s="47" t="n">
        <v>37</v>
      </c>
      <c r="B550" s="38" t="n">
        <f aca="false">助手回款!$B38</f>
        <v>2057</v>
      </c>
      <c r="C550" s="48" t="str">
        <f aca="false">助手回款!$C38</f>
        <v>博城店</v>
      </c>
      <c r="D550" s="48" t="str">
        <f aca="false">科目对照回款!$B10&amp;""</f>
        <v>医卡通</v>
      </c>
      <c r="E550" s="48" t="str">
        <f aca="false">科目对照回款!$C10&amp;""</f>
        <v>应收账款</v>
      </c>
      <c r="F550" s="48" t="str">
        <f aca="false">科目对照回款!$D10&amp;""</f>
        <v>医卡通</v>
      </c>
      <c r="G550" s="49" t="n">
        <f aca="false">-ROUND(IF(科目对照回款!$F$10="",0,SUMIFS(输入回款!$C:$C,输入回款!$A:$A,助手回款!$X38,输入回款!$B:$B,科目对照回款!$F$10)+SUMIFS(输入回款!$D:$D,输入回款!$A:$A,助手回款!$X38,输入回款!$B:$B,科目对照回款!$F$10))+IF(科目对照回款!$G$10="",0,SUMIFS(输入回款!$C:$C,输入回款!$A:$A,助手回款!$X38,输入回款!$B:$B,科目对照回款!$G$10)+SUMIFS(输入回款!$D:$D,输入回款!$A:$A,助手回款!$X38,输入回款!$B:$B,科目对照回款!$G$10))+IF(科目对照回款!$H$10="",0,SUMIFS(输入回款!$C:$C,输入回款!$A:$A,助手回款!$X38,输入回款!$B:$B,科目对照回款!$H$10)+SUMIFS(输入回款!$D:$D,输入回款!$A:$A,助手回款!$X38,输入回款!$B:$B,科目对照回款!$H$10)),2)</f>
        <v>-0</v>
      </c>
      <c r="H550" s="49" t="str">
        <f aca="false">IF(ROUND($G550,2)&gt;0,ROUND($G550,2),"")</f>
        <v/>
      </c>
      <c r="I550" s="49" t="str">
        <f aca="false">IF(ROUND($G550,2)&lt;0,-ROUND($G550,2),"")</f>
        <v/>
      </c>
      <c r="J550" s="20" t="n">
        <f aca="false">IF(ROUND($G550,2)=0,0,1)</f>
        <v>0</v>
      </c>
      <c r="K550" s="20" t="str">
        <f aca="false">IF($J550=0,"",SUM($J$542:$J550))</f>
        <v/>
      </c>
      <c r="L550" s="20" t="str">
        <f aca="false">IF($K550="","",$A550*100+$K550)</f>
        <v/>
      </c>
      <c r="M550" s="48" t="str">
        <f aca="false">参数!$B$4</f>
        <v>回款</v>
      </c>
    </row>
    <row r="551" customFormat="false" ht="13.5" hidden="false" customHeight="false" outlineLevel="0" collapsed="false">
      <c r="A551" s="47" t="n">
        <v>37</v>
      </c>
      <c r="B551" s="38" t="n">
        <f aca="false">助手回款!$B38</f>
        <v>2057</v>
      </c>
      <c r="C551" s="48" t="str">
        <f aca="false">助手回款!$C38</f>
        <v>博城店</v>
      </c>
      <c r="D551" s="48" t="str">
        <f aca="false">科目对照回款!$B11&amp;""</f>
        <v>企健网</v>
      </c>
      <c r="E551" s="48" t="str">
        <f aca="false">科目对照回款!$C11&amp;""</f>
        <v>应收账款</v>
      </c>
      <c r="F551" s="48" t="str">
        <f aca="false">科目对照回款!$D11&amp;""</f>
        <v>企健网</v>
      </c>
      <c r="G551" s="49" t="n">
        <f aca="false">-ROUND(IF(科目对照回款!$F$11="",0,SUMIFS(输入回款!$C:$C,输入回款!$A:$A,助手回款!$X38,输入回款!$B:$B,科目对照回款!$F$11)+SUMIFS(输入回款!$D:$D,输入回款!$A:$A,助手回款!$X38,输入回款!$B:$B,科目对照回款!$F$11))+IF(科目对照回款!$G$11="",0,SUMIFS(输入回款!$C:$C,输入回款!$A:$A,助手回款!$X38,输入回款!$B:$B,科目对照回款!$G$11)+SUMIFS(输入回款!$D:$D,输入回款!$A:$A,助手回款!$X38,输入回款!$B:$B,科目对照回款!$G$11))+IF(科目对照回款!$H$11="",0,SUMIFS(输入回款!$C:$C,输入回款!$A:$A,助手回款!$X38,输入回款!$B:$B,科目对照回款!$H$11)+SUMIFS(输入回款!$D:$D,输入回款!$A:$A,助手回款!$X38,输入回款!$B:$B,科目对照回款!$H$11)),2)</f>
        <v>-0</v>
      </c>
      <c r="H551" s="49" t="str">
        <f aca="false">IF(ROUND($G551,2)&gt;0,ROUND($G551,2),"")</f>
        <v/>
      </c>
      <c r="I551" s="49" t="str">
        <f aca="false">IF(ROUND($G551,2)&lt;0,-ROUND($G551,2),"")</f>
        <v/>
      </c>
      <c r="J551" s="20" t="n">
        <f aca="false">IF(ROUND($G551,2)=0,0,1)</f>
        <v>0</v>
      </c>
      <c r="K551" s="20" t="str">
        <f aca="false">IF($J551=0,"",SUM($J$542:$J551))</f>
        <v/>
      </c>
      <c r="L551" s="20" t="str">
        <f aca="false">IF($K551="","",$A551*100+$K551)</f>
        <v/>
      </c>
      <c r="M551" s="48" t="str">
        <f aca="false">参数!$B$4</f>
        <v>回款</v>
      </c>
    </row>
    <row r="552" customFormat="false" ht="13.5" hidden="false" customHeight="false" outlineLevel="0" collapsed="false">
      <c r="A552" s="47" t="n">
        <v>37</v>
      </c>
      <c r="B552" s="38" t="n">
        <f aca="false">助手回款!$B38</f>
        <v>2057</v>
      </c>
      <c r="C552" s="48" t="str">
        <f aca="false">助手回款!$C38</f>
        <v>博城店</v>
      </c>
      <c r="D552" s="48" t="str">
        <f aca="false">科目对照回款!$B12&amp;""</f>
        <v>亲情卡</v>
      </c>
      <c r="E552" s="48" t="str">
        <f aca="false">科目对照回款!$C12&amp;""</f>
        <v>应收账款</v>
      </c>
      <c r="F552" s="48" t="str">
        <f aca="false">科目对照回款!$D12&amp;""</f>
        <v>亲情卡</v>
      </c>
      <c r="G552" s="49" t="n">
        <f aca="false">-ROUND(IF(科目对照回款!$F$12="",0,SUMIFS(输入回款!$C:$C,输入回款!$A:$A,助手回款!$X38,输入回款!$B:$B,科目对照回款!$F$12)+SUMIFS(输入回款!$D:$D,输入回款!$A:$A,助手回款!$X38,输入回款!$B:$B,科目对照回款!$F$12))+IF(科目对照回款!$G$12="",0,SUMIFS(输入回款!$C:$C,输入回款!$A:$A,助手回款!$X38,输入回款!$B:$B,科目对照回款!$G$12)+SUMIFS(输入回款!$D:$D,输入回款!$A:$A,助手回款!$X38,输入回款!$B:$B,科目对照回款!$G$12))+IF(科目对照回款!$H$12="",0,SUMIFS(输入回款!$C:$C,输入回款!$A:$A,助手回款!$X38,输入回款!$B:$B,科目对照回款!$H$12)+SUMIFS(输入回款!$D:$D,输入回款!$A:$A,助手回款!$X38,输入回款!$B:$B,科目对照回款!$H$12)),2)</f>
        <v>-0</v>
      </c>
      <c r="H552" s="49" t="str">
        <f aca="false">IF(ROUND($G552,2)&gt;0,ROUND($G552,2),"")</f>
        <v/>
      </c>
      <c r="I552" s="49" t="str">
        <f aca="false">IF(ROUND($G552,2)&lt;0,-ROUND($G552,2),"")</f>
        <v/>
      </c>
      <c r="J552" s="20" t="n">
        <f aca="false">IF(ROUND($G552,2)=0,0,1)</f>
        <v>0</v>
      </c>
      <c r="K552" s="20" t="str">
        <f aca="false">IF($J552=0,"",SUM($J$542:$J552))</f>
        <v/>
      </c>
      <c r="L552" s="20" t="str">
        <f aca="false">IF($K552="","",$A552*100+$K552)</f>
        <v/>
      </c>
      <c r="M552" s="48" t="str">
        <f aca="false">参数!$B$4</f>
        <v>回款</v>
      </c>
    </row>
    <row r="553" customFormat="false" ht="13.5" hidden="false" customHeight="false" outlineLevel="0" collapsed="false">
      <c r="A553" s="47" t="n">
        <v>37</v>
      </c>
      <c r="B553" s="38" t="n">
        <f aca="false">助手回款!$B38</f>
        <v>2057</v>
      </c>
      <c r="C553" s="48" t="str">
        <f aca="false">助手回款!$C38</f>
        <v>博城店</v>
      </c>
      <c r="D553" s="48" t="str">
        <f aca="false">科目对照回款!$B13&amp;""</f>
        <v>银联</v>
      </c>
      <c r="E553" s="48" t="str">
        <f aca="false">科目对照回款!$C13&amp;""</f>
        <v>应收账款</v>
      </c>
      <c r="F553" s="48" t="str">
        <f aca="false">科目对照回款!$D13&amp;""</f>
        <v>银联</v>
      </c>
      <c r="G553" s="49" t="n">
        <f aca="false">-ROUND(IF(科目对照回款!$F$13="",0,SUMIFS(输入回款!$C:$C,输入回款!$A:$A,助手回款!$X38,输入回款!$B:$B,科目对照回款!$F$13)+SUMIFS(输入回款!$D:$D,输入回款!$A:$A,助手回款!$X38,输入回款!$B:$B,科目对照回款!$F$13))+IF(科目对照回款!$G$13="",0,SUMIFS(输入回款!$C:$C,输入回款!$A:$A,助手回款!$X38,输入回款!$B:$B,科目对照回款!$G$13)+SUMIFS(输入回款!$D:$D,输入回款!$A:$A,助手回款!$X38,输入回款!$B:$B,科目对照回款!$G$13))+IF(科目对照回款!$H$13="",0,SUMIFS(输入回款!$C:$C,输入回款!$A:$A,助手回款!$X38,输入回款!$B:$B,科目对照回款!$H$13)+SUMIFS(输入回款!$D:$D,输入回款!$A:$A,助手回款!$X38,输入回款!$B:$B,科目对照回款!$H$13)),2)</f>
        <v>-0</v>
      </c>
      <c r="H553" s="49" t="str">
        <f aca="false">IF(ROUND($G553,2)&gt;0,ROUND($G553,2),"")</f>
        <v/>
      </c>
      <c r="I553" s="49" t="str">
        <f aca="false">IF(ROUND($G553,2)&lt;0,-ROUND($G553,2),"")</f>
        <v/>
      </c>
      <c r="J553" s="20" t="n">
        <f aca="false">IF(ROUND($G553,2)=0,0,1)</f>
        <v>0</v>
      </c>
      <c r="K553" s="20" t="str">
        <f aca="false">IF($J553=0,"",SUM($J$542:$J553))</f>
        <v/>
      </c>
      <c r="L553" s="20" t="str">
        <f aca="false">IF($K553="","",$A553*100+$K553)</f>
        <v/>
      </c>
      <c r="M553" s="48" t="str">
        <f aca="false">参数!$B$4</f>
        <v>回款</v>
      </c>
    </row>
    <row r="554" customFormat="false" ht="13.5" hidden="false" customHeight="false" outlineLevel="0" collapsed="false">
      <c r="A554" s="47" t="n">
        <v>37</v>
      </c>
      <c r="B554" s="38" t="n">
        <f aca="false">助手回款!$B38</f>
        <v>2057</v>
      </c>
      <c r="C554" s="48" t="str">
        <f aca="false">助手回款!$C38</f>
        <v>博城店</v>
      </c>
      <c r="D554" s="48" t="str">
        <f aca="false">科目对照回款!$B14&amp;""</f>
        <v>代金券</v>
      </c>
      <c r="E554" s="48" t="str">
        <f aca="false">科目对照回款!$C14&amp;""</f>
        <v>应收账款</v>
      </c>
      <c r="F554" s="48" t="str">
        <f aca="false">科目对照回款!$D14&amp;""</f>
        <v>代金券</v>
      </c>
      <c r="G554" s="49" t="n">
        <f aca="false">-ROUND(IF(科目对照回款!$F$14="",0,SUMIFS(输入回款!$C:$C,输入回款!$A:$A,助手回款!$X38,输入回款!$B:$B,科目对照回款!$F$14)+SUMIFS(输入回款!$D:$D,输入回款!$A:$A,助手回款!$X38,输入回款!$B:$B,科目对照回款!$F$14))+IF(科目对照回款!$G$14="",0,SUMIFS(输入回款!$C:$C,输入回款!$A:$A,助手回款!$X38,输入回款!$B:$B,科目对照回款!$G$14)+SUMIFS(输入回款!$D:$D,输入回款!$A:$A,助手回款!$X38,输入回款!$B:$B,科目对照回款!$G$14))+IF(科目对照回款!$H$14="",0,SUMIFS(输入回款!$C:$C,输入回款!$A:$A,助手回款!$X38,输入回款!$B:$B,科目对照回款!$H$14)+SUMIFS(输入回款!$D:$D,输入回款!$A:$A,助手回款!$X38,输入回款!$B:$B,科目对照回款!$H$14)),2)</f>
        <v>-0</v>
      </c>
      <c r="H554" s="49" t="str">
        <f aca="false">IF(ROUND($G554,2)&gt;0,ROUND($G554,2),"")</f>
        <v/>
      </c>
      <c r="I554" s="49" t="str">
        <f aca="false">IF(ROUND($G554,2)&lt;0,-ROUND($G554,2),"")</f>
        <v/>
      </c>
      <c r="J554" s="20" t="n">
        <f aca="false">IF(ROUND($G554,2)=0,0,1)</f>
        <v>0</v>
      </c>
      <c r="K554" s="20" t="str">
        <f aca="false">IF($J554=0,"",SUM($J$542:$J554))</f>
        <v/>
      </c>
      <c r="L554" s="20" t="str">
        <f aca="false">IF($K554="","",$A554*100+$K554)</f>
        <v/>
      </c>
      <c r="M554" s="48" t="str">
        <f aca="false">参数!$B$4</f>
        <v>回款</v>
      </c>
    </row>
    <row r="555" customFormat="false" ht="13.5" hidden="false" customHeight="false" outlineLevel="0" collapsed="false">
      <c r="A555" s="47" t="n">
        <v>37</v>
      </c>
      <c r="B555" s="38" t="n">
        <f aca="false">助手回款!$B38</f>
        <v>2057</v>
      </c>
      <c r="C555" s="48" t="str">
        <f aca="false">助手回款!$C38</f>
        <v>博城店</v>
      </c>
      <c r="D555" s="48" t="str">
        <f aca="false">科目对照回款!$B15&amp;""</f>
        <v>药机微信</v>
      </c>
      <c r="E555" s="48" t="str">
        <f aca="false">科目对照回款!$C15&amp;""</f>
        <v>应收账款</v>
      </c>
      <c r="F555" s="48" t="str">
        <f aca="false">科目对照回款!$D15&amp;""</f>
        <v>药机微信</v>
      </c>
      <c r="G555" s="49" t="n">
        <f aca="false">-ROUND(IF(科目对照回款!$F$15="",0,SUMIFS(输入回款!$C:$C,输入回款!$A:$A,助手回款!$X38,输入回款!$B:$B,科目对照回款!$F$15)+SUMIFS(输入回款!$D:$D,输入回款!$A:$A,助手回款!$X38,输入回款!$B:$B,科目对照回款!$F$15))+IF(科目对照回款!$G$15="",0,SUMIFS(输入回款!$C:$C,输入回款!$A:$A,助手回款!$X38,输入回款!$B:$B,科目对照回款!$G$15)+SUMIFS(输入回款!$D:$D,输入回款!$A:$A,助手回款!$X38,输入回款!$B:$B,科目对照回款!$G$15))+IF(科目对照回款!$H$15="",0,SUMIFS(输入回款!$C:$C,输入回款!$A:$A,助手回款!$X38,输入回款!$B:$B,科目对照回款!$H$15)+SUMIFS(输入回款!$D:$D,输入回款!$A:$A,助手回款!$X38,输入回款!$B:$B,科目对照回款!$H$15)),2)</f>
        <v>-0</v>
      </c>
      <c r="H555" s="49" t="str">
        <f aca="false">IF(ROUND($G555,2)&gt;0,ROUND($G555,2),"")</f>
        <v/>
      </c>
      <c r="I555" s="49" t="str">
        <f aca="false">IF(ROUND($G555,2)&lt;0,-ROUND($G555,2),"")</f>
        <v/>
      </c>
      <c r="J555" s="20" t="n">
        <f aca="false">IF(ROUND($G555,2)=0,0,1)</f>
        <v>0</v>
      </c>
      <c r="K555" s="20" t="str">
        <f aca="false">IF($J555=0,"",SUM($J$542:$J555))</f>
        <v/>
      </c>
      <c r="L555" s="20" t="str">
        <f aca="false">IF($K555="","",$A555*100+$K555)</f>
        <v/>
      </c>
      <c r="M555" s="48" t="str">
        <f aca="false">参数!$B$4</f>
        <v>回款</v>
      </c>
    </row>
    <row r="556" customFormat="false" ht="13.5" hidden="false" customHeight="false" outlineLevel="0" collapsed="false">
      <c r="A556" s="47" t="n">
        <v>37</v>
      </c>
      <c r="B556" s="38" t="n">
        <f aca="false">助手回款!$B38</f>
        <v>2057</v>
      </c>
      <c r="C556" s="48" t="str">
        <f aca="false">助手回款!$C38</f>
        <v>博城店</v>
      </c>
      <c r="D556" s="48" t="str">
        <f aca="false">科目对照回款!$B16&amp;""</f>
        <v>储值卡</v>
      </c>
      <c r="E556" s="48" t="str">
        <f aca="false">科目对照回款!$C16&amp;""</f>
        <v>其他应收款</v>
      </c>
      <c r="F556" s="48" t="str">
        <f aca="false">科目对照回款!$D16&amp;""</f>
        <v>储值卡</v>
      </c>
      <c r="G556" s="49" t="n">
        <f aca="false">-ROUND(IF(科目对照回款!$F$16="",0,SUMIFS(输入回款!$C:$C,输入回款!$A:$A,助手回款!$X38,输入回款!$B:$B,科目对照回款!$F$16)+SUMIFS(输入回款!$D:$D,输入回款!$A:$A,助手回款!$X38,输入回款!$B:$B,科目对照回款!$F$16))+IF(科目对照回款!$G$16="",0,SUMIFS(输入回款!$C:$C,输入回款!$A:$A,助手回款!$X38,输入回款!$B:$B,科目对照回款!$G$16)+SUMIFS(输入回款!$D:$D,输入回款!$A:$A,助手回款!$X38,输入回款!$B:$B,科目对照回款!$G$16))+IF(科目对照回款!$H$16="",0,SUMIFS(输入回款!$C:$C,输入回款!$A:$A,助手回款!$X38,输入回款!$B:$B,科目对照回款!$H$16)+SUMIFS(输入回款!$D:$D,输入回款!$A:$A,助手回款!$X38,输入回款!$B:$B,科目对照回款!$H$16)),2)</f>
        <v>-0</v>
      </c>
      <c r="H556" s="49" t="str">
        <f aca="false">IF(ROUND($G556,2)&gt;0,ROUND($G556,2),"")</f>
        <v/>
      </c>
      <c r="I556" s="49" t="str">
        <f aca="false">IF(ROUND($G556,2)&lt;0,-ROUND($G556,2),"")</f>
        <v/>
      </c>
      <c r="J556" s="20" t="n">
        <f aca="false">IF(ROUND($G556,2)=0,0,1)</f>
        <v>0</v>
      </c>
      <c r="K556" s="20" t="str">
        <f aca="false">IF($J556=0,"",SUM($J$542:$J556))</f>
        <v/>
      </c>
      <c r="L556" s="20" t="str">
        <f aca="false">IF($K556="","",$A556*100+$K556)</f>
        <v/>
      </c>
      <c r="M556" s="48" t="str">
        <f aca="false">参数!$B$4</f>
        <v>回款</v>
      </c>
    </row>
    <row r="557" customFormat="false" ht="13.5" hidden="false" customHeight="false" outlineLevel="0" collapsed="false">
      <c r="A557" s="47" t="n">
        <v>38</v>
      </c>
      <c r="B557" s="38" t="n">
        <f aca="false">助手回款!$B39</f>
        <v>2060</v>
      </c>
      <c r="C557" s="48" t="str">
        <f aca="false">助手回款!$C39</f>
        <v>博景店</v>
      </c>
      <c r="D557" s="48" t="str">
        <f aca="false">科目对照回款!$B2&amp;""</f>
        <v>库存现金</v>
      </c>
      <c r="E557" s="48" t="str">
        <f aca="false">科目对照回款!$C2&amp;""</f>
        <v>库存现金</v>
      </c>
      <c r="F557" s="48" t="str">
        <f aca="false">科目对照回款!$D2&amp;""</f>
        <v/>
      </c>
      <c r="G557" s="49" t="n">
        <f aca="false">助手回款!$E39</f>
        <v>32735</v>
      </c>
      <c r="H557" s="49" t="n">
        <f aca="false">IF(ROUND($G557,2)&gt;0,ROUND($G557,2),"")</f>
        <v>32735</v>
      </c>
      <c r="I557" s="49" t="str">
        <f aca="false">IF(ROUND($G557,2)&lt;0,-ROUND($G557,2),"")</f>
        <v/>
      </c>
      <c r="J557" s="20" t="n">
        <f aca="false">IF(ROUND($G557,2)=0,0,1)</f>
        <v>1</v>
      </c>
      <c r="K557" s="20" t="n">
        <f aca="false">IF($J557=0,"",SUM($J$557:$J557))</f>
        <v>1</v>
      </c>
      <c r="L557" s="20" t="n">
        <f aca="false">IF($K557="","",$A557*100+$K557)</f>
        <v>3801</v>
      </c>
      <c r="M557" s="48" t="str">
        <f aca="false">参数!$B$4</f>
        <v>回款</v>
      </c>
    </row>
    <row r="558" customFormat="false" ht="13.5" hidden="false" customHeight="false" outlineLevel="0" collapsed="false">
      <c r="A558" s="47" t="n">
        <v>38</v>
      </c>
      <c r="B558" s="38" t="n">
        <f aca="false">助手回款!$B39</f>
        <v>2060</v>
      </c>
      <c r="C558" s="48" t="str">
        <f aca="false">助手回款!$C39</f>
        <v>博景店</v>
      </c>
      <c r="D558" s="48" t="str">
        <f aca="false">科目对照回款!$B3&amp;""</f>
        <v>手续费</v>
      </c>
      <c r="E558" s="48" t="str">
        <f aca="false">科目对照回款!$C3&amp;""</f>
        <v>财务费用</v>
      </c>
      <c r="F558" s="48" t="str">
        <f aca="false">科目对照回款!$D3&amp;""</f>
        <v>手续费</v>
      </c>
      <c r="G558" s="49" t="n">
        <f aca="false">助手回款!$F39</f>
        <v>41.05</v>
      </c>
      <c r="H558" s="49" t="n">
        <f aca="false">IF(ROUND($G558,2)&gt;0,ROUND($G558,2),"")</f>
        <v>41.05</v>
      </c>
      <c r="I558" s="49" t="str">
        <f aca="false">IF(ROUND($G558,2)&lt;0,-ROUND($G558,2),"")</f>
        <v/>
      </c>
      <c r="J558" s="20" t="n">
        <f aca="false">IF(ROUND($G558,2)=0,0,1)</f>
        <v>1</v>
      </c>
      <c r="K558" s="20" t="n">
        <f aca="false">IF($J558=0,"",SUM($J$557:$J558))</f>
        <v>2</v>
      </c>
      <c r="L558" s="20" t="n">
        <f aca="false">IF($K558="","",$A558*100+$K558)</f>
        <v>3802</v>
      </c>
      <c r="M558" s="48" t="str">
        <f aca="false">参数!$B$4</f>
        <v>回款</v>
      </c>
    </row>
    <row r="559" customFormat="false" ht="13.5" hidden="false" customHeight="false" outlineLevel="0" collapsed="false">
      <c r="A559" s="47" t="n">
        <v>38</v>
      </c>
      <c r="B559" s="38" t="n">
        <f aca="false">助手回款!$B39</f>
        <v>2060</v>
      </c>
      <c r="C559" s="48" t="str">
        <f aca="false">助手回款!$C39</f>
        <v>博景店</v>
      </c>
      <c r="D559" s="48" t="str">
        <f aca="false">科目对照回款!$B4&amp;""</f>
        <v>聚合支付</v>
      </c>
      <c r="E559" s="48" t="str">
        <f aca="false">科目对照回款!$C4&amp;""</f>
        <v>应收账款</v>
      </c>
      <c r="F559" s="48" t="str">
        <f aca="false">科目对照回款!$D4&amp;""</f>
        <v>聚合支付</v>
      </c>
      <c r="G559" s="49" t="n">
        <f aca="false">-ROUND(IF(科目对照回款!$F$4="",0,SUMIFS(输入回款!$C:$C,输入回款!$A:$A,助手回款!$X39,输入回款!$B:$B,科目对照回款!$F$4)+SUMIFS(输入回款!$D:$D,输入回款!$A:$A,助手回款!$X39,输入回款!$B:$B,科目对照回款!$F$4))+IF(科目对照回款!$G$4="",0,SUMIFS(输入回款!$C:$C,输入回款!$A:$A,助手回款!$X39,输入回款!$B:$B,科目对照回款!$G$4)+SUMIFS(输入回款!$D:$D,输入回款!$A:$A,助手回款!$X39,输入回款!$B:$B,科目对照回款!$G$4))+IF(科目对照回款!$H$4="",0,SUMIFS(输入回款!$C:$C,输入回款!$A:$A,助手回款!$X39,输入回款!$B:$B,科目对照回款!$H$4)+SUMIFS(输入回款!$D:$D,输入回款!$A:$A,助手回款!$X39,输入回款!$B:$B,科目对照回款!$H$4)),2)</f>
        <v>-23889.36</v>
      </c>
      <c r="H559" s="49" t="str">
        <f aca="false">IF(ROUND($G559,2)&gt;0,ROUND($G559,2),"")</f>
        <v/>
      </c>
      <c r="I559" s="49" t="n">
        <f aca="false">IF(ROUND($G559,2)&lt;0,-ROUND($G559,2),"")</f>
        <v>23889.36</v>
      </c>
      <c r="J559" s="20" t="n">
        <f aca="false">IF(ROUND($G559,2)=0,0,1)</f>
        <v>1</v>
      </c>
      <c r="K559" s="20" t="n">
        <f aca="false">IF($J559=0,"",SUM($J$557:$J559))</f>
        <v>3</v>
      </c>
      <c r="L559" s="20" t="n">
        <f aca="false">IF($K559="","",$A559*100+$K559)</f>
        <v>3803</v>
      </c>
      <c r="M559" s="48" t="str">
        <f aca="false">参数!$B$4</f>
        <v>回款</v>
      </c>
    </row>
    <row r="560" customFormat="false" ht="13.5" hidden="false" customHeight="false" outlineLevel="0" collapsed="false">
      <c r="A560" s="47" t="n">
        <v>38</v>
      </c>
      <c r="B560" s="38" t="n">
        <f aca="false">助手回款!$B39</f>
        <v>2060</v>
      </c>
      <c r="C560" s="48" t="str">
        <f aca="false">助手回款!$C39</f>
        <v>博景店</v>
      </c>
      <c r="D560" s="48" t="str">
        <f aca="false">科目对照回款!$B5&amp;""</f>
        <v>医保</v>
      </c>
      <c r="E560" s="48" t="str">
        <f aca="false">科目对照回款!$C5&amp;""</f>
        <v>应收账款</v>
      </c>
      <c r="F560" s="48" t="str">
        <f aca="false">科目对照回款!$D5&amp;""</f>
        <v>医保</v>
      </c>
      <c r="G560" s="49" t="n">
        <f aca="false">-ROUND(IF(科目对照回款!$F$5="",0,SUMIFS(输入回款!$C:$C,输入回款!$A:$A,助手回款!$X39,输入回款!$B:$B,科目对照回款!$F$5)+SUMIFS(输入回款!$D:$D,输入回款!$A:$A,助手回款!$X39,输入回款!$B:$B,科目对照回款!$F$5))+IF(科目对照回款!$G$5="",0,SUMIFS(输入回款!$C:$C,输入回款!$A:$A,助手回款!$X39,输入回款!$B:$B,科目对照回款!$G$5)+SUMIFS(输入回款!$D:$D,输入回款!$A:$A,助手回款!$X39,输入回款!$B:$B,科目对照回款!$G$5))+IF(科目对照回款!$H$5="",0,SUMIFS(输入回款!$C:$C,输入回款!$A:$A,助手回款!$X39,输入回款!$B:$B,科目对照回款!$H$5)+SUMIFS(输入回款!$D:$D,输入回款!$A:$A,助手回款!$X39,输入回款!$B:$B,科目对照回款!$H$5)),2)</f>
        <v>-8731.19</v>
      </c>
      <c r="H560" s="49" t="str">
        <f aca="false">IF(ROUND($G560,2)&gt;0,ROUND($G560,2),"")</f>
        <v/>
      </c>
      <c r="I560" s="49" t="n">
        <f aca="false">IF(ROUND($G560,2)&lt;0,-ROUND($G560,2),"")</f>
        <v>8731.19</v>
      </c>
      <c r="J560" s="20" t="n">
        <f aca="false">IF(ROUND($G560,2)=0,0,1)</f>
        <v>1</v>
      </c>
      <c r="K560" s="20" t="n">
        <f aca="false">IF($J560=0,"",SUM($J$557:$J560))</f>
        <v>4</v>
      </c>
      <c r="L560" s="20" t="n">
        <f aca="false">IF($K560="","",$A560*100+$K560)</f>
        <v>3804</v>
      </c>
      <c r="M560" s="48" t="str">
        <f aca="false">参数!$B$4</f>
        <v>回款</v>
      </c>
    </row>
    <row r="561" customFormat="false" ht="13.5" hidden="false" customHeight="false" outlineLevel="0" collapsed="false">
      <c r="A561" s="47" t="n">
        <v>38</v>
      </c>
      <c r="B561" s="38" t="n">
        <f aca="false">助手回款!$B39</f>
        <v>2060</v>
      </c>
      <c r="C561" s="48" t="str">
        <f aca="false">助手回款!$C39</f>
        <v>博景店</v>
      </c>
      <c r="D561" s="48" t="str">
        <f aca="false">科目对照回款!$B6&amp;""</f>
        <v>美团</v>
      </c>
      <c r="E561" s="48" t="str">
        <f aca="false">科目对照回款!$C6&amp;""</f>
        <v>应收账款</v>
      </c>
      <c r="F561" s="48" t="str">
        <f aca="false">科目对照回款!$D6&amp;""</f>
        <v>美团</v>
      </c>
      <c r="G561" s="49" t="n">
        <f aca="false">-ROUND(IF(科目对照回款!$F$6="",0,SUMIFS(输入回款!$C:$C,输入回款!$A:$A,助手回款!$X39,输入回款!$B:$B,科目对照回款!$F$6)+SUMIFS(输入回款!$D:$D,输入回款!$A:$A,助手回款!$X39,输入回款!$B:$B,科目对照回款!$F$6))+IF(科目对照回款!$G$6="",0,SUMIFS(输入回款!$C:$C,输入回款!$A:$A,助手回款!$X39,输入回款!$B:$B,科目对照回款!$G$6)+SUMIFS(输入回款!$D:$D,输入回款!$A:$A,助手回款!$X39,输入回款!$B:$B,科目对照回款!$G$6))+IF(科目对照回款!$H$6="",0,SUMIFS(输入回款!$C:$C,输入回款!$A:$A,助手回款!$X39,输入回款!$B:$B,科目对照回款!$H$6)+SUMIFS(输入回款!$D:$D,输入回款!$A:$A,助手回款!$X39,输入回款!$B:$B,科目对照回款!$H$6)),2)</f>
        <v>-79</v>
      </c>
      <c r="H561" s="49" t="str">
        <f aca="false">IF(ROUND($G561,2)&gt;0,ROUND($G561,2),"")</f>
        <v/>
      </c>
      <c r="I561" s="49" t="n">
        <f aca="false">IF(ROUND($G561,2)&lt;0,-ROUND($G561,2),"")</f>
        <v>79</v>
      </c>
      <c r="J561" s="20" t="n">
        <f aca="false">IF(ROUND($G561,2)=0,0,1)</f>
        <v>1</v>
      </c>
      <c r="K561" s="20" t="n">
        <f aca="false">IF($J561=0,"",SUM($J$557:$J561))</f>
        <v>5</v>
      </c>
      <c r="L561" s="20" t="n">
        <f aca="false">IF($K561="","",$A561*100+$K561)</f>
        <v>3805</v>
      </c>
      <c r="M561" s="48" t="str">
        <f aca="false">参数!$B$4</f>
        <v>回款</v>
      </c>
    </row>
    <row r="562" customFormat="false" ht="13.5" hidden="false" customHeight="false" outlineLevel="0" collapsed="false">
      <c r="A562" s="47" t="n">
        <v>38</v>
      </c>
      <c r="B562" s="38" t="n">
        <f aca="false">助手回款!$B39</f>
        <v>2060</v>
      </c>
      <c r="C562" s="48" t="str">
        <f aca="false">助手回款!$C39</f>
        <v>博景店</v>
      </c>
      <c r="D562" s="48" t="str">
        <f aca="false">科目对照回款!$B7&amp;""</f>
        <v>饿了么</v>
      </c>
      <c r="E562" s="48" t="str">
        <f aca="false">科目对照回款!$C7&amp;""</f>
        <v>应收账款</v>
      </c>
      <c r="F562" s="48" t="str">
        <f aca="false">科目对照回款!$D7&amp;""</f>
        <v>饿了么</v>
      </c>
      <c r="G562" s="49" t="n">
        <f aca="false">-ROUND(IF(科目对照回款!$F$7="",0,SUMIFS(输入回款!$C:$C,输入回款!$A:$A,助手回款!$X39,输入回款!$B:$B,科目对照回款!$F$7)+SUMIFS(输入回款!$D:$D,输入回款!$A:$A,助手回款!$X39,输入回款!$B:$B,科目对照回款!$F$7))+IF(科目对照回款!$G$7="",0,SUMIFS(输入回款!$C:$C,输入回款!$A:$A,助手回款!$X39,输入回款!$B:$B,科目对照回款!$G$7)+SUMIFS(输入回款!$D:$D,输入回款!$A:$A,助手回款!$X39,输入回款!$B:$B,科目对照回款!$G$7))+IF(科目对照回款!$H$7="",0,SUMIFS(输入回款!$C:$C,输入回款!$A:$A,助手回款!$X39,输入回款!$B:$B,科目对照回款!$H$7)+SUMIFS(输入回款!$D:$D,输入回款!$A:$A,助手回款!$X39,输入回款!$B:$B,科目对照回款!$H$7)),2)</f>
        <v>-76.5</v>
      </c>
      <c r="H562" s="49" t="str">
        <f aca="false">IF(ROUND($G562,2)&gt;0,ROUND($G562,2),"")</f>
        <v/>
      </c>
      <c r="I562" s="49" t="n">
        <f aca="false">IF(ROUND($G562,2)&lt;0,-ROUND($G562,2),"")</f>
        <v>76.5</v>
      </c>
      <c r="J562" s="20" t="n">
        <f aca="false">IF(ROUND($G562,2)=0,0,1)</f>
        <v>1</v>
      </c>
      <c r="K562" s="20" t="n">
        <f aca="false">IF($J562=0,"",SUM($J$557:$J562))</f>
        <v>6</v>
      </c>
      <c r="L562" s="20" t="n">
        <f aca="false">IF($K562="","",$A562*100+$K562)</f>
        <v>3806</v>
      </c>
      <c r="M562" s="48" t="str">
        <f aca="false">参数!$B$4</f>
        <v>回款</v>
      </c>
    </row>
    <row r="563" customFormat="false" ht="13.5" hidden="false" customHeight="false" outlineLevel="0" collapsed="false">
      <c r="A563" s="47" t="n">
        <v>38</v>
      </c>
      <c r="B563" s="38" t="n">
        <f aca="false">助手回款!$B39</f>
        <v>2060</v>
      </c>
      <c r="C563" s="48" t="str">
        <f aca="false">助手回款!$C39</f>
        <v>博景店</v>
      </c>
      <c r="D563" s="48" t="str">
        <f aca="false">科目对照回款!$B8&amp;""</f>
        <v>24小时</v>
      </c>
      <c r="E563" s="48" t="str">
        <f aca="false">科目对照回款!$C8&amp;""</f>
        <v>应收账款</v>
      </c>
      <c r="F563" s="48" t="str">
        <f aca="false">科目对照回款!$D8&amp;""</f>
        <v>24小时</v>
      </c>
      <c r="G563" s="49" t="n">
        <f aca="false">-ROUND(IF(科目对照回款!$F$8="",0,SUMIFS(输入回款!$C:$C,输入回款!$A:$A,助手回款!$X39,输入回款!$B:$B,科目对照回款!$F$8)+SUMIFS(输入回款!$D:$D,输入回款!$A:$A,助手回款!$X39,输入回款!$B:$B,科目对照回款!$F$8))+IF(科目对照回款!$G$8="",0,SUMIFS(输入回款!$C:$C,输入回款!$A:$A,助手回款!$X39,输入回款!$B:$B,科目对照回款!$G$8)+SUMIFS(输入回款!$D:$D,输入回款!$A:$A,助手回款!$X39,输入回款!$B:$B,科目对照回款!$G$8))+IF(科目对照回款!$H$8="",0,SUMIFS(输入回款!$C:$C,输入回款!$A:$A,助手回款!$X39,输入回款!$B:$B,科目对照回款!$H$8)+SUMIFS(输入回款!$D:$D,输入回款!$A:$A,助手回款!$X39,输入回款!$B:$B,科目对照回款!$H$8)),2)</f>
        <v>-0</v>
      </c>
      <c r="H563" s="49" t="str">
        <f aca="false">IF(ROUND($G563,2)&gt;0,ROUND($G563,2),"")</f>
        <v/>
      </c>
      <c r="I563" s="49" t="str">
        <f aca="false">IF(ROUND($G563,2)&lt;0,-ROUND($G563,2),"")</f>
        <v/>
      </c>
      <c r="J563" s="20" t="n">
        <f aca="false">IF(ROUND($G563,2)=0,0,1)</f>
        <v>0</v>
      </c>
      <c r="K563" s="20" t="str">
        <f aca="false">IF($J563=0,"",SUM($J$557:$J563))</f>
        <v/>
      </c>
      <c r="L563" s="20" t="str">
        <f aca="false">IF($K563="","",$A563*100+$K563)</f>
        <v/>
      </c>
      <c r="M563" s="48" t="str">
        <f aca="false">参数!$B$4</f>
        <v>回款</v>
      </c>
    </row>
    <row r="564" customFormat="false" ht="13.5" hidden="false" customHeight="false" outlineLevel="0" collapsed="false">
      <c r="A564" s="47" t="n">
        <v>38</v>
      </c>
      <c r="B564" s="38" t="n">
        <f aca="false">助手回款!$B39</f>
        <v>2060</v>
      </c>
      <c r="C564" s="48" t="str">
        <f aca="false">助手回款!$C39</f>
        <v>博景店</v>
      </c>
      <c r="D564" s="48" t="str">
        <f aca="false">科目对照回款!$B9&amp;""</f>
        <v>健E卡</v>
      </c>
      <c r="E564" s="48" t="str">
        <f aca="false">科目对照回款!$C9&amp;""</f>
        <v>应收账款</v>
      </c>
      <c r="F564" s="48" t="str">
        <f aca="false">科目对照回款!$D9&amp;""</f>
        <v>健E卡</v>
      </c>
      <c r="G564" s="49" t="n">
        <f aca="false">-ROUND(IF(科目对照回款!$F$9="",0,SUMIFS(输入回款!$C:$C,输入回款!$A:$A,助手回款!$X39,输入回款!$B:$B,科目对照回款!$F$9)+SUMIFS(输入回款!$D:$D,输入回款!$A:$A,助手回款!$X39,输入回款!$B:$B,科目对照回款!$F$9))+IF(科目对照回款!$G$9="",0,SUMIFS(输入回款!$C:$C,输入回款!$A:$A,助手回款!$X39,输入回款!$B:$B,科目对照回款!$G$9)+SUMIFS(输入回款!$D:$D,输入回款!$A:$A,助手回款!$X39,输入回款!$B:$B,科目对照回款!$G$9))+IF(科目对照回款!$H$9="",0,SUMIFS(输入回款!$C:$C,输入回款!$A:$A,助手回款!$X39,输入回款!$B:$B,科目对照回款!$H$9)+SUMIFS(输入回款!$D:$D,输入回款!$A:$A,助手回款!$X39,输入回款!$B:$B,科目对照回款!$H$9)),2)</f>
        <v>-0</v>
      </c>
      <c r="H564" s="49" t="str">
        <f aca="false">IF(ROUND($G564,2)&gt;0,ROUND($G564,2),"")</f>
        <v/>
      </c>
      <c r="I564" s="49" t="str">
        <f aca="false">IF(ROUND($G564,2)&lt;0,-ROUND($G564,2),"")</f>
        <v/>
      </c>
      <c r="J564" s="20" t="n">
        <f aca="false">IF(ROUND($G564,2)=0,0,1)</f>
        <v>0</v>
      </c>
      <c r="K564" s="20" t="str">
        <f aca="false">IF($J564=0,"",SUM($J$557:$J564))</f>
        <v/>
      </c>
      <c r="L564" s="20" t="str">
        <f aca="false">IF($K564="","",$A564*100+$K564)</f>
        <v/>
      </c>
      <c r="M564" s="48" t="str">
        <f aca="false">参数!$B$4</f>
        <v>回款</v>
      </c>
    </row>
    <row r="565" customFormat="false" ht="13.5" hidden="false" customHeight="false" outlineLevel="0" collapsed="false">
      <c r="A565" s="47" t="n">
        <v>38</v>
      </c>
      <c r="B565" s="38" t="n">
        <f aca="false">助手回款!$B39</f>
        <v>2060</v>
      </c>
      <c r="C565" s="48" t="str">
        <f aca="false">助手回款!$C39</f>
        <v>博景店</v>
      </c>
      <c r="D565" s="48" t="str">
        <f aca="false">科目对照回款!$B10&amp;""</f>
        <v>医卡通</v>
      </c>
      <c r="E565" s="48" t="str">
        <f aca="false">科目对照回款!$C10&amp;""</f>
        <v>应收账款</v>
      </c>
      <c r="F565" s="48" t="str">
        <f aca="false">科目对照回款!$D10&amp;""</f>
        <v>医卡通</v>
      </c>
      <c r="G565" s="49" t="n">
        <f aca="false">-ROUND(IF(科目对照回款!$F$10="",0,SUMIFS(输入回款!$C:$C,输入回款!$A:$A,助手回款!$X39,输入回款!$B:$B,科目对照回款!$F$10)+SUMIFS(输入回款!$D:$D,输入回款!$A:$A,助手回款!$X39,输入回款!$B:$B,科目对照回款!$F$10))+IF(科目对照回款!$G$10="",0,SUMIFS(输入回款!$C:$C,输入回款!$A:$A,助手回款!$X39,输入回款!$B:$B,科目对照回款!$G$10)+SUMIFS(输入回款!$D:$D,输入回款!$A:$A,助手回款!$X39,输入回款!$B:$B,科目对照回款!$G$10))+IF(科目对照回款!$H$10="",0,SUMIFS(输入回款!$C:$C,输入回款!$A:$A,助手回款!$X39,输入回款!$B:$B,科目对照回款!$H$10)+SUMIFS(输入回款!$D:$D,输入回款!$A:$A,助手回款!$X39,输入回款!$B:$B,科目对照回款!$H$10)),2)</f>
        <v>-0</v>
      </c>
      <c r="H565" s="49" t="str">
        <f aca="false">IF(ROUND($G565,2)&gt;0,ROUND($G565,2),"")</f>
        <v/>
      </c>
      <c r="I565" s="49" t="str">
        <f aca="false">IF(ROUND($G565,2)&lt;0,-ROUND($G565,2),"")</f>
        <v/>
      </c>
      <c r="J565" s="20" t="n">
        <f aca="false">IF(ROUND($G565,2)=0,0,1)</f>
        <v>0</v>
      </c>
      <c r="K565" s="20" t="str">
        <f aca="false">IF($J565=0,"",SUM($J$557:$J565))</f>
        <v/>
      </c>
      <c r="L565" s="20" t="str">
        <f aca="false">IF($K565="","",$A565*100+$K565)</f>
        <v/>
      </c>
      <c r="M565" s="48" t="str">
        <f aca="false">参数!$B$4</f>
        <v>回款</v>
      </c>
    </row>
    <row r="566" customFormat="false" ht="13.5" hidden="false" customHeight="false" outlineLevel="0" collapsed="false">
      <c r="A566" s="47" t="n">
        <v>38</v>
      </c>
      <c r="B566" s="38" t="n">
        <f aca="false">助手回款!$B39</f>
        <v>2060</v>
      </c>
      <c r="C566" s="48" t="str">
        <f aca="false">助手回款!$C39</f>
        <v>博景店</v>
      </c>
      <c r="D566" s="48" t="str">
        <f aca="false">科目对照回款!$B11&amp;""</f>
        <v>企健网</v>
      </c>
      <c r="E566" s="48" t="str">
        <f aca="false">科目对照回款!$C11&amp;""</f>
        <v>应收账款</v>
      </c>
      <c r="F566" s="48" t="str">
        <f aca="false">科目对照回款!$D11&amp;""</f>
        <v>企健网</v>
      </c>
      <c r="G566" s="49" t="n">
        <f aca="false">-ROUND(IF(科目对照回款!$F$11="",0,SUMIFS(输入回款!$C:$C,输入回款!$A:$A,助手回款!$X39,输入回款!$B:$B,科目对照回款!$F$11)+SUMIFS(输入回款!$D:$D,输入回款!$A:$A,助手回款!$X39,输入回款!$B:$B,科目对照回款!$F$11))+IF(科目对照回款!$G$11="",0,SUMIFS(输入回款!$C:$C,输入回款!$A:$A,助手回款!$X39,输入回款!$B:$B,科目对照回款!$G$11)+SUMIFS(输入回款!$D:$D,输入回款!$A:$A,助手回款!$X39,输入回款!$B:$B,科目对照回款!$G$11))+IF(科目对照回款!$H$11="",0,SUMIFS(输入回款!$C:$C,输入回款!$A:$A,助手回款!$X39,输入回款!$B:$B,科目对照回款!$H$11)+SUMIFS(输入回款!$D:$D,输入回款!$A:$A,助手回款!$X39,输入回款!$B:$B,科目对照回款!$H$11)),2)</f>
        <v>-0</v>
      </c>
      <c r="H566" s="49" t="str">
        <f aca="false">IF(ROUND($G566,2)&gt;0,ROUND($G566,2),"")</f>
        <v/>
      </c>
      <c r="I566" s="49" t="str">
        <f aca="false">IF(ROUND($G566,2)&lt;0,-ROUND($G566,2),"")</f>
        <v/>
      </c>
      <c r="J566" s="20" t="n">
        <f aca="false">IF(ROUND($G566,2)=0,0,1)</f>
        <v>0</v>
      </c>
      <c r="K566" s="20" t="str">
        <f aca="false">IF($J566=0,"",SUM($J$557:$J566))</f>
        <v/>
      </c>
      <c r="L566" s="20" t="str">
        <f aca="false">IF($K566="","",$A566*100+$K566)</f>
        <v/>
      </c>
      <c r="M566" s="48" t="str">
        <f aca="false">参数!$B$4</f>
        <v>回款</v>
      </c>
    </row>
    <row r="567" customFormat="false" ht="13.5" hidden="false" customHeight="false" outlineLevel="0" collapsed="false">
      <c r="A567" s="47" t="n">
        <v>38</v>
      </c>
      <c r="B567" s="38" t="n">
        <f aca="false">助手回款!$B39</f>
        <v>2060</v>
      </c>
      <c r="C567" s="48" t="str">
        <f aca="false">助手回款!$C39</f>
        <v>博景店</v>
      </c>
      <c r="D567" s="48" t="str">
        <f aca="false">科目对照回款!$B12&amp;""</f>
        <v>亲情卡</v>
      </c>
      <c r="E567" s="48" t="str">
        <f aca="false">科目对照回款!$C12&amp;""</f>
        <v>应收账款</v>
      </c>
      <c r="F567" s="48" t="str">
        <f aca="false">科目对照回款!$D12&amp;""</f>
        <v>亲情卡</v>
      </c>
      <c r="G567" s="49" t="n">
        <f aca="false">-ROUND(IF(科目对照回款!$F$12="",0,SUMIFS(输入回款!$C:$C,输入回款!$A:$A,助手回款!$X39,输入回款!$B:$B,科目对照回款!$F$12)+SUMIFS(输入回款!$D:$D,输入回款!$A:$A,助手回款!$X39,输入回款!$B:$B,科目对照回款!$F$12))+IF(科目对照回款!$G$12="",0,SUMIFS(输入回款!$C:$C,输入回款!$A:$A,助手回款!$X39,输入回款!$B:$B,科目对照回款!$G$12)+SUMIFS(输入回款!$D:$D,输入回款!$A:$A,助手回款!$X39,输入回款!$B:$B,科目对照回款!$G$12))+IF(科目对照回款!$H$12="",0,SUMIFS(输入回款!$C:$C,输入回款!$A:$A,助手回款!$X39,输入回款!$B:$B,科目对照回款!$H$12)+SUMIFS(输入回款!$D:$D,输入回款!$A:$A,助手回款!$X39,输入回款!$B:$B,科目对照回款!$H$12)),2)</f>
        <v>-0</v>
      </c>
      <c r="H567" s="49" t="str">
        <f aca="false">IF(ROUND($G567,2)&gt;0,ROUND($G567,2),"")</f>
        <v/>
      </c>
      <c r="I567" s="49" t="str">
        <f aca="false">IF(ROUND($G567,2)&lt;0,-ROUND($G567,2),"")</f>
        <v/>
      </c>
      <c r="J567" s="20" t="n">
        <f aca="false">IF(ROUND($G567,2)=0,0,1)</f>
        <v>0</v>
      </c>
      <c r="K567" s="20" t="str">
        <f aca="false">IF($J567=0,"",SUM($J$557:$J567))</f>
        <v/>
      </c>
      <c r="L567" s="20" t="str">
        <f aca="false">IF($K567="","",$A567*100+$K567)</f>
        <v/>
      </c>
      <c r="M567" s="48" t="str">
        <f aca="false">参数!$B$4</f>
        <v>回款</v>
      </c>
    </row>
    <row r="568" customFormat="false" ht="13.5" hidden="false" customHeight="false" outlineLevel="0" collapsed="false">
      <c r="A568" s="47" t="n">
        <v>38</v>
      </c>
      <c r="B568" s="38" t="n">
        <f aca="false">助手回款!$B39</f>
        <v>2060</v>
      </c>
      <c r="C568" s="48" t="str">
        <f aca="false">助手回款!$C39</f>
        <v>博景店</v>
      </c>
      <c r="D568" s="48" t="str">
        <f aca="false">科目对照回款!$B13&amp;""</f>
        <v>银联</v>
      </c>
      <c r="E568" s="48" t="str">
        <f aca="false">科目对照回款!$C13&amp;""</f>
        <v>应收账款</v>
      </c>
      <c r="F568" s="48" t="str">
        <f aca="false">科目对照回款!$D13&amp;""</f>
        <v>银联</v>
      </c>
      <c r="G568" s="49" t="n">
        <f aca="false">-ROUND(IF(科目对照回款!$F$13="",0,SUMIFS(输入回款!$C:$C,输入回款!$A:$A,助手回款!$X39,输入回款!$B:$B,科目对照回款!$F$13)+SUMIFS(输入回款!$D:$D,输入回款!$A:$A,助手回款!$X39,输入回款!$B:$B,科目对照回款!$F$13))+IF(科目对照回款!$G$13="",0,SUMIFS(输入回款!$C:$C,输入回款!$A:$A,助手回款!$X39,输入回款!$B:$B,科目对照回款!$G$13)+SUMIFS(输入回款!$D:$D,输入回款!$A:$A,助手回款!$X39,输入回款!$B:$B,科目对照回款!$G$13))+IF(科目对照回款!$H$13="",0,SUMIFS(输入回款!$C:$C,输入回款!$A:$A,助手回款!$X39,输入回款!$B:$B,科目对照回款!$H$13)+SUMIFS(输入回款!$D:$D,输入回款!$A:$A,助手回款!$X39,输入回款!$B:$B,科目对照回款!$H$13)),2)</f>
        <v>-0</v>
      </c>
      <c r="H568" s="49" t="str">
        <f aca="false">IF(ROUND($G568,2)&gt;0,ROUND($G568,2),"")</f>
        <v/>
      </c>
      <c r="I568" s="49" t="str">
        <f aca="false">IF(ROUND($G568,2)&lt;0,-ROUND($G568,2),"")</f>
        <v/>
      </c>
      <c r="J568" s="20" t="n">
        <f aca="false">IF(ROUND($G568,2)=0,0,1)</f>
        <v>0</v>
      </c>
      <c r="K568" s="20" t="str">
        <f aca="false">IF($J568=0,"",SUM($J$557:$J568))</f>
        <v/>
      </c>
      <c r="L568" s="20" t="str">
        <f aca="false">IF($K568="","",$A568*100+$K568)</f>
        <v/>
      </c>
      <c r="M568" s="48" t="str">
        <f aca="false">参数!$B$4</f>
        <v>回款</v>
      </c>
    </row>
    <row r="569" customFormat="false" ht="13.5" hidden="false" customHeight="false" outlineLevel="0" collapsed="false">
      <c r="A569" s="47" t="n">
        <v>38</v>
      </c>
      <c r="B569" s="38" t="n">
        <f aca="false">助手回款!$B39</f>
        <v>2060</v>
      </c>
      <c r="C569" s="48" t="str">
        <f aca="false">助手回款!$C39</f>
        <v>博景店</v>
      </c>
      <c r="D569" s="48" t="str">
        <f aca="false">科目对照回款!$B14&amp;""</f>
        <v>代金券</v>
      </c>
      <c r="E569" s="48" t="str">
        <f aca="false">科目对照回款!$C14&amp;""</f>
        <v>应收账款</v>
      </c>
      <c r="F569" s="48" t="str">
        <f aca="false">科目对照回款!$D14&amp;""</f>
        <v>代金券</v>
      </c>
      <c r="G569" s="49" t="n">
        <f aca="false">-ROUND(IF(科目对照回款!$F$14="",0,SUMIFS(输入回款!$C:$C,输入回款!$A:$A,助手回款!$X39,输入回款!$B:$B,科目对照回款!$F$14)+SUMIFS(输入回款!$D:$D,输入回款!$A:$A,助手回款!$X39,输入回款!$B:$B,科目对照回款!$F$14))+IF(科目对照回款!$G$14="",0,SUMIFS(输入回款!$C:$C,输入回款!$A:$A,助手回款!$X39,输入回款!$B:$B,科目对照回款!$G$14)+SUMIFS(输入回款!$D:$D,输入回款!$A:$A,助手回款!$X39,输入回款!$B:$B,科目对照回款!$G$14))+IF(科目对照回款!$H$14="",0,SUMIFS(输入回款!$C:$C,输入回款!$A:$A,助手回款!$X39,输入回款!$B:$B,科目对照回款!$H$14)+SUMIFS(输入回款!$D:$D,输入回款!$A:$A,助手回款!$X39,输入回款!$B:$B,科目对照回款!$H$14)),2)</f>
        <v>-0</v>
      </c>
      <c r="H569" s="49" t="str">
        <f aca="false">IF(ROUND($G569,2)&gt;0,ROUND($G569,2),"")</f>
        <v/>
      </c>
      <c r="I569" s="49" t="str">
        <f aca="false">IF(ROUND($G569,2)&lt;0,-ROUND($G569,2),"")</f>
        <v/>
      </c>
      <c r="J569" s="20" t="n">
        <f aca="false">IF(ROUND($G569,2)=0,0,1)</f>
        <v>0</v>
      </c>
      <c r="K569" s="20" t="str">
        <f aca="false">IF($J569=0,"",SUM($J$557:$J569))</f>
        <v/>
      </c>
      <c r="L569" s="20" t="str">
        <f aca="false">IF($K569="","",$A569*100+$K569)</f>
        <v/>
      </c>
      <c r="M569" s="48" t="str">
        <f aca="false">参数!$B$4</f>
        <v>回款</v>
      </c>
    </row>
    <row r="570" customFormat="false" ht="13.5" hidden="false" customHeight="false" outlineLevel="0" collapsed="false">
      <c r="A570" s="47" t="n">
        <v>38</v>
      </c>
      <c r="B570" s="38" t="n">
        <f aca="false">助手回款!$B39</f>
        <v>2060</v>
      </c>
      <c r="C570" s="48" t="str">
        <f aca="false">助手回款!$C39</f>
        <v>博景店</v>
      </c>
      <c r="D570" s="48" t="str">
        <f aca="false">科目对照回款!$B15&amp;""</f>
        <v>药机微信</v>
      </c>
      <c r="E570" s="48" t="str">
        <f aca="false">科目对照回款!$C15&amp;""</f>
        <v>应收账款</v>
      </c>
      <c r="F570" s="48" t="str">
        <f aca="false">科目对照回款!$D15&amp;""</f>
        <v>药机微信</v>
      </c>
      <c r="G570" s="49" t="n">
        <f aca="false">-ROUND(IF(科目对照回款!$F$15="",0,SUMIFS(输入回款!$C:$C,输入回款!$A:$A,助手回款!$X39,输入回款!$B:$B,科目对照回款!$F$15)+SUMIFS(输入回款!$D:$D,输入回款!$A:$A,助手回款!$X39,输入回款!$B:$B,科目对照回款!$F$15))+IF(科目对照回款!$G$15="",0,SUMIFS(输入回款!$C:$C,输入回款!$A:$A,助手回款!$X39,输入回款!$B:$B,科目对照回款!$G$15)+SUMIFS(输入回款!$D:$D,输入回款!$A:$A,助手回款!$X39,输入回款!$B:$B,科目对照回款!$G$15))+IF(科目对照回款!$H$15="",0,SUMIFS(输入回款!$C:$C,输入回款!$A:$A,助手回款!$X39,输入回款!$B:$B,科目对照回款!$H$15)+SUMIFS(输入回款!$D:$D,输入回款!$A:$A,助手回款!$X39,输入回款!$B:$B,科目对照回款!$H$15)),2)</f>
        <v>-0</v>
      </c>
      <c r="H570" s="49" t="str">
        <f aca="false">IF(ROUND($G570,2)&gt;0,ROUND($G570,2),"")</f>
        <v/>
      </c>
      <c r="I570" s="49" t="str">
        <f aca="false">IF(ROUND($G570,2)&lt;0,-ROUND($G570,2),"")</f>
        <v/>
      </c>
      <c r="J570" s="20" t="n">
        <f aca="false">IF(ROUND($G570,2)=0,0,1)</f>
        <v>0</v>
      </c>
      <c r="K570" s="20" t="str">
        <f aca="false">IF($J570=0,"",SUM($J$557:$J570))</f>
        <v/>
      </c>
      <c r="L570" s="20" t="str">
        <f aca="false">IF($K570="","",$A570*100+$K570)</f>
        <v/>
      </c>
      <c r="M570" s="48" t="str">
        <f aca="false">参数!$B$4</f>
        <v>回款</v>
      </c>
    </row>
    <row r="571" customFormat="false" ht="13.5" hidden="false" customHeight="false" outlineLevel="0" collapsed="false">
      <c r="A571" s="47" t="n">
        <v>38</v>
      </c>
      <c r="B571" s="38" t="n">
        <f aca="false">助手回款!$B39</f>
        <v>2060</v>
      </c>
      <c r="C571" s="48" t="str">
        <f aca="false">助手回款!$C39</f>
        <v>博景店</v>
      </c>
      <c r="D571" s="48" t="str">
        <f aca="false">科目对照回款!$B16&amp;""</f>
        <v>储值卡</v>
      </c>
      <c r="E571" s="48" t="str">
        <f aca="false">科目对照回款!$C16&amp;""</f>
        <v>其他应收款</v>
      </c>
      <c r="F571" s="48" t="str">
        <f aca="false">科目对照回款!$D16&amp;""</f>
        <v>储值卡</v>
      </c>
      <c r="G571" s="49" t="n">
        <f aca="false">-ROUND(IF(科目对照回款!$F$16="",0,SUMIFS(输入回款!$C:$C,输入回款!$A:$A,助手回款!$X39,输入回款!$B:$B,科目对照回款!$F$16)+SUMIFS(输入回款!$D:$D,输入回款!$A:$A,助手回款!$X39,输入回款!$B:$B,科目对照回款!$F$16))+IF(科目对照回款!$G$16="",0,SUMIFS(输入回款!$C:$C,输入回款!$A:$A,助手回款!$X39,输入回款!$B:$B,科目对照回款!$G$16)+SUMIFS(输入回款!$D:$D,输入回款!$A:$A,助手回款!$X39,输入回款!$B:$B,科目对照回款!$G$16))+IF(科目对照回款!$H$16="",0,SUMIFS(输入回款!$C:$C,输入回款!$A:$A,助手回款!$X39,输入回款!$B:$B,科目对照回款!$H$16)+SUMIFS(输入回款!$D:$D,输入回款!$A:$A,助手回款!$X39,输入回款!$B:$B,科目对照回款!$H$16)),2)</f>
        <v>-0</v>
      </c>
      <c r="H571" s="49" t="str">
        <f aca="false">IF(ROUND($G571,2)&gt;0,ROUND($G571,2),"")</f>
        <v/>
      </c>
      <c r="I571" s="49" t="str">
        <f aca="false">IF(ROUND($G571,2)&lt;0,-ROUND($G571,2),"")</f>
        <v/>
      </c>
      <c r="J571" s="20" t="n">
        <f aca="false">IF(ROUND($G571,2)=0,0,1)</f>
        <v>0</v>
      </c>
      <c r="K571" s="20" t="str">
        <f aca="false">IF($J571=0,"",SUM($J$557:$J571))</f>
        <v/>
      </c>
      <c r="L571" s="20" t="str">
        <f aca="false">IF($K571="","",$A571*100+$K571)</f>
        <v/>
      </c>
      <c r="M571" s="48" t="str">
        <f aca="false">参数!$B$4</f>
        <v>回款</v>
      </c>
    </row>
    <row r="572" customFormat="false" ht="13.5" hidden="false" customHeight="false" outlineLevel="0" collapsed="false">
      <c r="A572" s="47" t="n">
        <v>39</v>
      </c>
      <c r="B572" s="38" t="n">
        <f aca="false">助手回款!$B40</f>
        <v>2062</v>
      </c>
      <c r="C572" s="48" t="str">
        <f aca="false">助手回款!$C40</f>
        <v>西范村店</v>
      </c>
      <c r="D572" s="48" t="str">
        <f aca="false">科目对照回款!$B2&amp;""</f>
        <v>库存现金</v>
      </c>
      <c r="E572" s="48" t="str">
        <f aca="false">科目对照回款!$C2&amp;""</f>
        <v>库存现金</v>
      </c>
      <c r="F572" s="48" t="str">
        <f aca="false">科目对照回款!$D2&amp;""</f>
        <v/>
      </c>
      <c r="G572" s="49" t="n">
        <f aca="false">助手回款!$E40</f>
        <v>61578.01</v>
      </c>
      <c r="H572" s="49" t="n">
        <f aca="false">IF(ROUND($G572,2)&gt;0,ROUND($G572,2),"")</f>
        <v>61578.01</v>
      </c>
      <c r="I572" s="49" t="str">
        <f aca="false">IF(ROUND($G572,2)&lt;0,-ROUND($G572,2),"")</f>
        <v/>
      </c>
      <c r="J572" s="20" t="n">
        <f aca="false">IF(ROUND($G572,2)=0,0,1)</f>
        <v>1</v>
      </c>
      <c r="K572" s="20" t="n">
        <f aca="false">IF($J572=0,"",SUM($J$572:$J572))</f>
        <v>1</v>
      </c>
      <c r="L572" s="20" t="n">
        <f aca="false">IF($K572="","",$A572*100+$K572)</f>
        <v>3901</v>
      </c>
      <c r="M572" s="48" t="str">
        <f aca="false">参数!$B$4</f>
        <v>回款</v>
      </c>
    </row>
    <row r="573" customFormat="false" ht="13.5" hidden="false" customHeight="false" outlineLevel="0" collapsed="false">
      <c r="A573" s="47" t="n">
        <v>39</v>
      </c>
      <c r="B573" s="38" t="n">
        <f aca="false">助手回款!$B40</f>
        <v>2062</v>
      </c>
      <c r="C573" s="48" t="str">
        <f aca="false">助手回款!$C40</f>
        <v>西范村店</v>
      </c>
      <c r="D573" s="48" t="str">
        <f aca="false">科目对照回款!$B3&amp;""</f>
        <v>手续费</v>
      </c>
      <c r="E573" s="48" t="str">
        <f aca="false">科目对照回款!$C3&amp;""</f>
        <v>财务费用</v>
      </c>
      <c r="F573" s="48" t="str">
        <f aca="false">科目对照回款!$D3&amp;""</f>
        <v>手续费</v>
      </c>
      <c r="G573" s="49" t="n">
        <f aca="false">助手回款!$F40</f>
        <v>246.59</v>
      </c>
      <c r="H573" s="49" t="n">
        <f aca="false">IF(ROUND($G573,2)&gt;0,ROUND($G573,2),"")</f>
        <v>246.59</v>
      </c>
      <c r="I573" s="49" t="str">
        <f aca="false">IF(ROUND($G573,2)&lt;0,-ROUND($G573,2),"")</f>
        <v/>
      </c>
      <c r="J573" s="20" t="n">
        <f aca="false">IF(ROUND($G573,2)=0,0,1)</f>
        <v>1</v>
      </c>
      <c r="K573" s="20" t="n">
        <f aca="false">IF($J573=0,"",SUM($J$572:$J573))</f>
        <v>2</v>
      </c>
      <c r="L573" s="20" t="n">
        <f aca="false">IF($K573="","",$A573*100+$K573)</f>
        <v>3902</v>
      </c>
      <c r="M573" s="48" t="str">
        <f aca="false">参数!$B$4</f>
        <v>回款</v>
      </c>
    </row>
    <row r="574" customFormat="false" ht="13.5" hidden="false" customHeight="false" outlineLevel="0" collapsed="false">
      <c r="A574" s="47" t="n">
        <v>39</v>
      </c>
      <c r="B574" s="38" t="n">
        <f aca="false">助手回款!$B40</f>
        <v>2062</v>
      </c>
      <c r="C574" s="48" t="str">
        <f aca="false">助手回款!$C40</f>
        <v>西范村店</v>
      </c>
      <c r="D574" s="48" t="str">
        <f aca="false">科目对照回款!$B4&amp;""</f>
        <v>聚合支付</v>
      </c>
      <c r="E574" s="48" t="str">
        <f aca="false">科目对照回款!$C4&amp;""</f>
        <v>应收账款</v>
      </c>
      <c r="F574" s="48" t="str">
        <f aca="false">科目对照回款!$D4&amp;""</f>
        <v>聚合支付</v>
      </c>
      <c r="G574" s="49" t="n">
        <f aca="false">-ROUND(IF(科目对照回款!$F$4="",0,SUMIFS(输入回款!$C:$C,输入回款!$A:$A,助手回款!$X40,输入回款!$B:$B,科目对照回款!$F$4)+SUMIFS(输入回款!$D:$D,输入回款!$A:$A,助手回款!$X40,输入回款!$B:$B,科目对照回款!$F$4))+IF(科目对照回款!$G$4="",0,SUMIFS(输入回款!$C:$C,输入回款!$A:$A,助手回款!$X40,输入回款!$B:$B,科目对照回款!$G$4)+SUMIFS(输入回款!$D:$D,输入回款!$A:$A,助手回款!$X40,输入回款!$B:$B,科目对照回款!$G$4))+IF(科目对照回款!$H$4="",0,SUMIFS(输入回款!$C:$C,输入回款!$A:$A,助手回款!$X40,输入回款!$B:$B,科目对照回款!$H$4)+SUMIFS(输入回款!$D:$D,输入回款!$A:$A,助手回款!$X40,输入回款!$B:$B,科目对照回款!$H$4)),2)</f>
        <v>-49256.77</v>
      </c>
      <c r="H574" s="49" t="str">
        <f aca="false">IF(ROUND($G574,2)&gt;0,ROUND($G574,2),"")</f>
        <v/>
      </c>
      <c r="I574" s="49" t="n">
        <f aca="false">IF(ROUND($G574,2)&lt;0,-ROUND($G574,2),"")</f>
        <v>49256.77</v>
      </c>
      <c r="J574" s="20" t="n">
        <f aca="false">IF(ROUND($G574,2)=0,0,1)</f>
        <v>1</v>
      </c>
      <c r="K574" s="20" t="n">
        <f aca="false">IF($J574=0,"",SUM($J$572:$J574))</f>
        <v>3</v>
      </c>
      <c r="L574" s="20" t="n">
        <f aca="false">IF($K574="","",$A574*100+$K574)</f>
        <v>3903</v>
      </c>
      <c r="M574" s="48" t="str">
        <f aca="false">参数!$B$4</f>
        <v>回款</v>
      </c>
    </row>
    <row r="575" customFormat="false" ht="13.5" hidden="false" customHeight="false" outlineLevel="0" collapsed="false">
      <c r="A575" s="47" t="n">
        <v>39</v>
      </c>
      <c r="B575" s="38" t="n">
        <f aca="false">助手回款!$B40</f>
        <v>2062</v>
      </c>
      <c r="C575" s="48" t="str">
        <f aca="false">助手回款!$C40</f>
        <v>西范村店</v>
      </c>
      <c r="D575" s="48" t="str">
        <f aca="false">科目对照回款!$B5&amp;""</f>
        <v>医保</v>
      </c>
      <c r="E575" s="48" t="str">
        <f aca="false">科目对照回款!$C5&amp;""</f>
        <v>应收账款</v>
      </c>
      <c r="F575" s="48" t="str">
        <f aca="false">科目对照回款!$D5&amp;""</f>
        <v>医保</v>
      </c>
      <c r="G575" s="49" t="n">
        <f aca="false">-ROUND(IF(科目对照回款!$F$5="",0,SUMIFS(输入回款!$C:$C,输入回款!$A:$A,助手回款!$X40,输入回款!$B:$B,科目对照回款!$F$5)+SUMIFS(输入回款!$D:$D,输入回款!$A:$A,助手回款!$X40,输入回款!$B:$B,科目对照回款!$F$5))+IF(科目对照回款!$G$5="",0,SUMIFS(输入回款!$C:$C,输入回款!$A:$A,助手回款!$X40,输入回款!$B:$B,科目对照回款!$G$5)+SUMIFS(输入回款!$D:$D,输入回款!$A:$A,助手回款!$X40,输入回款!$B:$B,科目对照回款!$G$5))+IF(科目对照回款!$H$5="",0,SUMIFS(输入回款!$C:$C,输入回款!$A:$A,助手回款!$X40,输入回款!$B:$B,科目对照回款!$H$5)+SUMIFS(输入回款!$D:$D,输入回款!$A:$A,助手回款!$X40,输入回款!$B:$B,科目对照回款!$H$5)),2)</f>
        <v>-11760.13</v>
      </c>
      <c r="H575" s="49" t="str">
        <f aca="false">IF(ROUND($G575,2)&gt;0,ROUND($G575,2),"")</f>
        <v/>
      </c>
      <c r="I575" s="49" t="n">
        <f aca="false">IF(ROUND($G575,2)&lt;0,-ROUND($G575,2),"")</f>
        <v>11760.13</v>
      </c>
      <c r="J575" s="20" t="n">
        <f aca="false">IF(ROUND($G575,2)=0,0,1)</f>
        <v>1</v>
      </c>
      <c r="K575" s="20" t="n">
        <f aca="false">IF($J575=0,"",SUM($J$572:$J575))</f>
        <v>4</v>
      </c>
      <c r="L575" s="20" t="n">
        <f aca="false">IF($K575="","",$A575*100+$K575)</f>
        <v>3904</v>
      </c>
      <c r="M575" s="48" t="str">
        <f aca="false">参数!$B$4</f>
        <v>回款</v>
      </c>
    </row>
    <row r="576" customFormat="false" ht="13.5" hidden="false" customHeight="false" outlineLevel="0" collapsed="false">
      <c r="A576" s="47" t="n">
        <v>39</v>
      </c>
      <c r="B576" s="38" t="n">
        <f aca="false">助手回款!$B40</f>
        <v>2062</v>
      </c>
      <c r="C576" s="48" t="str">
        <f aca="false">助手回款!$C40</f>
        <v>西范村店</v>
      </c>
      <c r="D576" s="48" t="str">
        <f aca="false">科目对照回款!$B6&amp;""</f>
        <v>美团</v>
      </c>
      <c r="E576" s="48" t="str">
        <f aca="false">科目对照回款!$C6&amp;""</f>
        <v>应收账款</v>
      </c>
      <c r="F576" s="48" t="str">
        <f aca="false">科目对照回款!$D6&amp;""</f>
        <v>美团</v>
      </c>
      <c r="G576" s="49" t="n">
        <f aca="false">-ROUND(IF(科目对照回款!$F$6="",0,SUMIFS(输入回款!$C:$C,输入回款!$A:$A,助手回款!$X40,输入回款!$B:$B,科目对照回款!$F$6)+SUMIFS(输入回款!$D:$D,输入回款!$A:$A,助手回款!$X40,输入回款!$B:$B,科目对照回款!$F$6))+IF(科目对照回款!$G$6="",0,SUMIFS(输入回款!$C:$C,输入回款!$A:$A,助手回款!$X40,输入回款!$B:$B,科目对照回款!$G$6)+SUMIFS(输入回款!$D:$D,输入回款!$A:$A,助手回款!$X40,输入回款!$B:$B,科目对照回款!$G$6))+IF(科目对照回款!$H$6="",0,SUMIFS(输入回款!$C:$C,输入回款!$A:$A,助手回款!$X40,输入回款!$B:$B,科目对照回款!$H$6)+SUMIFS(输入回款!$D:$D,输入回款!$A:$A,助手回款!$X40,输入回款!$B:$B,科目对照回款!$H$6)),2)</f>
        <v>-0</v>
      </c>
      <c r="H576" s="49" t="str">
        <f aca="false">IF(ROUND($G576,2)&gt;0,ROUND($G576,2),"")</f>
        <v/>
      </c>
      <c r="I576" s="49" t="str">
        <f aca="false">IF(ROUND($G576,2)&lt;0,-ROUND($G576,2),"")</f>
        <v/>
      </c>
      <c r="J576" s="20" t="n">
        <f aca="false">IF(ROUND($G576,2)=0,0,1)</f>
        <v>0</v>
      </c>
      <c r="K576" s="20" t="str">
        <f aca="false">IF($J576=0,"",SUM($J$572:$J576))</f>
        <v/>
      </c>
      <c r="L576" s="20" t="str">
        <f aca="false">IF($K576="","",$A576*100+$K576)</f>
        <v/>
      </c>
      <c r="M576" s="48" t="str">
        <f aca="false">参数!$B$4</f>
        <v>回款</v>
      </c>
    </row>
    <row r="577" customFormat="false" ht="13.5" hidden="false" customHeight="false" outlineLevel="0" collapsed="false">
      <c r="A577" s="47" t="n">
        <v>39</v>
      </c>
      <c r="B577" s="38" t="n">
        <f aca="false">助手回款!$B40</f>
        <v>2062</v>
      </c>
      <c r="C577" s="48" t="str">
        <f aca="false">助手回款!$C40</f>
        <v>西范村店</v>
      </c>
      <c r="D577" s="48" t="str">
        <f aca="false">科目对照回款!$B7&amp;""</f>
        <v>饿了么</v>
      </c>
      <c r="E577" s="48" t="str">
        <f aca="false">科目对照回款!$C7&amp;""</f>
        <v>应收账款</v>
      </c>
      <c r="F577" s="48" t="str">
        <f aca="false">科目对照回款!$D7&amp;""</f>
        <v>饿了么</v>
      </c>
      <c r="G577" s="49" t="n">
        <f aca="false">-ROUND(IF(科目对照回款!$F$7="",0,SUMIFS(输入回款!$C:$C,输入回款!$A:$A,助手回款!$X40,输入回款!$B:$B,科目对照回款!$F$7)+SUMIFS(输入回款!$D:$D,输入回款!$A:$A,助手回款!$X40,输入回款!$B:$B,科目对照回款!$F$7))+IF(科目对照回款!$G$7="",0,SUMIFS(输入回款!$C:$C,输入回款!$A:$A,助手回款!$X40,输入回款!$B:$B,科目对照回款!$G$7)+SUMIFS(输入回款!$D:$D,输入回款!$A:$A,助手回款!$X40,输入回款!$B:$B,科目对照回款!$G$7))+IF(科目对照回款!$H$7="",0,SUMIFS(输入回款!$C:$C,输入回款!$A:$A,助手回款!$X40,输入回款!$B:$B,科目对照回款!$H$7)+SUMIFS(输入回款!$D:$D,输入回款!$A:$A,助手回款!$X40,输入回款!$B:$B,科目对照回款!$H$7)),2)</f>
        <v>-807.7</v>
      </c>
      <c r="H577" s="49" t="str">
        <f aca="false">IF(ROUND($G577,2)&gt;0,ROUND($G577,2),"")</f>
        <v/>
      </c>
      <c r="I577" s="49" t="n">
        <f aca="false">IF(ROUND($G577,2)&lt;0,-ROUND($G577,2),"")</f>
        <v>807.7</v>
      </c>
      <c r="J577" s="20" t="n">
        <f aca="false">IF(ROUND($G577,2)=0,0,1)</f>
        <v>1</v>
      </c>
      <c r="K577" s="20" t="n">
        <f aca="false">IF($J577=0,"",SUM($J$572:$J577))</f>
        <v>5</v>
      </c>
      <c r="L577" s="20" t="n">
        <f aca="false">IF($K577="","",$A577*100+$K577)</f>
        <v>3905</v>
      </c>
      <c r="M577" s="48" t="str">
        <f aca="false">参数!$B$4</f>
        <v>回款</v>
      </c>
    </row>
    <row r="578" customFormat="false" ht="13.5" hidden="false" customHeight="false" outlineLevel="0" collapsed="false">
      <c r="A578" s="47" t="n">
        <v>39</v>
      </c>
      <c r="B578" s="38" t="n">
        <f aca="false">助手回款!$B40</f>
        <v>2062</v>
      </c>
      <c r="C578" s="48" t="str">
        <f aca="false">助手回款!$C40</f>
        <v>西范村店</v>
      </c>
      <c r="D578" s="48" t="str">
        <f aca="false">科目对照回款!$B8&amp;""</f>
        <v>24小时</v>
      </c>
      <c r="E578" s="48" t="str">
        <f aca="false">科目对照回款!$C8&amp;""</f>
        <v>应收账款</v>
      </c>
      <c r="F578" s="48" t="str">
        <f aca="false">科目对照回款!$D8&amp;""</f>
        <v>24小时</v>
      </c>
      <c r="G578" s="49" t="n">
        <f aca="false">-ROUND(IF(科目对照回款!$F$8="",0,SUMIFS(输入回款!$C:$C,输入回款!$A:$A,助手回款!$X40,输入回款!$B:$B,科目对照回款!$F$8)+SUMIFS(输入回款!$D:$D,输入回款!$A:$A,助手回款!$X40,输入回款!$B:$B,科目对照回款!$F$8))+IF(科目对照回款!$G$8="",0,SUMIFS(输入回款!$C:$C,输入回款!$A:$A,助手回款!$X40,输入回款!$B:$B,科目对照回款!$G$8)+SUMIFS(输入回款!$D:$D,输入回款!$A:$A,助手回款!$X40,输入回款!$B:$B,科目对照回款!$G$8))+IF(科目对照回款!$H$8="",0,SUMIFS(输入回款!$C:$C,输入回款!$A:$A,助手回款!$X40,输入回款!$B:$B,科目对照回款!$H$8)+SUMIFS(输入回款!$D:$D,输入回款!$A:$A,助手回款!$X40,输入回款!$B:$B,科目对照回款!$H$8)),2)</f>
        <v>-0</v>
      </c>
      <c r="H578" s="49" t="str">
        <f aca="false">IF(ROUND($G578,2)&gt;0,ROUND($G578,2),"")</f>
        <v/>
      </c>
      <c r="I578" s="49" t="str">
        <f aca="false">IF(ROUND($G578,2)&lt;0,-ROUND($G578,2),"")</f>
        <v/>
      </c>
      <c r="J578" s="20" t="n">
        <f aca="false">IF(ROUND($G578,2)=0,0,1)</f>
        <v>0</v>
      </c>
      <c r="K578" s="20" t="str">
        <f aca="false">IF($J578=0,"",SUM($J$572:$J578))</f>
        <v/>
      </c>
      <c r="L578" s="20" t="str">
        <f aca="false">IF($K578="","",$A578*100+$K578)</f>
        <v/>
      </c>
      <c r="M578" s="48" t="str">
        <f aca="false">参数!$B$4</f>
        <v>回款</v>
      </c>
    </row>
    <row r="579" customFormat="false" ht="13.5" hidden="false" customHeight="false" outlineLevel="0" collapsed="false">
      <c r="A579" s="47" t="n">
        <v>39</v>
      </c>
      <c r="B579" s="38" t="n">
        <f aca="false">助手回款!$B40</f>
        <v>2062</v>
      </c>
      <c r="C579" s="48" t="str">
        <f aca="false">助手回款!$C40</f>
        <v>西范村店</v>
      </c>
      <c r="D579" s="48" t="str">
        <f aca="false">科目对照回款!$B9&amp;""</f>
        <v>健E卡</v>
      </c>
      <c r="E579" s="48" t="str">
        <f aca="false">科目对照回款!$C9&amp;""</f>
        <v>应收账款</v>
      </c>
      <c r="F579" s="48" t="str">
        <f aca="false">科目对照回款!$D9&amp;""</f>
        <v>健E卡</v>
      </c>
      <c r="G579" s="49" t="n">
        <f aca="false">-ROUND(IF(科目对照回款!$F$9="",0,SUMIFS(输入回款!$C:$C,输入回款!$A:$A,助手回款!$X40,输入回款!$B:$B,科目对照回款!$F$9)+SUMIFS(输入回款!$D:$D,输入回款!$A:$A,助手回款!$X40,输入回款!$B:$B,科目对照回款!$F$9))+IF(科目对照回款!$G$9="",0,SUMIFS(输入回款!$C:$C,输入回款!$A:$A,助手回款!$X40,输入回款!$B:$B,科目对照回款!$G$9)+SUMIFS(输入回款!$D:$D,输入回款!$A:$A,助手回款!$X40,输入回款!$B:$B,科目对照回款!$G$9))+IF(科目对照回款!$H$9="",0,SUMIFS(输入回款!$C:$C,输入回款!$A:$A,助手回款!$X40,输入回款!$B:$B,科目对照回款!$H$9)+SUMIFS(输入回款!$D:$D,输入回款!$A:$A,助手回款!$X40,输入回款!$B:$B,科目对照回款!$H$9)),2)</f>
        <v>-0</v>
      </c>
      <c r="H579" s="49" t="str">
        <f aca="false">IF(ROUND($G579,2)&gt;0,ROUND($G579,2),"")</f>
        <v/>
      </c>
      <c r="I579" s="49" t="str">
        <f aca="false">IF(ROUND($G579,2)&lt;0,-ROUND($G579,2),"")</f>
        <v/>
      </c>
      <c r="J579" s="20" t="n">
        <f aca="false">IF(ROUND($G579,2)=0,0,1)</f>
        <v>0</v>
      </c>
      <c r="K579" s="20" t="str">
        <f aca="false">IF($J579=0,"",SUM($J$572:$J579))</f>
        <v/>
      </c>
      <c r="L579" s="20" t="str">
        <f aca="false">IF($K579="","",$A579*100+$K579)</f>
        <v/>
      </c>
      <c r="M579" s="48" t="str">
        <f aca="false">参数!$B$4</f>
        <v>回款</v>
      </c>
    </row>
    <row r="580" customFormat="false" ht="13.5" hidden="false" customHeight="false" outlineLevel="0" collapsed="false">
      <c r="A580" s="47" t="n">
        <v>39</v>
      </c>
      <c r="B580" s="38" t="n">
        <f aca="false">助手回款!$B40</f>
        <v>2062</v>
      </c>
      <c r="C580" s="48" t="str">
        <f aca="false">助手回款!$C40</f>
        <v>西范村店</v>
      </c>
      <c r="D580" s="48" t="str">
        <f aca="false">科目对照回款!$B10&amp;""</f>
        <v>医卡通</v>
      </c>
      <c r="E580" s="48" t="str">
        <f aca="false">科目对照回款!$C10&amp;""</f>
        <v>应收账款</v>
      </c>
      <c r="F580" s="48" t="str">
        <f aca="false">科目对照回款!$D10&amp;""</f>
        <v>医卡通</v>
      </c>
      <c r="G580" s="49" t="n">
        <f aca="false">-ROUND(IF(科目对照回款!$F$10="",0,SUMIFS(输入回款!$C:$C,输入回款!$A:$A,助手回款!$X40,输入回款!$B:$B,科目对照回款!$F$10)+SUMIFS(输入回款!$D:$D,输入回款!$A:$A,助手回款!$X40,输入回款!$B:$B,科目对照回款!$F$10))+IF(科目对照回款!$G$10="",0,SUMIFS(输入回款!$C:$C,输入回款!$A:$A,助手回款!$X40,输入回款!$B:$B,科目对照回款!$G$10)+SUMIFS(输入回款!$D:$D,输入回款!$A:$A,助手回款!$X40,输入回款!$B:$B,科目对照回款!$G$10))+IF(科目对照回款!$H$10="",0,SUMIFS(输入回款!$C:$C,输入回款!$A:$A,助手回款!$X40,输入回款!$B:$B,科目对照回款!$H$10)+SUMIFS(输入回款!$D:$D,输入回款!$A:$A,助手回款!$X40,输入回款!$B:$B,科目对照回款!$H$10)),2)</f>
        <v>-0</v>
      </c>
      <c r="H580" s="49" t="str">
        <f aca="false">IF(ROUND($G580,2)&gt;0,ROUND($G580,2),"")</f>
        <v/>
      </c>
      <c r="I580" s="49" t="str">
        <f aca="false">IF(ROUND($G580,2)&lt;0,-ROUND($G580,2),"")</f>
        <v/>
      </c>
      <c r="J580" s="20" t="n">
        <f aca="false">IF(ROUND($G580,2)=0,0,1)</f>
        <v>0</v>
      </c>
      <c r="K580" s="20" t="str">
        <f aca="false">IF($J580=0,"",SUM($J$572:$J580))</f>
        <v/>
      </c>
      <c r="L580" s="20" t="str">
        <f aca="false">IF($K580="","",$A580*100+$K580)</f>
        <v/>
      </c>
      <c r="M580" s="48" t="str">
        <f aca="false">参数!$B$4</f>
        <v>回款</v>
      </c>
    </row>
    <row r="581" customFormat="false" ht="13.5" hidden="false" customHeight="false" outlineLevel="0" collapsed="false">
      <c r="A581" s="47" t="n">
        <v>39</v>
      </c>
      <c r="B581" s="38" t="n">
        <f aca="false">助手回款!$B40</f>
        <v>2062</v>
      </c>
      <c r="C581" s="48" t="str">
        <f aca="false">助手回款!$C40</f>
        <v>西范村店</v>
      </c>
      <c r="D581" s="48" t="str">
        <f aca="false">科目对照回款!$B11&amp;""</f>
        <v>企健网</v>
      </c>
      <c r="E581" s="48" t="str">
        <f aca="false">科目对照回款!$C11&amp;""</f>
        <v>应收账款</v>
      </c>
      <c r="F581" s="48" t="str">
        <f aca="false">科目对照回款!$D11&amp;""</f>
        <v>企健网</v>
      </c>
      <c r="G581" s="49" t="n">
        <f aca="false">-ROUND(IF(科目对照回款!$F$11="",0,SUMIFS(输入回款!$C:$C,输入回款!$A:$A,助手回款!$X40,输入回款!$B:$B,科目对照回款!$F$11)+SUMIFS(输入回款!$D:$D,输入回款!$A:$A,助手回款!$X40,输入回款!$B:$B,科目对照回款!$F$11))+IF(科目对照回款!$G$11="",0,SUMIFS(输入回款!$C:$C,输入回款!$A:$A,助手回款!$X40,输入回款!$B:$B,科目对照回款!$G$11)+SUMIFS(输入回款!$D:$D,输入回款!$A:$A,助手回款!$X40,输入回款!$B:$B,科目对照回款!$G$11))+IF(科目对照回款!$H$11="",0,SUMIFS(输入回款!$C:$C,输入回款!$A:$A,助手回款!$X40,输入回款!$B:$B,科目对照回款!$H$11)+SUMIFS(输入回款!$D:$D,输入回款!$A:$A,助手回款!$X40,输入回款!$B:$B,科目对照回款!$H$11)),2)</f>
        <v>-0</v>
      </c>
      <c r="H581" s="49" t="str">
        <f aca="false">IF(ROUND($G581,2)&gt;0,ROUND($G581,2),"")</f>
        <v/>
      </c>
      <c r="I581" s="49" t="str">
        <f aca="false">IF(ROUND($G581,2)&lt;0,-ROUND($G581,2),"")</f>
        <v/>
      </c>
      <c r="J581" s="20" t="n">
        <f aca="false">IF(ROUND($G581,2)=0,0,1)</f>
        <v>0</v>
      </c>
      <c r="K581" s="20" t="str">
        <f aca="false">IF($J581=0,"",SUM($J$572:$J581))</f>
        <v/>
      </c>
      <c r="L581" s="20" t="str">
        <f aca="false">IF($K581="","",$A581*100+$K581)</f>
        <v/>
      </c>
      <c r="M581" s="48" t="str">
        <f aca="false">参数!$B$4</f>
        <v>回款</v>
      </c>
    </row>
    <row r="582" customFormat="false" ht="13.5" hidden="false" customHeight="false" outlineLevel="0" collapsed="false">
      <c r="A582" s="47" t="n">
        <v>39</v>
      </c>
      <c r="B582" s="38" t="n">
        <f aca="false">助手回款!$B40</f>
        <v>2062</v>
      </c>
      <c r="C582" s="48" t="str">
        <f aca="false">助手回款!$C40</f>
        <v>西范村店</v>
      </c>
      <c r="D582" s="48" t="str">
        <f aca="false">科目对照回款!$B12&amp;""</f>
        <v>亲情卡</v>
      </c>
      <c r="E582" s="48" t="str">
        <f aca="false">科目对照回款!$C12&amp;""</f>
        <v>应收账款</v>
      </c>
      <c r="F582" s="48" t="str">
        <f aca="false">科目对照回款!$D12&amp;""</f>
        <v>亲情卡</v>
      </c>
      <c r="G582" s="49" t="n">
        <f aca="false">-ROUND(IF(科目对照回款!$F$12="",0,SUMIFS(输入回款!$C:$C,输入回款!$A:$A,助手回款!$X40,输入回款!$B:$B,科目对照回款!$F$12)+SUMIFS(输入回款!$D:$D,输入回款!$A:$A,助手回款!$X40,输入回款!$B:$B,科目对照回款!$F$12))+IF(科目对照回款!$G$12="",0,SUMIFS(输入回款!$C:$C,输入回款!$A:$A,助手回款!$X40,输入回款!$B:$B,科目对照回款!$G$12)+SUMIFS(输入回款!$D:$D,输入回款!$A:$A,助手回款!$X40,输入回款!$B:$B,科目对照回款!$G$12))+IF(科目对照回款!$H$12="",0,SUMIFS(输入回款!$C:$C,输入回款!$A:$A,助手回款!$X40,输入回款!$B:$B,科目对照回款!$H$12)+SUMIFS(输入回款!$D:$D,输入回款!$A:$A,助手回款!$X40,输入回款!$B:$B,科目对照回款!$H$12)),2)</f>
        <v>-0</v>
      </c>
      <c r="H582" s="49" t="str">
        <f aca="false">IF(ROUND($G582,2)&gt;0,ROUND($G582,2),"")</f>
        <v/>
      </c>
      <c r="I582" s="49" t="str">
        <f aca="false">IF(ROUND($G582,2)&lt;0,-ROUND($G582,2),"")</f>
        <v/>
      </c>
      <c r="J582" s="20" t="n">
        <f aca="false">IF(ROUND($G582,2)=0,0,1)</f>
        <v>0</v>
      </c>
      <c r="K582" s="20" t="str">
        <f aca="false">IF($J582=0,"",SUM($J$572:$J582))</f>
        <v/>
      </c>
      <c r="L582" s="20" t="str">
        <f aca="false">IF($K582="","",$A582*100+$K582)</f>
        <v/>
      </c>
      <c r="M582" s="48" t="str">
        <f aca="false">参数!$B$4</f>
        <v>回款</v>
      </c>
    </row>
    <row r="583" customFormat="false" ht="13.5" hidden="false" customHeight="false" outlineLevel="0" collapsed="false">
      <c r="A583" s="47" t="n">
        <v>39</v>
      </c>
      <c r="B583" s="38" t="n">
        <f aca="false">助手回款!$B40</f>
        <v>2062</v>
      </c>
      <c r="C583" s="48" t="str">
        <f aca="false">助手回款!$C40</f>
        <v>西范村店</v>
      </c>
      <c r="D583" s="48" t="str">
        <f aca="false">科目对照回款!$B13&amp;""</f>
        <v>银联</v>
      </c>
      <c r="E583" s="48" t="str">
        <f aca="false">科目对照回款!$C13&amp;""</f>
        <v>应收账款</v>
      </c>
      <c r="F583" s="48" t="str">
        <f aca="false">科目对照回款!$D13&amp;""</f>
        <v>银联</v>
      </c>
      <c r="G583" s="49" t="n">
        <f aca="false">-ROUND(IF(科目对照回款!$F$13="",0,SUMIFS(输入回款!$C:$C,输入回款!$A:$A,助手回款!$X40,输入回款!$B:$B,科目对照回款!$F$13)+SUMIFS(输入回款!$D:$D,输入回款!$A:$A,助手回款!$X40,输入回款!$B:$B,科目对照回款!$F$13))+IF(科目对照回款!$G$13="",0,SUMIFS(输入回款!$C:$C,输入回款!$A:$A,助手回款!$X40,输入回款!$B:$B,科目对照回款!$G$13)+SUMIFS(输入回款!$D:$D,输入回款!$A:$A,助手回款!$X40,输入回款!$B:$B,科目对照回款!$G$13))+IF(科目对照回款!$H$13="",0,SUMIFS(输入回款!$C:$C,输入回款!$A:$A,助手回款!$X40,输入回款!$B:$B,科目对照回款!$H$13)+SUMIFS(输入回款!$D:$D,输入回款!$A:$A,助手回款!$X40,输入回款!$B:$B,科目对照回款!$H$13)),2)</f>
        <v>-0</v>
      </c>
      <c r="H583" s="49" t="str">
        <f aca="false">IF(ROUND($G583,2)&gt;0,ROUND($G583,2),"")</f>
        <v/>
      </c>
      <c r="I583" s="49" t="str">
        <f aca="false">IF(ROUND($G583,2)&lt;0,-ROUND($G583,2),"")</f>
        <v/>
      </c>
      <c r="J583" s="20" t="n">
        <f aca="false">IF(ROUND($G583,2)=0,0,1)</f>
        <v>0</v>
      </c>
      <c r="K583" s="20" t="str">
        <f aca="false">IF($J583=0,"",SUM($J$572:$J583))</f>
        <v/>
      </c>
      <c r="L583" s="20" t="str">
        <f aca="false">IF($K583="","",$A583*100+$K583)</f>
        <v/>
      </c>
      <c r="M583" s="48" t="str">
        <f aca="false">参数!$B$4</f>
        <v>回款</v>
      </c>
    </row>
    <row r="584" customFormat="false" ht="13.5" hidden="false" customHeight="false" outlineLevel="0" collapsed="false">
      <c r="A584" s="47" t="n">
        <v>39</v>
      </c>
      <c r="B584" s="38" t="n">
        <f aca="false">助手回款!$B40</f>
        <v>2062</v>
      </c>
      <c r="C584" s="48" t="str">
        <f aca="false">助手回款!$C40</f>
        <v>西范村店</v>
      </c>
      <c r="D584" s="48" t="str">
        <f aca="false">科目对照回款!$B14&amp;""</f>
        <v>代金券</v>
      </c>
      <c r="E584" s="48" t="str">
        <f aca="false">科目对照回款!$C14&amp;""</f>
        <v>应收账款</v>
      </c>
      <c r="F584" s="48" t="str">
        <f aca="false">科目对照回款!$D14&amp;""</f>
        <v>代金券</v>
      </c>
      <c r="G584" s="49" t="n">
        <f aca="false">-ROUND(IF(科目对照回款!$F$14="",0,SUMIFS(输入回款!$C:$C,输入回款!$A:$A,助手回款!$X40,输入回款!$B:$B,科目对照回款!$F$14)+SUMIFS(输入回款!$D:$D,输入回款!$A:$A,助手回款!$X40,输入回款!$B:$B,科目对照回款!$F$14))+IF(科目对照回款!$G$14="",0,SUMIFS(输入回款!$C:$C,输入回款!$A:$A,助手回款!$X40,输入回款!$B:$B,科目对照回款!$G$14)+SUMIFS(输入回款!$D:$D,输入回款!$A:$A,助手回款!$X40,输入回款!$B:$B,科目对照回款!$G$14))+IF(科目对照回款!$H$14="",0,SUMIFS(输入回款!$C:$C,输入回款!$A:$A,助手回款!$X40,输入回款!$B:$B,科目对照回款!$H$14)+SUMIFS(输入回款!$D:$D,输入回款!$A:$A,助手回款!$X40,输入回款!$B:$B,科目对照回款!$H$14)),2)</f>
        <v>-0</v>
      </c>
      <c r="H584" s="49" t="str">
        <f aca="false">IF(ROUND($G584,2)&gt;0,ROUND($G584,2),"")</f>
        <v/>
      </c>
      <c r="I584" s="49" t="str">
        <f aca="false">IF(ROUND($G584,2)&lt;0,-ROUND($G584,2),"")</f>
        <v/>
      </c>
      <c r="J584" s="20" t="n">
        <f aca="false">IF(ROUND($G584,2)=0,0,1)</f>
        <v>0</v>
      </c>
      <c r="K584" s="20" t="str">
        <f aca="false">IF($J584=0,"",SUM($J$572:$J584))</f>
        <v/>
      </c>
      <c r="L584" s="20" t="str">
        <f aca="false">IF($K584="","",$A584*100+$K584)</f>
        <v/>
      </c>
      <c r="M584" s="48" t="str">
        <f aca="false">参数!$B$4</f>
        <v>回款</v>
      </c>
    </row>
    <row r="585" customFormat="false" ht="13.5" hidden="false" customHeight="false" outlineLevel="0" collapsed="false">
      <c r="A585" s="47" t="n">
        <v>39</v>
      </c>
      <c r="B585" s="38" t="n">
        <f aca="false">助手回款!$B40</f>
        <v>2062</v>
      </c>
      <c r="C585" s="48" t="str">
        <f aca="false">助手回款!$C40</f>
        <v>西范村店</v>
      </c>
      <c r="D585" s="48" t="str">
        <f aca="false">科目对照回款!$B15&amp;""</f>
        <v>药机微信</v>
      </c>
      <c r="E585" s="48" t="str">
        <f aca="false">科目对照回款!$C15&amp;""</f>
        <v>应收账款</v>
      </c>
      <c r="F585" s="48" t="str">
        <f aca="false">科目对照回款!$D15&amp;""</f>
        <v>药机微信</v>
      </c>
      <c r="G585" s="49" t="n">
        <f aca="false">-ROUND(IF(科目对照回款!$F$15="",0,SUMIFS(输入回款!$C:$C,输入回款!$A:$A,助手回款!$X40,输入回款!$B:$B,科目对照回款!$F$15)+SUMIFS(输入回款!$D:$D,输入回款!$A:$A,助手回款!$X40,输入回款!$B:$B,科目对照回款!$F$15))+IF(科目对照回款!$G$15="",0,SUMIFS(输入回款!$C:$C,输入回款!$A:$A,助手回款!$X40,输入回款!$B:$B,科目对照回款!$G$15)+SUMIFS(输入回款!$D:$D,输入回款!$A:$A,助手回款!$X40,输入回款!$B:$B,科目对照回款!$G$15))+IF(科目对照回款!$H$15="",0,SUMIFS(输入回款!$C:$C,输入回款!$A:$A,助手回款!$X40,输入回款!$B:$B,科目对照回款!$H$15)+SUMIFS(输入回款!$D:$D,输入回款!$A:$A,助手回款!$X40,输入回款!$B:$B,科目对照回款!$H$15)),2)</f>
        <v>-0</v>
      </c>
      <c r="H585" s="49" t="str">
        <f aca="false">IF(ROUND($G585,2)&gt;0,ROUND($G585,2),"")</f>
        <v/>
      </c>
      <c r="I585" s="49" t="str">
        <f aca="false">IF(ROUND($G585,2)&lt;0,-ROUND($G585,2),"")</f>
        <v/>
      </c>
      <c r="J585" s="20" t="n">
        <f aca="false">IF(ROUND($G585,2)=0,0,1)</f>
        <v>0</v>
      </c>
      <c r="K585" s="20" t="str">
        <f aca="false">IF($J585=0,"",SUM($J$572:$J585))</f>
        <v/>
      </c>
      <c r="L585" s="20" t="str">
        <f aca="false">IF($K585="","",$A585*100+$K585)</f>
        <v/>
      </c>
      <c r="M585" s="48" t="str">
        <f aca="false">参数!$B$4</f>
        <v>回款</v>
      </c>
    </row>
    <row r="586" customFormat="false" ht="13.5" hidden="false" customHeight="false" outlineLevel="0" collapsed="false">
      <c r="A586" s="47" t="n">
        <v>39</v>
      </c>
      <c r="B586" s="38" t="n">
        <f aca="false">助手回款!$B40</f>
        <v>2062</v>
      </c>
      <c r="C586" s="48" t="str">
        <f aca="false">助手回款!$C40</f>
        <v>西范村店</v>
      </c>
      <c r="D586" s="48" t="str">
        <f aca="false">科目对照回款!$B16&amp;""</f>
        <v>储值卡</v>
      </c>
      <c r="E586" s="48" t="str">
        <f aca="false">科目对照回款!$C16&amp;""</f>
        <v>其他应收款</v>
      </c>
      <c r="F586" s="48" t="str">
        <f aca="false">科目对照回款!$D16&amp;""</f>
        <v>储值卡</v>
      </c>
      <c r="G586" s="49" t="n">
        <f aca="false">-ROUND(IF(科目对照回款!$F$16="",0,SUMIFS(输入回款!$C:$C,输入回款!$A:$A,助手回款!$X40,输入回款!$B:$B,科目对照回款!$F$16)+SUMIFS(输入回款!$D:$D,输入回款!$A:$A,助手回款!$X40,输入回款!$B:$B,科目对照回款!$F$16))+IF(科目对照回款!$G$16="",0,SUMIFS(输入回款!$C:$C,输入回款!$A:$A,助手回款!$X40,输入回款!$B:$B,科目对照回款!$G$16)+SUMIFS(输入回款!$D:$D,输入回款!$A:$A,助手回款!$X40,输入回款!$B:$B,科目对照回款!$G$16))+IF(科目对照回款!$H$16="",0,SUMIFS(输入回款!$C:$C,输入回款!$A:$A,助手回款!$X40,输入回款!$B:$B,科目对照回款!$H$16)+SUMIFS(输入回款!$D:$D,输入回款!$A:$A,助手回款!$X40,输入回款!$B:$B,科目对照回款!$H$16)),2)</f>
        <v>-0</v>
      </c>
      <c r="H586" s="49" t="str">
        <f aca="false">IF(ROUND($G586,2)&gt;0,ROUND($G586,2),"")</f>
        <v/>
      </c>
      <c r="I586" s="49" t="str">
        <f aca="false">IF(ROUND($G586,2)&lt;0,-ROUND($G586,2),"")</f>
        <v/>
      </c>
      <c r="J586" s="20" t="n">
        <f aca="false">IF(ROUND($G586,2)=0,0,1)</f>
        <v>0</v>
      </c>
      <c r="K586" s="20" t="str">
        <f aca="false">IF($J586=0,"",SUM($J$572:$J586))</f>
        <v/>
      </c>
      <c r="L586" s="20" t="str">
        <f aca="false">IF($K586="","",$A586*100+$K586)</f>
        <v/>
      </c>
      <c r="M586" s="48" t="str">
        <f aca="false">参数!$B$4</f>
        <v>回款</v>
      </c>
    </row>
    <row r="587" customFormat="false" ht="13.5" hidden="false" customHeight="false" outlineLevel="0" collapsed="false">
      <c r="A587" s="47" t="n">
        <v>40</v>
      </c>
      <c r="B587" s="38" t="n">
        <f aca="false">助手回款!$B41</f>
        <v>2063</v>
      </c>
      <c r="C587" s="48" t="str">
        <f aca="false">助手回款!$C41</f>
        <v>博医店</v>
      </c>
      <c r="D587" s="48" t="str">
        <f aca="false">科目对照回款!$B2&amp;""</f>
        <v>库存现金</v>
      </c>
      <c r="E587" s="48" t="str">
        <f aca="false">科目对照回款!$C2&amp;""</f>
        <v>库存现金</v>
      </c>
      <c r="F587" s="48" t="str">
        <f aca="false">科目对照回款!$D2&amp;""</f>
        <v/>
      </c>
      <c r="G587" s="49" t="n">
        <f aca="false">助手回款!$E41</f>
        <v>156570.16</v>
      </c>
      <c r="H587" s="49" t="n">
        <f aca="false">IF(ROUND($G587,2)&gt;0,ROUND($G587,2),"")</f>
        <v>156570.16</v>
      </c>
      <c r="I587" s="49" t="str">
        <f aca="false">IF(ROUND($G587,2)&lt;0,-ROUND($G587,2),"")</f>
        <v/>
      </c>
      <c r="J587" s="20" t="n">
        <f aca="false">IF(ROUND($G587,2)=0,0,1)</f>
        <v>1</v>
      </c>
      <c r="K587" s="20" t="n">
        <f aca="false">IF($J587=0,"",SUM($J$587:$J587))</f>
        <v>1</v>
      </c>
      <c r="L587" s="20" t="n">
        <f aca="false">IF($K587="","",$A587*100+$K587)</f>
        <v>4001</v>
      </c>
      <c r="M587" s="48" t="str">
        <f aca="false">参数!$B$4</f>
        <v>回款</v>
      </c>
    </row>
    <row r="588" customFormat="false" ht="13.5" hidden="false" customHeight="false" outlineLevel="0" collapsed="false">
      <c r="A588" s="47" t="n">
        <v>40</v>
      </c>
      <c r="B588" s="38" t="n">
        <f aca="false">助手回款!$B41</f>
        <v>2063</v>
      </c>
      <c r="C588" s="48" t="str">
        <f aca="false">助手回款!$C41</f>
        <v>博医店</v>
      </c>
      <c r="D588" s="48" t="str">
        <f aca="false">科目对照回款!$B3&amp;""</f>
        <v>手续费</v>
      </c>
      <c r="E588" s="48" t="str">
        <f aca="false">科目对照回款!$C3&amp;""</f>
        <v>财务费用</v>
      </c>
      <c r="F588" s="48" t="str">
        <f aca="false">科目对照回款!$D3&amp;""</f>
        <v>手续费</v>
      </c>
      <c r="G588" s="49" t="n">
        <f aca="false">助手回款!$F41</f>
        <v>244.7</v>
      </c>
      <c r="H588" s="49" t="n">
        <f aca="false">IF(ROUND($G588,2)&gt;0,ROUND($G588,2),"")</f>
        <v>244.7</v>
      </c>
      <c r="I588" s="49" t="str">
        <f aca="false">IF(ROUND($G588,2)&lt;0,-ROUND($G588,2),"")</f>
        <v/>
      </c>
      <c r="J588" s="20" t="n">
        <f aca="false">IF(ROUND($G588,2)=0,0,1)</f>
        <v>1</v>
      </c>
      <c r="K588" s="20" t="n">
        <f aca="false">IF($J588=0,"",SUM($J$587:$J588))</f>
        <v>2</v>
      </c>
      <c r="L588" s="20" t="n">
        <f aca="false">IF($K588="","",$A588*100+$K588)</f>
        <v>4002</v>
      </c>
      <c r="M588" s="48" t="str">
        <f aca="false">参数!$B$4</f>
        <v>回款</v>
      </c>
    </row>
    <row r="589" customFormat="false" ht="13.5" hidden="false" customHeight="false" outlineLevel="0" collapsed="false">
      <c r="A589" s="47" t="n">
        <v>40</v>
      </c>
      <c r="B589" s="38" t="n">
        <f aca="false">助手回款!$B41</f>
        <v>2063</v>
      </c>
      <c r="C589" s="48" t="str">
        <f aca="false">助手回款!$C41</f>
        <v>博医店</v>
      </c>
      <c r="D589" s="48" t="str">
        <f aca="false">科目对照回款!$B4&amp;""</f>
        <v>聚合支付</v>
      </c>
      <c r="E589" s="48" t="str">
        <f aca="false">科目对照回款!$C4&amp;""</f>
        <v>应收账款</v>
      </c>
      <c r="F589" s="48" t="str">
        <f aca="false">科目对照回款!$D4&amp;""</f>
        <v>聚合支付</v>
      </c>
      <c r="G589" s="49" t="n">
        <f aca="false">-ROUND(IF(科目对照回款!$F$4="",0,SUMIFS(输入回款!$C:$C,输入回款!$A:$A,助手回款!$X41,输入回款!$B:$B,科目对照回款!$F$4)+SUMIFS(输入回款!$D:$D,输入回款!$A:$A,助手回款!$X41,输入回款!$B:$B,科目对照回款!$F$4))+IF(科目对照回款!$G$4="",0,SUMIFS(输入回款!$C:$C,输入回款!$A:$A,助手回款!$X41,输入回款!$B:$B,科目对照回款!$G$4)+SUMIFS(输入回款!$D:$D,输入回款!$A:$A,助手回款!$X41,输入回款!$B:$B,科目对照回款!$G$4))+IF(科目对照回款!$H$4="",0,SUMIFS(输入回款!$C:$C,输入回款!$A:$A,助手回款!$X41,输入回款!$B:$B,科目对照回款!$H$4)+SUMIFS(输入回款!$D:$D,输入回款!$A:$A,助手回款!$X41,输入回款!$B:$B,科目对照回款!$H$4)),2)</f>
        <v>-12424.88</v>
      </c>
      <c r="H589" s="49" t="str">
        <f aca="false">IF(ROUND($G589,2)&gt;0,ROUND($G589,2),"")</f>
        <v/>
      </c>
      <c r="I589" s="49" t="n">
        <f aca="false">IF(ROUND($G589,2)&lt;0,-ROUND($G589,2),"")</f>
        <v>12424.88</v>
      </c>
      <c r="J589" s="20" t="n">
        <f aca="false">IF(ROUND($G589,2)=0,0,1)</f>
        <v>1</v>
      </c>
      <c r="K589" s="20" t="n">
        <f aca="false">IF($J589=0,"",SUM($J$587:$J589))</f>
        <v>3</v>
      </c>
      <c r="L589" s="20" t="n">
        <f aca="false">IF($K589="","",$A589*100+$K589)</f>
        <v>4003</v>
      </c>
      <c r="M589" s="48" t="str">
        <f aca="false">参数!$B$4</f>
        <v>回款</v>
      </c>
    </row>
    <row r="590" customFormat="false" ht="13.5" hidden="false" customHeight="false" outlineLevel="0" collapsed="false">
      <c r="A590" s="47" t="n">
        <v>40</v>
      </c>
      <c r="B590" s="38" t="n">
        <f aca="false">助手回款!$B41</f>
        <v>2063</v>
      </c>
      <c r="C590" s="48" t="str">
        <f aca="false">助手回款!$C41</f>
        <v>博医店</v>
      </c>
      <c r="D590" s="48" t="str">
        <f aca="false">科目对照回款!$B5&amp;""</f>
        <v>医保</v>
      </c>
      <c r="E590" s="48" t="str">
        <f aca="false">科目对照回款!$C5&amp;""</f>
        <v>应收账款</v>
      </c>
      <c r="F590" s="48" t="str">
        <f aca="false">科目对照回款!$D5&amp;""</f>
        <v>医保</v>
      </c>
      <c r="G590" s="49" t="n">
        <f aca="false">-ROUND(IF(科目对照回款!$F$5="",0,SUMIFS(输入回款!$C:$C,输入回款!$A:$A,助手回款!$X41,输入回款!$B:$B,科目对照回款!$F$5)+SUMIFS(输入回款!$D:$D,输入回款!$A:$A,助手回款!$X41,输入回款!$B:$B,科目对照回款!$F$5))+IF(科目对照回款!$G$5="",0,SUMIFS(输入回款!$C:$C,输入回款!$A:$A,助手回款!$X41,输入回款!$B:$B,科目对照回款!$G$5)+SUMIFS(输入回款!$D:$D,输入回款!$A:$A,助手回款!$X41,输入回款!$B:$B,科目对照回款!$G$5))+IF(科目对照回款!$H$5="",0,SUMIFS(输入回款!$C:$C,输入回款!$A:$A,助手回款!$X41,输入回款!$B:$B,科目对照回款!$H$5)+SUMIFS(输入回款!$D:$D,输入回款!$A:$A,助手回款!$X41,输入回款!$B:$B,科目对照回款!$H$5)),2)</f>
        <v>-30363.77</v>
      </c>
      <c r="H590" s="49" t="str">
        <f aca="false">IF(ROUND($G590,2)&gt;0,ROUND($G590,2),"")</f>
        <v/>
      </c>
      <c r="I590" s="49" t="n">
        <f aca="false">IF(ROUND($G590,2)&lt;0,-ROUND($G590,2),"")</f>
        <v>30363.77</v>
      </c>
      <c r="J590" s="20" t="n">
        <f aca="false">IF(ROUND($G590,2)=0,0,1)</f>
        <v>1</v>
      </c>
      <c r="K590" s="20" t="n">
        <f aca="false">IF($J590=0,"",SUM($J$587:$J590))</f>
        <v>4</v>
      </c>
      <c r="L590" s="20" t="n">
        <f aca="false">IF($K590="","",$A590*100+$K590)</f>
        <v>4004</v>
      </c>
      <c r="M590" s="48" t="str">
        <f aca="false">参数!$B$4</f>
        <v>回款</v>
      </c>
    </row>
    <row r="591" customFormat="false" ht="13.5" hidden="false" customHeight="false" outlineLevel="0" collapsed="false">
      <c r="A591" s="47" t="n">
        <v>40</v>
      </c>
      <c r="B591" s="38" t="n">
        <f aca="false">助手回款!$B41</f>
        <v>2063</v>
      </c>
      <c r="C591" s="48" t="str">
        <f aca="false">助手回款!$C41</f>
        <v>博医店</v>
      </c>
      <c r="D591" s="48" t="str">
        <f aca="false">科目对照回款!$B6&amp;""</f>
        <v>美团</v>
      </c>
      <c r="E591" s="48" t="str">
        <f aca="false">科目对照回款!$C6&amp;""</f>
        <v>应收账款</v>
      </c>
      <c r="F591" s="48" t="str">
        <f aca="false">科目对照回款!$D6&amp;""</f>
        <v>美团</v>
      </c>
      <c r="G591" s="49" t="n">
        <f aca="false">-ROUND(IF(科目对照回款!$F$6="",0,SUMIFS(输入回款!$C:$C,输入回款!$A:$A,助手回款!$X41,输入回款!$B:$B,科目对照回款!$F$6)+SUMIFS(输入回款!$D:$D,输入回款!$A:$A,助手回款!$X41,输入回款!$B:$B,科目对照回款!$F$6))+IF(科目对照回款!$G$6="",0,SUMIFS(输入回款!$C:$C,输入回款!$A:$A,助手回款!$X41,输入回款!$B:$B,科目对照回款!$G$6)+SUMIFS(输入回款!$D:$D,输入回款!$A:$A,助手回款!$X41,输入回款!$B:$B,科目对照回款!$G$6))+IF(科目对照回款!$H$6="",0,SUMIFS(输入回款!$C:$C,输入回款!$A:$A,助手回款!$X41,输入回款!$B:$B,科目对照回款!$H$6)+SUMIFS(输入回款!$D:$D,输入回款!$A:$A,助手回款!$X41,输入回款!$B:$B,科目对照回款!$H$6)),2)</f>
        <v>-0</v>
      </c>
      <c r="H591" s="49" t="str">
        <f aca="false">IF(ROUND($G591,2)&gt;0,ROUND($G591,2),"")</f>
        <v/>
      </c>
      <c r="I591" s="49" t="str">
        <f aca="false">IF(ROUND($G591,2)&lt;0,-ROUND($G591,2),"")</f>
        <v/>
      </c>
      <c r="J591" s="20" t="n">
        <f aca="false">IF(ROUND($G591,2)=0,0,1)</f>
        <v>0</v>
      </c>
      <c r="K591" s="20" t="str">
        <f aca="false">IF($J591=0,"",SUM($J$587:$J591))</f>
        <v/>
      </c>
      <c r="L591" s="20" t="str">
        <f aca="false">IF($K591="","",$A591*100+$K591)</f>
        <v/>
      </c>
      <c r="M591" s="48" t="str">
        <f aca="false">参数!$B$4</f>
        <v>回款</v>
      </c>
    </row>
    <row r="592" customFormat="false" ht="13.5" hidden="false" customHeight="false" outlineLevel="0" collapsed="false">
      <c r="A592" s="47" t="n">
        <v>40</v>
      </c>
      <c r="B592" s="38" t="n">
        <f aca="false">助手回款!$B41</f>
        <v>2063</v>
      </c>
      <c r="C592" s="48" t="str">
        <f aca="false">助手回款!$C41</f>
        <v>博医店</v>
      </c>
      <c r="D592" s="48" t="str">
        <f aca="false">科目对照回款!$B7&amp;""</f>
        <v>饿了么</v>
      </c>
      <c r="E592" s="48" t="str">
        <f aca="false">科目对照回款!$C7&amp;""</f>
        <v>应收账款</v>
      </c>
      <c r="F592" s="48" t="str">
        <f aca="false">科目对照回款!$D7&amp;""</f>
        <v>饿了么</v>
      </c>
      <c r="G592" s="49" t="n">
        <f aca="false">-ROUND(IF(科目对照回款!$F$7="",0,SUMIFS(输入回款!$C:$C,输入回款!$A:$A,助手回款!$X41,输入回款!$B:$B,科目对照回款!$F$7)+SUMIFS(输入回款!$D:$D,输入回款!$A:$A,助手回款!$X41,输入回款!$B:$B,科目对照回款!$F$7))+IF(科目对照回款!$G$7="",0,SUMIFS(输入回款!$C:$C,输入回款!$A:$A,助手回款!$X41,输入回款!$B:$B,科目对照回款!$G$7)+SUMIFS(输入回款!$D:$D,输入回款!$A:$A,助手回款!$X41,输入回款!$B:$B,科目对照回款!$G$7))+IF(科目对照回款!$H$7="",0,SUMIFS(输入回款!$C:$C,输入回款!$A:$A,助手回款!$X41,输入回款!$B:$B,科目对照回款!$H$7)+SUMIFS(输入回款!$D:$D,输入回款!$A:$A,助手回款!$X41,输入回款!$B:$B,科目对照回款!$H$7)),2)</f>
        <v>-0</v>
      </c>
      <c r="H592" s="49" t="str">
        <f aca="false">IF(ROUND($G592,2)&gt;0,ROUND($G592,2),"")</f>
        <v/>
      </c>
      <c r="I592" s="49" t="str">
        <f aca="false">IF(ROUND($G592,2)&lt;0,-ROUND($G592,2),"")</f>
        <v/>
      </c>
      <c r="J592" s="20" t="n">
        <f aca="false">IF(ROUND($G592,2)=0,0,1)</f>
        <v>0</v>
      </c>
      <c r="K592" s="20" t="str">
        <f aca="false">IF($J592=0,"",SUM($J$587:$J592))</f>
        <v/>
      </c>
      <c r="L592" s="20" t="str">
        <f aca="false">IF($K592="","",$A592*100+$K592)</f>
        <v/>
      </c>
      <c r="M592" s="48" t="str">
        <f aca="false">参数!$B$4</f>
        <v>回款</v>
      </c>
    </row>
    <row r="593" customFormat="false" ht="13.5" hidden="false" customHeight="false" outlineLevel="0" collapsed="false">
      <c r="A593" s="47" t="n">
        <v>40</v>
      </c>
      <c r="B593" s="38" t="n">
        <f aca="false">助手回款!$B41</f>
        <v>2063</v>
      </c>
      <c r="C593" s="48" t="str">
        <f aca="false">助手回款!$C41</f>
        <v>博医店</v>
      </c>
      <c r="D593" s="48" t="str">
        <f aca="false">科目对照回款!$B8&amp;""</f>
        <v>24小时</v>
      </c>
      <c r="E593" s="48" t="str">
        <f aca="false">科目对照回款!$C8&amp;""</f>
        <v>应收账款</v>
      </c>
      <c r="F593" s="48" t="str">
        <f aca="false">科目对照回款!$D8&amp;""</f>
        <v>24小时</v>
      </c>
      <c r="G593" s="49" t="n">
        <f aca="false">-ROUND(IF(科目对照回款!$F$8="",0,SUMIFS(输入回款!$C:$C,输入回款!$A:$A,助手回款!$X41,输入回款!$B:$B,科目对照回款!$F$8)+SUMIFS(输入回款!$D:$D,输入回款!$A:$A,助手回款!$X41,输入回款!$B:$B,科目对照回款!$F$8))+IF(科目对照回款!$G$8="",0,SUMIFS(输入回款!$C:$C,输入回款!$A:$A,助手回款!$X41,输入回款!$B:$B,科目对照回款!$G$8)+SUMIFS(输入回款!$D:$D,输入回款!$A:$A,助手回款!$X41,输入回款!$B:$B,科目对照回款!$G$8))+IF(科目对照回款!$H$8="",0,SUMIFS(输入回款!$C:$C,输入回款!$A:$A,助手回款!$X41,输入回款!$B:$B,科目对照回款!$H$8)+SUMIFS(输入回款!$D:$D,输入回款!$A:$A,助手回款!$X41,输入回款!$B:$B,科目对照回款!$H$8)),2)</f>
        <v>-2923.6</v>
      </c>
      <c r="H593" s="49" t="str">
        <f aca="false">IF(ROUND($G593,2)&gt;0,ROUND($G593,2),"")</f>
        <v/>
      </c>
      <c r="I593" s="49" t="n">
        <f aca="false">IF(ROUND($G593,2)&lt;0,-ROUND($G593,2),"")</f>
        <v>2923.6</v>
      </c>
      <c r="J593" s="20" t="n">
        <f aca="false">IF(ROUND($G593,2)=0,0,1)</f>
        <v>1</v>
      </c>
      <c r="K593" s="20" t="n">
        <f aca="false">IF($J593=0,"",SUM($J$587:$J593))</f>
        <v>5</v>
      </c>
      <c r="L593" s="20" t="n">
        <f aca="false">IF($K593="","",$A593*100+$K593)</f>
        <v>4005</v>
      </c>
      <c r="M593" s="48" t="str">
        <f aca="false">参数!$B$4</f>
        <v>回款</v>
      </c>
    </row>
    <row r="594" customFormat="false" ht="13.5" hidden="false" customHeight="false" outlineLevel="0" collapsed="false">
      <c r="A594" s="47" t="n">
        <v>40</v>
      </c>
      <c r="B594" s="38" t="n">
        <f aca="false">助手回款!$B41</f>
        <v>2063</v>
      </c>
      <c r="C594" s="48" t="str">
        <f aca="false">助手回款!$C41</f>
        <v>博医店</v>
      </c>
      <c r="D594" s="48" t="str">
        <f aca="false">科目对照回款!$B9&amp;""</f>
        <v>健E卡</v>
      </c>
      <c r="E594" s="48" t="str">
        <f aca="false">科目对照回款!$C9&amp;""</f>
        <v>应收账款</v>
      </c>
      <c r="F594" s="48" t="str">
        <f aca="false">科目对照回款!$D9&amp;""</f>
        <v>健E卡</v>
      </c>
      <c r="G594" s="49" t="n">
        <f aca="false">-ROUND(IF(科目对照回款!$F$9="",0,SUMIFS(输入回款!$C:$C,输入回款!$A:$A,助手回款!$X41,输入回款!$B:$B,科目对照回款!$F$9)+SUMIFS(输入回款!$D:$D,输入回款!$A:$A,助手回款!$X41,输入回款!$B:$B,科目对照回款!$F$9))+IF(科目对照回款!$G$9="",0,SUMIFS(输入回款!$C:$C,输入回款!$A:$A,助手回款!$X41,输入回款!$B:$B,科目对照回款!$G$9)+SUMIFS(输入回款!$D:$D,输入回款!$A:$A,助手回款!$X41,输入回款!$B:$B,科目对照回款!$G$9))+IF(科目对照回款!$H$9="",0,SUMIFS(输入回款!$C:$C,输入回款!$A:$A,助手回款!$X41,输入回款!$B:$B,科目对照回款!$H$9)+SUMIFS(输入回款!$D:$D,输入回款!$A:$A,助手回款!$X41,输入回款!$B:$B,科目对照回款!$H$9)),2)</f>
        <v>-111102.61</v>
      </c>
      <c r="H594" s="49" t="str">
        <f aca="false">IF(ROUND($G594,2)&gt;0,ROUND($G594,2),"")</f>
        <v/>
      </c>
      <c r="I594" s="49" t="n">
        <f aca="false">IF(ROUND($G594,2)&lt;0,-ROUND($G594,2),"")</f>
        <v>111102.61</v>
      </c>
      <c r="J594" s="20" t="n">
        <f aca="false">IF(ROUND($G594,2)=0,0,1)</f>
        <v>1</v>
      </c>
      <c r="K594" s="20" t="n">
        <f aca="false">IF($J594=0,"",SUM($J$587:$J594))</f>
        <v>6</v>
      </c>
      <c r="L594" s="20" t="n">
        <f aca="false">IF($K594="","",$A594*100+$K594)</f>
        <v>4006</v>
      </c>
      <c r="M594" s="48" t="str">
        <f aca="false">参数!$B$4</f>
        <v>回款</v>
      </c>
    </row>
    <row r="595" customFormat="false" ht="13.5" hidden="false" customHeight="false" outlineLevel="0" collapsed="false">
      <c r="A595" s="47" t="n">
        <v>40</v>
      </c>
      <c r="B595" s="38" t="n">
        <f aca="false">助手回款!$B41</f>
        <v>2063</v>
      </c>
      <c r="C595" s="48" t="str">
        <f aca="false">助手回款!$C41</f>
        <v>博医店</v>
      </c>
      <c r="D595" s="48" t="str">
        <f aca="false">科目对照回款!$B10&amp;""</f>
        <v>医卡通</v>
      </c>
      <c r="E595" s="48" t="str">
        <f aca="false">科目对照回款!$C10&amp;""</f>
        <v>应收账款</v>
      </c>
      <c r="F595" s="48" t="str">
        <f aca="false">科目对照回款!$D10&amp;""</f>
        <v>医卡通</v>
      </c>
      <c r="G595" s="49" t="n">
        <f aca="false">-ROUND(IF(科目对照回款!$F$10="",0,SUMIFS(输入回款!$C:$C,输入回款!$A:$A,助手回款!$X41,输入回款!$B:$B,科目对照回款!$F$10)+SUMIFS(输入回款!$D:$D,输入回款!$A:$A,助手回款!$X41,输入回款!$B:$B,科目对照回款!$F$10))+IF(科目对照回款!$G$10="",0,SUMIFS(输入回款!$C:$C,输入回款!$A:$A,助手回款!$X41,输入回款!$B:$B,科目对照回款!$G$10)+SUMIFS(输入回款!$D:$D,输入回款!$A:$A,助手回款!$X41,输入回款!$B:$B,科目对照回款!$G$10))+IF(科目对照回款!$H$10="",0,SUMIFS(输入回款!$C:$C,输入回款!$A:$A,助手回款!$X41,输入回款!$B:$B,科目对照回款!$H$10)+SUMIFS(输入回款!$D:$D,输入回款!$A:$A,助手回款!$X41,输入回款!$B:$B,科目对照回款!$H$10)),2)</f>
        <v>-0</v>
      </c>
      <c r="H595" s="49" t="str">
        <f aca="false">IF(ROUND($G595,2)&gt;0,ROUND($G595,2),"")</f>
        <v/>
      </c>
      <c r="I595" s="49" t="str">
        <f aca="false">IF(ROUND($G595,2)&lt;0,-ROUND($G595,2),"")</f>
        <v/>
      </c>
      <c r="J595" s="20" t="n">
        <f aca="false">IF(ROUND($G595,2)=0,0,1)</f>
        <v>0</v>
      </c>
      <c r="K595" s="20" t="str">
        <f aca="false">IF($J595=0,"",SUM($J$587:$J595))</f>
        <v/>
      </c>
      <c r="L595" s="20" t="str">
        <f aca="false">IF($K595="","",$A595*100+$K595)</f>
        <v/>
      </c>
      <c r="M595" s="48" t="str">
        <f aca="false">参数!$B$4</f>
        <v>回款</v>
      </c>
    </row>
    <row r="596" customFormat="false" ht="13.5" hidden="false" customHeight="false" outlineLevel="0" collapsed="false">
      <c r="A596" s="47" t="n">
        <v>40</v>
      </c>
      <c r="B596" s="38" t="n">
        <f aca="false">助手回款!$B41</f>
        <v>2063</v>
      </c>
      <c r="C596" s="48" t="str">
        <f aca="false">助手回款!$C41</f>
        <v>博医店</v>
      </c>
      <c r="D596" s="48" t="str">
        <f aca="false">科目对照回款!$B11&amp;""</f>
        <v>企健网</v>
      </c>
      <c r="E596" s="48" t="str">
        <f aca="false">科目对照回款!$C11&amp;""</f>
        <v>应收账款</v>
      </c>
      <c r="F596" s="48" t="str">
        <f aca="false">科目对照回款!$D11&amp;""</f>
        <v>企健网</v>
      </c>
      <c r="G596" s="49" t="n">
        <f aca="false">-ROUND(IF(科目对照回款!$F$11="",0,SUMIFS(输入回款!$C:$C,输入回款!$A:$A,助手回款!$X41,输入回款!$B:$B,科目对照回款!$F$11)+SUMIFS(输入回款!$D:$D,输入回款!$A:$A,助手回款!$X41,输入回款!$B:$B,科目对照回款!$F$11))+IF(科目对照回款!$G$11="",0,SUMIFS(输入回款!$C:$C,输入回款!$A:$A,助手回款!$X41,输入回款!$B:$B,科目对照回款!$G$11)+SUMIFS(输入回款!$D:$D,输入回款!$A:$A,助手回款!$X41,输入回款!$B:$B,科目对照回款!$G$11))+IF(科目对照回款!$H$11="",0,SUMIFS(输入回款!$C:$C,输入回款!$A:$A,助手回款!$X41,输入回款!$B:$B,科目对照回款!$H$11)+SUMIFS(输入回款!$D:$D,输入回款!$A:$A,助手回款!$X41,输入回款!$B:$B,科目对照回款!$H$11)),2)</f>
        <v>-0</v>
      </c>
      <c r="H596" s="49" t="str">
        <f aca="false">IF(ROUND($G596,2)&gt;0,ROUND($G596,2),"")</f>
        <v/>
      </c>
      <c r="I596" s="49" t="str">
        <f aca="false">IF(ROUND($G596,2)&lt;0,-ROUND($G596,2),"")</f>
        <v/>
      </c>
      <c r="J596" s="20" t="n">
        <f aca="false">IF(ROUND($G596,2)=0,0,1)</f>
        <v>0</v>
      </c>
      <c r="K596" s="20" t="str">
        <f aca="false">IF($J596=0,"",SUM($J$587:$J596))</f>
        <v/>
      </c>
      <c r="L596" s="20" t="str">
        <f aca="false">IF($K596="","",$A596*100+$K596)</f>
        <v/>
      </c>
      <c r="M596" s="48" t="str">
        <f aca="false">参数!$B$4</f>
        <v>回款</v>
      </c>
    </row>
    <row r="597" customFormat="false" ht="13.5" hidden="false" customHeight="false" outlineLevel="0" collapsed="false">
      <c r="A597" s="47" t="n">
        <v>40</v>
      </c>
      <c r="B597" s="38" t="n">
        <f aca="false">助手回款!$B41</f>
        <v>2063</v>
      </c>
      <c r="C597" s="48" t="str">
        <f aca="false">助手回款!$C41</f>
        <v>博医店</v>
      </c>
      <c r="D597" s="48" t="str">
        <f aca="false">科目对照回款!$B12&amp;""</f>
        <v>亲情卡</v>
      </c>
      <c r="E597" s="48" t="str">
        <f aca="false">科目对照回款!$C12&amp;""</f>
        <v>应收账款</v>
      </c>
      <c r="F597" s="48" t="str">
        <f aca="false">科目对照回款!$D12&amp;""</f>
        <v>亲情卡</v>
      </c>
      <c r="G597" s="49" t="n">
        <f aca="false">-ROUND(IF(科目对照回款!$F$12="",0,SUMIFS(输入回款!$C:$C,输入回款!$A:$A,助手回款!$X41,输入回款!$B:$B,科目对照回款!$F$12)+SUMIFS(输入回款!$D:$D,输入回款!$A:$A,助手回款!$X41,输入回款!$B:$B,科目对照回款!$F$12))+IF(科目对照回款!$G$12="",0,SUMIFS(输入回款!$C:$C,输入回款!$A:$A,助手回款!$X41,输入回款!$B:$B,科目对照回款!$G$12)+SUMIFS(输入回款!$D:$D,输入回款!$A:$A,助手回款!$X41,输入回款!$B:$B,科目对照回款!$G$12))+IF(科目对照回款!$H$12="",0,SUMIFS(输入回款!$C:$C,输入回款!$A:$A,助手回款!$X41,输入回款!$B:$B,科目对照回款!$H$12)+SUMIFS(输入回款!$D:$D,输入回款!$A:$A,助手回款!$X41,输入回款!$B:$B,科目对照回款!$H$12)),2)</f>
        <v>-0</v>
      </c>
      <c r="H597" s="49" t="str">
        <f aca="false">IF(ROUND($G597,2)&gt;0,ROUND($G597,2),"")</f>
        <v/>
      </c>
      <c r="I597" s="49" t="str">
        <f aca="false">IF(ROUND($G597,2)&lt;0,-ROUND($G597,2),"")</f>
        <v/>
      </c>
      <c r="J597" s="20" t="n">
        <f aca="false">IF(ROUND($G597,2)=0,0,1)</f>
        <v>0</v>
      </c>
      <c r="K597" s="20" t="str">
        <f aca="false">IF($J597=0,"",SUM($J$587:$J597))</f>
        <v/>
      </c>
      <c r="L597" s="20" t="str">
        <f aca="false">IF($K597="","",$A597*100+$K597)</f>
        <v/>
      </c>
      <c r="M597" s="48" t="str">
        <f aca="false">参数!$B$4</f>
        <v>回款</v>
      </c>
    </row>
    <row r="598" customFormat="false" ht="13.5" hidden="false" customHeight="false" outlineLevel="0" collapsed="false">
      <c r="A598" s="47" t="n">
        <v>40</v>
      </c>
      <c r="B598" s="38" t="n">
        <f aca="false">助手回款!$B41</f>
        <v>2063</v>
      </c>
      <c r="C598" s="48" t="str">
        <f aca="false">助手回款!$C41</f>
        <v>博医店</v>
      </c>
      <c r="D598" s="48" t="str">
        <f aca="false">科目对照回款!$B13&amp;""</f>
        <v>银联</v>
      </c>
      <c r="E598" s="48" t="str">
        <f aca="false">科目对照回款!$C13&amp;""</f>
        <v>应收账款</v>
      </c>
      <c r="F598" s="48" t="str">
        <f aca="false">科目对照回款!$D13&amp;""</f>
        <v>银联</v>
      </c>
      <c r="G598" s="49" t="n">
        <f aca="false">-ROUND(IF(科目对照回款!$F$13="",0,SUMIFS(输入回款!$C:$C,输入回款!$A:$A,助手回款!$X41,输入回款!$B:$B,科目对照回款!$F$13)+SUMIFS(输入回款!$D:$D,输入回款!$A:$A,助手回款!$X41,输入回款!$B:$B,科目对照回款!$F$13))+IF(科目对照回款!$G$13="",0,SUMIFS(输入回款!$C:$C,输入回款!$A:$A,助手回款!$X41,输入回款!$B:$B,科目对照回款!$G$13)+SUMIFS(输入回款!$D:$D,输入回款!$A:$A,助手回款!$X41,输入回款!$B:$B,科目对照回款!$G$13))+IF(科目对照回款!$H$13="",0,SUMIFS(输入回款!$C:$C,输入回款!$A:$A,助手回款!$X41,输入回款!$B:$B,科目对照回款!$H$13)+SUMIFS(输入回款!$D:$D,输入回款!$A:$A,助手回款!$X41,输入回款!$B:$B,科目对照回款!$H$13)),2)</f>
        <v>-0</v>
      </c>
      <c r="H598" s="49" t="str">
        <f aca="false">IF(ROUND($G598,2)&gt;0,ROUND($G598,2),"")</f>
        <v/>
      </c>
      <c r="I598" s="49" t="str">
        <f aca="false">IF(ROUND($G598,2)&lt;0,-ROUND($G598,2),"")</f>
        <v/>
      </c>
      <c r="J598" s="20" t="n">
        <f aca="false">IF(ROUND($G598,2)=0,0,1)</f>
        <v>0</v>
      </c>
      <c r="K598" s="20" t="str">
        <f aca="false">IF($J598=0,"",SUM($J$587:$J598))</f>
        <v/>
      </c>
      <c r="L598" s="20" t="str">
        <f aca="false">IF($K598="","",$A598*100+$K598)</f>
        <v/>
      </c>
      <c r="M598" s="48" t="str">
        <f aca="false">参数!$B$4</f>
        <v>回款</v>
      </c>
    </row>
    <row r="599" customFormat="false" ht="13.5" hidden="false" customHeight="false" outlineLevel="0" collapsed="false">
      <c r="A599" s="47" t="n">
        <v>40</v>
      </c>
      <c r="B599" s="38" t="n">
        <f aca="false">助手回款!$B41</f>
        <v>2063</v>
      </c>
      <c r="C599" s="48" t="str">
        <f aca="false">助手回款!$C41</f>
        <v>博医店</v>
      </c>
      <c r="D599" s="48" t="str">
        <f aca="false">科目对照回款!$B14&amp;""</f>
        <v>代金券</v>
      </c>
      <c r="E599" s="48" t="str">
        <f aca="false">科目对照回款!$C14&amp;""</f>
        <v>应收账款</v>
      </c>
      <c r="F599" s="48" t="str">
        <f aca="false">科目对照回款!$D14&amp;""</f>
        <v>代金券</v>
      </c>
      <c r="G599" s="49" t="n">
        <f aca="false">-ROUND(IF(科目对照回款!$F$14="",0,SUMIFS(输入回款!$C:$C,输入回款!$A:$A,助手回款!$X41,输入回款!$B:$B,科目对照回款!$F$14)+SUMIFS(输入回款!$D:$D,输入回款!$A:$A,助手回款!$X41,输入回款!$B:$B,科目对照回款!$F$14))+IF(科目对照回款!$G$14="",0,SUMIFS(输入回款!$C:$C,输入回款!$A:$A,助手回款!$X41,输入回款!$B:$B,科目对照回款!$G$14)+SUMIFS(输入回款!$D:$D,输入回款!$A:$A,助手回款!$X41,输入回款!$B:$B,科目对照回款!$G$14))+IF(科目对照回款!$H$14="",0,SUMIFS(输入回款!$C:$C,输入回款!$A:$A,助手回款!$X41,输入回款!$B:$B,科目对照回款!$H$14)+SUMIFS(输入回款!$D:$D,输入回款!$A:$A,助手回款!$X41,输入回款!$B:$B,科目对照回款!$H$14)),2)</f>
        <v>-0</v>
      </c>
      <c r="H599" s="49" t="str">
        <f aca="false">IF(ROUND($G599,2)&gt;0,ROUND($G599,2),"")</f>
        <v/>
      </c>
      <c r="I599" s="49" t="str">
        <f aca="false">IF(ROUND($G599,2)&lt;0,-ROUND($G599,2),"")</f>
        <v/>
      </c>
      <c r="J599" s="20" t="n">
        <f aca="false">IF(ROUND($G599,2)=0,0,1)</f>
        <v>0</v>
      </c>
      <c r="K599" s="20" t="str">
        <f aca="false">IF($J599=0,"",SUM($J$587:$J599))</f>
        <v/>
      </c>
      <c r="L599" s="20" t="str">
        <f aca="false">IF($K599="","",$A599*100+$K599)</f>
        <v/>
      </c>
      <c r="M599" s="48" t="str">
        <f aca="false">参数!$B$4</f>
        <v>回款</v>
      </c>
    </row>
    <row r="600" customFormat="false" ht="13.5" hidden="false" customHeight="false" outlineLevel="0" collapsed="false">
      <c r="A600" s="47" t="n">
        <v>40</v>
      </c>
      <c r="B600" s="38" t="n">
        <f aca="false">助手回款!$B41</f>
        <v>2063</v>
      </c>
      <c r="C600" s="48" t="str">
        <f aca="false">助手回款!$C41</f>
        <v>博医店</v>
      </c>
      <c r="D600" s="48" t="str">
        <f aca="false">科目对照回款!$B15&amp;""</f>
        <v>药机微信</v>
      </c>
      <c r="E600" s="48" t="str">
        <f aca="false">科目对照回款!$C15&amp;""</f>
        <v>应收账款</v>
      </c>
      <c r="F600" s="48" t="str">
        <f aca="false">科目对照回款!$D15&amp;""</f>
        <v>药机微信</v>
      </c>
      <c r="G600" s="49" t="n">
        <f aca="false">-ROUND(IF(科目对照回款!$F$15="",0,SUMIFS(输入回款!$C:$C,输入回款!$A:$A,助手回款!$X41,输入回款!$B:$B,科目对照回款!$F$15)+SUMIFS(输入回款!$D:$D,输入回款!$A:$A,助手回款!$X41,输入回款!$B:$B,科目对照回款!$F$15))+IF(科目对照回款!$G$15="",0,SUMIFS(输入回款!$C:$C,输入回款!$A:$A,助手回款!$X41,输入回款!$B:$B,科目对照回款!$G$15)+SUMIFS(输入回款!$D:$D,输入回款!$A:$A,助手回款!$X41,输入回款!$B:$B,科目对照回款!$G$15))+IF(科目对照回款!$H$15="",0,SUMIFS(输入回款!$C:$C,输入回款!$A:$A,助手回款!$X41,输入回款!$B:$B,科目对照回款!$H$15)+SUMIFS(输入回款!$D:$D,输入回款!$A:$A,助手回款!$X41,输入回款!$B:$B,科目对照回款!$H$15)),2)</f>
        <v>-0</v>
      </c>
      <c r="H600" s="49" t="str">
        <f aca="false">IF(ROUND($G600,2)&gt;0,ROUND($G600,2),"")</f>
        <v/>
      </c>
      <c r="I600" s="49" t="str">
        <f aca="false">IF(ROUND($G600,2)&lt;0,-ROUND($G600,2),"")</f>
        <v/>
      </c>
      <c r="J600" s="20" t="n">
        <f aca="false">IF(ROUND($G600,2)=0,0,1)</f>
        <v>0</v>
      </c>
      <c r="K600" s="20" t="str">
        <f aca="false">IF($J600=0,"",SUM($J$587:$J600))</f>
        <v/>
      </c>
      <c r="L600" s="20" t="str">
        <f aca="false">IF($K600="","",$A600*100+$K600)</f>
        <v/>
      </c>
      <c r="M600" s="48" t="str">
        <f aca="false">参数!$B$4</f>
        <v>回款</v>
      </c>
    </row>
    <row r="601" customFormat="false" ht="13.5" hidden="false" customHeight="false" outlineLevel="0" collapsed="false">
      <c r="A601" s="47" t="n">
        <v>40</v>
      </c>
      <c r="B601" s="38" t="n">
        <f aca="false">助手回款!$B41</f>
        <v>2063</v>
      </c>
      <c r="C601" s="48" t="str">
        <f aca="false">助手回款!$C41</f>
        <v>博医店</v>
      </c>
      <c r="D601" s="48" t="str">
        <f aca="false">科目对照回款!$B16&amp;""</f>
        <v>储值卡</v>
      </c>
      <c r="E601" s="48" t="str">
        <f aca="false">科目对照回款!$C16&amp;""</f>
        <v>其他应收款</v>
      </c>
      <c r="F601" s="48" t="str">
        <f aca="false">科目对照回款!$D16&amp;""</f>
        <v>储值卡</v>
      </c>
      <c r="G601" s="49" t="n">
        <f aca="false">-ROUND(IF(科目对照回款!$F$16="",0,SUMIFS(输入回款!$C:$C,输入回款!$A:$A,助手回款!$X41,输入回款!$B:$B,科目对照回款!$F$16)+SUMIFS(输入回款!$D:$D,输入回款!$A:$A,助手回款!$X41,输入回款!$B:$B,科目对照回款!$F$16))+IF(科目对照回款!$G$16="",0,SUMIFS(输入回款!$C:$C,输入回款!$A:$A,助手回款!$X41,输入回款!$B:$B,科目对照回款!$G$16)+SUMIFS(输入回款!$D:$D,输入回款!$A:$A,助手回款!$X41,输入回款!$B:$B,科目对照回款!$G$16))+IF(科目对照回款!$H$16="",0,SUMIFS(输入回款!$C:$C,输入回款!$A:$A,助手回款!$X41,输入回款!$B:$B,科目对照回款!$H$16)+SUMIFS(输入回款!$D:$D,输入回款!$A:$A,助手回款!$X41,输入回款!$B:$B,科目对照回款!$H$16)),2)</f>
        <v>-0</v>
      </c>
      <c r="H601" s="49" t="str">
        <f aca="false">IF(ROUND($G601,2)&gt;0,ROUND($G601,2),"")</f>
        <v/>
      </c>
      <c r="I601" s="49" t="str">
        <f aca="false">IF(ROUND($G601,2)&lt;0,-ROUND($G601,2),"")</f>
        <v/>
      </c>
      <c r="J601" s="20" t="n">
        <f aca="false">IF(ROUND($G601,2)=0,0,1)</f>
        <v>0</v>
      </c>
      <c r="K601" s="20" t="str">
        <f aca="false">IF($J601=0,"",SUM($J$587:$J601))</f>
        <v/>
      </c>
      <c r="L601" s="20" t="str">
        <f aca="false">IF($K601="","",$A601*100+$K601)</f>
        <v/>
      </c>
      <c r="M601" s="48" t="str">
        <f aca="false">参数!$B$4</f>
        <v>回款</v>
      </c>
    </row>
    <row r="602" customFormat="false" ht="13.5" hidden="false" customHeight="false" outlineLevel="0" collapsed="false">
      <c r="A602" s="47" t="n">
        <v>41</v>
      </c>
      <c r="B602" s="38" t="n">
        <f aca="false">助手回款!$B42</f>
        <v>2064</v>
      </c>
      <c r="C602" s="48" t="str">
        <f aca="false">助手回款!$C42</f>
        <v>旗舰店</v>
      </c>
      <c r="D602" s="48" t="str">
        <f aca="false">科目对照回款!$B2&amp;""</f>
        <v>库存现金</v>
      </c>
      <c r="E602" s="48" t="str">
        <f aca="false">科目对照回款!$C2&amp;""</f>
        <v>库存现金</v>
      </c>
      <c r="F602" s="48" t="str">
        <f aca="false">科目对照回款!$D2&amp;""</f>
        <v/>
      </c>
      <c r="G602" s="49" t="n">
        <f aca="false">助手回款!$E42</f>
        <v>0</v>
      </c>
      <c r="H602" s="49" t="str">
        <f aca="false">IF(ROUND($G602,2)&gt;0,ROUND($G602,2),"")</f>
        <v/>
      </c>
      <c r="I602" s="49" t="str">
        <f aca="false">IF(ROUND($G602,2)&lt;0,-ROUND($G602,2),"")</f>
        <v/>
      </c>
      <c r="J602" s="20" t="n">
        <f aca="false">IF(ROUND($G602,2)=0,0,1)</f>
        <v>0</v>
      </c>
      <c r="K602" s="20" t="str">
        <f aca="false">IF($J602=0,"",SUM($J$602:$J602))</f>
        <v/>
      </c>
      <c r="L602" s="20" t="str">
        <f aca="false">IF($K602="","",$A602*100+$K602)</f>
        <v/>
      </c>
      <c r="M602" s="48" t="str">
        <f aca="false">参数!$B$4</f>
        <v>回款</v>
      </c>
    </row>
    <row r="603" customFormat="false" ht="13.5" hidden="false" customHeight="false" outlineLevel="0" collapsed="false">
      <c r="A603" s="47" t="n">
        <v>41</v>
      </c>
      <c r="B603" s="38" t="n">
        <f aca="false">助手回款!$B42</f>
        <v>2064</v>
      </c>
      <c r="C603" s="48" t="str">
        <f aca="false">助手回款!$C42</f>
        <v>旗舰店</v>
      </c>
      <c r="D603" s="48" t="str">
        <f aca="false">科目对照回款!$B3&amp;""</f>
        <v>手续费</v>
      </c>
      <c r="E603" s="48" t="str">
        <f aca="false">科目对照回款!$C3&amp;""</f>
        <v>财务费用</v>
      </c>
      <c r="F603" s="48" t="str">
        <f aca="false">科目对照回款!$D3&amp;""</f>
        <v>手续费</v>
      </c>
      <c r="G603" s="49" t="n">
        <f aca="false">助手回款!$F42</f>
        <v>0</v>
      </c>
      <c r="H603" s="49" t="str">
        <f aca="false">IF(ROUND($G603,2)&gt;0,ROUND($G603,2),"")</f>
        <v/>
      </c>
      <c r="I603" s="49" t="str">
        <f aca="false">IF(ROUND($G603,2)&lt;0,-ROUND($G603,2),"")</f>
        <v/>
      </c>
      <c r="J603" s="20" t="n">
        <f aca="false">IF(ROUND($G603,2)=0,0,1)</f>
        <v>0</v>
      </c>
      <c r="K603" s="20" t="str">
        <f aca="false">IF($J603=0,"",SUM($J$602:$J603))</f>
        <v/>
      </c>
      <c r="L603" s="20" t="str">
        <f aca="false">IF($K603="","",$A603*100+$K603)</f>
        <v/>
      </c>
      <c r="M603" s="48" t="str">
        <f aca="false">参数!$B$4</f>
        <v>回款</v>
      </c>
    </row>
    <row r="604" customFormat="false" ht="13.5" hidden="false" customHeight="false" outlineLevel="0" collapsed="false">
      <c r="A604" s="47" t="n">
        <v>41</v>
      </c>
      <c r="B604" s="38" t="n">
        <f aca="false">助手回款!$B42</f>
        <v>2064</v>
      </c>
      <c r="C604" s="48" t="str">
        <f aca="false">助手回款!$C42</f>
        <v>旗舰店</v>
      </c>
      <c r="D604" s="48" t="str">
        <f aca="false">科目对照回款!$B4&amp;""</f>
        <v>聚合支付</v>
      </c>
      <c r="E604" s="48" t="str">
        <f aca="false">科目对照回款!$C4&amp;""</f>
        <v>应收账款</v>
      </c>
      <c r="F604" s="48" t="str">
        <f aca="false">科目对照回款!$D4&amp;""</f>
        <v>聚合支付</v>
      </c>
      <c r="G604" s="49" t="n">
        <f aca="false">-ROUND(IF(科目对照回款!$F$4="",0,SUMIFS(输入回款!$C:$C,输入回款!$A:$A,助手回款!$X42,输入回款!$B:$B,科目对照回款!$F$4)+SUMIFS(输入回款!$D:$D,输入回款!$A:$A,助手回款!$X42,输入回款!$B:$B,科目对照回款!$F$4))+IF(科目对照回款!$G$4="",0,SUMIFS(输入回款!$C:$C,输入回款!$A:$A,助手回款!$X42,输入回款!$B:$B,科目对照回款!$G$4)+SUMIFS(输入回款!$D:$D,输入回款!$A:$A,助手回款!$X42,输入回款!$B:$B,科目对照回款!$G$4))+IF(科目对照回款!$H$4="",0,SUMIFS(输入回款!$C:$C,输入回款!$A:$A,助手回款!$X42,输入回款!$B:$B,科目对照回款!$H$4)+SUMIFS(输入回款!$D:$D,输入回款!$A:$A,助手回款!$X42,输入回款!$B:$B,科目对照回款!$H$4)),2)</f>
        <v>-0</v>
      </c>
      <c r="H604" s="49" t="str">
        <f aca="false">IF(ROUND($G604,2)&gt;0,ROUND($G604,2),"")</f>
        <v/>
      </c>
      <c r="I604" s="49" t="str">
        <f aca="false">IF(ROUND($G604,2)&lt;0,-ROUND($G604,2),"")</f>
        <v/>
      </c>
      <c r="J604" s="20" t="n">
        <f aca="false">IF(ROUND($G604,2)=0,0,1)</f>
        <v>0</v>
      </c>
      <c r="K604" s="20" t="str">
        <f aca="false">IF($J604=0,"",SUM($J$602:$J604))</f>
        <v/>
      </c>
      <c r="L604" s="20" t="str">
        <f aca="false">IF($K604="","",$A604*100+$K604)</f>
        <v/>
      </c>
      <c r="M604" s="48" t="str">
        <f aca="false">参数!$B$4</f>
        <v>回款</v>
      </c>
    </row>
    <row r="605" customFormat="false" ht="13.5" hidden="false" customHeight="false" outlineLevel="0" collapsed="false">
      <c r="A605" s="47" t="n">
        <v>41</v>
      </c>
      <c r="B605" s="38" t="n">
        <f aca="false">助手回款!$B42</f>
        <v>2064</v>
      </c>
      <c r="C605" s="48" t="str">
        <f aca="false">助手回款!$C42</f>
        <v>旗舰店</v>
      </c>
      <c r="D605" s="48" t="str">
        <f aca="false">科目对照回款!$B5&amp;""</f>
        <v>医保</v>
      </c>
      <c r="E605" s="48" t="str">
        <f aca="false">科目对照回款!$C5&amp;""</f>
        <v>应收账款</v>
      </c>
      <c r="F605" s="48" t="str">
        <f aca="false">科目对照回款!$D5&amp;""</f>
        <v>医保</v>
      </c>
      <c r="G605" s="49" t="n">
        <f aca="false">-ROUND(IF(科目对照回款!$F$5="",0,SUMIFS(输入回款!$C:$C,输入回款!$A:$A,助手回款!$X42,输入回款!$B:$B,科目对照回款!$F$5)+SUMIFS(输入回款!$D:$D,输入回款!$A:$A,助手回款!$X42,输入回款!$B:$B,科目对照回款!$F$5))+IF(科目对照回款!$G$5="",0,SUMIFS(输入回款!$C:$C,输入回款!$A:$A,助手回款!$X42,输入回款!$B:$B,科目对照回款!$G$5)+SUMIFS(输入回款!$D:$D,输入回款!$A:$A,助手回款!$X42,输入回款!$B:$B,科目对照回款!$G$5))+IF(科目对照回款!$H$5="",0,SUMIFS(输入回款!$C:$C,输入回款!$A:$A,助手回款!$X42,输入回款!$B:$B,科目对照回款!$H$5)+SUMIFS(输入回款!$D:$D,输入回款!$A:$A,助手回款!$X42,输入回款!$B:$B,科目对照回款!$H$5)),2)</f>
        <v>-0</v>
      </c>
      <c r="H605" s="49" t="str">
        <f aca="false">IF(ROUND($G605,2)&gt;0,ROUND($G605,2),"")</f>
        <v/>
      </c>
      <c r="I605" s="49" t="str">
        <f aca="false">IF(ROUND($G605,2)&lt;0,-ROUND($G605,2),"")</f>
        <v/>
      </c>
      <c r="J605" s="20" t="n">
        <f aca="false">IF(ROUND($G605,2)=0,0,1)</f>
        <v>0</v>
      </c>
      <c r="K605" s="20" t="str">
        <f aca="false">IF($J605=0,"",SUM($J$602:$J605))</f>
        <v/>
      </c>
      <c r="L605" s="20" t="str">
        <f aca="false">IF($K605="","",$A605*100+$K605)</f>
        <v/>
      </c>
      <c r="M605" s="48" t="str">
        <f aca="false">参数!$B$4</f>
        <v>回款</v>
      </c>
    </row>
    <row r="606" customFormat="false" ht="13.5" hidden="false" customHeight="false" outlineLevel="0" collapsed="false">
      <c r="A606" s="47" t="n">
        <v>41</v>
      </c>
      <c r="B606" s="38" t="n">
        <f aca="false">助手回款!$B42</f>
        <v>2064</v>
      </c>
      <c r="C606" s="48" t="str">
        <f aca="false">助手回款!$C42</f>
        <v>旗舰店</v>
      </c>
      <c r="D606" s="48" t="str">
        <f aca="false">科目对照回款!$B6&amp;""</f>
        <v>美团</v>
      </c>
      <c r="E606" s="48" t="str">
        <f aca="false">科目对照回款!$C6&amp;""</f>
        <v>应收账款</v>
      </c>
      <c r="F606" s="48" t="str">
        <f aca="false">科目对照回款!$D6&amp;""</f>
        <v>美团</v>
      </c>
      <c r="G606" s="49" t="n">
        <f aca="false">-ROUND(IF(科目对照回款!$F$6="",0,SUMIFS(输入回款!$C:$C,输入回款!$A:$A,助手回款!$X42,输入回款!$B:$B,科目对照回款!$F$6)+SUMIFS(输入回款!$D:$D,输入回款!$A:$A,助手回款!$X42,输入回款!$B:$B,科目对照回款!$F$6))+IF(科目对照回款!$G$6="",0,SUMIFS(输入回款!$C:$C,输入回款!$A:$A,助手回款!$X42,输入回款!$B:$B,科目对照回款!$G$6)+SUMIFS(输入回款!$D:$D,输入回款!$A:$A,助手回款!$X42,输入回款!$B:$B,科目对照回款!$G$6))+IF(科目对照回款!$H$6="",0,SUMIFS(输入回款!$C:$C,输入回款!$A:$A,助手回款!$X42,输入回款!$B:$B,科目对照回款!$H$6)+SUMIFS(输入回款!$D:$D,输入回款!$A:$A,助手回款!$X42,输入回款!$B:$B,科目对照回款!$H$6)),2)</f>
        <v>-0</v>
      </c>
      <c r="H606" s="49" t="str">
        <f aca="false">IF(ROUND($G606,2)&gt;0,ROUND($G606,2),"")</f>
        <v/>
      </c>
      <c r="I606" s="49" t="str">
        <f aca="false">IF(ROUND($G606,2)&lt;0,-ROUND($G606,2),"")</f>
        <v/>
      </c>
      <c r="J606" s="20" t="n">
        <f aca="false">IF(ROUND($G606,2)=0,0,1)</f>
        <v>0</v>
      </c>
      <c r="K606" s="20" t="str">
        <f aca="false">IF($J606=0,"",SUM($J$602:$J606))</f>
        <v/>
      </c>
      <c r="L606" s="20" t="str">
        <f aca="false">IF($K606="","",$A606*100+$K606)</f>
        <v/>
      </c>
      <c r="M606" s="48" t="str">
        <f aca="false">参数!$B$4</f>
        <v>回款</v>
      </c>
    </row>
    <row r="607" customFormat="false" ht="13.5" hidden="false" customHeight="false" outlineLevel="0" collapsed="false">
      <c r="A607" s="47" t="n">
        <v>41</v>
      </c>
      <c r="B607" s="38" t="n">
        <f aca="false">助手回款!$B42</f>
        <v>2064</v>
      </c>
      <c r="C607" s="48" t="str">
        <f aca="false">助手回款!$C42</f>
        <v>旗舰店</v>
      </c>
      <c r="D607" s="48" t="str">
        <f aca="false">科目对照回款!$B7&amp;""</f>
        <v>饿了么</v>
      </c>
      <c r="E607" s="48" t="str">
        <f aca="false">科目对照回款!$C7&amp;""</f>
        <v>应收账款</v>
      </c>
      <c r="F607" s="48" t="str">
        <f aca="false">科目对照回款!$D7&amp;""</f>
        <v>饿了么</v>
      </c>
      <c r="G607" s="49" t="n">
        <f aca="false">-ROUND(IF(科目对照回款!$F$7="",0,SUMIFS(输入回款!$C:$C,输入回款!$A:$A,助手回款!$X42,输入回款!$B:$B,科目对照回款!$F$7)+SUMIFS(输入回款!$D:$D,输入回款!$A:$A,助手回款!$X42,输入回款!$B:$B,科目对照回款!$F$7))+IF(科目对照回款!$G$7="",0,SUMIFS(输入回款!$C:$C,输入回款!$A:$A,助手回款!$X42,输入回款!$B:$B,科目对照回款!$G$7)+SUMIFS(输入回款!$D:$D,输入回款!$A:$A,助手回款!$X42,输入回款!$B:$B,科目对照回款!$G$7))+IF(科目对照回款!$H$7="",0,SUMIFS(输入回款!$C:$C,输入回款!$A:$A,助手回款!$X42,输入回款!$B:$B,科目对照回款!$H$7)+SUMIFS(输入回款!$D:$D,输入回款!$A:$A,助手回款!$X42,输入回款!$B:$B,科目对照回款!$H$7)),2)</f>
        <v>-0</v>
      </c>
      <c r="H607" s="49" t="str">
        <f aca="false">IF(ROUND($G607,2)&gt;0,ROUND($G607,2),"")</f>
        <v/>
      </c>
      <c r="I607" s="49" t="str">
        <f aca="false">IF(ROUND($G607,2)&lt;0,-ROUND($G607,2),"")</f>
        <v/>
      </c>
      <c r="J607" s="20" t="n">
        <f aca="false">IF(ROUND($G607,2)=0,0,1)</f>
        <v>0</v>
      </c>
      <c r="K607" s="20" t="str">
        <f aca="false">IF($J607=0,"",SUM($J$602:$J607))</f>
        <v/>
      </c>
      <c r="L607" s="20" t="str">
        <f aca="false">IF($K607="","",$A607*100+$K607)</f>
        <v/>
      </c>
      <c r="M607" s="48" t="str">
        <f aca="false">参数!$B$4</f>
        <v>回款</v>
      </c>
    </row>
    <row r="608" customFormat="false" ht="13.5" hidden="false" customHeight="false" outlineLevel="0" collapsed="false">
      <c r="A608" s="47" t="n">
        <v>41</v>
      </c>
      <c r="B608" s="38" t="n">
        <f aca="false">助手回款!$B42</f>
        <v>2064</v>
      </c>
      <c r="C608" s="48" t="str">
        <f aca="false">助手回款!$C42</f>
        <v>旗舰店</v>
      </c>
      <c r="D608" s="48" t="str">
        <f aca="false">科目对照回款!$B8&amp;""</f>
        <v>24小时</v>
      </c>
      <c r="E608" s="48" t="str">
        <f aca="false">科目对照回款!$C8&amp;""</f>
        <v>应收账款</v>
      </c>
      <c r="F608" s="48" t="str">
        <f aca="false">科目对照回款!$D8&amp;""</f>
        <v>24小时</v>
      </c>
      <c r="G608" s="49" t="n">
        <f aca="false">-ROUND(IF(科目对照回款!$F$8="",0,SUMIFS(输入回款!$C:$C,输入回款!$A:$A,助手回款!$X42,输入回款!$B:$B,科目对照回款!$F$8)+SUMIFS(输入回款!$D:$D,输入回款!$A:$A,助手回款!$X42,输入回款!$B:$B,科目对照回款!$F$8))+IF(科目对照回款!$G$8="",0,SUMIFS(输入回款!$C:$C,输入回款!$A:$A,助手回款!$X42,输入回款!$B:$B,科目对照回款!$G$8)+SUMIFS(输入回款!$D:$D,输入回款!$A:$A,助手回款!$X42,输入回款!$B:$B,科目对照回款!$G$8))+IF(科目对照回款!$H$8="",0,SUMIFS(输入回款!$C:$C,输入回款!$A:$A,助手回款!$X42,输入回款!$B:$B,科目对照回款!$H$8)+SUMIFS(输入回款!$D:$D,输入回款!$A:$A,助手回款!$X42,输入回款!$B:$B,科目对照回款!$H$8)),2)</f>
        <v>-0</v>
      </c>
      <c r="H608" s="49" t="str">
        <f aca="false">IF(ROUND($G608,2)&gt;0,ROUND($G608,2),"")</f>
        <v/>
      </c>
      <c r="I608" s="49" t="str">
        <f aca="false">IF(ROUND($G608,2)&lt;0,-ROUND($G608,2),"")</f>
        <v/>
      </c>
      <c r="J608" s="20" t="n">
        <f aca="false">IF(ROUND($G608,2)=0,0,1)</f>
        <v>0</v>
      </c>
      <c r="K608" s="20" t="str">
        <f aca="false">IF($J608=0,"",SUM($J$602:$J608))</f>
        <v/>
      </c>
      <c r="L608" s="20" t="str">
        <f aca="false">IF($K608="","",$A608*100+$K608)</f>
        <v/>
      </c>
      <c r="M608" s="48" t="str">
        <f aca="false">参数!$B$4</f>
        <v>回款</v>
      </c>
    </row>
    <row r="609" customFormat="false" ht="13.5" hidden="false" customHeight="false" outlineLevel="0" collapsed="false">
      <c r="A609" s="47" t="n">
        <v>41</v>
      </c>
      <c r="B609" s="38" t="n">
        <f aca="false">助手回款!$B42</f>
        <v>2064</v>
      </c>
      <c r="C609" s="48" t="str">
        <f aca="false">助手回款!$C42</f>
        <v>旗舰店</v>
      </c>
      <c r="D609" s="48" t="str">
        <f aca="false">科目对照回款!$B9&amp;""</f>
        <v>健E卡</v>
      </c>
      <c r="E609" s="48" t="str">
        <f aca="false">科目对照回款!$C9&amp;""</f>
        <v>应收账款</v>
      </c>
      <c r="F609" s="48" t="str">
        <f aca="false">科目对照回款!$D9&amp;""</f>
        <v>健E卡</v>
      </c>
      <c r="G609" s="49" t="n">
        <f aca="false">-ROUND(IF(科目对照回款!$F$9="",0,SUMIFS(输入回款!$C:$C,输入回款!$A:$A,助手回款!$X42,输入回款!$B:$B,科目对照回款!$F$9)+SUMIFS(输入回款!$D:$D,输入回款!$A:$A,助手回款!$X42,输入回款!$B:$B,科目对照回款!$F$9))+IF(科目对照回款!$G$9="",0,SUMIFS(输入回款!$C:$C,输入回款!$A:$A,助手回款!$X42,输入回款!$B:$B,科目对照回款!$G$9)+SUMIFS(输入回款!$D:$D,输入回款!$A:$A,助手回款!$X42,输入回款!$B:$B,科目对照回款!$G$9))+IF(科目对照回款!$H$9="",0,SUMIFS(输入回款!$C:$C,输入回款!$A:$A,助手回款!$X42,输入回款!$B:$B,科目对照回款!$H$9)+SUMIFS(输入回款!$D:$D,输入回款!$A:$A,助手回款!$X42,输入回款!$B:$B,科目对照回款!$H$9)),2)</f>
        <v>-0</v>
      </c>
      <c r="H609" s="49" t="str">
        <f aca="false">IF(ROUND($G609,2)&gt;0,ROUND($G609,2),"")</f>
        <v/>
      </c>
      <c r="I609" s="49" t="str">
        <f aca="false">IF(ROUND($G609,2)&lt;0,-ROUND($G609,2),"")</f>
        <v/>
      </c>
      <c r="J609" s="20" t="n">
        <f aca="false">IF(ROUND($G609,2)=0,0,1)</f>
        <v>0</v>
      </c>
      <c r="K609" s="20" t="str">
        <f aca="false">IF($J609=0,"",SUM($J$602:$J609))</f>
        <v/>
      </c>
      <c r="L609" s="20" t="str">
        <f aca="false">IF($K609="","",$A609*100+$K609)</f>
        <v/>
      </c>
      <c r="M609" s="48" t="str">
        <f aca="false">参数!$B$4</f>
        <v>回款</v>
      </c>
    </row>
    <row r="610" customFormat="false" ht="13.5" hidden="false" customHeight="false" outlineLevel="0" collapsed="false">
      <c r="A610" s="47" t="n">
        <v>41</v>
      </c>
      <c r="B610" s="38" t="n">
        <f aca="false">助手回款!$B42</f>
        <v>2064</v>
      </c>
      <c r="C610" s="48" t="str">
        <f aca="false">助手回款!$C42</f>
        <v>旗舰店</v>
      </c>
      <c r="D610" s="48" t="str">
        <f aca="false">科目对照回款!$B10&amp;""</f>
        <v>医卡通</v>
      </c>
      <c r="E610" s="48" t="str">
        <f aca="false">科目对照回款!$C10&amp;""</f>
        <v>应收账款</v>
      </c>
      <c r="F610" s="48" t="str">
        <f aca="false">科目对照回款!$D10&amp;""</f>
        <v>医卡通</v>
      </c>
      <c r="G610" s="49" t="n">
        <f aca="false">-ROUND(IF(科目对照回款!$F$10="",0,SUMIFS(输入回款!$C:$C,输入回款!$A:$A,助手回款!$X42,输入回款!$B:$B,科目对照回款!$F$10)+SUMIFS(输入回款!$D:$D,输入回款!$A:$A,助手回款!$X42,输入回款!$B:$B,科目对照回款!$F$10))+IF(科目对照回款!$G$10="",0,SUMIFS(输入回款!$C:$C,输入回款!$A:$A,助手回款!$X42,输入回款!$B:$B,科目对照回款!$G$10)+SUMIFS(输入回款!$D:$D,输入回款!$A:$A,助手回款!$X42,输入回款!$B:$B,科目对照回款!$G$10))+IF(科目对照回款!$H$10="",0,SUMIFS(输入回款!$C:$C,输入回款!$A:$A,助手回款!$X42,输入回款!$B:$B,科目对照回款!$H$10)+SUMIFS(输入回款!$D:$D,输入回款!$A:$A,助手回款!$X42,输入回款!$B:$B,科目对照回款!$H$10)),2)</f>
        <v>-0</v>
      </c>
      <c r="H610" s="49" t="str">
        <f aca="false">IF(ROUND($G610,2)&gt;0,ROUND($G610,2),"")</f>
        <v/>
      </c>
      <c r="I610" s="49" t="str">
        <f aca="false">IF(ROUND($G610,2)&lt;0,-ROUND($G610,2),"")</f>
        <v/>
      </c>
      <c r="J610" s="20" t="n">
        <f aca="false">IF(ROUND($G610,2)=0,0,1)</f>
        <v>0</v>
      </c>
      <c r="K610" s="20" t="str">
        <f aca="false">IF($J610=0,"",SUM($J$602:$J610))</f>
        <v/>
      </c>
      <c r="L610" s="20" t="str">
        <f aca="false">IF($K610="","",$A610*100+$K610)</f>
        <v/>
      </c>
      <c r="M610" s="48" t="str">
        <f aca="false">参数!$B$4</f>
        <v>回款</v>
      </c>
    </row>
    <row r="611" customFormat="false" ht="13.5" hidden="false" customHeight="false" outlineLevel="0" collapsed="false">
      <c r="A611" s="47" t="n">
        <v>41</v>
      </c>
      <c r="B611" s="38" t="n">
        <f aca="false">助手回款!$B42</f>
        <v>2064</v>
      </c>
      <c r="C611" s="48" t="str">
        <f aca="false">助手回款!$C42</f>
        <v>旗舰店</v>
      </c>
      <c r="D611" s="48" t="str">
        <f aca="false">科目对照回款!$B11&amp;""</f>
        <v>企健网</v>
      </c>
      <c r="E611" s="48" t="str">
        <f aca="false">科目对照回款!$C11&amp;""</f>
        <v>应收账款</v>
      </c>
      <c r="F611" s="48" t="str">
        <f aca="false">科目对照回款!$D11&amp;""</f>
        <v>企健网</v>
      </c>
      <c r="G611" s="49" t="n">
        <f aca="false">-ROUND(IF(科目对照回款!$F$11="",0,SUMIFS(输入回款!$C:$C,输入回款!$A:$A,助手回款!$X42,输入回款!$B:$B,科目对照回款!$F$11)+SUMIFS(输入回款!$D:$D,输入回款!$A:$A,助手回款!$X42,输入回款!$B:$B,科目对照回款!$F$11))+IF(科目对照回款!$G$11="",0,SUMIFS(输入回款!$C:$C,输入回款!$A:$A,助手回款!$X42,输入回款!$B:$B,科目对照回款!$G$11)+SUMIFS(输入回款!$D:$D,输入回款!$A:$A,助手回款!$X42,输入回款!$B:$B,科目对照回款!$G$11))+IF(科目对照回款!$H$11="",0,SUMIFS(输入回款!$C:$C,输入回款!$A:$A,助手回款!$X42,输入回款!$B:$B,科目对照回款!$H$11)+SUMIFS(输入回款!$D:$D,输入回款!$A:$A,助手回款!$X42,输入回款!$B:$B,科目对照回款!$H$11)),2)</f>
        <v>-0</v>
      </c>
      <c r="H611" s="49" t="str">
        <f aca="false">IF(ROUND($G611,2)&gt;0,ROUND($G611,2),"")</f>
        <v/>
      </c>
      <c r="I611" s="49" t="str">
        <f aca="false">IF(ROUND($G611,2)&lt;0,-ROUND($G611,2),"")</f>
        <v/>
      </c>
      <c r="J611" s="20" t="n">
        <f aca="false">IF(ROUND($G611,2)=0,0,1)</f>
        <v>0</v>
      </c>
      <c r="K611" s="20" t="str">
        <f aca="false">IF($J611=0,"",SUM($J$602:$J611))</f>
        <v/>
      </c>
      <c r="L611" s="20" t="str">
        <f aca="false">IF($K611="","",$A611*100+$K611)</f>
        <v/>
      </c>
      <c r="M611" s="48" t="str">
        <f aca="false">参数!$B$4</f>
        <v>回款</v>
      </c>
    </row>
    <row r="612" customFormat="false" ht="13.5" hidden="false" customHeight="false" outlineLevel="0" collapsed="false">
      <c r="A612" s="47" t="n">
        <v>41</v>
      </c>
      <c r="B612" s="38" t="n">
        <f aca="false">助手回款!$B42</f>
        <v>2064</v>
      </c>
      <c r="C612" s="48" t="str">
        <f aca="false">助手回款!$C42</f>
        <v>旗舰店</v>
      </c>
      <c r="D612" s="48" t="str">
        <f aca="false">科目对照回款!$B12&amp;""</f>
        <v>亲情卡</v>
      </c>
      <c r="E612" s="48" t="str">
        <f aca="false">科目对照回款!$C12&amp;""</f>
        <v>应收账款</v>
      </c>
      <c r="F612" s="48" t="str">
        <f aca="false">科目对照回款!$D12&amp;""</f>
        <v>亲情卡</v>
      </c>
      <c r="G612" s="49" t="n">
        <f aca="false">-ROUND(IF(科目对照回款!$F$12="",0,SUMIFS(输入回款!$C:$C,输入回款!$A:$A,助手回款!$X42,输入回款!$B:$B,科目对照回款!$F$12)+SUMIFS(输入回款!$D:$D,输入回款!$A:$A,助手回款!$X42,输入回款!$B:$B,科目对照回款!$F$12))+IF(科目对照回款!$G$12="",0,SUMIFS(输入回款!$C:$C,输入回款!$A:$A,助手回款!$X42,输入回款!$B:$B,科目对照回款!$G$12)+SUMIFS(输入回款!$D:$D,输入回款!$A:$A,助手回款!$X42,输入回款!$B:$B,科目对照回款!$G$12))+IF(科目对照回款!$H$12="",0,SUMIFS(输入回款!$C:$C,输入回款!$A:$A,助手回款!$X42,输入回款!$B:$B,科目对照回款!$H$12)+SUMIFS(输入回款!$D:$D,输入回款!$A:$A,助手回款!$X42,输入回款!$B:$B,科目对照回款!$H$12)),2)</f>
        <v>-0</v>
      </c>
      <c r="H612" s="49" t="str">
        <f aca="false">IF(ROUND($G612,2)&gt;0,ROUND($G612,2),"")</f>
        <v/>
      </c>
      <c r="I612" s="49" t="str">
        <f aca="false">IF(ROUND($G612,2)&lt;0,-ROUND($G612,2),"")</f>
        <v/>
      </c>
      <c r="J612" s="20" t="n">
        <f aca="false">IF(ROUND($G612,2)=0,0,1)</f>
        <v>0</v>
      </c>
      <c r="K612" s="20" t="str">
        <f aca="false">IF($J612=0,"",SUM($J$602:$J612))</f>
        <v/>
      </c>
      <c r="L612" s="20" t="str">
        <f aca="false">IF($K612="","",$A612*100+$K612)</f>
        <v/>
      </c>
      <c r="M612" s="48" t="str">
        <f aca="false">参数!$B$4</f>
        <v>回款</v>
      </c>
    </row>
    <row r="613" customFormat="false" ht="13.5" hidden="false" customHeight="false" outlineLevel="0" collapsed="false">
      <c r="A613" s="47" t="n">
        <v>41</v>
      </c>
      <c r="B613" s="38" t="n">
        <f aca="false">助手回款!$B42</f>
        <v>2064</v>
      </c>
      <c r="C613" s="48" t="str">
        <f aca="false">助手回款!$C42</f>
        <v>旗舰店</v>
      </c>
      <c r="D613" s="48" t="str">
        <f aca="false">科目对照回款!$B13&amp;""</f>
        <v>银联</v>
      </c>
      <c r="E613" s="48" t="str">
        <f aca="false">科目对照回款!$C13&amp;""</f>
        <v>应收账款</v>
      </c>
      <c r="F613" s="48" t="str">
        <f aca="false">科目对照回款!$D13&amp;""</f>
        <v>银联</v>
      </c>
      <c r="G613" s="49" t="n">
        <f aca="false">-ROUND(IF(科目对照回款!$F$13="",0,SUMIFS(输入回款!$C:$C,输入回款!$A:$A,助手回款!$X42,输入回款!$B:$B,科目对照回款!$F$13)+SUMIFS(输入回款!$D:$D,输入回款!$A:$A,助手回款!$X42,输入回款!$B:$B,科目对照回款!$F$13))+IF(科目对照回款!$G$13="",0,SUMIFS(输入回款!$C:$C,输入回款!$A:$A,助手回款!$X42,输入回款!$B:$B,科目对照回款!$G$13)+SUMIFS(输入回款!$D:$D,输入回款!$A:$A,助手回款!$X42,输入回款!$B:$B,科目对照回款!$G$13))+IF(科目对照回款!$H$13="",0,SUMIFS(输入回款!$C:$C,输入回款!$A:$A,助手回款!$X42,输入回款!$B:$B,科目对照回款!$H$13)+SUMIFS(输入回款!$D:$D,输入回款!$A:$A,助手回款!$X42,输入回款!$B:$B,科目对照回款!$H$13)),2)</f>
        <v>-0</v>
      </c>
      <c r="H613" s="49" t="str">
        <f aca="false">IF(ROUND($G613,2)&gt;0,ROUND($G613,2),"")</f>
        <v/>
      </c>
      <c r="I613" s="49" t="str">
        <f aca="false">IF(ROUND($G613,2)&lt;0,-ROUND($G613,2),"")</f>
        <v/>
      </c>
      <c r="J613" s="20" t="n">
        <f aca="false">IF(ROUND($G613,2)=0,0,1)</f>
        <v>0</v>
      </c>
      <c r="K613" s="20" t="str">
        <f aca="false">IF($J613=0,"",SUM($J$602:$J613))</f>
        <v/>
      </c>
      <c r="L613" s="20" t="str">
        <f aca="false">IF($K613="","",$A613*100+$K613)</f>
        <v/>
      </c>
      <c r="M613" s="48" t="str">
        <f aca="false">参数!$B$4</f>
        <v>回款</v>
      </c>
    </row>
    <row r="614" customFormat="false" ht="13.5" hidden="false" customHeight="false" outlineLevel="0" collapsed="false">
      <c r="A614" s="47" t="n">
        <v>41</v>
      </c>
      <c r="B614" s="38" t="n">
        <f aca="false">助手回款!$B42</f>
        <v>2064</v>
      </c>
      <c r="C614" s="48" t="str">
        <f aca="false">助手回款!$C42</f>
        <v>旗舰店</v>
      </c>
      <c r="D614" s="48" t="str">
        <f aca="false">科目对照回款!$B14&amp;""</f>
        <v>代金券</v>
      </c>
      <c r="E614" s="48" t="str">
        <f aca="false">科目对照回款!$C14&amp;""</f>
        <v>应收账款</v>
      </c>
      <c r="F614" s="48" t="str">
        <f aca="false">科目对照回款!$D14&amp;""</f>
        <v>代金券</v>
      </c>
      <c r="G614" s="49" t="n">
        <f aca="false">-ROUND(IF(科目对照回款!$F$14="",0,SUMIFS(输入回款!$C:$C,输入回款!$A:$A,助手回款!$X42,输入回款!$B:$B,科目对照回款!$F$14)+SUMIFS(输入回款!$D:$D,输入回款!$A:$A,助手回款!$X42,输入回款!$B:$B,科目对照回款!$F$14))+IF(科目对照回款!$G$14="",0,SUMIFS(输入回款!$C:$C,输入回款!$A:$A,助手回款!$X42,输入回款!$B:$B,科目对照回款!$G$14)+SUMIFS(输入回款!$D:$D,输入回款!$A:$A,助手回款!$X42,输入回款!$B:$B,科目对照回款!$G$14))+IF(科目对照回款!$H$14="",0,SUMIFS(输入回款!$C:$C,输入回款!$A:$A,助手回款!$X42,输入回款!$B:$B,科目对照回款!$H$14)+SUMIFS(输入回款!$D:$D,输入回款!$A:$A,助手回款!$X42,输入回款!$B:$B,科目对照回款!$H$14)),2)</f>
        <v>-0</v>
      </c>
      <c r="H614" s="49" t="str">
        <f aca="false">IF(ROUND($G614,2)&gt;0,ROUND($G614,2),"")</f>
        <v/>
      </c>
      <c r="I614" s="49" t="str">
        <f aca="false">IF(ROUND($G614,2)&lt;0,-ROUND($G614,2),"")</f>
        <v/>
      </c>
      <c r="J614" s="20" t="n">
        <f aca="false">IF(ROUND($G614,2)=0,0,1)</f>
        <v>0</v>
      </c>
      <c r="K614" s="20" t="str">
        <f aca="false">IF($J614=0,"",SUM($J$602:$J614))</f>
        <v/>
      </c>
      <c r="L614" s="20" t="str">
        <f aca="false">IF($K614="","",$A614*100+$K614)</f>
        <v/>
      </c>
      <c r="M614" s="48" t="str">
        <f aca="false">参数!$B$4</f>
        <v>回款</v>
      </c>
    </row>
    <row r="615" customFormat="false" ht="13.5" hidden="false" customHeight="false" outlineLevel="0" collapsed="false">
      <c r="A615" s="47" t="n">
        <v>41</v>
      </c>
      <c r="B615" s="38" t="n">
        <f aca="false">助手回款!$B42</f>
        <v>2064</v>
      </c>
      <c r="C615" s="48" t="str">
        <f aca="false">助手回款!$C42</f>
        <v>旗舰店</v>
      </c>
      <c r="D615" s="48" t="str">
        <f aca="false">科目对照回款!$B15&amp;""</f>
        <v>药机微信</v>
      </c>
      <c r="E615" s="48" t="str">
        <f aca="false">科目对照回款!$C15&amp;""</f>
        <v>应收账款</v>
      </c>
      <c r="F615" s="48" t="str">
        <f aca="false">科目对照回款!$D15&amp;""</f>
        <v>药机微信</v>
      </c>
      <c r="G615" s="49" t="n">
        <f aca="false">-ROUND(IF(科目对照回款!$F$15="",0,SUMIFS(输入回款!$C:$C,输入回款!$A:$A,助手回款!$X42,输入回款!$B:$B,科目对照回款!$F$15)+SUMIFS(输入回款!$D:$D,输入回款!$A:$A,助手回款!$X42,输入回款!$B:$B,科目对照回款!$F$15))+IF(科目对照回款!$G$15="",0,SUMIFS(输入回款!$C:$C,输入回款!$A:$A,助手回款!$X42,输入回款!$B:$B,科目对照回款!$G$15)+SUMIFS(输入回款!$D:$D,输入回款!$A:$A,助手回款!$X42,输入回款!$B:$B,科目对照回款!$G$15))+IF(科目对照回款!$H$15="",0,SUMIFS(输入回款!$C:$C,输入回款!$A:$A,助手回款!$X42,输入回款!$B:$B,科目对照回款!$H$15)+SUMIFS(输入回款!$D:$D,输入回款!$A:$A,助手回款!$X42,输入回款!$B:$B,科目对照回款!$H$15)),2)</f>
        <v>-0</v>
      </c>
      <c r="H615" s="49" t="str">
        <f aca="false">IF(ROUND($G615,2)&gt;0,ROUND($G615,2),"")</f>
        <v/>
      </c>
      <c r="I615" s="49" t="str">
        <f aca="false">IF(ROUND($G615,2)&lt;0,-ROUND($G615,2),"")</f>
        <v/>
      </c>
      <c r="J615" s="20" t="n">
        <f aca="false">IF(ROUND($G615,2)=0,0,1)</f>
        <v>0</v>
      </c>
      <c r="K615" s="20" t="str">
        <f aca="false">IF($J615=0,"",SUM($J$602:$J615))</f>
        <v/>
      </c>
      <c r="L615" s="20" t="str">
        <f aca="false">IF($K615="","",$A615*100+$K615)</f>
        <v/>
      </c>
      <c r="M615" s="48" t="str">
        <f aca="false">参数!$B$4</f>
        <v>回款</v>
      </c>
    </row>
    <row r="616" customFormat="false" ht="13.5" hidden="false" customHeight="false" outlineLevel="0" collapsed="false">
      <c r="A616" s="47" t="n">
        <v>41</v>
      </c>
      <c r="B616" s="38" t="n">
        <f aca="false">助手回款!$B42</f>
        <v>2064</v>
      </c>
      <c r="C616" s="48" t="str">
        <f aca="false">助手回款!$C42</f>
        <v>旗舰店</v>
      </c>
      <c r="D616" s="48" t="str">
        <f aca="false">科目对照回款!$B16&amp;""</f>
        <v>储值卡</v>
      </c>
      <c r="E616" s="48" t="str">
        <f aca="false">科目对照回款!$C16&amp;""</f>
        <v>其他应收款</v>
      </c>
      <c r="F616" s="48" t="str">
        <f aca="false">科目对照回款!$D16&amp;""</f>
        <v>储值卡</v>
      </c>
      <c r="G616" s="49" t="n">
        <f aca="false">-ROUND(IF(科目对照回款!$F$16="",0,SUMIFS(输入回款!$C:$C,输入回款!$A:$A,助手回款!$X42,输入回款!$B:$B,科目对照回款!$F$16)+SUMIFS(输入回款!$D:$D,输入回款!$A:$A,助手回款!$X42,输入回款!$B:$B,科目对照回款!$F$16))+IF(科目对照回款!$G$16="",0,SUMIFS(输入回款!$C:$C,输入回款!$A:$A,助手回款!$X42,输入回款!$B:$B,科目对照回款!$G$16)+SUMIFS(输入回款!$D:$D,输入回款!$A:$A,助手回款!$X42,输入回款!$B:$B,科目对照回款!$G$16))+IF(科目对照回款!$H$16="",0,SUMIFS(输入回款!$C:$C,输入回款!$A:$A,助手回款!$X42,输入回款!$B:$B,科目对照回款!$H$16)+SUMIFS(输入回款!$D:$D,输入回款!$A:$A,助手回款!$X42,输入回款!$B:$B,科目对照回款!$H$16)),2)</f>
        <v>-0</v>
      </c>
      <c r="H616" s="49" t="str">
        <f aca="false">IF(ROUND($G616,2)&gt;0,ROUND($G616,2),"")</f>
        <v/>
      </c>
      <c r="I616" s="49" t="str">
        <f aca="false">IF(ROUND($G616,2)&lt;0,-ROUND($G616,2),"")</f>
        <v/>
      </c>
      <c r="J616" s="20" t="n">
        <f aca="false">IF(ROUND($G616,2)=0,0,1)</f>
        <v>0</v>
      </c>
      <c r="K616" s="20" t="str">
        <f aca="false">IF($J616=0,"",SUM($J$602:$J616))</f>
        <v/>
      </c>
      <c r="L616" s="20" t="str">
        <f aca="false">IF($K616="","",$A616*100+$K616)</f>
        <v/>
      </c>
      <c r="M616" s="48" t="str">
        <f aca="false">参数!$B$4</f>
        <v>回款</v>
      </c>
    </row>
    <row r="617" customFormat="false" ht="13.5" hidden="false" customHeight="false" outlineLevel="0" collapsed="false">
      <c r="A617" s="47" t="n">
        <v>42</v>
      </c>
      <c r="B617" s="38" t="n">
        <f aca="false">助手回款!$B43</f>
        <v>2066</v>
      </c>
      <c r="C617" s="48" t="str">
        <f aca="false">助手回款!$C43</f>
        <v>博实店</v>
      </c>
      <c r="D617" s="48" t="str">
        <f aca="false">科目对照回款!$B2&amp;""</f>
        <v>库存现金</v>
      </c>
      <c r="E617" s="48" t="str">
        <f aca="false">科目对照回款!$C2&amp;""</f>
        <v>库存现金</v>
      </c>
      <c r="F617" s="48" t="str">
        <f aca="false">科目对照回款!$D2&amp;""</f>
        <v/>
      </c>
      <c r="G617" s="49" t="n">
        <f aca="false">助手回款!$E43</f>
        <v>45737.13</v>
      </c>
      <c r="H617" s="49" t="n">
        <f aca="false">IF(ROUND($G617,2)&gt;0,ROUND($G617,2),"")</f>
        <v>45737.13</v>
      </c>
      <c r="I617" s="49" t="str">
        <f aca="false">IF(ROUND($G617,2)&lt;0,-ROUND($G617,2),"")</f>
        <v/>
      </c>
      <c r="J617" s="20" t="n">
        <f aca="false">IF(ROUND($G617,2)=0,0,1)</f>
        <v>1</v>
      </c>
      <c r="K617" s="20" t="n">
        <f aca="false">IF($J617=0,"",SUM($J$617:$J617))</f>
        <v>1</v>
      </c>
      <c r="L617" s="20" t="n">
        <f aca="false">IF($K617="","",$A617*100+$K617)</f>
        <v>4201</v>
      </c>
      <c r="M617" s="48" t="str">
        <f aca="false">参数!$B$4</f>
        <v>回款</v>
      </c>
    </row>
    <row r="618" customFormat="false" ht="13.5" hidden="false" customHeight="false" outlineLevel="0" collapsed="false">
      <c r="A618" s="47" t="n">
        <v>42</v>
      </c>
      <c r="B618" s="38" t="n">
        <f aca="false">助手回款!$B43</f>
        <v>2066</v>
      </c>
      <c r="C618" s="48" t="str">
        <f aca="false">助手回款!$C43</f>
        <v>博实店</v>
      </c>
      <c r="D618" s="48" t="str">
        <f aca="false">科目对照回款!$B3&amp;""</f>
        <v>手续费</v>
      </c>
      <c r="E618" s="48" t="str">
        <f aca="false">科目对照回款!$C3&amp;""</f>
        <v>财务费用</v>
      </c>
      <c r="F618" s="48" t="str">
        <f aca="false">科目对照回款!$D3&amp;""</f>
        <v>手续费</v>
      </c>
      <c r="G618" s="49" t="n">
        <f aca="false">助手回款!$F43</f>
        <v>25.11</v>
      </c>
      <c r="H618" s="49" t="n">
        <f aca="false">IF(ROUND($G618,2)&gt;0,ROUND($G618,2),"")</f>
        <v>25.11</v>
      </c>
      <c r="I618" s="49" t="str">
        <f aca="false">IF(ROUND($G618,2)&lt;0,-ROUND($G618,2),"")</f>
        <v/>
      </c>
      <c r="J618" s="20" t="n">
        <f aca="false">IF(ROUND($G618,2)=0,0,1)</f>
        <v>1</v>
      </c>
      <c r="K618" s="20" t="n">
        <f aca="false">IF($J618=0,"",SUM($J$617:$J618))</f>
        <v>2</v>
      </c>
      <c r="L618" s="20" t="n">
        <f aca="false">IF($K618="","",$A618*100+$K618)</f>
        <v>4202</v>
      </c>
      <c r="M618" s="48" t="str">
        <f aca="false">参数!$B$4</f>
        <v>回款</v>
      </c>
    </row>
    <row r="619" customFormat="false" ht="13.5" hidden="false" customHeight="false" outlineLevel="0" collapsed="false">
      <c r="A619" s="47" t="n">
        <v>42</v>
      </c>
      <c r="B619" s="38" t="n">
        <f aca="false">助手回款!$B43</f>
        <v>2066</v>
      </c>
      <c r="C619" s="48" t="str">
        <f aca="false">助手回款!$C43</f>
        <v>博实店</v>
      </c>
      <c r="D619" s="48" t="str">
        <f aca="false">科目对照回款!$B4&amp;""</f>
        <v>聚合支付</v>
      </c>
      <c r="E619" s="48" t="str">
        <f aca="false">科目对照回款!$C4&amp;""</f>
        <v>应收账款</v>
      </c>
      <c r="F619" s="48" t="str">
        <f aca="false">科目对照回款!$D4&amp;""</f>
        <v>聚合支付</v>
      </c>
      <c r="G619" s="49" t="n">
        <f aca="false">-ROUND(IF(科目对照回款!$F$4="",0,SUMIFS(输入回款!$C:$C,输入回款!$A:$A,助手回款!$X43,输入回款!$B:$B,科目对照回款!$F$4)+SUMIFS(输入回款!$D:$D,输入回款!$A:$A,助手回款!$X43,输入回款!$B:$B,科目对照回款!$F$4))+IF(科目对照回款!$G$4="",0,SUMIFS(输入回款!$C:$C,输入回款!$A:$A,助手回款!$X43,输入回款!$B:$B,科目对照回款!$G$4)+SUMIFS(输入回款!$D:$D,输入回款!$A:$A,助手回款!$X43,输入回款!$B:$B,科目对照回款!$G$4))+IF(科目对照回款!$H$4="",0,SUMIFS(输入回款!$C:$C,输入回款!$A:$A,助手回款!$X43,输入回款!$B:$B,科目对照回款!$H$4)+SUMIFS(输入回款!$D:$D,输入回款!$A:$A,助手回款!$X43,输入回款!$B:$B,科目对照回款!$H$4)),2)</f>
        <v>-33995.53</v>
      </c>
      <c r="H619" s="49" t="str">
        <f aca="false">IF(ROUND($G619,2)&gt;0,ROUND($G619,2),"")</f>
        <v/>
      </c>
      <c r="I619" s="49" t="n">
        <f aca="false">IF(ROUND($G619,2)&lt;0,-ROUND($G619,2),"")</f>
        <v>33995.53</v>
      </c>
      <c r="J619" s="20" t="n">
        <f aca="false">IF(ROUND($G619,2)=0,0,1)</f>
        <v>1</v>
      </c>
      <c r="K619" s="20" t="n">
        <f aca="false">IF($J619=0,"",SUM($J$617:$J619))</f>
        <v>3</v>
      </c>
      <c r="L619" s="20" t="n">
        <f aca="false">IF($K619="","",$A619*100+$K619)</f>
        <v>4203</v>
      </c>
      <c r="M619" s="48" t="str">
        <f aca="false">参数!$B$4</f>
        <v>回款</v>
      </c>
    </row>
    <row r="620" customFormat="false" ht="13.5" hidden="false" customHeight="false" outlineLevel="0" collapsed="false">
      <c r="A620" s="47" t="n">
        <v>42</v>
      </c>
      <c r="B620" s="38" t="n">
        <f aca="false">助手回款!$B43</f>
        <v>2066</v>
      </c>
      <c r="C620" s="48" t="str">
        <f aca="false">助手回款!$C43</f>
        <v>博实店</v>
      </c>
      <c r="D620" s="48" t="str">
        <f aca="false">科目对照回款!$B5&amp;""</f>
        <v>医保</v>
      </c>
      <c r="E620" s="48" t="str">
        <f aca="false">科目对照回款!$C5&amp;""</f>
        <v>应收账款</v>
      </c>
      <c r="F620" s="48" t="str">
        <f aca="false">科目对照回款!$D5&amp;""</f>
        <v>医保</v>
      </c>
      <c r="G620" s="49" t="n">
        <f aca="false">-ROUND(IF(科目对照回款!$F$5="",0,SUMIFS(输入回款!$C:$C,输入回款!$A:$A,助手回款!$X43,输入回款!$B:$B,科目对照回款!$F$5)+SUMIFS(输入回款!$D:$D,输入回款!$A:$A,助手回款!$X43,输入回款!$B:$B,科目对照回款!$F$5))+IF(科目对照回款!$G$5="",0,SUMIFS(输入回款!$C:$C,输入回款!$A:$A,助手回款!$X43,输入回款!$B:$B,科目对照回款!$G$5)+SUMIFS(输入回款!$D:$D,输入回款!$A:$A,助手回款!$X43,输入回款!$B:$B,科目对照回款!$G$5))+IF(科目对照回款!$H$5="",0,SUMIFS(输入回款!$C:$C,输入回款!$A:$A,助手回款!$X43,输入回款!$B:$B,科目对照回款!$H$5)+SUMIFS(输入回款!$D:$D,输入回款!$A:$A,助手回款!$X43,输入回款!$B:$B,科目对照回款!$H$5)),2)</f>
        <v>-11651.21</v>
      </c>
      <c r="H620" s="49" t="str">
        <f aca="false">IF(ROUND($G620,2)&gt;0,ROUND($G620,2),"")</f>
        <v/>
      </c>
      <c r="I620" s="49" t="n">
        <f aca="false">IF(ROUND($G620,2)&lt;0,-ROUND($G620,2),"")</f>
        <v>11651.21</v>
      </c>
      <c r="J620" s="20" t="n">
        <f aca="false">IF(ROUND($G620,2)=0,0,1)</f>
        <v>1</v>
      </c>
      <c r="K620" s="20" t="n">
        <f aca="false">IF($J620=0,"",SUM($J$617:$J620))</f>
        <v>4</v>
      </c>
      <c r="L620" s="20" t="n">
        <f aca="false">IF($K620="","",$A620*100+$K620)</f>
        <v>4204</v>
      </c>
      <c r="M620" s="48" t="str">
        <f aca="false">参数!$B$4</f>
        <v>回款</v>
      </c>
    </row>
    <row r="621" customFormat="false" ht="13.5" hidden="false" customHeight="false" outlineLevel="0" collapsed="false">
      <c r="A621" s="47" t="n">
        <v>42</v>
      </c>
      <c r="B621" s="38" t="n">
        <f aca="false">助手回款!$B43</f>
        <v>2066</v>
      </c>
      <c r="C621" s="48" t="str">
        <f aca="false">助手回款!$C43</f>
        <v>博实店</v>
      </c>
      <c r="D621" s="48" t="str">
        <f aca="false">科目对照回款!$B6&amp;""</f>
        <v>美团</v>
      </c>
      <c r="E621" s="48" t="str">
        <f aca="false">科目对照回款!$C6&amp;""</f>
        <v>应收账款</v>
      </c>
      <c r="F621" s="48" t="str">
        <f aca="false">科目对照回款!$D6&amp;""</f>
        <v>美团</v>
      </c>
      <c r="G621" s="49" t="n">
        <f aca="false">-ROUND(IF(科目对照回款!$F$6="",0,SUMIFS(输入回款!$C:$C,输入回款!$A:$A,助手回款!$X43,输入回款!$B:$B,科目对照回款!$F$6)+SUMIFS(输入回款!$D:$D,输入回款!$A:$A,助手回款!$X43,输入回款!$B:$B,科目对照回款!$F$6))+IF(科目对照回款!$G$6="",0,SUMIFS(输入回款!$C:$C,输入回款!$A:$A,助手回款!$X43,输入回款!$B:$B,科目对照回款!$G$6)+SUMIFS(输入回款!$D:$D,输入回款!$A:$A,助手回款!$X43,输入回款!$B:$B,科目对照回款!$G$6))+IF(科目对照回款!$H$6="",0,SUMIFS(输入回款!$C:$C,输入回款!$A:$A,助手回款!$X43,输入回款!$B:$B,科目对照回款!$H$6)+SUMIFS(输入回款!$D:$D,输入回款!$A:$A,助手回款!$X43,输入回款!$B:$B,科目对照回款!$H$6)),2)</f>
        <v>-100.5</v>
      </c>
      <c r="H621" s="49" t="str">
        <f aca="false">IF(ROUND($G621,2)&gt;0,ROUND($G621,2),"")</f>
        <v/>
      </c>
      <c r="I621" s="49" t="n">
        <f aca="false">IF(ROUND($G621,2)&lt;0,-ROUND($G621,2),"")</f>
        <v>100.5</v>
      </c>
      <c r="J621" s="20" t="n">
        <f aca="false">IF(ROUND($G621,2)=0,0,1)</f>
        <v>1</v>
      </c>
      <c r="K621" s="20" t="n">
        <f aca="false">IF($J621=0,"",SUM($J$617:$J621))</f>
        <v>5</v>
      </c>
      <c r="L621" s="20" t="n">
        <f aca="false">IF($K621="","",$A621*100+$K621)</f>
        <v>4205</v>
      </c>
      <c r="M621" s="48" t="str">
        <f aca="false">参数!$B$4</f>
        <v>回款</v>
      </c>
    </row>
    <row r="622" customFormat="false" ht="13.5" hidden="false" customHeight="false" outlineLevel="0" collapsed="false">
      <c r="A622" s="47" t="n">
        <v>42</v>
      </c>
      <c r="B622" s="38" t="n">
        <f aca="false">助手回款!$B43</f>
        <v>2066</v>
      </c>
      <c r="C622" s="48" t="str">
        <f aca="false">助手回款!$C43</f>
        <v>博实店</v>
      </c>
      <c r="D622" s="48" t="str">
        <f aca="false">科目对照回款!$B7&amp;""</f>
        <v>饿了么</v>
      </c>
      <c r="E622" s="48" t="str">
        <f aca="false">科目对照回款!$C7&amp;""</f>
        <v>应收账款</v>
      </c>
      <c r="F622" s="48" t="str">
        <f aca="false">科目对照回款!$D7&amp;""</f>
        <v>饿了么</v>
      </c>
      <c r="G622" s="49" t="n">
        <f aca="false">-ROUND(IF(科目对照回款!$F$7="",0,SUMIFS(输入回款!$C:$C,输入回款!$A:$A,助手回款!$X43,输入回款!$B:$B,科目对照回款!$F$7)+SUMIFS(输入回款!$D:$D,输入回款!$A:$A,助手回款!$X43,输入回款!$B:$B,科目对照回款!$F$7))+IF(科目对照回款!$G$7="",0,SUMIFS(输入回款!$C:$C,输入回款!$A:$A,助手回款!$X43,输入回款!$B:$B,科目对照回款!$G$7)+SUMIFS(输入回款!$D:$D,输入回款!$A:$A,助手回款!$X43,输入回款!$B:$B,科目对照回款!$G$7))+IF(科目对照回款!$H$7="",0,SUMIFS(输入回款!$C:$C,输入回款!$A:$A,助手回款!$X43,输入回款!$B:$B,科目对照回款!$H$7)+SUMIFS(输入回款!$D:$D,输入回款!$A:$A,助手回款!$X43,输入回款!$B:$B,科目对照回款!$H$7)),2)</f>
        <v>-15</v>
      </c>
      <c r="H622" s="49" t="str">
        <f aca="false">IF(ROUND($G622,2)&gt;0,ROUND($G622,2),"")</f>
        <v/>
      </c>
      <c r="I622" s="49" t="n">
        <f aca="false">IF(ROUND($G622,2)&lt;0,-ROUND($G622,2),"")</f>
        <v>15</v>
      </c>
      <c r="J622" s="20" t="n">
        <f aca="false">IF(ROUND($G622,2)=0,0,1)</f>
        <v>1</v>
      </c>
      <c r="K622" s="20" t="n">
        <f aca="false">IF($J622=0,"",SUM($J$617:$J622))</f>
        <v>6</v>
      </c>
      <c r="L622" s="20" t="n">
        <f aca="false">IF($K622="","",$A622*100+$K622)</f>
        <v>4206</v>
      </c>
      <c r="M622" s="48" t="str">
        <f aca="false">参数!$B$4</f>
        <v>回款</v>
      </c>
    </row>
    <row r="623" customFormat="false" ht="13.5" hidden="false" customHeight="false" outlineLevel="0" collapsed="false">
      <c r="A623" s="47" t="n">
        <v>42</v>
      </c>
      <c r="B623" s="38" t="n">
        <f aca="false">助手回款!$B43</f>
        <v>2066</v>
      </c>
      <c r="C623" s="48" t="str">
        <f aca="false">助手回款!$C43</f>
        <v>博实店</v>
      </c>
      <c r="D623" s="48" t="str">
        <f aca="false">科目对照回款!$B8&amp;""</f>
        <v>24小时</v>
      </c>
      <c r="E623" s="48" t="str">
        <f aca="false">科目对照回款!$C8&amp;""</f>
        <v>应收账款</v>
      </c>
      <c r="F623" s="48" t="str">
        <f aca="false">科目对照回款!$D8&amp;""</f>
        <v>24小时</v>
      </c>
      <c r="G623" s="49" t="n">
        <f aca="false">-ROUND(IF(科目对照回款!$F$8="",0,SUMIFS(输入回款!$C:$C,输入回款!$A:$A,助手回款!$X43,输入回款!$B:$B,科目对照回款!$F$8)+SUMIFS(输入回款!$D:$D,输入回款!$A:$A,助手回款!$X43,输入回款!$B:$B,科目对照回款!$F$8))+IF(科目对照回款!$G$8="",0,SUMIFS(输入回款!$C:$C,输入回款!$A:$A,助手回款!$X43,输入回款!$B:$B,科目对照回款!$G$8)+SUMIFS(输入回款!$D:$D,输入回款!$A:$A,助手回款!$X43,输入回款!$B:$B,科目对照回款!$G$8))+IF(科目对照回款!$H$8="",0,SUMIFS(输入回款!$C:$C,输入回款!$A:$A,助手回款!$X43,输入回款!$B:$B,科目对照回款!$H$8)+SUMIFS(输入回款!$D:$D,输入回款!$A:$A,助手回款!$X43,输入回款!$B:$B,科目对照回款!$H$8)),2)</f>
        <v>-0</v>
      </c>
      <c r="H623" s="49" t="str">
        <f aca="false">IF(ROUND($G623,2)&gt;0,ROUND($G623,2),"")</f>
        <v/>
      </c>
      <c r="I623" s="49" t="str">
        <f aca="false">IF(ROUND($G623,2)&lt;0,-ROUND($G623,2),"")</f>
        <v/>
      </c>
      <c r="J623" s="20" t="n">
        <f aca="false">IF(ROUND($G623,2)=0,0,1)</f>
        <v>0</v>
      </c>
      <c r="K623" s="20" t="str">
        <f aca="false">IF($J623=0,"",SUM($J$617:$J623))</f>
        <v/>
      </c>
      <c r="L623" s="20" t="str">
        <f aca="false">IF($K623="","",$A623*100+$K623)</f>
        <v/>
      </c>
      <c r="M623" s="48" t="str">
        <f aca="false">参数!$B$4</f>
        <v>回款</v>
      </c>
    </row>
    <row r="624" customFormat="false" ht="13.5" hidden="false" customHeight="false" outlineLevel="0" collapsed="false">
      <c r="A624" s="47" t="n">
        <v>42</v>
      </c>
      <c r="B624" s="38" t="n">
        <f aca="false">助手回款!$B43</f>
        <v>2066</v>
      </c>
      <c r="C624" s="48" t="str">
        <f aca="false">助手回款!$C43</f>
        <v>博实店</v>
      </c>
      <c r="D624" s="48" t="str">
        <f aca="false">科目对照回款!$B9&amp;""</f>
        <v>健E卡</v>
      </c>
      <c r="E624" s="48" t="str">
        <f aca="false">科目对照回款!$C9&amp;""</f>
        <v>应收账款</v>
      </c>
      <c r="F624" s="48" t="str">
        <f aca="false">科目对照回款!$D9&amp;""</f>
        <v>健E卡</v>
      </c>
      <c r="G624" s="49" t="n">
        <f aca="false">-ROUND(IF(科目对照回款!$F$9="",0,SUMIFS(输入回款!$C:$C,输入回款!$A:$A,助手回款!$X43,输入回款!$B:$B,科目对照回款!$F$9)+SUMIFS(输入回款!$D:$D,输入回款!$A:$A,助手回款!$X43,输入回款!$B:$B,科目对照回款!$F$9))+IF(科目对照回款!$G$9="",0,SUMIFS(输入回款!$C:$C,输入回款!$A:$A,助手回款!$X43,输入回款!$B:$B,科目对照回款!$G$9)+SUMIFS(输入回款!$D:$D,输入回款!$A:$A,助手回款!$X43,输入回款!$B:$B,科目对照回款!$G$9))+IF(科目对照回款!$H$9="",0,SUMIFS(输入回款!$C:$C,输入回款!$A:$A,助手回款!$X43,输入回款!$B:$B,科目对照回款!$H$9)+SUMIFS(输入回款!$D:$D,输入回款!$A:$A,助手回款!$X43,输入回款!$B:$B,科目对照回款!$H$9)),2)</f>
        <v>-0</v>
      </c>
      <c r="H624" s="49" t="str">
        <f aca="false">IF(ROUND($G624,2)&gt;0,ROUND($G624,2),"")</f>
        <v/>
      </c>
      <c r="I624" s="49" t="str">
        <f aca="false">IF(ROUND($G624,2)&lt;0,-ROUND($G624,2),"")</f>
        <v/>
      </c>
      <c r="J624" s="20" t="n">
        <f aca="false">IF(ROUND($G624,2)=0,0,1)</f>
        <v>0</v>
      </c>
      <c r="K624" s="20" t="str">
        <f aca="false">IF($J624=0,"",SUM($J$617:$J624))</f>
        <v/>
      </c>
      <c r="L624" s="20" t="str">
        <f aca="false">IF($K624="","",$A624*100+$K624)</f>
        <v/>
      </c>
      <c r="M624" s="48" t="str">
        <f aca="false">参数!$B$4</f>
        <v>回款</v>
      </c>
    </row>
    <row r="625" customFormat="false" ht="13.5" hidden="false" customHeight="false" outlineLevel="0" collapsed="false">
      <c r="A625" s="47" t="n">
        <v>42</v>
      </c>
      <c r="B625" s="38" t="n">
        <f aca="false">助手回款!$B43</f>
        <v>2066</v>
      </c>
      <c r="C625" s="48" t="str">
        <f aca="false">助手回款!$C43</f>
        <v>博实店</v>
      </c>
      <c r="D625" s="48" t="str">
        <f aca="false">科目对照回款!$B10&amp;""</f>
        <v>医卡通</v>
      </c>
      <c r="E625" s="48" t="str">
        <f aca="false">科目对照回款!$C10&amp;""</f>
        <v>应收账款</v>
      </c>
      <c r="F625" s="48" t="str">
        <f aca="false">科目对照回款!$D10&amp;""</f>
        <v>医卡通</v>
      </c>
      <c r="G625" s="49" t="n">
        <f aca="false">-ROUND(IF(科目对照回款!$F$10="",0,SUMIFS(输入回款!$C:$C,输入回款!$A:$A,助手回款!$X43,输入回款!$B:$B,科目对照回款!$F$10)+SUMIFS(输入回款!$D:$D,输入回款!$A:$A,助手回款!$X43,输入回款!$B:$B,科目对照回款!$F$10))+IF(科目对照回款!$G$10="",0,SUMIFS(输入回款!$C:$C,输入回款!$A:$A,助手回款!$X43,输入回款!$B:$B,科目对照回款!$G$10)+SUMIFS(输入回款!$D:$D,输入回款!$A:$A,助手回款!$X43,输入回款!$B:$B,科目对照回款!$G$10))+IF(科目对照回款!$H$10="",0,SUMIFS(输入回款!$C:$C,输入回款!$A:$A,助手回款!$X43,输入回款!$B:$B,科目对照回款!$H$10)+SUMIFS(输入回款!$D:$D,输入回款!$A:$A,助手回款!$X43,输入回款!$B:$B,科目对照回款!$H$10)),2)</f>
        <v>-0</v>
      </c>
      <c r="H625" s="49" t="str">
        <f aca="false">IF(ROUND($G625,2)&gt;0,ROUND($G625,2),"")</f>
        <v/>
      </c>
      <c r="I625" s="49" t="str">
        <f aca="false">IF(ROUND($G625,2)&lt;0,-ROUND($G625,2),"")</f>
        <v/>
      </c>
      <c r="J625" s="20" t="n">
        <f aca="false">IF(ROUND($G625,2)=0,0,1)</f>
        <v>0</v>
      </c>
      <c r="K625" s="20" t="str">
        <f aca="false">IF($J625=0,"",SUM($J$617:$J625))</f>
        <v/>
      </c>
      <c r="L625" s="20" t="str">
        <f aca="false">IF($K625="","",$A625*100+$K625)</f>
        <v/>
      </c>
      <c r="M625" s="48" t="str">
        <f aca="false">参数!$B$4</f>
        <v>回款</v>
      </c>
    </row>
    <row r="626" customFormat="false" ht="13.5" hidden="false" customHeight="false" outlineLevel="0" collapsed="false">
      <c r="A626" s="47" t="n">
        <v>42</v>
      </c>
      <c r="B626" s="38" t="n">
        <f aca="false">助手回款!$B43</f>
        <v>2066</v>
      </c>
      <c r="C626" s="48" t="str">
        <f aca="false">助手回款!$C43</f>
        <v>博实店</v>
      </c>
      <c r="D626" s="48" t="str">
        <f aca="false">科目对照回款!$B11&amp;""</f>
        <v>企健网</v>
      </c>
      <c r="E626" s="48" t="str">
        <f aca="false">科目对照回款!$C11&amp;""</f>
        <v>应收账款</v>
      </c>
      <c r="F626" s="48" t="str">
        <f aca="false">科目对照回款!$D11&amp;""</f>
        <v>企健网</v>
      </c>
      <c r="G626" s="49" t="n">
        <f aca="false">-ROUND(IF(科目对照回款!$F$11="",0,SUMIFS(输入回款!$C:$C,输入回款!$A:$A,助手回款!$X43,输入回款!$B:$B,科目对照回款!$F$11)+SUMIFS(输入回款!$D:$D,输入回款!$A:$A,助手回款!$X43,输入回款!$B:$B,科目对照回款!$F$11))+IF(科目对照回款!$G$11="",0,SUMIFS(输入回款!$C:$C,输入回款!$A:$A,助手回款!$X43,输入回款!$B:$B,科目对照回款!$G$11)+SUMIFS(输入回款!$D:$D,输入回款!$A:$A,助手回款!$X43,输入回款!$B:$B,科目对照回款!$G$11))+IF(科目对照回款!$H$11="",0,SUMIFS(输入回款!$C:$C,输入回款!$A:$A,助手回款!$X43,输入回款!$B:$B,科目对照回款!$H$11)+SUMIFS(输入回款!$D:$D,输入回款!$A:$A,助手回款!$X43,输入回款!$B:$B,科目对照回款!$H$11)),2)</f>
        <v>-0</v>
      </c>
      <c r="H626" s="49" t="str">
        <f aca="false">IF(ROUND($G626,2)&gt;0,ROUND($G626,2),"")</f>
        <v/>
      </c>
      <c r="I626" s="49" t="str">
        <f aca="false">IF(ROUND($G626,2)&lt;0,-ROUND($G626,2),"")</f>
        <v/>
      </c>
      <c r="J626" s="20" t="n">
        <f aca="false">IF(ROUND($G626,2)=0,0,1)</f>
        <v>0</v>
      </c>
      <c r="K626" s="20" t="str">
        <f aca="false">IF($J626=0,"",SUM($J$617:$J626))</f>
        <v/>
      </c>
      <c r="L626" s="20" t="str">
        <f aca="false">IF($K626="","",$A626*100+$K626)</f>
        <v/>
      </c>
      <c r="M626" s="48" t="str">
        <f aca="false">参数!$B$4</f>
        <v>回款</v>
      </c>
    </row>
    <row r="627" customFormat="false" ht="13.5" hidden="false" customHeight="false" outlineLevel="0" collapsed="false">
      <c r="A627" s="47" t="n">
        <v>42</v>
      </c>
      <c r="B627" s="38" t="n">
        <f aca="false">助手回款!$B43</f>
        <v>2066</v>
      </c>
      <c r="C627" s="48" t="str">
        <f aca="false">助手回款!$C43</f>
        <v>博实店</v>
      </c>
      <c r="D627" s="48" t="str">
        <f aca="false">科目对照回款!$B12&amp;""</f>
        <v>亲情卡</v>
      </c>
      <c r="E627" s="48" t="str">
        <f aca="false">科目对照回款!$C12&amp;""</f>
        <v>应收账款</v>
      </c>
      <c r="F627" s="48" t="str">
        <f aca="false">科目对照回款!$D12&amp;""</f>
        <v>亲情卡</v>
      </c>
      <c r="G627" s="49" t="n">
        <f aca="false">-ROUND(IF(科目对照回款!$F$12="",0,SUMIFS(输入回款!$C:$C,输入回款!$A:$A,助手回款!$X43,输入回款!$B:$B,科目对照回款!$F$12)+SUMIFS(输入回款!$D:$D,输入回款!$A:$A,助手回款!$X43,输入回款!$B:$B,科目对照回款!$F$12))+IF(科目对照回款!$G$12="",0,SUMIFS(输入回款!$C:$C,输入回款!$A:$A,助手回款!$X43,输入回款!$B:$B,科目对照回款!$G$12)+SUMIFS(输入回款!$D:$D,输入回款!$A:$A,助手回款!$X43,输入回款!$B:$B,科目对照回款!$G$12))+IF(科目对照回款!$H$12="",0,SUMIFS(输入回款!$C:$C,输入回款!$A:$A,助手回款!$X43,输入回款!$B:$B,科目对照回款!$H$12)+SUMIFS(输入回款!$D:$D,输入回款!$A:$A,助手回款!$X43,输入回款!$B:$B,科目对照回款!$H$12)),2)</f>
        <v>-0</v>
      </c>
      <c r="H627" s="49" t="str">
        <f aca="false">IF(ROUND($G627,2)&gt;0,ROUND($G627,2),"")</f>
        <v/>
      </c>
      <c r="I627" s="49" t="str">
        <f aca="false">IF(ROUND($G627,2)&lt;0,-ROUND($G627,2),"")</f>
        <v/>
      </c>
      <c r="J627" s="20" t="n">
        <f aca="false">IF(ROUND($G627,2)=0,0,1)</f>
        <v>0</v>
      </c>
      <c r="K627" s="20" t="str">
        <f aca="false">IF($J627=0,"",SUM($J$617:$J627))</f>
        <v/>
      </c>
      <c r="L627" s="20" t="str">
        <f aca="false">IF($K627="","",$A627*100+$K627)</f>
        <v/>
      </c>
      <c r="M627" s="48" t="str">
        <f aca="false">参数!$B$4</f>
        <v>回款</v>
      </c>
    </row>
    <row r="628" customFormat="false" ht="13.5" hidden="false" customHeight="false" outlineLevel="0" collapsed="false">
      <c r="A628" s="47" t="n">
        <v>42</v>
      </c>
      <c r="B628" s="38" t="n">
        <f aca="false">助手回款!$B43</f>
        <v>2066</v>
      </c>
      <c r="C628" s="48" t="str">
        <f aca="false">助手回款!$C43</f>
        <v>博实店</v>
      </c>
      <c r="D628" s="48" t="str">
        <f aca="false">科目对照回款!$B13&amp;""</f>
        <v>银联</v>
      </c>
      <c r="E628" s="48" t="str">
        <f aca="false">科目对照回款!$C13&amp;""</f>
        <v>应收账款</v>
      </c>
      <c r="F628" s="48" t="str">
        <f aca="false">科目对照回款!$D13&amp;""</f>
        <v>银联</v>
      </c>
      <c r="G628" s="49" t="n">
        <f aca="false">-ROUND(IF(科目对照回款!$F$13="",0,SUMIFS(输入回款!$C:$C,输入回款!$A:$A,助手回款!$X43,输入回款!$B:$B,科目对照回款!$F$13)+SUMIFS(输入回款!$D:$D,输入回款!$A:$A,助手回款!$X43,输入回款!$B:$B,科目对照回款!$F$13))+IF(科目对照回款!$G$13="",0,SUMIFS(输入回款!$C:$C,输入回款!$A:$A,助手回款!$X43,输入回款!$B:$B,科目对照回款!$G$13)+SUMIFS(输入回款!$D:$D,输入回款!$A:$A,助手回款!$X43,输入回款!$B:$B,科目对照回款!$G$13))+IF(科目对照回款!$H$13="",0,SUMIFS(输入回款!$C:$C,输入回款!$A:$A,助手回款!$X43,输入回款!$B:$B,科目对照回款!$H$13)+SUMIFS(输入回款!$D:$D,输入回款!$A:$A,助手回款!$X43,输入回款!$B:$B,科目对照回款!$H$13)),2)</f>
        <v>-0</v>
      </c>
      <c r="H628" s="49" t="str">
        <f aca="false">IF(ROUND($G628,2)&gt;0,ROUND($G628,2),"")</f>
        <v/>
      </c>
      <c r="I628" s="49" t="str">
        <f aca="false">IF(ROUND($G628,2)&lt;0,-ROUND($G628,2),"")</f>
        <v/>
      </c>
      <c r="J628" s="20" t="n">
        <f aca="false">IF(ROUND($G628,2)=0,0,1)</f>
        <v>0</v>
      </c>
      <c r="K628" s="20" t="str">
        <f aca="false">IF($J628=0,"",SUM($J$617:$J628))</f>
        <v/>
      </c>
      <c r="L628" s="20" t="str">
        <f aca="false">IF($K628="","",$A628*100+$K628)</f>
        <v/>
      </c>
      <c r="M628" s="48" t="str">
        <f aca="false">参数!$B$4</f>
        <v>回款</v>
      </c>
    </row>
    <row r="629" customFormat="false" ht="13.5" hidden="false" customHeight="false" outlineLevel="0" collapsed="false">
      <c r="A629" s="47" t="n">
        <v>42</v>
      </c>
      <c r="B629" s="38" t="n">
        <f aca="false">助手回款!$B43</f>
        <v>2066</v>
      </c>
      <c r="C629" s="48" t="str">
        <f aca="false">助手回款!$C43</f>
        <v>博实店</v>
      </c>
      <c r="D629" s="48" t="str">
        <f aca="false">科目对照回款!$B14&amp;""</f>
        <v>代金券</v>
      </c>
      <c r="E629" s="48" t="str">
        <f aca="false">科目对照回款!$C14&amp;""</f>
        <v>应收账款</v>
      </c>
      <c r="F629" s="48" t="str">
        <f aca="false">科目对照回款!$D14&amp;""</f>
        <v>代金券</v>
      </c>
      <c r="G629" s="49" t="n">
        <f aca="false">-ROUND(IF(科目对照回款!$F$14="",0,SUMIFS(输入回款!$C:$C,输入回款!$A:$A,助手回款!$X43,输入回款!$B:$B,科目对照回款!$F$14)+SUMIFS(输入回款!$D:$D,输入回款!$A:$A,助手回款!$X43,输入回款!$B:$B,科目对照回款!$F$14))+IF(科目对照回款!$G$14="",0,SUMIFS(输入回款!$C:$C,输入回款!$A:$A,助手回款!$X43,输入回款!$B:$B,科目对照回款!$G$14)+SUMIFS(输入回款!$D:$D,输入回款!$A:$A,助手回款!$X43,输入回款!$B:$B,科目对照回款!$G$14))+IF(科目对照回款!$H$14="",0,SUMIFS(输入回款!$C:$C,输入回款!$A:$A,助手回款!$X43,输入回款!$B:$B,科目对照回款!$H$14)+SUMIFS(输入回款!$D:$D,输入回款!$A:$A,助手回款!$X43,输入回款!$B:$B,科目对照回款!$H$14)),2)</f>
        <v>-0</v>
      </c>
      <c r="H629" s="49" t="str">
        <f aca="false">IF(ROUND($G629,2)&gt;0,ROUND($G629,2),"")</f>
        <v/>
      </c>
      <c r="I629" s="49" t="str">
        <f aca="false">IF(ROUND($G629,2)&lt;0,-ROUND($G629,2),"")</f>
        <v/>
      </c>
      <c r="J629" s="20" t="n">
        <f aca="false">IF(ROUND($G629,2)=0,0,1)</f>
        <v>0</v>
      </c>
      <c r="K629" s="20" t="str">
        <f aca="false">IF($J629=0,"",SUM($J$617:$J629))</f>
        <v/>
      </c>
      <c r="L629" s="20" t="str">
        <f aca="false">IF($K629="","",$A629*100+$K629)</f>
        <v/>
      </c>
      <c r="M629" s="48" t="str">
        <f aca="false">参数!$B$4</f>
        <v>回款</v>
      </c>
    </row>
    <row r="630" customFormat="false" ht="13.5" hidden="false" customHeight="false" outlineLevel="0" collapsed="false">
      <c r="A630" s="47" t="n">
        <v>42</v>
      </c>
      <c r="B630" s="38" t="n">
        <f aca="false">助手回款!$B43</f>
        <v>2066</v>
      </c>
      <c r="C630" s="48" t="str">
        <f aca="false">助手回款!$C43</f>
        <v>博实店</v>
      </c>
      <c r="D630" s="48" t="str">
        <f aca="false">科目对照回款!$B15&amp;""</f>
        <v>药机微信</v>
      </c>
      <c r="E630" s="48" t="str">
        <f aca="false">科目对照回款!$C15&amp;""</f>
        <v>应收账款</v>
      </c>
      <c r="F630" s="48" t="str">
        <f aca="false">科目对照回款!$D15&amp;""</f>
        <v>药机微信</v>
      </c>
      <c r="G630" s="49" t="n">
        <f aca="false">-ROUND(IF(科目对照回款!$F$15="",0,SUMIFS(输入回款!$C:$C,输入回款!$A:$A,助手回款!$X43,输入回款!$B:$B,科目对照回款!$F$15)+SUMIFS(输入回款!$D:$D,输入回款!$A:$A,助手回款!$X43,输入回款!$B:$B,科目对照回款!$F$15))+IF(科目对照回款!$G$15="",0,SUMIFS(输入回款!$C:$C,输入回款!$A:$A,助手回款!$X43,输入回款!$B:$B,科目对照回款!$G$15)+SUMIFS(输入回款!$D:$D,输入回款!$A:$A,助手回款!$X43,输入回款!$B:$B,科目对照回款!$G$15))+IF(科目对照回款!$H$15="",0,SUMIFS(输入回款!$C:$C,输入回款!$A:$A,助手回款!$X43,输入回款!$B:$B,科目对照回款!$H$15)+SUMIFS(输入回款!$D:$D,输入回款!$A:$A,助手回款!$X43,输入回款!$B:$B,科目对照回款!$H$15)),2)</f>
        <v>-0</v>
      </c>
      <c r="H630" s="49" t="str">
        <f aca="false">IF(ROUND($G630,2)&gt;0,ROUND($G630,2),"")</f>
        <v/>
      </c>
      <c r="I630" s="49" t="str">
        <f aca="false">IF(ROUND($G630,2)&lt;0,-ROUND($G630,2),"")</f>
        <v/>
      </c>
      <c r="J630" s="20" t="n">
        <f aca="false">IF(ROUND($G630,2)=0,0,1)</f>
        <v>0</v>
      </c>
      <c r="K630" s="20" t="str">
        <f aca="false">IF($J630=0,"",SUM($J$617:$J630))</f>
        <v/>
      </c>
      <c r="L630" s="20" t="str">
        <f aca="false">IF($K630="","",$A630*100+$K630)</f>
        <v/>
      </c>
      <c r="M630" s="48" t="str">
        <f aca="false">参数!$B$4</f>
        <v>回款</v>
      </c>
    </row>
    <row r="631" customFormat="false" ht="13.5" hidden="false" customHeight="false" outlineLevel="0" collapsed="false">
      <c r="A631" s="47" t="n">
        <v>42</v>
      </c>
      <c r="B631" s="38" t="n">
        <f aca="false">助手回款!$B43</f>
        <v>2066</v>
      </c>
      <c r="C631" s="48" t="str">
        <f aca="false">助手回款!$C43</f>
        <v>博实店</v>
      </c>
      <c r="D631" s="48" t="str">
        <f aca="false">科目对照回款!$B16&amp;""</f>
        <v>储值卡</v>
      </c>
      <c r="E631" s="48" t="str">
        <f aca="false">科目对照回款!$C16&amp;""</f>
        <v>其他应收款</v>
      </c>
      <c r="F631" s="48" t="str">
        <f aca="false">科目对照回款!$D16&amp;""</f>
        <v>储值卡</v>
      </c>
      <c r="G631" s="49" t="n">
        <f aca="false">-ROUND(IF(科目对照回款!$F$16="",0,SUMIFS(输入回款!$C:$C,输入回款!$A:$A,助手回款!$X43,输入回款!$B:$B,科目对照回款!$F$16)+SUMIFS(输入回款!$D:$D,输入回款!$A:$A,助手回款!$X43,输入回款!$B:$B,科目对照回款!$F$16))+IF(科目对照回款!$G$16="",0,SUMIFS(输入回款!$C:$C,输入回款!$A:$A,助手回款!$X43,输入回款!$B:$B,科目对照回款!$G$16)+SUMIFS(输入回款!$D:$D,输入回款!$A:$A,助手回款!$X43,输入回款!$B:$B,科目对照回款!$G$16))+IF(科目对照回款!$H$16="",0,SUMIFS(输入回款!$C:$C,输入回款!$A:$A,助手回款!$X43,输入回款!$B:$B,科目对照回款!$H$16)+SUMIFS(输入回款!$D:$D,输入回款!$A:$A,助手回款!$X43,输入回款!$B:$B,科目对照回款!$H$16)),2)</f>
        <v>-0</v>
      </c>
      <c r="H631" s="49" t="str">
        <f aca="false">IF(ROUND($G631,2)&gt;0,ROUND($G631,2),"")</f>
        <v/>
      </c>
      <c r="I631" s="49" t="str">
        <f aca="false">IF(ROUND($G631,2)&lt;0,-ROUND($G631,2),"")</f>
        <v/>
      </c>
      <c r="J631" s="20" t="n">
        <f aca="false">IF(ROUND($G631,2)=0,0,1)</f>
        <v>0</v>
      </c>
      <c r="K631" s="20" t="str">
        <f aca="false">IF($J631=0,"",SUM($J$617:$J631))</f>
        <v/>
      </c>
      <c r="L631" s="20" t="str">
        <f aca="false">IF($K631="","",$A631*100+$K631)</f>
        <v/>
      </c>
      <c r="M631" s="48" t="str">
        <f aca="false">参数!$B$4</f>
        <v>回款</v>
      </c>
    </row>
    <row r="632" customFormat="false" ht="13.5" hidden="false" customHeight="false" outlineLevel="0" collapsed="false">
      <c r="A632" s="47" t="n">
        <v>43</v>
      </c>
      <c r="B632" s="38" t="n">
        <f aca="false">助手回款!$B44</f>
        <v>2067</v>
      </c>
      <c r="C632" s="48" t="str">
        <f aca="false">助手回款!$C44</f>
        <v>博亮店</v>
      </c>
      <c r="D632" s="48" t="str">
        <f aca="false">科目对照回款!$B2&amp;""</f>
        <v>库存现金</v>
      </c>
      <c r="E632" s="48" t="str">
        <f aca="false">科目对照回款!$C2&amp;""</f>
        <v>库存现金</v>
      </c>
      <c r="F632" s="48" t="str">
        <f aca="false">科目对照回款!$D2&amp;""</f>
        <v/>
      </c>
      <c r="G632" s="49" t="n">
        <f aca="false">助手回款!$E44</f>
        <v>32450.61</v>
      </c>
      <c r="H632" s="49" t="n">
        <f aca="false">IF(ROUND($G632,2)&gt;0,ROUND($G632,2),"")</f>
        <v>32450.61</v>
      </c>
      <c r="I632" s="49" t="str">
        <f aca="false">IF(ROUND($G632,2)&lt;0,-ROUND($G632,2),"")</f>
        <v/>
      </c>
      <c r="J632" s="20" t="n">
        <f aca="false">IF(ROUND($G632,2)=0,0,1)</f>
        <v>1</v>
      </c>
      <c r="K632" s="20" t="n">
        <f aca="false">IF($J632=0,"",SUM($J$632:$J632))</f>
        <v>1</v>
      </c>
      <c r="L632" s="20" t="n">
        <f aca="false">IF($K632="","",$A632*100+$K632)</f>
        <v>4301</v>
      </c>
      <c r="M632" s="48" t="str">
        <f aca="false">参数!$B$4</f>
        <v>回款</v>
      </c>
    </row>
    <row r="633" customFormat="false" ht="13.5" hidden="false" customHeight="false" outlineLevel="0" collapsed="false">
      <c r="A633" s="47" t="n">
        <v>43</v>
      </c>
      <c r="B633" s="38" t="n">
        <f aca="false">助手回款!$B44</f>
        <v>2067</v>
      </c>
      <c r="C633" s="48" t="str">
        <f aca="false">助手回款!$C44</f>
        <v>博亮店</v>
      </c>
      <c r="D633" s="48" t="str">
        <f aca="false">科目对照回款!$B3&amp;""</f>
        <v>手续费</v>
      </c>
      <c r="E633" s="48" t="str">
        <f aca="false">科目对照回款!$C3&amp;""</f>
        <v>财务费用</v>
      </c>
      <c r="F633" s="48" t="str">
        <f aca="false">科目对照回款!$D3&amp;""</f>
        <v>手续费</v>
      </c>
      <c r="G633" s="49" t="n">
        <f aca="false">助手回款!$F44</f>
        <v>79.54</v>
      </c>
      <c r="H633" s="49" t="n">
        <f aca="false">IF(ROUND($G633,2)&gt;0,ROUND($G633,2),"")</f>
        <v>79.54</v>
      </c>
      <c r="I633" s="49" t="str">
        <f aca="false">IF(ROUND($G633,2)&lt;0,-ROUND($G633,2),"")</f>
        <v/>
      </c>
      <c r="J633" s="20" t="n">
        <f aca="false">IF(ROUND($G633,2)=0,0,1)</f>
        <v>1</v>
      </c>
      <c r="K633" s="20" t="n">
        <f aca="false">IF($J633=0,"",SUM($J$632:$J633))</f>
        <v>2</v>
      </c>
      <c r="L633" s="20" t="n">
        <f aca="false">IF($K633="","",$A633*100+$K633)</f>
        <v>4302</v>
      </c>
      <c r="M633" s="48" t="str">
        <f aca="false">参数!$B$4</f>
        <v>回款</v>
      </c>
    </row>
    <row r="634" customFormat="false" ht="13.5" hidden="false" customHeight="false" outlineLevel="0" collapsed="false">
      <c r="A634" s="47" t="n">
        <v>43</v>
      </c>
      <c r="B634" s="38" t="n">
        <f aca="false">助手回款!$B44</f>
        <v>2067</v>
      </c>
      <c r="C634" s="48" t="str">
        <f aca="false">助手回款!$C44</f>
        <v>博亮店</v>
      </c>
      <c r="D634" s="48" t="str">
        <f aca="false">科目对照回款!$B4&amp;""</f>
        <v>聚合支付</v>
      </c>
      <c r="E634" s="48" t="str">
        <f aca="false">科目对照回款!$C4&amp;""</f>
        <v>应收账款</v>
      </c>
      <c r="F634" s="48" t="str">
        <f aca="false">科目对照回款!$D4&amp;""</f>
        <v>聚合支付</v>
      </c>
      <c r="G634" s="49" t="n">
        <f aca="false">-ROUND(IF(科目对照回款!$F$4="",0,SUMIFS(输入回款!$C:$C,输入回款!$A:$A,助手回款!$X44,输入回款!$B:$B,科目对照回款!$F$4)+SUMIFS(输入回款!$D:$D,输入回款!$A:$A,助手回款!$X44,输入回款!$B:$B,科目对照回款!$F$4))+IF(科目对照回款!$G$4="",0,SUMIFS(输入回款!$C:$C,输入回款!$A:$A,助手回款!$X44,输入回款!$B:$B,科目对照回款!$G$4)+SUMIFS(输入回款!$D:$D,输入回款!$A:$A,助手回款!$X44,输入回款!$B:$B,科目对照回款!$G$4))+IF(科目对照回款!$H$4="",0,SUMIFS(输入回款!$C:$C,输入回款!$A:$A,助手回款!$X44,输入回款!$B:$B,科目对照回款!$H$4)+SUMIFS(输入回款!$D:$D,输入回款!$A:$A,助手回款!$X44,输入回款!$B:$B,科目对照回款!$H$4)),2)</f>
        <v>-31986.15</v>
      </c>
      <c r="H634" s="49" t="str">
        <f aca="false">IF(ROUND($G634,2)&gt;0,ROUND($G634,2),"")</f>
        <v/>
      </c>
      <c r="I634" s="49" t="n">
        <f aca="false">IF(ROUND($G634,2)&lt;0,-ROUND($G634,2),"")</f>
        <v>31986.15</v>
      </c>
      <c r="J634" s="20" t="n">
        <f aca="false">IF(ROUND($G634,2)=0,0,1)</f>
        <v>1</v>
      </c>
      <c r="K634" s="20" t="n">
        <f aca="false">IF($J634=0,"",SUM($J$632:$J634))</f>
        <v>3</v>
      </c>
      <c r="L634" s="20" t="n">
        <f aca="false">IF($K634="","",$A634*100+$K634)</f>
        <v>4303</v>
      </c>
      <c r="M634" s="48" t="str">
        <f aca="false">参数!$B$4</f>
        <v>回款</v>
      </c>
    </row>
    <row r="635" customFormat="false" ht="13.5" hidden="false" customHeight="false" outlineLevel="0" collapsed="false">
      <c r="A635" s="47" t="n">
        <v>43</v>
      </c>
      <c r="B635" s="38" t="n">
        <f aca="false">助手回款!$B44</f>
        <v>2067</v>
      </c>
      <c r="C635" s="48" t="str">
        <f aca="false">助手回款!$C44</f>
        <v>博亮店</v>
      </c>
      <c r="D635" s="48" t="str">
        <f aca="false">科目对照回款!$B5&amp;""</f>
        <v>医保</v>
      </c>
      <c r="E635" s="48" t="str">
        <f aca="false">科目对照回款!$C5&amp;""</f>
        <v>应收账款</v>
      </c>
      <c r="F635" s="48" t="str">
        <f aca="false">科目对照回款!$D5&amp;""</f>
        <v>医保</v>
      </c>
      <c r="G635" s="49" t="n">
        <f aca="false">-ROUND(IF(科目对照回款!$F$5="",0,SUMIFS(输入回款!$C:$C,输入回款!$A:$A,助手回款!$X44,输入回款!$B:$B,科目对照回款!$F$5)+SUMIFS(输入回款!$D:$D,输入回款!$A:$A,助手回款!$X44,输入回款!$B:$B,科目对照回款!$F$5))+IF(科目对照回款!$G$5="",0,SUMIFS(输入回款!$C:$C,输入回款!$A:$A,助手回款!$X44,输入回款!$B:$B,科目对照回款!$G$5)+SUMIFS(输入回款!$D:$D,输入回款!$A:$A,助手回款!$X44,输入回款!$B:$B,科目对照回款!$G$5))+IF(科目对照回款!$H$5="",0,SUMIFS(输入回款!$C:$C,输入回款!$A:$A,助手回款!$X44,输入回款!$B:$B,科目对照回款!$H$5)+SUMIFS(输入回款!$D:$D,输入回款!$A:$A,助手回款!$X44,输入回款!$B:$B,科目对照回款!$H$5)),2)</f>
        <v>-0</v>
      </c>
      <c r="H635" s="49" t="str">
        <f aca="false">IF(ROUND($G635,2)&gt;0,ROUND($G635,2),"")</f>
        <v/>
      </c>
      <c r="I635" s="49" t="str">
        <f aca="false">IF(ROUND($G635,2)&lt;0,-ROUND($G635,2),"")</f>
        <v/>
      </c>
      <c r="J635" s="20" t="n">
        <f aca="false">IF(ROUND($G635,2)=0,0,1)</f>
        <v>0</v>
      </c>
      <c r="K635" s="20" t="str">
        <f aca="false">IF($J635=0,"",SUM($J$632:$J635))</f>
        <v/>
      </c>
      <c r="L635" s="20" t="str">
        <f aca="false">IF($K635="","",$A635*100+$K635)</f>
        <v/>
      </c>
      <c r="M635" s="48" t="str">
        <f aca="false">参数!$B$4</f>
        <v>回款</v>
      </c>
    </row>
    <row r="636" customFormat="false" ht="13.5" hidden="false" customHeight="false" outlineLevel="0" collapsed="false">
      <c r="A636" s="47" t="n">
        <v>43</v>
      </c>
      <c r="B636" s="38" t="n">
        <f aca="false">助手回款!$B44</f>
        <v>2067</v>
      </c>
      <c r="C636" s="48" t="str">
        <f aca="false">助手回款!$C44</f>
        <v>博亮店</v>
      </c>
      <c r="D636" s="48" t="str">
        <f aca="false">科目对照回款!$B6&amp;""</f>
        <v>美团</v>
      </c>
      <c r="E636" s="48" t="str">
        <f aca="false">科目对照回款!$C6&amp;""</f>
        <v>应收账款</v>
      </c>
      <c r="F636" s="48" t="str">
        <f aca="false">科目对照回款!$D6&amp;""</f>
        <v>美团</v>
      </c>
      <c r="G636" s="49" t="n">
        <f aca="false">-ROUND(IF(科目对照回款!$F$6="",0,SUMIFS(输入回款!$C:$C,输入回款!$A:$A,助手回款!$X44,输入回款!$B:$B,科目对照回款!$F$6)+SUMIFS(输入回款!$D:$D,输入回款!$A:$A,助手回款!$X44,输入回款!$B:$B,科目对照回款!$F$6))+IF(科目对照回款!$G$6="",0,SUMIFS(输入回款!$C:$C,输入回款!$A:$A,助手回款!$X44,输入回款!$B:$B,科目对照回款!$G$6)+SUMIFS(输入回款!$D:$D,输入回款!$A:$A,助手回款!$X44,输入回款!$B:$B,科目对照回款!$G$6))+IF(科目对照回款!$H$6="",0,SUMIFS(输入回款!$C:$C,输入回款!$A:$A,助手回款!$X44,输入回款!$B:$B,科目对照回款!$H$6)+SUMIFS(输入回款!$D:$D,输入回款!$A:$A,助手回款!$X44,输入回款!$B:$B,科目对照回款!$H$6)),2)</f>
        <v>-544</v>
      </c>
      <c r="H636" s="49" t="str">
        <f aca="false">IF(ROUND($G636,2)&gt;0,ROUND($G636,2),"")</f>
        <v/>
      </c>
      <c r="I636" s="49" t="n">
        <f aca="false">IF(ROUND($G636,2)&lt;0,-ROUND($G636,2),"")</f>
        <v>544</v>
      </c>
      <c r="J636" s="20" t="n">
        <f aca="false">IF(ROUND($G636,2)=0,0,1)</f>
        <v>1</v>
      </c>
      <c r="K636" s="20" t="n">
        <f aca="false">IF($J636=0,"",SUM($J$632:$J636))</f>
        <v>4</v>
      </c>
      <c r="L636" s="20" t="n">
        <f aca="false">IF($K636="","",$A636*100+$K636)</f>
        <v>4304</v>
      </c>
      <c r="M636" s="48" t="str">
        <f aca="false">参数!$B$4</f>
        <v>回款</v>
      </c>
    </row>
    <row r="637" customFormat="false" ht="13.5" hidden="false" customHeight="false" outlineLevel="0" collapsed="false">
      <c r="A637" s="47" t="n">
        <v>43</v>
      </c>
      <c r="B637" s="38" t="n">
        <f aca="false">助手回款!$B44</f>
        <v>2067</v>
      </c>
      <c r="C637" s="48" t="str">
        <f aca="false">助手回款!$C44</f>
        <v>博亮店</v>
      </c>
      <c r="D637" s="48" t="str">
        <f aca="false">科目对照回款!$B7&amp;""</f>
        <v>饿了么</v>
      </c>
      <c r="E637" s="48" t="str">
        <f aca="false">科目对照回款!$C7&amp;""</f>
        <v>应收账款</v>
      </c>
      <c r="F637" s="48" t="str">
        <f aca="false">科目对照回款!$D7&amp;""</f>
        <v>饿了么</v>
      </c>
      <c r="G637" s="49" t="n">
        <f aca="false">-ROUND(IF(科目对照回款!$F$7="",0,SUMIFS(输入回款!$C:$C,输入回款!$A:$A,助手回款!$X44,输入回款!$B:$B,科目对照回款!$F$7)+SUMIFS(输入回款!$D:$D,输入回款!$A:$A,助手回款!$X44,输入回款!$B:$B,科目对照回款!$F$7))+IF(科目对照回款!$G$7="",0,SUMIFS(输入回款!$C:$C,输入回款!$A:$A,助手回款!$X44,输入回款!$B:$B,科目对照回款!$G$7)+SUMIFS(输入回款!$D:$D,输入回款!$A:$A,助手回款!$X44,输入回款!$B:$B,科目对照回款!$G$7))+IF(科目对照回款!$H$7="",0,SUMIFS(输入回款!$C:$C,输入回款!$A:$A,助手回款!$X44,输入回款!$B:$B,科目对照回款!$H$7)+SUMIFS(输入回款!$D:$D,输入回款!$A:$A,助手回款!$X44,输入回款!$B:$B,科目对照回款!$H$7)),2)</f>
        <v>-0</v>
      </c>
      <c r="H637" s="49" t="str">
        <f aca="false">IF(ROUND($G637,2)&gt;0,ROUND($G637,2),"")</f>
        <v/>
      </c>
      <c r="I637" s="49" t="str">
        <f aca="false">IF(ROUND($G637,2)&lt;0,-ROUND($G637,2),"")</f>
        <v/>
      </c>
      <c r="J637" s="20" t="n">
        <f aca="false">IF(ROUND($G637,2)=0,0,1)</f>
        <v>0</v>
      </c>
      <c r="K637" s="20" t="str">
        <f aca="false">IF($J637=0,"",SUM($J$632:$J637))</f>
        <v/>
      </c>
      <c r="L637" s="20" t="str">
        <f aca="false">IF($K637="","",$A637*100+$K637)</f>
        <v/>
      </c>
      <c r="M637" s="48" t="str">
        <f aca="false">参数!$B$4</f>
        <v>回款</v>
      </c>
    </row>
    <row r="638" customFormat="false" ht="13.5" hidden="false" customHeight="false" outlineLevel="0" collapsed="false">
      <c r="A638" s="47" t="n">
        <v>43</v>
      </c>
      <c r="B638" s="38" t="n">
        <f aca="false">助手回款!$B44</f>
        <v>2067</v>
      </c>
      <c r="C638" s="48" t="str">
        <f aca="false">助手回款!$C44</f>
        <v>博亮店</v>
      </c>
      <c r="D638" s="48" t="str">
        <f aca="false">科目对照回款!$B8&amp;""</f>
        <v>24小时</v>
      </c>
      <c r="E638" s="48" t="str">
        <f aca="false">科目对照回款!$C8&amp;""</f>
        <v>应收账款</v>
      </c>
      <c r="F638" s="48" t="str">
        <f aca="false">科目对照回款!$D8&amp;""</f>
        <v>24小时</v>
      </c>
      <c r="G638" s="49" t="n">
        <f aca="false">-ROUND(IF(科目对照回款!$F$8="",0,SUMIFS(输入回款!$C:$C,输入回款!$A:$A,助手回款!$X44,输入回款!$B:$B,科目对照回款!$F$8)+SUMIFS(输入回款!$D:$D,输入回款!$A:$A,助手回款!$X44,输入回款!$B:$B,科目对照回款!$F$8))+IF(科目对照回款!$G$8="",0,SUMIFS(输入回款!$C:$C,输入回款!$A:$A,助手回款!$X44,输入回款!$B:$B,科目对照回款!$G$8)+SUMIFS(输入回款!$D:$D,输入回款!$A:$A,助手回款!$X44,输入回款!$B:$B,科目对照回款!$G$8))+IF(科目对照回款!$H$8="",0,SUMIFS(输入回款!$C:$C,输入回款!$A:$A,助手回款!$X44,输入回款!$B:$B,科目对照回款!$H$8)+SUMIFS(输入回款!$D:$D,输入回款!$A:$A,助手回款!$X44,输入回款!$B:$B,科目对照回款!$H$8)),2)</f>
        <v>-0</v>
      </c>
      <c r="H638" s="49" t="str">
        <f aca="false">IF(ROUND($G638,2)&gt;0,ROUND($G638,2),"")</f>
        <v/>
      </c>
      <c r="I638" s="49" t="str">
        <f aca="false">IF(ROUND($G638,2)&lt;0,-ROUND($G638,2),"")</f>
        <v/>
      </c>
      <c r="J638" s="20" t="n">
        <f aca="false">IF(ROUND($G638,2)=0,0,1)</f>
        <v>0</v>
      </c>
      <c r="K638" s="20" t="str">
        <f aca="false">IF($J638=0,"",SUM($J$632:$J638))</f>
        <v/>
      </c>
      <c r="L638" s="20" t="str">
        <f aca="false">IF($K638="","",$A638*100+$K638)</f>
        <v/>
      </c>
      <c r="M638" s="48" t="str">
        <f aca="false">参数!$B$4</f>
        <v>回款</v>
      </c>
    </row>
    <row r="639" customFormat="false" ht="13.5" hidden="false" customHeight="false" outlineLevel="0" collapsed="false">
      <c r="A639" s="47" t="n">
        <v>43</v>
      </c>
      <c r="B639" s="38" t="n">
        <f aca="false">助手回款!$B44</f>
        <v>2067</v>
      </c>
      <c r="C639" s="48" t="str">
        <f aca="false">助手回款!$C44</f>
        <v>博亮店</v>
      </c>
      <c r="D639" s="48" t="str">
        <f aca="false">科目对照回款!$B9&amp;""</f>
        <v>健E卡</v>
      </c>
      <c r="E639" s="48" t="str">
        <f aca="false">科目对照回款!$C9&amp;""</f>
        <v>应收账款</v>
      </c>
      <c r="F639" s="48" t="str">
        <f aca="false">科目对照回款!$D9&amp;""</f>
        <v>健E卡</v>
      </c>
      <c r="G639" s="49" t="n">
        <f aca="false">-ROUND(IF(科目对照回款!$F$9="",0,SUMIFS(输入回款!$C:$C,输入回款!$A:$A,助手回款!$X44,输入回款!$B:$B,科目对照回款!$F$9)+SUMIFS(输入回款!$D:$D,输入回款!$A:$A,助手回款!$X44,输入回款!$B:$B,科目对照回款!$F$9))+IF(科目对照回款!$G$9="",0,SUMIFS(输入回款!$C:$C,输入回款!$A:$A,助手回款!$X44,输入回款!$B:$B,科目对照回款!$G$9)+SUMIFS(输入回款!$D:$D,输入回款!$A:$A,助手回款!$X44,输入回款!$B:$B,科目对照回款!$G$9))+IF(科目对照回款!$H$9="",0,SUMIFS(输入回款!$C:$C,输入回款!$A:$A,助手回款!$X44,输入回款!$B:$B,科目对照回款!$H$9)+SUMIFS(输入回款!$D:$D,输入回款!$A:$A,助手回款!$X44,输入回款!$B:$B,科目对照回款!$H$9)),2)</f>
        <v>-0</v>
      </c>
      <c r="H639" s="49" t="str">
        <f aca="false">IF(ROUND($G639,2)&gt;0,ROUND($G639,2),"")</f>
        <v/>
      </c>
      <c r="I639" s="49" t="str">
        <f aca="false">IF(ROUND($G639,2)&lt;0,-ROUND($G639,2),"")</f>
        <v/>
      </c>
      <c r="J639" s="20" t="n">
        <f aca="false">IF(ROUND($G639,2)=0,0,1)</f>
        <v>0</v>
      </c>
      <c r="K639" s="20" t="str">
        <f aca="false">IF($J639=0,"",SUM($J$632:$J639))</f>
        <v/>
      </c>
      <c r="L639" s="20" t="str">
        <f aca="false">IF($K639="","",$A639*100+$K639)</f>
        <v/>
      </c>
      <c r="M639" s="48" t="str">
        <f aca="false">参数!$B$4</f>
        <v>回款</v>
      </c>
    </row>
    <row r="640" customFormat="false" ht="13.5" hidden="false" customHeight="false" outlineLevel="0" collapsed="false">
      <c r="A640" s="47" t="n">
        <v>43</v>
      </c>
      <c r="B640" s="38" t="n">
        <f aca="false">助手回款!$B44</f>
        <v>2067</v>
      </c>
      <c r="C640" s="48" t="str">
        <f aca="false">助手回款!$C44</f>
        <v>博亮店</v>
      </c>
      <c r="D640" s="48" t="str">
        <f aca="false">科目对照回款!$B10&amp;""</f>
        <v>医卡通</v>
      </c>
      <c r="E640" s="48" t="str">
        <f aca="false">科目对照回款!$C10&amp;""</f>
        <v>应收账款</v>
      </c>
      <c r="F640" s="48" t="str">
        <f aca="false">科目对照回款!$D10&amp;""</f>
        <v>医卡通</v>
      </c>
      <c r="G640" s="49" t="n">
        <f aca="false">-ROUND(IF(科目对照回款!$F$10="",0,SUMIFS(输入回款!$C:$C,输入回款!$A:$A,助手回款!$X44,输入回款!$B:$B,科目对照回款!$F$10)+SUMIFS(输入回款!$D:$D,输入回款!$A:$A,助手回款!$X44,输入回款!$B:$B,科目对照回款!$F$10))+IF(科目对照回款!$G$10="",0,SUMIFS(输入回款!$C:$C,输入回款!$A:$A,助手回款!$X44,输入回款!$B:$B,科目对照回款!$G$10)+SUMIFS(输入回款!$D:$D,输入回款!$A:$A,助手回款!$X44,输入回款!$B:$B,科目对照回款!$G$10))+IF(科目对照回款!$H$10="",0,SUMIFS(输入回款!$C:$C,输入回款!$A:$A,助手回款!$X44,输入回款!$B:$B,科目对照回款!$H$10)+SUMIFS(输入回款!$D:$D,输入回款!$A:$A,助手回款!$X44,输入回款!$B:$B,科目对照回款!$H$10)),2)</f>
        <v>-0</v>
      </c>
      <c r="H640" s="49" t="str">
        <f aca="false">IF(ROUND($G640,2)&gt;0,ROUND($G640,2),"")</f>
        <v/>
      </c>
      <c r="I640" s="49" t="str">
        <f aca="false">IF(ROUND($G640,2)&lt;0,-ROUND($G640,2),"")</f>
        <v/>
      </c>
      <c r="J640" s="20" t="n">
        <f aca="false">IF(ROUND($G640,2)=0,0,1)</f>
        <v>0</v>
      </c>
      <c r="K640" s="20" t="str">
        <f aca="false">IF($J640=0,"",SUM($J$632:$J640))</f>
        <v/>
      </c>
      <c r="L640" s="20" t="str">
        <f aca="false">IF($K640="","",$A640*100+$K640)</f>
        <v/>
      </c>
      <c r="M640" s="48" t="str">
        <f aca="false">参数!$B$4</f>
        <v>回款</v>
      </c>
    </row>
    <row r="641" customFormat="false" ht="13.5" hidden="false" customHeight="false" outlineLevel="0" collapsed="false">
      <c r="A641" s="47" t="n">
        <v>43</v>
      </c>
      <c r="B641" s="38" t="n">
        <f aca="false">助手回款!$B44</f>
        <v>2067</v>
      </c>
      <c r="C641" s="48" t="str">
        <f aca="false">助手回款!$C44</f>
        <v>博亮店</v>
      </c>
      <c r="D641" s="48" t="str">
        <f aca="false">科目对照回款!$B11&amp;""</f>
        <v>企健网</v>
      </c>
      <c r="E641" s="48" t="str">
        <f aca="false">科目对照回款!$C11&amp;""</f>
        <v>应收账款</v>
      </c>
      <c r="F641" s="48" t="str">
        <f aca="false">科目对照回款!$D11&amp;""</f>
        <v>企健网</v>
      </c>
      <c r="G641" s="49" t="n">
        <f aca="false">-ROUND(IF(科目对照回款!$F$11="",0,SUMIFS(输入回款!$C:$C,输入回款!$A:$A,助手回款!$X44,输入回款!$B:$B,科目对照回款!$F$11)+SUMIFS(输入回款!$D:$D,输入回款!$A:$A,助手回款!$X44,输入回款!$B:$B,科目对照回款!$F$11))+IF(科目对照回款!$G$11="",0,SUMIFS(输入回款!$C:$C,输入回款!$A:$A,助手回款!$X44,输入回款!$B:$B,科目对照回款!$G$11)+SUMIFS(输入回款!$D:$D,输入回款!$A:$A,助手回款!$X44,输入回款!$B:$B,科目对照回款!$G$11))+IF(科目对照回款!$H$11="",0,SUMIFS(输入回款!$C:$C,输入回款!$A:$A,助手回款!$X44,输入回款!$B:$B,科目对照回款!$H$11)+SUMIFS(输入回款!$D:$D,输入回款!$A:$A,助手回款!$X44,输入回款!$B:$B,科目对照回款!$H$11)),2)</f>
        <v>-0</v>
      </c>
      <c r="H641" s="49" t="str">
        <f aca="false">IF(ROUND($G641,2)&gt;0,ROUND($G641,2),"")</f>
        <v/>
      </c>
      <c r="I641" s="49" t="str">
        <f aca="false">IF(ROUND($G641,2)&lt;0,-ROUND($G641,2),"")</f>
        <v/>
      </c>
      <c r="J641" s="20" t="n">
        <f aca="false">IF(ROUND($G641,2)=0,0,1)</f>
        <v>0</v>
      </c>
      <c r="K641" s="20" t="str">
        <f aca="false">IF($J641=0,"",SUM($J$632:$J641))</f>
        <v/>
      </c>
      <c r="L641" s="20" t="str">
        <f aca="false">IF($K641="","",$A641*100+$K641)</f>
        <v/>
      </c>
      <c r="M641" s="48" t="str">
        <f aca="false">参数!$B$4</f>
        <v>回款</v>
      </c>
    </row>
    <row r="642" customFormat="false" ht="13.5" hidden="false" customHeight="false" outlineLevel="0" collapsed="false">
      <c r="A642" s="47" t="n">
        <v>43</v>
      </c>
      <c r="B642" s="38" t="n">
        <f aca="false">助手回款!$B44</f>
        <v>2067</v>
      </c>
      <c r="C642" s="48" t="str">
        <f aca="false">助手回款!$C44</f>
        <v>博亮店</v>
      </c>
      <c r="D642" s="48" t="str">
        <f aca="false">科目对照回款!$B12&amp;""</f>
        <v>亲情卡</v>
      </c>
      <c r="E642" s="48" t="str">
        <f aca="false">科目对照回款!$C12&amp;""</f>
        <v>应收账款</v>
      </c>
      <c r="F642" s="48" t="str">
        <f aca="false">科目对照回款!$D12&amp;""</f>
        <v>亲情卡</v>
      </c>
      <c r="G642" s="49" t="n">
        <f aca="false">-ROUND(IF(科目对照回款!$F$12="",0,SUMIFS(输入回款!$C:$C,输入回款!$A:$A,助手回款!$X44,输入回款!$B:$B,科目对照回款!$F$12)+SUMIFS(输入回款!$D:$D,输入回款!$A:$A,助手回款!$X44,输入回款!$B:$B,科目对照回款!$F$12))+IF(科目对照回款!$G$12="",0,SUMIFS(输入回款!$C:$C,输入回款!$A:$A,助手回款!$X44,输入回款!$B:$B,科目对照回款!$G$12)+SUMIFS(输入回款!$D:$D,输入回款!$A:$A,助手回款!$X44,输入回款!$B:$B,科目对照回款!$G$12))+IF(科目对照回款!$H$12="",0,SUMIFS(输入回款!$C:$C,输入回款!$A:$A,助手回款!$X44,输入回款!$B:$B,科目对照回款!$H$12)+SUMIFS(输入回款!$D:$D,输入回款!$A:$A,助手回款!$X44,输入回款!$B:$B,科目对照回款!$H$12)),2)</f>
        <v>-0</v>
      </c>
      <c r="H642" s="49" t="str">
        <f aca="false">IF(ROUND($G642,2)&gt;0,ROUND($G642,2),"")</f>
        <v/>
      </c>
      <c r="I642" s="49" t="str">
        <f aca="false">IF(ROUND($G642,2)&lt;0,-ROUND($G642,2),"")</f>
        <v/>
      </c>
      <c r="J642" s="20" t="n">
        <f aca="false">IF(ROUND($G642,2)=0,0,1)</f>
        <v>0</v>
      </c>
      <c r="K642" s="20" t="str">
        <f aca="false">IF($J642=0,"",SUM($J$632:$J642))</f>
        <v/>
      </c>
      <c r="L642" s="20" t="str">
        <f aca="false">IF($K642="","",$A642*100+$K642)</f>
        <v/>
      </c>
      <c r="M642" s="48" t="str">
        <f aca="false">参数!$B$4</f>
        <v>回款</v>
      </c>
    </row>
    <row r="643" customFormat="false" ht="13.5" hidden="false" customHeight="false" outlineLevel="0" collapsed="false">
      <c r="A643" s="47" t="n">
        <v>43</v>
      </c>
      <c r="B643" s="38" t="n">
        <f aca="false">助手回款!$B44</f>
        <v>2067</v>
      </c>
      <c r="C643" s="48" t="str">
        <f aca="false">助手回款!$C44</f>
        <v>博亮店</v>
      </c>
      <c r="D643" s="48" t="str">
        <f aca="false">科目对照回款!$B13&amp;""</f>
        <v>银联</v>
      </c>
      <c r="E643" s="48" t="str">
        <f aca="false">科目对照回款!$C13&amp;""</f>
        <v>应收账款</v>
      </c>
      <c r="F643" s="48" t="str">
        <f aca="false">科目对照回款!$D13&amp;""</f>
        <v>银联</v>
      </c>
      <c r="G643" s="49" t="n">
        <f aca="false">-ROUND(IF(科目对照回款!$F$13="",0,SUMIFS(输入回款!$C:$C,输入回款!$A:$A,助手回款!$X44,输入回款!$B:$B,科目对照回款!$F$13)+SUMIFS(输入回款!$D:$D,输入回款!$A:$A,助手回款!$X44,输入回款!$B:$B,科目对照回款!$F$13))+IF(科目对照回款!$G$13="",0,SUMIFS(输入回款!$C:$C,输入回款!$A:$A,助手回款!$X44,输入回款!$B:$B,科目对照回款!$G$13)+SUMIFS(输入回款!$D:$D,输入回款!$A:$A,助手回款!$X44,输入回款!$B:$B,科目对照回款!$G$13))+IF(科目对照回款!$H$13="",0,SUMIFS(输入回款!$C:$C,输入回款!$A:$A,助手回款!$X44,输入回款!$B:$B,科目对照回款!$H$13)+SUMIFS(输入回款!$D:$D,输入回款!$A:$A,助手回款!$X44,输入回款!$B:$B,科目对照回款!$H$13)),2)</f>
        <v>-0</v>
      </c>
      <c r="H643" s="49" t="str">
        <f aca="false">IF(ROUND($G643,2)&gt;0,ROUND($G643,2),"")</f>
        <v/>
      </c>
      <c r="I643" s="49" t="str">
        <f aca="false">IF(ROUND($G643,2)&lt;0,-ROUND($G643,2),"")</f>
        <v/>
      </c>
      <c r="J643" s="20" t="n">
        <f aca="false">IF(ROUND($G643,2)=0,0,1)</f>
        <v>0</v>
      </c>
      <c r="K643" s="20" t="str">
        <f aca="false">IF($J643=0,"",SUM($J$632:$J643))</f>
        <v/>
      </c>
      <c r="L643" s="20" t="str">
        <f aca="false">IF($K643="","",$A643*100+$K643)</f>
        <v/>
      </c>
      <c r="M643" s="48" t="str">
        <f aca="false">参数!$B$4</f>
        <v>回款</v>
      </c>
    </row>
    <row r="644" customFormat="false" ht="13.5" hidden="false" customHeight="false" outlineLevel="0" collapsed="false">
      <c r="A644" s="47" t="n">
        <v>43</v>
      </c>
      <c r="B644" s="38" t="n">
        <f aca="false">助手回款!$B44</f>
        <v>2067</v>
      </c>
      <c r="C644" s="48" t="str">
        <f aca="false">助手回款!$C44</f>
        <v>博亮店</v>
      </c>
      <c r="D644" s="48" t="str">
        <f aca="false">科目对照回款!$B14&amp;""</f>
        <v>代金券</v>
      </c>
      <c r="E644" s="48" t="str">
        <f aca="false">科目对照回款!$C14&amp;""</f>
        <v>应收账款</v>
      </c>
      <c r="F644" s="48" t="str">
        <f aca="false">科目对照回款!$D14&amp;""</f>
        <v>代金券</v>
      </c>
      <c r="G644" s="49" t="n">
        <f aca="false">-ROUND(IF(科目对照回款!$F$14="",0,SUMIFS(输入回款!$C:$C,输入回款!$A:$A,助手回款!$X44,输入回款!$B:$B,科目对照回款!$F$14)+SUMIFS(输入回款!$D:$D,输入回款!$A:$A,助手回款!$X44,输入回款!$B:$B,科目对照回款!$F$14))+IF(科目对照回款!$G$14="",0,SUMIFS(输入回款!$C:$C,输入回款!$A:$A,助手回款!$X44,输入回款!$B:$B,科目对照回款!$G$14)+SUMIFS(输入回款!$D:$D,输入回款!$A:$A,助手回款!$X44,输入回款!$B:$B,科目对照回款!$G$14))+IF(科目对照回款!$H$14="",0,SUMIFS(输入回款!$C:$C,输入回款!$A:$A,助手回款!$X44,输入回款!$B:$B,科目对照回款!$H$14)+SUMIFS(输入回款!$D:$D,输入回款!$A:$A,助手回款!$X44,输入回款!$B:$B,科目对照回款!$H$14)),2)</f>
        <v>-0</v>
      </c>
      <c r="H644" s="49" t="str">
        <f aca="false">IF(ROUND($G644,2)&gt;0,ROUND($G644,2),"")</f>
        <v/>
      </c>
      <c r="I644" s="49" t="str">
        <f aca="false">IF(ROUND($G644,2)&lt;0,-ROUND($G644,2),"")</f>
        <v/>
      </c>
      <c r="J644" s="20" t="n">
        <f aca="false">IF(ROUND($G644,2)=0,0,1)</f>
        <v>0</v>
      </c>
      <c r="K644" s="20" t="str">
        <f aca="false">IF($J644=0,"",SUM($J$632:$J644))</f>
        <v/>
      </c>
      <c r="L644" s="20" t="str">
        <f aca="false">IF($K644="","",$A644*100+$K644)</f>
        <v/>
      </c>
      <c r="M644" s="48" t="str">
        <f aca="false">参数!$B$4</f>
        <v>回款</v>
      </c>
    </row>
    <row r="645" customFormat="false" ht="13.5" hidden="false" customHeight="false" outlineLevel="0" collapsed="false">
      <c r="A645" s="47" t="n">
        <v>43</v>
      </c>
      <c r="B645" s="38" t="n">
        <f aca="false">助手回款!$B44</f>
        <v>2067</v>
      </c>
      <c r="C645" s="48" t="str">
        <f aca="false">助手回款!$C44</f>
        <v>博亮店</v>
      </c>
      <c r="D645" s="48" t="str">
        <f aca="false">科目对照回款!$B15&amp;""</f>
        <v>药机微信</v>
      </c>
      <c r="E645" s="48" t="str">
        <f aca="false">科目对照回款!$C15&amp;""</f>
        <v>应收账款</v>
      </c>
      <c r="F645" s="48" t="str">
        <f aca="false">科目对照回款!$D15&amp;""</f>
        <v>药机微信</v>
      </c>
      <c r="G645" s="49" t="n">
        <f aca="false">-ROUND(IF(科目对照回款!$F$15="",0,SUMIFS(输入回款!$C:$C,输入回款!$A:$A,助手回款!$X44,输入回款!$B:$B,科目对照回款!$F$15)+SUMIFS(输入回款!$D:$D,输入回款!$A:$A,助手回款!$X44,输入回款!$B:$B,科目对照回款!$F$15))+IF(科目对照回款!$G$15="",0,SUMIFS(输入回款!$C:$C,输入回款!$A:$A,助手回款!$X44,输入回款!$B:$B,科目对照回款!$G$15)+SUMIFS(输入回款!$D:$D,输入回款!$A:$A,助手回款!$X44,输入回款!$B:$B,科目对照回款!$G$15))+IF(科目对照回款!$H$15="",0,SUMIFS(输入回款!$C:$C,输入回款!$A:$A,助手回款!$X44,输入回款!$B:$B,科目对照回款!$H$15)+SUMIFS(输入回款!$D:$D,输入回款!$A:$A,助手回款!$X44,输入回款!$B:$B,科目对照回款!$H$15)),2)</f>
        <v>-0</v>
      </c>
      <c r="H645" s="49" t="str">
        <f aca="false">IF(ROUND($G645,2)&gt;0,ROUND($G645,2),"")</f>
        <v/>
      </c>
      <c r="I645" s="49" t="str">
        <f aca="false">IF(ROUND($G645,2)&lt;0,-ROUND($G645,2),"")</f>
        <v/>
      </c>
      <c r="J645" s="20" t="n">
        <f aca="false">IF(ROUND($G645,2)=0,0,1)</f>
        <v>0</v>
      </c>
      <c r="K645" s="20" t="str">
        <f aca="false">IF($J645=0,"",SUM($J$632:$J645))</f>
        <v/>
      </c>
      <c r="L645" s="20" t="str">
        <f aca="false">IF($K645="","",$A645*100+$K645)</f>
        <v/>
      </c>
      <c r="M645" s="48" t="str">
        <f aca="false">参数!$B$4</f>
        <v>回款</v>
      </c>
    </row>
    <row r="646" customFormat="false" ht="13.5" hidden="false" customHeight="false" outlineLevel="0" collapsed="false">
      <c r="A646" s="47" t="n">
        <v>43</v>
      </c>
      <c r="B646" s="38" t="n">
        <f aca="false">助手回款!$B44</f>
        <v>2067</v>
      </c>
      <c r="C646" s="48" t="str">
        <f aca="false">助手回款!$C44</f>
        <v>博亮店</v>
      </c>
      <c r="D646" s="48" t="str">
        <f aca="false">科目对照回款!$B16&amp;""</f>
        <v>储值卡</v>
      </c>
      <c r="E646" s="48" t="str">
        <f aca="false">科目对照回款!$C16&amp;""</f>
        <v>其他应收款</v>
      </c>
      <c r="F646" s="48" t="str">
        <f aca="false">科目对照回款!$D16&amp;""</f>
        <v>储值卡</v>
      </c>
      <c r="G646" s="49" t="n">
        <f aca="false">-ROUND(IF(科目对照回款!$F$16="",0,SUMIFS(输入回款!$C:$C,输入回款!$A:$A,助手回款!$X44,输入回款!$B:$B,科目对照回款!$F$16)+SUMIFS(输入回款!$D:$D,输入回款!$A:$A,助手回款!$X44,输入回款!$B:$B,科目对照回款!$F$16))+IF(科目对照回款!$G$16="",0,SUMIFS(输入回款!$C:$C,输入回款!$A:$A,助手回款!$X44,输入回款!$B:$B,科目对照回款!$G$16)+SUMIFS(输入回款!$D:$D,输入回款!$A:$A,助手回款!$X44,输入回款!$B:$B,科目对照回款!$G$16))+IF(科目对照回款!$H$16="",0,SUMIFS(输入回款!$C:$C,输入回款!$A:$A,助手回款!$X44,输入回款!$B:$B,科目对照回款!$H$16)+SUMIFS(输入回款!$D:$D,输入回款!$A:$A,助手回款!$X44,输入回款!$B:$B,科目对照回款!$H$16)),2)</f>
        <v>-0</v>
      </c>
      <c r="H646" s="49" t="str">
        <f aca="false">IF(ROUND($G646,2)&gt;0,ROUND($G646,2),"")</f>
        <v/>
      </c>
      <c r="I646" s="49" t="str">
        <f aca="false">IF(ROUND($G646,2)&lt;0,-ROUND($G646,2),"")</f>
        <v/>
      </c>
      <c r="J646" s="20" t="n">
        <f aca="false">IF(ROUND($G646,2)=0,0,1)</f>
        <v>0</v>
      </c>
      <c r="K646" s="20" t="str">
        <f aca="false">IF($J646=0,"",SUM($J$632:$J646))</f>
        <v/>
      </c>
      <c r="L646" s="20" t="str">
        <f aca="false">IF($K646="","",$A646*100+$K646)</f>
        <v/>
      </c>
      <c r="M646" s="48" t="str">
        <f aca="false">参数!$B$4</f>
        <v>回款</v>
      </c>
    </row>
    <row r="647" customFormat="false" ht="13.5" hidden="false" customHeight="false" outlineLevel="0" collapsed="false">
      <c r="A647" s="47" t="n">
        <v>44</v>
      </c>
      <c r="B647" s="38" t="n">
        <f aca="false">助手回款!$B45</f>
        <v>2068</v>
      </c>
      <c r="C647" s="48" t="str">
        <f aca="false">助手回款!$C45</f>
        <v>博山店</v>
      </c>
      <c r="D647" s="48" t="str">
        <f aca="false">科目对照回款!$B2&amp;""</f>
        <v>库存现金</v>
      </c>
      <c r="E647" s="48" t="str">
        <f aca="false">科目对照回款!$C2&amp;""</f>
        <v>库存现金</v>
      </c>
      <c r="F647" s="48" t="str">
        <f aca="false">科目对照回款!$D2&amp;""</f>
        <v/>
      </c>
      <c r="G647" s="49" t="n">
        <f aca="false">助手回款!$E45</f>
        <v>65308.4</v>
      </c>
      <c r="H647" s="49" t="n">
        <f aca="false">IF(ROUND($G647,2)&gt;0,ROUND($G647,2),"")</f>
        <v>65308.4</v>
      </c>
      <c r="I647" s="49" t="str">
        <f aca="false">IF(ROUND($G647,2)&lt;0,-ROUND($G647,2),"")</f>
        <v/>
      </c>
      <c r="J647" s="20" t="n">
        <f aca="false">IF(ROUND($G647,2)=0,0,1)</f>
        <v>1</v>
      </c>
      <c r="K647" s="20" t="n">
        <f aca="false">IF($J647=0,"",SUM($J$647:$J647))</f>
        <v>1</v>
      </c>
      <c r="L647" s="20" t="n">
        <f aca="false">IF($K647="","",$A647*100+$K647)</f>
        <v>4401</v>
      </c>
      <c r="M647" s="48" t="str">
        <f aca="false">参数!$B$4</f>
        <v>回款</v>
      </c>
    </row>
    <row r="648" customFormat="false" ht="13.5" hidden="false" customHeight="false" outlineLevel="0" collapsed="false">
      <c r="A648" s="47" t="n">
        <v>44</v>
      </c>
      <c r="B648" s="38" t="n">
        <f aca="false">助手回款!$B45</f>
        <v>2068</v>
      </c>
      <c r="C648" s="48" t="str">
        <f aca="false">助手回款!$C45</f>
        <v>博山店</v>
      </c>
      <c r="D648" s="48" t="str">
        <f aca="false">科目对照回款!$B3&amp;""</f>
        <v>手续费</v>
      </c>
      <c r="E648" s="48" t="str">
        <f aca="false">科目对照回款!$C3&amp;""</f>
        <v>财务费用</v>
      </c>
      <c r="F648" s="48" t="str">
        <f aca="false">科目对照回款!$D3&amp;""</f>
        <v>手续费</v>
      </c>
      <c r="G648" s="49" t="n">
        <f aca="false">助手回款!$F45</f>
        <v>5.32</v>
      </c>
      <c r="H648" s="49" t="n">
        <f aca="false">IF(ROUND($G648,2)&gt;0,ROUND($G648,2),"")</f>
        <v>5.32</v>
      </c>
      <c r="I648" s="49" t="str">
        <f aca="false">IF(ROUND($G648,2)&lt;0,-ROUND($G648,2),"")</f>
        <v/>
      </c>
      <c r="J648" s="20" t="n">
        <f aca="false">IF(ROUND($G648,2)=0,0,1)</f>
        <v>1</v>
      </c>
      <c r="K648" s="20" t="n">
        <f aca="false">IF($J648=0,"",SUM($J$647:$J648))</f>
        <v>2</v>
      </c>
      <c r="L648" s="20" t="n">
        <f aca="false">IF($K648="","",$A648*100+$K648)</f>
        <v>4402</v>
      </c>
      <c r="M648" s="48" t="str">
        <f aca="false">参数!$B$4</f>
        <v>回款</v>
      </c>
    </row>
    <row r="649" customFormat="false" ht="13.5" hidden="false" customHeight="false" outlineLevel="0" collapsed="false">
      <c r="A649" s="47" t="n">
        <v>44</v>
      </c>
      <c r="B649" s="38" t="n">
        <f aca="false">助手回款!$B45</f>
        <v>2068</v>
      </c>
      <c r="C649" s="48" t="str">
        <f aca="false">助手回款!$C45</f>
        <v>博山店</v>
      </c>
      <c r="D649" s="48" t="str">
        <f aca="false">科目对照回款!$B4&amp;""</f>
        <v>聚合支付</v>
      </c>
      <c r="E649" s="48" t="str">
        <f aca="false">科目对照回款!$C4&amp;""</f>
        <v>应收账款</v>
      </c>
      <c r="F649" s="48" t="str">
        <f aca="false">科目对照回款!$D4&amp;""</f>
        <v>聚合支付</v>
      </c>
      <c r="G649" s="49" t="n">
        <f aca="false">-ROUND(IF(科目对照回款!$F$4="",0,SUMIFS(输入回款!$C:$C,输入回款!$A:$A,助手回款!$X45,输入回款!$B:$B,科目对照回款!$F$4)+SUMIFS(输入回款!$D:$D,输入回款!$A:$A,助手回款!$X45,输入回款!$B:$B,科目对照回款!$F$4))+IF(科目对照回款!$G$4="",0,SUMIFS(输入回款!$C:$C,输入回款!$A:$A,助手回款!$X45,输入回款!$B:$B,科目对照回款!$G$4)+SUMIFS(输入回款!$D:$D,输入回款!$A:$A,助手回款!$X45,输入回款!$B:$B,科目对照回款!$G$4))+IF(科目对照回款!$H$4="",0,SUMIFS(输入回款!$C:$C,输入回款!$A:$A,助手回款!$X45,输入回款!$B:$B,科目对照回款!$H$4)+SUMIFS(输入回款!$D:$D,输入回款!$A:$A,助手回款!$X45,输入回款!$B:$B,科目对照回款!$H$4)),2)</f>
        <v>-52992.17</v>
      </c>
      <c r="H649" s="49" t="str">
        <f aca="false">IF(ROUND($G649,2)&gt;0,ROUND($G649,2),"")</f>
        <v/>
      </c>
      <c r="I649" s="49" t="n">
        <f aca="false">IF(ROUND($G649,2)&lt;0,-ROUND($G649,2),"")</f>
        <v>52992.17</v>
      </c>
      <c r="J649" s="20" t="n">
        <f aca="false">IF(ROUND($G649,2)=0,0,1)</f>
        <v>1</v>
      </c>
      <c r="K649" s="20" t="n">
        <f aca="false">IF($J649=0,"",SUM($J$647:$J649))</f>
        <v>3</v>
      </c>
      <c r="L649" s="20" t="n">
        <f aca="false">IF($K649="","",$A649*100+$K649)</f>
        <v>4403</v>
      </c>
      <c r="M649" s="48" t="str">
        <f aca="false">参数!$B$4</f>
        <v>回款</v>
      </c>
    </row>
    <row r="650" customFormat="false" ht="13.5" hidden="false" customHeight="false" outlineLevel="0" collapsed="false">
      <c r="A650" s="47" t="n">
        <v>44</v>
      </c>
      <c r="B650" s="38" t="n">
        <f aca="false">助手回款!$B45</f>
        <v>2068</v>
      </c>
      <c r="C650" s="48" t="str">
        <f aca="false">助手回款!$C45</f>
        <v>博山店</v>
      </c>
      <c r="D650" s="48" t="str">
        <f aca="false">科目对照回款!$B5&amp;""</f>
        <v>医保</v>
      </c>
      <c r="E650" s="48" t="str">
        <f aca="false">科目对照回款!$C5&amp;""</f>
        <v>应收账款</v>
      </c>
      <c r="F650" s="48" t="str">
        <f aca="false">科目对照回款!$D5&amp;""</f>
        <v>医保</v>
      </c>
      <c r="G650" s="49" t="n">
        <f aca="false">-ROUND(IF(科目对照回款!$F$5="",0,SUMIFS(输入回款!$C:$C,输入回款!$A:$A,助手回款!$X45,输入回款!$B:$B,科目对照回款!$F$5)+SUMIFS(输入回款!$D:$D,输入回款!$A:$A,助手回款!$X45,输入回款!$B:$B,科目对照回款!$F$5))+IF(科目对照回款!$G$5="",0,SUMIFS(输入回款!$C:$C,输入回款!$A:$A,助手回款!$X45,输入回款!$B:$B,科目对照回款!$G$5)+SUMIFS(输入回款!$D:$D,输入回款!$A:$A,助手回款!$X45,输入回款!$B:$B,科目对照回款!$G$5))+IF(科目对照回款!$H$5="",0,SUMIFS(输入回款!$C:$C,输入回款!$A:$A,助手回款!$X45,输入回款!$B:$B,科目对照回款!$H$5)+SUMIFS(输入回款!$D:$D,输入回款!$A:$A,助手回款!$X45,输入回款!$B:$B,科目对照回款!$H$5)),2)</f>
        <v>-12297.65</v>
      </c>
      <c r="H650" s="49" t="str">
        <f aca="false">IF(ROUND($G650,2)&gt;0,ROUND($G650,2),"")</f>
        <v/>
      </c>
      <c r="I650" s="49" t="n">
        <f aca="false">IF(ROUND($G650,2)&lt;0,-ROUND($G650,2),"")</f>
        <v>12297.65</v>
      </c>
      <c r="J650" s="20" t="n">
        <f aca="false">IF(ROUND($G650,2)=0,0,1)</f>
        <v>1</v>
      </c>
      <c r="K650" s="20" t="n">
        <f aca="false">IF($J650=0,"",SUM($J$647:$J650))</f>
        <v>4</v>
      </c>
      <c r="L650" s="20" t="n">
        <f aca="false">IF($K650="","",$A650*100+$K650)</f>
        <v>4404</v>
      </c>
      <c r="M650" s="48" t="str">
        <f aca="false">参数!$B$4</f>
        <v>回款</v>
      </c>
    </row>
    <row r="651" customFormat="false" ht="13.5" hidden="false" customHeight="false" outlineLevel="0" collapsed="false">
      <c r="A651" s="47" t="n">
        <v>44</v>
      </c>
      <c r="B651" s="38" t="n">
        <f aca="false">助手回款!$B45</f>
        <v>2068</v>
      </c>
      <c r="C651" s="48" t="str">
        <f aca="false">助手回款!$C45</f>
        <v>博山店</v>
      </c>
      <c r="D651" s="48" t="str">
        <f aca="false">科目对照回款!$B6&amp;""</f>
        <v>美团</v>
      </c>
      <c r="E651" s="48" t="str">
        <f aca="false">科目对照回款!$C6&amp;""</f>
        <v>应收账款</v>
      </c>
      <c r="F651" s="48" t="str">
        <f aca="false">科目对照回款!$D6&amp;""</f>
        <v>美团</v>
      </c>
      <c r="G651" s="49" t="n">
        <f aca="false">-ROUND(IF(科目对照回款!$F$6="",0,SUMIFS(输入回款!$C:$C,输入回款!$A:$A,助手回款!$X45,输入回款!$B:$B,科目对照回款!$F$6)+SUMIFS(输入回款!$D:$D,输入回款!$A:$A,助手回款!$X45,输入回款!$B:$B,科目对照回款!$F$6))+IF(科目对照回款!$G$6="",0,SUMIFS(输入回款!$C:$C,输入回款!$A:$A,助手回款!$X45,输入回款!$B:$B,科目对照回款!$G$6)+SUMIFS(输入回款!$D:$D,输入回款!$A:$A,助手回款!$X45,输入回款!$B:$B,科目对照回款!$G$6))+IF(科目对照回款!$H$6="",0,SUMIFS(输入回款!$C:$C,输入回款!$A:$A,助手回款!$X45,输入回款!$B:$B,科目对照回款!$H$6)+SUMIFS(输入回款!$D:$D,输入回款!$A:$A,助手回款!$X45,输入回款!$B:$B,科目对照回款!$H$6)),2)</f>
        <v>-23.9</v>
      </c>
      <c r="H651" s="49" t="str">
        <f aca="false">IF(ROUND($G651,2)&gt;0,ROUND($G651,2),"")</f>
        <v/>
      </c>
      <c r="I651" s="49" t="n">
        <f aca="false">IF(ROUND($G651,2)&lt;0,-ROUND($G651,2),"")</f>
        <v>23.9</v>
      </c>
      <c r="J651" s="20" t="n">
        <f aca="false">IF(ROUND($G651,2)=0,0,1)</f>
        <v>1</v>
      </c>
      <c r="K651" s="20" t="n">
        <f aca="false">IF($J651=0,"",SUM($J$647:$J651))</f>
        <v>5</v>
      </c>
      <c r="L651" s="20" t="n">
        <f aca="false">IF($K651="","",$A651*100+$K651)</f>
        <v>4405</v>
      </c>
      <c r="M651" s="48" t="str">
        <f aca="false">参数!$B$4</f>
        <v>回款</v>
      </c>
    </row>
    <row r="652" customFormat="false" ht="13.5" hidden="false" customHeight="false" outlineLevel="0" collapsed="false">
      <c r="A652" s="47" t="n">
        <v>44</v>
      </c>
      <c r="B652" s="38" t="n">
        <f aca="false">助手回款!$B45</f>
        <v>2068</v>
      </c>
      <c r="C652" s="48" t="str">
        <f aca="false">助手回款!$C45</f>
        <v>博山店</v>
      </c>
      <c r="D652" s="48" t="str">
        <f aca="false">科目对照回款!$B7&amp;""</f>
        <v>饿了么</v>
      </c>
      <c r="E652" s="48" t="str">
        <f aca="false">科目对照回款!$C7&amp;""</f>
        <v>应收账款</v>
      </c>
      <c r="F652" s="48" t="str">
        <f aca="false">科目对照回款!$D7&amp;""</f>
        <v>饿了么</v>
      </c>
      <c r="G652" s="49" t="n">
        <f aca="false">-ROUND(IF(科目对照回款!$F$7="",0,SUMIFS(输入回款!$C:$C,输入回款!$A:$A,助手回款!$X45,输入回款!$B:$B,科目对照回款!$F$7)+SUMIFS(输入回款!$D:$D,输入回款!$A:$A,助手回款!$X45,输入回款!$B:$B,科目对照回款!$F$7))+IF(科目对照回款!$G$7="",0,SUMIFS(输入回款!$C:$C,输入回款!$A:$A,助手回款!$X45,输入回款!$B:$B,科目对照回款!$G$7)+SUMIFS(输入回款!$D:$D,输入回款!$A:$A,助手回款!$X45,输入回款!$B:$B,科目对照回款!$G$7))+IF(科目对照回款!$H$7="",0,SUMIFS(输入回款!$C:$C,输入回款!$A:$A,助手回款!$X45,输入回款!$B:$B,科目对照回款!$H$7)+SUMIFS(输入回款!$D:$D,输入回款!$A:$A,助手回款!$X45,输入回款!$B:$B,科目对照回款!$H$7)),2)</f>
        <v>-0</v>
      </c>
      <c r="H652" s="49" t="str">
        <f aca="false">IF(ROUND($G652,2)&gt;0,ROUND($G652,2),"")</f>
        <v/>
      </c>
      <c r="I652" s="49" t="str">
        <f aca="false">IF(ROUND($G652,2)&lt;0,-ROUND($G652,2),"")</f>
        <v/>
      </c>
      <c r="J652" s="20" t="n">
        <f aca="false">IF(ROUND($G652,2)=0,0,1)</f>
        <v>0</v>
      </c>
      <c r="K652" s="20" t="str">
        <f aca="false">IF($J652=0,"",SUM($J$647:$J652))</f>
        <v/>
      </c>
      <c r="L652" s="20" t="str">
        <f aca="false">IF($K652="","",$A652*100+$K652)</f>
        <v/>
      </c>
      <c r="M652" s="48" t="str">
        <f aca="false">参数!$B$4</f>
        <v>回款</v>
      </c>
    </row>
    <row r="653" customFormat="false" ht="13.5" hidden="false" customHeight="false" outlineLevel="0" collapsed="false">
      <c r="A653" s="47" t="n">
        <v>44</v>
      </c>
      <c r="B653" s="38" t="n">
        <f aca="false">助手回款!$B45</f>
        <v>2068</v>
      </c>
      <c r="C653" s="48" t="str">
        <f aca="false">助手回款!$C45</f>
        <v>博山店</v>
      </c>
      <c r="D653" s="48" t="str">
        <f aca="false">科目对照回款!$B8&amp;""</f>
        <v>24小时</v>
      </c>
      <c r="E653" s="48" t="str">
        <f aca="false">科目对照回款!$C8&amp;""</f>
        <v>应收账款</v>
      </c>
      <c r="F653" s="48" t="str">
        <f aca="false">科目对照回款!$D8&amp;""</f>
        <v>24小时</v>
      </c>
      <c r="G653" s="49" t="n">
        <f aca="false">-ROUND(IF(科目对照回款!$F$8="",0,SUMIFS(输入回款!$C:$C,输入回款!$A:$A,助手回款!$X45,输入回款!$B:$B,科目对照回款!$F$8)+SUMIFS(输入回款!$D:$D,输入回款!$A:$A,助手回款!$X45,输入回款!$B:$B,科目对照回款!$F$8))+IF(科目对照回款!$G$8="",0,SUMIFS(输入回款!$C:$C,输入回款!$A:$A,助手回款!$X45,输入回款!$B:$B,科目对照回款!$G$8)+SUMIFS(输入回款!$D:$D,输入回款!$A:$A,助手回款!$X45,输入回款!$B:$B,科目对照回款!$G$8))+IF(科目对照回款!$H$8="",0,SUMIFS(输入回款!$C:$C,输入回款!$A:$A,助手回款!$X45,输入回款!$B:$B,科目对照回款!$H$8)+SUMIFS(输入回款!$D:$D,输入回款!$A:$A,助手回款!$X45,输入回款!$B:$B,科目对照回款!$H$8)),2)</f>
        <v>-0</v>
      </c>
      <c r="H653" s="49" t="str">
        <f aca="false">IF(ROUND($G653,2)&gt;0,ROUND($G653,2),"")</f>
        <v/>
      </c>
      <c r="I653" s="49" t="str">
        <f aca="false">IF(ROUND($G653,2)&lt;0,-ROUND($G653,2),"")</f>
        <v/>
      </c>
      <c r="J653" s="20" t="n">
        <f aca="false">IF(ROUND($G653,2)=0,0,1)</f>
        <v>0</v>
      </c>
      <c r="K653" s="20" t="str">
        <f aca="false">IF($J653=0,"",SUM($J$647:$J653))</f>
        <v/>
      </c>
      <c r="L653" s="20" t="str">
        <f aca="false">IF($K653="","",$A653*100+$K653)</f>
        <v/>
      </c>
      <c r="M653" s="48" t="str">
        <f aca="false">参数!$B$4</f>
        <v>回款</v>
      </c>
    </row>
    <row r="654" customFormat="false" ht="13.5" hidden="false" customHeight="false" outlineLevel="0" collapsed="false">
      <c r="A654" s="47" t="n">
        <v>44</v>
      </c>
      <c r="B654" s="38" t="n">
        <f aca="false">助手回款!$B45</f>
        <v>2068</v>
      </c>
      <c r="C654" s="48" t="str">
        <f aca="false">助手回款!$C45</f>
        <v>博山店</v>
      </c>
      <c r="D654" s="48" t="str">
        <f aca="false">科目对照回款!$B9&amp;""</f>
        <v>健E卡</v>
      </c>
      <c r="E654" s="48" t="str">
        <f aca="false">科目对照回款!$C9&amp;""</f>
        <v>应收账款</v>
      </c>
      <c r="F654" s="48" t="str">
        <f aca="false">科目对照回款!$D9&amp;""</f>
        <v>健E卡</v>
      </c>
      <c r="G654" s="49" t="n">
        <f aca="false">-ROUND(IF(科目对照回款!$F$9="",0,SUMIFS(输入回款!$C:$C,输入回款!$A:$A,助手回款!$X45,输入回款!$B:$B,科目对照回款!$F$9)+SUMIFS(输入回款!$D:$D,输入回款!$A:$A,助手回款!$X45,输入回款!$B:$B,科目对照回款!$F$9))+IF(科目对照回款!$G$9="",0,SUMIFS(输入回款!$C:$C,输入回款!$A:$A,助手回款!$X45,输入回款!$B:$B,科目对照回款!$G$9)+SUMIFS(输入回款!$D:$D,输入回款!$A:$A,助手回款!$X45,输入回款!$B:$B,科目对照回款!$G$9))+IF(科目对照回款!$H$9="",0,SUMIFS(输入回款!$C:$C,输入回款!$A:$A,助手回款!$X45,输入回款!$B:$B,科目对照回款!$H$9)+SUMIFS(输入回款!$D:$D,输入回款!$A:$A,助手回款!$X45,输入回款!$B:$B,科目对照回款!$H$9)),2)</f>
        <v>-0</v>
      </c>
      <c r="H654" s="49" t="str">
        <f aca="false">IF(ROUND($G654,2)&gt;0,ROUND($G654,2),"")</f>
        <v/>
      </c>
      <c r="I654" s="49" t="str">
        <f aca="false">IF(ROUND($G654,2)&lt;0,-ROUND($G654,2),"")</f>
        <v/>
      </c>
      <c r="J654" s="20" t="n">
        <f aca="false">IF(ROUND($G654,2)=0,0,1)</f>
        <v>0</v>
      </c>
      <c r="K654" s="20" t="str">
        <f aca="false">IF($J654=0,"",SUM($J$647:$J654))</f>
        <v/>
      </c>
      <c r="L654" s="20" t="str">
        <f aca="false">IF($K654="","",$A654*100+$K654)</f>
        <v/>
      </c>
      <c r="M654" s="48" t="str">
        <f aca="false">参数!$B$4</f>
        <v>回款</v>
      </c>
    </row>
    <row r="655" customFormat="false" ht="13.5" hidden="false" customHeight="false" outlineLevel="0" collapsed="false">
      <c r="A655" s="47" t="n">
        <v>44</v>
      </c>
      <c r="B655" s="38" t="n">
        <f aca="false">助手回款!$B45</f>
        <v>2068</v>
      </c>
      <c r="C655" s="48" t="str">
        <f aca="false">助手回款!$C45</f>
        <v>博山店</v>
      </c>
      <c r="D655" s="48" t="str">
        <f aca="false">科目对照回款!$B10&amp;""</f>
        <v>医卡通</v>
      </c>
      <c r="E655" s="48" t="str">
        <f aca="false">科目对照回款!$C10&amp;""</f>
        <v>应收账款</v>
      </c>
      <c r="F655" s="48" t="str">
        <f aca="false">科目对照回款!$D10&amp;""</f>
        <v>医卡通</v>
      </c>
      <c r="G655" s="49" t="n">
        <f aca="false">-ROUND(IF(科目对照回款!$F$10="",0,SUMIFS(输入回款!$C:$C,输入回款!$A:$A,助手回款!$X45,输入回款!$B:$B,科目对照回款!$F$10)+SUMIFS(输入回款!$D:$D,输入回款!$A:$A,助手回款!$X45,输入回款!$B:$B,科目对照回款!$F$10))+IF(科目对照回款!$G$10="",0,SUMIFS(输入回款!$C:$C,输入回款!$A:$A,助手回款!$X45,输入回款!$B:$B,科目对照回款!$G$10)+SUMIFS(输入回款!$D:$D,输入回款!$A:$A,助手回款!$X45,输入回款!$B:$B,科目对照回款!$G$10))+IF(科目对照回款!$H$10="",0,SUMIFS(输入回款!$C:$C,输入回款!$A:$A,助手回款!$X45,输入回款!$B:$B,科目对照回款!$H$10)+SUMIFS(输入回款!$D:$D,输入回款!$A:$A,助手回款!$X45,输入回款!$B:$B,科目对照回款!$H$10)),2)</f>
        <v>-0</v>
      </c>
      <c r="H655" s="49" t="str">
        <f aca="false">IF(ROUND($G655,2)&gt;0,ROUND($G655,2),"")</f>
        <v/>
      </c>
      <c r="I655" s="49" t="str">
        <f aca="false">IF(ROUND($G655,2)&lt;0,-ROUND($G655,2),"")</f>
        <v/>
      </c>
      <c r="J655" s="20" t="n">
        <f aca="false">IF(ROUND($G655,2)=0,0,1)</f>
        <v>0</v>
      </c>
      <c r="K655" s="20" t="str">
        <f aca="false">IF($J655=0,"",SUM($J$647:$J655))</f>
        <v/>
      </c>
      <c r="L655" s="20" t="str">
        <f aca="false">IF($K655="","",$A655*100+$K655)</f>
        <v/>
      </c>
      <c r="M655" s="48" t="str">
        <f aca="false">参数!$B$4</f>
        <v>回款</v>
      </c>
    </row>
    <row r="656" customFormat="false" ht="13.5" hidden="false" customHeight="false" outlineLevel="0" collapsed="false">
      <c r="A656" s="47" t="n">
        <v>44</v>
      </c>
      <c r="B656" s="38" t="n">
        <f aca="false">助手回款!$B45</f>
        <v>2068</v>
      </c>
      <c r="C656" s="48" t="str">
        <f aca="false">助手回款!$C45</f>
        <v>博山店</v>
      </c>
      <c r="D656" s="48" t="str">
        <f aca="false">科目对照回款!$B11&amp;""</f>
        <v>企健网</v>
      </c>
      <c r="E656" s="48" t="str">
        <f aca="false">科目对照回款!$C11&amp;""</f>
        <v>应收账款</v>
      </c>
      <c r="F656" s="48" t="str">
        <f aca="false">科目对照回款!$D11&amp;""</f>
        <v>企健网</v>
      </c>
      <c r="G656" s="49" t="n">
        <f aca="false">-ROUND(IF(科目对照回款!$F$11="",0,SUMIFS(输入回款!$C:$C,输入回款!$A:$A,助手回款!$X45,输入回款!$B:$B,科目对照回款!$F$11)+SUMIFS(输入回款!$D:$D,输入回款!$A:$A,助手回款!$X45,输入回款!$B:$B,科目对照回款!$F$11))+IF(科目对照回款!$G$11="",0,SUMIFS(输入回款!$C:$C,输入回款!$A:$A,助手回款!$X45,输入回款!$B:$B,科目对照回款!$G$11)+SUMIFS(输入回款!$D:$D,输入回款!$A:$A,助手回款!$X45,输入回款!$B:$B,科目对照回款!$G$11))+IF(科目对照回款!$H$11="",0,SUMIFS(输入回款!$C:$C,输入回款!$A:$A,助手回款!$X45,输入回款!$B:$B,科目对照回款!$H$11)+SUMIFS(输入回款!$D:$D,输入回款!$A:$A,助手回款!$X45,输入回款!$B:$B,科目对照回款!$H$11)),2)</f>
        <v>-0</v>
      </c>
      <c r="H656" s="49" t="str">
        <f aca="false">IF(ROUND($G656,2)&gt;0,ROUND($G656,2),"")</f>
        <v/>
      </c>
      <c r="I656" s="49" t="str">
        <f aca="false">IF(ROUND($G656,2)&lt;0,-ROUND($G656,2),"")</f>
        <v/>
      </c>
      <c r="J656" s="20" t="n">
        <f aca="false">IF(ROUND($G656,2)=0,0,1)</f>
        <v>0</v>
      </c>
      <c r="K656" s="20" t="str">
        <f aca="false">IF($J656=0,"",SUM($J$647:$J656))</f>
        <v/>
      </c>
      <c r="L656" s="20" t="str">
        <f aca="false">IF($K656="","",$A656*100+$K656)</f>
        <v/>
      </c>
      <c r="M656" s="48" t="str">
        <f aca="false">参数!$B$4</f>
        <v>回款</v>
      </c>
    </row>
    <row r="657" customFormat="false" ht="13.5" hidden="false" customHeight="false" outlineLevel="0" collapsed="false">
      <c r="A657" s="47" t="n">
        <v>44</v>
      </c>
      <c r="B657" s="38" t="n">
        <f aca="false">助手回款!$B45</f>
        <v>2068</v>
      </c>
      <c r="C657" s="48" t="str">
        <f aca="false">助手回款!$C45</f>
        <v>博山店</v>
      </c>
      <c r="D657" s="48" t="str">
        <f aca="false">科目对照回款!$B12&amp;""</f>
        <v>亲情卡</v>
      </c>
      <c r="E657" s="48" t="str">
        <f aca="false">科目对照回款!$C12&amp;""</f>
        <v>应收账款</v>
      </c>
      <c r="F657" s="48" t="str">
        <f aca="false">科目对照回款!$D12&amp;""</f>
        <v>亲情卡</v>
      </c>
      <c r="G657" s="49" t="n">
        <f aca="false">-ROUND(IF(科目对照回款!$F$12="",0,SUMIFS(输入回款!$C:$C,输入回款!$A:$A,助手回款!$X45,输入回款!$B:$B,科目对照回款!$F$12)+SUMIFS(输入回款!$D:$D,输入回款!$A:$A,助手回款!$X45,输入回款!$B:$B,科目对照回款!$F$12))+IF(科目对照回款!$G$12="",0,SUMIFS(输入回款!$C:$C,输入回款!$A:$A,助手回款!$X45,输入回款!$B:$B,科目对照回款!$G$12)+SUMIFS(输入回款!$D:$D,输入回款!$A:$A,助手回款!$X45,输入回款!$B:$B,科目对照回款!$G$12))+IF(科目对照回款!$H$12="",0,SUMIFS(输入回款!$C:$C,输入回款!$A:$A,助手回款!$X45,输入回款!$B:$B,科目对照回款!$H$12)+SUMIFS(输入回款!$D:$D,输入回款!$A:$A,助手回款!$X45,输入回款!$B:$B,科目对照回款!$H$12)),2)</f>
        <v>-0</v>
      </c>
      <c r="H657" s="49" t="str">
        <f aca="false">IF(ROUND($G657,2)&gt;0,ROUND($G657,2),"")</f>
        <v/>
      </c>
      <c r="I657" s="49" t="str">
        <f aca="false">IF(ROUND($G657,2)&lt;0,-ROUND($G657,2),"")</f>
        <v/>
      </c>
      <c r="J657" s="20" t="n">
        <f aca="false">IF(ROUND($G657,2)=0,0,1)</f>
        <v>0</v>
      </c>
      <c r="K657" s="20" t="str">
        <f aca="false">IF($J657=0,"",SUM($J$647:$J657))</f>
        <v/>
      </c>
      <c r="L657" s="20" t="str">
        <f aca="false">IF($K657="","",$A657*100+$K657)</f>
        <v/>
      </c>
      <c r="M657" s="48" t="str">
        <f aca="false">参数!$B$4</f>
        <v>回款</v>
      </c>
    </row>
    <row r="658" customFormat="false" ht="13.5" hidden="false" customHeight="false" outlineLevel="0" collapsed="false">
      <c r="A658" s="47" t="n">
        <v>44</v>
      </c>
      <c r="B658" s="38" t="n">
        <f aca="false">助手回款!$B45</f>
        <v>2068</v>
      </c>
      <c r="C658" s="48" t="str">
        <f aca="false">助手回款!$C45</f>
        <v>博山店</v>
      </c>
      <c r="D658" s="48" t="str">
        <f aca="false">科目对照回款!$B13&amp;""</f>
        <v>银联</v>
      </c>
      <c r="E658" s="48" t="str">
        <f aca="false">科目对照回款!$C13&amp;""</f>
        <v>应收账款</v>
      </c>
      <c r="F658" s="48" t="str">
        <f aca="false">科目对照回款!$D13&amp;""</f>
        <v>银联</v>
      </c>
      <c r="G658" s="49" t="n">
        <f aca="false">-ROUND(IF(科目对照回款!$F$13="",0,SUMIFS(输入回款!$C:$C,输入回款!$A:$A,助手回款!$X45,输入回款!$B:$B,科目对照回款!$F$13)+SUMIFS(输入回款!$D:$D,输入回款!$A:$A,助手回款!$X45,输入回款!$B:$B,科目对照回款!$F$13))+IF(科目对照回款!$G$13="",0,SUMIFS(输入回款!$C:$C,输入回款!$A:$A,助手回款!$X45,输入回款!$B:$B,科目对照回款!$G$13)+SUMIFS(输入回款!$D:$D,输入回款!$A:$A,助手回款!$X45,输入回款!$B:$B,科目对照回款!$G$13))+IF(科目对照回款!$H$13="",0,SUMIFS(输入回款!$C:$C,输入回款!$A:$A,助手回款!$X45,输入回款!$B:$B,科目对照回款!$H$13)+SUMIFS(输入回款!$D:$D,输入回款!$A:$A,助手回款!$X45,输入回款!$B:$B,科目对照回款!$H$13)),2)</f>
        <v>-0</v>
      </c>
      <c r="H658" s="49" t="str">
        <f aca="false">IF(ROUND($G658,2)&gt;0,ROUND($G658,2),"")</f>
        <v/>
      </c>
      <c r="I658" s="49" t="str">
        <f aca="false">IF(ROUND($G658,2)&lt;0,-ROUND($G658,2),"")</f>
        <v/>
      </c>
      <c r="J658" s="20" t="n">
        <f aca="false">IF(ROUND($G658,2)=0,0,1)</f>
        <v>0</v>
      </c>
      <c r="K658" s="20" t="str">
        <f aca="false">IF($J658=0,"",SUM($J$647:$J658))</f>
        <v/>
      </c>
      <c r="L658" s="20" t="str">
        <f aca="false">IF($K658="","",$A658*100+$K658)</f>
        <v/>
      </c>
      <c r="M658" s="48" t="str">
        <f aca="false">参数!$B$4</f>
        <v>回款</v>
      </c>
    </row>
    <row r="659" customFormat="false" ht="13.5" hidden="false" customHeight="false" outlineLevel="0" collapsed="false">
      <c r="A659" s="47" t="n">
        <v>44</v>
      </c>
      <c r="B659" s="38" t="n">
        <f aca="false">助手回款!$B45</f>
        <v>2068</v>
      </c>
      <c r="C659" s="48" t="str">
        <f aca="false">助手回款!$C45</f>
        <v>博山店</v>
      </c>
      <c r="D659" s="48" t="str">
        <f aca="false">科目对照回款!$B14&amp;""</f>
        <v>代金券</v>
      </c>
      <c r="E659" s="48" t="str">
        <f aca="false">科目对照回款!$C14&amp;""</f>
        <v>应收账款</v>
      </c>
      <c r="F659" s="48" t="str">
        <f aca="false">科目对照回款!$D14&amp;""</f>
        <v>代金券</v>
      </c>
      <c r="G659" s="49" t="n">
        <f aca="false">-ROUND(IF(科目对照回款!$F$14="",0,SUMIFS(输入回款!$C:$C,输入回款!$A:$A,助手回款!$X45,输入回款!$B:$B,科目对照回款!$F$14)+SUMIFS(输入回款!$D:$D,输入回款!$A:$A,助手回款!$X45,输入回款!$B:$B,科目对照回款!$F$14))+IF(科目对照回款!$G$14="",0,SUMIFS(输入回款!$C:$C,输入回款!$A:$A,助手回款!$X45,输入回款!$B:$B,科目对照回款!$G$14)+SUMIFS(输入回款!$D:$D,输入回款!$A:$A,助手回款!$X45,输入回款!$B:$B,科目对照回款!$G$14))+IF(科目对照回款!$H$14="",0,SUMIFS(输入回款!$C:$C,输入回款!$A:$A,助手回款!$X45,输入回款!$B:$B,科目对照回款!$H$14)+SUMIFS(输入回款!$D:$D,输入回款!$A:$A,助手回款!$X45,输入回款!$B:$B,科目对照回款!$H$14)),2)</f>
        <v>-0</v>
      </c>
      <c r="H659" s="49" t="str">
        <f aca="false">IF(ROUND($G659,2)&gt;0,ROUND($G659,2),"")</f>
        <v/>
      </c>
      <c r="I659" s="49" t="str">
        <f aca="false">IF(ROUND($G659,2)&lt;0,-ROUND($G659,2),"")</f>
        <v/>
      </c>
      <c r="J659" s="20" t="n">
        <f aca="false">IF(ROUND($G659,2)=0,0,1)</f>
        <v>0</v>
      </c>
      <c r="K659" s="20" t="str">
        <f aca="false">IF($J659=0,"",SUM($J$647:$J659))</f>
        <v/>
      </c>
      <c r="L659" s="20" t="str">
        <f aca="false">IF($K659="","",$A659*100+$K659)</f>
        <v/>
      </c>
      <c r="M659" s="48" t="str">
        <f aca="false">参数!$B$4</f>
        <v>回款</v>
      </c>
    </row>
    <row r="660" customFormat="false" ht="13.5" hidden="false" customHeight="false" outlineLevel="0" collapsed="false">
      <c r="A660" s="47" t="n">
        <v>44</v>
      </c>
      <c r="B660" s="38" t="n">
        <f aca="false">助手回款!$B45</f>
        <v>2068</v>
      </c>
      <c r="C660" s="48" t="str">
        <f aca="false">助手回款!$C45</f>
        <v>博山店</v>
      </c>
      <c r="D660" s="48" t="str">
        <f aca="false">科目对照回款!$B15&amp;""</f>
        <v>药机微信</v>
      </c>
      <c r="E660" s="48" t="str">
        <f aca="false">科目对照回款!$C15&amp;""</f>
        <v>应收账款</v>
      </c>
      <c r="F660" s="48" t="str">
        <f aca="false">科目对照回款!$D15&amp;""</f>
        <v>药机微信</v>
      </c>
      <c r="G660" s="49" t="n">
        <f aca="false">-ROUND(IF(科目对照回款!$F$15="",0,SUMIFS(输入回款!$C:$C,输入回款!$A:$A,助手回款!$X45,输入回款!$B:$B,科目对照回款!$F$15)+SUMIFS(输入回款!$D:$D,输入回款!$A:$A,助手回款!$X45,输入回款!$B:$B,科目对照回款!$F$15))+IF(科目对照回款!$G$15="",0,SUMIFS(输入回款!$C:$C,输入回款!$A:$A,助手回款!$X45,输入回款!$B:$B,科目对照回款!$G$15)+SUMIFS(输入回款!$D:$D,输入回款!$A:$A,助手回款!$X45,输入回款!$B:$B,科目对照回款!$G$15))+IF(科目对照回款!$H$15="",0,SUMIFS(输入回款!$C:$C,输入回款!$A:$A,助手回款!$X45,输入回款!$B:$B,科目对照回款!$H$15)+SUMIFS(输入回款!$D:$D,输入回款!$A:$A,助手回款!$X45,输入回款!$B:$B,科目对照回款!$H$15)),2)</f>
        <v>-0</v>
      </c>
      <c r="H660" s="49" t="str">
        <f aca="false">IF(ROUND($G660,2)&gt;0,ROUND($G660,2),"")</f>
        <v/>
      </c>
      <c r="I660" s="49" t="str">
        <f aca="false">IF(ROUND($G660,2)&lt;0,-ROUND($G660,2),"")</f>
        <v/>
      </c>
      <c r="J660" s="20" t="n">
        <f aca="false">IF(ROUND($G660,2)=0,0,1)</f>
        <v>0</v>
      </c>
      <c r="K660" s="20" t="str">
        <f aca="false">IF($J660=0,"",SUM($J$647:$J660))</f>
        <v/>
      </c>
      <c r="L660" s="20" t="str">
        <f aca="false">IF($K660="","",$A660*100+$K660)</f>
        <v/>
      </c>
      <c r="M660" s="48" t="str">
        <f aca="false">参数!$B$4</f>
        <v>回款</v>
      </c>
    </row>
    <row r="661" customFormat="false" ht="13.5" hidden="false" customHeight="false" outlineLevel="0" collapsed="false">
      <c r="A661" s="47" t="n">
        <v>44</v>
      </c>
      <c r="B661" s="38" t="n">
        <f aca="false">助手回款!$B45</f>
        <v>2068</v>
      </c>
      <c r="C661" s="48" t="str">
        <f aca="false">助手回款!$C45</f>
        <v>博山店</v>
      </c>
      <c r="D661" s="48" t="str">
        <f aca="false">科目对照回款!$B16&amp;""</f>
        <v>储值卡</v>
      </c>
      <c r="E661" s="48" t="str">
        <f aca="false">科目对照回款!$C16&amp;""</f>
        <v>其他应收款</v>
      </c>
      <c r="F661" s="48" t="str">
        <f aca="false">科目对照回款!$D16&amp;""</f>
        <v>储值卡</v>
      </c>
      <c r="G661" s="49" t="n">
        <f aca="false">-ROUND(IF(科目对照回款!$F$16="",0,SUMIFS(输入回款!$C:$C,输入回款!$A:$A,助手回款!$X45,输入回款!$B:$B,科目对照回款!$F$16)+SUMIFS(输入回款!$D:$D,输入回款!$A:$A,助手回款!$X45,输入回款!$B:$B,科目对照回款!$F$16))+IF(科目对照回款!$G$16="",0,SUMIFS(输入回款!$C:$C,输入回款!$A:$A,助手回款!$X45,输入回款!$B:$B,科目对照回款!$G$16)+SUMIFS(输入回款!$D:$D,输入回款!$A:$A,助手回款!$X45,输入回款!$B:$B,科目对照回款!$G$16))+IF(科目对照回款!$H$16="",0,SUMIFS(输入回款!$C:$C,输入回款!$A:$A,助手回款!$X45,输入回款!$B:$B,科目对照回款!$H$16)+SUMIFS(输入回款!$D:$D,输入回款!$A:$A,助手回款!$X45,输入回款!$B:$B,科目对照回款!$H$16)),2)</f>
        <v>-0</v>
      </c>
      <c r="H661" s="49" t="str">
        <f aca="false">IF(ROUND($G661,2)&gt;0,ROUND($G661,2),"")</f>
        <v/>
      </c>
      <c r="I661" s="49" t="str">
        <f aca="false">IF(ROUND($G661,2)&lt;0,-ROUND($G661,2),"")</f>
        <v/>
      </c>
      <c r="J661" s="20" t="n">
        <f aca="false">IF(ROUND($G661,2)=0,0,1)</f>
        <v>0</v>
      </c>
      <c r="K661" s="20" t="str">
        <f aca="false">IF($J661=0,"",SUM($J$647:$J661))</f>
        <v/>
      </c>
      <c r="L661" s="20" t="str">
        <f aca="false">IF($K661="","",$A661*100+$K661)</f>
        <v/>
      </c>
      <c r="M661" s="48" t="str">
        <f aca="false">参数!$B$4</f>
        <v>回款</v>
      </c>
    </row>
    <row r="662" customFormat="false" ht="13.5" hidden="false" customHeight="false" outlineLevel="0" collapsed="false">
      <c r="A662" s="47" t="n">
        <v>45</v>
      </c>
      <c r="B662" s="38" t="n">
        <f aca="false">助手回款!$B46</f>
        <v>2069</v>
      </c>
      <c r="C662" s="48" t="str">
        <f aca="false">助手回款!$C46</f>
        <v>博东店</v>
      </c>
      <c r="D662" s="48" t="str">
        <f aca="false">科目对照回款!$B2&amp;""</f>
        <v>库存现金</v>
      </c>
      <c r="E662" s="48" t="str">
        <f aca="false">科目对照回款!$C2&amp;""</f>
        <v>库存现金</v>
      </c>
      <c r="F662" s="48" t="str">
        <f aca="false">科目对照回款!$D2&amp;""</f>
        <v/>
      </c>
      <c r="G662" s="49" t="n">
        <f aca="false">助手回款!$E46</f>
        <v>14270.85</v>
      </c>
      <c r="H662" s="49" t="n">
        <f aca="false">IF(ROUND($G662,2)&gt;0,ROUND($G662,2),"")</f>
        <v>14270.85</v>
      </c>
      <c r="I662" s="49" t="str">
        <f aca="false">IF(ROUND($G662,2)&lt;0,-ROUND($G662,2),"")</f>
        <v/>
      </c>
      <c r="J662" s="20" t="n">
        <f aca="false">IF(ROUND($G662,2)=0,0,1)</f>
        <v>1</v>
      </c>
      <c r="K662" s="20" t="n">
        <f aca="false">IF($J662=0,"",SUM($J$662:$J662))</f>
        <v>1</v>
      </c>
      <c r="L662" s="20" t="n">
        <f aca="false">IF($K662="","",$A662*100+$K662)</f>
        <v>4501</v>
      </c>
      <c r="M662" s="48" t="str">
        <f aca="false">参数!$B$4</f>
        <v>回款</v>
      </c>
    </row>
    <row r="663" customFormat="false" ht="13.5" hidden="false" customHeight="false" outlineLevel="0" collapsed="false">
      <c r="A663" s="47" t="n">
        <v>45</v>
      </c>
      <c r="B663" s="38" t="n">
        <f aca="false">助手回款!$B46</f>
        <v>2069</v>
      </c>
      <c r="C663" s="48" t="str">
        <f aca="false">助手回款!$C46</f>
        <v>博东店</v>
      </c>
      <c r="D663" s="48" t="str">
        <f aca="false">科目对照回款!$B3&amp;""</f>
        <v>手续费</v>
      </c>
      <c r="E663" s="48" t="str">
        <f aca="false">科目对照回款!$C3&amp;""</f>
        <v>财务费用</v>
      </c>
      <c r="F663" s="48" t="str">
        <f aca="false">科目对照回款!$D3&amp;""</f>
        <v>手续费</v>
      </c>
      <c r="G663" s="49" t="n">
        <f aca="false">助手回款!$F46</f>
        <v>0</v>
      </c>
      <c r="H663" s="49" t="str">
        <f aca="false">IF(ROUND($G663,2)&gt;0,ROUND($G663,2),"")</f>
        <v/>
      </c>
      <c r="I663" s="49" t="str">
        <f aca="false">IF(ROUND($G663,2)&lt;0,-ROUND($G663,2),"")</f>
        <v/>
      </c>
      <c r="J663" s="20" t="n">
        <f aca="false">IF(ROUND($G663,2)=0,0,1)</f>
        <v>0</v>
      </c>
      <c r="K663" s="20" t="str">
        <f aca="false">IF($J663=0,"",SUM($J$662:$J663))</f>
        <v/>
      </c>
      <c r="L663" s="20" t="str">
        <f aca="false">IF($K663="","",$A663*100+$K663)</f>
        <v/>
      </c>
      <c r="M663" s="48" t="str">
        <f aca="false">参数!$B$4</f>
        <v>回款</v>
      </c>
    </row>
    <row r="664" customFormat="false" ht="13.5" hidden="false" customHeight="false" outlineLevel="0" collapsed="false">
      <c r="A664" s="47" t="n">
        <v>45</v>
      </c>
      <c r="B664" s="38" t="n">
        <f aca="false">助手回款!$B46</f>
        <v>2069</v>
      </c>
      <c r="C664" s="48" t="str">
        <f aca="false">助手回款!$C46</f>
        <v>博东店</v>
      </c>
      <c r="D664" s="48" t="str">
        <f aca="false">科目对照回款!$B4&amp;""</f>
        <v>聚合支付</v>
      </c>
      <c r="E664" s="48" t="str">
        <f aca="false">科目对照回款!$C4&amp;""</f>
        <v>应收账款</v>
      </c>
      <c r="F664" s="48" t="str">
        <f aca="false">科目对照回款!$D4&amp;""</f>
        <v>聚合支付</v>
      </c>
      <c r="G664" s="49" t="n">
        <f aca="false">-ROUND(IF(科目对照回款!$F$4="",0,SUMIFS(输入回款!$C:$C,输入回款!$A:$A,助手回款!$X46,输入回款!$B:$B,科目对照回款!$F$4)+SUMIFS(输入回款!$D:$D,输入回款!$A:$A,助手回款!$X46,输入回款!$B:$B,科目对照回款!$F$4))+IF(科目对照回款!$G$4="",0,SUMIFS(输入回款!$C:$C,输入回款!$A:$A,助手回款!$X46,输入回款!$B:$B,科目对照回款!$G$4)+SUMIFS(输入回款!$D:$D,输入回款!$A:$A,助手回款!$X46,输入回款!$B:$B,科目对照回款!$G$4))+IF(科目对照回款!$H$4="",0,SUMIFS(输入回款!$C:$C,输入回款!$A:$A,助手回款!$X46,输入回款!$B:$B,科目对照回款!$H$4)+SUMIFS(输入回款!$D:$D,输入回款!$A:$A,助手回款!$X46,输入回款!$B:$B,科目对照回款!$H$4)),2)</f>
        <v>-14270.85</v>
      </c>
      <c r="H664" s="49" t="str">
        <f aca="false">IF(ROUND($G664,2)&gt;0,ROUND($G664,2),"")</f>
        <v/>
      </c>
      <c r="I664" s="49" t="n">
        <f aca="false">IF(ROUND($G664,2)&lt;0,-ROUND($G664,2),"")</f>
        <v>14270.85</v>
      </c>
      <c r="J664" s="20" t="n">
        <f aca="false">IF(ROUND($G664,2)=0,0,1)</f>
        <v>1</v>
      </c>
      <c r="K664" s="20" t="n">
        <f aca="false">IF($J664=0,"",SUM($J$662:$J664))</f>
        <v>2</v>
      </c>
      <c r="L664" s="20" t="n">
        <f aca="false">IF($K664="","",$A664*100+$K664)</f>
        <v>4502</v>
      </c>
      <c r="M664" s="48" t="str">
        <f aca="false">参数!$B$4</f>
        <v>回款</v>
      </c>
    </row>
    <row r="665" customFormat="false" ht="13.5" hidden="false" customHeight="false" outlineLevel="0" collapsed="false">
      <c r="A665" s="47" t="n">
        <v>45</v>
      </c>
      <c r="B665" s="38" t="n">
        <f aca="false">助手回款!$B46</f>
        <v>2069</v>
      </c>
      <c r="C665" s="48" t="str">
        <f aca="false">助手回款!$C46</f>
        <v>博东店</v>
      </c>
      <c r="D665" s="48" t="str">
        <f aca="false">科目对照回款!$B5&amp;""</f>
        <v>医保</v>
      </c>
      <c r="E665" s="48" t="str">
        <f aca="false">科目对照回款!$C5&amp;""</f>
        <v>应收账款</v>
      </c>
      <c r="F665" s="48" t="str">
        <f aca="false">科目对照回款!$D5&amp;""</f>
        <v>医保</v>
      </c>
      <c r="G665" s="49" t="n">
        <f aca="false">-ROUND(IF(科目对照回款!$F$5="",0,SUMIFS(输入回款!$C:$C,输入回款!$A:$A,助手回款!$X46,输入回款!$B:$B,科目对照回款!$F$5)+SUMIFS(输入回款!$D:$D,输入回款!$A:$A,助手回款!$X46,输入回款!$B:$B,科目对照回款!$F$5))+IF(科目对照回款!$G$5="",0,SUMIFS(输入回款!$C:$C,输入回款!$A:$A,助手回款!$X46,输入回款!$B:$B,科目对照回款!$G$5)+SUMIFS(输入回款!$D:$D,输入回款!$A:$A,助手回款!$X46,输入回款!$B:$B,科目对照回款!$G$5))+IF(科目对照回款!$H$5="",0,SUMIFS(输入回款!$C:$C,输入回款!$A:$A,助手回款!$X46,输入回款!$B:$B,科目对照回款!$H$5)+SUMIFS(输入回款!$D:$D,输入回款!$A:$A,助手回款!$X46,输入回款!$B:$B,科目对照回款!$H$5)),2)</f>
        <v>-0</v>
      </c>
      <c r="H665" s="49" t="str">
        <f aca="false">IF(ROUND($G665,2)&gt;0,ROUND($G665,2),"")</f>
        <v/>
      </c>
      <c r="I665" s="49" t="str">
        <f aca="false">IF(ROUND($G665,2)&lt;0,-ROUND($G665,2),"")</f>
        <v/>
      </c>
      <c r="J665" s="20" t="n">
        <f aca="false">IF(ROUND($G665,2)=0,0,1)</f>
        <v>0</v>
      </c>
      <c r="K665" s="20" t="str">
        <f aca="false">IF($J665=0,"",SUM($J$662:$J665))</f>
        <v/>
      </c>
      <c r="L665" s="20" t="str">
        <f aca="false">IF($K665="","",$A665*100+$K665)</f>
        <v/>
      </c>
      <c r="M665" s="48" t="str">
        <f aca="false">参数!$B$4</f>
        <v>回款</v>
      </c>
    </row>
    <row r="666" customFormat="false" ht="13.5" hidden="false" customHeight="false" outlineLevel="0" collapsed="false">
      <c r="A666" s="47" t="n">
        <v>45</v>
      </c>
      <c r="B666" s="38" t="n">
        <f aca="false">助手回款!$B46</f>
        <v>2069</v>
      </c>
      <c r="C666" s="48" t="str">
        <f aca="false">助手回款!$C46</f>
        <v>博东店</v>
      </c>
      <c r="D666" s="48" t="str">
        <f aca="false">科目对照回款!$B6&amp;""</f>
        <v>美团</v>
      </c>
      <c r="E666" s="48" t="str">
        <f aca="false">科目对照回款!$C6&amp;""</f>
        <v>应收账款</v>
      </c>
      <c r="F666" s="48" t="str">
        <f aca="false">科目对照回款!$D6&amp;""</f>
        <v>美团</v>
      </c>
      <c r="G666" s="49" t="n">
        <f aca="false">-ROUND(IF(科目对照回款!$F$6="",0,SUMIFS(输入回款!$C:$C,输入回款!$A:$A,助手回款!$X46,输入回款!$B:$B,科目对照回款!$F$6)+SUMIFS(输入回款!$D:$D,输入回款!$A:$A,助手回款!$X46,输入回款!$B:$B,科目对照回款!$F$6))+IF(科目对照回款!$G$6="",0,SUMIFS(输入回款!$C:$C,输入回款!$A:$A,助手回款!$X46,输入回款!$B:$B,科目对照回款!$G$6)+SUMIFS(输入回款!$D:$D,输入回款!$A:$A,助手回款!$X46,输入回款!$B:$B,科目对照回款!$G$6))+IF(科目对照回款!$H$6="",0,SUMIFS(输入回款!$C:$C,输入回款!$A:$A,助手回款!$X46,输入回款!$B:$B,科目对照回款!$H$6)+SUMIFS(输入回款!$D:$D,输入回款!$A:$A,助手回款!$X46,输入回款!$B:$B,科目对照回款!$H$6)),2)</f>
        <v>-0</v>
      </c>
      <c r="H666" s="49" t="str">
        <f aca="false">IF(ROUND($G666,2)&gt;0,ROUND($G666,2),"")</f>
        <v/>
      </c>
      <c r="I666" s="49" t="str">
        <f aca="false">IF(ROUND($G666,2)&lt;0,-ROUND($G666,2),"")</f>
        <v/>
      </c>
      <c r="J666" s="20" t="n">
        <f aca="false">IF(ROUND($G666,2)=0,0,1)</f>
        <v>0</v>
      </c>
      <c r="K666" s="20" t="str">
        <f aca="false">IF($J666=0,"",SUM($J$662:$J666))</f>
        <v/>
      </c>
      <c r="L666" s="20" t="str">
        <f aca="false">IF($K666="","",$A666*100+$K666)</f>
        <v/>
      </c>
      <c r="M666" s="48" t="str">
        <f aca="false">参数!$B$4</f>
        <v>回款</v>
      </c>
    </row>
    <row r="667" customFormat="false" ht="13.5" hidden="false" customHeight="false" outlineLevel="0" collapsed="false">
      <c r="A667" s="47" t="n">
        <v>45</v>
      </c>
      <c r="B667" s="38" t="n">
        <f aca="false">助手回款!$B46</f>
        <v>2069</v>
      </c>
      <c r="C667" s="48" t="str">
        <f aca="false">助手回款!$C46</f>
        <v>博东店</v>
      </c>
      <c r="D667" s="48" t="str">
        <f aca="false">科目对照回款!$B7&amp;""</f>
        <v>饿了么</v>
      </c>
      <c r="E667" s="48" t="str">
        <f aca="false">科目对照回款!$C7&amp;""</f>
        <v>应收账款</v>
      </c>
      <c r="F667" s="48" t="str">
        <f aca="false">科目对照回款!$D7&amp;""</f>
        <v>饿了么</v>
      </c>
      <c r="G667" s="49" t="n">
        <f aca="false">-ROUND(IF(科目对照回款!$F$7="",0,SUMIFS(输入回款!$C:$C,输入回款!$A:$A,助手回款!$X46,输入回款!$B:$B,科目对照回款!$F$7)+SUMIFS(输入回款!$D:$D,输入回款!$A:$A,助手回款!$X46,输入回款!$B:$B,科目对照回款!$F$7))+IF(科目对照回款!$G$7="",0,SUMIFS(输入回款!$C:$C,输入回款!$A:$A,助手回款!$X46,输入回款!$B:$B,科目对照回款!$G$7)+SUMIFS(输入回款!$D:$D,输入回款!$A:$A,助手回款!$X46,输入回款!$B:$B,科目对照回款!$G$7))+IF(科目对照回款!$H$7="",0,SUMIFS(输入回款!$C:$C,输入回款!$A:$A,助手回款!$X46,输入回款!$B:$B,科目对照回款!$H$7)+SUMIFS(输入回款!$D:$D,输入回款!$A:$A,助手回款!$X46,输入回款!$B:$B,科目对照回款!$H$7)),2)</f>
        <v>-0</v>
      </c>
      <c r="H667" s="49" t="str">
        <f aca="false">IF(ROUND($G667,2)&gt;0,ROUND($G667,2),"")</f>
        <v/>
      </c>
      <c r="I667" s="49" t="str">
        <f aca="false">IF(ROUND($G667,2)&lt;0,-ROUND($G667,2),"")</f>
        <v/>
      </c>
      <c r="J667" s="20" t="n">
        <f aca="false">IF(ROUND($G667,2)=0,0,1)</f>
        <v>0</v>
      </c>
      <c r="K667" s="20" t="str">
        <f aca="false">IF($J667=0,"",SUM($J$662:$J667))</f>
        <v/>
      </c>
      <c r="L667" s="20" t="str">
        <f aca="false">IF($K667="","",$A667*100+$K667)</f>
        <v/>
      </c>
      <c r="M667" s="48" t="str">
        <f aca="false">参数!$B$4</f>
        <v>回款</v>
      </c>
    </row>
    <row r="668" customFormat="false" ht="13.5" hidden="false" customHeight="false" outlineLevel="0" collapsed="false">
      <c r="A668" s="47" t="n">
        <v>45</v>
      </c>
      <c r="B668" s="38" t="n">
        <f aca="false">助手回款!$B46</f>
        <v>2069</v>
      </c>
      <c r="C668" s="48" t="str">
        <f aca="false">助手回款!$C46</f>
        <v>博东店</v>
      </c>
      <c r="D668" s="48" t="str">
        <f aca="false">科目对照回款!$B8&amp;""</f>
        <v>24小时</v>
      </c>
      <c r="E668" s="48" t="str">
        <f aca="false">科目对照回款!$C8&amp;""</f>
        <v>应收账款</v>
      </c>
      <c r="F668" s="48" t="str">
        <f aca="false">科目对照回款!$D8&amp;""</f>
        <v>24小时</v>
      </c>
      <c r="G668" s="49" t="n">
        <f aca="false">-ROUND(IF(科目对照回款!$F$8="",0,SUMIFS(输入回款!$C:$C,输入回款!$A:$A,助手回款!$X46,输入回款!$B:$B,科目对照回款!$F$8)+SUMIFS(输入回款!$D:$D,输入回款!$A:$A,助手回款!$X46,输入回款!$B:$B,科目对照回款!$F$8))+IF(科目对照回款!$G$8="",0,SUMIFS(输入回款!$C:$C,输入回款!$A:$A,助手回款!$X46,输入回款!$B:$B,科目对照回款!$G$8)+SUMIFS(输入回款!$D:$D,输入回款!$A:$A,助手回款!$X46,输入回款!$B:$B,科目对照回款!$G$8))+IF(科目对照回款!$H$8="",0,SUMIFS(输入回款!$C:$C,输入回款!$A:$A,助手回款!$X46,输入回款!$B:$B,科目对照回款!$H$8)+SUMIFS(输入回款!$D:$D,输入回款!$A:$A,助手回款!$X46,输入回款!$B:$B,科目对照回款!$H$8)),2)</f>
        <v>-0</v>
      </c>
      <c r="H668" s="49" t="str">
        <f aca="false">IF(ROUND($G668,2)&gt;0,ROUND($G668,2),"")</f>
        <v/>
      </c>
      <c r="I668" s="49" t="str">
        <f aca="false">IF(ROUND($G668,2)&lt;0,-ROUND($G668,2),"")</f>
        <v/>
      </c>
      <c r="J668" s="20" t="n">
        <f aca="false">IF(ROUND($G668,2)=0,0,1)</f>
        <v>0</v>
      </c>
      <c r="K668" s="20" t="str">
        <f aca="false">IF($J668=0,"",SUM($J$662:$J668))</f>
        <v/>
      </c>
      <c r="L668" s="20" t="str">
        <f aca="false">IF($K668="","",$A668*100+$K668)</f>
        <v/>
      </c>
      <c r="M668" s="48" t="str">
        <f aca="false">参数!$B$4</f>
        <v>回款</v>
      </c>
    </row>
    <row r="669" customFormat="false" ht="13.5" hidden="false" customHeight="false" outlineLevel="0" collapsed="false">
      <c r="A669" s="47" t="n">
        <v>45</v>
      </c>
      <c r="B669" s="38" t="n">
        <f aca="false">助手回款!$B46</f>
        <v>2069</v>
      </c>
      <c r="C669" s="48" t="str">
        <f aca="false">助手回款!$C46</f>
        <v>博东店</v>
      </c>
      <c r="D669" s="48" t="str">
        <f aca="false">科目对照回款!$B9&amp;""</f>
        <v>健E卡</v>
      </c>
      <c r="E669" s="48" t="str">
        <f aca="false">科目对照回款!$C9&amp;""</f>
        <v>应收账款</v>
      </c>
      <c r="F669" s="48" t="str">
        <f aca="false">科目对照回款!$D9&amp;""</f>
        <v>健E卡</v>
      </c>
      <c r="G669" s="49" t="n">
        <f aca="false">-ROUND(IF(科目对照回款!$F$9="",0,SUMIFS(输入回款!$C:$C,输入回款!$A:$A,助手回款!$X46,输入回款!$B:$B,科目对照回款!$F$9)+SUMIFS(输入回款!$D:$D,输入回款!$A:$A,助手回款!$X46,输入回款!$B:$B,科目对照回款!$F$9))+IF(科目对照回款!$G$9="",0,SUMIFS(输入回款!$C:$C,输入回款!$A:$A,助手回款!$X46,输入回款!$B:$B,科目对照回款!$G$9)+SUMIFS(输入回款!$D:$D,输入回款!$A:$A,助手回款!$X46,输入回款!$B:$B,科目对照回款!$G$9))+IF(科目对照回款!$H$9="",0,SUMIFS(输入回款!$C:$C,输入回款!$A:$A,助手回款!$X46,输入回款!$B:$B,科目对照回款!$H$9)+SUMIFS(输入回款!$D:$D,输入回款!$A:$A,助手回款!$X46,输入回款!$B:$B,科目对照回款!$H$9)),2)</f>
        <v>-0</v>
      </c>
      <c r="H669" s="49" t="str">
        <f aca="false">IF(ROUND($G669,2)&gt;0,ROUND($G669,2),"")</f>
        <v/>
      </c>
      <c r="I669" s="49" t="str">
        <f aca="false">IF(ROUND($G669,2)&lt;0,-ROUND($G669,2),"")</f>
        <v/>
      </c>
      <c r="J669" s="20" t="n">
        <f aca="false">IF(ROUND($G669,2)=0,0,1)</f>
        <v>0</v>
      </c>
      <c r="K669" s="20" t="str">
        <f aca="false">IF($J669=0,"",SUM($J$662:$J669))</f>
        <v/>
      </c>
      <c r="L669" s="20" t="str">
        <f aca="false">IF($K669="","",$A669*100+$K669)</f>
        <v/>
      </c>
      <c r="M669" s="48" t="str">
        <f aca="false">参数!$B$4</f>
        <v>回款</v>
      </c>
    </row>
    <row r="670" customFormat="false" ht="13.5" hidden="false" customHeight="false" outlineLevel="0" collapsed="false">
      <c r="A670" s="47" t="n">
        <v>45</v>
      </c>
      <c r="B670" s="38" t="n">
        <f aca="false">助手回款!$B46</f>
        <v>2069</v>
      </c>
      <c r="C670" s="48" t="str">
        <f aca="false">助手回款!$C46</f>
        <v>博东店</v>
      </c>
      <c r="D670" s="48" t="str">
        <f aca="false">科目对照回款!$B10&amp;""</f>
        <v>医卡通</v>
      </c>
      <c r="E670" s="48" t="str">
        <f aca="false">科目对照回款!$C10&amp;""</f>
        <v>应收账款</v>
      </c>
      <c r="F670" s="48" t="str">
        <f aca="false">科目对照回款!$D10&amp;""</f>
        <v>医卡通</v>
      </c>
      <c r="G670" s="49" t="n">
        <f aca="false">-ROUND(IF(科目对照回款!$F$10="",0,SUMIFS(输入回款!$C:$C,输入回款!$A:$A,助手回款!$X46,输入回款!$B:$B,科目对照回款!$F$10)+SUMIFS(输入回款!$D:$D,输入回款!$A:$A,助手回款!$X46,输入回款!$B:$B,科目对照回款!$F$10))+IF(科目对照回款!$G$10="",0,SUMIFS(输入回款!$C:$C,输入回款!$A:$A,助手回款!$X46,输入回款!$B:$B,科目对照回款!$G$10)+SUMIFS(输入回款!$D:$D,输入回款!$A:$A,助手回款!$X46,输入回款!$B:$B,科目对照回款!$G$10))+IF(科目对照回款!$H$10="",0,SUMIFS(输入回款!$C:$C,输入回款!$A:$A,助手回款!$X46,输入回款!$B:$B,科目对照回款!$H$10)+SUMIFS(输入回款!$D:$D,输入回款!$A:$A,助手回款!$X46,输入回款!$B:$B,科目对照回款!$H$10)),2)</f>
        <v>-0</v>
      </c>
      <c r="H670" s="49" t="str">
        <f aca="false">IF(ROUND($G670,2)&gt;0,ROUND($G670,2),"")</f>
        <v/>
      </c>
      <c r="I670" s="49" t="str">
        <f aca="false">IF(ROUND($G670,2)&lt;0,-ROUND($G670,2),"")</f>
        <v/>
      </c>
      <c r="J670" s="20" t="n">
        <f aca="false">IF(ROUND($G670,2)=0,0,1)</f>
        <v>0</v>
      </c>
      <c r="K670" s="20" t="str">
        <f aca="false">IF($J670=0,"",SUM($J$662:$J670))</f>
        <v/>
      </c>
      <c r="L670" s="20" t="str">
        <f aca="false">IF($K670="","",$A670*100+$K670)</f>
        <v/>
      </c>
      <c r="M670" s="48" t="str">
        <f aca="false">参数!$B$4</f>
        <v>回款</v>
      </c>
    </row>
    <row r="671" customFormat="false" ht="13.5" hidden="false" customHeight="false" outlineLevel="0" collapsed="false">
      <c r="A671" s="47" t="n">
        <v>45</v>
      </c>
      <c r="B671" s="38" t="n">
        <f aca="false">助手回款!$B46</f>
        <v>2069</v>
      </c>
      <c r="C671" s="48" t="str">
        <f aca="false">助手回款!$C46</f>
        <v>博东店</v>
      </c>
      <c r="D671" s="48" t="str">
        <f aca="false">科目对照回款!$B11&amp;""</f>
        <v>企健网</v>
      </c>
      <c r="E671" s="48" t="str">
        <f aca="false">科目对照回款!$C11&amp;""</f>
        <v>应收账款</v>
      </c>
      <c r="F671" s="48" t="str">
        <f aca="false">科目对照回款!$D11&amp;""</f>
        <v>企健网</v>
      </c>
      <c r="G671" s="49" t="n">
        <f aca="false">-ROUND(IF(科目对照回款!$F$11="",0,SUMIFS(输入回款!$C:$C,输入回款!$A:$A,助手回款!$X46,输入回款!$B:$B,科目对照回款!$F$11)+SUMIFS(输入回款!$D:$D,输入回款!$A:$A,助手回款!$X46,输入回款!$B:$B,科目对照回款!$F$11))+IF(科目对照回款!$G$11="",0,SUMIFS(输入回款!$C:$C,输入回款!$A:$A,助手回款!$X46,输入回款!$B:$B,科目对照回款!$G$11)+SUMIFS(输入回款!$D:$D,输入回款!$A:$A,助手回款!$X46,输入回款!$B:$B,科目对照回款!$G$11))+IF(科目对照回款!$H$11="",0,SUMIFS(输入回款!$C:$C,输入回款!$A:$A,助手回款!$X46,输入回款!$B:$B,科目对照回款!$H$11)+SUMIFS(输入回款!$D:$D,输入回款!$A:$A,助手回款!$X46,输入回款!$B:$B,科目对照回款!$H$11)),2)</f>
        <v>-0</v>
      </c>
      <c r="H671" s="49" t="str">
        <f aca="false">IF(ROUND($G671,2)&gt;0,ROUND($G671,2),"")</f>
        <v/>
      </c>
      <c r="I671" s="49" t="str">
        <f aca="false">IF(ROUND($G671,2)&lt;0,-ROUND($G671,2),"")</f>
        <v/>
      </c>
      <c r="J671" s="20" t="n">
        <f aca="false">IF(ROUND($G671,2)=0,0,1)</f>
        <v>0</v>
      </c>
      <c r="K671" s="20" t="str">
        <f aca="false">IF($J671=0,"",SUM($J$662:$J671))</f>
        <v/>
      </c>
      <c r="L671" s="20" t="str">
        <f aca="false">IF($K671="","",$A671*100+$K671)</f>
        <v/>
      </c>
      <c r="M671" s="48" t="str">
        <f aca="false">参数!$B$4</f>
        <v>回款</v>
      </c>
    </row>
    <row r="672" customFormat="false" ht="13.5" hidden="false" customHeight="false" outlineLevel="0" collapsed="false">
      <c r="A672" s="47" t="n">
        <v>45</v>
      </c>
      <c r="B672" s="38" t="n">
        <f aca="false">助手回款!$B46</f>
        <v>2069</v>
      </c>
      <c r="C672" s="48" t="str">
        <f aca="false">助手回款!$C46</f>
        <v>博东店</v>
      </c>
      <c r="D672" s="48" t="str">
        <f aca="false">科目对照回款!$B12&amp;""</f>
        <v>亲情卡</v>
      </c>
      <c r="E672" s="48" t="str">
        <f aca="false">科目对照回款!$C12&amp;""</f>
        <v>应收账款</v>
      </c>
      <c r="F672" s="48" t="str">
        <f aca="false">科目对照回款!$D12&amp;""</f>
        <v>亲情卡</v>
      </c>
      <c r="G672" s="49" t="n">
        <f aca="false">-ROUND(IF(科目对照回款!$F$12="",0,SUMIFS(输入回款!$C:$C,输入回款!$A:$A,助手回款!$X46,输入回款!$B:$B,科目对照回款!$F$12)+SUMIFS(输入回款!$D:$D,输入回款!$A:$A,助手回款!$X46,输入回款!$B:$B,科目对照回款!$F$12))+IF(科目对照回款!$G$12="",0,SUMIFS(输入回款!$C:$C,输入回款!$A:$A,助手回款!$X46,输入回款!$B:$B,科目对照回款!$G$12)+SUMIFS(输入回款!$D:$D,输入回款!$A:$A,助手回款!$X46,输入回款!$B:$B,科目对照回款!$G$12))+IF(科目对照回款!$H$12="",0,SUMIFS(输入回款!$C:$C,输入回款!$A:$A,助手回款!$X46,输入回款!$B:$B,科目对照回款!$H$12)+SUMIFS(输入回款!$D:$D,输入回款!$A:$A,助手回款!$X46,输入回款!$B:$B,科目对照回款!$H$12)),2)</f>
        <v>-0</v>
      </c>
      <c r="H672" s="49" t="str">
        <f aca="false">IF(ROUND($G672,2)&gt;0,ROUND($G672,2),"")</f>
        <v/>
      </c>
      <c r="I672" s="49" t="str">
        <f aca="false">IF(ROUND($G672,2)&lt;0,-ROUND($G672,2),"")</f>
        <v/>
      </c>
      <c r="J672" s="20" t="n">
        <f aca="false">IF(ROUND($G672,2)=0,0,1)</f>
        <v>0</v>
      </c>
      <c r="K672" s="20" t="str">
        <f aca="false">IF($J672=0,"",SUM($J$662:$J672))</f>
        <v/>
      </c>
      <c r="L672" s="20" t="str">
        <f aca="false">IF($K672="","",$A672*100+$K672)</f>
        <v/>
      </c>
      <c r="M672" s="48" t="str">
        <f aca="false">参数!$B$4</f>
        <v>回款</v>
      </c>
    </row>
    <row r="673" customFormat="false" ht="13.5" hidden="false" customHeight="false" outlineLevel="0" collapsed="false">
      <c r="A673" s="47" t="n">
        <v>45</v>
      </c>
      <c r="B673" s="38" t="n">
        <f aca="false">助手回款!$B46</f>
        <v>2069</v>
      </c>
      <c r="C673" s="48" t="str">
        <f aca="false">助手回款!$C46</f>
        <v>博东店</v>
      </c>
      <c r="D673" s="48" t="str">
        <f aca="false">科目对照回款!$B13&amp;""</f>
        <v>银联</v>
      </c>
      <c r="E673" s="48" t="str">
        <f aca="false">科目对照回款!$C13&amp;""</f>
        <v>应收账款</v>
      </c>
      <c r="F673" s="48" t="str">
        <f aca="false">科目对照回款!$D13&amp;""</f>
        <v>银联</v>
      </c>
      <c r="G673" s="49" t="n">
        <f aca="false">-ROUND(IF(科目对照回款!$F$13="",0,SUMIFS(输入回款!$C:$C,输入回款!$A:$A,助手回款!$X46,输入回款!$B:$B,科目对照回款!$F$13)+SUMIFS(输入回款!$D:$D,输入回款!$A:$A,助手回款!$X46,输入回款!$B:$B,科目对照回款!$F$13))+IF(科目对照回款!$G$13="",0,SUMIFS(输入回款!$C:$C,输入回款!$A:$A,助手回款!$X46,输入回款!$B:$B,科目对照回款!$G$13)+SUMIFS(输入回款!$D:$D,输入回款!$A:$A,助手回款!$X46,输入回款!$B:$B,科目对照回款!$G$13))+IF(科目对照回款!$H$13="",0,SUMIFS(输入回款!$C:$C,输入回款!$A:$A,助手回款!$X46,输入回款!$B:$B,科目对照回款!$H$13)+SUMIFS(输入回款!$D:$D,输入回款!$A:$A,助手回款!$X46,输入回款!$B:$B,科目对照回款!$H$13)),2)</f>
        <v>-0</v>
      </c>
      <c r="H673" s="49" t="str">
        <f aca="false">IF(ROUND($G673,2)&gt;0,ROUND($G673,2),"")</f>
        <v/>
      </c>
      <c r="I673" s="49" t="str">
        <f aca="false">IF(ROUND($G673,2)&lt;0,-ROUND($G673,2),"")</f>
        <v/>
      </c>
      <c r="J673" s="20" t="n">
        <f aca="false">IF(ROUND($G673,2)=0,0,1)</f>
        <v>0</v>
      </c>
      <c r="K673" s="20" t="str">
        <f aca="false">IF($J673=0,"",SUM($J$662:$J673))</f>
        <v/>
      </c>
      <c r="L673" s="20" t="str">
        <f aca="false">IF($K673="","",$A673*100+$K673)</f>
        <v/>
      </c>
      <c r="M673" s="48" t="str">
        <f aca="false">参数!$B$4</f>
        <v>回款</v>
      </c>
    </row>
    <row r="674" customFormat="false" ht="13.5" hidden="false" customHeight="false" outlineLevel="0" collapsed="false">
      <c r="A674" s="47" t="n">
        <v>45</v>
      </c>
      <c r="B674" s="38" t="n">
        <f aca="false">助手回款!$B46</f>
        <v>2069</v>
      </c>
      <c r="C674" s="48" t="str">
        <f aca="false">助手回款!$C46</f>
        <v>博东店</v>
      </c>
      <c r="D674" s="48" t="str">
        <f aca="false">科目对照回款!$B14&amp;""</f>
        <v>代金券</v>
      </c>
      <c r="E674" s="48" t="str">
        <f aca="false">科目对照回款!$C14&amp;""</f>
        <v>应收账款</v>
      </c>
      <c r="F674" s="48" t="str">
        <f aca="false">科目对照回款!$D14&amp;""</f>
        <v>代金券</v>
      </c>
      <c r="G674" s="49" t="n">
        <f aca="false">-ROUND(IF(科目对照回款!$F$14="",0,SUMIFS(输入回款!$C:$C,输入回款!$A:$A,助手回款!$X46,输入回款!$B:$B,科目对照回款!$F$14)+SUMIFS(输入回款!$D:$D,输入回款!$A:$A,助手回款!$X46,输入回款!$B:$B,科目对照回款!$F$14))+IF(科目对照回款!$G$14="",0,SUMIFS(输入回款!$C:$C,输入回款!$A:$A,助手回款!$X46,输入回款!$B:$B,科目对照回款!$G$14)+SUMIFS(输入回款!$D:$D,输入回款!$A:$A,助手回款!$X46,输入回款!$B:$B,科目对照回款!$G$14))+IF(科目对照回款!$H$14="",0,SUMIFS(输入回款!$C:$C,输入回款!$A:$A,助手回款!$X46,输入回款!$B:$B,科目对照回款!$H$14)+SUMIFS(输入回款!$D:$D,输入回款!$A:$A,助手回款!$X46,输入回款!$B:$B,科目对照回款!$H$14)),2)</f>
        <v>-0</v>
      </c>
      <c r="H674" s="49" t="str">
        <f aca="false">IF(ROUND($G674,2)&gt;0,ROUND($G674,2),"")</f>
        <v/>
      </c>
      <c r="I674" s="49" t="str">
        <f aca="false">IF(ROUND($G674,2)&lt;0,-ROUND($G674,2),"")</f>
        <v/>
      </c>
      <c r="J674" s="20" t="n">
        <f aca="false">IF(ROUND($G674,2)=0,0,1)</f>
        <v>0</v>
      </c>
      <c r="K674" s="20" t="str">
        <f aca="false">IF($J674=0,"",SUM($J$662:$J674))</f>
        <v/>
      </c>
      <c r="L674" s="20" t="str">
        <f aca="false">IF($K674="","",$A674*100+$K674)</f>
        <v/>
      </c>
      <c r="M674" s="48" t="str">
        <f aca="false">参数!$B$4</f>
        <v>回款</v>
      </c>
    </row>
    <row r="675" customFormat="false" ht="13.5" hidden="false" customHeight="false" outlineLevel="0" collapsed="false">
      <c r="A675" s="47" t="n">
        <v>45</v>
      </c>
      <c r="B675" s="38" t="n">
        <f aca="false">助手回款!$B46</f>
        <v>2069</v>
      </c>
      <c r="C675" s="48" t="str">
        <f aca="false">助手回款!$C46</f>
        <v>博东店</v>
      </c>
      <c r="D675" s="48" t="str">
        <f aca="false">科目对照回款!$B15&amp;""</f>
        <v>药机微信</v>
      </c>
      <c r="E675" s="48" t="str">
        <f aca="false">科目对照回款!$C15&amp;""</f>
        <v>应收账款</v>
      </c>
      <c r="F675" s="48" t="str">
        <f aca="false">科目对照回款!$D15&amp;""</f>
        <v>药机微信</v>
      </c>
      <c r="G675" s="49" t="n">
        <f aca="false">-ROUND(IF(科目对照回款!$F$15="",0,SUMIFS(输入回款!$C:$C,输入回款!$A:$A,助手回款!$X46,输入回款!$B:$B,科目对照回款!$F$15)+SUMIFS(输入回款!$D:$D,输入回款!$A:$A,助手回款!$X46,输入回款!$B:$B,科目对照回款!$F$15))+IF(科目对照回款!$G$15="",0,SUMIFS(输入回款!$C:$C,输入回款!$A:$A,助手回款!$X46,输入回款!$B:$B,科目对照回款!$G$15)+SUMIFS(输入回款!$D:$D,输入回款!$A:$A,助手回款!$X46,输入回款!$B:$B,科目对照回款!$G$15))+IF(科目对照回款!$H$15="",0,SUMIFS(输入回款!$C:$C,输入回款!$A:$A,助手回款!$X46,输入回款!$B:$B,科目对照回款!$H$15)+SUMIFS(输入回款!$D:$D,输入回款!$A:$A,助手回款!$X46,输入回款!$B:$B,科目对照回款!$H$15)),2)</f>
        <v>-0</v>
      </c>
      <c r="H675" s="49" t="str">
        <f aca="false">IF(ROUND($G675,2)&gt;0,ROUND($G675,2),"")</f>
        <v/>
      </c>
      <c r="I675" s="49" t="str">
        <f aca="false">IF(ROUND($G675,2)&lt;0,-ROUND($G675,2),"")</f>
        <v/>
      </c>
      <c r="J675" s="20" t="n">
        <f aca="false">IF(ROUND($G675,2)=0,0,1)</f>
        <v>0</v>
      </c>
      <c r="K675" s="20" t="str">
        <f aca="false">IF($J675=0,"",SUM($J$662:$J675))</f>
        <v/>
      </c>
      <c r="L675" s="20" t="str">
        <f aca="false">IF($K675="","",$A675*100+$K675)</f>
        <v/>
      </c>
      <c r="M675" s="48" t="str">
        <f aca="false">参数!$B$4</f>
        <v>回款</v>
      </c>
    </row>
    <row r="676" customFormat="false" ht="13.5" hidden="false" customHeight="false" outlineLevel="0" collapsed="false">
      <c r="A676" s="47" t="n">
        <v>45</v>
      </c>
      <c r="B676" s="38" t="n">
        <f aca="false">助手回款!$B46</f>
        <v>2069</v>
      </c>
      <c r="C676" s="48" t="str">
        <f aca="false">助手回款!$C46</f>
        <v>博东店</v>
      </c>
      <c r="D676" s="48" t="str">
        <f aca="false">科目对照回款!$B16&amp;""</f>
        <v>储值卡</v>
      </c>
      <c r="E676" s="48" t="str">
        <f aca="false">科目对照回款!$C16&amp;""</f>
        <v>其他应收款</v>
      </c>
      <c r="F676" s="48" t="str">
        <f aca="false">科目对照回款!$D16&amp;""</f>
        <v>储值卡</v>
      </c>
      <c r="G676" s="49" t="n">
        <f aca="false">-ROUND(IF(科目对照回款!$F$16="",0,SUMIFS(输入回款!$C:$C,输入回款!$A:$A,助手回款!$X46,输入回款!$B:$B,科目对照回款!$F$16)+SUMIFS(输入回款!$D:$D,输入回款!$A:$A,助手回款!$X46,输入回款!$B:$B,科目对照回款!$F$16))+IF(科目对照回款!$G$16="",0,SUMIFS(输入回款!$C:$C,输入回款!$A:$A,助手回款!$X46,输入回款!$B:$B,科目对照回款!$G$16)+SUMIFS(输入回款!$D:$D,输入回款!$A:$A,助手回款!$X46,输入回款!$B:$B,科目对照回款!$G$16))+IF(科目对照回款!$H$16="",0,SUMIFS(输入回款!$C:$C,输入回款!$A:$A,助手回款!$X46,输入回款!$B:$B,科目对照回款!$H$16)+SUMIFS(输入回款!$D:$D,输入回款!$A:$A,助手回款!$X46,输入回款!$B:$B,科目对照回款!$H$16)),2)</f>
        <v>-0</v>
      </c>
      <c r="H676" s="49" t="str">
        <f aca="false">IF(ROUND($G676,2)&gt;0,ROUND($G676,2),"")</f>
        <v/>
      </c>
      <c r="I676" s="49" t="str">
        <f aca="false">IF(ROUND($G676,2)&lt;0,-ROUND($G676,2),"")</f>
        <v/>
      </c>
      <c r="J676" s="20" t="n">
        <f aca="false">IF(ROUND($G676,2)=0,0,1)</f>
        <v>0</v>
      </c>
      <c r="K676" s="20" t="str">
        <f aca="false">IF($J676=0,"",SUM($J$662:$J676))</f>
        <v/>
      </c>
      <c r="L676" s="20" t="str">
        <f aca="false">IF($K676="","",$A676*100+$K676)</f>
        <v/>
      </c>
      <c r="M676" s="48" t="str">
        <f aca="false">参数!$B$4</f>
        <v>回款</v>
      </c>
    </row>
    <row r="677" customFormat="false" ht="13.5" hidden="false" customHeight="false" outlineLevel="0" collapsed="false">
      <c r="A677" s="47" t="n">
        <v>46</v>
      </c>
      <c r="B677" s="38" t="str">
        <f aca="false">助手回款!$B47</f>
        <v/>
      </c>
      <c r="C677" s="48" t="str">
        <f aca="false">助手回款!$C47</f>
        <v>备用1</v>
      </c>
      <c r="D677" s="48" t="str">
        <f aca="false">科目对照回款!$B2&amp;""</f>
        <v>库存现金</v>
      </c>
      <c r="E677" s="48" t="str">
        <f aca="false">科目对照回款!$C2&amp;""</f>
        <v>库存现金</v>
      </c>
      <c r="F677" s="48" t="str">
        <f aca="false">科目对照回款!$D2&amp;""</f>
        <v/>
      </c>
      <c r="G677" s="49" t="n">
        <f aca="false">助手回款!$E47</f>
        <v>0</v>
      </c>
      <c r="H677" s="49" t="str">
        <f aca="false">IF(ROUND($G677,2)&gt;0,ROUND($G677,2),"")</f>
        <v/>
      </c>
      <c r="I677" s="49" t="str">
        <f aca="false">IF(ROUND($G677,2)&lt;0,-ROUND($G677,2),"")</f>
        <v/>
      </c>
      <c r="J677" s="20" t="n">
        <f aca="false">IF(ROUND($G677,2)=0,0,1)</f>
        <v>0</v>
      </c>
      <c r="K677" s="20" t="str">
        <f aca="false">IF($J677=0,"",SUM($J$677:$J677))</f>
        <v/>
      </c>
      <c r="L677" s="20" t="str">
        <f aca="false">IF($K677="","",$A677*100+$K677)</f>
        <v/>
      </c>
      <c r="M677" s="48" t="str">
        <f aca="false">参数!$B$4</f>
        <v>回款</v>
      </c>
    </row>
    <row r="678" customFormat="false" ht="13.5" hidden="false" customHeight="false" outlineLevel="0" collapsed="false">
      <c r="A678" s="47" t="n">
        <v>46</v>
      </c>
      <c r="B678" s="38" t="str">
        <f aca="false">助手回款!$B47</f>
        <v/>
      </c>
      <c r="C678" s="48" t="str">
        <f aca="false">助手回款!$C47</f>
        <v>备用1</v>
      </c>
      <c r="D678" s="48" t="str">
        <f aca="false">科目对照回款!$B3&amp;""</f>
        <v>手续费</v>
      </c>
      <c r="E678" s="48" t="str">
        <f aca="false">科目对照回款!$C3&amp;""</f>
        <v>财务费用</v>
      </c>
      <c r="F678" s="48" t="str">
        <f aca="false">科目对照回款!$D3&amp;""</f>
        <v>手续费</v>
      </c>
      <c r="G678" s="49" t="n">
        <f aca="false">助手回款!$F47</f>
        <v>0</v>
      </c>
      <c r="H678" s="49" t="str">
        <f aca="false">IF(ROUND($G678,2)&gt;0,ROUND($G678,2),"")</f>
        <v/>
      </c>
      <c r="I678" s="49" t="str">
        <f aca="false">IF(ROUND($G678,2)&lt;0,-ROUND($G678,2),"")</f>
        <v/>
      </c>
      <c r="J678" s="20" t="n">
        <f aca="false">IF(ROUND($G678,2)=0,0,1)</f>
        <v>0</v>
      </c>
      <c r="K678" s="20" t="str">
        <f aca="false">IF($J678=0,"",SUM($J$677:$J678))</f>
        <v/>
      </c>
      <c r="L678" s="20" t="str">
        <f aca="false">IF($K678="","",$A678*100+$K678)</f>
        <v/>
      </c>
      <c r="M678" s="48" t="str">
        <f aca="false">参数!$B$4</f>
        <v>回款</v>
      </c>
    </row>
    <row r="679" customFormat="false" ht="13.5" hidden="false" customHeight="false" outlineLevel="0" collapsed="false">
      <c r="A679" s="47" t="n">
        <v>46</v>
      </c>
      <c r="B679" s="38" t="str">
        <f aca="false">助手回款!$B47</f>
        <v/>
      </c>
      <c r="C679" s="48" t="str">
        <f aca="false">助手回款!$C47</f>
        <v>备用1</v>
      </c>
      <c r="D679" s="48" t="str">
        <f aca="false">科目对照回款!$B4&amp;""</f>
        <v>聚合支付</v>
      </c>
      <c r="E679" s="48" t="str">
        <f aca="false">科目对照回款!$C4&amp;""</f>
        <v>应收账款</v>
      </c>
      <c r="F679" s="48" t="str">
        <f aca="false">科目对照回款!$D4&amp;""</f>
        <v>聚合支付</v>
      </c>
      <c r="G679" s="49" t="n">
        <f aca="false">-ROUND(IF(科目对照回款!$F$4="",0,SUMIFS(输入回款!$C:$C,输入回款!$A:$A,助手回款!$X47,输入回款!$B:$B,科目对照回款!$F$4)+SUMIFS(输入回款!$D:$D,输入回款!$A:$A,助手回款!$X47,输入回款!$B:$B,科目对照回款!$F$4))+IF(科目对照回款!$G$4="",0,SUMIFS(输入回款!$C:$C,输入回款!$A:$A,助手回款!$X47,输入回款!$B:$B,科目对照回款!$G$4)+SUMIFS(输入回款!$D:$D,输入回款!$A:$A,助手回款!$X47,输入回款!$B:$B,科目对照回款!$G$4))+IF(科目对照回款!$H$4="",0,SUMIFS(输入回款!$C:$C,输入回款!$A:$A,助手回款!$X47,输入回款!$B:$B,科目对照回款!$H$4)+SUMIFS(输入回款!$D:$D,输入回款!$A:$A,助手回款!$X47,输入回款!$B:$B,科目对照回款!$H$4)),2)</f>
        <v>-0</v>
      </c>
      <c r="H679" s="49" t="str">
        <f aca="false">IF(ROUND($G679,2)&gt;0,ROUND($G679,2),"")</f>
        <v/>
      </c>
      <c r="I679" s="49" t="str">
        <f aca="false">IF(ROUND($G679,2)&lt;0,-ROUND($G679,2),"")</f>
        <v/>
      </c>
      <c r="J679" s="20" t="n">
        <f aca="false">IF(ROUND($G679,2)=0,0,1)</f>
        <v>0</v>
      </c>
      <c r="K679" s="20" t="str">
        <f aca="false">IF($J679=0,"",SUM($J$677:$J679))</f>
        <v/>
      </c>
      <c r="L679" s="20" t="str">
        <f aca="false">IF($K679="","",$A679*100+$K679)</f>
        <v/>
      </c>
      <c r="M679" s="48" t="str">
        <f aca="false">参数!$B$4</f>
        <v>回款</v>
      </c>
    </row>
    <row r="680" customFormat="false" ht="13.5" hidden="false" customHeight="false" outlineLevel="0" collapsed="false">
      <c r="A680" s="47" t="n">
        <v>46</v>
      </c>
      <c r="B680" s="38" t="str">
        <f aca="false">助手回款!$B47</f>
        <v/>
      </c>
      <c r="C680" s="48" t="str">
        <f aca="false">助手回款!$C47</f>
        <v>备用1</v>
      </c>
      <c r="D680" s="48" t="str">
        <f aca="false">科目对照回款!$B5&amp;""</f>
        <v>医保</v>
      </c>
      <c r="E680" s="48" t="str">
        <f aca="false">科目对照回款!$C5&amp;""</f>
        <v>应收账款</v>
      </c>
      <c r="F680" s="48" t="str">
        <f aca="false">科目对照回款!$D5&amp;""</f>
        <v>医保</v>
      </c>
      <c r="G680" s="49" t="n">
        <f aca="false">-ROUND(IF(科目对照回款!$F$5="",0,SUMIFS(输入回款!$C:$C,输入回款!$A:$A,助手回款!$X47,输入回款!$B:$B,科目对照回款!$F$5)+SUMIFS(输入回款!$D:$D,输入回款!$A:$A,助手回款!$X47,输入回款!$B:$B,科目对照回款!$F$5))+IF(科目对照回款!$G$5="",0,SUMIFS(输入回款!$C:$C,输入回款!$A:$A,助手回款!$X47,输入回款!$B:$B,科目对照回款!$G$5)+SUMIFS(输入回款!$D:$D,输入回款!$A:$A,助手回款!$X47,输入回款!$B:$B,科目对照回款!$G$5))+IF(科目对照回款!$H$5="",0,SUMIFS(输入回款!$C:$C,输入回款!$A:$A,助手回款!$X47,输入回款!$B:$B,科目对照回款!$H$5)+SUMIFS(输入回款!$D:$D,输入回款!$A:$A,助手回款!$X47,输入回款!$B:$B,科目对照回款!$H$5)),2)</f>
        <v>-0</v>
      </c>
      <c r="H680" s="49" t="str">
        <f aca="false">IF(ROUND($G680,2)&gt;0,ROUND($G680,2),"")</f>
        <v/>
      </c>
      <c r="I680" s="49" t="str">
        <f aca="false">IF(ROUND($G680,2)&lt;0,-ROUND($G680,2),"")</f>
        <v/>
      </c>
      <c r="J680" s="20" t="n">
        <f aca="false">IF(ROUND($G680,2)=0,0,1)</f>
        <v>0</v>
      </c>
      <c r="K680" s="20" t="str">
        <f aca="false">IF($J680=0,"",SUM($J$677:$J680))</f>
        <v/>
      </c>
      <c r="L680" s="20" t="str">
        <f aca="false">IF($K680="","",$A680*100+$K680)</f>
        <v/>
      </c>
      <c r="M680" s="48" t="str">
        <f aca="false">参数!$B$4</f>
        <v>回款</v>
      </c>
    </row>
    <row r="681" customFormat="false" ht="13.5" hidden="false" customHeight="false" outlineLevel="0" collapsed="false">
      <c r="A681" s="47" t="n">
        <v>46</v>
      </c>
      <c r="B681" s="38" t="str">
        <f aca="false">助手回款!$B47</f>
        <v/>
      </c>
      <c r="C681" s="48" t="str">
        <f aca="false">助手回款!$C47</f>
        <v>备用1</v>
      </c>
      <c r="D681" s="48" t="str">
        <f aca="false">科目对照回款!$B6&amp;""</f>
        <v>美团</v>
      </c>
      <c r="E681" s="48" t="str">
        <f aca="false">科目对照回款!$C6&amp;""</f>
        <v>应收账款</v>
      </c>
      <c r="F681" s="48" t="str">
        <f aca="false">科目对照回款!$D6&amp;""</f>
        <v>美团</v>
      </c>
      <c r="G681" s="49" t="n">
        <f aca="false">-ROUND(IF(科目对照回款!$F$6="",0,SUMIFS(输入回款!$C:$C,输入回款!$A:$A,助手回款!$X47,输入回款!$B:$B,科目对照回款!$F$6)+SUMIFS(输入回款!$D:$D,输入回款!$A:$A,助手回款!$X47,输入回款!$B:$B,科目对照回款!$F$6))+IF(科目对照回款!$G$6="",0,SUMIFS(输入回款!$C:$C,输入回款!$A:$A,助手回款!$X47,输入回款!$B:$B,科目对照回款!$G$6)+SUMIFS(输入回款!$D:$D,输入回款!$A:$A,助手回款!$X47,输入回款!$B:$B,科目对照回款!$G$6))+IF(科目对照回款!$H$6="",0,SUMIFS(输入回款!$C:$C,输入回款!$A:$A,助手回款!$X47,输入回款!$B:$B,科目对照回款!$H$6)+SUMIFS(输入回款!$D:$D,输入回款!$A:$A,助手回款!$X47,输入回款!$B:$B,科目对照回款!$H$6)),2)</f>
        <v>-0</v>
      </c>
      <c r="H681" s="49" t="str">
        <f aca="false">IF(ROUND($G681,2)&gt;0,ROUND($G681,2),"")</f>
        <v/>
      </c>
      <c r="I681" s="49" t="str">
        <f aca="false">IF(ROUND($G681,2)&lt;0,-ROUND($G681,2),"")</f>
        <v/>
      </c>
      <c r="J681" s="20" t="n">
        <f aca="false">IF(ROUND($G681,2)=0,0,1)</f>
        <v>0</v>
      </c>
      <c r="K681" s="20" t="str">
        <f aca="false">IF($J681=0,"",SUM($J$677:$J681))</f>
        <v/>
      </c>
      <c r="L681" s="20" t="str">
        <f aca="false">IF($K681="","",$A681*100+$K681)</f>
        <v/>
      </c>
      <c r="M681" s="48" t="str">
        <f aca="false">参数!$B$4</f>
        <v>回款</v>
      </c>
    </row>
    <row r="682" customFormat="false" ht="13.5" hidden="false" customHeight="false" outlineLevel="0" collapsed="false">
      <c r="A682" s="47" t="n">
        <v>46</v>
      </c>
      <c r="B682" s="38" t="str">
        <f aca="false">助手回款!$B47</f>
        <v/>
      </c>
      <c r="C682" s="48" t="str">
        <f aca="false">助手回款!$C47</f>
        <v>备用1</v>
      </c>
      <c r="D682" s="48" t="str">
        <f aca="false">科目对照回款!$B7&amp;""</f>
        <v>饿了么</v>
      </c>
      <c r="E682" s="48" t="str">
        <f aca="false">科目对照回款!$C7&amp;""</f>
        <v>应收账款</v>
      </c>
      <c r="F682" s="48" t="str">
        <f aca="false">科目对照回款!$D7&amp;""</f>
        <v>饿了么</v>
      </c>
      <c r="G682" s="49" t="n">
        <f aca="false">-ROUND(IF(科目对照回款!$F$7="",0,SUMIFS(输入回款!$C:$C,输入回款!$A:$A,助手回款!$X47,输入回款!$B:$B,科目对照回款!$F$7)+SUMIFS(输入回款!$D:$D,输入回款!$A:$A,助手回款!$X47,输入回款!$B:$B,科目对照回款!$F$7))+IF(科目对照回款!$G$7="",0,SUMIFS(输入回款!$C:$C,输入回款!$A:$A,助手回款!$X47,输入回款!$B:$B,科目对照回款!$G$7)+SUMIFS(输入回款!$D:$D,输入回款!$A:$A,助手回款!$X47,输入回款!$B:$B,科目对照回款!$G$7))+IF(科目对照回款!$H$7="",0,SUMIFS(输入回款!$C:$C,输入回款!$A:$A,助手回款!$X47,输入回款!$B:$B,科目对照回款!$H$7)+SUMIFS(输入回款!$D:$D,输入回款!$A:$A,助手回款!$X47,输入回款!$B:$B,科目对照回款!$H$7)),2)</f>
        <v>-0</v>
      </c>
      <c r="H682" s="49" t="str">
        <f aca="false">IF(ROUND($G682,2)&gt;0,ROUND($G682,2),"")</f>
        <v/>
      </c>
      <c r="I682" s="49" t="str">
        <f aca="false">IF(ROUND($G682,2)&lt;0,-ROUND($G682,2),"")</f>
        <v/>
      </c>
      <c r="J682" s="20" t="n">
        <f aca="false">IF(ROUND($G682,2)=0,0,1)</f>
        <v>0</v>
      </c>
      <c r="K682" s="20" t="str">
        <f aca="false">IF($J682=0,"",SUM($J$677:$J682))</f>
        <v/>
      </c>
      <c r="L682" s="20" t="str">
        <f aca="false">IF($K682="","",$A682*100+$K682)</f>
        <v/>
      </c>
      <c r="M682" s="48" t="str">
        <f aca="false">参数!$B$4</f>
        <v>回款</v>
      </c>
    </row>
    <row r="683" customFormat="false" ht="13.5" hidden="false" customHeight="false" outlineLevel="0" collapsed="false">
      <c r="A683" s="47" t="n">
        <v>46</v>
      </c>
      <c r="B683" s="38" t="str">
        <f aca="false">助手回款!$B47</f>
        <v/>
      </c>
      <c r="C683" s="48" t="str">
        <f aca="false">助手回款!$C47</f>
        <v>备用1</v>
      </c>
      <c r="D683" s="48" t="str">
        <f aca="false">科目对照回款!$B8&amp;""</f>
        <v>24小时</v>
      </c>
      <c r="E683" s="48" t="str">
        <f aca="false">科目对照回款!$C8&amp;""</f>
        <v>应收账款</v>
      </c>
      <c r="F683" s="48" t="str">
        <f aca="false">科目对照回款!$D8&amp;""</f>
        <v>24小时</v>
      </c>
      <c r="G683" s="49" t="n">
        <f aca="false">-ROUND(IF(科目对照回款!$F$8="",0,SUMIFS(输入回款!$C:$C,输入回款!$A:$A,助手回款!$X47,输入回款!$B:$B,科目对照回款!$F$8)+SUMIFS(输入回款!$D:$D,输入回款!$A:$A,助手回款!$X47,输入回款!$B:$B,科目对照回款!$F$8))+IF(科目对照回款!$G$8="",0,SUMIFS(输入回款!$C:$C,输入回款!$A:$A,助手回款!$X47,输入回款!$B:$B,科目对照回款!$G$8)+SUMIFS(输入回款!$D:$D,输入回款!$A:$A,助手回款!$X47,输入回款!$B:$B,科目对照回款!$G$8))+IF(科目对照回款!$H$8="",0,SUMIFS(输入回款!$C:$C,输入回款!$A:$A,助手回款!$X47,输入回款!$B:$B,科目对照回款!$H$8)+SUMIFS(输入回款!$D:$D,输入回款!$A:$A,助手回款!$X47,输入回款!$B:$B,科目对照回款!$H$8)),2)</f>
        <v>-0</v>
      </c>
      <c r="H683" s="49" t="str">
        <f aca="false">IF(ROUND($G683,2)&gt;0,ROUND($G683,2),"")</f>
        <v/>
      </c>
      <c r="I683" s="49" t="str">
        <f aca="false">IF(ROUND($G683,2)&lt;0,-ROUND($G683,2),"")</f>
        <v/>
      </c>
      <c r="J683" s="20" t="n">
        <f aca="false">IF(ROUND($G683,2)=0,0,1)</f>
        <v>0</v>
      </c>
      <c r="K683" s="20" t="str">
        <f aca="false">IF($J683=0,"",SUM($J$677:$J683))</f>
        <v/>
      </c>
      <c r="L683" s="20" t="str">
        <f aca="false">IF($K683="","",$A683*100+$K683)</f>
        <v/>
      </c>
      <c r="M683" s="48" t="str">
        <f aca="false">参数!$B$4</f>
        <v>回款</v>
      </c>
    </row>
    <row r="684" customFormat="false" ht="13.5" hidden="false" customHeight="false" outlineLevel="0" collapsed="false">
      <c r="A684" s="47" t="n">
        <v>46</v>
      </c>
      <c r="B684" s="38" t="str">
        <f aca="false">助手回款!$B47</f>
        <v/>
      </c>
      <c r="C684" s="48" t="str">
        <f aca="false">助手回款!$C47</f>
        <v>备用1</v>
      </c>
      <c r="D684" s="48" t="str">
        <f aca="false">科目对照回款!$B9&amp;""</f>
        <v>健E卡</v>
      </c>
      <c r="E684" s="48" t="str">
        <f aca="false">科目对照回款!$C9&amp;""</f>
        <v>应收账款</v>
      </c>
      <c r="F684" s="48" t="str">
        <f aca="false">科目对照回款!$D9&amp;""</f>
        <v>健E卡</v>
      </c>
      <c r="G684" s="49" t="n">
        <f aca="false">-ROUND(IF(科目对照回款!$F$9="",0,SUMIFS(输入回款!$C:$C,输入回款!$A:$A,助手回款!$X47,输入回款!$B:$B,科目对照回款!$F$9)+SUMIFS(输入回款!$D:$D,输入回款!$A:$A,助手回款!$X47,输入回款!$B:$B,科目对照回款!$F$9))+IF(科目对照回款!$G$9="",0,SUMIFS(输入回款!$C:$C,输入回款!$A:$A,助手回款!$X47,输入回款!$B:$B,科目对照回款!$G$9)+SUMIFS(输入回款!$D:$D,输入回款!$A:$A,助手回款!$X47,输入回款!$B:$B,科目对照回款!$G$9))+IF(科目对照回款!$H$9="",0,SUMIFS(输入回款!$C:$C,输入回款!$A:$A,助手回款!$X47,输入回款!$B:$B,科目对照回款!$H$9)+SUMIFS(输入回款!$D:$D,输入回款!$A:$A,助手回款!$X47,输入回款!$B:$B,科目对照回款!$H$9)),2)</f>
        <v>-0</v>
      </c>
      <c r="H684" s="49" t="str">
        <f aca="false">IF(ROUND($G684,2)&gt;0,ROUND($G684,2),"")</f>
        <v/>
      </c>
      <c r="I684" s="49" t="str">
        <f aca="false">IF(ROUND($G684,2)&lt;0,-ROUND($G684,2),"")</f>
        <v/>
      </c>
      <c r="J684" s="20" t="n">
        <f aca="false">IF(ROUND($G684,2)=0,0,1)</f>
        <v>0</v>
      </c>
      <c r="K684" s="20" t="str">
        <f aca="false">IF($J684=0,"",SUM($J$677:$J684))</f>
        <v/>
      </c>
      <c r="L684" s="20" t="str">
        <f aca="false">IF($K684="","",$A684*100+$K684)</f>
        <v/>
      </c>
      <c r="M684" s="48" t="str">
        <f aca="false">参数!$B$4</f>
        <v>回款</v>
      </c>
    </row>
    <row r="685" customFormat="false" ht="13.5" hidden="false" customHeight="false" outlineLevel="0" collapsed="false">
      <c r="A685" s="47" t="n">
        <v>46</v>
      </c>
      <c r="B685" s="38" t="str">
        <f aca="false">助手回款!$B47</f>
        <v/>
      </c>
      <c r="C685" s="48" t="str">
        <f aca="false">助手回款!$C47</f>
        <v>备用1</v>
      </c>
      <c r="D685" s="48" t="str">
        <f aca="false">科目对照回款!$B10&amp;""</f>
        <v>医卡通</v>
      </c>
      <c r="E685" s="48" t="str">
        <f aca="false">科目对照回款!$C10&amp;""</f>
        <v>应收账款</v>
      </c>
      <c r="F685" s="48" t="str">
        <f aca="false">科目对照回款!$D10&amp;""</f>
        <v>医卡通</v>
      </c>
      <c r="G685" s="49" t="n">
        <f aca="false">-ROUND(IF(科目对照回款!$F$10="",0,SUMIFS(输入回款!$C:$C,输入回款!$A:$A,助手回款!$X47,输入回款!$B:$B,科目对照回款!$F$10)+SUMIFS(输入回款!$D:$D,输入回款!$A:$A,助手回款!$X47,输入回款!$B:$B,科目对照回款!$F$10))+IF(科目对照回款!$G$10="",0,SUMIFS(输入回款!$C:$C,输入回款!$A:$A,助手回款!$X47,输入回款!$B:$B,科目对照回款!$G$10)+SUMIFS(输入回款!$D:$D,输入回款!$A:$A,助手回款!$X47,输入回款!$B:$B,科目对照回款!$G$10))+IF(科目对照回款!$H$10="",0,SUMIFS(输入回款!$C:$C,输入回款!$A:$A,助手回款!$X47,输入回款!$B:$B,科目对照回款!$H$10)+SUMIFS(输入回款!$D:$D,输入回款!$A:$A,助手回款!$X47,输入回款!$B:$B,科目对照回款!$H$10)),2)</f>
        <v>-0</v>
      </c>
      <c r="H685" s="49" t="str">
        <f aca="false">IF(ROUND($G685,2)&gt;0,ROUND($G685,2),"")</f>
        <v/>
      </c>
      <c r="I685" s="49" t="str">
        <f aca="false">IF(ROUND($G685,2)&lt;0,-ROUND($G685,2),"")</f>
        <v/>
      </c>
      <c r="J685" s="20" t="n">
        <f aca="false">IF(ROUND($G685,2)=0,0,1)</f>
        <v>0</v>
      </c>
      <c r="K685" s="20" t="str">
        <f aca="false">IF($J685=0,"",SUM($J$677:$J685))</f>
        <v/>
      </c>
      <c r="L685" s="20" t="str">
        <f aca="false">IF($K685="","",$A685*100+$K685)</f>
        <v/>
      </c>
      <c r="M685" s="48" t="str">
        <f aca="false">参数!$B$4</f>
        <v>回款</v>
      </c>
    </row>
    <row r="686" customFormat="false" ht="13.5" hidden="false" customHeight="false" outlineLevel="0" collapsed="false">
      <c r="A686" s="47" t="n">
        <v>46</v>
      </c>
      <c r="B686" s="38" t="str">
        <f aca="false">助手回款!$B47</f>
        <v/>
      </c>
      <c r="C686" s="48" t="str">
        <f aca="false">助手回款!$C47</f>
        <v>备用1</v>
      </c>
      <c r="D686" s="48" t="str">
        <f aca="false">科目对照回款!$B11&amp;""</f>
        <v>企健网</v>
      </c>
      <c r="E686" s="48" t="str">
        <f aca="false">科目对照回款!$C11&amp;""</f>
        <v>应收账款</v>
      </c>
      <c r="F686" s="48" t="str">
        <f aca="false">科目对照回款!$D11&amp;""</f>
        <v>企健网</v>
      </c>
      <c r="G686" s="49" t="n">
        <f aca="false">-ROUND(IF(科目对照回款!$F$11="",0,SUMIFS(输入回款!$C:$C,输入回款!$A:$A,助手回款!$X47,输入回款!$B:$B,科目对照回款!$F$11)+SUMIFS(输入回款!$D:$D,输入回款!$A:$A,助手回款!$X47,输入回款!$B:$B,科目对照回款!$F$11))+IF(科目对照回款!$G$11="",0,SUMIFS(输入回款!$C:$C,输入回款!$A:$A,助手回款!$X47,输入回款!$B:$B,科目对照回款!$G$11)+SUMIFS(输入回款!$D:$D,输入回款!$A:$A,助手回款!$X47,输入回款!$B:$B,科目对照回款!$G$11))+IF(科目对照回款!$H$11="",0,SUMIFS(输入回款!$C:$C,输入回款!$A:$A,助手回款!$X47,输入回款!$B:$B,科目对照回款!$H$11)+SUMIFS(输入回款!$D:$D,输入回款!$A:$A,助手回款!$X47,输入回款!$B:$B,科目对照回款!$H$11)),2)</f>
        <v>-0</v>
      </c>
      <c r="H686" s="49" t="str">
        <f aca="false">IF(ROUND($G686,2)&gt;0,ROUND($G686,2),"")</f>
        <v/>
      </c>
      <c r="I686" s="49" t="str">
        <f aca="false">IF(ROUND($G686,2)&lt;0,-ROUND($G686,2),"")</f>
        <v/>
      </c>
      <c r="J686" s="20" t="n">
        <f aca="false">IF(ROUND($G686,2)=0,0,1)</f>
        <v>0</v>
      </c>
      <c r="K686" s="20" t="str">
        <f aca="false">IF($J686=0,"",SUM($J$677:$J686))</f>
        <v/>
      </c>
      <c r="L686" s="20" t="str">
        <f aca="false">IF($K686="","",$A686*100+$K686)</f>
        <v/>
      </c>
      <c r="M686" s="48" t="str">
        <f aca="false">参数!$B$4</f>
        <v>回款</v>
      </c>
    </row>
    <row r="687" customFormat="false" ht="13.5" hidden="false" customHeight="false" outlineLevel="0" collapsed="false">
      <c r="A687" s="47" t="n">
        <v>46</v>
      </c>
      <c r="B687" s="38" t="str">
        <f aca="false">助手回款!$B47</f>
        <v/>
      </c>
      <c r="C687" s="48" t="str">
        <f aca="false">助手回款!$C47</f>
        <v>备用1</v>
      </c>
      <c r="D687" s="48" t="str">
        <f aca="false">科目对照回款!$B12&amp;""</f>
        <v>亲情卡</v>
      </c>
      <c r="E687" s="48" t="str">
        <f aca="false">科目对照回款!$C12&amp;""</f>
        <v>应收账款</v>
      </c>
      <c r="F687" s="48" t="str">
        <f aca="false">科目对照回款!$D12&amp;""</f>
        <v>亲情卡</v>
      </c>
      <c r="G687" s="49" t="n">
        <f aca="false">-ROUND(IF(科目对照回款!$F$12="",0,SUMIFS(输入回款!$C:$C,输入回款!$A:$A,助手回款!$X47,输入回款!$B:$B,科目对照回款!$F$12)+SUMIFS(输入回款!$D:$D,输入回款!$A:$A,助手回款!$X47,输入回款!$B:$B,科目对照回款!$F$12))+IF(科目对照回款!$G$12="",0,SUMIFS(输入回款!$C:$C,输入回款!$A:$A,助手回款!$X47,输入回款!$B:$B,科目对照回款!$G$12)+SUMIFS(输入回款!$D:$D,输入回款!$A:$A,助手回款!$X47,输入回款!$B:$B,科目对照回款!$G$12))+IF(科目对照回款!$H$12="",0,SUMIFS(输入回款!$C:$C,输入回款!$A:$A,助手回款!$X47,输入回款!$B:$B,科目对照回款!$H$12)+SUMIFS(输入回款!$D:$D,输入回款!$A:$A,助手回款!$X47,输入回款!$B:$B,科目对照回款!$H$12)),2)</f>
        <v>-0</v>
      </c>
      <c r="H687" s="49" t="str">
        <f aca="false">IF(ROUND($G687,2)&gt;0,ROUND($G687,2),"")</f>
        <v/>
      </c>
      <c r="I687" s="49" t="str">
        <f aca="false">IF(ROUND($G687,2)&lt;0,-ROUND($G687,2),"")</f>
        <v/>
      </c>
      <c r="J687" s="20" t="n">
        <f aca="false">IF(ROUND($G687,2)=0,0,1)</f>
        <v>0</v>
      </c>
      <c r="K687" s="20" t="str">
        <f aca="false">IF($J687=0,"",SUM($J$677:$J687))</f>
        <v/>
      </c>
      <c r="L687" s="20" t="str">
        <f aca="false">IF($K687="","",$A687*100+$K687)</f>
        <v/>
      </c>
      <c r="M687" s="48" t="str">
        <f aca="false">参数!$B$4</f>
        <v>回款</v>
      </c>
    </row>
    <row r="688" customFormat="false" ht="13.5" hidden="false" customHeight="false" outlineLevel="0" collapsed="false">
      <c r="A688" s="47" t="n">
        <v>46</v>
      </c>
      <c r="B688" s="38" t="str">
        <f aca="false">助手回款!$B47</f>
        <v/>
      </c>
      <c r="C688" s="48" t="str">
        <f aca="false">助手回款!$C47</f>
        <v>备用1</v>
      </c>
      <c r="D688" s="48" t="str">
        <f aca="false">科目对照回款!$B13&amp;""</f>
        <v>银联</v>
      </c>
      <c r="E688" s="48" t="str">
        <f aca="false">科目对照回款!$C13&amp;""</f>
        <v>应收账款</v>
      </c>
      <c r="F688" s="48" t="str">
        <f aca="false">科目对照回款!$D13&amp;""</f>
        <v>银联</v>
      </c>
      <c r="G688" s="49" t="n">
        <f aca="false">-ROUND(IF(科目对照回款!$F$13="",0,SUMIFS(输入回款!$C:$C,输入回款!$A:$A,助手回款!$X47,输入回款!$B:$B,科目对照回款!$F$13)+SUMIFS(输入回款!$D:$D,输入回款!$A:$A,助手回款!$X47,输入回款!$B:$B,科目对照回款!$F$13))+IF(科目对照回款!$G$13="",0,SUMIFS(输入回款!$C:$C,输入回款!$A:$A,助手回款!$X47,输入回款!$B:$B,科目对照回款!$G$13)+SUMIFS(输入回款!$D:$D,输入回款!$A:$A,助手回款!$X47,输入回款!$B:$B,科目对照回款!$G$13))+IF(科目对照回款!$H$13="",0,SUMIFS(输入回款!$C:$C,输入回款!$A:$A,助手回款!$X47,输入回款!$B:$B,科目对照回款!$H$13)+SUMIFS(输入回款!$D:$D,输入回款!$A:$A,助手回款!$X47,输入回款!$B:$B,科目对照回款!$H$13)),2)</f>
        <v>-0</v>
      </c>
      <c r="H688" s="49" t="str">
        <f aca="false">IF(ROUND($G688,2)&gt;0,ROUND($G688,2),"")</f>
        <v/>
      </c>
      <c r="I688" s="49" t="str">
        <f aca="false">IF(ROUND($G688,2)&lt;0,-ROUND($G688,2),"")</f>
        <v/>
      </c>
      <c r="J688" s="20" t="n">
        <f aca="false">IF(ROUND($G688,2)=0,0,1)</f>
        <v>0</v>
      </c>
      <c r="K688" s="20" t="str">
        <f aca="false">IF($J688=0,"",SUM($J$677:$J688))</f>
        <v/>
      </c>
      <c r="L688" s="20" t="str">
        <f aca="false">IF($K688="","",$A688*100+$K688)</f>
        <v/>
      </c>
      <c r="M688" s="48" t="str">
        <f aca="false">参数!$B$4</f>
        <v>回款</v>
      </c>
    </row>
    <row r="689" customFormat="false" ht="13.5" hidden="false" customHeight="false" outlineLevel="0" collapsed="false">
      <c r="A689" s="47" t="n">
        <v>46</v>
      </c>
      <c r="B689" s="38" t="str">
        <f aca="false">助手回款!$B47</f>
        <v/>
      </c>
      <c r="C689" s="48" t="str">
        <f aca="false">助手回款!$C47</f>
        <v>备用1</v>
      </c>
      <c r="D689" s="48" t="str">
        <f aca="false">科目对照回款!$B14&amp;""</f>
        <v>代金券</v>
      </c>
      <c r="E689" s="48" t="str">
        <f aca="false">科目对照回款!$C14&amp;""</f>
        <v>应收账款</v>
      </c>
      <c r="F689" s="48" t="str">
        <f aca="false">科目对照回款!$D14&amp;""</f>
        <v>代金券</v>
      </c>
      <c r="G689" s="49" t="n">
        <f aca="false">-ROUND(IF(科目对照回款!$F$14="",0,SUMIFS(输入回款!$C:$C,输入回款!$A:$A,助手回款!$X47,输入回款!$B:$B,科目对照回款!$F$14)+SUMIFS(输入回款!$D:$D,输入回款!$A:$A,助手回款!$X47,输入回款!$B:$B,科目对照回款!$F$14))+IF(科目对照回款!$G$14="",0,SUMIFS(输入回款!$C:$C,输入回款!$A:$A,助手回款!$X47,输入回款!$B:$B,科目对照回款!$G$14)+SUMIFS(输入回款!$D:$D,输入回款!$A:$A,助手回款!$X47,输入回款!$B:$B,科目对照回款!$G$14))+IF(科目对照回款!$H$14="",0,SUMIFS(输入回款!$C:$C,输入回款!$A:$A,助手回款!$X47,输入回款!$B:$B,科目对照回款!$H$14)+SUMIFS(输入回款!$D:$D,输入回款!$A:$A,助手回款!$X47,输入回款!$B:$B,科目对照回款!$H$14)),2)</f>
        <v>-0</v>
      </c>
      <c r="H689" s="49" t="str">
        <f aca="false">IF(ROUND($G689,2)&gt;0,ROUND($G689,2),"")</f>
        <v/>
      </c>
      <c r="I689" s="49" t="str">
        <f aca="false">IF(ROUND($G689,2)&lt;0,-ROUND($G689,2),"")</f>
        <v/>
      </c>
      <c r="J689" s="20" t="n">
        <f aca="false">IF(ROUND($G689,2)=0,0,1)</f>
        <v>0</v>
      </c>
      <c r="K689" s="20" t="str">
        <f aca="false">IF($J689=0,"",SUM($J$677:$J689))</f>
        <v/>
      </c>
      <c r="L689" s="20" t="str">
        <f aca="false">IF($K689="","",$A689*100+$K689)</f>
        <v/>
      </c>
      <c r="M689" s="48" t="str">
        <f aca="false">参数!$B$4</f>
        <v>回款</v>
      </c>
    </row>
    <row r="690" customFormat="false" ht="13.5" hidden="false" customHeight="false" outlineLevel="0" collapsed="false">
      <c r="A690" s="47" t="n">
        <v>46</v>
      </c>
      <c r="B690" s="38" t="str">
        <f aca="false">助手回款!$B47</f>
        <v/>
      </c>
      <c r="C690" s="48" t="str">
        <f aca="false">助手回款!$C47</f>
        <v>备用1</v>
      </c>
      <c r="D690" s="48" t="str">
        <f aca="false">科目对照回款!$B15&amp;""</f>
        <v>药机微信</v>
      </c>
      <c r="E690" s="48" t="str">
        <f aca="false">科目对照回款!$C15&amp;""</f>
        <v>应收账款</v>
      </c>
      <c r="F690" s="48" t="str">
        <f aca="false">科目对照回款!$D15&amp;""</f>
        <v>药机微信</v>
      </c>
      <c r="G690" s="49" t="n">
        <f aca="false">-ROUND(IF(科目对照回款!$F$15="",0,SUMIFS(输入回款!$C:$C,输入回款!$A:$A,助手回款!$X47,输入回款!$B:$B,科目对照回款!$F$15)+SUMIFS(输入回款!$D:$D,输入回款!$A:$A,助手回款!$X47,输入回款!$B:$B,科目对照回款!$F$15))+IF(科目对照回款!$G$15="",0,SUMIFS(输入回款!$C:$C,输入回款!$A:$A,助手回款!$X47,输入回款!$B:$B,科目对照回款!$G$15)+SUMIFS(输入回款!$D:$D,输入回款!$A:$A,助手回款!$X47,输入回款!$B:$B,科目对照回款!$G$15))+IF(科目对照回款!$H$15="",0,SUMIFS(输入回款!$C:$C,输入回款!$A:$A,助手回款!$X47,输入回款!$B:$B,科目对照回款!$H$15)+SUMIFS(输入回款!$D:$D,输入回款!$A:$A,助手回款!$X47,输入回款!$B:$B,科目对照回款!$H$15)),2)</f>
        <v>-0</v>
      </c>
      <c r="H690" s="49" t="str">
        <f aca="false">IF(ROUND($G690,2)&gt;0,ROUND($G690,2),"")</f>
        <v/>
      </c>
      <c r="I690" s="49" t="str">
        <f aca="false">IF(ROUND($G690,2)&lt;0,-ROUND($G690,2),"")</f>
        <v/>
      </c>
      <c r="J690" s="20" t="n">
        <f aca="false">IF(ROUND($G690,2)=0,0,1)</f>
        <v>0</v>
      </c>
      <c r="K690" s="20" t="str">
        <f aca="false">IF($J690=0,"",SUM($J$677:$J690))</f>
        <v/>
      </c>
      <c r="L690" s="20" t="str">
        <f aca="false">IF($K690="","",$A690*100+$K690)</f>
        <v/>
      </c>
      <c r="M690" s="48" t="str">
        <f aca="false">参数!$B$4</f>
        <v>回款</v>
      </c>
    </row>
    <row r="691" customFormat="false" ht="13.5" hidden="false" customHeight="false" outlineLevel="0" collapsed="false">
      <c r="A691" s="47" t="n">
        <v>46</v>
      </c>
      <c r="B691" s="38" t="str">
        <f aca="false">助手回款!$B47</f>
        <v/>
      </c>
      <c r="C691" s="48" t="str">
        <f aca="false">助手回款!$C47</f>
        <v>备用1</v>
      </c>
      <c r="D691" s="48" t="str">
        <f aca="false">科目对照回款!$B16&amp;""</f>
        <v>储值卡</v>
      </c>
      <c r="E691" s="48" t="str">
        <f aca="false">科目对照回款!$C16&amp;""</f>
        <v>其他应收款</v>
      </c>
      <c r="F691" s="48" t="str">
        <f aca="false">科目对照回款!$D16&amp;""</f>
        <v>储值卡</v>
      </c>
      <c r="G691" s="49" t="n">
        <f aca="false">-ROUND(IF(科目对照回款!$F$16="",0,SUMIFS(输入回款!$C:$C,输入回款!$A:$A,助手回款!$X47,输入回款!$B:$B,科目对照回款!$F$16)+SUMIFS(输入回款!$D:$D,输入回款!$A:$A,助手回款!$X47,输入回款!$B:$B,科目对照回款!$F$16))+IF(科目对照回款!$G$16="",0,SUMIFS(输入回款!$C:$C,输入回款!$A:$A,助手回款!$X47,输入回款!$B:$B,科目对照回款!$G$16)+SUMIFS(输入回款!$D:$D,输入回款!$A:$A,助手回款!$X47,输入回款!$B:$B,科目对照回款!$G$16))+IF(科目对照回款!$H$16="",0,SUMIFS(输入回款!$C:$C,输入回款!$A:$A,助手回款!$X47,输入回款!$B:$B,科目对照回款!$H$16)+SUMIFS(输入回款!$D:$D,输入回款!$A:$A,助手回款!$X47,输入回款!$B:$B,科目对照回款!$H$16)),2)</f>
        <v>-0</v>
      </c>
      <c r="H691" s="49" t="str">
        <f aca="false">IF(ROUND($G691,2)&gt;0,ROUND($G691,2),"")</f>
        <v/>
      </c>
      <c r="I691" s="49" t="str">
        <f aca="false">IF(ROUND($G691,2)&lt;0,-ROUND($G691,2),"")</f>
        <v/>
      </c>
      <c r="J691" s="20" t="n">
        <f aca="false">IF(ROUND($G691,2)=0,0,1)</f>
        <v>0</v>
      </c>
      <c r="K691" s="20" t="str">
        <f aca="false">IF($J691=0,"",SUM($J$677:$J691))</f>
        <v/>
      </c>
      <c r="L691" s="20" t="str">
        <f aca="false">IF($K691="","",$A691*100+$K691)</f>
        <v/>
      </c>
      <c r="M691" s="48" t="str">
        <f aca="false">参数!$B$4</f>
        <v>回款</v>
      </c>
    </row>
    <row r="692" customFormat="false" ht="13.5" hidden="false" customHeight="false" outlineLevel="0" collapsed="false">
      <c r="A692" s="47" t="n">
        <v>47</v>
      </c>
      <c r="B692" s="38" t="str">
        <f aca="false">助手回款!$B48</f>
        <v/>
      </c>
      <c r="C692" s="48" t="str">
        <f aca="false">助手回款!$C48</f>
        <v>备用2</v>
      </c>
      <c r="D692" s="48" t="str">
        <f aca="false">科目对照回款!$B2&amp;""</f>
        <v>库存现金</v>
      </c>
      <c r="E692" s="48" t="str">
        <f aca="false">科目对照回款!$C2&amp;""</f>
        <v>库存现金</v>
      </c>
      <c r="F692" s="48" t="str">
        <f aca="false">科目对照回款!$D2&amp;""</f>
        <v/>
      </c>
      <c r="G692" s="49" t="n">
        <f aca="false">助手回款!$E48</f>
        <v>0</v>
      </c>
      <c r="H692" s="49" t="str">
        <f aca="false">IF(ROUND($G692,2)&gt;0,ROUND($G692,2),"")</f>
        <v/>
      </c>
      <c r="I692" s="49" t="str">
        <f aca="false">IF(ROUND($G692,2)&lt;0,-ROUND($G692,2),"")</f>
        <v/>
      </c>
      <c r="J692" s="20" t="n">
        <f aca="false">IF(ROUND($G692,2)=0,0,1)</f>
        <v>0</v>
      </c>
      <c r="K692" s="20" t="str">
        <f aca="false">IF($J692=0,"",SUM($J$692:$J692))</f>
        <v/>
      </c>
      <c r="L692" s="20" t="str">
        <f aca="false">IF($K692="","",$A692*100+$K692)</f>
        <v/>
      </c>
      <c r="M692" s="48" t="str">
        <f aca="false">参数!$B$4</f>
        <v>回款</v>
      </c>
    </row>
    <row r="693" customFormat="false" ht="13.5" hidden="false" customHeight="false" outlineLevel="0" collapsed="false">
      <c r="A693" s="47" t="n">
        <v>47</v>
      </c>
      <c r="B693" s="38" t="str">
        <f aca="false">助手回款!$B48</f>
        <v/>
      </c>
      <c r="C693" s="48" t="str">
        <f aca="false">助手回款!$C48</f>
        <v>备用2</v>
      </c>
      <c r="D693" s="48" t="str">
        <f aca="false">科目对照回款!$B3&amp;""</f>
        <v>手续费</v>
      </c>
      <c r="E693" s="48" t="str">
        <f aca="false">科目对照回款!$C3&amp;""</f>
        <v>财务费用</v>
      </c>
      <c r="F693" s="48" t="str">
        <f aca="false">科目对照回款!$D3&amp;""</f>
        <v>手续费</v>
      </c>
      <c r="G693" s="49" t="n">
        <f aca="false">助手回款!$F48</f>
        <v>0</v>
      </c>
      <c r="H693" s="49" t="str">
        <f aca="false">IF(ROUND($G693,2)&gt;0,ROUND($G693,2),"")</f>
        <v/>
      </c>
      <c r="I693" s="49" t="str">
        <f aca="false">IF(ROUND($G693,2)&lt;0,-ROUND($G693,2),"")</f>
        <v/>
      </c>
      <c r="J693" s="20" t="n">
        <f aca="false">IF(ROUND($G693,2)=0,0,1)</f>
        <v>0</v>
      </c>
      <c r="K693" s="20" t="str">
        <f aca="false">IF($J693=0,"",SUM($J$692:$J693))</f>
        <v/>
      </c>
      <c r="L693" s="20" t="str">
        <f aca="false">IF($K693="","",$A693*100+$K693)</f>
        <v/>
      </c>
      <c r="M693" s="48" t="str">
        <f aca="false">参数!$B$4</f>
        <v>回款</v>
      </c>
    </row>
    <row r="694" customFormat="false" ht="13.5" hidden="false" customHeight="false" outlineLevel="0" collapsed="false">
      <c r="A694" s="47" t="n">
        <v>47</v>
      </c>
      <c r="B694" s="38" t="str">
        <f aca="false">助手回款!$B48</f>
        <v/>
      </c>
      <c r="C694" s="48" t="str">
        <f aca="false">助手回款!$C48</f>
        <v>备用2</v>
      </c>
      <c r="D694" s="48" t="str">
        <f aca="false">科目对照回款!$B4&amp;""</f>
        <v>聚合支付</v>
      </c>
      <c r="E694" s="48" t="str">
        <f aca="false">科目对照回款!$C4&amp;""</f>
        <v>应收账款</v>
      </c>
      <c r="F694" s="48" t="str">
        <f aca="false">科目对照回款!$D4&amp;""</f>
        <v>聚合支付</v>
      </c>
      <c r="G694" s="49" t="n">
        <f aca="false">-ROUND(IF(科目对照回款!$F$4="",0,SUMIFS(输入回款!$C:$C,输入回款!$A:$A,助手回款!$X48,输入回款!$B:$B,科目对照回款!$F$4)+SUMIFS(输入回款!$D:$D,输入回款!$A:$A,助手回款!$X48,输入回款!$B:$B,科目对照回款!$F$4))+IF(科目对照回款!$G$4="",0,SUMIFS(输入回款!$C:$C,输入回款!$A:$A,助手回款!$X48,输入回款!$B:$B,科目对照回款!$G$4)+SUMIFS(输入回款!$D:$D,输入回款!$A:$A,助手回款!$X48,输入回款!$B:$B,科目对照回款!$G$4))+IF(科目对照回款!$H$4="",0,SUMIFS(输入回款!$C:$C,输入回款!$A:$A,助手回款!$X48,输入回款!$B:$B,科目对照回款!$H$4)+SUMIFS(输入回款!$D:$D,输入回款!$A:$A,助手回款!$X48,输入回款!$B:$B,科目对照回款!$H$4)),2)</f>
        <v>-0</v>
      </c>
      <c r="H694" s="49" t="str">
        <f aca="false">IF(ROUND($G694,2)&gt;0,ROUND($G694,2),"")</f>
        <v/>
      </c>
      <c r="I694" s="49" t="str">
        <f aca="false">IF(ROUND($G694,2)&lt;0,-ROUND($G694,2),"")</f>
        <v/>
      </c>
      <c r="J694" s="20" t="n">
        <f aca="false">IF(ROUND($G694,2)=0,0,1)</f>
        <v>0</v>
      </c>
      <c r="K694" s="20" t="str">
        <f aca="false">IF($J694=0,"",SUM($J$692:$J694))</f>
        <v/>
      </c>
      <c r="L694" s="20" t="str">
        <f aca="false">IF($K694="","",$A694*100+$K694)</f>
        <v/>
      </c>
      <c r="M694" s="48" t="str">
        <f aca="false">参数!$B$4</f>
        <v>回款</v>
      </c>
    </row>
    <row r="695" customFormat="false" ht="13.5" hidden="false" customHeight="false" outlineLevel="0" collapsed="false">
      <c r="A695" s="47" t="n">
        <v>47</v>
      </c>
      <c r="B695" s="38" t="str">
        <f aca="false">助手回款!$B48</f>
        <v/>
      </c>
      <c r="C695" s="48" t="str">
        <f aca="false">助手回款!$C48</f>
        <v>备用2</v>
      </c>
      <c r="D695" s="48" t="str">
        <f aca="false">科目对照回款!$B5&amp;""</f>
        <v>医保</v>
      </c>
      <c r="E695" s="48" t="str">
        <f aca="false">科目对照回款!$C5&amp;""</f>
        <v>应收账款</v>
      </c>
      <c r="F695" s="48" t="str">
        <f aca="false">科目对照回款!$D5&amp;""</f>
        <v>医保</v>
      </c>
      <c r="G695" s="49" t="n">
        <f aca="false">-ROUND(IF(科目对照回款!$F$5="",0,SUMIFS(输入回款!$C:$C,输入回款!$A:$A,助手回款!$X48,输入回款!$B:$B,科目对照回款!$F$5)+SUMIFS(输入回款!$D:$D,输入回款!$A:$A,助手回款!$X48,输入回款!$B:$B,科目对照回款!$F$5))+IF(科目对照回款!$G$5="",0,SUMIFS(输入回款!$C:$C,输入回款!$A:$A,助手回款!$X48,输入回款!$B:$B,科目对照回款!$G$5)+SUMIFS(输入回款!$D:$D,输入回款!$A:$A,助手回款!$X48,输入回款!$B:$B,科目对照回款!$G$5))+IF(科目对照回款!$H$5="",0,SUMIFS(输入回款!$C:$C,输入回款!$A:$A,助手回款!$X48,输入回款!$B:$B,科目对照回款!$H$5)+SUMIFS(输入回款!$D:$D,输入回款!$A:$A,助手回款!$X48,输入回款!$B:$B,科目对照回款!$H$5)),2)</f>
        <v>-0</v>
      </c>
      <c r="H695" s="49" t="str">
        <f aca="false">IF(ROUND($G695,2)&gt;0,ROUND($G695,2),"")</f>
        <v/>
      </c>
      <c r="I695" s="49" t="str">
        <f aca="false">IF(ROUND($G695,2)&lt;0,-ROUND($G695,2),"")</f>
        <v/>
      </c>
      <c r="J695" s="20" t="n">
        <f aca="false">IF(ROUND($G695,2)=0,0,1)</f>
        <v>0</v>
      </c>
      <c r="K695" s="20" t="str">
        <f aca="false">IF($J695=0,"",SUM($J$692:$J695))</f>
        <v/>
      </c>
      <c r="L695" s="20" t="str">
        <f aca="false">IF($K695="","",$A695*100+$K695)</f>
        <v/>
      </c>
      <c r="M695" s="48" t="str">
        <f aca="false">参数!$B$4</f>
        <v>回款</v>
      </c>
    </row>
    <row r="696" customFormat="false" ht="13.5" hidden="false" customHeight="false" outlineLevel="0" collapsed="false">
      <c r="A696" s="47" t="n">
        <v>47</v>
      </c>
      <c r="B696" s="38" t="str">
        <f aca="false">助手回款!$B48</f>
        <v/>
      </c>
      <c r="C696" s="48" t="str">
        <f aca="false">助手回款!$C48</f>
        <v>备用2</v>
      </c>
      <c r="D696" s="48" t="str">
        <f aca="false">科目对照回款!$B6&amp;""</f>
        <v>美团</v>
      </c>
      <c r="E696" s="48" t="str">
        <f aca="false">科目对照回款!$C6&amp;""</f>
        <v>应收账款</v>
      </c>
      <c r="F696" s="48" t="str">
        <f aca="false">科目对照回款!$D6&amp;""</f>
        <v>美团</v>
      </c>
      <c r="G696" s="49" t="n">
        <f aca="false">-ROUND(IF(科目对照回款!$F$6="",0,SUMIFS(输入回款!$C:$C,输入回款!$A:$A,助手回款!$X48,输入回款!$B:$B,科目对照回款!$F$6)+SUMIFS(输入回款!$D:$D,输入回款!$A:$A,助手回款!$X48,输入回款!$B:$B,科目对照回款!$F$6))+IF(科目对照回款!$G$6="",0,SUMIFS(输入回款!$C:$C,输入回款!$A:$A,助手回款!$X48,输入回款!$B:$B,科目对照回款!$G$6)+SUMIFS(输入回款!$D:$D,输入回款!$A:$A,助手回款!$X48,输入回款!$B:$B,科目对照回款!$G$6))+IF(科目对照回款!$H$6="",0,SUMIFS(输入回款!$C:$C,输入回款!$A:$A,助手回款!$X48,输入回款!$B:$B,科目对照回款!$H$6)+SUMIFS(输入回款!$D:$D,输入回款!$A:$A,助手回款!$X48,输入回款!$B:$B,科目对照回款!$H$6)),2)</f>
        <v>-0</v>
      </c>
      <c r="H696" s="49" t="str">
        <f aca="false">IF(ROUND($G696,2)&gt;0,ROUND($G696,2),"")</f>
        <v/>
      </c>
      <c r="I696" s="49" t="str">
        <f aca="false">IF(ROUND($G696,2)&lt;0,-ROUND($G696,2),"")</f>
        <v/>
      </c>
      <c r="J696" s="20" t="n">
        <f aca="false">IF(ROUND($G696,2)=0,0,1)</f>
        <v>0</v>
      </c>
      <c r="K696" s="20" t="str">
        <f aca="false">IF($J696=0,"",SUM($J$692:$J696))</f>
        <v/>
      </c>
      <c r="L696" s="20" t="str">
        <f aca="false">IF($K696="","",$A696*100+$K696)</f>
        <v/>
      </c>
      <c r="M696" s="48" t="str">
        <f aca="false">参数!$B$4</f>
        <v>回款</v>
      </c>
    </row>
    <row r="697" customFormat="false" ht="13.5" hidden="false" customHeight="false" outlineLevel="0" collapsed="false">
      <c r="A697" s="47" t="n">
        <v>47</v>
      </c>
      <c r="B697" s="38" t="str">
        <f aca="false">助手回款!$B48</f>
        <v/>
      </c>
      <c r="C697" s="48" t="str">
        <f aca="false">助手回款!$C48</f>
        <v>备用2</v>
      </c>
      <c r="D697" s="48" t="str">
        <f aca="false">科目对照回款!$B7&amp;""</f>
        <v>饿了么</v>
      </c>
      <c r="E697" s="48" t="str">
        <f aca="false">科目对照回款!$C7&amp;""</f>
        <v>应收账款</v>
      </c>
      <c r="F697" s="48" t="str">
        <f aca="false">科目对照回款!$D7&amp;""</f>
        <v>饿了么</v>
      </c>
      <c r="G697" s="49" t="n">
        <f aca="false">-ROUND(IF(科目对照回款!$F$7="",0,SUMIFS(输入回款!$C:$C,输入回款!$A:$A,助手回款!$X48,输入回款!$B:$B,科目对照回款!$F$7)+SUMIFS(输入回款!$D:$D,输入回款!$A:$A,助手回款!$X48,输入回款!$B:$B,科目对照回款!$F$7))+IF(科目对照回款!$G$7="",0,SUMIFS(输入回款!$C:$C,输入回款!$A:$A,助手回款!$X48,输入回款!$B:$B,科目对照回款!$G$7)+SUMIFS(输入回款!$D:$D,输入回款!$A:$A,助手回款!$X48,输入回款!$B:$B,科目对照回款!$G$7))+IF(科目对照回款!$H$7="",0,SUMIFS(输入回款!$C:$C,输入回款!$A:$A,助手回款!$X48,输入回款!$B:$B,科目对照回款!$H$7)+SUMIFS(输入回款!$D:$D,输入回款!$A:$A,助手回款!$X48,输入回款!$B:$B,科目对照回款!$H$7)),2)</f>
        <v>-0</v>
      </c>
      <c r="H697" s="49" t="str">
        <f aca="false">IF(ROUND($G697,2)&gt;0,ROUND($G697,2),"")</f>
        <v/>
      </c>
      <c r="I697" s="49" t="str">
        <f aca="false">IF(ROUND($G697,2)&lt;0,-ROUND($G697,2),"")</f>
        <v/>
      </c>
      <c r="J697" s="20" t="n">
        <f aca="false">IF(ROUND($G697,2)=0,0,1)</f>
        <v>0</v>
      </c>
      <c r="K697" s="20" t="str">
        <f aca="false">IF($J697=0,"",SUM($J$692:$J697))</f>
        <v/>
      </c>
      <c r="L697" s="20" t="str">
        <f aca="false">IF($K697="","",$A697*100+$K697)</f>
        <v/>
      </c>
      <c r="M697" s="48" t="str">
        <f aca="false">参数!$B$4</f>
        <v>回款</v>
      </c>
    </row>
    <row r="698" customFormat="false" ht="13.5" hidden="false" customHeight="false" outlineLevel="0" collapsed="false">
      <c r="A698" s="47" t="n">
        <v>47</v>
      </c>
      <c r="B698" s="38" t="str">
        <f aca="false">助手回款!$B48</f>
        <v/>
      </c>
      <c r="C698" s="48" t="str">
        <f aca="false">助手回款!$C48</f>
        <v>备用2</v>
      </c>
      <c r="D698" s="48" t="str">
        <f aca="false">科目对照回款!$B8&amp;""</f>
        <v>24小时</v>
      </c>
      <c r="E698" s="48" t="str">
        <f aca="false">科目对照回款!$C8&amp;""</f>
        <v>应收账款</v>
      </c>
      <c r="F698" s="48" t="str">
        <f aca="false">科目对照回款!$D8&amp;""</f>
        <v>24小时</v>
      </c>
      <c r="G698" s="49" t="n">
        <f aca="false">-ROUND(IF(科目对照回款!$F$8="",0,SUMIFS(输入回款!$C:$C,输入回款!$A:$A,助手回款!$X48,输入回款!$B:$B,科目对照回款!$F$8)+SUMIFS(输入回款!$D:$D,输入回款!$A:$A,助手回款!$X48,输入回款!$B:$B,科目对照回款!$F$8))+IF(科目对照回款!$G$8="",0,SUMIFS(输入回款!$C:$C,输入回款!$A:$A,助手回款!$X48,输入回款!$B:$B,科目对照回款!$G$8)+SUMIFS(输入回款!$D:$D,输入回款!$A:$A,助手回款!$X48,输入回款!$B:$B,科目对照回款!$G$8))+IF(科目对照回款!$H$8="",0,SUMIFS(输入回款!$C:$C,输入回款!$A:$A,助手回款!$X48,输入回款!$B:$B,科目对照回款!$H$8)+SUMIFS(输入回款!$D:$D,输入回款!$A:$A,助手回款!$X48,输入回款!$B:$B,科目对照回款!$H$8)),2)</f>
        <v>-0</v>
      </c>
      <c r="H698" s="49" t="str">
        <f aca="false">IF(ROUND($G698,2)&gt;0,ROUND($G698,2),"")</f>
        <v/>
      </c>
      <c r="I698" s="49" t="str">
        <f aca="false">IF(ROUND($G698,2)&lt;0,-ROUND($G698,2),"")</f>
        <v/>
      </c>
      <c r="J698" s="20" t="n">
        <f aca="false">IF(ROUND($G698,2)=0,0,1)</f>
        <v>0</v>
      </c>
      <c r="K698" s="20" t="str">
        <f aca="false">IF($J698=0,"",SUM($J$692:$J698))</f>
        <v/>
      </c>
      <c r="L698" s="20" t="str">
        <f aca="false">IF($K698="","",$A698*100+$K698)</f>
        <v/>
      </c>
      <c r="M698" s="48" t="str">
        <f aca="false">参数!$B$4</f>
        <v>回款</v>
      </c>
    </row>
    <row r="699" customFormat="false" ht="13.5" hidden="false" customHeight="false" outlineLevel="0" collapsed="false">
      <c r="A699" s="47" t="n">
        <v>47</v>
      </c>
      <c r="B699" s="38" t="str">
        <f aca="false">助手回款!$B48</f>
        <v/>
      </c>
      <c r="C699" s="48" t="str">
        <f aca="false">助手回款!$C48</f>
        <v>备用2</v>
      </c>
      <c r="D699" s="48" t="str">
        <f aca="false">科目对照回款!$B9&amp;""</f>
        <v>健E卡</v>
      </c>
      <c r="E699" s="48" t="str">
        <f aca="false">科目对照回款!$C9&amp;""</f>
        <v>应收账款</v>
      </c>
      <c r="F699" s="48" t="str">
        <f aca="false">科目对照回款!$D9&amp;""</f>
        <v>健E卡</v>
      </c>
      <c r="G699" s="49" t="n">
        <f aca="false">-ROUND(IF(科目对照回款!$F$9="",0,SUMIFS(输入回款!$C:$C,输入回款!$A:$A,助手回款!$X48,输入回款!$B:$B,科目对照回款!$F$9)+SUMIFS(输入回款!$D:$D,输入回款!$A:$A,助手回款!$X48,输入回款!$B:$B,科目对照回款!$F$9))+IF(科目对照回款!$G$9="",0,SUMIFS(输入回款!$C:$C,输入回款!$A:$A,助手回款!$X48,输入回款!$B:$B,科目对照回款!$G$9)+SUMIFS(输入回款!$D:$D,输入回款!$A:$A,助手回款!$X48,输入回款!$B:$B,科目对照回款!$G$9))+IF(科目对照回款!$H$9="",0,SUMIFS(输入回款!$C:$C,输入回款!$A:$A,助手回款!$X48,输入回款!$B:$B,科目对照回款!$H$9)+SUMIFS(输入回款!$D:$D,输入回款!$A:$A,助手回款!$X48,输入回款!$B:$B,科目对照回款!$H$9)),2)</f>
        <v>-0</v>
      </c>
      <c r="H699" s="49" t="str">
        <f aca="false">IF(ROUND($G699,2)&gt;0,ROUND($G699,2),"")</f>
        <v/>
      </c>
      <c r="I699" s="49" t="str">
        <f aca="false">IF(ROUND($G699,2)&lt;0,-ROUND($G699,2),"")</f>
        <v/>
      </c>
      <c r="J699" s="20" t="n">
        <f aca="false">IF(ROUND($G699,2)=0,0,1)</f>
        <v>0</v>
      </c>
      <c r="K699" s="20" t="str">
        <f aca="false">IF($J699=0,"",SUM($J$692:$J699))</f>
        <v/>
      </c>
      <c r="L699" s="20" t="str">
        <f aca="false">IF($K699="","",$A699*100+$K699)</f>
        <v/>
      </c>
      <c r="M699" s="48" t="str">
        <f aca="false">参数!$B$4</f>
        <v>回款</v>
      </c>
    </row>
    <row r="700" customFormat="false" ht="13.5" hidden="false" customHeight="false" outlineLevel="0" collapsed="false">
      <c r="A700" s="47" t="n">
        <v>47</v>
      </c>
      <c r="B700" s="38" t="str">
        <f aca="false">助手回款!$B48</f>
        <v/>
      </c>
      <c r="C700" s="48" t="str">
        <f aca="false">助手回款!$C48</f>
        <v>备用2</v>
      </c>
      <c r="D700" s="48" t="str">
        <f aca="false">科目对照回款!$B10&amp;""</f>
        <v>医卡通</v>
      </c>
      <c r="E700" s="48" t="str">
        <f aca="false">科目对照回款!$C10&amp;""</f>
        <v>应收账款</v>
      </c>
      <c r="F700" s="48" t="str">
        <f aca="false">科目对照回款!$D10&amp;""</f>
        <v>医卡通</v>
      </c>
      <c r="G700" s="49" t="n">
        <f aca="false">-ROUND(IF(科目对照回款!$F$10="",0,SUMIFS(输入回款!$C:$C,输入回款!$A:$A,助手回款!$X48,输入回款!$B:$B,科目对照回款!$F$10)+SUMIFS(输入回款!$D:$D,输入回款!$A:$A,助手回款!$X48,输入回款!$B:$B,科目对照回款!$F$10))+IF(科目对照回款!$G$10="",0,SUMIFS(输入回款!$C:$C,输入回款!$A:$A,助手回款!$X48,输入回款!$B:$B,科目对照回款!$G$10)+SUMIFS(输入回款!$D:$D,输入回款!$A:$A,助手回款!$X48,输入回款!$B:$B,科目对照回款!$G$10))+IF(科目对照回款!$H$10="",0,SUMIFS(输入回款!$C:$C,输入回款!$A:$A,助手回款!$X48,输入回款!$B:$B,科目对照回款!$H$10)+SUMIFS(输入回款!$D:$D,输入回款!$A:$A,助手回款!$X48,输入回款!$B:$B,科目对照回款!$H$10)),2)</f>
        <v>-0</v>
      </c>
      <c r="H700" s="49" t="str">
        <f aca="false">IF(ROUND($G700,2)&gt;0,ROUND($G700,2),"")</f>
        <v/>
      </c>
      <c r="I700" s="49" t="str">
        <f aca="false">IF(ROUND($G700,2)&lt;0,-ROUND($G700,2),"")</f>
        <v/>
      </c>
      <c r="J700" s="20" t="n">
        <f aca="false">IF(ROUND($G700,2)=0,0,1)</f>
        <v>0</v>
      </c>
      <c r="K700" s="20" t="str">
        <f aca="false">IF($J700=0,"",SUM($J$692:$J700))</f>
        <v/>
      </c>
      <c r="L700" s="20" t="str">
        <f aca="false">IF($K700="","",$A700*100+$K700)</f>
        <v/>
      </c>
      <c r="M700" s="48" t="str">
        <f aca="false">参数!$B$4</f>
        <v>回款</v>
      </c>
    </row>
    <row r="701" customFormat="false" ht="13.5" hidden="false" customHeight="false" outlineLevel="0" collapsed="false">
      <c r="A701" s="47" t="n">
        <v>47</v>
      </c>
      <c r="B701" s="38" t="str">
        <f aca="false">助手回款!$B48</f>
        <v/>
      </c>
      <c r="C701" s="48" t="str">
        <f aca="false">助手回款!$C48</f>
        <v>备用2</v>
      </c>
      <c r="D701" s="48" t="str">
        <f aca="false">科目对照回款!$B11&amp;""</f>
        <v>企健网</v>
      </c>
      <c r="E701" s="48" t="str">
        <f aca="false">科目对照回款!$C11&amp;""</f>
        <v>应收账款</v>
      </c>
      <c r="F701" s="48" t="str">
        <f aca="false">科目对照回款!$D11&amp;""</f>
        <v>企健网</v>
      </c>
      <c r="G701" s="49" t="n">
        <f aca="false">-ROUND(IF(科目对照回款!$F$11="",0,SUMIFS(输入回款!$C:$C,输入回款!$A:$A,助手回款!$X48,输入回款!$B:$B,科目对照回款!$F$11)+SUMIFS(输入回款!$D:$D,输入回款!$A:$A,助手回款!$X48,输入回款!$B:$B,科目对照回款!$F$11))+IF(科目对照回款!$G$11="",0,SUMIFS(输入回款!$C:$C,输入回款!$A:$A,助手回款!$X48,输入回款!$B:$B,科目对照回款!$G$11)+SUMIFS(输入回款!$D:$D,输入回款!$A:$A,助手回款!$X48,输入回款!$B:$B,科目对照回款!$G$11))+IF(科目对照回款!$H$11="",0,SUMIFS(输入回款!$C:$C,输入回款!$A:$A,助手回款!$X48,输入回款!$B:$B,科目对照回款!$H$11)+SUMIFS(输入回款!$D:$D,输入回款!$A:$A,助手回款!$X48,输入回款!$B:$B,科目对照回款!$H$11)),2)</f>
        <v>-0</v>
      </c>
      <c r="H701" s="49" t="str">
        <f aca="false">IF(ROUND($G701,2)&gt;0,ROUND($G701,2),"")</f>
        <v/>
      </c>
      <c r="I701" s="49" t="str">
        <f aca="false">IF(ROUND($G701,2)&lt;0,-ROUND($G701,2),"")</f>
        <v/>
      </c>
      <c r="J701" s="20" t="n">
        <f aca="false">IF(ROUND($G701,2)=0,0,1)</f>
        <v>0</v>
      </c>
      <c r="K701" s="20" t="str">
        <f aca="false">IF($J701=0,"",SUM($J$692:$J701))</f>
        <v/>
      </c>
      <c r="L701" s="20" t="str">
        <f aca="false">IF($K701="","",$A701*100+$K701)</f>
        <v/>
      </c>
      <c r="M701" s="48" t="str">
        <f aca="false">参数!$B$4</f>
        <v>回款</v>
      </c>
    </row>
    <row r="702" customFormat="false" ht="13.5" hidden="false" customHeight="false" outlineLevel="0" collapsed="false">
      <c r="A702" s="47" t="n">
        <v>47</v>
      </c>
      <c r="B702" s="38" t="str">
        <f aca="false">助手回款!$B48</f>
        <v/>
      </c>
      <c r="C702" s="48" t="str">
        <f aca="false">助手回款!$C48</f>
        <v>备用2</v>
      </c>
      <c r="D702" s="48" t="str">
        <f aca="false">科目对照回款!$B12&amp;""</f>
        <v>亲情卡</v>
      </c>
      <c r="E702" s="48" t="str">
        <f aca="false">科目对照回款!$C12&amp;""</f>
        <v>应收账款</v>
      </c>
      <c r="F702" s="48" t="str">
        <f aca="false">科目对照回款!$D12&amp;""</f>
        <v>亲情卡</v>
      </c>
      <c r="G702" s="49" t="n">
        <f aca="false">-ROUND(IF(科目对照回款!$F$12="",0,SUMIFS(输入回款!$C:$C,输入回款!$A:$A,助手回款!$X48,输入回款!$B:$B,科目对照回款!$F$12)+SUMIFS(输入回款!$D:$D,输入回款!$A:$A,助手回款!$X48,输入回款!$B:$B,科目对照回款!$F$12))+IF(科目对照回款!$G$12="",0,SUMIFS(输入回款!$C:$C,输入回款!$A:$A,助手回款!$X48,输入回款!$B:$B,科目对照回款!$G$12)+SUMIFS(输入回款!$D:$D,输入回款!$A:$A,助手回款!$X48,输入回款!$B:$B,科目对照回款!$G$12))+IF(科目对照回款!$H$12="",0,SUMIFS(输入回款!$C:$C,输入回款!$A:$A,助手回款!$X48,输入回款!$B:$B,科目对照回款!$H$12)+SUMIFS(输入回款!$D:$D,输入回款!$A:$A,助手回款!$X48,输入回款!$B:$B,科目对照回款!$H$12)),2)</f>
        <v>-0</v>
      </c>
      <c r="H702" s="49" t="str">
        <f aca="false">IF(ROUND($G702,2)&gt;0,ROUND($G702,2),"")</f>
        <v/>
      </c>
      <c r="I702" s="49" t="str">
        <f aca="false">IF(ROUND($G702,2)&lt;0,-ROUND($G702,2),"")</f>
        <v/>
      </c>
      <c r="J702" s="20" t="n">
        <f aca="false">IF(ROUND($G702,2)=0,0,1)</f>
        <v>0</v>
      </c>
      <c r="K702" s="20" t="str">
        <f aca="false">IF($J702=0,"",SUM($J$692:$J702))</f>
        <v/>
      </c>
      <c r="L702" s="20" t="str">
        <f aca="false">IF($K702="","",$A702*100+$K702)</f>
        <v/>
      </c>
      <c r="M702" s="48" t="str">
        <f aca="false">参数!$B$4</f>
        <v>回款</v>
      </c>
    </row>
    <row r="703" customFormat="false" ht="13.5" hidden="false" customHeight="false" outlineLevel="0" collapsed="false">
      <c r="A703" s="47" t="n">
        <v>47</v>
      </c>
      <c r="B703" s="38" t="str">
        <f aca="false">助手回款!$B48</f>
        <v/>
      </c>
      <c r="C703" s="48" t="str">
        <f aca="false">助手回款!$C48</f>
        <v>备用2</v>
      </c>
      <c r="D703" s="48" t="str">
        <f aca="false">科目对照回款!$B13&amp;""</f>
        <v>银联</v>
      </c>
      <c r="E703" s="48" t="str">
        <f aca="false">科目对照回款!$C13&amp;""</f>
        <v>应收账款</v>
      </c>
      <c r="F703" s="48" t="str">
        <f aca="false">科目对照回款!$D13&amp;""</f>
        <v>银联</v>
      </c>
      <c r="G703" s="49" t="n">
        <f aca="false">-ROUND(IF(科目对照回款!$F$13="",0,SUMIFS(输入回款!$C:$C,输入回款!$A:$A,助手回款!$X48,输入回款!$B:$B,科目对照回款!$F$13)+SUMIFS(输入回款!$D:$D,输入回款!$A:$A,助手回款!$X48,输入回款!$B:$B,科目对照回款!$F$13))+IF(科目对照回款!$G$13="",0,SUMIFS(输入回款!$C:$C,输入回款!$A:$A,助手回款!$X48,输入回款!$B:$B,科目对照回款!$G$13)+SUMIFS(输入回款!$D:$D,输入回款!$A:$A,助手回款!$X48,输入回款!$B:$B,科目对照回款!$G$13))+IF(科目对照回款!$H$13="",0,SUMIFS(输入回款!$C:$C,输入回款!$A:$A,助手回款!$X48,输入回款!$B:$B,科目对照回款!$H$13)+SUMIFS(输入回款!$D:$D,输入回款!$A:$A,助手回款!$X48,输入回款!$B:$B,科目对照回款!$H$13)),2)</f>
        <v>-0</v>
      </c>
      <c r="H703" s="49" t="str">
        <f aca="false">IF(ROUND($G703,2)&gt;0,ROUND($G703,2),"")</f>
        <v/>
      </c>
      <c r="I703" s="49" t="str">
        <f aca="false">IF(ROUND($G703,2)&lt;0,-ROUND($G703,2),"")</f>
        <v/>
      </c>
      <c r="J703" s="20" t="n">
        <f aca="false">IF(ROUND($G703,2)=0,0,1)</f>
        <v>0</v>
      </c>
      <c r="K703" s="20" t="str">
        <f aca="false">IF($J703=0,"",SUM($J$692:$J703))</f>
        <v/>
      </c>
      <c r="L703" s="20" t="str">
        <f aca="false">IF($K703="","",$A703*100+$K703)</f>
        <v/>
      </c>
      <c r="M703" s="48" t="str">
        <f aca="false">参数!$B$4</f>
        <v>回款</v>
      </c>
    </row>
    <row r="704" customFormat="false" ht="13.5" hidden="false" customHeight="false" outlineLevel="0" collapsed="false">
      <c r="A704" s="47" t="n">
        <v>47</v>
      </c>
      <c r="B704" s="38" t="str">
        <f aca="false">助手回款!$B48</f>
        <v/>
      </c>
      <c r="C704" s="48" t="str">
        <f aca="false">助手回款!$C48</f>
        <v>备用2</v>
      </c>
      <c r="D704" s="48" t="str">
        <f aca="false">科目对照回款!$B14&amp;""</f>
        <v>代金券</v>
      </c>
      <c r="E704" s="48" t="str">
        <f aca="false">科目对照回款!$C14&amp;""</f>
        <v>应收账款</v>
      </c>
      <c r="F704" s="48" t="str">
        <f aca="false">科目对照回款!$D14&amp;""</f>
        <v>代金券</v>
      </c>
      <c r="G704" s="49" t="n">
        <f aca="false">-ROUND(IF(科目对照回款!$F$14="",0,SUMIFS(输入回款!$C:$C,输入回款!$A:$A,助手回款!$X48,输入回款!$B:$B,科目对照回款!$F$14)+SUMIFS(输入回款!$D:$D,输入回款!$A:$A,助手回款!$X48,输入回款!$B:$B,科目对照回款!$F$14))+IF(科目对照回款!$G$14="",0,SUMIFS(输入回款!$C:$C,输入回款!$A:$A,助手回款!$X48,输入回款!$B:$B,科目对照回款!$G$14)+SUMIFS(输入回款!$D:$D,输入回款!$A:$A,助手回款!$X48,输入回款!$B:$B,科目对照回款!$G$14))+IF(科目对照回款!$H$14="",0,SUMIFS(输入回款!$C:$C,输入回款!$A:$A,助手回款!$X48,输入回款!$B:$B,科目对照回款!$H$14)+SUMIFS(输入回款!$D:$D,输入回款!$A:$A,助手回款!$X48,输入回款!$B:$B,科目对照回款!$H$14)),2)</f>
        <v>-0</v>
      </c>
      <c r="H704" s="49" t="str">
        <f aca="false">IF(ROUND($G704,2)&gt;0,ROUND($G704,2),"")</f>
        <v/>
      </c>
      <c r="I704" s="49" t="str">
        <f aca="false">IF(ROUND($G704,2)&lt;0,-ROUND($G704,2),"")</f>
        <v/>
      </c>
      <c r="J704" s="20" t="n">
        <f aca="false">IF(ROUND($G704,2)=0,0,1)</f>
        <v>0</v>
      </c>
      <c r="K704" s="20" t="str">
        <f aca="false">IF($J704=0,"",SUM($J$692:$J704))</f>
        <v/>
      </c>
      <c r="L704" s="20" t="str">
        <f aca="false">IF($K704="","",$A704*100+$K704)</f>
        <v/>
      </c>
      <c r="M704" s="48" t="str">
        <f aca="false">参数!$B$4</f>
        <v>回款</v>
      </c>
    </row>
    <row r="705" customFormat="false" ht="13.5" hidden="false" customHeight="false" outlineLevel="0" collapsed="false">
      <c r="A705" s="47" t="n">
        <v>47</v>
      </c>
      <c r="B705" s="38" t="str">
        <f aca="false">助手回款!$B48</f>
        <v/>
      </c>
      <c r="C705" s="48" t="str">
        <f aca="false">助手回款!$C48</f>
        <v>备用2</v>
      </c>
      <c r="D705" s="48" t="str">
        <f aca="false">科目对照回款!$B15&amp;""</f>
        <v>药机微信</v>
      </c>
      <c r="E705" s="48" t="str">
        <f aca="false">科目对照回款!$C15&amp;""</f>
        <v>应收账款</v>
      </c>
      <c r="F705" s="48" t="str">
        <f aca="false">科目对照回款!$D15&amp;""</f>
        <v>药机微信</v>
      </c>
      <c r="G705" s="49" t="n">
        <f aca="false">-ROUND(IF(科目对照回款!$F$15="",0,SUMIFS(输入回款!$C:$C,输入回款!$A:$A,助手回款!$X48,输入回款!$B:$B,科目对照回款!$F$15)+SUMIFS(输入回款!$D:$D,输入回款!$A:$A,助手回款!$X48,输入回款!$B:$B,科目对照回款!$F$15))+IF(科目对照回款!$G$15="",0,SUMIFS(输入回款!$C:$C,输入回款!$A:$A,助手回款!$X48,输入回款!$B:$B,科目对照回款!$G$15)+SUMIFS(输入回款!$D:$D,输入回款!$A:$A,助手回款!$X48,输入回款!$B:$B,科目对照回款!$G$15))+IF(科目对照回款!$H$15="",0,SUMIFS(输入回款!$C:$C,输入回款!$A:$A,助手回款!$X48,输入回款!$B:$B,科目对照回款!$H$15)+SUMIFS(输入回款!$D:$D,输入回款!$A:$A,助手回款!$X48,输入回款!$B:$B,科目对照回款!$H$15)),2)</f>
        <v>-0</v>
      </c>
      <c r="H705" s="49" t="str">
        <f aca="false">IF(ROUND($G705,2)&gt;0,ROUND($G705,2),"")</f>
        <v/>
      </c>
      <c r="I705" s="49" t="str">
        <f aca="false">IF(ROUND($G705,2)&lt;0,-ROUND($G705,2),"")</f>
        <v/>
      </c>
      <c r="J705" s="20" t="n">
        <f aca="false">IF(ROUND($G705,2)=0,0,1)</f>
        <v>0</v>
      </c>
      <c r="K705" s="20" t="str">
        <f aca="false">IF($J705=0,"",SUM($J$692:$J705))</f>
        <v/>
      </c>
      <c r="L705" s="20" t="str">
        <f aca="false">IF($K705="","",$A705*100+$K705)</f>
        <v/>
      </c>
      <c r="M705" s="48" t="str">
        <f aca="false">参数!$B$4</f>
        <v>回款</v>
      </c>
    </row>
    <row r="706" customFormat="false" ht="13.5" hidden="false" customHeight="false" outlineLevel="0" collapsed="false">
      <c r="A706" s="47" t="n">
        <v>47</v>
      </c>
      <c r="B706" s="38" t="str">
        <f aca="false">助手回款!$B48</f>
        <v/>
      </c>
      <c r="C706" s="48" t="str">
        <f aca="false">助手回款!$C48</f>
        <v>备用2</v>
      </c>
      <c r="D706" s="48" t="str">
        <f aca="false">科目对照回款!$B16&amp;""</f>
        <v>储值卡</v>
      </c>
      <c r="E706" s="48" t="str">
        <f aca="false">科目对照回款!$C16&amp;""</f>
        <v>其他应收款</v>
      </c>
      <c r="F706" s="48" t="str">
        <f aca="false">科目对照回款!$D16&amp;""</f>
        <v>储值卡</v>
      </c>
      <c r="G706" s="49" t="n">
        <f aca="false">-ROUND(IF(科目对照回款!$F$16="",0,SUMIFS(输入回款!$C:$C,输入回款!$A:$A,助手回款!$X48,输入回款!$B:$B,科目对照回款!$F$16)+SUMIFS(输入回款!$D:$D,输入回款!$A:$A,助手回款!$X48,输入回款!$B:$B,科目对照回款!$F$16))+IF(科目对照回款!$G$16="",0,SUMIFS(输入回款!$C:$C,输入回款!$A:$A,助手回款!$X48,输入回款!$B:$B,科目对照回款!$G$16)+SUMIFS(输入回款!$D:$D,输入回款!$A:$A,助手回款!$X48,输入回款!$B:$B,科目对照回款!$G$16))+IF(科目对照回款!$H$16="",0,SUMIFS(输入回款!$C:$C,输入回款!$A:$A,助手回款!$X48,输入回款!$B:$B,科目对照回款!$H$16)+SUMIFS(输入回款!$D:$D,输入回款!$A:$A,助手回款!$X48,输入回款!$B:$B,科目对照回款!$H$16)),2)</f>
        <v>-0</v>
      </c>
      <c r="H706" s="49" t="str">
        <f aca="false">IF(ROUND($G706,2)&gt;0,ROUND($G706,2),"")</f>
        <v/>
      </c>
      <c r="I706" s="49" t="str">
        <f aca="false">IF(ROUND($G706,2)&lt;0,-ROUND($G706,2),"")</f>
        <v/>
      </c>
      <c r="J706" s="20" t="n">
        <f aca="false">IF(ROUND($G706,2)=0,0,1)</f>
        <v>0</v>
      </c>
      <c r="K706" s="20" t="str">
        <f aca="false">IF($J706=0,"",SUM($J$692:$J706))</f>
        <v/>
      </c>
      <c r="L706" s="20" t="str">
        <f aca="false">IF($K706="","",$A706*100+$K706)</f>
        <v/>
      </c>
      <c r="M706" s="48" t="str">
        <f aca="false">参数!$B$4</f>
        <v>回款</v>
      </c>
    </row>
    <row r="707" customFormat="false" ht="13.5" hidden="false" customHeight="false" outlineLevel="0" collapsed="false">
      <c r="A707" s="47" t="n">
        <v>48</v>
      </c>
      <c r="B707" s="38" t="str">
        <f aca="false">助手回款!$B49</f>
        <v/>
      </c>
      <c r="C707" s="48" t="str">
        <f aca="false">助手回款!$C49</f>
        <v>备用3</v>
      </c>
      <c r="D707" s="48" t="str">
        <f aca="false">科目对照回款!$B2&amp;""</f>
        <v>库存现金</v>
      </c>
      <c r="E707" s="48" t="str">
        <f aca="false">科目对照回款!$C2&amp;""</f>
        <v>库存现金</v>
      </c>
      <c r="F707" s="48" t="str">
        <f aca="false">科目对照回款!$D2&amp;""</f>
        <v/>
      </c>
      <c r="G707" s="49" t="n">
        <f aca="false">助手回款!$E49</f>
        <v>0</v>
      </c>
      <c r="H707" s="49" t="str">
        <f aca="false">IF(ROUND($G707,2)&gt;0,ROUND($G707,2),"")</f>
        <v/>
      </c>
      <c r="I707" s="49" t="str">
        <f aca="false">IF(ROUND($G707,2)&lt;0,-ROUND($G707,2),"")</f>
        <v/>
      </c>
      <c r="J707" s="20" t="n">
        <f aca="false">IF(ROUND($G707,2)=0,0,1)</f>
        <v>0</v>
      </c>
      <c r="K707" s="20" t="str">
        <f aca="false">IF($J707=0,"",SUM($J$707:$J707))</f>
        <v/>
      </c>
      <c r="L707" s="20" t="str">
        <f aca="false">IF($K707="","",$A707*100+$K707)</f>
        <v/>
      </c>
      <c r="M707" s="48" t="str">
        <f aca="false">参数!$B$4</f>
        <v>回款</v>
      </c>
    </row>
    <row r="708" customFormat="false" ht="13.5" hidden="false" customHeight="false" outlineLevel="0" collapsed="false">
      <c r="A708" s="47" t="n">
        <v>48</v>
      </c>
      <c r="B708" s="38" t="str">
        <f aca="false">助手回款!$B49</f>
        <v/>
      </c>
      <c r="C708" s="48" t="str">
        <f aca="false">助手回款!$C49</f>
        <v>备用3</v>
      </c>
      <c r="D708" s="48" t="str">
        <f aca="false">科目对照回款!$B3&amp;""</f>
        <v>手续费</v>
      </c>
      <c r="E708" s="48" t="str">
        <f aca="false">科目对照回款!$C3&amp;""</f>
        <v>财务费用</v>
      </c>
      <c r="F708" s="48" t="str">
        <f aca="false">科目对照回款!$D3&amp;""</f>
        <v>手续费</v>
      </c>
      <c r="G708" s="49" t="n">
        <f aca="false">助手回款!$F49</f>
        <v>0</v>
      </c>
      <c r="H708" s="49" t="str">
        <f aca="false">IF(ROUND($G708,2)&gt;0,ROUND($G708,2),"")</f>
        <v/>
      </c>
      <c r="I708" s="49" t="str">
        <f aca="false">IF(ROUND($G708,2)&lt;0,-ROUND($G708,2),"")</f>
        <v/>
      </c>
      <c r="J708" s="20" t="n">
        <f aca="false">IF(ROUND($G708,2)=0,0,1)</f>
        <v>0</v>
      </c>
      <c r="K708" s="20" t="str">
        <f aca="false">IF($J708=0,"",SUM($J$707:$J708))</f>
        <v/>
      </c>
      <c r="L708" s="20" t="str">
        <f aca="false">IF($K708="","",$A708*100+$K708)</f>
        <v/>
      </c>
      <c r="M708" s="48" t="str">
        <f aca="false">参数!$B$4</f>
        <v>回款</v>
      </c>
    </row>
    <row r="709" customFormat="false" ht="13.5" hidden="false" customHeight="false" outlineLevel="0" collapsed="false">
      <c r="A709" s="47" t="n">
        <v>48</v>
      </c>
      <c r="B709" s="38" t="str">
        <f aca="false">助手回款!$B49</f>
        <v/>
      </c>
      <c r="C709" s="48" t="str">
        <f aca="false">助手回款!$C49</f>
        <v>备用3</v>
      </c>
      <c r="D709" s="48" t="str">
        <f aca="false">科目对照回款!$B4&amp;""</f>
        <v>聚合支付</v>
      </c>
      <c r="E709" s="48" t="str">
        <f aca="false">科目对照回款!$C4&amp;""</f>
        <v>应收账款</v>
      </c>
      <c r="F709" s="48" t="str">
        <f aca="false">科目对照回款!$D4&amp;""</f>
        <v>聚合支付</v>
      </c>
      <c r="G709" s="49" t="n">
        <f aca="false">-ROUND(IF(科目对照回款!$F$4="",0,SUMIFS(输入回款!$C:$C,输入回款!$A:$A,助手回款!$X49,输入回款!$B:$B,科目对照回款!$F$4)+SUMIFS(输入回款!$D:$D,输入回款!$A:$A,助手回款!$X49,输入回款!$B:$B,科目对照回款!$F$4))+IF(科目对照回款!$G$4="",0,SUMIFS(输入回款!$C:$C,输入回款!$A:$A,助手回款!$X49,输入回款!$B:$B,科目对照回款!$G$4)+SUMIFS(输入回款!$D:$D,输入回款!$A:$A,助手回款!$X49,输入回款!$B:$B,科目对照回款!$G$4))+IF(科目对照回款!$H$4="",0,SUMIFS(输入回款!$C:$C,输入回款!$A:$A,助手回款!$X49,输入回款!$B:$B,科目对照回款!$H$4)+SUMIFS(输入回款!$D:$D,输入回款!$A:$A,助手回款!$X49,输入回款!$B:$B,科目对照回款!$H$4)),2)</f>
        <v>-0</v>
      </c>
      <c r="H709" s="49" t="str">
        <f aca="false">IF(ROUND($G709,2)&gt;0,ROUND($G709,2),"")</f>
        <v/>
      </c>
      <c r="I709" s="49" t="str">
        <f aca="false">IF(ROUND($G709,2)&lt;0,-ROUND($G709,2),"")</f>
        <v/>
      </c>
      <c r="J709" s="20" t="n">
        <f aca="false">IF(ROUND($G709,2)=0,0,1)</f>
        <v>0</v>
      </c>
      <c r="K709" s="20" t="str">
        <f aca="false">IF($J709=0,"",SUM($J$707:$J709))</f>
        <v/>
      </c>
      <c r="L709" s="20" t="str">
        <f aca="false">IF($K709="","",$A709*100+$K709)</f>
        <v/>
      </c>
      <c r="M709" s="48" t="str">
        <f aca="false">参数!$B$4</f>
        <v>回款</v>
      </c>
    </row>
    <row r="710" customFormat="false" ht="13.5" hidden="false" customHeight="false" outlineLevel="0" collapsed="false">
      <c r="A710" s="47" t="n">
        <v>48</v>
      </c>
      <c r="B710" s="38" t="str">
        <f aca="false">助手回款!$B49</f>
        <v/>
      </c>
      <c r="C710" s="48" t="str">
        <f aca="false">助手回款!$C49</f>
        <v>备用3</v>
      </c>
      <c r="D710" s="48" t="str">
        <f aca="false">科目对照回款!$B5&amp;""</f>
        <v>医保</v>
      </c>
      <c r="E710" s="48" t="str">
        <f aca="false">科目对照回款!$C5&amp;""</f>
        <v>应收账款</v>
      </c>
      <c r="F710" s="48" t="str">
        <f aca="false">科目对照回款!$D5&amp;""</f>
        <v>医保</v>
      </c>
      <c r="G710" s="49" t="n">
        <f aca="false">-ROUND(IF(科目对照回款!$F$5="",0,SUMIFS(输入回款!$C:$C,输入回款!$A:$A,助手回款!$X49,输入回款!$B:$B,科目对照回款!$F$5)+SUMIFS(输入回款!$D:$D,输入回款!$A:$A,助手回款!$X49,输入回款!$B:$B,科目对照回款!$F$5))+IF(科目对照回款!$G$5="",0,SUMIFS(输入回款!$C:$C,输入回款!$A:$A,助手回款!$X49,输入回款!$B:$B,科目对照回款!$G$5)+SUMIFS(输入回款!$D:$D,输入回款!$A:$A,助手回款!$X49,输入回款!$B:$B,科目对照回款!$G$5))+IF(科目对照回款!$H$5="",0,SUMIFS(输入回款!$C:$C,输入回款!$A:$A,助手回款!$X49,输入回款!$B:$B,科目对照回款!$H$5)+SUMIFS(输入回款!$D:$D,输入回款!$A:$A,助手回款!$X49,输入回款!$B:$B,科目对照回款!$H$5)),2)</f>
        <v>-0</v>
      </c>
      <c r="H710" s="49" t="str">
        <f aca="false">IF(ROUND($G710,2)&gt;0,ROUND($G710,2),"")</f>
        <v/>
      </c>
      <c r="I710" s="49" t="str">
        <f aca="false">IF(ROUND($G710,2)&lt;0,-ROUND($G710,2),"")</f>
        <v/>
      </c>
      <c r="J710" s="20" t="n">
        <f aca="false">IF(ROUND($G710,2)=0,0,1)</f>
        <v>0</v>
      </c>
      <c r="K710" s="20" t="str">
        <f aca="false">IF($J710=0,"",SUM($J$707:$J710))</f>
        <v/>
      </c>
      <c r="L710" s="20" t="str">
        <f aca="false">IF($K710="","",$A710*100+$K710)</f>
        <v/>
      </c>
      <c r="M710" s="48" t="str">
        <f aca="false">参数!$B$4</f>
        <v>回款</v>
      </c>
    </row>
    <row r="711" customFormat="false" ht="13.5" hidden="false" customHeight="false" outlineLevel="0" collapsed="false">
      <c r="A711" s="47" t="n">
        <v>48</v>
      </c>
      <c r="B711" s="38" t="str">
        <f aca="false">助手回款!$B49</f>
        <v/>
      </c>
      <c r="C711" s="48" t="str">
        <f aca="false">助手回款!$C49</f>
        <v>备用3</v>
      </c>
      <c r="D711" s="48" t="str">
        <f aca="false">科目对照回款!$B6&amp;""</f>
        <v>美团</v>
      </c>
      <c r="E711" s="48" t="str">
        <f aca="false">科目对照回款!$C6&amp;""</f>
        <v>应收账款</v>
      </c>
      <c r="F711" s="48" t="str">
        <f aca="false">科目对照回款!$D6&amp;""</f>
        <v>美团</v>
      </c>
      <c r="G711" s="49" t="n">
        <f aca="false">-ROUND(IF(科目对照回款!$F$6="",0,SUMIFS(输入回款!$C:$C,输入回款!$A:$A,助手回款!$X49,输入回款!$B:$B,科目对照回款!$F$6)+SUMIFS(输入回款!$D:$D,输入回款!$A:$A,助手回款!$X49,输入回款!$B:$B,科目对照回款!$F$6))+IF(科目对照回款!$G$6="",0,SUMIFS(输入回款!$C:$C,输入回款!$A:$A,助手回款!$X49,输入回款!$B:$B,科目对照回款!$G$6)+SUMIFS(输入回款!$D:$D,输入回款!$A:$A,助手回款!$X49,输入回款!$B:$B,科目对照回款!$G$6))+IF(科目对照回款!$H$6="",0,SUMIFS(输入回款!$C:$C,输入回款!$A:$A,助手回款!$X49,输入回款!$B:$B,科目对照回款!$H$6)+SUMIFS(输入回款!$D:$D,输入回款!$A:$A,助手回款!$X49,输入回款!$B:$B,科目对照回款!$H$6)),2)</f>
        <v>-0</v>
      </c>
      <c r="H711" s="49" t="str">
        <f aca="false">IF(ROUND($G711,2)&gt;0,ROUND($G711,2),"")</f>
        <v/>
      </c>
      <c r="I711" s="49" t="str">
        <f aca="false">IF(ROUND($G711,2)&lt;0,-ROUND($G711,2),"")</f>
        <v/>
      </c>
      <c r="J711" s="20" t="n">
        <f aca="false">IF(ROUND($G711,2)=0,0,1)</f>
        <v>0</v>
      </c>
      <c r="K711" s="20" t="str">
        <f aca="false">IF($J711=0,"",SUM($J$707:$J711))</f>
        <v/>
      </c>
      <c r="L711" s="20" t="str">
        <f aca="false">IF($K711="","",$A711*100+$K711)</f>
        <v/>
      </c>
      <c r="M711" s="48" t="str">
        <f aca="false">参数!$B$4</f>
        <v>回款</v>
      </c>
    </row>
    <row r="712" customFormat="false" ht="13.5" hidden="false" customHeight="false" outlineLevel="0" collapsed="false">
      <c r="A712" s="47" t="n">
        <v>48</v>
      </c>
      <c r="B712" s="38" t="str">
        <f aca="false">助手回款!$B49</f>
        <v/>
      </c>
      <c r="C712" s="48" t="str">
        <f aca="false">助手回款!$C49</f>
        <v>备用3</v>
      </c>
      <c r="D712" s="48" t="str">
        <f aca="false">科目对照回款!$B7&amp;""</f>
        <v>饿了么</v>
      </c>
      <c r="E712" s="48" t="str">
        <f aca="false">科目对照回款!$C7&amp;""</f>
        <v>应收账款</v>
      </c>
      <c r="F712" s="48" t="str">
        <f aca="false">科目对照回款!$D7&amp;""</f>
        <v>饿了么</v>
      </c>
      <c r="G712" s="49" t="n">
        <f aca="false">-ROUND(IF(科目对照回款!$F$7="",0,SUMIFS(输入回款!$C:$C,输入回款!$A:$A,助手回款!$X49,输入回款!$B:$B,科目对照回款!$F$7)+SUMIFS(输入回款!$D:$D,输入回款!$A:$A,助手回款!$X49,输入回款!$B:$B,科目对照回款!$F$7))+IF(科目对照回款!$G$7="",0,SUMIFS(输入回款!$C:$C,输入回款!$A:$A,助手回款!$X49,输入回款!$B:$B,科目对照回款!$G$7)+SUMIFS(输入回款!$D:$D,输入回款!$A:$A,助手回款!$X49,输入回款!$B:$B,科目对照回款!$G$7))+IF(科目对照回款!$H$7="",0,SUMIFS(输入回款!$C:$C,输入回款!$A:$A,助手回款!$X49,输入回款!$B:$B,科目对照回款!$H$7)+SUMIFS(输入回款!$D:$D,输入回款!$A:$A,助手回款!$X49,输入回款!$B:$B,科目对照回款!$H$7)),2)</f>
        <v>-0</v>
      </c>
      <c r="H712" s="49" t="str">
        <f aca="false">IF(ROUND($G712,2)&gt;0,ROUND($G712,2),"")</f>
        <v/>
      </c>
      <c r="I712" s="49" t="str">
        <f aca="false">IF(ROUND($G712,2)&lt;0,-ROUND($G712,2),"")</f>
        <v/>
      </c>
      <c r="J712" s="20" t="n">
        <f aca="false">IF(ROUND($G712,2)=0,0,1)</f>
        <v>0</v>
      </c>
      <c r="K712" s="20" t="str">
        <f aca="false">IF($J712=0,"",SUM($J$707:$J712))</f>
        <v/>
      </c>
      <c r="L712" s="20" t="str">
        <f aca="false">IF($K712="","",$A712*100+$K712)</f>
        <v/>
      </c>
      <c r="M712" s="48" t="str">
        <f aca="false">参数!$B$4</f>
        <v>回款</v>
      </c>
    </row>
    <row r="713" customFormat="false" ht="13.5" hidden="false" customHeight="false" outlineLevel="0" collapsed="false">
      <c r="A713" s="47" t="n">
        <v>48</v>
      </c>
      <c r="B713" s="38" t="str">
        <f aca="false">助手回款!$B49</f>
        <v/>
      </c>
      <c r="C713" s="48" t="str">
        <f aca="false">助手回款!$C49</f>
        <v>备用3</v>
      </c>
      <c r="D713" s="48" t="str">
        <f aca="false">科目对照回款!$B8&amp;""</f>
        <v>24小时</v>
      </c>
      <c r="E713" s="48" t="str">
        <f aca="false">科目对照回款!$C8&amp;""</f>
        <v>应收账款</v>
      </c>
      <c r="F713" s="48" t="str">
        <f aca="false">科目对照回款!$D8&amp;""</f>
        <v>24小时</v>
      </c>
      <c r="G713" s="49" t="n">
        <f aca="false">-ROUND(IF(科目对照回款!$F$8="",0,SUMIFS(输入回款!$C:$C,输入回款!$A:$A,助手回款!$X49,输入回款!$B:$B,科目对照回款!$F$8)+SUMIFS(输入回款!$D:$D,输入回款!$A:$A,助手回款!$X49,输入回款!$B:$B,科目对照回款!$F$8))+IF(科目对照回款!$G$8="",0,SUMIFS(输入回款!$C:$C,输入回款!$A:$A,助手回款!$X49,输入回款!$B:$B,科目对照回款!$G$8)+SUMIFS(输入回款!$D:$D,输入回款!$A:$A,助手回款!$X49,输入回款!$B:$B,科目对照回款!$G$8))+IF(科目对照回款!$H$8="",0,SUMIFS(输入回款!$C:$C,输入回款!$A:$A,助手回款!$X49,输入回款!$B:$B,科目对照回款!$H$8)+SUMIFS(输入回款!$D:$D,输入回款!$A:$A,助手回款!$X49,输入回款!$B:$B,科目对照回款!$H$8)),2)</f>
        <v>-0</v>
      </c>
      <c r="H713" s="49" t="str">
        <f aca="false">IF(ROUND($G713,2)&gt;0,ROUND($G713,2),"")</f>
        <v/>
      </c>
      <c r="I713" s="49" t="str">
        <f aca="false">IF(ROUND($G713,2)&lt;0,-ROUND($G713,2),"")</f>
        <v/>
      </c>
      <c r="J713" s="20" t="n">
        <f aca="false">IF(ROUND($G713,2)=0,0,1)</f>
        <v>0</v>
      </c>
      <c r="K713" s="20" t="str">
        <f aca="false">IF($J713=0,"",SUM($J$707:$J713))</f>
        <v/>
      </c>
      <c r="L713" s="20" t="str">
        <f aca="false">IF($K713="","",$A713*100+$K713)</f>
        <v/>
      </c>
      <c r="M713" s="48" t="str">
        <f aca="false">参数!$B$4</f>
        <v>回款</v>
      </c>
    </row>
    <row r="714" customFormat="false" ht="13.5" hidden="false" customHeight="false" outlineLevel="0" collapsed="false">
      <c r="A714" s="47" t="n">
        <v>48</v>
      </c>
      <c r="B714" s="38" t="str">
        <f aca="false">助手回款!$B49</f>
        <v/>
      </c>
      <c r="C714" s="48" t="str">
        <f aca="false">助手回款!$C49</f>
        <v>备用3</v>
      </c>
      <c r="D714" s="48" t="str">
        <f aca="false">科目对照回款!$B9&amp;""</f>
        <v>健E卡</v>
      </c>
      <c r="E714" s="48" t="str">
        <f aca="false">科目对照回款!$C9&amp;""</f>
        <v>应收账款</v>
      </c>
      <c r="F714" s="48" t="str">
        <f aca="false">科目对照回款!$D9&amp;""</f>
        <v>健E卡</v>
      </c>
      <c r="G714" s="49" t="n">
        <f aca="false">-ROUND(IF(科目对照回款!$F$9="",0,SUMIFS(输入回款!$C:$C,输入回款!$A:$A,助手回款!$X49,输入回款!$B:$B,科目对照回款!$F$9)+SUMIFS(输入回款!$D:$D,输入回款!$A:$A,助手回款!$X49,输入回款!$B:$B,科目对照回款!$F$9))+IF(科目对照回款!$G$9="",0,SUMIFS(输入回款!$C:$C,输入回款!$A:$A,助手回款!$X49,输入回款!$B:$B,科目对照回款!$G$9)+SUMIFS(输入回款!$D:$D,输入回款!$A:$A,助手回款!$X49,输入回款!$B:$B,科目对照回款!$G$9))+IF(科目对照回款!$H$9="",0,SUMIFS(输入回款!$C:$C,输入回款!$A:$A,助手回款!$X49,输入回款!$B:$B,科目对照回款!$H$9)+SUMIFS(输入回款!$D:$D,输入回款!$A:$A,助手回款!$X49,输入回款!$B:$B,科目对照回款!$H$9)),2)</f>
        <v>-0</v>
      </c>
      <c r="H714" s="49" t="str">
        <f aca="false">IF(ROUND($G714,2)&gt;0,ROUND($G714,2),"")</f>
        <v/>
      </c>
      <c r="I714" s="49" t="str">
        <f aca="false">IF(ROUND($G714,2)&lt;0,-ROUND($G714,2),"")</f>
        <v/>
      </c>
      <c r="J714" s="20" t="n">
        <f aca="false">IF(ROUND($G714,2)=0,0,1)</f>
        <v>0</v>
      </c>
      <c r="K714" s="20" t="str">
        <f aca="false">IF($J714=0,"",SUM($J$707:$J714))</f>
        <v/>
      </c>
      <c r="L714" s="20" t="str">
        <f aca="false">IF($K714="","",$A714*100+$K714)</f>
        <v/>
      </c>
      <c r="M714" s="48" t="str">
        <f aca="false">参数!$B$4</f>
        <v>回款</v>
      </c>
    </row>
    <row r="715" customFormat="false" ht="13.5" hidden="false" customHeight="false" outlineLevel="0" collapsed="false">
      <c r="A715" s="47" t="n">
        <v>48</v>
      </c>
      <c r="B715" s="38" t="str">
        <f aca="false">助手回款!$B49</f>
        <v/>
      </c>
      <c r="C715" s="48" t="str">
        <f aca="false">助手回款!$C49</f>
        <v>备用3</v>
      </c>
      <c r="D715" s="48" t="str">
        <f aca="false">科目对照回款!$B10&amp;""</f>
        <v>医卡通</v>
      </c>
      <c r="E715" s="48" t="str">
        <f aca="false">科目对照回款!$C10&amp;""</f>
        <v>应收账款</v>
      </c>
      <c r="F715" s="48" t="str">
        <f aca="false">科目对照回款!$D10&amp;""</f>
        <v>医卡通</v>
      </c>
      <c r="G715" s="49" t="n">
        <f aca="false">-ROUND(IF(科目对照回款!$F$10="",0,SUMIFS(输入回款!$C:$C,输入回款!$A:$A,助手回款!$X49,输入回款!$B:$B,科目对照回款!$F$10)+SUMIFS(输入回款!$D:$D,输入回款!$A:$A,助手回款!$X49,输入回款!$B:$B,科目对照回款!$F$10))+IF(科目对照回款!$G$10="",0,SUMIFS(输入回款!$C:$C,输入回款!$A:$A,助手回款!$X49,输入回款!$B:$B,科目对照回款!$G$10)+SUMIFS(输入回款!$D:$D,输入回款!$A:$A,助手回款!$X49,输入回款!$B:$B,科目对照回款!$G$10))+IF(科目对照回款!$H$10="",0,SUMIFS(输入回款!$C:$C,输入回款!$A:$A,助手回款!$X49,输入回款!$B:$B,科目对照回款!$H$10)+SUMIFS(输入回款!$D:$D,输入回款!$A:$A,助手回款!$X49,输入回款!$B:$B,科目对照回款!$H$10)),2)</f>
        <v>-0</v>
      </c>
      <c r="H715" s="49" t="str">
        <f aca="false">IF(ROUND($G715,2)&gt;0,ROUND($G715,2),"")</f>
        <v/>
      </c>
      <c r="I715" s="49" t="str">
        <f aca="false">IF(ROUND($G715,2)&lt;0,-ROUND($G715,2),"")</f>
        <v/>
      </c>
      <c r="J715" s="20" t="n">
        <f aca="false">IF(ROUND($G715,2)=0,0,1)</f>
        <v>0</v>
      </c>
      <c r="K715" s="20" t="str">
        <f aca="false">IF($J715=0,"",SUM($J$707:$J715))</f>
        <v/>
      </c>
      <c r="L715" s="20" t="str">
        <f aca="false">IF($K715="","",$A715*100+$K715)</f>
        <v/>
      </c>
      <c r="M715" s="48" t="str">
        <f aca="false">参数!$B$4</f>
        <v>回款</v>
      </c>
    </row>
    <row r="716" customFormat="false" ht="13.5" hidden="false" customHeight="false" outlineLevel="0" collapsed="false">
      <c r="A716" s="47" t="n">
        <v>48</v>
      </c>
      <c r="B716" s="38" t="str">
        <f aca="false">助手回款!$B49</f>
        <v/>
      </c>
      <c r="C716" s="48" t="str">
        <f aca="false">助手回款!$C49</f>
        <v>备用3</v>
      </c>
      <c r="D716" s="48" t="str">
        <f aca="false">科目对照回款!$B11&amp;""</f>
        <v>企健网</v>
      </c>
      <c r="E716" s="48" t="str">
        <f aca="false">科目对照回款!$C11&amp;""</f>
        <v>应收账款</v>
      </c>
      <c r="F716" s="48" t="str">
        <f aca="false">科目对照回款!$D11&amp;""</f>
        <v>企健网</v>
      </c>
      <c r="G716" s="49" t="n">
        <f aca="false">-ROUND(IF(科目对照回款!$F$11="",0,SUMIFS(输入回款!$C:$C,输入回款!$A:$A,助手回款!$X49,输入回款!$B:$B,科目对照回款!$F$11)+SUMIFS(输入回款!$D:$D,输入回款!$A:$A,助手回款!$X49,输入回款!$B:$B,科目对照回款!$F$11))+IF(科目对照回款!$G$11="",0,SUMIFS(输入回款!$C:$C,输入回款!$A:$A,助手回款!$X49,输入回款!$B:$B,科目对照回款!$G$11)+SUMIFS(输入回款!$D:$D,输入回款!$A:$A,助手回款!$X49,输入回款!$B:$B,科目对照回款!$G$11))+IF(科目对照回款!$H$11="",0,SUMIFS(输入回款!$C:$C,输入回款!$A:$A,助手回款!$X49,输入回款!$B:$B,科目对照回款!$H$11)+SUMIFS(输入回款!$D:$D,输入回款!$A:$A,助手回款!$X49,输入回款!$B:$B,科目对照回款!$H$11)),2)</f>
        <v>-0</v>
      </c>
      <c r="H716" s="49" t="str">
        <f aca="false">IF(ROUND($G716,2)&gt;0,ROUND($G716,2),"")</f>
        <v/>
      </c>
      <c r="I716" s="49" t="str">
        <f aca="false">IF(ROUND($G716,2)&lt;0,-ROUND($G716,2),"")</f>
        <v/>
      </c>
      <c r="J716" s="20" t="n">
        <f aca="false">IF(ROUND($G716,2)=0,0,1)</f>
        <v>0</v>
      </c>
      <c r="K716" s="20" t="str">
        <f aca="false">IF($J716=0,"",SUM($J$707:$J716))</f>
        <v/>
      </c>
      <c r="L716" s="20" t="str">
        <f aca="false">IF($K716="","",$A716*100+$K716)</f>
        <v/>
      </c>
      <c r="M716" s="48" t="str">
        <f aca="false">参数!$B$4</f>
        <v>回款</v>
      </c>
    </row>
    <row r="717" customFormat="false" ht="13.5" hidden="false" customHeight="false" outlineLevel="0" collapsed="false">
      <c r="A717" s="47" t="n">
        <v>48</v>
      </c>
      <c r="B717" s="38" t="str">
        <f aca="false">助手回款!$B49</f>
        <v/>
      </c>
      <c r="C717" s="48" t="str">
        <f aca="false">助手回款!$C49</f>
        <v>备用3</v>
      </c>
      <c r="D717" s="48" t="str">
        <f aca="false">科目对照回款!$B12&amp;""</f>
        <v>亲情卡</v>
      </c>
      <c r="E717" s="48" t="str">
        <f aca="false">科目对照回款!$C12&amp;""</f>
        <v>应收账款</v>
      </c>
      <c r="F717" s="48" t="str">
        <f aca="false">科目对照回款!$D12&amp;""</f>
        <v>亲情卡</v>
      </c>
      <c r="G717" s="49" t="n">
        <f aca="false">-ROUND(IF(科目对照回款!$F$12="",0,SUMIFS(输入回款!$C:$C,输入回款!$A:$A,助手回款!$X49,输入回款!$B:$B,科目对照回款!$F$12)+SUMIFS(输入回款!$D:$D,输入回款!$A:$A,助手回款!$X49,输入回款!$B:$B,科目对照回款!$F$12))+IF(科目对照回款!$G$12="",0,SUMIFS(输入回款!$C:$C,输入回款!$A:$A,助手回款!$X49,输入回款!$B:$B,科目对照回款!$G$12)+SUMIFS(输入回款!$D:$D,输入回款!$A:$A,助手回款!$X49,输入回款!$B:$B,科目对照回款!$G$12))+IF(科目对照回款!$H$12="",0,SUMIFS(输入回款!$C:$C,输入回款!$A:$A,助手回款!$X49,输入回款!$B:$B,科目对照回款!$H$12)+SUMIFS(输入回款!$D:$D,输入回款!$A:$A,助手回款!$X49,输入回款!$B:$B,科目对照回款!$H$12)),2)</f>
        <v>-0</v>
      </c>
      <c r="H717" s="49" t="str">
        <f aca="false">IF(ROUND($G717,2)&gt;0,ROUND($G717,2),"")</f>
        <v/>
      </c>
      <c r="I717" s="49" t="str">
        <f aca="false">IF(ROUND($G717,2)&lt;0,-ROUND($G717,2),"")</f>
        <v/>
      </c>
      <c r="J717" s="20" t="n">
        <f aca="false">IF(ROUND($G717,2)=0,0,1)</f>
        <v>0</v>
      </c>
      <c r="K717" s="20" t="str">
        <f aca="false">IF($J717=0,"",SUM($J$707:$J717))</f>
        <v/>
      </c>
      <c r="L717" s="20" t="str">
        <f aca="false">IF($K717="","",$A717*100+$K717)</f>
        <v/>
      </c>
      <c r="M717" s="48" t="str">
        <f aca="false">参数!$B$4</f>
        <v>回款</v>
      </c>
    </row>
    <row r="718" customFormat="false" ht="13.5" hidden="false" customHeight="false" outlineLevel="0" collapsed="false">
      <c r="A718" s="47" t="n">
        <v>48</v>
      </c>
      <c r="B718" s="38" t="str">
        <f aca="false">助手回款!$B49</f>
        <v/>
      </c>
      <c r="C718" s="48" t="str">
        <f aca="false">助手回款!$C49</f>
        <v>备用3</v>
      </c>
      <c r="D718" s="48" t="str">
        <f aca="false">科目对照回款!$B13&amp;""</f>
        <v>银联</v>
      </c>
      <c r="E718" s="48" t="str">
        <f aca="false">科目对照回款!$C13&amp;""</f>
        <v>应收账款</v>
      </c>
      <c r="F718" s="48" t="str">
        <f aca="false">科目对照回款!$D13&amp;""</f>
        <v>银联</v>
      </c>
      <c r="G718" s="49" t="n">
        <f aca="false">-ROUND(IF(科目对照回款!$F$13="",0,SUMIFS(输入回款!$C:$C,输入回款!$A:$A,助手回款!$X49,输入回款!$B:$B,科目对照回款!$F$13)+SUMIFS(输入回款!$D:$D,输入回款!$A:$A,助手回款!$X49,输入回款!$B:$B,科目对照回款!$F$13))+IF(科目对照回款!$G$13="",0,SUMIFS(输入回款!$C:$C,输入回款!$A:$A,助手回款!$X49,输入回款!$B:$B,科目对照回款!$G$13)+SUMIFS(输入回款!$D:$D,输入回款!$A:$A,助手回款!$X49,输入回款!$B:$B,科目对照回款!$G$13))+IF(科目对照回款!$H$13="",0,SUMIFS(输入回款!$C:$C,输入回款!$A:$A,助手回款!$X49,输入回款!$B:$B,科目对照回款!$H$13)+SUMIFS(输入回款!$D:$D,输入回款!$A:$A,助手回款!$X49,输入回款!$B:$B,科目对照回款!$H$13)),2)</f>
        <v>-0</v>
      </c>
      <c r="H718" s="49" t="str">
        <f aca="false">IF(ROUND($G718,2)&gt;0,ROUND($G718,2),"")</f>
        <v/>
      </c>
      <c r="I718" s="49" t="str">
        <f aca="false">IF(ROUND($G718,2)&lt;0,-ROUND($G718,2),"")</f>
        <v/>
      </c>
      <c r="J718" s="20" t="n">
        <f aca="false">IF(ROUND($G718,2)=0,0,1)</f>
        <v>0</v>
      </c>
      <c r="K718" s="20" t="str">
        <f aca="false">IF($J718=0,"",SUM($J$707:$J718))</f>
        <v/>
      </c>
      <c r="L718" s="20" t="str">
        <f aca="false">IF($K718="","",$A718*100+$K718)</f>
        <v/>
      </c>
      <c r="M718" s="48" t="str">
        <f aca="false">参数!$B$4</f>
        <v>回款</v>
      </c>
    </row>
    <row r="719" customFormat="false" ht="13.5" hidden="false" customHeight="false" outlineLevel="0" collapsed="false">
      <c r="A719" s="47" t="n">
        <v>48</v>
      </c>
      <c r="B719" s="38" t="str">
        <f aca="false">助手回款!$B49</f>
        <v/>
      </c>
      <c r="C719" s="48" t="str">
        <f aca="false">助手回款!$C49</f>
        <v>备用3</v>
      </c>
      <c r="D719" s="48" t="str">
        <f aca="false">科目对照回款!$B14&amp;""</f>
        <v>代金券</v>
      </c>
      <c r="E719" s="48" t="str">
        <f aca="false">科目对照回款!$C14&amp;""</f>
        <v>应收账款</v>
      </c>
      <c r="F719" s="48" t="str">
        <f aca="false">科目对照回款!$D14&amp;""</f>
        <v>代金券</v>
      </c>
      <c r="G719" s="49" t="n">
        <f aca="false">-ROUND(IF(科目对照回款!$F$14="",0,SUMIFS(输入回款!$C:$C,输入回款!$A:$A,助手回款!$X49,输入回款!$B:$B,科目对照回款!$F$14)+SUMIFS(输入回款!$D:$D,输入回款!$A:$A,助手回款!$X49,输入回款!$B:$B,科目对照回款!$F$14))+IF(科目对照回款!$G$14="",0,SUMIFS(输入回款!$C:$C,输入回款!$A:$A,助手回款!$X49,输入回款!$B:$B,科目对照回款!$G$14)+SUMIFS(输入回款!$D:$D,输入回款!$A:$A,助手回款!$X49,输入回款!$B:$B,科目对照回款!$G$14))+IF(科目对照回款!$H$14="",0,SUMIFS(输入回款!$C:$C,输入回款!$A:$A,助手回款!$X49,输入回款!$B:$B,科目对照回款!$H$14)+SUMIFS(输入回款!$D:$D,输入回款!$A:$A,助手回款!$X49,输入回款!$B:$B,科目对照回款!$H$14)),2)</f>
        <v>-0</v>
      </c>
      <c r="H719" s="49" t="str">
        <f aca="false">IF(ROUND($G719,2)&gt;0,ROUND($G719,2),"")</f>
        <v/>
      </c>
      <c r="I719" s="49" t="str">
        <f aca="false">IF(ROUND($G719,2)&lt;0,-ROUND($G719,2),"")</f>
        <v/>
      </c>
      <c r="J719" s="20" t="n">
        <f aca="false">IF(ROUND($G719,2)=0,0,1)</f>
        <v>0</v>
      </c>
      <c r="K719" s="20" t="str">
        <f aca="false">IF($J719=0,"",SUM($J$707:$J719))</f>
        <v/>
      </c>
      <c r="L719" s="20" t="str">
        <f aca="false">IF($K719="","",$A719*100+$K719)</f>
        <v/>
      </c>
      <c r="M719" s="48" t="str">
        <f aca="false">参数!$B$4</f>
        <v>回款</v>
      </c>
    </row>
    <row r="720" customFormat="false" ht="13.5" hidden="false" customHeight="false" outlineLevel="0" collapsed="false">
      <c r="A720" s="47" t="n">
        <v>48</v>
      </c>
      <c r="B720" s="38" t="str">
        <f aca="false">助手回款!$B49</f>
        <v/>
      </c>
      <c r="C720" s="48" t="str">
        <f aca="false">助手回款!$C49</f>
        <v>备用3</v>
      </c>
      <c r="D720" s="48" t="str">
        <f aca="false">科目对照回款!$B15&amp;""</f>
        <v>药机微信</v>
      </c>
      <c r="E720" s="48" t="str">
        <f aca="false">科目对照回款!$C15&amp;""</f>
        <v>应收账款</v>
      </c>
      <c r="F720" s="48" t="str">
        <f aca="false">科目对照回款!$D15&amp;""</f>
        <v>药机微信</v>
      </c>
      <c r="G720" s="49" t="n">
        <f aca="false">-ROUND(IF(科目对照回款!$F$15="",0,SUMIFS(输入回款!$C:$C,输入回款!$A:$A,助手回款!$X49,输入回款!$B:$B,科目对照回款!$F$15)+SUMIFS(输入回款!$D:$D,输入回款!$A:$A,助手回款!$X49,输入回款!$B:$B,科目对照回款!$F$15))+IF(科目对照回款!$G$15="",0,SUMIFS(输入回款!$C:$C,输入回款!$A:$A,助手回款!$X49,输入回款!$B:$B,科目对照回款!$G$15)+SUMIFS(输入回款!$D:$D,输入回款!$A:$A,助手回款!$X49,输入回款!$B:$B,科目对照回款!$G$15))+IF(科目对照回款!$H$15="",0,SUMIFS(输入回款!$C:$C,输入回款!$A:$A,助手回款!$X49,输入回款!$B:$B,科目对照回款!$H$15)+SUMIFS(输入回款!$D:$D,输入回款!$A:$A,助手回款!$X49,输入回款!$B:$B,科目对照回款!$H$15)),2)</f>
        <v>-0</v>
      </c>
      <c r="H720" s="49" t="str">
        <f aca="false">IF(ROUND($G720,2)&gt;0,ROUND($G720,2),"")</f>
        <v/>
      </c>
      <c r="I720" s="49" t="str">
        <f aca="false">IF(ROUND($G720,2)&lt;0,-ROUND($G720,2),"")</f>
        <v/>
      </c>
      <c r="J720" s="20" t="n">
        <f aca="false">IF(ROUND($G720,2)=0,0,1)</f>
        <v>0</v>
      </c>
      <c r="K720" s="20" t="str">
        <f aca="false">IF($J720=0,"",SUM($J$707:$J720))</f>
        <v/>
      </c>
      <c r="L720" s="20" t="str">
        <f aca="false">IF($K720="","",$A720*100+$K720)</f>
        <v/>
      </c>
      <c r="M720" s="48" t="str">
        <f aca="false">参数!$B$4</f>
        <v>回款</v>
      </c>
    </row>
    <row r="721" customFormat="false" ht="13.5" hidden="false" customHeight="false" outlineLevel="0" collapsed="false">
      <c r="A721" s="47" t="n">
        <v>48</v>
      </c>
      <c r="B721" s="38" t="str">
        <f aca="false">助手回款!$B49</f>
        <v/>
      </c>
      <c r="C721" s="48" t="str">
        <f aca="false">助手回款!$C49</f>
        <v>备用3</v>
      </c>
      <c r="D721" s="48" t="str">
        <f aca="false">科目对照回款!$B16&amp;""</f>
        <v>储值卡</v>
      </c>
      <c r="E721" s="48" t="str">
        <f aca="false">科目对照回款!$C16&amp;""</f>
        <v>其他应收款</v>
      </c>
      <c r="F721" s="48" t="str">
        <f aca="false">科目对照回款!$D16&amp;""</f>
        <v>储值卡</v>
      </c>
      <c r="G721" s="49" t="n">
        <f aca="false">-ROUND(IF(科目对照回款!$F$16="",0,SUMIFS(输入回款!$C:$C,输入回款!$A:$A,助手回款!$X49,输入回款!$B:$B,科目对照回款!$F$16)+SUMIFS(输入回款!$D:$D,输入回款!$A:$A,助手回款!$X49,输入回款!$B:$B,科目对照回款!$F$16))+IF(科目对照回款!$G$16="",0,SUMIFS(输入回款!$C:$C,输入回款!$A:$A,助手回款!$X49,输入回款!$B:$B,科目对照回款!$G$16)+SUMIFS(输入回款!$D:$D,输入回款!$A:$A,助手回款!$X49,输入回款!$B:$B,科目对照回款!$G$16))+IF(科目对照回款!$H$16="",0,SUMIFS(输入回款!$C:$C,输入回款!$A:$A,助手回款!$X49,输入回款!$B:$B,科目对照回款!$H$16)+SUMIFS(输入回款!$D:$D,输入回款!$A:$A,助手回款!$X49,输入回款!$B:$B,科目对照回款!$H$16)),2)</f>
        <v>-0</v>
      </c>
      <c r="H721" s="49" t="str">
        <f aca="false">IF(ROUND($G721,2)&gt;0,ROUND($G721,2),"")</f>
        <v/>
      </c>
      <c r="I721" s="49" t="str">
        <f aca="false">IF(ROUND($G721,2)&lt;0,-ROUND($G721,2),"")</f>
        <v/>
      </c>
      <c r="J721" s="20" t="n">
        <f aca="false">IF(ROUND($G721,2)=0,0,1)</f>
        <v>0</v>
      </c>
      <c r="K721" s="20" t="str">
        <f aca="false">IF($J721=0,"",SUM($J$707:$J721))</f>
        <v/>
      </c>
      <c r="L721" s="20" t="str">
        <f aca="false">IF($K721="","",$A721*100+$K721)</f>
        <v/>
      </c>
      <c r="M721" s="48" t="str">
        <f aca="false">参数!$B$4</f>
        <v>回款</v>
      </c>
    </row>
    <row r="722" customFormat="false" ht="13.5" hidden="false" customHeight="false" outlineLevel="0" collapsed="false">
      <c r="A722" s="47" t="n">
        <v>49</v>
      </c>
      <c r="B722" s="38" t="str">
        <f aca="false">助手回款!$B50</f>
        <v/>
      </c>
      <c r="C722" s="48" t="str">
        <f aca="false">助手回款!$C50</f>
        <v>备用4</v>
      </c>
      <c r="D722" s="48" t="str">
        <f aca="false">科目对照回款!$B2&amp;""</f>
        <v>库存现金</v>
      </c>
      <c r="E722" s="48" t="str">
        <f aca="false">科目对照回款!$C2&amp;""</f>
        <v>库存现金</v>
      </c>
      <c r="F722" s="48" t="str">
        <f aca="false">科目对照回款!$D2&amp;""</f>
        <v/>
      </c>
      <c r="G722" s="49" t="n">
        <f aca="false">助手回款!$E50</f>
        <v>0</v>
      </c>
      <c r="H722" s="49" t="str">
        <f aca="false">IF(ROUND($G722,2)&gt;0,ROUND($G722,2),"")</f>
        <v/>
      </c>
      <c r="I722" s="49" t="str">
        <f aca="false">IF(ROUND($G722,2)&lt;0,-ROUND($G722,2),"")</f>
        <v/>
      </c>
      <c r="J722" s="20" t="n">
        <f aca="false">IF(ROUND($G722,2)=0,0,1)</f>
        <v>0</v>
      </c>
      <c r="K722" s="20" t="str">
        <f aca="false">IF($J722=0,"",SUM($J$722:$J722))</f>
        <v/>
      </c>
      <c r="L722" s="20" t="str">
        <f aca="false">IF($K722="","",$A722*100+$K722)</f>
        <v/>
      </c>
      <c r="M722" s="48" t="str">
        <f aca="false">参数!$B$4</f>
        <v>回款</v>
      </c>
    </row>
    <row r="723" customFormat="false" ht="13.5" hidden="false" customHeight="false" outlineLevel="0" collapsed="false">
      <c r="A723" s="47" t="n">
        <v>49</v>
      </c>
      <c r="B723" s="38" t="str">
        <f aca="false">助手回款!$B50</f>
        <v/>
      </c>
      <c r="C723" s="48" t="str">
        <f aca="false">助手回款!$C50</f>
        <v>备用4</v>
      </c>
      <c r="D723" s="48" t="str">
        <f aca="false">科目对照回款!$B3&amp;""</f>
        <v>手续费</v>
      </c>
      <c r="E723" s="48" t="str">
        <f aca="false">科目对照回款!$C3&amp;""</f>
        <v>财务费用</v>
      </c>
      <c r="F723" s="48" t="str">
        <f aca="false">科目对照回款!$D3&amp;""</f>
        <v>手续费</v>
      </c>
      <c r="G723" s="49" t="n">
        <f aca="false">助手回款!$F50</f>
        <v>0</v>
      </c>
      <c r="H723" s="49" t="str">
        <f aca="false">IF(ROUND($G723,2)&gt;0,ROUND($G723,2),"")</f>
        <v/>
      </c>
      <c r="I723" s="49" t="str">
        <f aca="false">IF(ROUND($G723,2)&lt;0,-ROUND($G723,2),"")</f>
        <v/>
      </c>
      <c r="J723" s="20" t="n">
        <f aca="false">IF(ROUND($G723,2)=0,0,1)</f>
        <v>0</v>
      </c>
      <c r="K723" s="20" t="str">
        <f aca="false">IF($J723=0,"",SUM($J$722:$J723))</f>
        <v/>
      </c>
      <c r="L723" s="20" t="str">
        <f aca="false">IF($K723="","",$A723*100+$K723)</f>
        <v/>
      </c>
      <c r="M723" s="48" t="str">
        <f aca="false">参数!$B$4</f>
        <v>回款</v>
      </c>
    </row>
    <row r="724" customFormat="false" ht="13.5" hidden="false" customHeight="false" outlineLevel="0" collapsed="false">
      <c r="A724" s="47" t="n">
        <v>49</v>
      </c>
      <c r="B724" s="38" t="str">
        <f aca="false">助手回款!$B50</f>
        <v/>
      </c>
      <c r="C724" s="48" t="str">
        <f aca="false">助手回款!$C50</f>
        <v>备用4</v>
      </c>
      <c r="D724" s="48" t="str">
        <f aca="false">科目对照回款!$B4&amp;""</f>
        <v>聚合支付</v>
      </c>
      <c r="E724" s="48" t="str">
        <f aca="false">科目对照回款!$C4&amp;""</f>
        <v>应收账款</v>
      </c>
      <c r="F724" s="48" t="str">
        <f aca="false">科目对照回款!$D4&amp;""</f>
        <v>聚合支付</v>
      </c>
      <c r="G724" s="49" t="n">
        <f aca="false">-ROUND(IF(科目对照回款!$F$4="",0,SUMIFS(输入回款!$C:$C,输入回款!$A:$A,助手回款!$X50,输入回款!$B:$B,科目对照回款!$F$4)+SUMIFS(输入回款!$D:$D,输入回款!$A:$A,助手回款!$X50,输入回款!$B:$B,科目对照回款!$F$4))+IF(科目对照回款!$G$4="",0,SUMIFS(输入回款!$C:$C,输入回款!$A:$A,助手回款!$X50,输入回款!$B:$B,科目对照回款!$G$4)+SUMIFS(输入回款!$D:$D,输入回款!$A:$A,助手回款!$X50,输入回款!$B:$B,科目对照回款!$G$4))+IF(科目对照回款!$H$4="",0,SUMIFS(输入回款!$C:$C,输入回款!$A:$A,助手回款!$X50,输入回款!$B:$B,科目对照回款!$H$4)+SUMIFS(输入回款!$D:$D,输入回款!$A:$A,助手回款!$X50,输入回款!$B:$B,科目对照回款!$H$4)),2)</f>
        <v>-0</v>
      </c>
      <c r="H724" s="49" t="str">
        <f aca="false">IF(ROUND($G724,2)&gt;0,ROUND($G724,2),"")</f>
        <v/>
      </c>
      <c r="I724" s="49" t="str">
        <f aca="false">IF(ROUND($G724,2)&lt;0,-ROUND($G724,2),"")</f>
        <v/>
      </c>
      <c r="J724" s="20" t="n">
        <f aca="false">IF(ROUND($G724,2)=0,0,1)</f>
        <v>0</v>
      </c>
      <c r="K724" s="20" t="str">
        <f aca="false">IF($J724=0,"",SUM($J$722:$J724))</f>
        <v/>
      </c>
      <c r="L724" s="20" t="str">
        <f aca="false">IF($K724="","",$A724*100+$K724)</f>
        <v/>
      </c>
      <c r="M724" s="48" t="str">
        <f aca="false">参数!$B$4</f>
        <v>回款</v>
      </c>
    </row>
    <row r="725" customFormat="false" ht="13.5" hidden="false" customHeight="false" outlineLevel="0" collapsed="false">
      <c r="A725" s="47" t="n">
        <v>49</v>
      </c>
      <c r="B725" s="38" t="str">
        <f aca="false">助手回款!$B50</f>
        <v/>
      </c>
      <c r="C725" s="48" t="str">
        <f aca="false">助手回款!$C50</f>
        <v>备用4</v>
      </c>
      <c r="D725" s="48" t="str">
        <f aca="false">科目对照回款!$B5&amp;""</f>
        <v>医保</v>
      </c>
      <c r="E725" s="48" t="str">
        <f aca="false">科目对照回款!$C5&amp;""</f>
        <v>应收账款</v>
      </c>
      <c r="F725" s="48" t="str">
        <f aca="false">科目对照回款!$D5&amp;""</f>
        <v>医保</v>
      </c>
      <c r="G725" s="49" t="n">
        <f aca="false">-ROUND(IF(科目对照回款!$F$5="",0,SUMIFS(输入回款!$C:$C,输入回款!$A:$A,助手回款!$X50,输入回款!$B:$B,科目对照回款!$F$5)+SUMIFS(输入回款!$D:$D,输入回款!$A:$A,助手回款!$X50,输入回款!$B:$B,科目对照回款!$F$5))+IF(科目对照回款!$G$5="",0,SUMIFS(输入回款!$C:$C,输入回款!$A:$A,助手回款!$X50,输入回款!$B:$B,科目对照回款!$G$5)+SUMIFS(输入回款!$D:$D,输入回款!$A:$A,助手回款!$X50,输入回款!$B:$B,科目对照回款!$G$5))+IF(科目对照回款!$H$5="",0,SUMIFS(输入回款!$C:$C,输入回款!$A:$A,助手回款!$X50,输入回款!$B:$B,科目对照回款!$H$5)+SUMIFS(输入回款!$D:$D,输入回款!$A:$A,助手回款!$X50,输入回款!$B:$B,科目对照回款!$H$5)),2)</f>
        <v>-0</v>
      </c>
      <c r="H725" s="49" t="str">
        <f aca="false">IF(ROUND($G725,2)&gt;0,ROUND($G725,2),"")</f>
        <v/>
      </c>
      <c r="I725" s="49" t="str">
        <f aca="false">IF(ROUND($G725,2)&lt;0,-ROUND($G725,2),"")</f>
        <v/>
      </c>
      <c r="J725" s="20" t="n">
        <f aca="false">IF(ROUND($G725,2)=0,0,1)</f>
        <v>0</v>
      </c>
      <c r="K725" s="20" t="str">
        <f aca="false">IF($J725=0,"",SUM($J$722:$J725))</f>
        <v/>
      </c>
      <c r="L725" s="20" t="str">
        <f aca="false">IF($K725="","",$A725*100+$K725)</f>
        <v/>
      </c>
      <c r="M725" s="48" t="str">
        <f aca="false">参数!$B$4</f>
        <v>回款</v>
      </c>
    </row>
    <row r="726" customFormat="false" ht="13.5" hidden="false" customHeight="false" outlineLevel="0" collapsed="false">
      <c r="A726" s="47" t="n">
        <v>49</v>
      </c>
      <c r="B726" s="38" t="str">
        <f aca="false">助手回款!$B50</f>
        <v/>
      </c>
      <c r="C726" s="48" t="str">
        <f aca="false">助手回款!$C50</f>
        <v>备用4</v>
      </c>
      <c r="D726" s="48" t="str">
        <f aca="false">科目对照回款!$B6&amp;""</f>
        <v>美团</v>
      </c>
      <c r="E726" s="48" t="str">
        <f aca="false">科目对照回款!$C6&amp;""</f>
        <v>应收账款</v>
      </c>
      <c r="F726" s="48" t="str">
        <f aca="false">科目对照回款!$D6&amp;""</f>
        <v>美团</v>
      </c>
      <c r="G726" s="49" t="n">
        <f aca="false">-ROUND(IF(科目对照回款!$F$6="",0,SUMIFS(输入回款!$C:$C,输入回款!$A:$A,助手回款!$X50,输入回款!$B:$B,科目对照回款!$F$6)+SUMIFS(输入回款!$D:$D,输入回款!$A:$A,助手回款!$X50,输入回款!$B:$B,科目对照回款!$F$6))+IF(科目对照回款!$G$6="",0,SUMIFS(输入回款!$C:$C,输入回款!$A:$A,助手回款!$X50,输入回款!$B:$B,科目对照回款!$G$6)+SUMIFS(输入回款!$D:$D,输入回款!$A:$A,助手回款!$X50,输入回款!$B:$B,科目对照回款!$G$6))+IF(科目对照回款!$H$6="",0,SUMIFS(输入回款!$C:$C,输入回款!$A:$A,助手回款!$X50,输入回款!$B:$B,科目对照回款!$H$6)+SUMIFS(输入回款!$D:$D,输入回款!$A:$A,助手回款!$X50,输入回款!$B:$B,科目对照回款!$H$6)),2)</f>
        <v>-0</v>
      </c>
      <c r="H726" s="49" t="str">
        <f aca="false">IF(ROUND($G726,2)&gt;0,ROUND($G726,2),"")</f>
        <v/>
      </c>
      <c r="I726" s="49" t="str">
        <f aca="false">IF(ROUND($G726,2)&lt;0,-ROUND($G726,2),"")</f>
        <v/>
      </c>
      <c r="J726" s="20" t="n">
        <f aca="false">IF(ROUND($G726,2)=0,0,1)</f>
        <v>0</v>
      </c>
      <c r="K726" s="20" t="str">
        <f aca="false">IF($J726=0,"",SUM($J$722:$J726))</f>
        <v/>
      </c>
      <c r="L726" s="20" t="str">
        <f aca="false">IF($K726="","",$A726*100+$K726)</f>
        <v/>
      </c>
      <c r="M726" s="48" t="str">
        <f aca="false">参数!$B$4</f>
        <v>回款</v>
      </c>
    </row>
    <row r="727" customFormat="false" ht="13.5" hidden="false" customHeight="false" outlineLevel="0" collapsed="false">
      <c r="A727" s="47" t="n">
        <v>49</v>
      </c>
      <c r="B727" s="38" t="str">
        <f aca="false">助手回款!$B50</f>
        <v/>
      </c>
      <c r="C727" s="48" t="str">
        <f aca="false">助手回款!$C50</f>
        <v>备用4</v>
      </c>
      <c r="D727" s="48" t="str">
        <f aca="false">科目对照回款!$B7&amp;""</f>
        <v>饿了么</v>
      </c>
      <c r="E727" s="48" t="str">
        <f aca="false">科目对照回款!$C7&amp;""</f>
        <v>应收账款</v>
      </c>
      <c r="F727" s="48" t="str">
        <f aca="false">科目对照回款!$D7&amp;""</f>
        <v>饿了么</v>
      </c>
      <c r="G727" s="49" t="n">
        <f aca="false">-ROUND(IF(科目对照回款!$F$7="",0,SUMIFS(输入回款!$C:$C,输入回款!$A:$A,助手回款!$X50,输入回款!$B:$B,科目对照回款!$F$7)+SUMIFS(输入回款!$D:$D,输入回款!$A:$A,助手回款!$X50,输入回款!$B:$B,科目对照回款!$F$7))+IF(科目对照回款!$G$7="",0,SUMIFS(输入回款!$C:$C,输入回款!$A:$A,助手回款!$X50,输入回款!$B:$B,科目对照回款!$G$7)+SUMIFS(输入回款!$D:$D,输入回款!$A:$A,助手回款!$X50,输入回款!$B:$B,科目对照回款!$G$7))+IF(科目对照回款!$H$7="",0,SUMIFS(输入回款!$C:$C,输入回款!$A:$A,助手回款!$X50,输入回款!$B:$B,科目对照回款!$H$7)+SUMIFS(输入回款!$D:$D,输入回款!$A:$A,助手回款!$X50,输入回款!$B:$B,科目对照回款!$H$7)),2)</f>
        <v>-0</v>
      </c>
      <c r="H727" s="49" t="str">
        <f aca="false">IF(ROUND($G727,2)&gt;0,ROUND($G727,2),"")</f>
        <v/>
      </c>
      <c r="I727" s="49" t="str">
        <f aca="false">IF(ROUND($G727,2)&lt;0,-ROUND($G727,2),"")</f>
        <v/>
      </c>
      <c r="J727" s="20" t="n">
        <f aca="false">IF(ROUND($G727,2)=0,0,1)</f>
        <v>0</v>
      </c>
      <c r="K727" s="20" t="str">
        <f aca="false">IF($J727=0,"",SUM($J$722:$J727))</f>
        <v/>
      </c>
      <c r="L727" s="20" t="str">
        <f aca="false">IF($K727="","",$A727*100+$K727)</f>
        <v/>
      </c>
      <c r="M727" s="48" t="str">
        <f aca="false">参数!$B$4</f>
        <v>回款</v>
      </c>
    </row>
    <row r="728" customFormat="false" ht="13.5" hidden="false" customHeight="false" outlineLevel="0" collapsed="false">
      <c r="A728" s="47" t="n">
        <v>49</v>
      </c>
      <c r="B728" s="38" t="str">
        <f aca="false">助手回款!$B50</f>
        <v/>
      </c>
      <c r="C728" s="48" t="str">
        <f aca="false">助手回款!$C50</f>
        <v>备用4</v>
      </c>
      <c r="D728" s="48" t="str">
        <f aca="false">科目对照回款!$B8&amp;""</f>
        <v>24小时</v>
      </c>
      <c r="E728" s="48" t="str">
        <f aca="false">科目对照回款!$C8&amp;""</f>
        <v>应收账款</v>
      </c>
      <c r="F728" s="48" t="str">
        <f aca="false">科目对照回款!$D8&amp;""</f>
        <v>24小时</v>
      </c>
      <c r="G728" s="49" t="n">
        <f aca="false">-ROUND(IF(科目对照回款!$F$8="",0,SUMIFS(输入回款!$C:$C,输入回款!$A:$A,助手回款!$X50,输入回款!$B:$B,科目对照回款!$F$8)+SUMIFS(输入回款!$D:$D,输入回款!$A:$A,助手回款!$X50,输入回款!$B:$B,科目对照回款!$F$8))+IF(科目对照回款!$G$8="",0,SUMIFS(输入回款!$C:$C,输入回款!$A:$A,助手回款!$X50,输入回款!$B:$B,科目对照回款!$G$8)+SUMIFS(输入回款!$D:$D,输入回款!$A:$A,助手回款!$X50,输入回款!$B:$B,科目对照回款!$G$8))+IF(科目对照回款!$H$8="",0,SUMIFS(输入回款!$C:$C,输入回款!$A:$A,助手回款!$X50,输入回款!$B:$B,科目对照回款!$H$8)+SUMIFS(输入回款!$D:$D,输入回款!$A:$A,助手回款!$X50,输入回款!$B:$B,科目对照回款!$H$8)),2)</f>
        <v>-0</v>
      </c>
      <c r="H728" s="49" t="str">
        <f aca="false">IF(ROUND($G728,2)&gt;0,ROUND($G728,2),"")</f>
        <v/>
      </c>
      <c r="I728" s="49" t="str">
        <f aca="false">IF(ROUND($G728,2)&lt;0,-ROUND($G728,2),"")</f>
        <v/>
      </c>
      <c r="J728" s="20" t="n">
        <f aca="false">IF(ROUND($G728,2)=0,0,1)</f>
        <v>0</v>
      </c>
      <c r="K728" s="20" t="str">
        <f aca="false">IF($J728=0,"",SUM($J$722:$J728))</f>
        <v/>
      </c>
      <c r="L728" s="20" t="str">
        <f aca="false">IF($K728="","",$A728*100+$K728)</f>
        <v/>
      </c>
      <c r="M728" s="48" t="str">
        <f aca="false">参数!$B$4</f>
        <v>回款</v>
      </c>
    </row>
    <row r="729" customFormat="false" ht="13.5" hidden="false" customHeight="false" outlineLevel="0" collapsed="false">
      <c r="A729" s="47" t="n">
        <v>49</v>
      </c>
      <c r="B729" s="38" t="str">
        <f aca="false">助手回款!$B50</f>
        <v/>
      </c>
      <c r="C729" s="48" t="str">
        <f aca="false">助手回款!$C50</f>
        <v>备用4</v>
      </c>
      <c r="D729" s="48" t="str">
        <f aca="false">科目对照回款!$B9&amp;""</f>
        <v>健E卡</v>
      </c>
      <c r="E729" s="48" t="str">
        <f aca="false">科目对照回款!$C9&amp;""</f>
        <v>应收账款</v>
      </c>
      <c r="F729" s="48" t="str">
        <f aca="false">科目对照回款!$D9&amp;""</f>
        <v>健E卡</v>
      </c>
      <c r="G729" s="49" t="n">
        <f aca="false">-ROUND(IF(科目对照回款!$F$9="",0,SUMIFS(输入回款!$C:$C,输入回款!$A:$A,助手回款!$X50,输入回款!$B:$B,科目对照回款!$F$9)+SUMIFS(输入回款!$D:$D,输入回款!$A:$A,助手回款!$X50,输入回款!$B:$B,科目对照回款!$F$9))+IF(科目对照回款!$G$9="",0,SUMIFS(输入回款!$C:$C,输入回款!$A:$A,助手回款!$X50,输入回款!$B:$B,科目对照回款!$G$9)+SUMIFS(输入回款!$D:$D,输入回款!$A:$A,助手回款!$X50,输入回款!$B:$B,科目对照回款!$G$9))+IF(科目对照回款!$H$9="",0,SUMIFS(输入回款!$C:$C,输入回款!$A:$A,助手回款!$X50,输入回款!$B:$B,科目对照回款!$H$9)+SUMIFS(输入回款!$D:$D,输入回款!$A:$A,助手回款!$X50,输入回款!$B:$B,科目对照回款!$H$9)),2)</f>
        <v>-0</v>
      </c>
      <c r="H729" s="49" t="str">
        <f aca="false">IF(ROUND($G729,2)&gt;0,ROUND($G729,2),"")</f>
        <v/>
      </c>
      <c r="I729" s="49" t="str">
        <f aca="false">IF(ROUND($G729,2)&lt;0,-ROUND($G729,2),"")</f>
        <v/>
      </c>
      <c r="J729" s="20" t="n">
        <f aca="false">IF(ROUND($G729,2)=0,0,1)</f>
        <v>0</v>
      </c>
      <c r="K729" s="20" t="str">
        <f aca="false">IF($J729=0,"",SUM($J$722:$J729))</f>
        <v/>
      </c>
      <c r="L729" s="20" t="str">
        <f aca="false">IF($K729="","",$A729*100+$K729)</f>
        <v/>
      </c>
      <c r="M729" s="48" t="str">
        <f aca="false">参数!$B$4</f>
        <v>回款</v>
      </c>
    </row>
    <row r="730" customFormat="false" ht="13.5" hidden="false" customHeight="false" outlineLevel="0" collapsed="false">
      <c r="A730" s="47" t="n">
        <v>49</v>
      </c>
      <c r="B730" s="38" t="str">
        <f aca="false">助手回款!$B50</f>
        <v/>
      </c>
      <c r="C730" s="48" t="str">
        <f aca="false">助手回款!$C50</f>
        <v>备用4</v>
      </c>
      <c r="D730" s="48" t="str">
        <f aca="false">科目对照回款!$B10&amp;""</f>
        <v>医卡通</v>
      </c>
      <c r="E730" s="48" t="str">
        <f aca="false">科目对照回款!$C10&amp;""</f>
        <v>应收账款</v>
      </c>
      <c r="F730" s="48" t="str">
        <f aca="false">科目对照回款!$D10&amp;""</f>
        <v>医卡通</v>
      </c>
      <c r="G730" s="49" t="n">
        <f aca="false">-ROUND(IF(科目对照回款!$F$10="",0,SUMIFS(输入回款!$C:$C,输入回款!$A:$A,助手回款!$X50,输入回款!$B:$B,科目对照回款!$F$10)+SUMIFS(输入回款!$D:$D,输入回款!$A:$A,助手回款!$X50,输入回款!$B:$B,科目对照回款!$F$10))+IF(科目对照回款!$G$10="",0,SUMIFS(输入回款!$C:$C,输入回款!$A:$A,助手回款!$X50,输入回款!$B:$B,科目对照回款!$G$10)+SUMIFS(输入回款!$D:$D,输入回款!$A:$A,助手回款!$X50,输入回款!$B:$B,科目对照回款!$G$10))+IF(科目对照回款!$H$10="",0,SUMIFS(输入回款!$C:$C,输入回款!$A:$A,助手回款!$X50,输入回款!$B:$B,科目对照回款!$H$10)+SUMIFS(输入回款!$D:$D,输入回款!$A:$A,助手回款!$X50,输入回款!$B:$B,科目对照回款!$H$10)),2)</f>
        <v>-0</v>
      </c>
      <c r="H730" s="49" t="str">
        <f aca="false">IF(ROUND($G730,2)&gt;0,ROUND($G730,2),"")</f>
        <v/>
      </c>
      <c r="I730" s="49" t="str">
        <f aca="false">IF(ROUND($G730,2)&lt;0,-ROUND($G730,2),"")</f>
        <v/>
      </c>
      <c r="J730" s="20" t="n">
        <f aca="false">IF(ROUND($G730,2)=0,0,1)</f>
        <v>0</v>
      </c>
      <c r="K730" s="20" t="str">
        <f aca="false">IF($J730=0,"",SUM($J$722:$J730))</f>
        <v/>
      </c>
      <c r="L730" s="20" t="str">
        <f aca="false">IF($K730="","",$A730*100+$K730)</f>
        <v/>
      </c>
      <c r="M730" s="48" t="str">
        <f aca="false">参数!$B$4</f>
        <v>回款</v>
      </c>
    </row>
    <row r="731" customFormat="false" ht="13.5" hidden="false" customHeight="false" outlineLevel="0" collapsed="false">
      <c r="A731" s="47" t="n">
        <v>49</v>
      </c>
      <c r="B731" s="38" t="str">
        <f aca="false">助手回款!$B50</f>
        <v/>
      </c>
      <c r="C731" s="48" t="str">
        <f aca="false">助手回款!$C50</f>
        <v>备用4</v>
      </c>
      <c r="D731" s="48" t="str">
        <f aca="false">科目对照回款!$B11&amp;""</f>
        <v>企健网</v>
      </c>
      <c r="E731" s="48" t="str">
        <f aca="false">科目对照回款!$C11&amp;""</f>
        <v>应收账款</v>
      </c>
      <c r="F731" s="48" t="str">
        <f aca="false">科目对照回款!$D11&amp;""</f>
        <v>企健网</v>
      </c>
      <c r="G731" s="49" t="n">
        <f aca="false">-ROUND(IF(科目对照回款!$F$11="",0,SUMIFS(输入回款!$C:$C,输入回款!$A:$A,助手回款!$X50,输入回款!$B:$B,科目对照回款!$F$11)+SUMIFS(输入回款!$D:$D,输入回款!$A:$A,助手回款!$X50,输入回款!$B:$B,科目对照回款!$F$11))+IF(科目对照回款!$G$11="",0,SUMIFS(输入回款!$C:$C,输入回款!$A:$A,助手回款!$X50,输入回款!$B:$B,科目对照回款!$G$11)+SUMIFS(输入回款!$D:$D,输入回款!$A:$A,助手回款!$X50,输入回款!$B:$B,科目对照回款!$G$11))+IF(科目对照回款!$H$11="",0,SUMIFS(输入回款!$C:$C,输入回款!$A:$A,助手回款!$X50,输入回款!$B:$B,科目对照回款!$H$11)+SUMIFS(输入回款!$D:$D,输入回款!$A:$A,助手回款!$X50,输入回款!$B:$B,科目对照回款!$H$11)),2)</f>
        <v>-0</v>
      </c>
      <c r="H731" s="49" t="str">
        <f aca="false">IF(ROUND($G731,2)&gt;0,ROUND($G731,2),"")</f>
        <v/>
      </c>
      <c r="I731" s="49" t="str">
        <f aca="false">IF(ROUND($G731,2)&lt;0,-ROUND($G731,2),"")</f>
        <v/>
      </c>
      <c r="J731" s="20" t="n">
        <f aca="false">IF(ROUND($G731,2)=0,0,1)</f>
        <v>0</v>
      </c>
      <c r="K731" s="20" t="str">
        <f aca="false">IF($J731=0,"",SUM($J$722:$J731))</f>
        <v/>
      </c>
      <c r="L731" s="20" t="str">
        <f aca="false">IF($K731="","",$A731*100+$K731)</f>
        <v/>
      </c>
      <c r="M731" s="48" t="str">
        <f aca="false">参数!$B$4</f>
        <v>回款</v>
      </c>
    </row>
    <row r="732" customFormat="false" ht="13.5" hidden="false" customHeight="false" outlineLevel="0" collapsed="false">
      <c r="A732" s="47" t="n">
        <v>49</v>
      </c>
      <c r="B732" s="38" t="str">
        <f aca="false">助手回款!$B50</f>
        <v/>
      </c>
      <c r="C732" s="48" t="str">
        <f aca="false">助手回款!$C50</f>
        <v>备用4</v>
      </c>
      <c r="D732" s="48" t="str">
        <f aca="false">科目对照回款!$B12&amp;""</f>
        <v>亲情卡</v>
      </c>
      <c r="E732" s="48" t="str">
        <f aca="false">科目对照回款!$C12&amp;""</f>
        <v>应收账款</v>
      </c>
      <c r="F732" s="48" t="str">
        <f aca="false">科目对照回款!$D12&amp;""</f>
        <v>亲情卡</v>
      </c>
      <c r="G732" s="49" t="n">
        <f aca="false">-ROUND(IF(科目对照回款!$F$12="",0,SUMIFS(输入回款!$C:$C,输入回款!$A:$A,助手回款!$X50,输入回款!$B:$B,科目对照回款!$F$12)+SUMIFS(输入回款!$D:$D,输入回款!$A:$A,助手回款!$X50,输入回款!$B:$B,科目对照回款!$F$12))+IF(科目对照回款!$G$12="",0,SUMIFS(输入回款!$C:$C,输入回款!$A:$A,助手回款!$X50,输入回款!$B:$B,科目对照回款!$G$12)+SUMIFS(输入回款!$D:$D,输入回款!$A:$A,助手回款!$X50,输入回款!$B:$B,科目对照回款!$G$12))+IF(科目对照回款!$H$12="",0,SUMIFS(输入回款!$C:$C,输入回款!$A:$A,助手回款!$X50,输入回款!$B:$B,科目对照回款!$H$12)+SUMIFS(输入回款!$D:$D,输入回款!$A:$A,助手回款!$X50,输入回款!$B:$B,科目对照回款!$H$12)),2)</f>
        <v>-0</v>
      </c>
      <c r="H732" s="49" t="str">
        <f aca="false">IF(ROUND($G732,2)&gt;0,ROUND($G732,2),"")</f>
        <v/>
      </c>
      <c r="I732" s="49" t="str">
        <f aca="false">IF(ROUND($G732,2)&lt;0,-ROUND($G732,2),"")</f>
        <v/>
      </c>
      <c r="J732" s="20" t="n">
        <f aca="false">IF(ROUND($G732,2)=0,0,1)</f>
        <v>0</v>
      </c>
      <c r="K732" s="20" t="str">
        <f aca="false">IF($J732=0,"",SUM($J$722:$J732))</f>
        <v/>
      </c>
      <c r="L732" s="20" t="str">
        <f aca="false">IF($K732="","",$A732*100+$K732)</f>
        <v/>
      </c>
      <c r="M732" s="48" t="str">
        <f aca="false">参数!$B$4</f>
        <v>回款</v>
      </c>
    </row>
    <row r="733" customFormat="false" ht="13.5" hidden="false" customHeight="false" outlineLevel="0" collapsed="false">
      <c r="A733" s="47" t="n">
        <v>49</v>
      </c>
      <c r="B733" s="38" t="str">
        <f aca="false">助手回款!$B50</f>
        <v/>
      </c>
      <c r="C733" s="48" t="str">
        <f aca="false">助手回款!$C50</f>
        <v>备用4</v>
      </c>
      <c r="D733" s="48" t="str">
        <f aca="false">科目对照回款!$B13&amp;""</f>
        <v>银联</v>
      </c>
      <c r="E733" s="48" t="str">
        <f aca="false">科目对照回款!$C13&amp;""</f>
        <v>应收账款</v>
      </c>
      <c r="F733" s="48" t="str">
        <f aca="false">科目对照回款!$D13&amp;""</f>
        <v>银联</v>
      </c>
      <c r="G733" s="49" t="n">
        <f aca="false">-ROUND(IF(科目对照回款!$F$13="",0,SUMIFS(输入回款!$C:$C,输入回款!$A:$A,助手回款!$X50,输入回款!$B:$B,科目对照回款!$F$13)+SUMIFS(输入回款!$D:$D,输入回款!$A:$A,助手回款!$X50,输入回款!$B:$B,科目对照回款!$F$13))+IF(科目对照回款!$G$13="",0,SUMIFS(输入回款!$C:$C,输入回款!$A:$A,助手回款!$X50,输入回款!$B:$B,科目对照回款!$G$13)+SUMIFS(输入回款!$D:$D,输入回款!$A:$A,助手回款!$X50,输入回款!$B:$B,科目对照回款!$G$13))+IF(科目对照回款!$H$13="",0,SUMIFS(输入回款!$C:$C,输入回款!$A:$A,助手回款!$X50,输入回款!$B:$B,科目对照回款!$H$13)+SUMIFS(输入回款!$D:$D,输入回款!$A:$A,助手回款!$X50,输入回款!$B:$B,科目对照回款!$H$13)),2)</f>
        <v>-0</v>
      </c>
      <c r="H733" s="49" t="str">
        <f aca="false">IF(ROUND($G733,2)&gt;0,ROUND($G733,2),"")</f>
        <v/>
      </c>
      <c r="I733" s="49" t="str">
        <f aca="false">IF(ROUND($G733,2)&lt;0,-ROUND($G733,2),"")</f>
        <v/>
      </c>
      <c r="J733" s="20" t="n">
        <f aca="false">IF(ROUND($G733,2)=0,0,1)</f>
        <v>0</v>
      </c>
      <c r="K733" s="20" t="str">
        <f aca="false">IF($J733=0,"",SUM($J$722:$J733))</f>
        <v/>
      </c>
      <c r="L733" s="20" t="str">
        <f aca="false">IF($K733="","",$A733*100+$K733)</f>
        <v/>
      </c>
      <c r="M733" s="48" t="str">
        <f aca="false">参数!$B$4</f>
        <v>回款</v>
      </c>
    </row>
    <row r="734" customFormat="false" ht="13.5" hidden="false" customHeight="false" outlineLevel="0" collapsed="false">
      <c r="A734" s="47" t="n">
        <v>49</v>
      </c>
      <c r="B734" s="38" t="str">
        <f aca="false">助手回款!$B50</f>
        <v/>
      </c>
      <c r="C734" s="48" t="str">
        <f aca="false">助手回款!$C50</f>
        <v>备用4</v>
      </c>
      <c r="D734" s="48" t="str">
        <f aca="false">科目对照回款!$B14&amp;""</f>
        <v>代金券</v>
      </c>
      <c r="E734" s="48" t="str">
        <f aca="false">科目对照回款!$C14&amp;""</f>
        <v>应收账款</v>
      </c>
      <c r="F734" s="48" t="str">
        <f aca="false">科目对照回款!$D14&amp;""</f>
        <v>代金券</v>
      </c>
      <c r="G734" s="49" t="n">
        <f aca="false">-ROUND(IF(科目对照回款!$F$14="",0,SUMIFS(输入回款!$C:$C,输入回款!$A:$A,助手回款!$X50,输入回款!$B:$B,科目对照回款!$F$14)+SUMIFS(输入回款!$D:$D,输入回款!$A:$A,助手回款!$X50,输入回款!$B:$B,科目对照回款!$F$14))+IF(科目对照回款!$G$14="",0,SUMIFS(输入回款!$C:$C,输入回款!$A:$A,助手回款!$X50,输入回款!$B:$B,科目对照回款!$G$14)+SUMIFS(输入回款!$D:$D,输入回款!$A:$A,助手回款!$X50,输入回款!$B:$B,科目对照回款!$G$14))+IF(科目对照回款!$H$14="",0,SUMIFS(输入回款!$C:$C,输入回款!$A:$A,助手回款!$X50,输入回款!$B:$B,科目对照回款!$H$14)+SUMIFS(输入回款!$D:$D,输入回款!$A:$A,助手回款!$X50,输入回款!$B:$B,科目对照回款!$H$14)),2)</f>
        <v>-0</v>
      </c>
      <c r="H734" s="49" t="str">
        <f aca="false">IF(ROUND($G734,2)&gt;0,ROUND($G734,2),"")</f>
        <v/>
      </c>
      <c r="I734" s="49" t="str">
        <f aca="false">IF(ROUND($G734,2)&lt;0,-ROUND($G734,2),"")</f>
        <v/>
      </c>
      <c r="J734" s="20" t="n">
        <f aca="false">IF(ROUND($G734,2)=0,0,1)</f>
        <v>0</v>
      </c>
      <c r="K734" s="20" t="str">
        <f aca="false">IF($J734=0,"",SUM($J$722:$J734))</f>
        <v/>
      </c>
      <c r="L734" s="20" t="str">
        <f aca="false">IF($K734="","",$A734*100+$K734)</f>
        <v/>
      </c>
      <c r="M734" s="48" t="str">
        <f aca="false">参数!$B$4</f>
        <v>回款</v>
      </c>
    </row>
    <row r="735" customFormat="false" ht="13.5" hidden="false" customHeight="false" outlineLevel="0" collapsed="false">
      <c r="A735" s="47" t="n">
        <v>49</v>
      </c>
      <c r="B735" s="38" t="str">
        <f aca="false">助手回款!$B50</f>
        <v/>
      </c>
      <c r="C735" s="48" t="str">
        <f aca="false">助手回款!$C50</f>
        <v>备用4</v>
      </c>
      <c r="D735" s="48" t="str">
        <f aca="false">科目对照回款!$B15&amp;""</f>
        <v>药机微信</v>
      </c>
      <c r="E735" s="48" t="str">
        <f aca="false">科目对照回款!$C15&amp;""</f>
        <v>应收账款</v>
      </c>
      <c r="F735" s="48" t="str">
        <f aca="false">科目对照回款!$D15&amp;""</f>
        <v>药机微信</v>
      </c>
      <c r="G735" s="49" t="n">
        <f aca="false">-ROUND(IF(科目对照回款!$F$15="",0,SUMIFS(输入回款!$C:$C,输入回款!$A:$A,助手回款!$X50,输入回款!$B:$B,科目对照回款!$F$15)+SUMIFS(输入回款!$D:$D,输入回款!$A:$A,助手回款!$X50,输入回款!$B:$B,科目对照回款!$F$15))+IF(科目对照回款!$G$15="",0,SUMIFS(输入回款!$C:$C,输入回款!$A:$A,助手回款!$X50,输入回款!$B:$B,科目对照回款!$G$15)+SUMIFS(输入回款!$D:$D,输入回款!$A:$A,助手回款!$X50,输入回款!$B:$B,科目对照回款!$G$15))+IF(科目对照回款!$H$15="",0,SUMIFS(输入回款!$C:$C,输入回款!$A:$A,助手回款!$X50,输入回款!$B:$B,科目对照回款!$H$15)+SUMIFS(输入回款!$D:$D,输入回款!$A:$A,助手回款!$X50,输入回款!$B:$B,科目对照回款!$H$15)),2)</f>
        <v>-0</v>
      </c>
      <c r="H735" s="49" t="str">
        <f aca="false">IF(ROUND($G735,2)&gt;0,ROUND($G735,2),"")</f>
        <v/>
      </c>
      <c r="I735" s="49" t="str">
        <f aca="false">IF(ROUND($G735,2)&lt;0,-ROUND($G735,2),"")</f>
        <v/>
      </c>
      <c r="J735" s="20" t="n">
        <f aca="false">IF(ROUND($G735,2)=0,0,1)</f>
        <v>0</v>
      </c>
      <c r="K735" s="20" t="str">
        <f aca="false">IF($J735=0,"",SUM($J$722:$J735))</f>
        <v/>
      </c>
      <c r="L735" s="20" t="str">
        <f aca="false">IF($K735="","",$A735*100+$K735)</f>
        <v/>
      </c>
      <c r="M735" s="48" t="str">
        <f aca="false">参数!$B$4</f>
        <v>回款</v>
      </c>
    </row>
    <row r="736" customFormat="false" ht="13.5" hidden="false" customHeight="false" outlineLevel="0" collapsed="false">
      <c r="A736" s="47" t="n">
        <v>49</v>
      </c>
      <c r="B736" s="38" t="str">
        <f aca="false">助手回款!$B50</f>
        <v/>
      </c>
      <c r="C736" s="48" t="str">
        <f aca="false">助手回款!$C50</f>
        <v>备用4</v>
      </c>
      <c r="D736" s="48" t="str">
        <f aca="false">科目对照回款!$B16&amp;""</f>
        <v>储值卡</v>
      </c>
      <c r="E736" s="48" t="str">
        <f aca="false">科目对照回款!$C16&amp;""</f>
        <v>其他应收款</v>
      </c>
      <c r="F736" s="48" t="str">
        <f aca="false">科目对照回款!$D16&amp;""</f>
        <v>储值卡</v>
      </c>
      <c r="G736" s="49" t="n">
        <f aca="false">-ROUND(IF(科目对照回款!$F$16="",0,SUMIFS(输入回款!$C:$C,输入回款!$A:$A,助手回款!$X50,输入回款!$B:$B,科目对照回款!$F$16)+SUMIFS(输入回款!$D:$D,输入回款!$A:$A,助手回款!$X50,输入回款!$B:$B,科目对照回款!$F$16))+IF(科目对照回款!$G$16="",0,SUMIFS(输入回款!$C:$C,输入回款!$A:$A,助手回款!$X50,输入回款!$B:$B,科目对照回款!$G$16)+SUMIFS(输入回款!$D:$D,输入回款!$A:$A,助手回款!$X50,输入回款!$B:$B,科目对照回款!$G$16))+IF(科目对照回款!$H$16="",0,SUMIFS(输入回款!$C:$C,输入回款!$A:$A,助手回款!$X50,输入回款!$B:$B,科目对照回款!$H$16)+SUMIFS(输入回款!$D:$D,输入回款!$A:$A,助手回款!$X50,输入回款!$B:$B,科目对照回款!$H$16)),2)</f>
        <v>-0</v>
      </c>
      <c r="H736" s="49" t="str">
        <f aca="false">IF(ROUND($G736,2)&gt;0,ROUND($G736,2),"")</f>
        <v/>
      </c>
      <c r="I736" s="49" t="str">
        <f aca="false">IF(ROUND($G736,2)&lt;0,-ROUND($G736,2),"")</f>
        <v/>
      </c>
      <c r="J736" s="20" t="n">
        <f aca="false">IF(ROUND($G736,2)=0,0,1)</f>
        <v>0</v>
      </c>
      <c r="K736" s="20" t="str">
        <f aca="false">IF($J736=0,"",SUM($J$722:$J736))</f>
        <v/>
      </c>
      <c r="L736" s="20" t="str">
        <f aca="false">IF($K736="","",$A736*100+$K736)</f>
        <v/>
      </c>
      <c r="M736" s="48" t="str">
        <f aca="false">参数!$B$4</f>
        <v>回款</v>
      </c>
    </row>
    <row r="737" customFormat="false" ht="13.5" hidden="false" customHeight="false" outlineLevel="0" collapsed="false">
      <c r="A737" s="47" t="n">
        <v>50</v>
      </c>
      <c r="B737" s="38" t="str">
        <f aca="false">助手回款!$B51</f>
        <v/>
      </c>
      <c r="C737" s="48" t="str">
        <f aca="false">助手回款!$C51</f>
        <v>备用5</v>
      </c>
      <c r="D737" s="48" t="str">
        <f aca="false">科目对照回款!$B2&amp;""</f>
        <v>库存现金</v>
      </c>
      <c r="E737" s="48" t="str">
        <f aca="false">科目对照回款!$C2&amp;""</f>
        <v>库存现金</v>
      </c>
      <c r="F737" s="48" t="str">
        <f aca="false">科目对照回款!$D2&amp;""</f>
        <v/>
      </c>
      <c r="G737" s="49" t="n">
        <f aca="false">助手回款!$E51</f>
        <v>0</v>
      </c>
      <c r="H737" s="49" t="str">
        <f aca="false">IF(ROUND($G737,2)&gt;0,ROUND($G737,2),"")</f>
        <v/>
      </c>
      <c r="I737" s="49" t="str">
        <f aca="false">IF(ROUND($G737,2)&lt;0,-ROUND($G737,2),"")</f>
        <v/>
      </c>
      <c r="J737" s="20" t="n">
        <f aca="false">IF(ROUND($G737,2)=0,0,1)</f>
        <v>0</v>
      </c>
      <c r="K737" s="20" t="str">
        <f aca="false">IF($J737=0,"",SUM($J$737:$J737))</f>
        <v/>
      </c>
      <c r="L737" s="20" t="str">
        <f aca="false">IF($K737="","",$A737*100+$K737)</f>
        <v/>
      </c>
      <c r="M737" s="48" t="str">
        <f aca="false">参数!$B$4</f>
        <v>回款</v>
      </c>
    </row>
    <row r="738" customFormat="false" ht="13.5" hidden="false" customHeight="false" outlineLevel="0" collapsed="false">
      <c r="A738" s="47" t="n">
        <v>50</v>
      </c>
      <c r="B738" s="38" t="str">
        <f aca="false">助手回款!$B51</f>
        <v/>
      </c>
      <c r="C738" s="48" t="str">
        <f aca="false">助手回款!$C51</f>
        <v>备用5</v>
      </c>
      <c r="D738" s="48" t="str">
        <f aca="false">科目对照回款!$B3&amp;""</f>
        <v>手续费</v>
      </c>
      <c r="E738" s="48" t="str">
        <f aca="false">科目对照回款!$C3&amp;""</f>
        <v>财务费用</v>
      </c>
      <c r="F738" s="48" t="str">
        <f aca="false">科目对照回款!$D3&amp;""</f>
        <v>手续费</v>
      </c>
      <c r="G738" s="49" t="n">
        <f aca="false">助手回款!$F51</f>
        <v>0</v>
      </c>
      <c r="H738" s="49" t="str">
        <f aca="false">IF(ROUND($G738,2)&gt;0,ROUND($G738,2),"")</f>
        <v/>
      </c>
      <c r="I738" s="49" t="str">
        <f aca="false">IF(ROUND($G738,2)&lt;0,-ROUND($G738,2),"")</f>
        <v/>
      </c>
      <c r="J738" s="20" t="n">
        <f aca="false">IF(ROUND($G738,2)=0,0,1)</f>
        <v>0</v>
      </c>
      <c r="K738" s="20" t="str">
        <f aca="false">IF($J738=0,"",SUM($J$737:$J738))</f>
        <v/>
      </c>
      <c r="L738" s="20" t="str">
        <f aca="false">IF($K738="","",$A738*100+$K738)</f>
        <v/>
      </c>
      <c r="M738" s="48" t="str">
        <f aca="false">参数!$B$4</f>
        <v>回款</v>
      </c>
    </row>
    <row r="739" customFormat="false" ht="13.5" hidden="false" customHeight="false" outlineLevel="0" collapsed="false">
      <c r="A739" s="47" t="n">
        <v>50</v>
      </c>
      <c r="B739" s="38" t="str">
        <f aca="false">助手回款!$B51</f>
        <v/>
      </c>
      <c r="C739" s="48" t="str">
        <f aca="false">助手回款!$C51</f>
        <v>备用5</v>
      </c>
      <c r="D739" s="48" t="str">
        <f aca="false">科目对照回款!$B4&amp;""</f>
        <v>聚合支付</v>
      </c>
      <c r="E739" s="48" t="str">
        <f aca="false">科目对照回款!$C4&amp;""</f>
        <v>应收账款</v>
      </c>
      <c r="F739" s="48" t="str">
        <f aca="false">科目对照回款!$D4&amp;""</f>
        <v>聚合支付</v>
      </c>
      <c r="G739" s="49" t="n">
        <f aca="false">-ROUND(IF(科目对照回款!$F$4="",0,SUMIFS(输入回款!$C:$C,输入回款!$A:$A,助手回款!$X51,输入回款!$B:$B,科目对照回款!$F$4)+SUMIFS(输入回款!$D:$D,输入回款!$A:$A,助手回款!$X51,输入回款!$B:$B,科目对照回款!$F$4))+IF(科目对照回款!$G$4="",0,SUMIFS(输入回款!$C:$C,输入回款!$A:$A,助手回款!$X51,输入回款!$B:$B,科目对照回款!$G$4)+SUMIFS(输入回款!$D:$D,输入回款!$A:$A,助手回款!$X51,输入回款!$B:$B,科目对照回款!$G$4))+IF(科目对照回款!$H$4="",0,SUMIFS(输入回款!$C:$C,输入回款!$A:$A,助手回款!$X51,输入回款!$B:$B,科目对照回款!$H$4)+SUMIFS(输入回款!$D:$D,输入回款!$A:$A,助手回款!$X51,输入回款!$B:$B,科目对照回款!$H$4)),2)</f>
        <v>-0</v>
      </c>
      <c r="H739" s="49" t="str">
        <f aca="false">IF(ROUND($G739,2)&gt;0,ROUND($G739,2),"")</f>
        <v/>
      </c>
      <c r="I739" s="49" t="str">
        <f aca="false">IF(ROUND($G739,2)&lt;0,-ROUND($G739,2),"")</f>
        <v/>
      </c>
      <c r="J739" s="20" t="n">
        <f aca="false">IF(ROUND($G739,2)=0,0,1)</f>
        <v>0</v>
      </c>
      <c r="K739" s="20" t="str">
        <f aca="false">IF($J739=0,"",SUM($J$737:$J739))</f>
        <v/>
      </c>
      <c r="L739" s="20" t="str">
        <f aca="false">IF($K739="","",$A739*100+$K739)</f>
        <v/>
      </c>
      <c r="M739" s="48" t="str">
        <f aca="false">参数!$B$4</f>
        <v>回款</v>
      </c>
    </row>
    <row r="740" customFormat="false" ht="13.5" hidden="false" customHeight="false" outlineLevel="0" collapsed="false">
      <c r="A740" s="47" t="n">
        <v>50</v>
      </c>
      <c r="B740" s="38" t="str">
        <f aca="false">助手回款!$B51</f>
        <v/>
      </c>
      <c r="C740" s="48" t="str">
        <f aca="false">助手回款!$C51</f>
        <v>备用5</v>
      </c>
      <c r="D740" s="48" t="str">
        <f aca="false">科目对照回款!$B5&amp;""</f>
        <v>医保</v>
      </c>
      <c r="E740" s="48" t="str">
        <f aca="false">科目对照回款!$C5&amp;""</f>
        <v>应收账款</v>
      </c>
      <c r="F740" s="48" t="str">
        <f aca="false">科目对照回款!$D5&amp;""</f>
        <v>医保</v>
      </c>
      <c r="G740" s="49" t="n">
        <f aca="false">-ROUND(IF(科目对照回款!$F$5="",0,SUMIFS(输入回款!$C:$C,输入回款!$A:$A,助手回款!$X51,输入回款!$B:$B,科目对照回款!$F$5)+SUMIFS(输入回款!$D:$D,输入回款!$A:$A,助手回款!$X51,输入回款!$B:$B,科目对照回款!$F$5))+IF(科目对照回款!$G$5="",0,SUMIFS(输入回款!$C:$C,输入回款!$A:$A,助手回款!$X51,输入回款!$B:$B,科目对照回款!$G$5)+SUMIFS(输入回款!$D:$D,输入回款!$A:$A,助手回款!$X51,输入回款!$B:$B,科目对照回款!$G$5))+IF(科目对照回款!$H$5="",0,SUMIFS(输入回款!$C:$C,输入回款!$A:$A,助手回款!$X51,输入回款!$B:$B,科目对照回款!$H$5)+SUMIFS(输入回款!$D:$D,输入回款!$A:$A,助手回款!$X51,输入回款!$B:$B,科目对照回款!$H$5)),2)</f>
        <v>-0</v>
      </c>
      <c r="H740" s="49" t="str">
        <f aca="false">IF(ROUND($G740,2)&gt;0,ROUND($G740,2),"")</f>
        <v/>
      </c>
      <c r="I740" s="49" t="str">
        <f aca="false">IF(ROUND($G740,2)&lt;0,-ROUND($G740,2),"")</f>
        <v/>
      </c>
      <c r="J740" s="20" t="n">
        <f aca="false">IF(ROUND($G740,2)=0,0,1)</f>
        <v>0</v>
      </c>
      <c r="K740" s="20" t="str">
        <f aca="false">IF($J740=0,"",SUM($J$737:$J740))</f>
        <v/>
      </c>
      <c r="L740" s="20" t="str">
        <f aca="false">IF($K740="","",$A740*100+$K740)</f>
        <v/>
      </c>
      <c r="M740" s="48" t="str">
        <f aca="false">参数!$B$4</f>
        <v>回款</v>
      </c>
    </row>
    <row r="741" customFormat="false" ht="13.5" hidden="false" customHeight="false" outlineLevel="0" collapsed="false">
      <c r="A741" s="47" t="n">
        <v>50</v>
      </c>
      <c r="B741" s="38" t="str">
        <f aca="false">助手回款!$B51</f>
        <v/>
      </c>
      <c r="C741" s="48" t="str">
        <f aca="false">助手回款!$C51</f>
        <v>备用5</v>
      </c>
      <c r="D741" s="48" t="str">
        <f aca="false">科目对照回款!$B6&amp;""</f>
        <v>美团</v>
      </c>
      <c r="E741" s="48" t="str">
        <f aca="false">科目对照回款!$C6&amp;""</f>
        <v>应收账款</v>
      </c>
      <c r="F741" s="48" t="str">
        <f aca="false">科目对照回款!$D6&amp;""</f>
        <v>美团</v>
      </c>
      <c r="G741" s="49" t="n">
        <f aca="false">-ROUND(IF(科目对照回款!$F$6="",0,SUMIFS(输入回款!$C:$C,输入回款!$A:$A,助手回款!$X51,输入回款!$B:$B,科目对照回款!$F$6)+SUMIFS(输入回款!$D:$D,输入回款!$A:$A,助手回款!$X51,输入回款!$B:$B,科目对照回款!$F$6))+IF(科目对照回款!$G$6="",0,SUMIFS(输入回款!$C:$C,输入回款!$A:$A,助手回款!$X51,输入回款!$B:$B,科目对照回款!$G$6)+SUMIFS(输入回款!$D:$D,输入回款!$A:$A,助手回款!$X51,输入回款!$B:$B,科目对照回款!$G$6))+IF(科目对照回款!$H$6="",0,SUMIFS(输入回款!$C:$C,输入回款!$A:$A,助手回款!$X51,输入回款!$B:$B,科目对照回款!$H$6)+SUMIFS(输入回款!$D:$D,输入回款!$A:$A,助手回款!$X51,输入回款!$B:$B,科目对照回款!$H$6)),2)</f>
        <v>-0</v>
      </c>
      <c r="H741" s="49" t="str">
        <f aca="false">IF(ROUND($G741,2)&gt;0,ROUND($G741,2),"")</f>
        <v/>
      </c>
      <c r="I741" s="49" t="str">
        <f aca="false">IF(ROUND($G741,2)&lt;0,-ROUND($G741,2),"")</f>
        <v/>
      </c>
      <c r="J741" s="20" t="n">
        <f aca="false">IF(ROUND($G741,2)=0,0,1)</f>
        <v>0</v>
      </c>
      <c r="K741" s="20" t="str">
        <f aca="false">IF($J741=0,"",SUM($J$737:$J741))</f>
        <v/>
      </c>
      <c r="L741" s="20" t="str">
        <f aca="false">IF($K741="","",$A741*100+$K741)</f>
        <v/>
      </c>
      <c r="M741" s="48" t="str">
        <f aca="false">参数!$B$4</f>
        <v>回款</v>
      </c>
    </row>
    <row r="742" customFormat="false" ht="13.5" hidden="false" customHeight="false" outlineLevel="0" collapsed="false">
      <c r="A742" s="47" t="n">
        <v>50</v>
      </c>
      <c r="B742" s="38" t="str">
        <f aca="false">助手回款!$B51</f>
        <v/>
      </c>
      <c r="C742" s="48" t="str">
        <f aca="false">助手回款!$C51</f>
        <v>备用5</v>
      </c>
      <c r="D742" s="48" t="str">
        <f aca="false">科目对照回款!$B7&amp;""</f>
        <v>饿了么</v>
      </c>
      <c r="E742" s="48" t="str">
        <f aca="false">科目对照回款!$C7&amp;""</f>
        <v>应收账款</v>
      </c>
      <c r="F742" s="48" t="str">
        <f aca="false">科目对照回款!$D7&amp;""</f>
        <v>饿了么</v>
      </c>
      <c r="G742" s="49" t="n">
        <f aca="false">-ROUND(IF(科目对照回款!$F$7="",0,SUMIFS(输入回款!$C:$C,输入回款!$A:$A,助手回款!$X51,输入回款!$B:$B,科目对照回款!$F$7)+SUMIFS(输入回款!$D:$D,输入回款!$A:$A,助手回款!$X51,输入回款!$B:$B,科目对照回款!$F$7))+IF(科目对照回款!$G$7="",0,SUMIFS(输入回款!$C:$C,输入回款!$A:$A,助手回款!$X51,输入回款!$B:$B,科目对照回款!$G$7)+SUMIFS(输入回款!$D:$D,输入回款!$A:$A,助手回款!$X51,输入回款!$B:$B,科目对照回款!$G$7))+IF(科目对照回款!$H$7="",0,SUMIFS(输入回款!$C:$C,输入回款!$A:$A,助手回款!$X51,输入回款!$B:$B,科目对照回款!$H$7)+SUMIFS(输入回款!$D:$D,输入回款!$A:$A,助手回款!$X51,输入回款!$B:$B,科目对照回款!$H$7)),2)</f>
        <v>-0</v>
      </c>
      <c r="H742" s="49" t="str">
        <f aca="false">IF(ROUND($G742,2)&gt;0,ROUND($G742,2),"")</f>
        <v/>
      </c>
      <c r="I742" s="49" t="str">
        <f aca="false">IF(ROUND($G742,2)&lt;0,-ROUND($G742,2),"")</f>
        <v/>
      </c>
      <c r="J742" s="20" t="n">
        <f aca="false">IF(ROUND($G742,2)=0,0,1)</f>
        <v>0</v>
      </c>
      <c r="K742" s="20" t="str">
        <f aca="false">IF($J742=0,"",SUM($J$737:$J742))</f>
        <v/>
      </c>
      <c r="L742" s="20" t="str">
        <f aca="false">IF($K742="","",$A742*100+$K742)</f>
        <v/>
      </c>
      <c r="M742" s="48" t="str">
        <f aca="false">参数!$B$4</f>
        <v>回款</v>
      </c>
    </row>
    <row r="743" customFormat="false" ht="13.5" hidden="false" customHeight="false" outlineLevel="0" collapsed="false">
      <c r="A743" s="47" t="n">
        <v>50</v>
      </c>
      <c r="B743" s="38" t="str">
        <f aca="false">助手回款!$B51</f>
        <v/>
      </c>
      <c r="C743" s="48" t="str">
        <f aca="false">助手回款!$C51</f>
        <v>备用5</v>
      </c>
      <c r="D743" s="48" t="str">
        <f aca="false">科目对照回款!$B8&amp;""</f>
        <v>24小时</v>
      </c>
      <c r="E743" s="48" t="str">
        <f aca="false">科目对照回款!$C8&amp;""</f>
        <v>应收账款</v>
      </c>
      <c r="F743" s="48" t="str">
        <f aca="false">科目对照回款!$D8&amp;""</f>
        <v>24小时</v>
      </c>
      <c r="G743" s="49" t="n">
        <f aca="false">-ROUND(IF(科目对照回款!$F$8="",0,SUMIFS(输入回款!$C:$C,输入回款!$A:$A,助手回款!$X51,输入回款!$B:$B,科目对照回款!$F$8)+SUMIFS(输入回款!$D:$D,输入回款!$A:$A,助手回款!$X51,输入回款!$B:$B,科目对照回款!$F$8))+IF(科目对照回款!$G$8="",0,SUMIFS(输入回款!$C:$C,输入回款!$A:$A,助手回款!$X51,输入回款!$B:$B,科目对照回款!$G$8)+SUMIFS(输入回款!$D:$D,输入回款!$A:$A,助手回款!$X51,输入回款!$B:$B,科目对照回款!$G$8))+IF(科目对照回款!$H$8="",0,SUMIFS(输入回款!$C:$C,输入回款!$A:$A,助手回款!$X51,输入回款!$B:$B,科目对照回款!$H$8)+SUMIFS(输入回款!$D:$D,输入回款!$A:$A,助手回款!$X51,输入回款!$B:$B,科目对照回款!$H$8)),2)</f>
        <v>-0</v>
      </c>
      <c r="H743" s="49" t="str">
        <f aca="false">IF(ROUND($G743,2)&gt;0,ROUND($G743,2),"")</f>
        <v/>
      </c>
      <c r="I743" s="49" t="str">
        <f aca="false">IF(ROUND($G743,2)&lt;0,-ROUND($G743,2),"")</f>
        <v/>
      </c>
      <c r="J743" s="20" t="n">
        <f aca="false">IF(ROUND($G743,2)=0,0,1)</f>
        <v>0</v>
      </c>
      <c r="K743" s="20" t="str">
        <f aca="false">IF($J743=0,"",SUM($J$737:$J743))</f>
        <v/>
      </c>
      <c r="L743" s="20" t="str">
        <f aca="false">IF($K743="","",$A743*100+$K743)</f>
        <v/>
      </c>
      <c r="M743" s="48" t="str">
        <f aca="false">参数!$B$4</f>
        <v>回款</v>
      </c>
    </row>
    <row r="744" customFormat="false" ht="13.5" hidden="false" customHeight="false" outlineLevel="0" collapsed="false">
      <c r="A744" s="47" t="n">
        <v>50</v>
      </c>
      <c r="B744" s="38" t="str">
        <f aca="false">助手回款!$B51</f>
        <v/>
      </c>
      <c r="C744" s="48" t="str">
        <f aca="false">助手回款!$C51</f>
        <v>备用5</v>
      </c>
      <c r="D744" s="48" t="str">
        <f aca="false">科目对照回款!$B9&amp;""</f>
        <v>健E卡</v>
      </c>
      <c r="E744" s="48" t="str">
        <f aca="false">科目对照回款!$C9&amp;""</f>
        <v>应收账款</v>
      </c>
      <c r="F744" s="48" t="str">
        <f aca="false">科目对照回款!$D9&amp;""</f>
        <v>健E卡</v>
      </c>
      <c r="G744" s="49" t="n">
        <f aca="false">-ROUND(IF(科目对照回款!$F$9="",0,SUMIFS(输入回款!$C:$C,输入回款!$A:$A,助手回款!$X51,输入回款!$B:$B,科目对照回款!$F$9)+SUMIFS(输入回款!$D:$D,输入回款!$A:$A,助手回款!$X51,输入回款!$B:$B,科目对照回款!$F$9))+IF(科目对照回款!$G$9="",0,SUMIFS(输入回款!$C:$C,输入回款!$A:$A,助手回款!$X51,输入回款!$B:$B,科目对照回款!$G$9)+SUMIFS(输入回款!$D:$D,输入回款!$A:$A,助手回款!$X51,输入回款!$B:$B,科目对照回款!$G$9))+IF(科目对照回款!$H$9="",0,SUMIFS(输入回款!$C:$C,输入回款!$A:$A,助手回款!$X51,输入回款!$B:$B,科目对照回款!$H$9)+SUMIFS(输入回款!$D:$D,输入回款!$A:$A,助手回款!$X51,输入回款!$B:$B,科目对照回款!$H$9)),2)</f>
        <v>-0</v>
      </c>
      <c r="H744" s="49" t="str">
        <f aca="false">IF(ROUND($G744,2)&gt;0,ROUND($G744,2),"")</f>
        <v/>
      </c>
      <c r="I744" s="49" t="str">
        <f aca="false">IF(ROUND($G744,2)&lt;0,-ROUND($G744,2),"")</f>
        <v/>
      </c>
      <c r="J744" s="20" t="n">
        <f aca="false">IF(ROUND($G744,2)=0,0,1)</f>
        <v>0</v>
      </c>
      <c r="K744" s="20" t="str">
        <f aca="false">IF($J744=0,"",SUM($J$737:$J744))</f>
        <v/>
      </c>
      <c r="L744" s="20" t="str">
        <f aca="false">IF($K744="","",$A744*100+$K744)</f>
        <v/>
      </c>
      <c r="M744" s="48" t="str">
        <f aca="false">参数!$B$4</f>
        <v>回款</v>
      </c>
    </row>
    <row r="745" customFormat="false" ht="13.5" hidden="false" customHeight="false" outlineLevel="0" collapsed="false">
      <c r="A745" s="47" t="n">
        <v>50</v>
      </c>
      <c r="B745" s="38" t="str">
        <f aca="false">助手回款!$B51</f>
        <v/>
      </c>
      <c r="C745" s="48" t="str">
        <f aca="false">助手回款!$C51</f>
        <v>备用5</v>
      </c>
      <c r="D745" s="48" t="str">
        <f aca="false">科目对照回款!$B10&amp;""</f>
        <v>医卡通</v>
      </c>
      <c r="E745" s="48" t="str">
        <f aca="false">科目对照回款!$C10&amp;""</f>
        <v>应收账款</v>
      </c>
      <c r="F745" s="48" t="str">
        <f aca="false">科目对照回款!$D10&amp;""</f>
        <v>医卡通</v>
      </c>
      <c r="G745" s="49" t="n">
        <f aca="false">-ROUND(IF(科目对照回款!$F$10="",0,SUMIFS(输入回款!$C:$C,输入回款!$A:$A,助手回款!$X51,输入回款!$B:$B,科目对照回款!$F$10)+SUMIFS(输入回款!$D:$D,输入回款!$A:$A,助手回款!$X51,输入回款!$B:$B,科目对照回款!$F$10))+IF(科目对照回款!$G$10="",0,SUMIFS(输入回款!$C:$C,输入回款!$A:$A,助手回款!$X51,输入回款!$B:$B,科目对照回款!$G$10)+SUMIFS(输入回款!$D:$D,输入回款!$A:$A,助手回款!$X51,输入回款!$B:$B,科目对照回款!$G$10))+IF(科目对照回款!$H$10="",0,SUMIFS(输入回款!$C:$C,输入回款!$A:$A,助手回款!$X51,输入回款!$B:$B,科目对照回款!$H$10)+SUMIFS(输入回款!$D:$D,输入回款!$A:$A,助手回款!$X51,输入回款!$B:$B,科目对照回款!$H$10)),2)</f>
        <v>-0</v>
      </c>
      <c r="H745" s="49" t="str">
        <f aca="false">IF(ROUND($G745,2)&gt;0,ROUND($G745,2),"")</f>
        <v/>
      </c>
      <c r="I745" s="49" t="str">
        <f aca="false">IF(ROUND($G745,2)&lt;0,-ROUND($G745,2),"")</f>
        <v/>
      </c>
      <c r="J745" s="20" t="n">
        <f aca="false">IF(ROUND($G745,2)=0,0,1)</f>
        <v>0</v>
      </c>
      <c r="K745" s="20" t="str">
        <f aca="false">IF($J745=0,"",SUM($J$737:$J745))</f>
        <v/>
      </c>
      <c r="L745" s="20" t="str">
        <f aca="false">IF($K745="","",$A745*100+$K745)</f>
        <v/>
      </c>
      <c r="M745" s="48" t="str">
        <f aca="false">参数!$B$4</f>
        <v>回款</v>
      </c>
    </row>
    <row r="746" customFormat="false" ht="13.5" hidden="false" customHeight="false" outlineLevel="0" collapsed="false">
      <c r="A746" s="47" t="n">
        <v>50</v>
      </c>
      <c r="B746" s="38" t="str">
        <f aca="false">助手回款!$B51</f>
        <v/>
      </c>
      <c r="C746" s="48" t="str">
        <f aca="false">助手回款!$C51</f>
        <v>备用5</v>
      </c>
      <c r="D746" s="48" t="str">
        <f aca="false">科目对照回款!$B11&amp;""</f>
        <v>企健网</v>
      </c>
      <c r="E746" s="48" t="str">
        <f aca="false">科目对照回款!$C11&amp;""</f>
        <v>应收账款</v>
      </c>
      <c r="F746" s="48" t="str">
        <f aca="false">科目对照回款!$D11&amp;""</f>
        <v>企健网</v>
      </c>
      <c r="G746" s="49" t="n">
        <f aca="false">-ROUND(IF(科目对照回款!$F$11="",0,SUMIFS(输入回款!$C:$C,输入回款!$A:$A,助手回款!$X51,输入回款!$B:$B,科目对照回款!$F$11)+SUMIFS(输入回款!$D:$D,输入回款!$A:$A,助手回款!$X51,输入回款!$B:$B,科目对照回款!$F$11))+IF(科目对照回款!$G$11="",0,SUMIFS(输入回款!$C:$C,输入回款!$A:$A,助手回款!$X51,输入回款!$B:$B,科目对照回款!$G$11)+SUMIFS(输入回款!$D:$D,输入回款!$A:$A,助手回款!$X51,输入回款!$B:$B,科目对照回款!$G$11))+IF(科目对照回款!$H$11="",0,SUMIFS(输入回款!$C:$C,输入回款!$A:$A,助手回款!$X51,输入回款!$B:$B,科目对照回款!$H$11)+SUMIFS(输入回款!$D:$D,输入回款!$A:$A,助手回款!$X51,输入回款!$B:$B,科目对照回款!$H$11)),2)</f>
        <v>-0</v>
      </c>
      <c r="H746" s="49" t="str">
        <f aca="false">IF(ROUND($G746,2)&gt;0,ROUND($G746,2),"")</f>
        <v/>
      </c>
      <c r="I746" s="49" t="str">
        <f aca="false">IF(ROUND($G746,2)&lt;0,-ROUND($G746,2),"")</f>
        <v/>
      </c>
      <c r="J746" s="20" t="n">
        <f aca="false">IF(ROUND($G746,2)=0,0,1)</f>
        <v>0</v>
      </c>
      <c r="K746" s="20" t="str">
        <f aca="false">IF($J746=0,"",SUM($J$737:$J746))</f>
        <v/>
      </c>
      <c r="L746" s="20" t="str">
        <f aca="false">IF($K746="","",$A746*100+$K746)</f>
        <v/>
      </c>
      <c r="M746" s="48" t="str">
        <f aca="false">参数!$B$4</f>
        <v>回款</v>
      </c>
    </row>
    <row r="747" customFormat="false" ht="13.5" hidden="false" customHeight="false" outlineLevel="0" collapsed="false">
      <c r="A747" s="47" t="n">
        <v>50</v>
      </c>
      <c r="B747" s="38" t="str">
        <f aca="false">助手回款!$B51</f>
        <v/>
      </c>
      <c r="C747" s="48" t="str">
        <f aca="false">助手回款!$C51</f>
        <v>备用5</v>
      </c>
      <c r="D747" s="48" t="str">
        <f aca="false">科目对照回款!$B12&amp;""</f>
        <v>亲情卡</v>
      </c>
      <c r="E747" s="48" t="str">
        <f aca="false">科目对照回款!$C12&amp;""</f>
        <v>应收账款</v>
      </c>
      <c r="F747" s="48" t="str">
        <f aca="false">科目对照回款!$D12&amp;""</f>
        <v>亲情卡</v>
      </c>
      <c r="G747" s="49" t="n">
        <f aca="false">-ROUND(IF(科目对照回款!$F$12="",0,SUMIFS(输入回款!$C:$C,输入回款!$A:$A,助手回款!$X51,输入回款!$B:$B,科目对照回款!$F$12)+SUMIFS(输入回款!$D:$D,输入回款!$A:$A,助手回款!$X51,输入回款!$B:$B,科目对照回款!$F$12))+IF(科目对照回款!$G$12="",0,SUMIFS(输入回款!$C:$C,输入回款!$A:$A,助手回款!$X51,输入回款!$B:$B,科目对照回款!$G$12)+SUMIFS(输入回款!$D:$D,输入回款!$A:$A,助手回款!$X51,输入回款!$B:$B,科目对照回款!$G$12))+IF(科目对照回款!$H$12="",0,SUMIFS(输入回款!$C:$C,输入回款!$A:$A,助手回款!$X51,输入回款!$B:$B,科目对照回款!$H$12)+SUMIFS(输入回款!$D:$D,输入回款!$A:$A,助手回款!$X51,输入回款!$B:$B,科目对照回款!$H$12)),2)</f>
        <v>-0</v>
      </c>
      <c r="H747" s="49" t="str">
        <f aca="false">IF(ROUND($G747,2)&gt;0,ROUND($G747,2),"")</f>
        <v/>
      </c>
      <c r="I747" s="49" t="str">
        <f aca="false">IF(ROUND($G747,2)&lt;0,-ROUND($G747,2),"")</f>
        <v/>
      </c>
      <c r="J747" s="20" t="n">
        <f aca="false">IF(ROUND($G747,2)=0,0,1)</f>
        <v>0</v>
      </c>
      <c r="K747" s="20" t="str">
        <f aca="false">IF($J747=0,"",SUM($J$737:$J747))</f>
        <v/>
      </c>
      <c r="L747" s="20" t="str">
        <f aca="false">IF($K747="","",$A747*100+$K747)</f>
        <v/>
      </c>
      <c r="M747" s="48" t="str">
        <f aca="false">参数!$B$4</f>
        <v>回款</v>
      </c>
    </row>
    <row r="748" customFormat="false" ht="13.5" hidden="false" customHeight="false" outlineLevel="0" collapsed="false">
      <c r="A748" s="47" t="n">
        <v>50</v>
      </c>
      <c r="B748" s="38" t="str">
        <f aca="false">助手回款!$B51</f>
        <v/>
      </c>
      <c r="C748" s="48" t="str">
        <f aca="false">助手回款!$C51</f>
        <v>备用5</v>
      </c>
      <c r="D748" s="48" t="str">
        <f aca="false">科目对照回款!$B13&amp;""</f>
        <v>银联</v>
      </c>
      <c r="E748" s="48" t="str">
        <f aca="false">科目对照回款!$C13&amp;""</f>
        <v>应收账款</v>
      </c>
      <c r="F748" s="48" t="str">
        <f aca="false">科目对照回款!$D13&amp;""</f>
        <v>银联</v>
      </c>
      <c r="G748" s="49" t="n">
        <f aca="false">-ROUND(IF(科目对照回款!$F$13="",0,SUMIFS(输入回款!$C:$C,输入回款!$A:$A,助手回款!$X51,输入回款!$B:$B,科目对照回款!$F$13)+SUMIFS(输入回款!$D:$D,输入回款!$A:$A,助手回款!$X51,输入回款!$B:$B,科目对照回款!$F$13))+IF(科目对照回款!$G$13="",0,SUMIFS(输入回款!$C:$C,输入回款!$A:$A,助手回款!$X51,输入回款!$B:$B,科目对照回款!$G$13)+SUMIFS(输入回款!$D:$D,输入回款!$A:$A,助手回款!$X51,输入回款!$B:$B,科目对照回款!$G$13))+IF(科目对照回款!$H$13="",0,SUMIFS(输入回款!$C:$C,输入回款!$A:$A,助手回款!$X51,输入回款!$B:$B,科目对照回款!$H$13)+SUMIFS(输入回款!$D:$D,输入回款!$A:$A,助手回款!$X51,输入回款!$B:$B,科目对照回款!$H$13)),2)</f>
        <v>-0</v>
      </c>
      <c r="H748" s="49" t="str">
        <f aca="false">IF(ROUND($G748,2)&gt;0,ROUND($G748,2),"")</f>
        <v/>
      </c>
      <c r="I748" s="49" t="str">
        <f aca="false">IF(ROUND($G748,2)&lt;0,-ROUND($G748,2),"")</f>
        <v/>
      </c>
      <c r="J748" s="20" t="n">
        <f aca="false">IF(ROUND($G748,2)=0,0,1)</f>
        <v>0</v>
      </c>
      <c r="K748" s="20" t="str">
        <f aca="false">IF($J748=0,"",SUM($J$737:$J748))</f>
        <v/>
      </c>
      <c r="L748" s="20" t="str">
        <f aca="false">IF($K748="","",$A748*100+$K748)</f>
        <v/>
      </c>
      <c r="M748" s="48" t="str">
        <f aca="false">参数!$B$4</f>
        <v>回款</v>
      </c>
    </row>
    <row r="749" customFormat="false" ht="13.5" hidden="false" customHeight="false" outlineLevel="0" collapsed="false">
      <c r="A749" s="47" t="n">
        <v>50</v>
      </c>
      <c r="B749" s="38" t="str">
        <f aca="false">助手回款!$B51</f>
        <v/>
      </c>
      <c r="C749" s="48" t="str">
        <f aca="false">助手回款!$C51</f>
        <v>备用5</v>
      </c>
      <c r="D749" s="48" t="str">
        <f aca="false">科目对照回款!$B14&amp;""</f>
        <v>代金券</v>
      </c>
      <c r="E749" s="48" t="str">
        <f aca="false">科目对照回款!$C14&amp;""</f>
        <v>应收账款</v>
      </c>
      <c r="F749" s="48" t="str">
        <f aca="false">科目对照回款!$D14&amp;""</f>
        <v>代金券</v>
      </c>
      <c r="G749" s="49" t="n">
        <f aca="false">-ROUND(IF(科目对照回款!$F$14="",0,SUMIFS(输入回款!$C:$C,输入回款!$A:$A,助手回款!$X51,输入回款!$B:$B,科目对照回款!$F$14)+SUMIFS(输入回款!$D:$D,输入回款!$A:$A,助手回款!$X51,输入回款!$B:$B,科目对照回款!$F$14))+IF(科目对照回款!$G$14="",0,SUMIFS(输入回款!$C:$C,输入回款!$A:$A,助手回款!$X51,输入回款!$B:$B,科目对照回款!$G$14)+SUMIFS(输入回款!$D:$D,输入回款!$A:$A,助手回款!$X51,输入回款!$B:$B,科目对照回款!$G$14))+IF(科目对照回款!$H$14="",0,SUMIFS(输入回款!$C:$C,输入回款!$A:$A,助手回款!$X51,输入回款!$B:$B,科目对照回款!$H$14)+SUMIFS(输入回款!$D:$D,输入回款!$A:$A,助手回款!$X51,输入回款!$B:$B,科目对照回款!$H$14)),2)</f>
        <v>-0</v>
      </c>
      <c r="H749" s="49" t="str">
        <f aca="false">IF(ROUND($G749,2)&gt;0,ROUND($G749,2),"")</f>
        <v/>
      </c>
      <c r="I749" s="49" t="str">
        <f aca="false">IF(ROUND($G749,2)&lt;0,-ROUND($G749,2),"")</f>
        <v/>
      </c>
      <c r="J749" s="20" t="n">
        <f aca="false">IF(ROUND($G749,2)=0,0,1)</f>
        <v>0</v>
      </c>
      <c r="K749" s="20" t="str">
        <f aca="false">IF($J749=0,"",SUM($J$737:$J749))</f>
        <v/>
      </c>
      <c r="L749" s="20" t="str">
        <f aca="false">IF($K749="","",$A749*100+$K749)</f>
        <v/>
      </c>
      <c r="M749" s="48" t="str">
        <f aca="false">参数!$B$4</f>
        <v>回款</v>
      </c>
    </row>
    <row r="750" customFormat="false" ht="13.5" hidden="false" customHeight="false" outlineLevel="0" collapsed="false">
      <c r="A750" s="47" t="n">
        <v>50</v>
      </c>
      <c r="B750" s="38" t="str">
        <f aca="false">助手回款!$B51</f>
        <v/>
      </c>
      <c r="C750" s="48" t="str">
        <f aca="false">助手回款!$C51</f>
        <v>备用5</v>
      </c>
      <c r="D750" s="48" t="str">
        <f aca="false">科目对照回款!$B15&amp;""</f>
        <v>药机微信</v>
      </c>
      <c r="E750" s="48" t="str">
        <f aca="false">科目对照回款!$C15&amp;""</f>
        <v>应收账款</v>
      </c>
      <c r="F750" s="48" t="str">
        <f aca="false">科目对照回款!$D15&amp;""</f>
        <v>药机微信</v>
      </c>
      <c r="G750" s="49" t="n">
        <f aca="false">-ROUND(IF(科目对照回款!$F$15="",0,SUMIFS(输入回款!$C:$C,输入回款!$A:$A,助手回款!$X51,输入回款!$B:$B,科目对照回款!$F$15)+SUMIFS(输入回款!$D:$D,输入回款!$A:$A,助手回款!$X51,输入回款!$B:$B,科目对照回款!$F$15))+IF(科目对照回款!$G$15="",0,SUMIFS(输入回款!$C:$C,输入回款!$A:$A,助手回款!$X51,输入回款!$B:$B,科目对照回款!$G$15)+SUMIFS(输入回款!$D:$D,输入回款!$A:$A,助手回款!$X51,输入回款!$B:$B,科目对照回款!$G$15))+IF(科目对照回款!$H$15="",0,SUMIFS(输入回款!$C:$C,输入回款!$A:$A,助手回款!$X51,输入回款!$B:$B,科目对照回款!$H$15)+SUMIFS(输入回款!$D:$D,输入回款!$A:$A,助手回款!$X51,输入回款!$B:$B,科目对照回款!$H$15)),2)</f>
        <v>-0</v>
      </c>
      <c r="H750" s="49" t="str">
        <f aca="false">IF(ROUND($G750,2)&gt;0,ROUND($G750,2),"")</f>
        <v/>
      </c>
      <c r="I750" s="49" t="str">
        <f aca="false">IF(ROUND($G750,2)&lt;0,-ROUND($G750,2),"")</f>
        <v/>
      </c>
      <c r="J750" s="20" t="n">
        <f aca="false">IF(ROUND($G750,2)=0,0,1)</f>
        <v>0</v>
      </c>
      <c r="K750" s="20" t="str">
        <f aca="false">IF($J750=0,"",SUM($J$737:$J750))</f>
        <v/>
      </c>
      <c r="L750" s="20" t="str">
        <f aca="false">IF($K750="","",$A750*100+$K750)</f>
        <v/>
      </c>
      <c r="M750" s="48" t="str">
        <f aca="false">参数!$B$4</f>
        <v>回款</v>
      </c>
    </row>
    <row r="751" customFormat="false" ht="13.5" hidden="false" customHeight="false" outlineLevel="0" collapsed="false">
      <c r="A751" s="47" t="n">
        <v>50</v>
      </c>
      <c r="B751" s="38" t="str">
        <f aca="false">助手回款!$B51</f>
        <v/>
      </c>
      <c r="C751" s="48" t="str">
        <f aca="false">助手回款!$C51</f>
        <v>备用5</v>
      </c>
      <c r="D751" s="48" t="str">
        <f aca="false">科目对照回款!$B16&amp;""</f>
        <v>储值卡</v>
      </c>
      <c r="E751" s="48" t="str">
        <f aca="false">科目对照回款!$C16&amp;""</f>
        <v>其他应收款</v>
      </c>
      <c r="F751" s="48" t="str">
        <f aca="false">科目对照回款!$D16&amp;""</f>
        <v>储值卡</v>
      </c>
      <c r="G751" s="49" t="n">
        <f aca="false">-ROUND(IF(科目对照回款!$F$16="",0,SUMIFS(输入回款!$C:$C,输入回款!$A:$A,助手回款!$X51,输入回款!$B:$B,科目对照回款!$F$16)+SUMIFS(输入回款!$D:$D,输入回款!$A:$A,助手回款!$X51,输入回款!$B:$B,科目对照回款!$F$16))+IF(科目对照回款!$G$16="",0,SUMIFS(输入回款!$C:$C,输入回款!$A:$A,助手回款!$X51,输入回款!$B:$B,科目对照回款!$G$16)+SUMIFS(输入回款!$D:$D,输入回款!$A:$A,助手回款!$X51,输入回款!$B:$B,科目对照回款!$G$16))+IF(科目对照回款!$H$16="",0,SUMIFS(输入回款!$C:$C,输入回款!$A:$A,助手回款!$X51,输入回款!$B:$B,科目对照回款!$H$16)+SUMIFS(输入回款!$D:$D,输入回款!$A:$A,助手回款!$X51,输入回款!$B:$B,科目对照回款!$H$16)),2)</f>
        <v>-0</v>
      </c>
      <c r="H751" s="49" t="str">
        <f aca="false">IF(ROUND($G751,2)&gt;0,ROUND($G751,2),"")</f>
        <v/>
      </c>
      <c r="I751" s="49" t="str">
        <f aca="false">IF(ROUND($G751,2)&lt;0,-ROUND($G751,2),"")</f>
        <v/>
      </c>
      <c r="J751" s="20" t="n">
        <f aca="false">IF(ROUND($G751,2)=0,0,1)</f>
        <v>0</v>
      </c>
      <c r="K751" s="20" t="str">
        <f aca="false">IF($J751=0,"",SUM($J$737:$J751))</f>
        <v/>
      </c>
      <c r="L751" s="20" t="str">
        <f aca="false">IF($K751="","",$A751*100+$K751)</f>
        <v/>
      </c>
      <c r="M751" s="48" t="str">
        <f aca="false">参数!$B$4</f>
        <v>回款</v>
      </c>
    </row>
    <row r="752" customFormat="false" ht="13.5" hidden="false" customHeight="false" outlineLevel="0" collapsed="false">
      <c r="A752" s="47" t="n">
        <v>51</v>
      </c>
      <c r="B752" s="38" t="str">
        <f aca="false">助手回款!$B52</f>
        <v/>
      </c>
      <c r="C752" s="48" t="str">
        <f aca="false">助手回款!$C52</f>
        <v>备用6</v>
      </c>
      <c r="D752" s="48" t="str">
        <f aca="false">科目对照回款!$B2&amp;""</f>
        <v>库存现金</v>
      </c>
      <c r="E752" s="48" t="str">
        <f aca="false">科目对照回款!$C2&amp;""</f>
        <v>库存现金</v>
      </c>
      <c r="F752" s="48" t="str">
        <f aca="false">科目对照回款!$D2&amp;""</f>
        <v/>
      </c>
      <c r="G752" s="49" t="n">
        <f aca="false">助手回款!$E52</f>
        <v>0</v>
      </c>
      <c r="H752" s="49" t="str">
        <f aca="false">IF(ROUND($G752,2)&gt;0,ROUND($G752,2),"")</f>
        <v/>
      </c>
      <c r="I752" s="49" t="str">
        <f aca="false">IF(ROUND($G752,2)&lt;0,-ROUND($G752,2),"")</f>
        <v/>
      </c>
      <c r="J752" s="20" t="n">
        <f aca="false">IF(ROUND($G752,2)=0,0,1)</f>
        <v>0</v>
      </c>
      <c r="K752" s="20" t="str">
        <f aca="false">IF($J752=0,"",SUM($J$752:$J752))</f>
        <v/>
      </c>
      <c r="L752" s="20" t="str">
        <f aca="false">IF($K752="","",$A752*100+$K752)</f>
        <v/>
      </c>
      <c r="M752" s="48" t="str">
        <f aca="false">参数!$B$4</f>
        <v>回款</v>
      </c>
    </row>
    <row r="753" customFormat="false" ht="13.5" hidden="false" customHeight="false" outlineLevel="0" collapsed="false">
      <c r="A753" s="47" t="n">
        <v>51</v>
      </c>
      <c r="B753" s="38" t="str">
        <f aca="false">助手回款!$B52</f>
        <v/>
      </c>
      <c r="C753" s="48" t="str">
        <f aca="false">助手回款!$C52</f>
        <v>备用6</v>
      </c>
      <c r="D753" s="48" t="str">
        <f aca="false">科目对照回款!$B3&amp;""</f>
        <v>手续费</v>
      </c>
      <c r="E753" s="48" t="str">
        <f aca="false">科目对照回款!$C3&amp;""</f>
        <v>财务费用</v>
      </c>
      <c r="F753" s="48" t="str">
        <f aca="false">科目对照回款!$D3&amp;""</f>
        <v>手续费</v>
      </c>
      <c r="G753" s="49" t="n">
        <f aca="false">助手回款!$F52</f>
        <v>0</v>
      </c>
      <c r="H753" s="49" t="str">
        <f aca="false">IF(ROUND($G753,2)&gt;0,ROUND($G753,2),"")</f>
        <v/>
      </c>
      <c r="I753" s="49" t="str">
        <f aca="false">IF(ROUND($G753,2)&lt;0,-ROUND($G753,2),"")</f>
        <v/>
      </c>
      <c r="J753" s="20" t="n">
        <f aca="false">IF(ROUND($G753,2)=0,0,1)</f>
        <v>0</v>
      </c>
      <c r="K753" s="20" t="str">
        <f aca="false">IF($J753=0,"",SUM($J$752:$J753))</f>
        <v/>
      </c>
      <c r="L753" s="20" t="str">
        <f aca="false">IF($K753="","",$A753*100+$K753)</f>
        <v/>
      </c>
      <c r="M753" s="48" t="str">
        <f aca="false">参数!$B$4</f>
        <v>回款</v>
      </c>
    </row>
    <row r="754" customFormat="false" ht="13.5" hidden="false" customHeight="false" outlineLevel="0" collapsed="false">
      <c r="A754" s="47" t="n">
        <v>51</v>
      </c>
      <c r="B754" s="38" t="str">
        <f aca="false">助手回款!$B52</f>
        <v/>
      </c>
      <c r="C754" s="48" t="str">
        <f aca="false">助手回款!$C52</f>
        <v>备用6</v>
      </c>
      <c r="D754" s="48" t="str">
        <f aca="false">科目对照回款!$B4&amp;""</f>
        <v>聚合支付</v>
      </c>
      <c r="E754" s="48" t="str">
        <f aca="false">科目对照回款!$C4&amp;""</f>
        <v>应收账款</v>
      </c>
      <c r="F754" s="48" t="str">
        <f aca="false">科目对照回款!$D4&amp;""</f>
        <v>聚合支付</v>
      </c>
      <c r="G754" s="49" t="n">
        <f aca="false">-ROUND(IF(科目对照回款!$F$4="",0,SUMIFS(输入回款!$C:$C,输入回款!$A:$A,助手回款!$X52,输入回款!$B:$B,科目对照回款!$F$4)+SUMIFS(输入回款!$D:$D,输入回款!$A:$A,助手回款!$X52,输入回款!$B:$B,科目对照回款!$F$4))+IF(科目对照回款!$G$4="",0,SUMIFS(输入回款!$C:$C,输入回款!$A:$A,助手回款!$X52,输入回款!$B:$B,科目对照回款!$G$4)+SUMIFS(输入回款!$D:$D,输入回款!$A:$A,助手回款!$X52,输入回款!$B:$B,科目对照回款!$G$4))+IF(科目对照回款!$H$4="",0,SUMIFS(输入回款!$C:$C,输入回款!$A:$A,助手回款!$X52,输入回款!$B:$B,科目对照回款!$H$4)+SUMIFS(输入回款!$D:$D,输入回款!$A:$A,助手回款!$X52,输入回款!$B:$B,科目对照回款!$H$4)),2)</f>
        <v>-0</v>
      </c>
      <c r="H754" s="49" t="str">
        <f aca="false">IF(ROUND($G754,2)&gt;0,ROUND($G754,2),"")</f>
        <v/>
      </c>
      <c r="I754" s="49" t="str">
        <f aca="false">IF(ROUND($G754,2)&lt;0,-ROUND($G754,2),"")</f>
        <v/>
      </c>
      <c r="J754" s="20" t="n">
        <f aca="false">IF(ROUND($G754,2)=0,0,1)</f>
        <v>0</v>
      </c>
      <c r="K754" s="20" t="str">
        <f aca="false">IF($J754=0,"",SUM($J$752:$J754))</f>
        <v/>
      </c>
      <c r="L754" s="20" t="str">
        <f aca="false">IF($K754="","",$A754*100+$K754)</f>
        <v/>
      </c>
      <c r="M754" s="48" t="str">
        <f aca="false">参数!$B$4</f>
        <v>回款</v>
      </c>
    </row>
    <row r="755" customFormat="false" ht="13.5" hidden="false" customHeight="false" outlineLevel="0" collapsed="false">
      <c r="A755" s="47" t="n">
        <v>51</v>
      </c>
      <c r="B755" s="38" t="str">
        <f aca="false">助手回款!$B52</f>
        <v/>
      </c>
      <c r="C755" s="48" t="str">
        <f aca="false">助手回款!$C52</f>
        <v>备用6</v>
      </c>
      <c r="D755" s="48" t="str">
        <f aca="false">科目对照回款!$B5&amp;""</f>
        <v>医保</v>
      </c>
      <c r="E755" s="48" t="str">
        <f aca="false">科目对照回款!$C5&amp;""</f>
        <v>应收账款</v>
      </c>
      <c r="F755" s="48" t="str">
        <f aca="false">科目对照回款!$D5&amp;""</f>
        <v>医保</v>
      </c>
      <c r="G755" s="49" t="n">
        <f aca="false">-ROUND(IF(科目对照回款!$F$5="",0,SUMIFS(输入回款!$C:$C,输入回款!$A:$A,助手回款!$X52,输入回款!$B:$B,科目对照回款!$F$5)+SUMIFS(输入回款!$D:$D,输入回款!$A:$A,助手回款!$X52,输入回款!$B:$B,科目对照回款!$F$5))+IF(科目对照回款!$G$5="",0,SUMIFS(输入回款!$C:$C,输入回款!$A:$A,助手回款!$X52,输入回款!$B:$B,科目对照回款!$G$5)+SUMIFS(输入回款!$D:$D,输入回款!$A:$A,助手回款!$X52,输入回款!$B:$B,科目对照回款!$G$5))+IF(科目对照回款!$H$5="",0,SUMIFS(输入回款!$C:$C,输入回款!$A:$A,助手回款!$X52,输入回款!$B:$B,科目对照回款!$H$5)+SUMIFS(输入回款!$D:$D,输入回款!$A:$A,助手回款!$X52,输入回款!$B:$B,科目对照回款!$H$5)),2)</f>
        <v>-0</v>
      </c>
      <c r="H755" s="49" t="str">
        <f aca="false">IF(ROUND($G755,2)&gt;0,ROUND($G755,2),"")</f>
        <v/>
      </c>
      <c r="I755" s="49" t="str">
        <f aca="false">IF(ROUND($G755,2)&lt;0,-ROUND($G755,2),"")</f>
        <v/>
      </c>
      <c r="J755" s="20" t="n">
        <f aca="false">IF(ROUND($G755,2)=0,0,1)</f>
        <v>0</v>
      </c>
      <c r="K755" s="20" t="str">
        <f aca="false">IF($J755=0,"",SUM($J$752:$J755))</f>
        <v/>
      </c>
      <c r="L755" s="20" t="str">
        <f aca="false">IF($K755="","",$A755*100+$K755)</f>
        <v/>
      </c>
      <c r="M755" s="48" t="str">
        <f aca="false">参数!$B$4</f>
        <v>回款</v>
      </c>
    </row>
    <row r="756" customFormat="false" ht="13.5" hidden="false" customHeight="false" outlineLevel="0" collapsed="false">
      <c r="A756" s="47" t="n">
        <v>51</v>
      </c>
      <c r="B756" s="38" t="str">
        <f aca="false">助手回款!$B52</f>
        <v/>
      </c>
      <c r="C756" s="48" t="str">
        <f aca="false">助手回款!$C52</f>
        <v>备用6</v>
      </c>
      <c r="D756" s="48" t="str">
        <f aca="false">科目对照回款!$B6&amp;""</f>
        <v>美团</v>
      </c>
      <c r="E756" s="48" t="str">
        <f aca="false">科目对照回款!$C6&amp;""</f>
        <v>应收账款</v>
      </c>
      <c r="F756" s="48" t="str">
        <f aca="false">科目对照回款!$D6&amp;""</f>
        <v>美团</v>
      </c>
      <c r="G756" s="49" t="n">
        <f aca="false">-ROUND(IF(科目对照回款!$F$6="",0,SUMIFS(输入回款!$C:$C,输入回款!$A:$A,助手回款!$X52,输入回款!$B:$B,科目对照回款!$F$6)+SUMIFS(输入回款!$D:$D,输入回款!$A:$A,助手回款!$X52,输入回款!$B:$B,科目对照回款!$F$6))+IF(科目对照回款!$G$6="",0,SUMIFS(输入回款!$C:$C,输入回款!$A:$A,助手回款!$X52,输入回款!$B:$B,科目对照回款!$G$6)+SUMIFS(输入回款!$D:$D,输入回款!$A:$A,助手回款!$X52,输入回款!$B:$B,科目对照回款!$G$6))+IF(科目对照回款!$H$6="",0,SUMIFS(输入回款!$C:$C,输入回款!$A:$A,助手回款!$X52,输入回款!$B:$B,科目对照回款!$H$6)+SUMIFS(输入回款!$D:$D,输入回款!$A:$A,助手回款!$X52,输入回款!$B:$B,科目对照回款!$H$6)),2)</f>
        <v>-0</v>
      </c>
      <c r="H756" s="49" t="str">
        <f aca="false">IF(ROUND($G756,2)&gt;0,ROUND($G756,2),"")</f>
        <v/>
      </c>
      <c r="I756" s="49" t="str">
        <f aca="false">IF(ROUND($G756,2)&lt;0,-ROUND($G756,2),"")</f>
        <v/>
      </c>
      <c r="J756" s="20" t="n">
        <f aca="false">IF(ROUND($G756,2)=0,0,1)</f>
        <v>0</v>
      </c>
      <c r="K756" s="20" t="str">
        <f aca="false">IF($J756=0,"",SUM($J$752:$J756))</f>
        <v/>
      </c>
      <c r="L756" s="20" t="str">
        <f aca="false">IF($K756="","",$A756*100+$K756)</f>
        <v/>
      </c>
      <c r="M756" s="48" t="str">
        <f aca="false">参数!$B$4</f>
        <v>回款</v>
      </c>
    </row>
    <row r="757" customFormat="false" ht="13.5" hidden="false" customHeight="false" outlineLevel="0" collapsed="false">
      <c r="A757" s="47" t="n">
        <v>51</v>
      </c>
      <c r="B757" s="38" t="str">
        <f aca="false">助手回款!$B52</f>
        <v/>
      </c>
      <c r="C757" s="48" t="str">
        <f aca="false">助手回款!$C52</f>
        <v>备用6</v>
      </c>
      <c r="D757" s="48" t="str">
        <f aca="false">科目对照回款!$B7&amp;""</f>
        <v>饿了么</v>
      </c>
      <c r="E757" s="48" t="str">
        <f aca="false">科目对照回款!$C7&amp;""</f>
        <v>应收账款</v>
      </c>
      <c r="F757" s="48" t="str">
        <f aca="false">科目对照回款!$D7&amp;""</f>
        <v>饿了么</v>
      </c>
      <c r="G757" s="49" t="n">
        <f aca="false">-ROUND(IF(科目对照回款!$F$7="",0,SUMIFS(输入回款!$C:$C,输入回款!$A:$A,助手回款!$X52,输入回款!$B:$B,科目对照回款!$F$7)+SUMIFS(输入回款!$D:$D,输入回款!$A:$A,助手回款!$X52,输入回款!$B:$B,科目对照回款!$F$7))+IF(科目对照回款!$G$7="",0,SUMIFS(输入回款!$C:$C,输入回款!$A:$A,助手回款!$X52,输入回款!$B:$B,科目对照回款!$G$7)+SUMIFS(输入回款!$D:$D,输入回款!$A:$A,助手回款!$X52,输入回款!$B:$B,科目对照回款!$G$7))+IF(科目对照回款!$H$7="",0,SUMIFS(输入回款!$C:$C,输入回款!$A:$A,助手回款!$X52,输入回款!$B:$B,科目对照回款!$H$7)+SUMIFS(输入回款!$D:$D,输入回款!$A:$A,助手回款!$X52,输入回款!$B:$B,科目对照回款!$H$7)),2)</f>
        <v>-0</v>
      </c>
      <c r="H757" s="49" t="str">
        <f aca="false">IF(ROUND($G757,2)&gt;0,ROUND($G757,2),"")</f>
        <v/>
      </c>
      <c r="I757" s="49" t="str">
        <f aca="false">IF(ROUND($G757,2)&lt;0,-ROUND($G757,2),"")</f>
        <v/>
      </c>
      <c r="J757" s="20" t="n">
        <f aca="false">IF(ROUND($G757,2)=0,0,1)</f>
        <v>0</v>
      </c>
      <c r="K757" s="20" t="str">
        <f aca="false">IF($J757=0,"",SUM($J$752:$J757))</f>
        <v/>
      </c>
      <c r="L757" s="20" t="str">
        <f aca="false">IF($K757="","",$A757*100+$K757)</f>
        <v/>
      </c>
      <c r="M757" s="48" t="str">
        <f aca="false">参数!$B$4</f>
        <v>回款</v>
      </c>
    </row>
    <row r="758" customFormat="false" ht="13.5" hidden="false" customHeight="false" outlineLevel="0" collapsed="false">
      <c r="A758" s="47" t="n">
        <v>51</v>
      </c>
      <c r="B758" s="38" t="str">
        <f aca="false">助手回款!$B52</f>
        <v/>
      </c>
      <c r="C758" s="48" t="str">
        <f aca="false">助手回款!$C52</f>
        <v>备用6</v>
      </c>
      <c r="D758" s="48" t="str">
        <f aca="false">科目对照回款!$B8&amp;""</f>
        <v>24小时</v>
      </c>
      <c r="E758" s="48" t="str">
        <f aca="false">科目对照回款!$C8&amp;""</f>
        <v>应收账款</v>
      </c>
      <c r="F758" s="48" t="str">
        <f aca="false">科目对照回款!$D8&amp;""</f>
        <v>24小时</v>
      </c>
      <c r="G758" s="49" t="n">
        <f aca="false">-ROUND(IF(科目对照回款!$F$8="",0,SUMIFS(输入回款!$C:$C,输入回款!$A:$A,助手回款!$X52,输入回款!$B:$B,科目对照回款!$F$8)+SUMIFS(输入回款!$D:$D,输入回款!$A:$A,助手回款!$X52,输入回款!$B:$B,科目对照回款!$F$8))+IF(科目对照回款!$G$8="",0,SUMIFS(输入回款!$C:$C,输入回款!$A:$A,助手回款!$X52,输入回款!$B:$B,科目对照回款!$G$8)+SUMIFS(输入回款!$D:$D,输入回款!$A:$A,助手回款!$X52,输入回款!$B:$B,科目对照回款!$G$8))+IF(科目对照回款!$H$8="",0,SUMIFS(输入回款!$C:$C,输入回款!$A:$A,助手回款!$X52,输入回款!$B:$B,科目对照回款!$H$8)+SUMIFS(输入回款!$D:$D,输入回款!$A:$A,助手回款!$X52,输入回款!$B:$B,科目对照回款!$H$8)),2)</f>
        <v>-0</v>
      </c>
      <c r="H758" s="49" t="str">
        <f aca="false">IF(ROUND($G758,2)&gt;0,ROUND($G758,2),"")</f>
        <v/>
      </c>
      <c r="I758" s="49" t="str">
        <f aca="false">IF(ROUND($G758,2)&lt;0,-ROUND($G758,2),"")</f>
        <v/>
      </c>
      <c r="J758" s="20" t="n">
        <f aca="false">IF(ROUND($G758,2)=0,0,1)</f>
        <v>0</v>
      </c>
      <c r="K758" s="20" t="str">
        <f aca="false">IF($J758=0,"",SUM($J$752:$J758))</f>
        <v/>
      </c>
      <c r="L758" s="20" t="str">
        <f aca="false">IF($K758="","",$A758*100+$K758)</f>
        <v/>
      </c>
      <c r="M758" s="48" t="str">
        <f aca="false">参数!$B$4</f>
        <v>回款</v>
      </c>
    </row>
    <row r="759" customFormat="false" ht="13.5" hidden="false" customHeight="false" outlineLevel="0" collapsed="false">
      <c r="A759" s="47" t="n">
        <v>51</v>
      </c>
      <c r="B759" s="38" t="str">
        <f aca="false">助手回款!$B52</f>
        <v/>
      </c>
      <c r="C759" s="48" t="str">
        <f aca="false">助手回款!$C52</f>
        <v>备用6</v>
      </c>
      <c r="D759" s="48" t="str">
        <f aca="false">科目对照回款!$B9&amp;""</f>
        <v>健E卡</v>
      </c>
      <c r="E759" s="48" t="str">
        <f aca="false">科目对照回款!$C9&amp;""</f>
        <v>应收账款</v>
      </c>
      <c r="F759" s="48" t="str">
        <f aca="false">科目对照回款!$D9&amp;""</f>
        <v>健E卡</v>
      </c>
      <c r="G759" s="49" t="n">
        <f aca="false">-ROUND(IF(科目对照回款!$F$9="",0,SUMIFS(输入回款!$C:$C,输入回款!$A:$A,助手回款!$X52,输入回款!$B:$B,科目对照回款!$F$9)+SUMIFS(输入回款!$D:$D,输入回款!$A:$A,助手回款!$X52,输入回款!$B:$B,科目对照回款!$F$9))+IF(科目对照回款!$G$9="",0,SUMIFS(输入回款!$C:$C,输入回款!$A:$A,助手回款!$X52,输入回款!$B:$B,科目对照回款!$G$9)+SUMIFS(输入回款!$D:$D,输入回款!$A:$A,助手回款!$X52,输入回款!$B:$B,科目对照回款!$G$9))+IF(科目对照回款!$H$9="",0,SUMIFS(输入回款!$C:$C,输入回款!$A:$A,助手回款!$X52,输入回款!$B:$B,科目对照回款!$H$9)+SUMIFS(输入回款!$D:$D,输入回款!$A:$A,助手回款!$X52,输入回款!$B:$B,科目对照回款!$H$9)),2)</f>
        <v>-0</v>
      </c>
      <c r="H759" s="49" t="str">
        <f aca="false">IF(ROUND($G759,2)&gt;0,ROUND($G759,2),"")</f>
        <v/>
      </c>
      <c r="I759" s="49" t="str">
        <f aca="false">IF(ROUND($G759,2)&lt;0,-ROUND($G759,2),"")</f>
        <v/>
      </c>
      <c r="J759" s="20" t="n">
        <f aca="false">IF(ROUND($G759,2)=0,0,1)</f>
        <v>0</v>
      </c>
      <c r="K759" s="20" t="str">
        <f aca="false">IF($J759=0,"",SUM($J$752:$J759))</f>
        <v/>
      </c>
      <c r="L759" s="20" t="str">
        <f aca="false">IF($K759="","",$A759*100+$K759)</f>
        <v/>
      </c>
      <c r="M759" s="48" t="str">
        <f aca="false">参数!$B$4</f>
        <v>回款</v>
      </c>
    </row>
    <row r="760" customFormat="false" ht="13.5" hidden="false" customHeight="false" outlineLevel="0" collapsed="false">
      <c r="A760" s="47" t="n">
        <v>51</v>
      </c>
      <c r="B760" s="38" t="str">
        <f aca="false">助手回款!$B52</f>
        <v/>
      </c>
      <c r="C760" s="48" t="str">
        <f aca="false">助手回款!$C52</f>
        <v>备用6</v>
      </c>
      <c r="D760" s="48" t="str">
        <f aca="false">科目对照回款!$B10&amp;""</f>
        <v>医卡通</v>
      </c>
      <c r="E760" s="48" t="str">
        <f aca="false">科目对照回款!$C10&amp;""</f>
        <v>应收账款</v>
      </c>
      <c r="F760" s="48" t="str">
        <f aca="false">科目对照回款!$D10&amp;""</f>
        <v>医卡通</v>
      </c>
      <c r="G760" s="49" t="n">
        <f aca="false">-ROUND(IF(科目对照回款!$F$10="",0,SUMIFS(输入回款!$C:$C,输入回款!$A:$A,助手回款!$X52,输入回款!$B:$B,科目对照回款!$F$10)+SUMIFS(输入回款!$D:$D,输入回款!$A:$A,助手回款!$X52,输入回款!$B:$B,科目对照回款!$F$10))+IF(科目对照回款!$G$10="",0,SUMIFS(输入回款!$C:$C,输入回款!$A:$A,助手回款!$X52,输入回款!$B:$B,科目对照回款!$G$10)+SUMIFS(输入回款!$D:$D,输入回款!$A:$A,助手回款!$X52,输入回款!$B:$B,科目对照回款!$G$10))+IF(科目对照回款!$H$10="",0,SUMIFS(输入回款!$C:$C,输入回款!$A:$A,助手回款!$X52,输入回款!$B:$B,科目对照回款!$H$10)+SUMIFS(输入回款!$D:$D,输入回款!$A:$A,助手回款!$X52,输入回款!$B:$B,科目对照回款!$H$10)),2)</f>
        <v>-0</v>
      </c>
      <c r="H760" s="49" t="str">
        <f aca="false">IF(ROUND($G760,2)&gt;0,ROUND($G760,2),"")</f>
        <v/>
      </c>
      <c r="I760" s="49" t="str">
        <f aca="false">IF(ROUND($G760,2)&lt;0,-ROUND($G760,2),"")</f>
        <v/>
      </c>
      <c r="J760" s="20" t="n">
        <f aca="false">IF(ROUND($G760,2)=0,0,1)</f>
        <v>0</v>
      </c>
      <c r="K760" s="20" t="str">
        <f aca="false">IF($J760=0,"",SUM($J$752:$J760))</f>
        <v/>
      </c>
      <c r="L760" s="20" t="str">
        <f aca="false">IF($K760="","",$A760*100+$K760)</f>
        <v/>
      </c>
      <c r="M760" s="48" t="str">
        <f aca="false">参数!$B$4</f>
        <v>回款</v>
      </c>
    </row>
    <row r="761" customFormat="false" ht="13.5" hidden="false" customHeight="false" outlineLevel="0" collapsed="false">
      <c r="A761" s="47" t="n">
        <v>51</v>
      </c>
      <c r="B761" s="38" t="str">
        <f aca="false">助手回款!$B52</f>
        <v/>
      </c>
      <c r="C761" s="48" t="str">
        <f aca="false">助手回款!$C52</f>
        <v>备用6</v>
      </c>
      <c r="D761" s="48" t="str">
        <f aca="false">科目对照回款!$B11&amp;""</f>
        <v>企健网</v>
      </c>
      <c r="E761" s="48" t="str">
        <f aca="false">科目对照回款!$C11&amp;""</f>
        <v>应收账款</v>
      </c>
      <c r="F761" s="48" t="str">
        <f aca="false">科目对照回款!$D11&amp;""</f>
        <v>企健网</v>
      </c>
      <c r="G761" s="49" t="n">
        <f aca="false">-ROUND(IF(科目对照回款!$F$11="",0,SUMIFS(输入回款!$C:$C,输入回款!$A:$A,助手回款!$X52,输入回款!$B:$B,科目对照回款!$F$11)+SUMIFS(输入回款!$D:$D,输入回款!$A:$A,助手回款!$X52,输入回款!$B:$B,科目对照回款!$F$11))+IF(科目对照回款!$G$11="",0,SUMIFS(输入回款!$C:$C,输入回款!$A:$A,助手回款!$X52,输入回款!$B:$B,科目对照回款!$G$11)+SUMIFS(输入回款!$D:$D,输入回款!$A:$A,助手回款!$X52,输入回款!$B:$B,科目对照回款!$G$11))+IF(科目对照回款!$H$11="",0,SUMIFS(输入回款!$C:$C,输入回款!$A:$A,助手回款!$X52,输入回款!$B:$B,科目对照回款!$H$11)+SUMIFS(输入回款!$D:$D,输入回款!$A:$A,助手回款!$X52,输入回款!$B:$B,科目对照回款!$H$11)),2)</f>
        <v>-0</v>
      </c>
      <c r="H761" s="49" t="str">
        <f aca="false">IF(ROUND($G761,2)&gt;0,ROUND($G761,2),"")</f>
        <v/>
      </c>
      <c r="I761" s="49" t="str">
        <f aca="false">IF(ROUND($G761,2)&lt;0,-ROUND($G761,2),"")</f>
        <v/>
      </c>
      <c r="J761" s="20" t="n">
        <f aca="false">IF(ROUND($G761,2)=0,0,1)</f>
        <v>0</v>
      </c>
      <c r="K761" s="20" t="str">
        <f aca="false">IF($J761=0,"",SUM($J$752:$J761))</f>
        <v/>
      </c>
      <c r="L761" s="20" t="str">
        <f aca="false">IF($K761="","",$A761*100+$K761)</f>
        <v/>
      </c>
      <c r="M761" s="48" t="str">
        <f aca="false">参数!$B$4</f>
        <v>回款</v>
      </c>
    </row>
    <row r="762" customFormat="false" ht="13.5" hidden="false" customHeight="false" outlineLevel="0" collapsed="false">
      <c r="A762" s="47" t="n">
        <v>51</v>
      </c>
      <c r="B762" s="38" t="str">
        <f aca="false">助手回款!$B52</f>
        <v/>
      </c>
      <c r="C762" s="48" t="str">
        <f aca="false">助手回款!$C52</f>
        <v>备用6</v>
      </c>
      <c r="D762" s="48" t="str">
        <f aca="false">科目对照回款!$B12&amp;""</f>
        <v>亲情卡</v>
      </c>
      <c r="E762" s="48" t="str">
        <f aca="false">科目对照回款!$C12&amp;""</f>
        <v>应收账款</v>
      </c>
      <c r="F762" s="48" t="str">
        <f aca="false">科目对照回款!$D12&amp;""</f>
        <v>亲情卡</v>
      </c>
      <c r="G762" s="49" t="n">
        <f aca="false">-ROUND(IF(科目对照回款!$F$12="",0,SUMIFS(输入回款!$C:$C,输入回款!$A:$A,助手回款!$X52,输入回款!$B:$B,科目对照回款!$F$12)+SUMIFS(输入回款!$D:$D,输入回款!$A:$A,助手回款!$X52,输入回款!$B:$B,科目对照回款!$F$12))+IF(科目对照回款!$G$12="",0,SUMIFS(输入回款!$C:$C,输入回款!$A:$A,助手回款!$X52,输入回款!$B:$B,科目对照回款!$G$12)+SUMIFS(输入回款!$D:$D,输入回款!$A:$A,助手回款!$X52,输入回款!$B:$B,科目对照回款!$G$12))+IF(科目对照回款!$H$12="",0,SUMIFS(输入回款!$C:$C,输入回款!$A:$A,助手回款!$X52,输入回款!$B:$B,科目对照回款!$H$12)+SUMIFS(输入回款!$D:$D,输入回款!$A:$A,助手回款!$X52,输入回款!$B:$B,科目对照回款!$H$12)),2)</f>
        <v>-0</v>
      </c>
      <c r="H762" s="49" t="str">
        <f aca="false">IF(ROUND($G762,2)&gt;0,ROUND($G762,2),"")</f>
        <v/>
      </c>
      <c r="I762" s="49" t="str">
        <f aca="false">IF(ROUND($G762,2)&lt;0,-ROUND($G762,2),"")</f>
        <v/>
      </c>
      <c r="J762" s="20" t="n">
        <f aca="false">IF(ROUND($G762,2)=0,0,1)</f>
        <v>0</v>
      </c>
      <c r="K762" s="20" t="str">
        <f aca="false">IF($J762=0,"",SUM($J$752:$J762))</f>
        <v/>
      </c>
      <c r="L762" s="20" t="str">
        <f aca="false">IF($K762="","",$A762*100+$K762)</f>
        <v/>
      </c>
      <c r="M762" s="48" t="str">
        <f aca="false">参数!$B$4</f>
        <v>回款</v>
      </c>
    </row>
    <row r="763" customFormat="false" ht="13.5" hidden="false" customHeight="false" outlineLevel="0" collapsed="false">
      <c r="A763" s="47" t="n">
        <v>51</v>
      </c>
      <c r="B763" s="38" t="str">
        <f aca="false">助手回款!$B52</f>
        <v/>
      </c>
      <c r="C763" s="48" t="str">
        <f aca="false">助手回款!$C52</f>
        <v>备用6</v>
      </c>
      <c r="D763" s="48" t="str">
        <f aca="false">科目对照回款!$B13&amp;""</f>
        <v>银联</v>
      </c>
      <c r="E763" s="48" t="str">
        <f aca="false">科目对照回款!$C13&amp;""</f>
        <v>应收账款</v>
      </c>
      <c r="F763" s="48" t="str">
        <f aca="false">科目对照回款!$D13&amp;""</f>
        <v>银联</v>
      </c>
      <c r="G763" s="49" t="n">
        <f aca="false">-ROUND(IF(科目对照回款!$F$13="",0,SUMIFS(输入回款!$C:$C,输入回款!$A:$A,助手回款!$X52,输入回款!$B:$B,科目对照回款!$F$13)+SUMIFS(输入回款!$D:$D,输入回款!$A:$A,助手回款!$X52,输入回款!$B:$B,科目对照回款!$F$13))+IF(科目对照回款!$G$13="",0,SUMIFS(输入回款!$C:$C,输入回款!$A:$A,助手回款!$X52,输入回款!$B:$B,科目对照回款!$G$13)+SUMIFS(输入回款!$D:$D,输入回款!$A:$A,助手回款!$X52,输入回款!$B:$B,科目对照回款!$G$13))+IF(科目对照回款!$H$13="",0,SUMIFS(输入回款!$C:$C,输入回款!$A:$A,助手回款!$X52,输入回款!$B:$B,科目对照回款!$H$13)+SUMIFS(输入回款!$D:$D,输入回款!$A:$A,助手回款!$X52,输入回款!$B:$B,科目对照回款!$H$13)),2)</f>
        <v>-0</v>
      </c>
      <c r="H763" s="49" t="str">
        <f aca="false">IF(ROUND($G763,2)&gt;0,ROUND($G763,2),"")</f>
        <v/>
      </c>
      <c r="I763" s="49" t="str">
        <f aca="false">IF(ROUND($G763,2)&lt;0,-ROUND($G763,2),"")</f>
        <v/>
      </c>
      <c r="J763" s="20" t="n">
        <f aca="false">IF(ROUND($G763,2)=0,0,1)</f>
        <v>0</v>
      </c>
      <c r="K763" s="20" t="str">
        <f aca="false">IF($J763=0,"",SUM($J$752:$J763))</f>
        <v/>
      </c>
      <c r="L763" s="20" t="str">
        <f aca="false">IF($K763="","",$A763*100+$K763)</f>
        <v/>
      </c>
      <c r="M763" s="48" t="str">
        <f aca="false">参数!$B$4</f>
        <v>回款</v>
      </c>
    </row>
    <row r="764" customFormat="false" ht="13.5" hidden="false" customHeight="false" outlineLevel="0" collapsed="false">
      <c r="A764" s="47" t="n">
        <v>51</v>
      </c>
      <c r="B764" s="38" t="str">
        <f aca="false">助手回款!$B52</f>
        <v/>
      </c>
      <c r="C764" s="48" t="str">
        <f aca="false">助手回款!$C52</f>
        <v>备用6</v>
      </c>
      <c r="D764" s="48" t="str">
        <f aca="false">科目对照回款!$B14&amp;""</f>
        <v>代金券</v>
      </c>
      <c r="E764" s="48" t="str">
        <f aca="false">科目对照回款!$C14&amp;""</f>
        <v>应收账款</v>
      </c>
      <c r="F764" s="48" t="str">
        <f aca="false">科目对照回款!$D14&amp;""</f>
        <v>代金券</v>
      </c>
      <c r="G764" s="49" t="n">
        <f aca="false">-ROUND(IF(科目对照回款!$F$14="",0,SUMIFS(输入回款!$C:$C,输入回款!$A:$A,助手回款!$X52,输入回款!$B:$B,科目对照回款!$F$14)+SUMIFS(输入回款!$D:$D,输入回款!$A:$A,助手回款!$X52,输入回款!$B:$B,科目对照回款!$F$14))+IF(科目对照回款!$G$14="",0,SUMIFS(输入回款!$C:$C,输入回款!$A:$A,助手回款!$X52,输入回款!$B:$B,科目对照回款!$G$14)+SUMIFS(输入回款!$D:$D,输入回款!$A:$A,助手回款!$X52,输入回款!$B:$B,科目对照回款!$G$14))+IF(科目对照回款!$H$14="",0,SUMIFS(输入回款!$C:$C,输入回款!$A:$A,助手回款!$X52,输入回款!$B:$B,科目对照回款!$H$14)+SUMIFS(输入回款!$D:$D,输入回款!$A:$A,助手回款!$X52,输入回款!$B:$B,科目对照回款!$H$14)),2)</f>
        <v>-0</v>
      </c>
      <c r="H764" s="49" t="str">
        <f aca="false">IF(ROUND($G764,2)&gt;0,ROUND($G764,2),"")</f>
        <v/>
      </c>
      <c r="I764" s="49" t="str">
        <f aca="false">IF(ROUND($G764,2)&lt;0,-ROUND($G764,2),"")</f>
        <v/>
      </c>
      <c r="J764" s="20" t="n">
        <f aca="false">IF(ROUND($G764,2)=0,0,1)</f>
        <v>0</v>
      </c>
      <c r="K764" s="20" t="str">
        <f aca="false">IF($J764=0,"",SUM($J$752:$J764))</f>
        <v/>
      </c>
      <c r="L764" s="20" t="str">
        <f aca="false">IF($K764="","",$A764*100+$K764)</f>
        <v/>
      </c>
      <c r="M764" s="48" t="str">
        <f aca="false">参数!$B$4</f>
        <v>回款</v>
      </c>
    </row>
    <row r="765" customFormat="false" ht="13.5" hidden="false" customHeight="false" outlineLevel="0" collapsed="false">
      <c r="A765" s="47" t="n">
        <v>51</v>
      </c>
      <c r="B765" s="38" t="str">
        <f aca="false">助手回款!$B52</f>
        <v/>
      </c>
      <c r="C765" s="48" t="str">
        <f aca="false">助手回款!$C52</f>
        <v>备用6</v>
      </c>
      <c r="D765" s="48" t="str">
        <f aca="false">科目对照回款!$B15&amp;""</f>
        <v>药机微信</v>
      </c>
      <c r="E765" s="48" t="str">
        <f aca="false">科目对照回款!$C15&amp;""</f>
        <v>应收账款</v>
      </c>
      <c r="F765" s="48" t="str">
        <f aca="false">科目对照回款!$D15&amp;""</f>
        <v>药机微信</v>
      </c>
      <c r="G765" s="49" t="n">
        <f aca="false">-ROUND(IF(科目对照回款!$F$15="",0,SUMIFS(输入回款!$C:$C,输入回款!$A:$A,助手回款!$X52,输入回款!$B:$B,科目对照回款!$F$15)+SUMIFS(输入回款!$D:$D,输入回款!$A:$A,助手回款!$X52,输入回款!$B:$B,科目对照回款!$F$15))+IF(科目对照回款!$G$15="",0,SUMIFS(输入回款!$C:$C,输入回款!$A:$A,助手回款!$X52,输入回款!$B:$B,科目对照回款!$G$15)+SUMIFS(输入回款!$D:$D,输入回款!$A:$A,助手回款!$X52,输入回款!$B:$B,科目对照回款!$G$15))+IF(科目对照回款!$H$15="",0,SUMIFS(输入回款!$C:$C,输入回款!$A:$A,助手回款!$X52,输入回款!$B:$B,科目对照回款!$H$15)+SUMIFS(输入回款!$D:$D,输入回款!$A:$A,助手回款!$X52,输入回款!$B:$B,科目对照回款!$H$15)),2)</f>
        <v>-0</v>
      </c>
      <c r="H765" s="49" t="str">
        <f aca="false">IF(ROUND($G765,2)&gt;0,ROUND($G765,2),"")</f>
        <v/>
      </c>
      <c r="I765" s="49" t="str">
        <f aca="false">IF(ROUND($G765,2)&lt;0,-ROUND($G765,2),"")</f>
        <v/>
      </c>
      <c r="J765" s="20" t="n">
        <f aca="false">IF(ROUND($G765,2)=0,0,1)</f>
        <v>0</v>
      </c>
      <c r="K765" s="20" t="str">
        <f aca="false">IF($J765=0,"",SUM($J$752:$J765))</f>
        <v/>
      </c>
      <c r="L765" s="20" t="str">
        <f aca="false">IF($K765="","",$A765*100+$K765)</f>
        <v/>
      </c>
      <c r="M765" s="48" t="str">
        <f aca="false">参数!$B$4</f>
        <v>回款</v>
      </c>
    </row>
    <row r="766" customFormat="false" ht="13.5" hidden="false" customHeight="false" outlineLevel="0" collapsed="false">
      <c r="A766" s="47" t="n">
        <v>51</v>
      </c>
      <c r="B766" s="38" t="str">
        <f aca="false">助手回款!$B52</f>
        <v/>
      </c>
      <c r="C766" s="48" t="str">
        <f aca="false">助手回款!$C52</f>
        <v>备用6</v>
      </c>
      <c r="D766" s="48" t="str">
        <f aca="false">科目对照回款!$B16&amp;""</f>
        <v>储值卡</v>
      </c>
      <c r="E766" s="48" t="str">
        <f aca="false">科目对照回款!$C16&amp;""</f>
        <v>其他应收款</v>
      </c>
      <c r="F766" s="48" t="str">
        <f aca="false">科目对照回款!$D16&amp;""</f>
        <v>储值卡</v>
      </c>
      <c r="G766" s="49" t="n">
        <f aca="false">-ROUND(IF(科目对照回款!$F$16="",0,SUMIFS(输入回款!$C:$C,输入回款!$A:$A,助手回款!$X52,输入回款!$B:$B,科目对照回款!$F$16)+SUMIFS(输入回款!$D:$D,输入回款!$A:$A,助手回款!$X52,输入回款!$B:$B,科目对照回款!$F$16))+IF(科目对照回款!$G$16="",0,SUMIFS(输入回款!$C:$C,输入回款!$A:$A,助手回款!$X52,输入回款!$B:$B,科目对照回款!$G$16)+SUMIFS(输入回款!$D:$D,输入回款!$A:$A,助手回款!$X52,输入回款!$B:$B,科目对照回款!$G$16))+IF(科目对照回款!$H$16="",0,SUMIFS(输入回款!$C:$C,输入回款!$A:$A,助手回款!$X52,输入回款!$B:$B,科目对照回款!$H$16)+SUMIFS(输入回款!$D:$D,输入回款!$A:$A,助手回款!$X52,输入回款!$B:$B,科目对照回款!$H$16)),2)</f>
        <v>-0</v>
      </c>
      <c r="H766" s="49" t="str">
        <f aca="false">IF(ROUND($G766,2)&gt;0,ROUND($G766,2),"")</f>
        <v/>
      </c>
      <c r="I766" s="49" t="str">
        <f aca="false">IF(ROUND($G766,2)&lt;0,-ROUND($G766,2),"")</f>
        <v/>
      </c>
      <c r="J766" s="20" t="n">
        <f aca="false">IF(ROUND($G766,2)=0,0,1)</f>
        <v>0</v>
      </c>
      <c r="K766" s="20" t="str">
        <f aca="false">IF($J766=0,"",SUM($J$752:$J766))</f>
        <v/>
      </c>
      <c r="L766" s="20" t="str">
        <f aca="false">IF($K766="","",$A766*100+$K766)</f>
        <v/>
      </c>
      <c r="M766" s="48" t="str">
        <f aca="false">参数!$B$4</f>
        <v>回款</v>
      </c>
    </row>
    <row r="767" customFormat="false" ht="13.5" hidden="false" customHeight="false" outlineLevel="0" collapsed="false">
      <c r="A767" s="47" t="n">
        <v>52</v>
      </c>
      <c r="B767" s="38" t="str">
        <f aca="false">助手回款!$B53</f>
        <v/>
      </c>
      <c r="C767" s="48" t="str">
        <f aca="false">助手回款!$C53</f>
        <v>备用7</v>
      </c>
      <c r="D767" s="48" t="str">
        <f aca="false">科目对照回款!$B2&amp;""</f>
        <v>库存现金</v>
      </c>
      <c r="E767" s="48" t="str">
        <f aca="false">科目对照回款!$C2&amp;""</f>
        <v>库存现金</v>
      </c>
      <c r="F767" s="48" t="str">
        <f aca="false">科目对照回款!$D2&amp;""</f>
        <v/>
      </c>
      <c r="G767" s="49" t="n">
        <f aca="false">助手回款!$E53</f>
        <v>0</v>
      </c>
      <c r="H767" s="49" t="str">
        <f aca="false">IF(ROUND($G767,2)&gt;0,ROUND($G767,2),"")</f>
        <v/>
      </c>
      <c r="I767" s="49" t="str">
        <f aca="false">IF(ROUND($G767,2)&lt;0,-ROUND($G767,2),"")</f>
        <v/>
      </c>
      <c r="J767" s="20" t="n">
        <f aca="false">IF(ROUND($G767,2)=0,0,1)</f>
        <v>0</v>
      </c>
      <c r="K767" s="20" t="str">
        <f aca="false">IF($J767=0,"",SUM($J$767:$J767))</f>
        <v/>
      </c>
      <c r="L767" s="20" t="str">
        <f aca="false">IF($K767="","",$A767*100+$K767)</f>
        <v/>
      </c>
      <c r="M767" s="48" t="str">
        <f aca="false">参数!$B$4</f>
        <v>回款</v>
      </c>
    </row>
    <row r="768" customFormat="false" ht="13.5" hidden="false" customHeight="false" outlineLevel="0" collapsed="false">
      <c r="A768" s="47" t="n">
        <v>52</v>
      </c>
      <c r="B768" s="38" t="str">
        <f aca="false">助手回款!$B53</f>
        <v/>
      </c>
      <c r="C768" s="48" t="str">
        <f aca="false">助手回款!$C53</f>
        <v>备用7</v>
      </c>
      <c r="D768" s="48" t="str">
        <f aca="false">科目对照回款!$B3&amp;""</f>
        <v>手续费</v>
      </c>
      <c r="E768" s="48" t="str">
        <f aca="false">科目对照回款!$C3&amp;""</f>
        <v>财务费用</v>
      </c>
      <c r="F768" s="48" t="str">
        <f aca="false">科目对照回款!$D3&amp;""</f>
        <v>手续费</v>
      </c>
      <c r="G768" s="49" t="n">
        <f aca="false">助手回款!$F53</f>
        <v>0</v>
      </c>
      <c r="H768" s="49" t="str">
        <f aca="false">IF(ROUND($G768,2)&gt;0,ROUND($G768,2),"")</f>
        <v/>
      </c>
      <c r="I768" s="49" t="str">
        <f aca="false">IF(ROUND($G768,2)&lt;0,-ROUND($G768,2),"")</f>
        <v/>
      </c>
      <c r="J768" s="20" t="n">
        <f aca="false">IF(ROUND($G768,2)=0,0,1)</f>
        <v>0</v>
      </c>
      <c r="K768" s="20" t="str">
        <f aca="false">IF($J768=0,"",SUM($J$767:$J768))</f>
        <v/>
      </c>
      <c r="L768" s="20" t="str">
        <f aca="false">IF($K768="","",$A768*100+$K768)</f>
        <v/>
      </c>
      <c r="M768" s="48" t="str">
        <f aca="false">参数!$B$4</f>
        <v>回款</v>
      </c>
    </row>
    <row r="769" customFormat="false" ht="13.5" hidden="false" customHeight="false" outlineLevel="0" collapsed="false">
      <c r="A769" s="47" t="n">
        <v>52</v>
      </c>
      <c r="B769" s="38" t="str">
        <f aca="false">助手回款!$B53</f>
        <v/>
      </c>
      <c r="C769" s="48" t="str">
        <f aca="false">助手回款!$C53</f>
        <v>备用7</v>
      </c>
      <c r="D769" s="48" t="str">
        <f aca="false">科目对照回款!$B4&amp;""</f>
        <v>聚合支付</v>
      </c>
      <c r="E769" s="48" t="str">
        <f aca="false">科目对照回款!$C4&amp;""</f>
        <v>应收账款</v>
      </c>
      <c r="F769" s="48" t="str">
        <f aca="false">科目对照回款!$D4&amp;""</f>
        <v>聚合支付</v>
      </c>
      <c r="G769" s="49" t="n">
        <f aca="false">-ROUND(IF(科目对照回款!$F$4="",0,SUMIFS(输入回款!$C:$C,输入回款!$A:$A,助手回款!$X53,输入回款!$B:$B,科目对照回款!$F$4)+SUMIFS(输入回款!$D:$D,输入回款!$A:$A,助手回款!$X53,输入回款!$B:$B,科目对照回款!$F$4))+IF(科目对照回款!$G$4="",0,SUMIFS(输入回款!$C:$C,输入回款!$A:$A,助手回款!$X53,输入回款!$B:$B,科目对照回款!$G$4)+SUMIFS(输入回款!$D:$D,输入回款!$A:$A,助手回款!$X53,输入回款!$B:$B,科目对照回款!$G$4))+IF(科目对照回款!$H$4="",0,SUMIFS(输入回款!$C:$C,输入回款!$A:$A,助手回款!$X53,输入回款!$B:$B,科目对照回款!$H$4)+SUMIFS(输入回款!$D:$D,输入回款!$A:$A,助手回款!$X53,输入回款!$B:$B,科目对照回款!$H$4)),2)</f>
        <v>-0</v>
      </c>
      <c r="H769" s="49" t="str">
        <f aca="false">IF(ROUND($G769,2)&gt;0,ROUND($G769,2),"")</f>
        <v/>
      </c>
      <c r="I769" s="49" t="str">
        <f aca="false">IF(ROUND($G769,2)&lt;0,-ROUND($G769,2),"")</f>
        <v/>
      </c>
      <c r="J769" s="20" t="n">
        <f aca="false">IF(ROUND($G769,2)=0,0,1)</f>
        <v>0</v>
      </c>
      <c r="K769" s="20" t="str">
        <f aca="false">IF($J769=0,"",SUM($J$767:$J769))</f>
        <v/>
      </c>
      <c r="L769" s="20" t="str">
        <f aca="false">IF($K769="","",$A769*100+$K769)</f>
        <v/>
      </c>
      <c r="M769" s="48" t="str">
        <f aca="false">参数!$B$4</f>
        <v>回款</v>
      </c>
    </row>
    <row r="770" customFormat="false" ht="13.5" hidden="false" customHeight="false" outlineLevel="0" collapsed="false">
      <c r="A770" s="47" t="n">
        <v>52</v>
      </c>
      <c r="B770" s="38" t="str">
        <f aca="false">助手回款!$B53</f>
        <v/>
      </c>
      <c r="C770" s="48" t="str">
        <f aca="false">助手回款!$C53</f>
        <v>备用7</v>
      </c>
      <c r="D770" s="48" t="str">
        <f aca="false">科目对照回款!$B5&amp;""</f>
        <v>医保</v>
      </c>
      <c r="E770" s="48" t="str">
        <f aca="false">科目对照回款!$C5&amp;""</f>
        <v>应收账款</v>
      </c>
      <c r="F770" s="48" t="str">
        <f aca="false">科目对照回款!$D5&amp;""</f>
        <v>医保</v>
      </c>
      <c r="G770" s="49" t="n">
        <f aca="false">-ROUND(IF(科目对照回款!$F$5="",0,SUMIFS(输入回款!$C:$C,输入回款!$A:$A,助手回款!$X53,输入回款!$B:$B,科目对照回款!$F$5)+SUMIFS(输入回款!$D:$D,输入回款!$A:$A,助手回款!$X53,输入回款!$B:$B,科目对照回款!$F$5))+IF(科目对照回款!$G$5="",0,SUMIFS(输入回款!$C:$C,输入回款!$A:$A,助手回款!$X53,输入回款!$B:$B,科目对照回款!$G$5)+SUMIFS(输入回款!$D:$D,输入回款!$A:$A,助手回款!$X53,输入回款!$B:$B,科目对照回款!$G$5))+IF(科目对照回款!$H$5="",0,SUMIFS(输入回款!$C:$C,输入回款!$A:$A,助手回款!$X53,输入回款!$B:$B,科目对照回款!$H$5)+SUMIFS(输入回款!$D:$D,输入回款!$A:$A,助手回款!$X53,输入回款!$B:$B,科目对照回款!$H$5)),2)</f>
        <v>-0</v>
      </c>
      <c r="H770" s="49" t="str">
        <f aca="false">IF(ROUND($G770,2)&gt;0,ROUND($G770,2),"")</f>
        <v/>
      </c>
      <c r="I770" s="49" t="str">
        <f aca="false">IF(ROUND($G770,2)&lt;0,-ROUND($G770,2),"")</f>
        <v/>
      </c>
      <c r="J770" s="20" t="n">
        <f aca="false">IF(ROUND($G770,2)=0,0,1)</f>
        <v>0</v>
      </c>
      <c r="K770" s="20" t="str">
        <f aca="false">IF($J770=0,"",SUM($J$767:$J770))</f>
        <v/>
      </c>
      <c r="L770" s="20" t="str">
        <f aca="false">IF($K770="","",$A770*100+$K770)</f>
        <v/>
      </c>
      <c r="M770" s="48" t="str">
        <f aca="false">参数!$B$4</f>
        <v>回款</v>
      </c>
    </row>
    <row r="771" customFormat="false" ht="13.5" hidden="false" customHeight="false" outlineLevel="0" collapsed="false">
      <c r="A771" s="47" t="n">
        <v>52</v>
      </c>
      <c r="B771" s="38" t="str">
        <f aca="false">助手回款!$B53</f>
        <v/>
      </c>
      <c r="C771" s="48" t="str">
        <f aca="false">助手回款!$C53</f>
        <v>备用7</v>
      </c>
      <c r="D771" s="48" t="str">
        <f aca="false">科目对照回款!$B6&amp;""</f>
        <v>美团</v>
      </c>
      <c r="E771" s="48" t="str">
        <f aca="false">科目对照回款!$C6&amp;""</f>
        <v>应收账款</v>
      </c>
      <c r="F771" s="48" t="str">
        <f aca="false">科目对照回款!$D6&amp;""</f>
        <v>美团</v>
      </c>
      <c r="G771" s="49" t="n">
        <f aca="false">-ROUND(IF(科目对照回款!$F$6="",0,SUMIFS(输入回款!$C:$C,输入回款!$A:$A,助手回款!$X53,输入回款!$B:$B,科目对照回款!$F$6)+SUMIFS(输入回款!$D:$D,输入回款!$A:$A,助手回款!$X53,输入回款!$B:$B,科目对照回款!$F$6))+IF(科目对照回款!$G$6="",0,SUMIFS(输入回款!$C:$C,输入回款!$A:$A,助手回款!$X53,输入回款!$B:$B,科目对照回款!$G$6)+SUMIFS(输入回款!$D:$D,输入回款!$A:$A,助手回款!$X53,输入回款!$B:$B,科目对照回款!$G$6))+IF(科目对照回款!$H$6="",0,SUMIFS(输入回款!$C:$C,输入回款!$A:$A,助手回款!$X53,输入回款!$B:$B,科目对照回款!$H$6)+SUMIFS(输入回款!$D:$D,输入回款!$A:$A,助手回款!$X53,输入回款!$B:$B,科目对照回款!$H$6)),2)</f>
        <v>-0</v>
      </c>
      <c r="H771" s="49" t="str">
        <f aca="false">IF(ROUND($G771,2)&gt;0,ROUND($G771,2),"")</f>
        <v/>
      </c>
      <c r="I771" s="49" t="str">
        <f aca="false">IF(ROUND($G771,2)&lt;0,-ROUND($G771,2),"")</f>
        <v/>
      </c>
      <c r="J771" s="20" t="n">
        <f aca="false">IF(ROUND($G771,2)=0,0,1)</f>
        <v>0</v>
      </c>
      <c r="K771" s="20" t="str">
        <f aca="false">IF($J771=0,"",SUM($J$767:$J771))</f>
        <v/>
      </c>
      <c r="L771" s="20" t="str">
        <f aca="false">IF($K771="","",$A771*100+$K771)</f>
        <v/>
      </c>
      <c r="M771" s="48" t="str">
        <f aca="false">参数!$B$4</f>
        <v>回款</v>
      </c>
    </row>
    <row r="772" customFormat="false" ht="13.5" hidden="false" customHeight="false" outlineLevel="0" collapsed="false">
      <c r="A772" s="47" t="n">
        <v>52</v>
      </c>
      <c r="B772" s="38" t="str">
        <f aca="false">助手回款!$B53</f>
        <v/>
      </c>
      <c r="C772" s="48" t="str">
        <f aca="false">助手回款!$C53</f>
        <v>备用7</v>
      </c>
      <c r="D772" s="48" t="str">
        <f aca="false">科目对照回款!$B7&amp;""</f>
        <v>饿了么</v>
      </c>
      <c r="E772" s="48" t="str">
        <f aca="false">科目对照回款!$C7&amp;""</f>
        <v>应收账款</v>
      </c>
      <c r="F772" s="48" t="str">
        <f aca="false">科目对照回款!$D7&amp;""</f>
        <v>饿了么</v>
      </c>
      <c r="G772" s="49" t="n">
        <f aca="false">-ROUND(IF(科目对照回款!$F$7="",0,SUMIFS(输入回款!$C:$C,输入回款!$A:$A,助手回款!$X53,输入回款!$B:$B,科目对照回款!$F$7)+SUMIFS(输入回款!$D:$D,输入回款!$A:$A,助手回款!$X53,输入回款!$B:$B,科目对照回款!$F$7))+IF(科目对照回款!$G$7="",0,SUMIFS(输入回款!$C:$C,输入回款!$A:$A,助手回款!$X53,输入回款!$B:$B,科目对照回款!$G$7)+SUMIFS(输入回款!$D:$D,输入回款!$A:$A,助手回款!$X53,输入回款!$B:$B,科目对照回款!$G$7))+IF(科目对照回款!$H$7="",0,SUMIFS(输入回款!$C:$C,输入回款!$A:$A,助手回款!$X53,输入回款!$B:$B,科目对照回款!$H$7)+SUMIFS(输入回款!$D:$D,输入回款!$A:$A,助手回款!$X53,输入回款!$B:$B,科目对照回款!$H$7)),2)</f>
        <v>-0</v>
      </c>
      <c r="H772" s="49" t="str">
        <f aca="false">IF(ROUND($G772,2)&gt;0,ROUND($G772,2),"")</f>
        <v/>
      </c>
      <c r="I772" s="49" t="str">
        <f aca="false">IF(ROUND($G772,2)&lt;0,-ROUND($G772,2),"")</f>
        <v/>
      </c>
      <c r="J772" s="20" t="n">
        <f aca="false">IF(ROUND($G772,2)=0,0,1)</f>
        <v>0</v>
      </c>
      <c r="K772" s="20" t="str">
        <f aca="false">IF($J772=0,"",SUM($J$767:$J772))</f>
        <v/>
      </c>
      <c r="L772" s="20" t="str">
        <f aca="false">IF($K772="","",$A772*100+$K772)</f>
        <v/>
      </c>
      <c r="M772" s="48" t="str">
        <f aca="false">参数!$B$4</f>
        <v>回款</v>
      </c>
    </row>
    <row r="773" customFormat="false" ht="13.5" hidden="false" customHeight="false" outlineLevel="0" collapsed="false">
      <c r="A773" s="47" t="n">
        <v>52</v>
      </c>
      <c r="B773" s="38" t="str">
        <f aca="false">助手回款!$B53</f>
        <v/>
      </c>
      <c r="C773" s="48" t="str">
        <f aca="false">助手回款!$C53</f>
        <v>备用7</v>
      </c>
      <c r="D773" s="48" t="str">
        <f aca="false">科目对照回款!$B8&amp;""</f>
        <v>24小时</v>
      </c>
      <c r="E773" s="48" t="str">
        <f aca="false">科目对照回款!$C8&amp;""</f>
        <v>应收账款</v>
      </c>
      <c r="F773" s="48" t="str">
        <f aca="false">科目对照回款!$D8&amp;""</f>
        <v>24小时</v>
      </c>
      <c r="G773" s="49" t="n">
        <f aca="false">-ROUND(IF(科目对照回款!$F$8="",0,SUMIFS(输入回款!$C:$C,输入回款!$A:$A,助手回款!$X53,输入回款!$B:$B,科目对照回款!$F$8)+SUMIFS(输入回款!$D:$D,输入回款!$A:$A,助手回款!$X53,输入回款!$B:$B,科目对照回款!$F$8))+IF(科目对照回款!$G$8="",0,SUMIFS(输入回款!$C:$C,输入回款!$A:$A,助手回款!$X53,输入回款!$B:$B,科目对照回款!$G$8)+SUMIFS(输入回款!$D:$D,输入回款!$A:$A,助手回款!$X53,输入回款!$B:$B,科目对照回款!$G$8))+IF(科目对照回款!$H$8="",0,SUMIFS(输入回款!$C:$C,输入回款!$A:$A,助手回款!$X53,输入回款!$B:$B,科目对照回款!$H$8)+SUMIFS(输入回款!$D:$D,输入回款!$A:$A,助手回款!$X53,输入回款!$B:$B,科目对照回款!$H$8)),2)</f>
        <v>-0</v>
      </c>
      <c r="H773" s="49" t="str">
        <f aca="false">IF(ROUND($G773,2)&gt;0,ROUND($G773,2),"")</f>
        <v/>
      </c>
      <c r="I773" s="49" t="str">
        <f aca="false">IF(ROUND($G773,2)&lt;0,-ROUND($G773,2),"")</f>
        <v/>
      </c>
      <c r="J773" s="20" t="n">
        <f aca="false">IF(ROUND($G773,2)=0,0,1)</f>
        <v>0</v>
      </c>
      <c r="K773" s="20" t="str">
        <f aca="false">IF($J773=0,"",SUM($J$767:$J773))</f>
        <v/>
      </c>
      <c r="L773" s="20" t="str">
        <f aca="false">IF($K773="","",$A773*100+$K773)</f>
        <v/>
      </c>
      <c r="M773" s="48" t="str">
        <f aca="false">参数!$B$4</f>
        <v>回款</v>
      </c>
    </row>
    <row r="774" customFormat="false" ht="13.5" hidden="false" customHeight="false" outlineLevel="0" collapsed="false">
      <c r="A774" s="47" t="n">
        <v>52</v>
      </c>
      <c r="B774" s="38" t="str">
        <f aca="false">助手回款!$B53</f>
        <v/>
      </c>
      <c r="C774" s="48" t="str">
        <f aca="false">助手回款!$C53</f>
        <v>备用7</v>
      </c>
      <c r="D774" s="48" t="str">
        <f aca="false">科目对照回款!$B9&amp;""</f>
        <v>健E卡</v>
      </c>
      <c r="E774" s="48" t="str">
        <f aca="false">科目对照回款!$C9&amp;""</f>
        <v>应收账款</v>
      </c>
      <c r="F774" s="48" t="str">
        <f aca="false">科目对照回款!$D9&amp;""</f>
        <v>健E卡</v>
      </c>
      <c r="G774" s="49" t="n">
        <f aca="false">-ROUND(IF(科目对照回款!$F$9="",0,SUMIFS(输入回款!$C:$C,输入回款!$A:$A,助手回款!$X53,输入回款!$B:$B,科目对照回款!$F$9)+SUMIFS(输入回款!$D:$D,输入回款!$A:$A,助手回款!$X53,输入回款!$B:$B,科目对照回款!$F$9))+IF(科目对照回款!$G$9="",0,SUMIFS(输入回款!$C:$C,输入回款!$A:$A,助手回款!$X53,输入回款!$B:$B,科目对照回款!$G$9)+SUMIFS(输入回款!$D:$D,输入回款!$A:$A,助手回款!$X53,输入回款!$B:$B,科目对照回款!$G$9))+IF(科目对照回款!$H$9="",0,SUMIFS(输入回款!$C:$C,输入回款!$A:$A,助手回款!$X53,输入回款!$B:$B,科目对照回款!$H$9)+SUMIFS(输入回款!$D:$D,输入回款!$A:$A,助手回款!$X53,输入回款!$B:$B,科目对照回款!$H$9)),2)</f>
        <v>-0</v>
      </c>
      <c r="H774" s="49" t="str">
        <f aca="false">IF(ROUND($G774,2)&gt;0,ROUND($G774,2),"")</f>
        <v/>
      </c>
      <c r="I774" s="49" t="str">
        <f aca="false">IF(ROUND($G774,2)&lt;0,-ROUND($G774,2),"")</f>
        <v/>
      </c>
      <c r="J774" s="20" t="n">
        <f aca="false">IF(ROUND($G774,2)=0,0,1)</f>
        <v>0</v>
      </c>
      <c r="K774" s="20" t="str">
        <f aca="false">IF($J774=0,"",SUM($J$767:$J774))</f>
        <v/>
      </c>
      <c r="L774" s="20" t="str">
        <f aca="false">IF($K774="","",$A774*100+$K774)</f>
        <v/>
      </c>
      <c r="M774" s="48" t="str">
        <f aca="false">参数!$B$4</f>
        <v>回款</v>
      </c>
    </row>
    <row r="775" customFormat="false" ht="13.5" hidden="false" customHeight="false" outlineLevel="0" collapsed="false">
      <c r="A775" s="47" t="n">
        <v>52</v>
      </c>
      <c r="B775" s="38" t="str">
        <f aca="false">助手回款!$B53</f>
        <v/>
      </c>
      <c r="C775" s="48" t="str">
        <f aca="false">助手回款!$C53</f>
        <v>备用7</v>
      </c>
      <c r="D775" s="48" t="str">
        <f aca="false">科目对照回款!$B10&amp;""</f>
        <v>医卡通</v>
      </c>
      <c r="E775" s="48" t="str">
        <f aca="false">科目对照回款!$C10&amp;""</f>
        <v>应收账款</v>
      </c>
      <c r="F775" s="48" t="str">
        <f aca="false">科目对照回款!$D10&amp;""</f>
        <v>医卡通</v>
      </c>
      <c r="G775" s="49" t="n">
        <f aca="false">-ROUND(IF(科目对照回款!$F$10="",0,SUMIFS(输入回款!$C:$C,输入回款!$A:$A,助手回款!$X53,输入回款!$B:$B,科目对照回款!$F$10)+SUMIFS(输入回款!$D:$D,输入回款!$A:$A,助手回款!$X53,输入回款!$B:$B,科目对照回款!$F$10))+IF(科目对照回款!$G$10="",0,SUMIFS(输入回款!$C:$C,输入回款!$A:$A,助手回款!$X53,输入回款!$B:$B,科目对照回款!$G$10)+SUMIFS(输入回款!$D:$D,输入回款!$A:$A,助手回款!$X53,输入回款!$B:$B,科目对照回款!$G$10))+IF(科目对照回款!$H$10="",0,SUMIFS(输入回款!$C:$C,输入回款!$A:$A,助手回款!$X53,输入回款!$B:$B,科目对照回款!$H$10)+SUMIFS(输入回款!$D:$D,输入回款!$A:$A,助手回款!$X53,输入回款!$B:$B,科目对照回款!$H$10)),2)</f>
        <v>-0</v>
      </c>
      <c r="H775" s="49" t="str">
        <f aca="false">IF(ROUND($G775,2)&gt;0,ROUND($G775,2),"")</f>
        <v/>
      </c>
      <c r="I775" s="49" t="str">
        <f aca="false">IF(ROUND($G775,2)&lt;0,-ROUND($G775,2),"")</f>
        <v/>
      </c>
      <c r="J775" s="20" t="n">
        <f aca="false">IF(ROUND($G775,2)=0,0,1)</f>
        <v>0</v>
      </c>
      <c r="K775" s="20" t="str">
        <f aca="false">IF($J775=0,"",SUM($J$767:$J775))</f>
        <v/>
      </c>
      <c r="L775" s="20" t="str">
        <f aca="false">IF($K775="","",$A775*100+$K775)</f>
        <v/>
      </c>
      <c r="M775" s="48" t="str">
        <f aca="false">参数!$B$4</f>
        <v>回款</v>
      </c>
    </row>
    <row r="776" customFormat="false" ht="13.5" hidden="false" customHeight="false" outlineLevel="0" collapsed="false">
      <c r="A776" s="47" t="n">
        <v>52</v>
      </c>
      <c r="B776" s="38" t="str">
        <f aca="false">助手回款!$B53</f>
        <v/>
      </c>
      <c r="C776" s="48" t="str">
        <f aca="false">助手回款!$C53</f>
        <v>备用7</v>
      </c>
      <c r="D776" s="48" t="str">
        <f aca="false">科目对照回款!$B11&amp;""</f>
        <v>企健网</v>
      </c>
      <c r="E776" s="48" t="str">
        <f aca="false">科目对照回款!$C11&amp;""</f>
        <v>应收账款</v>
      </c>
      <c r="F776" s="48" t="str">
        <f aca="false">科目对照回款!$D11&amp;""</f>
        <v>企健网</v>
      </c>
      <c r="G776" s="49" t="n">
        <f aca="false">-ROUND(IF(科目对照回款!$F$11="",0,SUMIFS(输入回款!$C:$C,输入回款!$A:$A,助手回款!$X53,输入回款!$B:$B,科目对照回款!$F$11)+SUMIFS(输入回款!$D:$D,输入回款!$A:$A,助手回款!$X53,输入回款!$B:$B,科目对照回款!$F$11))+IF(科目对照回款!$G$11="",0,SUMIFS(输入回款!$C:$C,输入回款!$A:$A,助手回款!$X53,输入回款!$B:$B,科目对照回款!$G$11)+SUMIFS(输入回款!$D:$D,输入回款!$A:$A,助手回款!$X53,输入回款!$B:$B,科目对照回款!$G$11))+IF(科目对照回款!$H$11="",0,SUMIFS(输入回款!$C:$C,输入回款!$A:$A,助手回款!$X53,输入回款!$B:$B,科目对照回款!$H$11)+SUMIFS(输入回款!$D:$D,输入回款!$A:$A,助手回款!$X53,输入回款!$B:$B,科目对照回款!$H$11)),2)</f>
        <v>-0</v>
      </c>
      <c r="H776" s="49" t="str">
        <f aca="false">IF(ROUND($G776,2)&gt;0,ROUND($G776,2),"")</f>
        <v/>
      </c>
      <c r="I776" s="49" t="str">
        <f aca="false">IF(ROUND($G776,2)&lt;0,-ROUND($G776,2),"")</f>
        <v/>
      </c>
      <c r="J776" s="20" t="n">
        <f aca="false">IF(ROUND($G776,2)=0,0,1)</f>
        <v>0</v>
      </c>
      <c r="K776" s="20" t="str">
        <f aca="false">IF($J776=0,"",SUM($J$767:$J776))</f>
        <v/>
      </c>
      <c r="L776" s="20" t="str">
        <f aca="false">IF($K776="","",$A776*100+$K776)</f>
        <v/>
      </c>
      <c r="M776" s="48" t="str">
        <f aca="false">参数!$B$4</f>
        <v>回款</v>
      </c>
    </row>
    <row r="777" customFormat="false" ht="13.5" hidden="false" customHeight="false" outlineLevel="0" collapsed="false">
      <c r="A777" s="47" t="n">
        <v>52</v>
      </c>
      <c r="B777" s="38" t="str">
        <f aca="false">助手回款!$B53</f>
        <v/>
      </c>
      <c r="C777" s="48" t="str">
        <f aca="false">助手回款!$C53</f>
        <v>备用7</v>
      </c>
      <c r="D777" s="48" t="str">
        <f aca="false">科目对照回款!$B12&amp;""</f>
        <v>亲情卡</v>
      </c>
      <c r="E777" s="48" t="str">
        <f aca="false">科目对照回款!$C12&amp;""</f>
        <v>应收账款</v>
      </c>
      <c r="F777" s="48" t="str">
        <f aca="false">科目对照回款!$D12&amp;""</f>
        <v>亲情卡</v>
      </c>
      <c r="G777" s="49" t="n">
        <f aca="false">-ROUND(IF(科目对照回款!$F$12="",0,SUMIFS(输入回款!$C:$C,输入回款!$A:$A,助手回款!$X53,输入回款!$B:$B,科目对照回款!$F$12)+SUMIFS(输入回款!$D:$D,输入回款!$A:$A,助手回款!$X53,输入回款!$B:$B,科目对照回款!$F$12))+IF(科目对照回款!$G$12="",0,SUMIFS(输入回款!$C:$C,输入回款!$A:$A,助手回款!$X53,输入回款!$B:$B,科目对照回款!$G$12)+SUMIFS(输入回款!$D:$D,输入回款!$A:$A,助手回款!$X53,输入回款!$B:$B,科目对照回款!$G$12))+IF(科目对照回款!$H$12="",0,SUMIFS(输入回款!$C:$C,输入回款!$A:$A,助手回款!$X53,输入回款!$B:$B,科目对照回款!$H$12)+SUMIFS(输入回款!$D:$D,输入回款!$A:$A,助手回款!$X53,输入回款!$B:$B,科目对照回款!$H$12)),2)</f>
        <v>-0</v>
      </c>
      <c r="H777" s="49" t="str">
        <f aca="false">IF(ROUND($G777,2)&gt;0,ROUND($G777,2),"")</f>
        <v/>
      </c>
      <c r="I777" s="49" t="str">
        <f aca="false">IF(ROUND($G777,2)&lt;0,-ROUND($G777,2),"")</f>
        <v/>
      </c>
      <c r="J777" s="20" t="n">
        <f aca="false">IF(ROUND($G777,2)=0,0,1)</f>
        <v>0</v>
      </c>
      <c r="K777" s="20" t="str">
        <f aca="false">IF($J777=0,"",SUM($J$767:$J777))</f>
        <v/>
      </c>
      <c r="L777" s="20" t="str">
        <f aca="false">IF($K777="","",$A777*100+$K777)</f>
        <v/>
      </c>
      <c r="M777" s="48" t="str">
        <f aca="false">参数!$B$4</f>
        <v>回款</v>
      </c>
    </row>
    <row r="778" customFormat="false" ht="13.5" hidden="false" customHeight="false" outlineLevel="0" collapsed="false">
      <c r="A778" s="47" t="n">
        <v>52</v>
      </c>
      <c r="B778" s="38" t="str">
        <f aca="false">助手回款!$B53</f>
        <v/>
      </c>
      <c r="C778" s="48" t="str">
        <f aca="false">助手回款!$C53</f>
        <v>备用7</v>
      </c>
      <c r="D778" s="48" t="str">
        <f aca="false">科目对照回款!$B13&amp;""</f>
        <v>银联</v>
      </c>
      <c r="E778" s="48" t="str">
        <f aca="false">科目对照回款!$C13&amp;""</f>
        <v>应收账款</v>
      </c>
      <c r="F778" s="48" t="str">
        <f aca="false">科目对照回款!$D13&amp;""</f>
        <v>银联</v>
      </c>
      <c r="G778" s="49" t="n">
        <f aca="false">-ROUND(IF(科目对照回款!$F$13="",0,SUMIFS(输入回款!$C:$C,输入回款!$A:$A,助手回款!$X53,输入回款!$B:$B,科目对照回款!$F$13)+SUMIFS(输入回款!$D:$D,输入回款!$A:$A,助手回款!$X53,输入回款!$B:$B,科目对照回款!$F$13))+IF(科目对照回款!$G$13="",0,SUMIFS(输入回款!$C:$C,输入回款!$A:$A,助手回款!$X53,输入回款!$B:$B,科目对照回款!$G$13)+SUMIFS(输入回款!$D:$D,输入回款!$A:$A,助手回款!$X53,输入回款!$B:$B,科目对照回款!$G$13))+IF(科目对照回款!$H$13="",0,SUMIFS(输入回款!$C:$C,输入回款!$A:$A,助手回款!$X53,输入回款!$B:$B,科目对照回款!$H$13)+SUMIFS(输入回款!$D:$D,输入回款!$A:$A,助手回款!$X53,输入回款!$B:$B,科目对照回款!$H$13)),2)</f>
        <v>-0</v>
      </c>
      <c r="H778" s="49" t="str">
        <f aca="false">IF(ROUND($G778,2)&gt;0,ROUND($G778,2),"")</f>
        <v/>
      </c>
      <c r="I778" s="49" t="str">
        <f aca="false">IF(ROUND($G778,2)&lt;0,-ROUND($G778,2),"")</f>
        <v/>
      </c>
      <c r="J778" s="20" t="n">
        <f aca="false">IF(ROUND($G778,2)=0,0,1)</f>
        <v>0</v>
      </c>
      <c r="K778" s="20" t="str">
        <f aca="false">IF($J778=0,"",SUM($J$767:$J778))</f>
        <v/>
      </c>
      <c r="L778" s="20" t="str">
        <f aca="false">IF($K778="","",$A778*100+$K778)</f>
        <v/>
      </c>
      <c r="M778" s="48" t="str">
        <f aca="false">参数!$B$4</f>
        <v>回款</v>
      </c>
    </row>
    <row r="779" customFormat="false" ht="13.5" hidden="false" customHeight="false" outlineLevel="0" collapsed="false">
      <c r="A779" s="47" t="n">
        <v>52</v>
      </c>
      <c r="B779" s="38" t="str">
        <f aca="false">助手回款!$B53</f>
        <v/>
      </c>
      <c r="C779" s="48" t="str">
        <f aca="false">助手回款!$C53</f>
        <v>备用7</v>
      </c>
      <c r="D779" s="48" t="str">
        <f aca="false">科目对照回款!$B14&amp;""</f>
        <v>代金券</v>
      </c>
      <c r="E779" s="48" t="str">
        <f aca="false">科目对照回款!$C14&amp;""</f>
        <v>应收账款</v>
      </c>
      <c r="F779" s="48" t="str">
        <f aca="false">科目对照回款!$D14&amp;""</f>
        <v>代金券</v>
      </c>
      <c r="G779" s="49" t="n">
        <f aca="false">-ROUND(IF(科目对照回款!$F$14="",0,SUMIFS(输入回款!$C:$C,输入回款!$A:$A,助手回款!$X53,输入回款!$B:$B,科目对照回款!$F$14)+SUMIFS(输入回款!$D:$D,输入回款!$A:$A,助手回款!$X53,输入回款!$B:$B,科目对照回款!$F$14))+IF(科目对照回款!$G$14="",0,SUMIFS(输入回款!$C:$C,输入回款!$A:$A,助手回款!$X53,输入回款!$B:$B,科目对照回款!$G$14)+SUMIFS(输入回款!$D:$D,输入回款!$A:$A,助手回款!$X53,输入回款!$B:$B,科目对照回款!$G$14))+IF(科目对照回款!$H$14="",0,SUMIFS(输入回款!$C:$C,输入回款!$A:$A,助手回款!$X53,输入回款!$B:$B,科目对照回款!$H$14)+SUMIFS(输入回款!$D:$D,输入回款!$A:$A,助手回款!$X53,输入回款!$B:$B,科目对照回款!$H$14)),2)</f>
        <v>-0</v>
      </c>
      <c r="H779" s="49" t="str">
        <f aca="false">IF(ROUND($G779,2)&gt;0,ROUND($G779,2),"")</f>
        <v/>
      </c>
      <c r="I779" s="49" t="str">
        <f aca="false">IF(ROUND($G779,2)&lt;0,-ROUND($G779,2),"")</f>
        <v/>
      </c>
      <c r="J779" s="20" t="n">
        <f aca="false">IF(ROUND($G779,2)=0,0,1)</f>
        <v>0</v>
      </c>
      <c r="K779" s="20" t="str">
        <f aca="false">IF($J779=0,"",SUM($J$767:$J779))</f>
        <v/>
      </c>
      <c r="L779" s="20" t="str">
        <f aca="false">IF($K779="","",$A779*100+$K779)</f>
        <v/>
      </c>
      <c r="M779" s="48" t="str">
        <f aca="false">参数!$B$4</f>
        <v>回款</v>
      </c>
    </row>
    <row r="780" customFormat="false" ht="13.5" hidden="false" customHeight="false" outlineLevel="0" collapsed="false">
      <c r="A780" s="47" t="n">
        <v>52</v>
      </c>
      <c r="B780" s="38" t="str">
        <f aca="false">助手回款!$B53</f>
        <v/>
      </c>
      <c r="C780" s="48" t="str">
        <f aca="false">助手回款!$C53</f>
        <v>备用7</v>
      </c>
      <c r="D780" s="48" t="str">
        <f aca="false">科目对照回款!$B15&amp;""</f>
        <v>药机微信</v>
      </c>
      <c r="E780" s="48" t="str">
        <f aca="false">科目对照回款!$C15&amp;""</f>
        <v>应收账款</v>
      </c>
      <c r="F780" s="48" t="str">
        <f aca="false">科目对照回款!$D15&amp;""</f>
        <v>药机微信</v>
      </c>
      <c r="G780" s="49" t="n">
        <f aca="false">-ROUND(IF(科目对照回款!$F$15="",0,SUMIFS(输入回款!$C:$C,输入回款!$A:$A,助手回款!$X53,输入回款!$B:$B,科目对照回款!$F$15)+SUMIFS(输入回款!$D:$D,输入回款!$A:$A,助手回款!$X53,输入回款!$B:$B,科目对照回款!$F$15))+IF(科目对照回款!$G$15="",0,SUMIFS(输入回款!$C:$C,输入回款!$A:$A,助手回款!$X53,输入回款!$B:$B,科目对照回款!$G$15)+SUMIFS(输入回款!$D:$D,输入回款!$A:$A,助手回款!$X53,输入回款!$B:$B,科目对照回款!$G$15))+IF(科目对照回款!$H$15="",0,SUMIFS(输入回款!$C:$C,输入回款!$A:$A,助手回款!$X53,输入回款!$B:$B,科目对照回款!$H$15)+SUMIFS(输入回款!$D:$D,输入回款!$A:$A,助手回款!$X53,输入回款!$B:$B,科目对照回款!$H$15)),2)</f>
        <v>-0</v>
      </c>
      <c r="H780" s="49" t="str">
        <f aca="false">IF(ROUND($G780,2)&gt;0,ROUND($G780,2),"")</f>
        <v/>
      </c>
      <c r="I780" s="49" t="str">
        <f aca="false">IF(ROUND($G780,2)&lt;0,-ROUND($G780,2),"")</f>
        <v/>
      </c>
      <c r="J780" s="20" t="n">
        <f aca="false">IF(ROUND($G780,2)=0,0,1)</f>
        <v>0</v>
      </c>
      <c r="K780" s="20" t="str">
        <f aca="false">IF($J780=0,"",SUM($J$767:$J780))</f>
        <v/>
      </c>
      <c r="L780" s="20" t="str">
        <f aca="false">IF($K780="","",$A780*100+$K780)</f>
        <v/>
      </c>
      <c r="M780" s="48" t="str">
        <f aca="false">参数!$B$4</f>
        <v>回款</v>
      </c>
    </row>
    <row r="781" customFormat="false" ht="13.5" hidden="false" customHeight="false" outlineLevel="0" collapsed="false">
      <c r="A781" s="47" t="n">
        <v>52</v>
      </c>
      <c r="B781" s="38" t="str">
        <f aca="false">助手回款!$B53</f>
        <v/>
      </c>
      <c r="C781" s="48" t="str">
        <f aca="false">助手回款!$C53</f>
        <v>备用7</v>
      </c>
      <c r="D781" s="48" t="str">
        <f aca="false">科目对照回款!$B16&amp;""</f>
        <v>储值卡</v>
      </c>
      <c r="E781" s="48" t="str">
        <f aca="false">科目对照回款!$C16&amp;""</f>
        <v>其他应收款</v>
      </c>
      <c r="F781" s="48" t="str">
        <f aca="false">科目对照回款!$D16&amp;""</f>
        <v>储值卡</v>
      </c>
      <c r="G781" s="49" t="n">
        <f aca="false">-ROUND(IF(科目对照回款!$F$16="",0,SUMIFS(输入回款!$C:$C,输入回款!$A:$A,助手回款!$X53,输入回款!$B:$B,科目对照回款!$F$16)+SUMIFS(输入回款!$D:$D,输入回款!$A:$A,助手回款!$X53,输入回款!$B:$B,科目对照回款!$F$16))+IF(科目对照回款!$G$16="",0,SUMIFS(输入回款!$C:$C,输入回款!$A:$A,助手回款!$X53,输入回款!$B:$B,科目对照回款!$G$16)+SUMIFS(输入回款!$D:$D,输入回款!$A:$A,助手回款!$X53,输入回款!$B:$B,科目对照回款!$G$16))+IF(科目对照回款!$H$16="",0,SUMIFS(输入回款!$C:$C,输入回款!$A:$A,助手回款!$X53,输入回款!$B:$B,科目对照回款!$H$16)+SUMIFS(输入回款!$D:$D,输入回款!$A:$A,助手回款!$X53,输入回款!$B:$B,科目对照回款!$H$16)),2)</f>
        <v>-0</v>
      </c>
      <c r="H781" s="49" t="str">
        <f aca="false">IF(ROUND($G781,2)&gt;0,ROUND($G781,2),"")</f>
        <v/>
      </c>
      <c r="I781" s="49" t="str">
        <f aca="false">IF(ROUND($G781,2)&lt;0,-ROUND($G781,2),"")</f>
        <v/>
      </c>
      <c r="J781" s="20" t="n">
        <f aca="false">IF(ROUND($G781,2)=0,0,1)</f>
        <v>0</v>
      </c>
      <c r="K781" s="20" t="str">
        <f aca="false">IF($J781=0,"",SUM($J$767:$J781))</f>
        <v/>
      </c>
      <c r="L781" s="20" t="str">
        <f aca="false">IF($K781="","",$A781*100+$K781)</f>
        <v/>
      </c>
      <c r="M781" s="48" t="str">
        <f aca="false">参数!$B$4</f>
        <v>回款</v>
      </c>
    </row>
    <row r="782" customFormat="false" ht="13.5" hidden="false" customHeight="false" outlineLevel="0" collapsed="false">
      <c r="A782" s="47" t="n">
        <v>53</v>
      </c>
      <c r="B782" s="38" t="str">
        <f aca="false">助手回款!$B54</f>
        <v/>
      </c>
      <c r="C782" s="48" t="str">
        <f aca="false">助手回款!$C54</f>
        <v>备用8</v>
      </c>
      <c r="D782" s="48" t="str">
        <f aca="false">科目对照回款!$B2&amp;""</f>
        <v>库存现金</v>
      </c>
      <c r="E782" s="48" t="str">
        <f aca="false">科目对照回款!$C2&amp;""</f>
        <v>库存现金</v>
      </c>
      <c r="F782" s="48" t="str">
        <f aca="false">科目对照回款!$D2&amp;""</f>
        <v/>
      </c>
      <c r="G782" s="49" t="n">
        <f aca="false">助手回款!$E54</f>
        <v>0</v>
      </c>
      <c r="H782" s="49" t="str">
        <f aca="false">IF(ROUND($G782,2)&gt;0,ROUND($G782,2),"")</f>
        <v/>
      </c>
      <c r="I782" s="49" t="str">
        <f aca="false">IF(ROUND($G782,2)&lt;0,-ROUND($G782,2),"")</f>
        <v/>
      </c>
      <c r="J782" s="20" t="n">
        <f aca="false">IF(ROUND($G782,2)=0,0,1)</f>
        <v>0</v>
      </c>
      <c r="K782" s="20" t="str">
        <f aca="false">IF($J782=0,"",SUM($J$782:$J782))</f>
        <v/>
      </c>
      <c r="L782" s="20" t="str">
        <f aca="false">IF($K782="","",$A782*100+$K782)</f>
        <v/>
      </c>
      <c r="M782" s="48" t="str">
        <f aca="false">参数!$B$4</f>
        <v>回款</v>
      </c>
    </row>
    <row r="783" customFormat="false" ht="13.5" hidden="false" customHeight="false" outlineLevel="0" collapsed="false">
      <c r="A783" s="47" t="n">
        <v>53</v>
      </c>
      <c r="B783" s="38" t="str">
        <f aca="false">助手回款!$B54</f>
        <v/>
      </c>
      <c r="C783" s="48" t="str">
        <f aca="false">助手回款!$C54</f>
        <v>备用8</v>
      </c>
      <c r="D783" s="48" t="str">
        <f aca="false">科目对照回款!$B3&amp;""</f>
        <v>手续费</v>
      </c>
      <c r="E783" s="48" t="str">
        <f aca="false">科目对照回款!$C3&amp;""</f>
        <v>财务费用</v>
      </c>
      <c r="F783" s="48" t="str">
        <f aca="false">科目对照回款!$D3&amp;""</f>
        <v>手续费</v>
      </c>
      <c r="G783" s="49" t="n">
        <f aca="false">助手回款!$F54</f>
        <v>0</v>
      </c>
      <c r="H783" s="49" t="str">
        <f aca="false">IF(ROUND($G783,2)&gt;0,ROUND($G783,2),"")</f>
        <v/>
      </c>
      <c r="I783" s="49" t="str">
        <f aca="false">IF(ROUND($G783,2)&lt;0,-ROUND($G783,2),"")</f>
        <v/>
      </c>
      <c r="J783" s="20" t="n">
        <f aca="false">IF(ROUND($G783,2)=0,0,1)</f>
        <v>0</v>
      </c>
      <c r="K783" s="20" t="str">
        <f aca="false">IF($J783=0,"",SUM($J$782:$J783))</f>
        <v/>
      </c>
      <c r="L783" s="20" t="str">
        <f aca="false">IF($K783="","",$A783*100+$K783)</f>
        <v/>
      </c>
      <c r="M783" s="48" t="str">
        <f aca="false">参数!$B$4</f>
        <v>回款</v>
      </c>
    </row>
    <row r="784" customFormat="false" ht="13.5" hidden="false" customHeight="false" outlineLevel="0" collapsed="false">
      <c r="A784" s="47" t="n">
        <v>53</v>
      </c>
      <c r="B784" s="38" t="str">
        <f aca="false">助手回款!$B54</f>
        <v/>
      </c>
      <c r="C784" s="48" t="str">
        <f aca="false">助手回款!$C54</f>
        <v>备用8</v>
      </c>
      <c r="D784" s="48" t="str">
        <f aca="false">科目对照回款!$B4&amp;""</f>
        <v>聚合支付</v>
      </c>
      <c r="E784" s="48" t="str">
        <f aca="false">科目对照回款!$C4&amp;""</f>
        <v>应收账款</v>
      </c>
      <c r="F784" s="48" t="str">
        <f aca="false">科目对照回款!$D4&amp;""</f>
        <v>聚合支付</v>
      </c>
      <c r="G784" s="49" t="n">
        <f aca="false">-ROUND(IF(科目对照回款!$F$4="",0,SUMIFS(输入回款!$C:$C,输入回款!$A:$A,助手回款!$X54,输入回款!$B:$B,科目对照回款!$F$4)+SUMIFS(输入回款!$D:$D,输入回款!$A:$A,助手回款!$X54,输入回款!$B:$B,科目对照回款!$F$4))+IF(科目对照回款!$G$4="",0,SUMIFS(输入回款!$C:$C,输入回款!$A:$A,助手回款!$X54,输入回款!$B:$B,科目对照回款!$G$4)+SUMIFS(输入回款!$D:$D,输入回款!$A:$A,助手回款!$X54,输入回款!$B:$B,科目对照回款!$G$4))+IF(科目对照回款!$H$4="",0,SUMIFS(输入回款!$C:$C,输入回款!$A:$A,助手回款!$X54,输入回款!$B:$B,科目对照回款!$H$4)+SUMIFS(输入回款!$D:$D,输入回款!$A:$A,助手回款!$X54,输入回款!$B:$B,科目对照回款!$H$4)),2)</f>
        <v>-0</v>
      </c>
      <c r="H784" s="49" t="str">
        <f aca="false">IF(ROUND($G784,2)&gt;0,ROUND($G784,2),"")</f>
        <v/>
      </c>
      <c r="I784" s="49" t="str">
        <f aca="false">IF(ROUND($G784,2)&lt;0,-ROUND($G784,2),"")</f>
        <v/>
      </c>
      <c r="J784" s="20" t="n">
        <f aca="false">IF(ROUND($G784,2)=0,0,1)</f>
        <v>0</v>
      </c>
      <c r="K784" s="20" t="str">
        <f aca="false">IF($J784=0,"",SUM($J$782:$J784))</f>
        <v/>
      </c>
      <c r="L784" s="20" t="str">
        <f aca="false">IF($K784="","",$A784*100+$K784)</f>
        <v/>
      </c>
      <c r="M784" s="48" t="str">
        <f aca="false">参数!$B$4</f>
        <v>回款</v>
      </c>
    </row>
    <row r="785" customFormat="false" ht="13.5" hidden="false" customHeight="false" outlineLevel="0" collapsed="false">
      <c r="A785" s="47" t="n">
        <v>53</v>
      </c>
      <c r="B785" s="38" t="str">
        <f aca="false">助手回款!$B54</f>
        <v/>
      </c>
      <c r="C785" s="48" t="str">
        <f aca="false">助手回款!$C54</f>
        <v>备用8</v>
      </c>
      <c r="D785" s="48" t="str">
        <f aca="false">科目对照回款!$B5&amp;""</f>
        <v>医保</v>
      </c>
      <c r="E785" s="48" t="str">
        <f aca="false">科目对照回款!$C5&amp;""</f>
        <v>应收账款</v>
      </c>
      <c r="F785" s="48" t="str">
        <f aca="false">科目对照回款!$D5&amp;""</f>
        <v>医保</v>
      </c>
      <c r="G785" s="49" t="n">
        <f aca="false">-ROUND(IF(科目对照回款!$F$5="",0,SUMIFS(输入回款!$C:$C,输入回款!$A:$A,助手回款!$X54,输入回款!$B:$B,科目对照回款!$F$5)+SUMIFS(输入回款!$D:$D,输入回款!$A:$A,助手回款!$X54,输入回款!$B:$B,科目对照回款!$F$5))+IF(科目对照回款!$G$5="",0,SUMIFS(输入回款!$C:$C,输入回款!$A:$A,助手回款!$X54,输入回款!$B:$B,科目对照回款!$G$5)+SUMIFS(输入回款!$D:$D,输入回款!$A:$A,助手回款!$X54,输入回款!$B:$B,科目对照回款!$G$5))+IF(科目对照回款!$H$5="",0,SUMIFS(输入回款!$C:$C,输入回款!$A:$A,助手回款!$X54,输入回款!$B:$B,科目对照回款!$H$5)+SUMIFS(输入回款!$D:$D,输入回款!$A:$A,助手回款!$X54,输入回款!$B:$B,科目对照回款!$H$5)),2)</f>
        <v>-0</v>
      </c>
      <c r="H785" s="49" t="str">
        <f aca="false">IF(ROUND($G785,2)&gt;0,ROUND($G785,2),"")</f>
        <v/>
      </c>
      <c r="I785" s="49" t="str">
        <f aca="false">IF(ROUND($G785,2)&lt;0,-ROUND($G785,2),"")</f>
        <v/>
      </c>
      <c r="J785" s="20" t="n">
        <f aca="false">IF(ROUND($G785,2)=0,0,1)</f>
        <v>0</v>
      </c>
      <c r="K785" s="20" t="str">
        <f aca="false">IF($J785=0,"",SUM($J$782:$J785))</f>
        <v/>
      </c>
      <c r="L785" s="20" t="str">
        <f aca="false">IF($K785="","",$A785*100+$K785)</f>
        <v/>
      </c>
      <c r="M785" s="48" t="str">
        <f aca="false">参数!$B$4</f>
        <v>回款</v>
      </c>
    </row>
    <row r="786" customFormat="false" ht="13.5" hidden="false" customHeight="false" outlineLevel="0" collapsed="false">
      <c r="A786" s="47" t="n">
        <v>53</v>
      </c>
      <c r="B786" s="38" t="str">
        <f aca="false">助手回款!$B54</f>
        <v/>
      </c>
      <c r="C786" s="48" t="str">
        <f aca="false">助手回款!$C54</f>
        <v>备用8</v>
      </c>
      <c r="D786" s="48" t="str">
        <f aca="false">科目对照回款!$B6&amp;""</f>
        <v>美团</v>
      </c>
      <c r="E786" s="48" t="str">
        <f aca="false">科目对照回款!$C6&amp;""</f>
        <v>应收账款</v>
      </c>
      <c r="F786" s="48" t="str">
        <f aca="false">科目对照回款!$D6&amp;""</f>
        <v>美团</v>
      </c>
      <c r="G786" s="49" t="n">
        <f aca="false">-ROUND(IF(科目对照回款!$F$6="",0,SUMIFS(输入回款!$C:$C,输入回款!$A:$A,助手回款!$X54,输入回款!$B:$B,科目对照回款!$F$6)+SUMIFS(输入回款!$D:$D,输入回款!$A:$A,助手回款!$X54,输入回款!$B:$B,科目对照回款!$F$6))+IF(科目对照回款!$G$6="",0,SUMIFS(输入回款!$C:$C,输入回款!$A:$A,助手回款!$X54,输入回款!$B:$B,科目对照回款!$G$6)+SUMIFS(输入回款!$D:$D,输入回款!$A:$A,助手回款!$X54,输入回款!$B:$B,科目对照回款!$G$6))+IF(科目对照回款!$H$6="",0,SUMIFS(输入回款!$C:$C,输入回款!$A:$A,助手回款!$X54,输入回款!$B:$B,科目对照回款!$H$6)+SUMIFS(输入回款!$D:$D,输入回款!$A:$A,助手回款!$X54,输入回款!$B:$B,科目对照回款!$H$6)),2)</f>
        <v>-0</v>
      </c>
      <c r="H786" s="49" t="str">
        <f aca="false">IF(ROUND($G786,2)&gt;0,ROUND($G786,2),"")</f>
        <v/>
      </c>
      <c r="I786" s="49" t="str">
        <f aca="false">IF(ROUND($G786,2)&lt;0,-ROUND($G786,2),"")</f>
        <v/>
      </c>
      <c r="J786" s="20" t="n">
        <f aca="false">IF(ROUND($G786,2)=0,0,1)</f>
        <v>0</v>
      </c>
      <c r="K786" s="20" t="str">
        <f aca="false">IF($J786=0,"",SUM($J$782:$J786))</f>
        <v/>
      </c>
      <c r="L786" s="20" t="str">
        <f aca="false">IF($K786="","",$A786*100+$K786)</f>
        <v/>
      </c>
      <c r="M786" s="48" t="str">
        <f aca="false">参数!$B$4</f>
        <v>回款</v>
      </c>
    </row>
    <row r="787" customFormat="false" ht="13.5" hidden="false" customHeight="false" outlineLevel="0" collapsed="false">
      <c r="A787" s="47" t="n">
        <v>53</v>
      </c>
      <c r="B787" s="38" t="str">
        <f aca="false">助手回款!$B54</f>
        <v/>
      </c>
      <c r="C787" s="48" t="str">
        <f aca="false">助手回款!$C54</f>
        <v>备用8</v>
      </c>
      <c r="D787" s="48" t="str">
        <f aca="false">科目对照回款!$B7&amp;""</f>
        <v>饿了么</v>
      </c>
      <c r="E787" s="48" t="str">
        <f aca="false">科目对照回款!$C7&amp;""</f>
        <v>应收账款</v>
      </c>
      <c r="F787" s="48" t="str">
        <f aca="false">科目对照回款!$D7&amp;""</f>
        <v>饿了么</v>
      </c>
      <c r="G787" s="49" t="n">
        <f aca="false">-ROUND(IF(科目对照回款!$F$7="",0,SUMIFS(输入回款!$C:$C,输入回款!$A:$A,助手回款!$X54,输入回款!$B:$B,科目对照回款!$F$7)+SUMIFS(输入回款!$D:$D,输入回款!$A:$A,助手回款!$X54,输入回款!$B:$B,科目对照回款!$F$7))+IF(科目对照回款!$G$7="",0,SUMIFS(输入回款!$C:$C,输入回款!$A:$A,助手回款!$X54,输入回款!$B:$B,科目对照回款!$G$7)+SUMIFS(输入回款!$D:$D,输入回款!$A:$A,助手回款!$X54,输入回款!$B:$B,科目对照回款!$G$7))+IF(科目对照回款!$H$7="",0,SUMIFS(输入回款!$C:$C,输入回款!$A:$A,助手回款!$X54,输入回款!$B:$B,科目对照回款!$H$7)+SUMIFS(输入回款!$D:$D,输入回款!$A:$A,助手回款!$X54,输入回款!$B:$B,科目对照回款!$H$7)),2)</f>
        <v>-0</v>
      </c>
      <c r="H787" s="49" t="str">
        <f aca="false">IF(ROUND($G787,2)&gt;0,ROUND($G787,2),"")</f>
        <v/>
      </c>
      <c r="I787" s="49" t="str">
        <f aca="false">IF(ROUND($G787,2)&lt;0,-ROUND($G787,2),"")</f>
        <v/>
      </c>
      <c r="J787" s="20" t="n">
        <f aca="false">IF(ROUND($G787,2)=0,0,1)</f>
        <v>0</v>
      </c>
      <c r="K787" s="20" t="str">
        <f aca="false">IF($J787=0,"",SUM($J$782:$J787))</f>
        <v/>
      </c>
      <c r="L787" s="20" t="str">
        <f aca="false">IF($K787="","",$A787*100+$K787)</f>
        <v/>
      </c>
      <c r="M787" s="48" t="str">
        <f aca="false">参数!$B$4</f>
        <v>回款</v>
      </c>
    </row>
    <row r="788" customFormat="false" ht="13.5" hidden="false" customHeight="false" outlineLevel="0" collapsed="false">
      <c r="A788" s="47" t="n">
        <v>53</v>
      </c>
      <c r="B788" s="38" t="str">
        <f aca="false">助手回款!$B54</f>
        <v/>
      </c>
      <c r="C788" s="48" t="str">
        <f aca="false">助手回款!$C54</f>
        <v>备用8</v>
      </c>
      <c r="D788" s="48" t="str">
        <f aca="false">科目对照回款!$B8&amp;""</f>
        <v>24小时</v>
      </c>
      <c r="E788" s="48" t="str">
        <f aca="false">科目对照回款!$C8&amp;""</f>
        <v>应收账款</v>
      </c>
      <c r="F788" s="48" t="str">
        <f aca="false">科目对照回款!$D8&amp;""</f>
        <v>24小时</v>
      </c>
      <c r="G788" s="49" t="n">
        <f aca="false">-ROUND(IF(科目对照回款!$F$8="",0,SUMIFS(输入回款!$C:$C,输入回款!$A:$A,助手回款!$X54,输入回款!$B:$B,科目对照回款!$F$8)+SUMIFS(输入回款!$D:$D,输入回款!$A:$A,助手回款!$X54,输入回款!$B:$B,科目对照回款!$F$8))+IF(科目对照回款!$G$8="",0,SUMIFS(输入回款!$C:$C,输入回款!$A:$A,助手回款!$X54,输入回款!$B:$B,科目对照回款!$G$8)+SUMIFS(输入回款!$D:$D,输入回款!$A:$A,助手回款!$X54,输入回款!$B:$B,科目对照回款!$G$8))+IF(科目对照回款!$H$8="",0,SUMIFS(输入回款!$C:$C,输入回款!$A:$A,助手回款!$X54,输入回款!$B:$B,科目对照回款!$H$8)+SUMIFS(输入回款!$D:$D,输入回款!$A:$A,助手回款!$X54,输入回款!$B:$B,科目对照回款!$H$8)),2)</f>
        <v>-0</v>
      </c>
      <c r="H788" s="49" t="str">
        <f aca="false">IF(ROUND($G788,2)&gt;0,ROUND($G788,2),"")</f>
        <v/>
      </c>
      <c r="I788" s="49" t="str">
        <f aca="false">IF(ROUND($G788,2)&lt;0,-ROUND($G788,2),"")</f>
        <v/>
      </c>
      <c r="J788" s="20" t="n">
        <f aca="false">IF(ROUND($G788,2)=0,0,1)</f>
        <v>0</v>
      </c>
      <c r="K788" s="20" t="str">
        <f aca="false">IF($J788=0,"",SUM($J$782:$J788))</f>
        <v/>
      </c>
      <c r="L788" s="20" t="str">
        <f aca="false">IF($K788="","",$A788*100+$K788)</f>
        <v/>
      </c>
      <c r="M788" s="48" t="str">
        <f aca="false">参数!$B$4</f>
        <v>回款</v>
      </c>
    </row>
    <row r="789" customFormat="false" ht="13.5" hidden="false" customHeight="false" outlineLevel="0" collapsed="false">
      <c r="A789" s="47" t="n">
        <v>53</v>
      </c>
      <c r="B789" s="38" t="str">
        <f aca="false">助手回款!$B54</f>
        <v/>
      </c>
      <c r="C789" s="48" t="str">
        <f aca="false">助手回款!$C54</f>
        <v>备用8</v>
      </c>
      <c r="D789" s="48" t="str">
        <f aca="false">科目对照回款!$B9&amp;""</f>
        <v>健E卡</v>
      </c>
      <c r="E789" s="48" t="str">
        <f aca="false">科目对照回款!$C9&amp;""</f>
        <v>应收账款</v>
      </c>
      <c r="F789" s="48" t="str">
        <f aca="false">科目对照回款!$D9&amp;""</f>
        <v>健E卡</v>
      </c>
      <c r="G789" s="49" t="n">
        <f aca="false">-ROUND(IF(科目对照回款!$F$9="",0,SUMIFS(输入回款!$C:$C,输入回款!$A:$A,助手回款!$X54,输入回款!$B:$B,科目对照回款!$F$9)+SUMIFS(输入回款!$D:$D,输入回款!$A:$A,助手回款!$X54,输入回款!$B:$B,科目对照回款!$F$9))+IF(科目对照回款!$G$9="",0,SUMIFS(输入回款!$C:$C,输入回款!$A:$A,助手回款!$X54,输入回款!$B:$B,科目对照回款!$G$9)+SUMIFS(输入回款!$D:$D,输入回款!$A:$A,助手回款!$X54,输入回款!$B:$B,科目对照回款!$G$9))+IF(科目对照回款!$H$9="",0,SUMIFS(输入回款!$C:$C,输入回款!$A:$A,助手回款!$X54,输入回款!$B:$B,科目对照回款!$H$9)+SUMIFS(输入回款!$D:$D,输入回款!$A:$A,助手回款!$X54,输入回款!$B:$B,科目对照回款!$H$9)),2)</f>
        <v>-0</v>
      </c>
      <c r="H789" s="49" t="str">
        <f aca="false">IF(ROUND($G789,2)&gt;0,ROUND($G789,2),"")</f>
        <v/>
      </c>
      <c r="I789" s="49" t="str">
        <f aca="false">IF(ROUND($G789,2)&lt;0,-ROUND($G789,2),"")</f>
        <v/>
      </c>
      <c r="J789" s="20" t="n">
        <f aca="false">IF(ROUND($G789,2)=0,0,1)</f>
        <v>0</v>
      </c>
      <c r="K789" s="20" t="str">
        <f aca="false">IF($J789=0,"",SUM($J$782:$J789))</f>
        <v/>
      </c>
      <c r="L789" s="20" t="str">
        <f aca="false">IF($K789="","",$A789*100+$K789)</f>
        <v/>
      </c>
      <c r="M789" s="48" t="str">
        <f aca="false">参数!$B$4</f>
        <v>回款</v>
      </c>
    </row>
    <row r="790" customFormat="false" ht="13.5" hidden="false" customHeight="false" outlineLevel="0" collapsed="false">
      <c r="A790" s="47" t="n">
        <v>53</v>
      </c>
      <c r="B790" s="38" t="str">
        <f aca="false">助手回款!$B54</f>
        <v/>
      </c>
      <c r="C790" s="48" t="str">
        <f aca="false">助手回款!$C54</f>
        <v>备用8</v>
      </c>
      <c r="D790" s="48" t="str">
        <f aca="false">科目对照回款!$B10&amp;""</f>
        <v>医卡通</v>
      </c>
      <c r="E790" s="48" t="str">
        <f aca="false">科目对照回款!$C10&amp;""</f>
        <v>应收账款</v>
      </c>
      <c r="F790" s="48" t="str">
        <f aca="false">科目对照回款!$D10&amp;""</f>
        <v>医卡通</v>
      </c>
      <c r="G790" s="49" t="n">
        <f aca="false">-ROUND(IF(科目对照回款!$F$10="",0,SUMIFS(输入回款!$C:$C,输入回款!$A:$A,助手回款!$X54,输入回款!$B:$B,科目对照回款!$F$10)+SUMIFS(输入回款!$D:$D,输入回款!$A:$A,助手回款!$X54,输入回款!$B:$B,科目对照回款!$F$10))+IF(科目对照回款!$G$10="",0,SUMIFS(输入回款!$C:$C,输入回款!$A:$A,助手回款!$X54,输入回款!$B:$B,科目对照回款!$G$10)+SUMIFS(输入回款!$D:$D,输入回款!$A:$A,助手回款!$X54,输入回款!$B:$B,科目对照回款!$G$10))+IF(科目对照回款!$H$10="",0,SUMIFS(输入回款!$C:$C,输入回款!$A:$A,助手回款!$X54,输入回款!$B:$B,科目对照回款!$H$10)+SUMIFS(输入回款!$D:$D,输入回款!$A:$A,助手回款!$X54,输入回款!$B:$B,科目对照回款!$H$10)),2)</f>
        <v>-0</v>
      </c>
      <c r="H790" s="49" t="str">
        <f aca="false">IF(ROUND($G790,2)&gt;0,ROUND($G790,2),"")</f>
        <v/>
      </c>
      <c r="I790" s="49" t="str">
        <f aca="false">IF(ROUND($G790,2)&lt;0,-ROUND($G790,2),"")</f>
        <v/>
      </c>
      <c r="J790" s="20" t="n">
        <f aca="false">IF(ROUND($G790,2)=0,0,1)</f>
        <v>0</v>
      </c>
      <c r="K790" s="20" t="str">
        <f aca="false">IF($J790=0,"",SUM($J$782:$J790))</f>
        <v/>
      </c>
      <c r="L790" s="20" t="str">
        <f aca="false">IF($K790="","",$A790*100+$K790)</f>
        <v/>
      </c>
      <c r="M790" s="48" t="str">
        <f aca="false">参数!$B$4</f>
        <v>回款</v>
      </c>
    </row>
    <row r="791" customFormat="false" ht="13.5" hidden="false" customHeight="false" outlineLevel="0" collapsed="false">
      <c r="A791" s="47" t="n">
        <v>53</v>
      </c>
      <c r="B791" s="38" t="str">
        <f aca="false">助手回款!$B54</f>
        <v/>
      </c>
      <c r="C791" s="48" t="str">
        <f aca="false">助手回款!$C54</f>
        <v>备用8</v>
      </c>
      <c r="D791" s="48" t="str">
        <f aca="false">科目对照回款!$B11&amp;""</f>
        <v>企健网</v>
      </c>
      <c r="E791" s="48" t="str">
        <f aca="false">科目对照回款!$C11&amp;""</f>
        <v>应收账款</v>
      </c>
      <c r="F791" s="48" t="str">
        <f aca="false">科目对照回款!$D11&amp;""</f>
        <v>企健网</v>
      </c>
      <c r="G791" s="49" t="n">
        <f aca="false">-ROUND(IF(科目对照回款!$F$11="",0,SUMIFS(输入回款!$C:$C,输入回款!$A:$A,助手回款!$X54,输入回款!$B:$B,科目对照回款!$F$11)+SUMIFS(输入回款!$D:$D,输入回款!$A:$A,助手回款!$X54,输入回款!$B:$B,科目对照回款!$F$11))+IF(科目对照回款!$G$11="",0,SUMIFS(输入回款!$C:$C,输入回款!$A:$A,助手回款!$X54,输入回款!$B:$B,科目对照回款!$G$11)+SUMIFS(输入回款!$D:$D,输入回款!$A:$A,助手回款!$X54,输入回款!$B:$B,科目对照回款!$G$11))+IF(科目对照回款!$H$11="",0,SUMIFS(输入回款!$C:$C,输入回款!$A:$A,助手回款!$X54,输入回款!$B:$B,科目对照回款!$H$11)+SUMIFS(输入回款!$D:$D,输入回款!$A:$A,助手回款!$X54,输入回款!$B:$B,科目对照回款!$H$11)),2)</f>
        <v>-0</v>
      </c>
      <c r="H791" s="49" t="str">
        <f aca="false">IF(ROUND($G791,2)&gt;0,ROUND($G791,2),"")</f>
        <v/>
      </c>
      <c r="I791" s="49" t="str">
        <f aca="false">IF(ROUND($G791,2)&lt;0,-ROUND($G791,2),"")</f>
        <v/>
      </c>
      <c r="J791" s="20" t="n">
        <f aca="false">IF(ROUND($G791,2)=0,0,1)</f>
        <v>0</v>
      </c>
      <c r="K791" s="20" t="str">
        <f aca="false">IF($J791=0,"",SUM($J$782:$J791))</f>
        <v/>
      </c>
      <c r="L791" s="20" t="str">
        <f aca="false">IF($K791="","",$A791*100+$K791)</f>
        <v/>
      </c>
      <c r="M791" s="48" t="str">
        <f aca="false">参数!$B$4</f>
        <v>回款</v>
      </c>
    </row>
    <row r="792" customFormat="false" ht="13.5" hidden="false" customHeight="false" outlineLevel="0" collapsed="false">
      <c r="A792" s="47" t="n">
        <v>53</v>
      </c>
      <c r="B792" s="38" t="str">
        <f aca="false">助手回款!$B54</f>
        <v/>
      </c>
      <c r="C792" s="48" t="str">
        <f aca="false">助手回款!$C54</f>
        <v>备用8</v>
      </c>
      <c r="D792" s="48" t="str">
        <f aca="false">科目对照回款!$B12&amp;""</f>
        <v>亲情卡</v>
      </c>
      <c r="E792" s="48" t="str">
        <f aca="false">科目对照回款!$C12&amp;""</f>
        <v>应收账款</v>
      </c>
      <c r="F792" s="48" t="str">
        <f aca="false">科目对照回款!$D12&amp;""</f>
        <v>亲情卡</v>
      </c>
      <c r="G792" s="49" t="n">
        <f aca="false">-ROUND(IF(科目对照回款!$F$12="",0,SUMIFS(输入回款!$C:$C,输入回款!$A:$A,助手回款!$X54,输入回款!$B:$B,科目对照回款!$F$12)+SUMIFS(输入回款!$D:$D,输入回款!$A:$A,助手回款!$X54,输入回款!$B:$B,科目对照回款!$F$12))+IF(科目对照回款!$G$12="",0,SUMIFS(输入回款!$C:$C,输入回款!$A:$A,助手回款!$X54,输入回款!$B:$B,科目对照回款!$G$12)+SUMIFS(输入回款!$D:$D,输入回款!$A:$A,助手回款!$X54,输入回款!$B:$B,科目对照回款!$G$12))+IF(科目对照回款!$H$12="",0,SUMIFS(输入回款!$C:$C,输入回款!$A:$A,助手回款!$X54,输入回款!$B:$B,科目对照回款!$H$12)+SUMIFS(输入回款!$D:$D,输入回款!$A:$A,助手回款!$X54,输入回款!$B:$B,科目对照回款!$H$12)),2)</f>
        <v>-0</v>
      </c>
      <c r="H792" s="49" t="str">
        <f aca="false">IF(ROUND($G792,2)&gt;0,ROUND($G792,2),"")</f>
        <v/>
      </c>
      <c r="I792" s="49" t="str">
        <f aca="false">IF(ROUND($G792,2)&lt;0,-ROUND($G792,2),"")</f>
        <v/>
      </c>
      <c r="J792" s="20" t="n">
        <f aca="false">IF(ROUND($G792,2)=0,0,1)</f>
        <v>0</v>
      </c>
      <c r="K792" s="20" t="str">
        <f aca="false">IF($J792=0,"",SUM($J$782:$J792))</f>
        <v/>
      </c>
      <c r="L792" s="20" t="str">
        <f aca="false">IF($K792="","",$A792*100+$K792)</f>
        <v/>
      </c>
      <c r="M792" s="48" t="str">
        <f aca="false">参数!$B$4</f>
        <v>回款</v>
      </c>
    </row>
    <row r="793" customFormat="false" ht="13.5" hidden="false" customHeight="false" outlineLevel="0" collapsed="false">
      <c r="A793" s="47" t="n">
        <v>53</v>
      </c>
      <c r="B793" s="38" t="str">
        <f aca="false">助手回款!$B54</f>
        <v/>
      </c>
      <c r="C793" s="48" t="str">
        <f aca="false">助手回款!$C54</f>
        <v>备用8</v>
      </c>
      <c r="D793" s="48" t="str">
        <f aca="false">科目对照回款!$B13&amp;""</f>
        <v>银联</v>
      </c>
      <c r="E793" s="48" t="str">
        <f aca="false">科目对照回款!$C13&amp;""</f>
        <v>应收账款</v>
      </c>
      <c r="F793" s="48" t="str">
        <f aca="false">科目对照回款!$D13&amp;""</f>
        <v>银联</v>
      </c>
      <c r="G793" s="49" t="n">
        <f aca="false">-ROUND(IF(科目对照回款!$F$13="",0,SUMIFS(输入回款!$C:$C,输入回款!$A:$A,助手回款!$X54,输入回款!$B:$B,科目对照回款!$F$13)+SUMIFS(输入回款!$D:$D,输入回款!$A:$A,助手回款!$X54,输入回款!$B:$B,科目对照回款!$F$13))+IF(科目对照回款!$G$13="",0,SUMIFS(输入回款!$C:$C,输入回款!$A:$A,助手回款!$X54,输入回款!$B:$B,科目对照回款!$G$13)+SUMIFS(输入回款!$D:$D,输入回款!$A:$A,助手回款!$X54,输入回款!$B:$B,科目对照回款!$G$13))+IF(科目对照回款!$H$13="",0,SUMIFS(输入回款!$C:$C,输入回款!$A:$A,助手回款!$X54,输入回款!$B:$B,科目对照回款!$H$13)+SUMIFS(输入回款!$D:$D,输入回款!$A:$A,助手回款!$X54,输入回款!$B:$B,科目对照回款!$H$13)),2)</f>
        <v>-0</v>
      </c>
      <c r="H793" s="49" t="str">
        <f aca="false">IF(ROUND($G793,2)&gt;0,ROUND($G793,2),"")</f>
        <v/>
      </c>
      <c r="I793" s="49" t="str">
        <f aca="false">IF(ROUND($G793,2)&lt;0,-ROUND($G793,2),"")</f>
        <v/>
      </c>
      <c r="J793" s="20" t="n">
        <f aca="false">IF(ROUND($G793,2)=0,0,1)</f>
        <v>0</v>
      </c>
      <c r="K793" s="20" t="str">
        <f aca="false">IF($J793=0,"",SUM($J$782:$J793))</f>
        <v/>
      </c>
      <c r="L793" s="20" t="str">
        <f aca="false">IF($K793="","",$A793*100+$K793)</f>
        <v/>
      </c>
      <c r="M793" s="48" t="str">
        <f aca="false">参数!$B$4</f>
        <v>回款</v>
      </c>
    </row>
    <row r="794" customFormat="false" ht="13.5" hidden="false" customHeight="false" outlineLevel="0" collapsed="false">
      <c r="A794" s="47" t="n">
        <v>53</v>
      </c>
      <c r="B794" s="38" t="str">
        <f aca="false">助手回款!$B54</f>
        <v/>
      </c>
      <c r="C794" s="48" t="str">
        <f aca="false">助手回款!$C54</f>
        <v>备用8</v>
      </c>
      <c r="D794" s="48" t="str">
        <f aca="false">科目对照回款!$B14&amp;""</f>
        <v>代金券</v>
      </c>
      <c r="E794" s="48" t="str">
        <f aca="false">科目对照回款!$C14&amp;""</f>
        <v>应收账款</v>
      </c>
      <c r="F794" s="48" t="str">
        <f aca="false">科目对照回款!$D14&amp;""</f>
        <v>代金券</v>
      </c>
      <c r="G794" s="49" t="n">
        <f aca="false">-ROUND(IF(科目对照回款!$F$14="",0,SUMIFS(输入回款!$C:$C,输入回款!$A:$A,助手回款!$X54,输入回款!$B:$B,科目对照回款!$F$14)+SUMIFS(输入回款!$D:$D,输入回款!$A:$A,助手回款!$X54,输入回款!$B:$B,科目对照回款!$F$14))+IF(科目对照回款!$G$14="",0,SUMIFS(输入回款!$C:$C,输入回款!$A:$A,助手回款!$X54,输入回款!$B:$B,科目对照回款!$G$14)+SUMIFS(输入回款!$D:$D,输入回款!$A:$A,助手回款!$X54,输入回款!$B:$B,科目对照回款!$G$14))+IF(科目对照回款!$H$14="",0,SUMIFS(输入回款!$C:$C,输入回款!$A:$A,助手回款!$X54,输入回款!$B:$B,科目对照回款!$H$14)+SUMIFS(输入回款!$D:$D,输入回款!$A:$A,助手回款!$X54,输入回款!$B:$B,科目对照回款!$H$14)),2)</f>
        <v>-0</v>
      </c>
      <c r="H794" s="49" t="str">
        <f aca="false">IF(ROUND($G794,2)&gt;0,ROUND($G794,2),"")</f>
        <v/>
      </c>
      <c r="I794" s="49" t="str">
        <f aca="false">IF(ROUND($G794,2)&lt;0,-ROUND($G794,2),"")</f>
        <v/>
      </c>
      <c r="J794" s="20" t="n">
        <f aca="false">IF(ROUND($G794,2)=0,0,1)</f>
        <v>0</v>
      </c>
      <c r="K794" s="20" t="str">
        <f aca="false">IF($J794=0,"",SUM($J$782:$J794))</f>
        <v/>
      </c>
      <c r="L794" s="20" t="str">
        <f aca="false">IF($K794="","",$A794*100+$K794)</f>
        <v/>
      </c>
      <c r="M794" s="48" t="str">
        <f aca="false">参数!$B$4</f>
        <v>回款</v>
      </c>
    </row>
    <row r="795" customFormat="false" ht="13.5" hidden="false" customHeight="false" outlineLevel="0" collapsed="false">
      <c r="A795" s="47" t="n">
        <v>53</v>
      </c>
      <c r="B795" s="38" t="str">
        <f aca="false">助手回款!$B54</f>
        <v/>
      </c>
      <c r="C795" s="48" t="str">
        <f aca="false">助手回款!$C54</f>
        <v>备用8</v>
      </c>
      <c r="D795" s="48" t="str">
        <f aca="false">科目对照回款!$B15&amp;""</f>
        <v>药机微信</v>
      </c>
      <c r="E795" s="48" t="str">
        <f aca="false">科目对照回款!$C15&amp;""</f>
        <v>应收账款</v>
      </c>
      <c r="F795" s="48" t="str">
        <f aca="false">科目对照回款!$D15&amp;""</f>
        <v>药机微信</v>
      </c>
      <c r="G795" s="49" t="n">
        <f aca="false">-ROUND(IF(科目对照回款!$F$15="",0,SUMIFS(输入回款!$C:$C,输入回款!$A:$A,助手回款!$X54,输入回款!$B:$B,科目对照回款!$F$15)+SUMIFS(输入回款!$D:$D,输入回款!$A:$A,助手回款!$X54,输入回款!$B:$B,科目对照回款!$F$15))+IF(科目对照回款!$G$15="",0,SUMIFS(输入回款!$C:$C,输入回款!$A:$A,助手回款!$X54,输入回款!$B:$B,科目对照回款!$G$15)+SUMIFS(输入回款!$D:$D,输入回款!$A:$A,助手回款!$X54,输入回款!$B:$B,科目对照回款!$G$15))+IF(科目对照回款!$H$15="",0,SUMIFS(输入回款!$C:$C,输入回款!$A:$A,助手回款!$X54,输入回款!$B:$B,科目对照回款!$H$15)+SUMIFS(输入回款!$D:$D,输入回款!$A:$A,助手回款!$X54,输入回款!$B:$B,科目对照回款!$H$15)),2)</f>
        <v>-0</v>
      </c>
      <c r="H795" s="49" t="str">
        <f aca="false">IF(ROUND($G795,2)&gt;0,ROUND($G795,2),"")</f>
        <v/>
      </c>
      <c r="I795" s="49" t="str">
        <f aca="false">IF(ROUND($G795,2)&lt;0,-ROUND($G795,2),"")</f>
        <v/>
      </c>
      <c r="J795" s="20" t="n">
        <f aca="false">IF(ROUND($G795,2)=0,0,1)</f>
        <v>0</v>
      </c>
      <c r="K795" s="20" t="str">
        <f aca="false">IF($J795=0,"",SUM($J$782:$J795))</f>
        <v/>
      </c>
      <c r="L795" s="20" t="str">
        <f aca="false">IF($K795="","",$A795*100+$K795)</f>
        <v/>
      </c>
      <c r="M795" s="48" t="str">
        <f aca="false">参数!$B$4</f>
        <v>回款</v>
      </c>
    </row>
    <row r="796" customFormat="false" ht="13.5" hidden="false" customHeight="false" outlineLevel="0" collapsed="false">
      <c r="A796" s="47" t="n">
        <v>53</v>
      </c>
      <c r="B796" s="38" t="str">
        <f aca="false">助手回款!$B54</f>
        <v/>
      </c>
      <c r="C796" s="48" t="str">
        <f aca="false">助手回款!$C54</f>
        <v>备用8</v>
      </c>
      <c r="D796" s="48" t="str">
        <f aca="false">科目对照回款!$B16&amp;""</f>
        <v>储值卡</v>
      </c>
      <c r="E796" s="48" t="str">
        <f aca="false">科目对照回款!$C16&amp;""</f>
        <v>其他应收款</v>
      </c>
      <c r="F796" s="48" t="str">
        <f aca="false">科目对照回款!$D16&amp;""</f>
        <v>储值卡</v>
      </c>
      <c r="G796" s="49" t="n">
        <f aca="false">-ROUND(IF(科目对照回款!$F$16="",0,SUMIFS(输入回款!$C:$C,输入回款!$A:$A,助手回款!$X54,输入回款!$B:$B,科目对照回款!$F$16)+SUMIFS(输入回款!$D:$D,输入回款!$A:$A,助手回款!$X54,输入回款!$B:$B,科目对照回款!$F$16))+IF(科目对照回款!$G$16="",0,SUMIFS(输入回款!$C:$C,输入回款!$A:$A,助手回款!$X54,输入回款!$B:$B,科目对照回款!$G$16)+SUMIFS(输入回款!$D:$D,输入回款!$A:$A,助手回款!$X54,输入回款!$B:$B,科目对照回款!$G$16))+IF(科目对照回款!$H$16="",0,SUMIFS(输入回款!$C:$C,输入回款!$A:$A,助手回款!$X54,输入回款!$B:$B,科目对照回款!$H$16)+SUMIFS(输入回款!$D:$D,输入回款!$A:$A,助手回款!$X54,输入回款!$B:$B,科目对照回款!$H$16)),2)</f>
        <v>-0</v>
      </c>
      <c r="H796" s="49" t="str">
        <f aca="false">IF(ROUND($G796,2)&gt;0,ROUND($G796,2),"")</f>
        <v/>
      </c>
      <c r="I796" s="49" t="str">
        <f aca="false">IF(ROUND($G796,2)&lt;0,-ROUND($G796,2),"")</f>
        <v/>
      </c>
      <c r="J796" s="20" t="n">
        <f aca="false">IF(ROUND($G796,2)=0,0,1)</f>
        <v>0</v>
      </c>
      <c r="K796" s="20" t="str">
        <f aca="false">IF($J796=0,"",SUM($J$782:$J796))</f>
        <v/>
      </c>
      <c r="L796" s="20" t="str">
        <f aca="false">IF($K796="","",$A796*100+$K796)</f>
        <v/>
      </c>
      <c r="M796" s="48" t="str">
        <f aca="false">参数!$B$4</f>
        <v>回款</v>
      </c>
    </row>
    <row r="797" customFormat="false" ht="13.5" hidden="false" customHeight="false" outlineLevel="0" collapsed="false">
      <c r="A797" s="47" t="n">
        <v>54</v>
      </c>
      <c r="B797" s="38" t="str">
        <f aca="false">助手回款!$B55</f>
        <v/>
      </c>
      <c r="C797" s="48" t="str">
        <f aca="false">助手回款!$C55</f>
        <v>备用9</v>
      </c>
      <c r="D797" s="48" t="str">
        <f aca="false">科目对照回款!$B2&amp;""</f>
        <v>库存现金</v>
      </c>
      <c r="E797" s="48" t="str">
        <f aca="false">科目对照回款!$C2&amp;""</f>
        <v>库存现金</v>
      </c>
      <c r="F797" s="48" t="str">
        <f aca="false">科目对照回款!$D2&amp;""</f>
        <v/>
      </c>
      <c r="G797" s="49" t="n">
        <f aca="false">助手回款!$E55</f>
        <v>0</v>
      </c>
      <c r="H797" s="49" t="str">
        <f aca="false">IF(ROUND($G797,2)&gt;0,ROUND($G797,2),"")</f>
        <v/>
      </c>
      <c r="I797" s="49" t="str">
        <f aca="false">IF(ROUND($G797,2)&lt;0,-ROUND($G797,2),"")</f>
        <v/>
      </c>
      <c r="J797" s="20" t="n">
        <f aca="false">IF(ROUND($G797,2)=0,0,1)</f>
        <v>0</v>
      </c>
      <c r="K797" s="20" t="str">
        <f aca="false">IF($J797=0,"",SUM($J$797:$J797))</f>
        <v/>
      </c>
      <c r="L797" s="20" t="str">
        <f aca="false">IF($K797="","",$A797*100+$K797)</f>
        <v/>
      </c>
      <c r="M797" s="48" t="str">
        <f aca="false">参数!$B$4</f>
        <v>回款</v>
      </c>
    </row>
    <row r="798" customFormat="false" ht="13.5" hidden="false" customHeight="false" outlineLevel="0" collapsed="false">
      <c r="A798" s="47" t="n">
        <v>54</v>
      </c>
      <c r="B798" s="38" t="str">
        <f aca="false">助手回款!$B55</f>
        <v/>
      </c>
      <c r="C798" s="48" t="str">
        <f aca="false">助手回款!$C55</f>
        <v>备用9</v>
      </c>
      <c r="D798" s="48" t="str">
        <f aca="false">科目对照回款!$B3&amp;""</f>
        <v>手续费</v>
      </c>
      <c r="E798" s="48" t="str">
        <f aca="false">科目对照回款!$C3&amp;""</f>
        <v>财务费用</v>
      </c>
      <c r="F798" s="48" t="str">
        <f aca="false">科目对照回款!$D3&amp;""</f>
        <v>手续费</v>
      </c>
      <c r="G798" s="49" t="n">
        <f aca="false">助手回款!$F55</f>
        <v>0</v>
      </c>
      <c r="H798" s="49" t="str">
        <f aca="false">IF(ROUND($G798,2)&gt;0,ROUND($G798,2),"")</f>
        <v/>
      </c>
      <c r="I798" s="49" t="str">
        <f aca="false">IF(ROUND($G798,2)&lt;0,-ROUND($G798,2),"")</f>
        <v/>
      </c>
      <c r="J798" s="20" t="n">
        <f aca="false">IF(ROUND($G798,2)=0,0,1)</f>
        <v>0</v>
      </c>
      <c r="K798" s="20" t="str">
        <f aca="false">IF($J798=0,"",SUM($J$797:$J798))</f>
        <v/>
      </c>
      <c r="L798" s="20" t="str">
        <f aca="false">IF($K798="","",$A798*100+$K798)</f>
        <v/>
      </c>
      <c r="M798" s="48" t="str">
        <f aca="false">参数!$B$4</f>
        <v>回款</v>
      </c>
    </row>
    <row r="799" customFormat="false" ht="13.5" hidden="false" customHeight="false" outlineLevel="0" collapsed="false">
      <c r="A799" s="47" t="n">
        <v>54</v>
      </c>
      <c r="B799" s="38" t="str">
        <f aca="false">助手回款!$B55</f>
        <v/>
      </c>
      <c r="C799" s="48" t="str">
        <f aca="false">助手回款!$C55</f>
        <v>备用9</v>
      </c>
      <c r="D799" s="48" t="str">
        <f aca="false">科目对照回款!$B4&amp;""</f>
        <v>聚合支付</v>
      </c>
      <c r="E799" s="48" t="str">
        <f aca="false">科目对照回款!$C4&amp;""</f>
        <v>应收账款</v>
      </c>
      <c r="F799" s="48" t="str">
        <f aca="false">科目对照回款!$D4&amp;""</f>
        <v>聚合支付</v>
      </c>
      <c r="G799" s="49" t="n">
        <f aca="false">-ROUND(IF(科目对照回款!$F$4="",0,SUMIFS(输入回款!$C:$C,输入回款!$A:$A,助手回款!$X55,输入回款!$B:$B,科目对照回款!$F$4)+SUMIFS(输入回款!$D:$D,输入回款!$A:$A,助手回款!$X55,输入回款!$B:$B,科目对照回款!$F$4))+IF(科目对照回款!$G$4="",0,SUMIFS(输入回款!$C:$C,输入回款!$A:$A,助手回款!$X55,输入回款!$B:$B,科目对照回款!$G$4)+SUMIFS(输入回款!$D:$D,输入回款!$A:$A,助手回款!$X55,输入回款!$B:$B,科目对照回款!$G$4))+IF(科目对照回款!$H$4="",0,SUMIFS(输入回款!$C:$C,输入回款!$A:$A,助手回款!$X55,输入回款!$B:$B,科目对照回款!$H$4)+SUMIFS(输入回款!$D:$D,输入回款!$A:$A,助手回款!$X55,输入回款!$B:$B,科目对照回款!$H$4)),2)</f>
        <v>-0</v>
      </c>
      <c r="H799" s="49" t="str">
        <f aca="false">IF(ROUND($G799,2)&gt;0,ROUND($G799,2),"")</f>
        <v/>
      </c>
      <c r="I799" s="49" t="str">
        <f aca="false">IF(ROUND($G799,2)&lt;0,-ROUND($G799,2),"")</f>
        <v/>
      </c>
      <c r="J799" s="20" t="n">
        <f aca="false">IF(ROUND($G799,2)=0,0,1)</f>
        <v>0</v>
      </c>
      <c r="K799" s="20" t="str">
        <f aca="false">IF($J799=0,"",SUM($J$797:$J799))</f>
        <v/>
      </c>
      <c r="L799" s="20" t="str">
        <f aca="false">IF($K799="","",$A799*100+$K799)</f>
        <v/>
      </c>
      <c r="M799" s="48" t="str">
        <f aca="false">参数!$B$4</f>
        <v>回款</v>
      </c>
    </row>
    <row r="800" customFormat="false" ht="13.5" hidden="false" customHeight="false" outlineLevel="0" collapsed="false">
      <c r="A800" s="47" t="n">
        <v>54</v>
      </c>
      <c r="B800" s="38" t="str">
        <f aca="false">助手回款!$B55</f>
        <v/>
      </c>
      <c r="C800" s="48" t="str">
        <f aca="false">助手回款!$C55</f>
        <v>备用9</v>
      </c>
      <c r="D800" s="48" t="str">
        <f aca="false">科目对照回款!$B5&amp;""</f>
        <v>医保</v>
      </c>
      <c r="E800" s="48" t="str">
        <f aca="false">科目对照回款!$C5&amp;""</f>
        <v>应收账款</v>
      </c>
      <c r="F800" s="48" t="str">
        <f aca="false">科目对照回款!$D5&amp;""</f>
        <v>医保</v>
      </c>
      <c r="G800" s="49" t="n">
        <f aca="false">-ROUND(IF(科目对照回款!$F$5="",0,SUMIFS(输入回款!$C:$C,输入回款!$A:$A,助手回款!$X55,输入回款!$B:$B,科目对照回款!$F$5)+SUMIFS(输入回款!$D:$D,输入回款!$A:$A,助手回款!$X55,输入回款!$B:$B,科目对照回款!$F$5))+IF(科目对照回款!$G$5="",0,SUMIFS(输入回款!$C:$C,输入回款!$A:$A,助手回款!$X55,输入回款!$B:$B,科目对照回款!$G$5)+SUMIFS(输入回款!$D:$D,输入回款!$A:$A,助手回款!$X55,输入回款!$B:$B,科目对照回款!$G$5))+IF(科目对照回款!$H$5="",0,SUMIFS(输入回款!$C:$C,输入回款!$A:$A,助手回款!$X55,输入回款!$B:$B,科目对照回款!$H$5)+SUMIFS(输入回款!$D:$D,输入回款!$A:$A,助手回款!$X55,输入回款!$B:$B,科目对照回款!$H$5)),2)</f>
        <v>-0</v>
      </c>
      <c r="H800" s="49" t="str">
        <f aca="false">IF(ROUND($G800,2)&gt;0,ROUND($G800,2),"")</f>
        <v/>
      </c>
      <c r="I800" s="49" t="str">
        <f aca="false">IF(ROUND($G800,2)&lt;0,-ROUND($G800,2),"")</f>
        <v/>
      </c>
      <c r="J800" s="20" t="n">
        <f aca="false">IF(ROUND($G800,2)=0,0,1)</f>
        <v>0</v>
      </c>
      <c r="K800" s="20" t="str">
        <f aca="false">IF($J800=0,"",SUM($J$797:$J800))</f>
        <v/>
      </c>
      <c r="L800" s="20" t="str">
        <f aca="false">IF($K800="","",$A800*100+$K800)</f>
        <v/>
      </c>
      <c r="M800" s="48" t="str">
        <f aca="false">参数!$B$4</f>
        <v>回款</v>
      </c>
    </row>
    <row r="801" customFormat="false" ht="13.5" hidden="false" customHeight="false" outlineLevel="0" collapsed="false">
      <c r="A801" s="47" t="n">
        <v>54</v>
      </c>
      <c r="B801" s="38" t="str">
        <f aca="false">助手回款!$B55</f>
        <v/>
      </c>
      <c r="C801" s="48" t="str">
        <f aca="false">助手回款!$C55</f>
        <v>备用9</v>
      </c>
      <c r="D801" s="48" t="str">
        <f aca="false">科目对照回款!$B6&amp;""</f>
        <v>美团</v>
      </c>
      <c r="E801" s="48" t="str">
        <f aca="false">科目对照回款!$C6&amp;""</f>
        <v>应收账款</v>
      </c>
      <c r="F801" s="48" t="str">
        <f aca="false">科目对照回款!$D6&amp;""</f>
        <v>美团</v>
      </c>
      <c r="G801" s="49" t="n">
        <f aca="false">-ROUND(IF(科目对照回款!$F$6="",0,SUMIFS(输入回款!$C:$C,输入回款!$A:$A,助手回款!$X55,输入回款!$B:$B,科目对照回款!$F$6)+SUMIFS(输入回款!$D:$D,输入回款!$A:$A,助手回款!$X55,输入回款!$B:$B,科目对照回款!$F$6))+IF(科目对照回款!$G$6="",0,SUMIFS(输入回款!$C:$C,输入回款!$A:$A,助手回款!$X55,输入回款!$B:$B,科目对照回款!$G$6)+SUMIFS(输入回款!$D:$D,输入回款!$A:$A,助手回款!$X55,输入回款!$B:$B,科目对照回款!$G$6))+IF(科目对照回款!$H$6="",0,SUMIFS(输入回款!$C:$C,输入回款!$A:$A,助手回款!$X55,输入回款!$B:$B,科目对照回款!$H$6)+SUMIFS(输入回款!$D:$D,输入回款!$A:$A,助手回款!$X55,输入回款!$B:$B,科目对照回款!$H$6)),2)</f>
        <v>-0</v>
      </c>
      <c r="H801" s="49" t="str">
        <f aca="false">IF(ROUND($G801,2)&gt;0,ROUND($G801,2),"")</f>
        <v/>
      </c>
      <c r="I801" s="49" t="str">
        <f aca="false">IF(ROUND($G801,2)&lt;0,-ROUND($G801,2),"")</f>
        <v/>
      </c>
      <c r="J801" s="20" t="n">
        <f aca="false">IF(ROUND($G801,2)=0,0,1)</f>
        <v>0</v>
      </c>
      <c r="K801" s="20" t="str">
        <f aca="false">IF($J801=0,"",SUM($J$797:$J801))</f>
        <v/>
      </c>
      <c r="L801" s="20" t="str">
        <f aca="false">IF($K801="","",$A801*100+$K801)</f>
        <v/>
      </c>
      <c r="M801" s="48" t="str">
        <f aca="false">参数!$B$4</f>
        <v>回款</v>
      </c>
    </row>
    <row r="802" customFormat="false" ht="13.5" hidden="false" customHeight="false" outlineLevel="0" collapsed="false">
      <c r="A802" s="47" t="n">
        <v>54</v>
      </c>
      <c r="B802" s="38" t="str">
        <f aca="false">助手回款!$B55</f>
        <v/>
      </c>
      <c r="C802" s="48" t="str">
        <f aca="false">助手回款!$C55</f>
        <v>备用9</v>
      </c>
      <c r="D802" s="48" t="str">
        <f aca="false">科目对照回款!$B7&amp;""</f>
        <v>饿了么</v>
      </c>
      <c r="E802" s="48" t="str">
        <f aca="false">科目对照回款!$C7&amp;""</f>
        <v>应收账款</v>
      </c>
      <c r="F802" s="48" t="str">
        <f aca="false">科目对照回款!$D7&amp;""</f>
        <v>饿了么</v>
      </c>
      <c r="G802" s="49" t="n">
        <f aca="false">-ROUND(IF(科目对照回款!$F$7="",0,SUMIFS(输入回款!$C:$C,输入回款!$A:$A,助手回款!$X55,输入回款!$B:$B,科目对照回款!$F$7)+SUMIFS(输入回款!$D:$D,输入回款!$A:$A,助手回款!$X55,输入回款!$B:$B,科目对照回款!$F$7))+IF(科目对照回款!$G$7="",0,SUMIFS(输入回款!$C:$C,输入回款!$A:$A,助手回款!$X55,输入回款!$B:$B,科目对照回款!$G$7)+SUMIFS(输入回款!$D:$D,输入回款!$A:$A,助手回款!$X55,输入回款!$B:$B,科目对照回款!$G$7))+IF(科目对照回款!$H$7="",0,SUMIFS(输入回款!$C:$C,输入回款!$A:$A,助手回款!$X55,输入回款!$B:$B,科目对照回款!$H$7)+SUMIFS(输入回款!$D:$D,输入回款!$A:$A,助手回款!$X55,输入回款!$B:$B,科目对照回款!$H$7)),2)</f>
        <v>-0</v>
      </c>
      <c r="H802" s="49" t="str">
        <f aca="false">IF(ROUND($G802,2)&gt;0,ROUND($G802,2),"")</f>
        <v/>
      </c>
      <c r="I802" s="49" t="str">
        <f aca="false">IF(ROUND($G802,2)&lt;0,-ROUND($G802,2),"")</f>
        <v/>
      </c>
      <c r="J802" s="20" t="n">
        <f aca="false">IF(ROUND($G802,2)=0,0,1)</f>
        <v>0</v>
      </c>
      <c r="K802" s="20" t="str">
        <f aca="false">IF($J802=0,"",SUM($J$797:$J802))</f>
        <v/>
      </c>
      <c r="L802" s="20" t="str">
        <f aca="false">IF($K802="","",$A802*100+$K802)</f>
        <v/>
      </c>
      <c r="M802" s="48" t="str">
        <f aca="false">参数!$B$4</f>
        <v>回款</v>
      </c>
    </row>
    <row r="803" customFormat="false" ht="13.5" hidden="false" customHeight="false" outlineLevel="0" collapsed="false">
      <c r="A803" s="47" t="n">
        <v>54</v>
      </c>
      <c r="B803" s="38" t="str">
        <f aca="false">助手回款!$B55</f>
        <v/>
      </c>
      <c r="C803" s="48" t="str">
        <f aca="false">助手回款!$C55</f>
        <v>备用9</v>
      </c>
      <c r="D803" s="48" t="str">
        <f aca="false">科目对照回款!$B8&amp;""</f>
        <v>24小时</v>
      </c>
      <c r="E803" s="48" t="str">
        <f aca="false">科目对照回款!$C8&amp;""</f>
        <v>应收账款</v>
      </c>
      <c r="F803" s="48" t="str">
        <f aca="false">科目对照回款!$D8&amp;""</f>
        <v>24小时</v>
      </c>
      <c r="G803" s="49" t="n">
        <f aca="false">-ROUND(IF(科目对照回款!$F$8="",0,SUMIFS(输入回款!$C:$C,输入回款!$A:$A,助手回款!$X55,输入回款!$B:$B,科目对照回款!$F$8)+SUMIFS(输入回款!$D:$D,输入回款!$A:$A,助手回款!$X55,输入回款!$B:$B,科目对照回款!$F$8))+IF(科目对照回款!$G$8="",0,SUMIFS(输入回款!$C:$C,输入回款!$A:$A,助手回款!$X55,输入回款!$B:$B,科目对照回款!$G$8)+SUMIFS(输入回款!$D:$D,输入回款!$A:$A,助手回款!$X55,输入回款!$B:$B,科目对照回款!$G$8))+IF(科目对照回款!$H$8="",0,SUMIFS(输入回款!$C:$C,输入回款!$A:$A,助手回款!$X55,输入回款!$B:$B,科目对照回款!$H$8)+SUMIFS(输入回款!$D:$D,输入回款!$A:$A,助手回款!$X55,输入回款!$B:$B,科目对照回款!$H$8)),2)</f>
        <v>-0</v>
      </c>
      <c r="H803" s="49" t="str">
        <f aca="false">IF(ROUND($G803,2)&gt;0,ROUND($G803,2),"")</f>
        <v/>
      </c>
      <c r="I803" s="49" t="str">
        <f aca="false">IF(ROUND($G803,2)&lt;0,-ROUND($G803,2),"")</f>
        <v/>
      </c>
      <c r="J803" s="20" t="n">
        <f aca="false">IF(ROUND($G803,2)=0,0,1)</f>
        <v>0</v>
      </c>
      <c r="K803" s="20" t="str">
        <f aca="false">IF($J803=0,"",SUM($J$797:$J803))</f>
        <v/>
      </c>
      <c r="L803" s="20" t="str">
        <f aca="false">IF($K803="","",$A803*100+$K803)</f>
        <v/>
      </c>
      <c r="M803" s="48" t="str">
        <f aca="false">参数!$B$4</f>
        <v>回款</v>
      </c>
    </row>
    <row r="804" customFormat="false" ht="13.5" hidden="false" customHeight="false" outlineLevel="0" collapsed="false">
      <c r="A804" s="47" t="n">
        <v>54</v>
      </c>
      <c r="B804" s="38" t="str">
        <f aca="false">助手回款!$B55</f>
        <v/>
      </c>
      <c r="C804" s="48" t="str">
        <f aca="false">助手回款!$C55</f>
        <v>备用9</v>
      </c>
      <c r="D804" s="48" t="str">
        <f aca="false">科目对照回款!$B9&amp;""</f>
        <v>健E卡</v>
      </c>
      <c r="E804" s="48" t="str">
        <f aca="false">科目对照回款!$C9&amp;""</f>
        <v>应收账款</v>
      </c>
      <c r="F804" s="48" t="str">
        <f aca="false">科目对照回款!$D9&amp;""</f>
        <v>健E卡</v>
      </c>
      <c r="G804" s="49" t="n">
        <f aca="false">-ROUND(IF(科目对照回款!$F$9="",0,SUMIFS(输入回款!$C:$C,输入回款!$A:$A,助手回款!$X55,输入回款!$B:$B,科目对照回款!$F$9)+SUMIFS(输入回款!$D:$D,输入回款!$A:$A,助手回款!$X55,输入回款!$B:$B,科目对照回款!$F$9))+IF(科目对照回款!$G$9="",0,SUMIFS(输入回款!$C:$C,输入回款!$A:$A,助手回款!$X55,输入回款!$B:$B,科目对照回款!$G$9)+SUMIFS(输入回款!$D:$D,输入回款!$A:$A,助手回款!$X55,输入回款!$B:$B,科目对照回款!$G$9))+IF(科目对照回款!$H$9="",0,SUMIFS(输入回款!$C:$C,输入回款!$A:$A,助手回款!$X55,输入回款!$B:$B,科目对照回款!$H$9)+SUMIFS(输入回款!$D:$D,输入回款!$A:$A,助手回款!$X55,输入回款!$B:$B,科目对照回款!$H$9)),2)</f>
        <v>-0</v>
      </c>
      <c r="H804" s="49" t="str">
        <f aca="false">IF(ROUND($G804,2)&gt;0,ROUND($G804,2),"")</f>
        <v/>
      </c>
      <c r="I804" s="49" t="str">
        <f aca="false">IF(ROUND($G804,2)&lt;0,-ROUND($G804,2),"")</f>
        <v/>
      </c>
      <c r="J804" s="20" t="n">
        <f aca="false">IF(ROUND($G804,2)=0,0,1)</f>
        <v>0</v>
      </c>
      <c r="K804" s="20" t="str">
        <f aca="false">IF($J804=0,"",SUM($J$797:$J804))</f>
        <v/>
      </c>
      <c r="L804" s="20" t="str">
        <f aca="false">IF($K804="","",$A804*100+$K804)</f>
        <v/>
      </c>
      <c r="M804" s="48" t="str">
        <f aca="false">参数!$B$4</f>
        <v>回款</v>
      </c>
    </row>
    <row r="805" customFormat="false" ht="13.5" hidden="false" customHeight="false" outlineLevel="0" collapsed="false">
      <c r="A805" s="47" t="n">
        <v>54</v>
      </c>
      <c r="B805" s="38" t="str">
        <f aca="false">助手回款!$B55</f>
        <v/>
      </c>
      <c r="C805" s="48" t="str">
        <f aca="false">助手回款!$C55</f>
        <v>备用9</v>
      </c>
      <c r="D805" s="48" t="str">
        <f aca="false">科目对照回款!$B10&amp;""</f>
        <v>医卡通</v>
      </c>
      <c r="E805" s="48" t="str">
        <f aca="false">科目对照回款!$C10&amp;""</f>
        <v>应收账款</v>
      </c>
      <c r="F805" s="48" t="str">
        <f aca="false">科目对照回款!$D10&amp;""</f>
        <v>医卡通</v>
      </c>
      <c r="G805" s="49" t="n">
        <f aca="false">-ROUND(IF(科目对照回款!$F$10="",0,SUMIFS(输入回款!$C:$C,输入回款!$A:$A,助手回款!$X55,输入回款!$B:$B,科目对照回款!$F$10)+SUMIFS(输入回款!$D:$D,输入回款!$A:$A,助手回款!$X55,输入回款!$B:$B,科目对照回款!$F$10))+IF(科目对照回款!$G$10="",0,SUMIFS(输入回款!$C:$C,输入回款!$A:$A,助手回款!$X55,输入回款!$B:$B,科目对照回款!$G$10)+SUMIFS(输入回款!$D:$D,输入回款!$A:$A,助手回款!$X55,输入回款!$B:$B,科目对照回款!$G$10))+IF(科目对照回款!$H$10="",0,SUMIFS(输入回款!$C:$C,输入回款!$A:$A,助手回款!$X55,输入回款!$B:$B,科目对照回款!$H$10)+SUMIFS(输入回款!$D:$D,输入回款!$A:$A,助手回款!$X55,输入回款!$B:$B,科目对照回款!$H$10)),2)</f>
        <v>-0</v>
      </c>
      <c r="H805" s="49" t="str">
        <f aca="false">IF(ROUND($G805,2)&gt;0,ROUND($G805,2),"")</f>
        <v/>
      </c>
      <c r="I805" s="49" t="str">
        <f aca="false">IF(ROUND($G805,2)&lt;0,-ROUND($G805,2),"")</f>
        <v/>
      </c>
      <c r="J805" s="20" t="n">
        <f aca="false">IF(ROUND($G805,2)=0,0,1)</f>
        <v>0</v>
      </c>
      <c r="K805" s="20" t="str">
        <f aca="false">IF($J805=0,"",SUM($J$797:$J805))</f>
        <v/>
      </c>
      <c r="L805" s="20" t="str">
        <f aca="false">IF($K805="","",$A805*100+$K805)</f>
        <v/>
      </c>
      <c r="M805" s="48" t="str">
        <f aca="false">参数!$B$4</f>
        <v>回款</v>
      </c>
    </row>
    <row r="806" customFormat="false" ht="13.5" hidden="false" customHeight="false" outlineLevel="0" collapsed="false">
      <c r="A806" s="47" t="n">
        <v>54</v>
      </c>
      <c r="B806" s="38" t="str">
        <f aca="false">助手回款!$B55</f>
        <v/>
      </c>
      <c r="C806" s="48" t="str">
        <f aca="false">助手回款!$C55</f>
        <v>备用9</v>
      </c>
      <c r="D806" s="48" t="str">
        <f aca="false">科目对照回款!$B11&amp;""</f>
        <v>企健网</v>
      </c>
      <c r="E806" s="48" t="str">
        <f aca="false">科目对照回款!$C11&amp;""</f>
        <v>应收账款</v>
      </c>
      <c r="F806" s="48" t="str">
        <f aca="false">科目对照回款!$D11&amp;""</f>
        <v>企健网</v>
      </c>
      <c r="G806" s="49" t="n">
        <f aca="false">-ROUND(IF(科目对照回款!$F$11="",0,SUMIFS(输入回款!$C:$C,输入回款!$A:$A,助手回款!$X55,输入回款!$B:$B,科目对照回款!$F$11)+SUMIFS(输入回款!$D:$D,输入回款!$A:$A,助手回款!$X55,输入回款!$B:$B,科目对照回款!$F$11))+IF(科目对照回款!$G$11="",0,SUMIFS(输入回款!$C:$C,输入回款!$A:$A,助手回款!$X55,输入回款!$B:$B,科目对照回款!$G$11)+SUMIFS(输入回款!$D:$D,输入回款!$A:$A,助手回款!$X55,输入回款!$B:$B,科目对照回款!$G$11))+IF(科目对照回款!$H$11="",0,SUMIFS(输入回款!$C:$C,输入回款!$A:$A,助手回款!$X55,输入回款!$B:$B,科目对照回款!$H$11)+SUMIFS(输入回款!$D:$D,输入回款!$A:$A,助手回款!$X55,输入回款!$B:$B,科目对照回款!$H$11)),2)</f>
        <v>-0</v>
      </c>
      <c r="H806" s="49" t="str">
        <f aca="false">IF(ROUND($G806,2)&gt;0,ROUND($G806,2),"")</f>
        <v/>
      </c>
      <c r="I806" s="49" t="str">
        <f aca="false">IF(ROUND($G806,2)&lt;0,-ROUND($G806,2),"")</f>
        <v/>
      </c>
      <c r="J806" s="20" t="n">
        <f aca="false">IF(ROUND($G806,2)=0,0,1)</f>
        <v>0</v>
      </c>
      <c r="K806" s="20" t="str">
        <f aca="false">IF($J806=0,"",SUM($J$797:$J806))</f>
        <v/>
      </c>
      <c r="L806" s="20" t="str">
        <f aca="false">IF($K806="","",$A806*100+$K806)</f>
        <v/>
      </c>
      <c r="M806" s="48" t="str">
        <f aca="false">参数!$B$4</f>
        <v>回款</v>
      </c>
    </row>
    <row r="807" customFormat="false" ht="13.5" hidden="false" customHeight="false" outlineLevel="0" collapsed="false">
      <c r="A807" s="47" t="n">
        <v>54</v>
      </c>
      <c r="B807" s="38" t="str">
        <f aca="false">助手回款!$B55</f>
        <v/>
      </c>
      <c r="C807" s="48" t="str">
        <f aca="false">助手回款!$C55</f>
        <v>备用9</v>
      </c>
      <c r="D807" s="48" t="str">
        <f aca="false">科目对照回款!$B12&amp;""</f>
        <v>亲情卡</v>
      </c>
      <c r="E807" s="48" t="str">
        <f aca="false">科目对照回款!$C12&amp;""</f>
        <v>应收账款</v>
      </c>
      <c r="F807" s="48" t="str">
        <f aca="false">科目对照回款!$D12&amp;""</f>
        <v>亲情卡</v>
      </c>
      <c r="G807" s="49" t="n">
        <f aca="false">-ROUND(IF(科目对照回款!$F$12="",0,SUMIFS(输入回款!$C:$C,输入回款!$A:$A,助手回款!$X55,输入回款!$B:$B,科目对照回款!$F$12)+SUMIFS(输入回款!$D:$D,输入回款!$A:$A,助手回款!$X55,输入回款!$B:$B,科目对照回款!$F$12))+IF(科目对照回款!$G$12="",0,SUMIFS(输入回款!$C:$C,输入回款!$A:$A,助手回款!$X55,输入回款!$B:$B,科目对照回款!$G$12)+SUMIFS(输入回款!$D:$D,输入回款!$A:$A,助手回款!$X55,输入回款!$B:$B,科目对照回款!$G$12))+IF(科目对照回款!$H$12="",0,SUMIFS(输入回款!$C:$C,输入回款!$A:$A,助手回款!$X55,输入回款!$B:$B,科目对照回款!$H$12)+SUMIFS(输入回款!$D:$D,输入回款!$A:$A,助手回款!$X55,输入回款!$B:$B,科目对照回款!$H$12)),2)</f>
        <v>-0</v>
      </c>
      <c r="H807" s="49" t="str">
        <f aca="false">IF(ROUND($G807,2)&gt;0,ROUND($G807,2),"")</f>
        <v/>
      </c>
      <c r="I807" s="49" t="str">
        <f aca="false">IF(ROUND($G807,2)&lt;0,-ROUND($G807,2),"")</f>
        <v/>
      </c>
      <c r="J807" s="20" t="n">
        <f aca="false">IF(ROUND($G807,2)=0,0,1)</f>
        <v>0</v>
      </c>
      <c r="K807" s="20" t="str">
        <f aca="false">IF($J807=0,"",SUM($J$797:$J807))</f>
        <v/>
      </c>
      <c r="L807" s="20" t="str">
        <f aca="false">IF($K807="","",$A807*100+$K807)</f>
        <v/>
      </c>
      <c r="M807" s="48" t="str">
        <f aca="false">参数!$B$4</f>
        <v>回款</v>
      </c>
    </row>
    <row r="808" customFormat="false" ht="13.5" hidden="false" customHeight="false" outlineLevel="0" collapsed="false">
      <c r="A808" s="47" t="n">
        <v>54</v>
      </c>
      <c r="B808" s="38" t="str">
        <f aca="false">助手回款!$B55</f>
        <v/>
      </c>
      <c r="C808" s="48" t="str">
        <f aca="false">助手回款!$C55</f>
        <v>备用9</v>
      </c>
      <c r="D808" s="48" t="str">
        <f aca="false">科目对照回款!$B13&amp;""</f>
        <v>银联</v>
      </c>
      <c r="E808" s="48" t="str">
        <f aca="false">科目对照回款!$C13&amp;""</f>
        <v>应收账款</v>
      </c>
      <c r="F808" s="48" t="str">
        <f aca="false">科目对照回款!$D13&amp;""</f>
        <v>银联</v>
      </c>
      <c r="G808" s="49" t="n">
        <f aca="false">-ROUND(IF(科目对照回款!$F$13="",0,SUMIFS(输入回款!$C:$C,输入回款!$A:$A,助手回款!$X55,输入回款!$B:$B,科目对照回款!$F$13)+SUMIFS(输入回款!$D:$D,输入回款!$A:$A,助手回款!$X55,输入回款!$B:$B,科目对照回款!$F$13))+IF(科目对照回款!$G$13="",0,SUMIFS(输入回款!$C:$C,输入回款!$A:$A,助手回款!$X55,输入回款!$B:$B,科目对照回款!$G$13)+SUMIFS(输入回款!$D:$D,输入回款!$A:$A,助手回款!$X55,输入回款!$B:$B,科目对照回款!$G$13))+IF(科目对照回款!$H$13="",0,SUMIFS(输入回款!$C:$C,输入回款!$A:$A,助手回款!$X55,输入回款!$B:$B,科目对照回款!$H$13)+SUMIFS(输入回款!$D:$D,输入回款!$A:$A,助手回款!$X55,输入回款!$B:$B,科目对照回款!$H$13)),2)</f>
        <v>-0</v>
      </c>
      <c r="H808" s="49" t="str">
        <f aca="false">IF(ROUND($G808,2)&gt;0,ROUND($G808,2),"")</f>
        <v/>
      </c>
      <c r="I808" s="49" t="str">
        <f aca="false">IF(ROUND($G808,2)&lt;0,-ROUND($G808,2),"")</f>
        <v/>
      </c>
      <c r="J808" s="20" t="n">
        <f aca="false">IF(ROUND($G808,2)=0,0,1)</f>
        <v>0</v>
      </c>
      <c r="K808" s="20" t="str">
        <f aca="false">IF($J808=0,"",SUM($J$797:$J808))</f>
        <v/>
      </c>
      <c r="L808" s="20" t="str">
        <f aca="false">IF($K808="","",$A808*100+$K808)</f>
        <v/>
      </c>
      <c r="M808" s="48" t="str">
        <f aca="false">参数!$B$4</f>
        <v>回款</v>
      </c>
    </row>
    <row r="809" customFormat="false" ht="13.5" hidden="false" customHeight="false" outlineLevel="0" collapsed="false">
      <c r="A809" s="47" t="n">
        <v>54</v>
      </c>
      <c r="B809" s="38" t="str">
        <f aca="false">助手回款!$B55</f>
        <v/>
      </c>
      <c r="C809" s="48" t="str">
        <f aca="false">助手回款!$C55</f>
        <v>备用9</v>
      </c>
      <c r="D809" s="48" t="str">
        <f aca="false">科目对照回款!$B14&amp;""</f>
        <v>代金券</v>
      </c>
      <c r="E809" s="48" t="str">
        <f aca="false">科目对照回款!$C14&amp;""</f>
        <v>应收账款</v>
      </c>
      <c r="F809" s="48" t="str">
        <f aca="false">科目对照回款!$D14&amp;""</f>
        <v>代金券</v>
      </c>
      <c r="G809" s="49" t="n">
        <f aca="false">-ROUND(IF(科目对照回款!$F$14="",0,SUMIFS(输入回款!$C:$C,输入回款!$A:$A,助手回款!$X55,输入回款!$B:$B,科目对照回款!$F$14)+SUMIFS(输入回款!$D:$D,输入回款!$A:$A,助手回款!$X55,输入回款!$B:$B,科目对照回款!$F$14))+IF(科目对照回款!$G$14="",0,SUMIFS(输入回款!$C:$C,输入回款!$A:$A,助手回款!$X55,输入回款!$B:$B,科目对照回款!$G$14)+SUMIFS(输入回款!$D:$D,输入回款!$A:$A,助手回款!$X55,输入回款!$B:$B,科目对照回款!$G$14))+IF(科目对照回款!$H$14="",0,SUMIFS(输入回款!$C:$C,输入回款!$A:$A,助手回款!$X55,输入回款!$B:$B,科目对照回款!$H$14)+SUMIFS(输入回款!$D:$D,输入回款!$A:$A,助手回款!$X55,输入回款!$B:$B,科目对照回款!$H$14)),2)</f>
        <v>-0</v>
      </c>
      <c r="H809" s="49" t="str">
        <f aca="false">IF(ROUND($G809,2)&gt;0,ROUND($G809,2),"")</f>
        <v/>
      </c>
      <c r="I809" s="49" t="str">
        <f aca="false">IF(ROUND($G809,2)&lt;0,-ROUND($G809,2),"")</f>
        <v/>
      </c>
      <c r="J809" s="20" t="n">
        <f aca="false">IF(ROUND($G809,2)=0,0,1)</f>
        <v>0</v>
      </c>
      <c r="K809" s="20" t="str">
        <f aca="false">IF($J809=0,"",SUM($J$797:$J809))</f>
        <v/>
      </c>
      <c r="L809" s="20" t="str">
        <f aca="false">IF($K809="","",$A809*100+$K809)</f>
        <v/>
      </c>
      <c r="M809" s="48" t="str">
        <f aca="false">参数!$B$4</f>
        <v>回款</v>
      </c>
    </row>
    <row r="810" customFormat="false" ht="13.5" hidden="false" customHeight="false" outlineLevel="0" collapsed="false">
      <c r="A810" s="47" t="n">
        <v>54</v>
      </c>
      <c r="B810" s="38" t="str">
        <f aca="false">助手回款!$B55</f>
        <v/>
      </c>
      <c r="C810" s="48" t="str">
        <f aca="false">助手回款!$C55</f>
        <v>备用9</v>
      </c>
      <c r="D810" s="48" t="str">
        <f aca="false">科目对照回款!$B15&amp;""</f>
        <v>药机微信</v>
      </c>
      <c r="E810" s="48" t="str">
        <f aca="false">科目对照回款!$C15&amp;""</f>
        <v>应收账款</v>
      </c>
      <c r="F810" s="48" t="str">
        <f aca="false">科目对照回款!$D15&amp;""</f>
        <v>药机微信</v>
      </c>
      <c r="G810" s="49" t="n">
        <f aca="false">-ROUND(IF(科目对照回款!$F$15="",0,SUMIFS(输入回款!$C:$C,输入回款!$A:$A,助手回款!$X55,输入回款!$B:$B,科目对照回款!$F$15)+SUMIFS(输入回款!$D:$D,输入回款!$A:$A,助手回款!$X55,输入回款!$B:$B,科目对照回款!$F$15))+IF(科目对照回款!$G$15="",0,SUMIFS(输入回款!$C:$C,输入回款!$A:$A,助手回款!$X55,输入回款!$B:$B,科目对照回款!$G$15)+SUMIFS(输入回款!$D:$D,输入回款!$A:$A,助手回款!$X55,输入回款!$B:$B,科目对照回款!$G$15))+IF(科目对照回款!$H$15="",0,SUMIFS(输入回款!$C:$C,输入回款!$A:$A,助手回款!$X55,输入回款!$B:$B,科目对照回款!$H$15)+SUMIFS(输入回款!$D:$D,输入回款!$A:$A,助手回款!$X55,输入回款!$B:$B,科目对照回款!$H$15)),2)</f>
        <v>-0</v>
      </c>
      <c r="H810" s="49" t="str">
        <f aca="false">IF(ROUND($G810,2)&gt;0,ROUND($G810,2),"")</f>
        <v/>
      </c>
      <c r="I810" s="49" t="str">
        <f aca="false">IF(ROUND($G810,2)&lt;0,-ROUND($G810,2),"")</f>
        <v/>
      </c>
      <c r="J810" s="20" t="n">
        <f aca="false">IF(ROUND($G810,2)=0,0,1)</f>
        <v>0</v>
      </c>
      <c r="K810" s="20" t="str">
        <f aca="false">IF($J810=0,"",SUM($J$797:$J810))</f>
        <v/>
      </c>
      <c r="L810" s="20" t="str">
        <f aca="false">IF($K810="","",$A810*100+$K810)</f>
        <v/>
      </c>
      <c r="M810" s="48" t="str">
        <f aca="false">参数!$B$4</f>
        <v>回款</v>
      </c>
    </row>
    <row r="811" customFormat="false" ht="13.5" hidden="false" customHeight="false" outlineLevel="0" collapsed="false">
      <c r="A811" s="47" t="n">
        <v>54</v>
      </c>
      <c r="B811" s="38" t="str">
        <f aca="false">助手回款!$B55</f>
        <v/>
      </c>
      <c r="C811" s="48" t="str">
        <f aca="false">助手回款!$C55</f>
        <v>备用9</v>
      </c>
      <c r="D811" s="48" t="str">
        <f aca="false">科目对照回款!$B16&amp;""</f>
        <v>储值卡</v>
      </c>
      <c r="E811" s="48" t="str">
        <f aca="false">科目对照回款!$C16&amp;""</f>
        <v>其他应收款</v>
      </c>
      <c r="F811" s="48" t="str">
        <f aca="false">科目对照回款!$D16&amp;""</f>
        <v>储值卡</v>
      </c>
      <c r="G811" s="49" t="n">
        <f aca="false">-ROUND(IF(科目对照回款!$F$16="",0,SUMIFS(输入回款!$C:$C,输入回款!$A:$A,助手回款!$X55,输入回款!$B:$B,科目对照回款!$F$16)+SUMIFS(输入回款!$D:$D,输入回款!$A:$A,助手回款!$X55,输入回款!$B:$B,科目对照回款!$F$16))+IF(科目对照回款!$G$16="",0,SUMIFS(输入回款!$C:$C,输入回款!$A:$A,助手回款!$X55,输入回款!$B:$B,科目对照回款!$G$16)+SUMIFS(输入回款!$D:$D,输入回款!$A:$A,助手回款!$X55,输入回款!$B:$B,科目对照回款!$G$16))+IF(科目对照回款!$H$16="",0,SUMIFS(输入回款!$C:$C,输入回款!$A:$A,助手回款!$X55,输入回款!$B:$B,科目对照回款!$H$16)+SUMIFS(输入回款!$D:$D,输入回款!$A:$A,助手回款!$X55,输入回款!$B:$B,科目对照回款!$H$16)),2)</f>
        <v>-0</v>
      </c>
      <c r="H811" s="49" t="str">
        <f aca="false">IF(ROUND($G811,2)&gt;0,ROUND($G811,2),"")</f>
        <v/>
      </c>
      <c r="I811" s="49" t="str">
        <f aca="false">IF(ROUND($G811,2)&lt;0,-ROUND($G811,2),"")</f>
        <v/>
      </c>
      <c r="J811" s="20" t="n">
        <f aca="false">IF(ROUND($G811,2)=0,0,1)</f>
        <v>0</v>
      </c>
      <c r="K811" s="20" t="str">
        <f aca="false">IF($J811=0,"",SUM($J$797:$J811))</f>
        <v/>
      </c>
      <c r="L811" s="20" t="str">
        <f aca="false">IF($K811="","",$A811*100+$K811)</f>
        <v/>
      </c>
      <c r="M811" s="48" t="str">
        <f aca="false">参数!$B$4</f>
        <v>回款</v>
      </c>
    </row>
    <row r="812" customFormat="false" ht="13.5" hidden="false" customHeight="false" outlineLevel="0" collapsed="false">
      <c r="A812" s="47" t="n">
        <v>55</v>
      </c>
      <c r="B812" s="38" t="str">
        <f aca="false">助手回款!$B56</f>
        <v/>
      </c>
      <c r="C812" s="48" t="str">
        <f aca="false">助手回款!$C56</f>
        <v>备用10</v>
      </c>
      <c r="D812" s="48" t="str">
        <f aca="false">科目对照回款!$B2&amp;""</f>
        <v>库存现金</v>
      </c>
      <c r="E812" s="48" t="str">
        <f aca="false">科目对照回款!$C2&amp;""</f>
        <v>库存现金</v>
      </c>
      <c r="F812" s="48" t="str">
        <f aca="false">科目对照回款!$D2&amp;""</f>
        <v/>
      </c>
      <c r="G812" s="49" t="n">
        <f aca="false">助手回款!$E56</f>
        <v>0</v>
      </c>
      <c r="H812" s="49" t="str">
        <f aca="false">IF(ROUND($G812,2)&gt;0,ROUND($G812,2),"")</f>
        <v/>
      </c>
      <c r="I812" s="49" t="str">
        <f aca="false">IF(ROUND($G812,2)&lt;0,-ROUND($G812,2),"")</f>
        <v/>
      </c>
      <c r="J812" s="20" t="n">
        <f aca="false">IF(ROUND($G812,2)=0,0,1)</f>
        <v>0</v>
      </c>
      <c r="K812" s="20" t="str">
        <f aca="false">IF($J812=0,"",SUM($J$812:$J812))</f>
        <v/>
      </c>
      <c r="L812" s="20" t="str">
        <f aca="false">IF($K812="","",$A812*100+$K812)</f>
        <v/>
      </c>
      <c r="M812" s="48" t="str">
        <f aca="false">参数!$B$4</f>
        <v>回款</v>
      </c>
    </row>
    <row r="813" customFormat="false" ht="13.5" hidden="false" customHeight="false" outlineLevel="0" collapsed="false">
      <c r="A813" s="47" t="n">
        <v>55</v>
      </c>
      <c r="B813" s="38" t="str">
        <f aca="false">助手回款!$B56</f>
        <v/>
      </c>
      <c r="C813" s="48" t="str">
        <f aca="false">助手回款!$C56</f>
        <v>备用10</v>
      </c>
      <c r="D813" s="48" t="str">
        <f aca="false">科目对照回款!$B3&amp;""</f>
        <v>手续费</v>
      </c>
      <c r="E813" s="48" t="str">
        <f aca="false">科目对照回款!$C3&amp;""</f>
        <v>财务费用</v>
      </c>
      <c r="F813" s="48" t="str">
        <f aca="false">科目对照回款!$D3&amp;""</f>
        <v>手续费</v>
      </c>
      <c r="G813" s="49" t="n">
        <f aca="false">助手回款!$F56</f>
        <v>0</v>
      </c>
      <c r="H813" s="49" t="str">
        <f aca="false">IF(ROUND($G813,2)&gt;0,ROUND($G813,2),"")</f>
        <v/>
      </c>
      <c r="I813" s="49" t="str">
        <f aca="false">IF(ROUND($G813,2)&lt;0,-ROUND($G813,2),"")</f>
        <v/>
      </c>
      <c r="J813" s="20" t="n">
        <f aca="false">IF(ROUND($G813,2)=0,0,1)</f>
        <v>0</v>
      </c>
      <c r="K813" s="20" t="str">
        <f aca="false">IF($J813=0,"",SUM($J$812:$J813))</f>
        <v/>
      </c>
      <c r="L813" s="20" t="str">
        <f aca="false">IF($K813="","",$A813*100+$K813)</f>
        <v/>
      </c>
      <c r="M813" s="48" t="str">
        <f aca="false">参数!$B$4</f>
        <v>回款</v>
      </c>
    </row>
    <row r="814" customFormat="false" ht="13.5" hidden="false" customHeight="false" outlineLevel="0" collapsed="false">
      <c r="A814" s="47" t="n">
        <v>55</v>
      </c>
      <c r="B814" s="38" t="str">
        <f aca="false">助手回款!$B56</f>
        <v/>
      </c>
      <c r="C814" s="48" t="str">
        <f aca="false">助手回款!$C56</f>
        <v>备用10</v>
      </c>
      <c r="D814" s="48" t="str">
        <f aca="false">科目对照回款!$B4&amp;""</f>
        <v>聚合支付</v>
      </c>
      <c r="E814" s="48" t="str">
        <f aca="false">科目对照回款!$C4&amp;""</f>
        <v>应收账款</v>
      </c>
      <c r="F814" s="48" t="str">
        <f aca="false">科目对照回款!$D4&amp;""</f>
        <v>聚合支付</v>
      </c>
      <c r="G814" s="49" t="n">
        <f aca="false">-ROUND(IF(科目对照回款!$F$4="",0,SUMIFS(输入回款!$C:$C,输入回款!$A:$A,助手回款!$X56,输入回款!$B:$B,科目对照回款!$F$4)+SUMIFS(输入回款!$D:$D,输入回款!$A:$A,助手回款!$X56,输入回款!$B:$B,科目对照回款!$F$4))+IF(科目对照回款!$G$4="",0,SUMIFS(输入回款!$C:$C,输入回款!$A:$A,助手回款!$X56,输入回款!$B:$B,科目对照回款!$G$4)+SUMIFS(输入回款!$D:$D,输入回款!$A:$A,助手回款!$X56,输入回款!$B:$B,科目对照回款!$G$4))+IF(科目对照回款!$H$4="",0,SUMIFS(输入回款!$C:$C,输入回款!$A:$A,助手回款!$X56,输入回款!$B:$B,科目对照回款!$H$4)+SUMIFS(输入回款!$D:$D,输入回款!$A:$A,助手回款!$X56,输入回款!$B:$B,科目对照回款!$H$4)),2)</f>
        <v>-0</v>
      </c>
      <c r="H814" s="49" t="str">
        <f aca="false">IF(ROUND($G814,2)&gt;0,ROUND($G814,2),"")</f>
        <v/>
      </c>
      <c r="I814" s="49" t="str">
        <f aca="false">IF(ROUND($G814,2)&lt;0,-ROUND($G814,2),"")</f>
        <v/>
      </c>
      <c r="J814" s="20" t="n">
        <f aca="false">IF(ROUND($G814,2)=0,0,1)</f>
        <v>0</v>
      </c>
      <c r="K814" s="20" t="str">
        <f aca="false">IF($J814=0,"",SUM($J$812:$J814))</f>
        <v/>
      </c>
      <c r="L814" s="20" t="str">
        <f aca="false">IF($K814="","",$A814*100+$K814)</f>
        <v/>
      </c>
      <c r="M814" s="48" t="str">
        <f aca="false">参数!$B$4</f>
        <v>回款</v>
      </c>
    </row>
    <row r="815" customFormat="false" ht="13.5" hidden="false" customHeight="false" outlineLevel="0" collapsed="false">
      <c r="A815" s="47" t="n">
        <v>55</v>
      </c>
      <c r="B815" s="38" t="str">
        <f aca="false">助手回款!$B56</f>
        <v/>
      </c>
      <c r="C815" s="48" t="str">
        <f aca="false">助手回款!$C56</f>
        <v>备用10</v>
      </c>
      <c r="D815" s="48" t="str">
        <f aca="false">科目对照回款!$B5&amp;""</f>
        <v>医保</v>
      </c>
      <c r="E815" s="48" t="str">
        <f aca="false">科目对照回款!$C5&amp;""</f>
        <v>应收账款</v>
      </c>
      <c r="F815" s="48" t="str">
        <f aca="false">科目对照回款!$D5&amp;""</f>
        <v>医保</v>
      </c>
      <c r="G815" s="49" t="n">
        <f aca="false">-ROUND(IF(科目对照回款!$F$5="",0,SUMIFS(输入回款!$C:$C,输入回款!$A:$A,助手回款!$X56,输入回款!$B:$B,科目对照回款!$F$5)+SUMIFS(输入回款!$D:$D,输入回款!$A:$A,助手回款!$X56,输入回款!$B:$B,科目对照回款!$F$5))+IF(科目对照回款!$G$5="",0,SUMIFS(输入回款!$C:$C,输入回款!$A:$A,助手回款!$X56,输入回款!$B:$B,科目对照回款!$G$5)+SUMIFS(输入回款!$D:$D,输入回款!$A:$A,助手回款!$X56,输入回款!$B:$B,科目对照回款!$G$5))+IF(科目对照回款!$H$5="",0,SUMIFS(输入回款!$C:$C,输入回款!$A:$A,助手回款!$X56,输入回款!$B:$B,科目对照回款!$H$5)+SUMIFS(输入回款!$D:$D,输入回款!$A:$A,助手回款!$X56,输入回款!$B:$B,科目对照回款!$H$5)),2)</f>
        <v>-0</v>
      </c>
      <c r="H815" s="49" t="str">
        <f aca="false">IF(ROUND($G815,2)&gt;0,ROUND($G815,2),"")</f>
        <v/>
      </c>
      <c r="I815" s="49" t="str">
        <f aca="false">IF(ROUND($G815,2)&lt;0,-ROUND($G815,2),"")</f>
        <v/>
      </c>
      <c r="J815" s="20" t="n">
        <f aca="false">IF(ROUND($G815,2)=0,0,1)</f>
        <v>0</v>
      </c>
      <c r="K815" s="20" t="str">
        <f aca="false">IF($J815=0,"",SUM($J$812:$J815))</f>
        <v/>
      </c>
      <c r="L815" s="20" t="str">
        <f aca="false">IF($K815="","",$A815*100+$K815)</f>
        <v/>
      </c>
      <c r="M815" s="48" t="str">
        <f aca="false">参数!$B$4</f>
        <v>回款</v>
      </c>
    </row>
    <row r="816" customFormat="false" ht="13.5" hidden="false" customHeight="false" outlineLevel="0" collapsed="false">
      <c r="A816" s="47" t="n">
        <v>55</v>
      </c>
      <c r="B816" s="38" t="str">
        <f aca="false">助手回款!$B56</f>
        <v/>
      </c>
      <c r="C816" s="48" t="str">
        <f aca="false">助手回款!$C56</f>
        <v>备用10</v>
      </c>
      <c r="D816" s="48" t="str">
        <f aca="false">科目对照回款!$B6&amp;""</f>
        <v>美团</v>
      </c>
      <c r="E816" s="48" t="str">
        <f aca="false">科目对照回款!$C6&amp;""</f>
        <v>应收账款</v>
      </c>
      <c r="F816" s="48" t="str">
        <f aca="false">科目对照回款!$D6&amp;""</f>
        <v>美团</v>
      </c>
      <c r="G816" s="49" t="n">
        <f aca="false">-ROUND(IF(科目对照回款!$F$6="",0,SUMIFS(输入回款!$C:$C,输入回款!$A:$A,助手回款!$X56,输入回款!$B:$B,科目对照回款!$F$6)+SUMIFS(输入回款!$D:$D,输入回款!$A:$A,助手回款!$X56,输入回款!$B:$B,科目对照回款!$F$6))+IF(科目对照回款!$G$6="",0,SUMIFS(输入回款!$C:$C,输入回款!$A:$A,助手回款!$X56,输入回款!$B:$B,科目对照回款!$G$6)+SUMIFS(输入回款!$D:$D,输入回款!$A:$A,助手回款!$X56,输入回款!$B:$B,科目对照回款!$G$6))+IF(科目对照回款!$H$6="",0,SUMIFS(输入回款!$C:$C,输入回款!$A:$A,助手回款!$X56,输入回款!$B:$B,科目对照回款!$H$6)+SUMIFS(输入回款!$D:$D,输入回款!$A:$A,助手回款!$X56,输入回款!$B:$B,科目对照回款!$H$6)),2)</f>
        <v>-0</v>
      </c>
      <c r="H816" s="49" t="str">
        <f aca="false">IF(ROUND($G816,2)&gt;0,ROUND($G816,2),"")</f>
        <v/>
      </c>
      <c r="I816" s="49" t="str">
        <f aca="false">IF(ROUND($G816,2)&lt;0,-ROUND($G816,2),"")</f>
        <v/>
      </c>
      <c r="J816" s="20" t="n">
        <f aca="false">IF(ROUND($G816,2)=0,0,1)</f>
        <v>0</v>
      </c>
      <c r="K816" s="20" t="str">
        <f aca="false">IF($J816=0,"",SUM($J$812:$J816))</f>
        <v/>
      </c>
      <c r="L816" s="20" t="str">
        <f aca="false">IF($K816="","",$A816*100+$K816)</f>
        <v/>
      </c>
      <c r="M816" s="48" t="str">
        <f aca="false">参数!$B$4</f>
        <v>回款</v>
      </c>
    </row>
    <row r="817" customFormat="false" ht="13.5" hidden="false" customHeight="false" outlineLevel="0" collapsed="false">
      <c r="A817" s="47" t="n">
        <v>55</v>
      </c>
      <c r="B817" s="38" t="str">
        <f aca="false">助手回款!$B56</f>
        <v/>
      </c>
      <c r="C817" s="48" t="str">
        <f aca="false">助手回款!$C56</f>
        <v>备用10</v>
      </c>
      <c r="D817" s="48" t="str">
        <f aca="false">科目对照回款!$B7&amp;""</f>
        <v>饿了么</v>
      </c>
      <c r="E817" s="48" t="str">
        <f aca="false">科目对照回款!$C7&amp;""</f>
        <v>应收账款</v>
      </c>
      <c r="F817" s="48" t="str">
        <f aca="false">科目对照回款!$D7&amp;""</f>
        <v>饿了么</v>
      </c>
      <c r="G817" s="49" t="n">
        <f aca="false">-ROUND(IF(科目对照回款!$F$7="",0,SUMIFS(输入回款!$C:$C,输入回款!$A:$A,助手回款!$X56,输入回款!$B:$B,科目对照回款!$F$7)+SUMIFS(输入回款!$D:$D,输入回款!$A:$A,助手回款!$X56,输入回款!$B:$B,科目对照回款!$F$7))+IF(科目对照回款!$G$7="",0,SUMIFS(输入回款!$C:$C,输入回款!$A:$A,助手回款!$X56,输入回款!$B:$B,科目对照回款!$G$7)+SUMIFS(输入回款!$D:$D,输入回款!$A:$A,助手回款!$X56,输入回款!$B:$B,科目对照回款!$G$7))+IF(科目对照回款!$H$7="",0,SUMIFS(输入回款!$C:$C,输入回款!$A:$A,助手回款!$X56,输入回款!$B:$B,科目对照回款!$H$7)+SUMIFS(输入回款!$D:$D,输入回款!$A:$A,助手回款!$X56,输入回款!$B:$B,科目对照回款!$H$7)),2)</f>
        <v>-0</v>
      </c>
      <c r="H817" s="49" t="str">
        <f aca="false">IF(ROUND($G817,2)&gt;0,ROUND($G817,2),"")</f>
        <v/>
      </c>
      <c r="I817" s="49" t="str">
        <f aca="false">IF(ROUND($G817,2)&lt;0,-ROUND($G817,2),"")</f>
        <v/>
      </c>
      <c r="J817" s="20" t="n">
        <f aca="false">IF(ROUND($G817,2)=0,0,1)</f>
        <v>0</v>
      </c>
      <c r="K817" s="20" t="str">
        <f aca="false">IF($J817=0,"",SUM($J$812:$J817))</f>
        <v/>
      </c>
      <c r="L817" s="20" t="str">
        <f aca="false">IF($K817="","",$A817*100+$K817)</f>
        <v/>
      </c>
      <c r="M817" s="48" t="str">
        <f aca="false">参数!$B$4</f>
        <v>回款</v>
      </c>
    </row>
    <row r="818" customFormat="false" ht="13.5" hidden="false" customHeight="false" outlineLevel="0" collapsed="false">
      <c r="A818" s="47" t="n">
        <v>55</v>
      </c>
      <c r="B818" s="38" t="str">
        <f aca="false">助手回款!$B56</f>
        <v/>
      </c>
      <c r="C818" s="48" t="str">
        <f aca="false">助手回款!$C56</f>
        <v>备用10</v>
      </c>
      <c r="D818" s="48" t="str">
        <f aca="false">科目对照回款!$B8&amp;""</f>
        <v>24小时</v>
      </c>
      <c r="E818" s="48" t="str">
        <f aca="false">科目对照回款!$C8&amp;""</f>
        <v>应收账款</v>
      </c>
      <c r="F818" s="48" t="str">
        <f aca="false">科目对照回款!$D8&amp;""</f>
        <v>24小时</v>
      </c>
      <c r="G818" s="49" t="n">
        <f aca="false">-ROUND(IF(科目对照回款!$F$8="",0,SUMIFS(输入回款!$C:$C,输入回款!$A:$A,助手回款!$X56,输入回款!$B:$B,科目对照回款!$F$8)+SUMIFS(输入回款!$D:$D,输入回款!$A:$A,助手回款!$X56,输入回款!$B:$B,科目对照回款!$F$8))+IF(科目对照回款!$G$8="",0,SUMIFS(输入回款!$C:$C,输入回款!$A:$A,助手回款!$X56,输入回款!$B:$B,科目对照回款!$G$8)+SUMIFS(输入回款!$D:$D,输入回款!$A:$A,助手回款!$X56,输入回款!$B:$B,科目对照回款!$G$8))+IF(科目对照回款!$H$8="",0,SUMIFS(输入回款!$C:$C,输入回款!$A:$A,助手回款!$X56,输入回款!$B:$B,科目对照回款!$H$8)+SUMIFS(输入回款!$D:$D,输入回款!$A:$A,助手回款!$X56,输入回款!$B:$B,科目对照回款!$H$8)),2)</f>
        <v>-0</v>
      </c>
      <c r="H818" s="49" t="str">
        <f aca="false">IF(ROUND($G818,2)&gt;0,ROUND($G818,2),"")</f>
        <v/>
      </c>
      <c r="I818" s="49" t="str">
        <f aca="false">IF(ROUND($G818,2)&lt;0,-ROUND($G818,2),"")</f>
        <v/>
      </c>
      <c r="J818" s="20" t="n">
        <f aca="false">IF(ROUND($G818,2)=0,0,1)</f>
        <v>0</v>
      </c>
      <c r="K818" s="20" t="str">
        <f aca="false">IF($J818=0,"",SUM($J$812:$J818))</f>
        <v/>
      </c>
      <c r="L818" s="20" t="str">
        <f aca="false">IF($K818="","",$A818*100+$K818)</f>
        <v/>
      </c>
      <c r="M818" s="48" t="str">
        <f aca="false">参数!$B$4</f>
        <v>回款</v>
      </c>
    </row>
    <row r="819" customFormat="false" ht="13.5" hidden="false" customHeight="false" outlineLevel="0" collapsed="false">
      <c r="A819" s="47" t="n">
        <v>55</v>
      </c>
      <c r="B819" s="38" t="str">
        <f aca="false">助手回款!$B56</f>
        <v/>
      </c>
      <c r="C819" s="48" t="str">
        <f aca="false">助手回款!$C56</f>
        <v>备用10</v>
      </c>
      <c r="D819" s="48" t="str">
        <f aca="false">科目对照回款!$B9&amp;""</f>
        <v>健E卡</v>
      </c>
      <c r="E819" s="48" t="str">
        <f aca="false">科目对照回款!$C9&amp;""</f>
        <v>应收账款</v>
      </c>
      <c r="F819" s="48" t="str">
        <f aca="false">科目对照回款!$D9&amp;""</f>
        <v>健E卡</v>
      </c>
      <c r="G819" s="49" t="n">
        <f aca="false">-ROUND(IF(科目对照回款!$F$9="",0,SUMIFS(输入回款!$C:$C,输入回款!$A:$A,助手回款!$X56,输入回款!$B:$B,科目对照回款!$F$9)+SUMIFS(输入回款!$D:$D,输入回款!$A:$A,助手回款!$X56,输入回款!$B:$B,科目对照回款!$F$9))+IF(科目对照回款!$G$9="",0,SUMIFS(输入回款!$C:$C,输入回款!$A:$A,助手回款!$X56,输入回款!$B:$B,科目对照回款!$G$9)+SUMIFS(输入回款!$D:$D,输入回款!$A:$A,助手回款!$X56,输入回款!$B:$B,科目对照回款!$G$9))+IF(科目对照回款!$H$9="",0,SUMIFS(输入回款!$C:$C,输入回款!$A:$A,助手回款!$X56,输入回款!$B:$B,科目对照回款!$H$9)+SUMIFS(输入回款!$D:$D,输入回款!$A:$A,助手回款!$X56,输入回款!$B:$B,科目对照回款!$H$9)),2)</f>
        <v>-0</v>
      </c>
      <c r="H819" s="49" t="str">
        <f aca="false">IF(ROUND($G819,2)&gt;0,ROUND($G819,2),"")</f>
        <v/>
      </c>
      <c r="I819" s="49" t="str">
        <f aca="false">IF(ROUND($G819,2)&lt;0,-ROUND($G819,2),"")</f>
        <v/>
      </c>
      <c r="J819" s="20" t="n">
        <f aca="false">IF(ROUND($G819,2)=0,0,1)</f>
        <v>0</v>
      </c>
      <c r="K819" s="20" t="str">
        <f aca="false">IF($J819=0,"",SUM($J$812:$J819))</f>
        <v/>
      </c>
      <c r="L819" s="20" t="str">
        <f aca="false">IF($K819="","",$A819*100+$K819)</f>
        <v/>
      </c>
      <c r="M819" s="48" t="str">
        <f aca="false">参数!$B$4</f>
        <v>回款</v>
      </c>
    </row>
    <row r="820" customFormat="false" ht="13.5" hidden="false" customHeight="false" outlineLevel="0" collapsed="false">
      <c r="A820" s="47" t="n">
        <v>55</v>
      </c>
      <c r="B820" s="38" t="str">
        <f aca="false">助手回款!$B56</f>
        <v/>
      </c>
      <c r="C820" s="48" t="str">
        <f aca="false">助手回款!$C56</f>
        <v>备用10</v>
      </c>
      <c r="D820" s="48" t="str">
        <f aca="false">科目对照回款!$B10&amp;""</f>
        <v>医卡通</v>
      </c>
      <c r="E820" s="48" t="str">
        <f aca="false">科目对照回款!$C10&amp;""</f>
        <v>应收账款</v>
      </c>
      <c r="F820" s="48" t="str">
        <f aca="false">科目对照回款!$D10&amp;""</f>
        <v>医卡通</v>
      </c>
      <c r="G820" s="49" t="n">
        <f aca="false">-ROUND(IF(科目对照回款!$F$10="",0,SUMIFS(输入回款!$C:$C,输入回款!$A:$A,助手回款!$X56,输入回款!$B:$B,科目对照回款!$F$10)+SUMIFS(输入回款!$D:$D,输入回款!$A:$A,助手回款!$X56,输入回款!$B:$B,科目对照回款!$F$10))+IF(科目对照回款!$G$10="",0,SUMIFS(输入回款!$C:$C,输入回款!$A:$A,助手回款!$X56,输入回款!$B:$B,科目对照回款!$G$10)+SUMIFS(输入回款!$D:$D,输入回款!$A:$A,助手回款!$X56,输入回款!$B:$B,科目对照回款!$G$10))+IF(科目对照回款!$H$10="",0,SUMIFS(输入回款!$C:$C,输入回款!$A:$A,助手回款!$X56,输入回款!$B:$B,科目对照回款!$H$10)+SUMIFS(输入回款!$D:$D,输入回款!$A:$A,助手回款!$X56,输入回款!$B:$B,科目对照回款!$H$10)),2)</f>
        <v>-0</v>
      </c>
      <c r="H820" s="49" t="str">
        <f aca="false">IF(ROUND($G820,2)&gt;0,ROUND($G820,2),"")</f>
        <v/>
      </c>
      <c r="I820" s="49" t="str">
        <f aca="false">IF(ROUND($G820,2)&lt;0,-ROUND($G820,2),"")</f>
        <v/>
      </c>
      <c r="J820" s="20" t="n">
        <f aca="false">IF(ROUND($G820,2)=0,0,1)</f>
        <v>0</v>
      </c>
      <c r="K820" s="20" t="str">
        <f aca="false">IF($J820=0,"",SUM($J$812:$J820))</f>
        <v/>
      </c>
      <c r="L820" s="20" t="str">
        <f aca="false">IF($K820="","",$A820*100+$K820)</f>
        <v/>
      </c>
      <c r="M820" s="48" t="str">
        <f aca="false">参数!$B$4</f>
        <v>回款</v>
      </c>
    </row>
    <row r="821" customFormat="false" ht="13.5" hidden="false" customHeight="false" outlineLevel="0" collapsed="false">
      <c r="A821" s="47" t="n">
        <v>55</v>
      </c>
      <c r="B821" s="38" t="str">
        <f aca="false">助手回款!$B56</f>
        <v/>
      </c>
      <c r="C821" s="48" t="str">
        <f aca="false">助手回款!$C56</f>
        <v>备用10</v>
      </c>
      <c r="D821" s="48" t="str">
        <f aca="false">科目对照回款!$B11&amp;""</f>
        <v>企健网</v>
      </c>
      <c r="E821" s="48" t="str">
        <f aca="false">科目对照回款!$C11&amp;""</f>
        <v>应收账款</v>
      </c>
      <c r="F821" s="48" t="str">
        <f aca="false">科目对照回款!$D11&amp;""</f>
        <v>企健网</v>
      </c>
      <c r="G821" s="49" t="n">
        <f aca="false">-ROUND(IF(科目对照回款!$F$11="",0,SUMIFS(输入回款!$C:$C,输入回款!$A:$A,助手回款!$X56,输入回款!$B:$B,科目对照回款!$F$11)+SUMIFS(输入回款!$D:$D,输入回款!$A:$A,助手回款!$X56,输入回款!$B:$B,科目对照回款!$F$11))+IF(科目对照回款!$G$11="",0,SUMIFS(输入回款!$C:$C,输入回款!$A:$A,助手回款!$X56,输入回款!$B:$B,科目对照回款!$G$11)+SUMIFS(输入回款!$D:$D,输入回款!$A:$A,助手回款!$X56,输入回款!$B:$B,科目对照回款!$G$11))+IF(科目对照回款!$H$11="",0,SUMIFS(输入回款!$C:$C,输入回款!$A:$A,助手回款!$X56,输入回款!$B:$B,科目对照回款!$H$11)+SUMIFS(输入回款!$D:$D,输入回款!$A:$A,助手回款!$X56,输入回款!$B:$B,科目对照回款!$H$11)),2)</f>
        <v>-0</v>
      </c>
      <c r="H821" s="49" t="str">
        <f aca="false">IF(ROUND($G821,2)&gt;0,ROUND($G821,2),"")</f>
        <v/>
      </c>
      <c r="I821" s="49" t="str">
        <f aca="false">IF(ROUND($G821,2)&lt;0,-ROUND($G821,2),"")</f>
        <v/>
      </c>
      <c r="J821" s="20" t="n">
        <f aca="false">IF(ROUND($G821,2)=0,0,1)</f>
        <v>0</v>
      </c>
      <c r="K821" s="20" t="str">
        <f aca="false">IF($J821=0,"",SUM($J$812:$J821))</f>
        <v/>
      </c>
      <c r="L821" s="20" t="str">
        <f aca="false">IF($K821="","",$A821*100+$K821)</f>
        <v/>
      </c>
      <c r="M821" s="48" t="str">
        <f aca="false">参数!$B$4</f>
        <v>回款</v>
      </c>
    </row>
    <row r="822" customFormat="false" ht="13.5" hidden="false" customHeight="false" outlineLevel="0" collapsed="false">
      <c r="A822" s="47" t="n">
        <v>55</v>
      </c>
      <c r="B822" s="38" t="str">
        <f aca="false">助手回款!$B56</f>
        <v/>
      </c>
      <c r="C822" s="48" t="str">
        <f aca="false">助手回款!$C56</f>
        <v>备用10</v>
      </c>
      <c r="D822" s="48" t="str">
        <f aca="false">科目对照回款!$B12&amp;""</f>
        <v>亲情卡</v>
      </c>
      <c r="E822" s="48" t="str">
        <f aca="false">科目对照回款!$C12&amp;""</f>
        <v>应收账款</v>
      </c>
      <c r="F822" s="48" t="str">
        <f aca="false">科目对照回款!$D12&amp;""</f>
        <v>亲情卡</v>
      </c>
      <c r="G822" s="49" t="n">
        <f aca="false">-ROUND(IF(科目对照回款!$F$12="",0,SUMIFS(输入回款!$C:$C,输入回款!$A:$A,助手回款!$X56,输入回款!$B:$B,科目对照回款!$F$12)+SUMIFS(输入回款!$D:$D,输入回款!$A:$A,助手回款!$X56,输入回款!$B:$B,科目对照回款!$F$12))+IF(科目对照回款!$G$12="",0,SUMIFS(输入回款!$C:$C,输入回款!$A:$A,助手回款!$X56,输入回款!$B:$B,科目对照回款!$G$12)+SUMIFS(输入回款!$D:$D,输入回款!$A:$A,助手回款!$X56,输入回款!$B:$B,科目对照回款!$G$12))+IF(科目对照回款!$H$12="",0,SUMIFS(输入回款!$C:$C,输入回款!$A:$A,助手回款!$X56,输入回款!$B:$B,科目对照回款!$H$12)+SUMIFS(输入回款!$D:$D,输入回款!$A:$A,助手回款!$X56,输入回款!$B:$B,科目对照回款!$H$12)),2)</f>
        <v>-0</v>
      </c>
      <c r="H822" s="49" t="str">
        <f aca="false">IF(ROUND($G822,2)&gt;0,ROUND($G822,2),"")</f>
        <v/>
      </c>
      <c r="I822" s="49" t="str">
        <f aca="false">IF(ROUND($G822,2)&lt;0,-ROUND($G822,2),"")</f>
        <v/>
      </c>
      <c r="J822" s="20" t="n">
        <f aca="false">IF(ROUND($G822,2)=0,0,1)</f>
        <v>0</v>
      </c>
      <c r="K822" s="20" t="str">
        <f aca="false">IF($J822=0,"",SUM($J$812:$J822))</f>
        <v/>
      </c>
      <c r="L822" s="20" t="str">
        <f aca="false">IF($K822="","",$A822*100+$K822)</f>
        <v/>
      </c>
      <c r="M822" s="48" t="str">
        <f aca="false">参数!$B$4</f>
        <v>回款</v>
      </c>
    </row>
    <row r="823" customFormat="false" ht="13.5" hidden="false" customHeight="false" outlineLevel="0" collapsed="false">
      <c r="A823" s="47" t="n">
        <v>55</v>
      </c>
      <c r="B823" s="38" t="str">
        <f aca="false">助手回款!$B56</f>
        <v/>
      </c>
      <c r="C823" s="48" t="str">
        <f aca="false">助手回款!$C56</f>
        <v>备用10</v>
      </c>
      <c r="D823" s="48" t="str">
        <f aca="false">科目对照回款!$B13&amp;""</f>
        <v>银联</v>
      </c>
      <c r="E823" s="48" t="str">
        <f aca="false">科目对照回款!$C13&amp;""</f>
        <v>应收账款</v>
      </c>
      <c r="F823" s="48" t="str">
        <f aca="false">科目对照回款!$D13&amp;""</f>
        <v>银联</v>
      </c>
      <c r="G823" s="49" t="n">
        <f aca="false">-ROUND(IF(科目对照回款!$F$13="",0,SUMIFS(输入回款!$C:$C,输入回款!$A:$A,助手回款!$X56,输入回款!$B:$B,科目对照回款!$F$13)+SUMIFS(输入回款!$D:$D,输入回款!$A:$A,助手回款!$X56,输入回款!$B:$B,科目对照回款!$F$13))+IF(科目对照回款!$G$13="",0,SUMIFS(输入回款!$C:$C,输入回款!$A:$A,助手回款!$X56,输入回款!$B:$B,科目对照回款!$G$13)+SUMIFS(输入回款!$D:$D,输入回款!$A:$A,助手回款!$X56,输入回款!$B:$B,科目对照回款!$G$13))+IF(科目对照回款!$H$13="",0,SUMIFS(输入回款!$C:$C,输入回款!$A:$A,助手回款!$X56,输入回款!$B:$B,科目对照回款!$H$13)+SUMIFS(输入回款!$D:$D,输入回款!$A:$A,助手回款!$X56,输入回款!$B:$B,科目对照回款!$H$13)),2)</f>
        <v>-0</v>
      </c>
      <c r="H823" s="49" t="str">
        <f aca="false">IF(ROUND($G823,2)&gt;0,ROUND($G823,2),"")</f>
        <v/>
      </c>
      <c r="I823" s="49" t="str">
        <f aca="false">IF(ROUND($G823,2)&lt;0,-ROUND($G823,2),"")</f>
        <v/>
      </c>
      <c r="J823" s="20" t="n">
        <f aca="false">IF(ROUND($G823,2)=0,0,1)</f>
        <v>0</v>
      </c>
      <c r="K823" s="20" t="str">
        <f aca="false">IF($J823=0,"",SUM($J$812:$J823))</f>
        <v/>
      </c>
      <c r="L823" s="20" t="str">
        <f aca="false">IF($K823="","",$A823*100+$K823)</f>
        <v/>
      </c>
      <c r="M823" s="48" t="str">
        <f aca="false">参数!$B$4</f>
        <v>回款</v>
      </c>
    </row>
    <row r="824" customFormat="false" ht="13.5" hidden="false" customHeight="false" outlineLevel="0" collapsed="false">
      <c r="A824" s="47" t="n">
        <v>55</v>
      </c>
      <c r="B824" s="38" t="str">
        <f aca="false">助手回款!$B56</f>
        <v/>
      </c>
      <c r="C824" s="48" t="str">
        <f aca="false">助手回款!$C56</f>
        <v>备用10</v>
      </c>
      <c r="D824" s="48" t="str">
        <f aca="false">科目对照回款!$B14&amp;""</f>
        <v>代金券</v>
      </c>
      <c r="E824" s="48" t="str">
        <f aca="false">科目对照回款!$C14&amp;""</f>
        <v>应收账款</v>
      </c>
      <c r="F824" s="48" t="str">
        <f aca="false">科目对照回款!$D14&amp;""</f>
        <v>代金券</v>
      </c>
      <c r="G824" s="49" t="n">
        <f aca="false">-ROUND(IF(科目对照回款!$F$14="",0,SUMIFS(输入回款!$C:$C,输入回款!$A:$A,助手回款!$X56,输入回款!$B:$B,科目对照回款!$F$14)+SUMIFS(输入回款!$D:$D,输入回款!$A:$A,助手回款!$X56,输入回款!$B:$B,科目对照回款!$F$14))+IF(科目对照回款!$G$14="",0,SUMIFS(输入回款!$C:$C,输入回款!$A:$A,助手回款!$X56,输入回款!$B:$B,科目对照回款!$G$14)+SUMIFS(输入回款!$D:$D,输入回款!$A:$A,助手回款!$X56,输入回款!$B:$B,科目对照回款!$G$14))+IF(科目对照回款!$H$14="",0,SUMIFS(输入回款!$C:$C,输入回款!$A:$A,助手回款!$X56,输入回款!$B:$B,科目对照回款!$H$14)+SUMIFS(输入回款!$D:$D,输入回款!$A:$A,助手回款!$X56,输入回款!$B:$B,科目对照回款!$H$14)),2)</f>
        <v>-0</v>
      </c>
      <c r="H824" s="49" t="str">
        <f aca="false">IF(ROUND($G824,2)&gt;0,ROUND($G824,2),"")</f>
        <v/>
      </c>
      <c r="I824" s="49" t="str">
        <f aca="false">IF(ROUND($G824,2)&lt;0,-ROUND($G824,2),"")</f>
        <v/>
      </c>
      <c r="J824" s="20" t="n">
        <f aca="false">IF(ROUND($G824,2)=0,0,1)</f>
        <v>0</v>
      </c>
      <c r="K824" s="20" t="str">
        <f aca="false">IF($J824=0,"",SUM($J$812:$J824))</f>
        <v/>
      </c>
      <c r="L824" s="20" t="str">
        <f aca="false">IF($K824="","",$A824*100+$K824)</f>
        <v/>
      </c>
      <c r="M824" s="48" t="str">
        <f aca="false">参数!$B$4</f>
        <v>回款</v>
      </c>
    </row>
    <row r="825" customFormat="false" ht="13.5" hidden="false" customHeight="false" outlineLevel="0" collapsed="false">
      <c r="A825" s="47" t="n">
        <v>55</v>
      </c>
      <c r="B825" s="38" t="str">
        <f aca="false">助手回款!$B56</f>
        <v/>
      </c>
      <c r="C825" s="48" t="str">
        <f aca="false">助手回款!$C56</f>
        <v>备用10</v>
      </c>
      <c r="D825" s="48" t="str">
        <f aca="false">科目对照回款!$B15&amp;""</f>
        <v>药机微信</v>
      </c>
      <c r="E825" s="48" t="str">
        <f aca="false">科目对照回款!$C15&amp;""</f>
        <v>应收账款</v>
      </c>
      <c r="F825" s="48" t="str">
        <f aca="false">科目对照回款!$D15&amp;""</f>
        <v>药机微信</v>
      </c>
      <c r="G825" s="49" t="n">
        <f aca="false">-ROUND(IF(科目对照回款!$F$15="",0,SUMIFS(输入回款!$C:$C,输入回款!$A:$A,助手回款!$X56,输入回款!$B:$B,科目对照回款!$F$15)+SUMIFS(输入回款!$D:$D,输入回款!$A:$A,助手回款!$X56,输入回款!$B:$B,科目对照回款!$F$15))+IF(科目对照回款!$G$15="",0,SUMIFS(输入回款!$C:$C,输入回款!$A:$A,助手回款!$X56,输入回款!$B:$B,科目对照回款!$G$15)+SUMIFS(输入回款!$D:$D,输入回款!$A:$A,助手回款!$X56,输入回款!$B:$B,科目对照回款!$G$15))+IF(科目对照回款!$H$15="",0,SUMIFS(输入回款!$C:$C,输入回款!$A:$A,助手回款!$X56,输入回款!$B:$B,科目对照回款!$H$15)+SUMIFS(输入回款!$D:$D,输入回款!$A:$A,助手回款!$X56,输入回款!$B:$B,科目对照回款!$H$15)),2)</f>
        <v>-0</v>
      </c>
      <c r="H825" s="49" t="str">
        <f aca="false">IF(ROUND($G825,2)&gt;0,ROUND($G825,2),"")</f>
        <v/>
      </c>
      <c r="I825" s="49" t="str">
        <f aca="false">IF(ROUND($G825,2)&lt;0,-ROUND($G825,2),"")</f>
        <v/>
      </c>
      <c r="J825" s="20" t="n">
        <f aca="false">IF(ROUND($G825,2)=0,0,1)</f>
        <v>0</v>
      </c>
      <c r="K825" s="20" t="str">
        <f aca="false">IF($J825=0,"",SUM($J$812:$J825))</f>
        <v/>
      </c>
      <c r="L825" s="20" t="str">
        <f aca="false">IF($K825="","",$A825*100+$K825)</f>
        <v/>
      </c>
      <c r="M825" s="48" t="str">
        <f aca="false">参数!$B$4</f>
        <v>回款</v>
      </c>
    </row>
    <row r="826" customFormat="false" ht="13.5" hidden="false" customHeight="false" outlineLevel="0" collapsed="false">
      <c r="A826" s="47" t="n">
        <v>55</v>
      </c>
      <c r="B826" s="38" t="str">
        <f aca="false">助手回款!$B56</f>
        <v/>
      </c>
      <c r="C826" s="48" t="str">
        <f aca="false">助手回款!$C56</f>
        <v>备用10</v>
      </c>
      <c r="D826" s="48" t="str">
        <f aca="false">科目对照回款!$B16&amp;""</f>
        <v>储值卡</v>
      </c>
      <c r="E826" s="48" t="str">
        <f aca="false">科目对照回款!$C16&amp;""</f>
        <v>其他应收款</v>
      </c>
      <c r="F826" s="48" t="str">
        <f aca="false">科目对照回款!$D16&amp;""</f>
        <v>储值卡</v>
      </c>
      <c r="G826" s="49" t="n">
        <f aca="false">-ROUND(IF(科目对照回款!$F$16="",0,SUMIFS(输入回款!$C:$C,输入回款!$A:$A,助手回款!$X56,输入回款!$B:$B,科目对照回款!$F$16)+SUMIFS(输入回款!$D:$D,输入回款!$A:$A,助手回款!$X56,输入回款!$B:$B,科目对照回款!$F$16))+IF(科目对照回款!$G$16="",0,SUMIFS(输入回款!$C:$C,输入回款!$A:$A,助手回款!$X56,输入回款!$B:$B,科目对照回款!$G$16)+SUMIFS(输入回款!$D:$D,输入回款!$A:$A,助手回款!$X56,输入回款!$B:$B,科目对照回款!$G$16))+IF(科目对照回款!$H$16="",0,SUMIFS(输入回款!$C:$C,输入回款!$A:$A,助手回款!$X56,输入回款!$B:$B,科目对照回款!$H$16)+SUMIFS(输入回款!$D:$D,输入回款!$A:$A,助手回款!$X56,输入回款!$B:$B,科目对照回款!$H$16)),2)</f>
        <v>-0</v>
      </c>
      <c r="H826" s="49" t="str">
        <f aca="false">IF(ROUND($G826,2)&gt;0,ROUND($G826,2),"")</f>
        <v/>
      </c>
      <c r="I826" s="49" t="str">
        <f aca="false">IF(ROUND($G826,2)&lt;0,-ROUND($G826,2),"")</f>
        <v/>
      </c>
      <c r="J826" s="20" t="n">
        <f aca="false">IF(ROUND($G826,2)=0,0,1)</f>
        <v>0</v>
      </c>
      <c r="K826" s="20" t="str">
        <f aca="false">IF($J826=0,"",SUM($J$812:$J826))</f>
        <v/>
      </c>
      <c r="L826" s="20" t="str">
        <f aca="false">IF($K826="","",$A826*100+$K826)</f>
        <v/>
      </c>
      <c r="M826" s="48" t="str">
        <f aca="false">参数!$B$4</f>
        <v>回款</v>
      </c>
    </row>
    <row r="827" customFormat="false" ht="13.5" hidden="false" customHeight="false" outlineLevel="0" collapsed="false">
      <c r="A827" s="47" t="n">
        <v>56</v>
      </c>
      <c r="B827" s="38" t="str">
        <f aca="false">助手回款!$B57</f>
        <v/>
      </c>
      <c r="C827" s="48" t="str">
        <f aca="false">助手回款!$C57</f>
        <v>备用11</v>
      </c>
      <c r="D827" s="48" t="str">
        <f aca="false">科目对照回款!$B2&amp;""</f>
        <v>库存现金</v>
      </c>
      <c r="E827" s="48" t="str">
        <f aca="false">科目对照回款!$C2&amp;""</f>
        <v>库存现金</v>
      </c>
      <c r="F827" s="48" t="str">
        <f aca="false">科目对照回款!$D2&amp;""</f>
        <v/>
      </c>
      <c r="G827" s="49" t="n">
        <f aca="false">助手回款!$E57</f>
        <v>0</v>
      </c>
      <c r="H827" s="49" t="str">
        <f aca="false">IF(ROUND($G827,2)&gt;0,ROUND($G827,2),"")</f>
        <v/>
      </c>
      <c r="I827" s="49" t="str">
        <f aca="false">IF(ROUND($G827,2)&lt;0,-ROUND($G827,2),"")</f>
        <v/>
      </c>
      <c r="J827" s="20" t="n">
        <f aca="false">IF(ROUND($G827,2)=0,0,1)</f>
        <v>0</v>
      </c>
      <c r="K827" s="20" t="str">
        <f aca="false">IF($J827=0,"",SUM($J$827:$J827))</f>
        <v/>
      </c>
      <c r="L827" s="20" t="str">
        <f aca="false">IF($K827="","",$A827*100+$K827)</f>
        <v/>
      </c>
      <c r="M827" s="48" t="str">
        <f aca="false">参数!$B$4</f>
        <v>回款</v>
      </c>
    </row>
    <row r="828" customFormat="false" ht="13.5" hidden="false" customHeight="false" outlineLevel="0" collapsed="false">
      <c r="A828" s="47" t="n">
        <v>56</v>
      </c>
      <c r="B828" s="38" t="str">
        <f aca="false">助手回款!$B57</f>
        <v/>
      </c>
      <c r="C828" s="48" t="str">
        <f aca="false">助手回款!$C57</f>
        <v>备用11</v>
      </c>
      <c r="D828" s="48" t="str">
        <f aca="false">科目对照回款!$B3&amp;""</f>
        <v>手续费</v>
      </c>
      <c r="E828" s="48" t="str">
        <f aca="false">科目对照回款!$C3&amp;""</f>
        <v>财务费用</v>
      </c>
      <c r="F828" s="48" t="str">
        <f aca="false">科目对照回款!$D3&amp;""</f>
        <v>手续费</v>
      </c>
      <c r="G828" s="49" t="n">
        <f aca="false">助手回款!$F57</f>
        <v>0</v>
      </c>
      <c r="H828" s="49" t="str">
        <f aca="false">IF(ROUND($G828,2)&gt;0,ROUND($G828,2),"")</f>
        <v/>
      </c>
      <c r="I828" s="49" t="str">
        <f aca="false">IF(ROUND($G828,2)&lt;0,-ROUND($G828,2),"")</f>
        <v/>
      </c>
      <c r="J828" s="20" t="n">
        <f aca="false">IF(ROUND($G828,2)=0,0,1)</f>
        <v>0</v>
      </c>
      <c r="K828" s="20" t="str">
        <f aca="false">IF($J828=0,"",SUM($J$827:$J828))</f>
        <v/>
      </c>
      <c r="L828" s="20" t="str">
        <f aca="false">IF($K828="","",$A828*100+$K828)</f>
        <v/>
      </c>
      <c r="M828" s="48" t="str">
        <f aca="false">参数!$B$4</f>
        <v>回款</v>
      </c>
    </row>
    <row r="829" customFormat="false" ht="13.5" hidden="false" customHeight="false" outlineLevel="0" collapsed="false">
      <c r="A829" s="47" t="n">
        <v>56</v>
      </c>
      <c r="B829" s="38" t="str">
        <f aca="false">助手回款!$B57</f>
        <v/>
      </c>
      <c r="C829" s="48" t="str">
        <f aca="false">助手回款!$C57</f>
        <v>备用11</v>
      </c>
      <c r="D829" s="48" t="str">
        <f aca="false">科目对照回款!$B4&amp;""</f>
        <v>聚合支付</v>
      </c>
      <c r="E829" s="48" t="str">
        <f aca="false">科目对照回款!$C4&amp;""</f>
        <v>应收账款</v>
      </c>
      <c r="F829" s="48" t="str">
        <f aca="false">科目对照回款!$D4&amp;""</f>
        <v>聚合支付</v>
      </c>
      <c r="G829" s="49" t="n">
        <f aca="false">-ROUND(IF(科目对照回款!$F$4="",0,SUMIFS(输入回款!$C:$C,输入回款!$A:$A,助手回款!$X57,输入回款!$B:$B,科目对照回款!$F$4)+SUMIFS(输入回款!$D:$D,输入回款!$A:$A,助手回款!$X57,输入回款!$B:$B,科目对照回款!$F$4))+IF(科目对照回款!$G$4="",0,SUMIFS(输入回款!$C:$C,输入回款!$A:$A,助手回款!$X57,输入回款!$B:$B,科目对照回款!$G$4)+SUMIFS(输入回款!$D:$D,输入回款!$A:$A,助手回款!$X57,输入回款!$B:$B,科目对照回款!$G$4))+IF(科目对照回款!$H$4="",0,SUMIFS(输入回款!$C:$C,输入回款!$A:$A,助手回款!$X57,输入回款!$B:$B,科目对照回款!$H$4)+SUMIFS(输入回款!$D:$D,输入回款!$A:$A,助手回款!$X57,输入回款!$B:$B,科目对照回款!$H$4)),2)</f>
        <v>-0</v>
      </c>
      <c r="H829" s="49" t="str">
        <f aca="false">IF(ROUND($G829,2)&gt;0,ROUND($G829,2),"")</f>
        <v/>
      </c>
      <c r="I829" s="49" t="str">
        <f aca="false">IF(ROUND($G829,2)&lt;0,-ROUND($G829,2),"")</f>
        <v/>
      </c>
      <c r="J829" s="20" t="n">
        <f aca="false">IF(ROUND($G829,2)=0,0,1)</f>
        <v>0</v>
      </c>
      <c r="K829" s="20" t="str">
        <f aca="false">IF($J829=0,"",SUM($J$827:$J829))</f>
        <v/>
      </c>
      <c r="L829" s="20" t="str">
        <f aca="false">IF($K829="","",$A829*100+$K829)</f>
        <v/>
      </c>
      <c r="M829" s="48" t="str">
        <f aca="false">参数!$B$4</f>
        <v>回款</v>
      </c>
    </row>
    <row r="830" customFormat="false" ht="13.5" hidden="false" customHeight="false" outlineLevel="0" collapsed="false">
      <c r="A830" s="47" t="n">
        <v>56</v>
      </c>
      <c r="B830" s="38" t="str">
        <f aca="false">助手回款!$B57</f>
        <v/>
      </c>
      <c r="C830" s="48" t="str">
        <f aca="false">助手回款!$C57</f>
        <v>备用11</v>
      </c>
      <c r="D830" s="48" t="str">
        <f aca="false">科目对照回款!$B5&amp;""</f>
        <v>医保</v>
      </c>
      <c r="E830" s="48" t="str">
        <f aca="false">科目对照回款!$C5&amp;""</f>
        <v>应收账款</v>
      </c>
      <c r="F830" s="48" t="str">
        <f aca="false">科目对照回款!$D5&amp;""</f>
        <v>医保</v>
      </c>
      <c r="G830" s="49" t="n">
        <f aca="false">-ROUND(IF(科目对照回款!$F$5="",0,SUMIFS(输入回款!$C:$C,输入回款!$A:$A,助手回款!$X57,输入回款!$B:$B,科目对照回款!$F$5)+SUMIFS(输入回款!$D:$D,输入回款!$A:$A,助手回款!$X57,输入回款!$B:$B,科目对照回款!$F$5))+IF(科目对照回款!$G$5="",0,SUMIFS(输入回款!$C:$C,输入回款!$A:$A,助手回款!$X57,输入回款!$B:$B,科目对照回款!$G$5)+SUMIFS(输入回款!$D:$D,输入回款!$A:$A,助手回款!$X57,输入回款!$B:$B,科目对照回款!$G$5))+IF(科目对照回款!$H$5="",0,SUMIFS(输入回款!$C:$C,输入回款!$A:$A,助手回款!$X57,输入回款!$B:$B,科目对照回款!$H$5)+SUMIFS(输入回款!$D:$D,输入回款!$A:$A,助手回款!$X57,输入回款!$B:$B,科目对照回款!$H$5)),2)</f>
        <v>-0</v>
      </c>
      <c r="H830" s="49" t="str">
        <f aca="false">IF(ROUND($G830,2)&gt;0,ROUND($G830,2),"")</f>
        <v/>
      </c>
      <c r="I830" s="49" t="str">
        <f aca="false">IF(ROUND($G830,2)&lt;0,-ROUND($G830,2),"")</f>
        <v/>
      </c>
      <c r="J830" s="20" t="n">
        <f aca="false">IF(ROUND($G830,2)=0,0,1)</f>
        <v>0</v>
      </c>
      <c r="K830" s="20" t="str">
        <f aca="false">IF($J830=0,"",SUM($J$827:$J830))</f>
        <v/>
      </c>
      <c r="L830" s="20" t="str">
        <f aca="false">IF($K830="","",$A830*100+$K830)</f>
        <v/>
      </c>
      <c r="M830" s="48" t="str">
        <f aca="false">参数!$B$4</f>
        <v>回款</v>
      </c>
    </row>
    <row r="831" customFormat="false" ht="13.5" hidden="false" customHeight="false" outlineLevel="0" collapsed="false">
      <c r="A831" s="47" t="n">
        <v>56</v>
      </c>
      <c r="B831" s="38" t="str">
        <f aca="false">助手回款!$B57</f>
        <v/>
      </c>
      <c r="C831" s="48" t="str">
        <f aca="false">助手回款!$C57</f>
        <v>备用11</v>
      </c>
      <c r="D831" s="48" t="str">
        <f aca="false">科目对照回款!$B6&amp;""</f>
        <v>美团</v>
      </c>
      <c r="E831" s="48" t="str">
        <f aca="false">科目对照回款!$C6&amp;""</f>
        <v>应收账款</v>
      </c>
      <c r="F831" s="48" t="str">
        <f aca="false">科目对照回款!$D6&amp;""</f>
        <v>美团</v>
      </c>
      <c r="G831" s="49" t="n">
        <f aca="false">-ROUND(IF(科目对照回款!$F$6="",0,SUMIFS(输入回款!$C:$C,输入回款!$A:$A,助手回款!$X57,输入回款!$B:$B,科目对照回款!$F$6)+SUMIFS(输入回款!$D:$D,输入回款!$A:$A,助手回款!$X57,输入回款!$B:$B,科目对照回款!$F$6))+IF(科目对照回款!$G$6="",0,SUMIFS(输入回款!$C:$C,输入回款!$A:$A,助手回款!$X57,输入回款!$B:$B,科目对照回款!$G$6)+SUMIFS(输入回款!$D:$D,输入回款!$A:$A,助手回款!$X57,输入回款!$B:$B,科目对照回款!$G$6))+IF(科目对照回款!$H$6="",0,SUMIFS(输入回款!$C:$C,输入回款!$A:$A,助手回款!$X57,输入回款!$B:$B,科目对照回款!$H$6)+SUMIFS(输入回款!$D:$D,输入回款!$A:$A,助手回款!$X57,输入回款!$B:$B,科目对照回款!$H$6)),2)</f>
        <v>-0</v>
      </c>
      <c r="H831" s="49" t="str">
        <f aca="false">IF(ROUND($G831,2)&gt;0,ROUND($G831,2),"")</f>
        <v/>
      </c>
      <c r="I831" s="49" t="str">
        <f aca="false">IF(ROUND($G831,2)&lt;0,-ROUND($G831,2),"")</f>
        <v/>
      </c>
      <c r="J831" s="20" t="n">
        <f aca="false">IF(ROUND($G831,2)=0,0,1)</f>
        <v>0</v>
      </c>
      <c r="K831" s="20" t="str">
        <f aca="false">IF($J831=0,"",SUM($J$827:$J831))</f>
        <v/>
      </c>
      <c r="L831" s="20" t="str">
        <f aca="false">IF($K831="","",$A831*100+$K831)</f>
        <v/>
      </c>
      <c r="M831" s="48" t="str">
        <f aca="false">参数!$B$4</f>
        <v>回款</v>
      </c>
    </row>
    <row r="832" customFormat="false" ht="13.5" hidden="false" customHeight="false" outlineLevel="0" collapsed="false">
      <c r="A832" s="47" t="n">
        <v>56</v>
      </c>
      <c r="B832" s="38" t="str">
        <f aca="false">助手回款!$B57</f>
        <v/>
      </c>
      <c r="C832" s="48" t="str">
        <f aca="false">助手回款!$C57</f>
        <v>备用11</v>
      </c>
      <c r="D832" s="48" t="str">
        <f aca="false">科目对照回款!$B7&amp;""</f>
        <v>饿了么</v>
      </c>
      <c r="E832" s="48" t="str">
        <f aca="false">科目对照回款!$C7&amp;""</f>
        <v>应收账款</v>
      </c>
      <c r="F832" s="48" t="str">
        <f aca="false">科目对照回款!$D7&amp;""</f>
        <v>饿了么</v>
      </c>
      <c r="G832" s="49" t="n">
        <f aca="false">-ROUND(IF(科目对照回款!$F$7="",0,SUMIFS(输入回款!$C:$C,输入回款!$A:$A,助手回款!$X57,输入回款!$B:$B,科目对照回款!$F$7)+SUMIFS(输入回款!$D:$D,输入回款!$A:$A,助手回款!$X57,输入回款!$B:$B,科目对照回款!$F$7))+IF(科目对照回款!$G$7="",0,SUMIFS(输入回款!$C:$C,输入回款!$A:$A,助手回款!$X57,输入回款!$B:$B,科目对照回款!$G$7)+SUMIFS(输入回款!$D:$D,输入回款!$A:$A,助手回款!$X57,输入回款!$B:$B,科目对照回款!$G$7))+IF(科目对照回款!$H$7="",0,SUMIFS(输入回款!$C:$C,输入回款!$A:$A,助手回款!$X57,输入回款!$B:$B,科目对照回款!$H$7)+SUMIFS(输入回款!$D:$D,输入回款!$A:$A,助手回款!$X57,输入回款!$B:$B,科目对照回款!$H$7)),2)</f>
        <v>-0</v>
      </c>
      <c r="H832" s="49" t="str">
        <f aca="false">IF(ROUND($G832,2)&gt;0,ROUND($G832,2),"")</f>
        <v/>
      </c>
      <c r="I832" s="49" t="str">
        <f aca="false">IF(ROUND($G832,2)&lt;0,-ROUND($G832,2),"")</f>
        <v/>
      </c>
      <c r="J832" s="20" t="n">
        <f aca="false">IF(ROUND($G832,2)=0,0,1)</f>
        <v>0</v>
      </c>
      <c r="K832" s="20" t="str">
        <f aca="false">IF($J832=0,"",SUM($J$827:$J832))</f>
        <v/>
      </c>
      <c r="L832" s="20" t="str">
        <f aca="false">IF($K832="","",$A832*100+$K832)</f>
        <v/>
      </c>
      <c r="M832" s="48" t="str">
        <f aca="false">参数!$B$4</f>
        <v>回款</v>
      </c>
    </row>
    <row r="833" customFormat="false" ht="13.5" hidden="false" customHeight="false" outlineLevel="0" collapsed="false">
      <c r="A833" s="47" t="n">
        <v>56</v>
      </c>
      <c r="B833" s="38" t="str">
        <f aca="false">助手回款!$B57</f>
        <v/>
      </c>
      <c r="C833" s="48" t="str">
        <f aca="false">助手回款!$C57</f>
        <v>备用11</v>
      </c>
      <c r="D833" s="48" t="str">
        <f aca="false">科目对照回款!$B8&amp;""</f>
        <v>24小时</v>
      </c>
      <c r="E833" s="48" t="str">
        <f aca="false">科目对照回款!$C8&amp;""</f>
        <v>应收账款</v>
      </c>
      <c r="F833" s="48" t="str">
        <f aca="false">科目对照回款!$D8&amp;""</f>
        <v>24小时</v>
      </c>
      <c r="G833" s="49" t="n">
        <f aca="false">-ROUND(IF(科目对照回款!$F$8="",0,SUMIFS(输入回款!$C:$C,输入回款!$A:$A,助手回款!$X57,输入回款!$B:$B,科目对照回款!$F$8)+SUMIFS(输入回款!$D:$D,输入回款!$A:$A,助手回款!$X57,输入回款!$B:$B,科目对照回款!$F$8))+IF(科目对照回款!$G$8="",0,SUMIFS(输入回款!$C:$C,输入回款!$A:$A,助手回款!$X57,输入回款!$B:$B,科目对照回款!$G$8)+SUMIFS(输入回款!$D:$D,输入回款!$A:$A,助手回款!$X57,输入回款!$B:$B,科目对照回款!$G$8))+IF(科目对照回款!$H$8="",0,SUMIFS(输入回款!$C:$C,输入回款!$A:$A,助手回款!$X57,输入回款!$B:$B,科目对照回款!$H$8)+SUMIFS(输入回款!$D:$D,输入回款!$A:$A,助手回款!$X57,输入回款!$B:$B,科目对照回款!$H$8)),2)</f>
        <v>-0</v>
      </c>
      <c r="H833" s="49" t="str">
        <f aca="false">IF(ROUND($G833,2)&gt;0,ROUND($G833,2),"")</f>
        <v/>
      </c>
      <c r="I833" s="49" t="str">
        <f aca="false">IF(ROUND($G833,2)&lt;0,-ROUND($G833,2),"")</f>
        <v/>
      </c>
      <c r="J833" s="20" t="n">
        <f aca="false">IF(ROUND($G833,2)=0,0,1)</f>
        <v>0</v>
      </c>
      <c r="K833" s="20" t="str">
        <f aca="false">IF($J833=0,"",SUM($J$827:$J833))</f>
        <v/>
      </c>
      <c r="L833" s="20" t="str">
        <f aca="false">IF($K833="","",$A833*100+$K833)</f>
        <v/>
      </c>
      <c r="M833" s="48" t="str">
        <f aca="false">参数!$B$4</f>
        <v>回款</v>
      </c>
    </row>
    <row r="834" customFormat="false" ht="13.5" hidden="false" customHeight="false" outlineLevel="0" collapsed="false">
      <c r="A834" s="47" t="n">
        <v>56</v>
      </c>
      <c r="B834" s="38" t="str">
        <f aca="false">助手回款!$B57</f>
        <v/>
      </c>
      <c r="C834" s="48" t="str">
        <f aca="false">助手回款!$C57</f>
        <v>备用11</v>
      </c>
      <c r="D834" s="48" t="str">
        <f aca="false">科目对照回款!$B9&amp;""</f>
        <v>健E卡</v>
      </c>
      <c r="E834" s="48" t="str">
        <f aca="false">科目对照回款!$C9&amp;""</f>
        <v>应收账款</v>
      </c>
      <c r="F834" s="48" t="str">
        <f aca="false">科目对照回款!$D9&amp;""</f>
        <v>健E卡</v>
      </c>
      <c r="G834" s="49" t="n">
        <f aca="false">-ROUND(IF(科目对照回款!$F$9="",0,SUMIFS(输入回款!$C:$C,输入回款!$A:$A,助手回款!$X57,输入回款!$B:$B,科目对照回款!$F$9)+SUMIFS(输入回款!$D:$D,输入回款!$A:$A,助手回款!$X57,输入回款!$B:$B,科目对照回款!$F$9))+IF(科目对照回款!$G$9="",0,SUMIFS(输入回款!$C:$C,输入回款!$A:$A,助手回款!$X57,输入回款!$B:$B,科目对照回款!$G$9)+SUMIFS(输入回款!$D:$D,输入回款!$A:$A,助手回款!$X57,输入回款!$B:$B,科目对照回款!$G$9))+IF(科目对照回款!$H$9="",0,SUMIFS(输入回款!$C:$C,输入回款!$A:$A,助手回款!$X57,输入回款!$B:$B,科目对照回款!$H$9)+SUMIFS(输入回款!$D:$D,输入回款!$A:$A,助手回款!$X57,输入回款!$B:$B,科目对照回款!$H$9)),2)</f>
        <v>-0</v>
      </c>
      <c r="H834" s="49" t="str">
        <f aca="false">IF(ROUND($G834,2)&gt;0,ROUND($G834,2),"")</f>
        <v/>
      </c>
      <c r="I834" s="49" t="str">
        <f aca="false">IF(ROUND($G834,2)&lt;0,-ROUND($G834,2),"")</f>
        <v/>
      </c>
      <c r="J834" s="20" t="n">
        <f aca="false">IF(ROUND($G834,2)=0,0,1)</f>
        <v>0</v>
      </c>
      <c r="K834" s="20" t="str">
        <f aca="false">IF($J834=0,"",SUM($J$827:$J834))</f>
        <v/>
      </c>
      <c r="L834" s="20" t="str">
        <f aca="false">IF($K834="","",$A834*100+$K834)</f>
        <v/>
      </c>
      <c r="M834" s="48" t="str">
        <f aca="false">参数!$B$4</f>
        <v>回款</v>
      </c>
    </row>
    <row r="835" customFormat="false" ht="13.5" hidden="false" customHeight="false" outlineLevel="0" collapsed="false">
      <c r="A835" s="47" t="n">
        <v>56</v>
      </c>
      <c r="B835" s="38" t="str">
        <f aca="false">助手回款!$B57</f>
        <v/>
      </c>
      <c r="C835" s="48" t="str">
        <f aca="false">助手回款!$C57</f>
        <v>备用11</v>
      </c>
      <c r="D835" s="48" t="str">
        <f aca="false">科目对照回款!$B10&amp;""</f>
        <v>医卡通</v>
      </c>
      <c r="E835" s="48" t="str">
        <f aca="false">科目对照回款!$C10&amp;""</f>
        <v>应收账款</v>
      </c>
      <c r="F835" s="48" t="str">
        <f aca="false">科目对照回款!$D10&amp;""</f>
        <v>医卡通</v>
      </c>
      <c r="G835" s="49" t="n">
        <f aca="false">-ROUND(IF(科目对照回款!$F$10="",0,SUMIFS(输入回款!$C:$C,输入回款!$A:$A,助手回款!$X57,输入回款!$B:$B,科目对照回款!$F$10)+SUMIFS(输入回款!$D:$D,输入回款!$A:$A,助手回款!$X57,输入回款!$B:$B,科目对照回款!$F$10))+IF(科目对照回款!$G$10="",0,SUMIFS(输入回款!$C:$C,输入回款!$A:$A,助手回款!$X57,输入回款!$B:$B,科目对照回款!$G$10)+SUMIFS(输入回款!$D:$D,输入回款!$A:$A,助手回款!$X57,输入回款!$B:$B,科目对照回款!$G$10))+IF(科目对照回款!$H$10="",0,SUMIFS(输入回款!$C:$C,输入回款!$A:$A,助手回款!$X57,输入回款!$B:$B,科目对照回款!$H$10)+SUMIFS(输入回款!$D:$D,输入回款!$A:$A,助手回款!$X57,输入回款!$B:$B,科目对照回款!$H$10)),2)</f>
        <v>-0</v>
      </c>
      <c r="H835" s="49" t="str">
        <f aca="false">IF(ROUND($G835,2)&gt;0,ROUND($G835,2),"")</f>
        <v/>
      </c>
      <c r="I835" s="49" t="str">
        <f aca="false">IF(ROUND($G835,2)&lt;0,-ROUND($G835,2),"")</f>
        <v/>
      </c>
      <c r="J835" s="20" t="n">
        <f aca="false">IF(ROUND($G835,2)=0,0,1)</f>
        <v>0</v>
      </c>
      <c r="K835" s="20" t="str">
        <f aca="false">IF($J835=0,"",SUM($J$827:$J835))</f>
        <v/>
      </c>
      <c r="L835" s="20" t="str">
        <f aca="false">IF($K835="","",$A835*100+$K835)</f>
        <v/>
      </c>
      <c r="M835" s="48" t="str">
        <f aca="false">参数!$B$4</f>
        <v>回款</v>
      </c>
    </row>
    <row r="836" customFormat="false" ht="13.5" hidden="false" customHeight="false" outlineLevel="0" collapsed="false">
      <c r="A836" s="47" t="n">
        <v>56</v>
      </c>
      <c r="B836" s="38" t="str">
        <f aca="false">助手回款!$B57</f>
        <v/>
      </c>
      <c r="C836" s="48" t="str">
        <f aca="false">助手回款!$C57</f>
        <v>备用11</v>
      </c>
      <c r="D836" s="48" t="str">
        <f aca="false">科目对照回款!$B11&amp;""</f>
        <v>企健网</v>
      </c>
      <c r="E836" s="48" t="str">
        <f aca="false">科目对照回款!$C11&amp;""</f>
        <v>应收账款</v>
      </c>
      <c r="F836" s="48" t="str">
        <f aca="false">科目对照回款!$D11&amp;""</f>
        <v>企健网</v>
      </c>
      <c r="G836" s="49" t="n">
        <f aca="false">-ROUND(IF(科目对照回款!$F$11="",0,SUMIFS(输入回款!$C:$C,输入回款!$A:$A,助手回款!$X57,输入回款!$B:$B,科目对照回款!$F$11)+SUMIFS(输入回款!$D:$D,输入回款!$A:$A,助手回款!$X57,输入回款!$B:$B,科目对照回款!$F$11))+IF(科目对照回款!$G$11="",0,SUMIFS(输入回款!$C:$C,输入回款!$A:$A,助手回款!$X57,输入回款!$B:$B,科目对照回款!$G$11)+SUMIFS(输入回款!$D:$D,输入回款!$A:$A,助手回款!$X57,输入回款!$B:$B,科目对照回款!$G$11))+IF(科目对照回款!$H$11="",0,SUMIFS(输入回款!$C:$C,输入回款!$A:$A,助手回款!$X57,输入回款!$B:$B,科目对照回款!$H$11)+SUMIFS(输入回款!$D:$D,输入回款!$A:$A,助手回款!$X57,输入回款!$B:$B,科目对照回款!$H$11)),2)</f>
        <v>-0</v>
      </c>
      <c r="H836" s="49" t="str">
        <f aca="false">IF(ROUND($G836,2)&gt;0,ROUND($G836,2),"")</f>
        <v/>
      </c>
      <c r="I836" s="49" t="str">
        <f aca="false">IF(ROUND($G836,2)&lt;0,-ROUND($G836,2),"")</f>
        <v/>
      </c>
      <c r="J836" s="20" t="n">
        <f aca="false">IF(ROUND($G836,2)=0,0,1)</f>
        <v>0</v>
      </c>
      <c r="K836" s="20" t="str">
        <f aca="false">IF($J836=0,"",SUM($J$827:$J836))</f>
        <v/>
      </c>
      <c r="L836" s="20" t="str">
        <f aca="false">IF($K836="","",$A836*100+$K836)</f>
        <v/>
      </c>
      <c r="M836" s="48" t="str">
        <f aca="false">参数!$B$4</f>
        <v>回款</v>
      </c>
    </row>
    <row r="837" customFormat="false" ht="13.5" hidden="false" customHeight="false" outlineLevel="0" collapsed="false">
      <c r="A837" s="47" t="n">
        <v>56</v>
      </c>
      <c r="B837" s="38" t="str">
        <f aca="false">助手回款!$B57</f>
        <v/>
      </c>
      <c r="C837" s="48" t="str">
        <f aca="false">助手回款!$C57</f>
        <v>备用11</v>
      </c>
      <c r="D837" s="48" t="str">
        <f aca="false">科目对照回款!$B12&amp;""</f>
        <v>亲情卡</v>
      </c>
      <c r="E837" s="48" t="str">
        <f aca="false">科目对照回款!$C12&amp;""</f>
        <v>应收账款</v>
      </c>
      <c r="F837" s="48" t="str">
        <f aca="false">科目对照回款!$D12&amp;""</f>
        <v>亲情卡</v>
      </c>
      <c r="G837" s="49" t="n">
        <f aca="false">-ROUND(IF(科目对照回款!$F$12="",0,SUMIFS(输入回款!$C:$C,输入回款!$A:$A,助手回款!$X57,输入回款!$B:$B,科目对照回款!$F$12)+SUMIFS(输入回款!$D:$D,输入回款!$A:$A,助手回款!$X57,输入回款!$B:$B,科目对照回款!$F$12))+IF(科目对照回款!$G$12="",0,SUMIFS(输入回款!$C:$C,输入回款!$A:$A,助手回款!$X57,输入回款!$B:$B,科目对照回款!$G$12)+SUMIFS(输入回款!$D:$D,输入回款!$A:$A,助手回款!$X57,输入回款!$B:$B,科目对照回款!$G$12))+IF(科目对照回款!$H$12="",0,SUMIFS(输入回款!$C:$C,输入回款!$A:$A,助手回款!$X57,输入回款!$B:$B,科目对照回款!$H$12)+SUMIFS(输入回款!$D:$D,输入回款!$A:$A,助手回款!$X57,输入回款!$B:$B,科目对照回款!$H$12)),2)</f>
        <v>-0</v>
      </c>
      <c r="H837" s="49" t="str">
        <f aca="false">IF(ROUND($G837,2)&gt;0,ROUND($G837,2),"")</f>
        <v/>
      </c>
      <c r="I837" s="49" t="str">
        <f aca="false">IF(ROUND($G837,2)&lt;0,-ROUND($G837,2),"")</f>
        <v/>
      </c>
      <c r="J837" s="20" t="n">
        <f aca="false">IF(ROUND($G837,2)=0,0,1)</f>
        <v>0</v>
      </c>
      <c r="K837" s="20" t="str">
        <f aca="false">IF($J837=0,"",SUM($J$827:$J837))</f>
        <v/>
      </c>
      <c r="L837" s="20" t="str">
        <f aca="false">IF($K837="","",$A837*100+$K837)</f>
        <v/>
      </c>
      <c r="M837" s="48" t="str">
        <f aca="false">参数!$B$4</f>
        <v>回款</v>
      </c>
    </row>
    <row r="838" customFormat="false" ht="13.5" hidden="false" customHeight="false" outlineLevel="0" collapsed="false">
      <c r="A838" s="47" t="n">
        <v>56</v>
      </c>
      <c r="B838" s="38" t="str">
        <f aca="false">助手回款!$B57</f>
        <v/>
      </c>
      <c r="C838" s="48" t="str">
        <f aca="false">助手回款!$C57</f>
        <v>备用11</v>
      </c>
      <c r="D838" s="48" t="str">
        <f aca="false">科目对照回款!$B13&amp;""</f>
        <v>银联</v>
      </c>
      <c r="E838" s="48" t="str">
        <f aca="false">科目对照回款!$C13&amp;""</f>
        <v>应收账款</v>
      </c>
      <c r="F838" s="48" t="str">
        <f aca="false">科目对照回款!$D13&amp;""</f>
        <v>银联</v>
      </c>
      <c r="G838" s="49" t="n">
        <f aca="false">-ROUND(IF(科目对照回款!$F$13="",0,SUMIFS(输入回款!$C:$C,输入回款!$A:$A,助手回款!$X57,输入回款!$B:$B,科目对照回款!$F$13)+SUMIFS(输入回款!$D:$D,输入回款!$A:$A,助手回款!$X57,输入回款!$B:$B,科目对照回款!$F$13))+IF(科目对照回款!$G$13="",0,SUMIFS(输入回款!$C:$C,输入回款!$A:$A,助手回款!$X57,输入回款!$B:$B,科目对照回款!$G$13)+SUMIFS(输入回款!$D:$D,输入回款!$A:$A,助手回款!$X57,输入回款!$B:$B,科目对照回款!$G$13))+IF(科目对照回款!$H$13="",0,SUMIFS(输入回款!$C:$C,输入回款!$A:$A,助手回款!$X57,输入回款!$B:$B,科目对照回款!$H$13)+SUMIFS(输入回款!$D:$D,输入回款!$A:$A,助手回款!$X57,输入回款!$B:$B,科目对照回款!$H$13)),2)</f>
        <v>-0</v>
      </c>
      <c r="H838" s="49" t="str">
        <f aca="false">IF(ROUND($G838,2)&gt;0,ROUND($G838,2),"")</f>
        <v/>
      </c>
      <c r="I838" s="49" t="str">
        <f aca="false">IF(ROUND($G838,2)&lt;0,-ROUND($G838,2),"")</f>
        <v/>
      </c>
      <c r="J838" s="20" t="n">
        <f aca="false">IF(ROUND($G838,2)=0,0,1)</f>
        <v>0</v>
      </c>
      <c r="K838" s="20" t="str">
        <f aca="false">IF($J838=0,"",SUM($J$827:$J838))</f>
        <v/>
      </c>
      <c r="L838" s="20" t="str">
        <f aca="false">IF($K838="","",$A838*100+$K838)</f>
        <v/>
      </c>
      <c r="M838" s="48" t="str">
        <f aca="false">参数!$B$4</f>
        <v>回款</v>
      </c>
    </row>
    <row r="839" customFormat="false" ht="13.5" hidden="false" customHeight="false" outlineLevel="0" collapsed="false">
      <c r="A839" s="47" t="n">
        <v>56</v>
      </c>
      <c r="B839" s="38" t="str">
        <f aca="false">助手回款!$B57</f>
        <v/>
      </c>
      <c r="C839" s="48" t="str">
        <f aca="false">助手回款!$C57</f>
        <v>备用11</v>
      </c>
      <c r="D839" s="48" t="str">
        <f aca="false">科目对照回款!$B14&amp;""</f>
        <v>代金券</v>
      </c>
      <c r="E839" s="48" t="str">
        <f aca="false">科目对照回款!$C14&amp;""</f>
        <v>应收账款</v>
      </c>
      <c r="F839" s="48" t="str">
        <f aca="false">科目对照回款!$D14&amp;""</f>
        <v>代金券</v>
      </c>
      <c r="G839" s="49" t="n">
        <f aca="false">-ROUND(IF(科目对照回款!$F$14="",0,SUMIFS(输入回款!$C:$C,输入回款!$A:$A,助手回款!$X57,输入回款!$B:$B,科目对照回款!$F$14)+SUMIFS(输入回款!$D:$D,输入回款!$A:$A,助手回款!$X57,输入回款!$B:$B,科目对照回款!$F$14))+IF(科目对照回款!$G$14="",0,SUMIFS(输入回款!$C:$C,输入回款!$A:$A,助手回款!$X57,输入回款!$B:$B,科目对照回款!$G$14)+SUMIFS(输入回款!$D:$D,输入回款!$A:$A,助手回款!$X57,输入回款!$B:$B,科目对照回款!$G$14))+IF(科目对照回款!$H$14="",0,SUMIFS(输入回款!$C:$C,输入回款!$A:$A,助手回款!$X57,输入回款!$B:$B,科目对照回款!$H$14)+SUMIFS(输入回款!$D:$D,输入回款!$A:$A,助手回款!$X57,输入回款!$B:$B,科目对照回款!$H$14)),2)</f>
        <v>-0</v>
      </c>
      <c r="H839" s="49" t="str">
        <f aca="false">IF(ROUND($G839,2)&gt;0,ROUND($G839,2),"")</f>
        <v/>
      </c>
      <c r="I839" s="49" t="str">
        <f aca="false">IF(ROUND($G839,2)&lt;0,-ROUND($G839,2),"")</f>
        <v/>
      </c>
      <c r="J839" s="20" t="n">
        <f aca="false">IF(ROUND($G839,2)=0,0,1)</f>
        <v>0</v>
      </c>
      <c r="K839" s="20" t="str">
        <f aca="false">IF($J839=0,"",SUM($J$827:$J839))</f>
        <v/>
      </c>
      <c r="L839" s="20" t="str">
        <f aca="false">IF($K839="","",$A839*100+$K839)</f>
        <v/>
      </c>
      <c r="M839" s="48" t="str">
        <f aca="false">参数!$B$4</f>
        <v>回款</v>
      </c>
    </row>
    <row r="840" customFormat="false" ht="13.5" hidden="false" customHeight="false" outlineLevel="0" collapsed="false">
      <c r="A840" s="47" t="n">
        <v>56</v>
      </c>
      <c r="B840" s="38" t="str">
        <f aca="false">助手回款!$B57</f>
        <v/>
      </c>
      <c r="C840" s="48" t="str">
        <f aca="false">助手回款!$C57</f>
        <v>备用11</v>
      </c>
      <c r="D840" s="48" t="str">
        <f aca="false">科目对照回款!$B15&amp;""</f>
        <v>药机微信</v>
      </c>
      <c r="E840" s="48" t="str">
        <f aca="false">科目对照回款!$C15&amp;""</f>
        <v>应收账款</v>
      </c>
      <c r="F840" s="48" t="str">
        <f aca="false">科目对照回款!$D15&amp;""</f>
        <v>药机微信</v>
      </c>
      <c r="G840" s="49" t="n">
        <f aca="false">-ROUND(IF(科目对照回款!$F$15="",0,SUMIFS(输入回款!$C:$C,输入回款!$A:$A,助手回款!$X57,输入回款!$B:$B,科目对照回款!$F$15)+SUMIFS(输入回款!$D:$D,输入回款!$A:$A,助手回款!$X57,输入回款!$B:$B,科目对照回款!$F$15))+IF(科目对照回款!$G$15="",0,SUMIFS(输入回款!$C:$C,输入回款!$A:$A,助手回款!$X57,输入回款!$B:$B,科目对照回款!$G$15)+SUMIFS(输入回款!$D:$D,输入回款!$A:$A,助手回款!$X57,输入回款!$B:$B,科目对照回款!$G$15))+IF(科目对照回款!$H$15="",0,SUMIFS(输入回款!$C:$C,输入回款!$A:$A,助手回款!$X57,输入回款!$B:$B,科目对照回款!$H$15)+SUMIFS(输入回款!$D:$D,输入回款!$A:$A,助手回款!$X57,输入回款!$B:$B,科目对照回款!$H$15)),2)</f>
        <v>-0</v>
      </c>
      <c r="H840" s="49" t="str">
        <f aca="false">IF(ROUND($G840,2)&gt;0,ROUND($G840,2),"")</f>
        <v/>
      </c>
      <c r="I840" s="49" t="str">
        <f aca="false">IF(ROUND($G840,2)&lt;0,-ROUND($G840,2),"")</f>
        <v/>
      </c>
      <c r="J840" s="20" t="n">
        <f aca="false">IF(ROUND($G840,2)=0,0,1)</f>
        <v>0</v>
      </c>
      <c r="K840" s="20" t="str">
        <f aca="false">IF($J840=0,"",SUM($J$827:$J840))</f>
        <v/>
      </c>
      <c r="L840" s="20" t="str">
        <f aca="false">IF($K840="","",$A840*100+$K840)</f>
        <v/>
      </c>
      <c r="M840" s="48" t="str">
        <f aca="false">参数!$B$4</f>
        <v>回款</v>
      </c>
    </row>
    <row r="841" customFormat="false" ht="13.5" hidden="false" customHeight="false" outlineLevel="0" collapsed="false">
      <c r="A841" s="47" t="n">
        <v>56</v>
      </c>
      <c r="B841" s="38" t="str">
        <f aca="false">助手回款!$B57</f>
        <v/>
      </c>
      <c r="C841" s="48" t="str">
        <f aca="false">助手回款!$C57</f>
        <v>备用11</v>
      </c>
      <c r="D841" s="48" t="str">
        <f aca="false">科目对照回款!$B16&amp;""</f>
        <v>储值卡</v>
      </c>
      <c r="E841" s="48" t="str">
        <f aca="false">科目对照回款!$C16&amp;""</f>
        <v>其他应收款</v>
      </c>
      <c r="F841" s="48" t="str">
        <f aca="false">科目对照回款!$D16&amp;""</f>
        <v>储值卡</v>
      </c>
      <c r="G841" s="49" t="n">
        <f aca="false">-ROUND(IF(科目对照回款!$F$16="",0,SUMIFS(输入回款!$C:$C,输入回款!$A:$A,助手回款!$X57,输入回款!$B:$B,科目对照回款!$F$16)+SUMIFS(输入回款!$D:$D,输入回款!$A:$A,助手回款!$X57,输入回款!$B:$B,科目对照回款!$F$16))+IF(科目对照回款!$G$16="",0,SUMIFS(输入回款!$C:$C,输入回款!$A:$A,助手回款!$X57,输入回款!$B:$B,科目对照回款!$G$16)+SUMIFS(输入回款!$D:$D,输入回款!$A:$A,助手回款!$X57,输入回款!$B:$B,科目对照回款!$G$16))+IF(科目对照回款!$H$16="",0,SUMIFS(输入回款!$C:$C,输入回款!$A:$A,助手回款!$X57,输入回款!$B:$B,科目对照回款!$H$16)+SUMIFS(输入回款!$D:$D,输入回款!$A:$A,助手回款!$X57,输入回款!$B:$B,科目对照回款!$H$16)),2)</f>
        <v>-0</v>
      </c>
      <c r="H841" s="49" t="str">
        <f aca="false">IF(ROUND($G841,2)&gt;0,ROUND($G841,2),"")</f>
        <v/>
      </c>
      <c r="I841" s="49" t="str">
        <f aca="false">IF(ROUND($G841,2)&lt;0,-ROUND($G841,2),"")</f>
        <v/>
      </c>
      <c r="J841" s="20" t="n">
        <f aca="false">IF(ROUND($G841,2)=0,0,1)</f>
        <v>0</v>
      </c>
      <c r="K841" s="20" t="str">
        <f aca="false">IF($J841=0,"",SUM($J$827:$J841))</f>
        <v/>
      </c>
      <c r="L841" s="20" t="str">
        <f aca="false">IF($K841="","",$A841*100+$K841)</f>
        <v/>
      </c>
      <c r="M841" s="48" t="str">
        <f aca="false">参数!$B$4</f>
        <v>回款</v>
      </c>
    </row>
    <row r="842" customFormat="false" ht="13.5" hidden="false" customHeight="false" outlineLevel="0" collapsed="false">
      <c r="A842" s="47" t="n">
        <v>57</v>
      </c>
      <c r="B842" s="38" t="str">
        <f aca="false">助手回款!$B58</f>
        <v/>
      </c>
      <c r="C842" s="48" t="str">
        <f aca="false">助手回款!$C58</f>
        <v>备用12</v>
      </c>
      <c r="D842" s="48" t="str">
        <f aca="false">科目对照回款!$B2&amp;""</f>
        <v>库存现金</v>
      </c>
      <c r="E842" s="48" t="str">
        <f aca="false">科目对照回款!$C2&amp;""</f>
        <v>库存现金</v>
      </c>
      <c r="F842" s="48" t="str">
        <f aca="false">科目对照回款!$D2&amp;""</f>
        <v/>
      </c>
      <c r="G842" s="49" t="n">
        <f aca="false">助手回款!$E58</f>
        <v>0</v>
      </c>
      <c r="H842" s="49" t="str">
        <f aca="false">IF(ROUND($G842,2)&gt;0,ROUND($G842,2),"")</f>
        <v/>
      </c>
      <c r="I842" s="49" t="str">
        <f aca="false">IF(ROUND($G842,2)&lt;0,-ROUND($G842,2),"")</f>
        <v/>
      </c>
      <c r="J842" s="20" t="n">
        <f aca="false">IF(ROUND($G842,2)=0,0,1)</f>
        <v>0</v>
      </c>
      <c r="K842" s="20" t="str">
        <f aca="false">IF($J842=0,"",SUM($J$842:$J842))</f>
        <v/>
      </c>
      <c r="L842" s="20" t="str">
        <f aca="false">IF($K842="","",$A842*100+$K842)</f>
        <v/>
      </c>
      <c r="M842" s="48" t="str">
        <f aca="false">参数!$B$4</f>
        <v>回款</v>
      </c>
    </row>
    <row r="843" customFormat="false" ht="13.5" hidden="false" customHeight="false" outlineLevel="0" collapsed="false">
      <c r="A843" s="47" t="n">
        <v>57</v>
      </c>
      <c r="B843" s="38" t="str">
        <f aca="false">助手回款!$B58</f>
        <v/>
      </c>
      <c r="C843" s="48" t="str">
        <f aca="false">助手回款!$C58</f>
        <v>备用12</v>
      </c>
      <c r="D843" s="48" t="str">
        <f aca="false">科目对照回款!$B3&amp;""</f>
        <v>手续费</v>
      </c>
      <c r="E843" s="48" t="str">
        <f aca="false">科目对照回款!$C3&amp;""</f>
        <v>财务费用</v>
      </c>
      <c r="F843" s="48" t="str">
        <f aca="false">科目对照回款!$D3&amp;""</f>
        <v>手续费</v>
      </c>
      <c r="G843" s="49" t="n">
        <f aca="false">助手回款!$F58</f>
        <v>0</v>
      </c>
      <c r="H843" s="49" t="str">
        <f aca="false">IF(ROUND($G843,2)&gt;0,ROUND($G843,2),"")</f>
        <v/>
      </c>
      <c r="I843" s="49" t="str">
        <f aca="false">IF(ROUND($G843,2)&lt;0,-ROUND($G843,2),"")</f>
        <v/>
      </c>
      <c r="J843" s="20" t="n">
        <f aca="false">IF(ROUND($G843,2)=0,0,1)</f>
        <v>0</v>
      </c>
      <c r="K843" s="20" t="str">
        <f aca="false">IF($J843=0,"",SUM($J$842:$J843))</f>
        <v/>
      </c>
      <c r="L843" s="20" t="str">
        <f aca="false">IF($K843="","",$A843*100+$K843)</f>
        <v/>
      </c>
      <c r="M843" s="48" t="str">
        <f aca="false">参数!$B$4</f>
        <v>回款</v>
      </c>
    </row>
    <row r="844" customFormat="false" ht="13.5" hidden="false" customHeight="false" outlineLevel="0" collapsed="false">
      <c r="A844" s="47" t="n">
        <v>57</v>
      </c>
      <c r="B844" s="38" t="str">
        <f aca="false">助手回款!$B58</f>
        <v/>
      </c>
      <c r="C844" s="48" t="str">
        <f aca="false">助手回款!$C58</f>
        <v>备用12</v>
      </c>
      <c r="D844" s="48" t="str">
        <f aca="false">科目对照回款!$B4&amp;""</f>
        <v>聚合支付</v>
      </c>
      <c r="E844" s="48" t="str">
        <f aca="false">科目对照回款!$C4&amp;""</f>
        <v>应收账款</v>
      </c>
      <c r="F844" s="48" t="str">
        <f aca="false">科目对照回款!$D4&amp;""</f>
        <v>聚合支付</v>
      </c>
      <c r="G844" s="49" t="n">
        <f aca="false">-ROUND(IF(科目对照回款!$F$4="",0,SUMIFS(输入回款!$C:$C,输入回款!$A:$A,助手回款!$X58,输入回款!$B:$B,科目对照回款!$F$4)+SUMIFS(输入回款!$D:$D,输入回款!$A:$A,助手回款!$X58,输入回款!$B:$B,科目对照回款!$F$4))+IF(科目对照回款!$G$4="",0,SUMIFS(输入回款!$C:$C,输入回款!$A:$A,助手回款!$X58,输入回款!$B:$B,科目对照回款!$G$4)+SUMIFS(输入回款!$D:$D,输入回款!$A:$A,助手回款!$X58,输入回款!$B:$B,科目对照回款!$G$4))+IF(科目对照回款!$H$4="",0,SUMIFS(输入回款!$C:$C,输入回款!$A:$A,助手回款!$X58,输入回款!$B:$B,科目对照回款!$H$4)+SUMIFS(输入回款!$D:$D,输入回款!$A:$A,助手回款!$X58,输入回款!$B:$B,科目对照回款!$H$4)),2)</f>
        <v>-0</v>
      </c>
      <c r="H844" s="49" t="str">
        <f aca="false">IF(ROUND($G844,2)&gt;0,ROUND($G844,2),"")</f>
        <v/>
      </c>
      <c r="I844" s="49" t="str">
        <f aca="false">IF(ROUND($G844,2)&lt;0,-ROUND($G844,2),"")</f>
        <v/>
      </c>
      <c r="J844" s="20" t="n">
        <f aca="false">IF(ROUND($G844,2)=0,0,1)</f>
        <v>0</v>
      </c>
      <c r="K844" s="20" t="str">
        <f aca="false">IF($J844=0,"",SUM($J$842:$J844))</f>
        <v/>
      </c>
      <c r="L844" s="20" t="str">
        <f aca="false">IF($K844="","",$A844*100+$K844)</f>
        <v/>
      </c>
      <c r="M844" s="48" t="str">
        <f aca="false">参数!$B$4</f>
        <v>回款</v>
      </c>
    </row>
    <row r="845" customFormat="false" ht="13.5" hidden="false" customHeight="false" outlineLevel="0" collapsed="false">
      <c r="A845" s="47" t="n">
        <v>57</v>
      </c>
      <c r="B845" s="38" t="str">
        <f aca="false">助手回款!$B58</f>
        <v/>
      </c>
      <c r="C845" s="48" t="str">
        <f aca="false">助手回款!$C58</f>
        <v>备用12</v>
      </c>
      <c r="D845" s="48" t="str">
        <f aca="false">科目对照回款!$B5&amp;""</f>
        <v>医保</v>
      </c>
      <c r="E845" s="48" t="str">
        <f aca="false">科目对照回款!$C5&amp;""</f>
        <v>应收账款</v>
      </c>
      <c r="F845" s="48" t="str">
        <f aca="false">科目对照回款!$D5&amp;""</f>
        <v>医保</v>
      </c>
      <c r="G845" s="49" t="n">
        <f aca="false">-ROUND(IF(科目对照回款!$F$5="",0,SUMIFS(输入回款!$C:$C,输入回款!$A:$A,助手回款!$X58,输入回款!$B:$B,科目对照回款!$F$5)+SUMIFS(输入回款!$D:$D,输入回款!$A:$A,助手回款!$X58,输入回款!$B:$B,科目对照回款!$F$5))+IF(科目对照回款!$G$5="",0,SUMIFS(输入回款!$C:$C,输入回款!$A:$A,助手回款!$X58,输入回款!$B:$B,科目对照回款!$G$5)+SUMIFS(输入回款!$D:$D,输入回款!$A:$A,助手回款!$X58,输入回款!$B:$B,科目对照回款!$G$5))+IF(科目对照回款!$H$5="",0,SUMIFS(输入回款!$C:$C,输入回款!$A:$A,助手回款!$X58,输入回款!$B:$B,科目对照回款!$H$5)+SUMIFS(输入回款!$D:$D,输入回款!$A:$A,助手回款!$X58,输入回款!$B:$B,科目对照回款!$H$5)),2)</f>
        <v>-0</v>
      </c>
      <c r="H845" s="49" t="str">
        <f aca="false">IF(ROUND($G845,2)&gt;0,ROUND($G845,2),"")</f>
        <v/>
      </c>
      <c r="I845" s="49" t="str">
        <f aca="false">IF(ROUND($G845,2)&lt;0,-ROUND($G845,2),"")</f>
        <v/>
      </c>
      <c r="J845" s="20" t="n">
        <f aca="false">IF(ROUND($G845,2)=0,0,1)</f>
        <v>0</v>
      </c>
      <c r="K845" s="20" t="str">
        <f aca="false">IF($J845=0,"",SUM($J$842:$J845))</f>
        <v/>
      </c>
      <c r="L845" s="20" t="str">
        <f aca="false">IF($K845="","",$A845*100+$K845)</f>
        <v/>
      </c>
      <c r="M845" s="48" t="str">
        <f aca="false">参数!$B$4</f>
        <v>回款</v>
      </c>
    </row>
    <row r="846" customFormat="false" ht="13.5" hidden="false" customHeight="false" outlineLevel="0" collapsed="false">
      <c r="A846" s="47" t="n">
        <v>57</v>
      </c>
      <c r="B846" s="38" t="str">
        <f aca="false">助手回款!$B58</f>
        <v/>
      </c>
      <c r="C846" s="48" t="str">
        <f aca="false">助手回款!$C58</f>
        <v>备用12</v>
      </c>
      <c r="D846" s="48" t="str">
        <f aca="false">科目对照回款!$B6&amp;""</f>
        <v>美团</v>
      </c>
      <c r="E846" s="48" t="str">
        <f aca="false">科目对照回款!$C6&amp;""</f>
        <v>应收账款</v>
      </c>
      <c r="F846" s="48" t="str">
        <f aca="false">科目对照回款!$D6&amp;""</f>
        <v>美团</v>
      </c>
      <c r="G846" s="49" t="n">
        <f aca="false">-ROUND(IF(科目对照回款!$F$6="",0,SUMIFS(输入回款!$C:$C,输入回款!$A:$A,助手回款!$X58,输入回款!$B:$B,科目对照回款!$F$6)+SUMIFS(输入回款!$D:$D,输入回款!$A:$A,助手回款!$X58,输入回款!$B:$B,科目对照回款!$F$6))+IF(科目对照回款!$G$6="",0,SUMIFS(输入回款!$C:$C,输入回款!$A:$A,助手回款!$X58,输入回款!$B:$B,科目对照回款!$G$6)+SUMIFS(输入回款!$D:$D,输入回款!$A:$A,助手回款!$X58,输入回款!$B:$B,科目对照回款!$G$6))+IF(科目对照回款!$H$6="",0,SUMIFS(输入回款!$C:$C,输入回款!$A:$A,助手回款!$X58,输入回款!$B:$B,科目对照回款!$H$6)+SUMIFS(输入回款!$D:$D,输入回款!$A:$A,助手回款!$X58,输入回款!$B:$B,科目对照回款!$H$6)),2)</f>
        <v>-0</v>
      </c>
      <c r="H846" s="49" t="str">
        <f aca="false">IF(ROUND($G846,2)&gt;0,ROUND($G846,2),"")</f>
        <v/>
      </c>
      <c r="I846" s="49" t="str">
        <f aca="false">IF(ROUND($G846,2)&lt;0,-ROUND($G846,2),"")</f>
        <v/>
      </c>
      <c r="J846" s="20" t="n">
        <f aca="false">IF(ROUND($G846,2)=0,0,1)</f>
        <v>0</v>
      </c>
      <c r="K846" s="20" t="str">
        <f aca="false">IF($J846=0,"",SUM($J$842:$J846))</f>
        <v/>
      </c>
      <c r="L846" s="20" t="str">
        <f aca="false">IF($K846="","",$A846*100+$K846)</f>
        <v/>
      </c>
      <c r="M846" s="48" t="str">
        <f aca="false">参数!$B$4</f>
        <v>回款</v>
      </c>
    </row>
    <row r="847" customFormat="false" ht="13.5" hidden="false" customHeight="false" outlineLevel="0" collapsed="false">
      <c r="A847" s="47" t="n">
        <v>57</v>
      </c>
      <c r="B847" s="38" t="str">
        <f aca="false">助手回款!$B58</f>
        <v/>
      </c>
      <c r="C847" s="48" t="str">
        <f aca="false">助手回款!$C58</f>
        <v>备用12</v>
      </c>
      <c r="D847" s="48" t="str">
        <f aca="false">科目对照回款!$B7&amp;""</f>
        <v>饿了么</v>
      </c>
      <c r="E847" s="48" t="str">
        <f aca="false">科目对照回款!$C7&amp;""</f>
        <v>应收账款</v>
      </c>
      <c r="F847" s="48" t="str">
        <f aca="false">科目对照回款!$D7&amp;""</f>
        <v>饿了么</v>
      </c>
      <c r="G847" s="49" t="n">
        <f aca="false">-ROUND(IF(科目对照回款!$F$7="",0,SUMIFS(输入回款!$C:$C,输入回款!$A:$A,助手回款!$X58,输入回款!$B:$B,科目对照回款!$F$7)+SUMIFS(输入回款!$D:$D,输入回款!$A:$A,助手回款!$X58,输入回款!$B:$B,科目对照回款!$F$7))+IF(科目对照回款!$G$7="",0,SUMIFS(输入回款!$C:$C,输入回款!$A:$A,助手回款!$X58,输入回款!$B:$B,科目对照回款!$G$7)+SUMIFS(输入回款!$D:$D,输入回款!$A:$A,助手回款!$X58,输入回款!$B:$B,科目对照回款!$G$7))+IF(科目对照回款!$H$7="",0,SUMIFS(输入回款!$C:$C,输入回款!$A:$A,助手回款!$X58,输入回款!$B:$B,科目对照回款!$H$7)+SUMIFS(输入回款!$D:$D,输入回款!$A:$A,助手回款!$X58,输入回款!$B:$B,科目对照回款!$H$7)),2)</f>
        <v>-0</v>
      </c>
      <c r="H847" s="49" t="str">
        <f aca="false">IF(ROUND($G847,2)&gt;0,ROUND($G847,2),"")</f>
        <v/>
      </c>
      <c r="I847" s="49" t="str">
        <f aca="false">IF(ROUND($G847,2)&lt;0,-ROUND($G847,2),"")</f>
        <v/>
      </c>
      <c r="J847" s="20" t="n">
        <f aca="false">IF(ROUND($G847,2)=0,0,1)</f>
        <v>0</v>
      </c>
      <c r="K847" s="20" t="str">
        <f aca="false">IF($J847=0,"",SUM($J$842:$J847))</f>
        <v/>
      </c>
      <c r="L847" s="20" t="str">
        <f aca="false">IF($K847="","",$A847*100+$K847)</f>
        <v/>
      </c>
      <c r="M847" s="48" t="str">
        <f aca="false">参数!$B$4</f>
        <v>回款</v>
      </c>
    </row>
    <row r="848" customFormat="false" ht="13.5" hidden="false" customHeight="false" outlineLevel="0" collapsed="false">
      <c r="A848" s="47" t="n">
        <v>57</v>
      </c>
      <c r="B848" s="38" t="str">
        <f aca="false">助手回款!$B58</f>
        <v/>
      </c>
      <c r="C848" s="48" t="str">
        <f aca="false">助手回款!$C58</f>
        <v>备用12</v>
      </c>
      <c r="D848" s="48" t="str">
        <f aca="false">科目对照回款!$B8&amp;""</f>
        <v>24小时</v>
      </c>
      <c r="E848" s="48" t="str">
        <f aca="false">科目对照回款!$C8&amp;""</f>
        <v>应收账款</v>
      </c>
      <c r="F848" s="48" t="str">
        <f aca="false">科目对照回款!$D8&amp;""</f>
        <v>24小时</v>
      </c>
      <c r="G848" s="49" t="n">
        <f aca="false">-ROUND(IF(科目对照回款!$F$8="",0,SUMIFS(输入回款!$C:$C,输入回款!$A:$A,助手回款!$X58,输入回款!$B:$B,科目对照回款!$F$8)+SUMIFS(输入回款!$D:$D,输入回款!$A:$A,助手回款!$X58,输入回款!$B:$B,科目对照回款!$F$8))+IF(科目对照回款!$G$8="",0,SUMIFS(输入回款!$C:$C,输入回款!$A:$A,助手回款!$X58,输入回款!$B:$B,科目对照回款!$G$8)+SUMIFS(输入回款!$D:$D,输入回款!$A:$A,助手回款!$X58,输入回款!$B:$B,科目对照回款!$G$8))+IF(科目对照回款!$H$8="",0,SUMIFS(输入回款!$C:$C,输入回款!$A:$A,助手回款!$X58,输入回款!$B:$B,科目对照回款!$H$8)+SUMIFS(输入回款!$D:$D,输入回款!$A:$A,助手回款!$X58,输入回款!$B:$B,科目对照回款!$H$8)),2)</f>
        <v>-0</v>
      </c>
      <c r="H848" s="49" t="str">
        <f aca="false">IF(ROUND($G848,2)&gt;0,ROUND($G848,2),"")</f>
        <v/>
      </c>
      <c r="I848" s="49" t="str">
        <f aca="false">IF(ROUND($G848,2)&lt;0,-ROUND($G848,2),"")</f>
        <v/>
      </c>
      <c r="J848" s="20" t="n">
        <f aca="false">IF(ROUND($G848,2)=0,0,1)</f>
        <v>0</v>
      </c>
      <c r="K848" s="20" t="str">
        <f aca="false">IF($J848=0,"",SUM($J$842:$J848))</f>
        <v/>
      </c>
      <c r="L848" s="20" t="str">
        <f aca="false">IF($K848="","",$A848*100+$K848)</f>
        <v/>
      </c>
      <c r="M848" s="48" t="str">
        <f aca="false">参数!$B$4</f>
        <v>回款</v>
      </c>
    </row>
    <row r="849" customFormat="false" ht="13.5" hidden="false" customHeight="false" outlineLevel="0" collapsed="false">
      <c r="A849" s="47" t="n">
        <v>57</v>
      </c>
      <c r="B849" s="38" t="str">
        <f aca="false">助手回款!$B58</f>
        <v/>
      </c>
      <c r="C849" s="48" t="str">
        <f aca="false">助手回款!$C58</f>
        <v>备用12</v>
      </c>
      <c r="D849" s="48" t="str">
        <f aca="false">科目对照回款!$B9&amp;""</f>
        <v>健E卡</v>
      </c>
      <c r="E849" s="48" t="str">
        <f aca="false">科目对照回款!$C9&amp;""</f>
        <v>应收账款</v>
      </c>
      <c r="F849" s="48" t="str">
        <f aca="false">科目对照回款!$D9&amp;""</f>
        <v>健E卡</v>
      </c>
      <c r="G849" s="49" t="n">
        <f aca="false">-ROUND(IF(科目对照回款!$F$9="",0,SUMIFS(输入回款!$C:$C,输入回款!$A:$A,助手回款!$X58,输入回款!$B:$B,科目对照回款!$F$9)+SUMIFS(输入回款!$D:$D,输入回款!$A:$A,助手回款!$X58,输入回款!$B:$B,科目对照回款!$F$9))+IF(科目对照回款!$G$9="",0,SUMIFS(输入回款!$C:$C,输入回款!$A:$A,助手回款!$X58,输入回款!$B:$B,科目对照回款!$G$9)+SUMIFS(输入回款!$D:$D,输入回款!$A:$A,助手回款!$X58,输入回款!$B:$B,科目对照回款!$G$9))+IF(科目对照回款!$H$9="",0,SUMIFS(输入回款!$C:$C,输入回款!$A:$A,助手回款!$X58,输入回款!$B:$B,科目对照回款!$H$9)+SUMIFS(输入回款!$D:$D,输入回款!$A:$A,助手回款!$X58,输入回款!$B:$B,科目对照回款!$H$9)),2)</f>
        <v>-0</v>
      </c>
      <c r="H849" s="49" t="str">
        <f aca="false">IF(ROUND($G849,2)&gt;0,ROUND($G849,2),"")</f>
        <v/>
      </c>
      <c r="I849" s="49" t="str">
        <f aca="false">IF(ROUND($G849,2)&lt;0,-ROUND($G849,2),"")</f>
        <v/>
      </c>
      <c r="J849" s="20" t="n">
        <f aca="false">IF(ROUND($G849,2)=0,0,1)</f>
        <v>0</v>
      </c>
      <c r="K849" s="20" t="str">
        <f aca="false">IF($J849=0,"",SUM($J$842:$J849))</f>
        <v/>
      </c>
      <c r="L849" s="20" t="str">
        <f aca="false">IF($K849="","",$A849*100+$K849)</f>
        <v/>
      </c>
      <c r="M849" s="48" t="str">
        <f aca="false">参数!$B$4</f>
        <v>回款</v>
      </c>
    </row>
    <row r="850" customFormat="false" ht="13.5" hidden="false" customHeight="false" outlineLevel="0" collapsed="false">
      <c r="A850" s="47" t="n">
        <v>57</v>
      </c>
      <c r="B850" s="38" t="str">
        <f aca="false">助手回款!$B58</f>
        <v/>
      </c>
      <c r="C850" s="48" t="str">
        <f aca="false">助手回款!$C58</f>
        <v>备用12</v>
      </c>
      <c r="D850" s="48" t="str">
        <f aca="false">科目对照回款!$B10&amp;""</f>
        <v>医卡通</v>
      </c>
      <c r="E850" s="48" t="str">
        <f aca="false">科目对照回款!$C10&amp;""</f>
        <v>应收账款</v>
      </c>
      <c r="F850" s="48" t="str">
        <f aca="false">科目对照回款!$D10&amp;""</f>
        <v>医卡通</v>
      </c>
      <c r="G850" s="49" t="n">
        <f aca="false">-ROUND(IF(科目对照回款!$F$10="",0,SUMIFS(输入回款!$C:$C,输入回款!$A:$A,助手回款!$X58,输入回款!$B:$B,科目对照回款!$F$10)+SUMIFS(输入回款!$D:$D,输入回款!$A:$A,助手回款!$X58,输入回款!$B:$B,科目对照回款!$F$10))+IF(科目对照回款!$G$10="",0,SUMIFS(输入回款!$C:$C,输入回款!$A:$A,助手回款!$X58,输入回款!$B:$B,科目对照回款!$G$10)+SUMIFS(输入回款!$D:$D,输入回款!$A:$A,助手回款!$X58,输入回款!$B:$B,科目对照回款!$G$10))+IF(科目对照回款!$H$10="",0,SUMIFS(输入回款!$C:$C,输入回款!$A:$A,助手回款!$X58,输入回款!$B:$B,科目对照回款!$H$10)+SUMIFS(输入回款!$D:$D,输入回款!$A:$A,助手回款!$X58,输入回款!$B:$B,科目对照回款!$H$10)),2)</f>
        <v>-0</v>
      </c>
      <c r="H850" s="49" t="str">
        <f aca="false">IF(ROUND($G850,2)&gt;0,ROUND($G850,2),"")</f>
        <v/>
      </c>
      <c r="I850" s="49" t="str">
        <f aca="false">IF(ROUND($G850,2)&lt;0,-ROUND($G850,2),"")</f>
        <v/>
      </c>
      <c r="J850" s="20" t="n">
        <f aca="false">IF(ROUND($G850,2)=0,0,1)</f>
        <v>0</v>
      </c>
      <c r="K850" s="20" t="str">
        <f aca="false">IF($J850=0,"",SUM($J$842:$J850))</f>
        <v/>
      </c>
      <c r="L850" s="20" t="str">
        <f aca="false">IF($K850="","",$A850*100+$K850)</f>
        <v/>
      </c>
      <c r="M850" s="48" t="str">
        <f aca="false">参数!$B$4</f>
        <v>回款</v>
      </c>
    </row>
    <row r="851" customFormat="false" ht="13.5" hidden="false" customHeight="false" outlineLevel="0" collapsed="false">
      <c r="A851" s="47" t="n">
        <v>57</v>
      </c>
      <c r="B851" s="38" t="str">
        <f aca="false">助手回款!$B58</f>
        <v/>
      </c>
      <c r="C851" s="48" t="str">
        <f aca="false">助手回款!$C58</f>
        <v>备用12</v>
      </c>
      <c r="D851" s="48" t="str">
        <f aca="false">科目对照回款!$B11&amp;""</f>
        <v>企健网</v>
      </c>
      <c r="E851" s="48" t="str">
        <f aca="false">科目对照回款!$C11&amp;""</f>
        <v>应收账款</v>
      </c>
      <c r="F851" s="48" t="str">
        <f aca="false">科目对照回款!$D11&amp;""</f>
        <v>企健网</v>
      </c>
      <c r="G851" s="49" t="n">
        <f aca="false">-ROUND(IF(科目对照回款!$F$11="",0,SUMIFS(输入回款!$C:$C,输入回款!$A:$A,助手回款!$X58,输入回款!$B:$B,科目对照回款!$F$11)+SUMIFS(输入回款!$D:$D,输入回款!$A:$A,助手回款!$X58,输入回款!$B:$B,科目对照回款!$F$11))+IF(科目对照回款!$G$11="",0,SUMIFS(输入回款!$C:$C,输入回款!$A:$A,助手回款!$X58,输入回款!$B:$B,科目对照回款!$G$11)+SUMIFS(输入回款!$D:$D,输入回款!$A:$A,助手回款!$X58,输入回款!$B:$B,科目对照回款!$G$11))+IF(科目对照回款!$H$11="",0,SUMIFS(输入回款!$C:$C,输入回款!$A:$A,助手回款!$X58,输入回款!$B:$B,科目对照回款!$H$11)+SUMIFS(输入回款!$D:$D,输入回款!$A:$A,助手回款!$X58,输入回款!$B:$B,科目对照回款!$H$11)),2)</f>
        <v>-0</v>
      </c>
      <c r="H851" s="49" t="str">
        <f aca="false">IF(ROUND($G851,2)&gt;0,ROUND($G851,2),"")</f>
        <v/>
      </c>
      <c r="I851" s="49" t="str">
        <f aca="false">IF(ROUND($G851,2)&lt;0,-ROUND($G851,2),"")</f>
        <v/>
      </c>
      <c r="J851" s="20" t="n">
        <f aca="false">IF(ROUND($G851,2)=0,0,1)</f>
        <v>0</v>
      </c>
      <c r="K851" s="20" t="str">
        <f aca="false">IF($J851=0,"",SUM($J$842:$J851))</f>
        <v/>
      </c>
      <c r="L851" s="20" t="str">
        <f aca="false">IF($K851="","",$A851*100+$K851)</f>
        <v/>
      </c>
      <c r="M851" s="48" t="str">
        <f aca="false">参数!$B$4</f>
        <v>回款</v>
      </c>
    </row>
    <row r="852" customFormat="false" ht="13.5" hidden="false" customHeight="false" outlineLevel="0" collapsed="false">
      <c r="A852" s="47" t="n">
        <v>57</v>
      </c>
      <c r="B852" s="38" t="str">
        <f aca="false">助手回款!$B58</f>
        <v/>
      </c>
      <c r="C852" s="48" t="str">
        <f aca="false">助手回款!$C58</f>
        <v>备用12</v>
      </c>
      <c r="D852" s="48" t="str">
        <f aca="false">科目对照回款!$B12&amp;""</f>
        <v>亲情卡</v>
      </c>
      <c r="E852" s="48" t="str">
        <f aca="false">科目对照回款!$C12&amp;""</f>
        <v>应收账款</v>
      </c>
      <c r="F852" s="48" t="str">
        <f aca="false">科目对照回款!$D12&amp;""</f>
        <v>亲情卡</v>
      </c>
      <c r="G852" s="49" t="n">
        <f aca="false">-ROUND(IF(科目对照回款!$F$12="",0,SUMIFS(输入回款!$C:$C,输入回款!$A:$A,助手回款!$X58,输入回款!$B:$B,科目对照回款!$F$12)+SUMIFS(输入回款!$D:$D,输入回款!$A:$A,助手回款!$X58,输入回款!$B:$B,科目对照回款!$F$12))+IF(科目对照回款!$G$12="",0,SUMIFS(输入回款!$C:$C,输入回款!$A:$A,助手回款!$X58,输入回款!$B:$B,科目对照回款!$G$12)+SUMIFS(输入回款!$D:$D,输入回款!$A:$A,助手回款!$X58,输入回款!$B:$B,科目对照回款!$G$12))+IF(科目对照回款!$H$12="",0,SUMIFS(输入回款!$C:$C,输入回款!$A:$A,助手回款!$X58,输入回款!$B:$B,科目对照回款!$H$12)+SUMIFS(输入回款!$D:$D,输入回款!$A:$A,助手回款!$X58,输入回款!$B:$B,科目对照回款!$H$12)),2)</f>
        <v>-0</v>
      </c>
      <c r="H852" s="49" t="str">
        <f aca="false">IF(ROUND($G852,2)&gt;0,ROUND($G852,2),"")</f>
        <v/>
      </c>
      <c r="I852" s="49" t="str">
        <f aca="false">IF(ROUND($G852,2)&lt;0,-ROUND($G852,2),"")</f>
        <v/>
      </c>
      <c r="J852" s="20" t="n">
        <f aca="false">IF(ROUND($G852,2)=0,0,1)</f>
        <v>0</v>
      </c>
      <c r="K852" s="20" t="str">
        <f aca="false">IF($J852=0,"",SUM($J$842:$J852))</f>
        <v/>
      </c>
      <c r="L852" s="20" t="str">
        <f aca="false">IF($K852="","",$A852*100+$K852)</f>
        <v/>
      </c>
      <c r="M852" s="48" t="str">
        <f aca="false">参数!$B$4</f>
        <v>回款</v>
      </c>
    </row>
    <row r="853" customFormat="false" ht="13.5" hidden="false" customHeight="false" outlineLevel="0" collapsed="false">
      <c r="A853" s="47" t="n">
        <v>57</v>
      </c>
      <c r="B853" s="38" t="str">
        <f aca="false">助手回款!$B58</f>
        <v/>
      </c>
      <c r="C853" s="48" t="str">
        <f aca="false">助手回款!$C58</f>
        <v>备用12</v>
      </c>
      <c r="D853" s="48" t="str">
        <f aca="false">科目对照回款!$B13&amp;""</f>
        <v>银联</v>
      </c>
      <c r="E853" s="48" t="str">
        <f aca="false">科目对照回款!$C13&amp;""</f>
        <v>应收账款</v>
      </c>
      <c r="F853" s="48" t="str">
        <f aca="false">科目对照回款!$D13&amp;""</f>
        <v>银联</v>
      </c>
      <c r="G853" s="49" t="n">
        <f aca="false">-ROUND(IF(科目对照回款!$F$13="",0,SUMIFS(输入回款!$C:$C,输入回款!$A:$A,助手回款!$X58,输入回款!$B:$B,科目对照回款!$F$13)+SUMIFS(输入回款!$D:$D,输入回款!$A:$A,助手回款!$X58,输入回款!$B:$B,科目对照回款!$F$13))+IF(科目对照回款!$G$13="",0,SUMIFS(输入回款!$C:$C,输入回款!$A:$A,助手回款!$X58,输入回款!$B:$B,科目对照回款!$G$13)+SUMIFS(输入回款!$D:$D,输入回款!$A:$A,助手回款!$X58,输入回款!$B:$B,科目对照回款!$G$13))+IF(科目对照回款!$H$13="",0,SUMIFS(输入回款!$C:$C,输入回款!$A:$A,助手回款!$X58,输入回款!$B:$B,科目对照回款!$H$13)+SUMIFS(输入回款!$D:$D,输入回款!$A:$A,助手回款!$X58,输入回款!$B:$B,科目对照回款!$H$13)),2)</f>
        <v>-0</v>
      </c>
      <c r="H853" s="49" t="str">
        <f aca="false">IF(ROUND($G853,2)&gt;0,ROUND($G853,2),"")</f>
        <v/>
      </c>
      <c r="I853" s="49" t="str">
        <f aca="false">IF(ROUND($G853,2)&lt;0,-ROUND($G853,2),"")</f>
        <v/>
      </c>
      <c r="J853" s="20" t="n">
        <f aca="false">IF(ROUND($G853,2)=0,0,1)</f>
        <v>0</v>
      </c>
      <c r="K853" s="20" t="str">
        <f aca="false">IF($J853=0,"",SUM($J$842:$J853))</f>
        <v/>
      </c>
      <c r="L853" s="20" t="str">
        <f aca="false">IF($K853="","",$A853*100+$K853)</f>
        <v/>
      </c>
      <c r="M853" s="48" t="str">
        <f aca="false">参数!$B$4</f>
        <v>回款</v>
      </c>
    </row>
    <row r="854" customFormat="false" ht="13.5" hidden="false" customHeight="false" outlineLevel="0" collapsed="false">
      <c r="A854" s="47" t="n">
        <v>57</v>
      </c>
      <c r="B854" s="38" t="str">
        <f aca="false">助手回款!$B58</f>
        <v/>
      </c>
      <c r="C854" s="48" t="str">
        <f aca="false">助手回款!$C58</f>
        <v>备用12</v>
      </c>
      <c r="D854" s="48" t="str">
        <f aca="false">科目对照回款!$B14&amp;""</f>
        <v>代金券</v>
      </c>
      <c r="E854" s="48" t="str">
        <f aca="false">科目对照回款!$C14&amp;""</f>
        <v>应收账款</v>
      </c>
      <c r="F854" s="48" t="str">
        <f aca="false">科目对照回款!$D14&amp;""</f>
        <v>代金券</v>
      </c>
      <c r="G854" s="49" t="n">
        <f aca="false">-ROUND(IF(科目对照回款!$F$14="",0,SUMIFS(输入回款!$C:$C,输入回款!$A:$A,助手回款!$X58,输入回款!$B:$B,科目对照回款!$F$14)+SUMIFS(输入回款!$D:$D,输入回款!$A:$A,助手回款!$X58,输入回款!$B:$B,科目对照回款!$F$14))+IF(科目对照回款!$G$14="",0,SUMIFS(输入回款!$C:$C,输入回款!$A:$A,助手回款!$X58,输入回款!$B:$B,科目对照回款!$G$14)+SUMIFS(输入回款!$D:$D,输入回款!$A:$A,助手回款!$X58,输入回款!$B:$B,科目对照回款!$G$14))+IF(科目对照回款!$H$14="",0,SUMIFS(输入回款!$C:$C,输入回款!$A:$A,助手回款!$X58,输入回款!$B:$B,科目对照回款!$H$14)+SUMIFS(输入回款!$D:$D,输入回款!$A:$A,助手回款!$X58,输入回款!$B:$B,科目对照回款!$H$14)),2)</f>
        <v>-0</v>
      </c>
      <c r="H854" s="49" t="str">
        <f aca="false">IF(ROUND($G854,2)&gt;0,ROUND($G854,2),"")</f>
        <v/>
      </c>
      <c r="I854" s="49" t="str">
        <f aca="false">IF(ROUND($G854,2)&lt;0,-ROUND($G854,2),"")</f>
        <v/>
      </c>
      <c r="J854" s="20" t="n">
        <f aca="false">IF(ROUND($G854,2)=0,0,1)</f>
        <v>0</v>
      </c>
      <c r="K854" s="20" t="str">
        <f aca="false">IF($J854=0,"",SUM($J$842:$J854))</f>
        <v/>
      </c>
      <c r="L854" s="20" t="str">
        <f aca="false">IF($K854="","",$A854*100+$K854)</f>
        <v/>
      </c>
      <c r="M854" s="48" t="str">
        <f aca="false">参数!$B$4</f>
        <v>回款</v>
      </c>
    </row>
    <row r="855" customFormat="false" ht="13.5" hidden="false" customHeight="false" outlineLevel="0" collapsed="false">
      <c r="A855" s="47" t="n">
        <v>57</v>
      </c>
      <c r="B855" s="38" t="str">
        <f aca="false">助手回款!$B58</f>
        <v/>
      </c>
      <c r="C855" s="48" t="str">
        <f aca="false">助手回款!$C58</f>
        <v>备用12</v>
      </c>
      <c r="D855" s="48" t="str">
        <f aca="false">科目对照回款!$B15&amp;""</f>
        <v>药机微信</v>
      </c>
      <c r="E855" s="48" t="str">
        <f aca="false">科目对照回款!$C15&amp;""</f>
        <v>应收账款</v>
      </c>
      <c r="F855" s="48" t="str">
        <f aca="false">科目对照回款!$D15&amp;""</f>
        <v>药机微信</v>
      </c>
      <c r="G855" s="49" t="n">
        <f aca="false">-ROUND(IF(科目对照回款!$F$15="",0,SUMIFS(输入回款!$C:$C,输入回款!$A:$A,助手回款!$X58,输入回款!$B:$B,科目对照回款!$F$15)+SUMIFS(输入回款!$D:$D,输入回款!$A:$A,助手回款!$X58,输入回款!$B:$B,科目对照回款!$F$15))+IF(科目对照回款!$G$15="",0,SUMIFS(输入回款!$C:$C,输入回款!$A:$A,助手回款!$X58,输入回款!$B:$B,科目对照回款!$G$15)+SUMIFS(输入回款!$D:$D,输入回款!$A:$A,助手回款!$X58,输入回款!$B:$B,科目对照回款!$G$15))+IF(科目对照回款!$H$15="",0,SUMIFS(输入回款!$C:$C,输入回款!$A:$A,助手回款!$X58,输入回款!$B:$B,科目对照回款!$H$15)+SUMIFS(输入回款!$D:$D,输入回款!$A:$A,助手回款!$X58,输入回款!$B:$B,科目对照回款!$H$15)),2)</f>
        <v>-0</v>
      </c>
      <c r="H855" s="49" t="str">
        <f aca="false">IF(ROUND($G855,2)&gt;0,ROUND($G855,2),"")</f>
        <v/>
      </c>
      <c r="I855" s="49" t="str">
        <f aca="false">IF(ROUND($G855,2)&lt;0,-ROUND($G855,2),"")</f>
        <v/>
      </c>
      <c r="J855" s="20" t="n">
        <f aca="false">IF(ROUND($G855,2)=0,0,1)</f>
        <v>0</v>
      </c>
      <c r="K855" s="20" t="str">
        <f aca="false">IF($J855=0,"",SUM($J$842:$J855))</f>
        <v/>
      </c>
      <c r="L855" s="20" t="str">
        <f aca="false">IF($K855="","",$A855*100+$K855)</f>
        <v/>
      </c>
      <c r="M855" s="48" t="str">
        <f aca="false">参数!$B$4</f>
        <v>回款</v>
      </c>
    </row>
    <row r="856" customFormat="false" ht="13.5" hidden="false" customHeight="false" outlineLevel="0" collapsed="false">
      <c r="A856" s="47" t="n">
        <v>57</v>
      </c>
      <c r="B856" s="38" t="str">
        <f aca="false">助手回款!$B58</f>
        <v/>
      </c>
      <c r="C856" s="48" t="str">
        <f aca="false">助手回款!$C58</f>
        <v>备用12</v>
      </c>
      <c r="D856" s="48" t="str">
        <f aca="false">科目对照回款!$B16&amp;""</f>
        <v>储值卡</v>
      </c>
      <c r="E856" s="48" t="str">
        <f aca="false">科目对照回款!$C16&amp;""</f>
        <v>其他应收款</v>
      </c>
      <c r="F856" s="48" t="str">
        <f aca="false">科目对照回款!$D16&amp;""</f>
        <v>储值卡</v>
      </c>
      <c r="G856" s="49" t="n">
        <f aca="false">-ROUND(IF(科目对照回款!$F$16="",0,SUMIFS(输入回款!$C:$C,输入回款!$A:$A,助手回款!$X58,输入回款!$B:$B,科目对照回款!$F$16)+SUMIFS(输入回款!$D:$D,输入回款!$A:$A,助手回款!$X58,输入回款!$B:$B,科目对照回款!$F$16))+IF(科目对照回款!$G$16="",0,SUMIFS(输入回款!$C:$C,输入回款!$A:$A,助手回款!$X58,输入回款!$B:$B,科目对照回款!$G$16)+SUMIFS(输入回款!$D:$D,输入回款!$A:$A,助手回款!$X58,输入回款!$B:$B,科目对照回款!$G$16))+IF(科目对照回款!$H$16="",0,SUMIFS(输入回款!$C:$C,输入回款!$A:$A,助手回款!$X58,输入回款!$B:$B,科目对照回款!$H$16)+SUMIFS(输入回款!$D:$D,输入回款!$A:$A,助手回款!$X58,输入回款!$B:$B,科目对照回款!$H$16)),2)</f>
        <v>-0</v>
      </c>
      <c r="H856" s="49" t="str">
        <f aca="false">IF(ROUND($G856,2)&gt;0,ROUND($G856,2),"")</f>
        <v/>
      </c>
      <c r="I856" s="49" t="str">
        <f aca="false">IF(ROUND($G856,2)&lt;0,-ROUND($G856,2),"")</f>
        <v/>
      </c>
      <c r="J856" s="20" t="n">
        <f aca="false">IF(ROUND($G856,2)=0,0,1)</f>
        <v>0</v>
      </c>
      <c r="K856" s="20" t="str">
        <f aca="false">IF($J856=0,"",SUM($J$842:$J856))</f>
        <v/>
      </c>
      <c r="L856" s="20" t="str">
        <f aca="false">IF($K856="","",$A856*100+$K856)</f>
        <v/>
      </c>
      <c r="M856" s="48" t="str">
        <f aca="false">参数!$B$4</f>
        <v>回款</v>
      </c>
    </row>
    <row r="857" customFormat="false" ht="13.5" hidden="false" customHeight="false" outlineLevel="0" collapsed="false">
      <c r="A857" s="47" t="n">
        <v>58</v>
      </c>
      <c r="B857" s="38" t="str">
        <f aca="false">助手回款!$B59</f>
        <v/>
      </c>
      <c r="C857" s="48" t="str">
        <f aca="false">助手回款!$C59</f>
        <v>备用13</v>
      </c>
      <c r="D857" s="48" t="str">
        <f aca="false">科目对照回款!$B2&amp;""</f>
        <v>库存现金</v>
      </c>
      <c r="E857" s="48" t="str">
        <f aca="false">科目对照回款!$C2&amp;""</f>
        <v>库存现金</v>
      </c>
      <c r="F857" s="48" t="str">
        <f aca="false">科目对照回款!$D2&amp;""</f>
        <v/>
      </c>
      <c r="G857" s="49" t="n">
        <f aca="false">助手回款!$E59</f>
        <v>0</v>
      </c>
      <c r="H857" s="49" t="str">
        <f aca="false">IF(ROUND($G857,2)&gt;0,ROUND($G857,2),"")</f>
        <v/>
      </c>
      <c r="I857" s="49" t="str">
        <f aca="false">IF(ROUND($G857,2)&lt;0,-ROUND($G857,2),"")</f>
        <v/>
      </c>
      <c r="J857" s="20" t="n">
        <f aca="false">IF(ROUND($G857,2)=0,0,1)</f>
        <v>0</v>
      </c>
      <c r="K857" s="20" t="str">
        <f aca="false">IF($J857=0,"",SUM($J$857:$J857))</f>
        <v/>
      </c>
      <c r="L857" s="20" t="str">
        <f aca="false">IF($K857="","",$A857*100+$K857)</f>
        <v/>
      </c>
      <c r="M857" s="48" t="str">
        <f aca="false">参数!$B$4</f>
        <v>回款</v>
      </c>
    </row>
    <row r="858" customFormat="false" ht="13.5" hidden="false" customHeight="false" outlineLevel="0" collapsed="false">
      <c r="A858" s="47" t="n">
        <v>58</v>
      </c>
      <c r="B858" s="38" t="str">
        <f aca="false">助手回款!$B59</f>
        <v/>
      </c>
      <c r="C858" s="48" t="str">
        <f aca="false">助手回款!$C59</f>
        <v>备用13</v>
      </c>
      <c r="D858" s="48" t="str">
        <f aca="false">科目对照回款!$B3&amp;""</f>
        <v>手续费</v>
      </c>
      <c r="E858" s="48" t="str">
        <f aca="false">科目对照回款!$C3&amp;""</f>
        <v>财务费用</v>
      </c>
      <c r="F858" s="48" t="str">
        <f aca="false">科目对照回款!$D3&amp;""</f>
        <v>手续费</v>
      </c>
      <c r="G858" s="49" t="n">
        <f aca="false">助手回款!$F59</f>
        <v>0</v>
      </c>
      <c r="H858" s="49" t="str">
        <f aca="false">IF(ROUND($G858,2)&gt;0,ROUND($G858,2),"")</f>
        <v/>
      </c>
      <c r="I858" s="49" t="str">
        <f aca="false">IF(ROUND($G858,2)&lt;0,-ROUND($G858,2),"")</f>
        <v/>
      </c>
      <c r="J858" s="20" t="n">
        <f aca="false">IF(ROUND($G858,2)=0,0,1)</f>
        <v>0</v>
      </c>
      <c r="K858" s="20" t="str">
        <f aca="false">IF($J858=0,"",SUM($J$857:$J858))</f>
        <v/>
      </c>
      <c r="L858" s="20" t="str">
        <f aca="false">IF($K858="","",$A858*100+$K858)</f>
        <v/>
      </c>
      <c r="M858" s="48" t="str">
        <f aca="false">参数!$B$4</f>
        <v>回款</v>
      </c>
    </row>
    <row r="859" customFormat="false" ht="13.5" hidden="false" customHeight="false" outlineLevel="0" collapsed="false">
      <c r="A859" s="47" t="n">
        <v>58</v>
      </c>
      <c r="B859" s="38" t="str">
        <f aca="false">助手回款!$B59</f>
        <v/>
      </c>
      <c r="C859" s="48" t="str">
        <f aca="false">助手回款!$C59</f>
        <v>备用13</v>
      </c>
      <c r="D859" s="48" t="str">
        <f aca="false">科目对照回款!$B4&amp;""</f>
        <v>聚合支付</v>
      </c>
      <c r="E859" s="48" t="str">
        <f aca="false">科目对照回款!$C4&amp;""</f>
        <v>应收账款</v>
      </c>
      <c r="F859" s="48" t="str">
        <f aca="false">科目对照回款!$D4&amp;""</f>
        <v>聚合支付</v>
      </c>
      <c r="G859" s="49" t="n">
        <f aca="false">-ROUND(IF(科目对照回款!$F$4="",0,SUMIFS(输入回款!$C:$C,输入回款!$A:$A,助手回款!$X59,输入回款!$B:$B,科目对照回款!$F$4)+SUMIFS(输入回款!$D:$D,输入回款!$A:$A,助手回款!$X59,输入回款!$B:$B,科目对照回款!$F$4))+IF(科目对照回款!$G$4="",0,SUMIFS(输入回款!$C:$C,输入回款!$A:$A,助手回款!$X59,输入回款!$B:$B,科目对照回款!$G$4)+SUMIFS(输入回款!$D:$D,输入回款!$A:$A,助手回款!$X59,输入回款!$B:$B,科目对照回款!$G$4))+IF(科目对照回款!$H$4="",0,SUMIFS(输入回款!$C:$C,输入回款!$A:$A,助手回款!$X59,输入回款!$B:$B,科目对照回款!$H$4)+SUMIFS(输入回款!$D:$D,输入回款!$A:$A,助手回款!$X59,输入回款!$B:$B,科目对照回款!$H$4)),2)</f>
        <v>-0</v>
      </c>
      <c r="H859" s="49" t="str">
        <f aca="false">IF(ROUND($G859,2)&gt;0,ROUND($G859,2),"")</f>
        <v/>
      </c>
      <c r="I859" s="49" t="str">
        <f aca="false">IF(ROUND($G859,2)&lt;0,-ROUND($G859,2),"")</f>
        <v/>
      </c>
      <c r="J859" s="20" t="n">
        <f aca="false">IF(ROUND($G859,2)=0,0,1)</f>
        <v>0</v>
      </c>
      <c r="K859" s="20" t="str">
        <f aca="false">IF($J859=0,"",SUM($J$857:$J859))</f>
        <v/>
      </c>
      <c r="L859" s="20" t="str">
        <f aca="false">IF($K859="","",$A859*100+$K859)</f>
        <v/>
      </c>
      <c r="M859" s="48" t="str">
        <f aca="false">参数!$B$4</f>
        <v>回款</v>
      </c>
    </row>
    <row r="860" customFormat="false" ht="13.5" hidden="false" customHeight="false" outlineLevel="0" collapsed="false">
      <c r="A860" s="47" t="n">
        <v>58</v>
      </c>
      <c r="B860" s="38" t="str">
        <f aca="false">助手回款!$B59</f>
        <v/>
      </c>
      <c r="C860" s="48" t="str">
        <f aca="false">助手回款!$C59</f>
        <v>备用13</v>
      </c>
      <c r="D860" s="48" t="str">
        <f aca="false">科目对照回款!$B5&amp;""</f>
        <v>医保</v>
      </c>
      <c r="E860" s="48" t="str">
        <f aca="false">科目对照回款!$C5&amp;""</f>
        <v>应收账款</v>
      </c>
      <c r="F860" s="48" t="str">
        <f aca="false">科目对照回款!$D5&amp;""</f>
        <v>医保</v>
      </c>
      <c r="G860" s="49" t="n">
        <f aca="false">-ROUND(IF(科目对照回款!$F$5="",0,SUMIFS(输入回款!$C:$C,输入回款!$A:$A,助手回款!$X59,输入回款!$B:$B,科目对照回款!$F$5)+SUMIFS(输入回款!$D:$D,输入回款!$A:$A,助手回款!$X59,输入回款!$B:$B,科目对照回款!$F$5))+IF(科目对照回款!$G$5="",0,SUMIFS(输入回款!$C:$C,输入回款!$A:$A,助手回款!$X59,输入回款!$B:$B,科目对照回款!$G$5)+SUMIFS(输入回款!$D:$D,输入回款!$A:$A,助手回款!$X59,输入回款!$B:$B,科目对照回款!$G$5))+IF(科目对照回款!$H$5="",0,SUMIFS(输入回款!$C:$C,输入回款!$A:$A,助手回款!$X59,输入回款!$B:$B,科目对照回款!$H$5)+SUMIFS(输入回款!$D:$D,输入回款!$A:$A,助手回款!$X59,输入回款!$B:$B,科目对照回款!$H$5)),2)</f>
        <v>-0</v>
      </c>
      <c r="H860" s="49" t="str">
        <f aca="false">IF(ROUND($G860,2)&gt;0,ROUND($G860,2),"")</f>
        <v/>
      </c>
      <c r="I860" s="49" t="str">
        <f aca="false">IF(ROUND($G860,2)&lt;0,-ROUND($G860,2),"")</f>
        <v/>
      </c>
      <c r="J860" s="20" t="n">
        <f aca="false">IF(ROUND($G860,2)=0,0,1)</f>
        <v>0</v>
      </c>
      <c r="K860" s="20" t="str">
        <f aca="false">IF($J860=0,"",SUM($J$857:$J860))</f>
        <v/>
      </c>
      <c r="L860" s="20" t="str">
        <f aca="false">IF($K860="","",$A860*100+$K860)</f>
        <v/>
      </c>
      <c r="M860" s="48" t="str">
        <f aca="false">参数!$B$4</f>
        <v>回款</v>
      </c>
    </row>
    <row r="861" customFormat="false" ht="13.5" hidden="false" customHeight="false" outlineLevel="0" collapsed="false">
      <c r="A861" s="47" t="n">
        <v>58</v>
      </c>
      <c r="B861" s="38" t="str">
        <f aca="false">助手回款!$B59</f>
        <v/>
      </c>
      <c r="C861" s="48" t="str">
        <f aca="false">助手回款!$C59</f>
        <v>备用13</v>
      </c>
      <c r="D861" s="48" t="str">
        <f aca="false">科目对照回款!$B6&amp;""</f>
        <v>美团</v>
      </c>
      <c r="E861" s="48" t="str">
        <f aca="false">科目对照回款!$C6&amp;""</f>
        <v>应收账款</v>
      </c>
      <c r="F861" s="48" t="str">
        <f aca="false">科目对照回款!$D6&amp;""</f>
        <v>美团</v>
      </c>
      <c r="G861" s="49" t="n">
        <f aca="false">-ROUND(IF(科目对照回款!$F$6="",0,SUMIFS(输入回款!$C:$C,输入回款!$A:$A,助手回款!$X59,输入回款!$B:$B,科目对照回款!$F$6)+SUMIFS(输入回款!$D:$D,输入回款!$A:$A,助手回款!$X59,输入回款!$B:$B,科目对照回款!$F$6))+IF(科目对照回款!$G$6="",0,SUMIFS(输入回款!$C:$C,输入回款!$A:$A,助手回款!$X59,输入回款!$B:$B,科目对照回款!$G$6)+SUMIFS(输入回款!$D:$D,输入回款!$A:$A,助手回款!$X59,输入回款!$B:$B,科目对照回款!$G$6))+IF(科目对照回款!$H$6="",0,SUMIFS(输入回款!$C:$C,输入回款!$A:$A,助手回款!$X59,输入回款!$B:$B,科目对照回款!$H$6)+SUMIFS(输入回款!$D:$D,输入回款!$A:$A,助手回款!$X59,输入回款!$B:$B,科目对照回款!$H$6)),2)</f>
        <v>-0</v>
      </c>
      <c r="H861" s="49" t="str">
        <f aca="false">IF(ROUND($G861,2)&gt;0,ROUND($G861,2),"")</f>
        <v/>
      </c>
      <c r="I861" s="49" t="str">
        <f aca="false">IF(ROUND($G861,2)&lt;0,-ROUND($G861,2),"")</f>
        <v/>
      </c>
      <c r="J861" s="20" t="n">
        <f aca="false">IF(ROUND($G861,2)=0,0,1)</f>
        <v>0</v>
      </c>
      <c r="K861" s="20" t="str">
        <f aca="false">IF($J861=0,"",SUM($J$857:$J861))</f>
        <v/>
      </c>
      <c r="L861" s="20" t="str">
        <f aca="false">IF($K861="","",$A861*100+$K861)</f>
        <v/>
      </c>
      <c r="M861" s="48" t="str">
        <f aca="false">参数!$B$4</f>
        <v>回款</v>
      </c>
    </row>
    <row r="862" customFormat="false" ht="13.5" hidden="false" customHeight="false" outlineLevel="0" collapsed="false">
      <c r="A862" s="47" t="n">
        <v>58</v>
      </c>
      <c r="B862" s="38" t="str">
        <f aca="false">助手回款!$B59</f>
        <v/>
      </c>
      <c r="C862" s="48" t="str">
        <f aca="false">助手回款!$C59</f>
        <v>备用13</v>
      </c>
      <c r="D862" s="48" t="str">
        <f aca="false">科目对照回款!$B7&amp;""</f>
        <v>饿了么</v>
      </c>
      <c r="E862" s="48" t="str">
        <f aca="false">科目对照回款!$C7&amp;""</f>
        <v>应收账款</v>
      </c>
      <c r="F862" s="48" t="str">
        <f aca="false">科目对照回款!$D7&amp;""</f>
        <v>饿了么</v>
      </c>
      <c r="G862" s="49" t="n">
        <f aca="false">-ROUND(IF(科目对照回款!$F$7="",0,SUMIFS(输入回款!$C:$C,输入回款!$A:$A,助手回款!$X59,输入回款!$B:$B,科目对照回款!$F$7)+SUMIFS(输入回款!$D:$D,输入回款!$A:$A,助手回款!$X59,输入回款!$B:$B,科目对照回款!$F$7))+IF(科目对照回款!$G$7="",0,SUMIFS(输入回款!$C:$C,输入回款!$A:$A,助手回款!$X59,输入回款!$B:$B,科目对照回款!$G$7)+SUMIFS(输入回款!$D:$D,输入回款!$A:$A,助手回款!$X59,输入回款!$B:$B,科目对照回款!$G$7))+IF(科目对照回款!$H$7="",0,SUMIFS(输入回款!$C:$C,输入回款!$A:$A,助手回款!$X59,输入回款!$B:$B,科目对照回款!$H$7)+SUMIFS(输入回款!$D:$D,输入回款!$A:$A,助手回款!$X59,输入回款!$B:$B,科目对照回款!$H$7)),2)</f>
        <v>-0</v>
      </c>
      <c r="H862" s="49" t="str">
        <f aca="false">IF(ROUND($G862,2)&gt;0,ROUND($G862,2),"")</f>
        <v/>
      </c>
      <c r="I862" s="49" t="str">
        <f aca="false">IF(ROUND($G862,2)&lt;0,-ROUND($G862,2),"")</f>
        <v/>
      </c>
      <c r="J862" s="20" t="n">
        <f aca="false">IF(ROUND($G862,2)=0,0,1)</f>
        <v>0</v>
      </c>
      <c r="K862" s="20" t="str">
        <f aca="false">IF($J862=0,"",SUM($J$857:$J862))</f>
        <v/>
      </c>
      <c r="L862" s="20" t="str">
        <f aca="false">IF($K862="","",$A862*100+$K862)</f>
        <v/>
      </c>
      <c r="M862" s="48" t="str">
        <f aca="false">参数!$B$4</f>
        <v>回款</v>
      </c>
    </row>
    <row r="863" customFormat="false" ht="13.5" hidden="false" customHeight="false" outlineLevel="0" collapsed="false">
      <c r="A863" s="47" t="n">
        <v>58</v>
      </c>
      <c r="B863" s="38" t="str">
        <f aca="false">助手回款!$B59</f>
        <v/>
      </c>
      <c r="C863" s="48" t="str">
        <f aca="false">助手回款!$C59</f>
        <v>备用13</v>
      </c>
      <c r="D863" s="48" t="str">
        <f aca="false">科目对照回款!$B8&amp;""</f>
        <v>24小时</v>
      </c>
      <c r="E863" s="48" t="str">
        <f aca="false">科目对照回款!$C8&amp;""</f>
        <v>应收账款</v>
      </c>
      <c r="F863" s="48" t="str">
        <f aca="false">科目对照回款!$D8&amp;""</f>
        <v>24小时</v>
      </c>
      <c r="G863" s="49" t="n">
        <f aca="false">-ROUND(IF(科目对照回款!$F$8="",0,SUMIFS(输入回款!$C:$C,输入回款!$A:$A,助手回款!$X59,输入回款!$B:$B,科目对照回款!$F$8)+SUMIFS(输入回款!$D:$D,输入回款!$A:$A,助手回款!$X59,输入回款!$B:$B,科目对照回款!$F$8))+IF(科目对照回款!$G$8="",0,SUMIFS(输入回款!$C:$C,输入回款!$A:$A,助手回款!$X59,输入回款!$B:$B,科目对照回款!$G$8)+SUMIFS(输入回款!$D:$D,输入回款!$A:$A,助手回款!$X59,输入回款!$B:$B,科目对照回款!$G$8))+IF(科目对照回款!$H$8="",0,SUMIFS(输入回款!$C:$C,输入回款!$A:$A,助手回款!$X59,输入回款!$B:$B,科目对照回款!$H$8)+SUMIFS(输入回款!$D:$D,输入回款!$A:$A,助手回款!$X59,输入回款!$B:$B,科目对照回款!$H$8)),2)</f>
        <v>-0</v>
      </c>
      <c r="H863" s="49" t="str">
        <f aca="false">IF(ROUND($G863,2)&gt;0,ROUND($G863,2),"")</f>
        <v/>
      </c>
      <c r="I863" s="49" t="str">
        <f aca="false">IF(ROUND($G863,2)&lt;0,-ROUND($G863,2),"")</f>
        <v/>
      </c>
      <c r="J863" s="20" t="n">
        <f aca="false">IF(ROUND($G863,2)=0,0,1)</f>
        <v>0</v>
      </c>
      <c r="K863" s="20" t="str">
        <f aca="false">IF($J863=0,"",SUM($J$857:$J863))</f>
        <v/>
      </c>
      <c r="L863" s="20" t="str">
        <f aca="false">IF($K863="","",$A863*100+$K863)</f>
        <v/>
      </c>
      <c r="M863" s="48" t="str">
        <f aca="false">参数!$B$4</f>
        <v>回款</v>
      </c>
    </row>
    <row r="864" customFormat="false" ht="13.5" hidden="false" customHeight="false" outlineLevel="0" collapsed="false">
      <c r="A864" s="47" t="n">
        <v>58</v>
      </c>
      <c r="B864" s="38" t="str">
        <f aca="false">助手回款!$B59</f>
        <v/>
      </c>
      <c r="C864" s="48" t="str">
        <f aca="false">助手回款!$C59</f>
        <v>备用13</v>
      </c>
      <c r="D864" s="48" t="str">
        <f aca="false">科目对照回款!$B9&amp;""</f>
        <v>健E卡</v>
      </c>
      <c r="E864" s="48" t="str">
        <f aca="false">科目对照回款!$C9&amp;""</f>
        <v>应收账款</v>
      </c>
      <c r="F864" s="48" t="str">
        <f aca="false">科目对照回款!$D9&amp;""</f>
        <v>健E卡</v>
      </c>
      <c r="G864" s="49" t="n">
        <f aca="false">-ROUND(IF(科目对照回款!$F$9="",0,SUMIFS(输入回款!$C:$C,输入回款!$A:$A,助手回款!$X59,输入回款!$B:$B,科目对照回款!$F$9)+SUMIFS(输入回款!$D:$D,输入回款!$A:$A,助手回款!$X59,输入回款!$B:$B,科目对照回款!$F$9))+IF(科目对照回款!$G$9="",0,SUMIFS(输入回款!$C:$C,输入回款!$A:$A,助手回款!$X59,输入回款!$B:$B,科目对照回款!$G$9)+SUMIFS(输入回款!$D:$D,输入回款!$A:$A,助手回款!$X59,输入回款!$B:$B,科目对照回款!$G$9))+IF(科目对照回款!$H$9="",0,SUMIFS(输入回款!$C:$C,输入回款!$A:$A,助手回款!$X59,输入回款!$B:$B,科目对照回款!$H$9)+SUMIFS(输入回款!$D:$D,输入回款!$A:$A,助手回款!$X59,输入回款!$B:$B,科目对照回款!$H$9)),2)</f>
        <v>-0</v>
      </c>
      <c r="H864" s="49" t="str">
        <f aca="false">IF(ROUND($G864,2)&gt;0,ROUND($G864,2),"")</f>
        <v/>
      </c>
      <c r="I864" s="49" t="str">
        <f aca="false">IF(ROUND($G864,2)&lt;0,-ROUND($G864,2),"")</f>
        <v/>
      </c>
      <c r="J864" s="20" t="n">
        <f aca="false">IF(ROUND($G864,2)=0,0,1)</f>
        <v>0</v>
      </c>
      <c r="K864" s="20" t="str">
        <f aca="false">IF($J864=0,"",SUM($J$857:$J864))</f>
        <v/>
      </c>
      <c r="L864" s="20" t="str">
        <f aca="false">IF($K864="","",$A864*100+$K864)</f>
        <v/>
      </c>
      <c r="M864" s="48" t="str">
        <f aca="false">参数!$B$4</f>
        <v>回款</v>
      </c>
    </row>
    <row r="865" customFormat="false" ht="13.5" hidden="false" customHeight="false" outlineLevel="0" collapsed="false">
      <c r="A865" s="47" t="n">
        <v>58</v>
      </c>
      <c r="B865" s="38" t="str">
        <f aca="false">助手回款!$B59</f>
        <v/>
      </c>
      <c r="C865" s="48" t="str">
        <f aca="false">助手回款!$C59</f>
        <v>备用13</v>
      </c>
      <c r="D865" s="48" t="str">
        <f aca="false">科目对照回款!$B10&amp;""</f>
        <v>医卡通</v>
      </c>
      <c r="E865" s="48" t="str">
        <f aca="false">科目对照回款!$C10&amp;""</f>
        <v>应收账款</v>
      </c>
      <c r="F865" s="48" t="str">
        <f aca="false">科目对照回款!$D10&amp;""</f>
        <v>医卡通</v>
      </c>
      <c r="G865" s="49" t="n">
        <f aca="false">-ROUND(IF(科目对照回款!$F$10="",0,SUMIFS(输入回款!$C:$C,输入回款!$A:$A,助手回款!$X59,输入回款!$B:$B,科目对照回款!$F$10)+SUMIFS(输入回款!$D:$D,输入回款!$A:$A,助手回款!$X59,输入回款!$B:$B,科目对照回款!$F$10))+IF(科目对照回款!$G$10="",0,SUMIFS(输入回款!$C:$C,输入回款!$A:$A,助手回款!$X59,输入回款!$B:$B,科目对照回款!$G$10)+SUMIFS(输入回款!$D:$D,输入回款!$A:$A,助手回款!$X59,输入回款!$B:$B,科目对照回款!$G$10))+IF(科目对照回款!$H$10="",0,SUMIFS(输入回款!$C:$C,输入回款!$A:$A,助手回款!$X59,输入回款!$B:$B,科目对照回款!$H$10)+SUMIFS(输入回款!$D:$D,输入回款!$A:$A,助手回款!$X59,输入回款!$B:$B,科目对照回款!$H$10)),2)</f>
        <v>-0</v>
      </c>
      <c r="H865" s="49" t="str">
        <f aca="false">IF(ROUND($G865,2)&gt;0,ROUND($G865,2),"")</f>
        <v/>
      </c>
      <c r="I865" s="49" t="str">
        <f aca="false">IF(ROUND($G865,2)&lt;0,-ROUND($G865,2),"")</f>
        <v/>
      </c>
      <c r="J865" s="20" t="n">
        <f aca="false">IF(ROUND($G865,2)=0,0,1)</f>
        <v>0</v>
      </c>
      <c r="K865" s="20" t="str">
        <f aca="false">IF($J865=0,"",SUM($J$857:$J865))</f>
        <v/>
      </c>
      <c r="L865" s="20" t="str">
        <f aca="false">IF($K865="","",$A865*100+$K865)</f>
        <v/>
      </c>
      <c r="M865" s="48" t="str">
        <f aca="false">参数!$B$4</f>
        <v>回款</v>
      </c>
    </row>
    <row r="866" customFormat="false" ht="13.5" hidden="false" customHeight="false" outlineLevel="0" collapsed="false">
      <c r="A866" s="47" t="n">
        <v>58</v>
      </c>
      <c r="B866" s="38" t="str">
        <f aca="false">助手回款!$B59</f>
        <v/>
      </c>
      <c r="C866" s="48" t="str">
        <f aca="false">助手回款!$C59</f>
        <v>备用13</v>
      </c>
      <c r="D866" s="48" t="str">
        <f aca="false">科目对照回款!$B11&amp;""</f>
        <v>企健网</v>
      </c>
      <c r="E866" s="48" t="str">
        <f aca="false">科目对照回款!$C11&amp;""</f>
        <v>应收账款</v>
      </c>
      <c r="F866" s="48" t="str">
        <f aca="false">科目对照回款!$D11&amp;""</f>
        <v>企健网</v>
      </c>
      <c r="G866" s="49" t="n">
        <f aca="false">-ROUND(IF(科目对照回款!$F$11="",0,SUMIFS(输入回款!$C:$C,输入回款!$A:$A,助手回款!$X59,输入回款!$B:$B,科目对照回款!$F$11)+SUMIFS(输入回款!$D:$D,输入回款!$A:$A,助手回款!$X59,输入回款!$B:$B,科目对照回款!$F$11))+IF(科目对照回款!$G$11="",0,SUMIFS(输入回款!$C:$C,输入回款!$A:$A,助手回款!$X59,输入回款!$B:$B,科目对照回款!$G$11)+SUMIFS(输入回款!$D:$D,输入回款!$A:$A,助手回款!$X59,输入回款!$B:$B,科目对照回款!$G$11))+IF(科目对照回款!$H$11="",0,SUMIFS(输入回款!$C:$C,输入回款!$A:$A,助手回款!$X59,输入回款!$B:$B,科目对照回款!$H$11)+SUMIFS(输入回款!$D:$D,输入回款!$A:$A,助手回款!$X59,输入回款!$B:$B,科目对照回款!$H$11)),2)</f>
        <v>-0</v>
      </c>
      <c r="H866" s="49" t="str">
        <f aca="false">IF(ROUND($G866,2)&gt;0,ROUND($G866,2),"")</f>
        <v/>
      </c>
      <c r="I866" s="49" t="str">
        <f aca="false">IF(ROUND($G866,2)&lt;0,-ROUND($G866,2),"")</f>
        <v/>
      </c>
      <c r="J866" s="20" t="n">
        <f aca="false">IF(ROUND($G866,2)=0,0,1)</f>
        <v>0</v>
      </c>
      <c r="K866" s="20" t="str">
        <f aca="false">IF($J866=0,"",SUM($J$857:$J866))</f>
        <v/>
      </c>
      <c r="L866" s="20" t="str">
        <f aca="false">IF($K866="","",$A866*100+$K866)</f>
        <v/>
      </c>
      <c r="M866" s="48" t="str">
        <f aca="false">参数!$B$4</f>
        <v>回款</v>
      </c>
    </row>
    <row r="867" customFormat="false" ht="13.5" hidden="false" customHeight="false" outlineLevel="0" collapsed="false">
      <c r="A867" s="47" t="n">
        <v>58</v>
      </c>
      <c r="B867" s="38" t="str">
        <f aca="false">助手回款!$B59</f>
        <v/>
      </c>
      <c r="C867" s="48" t="str">
        <f aca="false">助手回款!$C59</f>
        <v>备用13</v>
      </c>
      <c r="D867" s="48" t="str">
        <f aca="false">科目对照回款!$B12&amp;""</f>
        <v>亲情卡</v>
      </c>
      <c r="E867" s="48" t="str">
        <f aca="false">科目对照回款!$C12&amp;""</f>
        <v>应收账款</v>
      </c>
      <c r="F867" s="48" t="str">
        <f aca="false">科目对照回款!$D12&amp;""</f>
        <v>亲情卡</v>
      </c>
      <c r="G867" s="49" t="n">
        <f aca="false">-ROUND(IF(科目对照回款!$F$12="",0,SUMIFS(输入回款!$C:$C,输入回款!$A:$A,助手回款!$X59,输入回款!$B:$B,科目对照回款!$F$12)+SUMIFS(输入回款!$D:$D,输入回款!$A:$A,助手回款!$X59,输入回款!$B:$B,科目对照回款!$F$12))+IF(科目对照回款!$G$12="",0,SUMIFS(输入回款!$C:$C,输入回款!$A:$A,助手回款!$X59,输入回款!$B:$B,科目对照回款!$G$12)+SUMIFS(输入回款!$D:$D,输入回款!$A:$A,助手回款!$X59,输入回款!$B:$B,科目对照回款!$G$12))+IF(科目对照回款!$H$12="",0,SUMIFS(输入回款!$C:$C,输入回款!$A:$A,助手回款!$X59,输入回款!$B:$B,科目对照回款!$H$12)+SUMIFS(输入回款!$D:$D,输入回款!$A:$A,助手回款!$X59,输入回款!$B:$B,科目对照回款!$H$12)),2)</f>
        <v>-0</v>
      </c>
      <c r="H867" s="49" t="str">
        <f aca="false">IF(ROUND($G867,2)&gt;0,ROUND($G867,2),"")</f>
        <v/>
      </c>
      <c r="I867" s="49" t="str">
        <f aca="false">IF(ROUND($G867,2)&lt;0,-ROUND($G867,2),"")</f>
        <v/>
      </c>
      <c r="J867" s="20" t="n">
        <f aca="false">IF(ROUND($G867,2)=0,0,1)</f>
        <v>0</v>
      </c>
      <c r="K867" s="20" t="str">
        <f aca="false">IF($J867=0,"",SUM($J$857:$J867))</f>
        <v/>
      </c>
      <c r="L867" s="20" t="str">
        <f aca="false">IF($K867="","",$A867*100+$K867)</f>
        <v/>
      </c>
      <c r="M867" s="48" t="str">
        <f aca="false">参数!$B$4</f>
        <v>回款</v>
      </c>
    </row>
    <row r="868" customFormat="false" ht="13.5" hidden="false" customHeight="false" outlineLevel="0" collapsed="false">
      <c r="A868" s="47" t="n">
        <v>58</v>
      </c>
      <c r="B868" s="38" t="str">
        <f aca="false">助手回款!$B59</f>
        <v/>
      </c>
      <c r="C868" s="48" t="str">
        <f aca="false">助手回款!$C59</f>
        <v>备用13</v>
      </c>
      <c r="D868" s="48" t="str">
        <f aca="false">科目对照回款!$B13&amp;""</f>
        <v>银联</v>
      </c>
      <c r="E868" s="48" t="str">
        <f aca="false">科目对照回款!$C13&amp;""</f>
        <v>应收账款</v>
      </c>
      <c r="F868" s="48" t="str">
        <f aca="false">科目对照回款!$D13&amp;""</f>
        <v>银联</v>
      </c>
      <c r="G868" s="49" t="n">
        <f aca="false">-ROUND(IF(科目对照回款!$F$13="",0,SUMIFS(输入回款!$C:$C,输入回款!$A:$A,助手回款!$X59,输入回款!$B:$B,科目对照回款!$F$13)+SUMIFS(输入回款!$D:$D,输入回款!$A:$A,助手回款!$X59,输入回款!$B:$B,科目对照回款!$F$13))+IF(科目对照回款!$G$13="",0,SUMIFS(输入回款!$C:$C,输入回款!$A:$A,助手回款!$X59,输入回款!$B:$B,科目对照回款!$G$13)+SUMIFS(输入回款!$D:$D,输入回款!$A:$A,助手回款!$X59,输入回款!$B:$B,科目对照回款!$G$13))+IF(科目对照回款!$H$13="",0,SUMIFS(输入回款!$C:$C,输入回款!$A:$A,助手回款!$X59,输入回款!$B:$B,科目对照回款!$H$13)+SUMIFS(输入回款!$D:$D,输入回款!$A:$A,助手回款!$X59,输入回款!$B:$B,科目对照回款!$H$13)),2)</f>
        <v>-0</v>
      </c>
      <c r="H868" s="49" t="str">
        <f aca="false">IF(ROUND($G868,2)&gt;0,ROUND($G868,2),"")</f>
        <v/>
      </c>
      <c r="I868" s="49" t="str">
        <f aca="false">IF(ROUND($G868,2)&lt;0,-ROUND($G868,2),"")</f>
        <v/>
      </c>
      <c r="J868" s="20" t="n">
        <f aca="false">IF(ROUND($G868,2)=0,0,1)</f>
        <v>0</v>
      </c>
      <c r="K868" s="20" t="str">
        <f aca="false">IF($J868=0,"",SUM($J$857:$J868))</f>
        <v/>
      </c>
      <c r="L868" s="20" t="str">
        <f aca="false">IF($K868="","",$A868*100+$K868)</f>
        <v/>
      </c>
      <c r="M868" s="48" t="str">
        <f aca="false">参数!$B$4</f>
        <v>回款</v>
      </c>
    </row>
    <row r="869" customFormat="false" ht="13.5" hidden="false" customHeight="false" outlineLevel="0" collapsed="false">
      <c r="A869" s="47" t="n">
        <v>58</v>
      </c>
      <c r="B869" s="38" t="str">
        <f aca="false">助手回款!$B59</f>
        <v/>
      </c>
      <c r="C869" s="48" t="str">
        <f aca="false">助手回款!$C59</f>
        <v>备用13</v>
      </c>
      <c r="D869" s="48" t="str">
        <f aca="false">科目对照回款!$B14&amp;""</f>
        <v>代金券</v>
      </c>
      <c r="E869" s="48" t="str">
        <f aca="false">科目对照回款!$C14&amp;""</f>
        <v>应收账款</v>
      </c>
      <c r="F869" s="48" t="str">
        <f aca="false">科目对照回款!$D14&amp;""</f>
        <v>代金券</v>
      </c>
      <c r="G869" s="49" t="n">
        <f aca="false">-ROUND(IF(科目对照回款!$F$14="",0,SUMIFS(输入回款!$C:$C,输入回款!$A:$A,助手回款!$X59,输入回款!$B:$B,科目对照回款!$F$14)+SUMIFS(输入回款!$D:$D,输入回款!$A:$A,助手回款!$X59,输入回款!$B:$B,科目对照回款!$F$14))+IF(科目对照回款!$G$14="",0,SUMIFS(输入回款!$C:$C,输入回款!$A:$A,助手回款!$X59,输入回款!$B:$B,科目对照回款!$G$14)+SUMIFS(输入回款!$D:$D,输入回款!$A:$A,助手回款!$X59,输入回款!$B:$B,科目对照回款!$G$14))+IF(科目对照回款!$H$14="",0,SUMIFS(输入回款!$C:$C,输入回款!$A:$A,助手回款!$X59,输入回款!$B:$B,科目对照回款!$H$14)+SUMIFS(输入回款!$D:$D,输入回款!$A:$A,助手回款!$X59,输入回款!$B:$B,科目对照回款!$H$14)),2)</f>
        <v>-0</v>
      </c>
      <c r="H869" s="49" t="str">
        <f aca="false">IF(ROUND($G869,2)&gt;0,ROUND($G869,2),"")</f>
        <v/>
      </c>
      <c r="I869" s="49" t="str">
        <f aca="false">IF(ROUND($G869,2)&lt;0,-ROUND($G869,2),"")</f>
        <v/>
      </c>
      <c r="J869" s="20" t="n">
        <f aca="false">IF(ROUND($G869,2)=0,0,1)</f>
        <v>0</v>
      </c>
      <c r="K869" s="20" t="str">
        <f aca="false">IF($J869=0,"",SUM($J$857:$J869))</f>
        <v/>
      </c>
      <c r="L869" s="20" t="str">
        <f aca="false">IF($K869="","",$A869*100+$K869)</f>
        <v/>
      </c>
      <c r="M869" s="48" t="str">
        <f aca="false">参数!$B$4</f>
        <v>回款</v>
      </c>
    </row>
    <row r="870" customFormat="false" ht="13.5" hidden="false" customHeight="false" outlineLevel="0" collapsed="false">
      <c r="A870" s="47" t="n">
        <v>58</v>
      </c>
      <c r="B870" s="38" t="str">
        <f aca="false">助手回款!$B59</f>
        <v/>
      </c>
      <c r="C870" s="48" t="str">
        <f aca="false">助手回款!$C59</f>
        <v>备用13</v>
      </c>
      <c r="D870" s="48" t="str">
        <f aca="false">科目对照回款!$B15&amp;""</f>
        <v>药机微信</v>
      </c>
      <c r="E870" s="48" t="str">
        <f aca="false">科目对照回款!$C15&amp;""</f>
        <v>应收账款</v>
      </c>
      <c r="F870" s="48" t="str">
        <f aca="false">科目对照回款!$D15&amp;""</f>
        <v>药机微信</v>
      </c>
      <c r="G870" s="49" t="n">
        <f aca="false">-ROUND(IF(科目对照回款!$F$15="",0,SUMIFS(输入回款!$C:$C,输入回款!$A:$A,助手回款!$X59,输入回款!$B:$B,科目对照回款!$F$15)+SUMIFS(输入回款!$D:$D,输入回款!$A:$A,助手回款!$X59,输入回款!$B:$B,科目对照回款!$F$15))+IF(科目对照回款!$G$15="",0,SUMIFS(输入回款!$C:$C,输入回款!$A:$A,助手回款!$X59,输入回款!$B:$B,科目对照回款!$G$15)+SUMIFS(输入回款!$D:$D,输入回款!$A:$A,助手回款!$X59,输入回款!$B:$B,科目对照回款!$G$15))+IF(科目对照回款!$H$15="",0,SUMIFS(输入回款!$C:$C,输入回款!$A:$A,助手回款!$X59,输入回款!$B:$B,科目对照回款!$H$15)+SUMIFS(输入回款!$D:$D,输入回款!$A:$A,助手回款!$X59,输入回款!$B:$B,科目对照回款!$H$15)),2)</f>
        <v>-0</v>
      </c>
      <c r="H870" s="49" t="str">
        <f aca="false">IF(ROUND($G870,2)&gt;0,ROUND($G870,2),"")</f>
        <v/>
      </c>
      <c r="I870" s="49" t="str">
        <f aca="false">IF(ROUND($G870,2)&lt;0,-ROUND($G870,2),"")</f>
        <v/>
      </c>
      <c r="J870" s="20" t="n">
        <f aca="false">IF(ROUND($G870,2)=0,0,1)</f>
        <v>0</v>
      </c>
      <c r="K870" s="20" t="str">
        <f aca="false">IF($J870=0,"",SUM($J$857:$J870))</f>
        <v/>
      </c>
      <c r="L870" s="20" t="str">
        <f aca="false">IF($K870="","",$A870*100+$K870)</f>
        <v/>
      </c>
      <c r="M870" s="48" t="str">
        <f aca="false">参数!$B$4</f>
        <v>回款</v>
      </c>
    </row>
    <row r="871" customFormat="false" ht="13.5" hidden="false" customHeight="false" outlineLevel="0" collapsed="false">
      <c r="A871" s="47" t="n">
        <v>58</v>
      </c>
      <c r="B871" s="38" t="str">
        <f aca="false">助手回款!$B59</f>
        <v/>
      </c>
      <c r="C871" s="48" t="str">
        <f aca="false">助手回款!$C59</f>
        <v>备用13</v>
      </c>
      <c r="D871" s="48" t="str">
        <f aca="false">科目对照回款!$B16&amp;""</f>
        <v>储值卡</v>
      </c>
      <c r="E871" s="48" t="str">
        <f aca="false">科目对照回款!$C16&amp;""</f>
        <v>其他应收款</v>
      </c>
      <c r="F871" s="48" t="str">
        <f aca="false">科目对照回款!$D16&amp;""</f>
        <v>储值卡</v>
      </c>
      <c r="G871" s="49" t="n">
        <f aca="false">-ROUND(IF(科目对照回款!$F$16="",0,SUMIFS(输入回款!$C:$C,输入回款!$A:$A,助手回款!$X59,输入回款!$B:$B,科目对照回款!$F$16)+SUMIFS(输入回款!$D:$D,输入回款!$A:$A,助手回款!$X59,输入回款!$B:$B,科目对照回款!$F$16))+IF(科目对照回款!$G$16="",0,SUMIFS(输入回款!$C:$C,输入回款!$A:$A,助手回款!$X59,输入回款!$B:$B,科目对照回款!$G$16)+SUMIFS(输入回款!$D:$D,输入回款!$A:$A,助手回款!$X59,输入回款!$B:$B,科目对照回款!$G$16))+IF(科目对照回款!$H$16="",0,SUMIFS(输入回款!$C:$C,输入回款!$A:$A,助手回款!$X59,输入回款!$B:$B,科目对照回款!$H$16)+SUMIFS(输入回款!$D:$D,输入回款!$A:$A,助手回款!$X59,输入回款!$B:$B,科目对照回款!$H$16)),2)</f>
        <v>-0</v>
      </c>
      <c r="H871" s="49" t="str">
        <f aca="false">IF(ROUND($G871,2)&gt;0,ROUND($G871,2),"")</f>
        <v/>
      </c>
      <c r="I871" s="49" t="str">
        <f aca="false">IF(ROUND($G871,2)&lt;0,-ROUND($G871,2),"")</f>
        <v/>
      </c>
      <c r="J871" s="20" t="n">
        <f aca="false">IF(ROUND($G871,2)=0,0,1)</f>
        <v>0</v>
      </c>
      <c r="K871" s="20" t="str">
        <f aca="false">IF($J871=0,"",SUM($J$857:$J871))</f>
        <v/>
      </c>
      <c r="L871" s="20" t="str">
        <f aca="false">IF($K871="","",$A871*100+$K871)</f>
        <v/>
      </c>
      <c r="M871" s="48" t="str">
        <f aca="false">参数!$B$4</f>
        <v>回款</v>
      </c>
    </row>
    <row r="872" customFormat="false" ht="13.5" hidden="false" customHeight="false" outlineLevel="0" collapsed="false">
      <c r="A872" s="47" t="n">
        <v>59</v>
      </c>
      <c r="B872" s="38" t="str">
        <f aca="false">助手回款!$B60</f>
        <v/>
      </c>
      <c r="C872" s="48" t="str">
        <f aca="false">助手回款!$C60</f>
        <v>备用14</v>
      </c>
      <c r="D872" s="48" t="str">
        <f aca="false">科目对照回款!$B2&amp;""</f>
        <v>库存现金</v>
      </c>
      <c r="E872" s="48" t="str">
        <f aca="false">科目对照回款!$C2&amp;""</f>
        <v>库存现金</v>
      </c>
      <c r="F872" s="48" t="str">
        <f aca="false">科目对照回款!$D2&amp;""</f>
        <v/>
      </c>
      <c r="G872" s="49" t="n">
        <f aca="false">助手回款!$E60</f>
        <v>0</v>
      </c>
      <c r="H872" s="49" t="str">
        <f aca="false">IF(ROUND($G872,2)&gt;0,ROUND($G872,2),"")</f>
        <v/>
      </c>
      <c r="I872" s="49" t="str">
        <f aca="false">IF(ROUND($G872,2)&lt;0,-ROUND($G872,2),"")</f>
        <v/>
      </c>
      <c r="J872" s="20" t="n">
        <f aca="false">IF(ROUND($G872,2)=0,0,1)</f>
        <v>0</v>
      </c>
      <c r="K872" s="20" t="str">
        <f aca="false">IF($J872=0,"",SUM($J$872:$J872))</f>
        <v/>
      </c>
      <c r="L872" s="20" t="str">
        <f aca="false">IF($K872="","",$A872*100+$K872)</f>
        <v/>
      </c>
      <c r="M872" s="48" t="str">
        <f aca="false">参数!$B$4</f>
        <v>回款</v>
      </c>
    </row>
    <row r="873" customFormat="false" ht="13.5" hidden="false" customHeight="false" outlineLevel="0" collapsed="false">
      <c r="A873" s="47" t="n">
        <v>59</v>
      </c>
      <c r="B873" s="38" t="str">
        <f aca="false">助手回款!$B60</f>
        <v/>
      </c>
      <c r="C873" s="48" t="str">
        <f aca="false">助手回款!$C60</f>
        <v>备用14</v>
      </c>
      <c r="D873" s="48" t="str">
        <f aca="false">科目对照回款!$B3&amp;""</f>
        <v>手续费</v>
      </c>
      <c r="E873" s="48" t="str">
        <f aca="false">科目对照回款!$C3&amp;""</f>
        <v>财务费用</v>
      </c>
      <c r="F873" s="48" t="str">
        <f aca="false">科目对照回款!$D3&amp;""</f>
        <v>手续费</v>
      </c>
      <c r="G873" s="49" t="n">
        <f aca="false">助手回款!$F60</f>
        <v>0</v>
      </c>
      <c r="H873" s="49" t="str">
        <f aca="false">IF(ROUND($G873,2)&gt;0,ROUND($G873,2),"")</f>
        <v/>
      </c>
      <c r="I873" s="49" t="str">
        <f aca="false">IF(ROUND($G873,2)&lt;0,-ROUND($G873,2),"")</f>
        <v/>
      </c>
      <c r="J873" s="20" t="n">
        <f aca="false">IF(ROUND($G873,2)=0,0,1)</f>
        <v>0</v>
      </c>
      <c r="K873" s="20" t="str">
        <f aca="false">IF($J873=0,"",SUM($J$872:$J873))</f>
        <v/>
      </c>
      <c r="L873" s="20" t="str">
        <f aca="false">IF($K873="","",$A873*100+$K873)</f>
        <v/>
      </c>
      <c r="M873" s="48" t="str">
        <f aca="false">参数!$B$4</f>
        <v>回款</v>
      </c>
    </row>
    <row r="874" customFormat="false" ht="13.5" hidden="false" customHeight="false" outlineLevel="0" collapsed="false">
      <c r="A874" s="47" t="n">
        <v>59</v>
      </c>
      <c r="B874" s="38" t="str">
        <f aca="false">助手回款!$B60</f>
        <v/>
      </c>
      <c r="C874" s="48" t="str">
        <f aca="false">助手回款!$C60</f>
        <v>备用14</v>
      </c>
      <c r="D874" s="48" t="str">
        <f aca="false">科目对照回款!$B4&amp;""</f>
        <v>聚合支付</v>
      </c>
      <c r="E874" s="48" t="str">
        <f aca="false">科目对照回款!$C4&amp;""</f>
        <v>应收账款</v>
      </c>
      <c r="F874" s="48" t="str">
        <f aca="false">科目对照回款!$D4&amp;""</f>
        <v>聚合支付</v>
      </c>
      <c r="G874" s="49" t="n">
        <f aca="false">-ROUND(IF(科目对照回款!$F$4="",0,SUMIFS(输入回款!$C:$C,输入回款!$A:$A,助手回款!$X60,输入回款!$B:$B,科目对照回款!$F$4)+SUMIFS(输入回款!$D:$D,输入回款!$A:$A,助手回款!$X60,输入回款!$B:$B,科目对照回款!$F$4))+IF(科目对照回款!$G$4="",0,SUMIFS(输入回款!$C:$C,输入回款!$A:$A,助手回款!$X60,输入回款!$B:$B,科目对照回款!$G$4)+SUMIFS(输入回款!$D:$D,输入回款!$A:$A,助手回款!$X60,输入回款!$B:$B,科目对照回款!$G$4))+IF(科目对照回款!$H$4="",0,SUMIFS(输入回款!$C:$C,输入回款!$A:$A,助手回款!$X60,输入回款!$B:$B,科目对照回款!$H$4)+SUMIFS(输入回款!$D:$D,输入回款!$A:$A,助手回款!$X60,输入回款!$B:$B,科目对照回款!$H$4)),2)</f>
        <v>-0</v>
      </c>
      <c r="H874" s="49" t="str">
        <f aca="false">IF(ROUND($G874,2)&gt;0,ROUND($G874,2),"")</f>
        <v/>
      </c>
      <c r="I874" s="49" t="str">
        <f aca="false">IF(ROUND($G874,2)&lt;0,-ROUND($G874,2),"")</f>
        <v/>
      </c>
      <c r="J874" s="20" t="n">
        <f aca="false">IF(ROUND($G874,2)=0,0,1)</f>
        <v>0</v>
      </c>
      <c r="K874" s="20" t="str">
        <f aca="false">IF($J874=0,"",SUM($J$872:$J874))</f>
        <v/>
      </c>
      <c r="L874" s="20" t="str">
        <f aca="false">IF($K874="","",$A874*100+$K874)</f>
        <v/>
      </c>
      <c r="M874" s="48" t="str">
        <f aca="false">参数!$B$4</f>
        <v>回款</v>
      </c>
    </row>
    <row r="875" customFormat="false" ht="13.5" hidden="false" customHeight="false" outlineLevel="0" collapsed="false">
      <c r="A875" s="47" t="n">
        <v>59</v>
      </c>
      <c r="B875" s="38" t="str">
        <f aca="false">助手回款!$B60</f>
        <v/>
      </c>
      <c r="C875" s="48" t="str">
        <f aca="false">助手回款!$C60</f>
        <v>备用14</v>
      </c>
      <c r="D875" s="48" t="str">
        <f aca="false">科目对照回款!$B5&amp;""</f>
        <v>医保</v>
      </c>
      <c r="E875" s="48" t="str">
        <f aca="false">科目对照回款!$C5&amp;""</f>
        <v>应收账款</v>
      </c>
      <c r="F875" s="48" t="str">
        <f aca="false">科目对照回款!$D5&amp;""</f>
        <v>医保</v>
      </c>
      <c r="G875" s="49" t="n">
        <f aca="false">-ROUND(IF(科目对照回款!$F$5="",0,SUMIFS(输入回款!$C:$C,输入回款!$A:$A,助手回款!$X60,输入回款!$B:$B,科目对照回款!$F$5)+SUMIFS(输入回款!$D:$D,输入回款!$A:$A,助手回款!$X60,输入回款!$B:$B,科目对照回款!$F$5))+IF(科目对照回款!$G$5="",0,SUMIFS(输入回款!$C:$C,输入回款!$A:$A,助手回款!$X60,输入回款!$B:$B,科目对照回款!$G$5)+SUMIFS(输入回款!$D:$D,输入回款!$A:$A,助手回款!$X60,输入回款!$B:$B,科目对照回款!$G$5))+IF(科目对照回款!$H$5="",0,SUMIFS(输入回款!$C:$C,输入回款!$A:$A,助手回款!$X60,输入回款!$B:$B,科目对照回款!$H$5)+SUMIFS(输入回款!$D:$D,输入回款!$A:$A,助手回款!$X60,输入回款!$B:$B,科目对照回款!$H$5)),2)</f>
        <v>-0</v>
      </c>
      <c r="H875" s="49" t="str">
        <f aca="false">IF(ROUND($G875,2)&gt;0,ROUND($G875,2),"")</f>
        <v/>
      </c>
      <c r="I875" s="49" t="str">
        <f aca="false">IF(ROUND($G875,2)&lt;0,-ROUND($G875,2),"")</f>
        <v/>
      </c>
      <c r="J875" s="20" t="n">
        <f aca="false">IF(ROUND($G875,2)=0,0,1)</f>
        <v>0</v>
      </c>
      <c r="K875" s="20" t="str">
        <f aca="false">IF($J875=0,"",SUM($J$872:$J875))</f>
        <v/>
      </c>
      <c r="L875" s="20" t="str">
        <f aca="false">IF($K875="","",$A875*100+$K875)</f>
        <v/>
      </c>
      <c r="M875" s="48" t="str">
        <f aca="false">参数!$B$4</f>
        <v>回款</v>
      </c>
    </row>
    <row r="876" customFormat="false" ht="13.5" hidden="false" customHeight="false" outlineLevel="0" collapsed="false">
      <c r="A876" s="47" t="n">
        <v>59</v>
      </c>
      <c r="B876" s="38" t="str">
        <f aca="false">助手回款!$B60</f>
        <v/>
      </c>
      <c r="C876" s="48" t="str">
        <f aca="false">助手回款!$C60</f>
        <v>备用14</v>
      </c>
      <c r="D876" s="48" t="str">
        <f aca="false">科目对照回款!$B6&amp;""</f>
        <v>美团</v>
      </c>
      <c r="E876" s="48" t="str">
        <f aca="false">科目对照回款!$C6&amp;""</f>
        <v>应收账款</v>
      </c>
      <c r="F876" s="48" t="str">
        <f aca="false">科目对照回款!$D6&amp;""</f>
        <v>美团</v>
      </c>
      <c r="G876" s="49" t="n">
        <f aca="false">-ROUND(IF(科目对照回款!$F$6="",0,SUMIFS(输入回款!$C:$C,输入回款!$A:$A,助手回款!$X60,输入回款!$B:$B,科目对照回款!$F$6)+SUMIFS(输入回款!$D:$D,输入回款!$A:$A,助手回款!$X60,输入回款!$B:$B,科目对照回款!$F$6))+IF(科目对照回款!$G$6="",0,SUMIFS(输入回款!$C:$C,输入回款!$A:$A,助手回款!$X60,输入回款!$B:$B,科目对照回款!$G$6)+SUMIFS(输入回款!$D:$D,输入回款!$A:$A,助手回款!$X60,输入回款!$B:$B,科目对照回款!$G$6))+IF(科目对照回款!$H$6="",0,SUMIFS(输入回款!$C:$C,输入回款!$A:$A,助手回款!$X60,输入回款!$B:$B,科目对照回款!$H$6)+SUMIFS(输入回款!$D:$D,输入回款!$A:$A,助手回款!$X60,输入回款!$B:$B,科目对照回款!$H$6)),2)</f>
        <v>-0</v>
      </c>
      <c r="H876" s="49" t="str">
        <f aca="false">IF(ROUND($G876,2)&gt;0,ROUND($G876,2),"")</f>
        <v/>
      </c>
      <c r="I876" s="49" t="str">
        <f aca="false">IF(ROUND($G876,2)&lt;0,-ROUND($G876,2),"")</f>
        <v/>
      </c>
      <c r="J876" s="20" t="n">
        <f aca="false">IF(ROUND($G876,2)=0,0,1)</f>
        <v>0</v>
      </c>
      <c r="K876" s="20" t="str">
        <f aca="false">IF($J876=0,"",SUM($J$872:$J876))</f>
        <v/>
      </c>
      <c r="L876" s="20" t="str">
        <f aca="false">IF($K876="","",$A876*100+$K876)</f>
        <v/>
      </c>
      <c r="M876" s="48" t="str">
        <f aca="false">参数!$B$4</f>
        <v>回款</v>
      </c>
    </row>
    <row r="877" customFormat="false" ht="13.5" hidden="false" customHeight="false" outlineLevel="0" collapsed="false">
      <c r="A877" s="47" t="n">
        <v>59</v>
      </c>
      <c r="B877" s="38" t="str">
        <f aca="false">助手回款!$B60</f>
        <v/>
      </c>
      <c r="C877" s="48" t="str">
        <f aca="false">助手回款!$C60</f>
        <v>备用14</v>
      </c>
      <c r="D877" s="48" t="str">
        <f aca="false">科目对照回款!$B7&amp;""</f>
        <v>饿了么</v>
      </c>
      <c r="E877" s="48" t="str">
        <f aca="false">科目对照回款!$C7&amp;""</f>
        <v>应收账款</v>
      </c>
      <c r="F877" s="48" t="str">
        <f aca="false">科目对照回款!$D7&amp;""</f>
        <v>饿了么</v>
      </c>
      <c r="G877" s="49" t="n">
        <f aca="false">-ROUND(IF(科目对照回款!$F$7="",0,SUMIFS(输入回款!$C:$C,输入回款!$A:$A,助手回款!$X60,输入回款!$B:$B,科目对照回款!$F$7)+SUMIFS(输入回款!$D:$D,输入回款!$A:$A,助手回款!$X60,输入回款!$B:$B,科目对照回款!$F$7))+IF(科目对照回款!$G$7="",0,SUMIFS(输入回款!$C:$C,输入回款!$A:$A,助手回款!$X60,输入回款!$B:$B,科目对照回款!$G$7)+SUMIFS(输入回款!$D:$D,输入回款!$A:$A,助手回款!$X60,输入回款!$B:$B,科目对照回款!$G$7))+IF(科目对照回款!$H$7="",0,SUMIFS(输入回款!$C:$C,输入回款!$A:$A,助手回款!$X60,输入回款!$B:$B,科目对照回款!$H$7)+SUMIFS(输入回款!$D:$D,输入回款!$A:$A,助手回款!$X60,输入回款!$B:$B,科目对照回款!$H$7)),2)</f>
        <v>-0</v>
      </c>
      <c r="H877" s="49" t="str">
        <f aca="false">IF(ROUND($G877,2)&gt;0,ROUND($G877,2),"")</f>
        <v/>
      </c>
      <c r="I877" s="49" t="str">
        <f aca="false">IF(ROUND($G877,2)&lt;0,-ROUND($G877,2),"")</f>
        <v/>
      </c>
      <c r="J877" s="20" t="n">
        <f aca="false">IF(ROUND($G877,2)=0,0,1)</f>
        <v>0</v>
      </c>
      <c r="K877" s="20" t="str">
        <f aca="false">IF($J877=0,"",SUM($J$872:$J877))</f>
        <v/>
      </c>
      <c r="L877" s="20" t="str">
        <f aca="false">IF($K877="","",$A877*100+$K877)</f>
        <v/>
      </c>
      <c r="M877" s="48" t="str">
        <f aca="false">参数!$B$4</f>
        <v>回款</v>
      </c>
    </row>
    <row r="878" customFormat="false" ht="13.5" hidden="false" customHeight="false" outlineLevel="0" collapsed="false">
      <c r="A878" s="47" t="n">
        <v>59</v>
      </c>
      <c r="B878" s="38" t="str">
        <f aca="false">助手回款!$B60</f>
        <v/>
      </c>
      <c r="C878" s="48" t="str">
        <f aca="false">助手回款!$C60</f>
        <v>备用14</v>
      </c>
      <c r="D878" s="48" t="str">
        <f aca="false">科目对照回款!$B8&amp;""</f>
        <v>24小时</v>
      </c>
      <c r="E878" s="48" t="str">
        <f aca="false">科目对照回款!$C8&amp;""</f>
        <v>应收账款</v>
      </c>
      <c r="F878" s="48" t="str">
        <f aca="false">科目对照回款!$D8&amp;""</f>
        <v>24小时</v>
      </c>
      <c r="G878" s="49" t="n">
        <f aca="false">-ROUND(IF(科目对照回款!$F$8="",0,SUMIFS(输入回款!$C:$C,输入回款!$A:$A,助手回款!$X60,输入回款!$B:$B,科目对照回款!$F$8)+SUMIFS(输入回款!$D:$D,输入回款!$A:$A,助手回款!$X60,输入回款!$B:$B,科目对照回款!$F$8))+IF(科目对照回款!$G$8="",0,SUMIFS(输入回款!$C:$C,输入回款!$A:$A,助手回款!$X60,输入回款!$B:$B,科目对照回款!$G$8)+SUMIFS(输入回款!$D:$D,输入回款!$A:$A,助手回款!$X60,输入回款!$B:$B,科目对照回款!$G$8))+IF(科目对照回款!$H$8="",0,SUMIFS(输入回款!$C:$C,输入回款!$A:$A,助手回款!$X60,输入回款!$B:$B,科目对照回款!$H$8)+SUMIFS(输入回款!$D:$D,输入回款!$A:$A,助手回款!$X60,输入回款!$B:$B,科目对照回款!$H$8)),2)</f>
        <v>-0</v>
      </c>
      <c r="H878" s="49" t="str">
        <f aca="false">IF(ROUND($G878,2)&gt;0,ROUND($G878,2),"")</f>
        <v/>
      </c>
      <c r="I878" s="49" t="str">
        <f aca="false">IF(ROUND($G878,2)&lt;0,-ROUND($G878,2),"")</f>
        <v/>
      </c>
      <c r="J878" s="20" t="n">
        <f aca="false">IF(ROUND($G878,2)=0,0,1)</f>
        <v>0</v>
      </c>
      <c r="K878" s="20" t="str">
        <f aca="false">IF($J878=0,"",SUM($J$872:$J878))</f>
        <v/>
      </c>
      <c r="L878" s="20" t="str">
        <f aca="false">IF($K878="","",$A878*100+$K878)</f>
        <v/>
      </c>
      <c r="M878" s="48" t="str">
        <f aca="false">参数!$B$4</f>
        <v>回款</v>
      </c>
    </row>
    <row r="879" customFormat="false" ht="13.5" hidden="false" customHeight="false" outlineLevel="0" collapsed="false">
      <c r="A879" s="47" t="n">
        <v>59</v>
      </c>
      <c r="B879" s="38" t="str">
        <f aca="false">助手回款!$B60</f>
        <v/>
      </c>
      <c r="C879" s="48" t="str">
        <f aca="false">助手回款!$C60</f>
        <v>备用14</v>
      </c>
      <c r="D879" s="48" t="str">
        <f aca="false">科目对照回款!$B9&amp;""</f>
        <v>健E卡</v>
      </c>
      <c r="E879" s="48" t="str">
        <f aca="false">科目对照回款!$C9&amp;""</f>
        <v>应收账款</v>
      </c>
      <c r="F879" s="48" t="str">
        <f aca="false">科目对照回款!$D9&amp;""</f>
        <v>健E卡</v>
      </c>
      <c r="G879" s="49" t="n">
        <f aca="false">-ROUND(IF(科目对照回款!$F$9="",0,SUMIFS(输入回款!$C:$C,输入回款!$A:$A,助手回款!$X60,输入回款!$B:$B,科目对照回款!$F$9)+SUMIFS(输入回款!$D:$D,输入回款!$A:$A,助手回款!$X60,输入回款!$B:$B,科目对照回款!$F$9))+IF(科目对照回款!$G$9="",0,SUMIFS(输入回款!$C:$C,输入回款!$A:$A,助手回款!$X60,输入回款!$B:$B,科目对照回款!$G$9)+SUMIFS(输入回款!$D:$D,输入回款!$A:$A,助手回款!$X60,输入回款!$B:$B,科目对照回款!$G$9))+IF(科目对照回款!$H$9="",0,SUMIFS(输入回款!$C:$C,输入回款!$A:$A,助手回款!$X60,输入回款!$B:$B,科目对照回款!$H$9)+SUMIFS(输入回款!$D:$D,输入回款!$A:$A,助手回款!$X60,输入回款!$B:$B,科目对照回款!$H$9)),2)</f>
        <v>-0</v>
      </c>
      <c r="H879" s="49" t="str">
        <f aca="false">IF(ROUND($G879,2)&gt;0,ROUND($G879,2),"")</f>
        <v/>
      </c>
      <c r="I879" s="49" t="str">
        <f aca="false">IF(ROUND($G879,2)&lt;0,-ROUND($G879,2),"")</f>
        <v/>
      </c>
      <c r="J879" s="20" t="n">
        <f aca="false">IF(ROUND($G879,2)=0,0,1)</f>
        <v>0</v>
      </c>
      <c r="K879" s="20" t="str">
        <f aca="false">IF($J879=0,"",SUM($J$872:$J879))</f>
        <v/>
      </c>
      <c r="L879" s="20" t="str">
        <f aca="false">IF($K879="","",$A879*100+$K879)</f>
        <v/>
      </c>
      <c r="M879" s="48" t="str">
        <f aca="false">参数!$B$4</f>
        <v>回款</v>
      </c>
    </row>
    <row r="880" customFormat="false" ht="13.5" hidden="false" customHeight="false" outlineLevel="0" collapsed="false">
      <c r="A880" s="47" t="n">
        <v>59</v>
      </c>
      <c r="B880" s="38" t="str">
        <f aca="false">助手回款!$B60</f>
        <v/>
      </c>
      <c r="C880" s="48" t="str">
        <f aca="false">助手回款!$C60</f>
        <v>备用14</v>
      </c>
      <c r="D880" s="48" t="str">
        <f aca="false">科目对照回款!$B10&amp;""</f>
        <v>医卡通</v>
      </c>
      <c r="E880" s="48" t="str">
        <f aca="false">科目对照回款!$C10&amp;""</f>
        <v>应收账款</v>
      </c>
      <c r="F880" s="48" t="str">
        <f aca="false">科目对照回款!$D10&amp;""</f>
        <v>医卡通</v>
      </c>
      <c r="G880" s="49" t="n">
        <f aca="false">-ROUND(IF(科目对照回款!$F$10="",0,SUMIFS(输入回款!$C:$C,输入回款!$A:$A,助手回款!$X60,输入回款!$B:$B,科目对照回款!$F$10)+SUMIFS(输入回款!$D:$D,输入回款!$A:$A,助手回款!$X60,输入回款!$B:$B,科目对照回款!$F$10))+IF(科目对照回款!$G$10="",0,SUMIFS(输入回款!$C:$C,输入回款!$A:$A,助手回款!$X60,输入回款!$B:$B,科目对照回款!$G$10)+SUMIFS(输入回款!$D:$D,输入回款!$A:$A,助手回款!$X60,输入回款!$B:$B,科目对照回款!$G$10))+IF(科目对照回款!$H$10="",0,SUMIFS(输入回款!$C:$C,输入回款!$A:$A,助手回款!$X60,输入回款!$B:$B,科目对照回款!$H$10)+SUMIFS(输入回款!$D:$D,输入回款!$A:$A,助手回款!$X60,输入回款!$B:$B,科目对照回款!$H$10)),2)</f>
        <v>-0</v>
      </c>
      <c r="H880" s="49" t="str">
        <f aca="false">IF(ROUND($G880,2)&gt;0,ROUND($G880,2),"")</f>
        <v/>
      </c>
      <c r="I880" s="49" t="str">
        <f aca="false">IF(ROUND($G880,2)&lt;0,-ROUND($G880,2),"")</f>
        <v/>
      </c>
      <c r="J880" s="20" t="n">
        <f aca="false">IF(ROUND($G880,2)=0,0,1)</f>
        <v>0</v>
      </c>
      <c r="K880" s="20" t="str">
        <f aca="false">IF($J880=0,"",SUM($J$872:$J880))</f>
        <v/>
      </c>
      <c r="L880" s="20" t="str">
        <f aca="false">IF($K880="","",$A880*100+$K880)</f>
        <v/>
      </c>
      <c r="M880" s="48" t="str">
        <f aca="false">参数!$B$4</f>
        <v>回款</v>
      </c>
    </row>
    <row r="881" customFormat="false" ht="13.5" hidden="false" customHeight="false" outlineLevel="0" collapsed="false">
      <c r="A881" s="47" t="n">
        <v>59</v>
      </c>
      <c r="B881" s="38" t="str">
        <f aca="false">助手回款!$B60</f>
        <v/>
      </c>
      <c r="C881" s="48" t="str">
        <f aca="false">助手回款!$C60</f>
        <v>备用14</v>
      </c>
      <c r="D881" s="48" t="str">
        <f aca="false">科目对照回款!$B11&amp;""</f>
        <v>企健网</v>
      </c>
      <c r="E881" s="48" t="str">
        <f aca="false">科目对照回款!$C11&amp;""</f>
        <v>应收账款</v>
      </c>
      <c r="F881" s="48" t="str">
        <f aca="false">科目对照回款!$D11&amp;""</f>
        <v>企健网</v>
      </c>
      <c r="G881" s="49" t="n">
        <f aca="false">-ROUND(IF(科目对照回款!$F$11="",0,SUMIFS(输入回款!$C:$C,输入回款!$A:$A,助手回款!$X60,输入回款!$B:$B,科目对照回款!$F$11)+SUMIFS(输入回款!$D:$D,输入回款!$A:$A,助手回款!$X60,输入回款!$B:$B,科目对照回款!$F$11))+IF(科目对照回款!$G$11="",0,SUMIFS(输入回款!$C:$C,输入回款!$A:$A,助手回款!$X60,输入回款!$B:$B,科目对照回款!$G$11)+SUMIFS(输入回款!$D:$D,输入回款!$A:$A,助手回款!$X60,输入回款!$B:$B,科目对照回款!$G$11))+IF(科目对照回款!$H$11="",0,SUMIFS(输入回款!$C:$C,输入回款!$A:$A,助手回款!$X60,输入回款!$B:$B,科目对照回款!$H$11)+SUMIFS(输入回款!$D:$D,输入回款!$A:$A,助手回款!$X60,输入回款!$B:$B,科目对照回款!$H$11)),2)</f>
        <v>-0</v>
      </c>
      <c r="H881" s="49" t="str">
        <f aca="false">IF(ROUND($G881,2)&gt;0,ROUND($G881,2),"")</f>
        <v/>
      </c>
      <c r="I881" s="49" t="str">
        <f aca="false">IF(ROUND($G881,2)&lt;0,-ROUND($G881,2),"")</f>
        <v/>
      </c>
      <c r="J881" s="20" t="n">
        <f aca="false">IF(ROUND($G881,2)=0,0,1)</f>
        <v>0</v>
      </c>
      <c r="K881" s="20" t="str">
        <f aca="false">IF($J881=0,"",SUM($J$872:$J881))</f>
        <v/>
      </c>
      <c r="L881" s="20" t="str">
        <f aca="false">IF($K881="","",$A881*100+$K881)</f>
        <v/>
      </c>
      <c r="M881" s="48" t="str">
        <f aca="false">参数!$B$4</f>
        <v>回款</v>
      </c>
    </row>
    <row r="882" customFormat="false" ht="13.5" hidden="false" customHeight="false" outlineLevel="0" collapsed="false">
      <c r="A882" s="47" t="n">
        <v>59</v>
      </c>
      <c r="B882" s="38" t="str">
        <f aca="false">助手回款!$B60</f>
        <v/>
      </c>
      <c r="C882" s="48" t="str">
        <f aca="false">助手回款!$C60</f>
        <v>备用14</v>
      </c>
      <c r="D882" s="48" t="str">
        <f aca="false">科目对照回款!$B12&amp;""</f>
        <v>亲情卡</v>
      </c>
      <c r="E882" s="48" t="str">
        <f aca="false">科目对照回款!$C12&amp;""</f>
        <v>应收账款</v>
      </c>
      <c r="F882" s="48" t="str">
        <f aca="false">科目对照回款!$D12&amp;""</f>
        <v>亲情卡</v>
      </c>
      <c r="G882" s="49" t="n">
        <f aca="false">-ROUND(IF(科目对照回款!$F$12="",0,SUMIFS(输入回款!$C:$C,输入回款!$A:$A,助手回款!$X60,输入回款!$B:$B,科目对照回款!$F$12)+SUMIFS(输入回款!$D:$D,输入回款!$A:$A,助手回款!$X60,输入回款!$B:$B,科目对照回款!$F$12))+IF(科目对照回款!$G$12="",0,SUMIFS(输入回款!$C:$C,输入回款!$A:$A,助手回款!$X60,输入回款!$B:$B,科目对照回款!$G$12)+SUMIFS(输入回款!$D:$D,输入回款!$A:$A,助手回款!$X60,输入回款!$B:$B,科目对照回款!$G$12))+IF(科目对照回款!$H$12="",0,SUMIFS(输入回款!$C:$C,输入回款!$A:$A,助手回款!$X60,输入回款!$B:$B,科目对照回款!$H$12)+SUMIFS(输入回款!$D:$D,输入回款!$A:$A,助手回款!$X60,输入回款!$B:$B,科目对照回款!$H$12)),2)</f>
        <v>-0</v>
      </c>
      <c r="H882" s="49" t="str">
        <f aca="false">IF(ROUND($G882,2)&gt;0,ROUND($G882,2),"")</f>
        <v/>
      </c>
      <c r="I882" s="49" t="str">
        <f aca="false">IF(ROUND($G882,2)&lt;0,-ROUND($G882,2),"")</f>
        <v/>
      </c>
      <c r="J882" s="20" t="n">
        <f aca="false">IF(ROUND($G882,2)=0,0,1)</f>
        <v>0</v>
      </c>
      <c r="K882" s="20" t="str">
        <f aca="false">IF($J882=0,"",SUM($J$872:$J882))</f>
        <v/>
      </c>
      <c r="L882" s="20" t="str">
        <f aca="false">IF($K882="","",$A882*100+$K882)</f>
        <v/>
      </c>
      <c r="M882" s="48" t="str">
        <f aca="false">参数!$B$4</f>
        <v>回款</v>
      </c>
    </row>
    <row r="883" customFormat="false" ht="13.5" hidden="false" customHeight="false" outlineLevel="0" collapsed="false">
      <c r="A883" s="47" t="n">
        <v>59</v>
      </c>
      <c r="B883" s="38" t="str">
        <f aca="false">助手回款!$B60</f>
        <v/>
      </c>
      <c r="C883" s="48" t="str">
        <f aca="false">助手回款!$C60</f>
        <v>备用14</v>
      </c>
      <c r="D883" s="48" t="str">
        <f aca="false">科目对照回款!$B13&amp;""</f>
        <v>银联</v>
      </c>
      <c r="E883" s="48" t="str">
        <f aca="false">科目对照回款!$C13&amp;""</f>
        <v>应收账款</v>
      </c>
      <c r="F883" s="48" t="str">
        <f aca="false">科目对照回款!$D13&amp;""</f>
        <v>银联</v>
      </c>
      <c r="G883" s="49" t="n">
        <f aca="false">-ROUND(IF(科目对照回款!$F$13="",0,SUMIFS(输入回款!$C:$C,输入回款!$A:$A,助手回款!$X60,输入回款!$B:$B,科目对照回款!$F$13)+SUMIFS(输入回款!$D:$D,输入回款!$A:$A,助手回款!$X60,输入回款!$B:$B,科目对照回款!$F$13))+IF(科目对照回款!$G$13="",0,SUMIFS(输入回款!$C:$C,输入回款!$A:$A,助手回款!$X60,输入回款!$B:$B,科目对照回款!$G$13)+SUMIFS(输入回款!$D:$D,输入回款!$A:$A,助手回款!$X60,输入回款!$B:$B,科目对照回款!$G$13))+IF(科目对照回款!$H$13="",0,SUMIFS(输入回款!$C:$C,输入回款!$A:$A,助手回款!$X60,输入回款!$B:$B,科目对照回款!$H$13)+SUMIFS(输入回款!$D:$D,输入回款!$A:$A,助手回款!$X60,输入回款!$B:$B,科目对照回款!$H$13)),2)</f>
        <v>-0</v>
      </c>
      <c r="H883" s="49" t="str">
        <f aca="false">IF(ROUND($G883,2)&gt;0,ROUND($G883,2),"")</f>
        <v/>
      </c>
      <c r="I883" s="49" t="str">
        <f aca="false">IF(ROUND($G883,2)&lt;0,-ROUND($G883,2),"")</f>
        <v/>
      </c>
      <c r="J883" s="20" t="n">
        <f aca="false">IF(ROUND($G883,2)=0,0,1)</f>
        <v>0</v>
      </c>
      <c r="K883" s="20" t="str">
        <f aca="false">IF($J883=0,"",SUM($J$872:$J883))</f>
        <v/>
      </c>
      <c r="L883" s="20" t="str">
        <f aca="false">IF($K883="","",$A883*100+$K883)</f>
        <v/>
      </c>
      <c r="M883" s="48" t="str">
        <f aca="false">参数!$B$4</f>
        <v>回款</v>
      </c>
    </row>
    <row r="884" customFormat="false" ht="13.5" hidden="false" customHeight="false" outlineLevel="0" collapsed="false">
      <c r="A884" s="47" t="n">
        <v>59</v>
      </c>
      <c r="B884" s="38" t="str">
        <f aca="false">助手回款!$B60</f>
        <v/>
      </c>
      <c r="C884" s="48" t="str">
        <f aca="false">助手回款!$C60</f>
        <v>备用14</v>
      </c>
      <c r="D884" s="48" t="str">
        <f aca="false">科目对照回款!$B14&amp;""</f>
        <v>代金券</v>
      </c>
      <c r="E884" s="48" t="str">
        <f aca="false">科目对照回款!$C14&amp;""</f>
        <v>应收账款</v>
      </c>
      <c r="F884" s="48" t="str">
        <f aca="false">科目对照回款!$D14&amp;""</f>
        <v>代金券</v>
      </c>
      <c r="G884" s="49" t="n">
        <f aca="false">-ROUND(IF(科目对照回款!$F$14="",0,SUMIFS(输入回款!$C:$C,输入回款!$A:$A,助手回款!$X60,输入回款!$B:$B,科目对照回款!$F$14)+SUMIFS(输入回款!$D:$D,输入回款!$A:$A,助手回款!$X60,输入回款!$B:$B,科目对照回款!$F$14))+IF(科目对照回款!$G$14="",0,SUMIFS(输入回款!$C:$C,输入回款!$A:$A,助手回款!$X60,输入回款!$B:$B,科目对照回款!$G$14)+SUMIFS(输入回款!$D:$D,输入回款!$A:$A,助手回款!$X60,输入回款!$B:$B,科目对照回款!$G$14))+IF(科目对照回款!$H$14="",0,SUMIFS(输入回款!$C:$C,输入回款!$A:$A,助手回款!$X60,输入回款!$B:$B,科目对照回款!$H$14)+SUMIFS(输入回款!$D:$D,输入回款!$A:$A,助手回款!$X60,输入回款!$B:$B,科目对照回款!$H$14)),2)</f>
        <v>-0</v>
      </c>
      <c r="H884" s="49" t="str">
        <f aca="false">IF(ROUND($G884,2)&gt;0,ROUND($G884,2),"")</f>
        <v/>
      </c>
      <c r="I884" s="49" t="str">
        <f aca="false">IF(ROUND($G884,2)&lt;0,-ROUND($G884,2),"")</f>
        <v/>
      </c>
      <c r="J884" s="20" t="n">
        <f aca="false">IF(ROUND($G884,2)=0,0,1)</f>
        <v>0</v>
      </c>
      <c r="K884" s="20" t="str">
        <f aca="false">IF($J884=0,"",SUM($J$872:$J884))</f>
        <v/>
      </c>
      <c r="L884" s="20" t="str">
        <f aca="false">IF($K884="","",$A884*100+$K884)</f>
        <v/>
      </c>
      <c r="M884" s="48" t="str">
        <f aca="false">参数!$B$4</f>
        <v>回款</v>
      </c>
    </row>
    <row r="885" customFormat="false" ht="13.5" hidden="false" customHeight="false" outlineLevel="0" collapsed="false">
      <c r="A885" s="47" t="n">
        <v>59</v>
      </c>
      <c r="B885" s="38" t="str">
        <f aca="false">助手回款!$B60</f>
        <v/>
      </c>
      <c r="C885" s="48" t="str">
        <f aca="false">助手回款!$C60</f>
        <v>备用14</v>
      </c>
      <c r="D885" s="48" t="str">
        <f aca="false">科目对照回款!$B15&amp;""</f>
        <v>药机微信</v>
      </c>
      <c r="E885" s="48" t="str">
        <f aca="false">科目对照回款!$C15&amp;""</f>
        <v>应收账款</v>
      </c>
      <c r="F885" s="48" t="str">
        <f aca="false">科目对照回款!$D15&amp;""</f>
        <v>药机微信</v>
      </c>
      <c r="G885" s="49" t="n">
        <f aca="false">-ROUND(IF(科目对照回款!$F$15="",0,SUMIFS(输入回款!$C:$C,输入回款!$A:$A,助手回款!$X60,输入回款!$B:$B,科目对照回款!$F$15)+SUMIFS(输入回款!$D:$D,输入回款!$A:$A,助手回款!$X60,输入回款!$B:$B,科目对照回款!$F$15))+IF(科目对照回款!$G$15="",0,SUMIFS(输入回款!$C:$C,输入回款!$A:$A,助手回款!$X60,输入回款!$B:$B,科目对照回款!$G$15)+SUMIFS(输入回款!$D:$D,输入回款!$A:$A,助手回款!$X60,输入回款!$B:$B,科目对照回款!$G$15))+IF(科目对照回款!$H$15="",0,SUMIFS(输入回款!$C:$C,输入回款!$A:$A,助手回款!$X60,输入回款!$B:$B,科目对照回款!$H$15)+SUMIFS(输入回款!$D:$D,输入回款!$A:$A,助手回款!$X60,输入回款!$B:$B,科目对照回款!$H$15)),2)</f>
        <v>-0</v>
      </c>
      <c r="H885" s="49" t="str">
        <f aca="false">IF(ROUND($G885,2)&gt;0,ROUND($G885,2),"")</f>
        <v/>
      </c>
      <c r="I885" s="49" t="str">
        <f aca="false">IF(ROUND($G885,2)&lt;0,-ROUND($G885,2),"")</f>
        <v/>
      </c>
      <c r="J885" s="20" t="n">
        <f aca="false">IF(ROUND($G885,2)=0,0,1)</f>
        <v>0</v>
      </c>
      <c r="K885" s="20" t="str">
        <f aca="false">IF($J885=0,"",SUM($J$872:$J885))</f>
        <v/>
      </c>
      <c r="L885" s="20" t="str">
        <f aca="false">IF($K885="","",$A885*100+$K885)</f>
        <v/>
      </c>
      <c r="M885" s="48" t="str">
        <f aca="false">参数!$B$4</f>
        <v>回款</v>
      </c>
    </row>
    <row r="886" customFormat="false" ht="13.5" hidden="false" customHeight="false" outlineLevel="0" collapsed="false">
      <c r="A886" s="47" t="n">
        <v>59</v>
      </c>
      <c r="B886" s="38" t="str">
        <f aca="false">助手回款!$B60</f>
        <v/>
      </c>
      <c r="C886" s="48" t="str">
        <f aca="false">助手回款!$C60</f>
        <v>备用14</v>
      </c>
      <c r="D886" s="48" t="str">
        <f aca="false">科目对照回款!$B16&amp;""</f>
        <v>储值卡</v>
      </c>
      <c r="E886" s="48" t="str">
        <f aca="false">科目对照回款!$C16&amp;""</f>
        <v>其他应收款</v>
      </c>
      <c r="F886" s="48" t="str">
        <f aca="false">科目对照回款!$D16&amp;""</f>
        <v>储值卡</v>
      </c>
      <c r="G886" s="49" t="n">
        <f aca="false">-ROUND(IF(科目对照回款!$F$16="",0,SUMIFS(输入回款!$C:$C,输入回款!$A:$A,助手回款!$X60,输入回款!$B:$B,科目对照回款!$F$16)+SUMIFS(输入回款!$D:$D,输入回款!$A:$A,助手回款!$X60,输入回款!$B:$B,科目对照回款!$F$16))+IF(科目对照回款!$G$16="",0,SUMIFS(输入回款!$C:$C,输入回款!$A:$A,助手回款!$X60,输入回款!$B:$B,科目对照回款!$G$16)+SUMIFS(输入回款!$D:$D,输入回款!$A:$A,助手回款!$X60,输入回款!$B:$B,科目对照回款!$G$16))+IF(科目对照回款!$H$16="",0,SUMIFS(输入回款!$C:$C,输入回款!$A:$A,助手回款!$X60,输入回款!$B:$B,科目对照回款!$H$16)+SUMIFS(输入回款!$D:$D,输入回款!$A:$A,助手回款!$X60,输入回款!$B:$B,科目对照回款!$H$16)),2)</f>
        <v>-0</v>
      </c>
      <c r="H886" s="49" t="str">
        <f aca="false">IF(ROUND($G886,2)&gt;0,ROUND($G886,2),"")</f>
        <v/>
      </c>
      <c r="I886" s="49" t="str">
        <f aca="false">IF(ROUND($G886,2)&lt;0,-ROUND($G886,2),"")</f>
        <v/>
      </c>
      <c r="J886" s="20" t="n">
        <f aca="false">IF(ROUND($G886,2)=0,0,1)</f>
        <v>0</v>
      </c>
      <c r="K886" s="20" t="str">
        <f aca="false">IF($J886=0,"",SUM($J$872:$J886))</f>
        <v/>
      </c>
      <c r="L886" s="20" t="str">
        <f aca="false">IF($K886="","",$A886*100+$K886)</f>
        <v/>
      </c>
      <c r="M886" s="48" t="str">
        <f aca="false">参数!$B$4</f>
        <v>回款</v>
      </c>
    </row>
    <row r="887" customFormat="false" ht="13.5" hidden="false" customHeight="false" outlineLevel="0" collapsed="false">
      <c r="A887" s="47" t="n">
        <v>60</v>
      </c>
      <c r="B887" s="38" t="str">
        <f aca="false">助手回款!$B61</f>
        <v/>
      </c>
      <c r="C887" s="48" t="str">
        <f aca="false">助手回款!$C61</f>
        <v>备用15</v>
      </c>
      <c r="D887" s="48" t="str">
        <f aca="false">科目对照回款!$B2&amp;""</f>
        <v>库存现金</v>
      </c>
      <c r="E887" s="48" t="str">
        <f aca="false">科目对照回款!$C2&amp;""</f>
        <v>库存现金</v>
      </c>
      <c r="F887" s="48" t="str">
        <f aca="false">科目对照回款!$D2&amp;""</f>
        <v/>
      </c>
      <c r="G887" s="49" t="n">
        <f aca="false">助手回款!$E61</f>
        <v>0</v>
      </c>
      <c r="H887" s="49" t="str">
        <f aca="false">IF(ROUND($G887,2)&gt;0,ROUND($G887,2),"")</f>
        <v/>
      </c>
      <c r="I887" s="49" t="str">
        <f aca="false">IF(ROUND($G887,2)&lt;0,-ROUND($G887,2),"")</f>
        <v/>
      </c>
      <c r="J887" s="20" t="n">
        <f aca="false">IF(ROUND($G887,2)=0,0,1)</f>
        <v>0</v>
      </c>
      <c r="K887" s="20" t="str">
        <f aca="false">IF($J887=0,"",SUM($J$887:$J887))</f>
        <v/>
      </c>
      <c r="L887" s="20" t="str">
        <f aca="false">IF($K887="","",$A887*100+$K887)</f>
        <v/>
      </c>
      <c r="M887" s="48" t="str">
        <f aca="false">参数!$B$4</f>
        <v>回款</v>
      </c>
    </row>
    <row r="888" customFormat="false" ht="13.5" hidden="false" customHeight="false" outlineLevel="0" collapsed="false">
      <c r="A888" s="47" t="n">
        <v>60</v>
      </c>
      <c r="B888" s="38" t="str">
        <f aca="false">助手回款!$B61</f>
        <v/>
      </c>
      <c r="C888" s="48" t="str">
        <f aca="false">助手回款!$C61</f>
        <v>备用15</v>
      </c>
      <c r="D888" s="48" t="str">
        <f aca="false">科目对照回款!$B3&amp;""</f>
        <v>手续费</v>
      </c>
      <c r="E888" s="48" t="str">
        <f aca="false">科目对照回款!$C3&amp;""</f>
        <v>财务费用</v>
      </c>
      <c r="F888" s="48" t="str">
        <f aca="false">科目对照回款!$D3&amp;""</f>
        <v>手续费</v>
      </c>
      <c r="G888" s="49" t="n">
        <f aca="false">助手回款!$F61</f>
        <v>0</v>
      </c>
      <c r="H888" s="49" t="str">
        <f aca="false">IF(ROUND($G888,2)&gt;0,ROUND($G888,2),"")</f>
        <v/>
      </c>
      <c r="I888" s="49" t="str">
        <f aca="false">IF(ROUND($G888,2)&lt;0,-ROUND($G888,2),"")</f>
        <v/>
      </c>
      <c r="J888" s="20" t="n">
        <f aca="false">IF(ROUND($G888,2)=0,0,1)</f>
        <v>0</v>
      </c>
      <c r="K888" s="20" t="str">
        <f aca="false">IF($J888=0,"",SUM($J$887:$J888))</f>
        <v/>
      </c>
      <c r="L888" s="20" t="str">
        <f aca="false">IF($K888="","",$A888*100+$K888)</f>
        <v/>
      </c>
      <c r="M888" s="48" t="str">
        <f aca="false">参数!$B$4</f>
        <v>回款</v>
      </c>
    </row>
    <row r="889" customFormat="false" ht="13.5" hidden="false" customHeight="false" outlineLevel="0" collapsed="false">
      <c r="A889" s="47" t="n">
        <v>60</v>
      </c>
      <c r="B889" s="38" t="str">
        <f aca="false">助手回款!$B61</f>
        <v/>
      </c>
      <c r="C889" s="48" t="str">
        <f aca="false">助手回款!$C61</f>
        <v>备用15</v>
      </c>
      <c r="D889" s="48" t="str">
        <f aca="false">科目对照回款!$B4&amp;""</f>
        <v>聚合支付</v>
      </c>
      <c r="E889" s="48" t="str">
        <f aca="false">科目对照回款!$C4&amp;""</f>
        <v>应收账款</v>
      </c>
      <c r="F889" s="48" t="str">
        <f aca="false">科目对照回款!$D4&amp;""</f>
        <v>聚合支付</v>
      </c>
      <c r="G889" s="49" t="n">
        <f aca="false">-ROUND(IF(科目对照回款!$F$4="",0,SUMIFS(输入回款!$C:$C,输入回款!$A:$A,助手回款!$X61,输入回款!$B:$B,科目对照回款!$F$4)+SUMIFS(输入回款!$D:$D,输入回款!$A:$A,助手回款!$X61,输入回款!$B:$B,科目对照回款!$F$4))+IF(科目对照回款!$G$4="",0,SUMIFS(输入回款!$C:$C,输入回款!$A:$A,助手回款!$X61,输入回款!$B:$B,科目对照回款!$G$4)+SUMIFS(输入回款!$D:$D,输入回款!$A:$A,助手回款!$X61,输入回款!$B:$B,科目对照回款!$G$4))+IF(科目对照回款!$H$4="",0,SUMIFS(输入回款!$C:$C,输入回款!$A:$A,助手回款!$X61,输入回款!$B:$B,科目对照回款!$H$4)+SUMIFS(输入回款!$D:$D,输入回款!$A:$A,助手回款!$X61,输入回款!$B:$B,科目对照回款!$H$4)),2)</f>
        <v>-0</v>
      </c>
      <c r="H889" s="49" t="str">
        <f aca="false">IF(ROUND($G889,2)&gt;0,ROUND($G889,2),"")</f>
        <v/>
      </c>
      <c r="I889" s="49" t="str">
        <f aca="false">IF(ROUND($G889,2)&lt;0,-ROUND($G889,2),"")</f>
        <v/>
      </c>
      <c r="J889" s="20" t="n">
        <f aca="false">IF(ROUND($G889,2)=0,0,1)</f>
        <v>0</v>
      </c>
      <c r="K889" s="20" t="str">
        <f aca="false">IF($J889=0,"",SUM($J$887:$J889))</f>
        <v/>
      </c>
      <c r="L889" s="20" t="str">
        <f aca="false">IF($K889="","",$A889*100+$K889)</f>
        <v/>
      </c>
      <c r="M889" s="48" t="str">
        <f aca="false">参数!$B$4</f>
        <v>回款</v>
      </c>
    </row>
    <row r="890" customFormat="false" ht="13.5" hidden="false" customHeight="false" outlineLevel="0" collapsed="false">
      <c r="A890" s="47" t="n">
        <v>60</v>
      </c>
      <c r="B890" s="38" t="str">
        <f aca="false">助手回款!$B61</f>
        <v/>
      </c>
      <c r="C890" s="48" t="str">
        <f aca="false">助手回款!$C61</f>
        <v>备用15</v>
      </c>
      <c r="D890" s="48" t="str">
        <f aca="false">科目对照回款!$B5&amp;""</f>
        <v>医保</v>
      </c>
      <c r="E890" s="48" t="str">
        <f aca="false">科目对照回款!$C5&amp;""</f>
        <v>应收账款</v>
      </c>
      <c r="F890" s="48" t="str">
        <f aca="false">科目对照回款!$D5&amp;""</f>
        <v>医保</v>
      </c>
      <c r="G890" s="49" t="n">
        <f aca="false">-ROUND(IF(科目对照回款!$F$5="",0,SUMIFS(输入回款!$C:$C,输入回款!$A:$A,助手回款!$X61,输入回款!$B:$B,科目对照回款!$F$5)+SUMIFS(输入回款!$D:$D,输入回款!$A:$A,助手回款!$X61,输入回款!$B:$B,科目对照回款!$F$5))+IF(科目对照回款!$G$5="",0,SUMIFS(输入回款!$C:$C,输入回款!$A:$A,助手回款!$X61,输入回款!$B:$B,科目对照回款!$G$5)+SUMIFS(输入回款!$D:$D,输入回款!$A:$A,助手回款!$X61,输入回款!$B:$B,科目对照回款!$G$5))+IF(科目对照回款!$H$5="",0,SUMIFS(输入回款!$C:$C,输入回款!$A:$A,助手回款!$X61,输入回款!$B:$B,科目对照回款!$H$5)+SUMIFS(输入回款!$D:$D,输入回款!$A:$A,助手回款!$X61,输入回款!$B:$B,科目对照回款!$H$5)),2)</f>
        <v>-0</v>
      </c>
      <c r="H890" s="49" t="str">
        <f aca="false">IF(ROUND($G890,2)&gt;0,ROUND($G890,2),"")</f>
        <v/>
      </c>
      <c r="I890" s="49" t="str">
        <f aca="false">IF(ROUND($G890,2)&lt;0,-ROUND($G890,2),"")</f>
        <v/>
      </c>
      <c r="J890" s="20" t="n">
        <f aca="false">IF(ROUND($G890,2)=0,0,1)</f>
        <v>0</v>
      </c>
      <c r="K890" s="20" t="str">
        <f aca="false">IF($J890=0,"",SUM($J$887:$J890))</f>
        <v/>
      </c>
      <c r="L890" s="20" t="str">
        <f aca="false">IF($K890="","",$A890*100+$K890)</f>
        <v/>
      </c>
      <c r="M890" s="48" t="str">
        <f aca="false">参数!$B$4</f>
        <v>回款</v>
      </c>
    </row>
    <row r="891" customFormat="false" ht="13.5" hidden="false" customHeight="false" outlineLevel="0" collapsed="false">
      <c r="A891" s="47" t="n">
        <v>60</v>
      </c>
      <c r="B891" s="38" t="str">
        <f aca="false">助手回款!$B61</f>
        <v/>
      </c>
      <c r="C891" s="48" t="str">
        <f aca="false">助手回款!$C61</f>
        <v>备用15</v>
      </c>
      <c r="D891" s="48" t="str">
        <f aca="false">科目对照回款!$B6&amp;""</f>
        <v>美团</v>
      </c>
      <c r="E891" s="48" t="str">
        <f aca="false">科目对照回款!$C6&amp;""</f>
        <v>应收账款</v>
      </c>
      <c r="F891" s="48" t="str">
        <f aca="false">科目对照回款!$D6&amp;""</f>
        <v>美团</v>
      </c>
      <c r="G891" s="49" t="n">
        <f aca="false">-ROUND(IF(科目对照回款!$F$6="",0,SUMIFS(输入回款!$C:$C,输入回款!$A:$A,助手回款!$X61,输入回款!$B:$B,科目对照回款!$F$6)+SUMIFS(输入回款!$D:$D,输入回款!$A:$A,助手回款!$X61,输入回款!$B:$B,科目对照回款!$F$6))+IF(科目对照回款!$G$6="",0,SUMIFS(输入回款!$C:$C,输入回款!$A:$A,助手回款!$X61,输入回款!$B:$B,科目对照回款!$G$6)+SUMIFS(输入回款!$D:$D,输入回款!$A:$A,助手回款!$X61,输入回款!$B:$B,科目对照回款!$G$6))+IF(科目对照回款!$H$6="",0,SUMIFS(输入回款!$C:$C,输入回款!$A:$A,助手回款!$X61,输入回款!$B:$B,科目对照回款!$H$6)+SUMIFS(输入回款!$D:$D,输入回款!$A:$A,助手回款!$X61,输入回款!$B:$B,科目对照回款!$H$6)),2)</f>
        <v>-0</v>
      </c>
      <c r="H891" s="49" t="str">
        <f aca="false">IF(ROUND($G891,2)&gt;0,ROUND($G891,2),"")</f>
        <v/>
      </c>
      <c r="I891" s="49" t="str">
        <f aca="false">IF(ROUND($G891,2)&lt;0,-ROUND($G891,2),"")</f>
        <v/>
      </c>
      <c r="J891" s="20" t="n">
        <f aca="false">IF(ROUND($G891,2)=0,0,1)</f>
        <v>0</v>
      </c>
      <c r="K891" s="20" t="str">
        <f aca="false">IF($J891=0,"",SUM($J$887:$J891))</f>
        <v/>
      </c>
      <c r="L891" s="20" t="str">
        <f aca="false">IF($K891="","",$A891*100+$K891)</f>
        <v/>
      </c>
      <c r="M891" s="48" t="str">
        <f aca="false">参数!$B$4</f>
        <v>回款</v>
      </c>
    </row>
    <row r="892" customFormat="false" ht="13.5" hidden="false" customHeight="false" outlineLevel="0" collapsed="false">
      <c r="A892" s="47" t="n">
        <v>60</v>
      </c>
      <c r="B892" s="38" t="str">
        <f aca="false">助手回款!$B61</f>
        <v/>
      </c>
      <c r="C892" s="48" t="str">
        <f aca="false">助手回款!$C61</f>
        <v>备用15</v>
      </c>
      <c r="D892" s="48" t="str">
        <f aca="false">科目对照回款!$B7&amp;""</f>
        <v>饿了么</v>
      </c>
      <c r="E892" s="48" t="str">
        <f aca="false">科目对照回款!$C7&amp;""</f>
        <v>应收账款</v>
      </c>
      <c r="F892" s="48" t="str">
        <f aca="false">科目对照回款!$D7&amp;""</f>
        <v>饿了么</v>
      </c>
      <c r="G892" s="49" t="n">
        <f aca="false">-ROUND(IF(科目对照回款!$F$7="",0,SUMIFS(输入回款!$C:$C,输入回款!$A:$A,助手回款!$X61,输入回款!$B:$B,科目对照回款!$F$7)+SUMIFS(输入回款!$D:$D,输入回款!$A:$A,助手回款!$X61,输入回款!$B:$B,科目对照回款!$F$7))+IF(科目对照回款!$G$7="",0,SUMIFS(输入回款!$C:$C,输入回款!$A:$A,助手回款!$X61,输入回款!$B:$B,科目对照回款!$G$7)+SUMIFS(输入回款!$D:$D,输入回款!$A:$A,助手回款!$X61,输入回款!$B:$B,科目对照回款!$G$7))+IF(科目对照回款!$H$7="",0,SUMIFS(输入回款!$C:$C,输入回款!$A:$A,助手回款!$X61,输入回款!$B:$B,科目对照回款!$H$7)+SUMIFS(输入回款!$D:$D,输入回款!$A:$A,助手回款!$X61,输入回款!$B:$B,科目对照回款!$H$7)),2)</f>
        <v>-0</v>
      </c>
      <c r="H892" s="49" t="str">
        <f aca="false">IF(ROUND($G892,2)&gt;0,ROUND($G892,2),"")</f>
        <v/>
      </c>
      <c r="I892" s="49" t="str">
        <f aca="false">IF(ROUND($G892,2)&lt;0,-ROUND($G892,2),"")</f>
        <v/>
      </c>
      <c r="J892" s="20" t="n">
        <f aca="false">IF(ROUND($G892,2)=0,0,1)</f>
        <v>0</v>
      </c>
      <c r="K892" s="20" t="str">
        <f aca="false">IF($J892=0,"",SUM($J$887:$J892))</f>
        <v/>
      </c>
      <c r="L892" s="20" t="str">
        <f aca="false">IF($K892="","",$A892*100+$K892)</f>
        <v/>
      </c>
      <c r="M892" s="48" t="str">
        <f aca="false">参数!$B$4</f>
        <v>回款</v>
      </c>
    </row>
    <row r="893" customFormat="false" ht="13.5" hidden="false" customHeight="false" outlineLevel="0" collapsed="false">
      <c r="A893" s="47" t="n">
        <v>60</v>
      </c>
      <c r="B893" s="38" t="str">
        <f aca="false">助手回款!$B61</f>
        <v/>
      </c>
      <c r="C893" s="48" t="str">
        <f aca="false">助手回款!$C61</f>
        <v>备用15</v>
      </c>
      <c r="D893" s="48" t="str">
        <f aca="false">科目对照回款!$B8&amp;""</f>
        <v>24小时</v>
      </c>
      <c r="E893" s="48" t="str">
        <f aca="false">科目对照回款!$C8&amp;""</f>
        <v>应收账款</v>
      </c>
      <c r="F893" s="48" t="str">
        <f aca="false">科目对照回款!$D8&amp;""</f>
        <v>24小时</v>
      </c>
      <c r="G893" s="49" t="n">
        <f aca="false">-ROUND(IF(科目对照回款!$F$8="",0,SUMIFS(输入回款!$C:$C,输入回款!$A:$A,助手回款!$X61,输入回款!$B:$B,科目对照回款!$F$8)+SUMIFS(输入回款!$D:$D,输入回款!$A:$A,助手回款!$X61,输入回款!$B:$B,科目对照回款!$F$8))+IF(科目对照回款!$G$8="",0,SUMIFS(输入回款!$C:$C,输入回款!$A:$A,助手回款!$X61,输入回款!$B:$B,科目对照回款!$G$8)+SUMIFS(输入回款!$D:$D,输入回款!$A:$A,助手回款!$X61,输入回款!$B:$B,科目对照回款!$G$8))+IF(科目对照回款!$H$8="",0,SUMIFS(输入回款!$C:$C,输入回款!$A:$A,助手回款!$X61,输入回款!$B:$B,科目对照回款!$H$8)+SUMIFS(输入回款!$D:$D,输入回款!$A:$A,助手回款!$X61,输入回款!$B:$B,科目对照回款!$H$8)),2)</f>
        <v>-0</v>
      </c>
      <c r="H893" s="49" t="str">
        <f aca="false">IF(ROUND($G893,2)&gt;0,ROUND($G893,2),"")</f>
        <v/>
      </c>
      <c r="I893" s="49" t="str">
        <f aca="false">IF(ROUND($G893,2)&lt;0,-ROUND($G893,2),"")</f>
        <v/>
      </c>
      <c r="J893" s="20" t="n">
        <f aca="false">IF(ROUND($G893,2)=0,0,1)</f>
        <v>0</v>
      </c>
      <c r="K893" s="20" t="str">
        <f aca="false">IF($J893=0,"",SUM($J$887:$J893))</f>
        <v/>
      </c>
      <c r="L893" s="20" t="str">
        <f aca="false">IF($K893="","",$A893*100+$K893)</f>
        <v/>
      </c>
      <c r="M893" s="48" t="str">
        <f aca="false">参数!$B$4</f>
        <v>回款</v>
      </c>
    </row>
    <row r="894" customFormat="false" ht="13.5" hidden="false" customHeight="false" outlineLevel="0" collapsed="false">
      <c r="A894" s="47" t="n">
        <v>60</v>
      </c>
      <c r="B894" s="38" t="str">
        <f aca="false">助手回款!$B61</f>
        <v/>
      </c>
      <c r="C894" s="48" t="str">
        <f aca="false">助手回款!$C61</f>
        <v>备用15</v>
      </c>
      <c r="D894" s="48" t="str">
        <f aca="false">科目对照回款!$B9&amp;""</f>
        <v>健E卡</v>
      </c>
      <c r="E894" s="48" t="str">
        <f aca="false">科目对照回款!$C9&amp;""</f>
        <v>应收账款</v>
      </c>
      <c r="F894" s="48" t="str">
        <f aca="false">科目对照回款!$D9&amp;""</f>
        <v>健E卡</v>
      </c>
      <c r="G894" s="49" t="n">
        <f aca="false">-ROUND(IF(科目对照回款!$F$9="",0,SUMIFS(输入回款!$C:$C,输入回款!$A:$A,助手回款!$X61,输入回款!$B:$B,科目对照回款!$F$9)+SUMIFS(输入回款!$D:$D,输入回款!$A:$A,助手回款!$X61,输入回款!$B:$B,科目对照回款!$F$9))+IF(科目对照回款!$G$9="",0,SUMIFS(输入回款!$C:$C,输入回款!$A:$A,助手回款!$X61,输入回款!$B:$B,科目对照回款!$G$9)+SUMIFS(输入回款!$D:$D,输入回款!$A:$A,助手回款!$X61,输入回款!$B:$B,科目对照回款!$G$9))+IF(科目对照回款!$H$9="",0,SUMIFS(输入回款!$C:$C,输入回款!$A:$A,助手回款!$X61,输入回款!$B:$B,科目对照回款!$H$9)+SUMIFS(输入回款!$D:$D,输入回款!$A:$A,助手回款!$X61,输入回款!$B:$B,科目对照回款!$H$9)),2)</f>
        <v>-0</v>
      </c>
      <c r="H894" s="49" t="str">
        <f aca="false">IF(ROUND($G894,2)&gt;0,ROUND($G894,2),"")</f>
        <v/>
      </c>
      <c r="I894" s="49" t="str">
        <f aca="false">IF(ROUND($G894,2)&lt;0,-ROUND($G894,2),"")</f>
        <v/>
      </c>
      <c r="J894" s="20" t="n">
        <f aca="false">IF(ROUND($G894,2)=0,0,1)</f>
        <v>0</v>
      </c>
      <c r="K894" s="20" t="str">
        <f aca="false">IF($J894=0,"",SUM($J$887:$J894))</f>
        <v/>
      </c>
      <c r="L894" s="20" t="str">
        <f aca="false">IF($K894="","",$A894*100+$K894)</f>
        <v/>
      </c>
      <c r="M894" s="48" t="str">
        <f aca="false">参数!$B$4</f>
        <v>回款</v>
      </c>
    </row>
    <row r="895" customFormat="false" ht="13.5" hidden="false" customHeight="false" outlineLevel="0" collapsed="false">
      <c r="A895" s="47" t="n">
        <v>60</v>
      </c>
      <c r="B895" s="38" t="str">
        <f aca="false">助手回款!$B61</f>
        <v/>
      </c>
      <c r="C895" s="48" t="str">
        <f aca="false">助手回款!$C61</f>
        <v>备用15</v>
      </c>
      <c r="D895" s="48" t="str">
        <f aca="false">科目对照回款!$B10&amp;""</f>
        <v>医卡通</v>
      </c>
      <c r="E895" s="48" t="str">
        <f aca="false">科目对照回款!$C10&amp;""</f>
        <v>应收账款</v>
      </c>
      <c r="F895" s="48" t="str">
        <f aca="false">科目对照回款!$D10&amp;""</f>
        <v>医卡通</v>
      </c>
      <c r="G895" s="49" t="n">
        <f aca="false">-ROUND(IF(科目对照回款!$F$10="",0,SUMIFS(输入回款!$C:$C,输入回款!$A:$A,助手回款!$X61,输入回款!$B:$B,科目对照回款!$F$10)+SUMIFS(输入回款!$D:$D,输入回款!$A:$A,助手回款!$X61,输入回款!$B:$B,科目对照回款!$F$10))+IF(科目对照回款!$G$10="",0,SUMIFS(输入回款!$C:$C,输入回款!$A:$A,助手回款!$X61,输入回款!$B:$B,科目对照回款!$G$10)+SUMIFS(输入回款!$D:$D,输入回款!$A:$A,助手回款!$X61,输入回款!$B:$B,科目对照回款!$G$10))+IF(科目对照回款!$H$10="",0,SUMIFS(输入回款!$C:$C,输入回款!$A:$A,助手回款!$X61,输入回款!$B:$B,科目对照回款!$H$10)+SUMIFS(输入回款!$D:$D,输入回款!$A:$A,助手回款!$X61,输入回款!$B:$B,科目对照回款!$H$10)),2)</f>
        <v>-0</v>
      </c>
      <c r="H895" s="49" t="str">
        <f aca="false">IF(ROUND($G895,2)&gt;0,ROUND($G895,2),"")</f>
        <v/>
      </c>
      <c r="I895" s="49" t="str">
        <f aca="false">IF(ROUND($G895,2)&lt;0,-ROUND($G895,2),"")</f>
        <v/>
      </c>
      <c r="J895" s="20" t="n">
        <f aca="false">IF(ROUND($G895,2)=0,0,1)</f>
        <v>0</v>
      </c>
      <c r="K895" s="20" t="str">
        <f aca="false">IF($J895=0,"",SUM($J$887:$J895))</f>
        <v/>
      </c>
      <c r="L895" s="20" t="str">
        <f aca="false">IF($K895="","",$A895*100+$K895)</f>
        <v/>
      </c>
      <c r="M895" s="48" t="str">
        <f aca="false">参数!$B$4</f>
        <v>回款</v>
      </c>
    </row>
    <row r="896" customFormat="false" ht="13.5" hidden="false" customHeight="false" outlineLevel="0" collapsed="false">
      <c r="A896" s="47" t="n">
        <v>60</v>
      </c>
      <c r="B896" s="38" t="str">
        <f aca="false">助手回款!$B61</f>
        <v/>
      </c>
      <c r="C896" s="48" t="str">
        <f aca="false">助手回款!$C61</f>
        <v>备用15</v>
      </c>
      <c r="D896" s="48" t="str">
        <f aca="false">科目对照回款!$B11&amp;""</f>
        <v>企健网</v>
      </c>
      <c r="E896" s="48" t="str">
        <f aca="false">科目对照回款!$C11&amp;""</f>
        <v>应收账款</v>
      </c>
      <c r="F896" s="48" t="str">
        <f aca="false">科目对照回款!$D11&amp;""</f>
        <v>企健网</v>
      </c>
      <c r="G896" s="49" t="n">
        <f aca="false">-ROUND(IF(科目对照回款!$F$11="",0,SUMIFS(输入回款!$C:$C,输入回款!$A:$A,助手回款!$X61,输入回款!$B:$B,科目对照回款!$F$11)+SUMIFS(输入回款!$D:$D,输入回款!$A:$A,助手回款!$X61,输入回款!$B:$B,科目对照回款!$F$11))+IF(科目对照回款!$G$11="",0,SUMIFS(输入回款!$C:$C,输入回款!$A:$A,助手回款!$X61,输入回款!$B:$B,科目对照回款!$G$11)+SUMIFS(输入回款!$D:$D,输入回款!$A:$A,助手回款!$X61,输入回款!$B:$B,科目对照回款!$G$11))+IF(科目对照回款!$H$11="",0,SUMIFS(输入回款!$C:$C,输入回款!$A:$A,助手回款!$X61,输入回款!$B:$B,科目对照回款!$H$11)+SUMIFS(输入回款!$D:$D,输入回款!$A:$A,助手回款!$X61,输入回款!$B:$B,科目对照回款!$H$11)),2)</f>
        <v>-0</v>
      </c>
      <c r="H896" s="49" t="str">
        <f aca="false">IF(ROUND($G896,2)&gt;0,ROUND($G896,2),"")</f>
        <v/>
      </c>
      <c r="I896" s="49" t="str">
        <f aca="false">IF(ROUND($G896,2)&lt;0,-ROUND($G896,2),"")</f>
        <v/>
      </c>
      <c r="J896" s="20" t="n">
        <f aca="false">IF(ROUND($G896,2)=0,0,1)</f>
        <v>0</v>
      </c>
      <c r="K896" s="20" t="str">
        <f aca="false">IF($J896=0,"",SUM($J$887:$J896))</f>
        <v/>
      </c>
      <c r="L896" s="20" t="str">
        <f aca="false">IF($K896="","",$A896*100+$K896)</f>
        <v/>
      </c>
      <c r="M896" s="48" t="str">
        <f aca="false">参数!$B$4</f>
        <v>回款</v>
      </c>
    </row>
    <row r="897" customFormat="false" ht="13.5" hidden="false" customHeight="false" outlineLevel="0" collapsed="false">
      <c r="A897" s="47" t="n">
        <v>60</v>
      </c>
      <c r="B897" s="38" t="str">
        <f aca="false">助手回款!$B61</f>
        <v/>
      </c>
      <c r="C897" s="48" t="str">
        <f aca="false">助手回款!$C61</f>
        <v>备用15</v>
      </c>
      <c r="D897" s="48" t="str">
        <f aca="false">科目对照回款!$B12&amp;""</f>
        <v>亲情卡</v>
      </c>
      <c r="E897" s="48" t="str">
        <f aca="false">科目对照回款!$C12&amp;""</f>
        <v>应收账款</v>
      </c>
      <c r="F897" s="48" t="str">
        <f aca="false">科目对照回款!$D12&amp;""</f>
        <v>亲情卡</v>
      </c>
      <c r="G897" s="49" t="n">
        <f aca="false">-ROUND(IF(科目对照回款!$F$12="",0,SUMIFS(输入回款!$C:$C,输入回款!$A:$A,助手回款!$X61,输入回款!$B:$B,科目对照回款!$F$12)+SUMIFS(输入回款!$D:$D,输入回款!$A:$A,助手回款!$X61,输入回款!$B:$B,科目对照回款!$F$12))+IF(科目对照回款!$G$12="",0,SUMIFS(输入回款!$C:$C,输入回款!$A:$A,助手回款!$X61,输入回款!$B:$B,科目对照回款!$G$12)+SUMIFS(输入回款!$D:$D,输入回款!$A:$A,助手回款!$X61,输入回款!$B:$B,科目对照回款!$G$12))+IF(科目对照回款!$H$12="",0,SUMIFS(输入回款!$C:$C,输入回款!$A:$A,助手回款!$X61,输入回款!$B:$B,科目对照回款!$H$12)+SUMIFS(输入回款!$D:$D,输入回款!$A:$A,助手回款!$X61,输入回款!$B:$B,科目对照回款!$H$12)),2)</f>
        <v>-0</v>
      </c>
      <c r="H897" s="49" t="str">
        <f aca="false">IF(ROUND($G897,2)&gt;0,ROUND($G897,2),"")</f>
        <v/>
      </c>
      <c r="I897" s="49" t="str">
        <f aca="false">IF(ROUND($G897,2)&lt;0,-ROUND($G897,2),"")</f>
        <v/>
      </c>
      <c r="J897" s="20" t="n">
        <f aca="false">IF(ROUND($G897,2)=0,0,1)</f>
        <v>0</v>
      </c>
      <c r="K897" s="20" t="str">
        <f aca="false">IF($J897=0,"",SUM($J$887:$J897))</f>
        <v/>
      </c>
      <c r="L897" s="20" t="str">
        <f aca="false">IF($K897="","",$A897*100+$K897)</f>
        <v/>
      </c>
      <c r="M897" s="48" t="str">
        <f aca="false">参数!$B$4</f>
        <v>回款</v>
      </c>
    </row>
    <row r="898" customFormat="false" ht="13.5" hidden="false" customHeight="false" outlineLevel="0" collapsed="false">
      <c r="A898" s="47" t="n">
        <v>60</v>
      </c>
      <c r="B898" s="38" t="str">
        <f aca="false">助手回款!$B61</f>
        <v/>
      </c>
      <c r="C898" s="48" t="str">
        <f aca="false">助手回款!$C61</f>
        <v>备用15</v>
      </c>
      <c r="D898" s="48" t="str">
        <f aca="false">科目对照回款!$B13&amp;""</f>
        <v>银联</v>
      </c>
      <c r="E898" s="48" t="str">
        <f aca="false">科目对照回款!$C13&amp;""</f>
        <v>应收账款</v>
      </c>
      <c r="F898" s="48" t="str">
        <f aca="false">科目对照回款!$D13&amp;""</f>
        <v>银联</v>
      </c>
      <c r="G898" s="49" t="n">
        <f aca="false">-ROUND(IF(科目对照回款!$F$13="",0,SUMIFS(输入回款!$C:$C,输入回款!$A:$A,助手回款!$X61,输入回款!$B:$B,科目对照回款!$F$13)+SUMIFS(输入回款!$D:$D,输入回款!$A:$A,助手回款!$X61,输入回款!$B:$B,科目对照回款!$F$13))+IF(科目对照回款!$G$13="",0,SUMIFS(输入回款!$C:$C,输入回款!$A:$A,助手回款!$X61,输入回款!$B:$B,科目对照回款!$G$13)+SUMIFS(输入回款!$D:$D,输入回款!$A:$A,助手回款!$X61,输入回款!$B:$B,科目对照回款!$G$13))+IF(科目对照回款!$H$13="",0,SUMIFS(输入回款!$C:$C,输入回款!$A:$A,助手回款!$X61,输入回款!$B:$B,科目对照回款!$H$13)+SUMIFS(输入回款!$D:$D,输入回款!$A:$A,助手回款!$X61,输入回款!$B:$B,科目对照回款!$H$13)),2)</f>
        <v>-0</v>
      </c>
      <c r="H898" s="49" t="str">
        <f aca="false">IF(ROUND($G898,2)&gt;0,ROUND($G898,2),"")</f>
        <v/>
      </c>
      <c r="I898" s="49" t="str">
        <f aca="false">IF(ROUND($G898,2)&lt;0,-ROUND($G898,2),"")</f>
        <v/>
      </c>
      <c r="J898" s="20" t="n">
        <f aca="false">IF(ROUND($G898,2)=0,0,1)</f>
        <v>0</v>
      </c>
      <c r="K898" s="20" t="str">
        <f aca="false">IF($J898=0,"",SUM($J$887:$J898))</f>
        <v/>
      </c>
      <c r="L898" s="20" t="str">
        <f aca="false">IF($K898="","",$A898*100+$K898)</f>
        <v/>
      </c>
      <c r="M898" s="48" t="str">
        <f aca="false">参数!$B$4</f>
        <v>回款</v>
      </c>
    </row>
    <row r="899" customFormat="false" ht="13.5" hidden="false" customHeight="false" outlineLevel="0" collapsed="false">
      <c r="A899" s="47" t="n">
        <v>60</v>
      </c>
      <c r="B899" s="38" t="str">
        <f aca="false">助手回款!$B61</f>
        <v/>
      </c>
      <c r="C899" s="48" t="str">
        <f aca="false">助手回款!$C61</f>
        <v>备用15</v>
      </c>
      <c r="D899" s="48" t="str">
        <f aca="false">科目对照回款!$B14&amp;""</f>
        <v>代金券</v>
      </c>
      <c r="E899" s="48" t="str">
        <f aca="false">科目对照回款!$C14&amp;""</f>
        <v>应收账款</v>
      </c>
      <c r="F899" s="48" t="str">
        <f aca="false">科目对照回款!$D14&amp;""</f>
        <v>代金券</v>
      </c>
      <c r="G899" s="49" t="n">
        <f aca="false">-ROUND(IF(科目对照回款!$F$14="",0,SUMIFS(输入回款!$C:$C,输入回款!$A:$A,助手回款!$X61,输入回款!$B:$B,科目对照回款!$F$14)+SUMIFS(输入回款!$D:$D,输入回款!$A:$A,助手回款!$X61,输入回款!$B:$B,科目对照回款!$F$14))+IF(科目对照回款!$G$14="",0,SUMIFS(输入回款!$C:$C,输入回款!$A:$A,助手回款!$X61,输入回款!$B:$B,科目对照回款!$G$14)+SUMIFS(输入回款!$D:$D,输入回款!$A:$A,助手回款!$X61,输入回款!$B:$B,科目对照回款!$G$14))+IF(科目对照回款!$H$14="",0,SUMIFS(输入回款!$C:$C,输入回款!$A:$A,助手回款!$X61,输入回款!$B:$B,科目对照回款!$H$14)+SUMIFS(输入回款!$D:$D,输入回款!$A:$A,助手回款!$X61,输入回款!$B:$B,科目对照回款!$H$14)),2)</f>
        <v>-0</v>
      </c>
      <c r="H899" s="49" t="str">
        <f aca="false">IF(ROUND($G899,2)&gt;0,ROUND($G899,2),"")</f>
        <v/>
      </c>
      <c r="I899" s="49" t="str">
        <f aca="false">IF(ROUND($G899,2)&lt;0,-ROUND($G899,2),"")</f>
        <v/>
      </c>
      <c r="J899" s="20" t="n">
        <f aca="false">IF(ROUND($G899,2)=0,0,1)</f>
        <v>0</v>
      </c>
      <c r="K899" s="20" t="str">
        <f aca="false">IF($J899=0,"",SUM($J$887:$J899))</f>
        <v/>
      </c>
      <c r="L899" s="20" t="str">
        <f aca="false">IF($K899="","",$A899*100+$K899)</f>
        <v/>
      </c>
      <c r="M899" s="48" t="str">
        <f aca="false">参数!$B$4</f>
        <v>回款</v>
      </c>
    </row>
    <row r="900" customFormat="false" ht="13.5" hidden="false" customHeight="false" outlineLevel="0" collapsed="false">
      <c r="A900" s="47" t="n">
        <v>60</v>
      </c>
      <c r="B900" s="38" t="str">
        <f aca="false">助手回款!$B61</f>
        <v/>
      </c>
      <c r="C900" s="48" t="str">
        <f aca="false">助手回款!$C61</f>
        <v>备用15</v>
      </c>
      <c r="D900" s="48" t="str">
        <f aca="false">科目对照回款!$B15&amp;""</f>
        <v>药机微信</v>
      </c>
      <c r="E900" s="48" t="str">
        <f aca="false">科目对照回款!$C15&amp;""</f>
        <v>应收账款</v>
      </c>
      <c r="F900" s="48" t="str">
        <f aca="false">科目对照回款!$D15&amp;""</f>
        <v>药机微信</v>
      </c>
      <c r="G900" s="49" t="n">
        <f aca="false">-ROUND(IF(科目对照回款!$F$15="",0,SUMIFS(输入回款!$C:$C,输入回款!$A:$A,助手回款!$X61,输入回款!$B:$B,科目对照回款!$F$15)+SUMIFS(输入回款!$D:$D,输入回款!$A:$A,助手回款!$X61,输入回款!$B:$B,科目对照回款!$F$15))+IF(科目对照回款!$G$15="",0,SUMIFS(输入回款!$C:$C,输入回款!$A:$A,助手回款!$X61,输入回款!$B:$B,科目对照回款!$G$15)+SUMIFS(输入回款!$D:$D,输入回款!$A:$A,助手回款!$X61,输入回款!$B:$B,科目对照回款!$G$15))+IF(科目对照回款!$H$15="",0,SUMIFS(输入回款!$C:$C,输入回款!$A:$A,助手回款!$X61,输入回款!$B:$B,科目对照回款!$H$15)+SUMIFS(输入回款!$D:$D,输入回款!$A:$A,助手回款!$X61,输入回款!$B:$B,科目对照回款!$H$15)),2)</f>
        <v>-0</v>
      </c>
      <c r="H900" s="49" t="str">
        <f aca="false">IF(ROUND($G900,2)&gt;0,ROUND($G900,2),"")</f>
        <v/>
      </c>
      <c r="I900" s="49" t="str">
        <f aca="false">IF(ROUND($G900,2)&lt;0,-ROUND($G900,2),"")</f>
        <v/>
      </c>
      <c r="J900" s="20" t="n">
        <f aca="false">IF(ROUND($G900,2)=0,0,1)</f>
        <v>0</v>
      </c>
      <c r="K900" s="20" t="str">
        <f aca="false">IF($J900=0,"",SUM($J$887:$J900))</f>
        <v/>
      </c>
      <c r="L900" s="20" t="str">
        <f aca="false">IF($K900="","",$A900*100+$K900)</f>
        <v/>
      </c>
      <c r="M900" s="48" t="str">
        <f aca="false">参数!$B$4</f>
        <v>回款</v>
      </c>
    </row>
    <row r="901" customFormat="false" ht="13.5" hidden="false" customHeight="false" outlineLevel="0" collapsed="false">
      <c r="A901" s="47" t="n">
        <v>60</v>
      </c>
      <c r="B901" s="38" t="str">
        <f aca="false">助手回款!$B61</f>
        <v/>
      </c>
      <c r="C901" s="48" t="str">
        <f aca="false">助手回款!$C61</f>
        <v>备用15</v>
      </c>
      <c r="D901" s="48" t="str">
        <f aca="false">科目对照回款!$B16&amp;""</f>
        <v>储值卡</v>
      </c>
      <c r="E901" s="48" t="str">
        <f aca="false">科目对照回款!$C16&amp;""</f>
        <v>其他应收款</v>
      </c>
      <c r="F901" s="48" t="str">
        <f aca="false">科目对照回款!$D16&amp;""</f>
        <v>储值卡</v>
      </c>
      <c r="G901" s="49" t="n">
        <f aca="false">-ROUND(IF(科目对照回款!$F$16="",0,SUMIFS(输入回款!$C:$C,输入回款!$A:$A,助手回款!$X61,输入回款!$B:$B,科目对照回款!$F$16)+SUMIFS(输入回款!$D:$D,输入回款!$A:$A,助手回款!$X61,输入回款!$B:$B,科目对照回款!$F$16))+IF(科目对照回款!$G$16="",0,SUMIFS(输入回款!$C:$C,输入回款!$A:$A,助手回款!$X61,输入回款!$B:$B,科目对照回款!$G$16)+SUMIFS(输入回款!$D:$D,输入回款!$A:$A,助手回款!$X61,输入回款!$B:$B,科目对照回款!$G$16))+IF(科目对照回款!$H$16="",0,SUMIFS(输入回款!$C:$C,输入回款!$A:$A,助手回款!$X61,输入回款!$B:$B,科目对照回款!$H$16)+SUMIFS(输入回款!$D:$D,输入回款!$A:$A,助手回款!$X61,输入回款!$B:$B,科目对照回款!$H$16)),2)</f>
        <v>-0</v>
      </c>
      <c r="H901" s="49" t="str">
        <f aca="false">IF(ROUND($G901,2)&gt;0,ROUND($G901,2),"")</f>
        <v/>
      </c>
      <c r="I901" s="49" t="str">
        <f aca="false">IF(ROUND($G901,2)&lt;0,-ROUND($G901,2),"")</f>
        <v/>
      </c>
      <c r="J901" s="20" t="n">
        <f aca="false">IF(ROUND($G901,2)=0,0,1)</f>
        <v>0</v>
      </c>
      <c r="K901" s="20" t="str">
        <f aca="false">IF($J901=0,"",SUM($J$887:$J901))</f>
        <v/>
      </c>
      <c r="L901" s="20" t="str">
        <f aca="false">IF($K901="","",$A901*100+$K901)</f>
        <v/>
      </c>
      <c r="M901" s="48" t="str">
        <f aca="false">参数!$B$4</f>
        <v>回款</v>
      </c>
    </row>
    <row r="902" customFormat="false" ht="13.5" hidden="false" customHeight="false" outlineLevel="0" collapsed="false">
      <c r="A902" s="47" t="n">
        <v>61</v>
      </c>
      <c r="B902" s="38" t="str">
        <f aca="false">助手回款!$B62</f>
        <v/>
      </c>
      <c r="C902" s="48" t="str">
        <f aca="false">助手回款!$C62</f>
        <v>备用16</v>
      </c>
      <c r="D902" s="48" t="str">
        <f aca="false">科目对照回款!$B2&amp;""</f>
        <v>库存现金</v>
      </c>
      <c r="E902" s="48" t="str">
        <f aca="false">科目对照回款!$C2&amp;""</f>
        <v>库存现金</v>
      </c>
      <c r="F902" s="48" t="str">
        <f aca="false">科目对照回款!$D2&amp;""</f>
        <v/>
      </c>
      <c r="G902" s="49" t="n">
        <f aca="false">助手回款!$E62</f>
        <v>0</v>
      </c>
      <c r="H902" s="49" t="str">
        <f aca="false">IF(ROUND($G902,2)&gt;0,ROUND($G902,2),"")</f>
        <v/>
      </c>
      <c r="I902" s="49" t="str">
        <f aca="false">IF(ROUND($G902,2)&lt;0,-ROUND($G902,2),"")</f>
        <v/>
      </c>
      <c r="J902" s="20" t="n">
        <f aca="false">IF(ROUND($G902,2)=0,0,1)</f>
        <v>0</v>
      </c>
      <c r="K902" s="20" t="str">
        <f aca="false">IF($J902=0,"",SUM($J$902:$J902))</f>
        <v/>
      </c>
      <c r="L902" s="20" t="str">
        <f aca="false">IF($K902="","",$A902*100+$K902)</f>
        <v/>
      </c>
      <c r="M902" s="48" t="str">
        <f aca="false">参数!$B$4</f>
        <v>回款</v>
      </c>
    </row>
    <row r="903" customFormat="false" ht="13.5" hidden="false" customHeight="false" outlineLevel="0" collapsed="false">
      <c r="A903" s="47" t="n">
        <v>61</v>
      </c>
      <c r="B903" s="38" t="str">
        <f aca="false">助手回款!$B62</f>
        <v/>
      </c>
      <c r="C903" s="48" t="str">
        <f aca="false">助手回款!$C62</f>
        <v>备用16</v>
      </c>
      <c r="D903" s="48" t="str">
        <f aca="false">科目对照回款!$B3&amp;""</f>
        <v>手续费</v>
      </c>
      <c r="E903" s="48" t="str">
        <f aca="false">科目对照回款!$C3&amp;""</f>
        <v>财务费用</v>
      </c>
      <c r="F903" s="48" t="str">
        <f aca="false">科目对照回款!$D3&amp;""</f>
        <v>手续费</v>
      </c>
      <c r="G903" s="49" t="n">
        <f aca="false">助手回款!$F62</f>
        <v>0</v>
      </c>
      <c r="H903" s="49" t="str">
        <f aca="false">IF(ROUND($G903,2)&gt;0,ROUND($G903,2),"")</f>
        <v/>
      </c>
      <c r="I903" s="49" t="str">
        <f aca="false">IF(ROUND($G903,2)&lt;0,-ROUND($G903,2),"")</f>
        <v/>
      </c>
      <c r="J903" s="20" t="n">
        <f aca="false">IF(ROUND($G903,2)=0,0,1)</f>
        <v>0</v>
      </c>
      <c r="K903" s="20" t="str">
        <f aca="false">IF($J903=0,"",SUM($J$902:$J903))</f>
        <v/>
      </c>
      <c r="L903" s="20" t="str">
        <f aca="false">IF($K903="","",$A903*100+$K903)</f>
        <v/>
      </c>
      <c r="M903" s="48" t="str">
        <f aca="false">参数!$B$4</f>
        <v>回款</v>
      </c>
    </row>
    <row r="904" customFormat="false" ht="13.5" hidden="false" customHeight="false" outlineLevel="0" collapsed="false">
      <c r="A904" s="47" t="n">
        <v>61</v>
      </c>
      <c r="B904" s="38" t="str">
        <f aca="false">助手回款!$B62</f>
        <v/>
      </c>
      <c r="C904" s="48" t="str">
        <f aca="false">助手回款!$C62</f>
        <v>备用16</v>
      </c>
      <c r="D904" s="48" t="str">
        <f aca="false">科目对照回款!$B4&amp;""</f>
        <v>聚合支付</v>
      </c>
      <c r="E904" s="48" t="str">
        <f aca="false">科目对照回款!$C4&amp;""</f>
        <v>应收账款</v>
      </c>
      <c r="F904" s="48" t="str">
        <f aca="false">科目对照回款!$D4&amp;""</f>
        <v>聚合支付</v>
      </c>
      <c r="G904" s="49" t="n">
        <f aca="false">-ROUND(IF(科目对照回款!$F$4="",0,SUMIFS(输入回款!$C:$C,输入回款!$A:$A,助手回款!$X62,输入回款!$B:$B,科目对照回款!$F$4)+SUMIFS(输入回款!$D:$D,输入回款!$A:$A,助手回款!$X62,输入回款!$B:$B,科目对照回款!$F$4))+IF(科目对照回款!$G$4="",0,SUMIFS(输入回款!$C:$C,输入回款!$A:$A,助手回款!$X62,输入回款!$B:$B,科目对照回款!$G$4)+SUMIFS(输入回款!$D:$D,输入回款!$A:$A,助手回款!$X62,输入回款!$B:$B,科目对照回款!$G$4))+IF(科目对照回款!$H$4="",0,SUMIFS(输入回款!$C:$C,输入回款!$A:$A,助手回款!$X62,输入回款!$B:$B,科目对照回款!$H$4)+SUMIFS(输入回款!$D:$D,输入回款!$A:$A,助手回款!$X62,输入回款!$B:$B,科目对照回款!$H$4)),2)</f>
        <v>-0</v>
      </c>
      <c r="H904" s="49" t="str">
        <f aca="false">IF(ROUND($G904,2)&gt;0,ROUND($G904,2),"")</f>
        <v/>
      </c>
      <c r="I904" s="49" t="str">
        <f aca="false">IF(ROUND($G904,2)&lt;0,-ROUND($G904,2),"")</f>
        <v/>
      </c>
      <c r="J904" s="20" t="n">
        <f aca="false">IF(ROUND($G904,2)=0,0,1)</f>
        <v>0</v>
      </c>
      <c r="K904" s="20" t="str">
        <f aca="false">IF($J904=0,"",SUM($J$902:$J904))</f>
        <v/>
      </c>
      <c r="L904" s="20" t="str">
        <f aca="false">IF($K904="","",$A904*100+$K904)</f>
        <v/>
      </c>
      <c r="M904" s="48" t="str">
        <f aca="false">参数!$B$4</f>
        <v>回款</v>
      </c>
    </row>
    <row r="905" customFormat="false" ht="13.5" hidden="false" customHeight="false" outlineLevel="0" collapsed="false">
      <c r="A905" s="47" t="n">
        <v>61</v>
      </c>
      <c r="B905" s="38" t="str">
        <f aca="false">助手回款!$B62</f>
        <v/>
      </c>
      <c r="C905" s="48" t="str">
        <f aca="false">助手回款!$C62</f>
        <v>备用16</v>
      </c>
      <c r="D905" s="48" t="str">
        <f aca="false">科目对照回款!$B5&amp;""</f>
        <v>医保</v>
      </c>
      <c r="E905" s="48" t="str">
        <f aca="false">科目对照回款!$C5&amp;""</f>
        <v>应收账款</v>
      </c>
      <c r="F905" s="48" t="str">
        <f aca="false">科目对照回款!$D5&amp;""</f>
        <v>医保</v>
      </c>
      <c r="G905" s="49" t="n">
        <f aca="false">-ROUND(IF(科目对照回款!$F$5="",0,SUMIFS(输入回款!$C:$C,输入回款!$A:$A,助手回款!$X62,输入回款!$B:$B,科目对照回款!$F$5)+SUMIFS(输入回款!$D:$D,输入回款!$A:$A,助手回款!$X62,输入回款!$B:$B,科目对照回款!$F$5))+IF(科目对照回款!$G$5="",0,SUMIFS(输入回款!$C:$C,输入回款!$A:$A,助手回款!$X62,输入回款!$B:$B,科目对照回款!$G$5)+SUMIFS(输入回款!$D:$D,输入回款!$A:$A,助手回款!$X62,输入回款!$B:$B,科目对照回款!$G$5))+IF(科目对照回款!$H$5="",0,SUMIFS(输入回款!$C:$C,输入回款!$A:$A,助手回款!$X62,输入回款!$B:$B,科目对照回款!$H$5)+SUMIFS(输入回款!$D:$D,输入回款!$A:$A,助手回款!$X62,输入回款!$B:$B,科目对照回款!$H$5)),2)</f>
        <v>-0</v>
      </c>
      <c r="H905" s="49" t="str">
        <f aca="false">IF(ROUND($G905,2)&gt;0,ROUND($G905,2),"")</f>
        <v/>
      </c>
      <c r="I905" s="49" t="str">
        <f aca="false">IF(ROUND($G905,2)&lt;0,-ROUND($G905,2),"")</f>
        <v/>
      </c>
      <c r="J905" s="20" t="n">
        <f aca="false">IF(ROUND($G905,2)=0,0,1)</f>
        <v>0</v>
      </c>
      <c r="K905" s="20" t="str">
        <f aca="false">IF($J905=0,"",SUM($J$902:$J905))</f>
        <v/>
      </c>
      <c r="L905" s="20" t="str">
        <f aca="false">IF($K905="","",$A905*100+$K905)</f>
        <v/>
      </c>
      <c r="M905" s="48" t="str">
        <f aca="false">参数!$B$4</f>
        <v>回款</v>
      </c>
    </row>
    <row r="906" customFormat="false" ht="13.5" hidden="false" customHeight="false" outlineLevel="0" collapsed="false">
      <c r="A906" s="47" t="n">
        <v>61</v>
      </c>
      <c r="B906" s="38" t="str">
        <f aca="false">助手回款!$B62</f>
        <v/>
      </c>
      <c r="C906" s="48" t="str">
        <f aca="false">助手回款!$C62</f>
        <v>备用16</v>
      </c>
      <c r="D906" s="48" t="str">
        <f aca="false">科目对照回款!$B6&amp;""</f>
        <v>美团</v>
      </c>
      <c r="E906" s="48" t="str">
        <f aca="false">科目对照回款!$C6&amp;""</f>
        <v>应收账款</v>
      </c>
      <c r="F906" s="48" t="str">
        <f aca="false">科目对照回款!$D6&amp;""</f>
        <v>美团</v>
      </c>
      <c r="G906" s="49" t="n">
        <f aca="false">-ROUND(IF(科目对照回款!$F$6="",0,SUMIFS(输入回款!$C:$C,输入回款!$A:$A,助手回款!$X62,输入回款!$B:$B,科目对照回款!$F$6)+SUMIFS(输入回款!$D:$D,输入回款!$A:$A,助手回款!$X62,输入回款!$B:$B,科目对照回款!$F$6))+IF(科目对照回款!$G$6="",0,SUMIFS(输入回款!$C:$C,输入回款!$A:$A,助手回款!$X62,输入回款!$B:$B,科目对照回款!$G$6)+SUMIFS(输入回款!$D:$D,输入回款!$A:$A,助手回款!$X62,输入回款!$B:$B,科目对照回款!$G$6))+IF(科目对照回款!$H$6="",0,SUMIFS(输入回款!$C:$C,输入回款!$A:$A,助手回款!$X62,输入回款!$B:$B,科目对照回款!$H$6)+SUMIFS(输入回款!$D:$D,输入回款!$A:$A,助手回款!$X62,输入回款!$B:$B,科目对照回款!$H$6)),2)</f>
        <v>-0</v>
      </c>
      <c r="H906" s="49" t="str">
        <f aca="false">IF(ROUND($G906,2)&gt;0,ROUND($G906,2),"")</f>
        <v/>
      </c>
      <c r="I906" s="49" t="str">
        <f aca="false">IF(ROUND($G906,2)&lt;0,-ROUND($G906,2),"")</f>
        <v/>
      </c>
      <c r="J906" s="20" t="n">
        <f aca="false">IF(ROUND($G906,2)=0,0,1)</f>
        <v>0</v>
      </c>
      <c r="K906" s="20" t="str">
        <f aca="false">IF($J906=0,"",SUM($J$902:$J906))</f>
        <v/>
      </c>
      <c r="L906" s="20" t="str">
        <f aca="false">IF($K906="","",$A906*100+$K906)</f>
        <v/>
      </c>
      <c r="M906" s="48" t="str">
        <f aca="false">参数!$B$4</f>
        <v>回款</v>
      </c>
    </row>
    <row r="907" customFormat="false" ht="13.5" hidden="false" customHeight="false" outlineLevel="0" collapsed="false">
      <c r="A907" s="47" t="n">
        <v>61</v>
      </c>
      <c r="B907" s="38" t="str">
        <f aca="false">助手回款!$B62</f>
        <v/>
      </c>
      <c r="C907" s="48" t="str">
        <f aca="false">助手回款!$C62</f>
        <v>备用16</v>
      </c>
      <c r="D907" s="48" t="str">
        <f aca="false">科目对照回款!$B7&amp;""</f>
        <v>饿了么</v>
      </c>
      <c r="E907" s="48" t="str">
        <f aca="false">科目对照回款!$C7&amp;""</f>
        <v>应收账款</v>
      </c>
      <c r="F907" s="48" t="str">
        <f aca="false">科目对照回款!$D7&amp;""</f>
        <v>饿了么</v>
      </c>
      <c r="G907" s="49" t="n">
        <f aca="false">-ROUND(IF(科目对照回款!$F$7="",0,SUMIFS(输入回款!$C:$C,输入回款!$A:$A,助手回款!$X62,输入回款!$B:$B,科目对照回款!$F$7)+SUMIFS(输入回款!$D:$D,输入回款!$A:$A,助手回款!$X62,输入回款!$B:$B,科目对照回款!$F$7))+IF(科目对照回款!$G$7="",0,SUMIFS(输入回款!$C:$C,输入回款!$A:$A,助手回款!$X62,输入回款!$B:$B,科目对照回款!$G$7)+SUMIFS(输入回款!$D:$D,输入回款!$A:$A,助手回款!$X62,输入回款!$B:$B,科目对照回款!$G$7))+IF(科目对照回款!$H$7="",0,SUMIFS(输入回款!$C:$C,输入回款!$A:$A,助手回款!$X62,输入回款!$B:$B,科目对照回款!$H$7)+SUMIFS(输入回款!$D:$D,输入回款!$A:$A,助手回款!$X62,输入回款!$B:$B,科目对照回款!$H$7)),2)</f>
        <v>-0</v>
      </c>
      <c r="H907" s="49" t="str">
        <f aca="false">IF(ROUND($G907,2)&gt;0,ROUND($G907,2),"")</f>
        <v/>
      </c>
      <c r="I907" s="49" t="str">
        <f aca="false">IF(ROUND($G907,2)&lt;0,-ROUND($G907,2),"")</f>
        <v/>
      </c>
      <c r="J907" s="20" t="n">
        <f aca="false">IF(ROUND($G907,2)=0,0,1)</f>
        <v>0</v>
      </c>
      <c r="K907" s="20" t="str">
        <f aca="false">IF($J907=0,"",SUM($J$902:$J907))</f>
        <v/>
      </c>
      <c r="L907" s="20" t="str">
        <f aca="false">IF($K907="","",$A907*100+$K907)</f>
        <v/>
      </c>
      <c r="M907" s="48" t="str">
        <f aca="false">参数!$B$4</f>
        <v>回款</v>
      </c>
    </row>
    <row r="908" customFormat="false" ht="13.5" hidden="false" customHeight="false" outlineLevel="0" collapsed="false">
      <c r="A908" s="47" t="n">
        <v>61</v>
      </c>
      <c r="B908" s="38" t="str">
        <f aca="false">助手回款!$B62</f>
        <v/>
      </c>
      <c r="C908" s="48" t="str">
        <f aca="false">助手回款!$C62</f>
        <v>备用16</v>
      </c>
      <c r="D908" s="48" t="str">
        <f aca="false">科目对照回款!$B8&amp;""</f>
        <v>24小时</v>
      </c>
      <c r="E908" s="48" t="str">
        <f aca="false">科目对照回款!$C8&amp;""</f>
        <v>应收账款</v>
      </c>
      <c r="F908" s="48" t="str">
        <f aca="false">科目对照回款!$D8&amp;""</f>
        <v>24小时</v>
      </c>
      <c r="G908" s="49" t="n">
        <f aca="false">-ROUND(IF(科目对照回款!$F$8="",0,SUMIFS(输入回款!$C:$C,输入回款!$A:$A,助手回款!$X62,输入回款!$B:$B,科目对照回款!$F$8)+SUMIFS(输入回款!$D:$D,输入回款!$A:$A,助手回款!$X62,输入回款!$B:$B,科目对照回款!$F$8))+IF(科目对照回款!$G$8="",0,SUMIFS(输入回款!$C:$C,输入回款!$A:$A,助手回款!$X62,输入回款!$B:$B,科目对照回款!$G$8)+SUMIFS(输入回款!$D:$D,输入回款!$A:$A,助手回款!$X62,输入回款!$B:$B,科目对照回款!$G$8))+IF(科目对照回款!$H$8="",0,SUMIFS(输入回款!$C:$C,输入回款!$A:$A,助手回款!$X62,输入回款!$B:$B,科目对照回款!$H$8)+SUMIFS(输入回款!$D:$D,输入回款!$A:$A,助手回款!$X62,输入回款!$B:$B,科目对照回款!$H$8)),2)</f>
        <v>-0</v>
      </c>
      <c r="H908" s="49" t="str">
        <f aca="false">IF(ROUND($G908,2)&gt;0,ROUND($G908,2),"")</f>
        <v/>
      </c>
      <c r="I908" s="49" t="str">
        <f aca="false">IF(ROUND($G908,2)&lt;0,-ROUND($G908,2),"")</f>
        <v/>
      </c>
      <c r="J908" s="20" t="n">
        <f aca="false">IF(ROUND($G908,2)=0,0,1)</f>
        <v>0</v>
      </c>
      <c r="K908" s="20" t="str">
        <f aca="false">IF($J908=0,"",SUM($J$902:$J908))</f>
        <v/>
      </c>
      <c r="L908" s="20" t="str">
        <f aca="false">IF($K908="","",$A908*100+$K908)</f>
        <v/>
      </c>
      <c r="M908" s="48" t="str">
        <f aca="false">参数!$B$4</f>
        <v>回款</v>
      </c>
    </row>
    <row r="909" customFormat="false" ht="13.5" hidden="false" customHeight="false" outlineLevel="0" collapsed="false">
      <c r="A909" s="47" t="n">
        <v>61</v>
      </c>
      <c r="B909" s="38" t="str">
        <f aca="false">助手回款!$B62</f>
        <v/>
      </c>
      <c r="C909" s="48" t="str">
        <f aca="false">助手回款!$C62</f>
        <v>备用16</v>
      </c>
      <c r="D909" s="48" t="str">
        <f aca="false">科目对照回款!$B9&amp;""</f>
        <v>健E卡</v>
      </c>
      <c r="E909" s="48" t="str">
        <f aca="false">科目对照回款!$C9&amp;""</f>
        <v>应收账款</v>
      </c>
      <c r="F909" s="48" t="str">
        <f aca="false">科目对照回款!$D9&amp;""</f>
        <v>健E卡</v>
      </c>
      <c r="G909" s="49" t="n">
        <f aca="false">-ROUND(IF(科目对照回款!$F$9="",0,SUMIFS(输入回款!$C:$C,输入回款!$A:$A,助手回款!$X62,输入回款!$B:$B,科目对照回款!$F$9)+SUMIFS(输入回款!$D:$D,输入回款!$A:$A,助手回款!$X62,输入回款!$B:$B,科目对照回款!$F$9))+IF(科目对照回款!$G$9="",0,SUMIFS(输入回款!$C:$C,输入回款!$A:$A,助手回款!$X62,输入回款!$B:$B,科目对照回款!$G$9)+SUMIFS(输入回款!$D:$D,输入回款!$A:$A,助手回款!$X62,输入回款!$B:$B,科目对照回款!$G$9))+IF(科目对照回款!$H$9="",0,SUMIFS(输入回款!$C:$C,输入回款!$A:$A,助手回款!$X62,输入回款!$B:$B,科目对照回款!$H$9)+SUMIFS(输入回款!$D:$D,输入回款!$A:$A,助手回款!$X62,输入回款!$B:$B,科目对照回款!$H$9)),2)</f>
        <v>-0</v>
      </c>
      <c r="H909" s="49" t="str">
        <f aca="false">IF(ROUND($G909,2)&gt;0,ROUND($G909,2),"")</f>
        <v/>
      </c>
      <c r="I909" s="49" t="str">
        <f aca="false">IF(ROUND($G909,2)&lt;0,-ROUND($G909,2),"")</f>
        <v/>
      </c>
      <c r="J909" s="20" t="n">
        <f aca="false">IF(ROUND($G909,2)=0,0,1)</f>
        <v>0</v>
      </c>
      <c r="K909" s="20" t="str">
        <f aca="false">IF($J909=0,"",SUM($J$902:$J909))</f>
        <v/>
      </c>
      <c r="L909" s="20" t="str">
        <f aca="false">IF($K909="","",$A909*100+$K909)</f>
        <v/>
      </c>
      <c r="M909" s="48" t="str">
        <f aca="false">参数!$B$4</f>
        <v>回款</v>
      </c>
    </row>
    <row r="910" customFormat="false" ht="13.5" hidden="false" customHeight="false" outlineLevel="0" collapsed="false">
      <c r="A910" s="47" t="n">
        <v>61</v>
      </c>
      <c r="B910" s="38" t="str">
        <f aca="false">助手回款!$B62</f>
        <v/>
      </c>
      <c r="C910" s="48" t="str">
        <f aca="false">助手回款!$C62</f>
        <v>备用16</v>
      </c>
      <c r="D910" s="48" t="str">
        <f aca="false">科目对照回款!$B10&amp;""</f>
        <v>医卡通</v>
      </c>
      <c r="E910" s="48" t="str">
        <f aca="false">科目对照回款!$C10&amp;""</f>
        <v>应收账款</v>
      </c>
      <c r="F910" s="48" t="str">
        <f aca="false">科目对照回款!$D10&amp;""</f>
        <v>医卡通</v>
      </c>
      <c r="G910" s="49" t="n">
        <f aca="false">-ROUND(IF(科目对照回款!$F$10="",0,SUMIFS(输入回款!$C:$C,输入回款!$A:$A,助手回款!$X62,输入回款!$B:$B,科目对照回款!$F$10)+SUMIFS(输入回款!$D:$D,输入回款!$A:$A,助手回款!$X62,输入回款!$B:$B,科目对照回款!$F$10))+IF(科目对照回款!$G$10="",0,SUMIFS(输入回款!$C:$C,输入回款!$A:$A,助手回款!$X62,输入回款!$B:$B,科目对照回款!$G$10)+SUMIFS(输入回款!$D:$D,输入回款!$A:$A,助手回款!$X62,输入回款!$B:$B,科目对照回款!$G$10))+IF(科目对照回款!$H$10="",0,SUMIFS(输入回款!$C:$C,输入回款!$A:$A,助手回款!$X62,输入回款!$B:$B,科目对照回款!$H$10)+SUMIFS(输入回款!$D:$D,输入回款!$A:$A,助手回款!$X62,输入回款!$B:$B,科目对照回款!$H$10)),2)</f>
        <v>-0</v>
      </c>
      <c r="H910" s="49" t="str">
        <f aca="false">IF(ROUND($G910,2)&gt;0,ROUND($G910,2),"")</f>
        <v/>
      </c>
      <c r="I910" s="49" t="str">
        <f aca="false">IF(ROUND($G910,2)&lt;0,-ROUND($G910,2),"")</f>
        <v/>
      </c>
      <c r="J910" s="20" t="n">
        <f aca="false">IF(ROUND($G910,2)=0,0,1)</f>
        <v>0</v>
      </c>
      <c r="K910" s="20" t="str">
        <f aca="false">IF($J910=0,"",SUM($J$902:$J910))</f>
        <v/>
      </c>
      <c r="L910" s="20" t="str">
        <f aca="false">IF($K910="","",$A910*100+$K910)</f>
        <v/>
      </c>
      <c r="M910" s="48" t="str">
        <f aca="false">参数!$B$4</f>
        <v>回款</v>
      </c>
    </row>
    <row r="911" customFormat="false" ht="13.5" hidden="false" customHeight="false" outlineLevel="0" collapsed="false">
      <c r="A911" s="47" t="n">
        <v>61</v>
      </c>
      <c r="B911" s="38" t="str">
        <f aca="false">助手回款!$B62</f>
        <v/>
      </c>
      <c r="C911" s="48" t="str">
        <f aca="false">助手回款!$C62</f>
        <v>备用16</v>
      </c>
      <c r="D911" s="48" t="str">
        <f aca="false">科目对照回款!$B11&amp;""</f>
        <v>企健网</v>
      </c>
      <c r="E911" s="48" t="str">
        <f aca="false">科目对照回款!$C11&amp;""</f>
        <v>应收账款</v>
      </c>
      <c r="F911" s="48" t="str">
        <f aca="false">科目对照回款!$D11&amp;""</f>
        <v>企健网</v>
      </c>
      <c r="G911" s="49" t="n">
        <f aca="false">-ROUND(IF(科目对照回款!$F$11="",0,SUMIFS(输入回款!$C:$C,输入回款!$A:$A,助手回款!$X62,输入回款!$B:$B,科目对照回款!$F$11)+SUMIFS(输入回款!$D:$D,输入回款!$A:$A,助手回款!$X62,输入回款!$B:$B,科目对照回款!$F$11))+IF(科目对照回款!$G$11="",0,SUMIFS(输入回款!$C:$C,输入回款!$A:$A,助手回款!$X62,输入回款!$B:$B,科目对照回款!$G$11)+SUMIFS(输入回款!$D:$D,输入回款!$A:$A,助手回款!$X62,输入回款!$B:$B,科目对照回款!$G$11))+IF(科目对照回款!$H$11="",0,SUMIFS(输入回款!$C:$C,输入回款!$A:$A,助手回款!$X62,输入回款!$B:$B,科目对照回款!$H$11)+SUMIFS(输入回款!$D:$D,输入回款!$A:$A,助手回款!$X62,输入回款!$B:$B,科目对照回款!$H$11)),2)</f>
        <v>-0</v>
      </c>
      <c r="H911" s="49" t="str">
        <f aca="false">IF(ROUND($G911,2)&gt;0,ROUND($G911,2),"")</f>
        <v/>
      </c>
      <c r="I911" s="49" t="str">
        <f aca="false">IF(ROUND($G911,2)&lt;0,-ROUND($G911,2),"")</f>
        <v/>
      </c>
      <c r="J911" s="20" t="n">
        <f aca="false">IF(ROUND($G911,2)=0,0,1)</f>
        <v>0</v>
      </c>
      <c r="K911" s="20" t="str">
        <f aca="false">IF($J911=0,"",SUM($J$902:$J911))</f>
        <v/>
      </c>
      <c r="L911" s="20" t="str">
        <f aca="false">IF($K911="","",$A911*100+$K911)</f>
        <v/>
      </c>
      <c r="M911" s="48" t="str">
        <f aca="false">参数!$B$4</f>
        <v>回款</v>
      </c>
    </row>
    <row r="912" customFormat="false" ht="13.5" hidden="false" customHeight="false" outlineLevel="0" collapsed="false">
      <c r="A912" s="47" t="n">
        <v>61</v>
      </c>
      <c r="B912" s="38" t="str">
        <f aca="false">助手回款!$B62</f>
        <v/>
      </c>
      <c r="C912" s="48" t="str">
        <f aca="false">助手回款!$C62</f>
        <v>备用16</v>
      </c>
      <c r="D912" s="48" t="str">
        <f aca="false">科目对照回款!$B12&amp;""</f>
        <v>亲情卡</v>
      </c>
      <c r="E912" s="48" t="str">
        <f aca="false">科目对照回款!$C12&amp;""</f>
        <v>应收账款</v>
      </c>
      <c r="F912" s="48" t="str">
        <f aca="false">科目对照回款!$D12&amp;""</f>
        <v>亲情卡</v>
      </c>
      <c r="G912" s="49" t="n">
        <f aca="false">-ROUND(IF(科目对照回款!$F$12="",0,SUMIFS(输入回款!$C:$C,输入回款!$A:$A,助手回款!$X62,输入回款!$B:$B,科目对照回款!$F$12)+SUMIFS(输入回款!$D:$D,输入回款!$A:$A,助手回款!$X62,输入回款!$B:$B,科目对照回款!$F$12))+IF(科目对照回款!$G$12="",0,SUMIFS(输入回款!$C:$C,输入回款!$A:$A,助手回款!$X62,输入回款!$B:$B,科目对照回款!$G$12)+SUMIFS(输入回款!$D:$D,输入回款!$A:$A,助手回款!$X62,输入回款!$B:$B,科目对照回款!$G$12))+IF(科目对照回款!$H$12="",0,SUMIFS(输入回款!$C:$C,输入回款!$A:$A,助手回款!$X62,输入回款!$B:$B,科目对照回款!$H$12)+SUMIFS(输入回款!$D:$D,输入回款!$A:$A,助手回款!$X62,输入回款!$B:$B,科目对照回款!$H$12)),2)</f>
        <v>-0</v>
      </c>
      <c r="H912" s="49" t="str">
        <f aca="false">IF(ROUND($G912,2)&gt;0,ROUND($G912,2),"")</f>
        <v/>
      </c>
      <c r="I912" s="49" t="str">
        <f aca="false">IF(ROUND($G912,2)&lt;0,-ROUND($G912,2),"")</f>
        <v/>
      </c>
      <c r="J912" s="20" t="n">
        <f aca="false">IF(ROUND($G912,2)=0,0,1)</f>
        <v>0</v>
      </c>
      <c r="K912" s="20" t="str">
        <f aca="false">IF($J912=0,"",SUM($J$902:$J912))</f>
        <v/>
      </c>
      <c r="L912" s="20" t="str">
        <f aca="false">IF($K912="","",$A912*100+$K912)</f>
        <v/>
      </c>
      <c r="M912" s="48" t="str">
        <f aca="false">参数!$B$4</f>
        <v>回款</v>
      </c>
    </row>
    <row r="913" customFormat="false" ht="13.5" hidden="false" customHeight="false" outlineLevel="0" collapsed="false">
      <c r="A913" s="47" t="n">
        <v>61</v>
      </c>
      <c r="B913" s="38" t="str">
        <f aca="false">助手回款!$B62</f>
        <v/>
      </c>
      <c r="C913" s="48" t="str">
        <f aca="false">助手回款!$C62</f>
        <v>备用16</v>
      </c>
      <c r="D913" s="48" t="str">
        <f aca="false">科目对照回款!$B13&amp;""</f>
        <v>银联</v>
      </c>
      <c r="E913" s="48" t="str">
        <f aca="false">科目对照回款!$C13&amp;""</f>
        <v>应收账款</v>
      </c>
      <c r="F913" s="48" t="str">
        <f aca="false">科目对照回款!$D13&amp;""</f>
        <v>银联</v>
      </c>
      <c r="G913" s="49" t="n">
        <f aca="false">-ROUND(IF(科目对照回款!$F$13="",0,SUMIFS(输入回款!$C:$C,输入回款!$A:$A,助手回款!$X62,输入回款!$B:$B,科目对照回款!$F$13)+SUMIFS(输入回款!$D:$D,输入回款!$A:$A,助手回款!$X62,输入回款!$B:$B,科目对照回款!$F$13))+IF(科目对照回款!$G$13="",0,SUMIFS(输入回款!$C:$C,输入回款!$A:$A,助手回款!$X62,输入回款!$B:$B,科目对照回款!$G$13)+SUMIFS(输入回款!$D:$D,输入回款!$A:$A,助手回款!$X62,输入回款!$B:$B,科目对照回款!$G$13))+IF(科目对照回款!$H$13="",0,SUMIFS(输入回款!$C:$C,输入回款!$A:$A,助手回款!$X62,输入回款!$B:$B,科目对照回款!$H$13)+SUMIFS(输入回款!$D:$D,输入回款!$A:$A,助手回款!$X62,输入回款!$B:$B,科目对照回款!$H$13)),2)</f>
        <v>-0</v>
      </c>
      <c r="H913" s="49" t="str">
        <f aca="false">IF(ROUND($G913,2)&gt;0,ROUND($G913,2),"")</f>
        <v/>
      </c>
      <c r="I913" s="49" t="str">
        <f aca="false">IF(ROUND($G913,2)&lt;0,-ROUND($G913,2),"")</f>
        <v/>
      </c>
      <c r="J913" s="20" t="n">
        <f aca="false">IF(ROUND($G913,2)=0,0,1)</f>
        <v>0</v>
      </c>
      <c r="K913" s="20" t="str">
        <f aca="false">IF($J913=0,"",SUM($J$902:$J913))</f>
        <v/>
      </c>
      <c r="L913" s="20" t="str">
        <f aca="false">IF($K913="","",$A913*100+$K913)</f>
        <v/>
      </c>
      <c r="M913" s="48" t="str">
        <f aca="false">参数!$B$4</f>
        <v>回款</v>
      </c>
    </row>
    <row r="914" customFormat="false" ht="13.5" hidden="false" customHeight="false" outlineLevel="0" collapsed="false">
      <c r="A914" s="47" t="n">
        <v>61</v>
      </c>
      <c r="B914" s="38" t="str">
        <f aca="false">助手回款!$B62</f>
        <v/>
      </c>
      <c r="C914" s="48" t="str">
        <f aca="false">助手回款!$C62</f>
        <v>备用16</v>
      </c>
      <c r="D914" s="48" t="str">
        <f aca="false">科目对照回款!$B14&amp;""</f>
        <v>代金券</v>
      </c>
      <c r="E914" s="48" t="str">
        <f aca="false">科目对照回款!$C14&amp;""</f>
        <v>应收账款</v>
      </c>
      <c r="F914" s="48" t="str">
        <f aca="false">科目对照回款!$D14&amp;""</f>
        <v>代金券</v>
      </c>
      <c r="G914" s="49" t="n">
        <f aca="false">-ROUND(IF(科目对照回款!$F$14="",0,SUMIFS(输入回款!$C:$C,输入回款!$A:$A,助手回款!$X62,输入回款!$B:$B,科目对照回款!$F$14)+SUMIFS(输入回款!$D:$D,输入回款!$A:$A,助手回款!$X62,输入回款!$B:$B,科目对照回款!$F$14))+IF(科目对照回款!$G$14="",0,SUMIFS(输入回款!$C:$C,输入回款!$A:$A,助手回款!$X62,输入回款!$B:$B,科目对照回款!$G$14)+SUMIFS(输入回款!$D:$D,输入回款!$A:$A,助手回款!$X62,输入回款!$B:$B,科目对照回款!$G$14))+IF(科目对照回款!$H$14="",0,SUMIFS(输入回款!$C:$C,输入回款!$A:$A,助手回款!$X62,输入回款!$B:$B,科目对照回款!$H$14)+SUMIFS(输入回款!$D:$D,输入回款!$A:$A,助手回款!$X62,输入回款!$B:$B,科目对照回款!$H$14)),2)</f>
        <v>-0</v>
      </c>
      <c r="H914" s="49" t="str">
        <f aca="false">IF(ROUND($G914,2)&gt;0,ROUND($G914,2),"")</f>
        <v/>
      </c>
      <c r="I914" s="49" t="str">
        <f aca="false">IF(ROUND($G914,2)&lt;0,-ROUND($G914,2),"")</f>
        <v/>
      </c>
      <c r="J914" s="20" t="n">
        <f aca="false">IF(ROUND($G914,2)=0,0,1)</f>
        <v>0</v>
      </c>
      <c r="K914" s="20" t="str">
        <f aca="false">IF($J914=0,"",SUM($J$902:$J914))</f>
        <v/>
      </c>
      <c r="L914" s="20" t="str">
        <f aca="false">IF($K914="","",$A914*100+$K914)</f>
        <v/>
      </c>
      <c r="M914" s="48" t="str">
        <f aca="false">参数!$B$4</f>
        <v>回款</v>
      </c>
    </row>
    <row r="915" customFormat="false" ht="13.5" hidden="false" customHeight="false" outlineLevel="0" collapsed="false">
      <c r="A915" s="47" t="n">
        <v>61</v>
      </c>
      <c r="B915" s="38" t="str">
        <f aca="false">助手回款!$B62</f>
        <v/>
      </c>
      <c r="C915" s="48" t="str">
        <f aca="false">助手回款!$C62</f>
        <v>备用16</v>
      </c>
      <c r="D915" s="48" t="str">
        <f aca="false">科目对照回款!$B15&amp;""</f>
        <v>药机微信</v>
      </c>
      <c r="E915" s="48" t="str">
        <f aca="false">科目对照回款!$C15&amp;""</f>
        <v>应收账款</v>
      </c>
      <c r="F915" s="48" t="str">
        <f aca="false">科目对照回款!$D15&amp;""</f>
        <v>药机微信</v>
      </c>
      <c r="G915" s="49" t="n">
        <f aca="false">-ROUND(IF(科目对照回款!$F$15="",0,SUMIFS(输入回款!$C:$C,输入回款!$A:$A,助手回款!$X62,输入回款!$B:$B,科目对照回款!$F$15)+SUMIFS(输入回款!$D:$D,输入回款!$A:$A,助手回款!$X62,输入回款!$B:$B,科目对照回款!$F$15))+IF(科目对照回款!$G$15="",0,SUMIFS(输入回款!$C:$C,输入回款!$A:$A,助手回款!$X62,输入回款!$B:$B,科目对照回款!$G$15)+SUMIFS(输入回款!$D:$D,输入回款!$A:$A,助手回款!$X62,输入回款!$B:$B,科目对照回款!$G$15))+IF(科目对照回款!$H$15="",0,SUMIFS(输入回款!$C:$C,输入回款!$A:$A,助手回款!$X62,输入回款!$B:$B,科目对照回款!$H$15)+SUMIFS(输入回款!$D:$D,输入回款!$A:$A,助手回款!$X62,输入回款!$B:$B,科目对照回款!$H$15)),2)</f>
        <v>-0</v>
      </c>
      <c r="H915" s="49" t="str">
        <f aca="false">IF(ROUND($G915,2)&gt;0,ROUND($G915,2),"")</f>
        <v/>
      </c>
      <c r="I915" s="49" t="str">
        <f aca="false">IF(ROUND($G915,2)&lt;0,-ROUND($G915,2),"")</f>
        <v/>
      </c>
      <c r="J915" s="20" t="n">
        <f aca="false">IF(ROUND($G915,2)=0,0,1)</f>
        <v>0</v>
      </c>
      <c r="K915" s="20" t="str">
        <f aca="false">IF($J915=0,"",SUM($J$902:$J915))</f>
        <v/>
      </c>
      <c r="L915" s="20" t="str">
        <f aca="false">IF($K915="","",$A915*100+$K915)</f>
        <v/>
      </c>
      <c r="M915" s="48" t="str">
        <f aca="false">参数!$B$4</f>
        <v>回款</v>
      </c>
    </row>
    <row r="916" customFormat="false" ht="13.5" hidden="false" customHeight="false" outlineLevel="0" collapsed="false">
      <c r="A916" s="47" t="n">
        <v>61</v>
      </c>
      <c r="B916" s="38" t="str">
        <f aca="false">助手回款!$B62</f>
        <v/>
      </c>
      <c r="C916" s="48" t="str">
        <f aca="false">助手回款!$C62</f>
        <v>备用16</v>
      </c>
      <c r="D916" s="48" t="str">
        <f aca="false">科目对照回款!$B16&amp;""</f>
        <v>储值卡</v>
      </c>
      <c r="E916" s="48" t="str">
        <f aca="false">科目对照回款!$C16&amp;""</f>
        <v>其他应收款</v>
      </c>
      <c r="F916" s="48" t="str">
        <f aca="false">科目对照回款!$D16&amp;""</f>
        <v>储值卡</v>
      </c>
      <c r="G916" s="49" t="n">
        <f aca="false">-ROUND(IF(科目对照回款!$F$16="",0,SUMIFS(输入回款!$C:$C,输入回款!$A:$A,助手回款!$X62,输入回款!$B:$B,科目对照回款!$F$16)+SUMIFS(输入回款!$D:$D,输入回款!$A:$A,助手回款!$X62,输入回款!$B:$B,科目对照回款!$F$16))+IF(科目对照回款!$G$16="",0,SUMIFS(输入回款!$C:$C,输入回款!$A:$A,助手回款!$X62,输入回款!$B:$B,科目对照回款!$G$16)+SUMIFS(输入回款!$D:$D,输入回款!$A:$A,助手回款!$X62,输入回款!$B:$B,科目对照回款!$G$16))+IF(科目对照回款!$H$16="",0,SUMIFS(输入回款!$C:$C,输入回款!$A:$A,助手回款!$X62,输入回款!$B:$B,科目对照回款!$H$16)+SUMIFS(输入回款!$D:$D,输入回款!$A:$A,助手回款!$X62,输入回款!$B:$B,科目对照回款!$H$16)),2)</f>
        <v>-0</v>
      </c>
      <c r="H916" s="49" t="str">
        <f aca="false">IF(ROUND($G916,2)&gt;0,ROUND($G916,2),"")</f>
        <v/>
      </c>
      <c r="I916" s="49" t="str">
        <f aca="false">IF(ROUND($G916,2)&lt;0,-ROUND($G916,2),"")</f>
        <v/>
      </c>
      <c r="J916" s="20" t="n">
        <f aca="false">IF(ROUND($G916,2)=0,0,1)</f>
        <v>0</v>
      </c>
      <c r="K916" s="20" t="str">
        <f aca="false">IF($J916=0,"",SUM($J$902:$J916))</f>
        <v/>
      </c>
      <c r="L916" s="20" t="str">
        <f aca="false">IF($K916="","",$A916*100+$K916)</f>
        <v/>
      </c>
      <c r="M916" s="48" t="str">
        <f aca="false">参数!$B$4</f>
        <v>回款</v>
      </c>
    </row>
    <row r="917" customFormat="false" ht="13.5" hidden="false" customHeight="false" outlineLevel="0" collapsed="false">
      <c r="A917" s="47" t="n">
        <v>62</v>
      </c>
      <c r="B917" s="38" t="str">
        <f aca="false">助手回款!$B63</f>
        <v/>
      </c>
      <c r="C917" s="48" t="str">
        <f aca="false">助手回款!$C63</f>
        <v>备用17</v>
      </c>
      <c r="D917" s="48" t="str">
        <f aca="false">科目对照回款!$B2&amp;""</f>
        <v>库存现金</v>
      </c>
      <c r="E917" s="48" t="str">
        <f aca="false">科目对照回款!$C2&amp;""</f>
        <v>库存现金</v>
      </c>
      <c r="F917" s="48" t="str">
        <f aca="false">科目对照回款!$D2&amp;""</f>
        <v/>
      </c>
      <c r="G917" s="49" t="n">
        <f aca="false">助手回款!$E63</f>
        <v>0</v>
      </c>
      <c r="H917" s="49" t="str">
        <f aca="false">IF(ROUND($G917,2)&gt;0,ROUND($G917,2),"")</f>
        <v/>
      </c>
      <c r="I917" s="49" t="str">
        <f aca="false">IF(ROUND($G917,2)&lt;0,-ROUND($G917,2),"")</f>
        <v/>
      </c>
      <c r="J917" s="20" t="n">
        <f aca="false">IF(ROUND($G917,2)=0,0,1)</f>
        <v>0</v>
      </c>
      <c r="K917" s="20" t="str">
        <f aca="false">IF($J917=0,"",SUM($J$917:$J917))</f>
        <v/>
      </c>
      <c r="L917" s="20" t="str">
        <f aca="false">IF($K917="","",$A917*100+$K917)</f>
        <v/>
      </c>
      <c r="M917" s="48" t="str">
        <f aca="false">参数!$B$4</f>
        <v>回款</v>
      </c>
    </row>
    <row r="918" customFormat="false" ht="13.5" hidden="false" customHeight="false" outlineLevel="0" collapsed="false">
      <c r="A918" s="47" t="n">
        <v>62</v>
      </c>
      <c r="B918" s="38" t="str">
        <f aca="false">助手回款!$B63</f>
        <v/>
      </c>
      <c r="C918" s="48" t="str">
        <f aca="false">助手回款!$C63</f>
        <v>备用17</v>
      </c>
      <c r="D918" s="48" t="str">
        <f aca="false">科目对照回款!$B3&amp;""</f>
        <v>手续费</v>
      </c>
      <c r="E918" s="48" t="str">
        <f aca="false">科目对照回款!$C3&amp;""</f>
        <v>财务费用</v>
      </c>
      <c r="F918" s="48" t="str">
        <f aca="false">科目对照回款!$D3&amp;""</f>
        <v>手续费</v>
      </c>
      <c r="G918" s="49" t="n">
        <f aca="false">助手回款!$F63</f>
        <v>0</v>
      </c>
      <c r="H918" s="49" t="str">
        <f aca="false">IF(ROUND($G918,2)&gt;0,ROUND($G918,2),"")</f>
        <v/>
      </c>
      <c r="I918" s="49" t="str">
        <f aca="false">IF(ROUND($G918,2)&lt;0,-ROUND($G918,2),"")</f>
        <v/>
      </c>
      <c r="J918" s="20" t="n">
        <f aca="false">IF(ROUND($G918,2)=0,0,1)</f>
        <v>0</v>
      </c>
      <c r="K918" s="20" t="str">
        <f aca="false">IF($J918=0,"",SUM($J$917:$J918))</f>
        <v/>
      </c>
      <c r="L918" s="20" t="str">
        <f aca="false">IF($K918="","",$A918*100+$K918)</f>
        <v/>
      </c>
      <c r="M918" s="48" t="str">
        <f aca="false">参数!$B$4</f>
        <v>回款</v>
      </c>
    </row>
    <row r="919" customFormat="false" ht="13.5" hidden="false" customHeight="false" outlineLevel="0" collapsed="false">
      <c r="A919" s="47" t="n">
        <v>62</v>
      </c>
      <c r="B919" s="38" t="str">
        <f aca="false">助手回款!$B63</f>
        <v/>
      </c>
      <c r="C919" s="48" t="str">
        <f aca="false">助手回款!$C63</f>
        <v>备用17</v>
      </c>
      <c r="D919" s="48" t="str">
        <f aca="false">科目对照回款!$B4&amp;""</f>
        <v>聚合支付</v>
      </c>
      <c r="E919" s="48" t="str">
        <f aca="false">科目对照回款!$C4&amp;""</f>
        <v>应收账款</v>
      </c>
      <c r="F919" s="48" t="str">
        <f aca="false">科目对照回款!$D4&amp;""</f>
        <v>聚合支付</v>
      </c>
      <c r="G919" s="49" t="n">
        <f aca="false">-ROUND(IF(科目对照回款!$F$4="",0,SUMIFS(输入回款!$C:$C,输入回款!$A:$A,助手回款!$X63,输入回款!$B:$B,科目对照回款!$F$4)+SUMIFS(输入回款!$D:$D,输入回款!$A:$A,助手回款!$X63,输入回款!$B:$B,科目对照回款!$F$4))+IF(科目对照回款!$G$4="",0,SUMIFS(输入回款!$C:$C,输入回款!$A:$A,助手回款!$X63,输入回款!$B:$B,科目对照回款!$G$4)+SUMIFS(输入回款!$D:$D,输入回款!$A:$A,助手回款!$X63,输入回款!$B:$B,科目对照回款!$G$4))+IF(科目对照回款!$H$4="",0,SUMIFS(输入回款!$C:$C,输入回款!$A:$A,助手回款!$X63,输入回款!$B:$B,科目对照回款!$H$4)+SUMIFS(输入回款!$D:$D,输入回款!$A:$A,助手回款!$X63,输入回款!$B:$B,科目对照回款!$H$4)),2)</f>
        <v>-0</v>
      </c>
      <c r="H919" s="49" t="str">
        <f aca="false">IF(ROUND($G919,2)&gt;0,ROUND($G919,2),"")</f>
        <v/>
      </c>
      <c r="I919" s="49" t="str">
        <f aca="false">IF(ROUND($G919,2)&lt;0,-ROUND($G919,2),"")</f>
        <v/>
      </c>
      <c r="J919" s="20" t="n">
        <f aca="false">IF(ROUND($G919,2)=0,0,1)</f>
        <v>0</v>
      </c>
      <c r="K919" s="20" t="str">
        <f aca="false">IF($J919=0,"",SUM($J$917:$J919))</f>
        <v/>
      </c>
      <c r="L919" s="20" t="str">
        <f aca="false">IF($K919="","",$A919*100+$K919)</f>
        <v/>
      </c>
      <c r="M919" s="48" t="str">
        <f aca="false">参数!$B$4</f>
        <v>回款</v>
      </c>
    </row>
    <row r="920" customFormat="false" ht="13.5" hidden="false" customHeight="false" outlineLevel="0" collapsed="false">
      <c r="A920" s="47" t="n">
        <v>62</v>
      </c>
      <c r="B920" s="38" t="str">
        <f aca="false">助手回款!$B63</f>
        <v/>
      </c>
      <c r="C920" s="48" t="str">
        <f aca="false">助手回款!$C63</f>
        <v>备用17</v>
      </c>
      <c r="D920" s="48" t="str">
        <f aca="false">科目对照回款!$B5&amp;""</f>
        <v>医保</v>
      </c>
      <c r="E920" s="48" t="str">
        <f aca="false">科目对照回款!$C5&amp;""</f>
        <v>应收账款</v>
      </c>
      <c r="F920" s="48" t="str">
        <f aca="false">科目对照回款!$D5&amp;""</f>
        <v>医保</v>
      </c>
      <c r="G920" s="49" t="n">
        <f aca="false">-ROUND(IF(科目对照回款!$F$5="",0,SUMIFS(输入回款!$C:$C,输入回款!$A:$A,助手回款!$X63,输入回款!$B:$B,科目对照回款!$F$5)+SUMIFS(输入回款!$D:$D,输入回款!$A:$A,助手回款!$X63,输入回款!$B:$B,科目对照回款!$F$5))+IF(科目对照回款!$G$5="",0,SUMIFS(输入回款!$C:$C,输入回款!$A:$A,助手回款!$X63,输入回款!$B:$B,科目对照回款!$G$5)+SUMIFS(输入回款!$D:$D,输入回款!$A:$A,助手回款!$X63,输入回款!$B:$B,科目对照回款!$G$5))+IF(科目对照回款!$H$5="",0,SUMIFS(输入回款!$C:$C,输入回款!$A:$A,助手回款!$X63,输入回款!$B:$B,科目对照回款!$H$5)+SUMIFS(输入回款!$D:$D,输入回款!$A:$A,助手回款!$X63,输入回款!$B:$B,科目对照回款!$H$5)),2)</f>
        <v>-0</v>
      </c>
      <c r="H920" s="49" t="str">
        <f aca="false">IF(ROUND($G920,2)&gt;0,ROUND($G920,2),"")</f>
        <v/>
      </c>
      <c r="I920" s="49" t="str">
        <f aca="false">IF(ROUND($G920,2)&lt;0,-ROUND($G920,2),"")</f>
        <v/>
      </c>
      <c r="J920" s="20" t="n">
        <f aca="false">IF(ROUND($G920,2)=0,0,1)</f>
        <v>0</v>
      </c>
      <c r="K920" s="20" t="str">
        <f aca="false">IF($J920=0,"",SUM($J$917:$J920))</f>
        <v/>
      </c>
      <c r="L920" s="20" t="str">
        <f aca="false">IF($K920="","",$A920*100+$K920)</f>
        <v/>
      </c>
      <c r="M920" s="48" t="str">
        <f aca="false">参数!$B$4</f>
        <v>回款</v>
      </c>
    </row>
    <row r="921" customFormat="false" ht="13.5" hidden="false" customHeight="false" outlineLevel="0" collapsed="false">
      <c r="A921" s="47" t="n">
        <v>62</v>
      </c>
      <c r="B921" s="38" t="str">
        <f aca="false">助手回款!$B63</f>
        <v/>
      </c>
      <c r="C921" s="48" t="str">
        <f aca="false">助手回款!$C63</f>
        <v>备用17</v>
      </c>
      <c r="D921" s="48" t="str">
        <f aca="false">科目对照回款!$B6&amp;""</f>
        <v>美团</v>
      </c>
      <c r="E921" s="48" t="str">
        <f aca="false">科目对照回款!$C6&amp;""</f>
        <v>应收账款</v>
      </c>
      <c r="F921" s="48" t="str">
        <f aca="false">科目对照回款!$D6&amp;""</f>
        <v>美团</v>
      </c>
      <c r="G921" s="49" t="n">
        <f aca="false">-ROUND(IF(科目对照回款!$F$6="",0,SUMIFS(输入回款!$C:$C,输入回款!$A:$A,助手回款!$X63,输入回款!$B:$B,科目对照回款!$F$6)+SUMIFS(输入回款!$D:$D,输入回款!$A:$A,助手回款!$X63,输入回款!$B:$B,科目对照回款!$F$6))+IF(科目对照回款!$G$6="",0,SUMIFS(输入回款!$C:$C,输入回款!$A:$A,助手回款!$X63,输入回款!$B:$B,科目对照回款!$G$6)+SUMIFS(输入回款!$D:$D,输入回款!$A:$A,助手回款!$X63,输入回款!$B:$B,科目对照回款!$G$6))+IF(科目对照回款!$H$6="",0,SUMIFS(输入回款!$C:$C,输入回款!$A:$A,助手回款!$X63,输入回款!$B:$B,科目对照回款!$H$6)+SUMIFS(输入回款!$D:$D,输入回款!$A:$A,助手回款!$X63,输入回款!$B:$B,科目对照回款!$H$6)),2)</f>
        <v>-0</v>
      </c>
      <c r="H921" s="49" t="str">
        <f aca="false">IF(ROUND($G921,2)&gt;0,ROUND($G921,2),"")</f>
        <v/>
      </c>
      <c r="I921" s="49" t="str">
        <f aca="false">IF(ROUND($G921,2)&lt;0,-ROUND($G921,2),"")</f>
        <v/>
      </c>
      <c r="J921" s="20" t="n">
        <f aca="false">IF(ROUND($G921,2)=0,0,1)</f>
        <v>0</v>
      </c>
      <c r="K921" s="20" t="str">
        <f aca="false">IF($J921=0,"",SUM($J$917:$J921))</f>
        <v/>
      </c>
      <c r="L921" s="20" t="str">
        <f aca="false">IF($K921="","",$A921*100+$K921)</f>
        <v/>
      </c>
      <c r="M921" s="48" t="str">
        <f aca="false">参数!$B$4</f>
        <v>回款</v>
      </c>
    </row>
    <row r="922" customFormat="false" ht="13.5" hidden="false" customHeight="false" outlineLevel="0" collapsed="false">
      <c r="A922" s="47" t="n">
        <v>62</v>
      </c>
      <c r="B922" s="38" t="str">
        <f aca="false">助手回款!$B63</f>
        <v/>
      </c>
      <c r="C922" s="48" t="str">
        <f aca="false">助手回款!$C63</f>
        <v>备用17</v>
      </c>
      <c r="D922" s="48" t="str">
        <f aca="false">科目对照回款!$B7&amp;""</f>
        <v>饿了么</v>
      </c>
      <c r="E922" s="48" t="str">
        <f aca="false">科目对照回款!$C7&amp;""</f>
        <v>应收账款</v>
      </c>
      <c r="F922" s="48" t="str">
        <f aca="false">科目对照回款!$D7&amp;""</f>
        <v>饿了么</v>
      </c>
      <c r="G922" s="49" t="n">
        <f aca="false">-ROUND(IF(科目对照回款!$F$7="",0,SUMIFS(输入回款!$C:$C,输入回款!$A:$A,助手回款!$X63,输入回款!$B:$B,科目对照回款!$F$7)+SUMIFS(输入回款!$D:$D,输入回款!$A:$A,助手回款!$X63,输入回款!$B:$B,科目对照回款!$F$7))+IF(科目对照回款!$G$7="",0,SUMIFS(输入回款!$C:$C,输入回款!$A:$A,助手回款!$X63,输入回款!$B:$B,科目对照回款!$G$7)+SUMIFS(输入回款!$D:$D,输入回款!$A:$A,助手回款!$X63,输入回款!$B:$B,科目对照回款!$G$7))+IF(科目对照回款!$H$7="",0,SUMIFS(输入回款!$C:$C,输入回款!$A:$A,助手回款!$X63,输入回款!$B:$B,科目对照回款!$H$7)+SUMIFS(输入回款!$D:$D,输入回款!$A:$A,助手回款!$X63,输入回款!$B:$B,科目对照回款!$H$7)),2)</f>
        <v>-0</v>
      </c>
      <c r="H922" s="49" t="str">
        <f aca="false">IF(ROUND($G922,2)&gt;0,ROUND($G922,2),"")</f>
        <v/>
      </c>
      <c r="I922" s="49" t="str">
        <f aca="false">IF(ROUND($G922,2)&lt;0,-ROUND($G922,2),"")</f>
        <v/>
      </c>
      <c r="J922" s="20" t="n">
        <f aca="false">IF(ROUND($G922,2)=0,0,1)</f>
        <v>0</v>
      </c>
      <c r="K922" s="20" t="str">
        <f aca="false">IF($J922=0,"",SUM($J$917:$J922))</f>
        <v/>
      </c>
      <c r="L922" s="20" t="str">
        <f aca="false">IF($K922="","",$A922*100+$K922)</f>
        <v/>
      </c>
      <c r="M922" s="48" t="str">
        <f aca="false">参数!$B$4</f>
        <v>回款</v>
      </c>
    </row>
    <row r="923" customFormat="false" ht="13.5" hidden="false" customHeight="false" outlineLevel="0" collapsed="false">
      <c r="A923" s="47" t="n">
        <v>62</v>
      </c>
      <c r="B923" s="38" t="str">
        <f aca="false">助手回款!$B63</f>
        <v/>
      </c>
      <c r="C923" s="48" t="str">
        <f aca="false">助手回款!$C63</f>
        <v>备用17</v>
      </c>
      <c r="D923" s="48" t="str">
        <f aca="false">科目对照回款!$B8&amp;""</f>
        <v>24小时</v>
      </c>
      <c r="E923" s="48" t="str">
        <f aca="false">科目对照回款!$C8&amp;""</f>
        <v>应收账款</v>
      </c>
      <c r="F923" s="48" t="str">
        <f aca="false">科目对照回款!$D8&amp;""</f>
        <v>24小时</v>
      </c>
      <c r="G923" s="49" t="n">
        <f aca="false">-ROUND(IF(科目对照回款!$F$8="",0,SUMIFS(输入回款!$C:$C,输入回款!$A:$A,助手回款!$X63,输入回款!$B:$B,科目对照回款!$F$8)+SUMIFS(输入回款!$D:$D,输入回款!$A:$A,助手回款!$X63,输入回款!$B:$B,科目对照回款!$F$8))+IF(科目对照回款!$G$8="",0,SUMIFS(输入回款!$C:$C,输入回款!$A:$A,助手回款!$X63,输入回款!$B:$B,科目对照回款!$G$8)+SUMIFS(输入回款!$D:$D,输入回款!$A:$A,助手回款!$X63,输入回款!$B:$B,科目对照回款!$G$8))+IF(科目对照回款!$H$8="",0,SUMIFS(输入回款!$C:$C,输入回款!$A:$A,助手回款!$X63,输入回款!$B:$B,科目对照回款!$H$8)+SUMIFS(输入回款!$D:$D,输入回款!$A:$A,助手回款!$X63,输入回款!$B:$B,科目对照回款!$H$8)),2)</f>
        <v>-0</v>
      </c>
      <c r="H923" s="49" t="str">
        <f aca="false">IF(ROUND($G923,2)&gt;0,ROUND($G923,2),"")</f>
        <v/>
      </c>
      <c r="I923" s="49" t="str">
        <f aca="false">IF(ROUND($G923,2)&lt;0,-ROUND($G923,2),"")</f>
        <v/>
      </c>
      <c r="J923" s="20" t="n">
        <f aca="false">IF(ROUND($G923,2)=0,0,1)</f>
        <v>0</v>
      </c>
      <c r="K923" s="20" t="str">
        <f aca="false">IF($J923=0,"",SUM($J$917:$J923))</f>
        <v/>
      </c>
      <c r="L923" s="20" t="str">
        <f aca="false">IF($K923="","",$A923*100+$K923)</f>
        <v/>
      </c>
      <c r="M923" s="48" t="str">
        <f aca="false">参数!$B$4</f>
        <v>回款</v>
      </c>
    </row>
    <row r="924" customFormat="false" ht="13.5" hidden="false" customHeight="false" outlineLevel="0" collapsed="false">
      <c r="A924" s="47" t="n">
        <v>62</v>
      </c>
      <c r="B924" s="38" t="str">
        <f aca="false">助手回款!$B63</f>
        <v/>
      </c>
      <c r="C924" s="48" t="str">
        <f aca="false">助手回款!$C63</f>
        <v>备用17</v>
      </c>
      <c r="D924" s="48" t="str">
        <f aca="false">科目对照回款!$B9&amp;""</f>
        <v>健E卡</v>
      </c>
      <c r="E924" s="48" t="str">
        <f aca="false">科目对照回款!$C9&amp;""</f>
        <v>应收账款</v>
      </c>
      <c r="F924" s="48" t="str">
        <f aca="false">科目对照回款!$D9&amp;""</f>
        <v>健E卡</v>
      </c>
      <c r="G924" s="49" t="n">
        <f aca="false">-ROUND(IF(科目对照回款!$F$9="",0,SUMIFS(输入回款!$C:$C,输入回款!$A:$A,助手回款!$X63,输入回款!$B:$B,科目对照回款!$F$9)+SUMIFS(输入回款!$D:$D,输入回款!$A:$A,助手回款!$X63,输入回款!$B:$B,科目对照回款!$F$9))+IF(科目对照回款!$G$9="",0,SUMIFS(输入回款!$C:$C,输入回款!$A:$A,助手回款!$X63,输入回款!$B:$B,科目对照回款!$G$9)+SUMIFS(输入回款!$D:$D,输入回款!$A:$A,助手回款!$X63,输入回款!$B:$B,科目对照回款!$G$9))+IF(科目对照回款!$H$9="",0,SUMIFS(输入回款!$C:$C,输入回款!$A:$A,助手回款!$X63,输入回款!$B:$B,科目对照回款!$H$9)+SUMIFS(输入回款!$D:$D,输入回款!$A:$A,助手回款!$X63,输入回款!$B:$B,科目对照回款!$H$9)),2)</f>
        <v>-0</v>
      </c>
      <c r="H924" s="49" t="str">
        <f aca="false">IF(ROUND($G924,2)&gt;0,ROUND($G924,2),"")</f>
        <v/>
      </c>
      <c r="I924" s="49" t="str">
        <f aca="false">IF(ROUND($G924,2)&lt;0,-ROUND($G924,2),"")</f>
        <v/>
      </c>
      <c r="J924" s="20" t="n">
        <f aca="false">IF(ROUND($G924,2)=0,0,1)</f>
        <v>0</v>
      </c>
      <c r="K924" s="20" t="str">
        <f aca="false">IF($J924=0,"",SUM($J$917:$J924))</f>
        <v/>
      </c>
      <c r="L924" s="20" t="str">
        <f aca="false">IF($K924="","",$A924*100+$K924)</f>
        <v/>
      </c>
      <c r="M924" s="48" t="str">
        <f aca="false">参数!$B$4</f>
        <v>回款</v>
      </c>
    </row>
    <row r="925" customFormat="false" ht="13.5" hidden="false" customHeight="false" outlineLevel="0" collapsed="false">
      <c r="A925" s="47" t="n">
        <v>62</v>
      </c>
      <c r="B925" s="38" t="str">
        <f aca="false">助手回款!$B63</f>
        <v/>
      </c>
      <c r="C925" s="48" t="str">
        <f aca="false">助手回款!$C63</f>
        <v>备用17</v>
      </c>
      <c r="D925" s="48" t="str">
        <f aca="false">科目对照回款!$B10&amp;""</f>
        <v>医卡通</v>
      </c>
      <c r="E925" s="48" t="str">
        <f aca="false">科目对照回款!$C10&amp;""</f>
        <v>应收账款</v>
      </c>
      <c r="F925" s="48" t="str">
        <f aca="false">科目对照回款!$D10&amp;""</f>
        <v>医卡通</v>
      </c>
      <c r="G925" s="49" t="n">
        <f aca="false">-ROUND(IF(科目对照回款!$F$10="",0,SUMIFS(输入回款!$C:$C,输入回款!$A:$A,助手回款!$X63,输入回款!$B:$B,科目对照回款!$F$10)+SUMIFS(输入回款!$D:$D,输入回款!$A:$A,助手回款!$X63,输入回款!$B:$B,科目对照回款!$F$10))+IF(科目对照回款!$G$10="",0,SUMIFS(输入回款!$C:$C,输入回款!$A:$A,助手回款!$X63,输入回款!$B:$B,科目对照回款!$G$10)+SUMIFS(输入回款!$D:$D,输入回款!$A:$A,助手回款!$X63,输入回款!$B:$B,科目对照回款!$G$10))+IF(科目对照回款!$H$10="",0,SUMIFS(输入回款!$C:$C,输入回款!$A:$A,助手回款!$X63,输入回款!$B:$B,科目对照回款!$H$10)+SUMIFS(输入回款!$D:$D,输入回款!$A:$A,助手回款!$X63,输入回款!$B:$B,科目对照回款!$H$10)),2)</f>
        <v>-0</v>
      </c>
      <c r="H925" s="49" t="str">
        <f aca="false">IF(ROUND($G925,2)&gt;0,ROUND($G925,2),"")</f>
        <v/>
      </c>
      <c r="I925" s="49" t="str">
        <f aca="false">IF(ROUND($G925,2)&lt;0,-ROUND($G925,2),"")</f>
        <v/>
      </c>
      <c r="J925" s="20" t="n">
        <f aca="false">IF(ROUND($G925,2)=0,0,1)</f>
        <v>0</v>
      </c>
      <c r="K925" s="20" t="str">
        <f aca="false">IF($J925=0,"",SUM($J$917:$J925))</f>
        <v/>
      </c>
      <c r="L925" s="20" t="str">
        <f aca="false">IF($K925="","",$A925*100+$K925)</f>
        <v/>
      </c>
      <c r="M925" s="48" t="str">
        <f aca="false">参数!$B$4</f>
        <v>回款</v>
      </c>
    </row>
    <row r="926" customFormat="false" ht="13.5" hidden="false" customHeight="false" outlineLevel="0" collapsed="false">
      <c r="A926" s="47" t="n">
        <v>62</v>
      </c>
      <c r="B926" s="38" t="str">
        <f aca="false">助手回款!$B63</f>
        <v/>
      </c>
      <c r="C926" s="48" t="str">
        <f aca="false">助手回款!$C63</f>
        <v>备用17</v>
      </c>
      <c r="D926" s="48" t="str">
        <f aca="false">科目对照回款!$B11&amp;""</f>
        <v>企健网</v>
      </c>
      <c r="E926" s="48" t="str">
        <f aca="false">科目对照回款!$C11&amp;""</f>
        <v>应收账款</v>
      </c>
      <c r="F926" s="48" t="str">
        <f aca="false">科目对照回款!$D11&amp;""</f>
        <v>企健网</v>
      </c>
      <c r="G926" s="49" t="n">
        <f aca="false">-ROUND(IF(科目对照回款!$F$11="",0,SUMIFS(输入回款!$C:$C,输入回款!$A:$A,助手回款!$X63,输入回款!$B:$B,科目对照回款!$F$11)+SUMIFS(输入回款!$D:$D,输入回款!$A:$A,助手回款!$X63,输入回款!$B:$B,科目对照回款!$F$11))+IF(科目对照回款!$G$11="",0,SUMIFS(输入回款!$C:$C,输入回款!$A:$A,助手回款!$X63,输入回款!$B:$B,科目对照回款!$G$11)+SUMIFS(输入回款!$D:$D,输入回款!$A:$A,助手回款!$X63,输入回款!$B:$B,科目对照回款!$G$11))+IF(科目对照回款!$H$11="",0,SUMIFS(输入回款!$C:$C,输入回款!$A:$A,助手回款!$X63,输入回款!$B:$B,科目对照回款!$H$11)+SUMIFS(输入回款!$D:$D,输入回款!$A:$A,助手回款!$X63,输入回款!$B:$B,科目对照回款!$H$11)),2)</f>
        <v>-0</v>
      </c>
      <c r="H926" s="49" t="str">
        <f aca="false">IF(ROUND($G926,2)&gt;0,ROUND($G926,2),"")</f>
        <v/>
      </c>
      <c r="I926" s="49" t="str">
        <f aca="false">IF(ROUND($G926,2)&lt;0,-ROUND($G926,2),"")</f>
        <v/>
      </c>
      <c r="J926" s="20" t="n">
        <f aca="false">IF(ROUND($G926,2)=0,0,1)</f>
        <v>0</v>
      </c>
      <c r="K926" s="20" t="str">
        <f aca="false">IF($J926=0,"",SUM($J$917:$J926))</f>
        <v/>
      </c>
      <c r="L926" s="20" t="str">
        <f aca="false">IF($K926="","",$A926*100+$K926)</f>
        <v/>
      </c>
      <c r="M926" s="48" t="str">
        <f aca="false">参数!$B$4</f>
        <v>回款</v>
      </c>
    </row>
    <row r="927" customFormat="false" ht="13.5" hidden="false" customHeight="false" outlineLevel="0" collapsed="false">
      <c r="A927" s="47" t="n">
        <v>62</v>
      </c>
      <c r="B927" s="38" t="str">
        <f aca="false">助手回款!$B63</f>
        <v/>
      </c>
      <c r="C927" s="48" t="str">
        <f aca="false">助手回款!$C63</f>
        <v>备用17</v>
      </c>
      <c r="D927" s="48" t="str">
        <f aca="false">科目对照回款!$B12&amp;""</f>
        <v>亲情卡</v>
      </c>
      <c r="E927" s="48" t="str">
        <f aca="false">科目对照回款!$C12&amp;""</f>
        <v>应收账款</v>
      </c>
      <c r="F927" s="48" t="str">
        <f aca="false">科目对照回款!$D12&amp;""</f>
        <v>亲情卡</v>
      </c>
      <c r="G927" s="49" t="n">
        <f aca="false">-ROUND(IF(科目对照回款!$F$12="",0,SUMIFS(输入回款!$C:$C,输入回款!$A:$A,助手回款!$X63,输入回款!$B:$B,科目对照回款!$F$12)+SUMIFS(输入回款!$D:$D,输入回款!$A:$A,助手回款!$X63,输入回款!$B:$B,科目对照回款!$F$12))+IF(科目对照回款!$G$12="",0,SUMIFS(输入回款!$C:$C,输入回款!$A:$A,助手回款!$X63,输入回款!$B:$B,科目对照回款!$G$12)+SUMIFS(输入回款!$D:$D,输入回款!$A:$A,助手回款!$X63,输入回款!$B:$B,科目对照回款!$G$12))+IF(科目对照回款!$H$12="",0,SUMIFS(输入回款!$C:$C,输入回款!$A:$A,助手回款!$X63,输入回款!$B:$B,科目对照回款!$H$12)+SUMIFS(输入回款!$D:$D,输入回款!$A:$A,助手回款!$X63,输入回款!$B:$B,科目对照回款!$H$12)),2)</f>
        <v>-0</v>
      </c>
      <c r="H927" s="49" t="str">
        <f aca="false">IF(ROUND($G927,2)&gt;0,ROUND($G927,2),"")</f>
        <v/>
      </c>
      <c r="I927" s="49" t="str">
        <f aca="false">IF(ROUND($G927,2)&lt;0,-ROUND($G927,2),"")</f>
        <v/>
      </c>
      <c r="J927" s="20" t="n">
        <f aca="false">IF(ROUND($G927,2)=0,0,1)</f>
        <v>0</v>
      </c>
      <c r="K927" s="20" t="str">
        <f aca="false">IF($J927=0,"",SUM($J$917:$J927))</f>
        <v/>
      </c>
      <c r="L927" s="20" t="str">
        <f aca="false">IF($K927="","",$A927*100+$K927)</f>
        <v/>
      </c>
      <c r="M927" s="48" t="str">
        <f aca="false">参数!$B$4</f>
        <v>回款</v>
      </c>
    </row>
    <row r="928" customFormat="false" ht="13.5" hidden="false" customHeight="false" outlineLevel="0" collapsed="false">
      <c r="A928" s="47" t="n">
        <v>62</v>
      </c>
      <c r="B928" s="38" t="str">
        <f aca="false">助手回款!$B63</f>
        <v/>
      </c>
      <c r="C928" s="48" t="str">
        <f aca="false">助手回款!$C63</f>
        <v>备用17</v>
      </c>
      <c r="D928" s="48" t="str">
        <f aca="false">科目对照回款!$B13&amp;""</f>
        <v>银联</v>
      </c>
      <c r="E928" s="48" t="str">
        <f aca="false">科目对照回款!$C13&amp;""</f>
        <v>应收账款</v>
      </c>
      <c r="F928" s="48" t="str">
        <f aca="false">科目对照回款!$D13&amp;""</f>
        <v>银联</v>
      </c>
      <c r="G928" s="49" t="n">
        <f aca="false">-ROUND(IF(科目对照回款!$F$13="",0,SUMIFS(输入回款!$C:$C,输入回款!$A:$A,助手回款!$X63,输入回款!$B:$B,科目对照回款!$F$13)+SUMIFS(输入回款!$D:$D,输入回款!$A:$A,助手回款!$X63,输入回款!$B:$B,科目对照回款!$F$13))+IF(科目对照回款!$G$13="",0,SUMIFS(输入回款!$C:$C,输入回款!$A:$A,助手回款!$X63,输入回款!$B:$B,科目对照回款!$G$13)+SUMIFS(输入回款!$D:$D,输入回款!$A:$A,助手回款!$X63,输入回款!$B:$B,科目对照回款!$G$13))+IF(科目对照回款!$H$13="",0,SUMIFS(输入回款!$C:$C,输入回款!$A:$A,助手回款!$X63,输入回款!$B:$B,科目对照回款!$H$13)+SUMIFS(输入回款!$D:$D,输入回款!$A:$A,助手回款!$X63,输入回款!$B:$B,科目对照回款!$H$13)),2)</f>
        <v>-0</v>
      </c>
      <c r="H928" s="49" t="str">
        <f aca="false">IF(ROUND($G928,2)&gt;0,ROUND($G928,2),"")</f>
        <v/>
      </c>
      <c r="I928" s="49" t="str">
        <f aca="false">IF(ROUND($G928,2)&lt;0,-ROUND($G928,2),"")</f>
        <v/>
      </c>
      <c r="J928" s="20" t="n">
        <f aca="false">IF(ROUND($G928,2)=0,0,1)</f>
        <v>0</v>
      </c>
      <c r="K928" s="20" t="str">
        <f aca="false">IF($J928=0,"",SUM($J$917:$J928))</f>
        <v/>
      </c>
      <c r="L928" s="20" t="str">
        <f aca="false">IF($K928="","",$A928*100+$K928)</f>
        <v/>
      </c>
      <c r="M928" s="48" t="str">
        <f aca="false">参数!$B$4</f>
        <v>回款</v>
      </c>
    </row>
    <row r="929" customFormat="false" ht="13.5" hidden="false" customHeight="false" outlineLevel="0" collapsed="false">
      <c r="A929" s="47" t="n">
        <v>62</v>
      </c>
      <c r="B929" s="38" t="str">
        <f aca="false">助手回款!$B63</f>
        <v/>
      </c>
      <c r="C929" s="48" t="str">
        <f aca="false">助手回款!$C63</f>
        <v>备用17</v>
      </c>
      <c r="D929" s="48" t="str">
        <f aca="false">科目对照回款!$B14&amp;""</f>
        <v>代金券</v>
      </c>
      <c r="E929" s="48" t="str">
        <f aca="false">科目对照回款!$C14&amp;""</f>
        <v>应收账款</v>
      </c>
      <c r="F929" s="48" t="str">
        <f aca="false">科目对照回款!$D14&amp;""</f>
        <v>代金券</v>
      </c>
      <c r="G929" s="49" t="n">
        <f aca="false">-ROUND(IF(科目对照回款!$F$14="",0,SUMIFS(输入回款!$C:$C,输入回款!$A:$A,助手回款!$X63,输入回款!$B:$B,科目对照回款!$F$14)+SUMIFS(输入回款!$D:$D,输入回款!$A:$A,助手回款!$X63,输入回款!$B:$B,科目对照回款!$F$14))+IF(科目对照回款!$G$14="",0,SUMIFS(输入回款!$C:$C,输入回款!$A:$A,助手回款!$X63,输入回款!$B:$B,科目对照回款!$G$14)+SUMIFS(输入回款!$D:$D,输入回款!$A:$A,助手回款!$X63,输入回款!$B:$B,科目对照回款!$G$14))+IF(科目对照回款!$H$14="",0,SUMIFS(输入回款!$C:$C,输入回款!$A:$A,助手回款!$X63,输入回款!$B:$B,科目对照回款!$H$14)+SUMIFS(输入回款!$D:$D,输入回款!$A:$A,助手回款!$X63,输入回款!$B:$B,科目对照回款!$H$14)),2)</f>
        <v>-0</v>
      </c>
      <c r="H929" s="49" t="str">
        <f aca="false">IF(ROUND($G929,2)&gt;0,ROUND($G929,2),"")</f>
        <v/>
      </c>
      <c r="I929" s="49" t="str">
        <f aca="false">IF(ROUND($G929,2)&lt;0,-ROUND($G929,2),"")</f>
        <v/>
      </c>
      <c r="J929" s="20" t="n">
        <f aca="false">IF(ROUND($G929,2)=0,0,1)</f>
        <v>0</v>
      </c>
      <c r="K929" s="20" t="str">
        <f aca="false">IF($J929=0,"",SUM($J$917:$J929))</f>
        <v/>
      </c>
      <c r="L929" s="20" t="str">
        <f aca="false">IF($K929="","",$A929*100+$K929)</f>
        <v/>
      </c>
      <c r="M929" s="48" t="str">
        <f aca="false">参数!$B$4</f>
        <v>回款</v>
      </c>
    </row>
    <row r="930" customFormat="false" ht="13.5" hidden="false" customHeight="false" outlineLevel="0" collapsed="false">
      <c r="A930" s="47" t="n">
        <v>62</v>
      </c>
      <c r="B930" s="38" t="str">
        <f aca="false">助手回款!$B63</f>
        <v/>
      </c>
      <c r="C930" s="48" t="str">
        <f aca="false">助手回款!$C63</f>
        <v>备用17</v>
      </c>
      <c r="D930" s="48" t="str">
        <f aca="false">科目对照回款!$B15&amp;""</f>
        <v>药机微信</v>
      </c>
      <c r="E930" s="48" t="str">
        <f aca="false">科目对照回款!$C15&amp;""</f>
        <v>应收账款</v>
      </c>
      <c r="F930" s="48" t="str">
        <f aca="false">科目对照回款!$D15&amp;""</f>
        <v>药机微信</v>
      </c>
      <c r="G930" s="49" t="n">
        <f aca="false">-ROUND(IF(科目对照回款!$F$15="",0,SUMIFS(输入回款!$C:$C,输入回款!$A:$A,助手回款!$X63,输入回款!$B:$B,科目对照回款!$F$15)+SUMIFS(输入回款!$D:$D,输入回款!$A:$A,助手回款!$X63,输入回款!$B:$B,科目对照回款!$F$15))+IF(科目对照回款!$G$15="",0,SUMIFS(输入回款!$C:$C,输入回款!$A:$A,助手回款!$X63,输入回款!$B:$B,科目对照回款!$G$15)+SUMIFS(输入回款!$D:$D,输入回款!$A:$A,助手回款!$X63,输入回款!$B:$B,科目对照回款!$G$15))+IF(科目对照回款!$H$15="",0,SUMIFS(输入回款!$C:$C,输入回款!$A:$A,助手回款!$X63,输入回款!$B:$B,科目对照回款!$H$15)+SUMIFS(输入回款!$D:$D,输入回款!$A:$A,助手回款!$X63,输入回款!$B:$B,科目对照回款!$H$15)),2)</f>
        <v>-0</v>
      </c>
      <c r="H930" s="49" t="str">
        <f aca="false">IF(ROUND($G930,2)&gt;0,ROUND($G930,2),"")</f>
        <v/>
      </c>
      <c r="I930" s="49" t="str">
        <f aca="false">IF(ROUND($G930,2)&lt;0,-ROUND($G930,2),"")</f>
        <v/>
      </c>
      <c r="J930" s="20" t="n">
        <f aca="false">IF(ROUND($G930,2)=0,0,1)</f>
        <v>0</v>
      </c>
      <c r="K930" s="20" t="str">
        <f aca="false">IF($J930=0,"",SUM($J$917:$J930))</f>
        <v/>
      </c>
      <c r="L930" s="20" t="str">
        <f aca="false">IF($K930="","",$A930*100+$K930)</f>
        <v/>
      </c>
      <c r="M930" s="48" t="str">
        <f aca="false">参数!$B$4</f>
        <v>回款</v>
      </c>
    </row>
    <row r="931" customFormat="false" ht="13.5" hidden="false" customHeight="false" outlineLevel="0" collapsed="false">
      <c r="A931" s="47" t="n">
        <v>62</v>
      </c>
      <c r="B931" s="38" t="str">
        <f aca="false">助手回款!$B63</f>
        <v/>
      </c>
      <c r="C931" s="48" t="str">
        <f aca="false">助手回款!$C63</f>
        <v>备用17</v>
      </c>
      <c r="D931" s="48" t="str">
        <f aca="false">科目对照回款!$B16&amp;""</f>
        <v>储值卡</v>
      </c>
      <c r="E931" s="48" t="str">
        <f aca="false">科目对照回款!$C16&amp;""</f>
        <v>其他应收款</v>
      </c>
      <c r="F931" s="48" t="str">
        <f aca="false">科目对照回款!$D16&amp;""</f>
        <v>储值卡</v>
      </c>
      <c r="G931" s="49" t="n">
        <f aca="false">-ROUND(IF(科目对照回款!$F$16="",0,SUMIFS(输入回款!$C:$C,输入回款!$A:$A,助手回款!$X63,输入回款!$B:$B,科目对照回款!$F$16)+SUMIFS(输入回款!$D:$D,输入回款!$A:$A,助手回款!$X63,输入回款!$B:$B,科目对照回款!$F$16))+IF(科目对照回款!$G$16="",0,SUMIFS(输入回款!$C:$C,输入回款!$A:$A,助手回款!$X63,输入回款!$B:$B,科目对照回款!$G$16)+SUMIFS(输入回款!$D:$D,输入回款!$A:$A,助手回款!$X63,输入回款!$B:$B,科目对照回款!$G$16))+IF(科目对照回款!$H$16="",0,SUMIFS(输入回款!$C:$C,输入回款!$A:$A,助手回款!$X63,输入回款!$B:$B,科目对照回款!$H$16)+SUMIFS(输入回款!$D:$D,输入回款!$A:$A,助手回款!$X63,输入回款!$B:$B,科目对照回款!$H$16)),2)</f>
        <v>-0</v>
      </c>
      <c r="H931" s="49" t="str">
        <f aca="false">IF(ROUND($G931,2)&gt;0,ROUND($G931,2),"")</f>
        <v/>
      </c>
      <c r="I931" s="49" t="str">
        <f aca="false">IF(ROUND($G931,2)&lt;0,-ROUND($G931,2),"")</f>
        <v/>
      </c>
      <c r="J931" s="20" t="n">
        <f aca="false">IF(ROUND($G931,2)=0,0,1)</f>
        <v>0</v>
      </c>
      <c r="K931" s="20" t="str">
        <f aca="false">IF($J931=0,"",SUM($J$917:$J931))</f>
        <v/>
      </c>
      <c r="L931" s="20" t="str">
        <f aca="false">IF($K931="","",$A931*100+$K931)</f>
        <v/>
      </c>
      <c r="M931" s="48" t="str">
        <f aca="false">参数!$B$4</f>
        <v>回款</v>
      </c>
    </row>
    <row r="932" customFormat="false" ht="13.5" hidden="false" customHeight="false" outlineLevel="0" collapsed="false">
      <c r="A932" s="47" t="n">
        <v>63</v>
      </c>
      <c r="B932" s="38" t="str">
        <f aca="false">助手回款!$B64</f>
        <v/>
      </c>
      <c r="C932" s="48" t="str">
        <f aca="false">助手回款!$C64</f>
        <v>备用18</v>
      </c>
      <c r="D932" s="48" t="str">
        <f aca="false">科目对照回款!$B2&amp;""</f>
        <v>库存现金</v>
      </c>
      <c r="E932" s="48" t="str">
        <f aca="false">科目对照回款!$C2&amp;""</f>
        <v>库存现金</v>
      </c>
      <c r="F932" s="48" t="str">
        <f aca="false">科目对照回款!$D2&amp;""</f>
        <v/>
      </c>
      <c r="G932" s="49" t="n">
        <f aca="false">助手回款!$E64</f>
        <v>0</v>
      </c>
      <c r="H932" s="49" t="str">
        <f aca="false">IF(ROUND($G932,2)&gt;0,ROUND($G932,2),"")</f>
        <v/>
      </c>
      <c r="I932" s="49" t="str">
        <f aca="false">IF(ROUND($G932,2)&lt;0,-ROUND($G932,2),"")</f>
        <v/>
      </c>
      <c r="J932" s="20" t="n">
        <f aca="false">IF(ROUND($G932,2)=0,0,1)</f>
        <v>0</v>
      </c>
      <c r="K932" s="20" t="str">
        <f aca="false">IF($J932=0,"",SUM($J$932:$J932))</f>
        <v/>
      </c>
      <c r="L932" s="20" t="str">
        <f aca="false">IF($K932="","",$A932*100+$K932)</f>
        <v/>
      </c>
      <c r="M932" s="48" t="str">
        <f aca="false">参数!$B$4</f>
        <v>回款</v>
      </c>
    </row>
    <row r="933" customFormat="false" ht="13.5" hidden="false" customHeight="false" outlineLevel="0" collapsed="false">
      <c r="A933" s="47" t="n">
        <v>63</v>
      </c>
      <c r="B933" s="38" t="str">
        <f aca="false">助手回款!$B64</f>
        <v/>
      </c>
      <c r="C933" s="48" t="str">
        <f aca="false">助手回款!$C64</f>
        <v>备用18</v>
      </c>
      <c r="D933" s="48" t="str">
        <f aca="false">科目对照回款!$B3&amp;""</f>
        <v>手续费</v>
      </c>
      <c r="E933" s="48" t="str">
        <f aca="false">科目对照回款!$C3&amp;""</f>
        <v>财务费用</v>
      </c>
      <c r="F933" s="48" t="str">
        <f aca="false">科目对照回款!$D3&amp;""</f>
        <v>手续费</v>
      </c>
      <c r="G933" s="49" t="n">
        <f aca="false">助手回款!$F64</f>
        <v>0</v>
      </c>
      <c r="H933" s="49" t="str">
        <f aca="false">IF(ROUND($G933,2)&gt;0,ROUND($G933,2),"")</f>
        <v/>
      </c>
      <c r="I933" s="49" t="str">
        <f aca="false">IF(ROUND($G933,2)&lt;0,-ROUND($G933,2),"")</f>
        <v/>
      </c>
      <c r="J933" s="20" t="n">
        <f aca="false">IF(ROUND($G933,2)=0,0,1)</f>
        <v>0</v>
      </c>
      <c r="K933" s="20" t="str">
        <f aca="false">IF($J933=0,"",SUM($J$932:$J933))</f>
        <v/>
      </c>
      <c r="L933" s="20" t="str">
        <f aca="false">IF($K933="","",$A933*100+$K933)</f>
        <v/>
      </c>
      <c r="M933" s="48" t="str">
        <f aca="false">参数!$B$4</f>
        <v>回款</v>
      </c>
    </row>
    <row r="934" customFormat="false" ht="13.5" hidden="false" customHeight="false" outlineLevel="0" collapsed="false">
      <c r="A934" s="47" t="n">
        <v>63</v>
      </c>
      <c r="B934" s="38" t="str">
        <f aca="false">助手回款!$B64</f>
        <v/>
      </c>
      <c r="C934" s="48" t="str">
        <f aca="false">助手回款!$C64</f>
        <v>备用18</v>
      </c>
      <c r="D934" s="48" t="str">
        <f aca="false">科目对照回款!$B4&amp;""</f>
        <v>聚合支付</v>
      </c>
      <c r="E934" s="48" t="str">
        <f aca="false">科目对照回款!$C4&amp;""</f>
        <v>应收账款</v>
      </c>
      <c r="F934" s="48" t="str">
        <f aca="false">科目对照回款!$D4&amp;""</f>
        <v>聚合支付</v>
      </c>
      <c r="G934" s="49" t="n">
        <f aca="false">-ROUND(IF(科目对照回款!$F$4="",0,SUMIFS(输入回款!$C:$C,输入回款!$A:$A,助手回款!$X64,输入回款!$B:$B,科目对照回款!$F$4)+SUMIFS(输入回款!$D:$D,输入回款!$A:$A,助手回款!$X64,输入回款!$B:$B,科目对照回款!$F$4))+IF(科目对照回款!$G$4="",0,SUMIFS(输入回款!$C:$C,输入回款!$A:$A,助手回款!$X64,输入回款!$B:$B,科目对照回款!$G$4)+SUMIFS(输入回款!$D:$D,输入回款!$A:$A,助手回款!$X64,输入回款!$B:$B,科目对照回款!$G$4))+IF(科目对照回款!$H$4="",0,SUMIFS(输入回款!$C:$C,输入回款!$A:$A,助手回款!$X64,输入回款!$B:$B,科目对照回款!$H$4)+SUMIFS(输入回款!$D:$D,输入回款!$A:$A,助手回款!$X64,输入回款!$B:$B,科目对照回款!$H$4)),2)</f>
        <v>-0</v>
      </c>
      <c r="H934" s="49" t="str">
        <f aca="false">IF(ROUND($G934,2)&gt;0,ROUND($G934,2),"")</f>
        <v/>
      </c>
      <c r="I934" s="49" t="str">
        <f aca="false">IF(ROUND($G934,2)&lt;0,-ROUND($G934,2),"")</f>
        <v/>
      </c>
      <c r="J934" s="20" t="n">
        <f aca="false">IF(ROUND($G934,2)=0,0,1)</f>
        <v>0</v>
      </c>
      <c r="K934" s="20" t="str">
        <f aca="false">IF($J934=0,"",SUM($J$932:$J934))</f>
        <v/>
      </c>
      <c r="L934" s="20" t="str">
        <f aca="false">IF($K934="","",$A934*100+$K934)</f>
        <v/>
      </c>
      <c r="M934" s="48" t="str">
        <f aca="false">参数!$B$4</f>
        <v>回款</v>
      </c>
    </row>
    <row r="935" customFormat="false" ht="13.5" hidden="false" customHeight="false" outlineLevel="0" collapsed="false">
      <c r="A935" s="47" t="n">
        <v>63</v>
      </c>
      <c r="B935" s="38" t="str">
        <f aca="false">助手回款!$B64</f>
        <v/>
      </c>
      <c r="C935" s="48" t="str">
        <f aca="false">助手回款!$C64</f>
        <v>备用18</v>
      </c>
      <c r="D935" s="48" t="str">
        <f aca="false">科目对照回款!$B5&amp;""</f>
        <v>医保</v>
      </c>
      <c r="E935" s="48" t="str">
        <f aca="false">科目对照回款!$C5&amp;""</f>
        <v>应收账款</v>
      </c>
      <c r="F935" s="48" t="str">
        <f aca="false">科目对照回款!$D5&amp;""</f>
        <v>医保</v>
      </c>
      <c r="G935" s="49" t="n">
        <f aca="false">-ROUND(IF(科目对照回款!$F$5="",0,SUMIFS(输入回款!$C:$C,输入回款!$A:$A,助手回款!$X64,输入回款!$B:$B,科目对照回款!$F$5)+SUMIFS(输入回款!$D:$D,输入回款!$A:$A,助手回款!$X64,输入回款!$B:$B,科目对照回款!$F$5))+IF(科目对照回款!$G$5="",0,SUMIFS(输入回款!$C:$C,输入回款!$A:$A,助手回款!$X64,输入回款!$B:$B,科目对照回款!$G$5)+SUMIFS(输入回款!$D:$D,输入回款!$A:$A,助手回款!$X64,输入回款!$B:$B,科目对照回款!$G$5))+IF(科目对照回款!$H$5="",0,SUMIFS(输入回款!$C:$C,输入回款!$A:$A,助手回款!$X64,输入回款!$B:$B,科目对照回款!$H$5)+SUMIFS(输入回款!$D:$D,输入回款!$A:$A,助手回款!$X64,输入回款!$B:$B,科目对照回款!$H$5)),2)</f>
        <v>-0</v>
      </c>
      <c r="H935" s="49" t="str">
        <f aca="false">IF(ROUND($G935,2)&gt;0,ROUND($G935,2),"")</f>
        <v/>
      </c>
      <c r="I935" s="49" t="str">
        <f aca="false">IF(ROUND($G935,2)&lt;0,-ROUND($G935,2),"")</f>
        <v/>
      </c>
      <c r="J935" s="20" t="n">
        <f aca="false">IF(ROUND($G935,2)=0,0,1)</f>
        <v>0</v>
      </c>
      <c r="K935" s="20" t="str">
        <f aca="false">IF($J935=0,"",SUM($J$932:$J935))</f>
        <v/>
      </c>
      <c r="L935" s="20" t="str">
        <f aca="false">IF($K935="","",$A935*100+$K935)</f>
        <v/>
      </c>
      <c r="M935" s="48" t="str">
        <f aca="false">参数!$B$4</f>
        <v>回款</v>
      </c>
    </row>
    <row r="936" customFormat="false" ht="13.5" hidden="false" customHeight="false" outlineLevel="0" collapsed="false">
      <c r="A936" s="47" t="n">
        <v>63</v>
      </c>
      <c r="B936" s="38" t="str">
        <f aca="false">助手回款!$B64</f>
        <v/>
      </c>
      <c r="C936" s="48" t="str">
        <f aca="false">助手回款!$C64</f>
        <v>备用18</v>
      </c>
      <c r="D936" s="48" t="str">
        <f aca="false">科目对照回款!$B6&amp;""</f>
        <v>美团</v>
      </c>
      <c r="E936" s="48" t="str">
        <f aca="false">科目对照回款!$C6&amp;""</f>
        <v>应收账款</v>
      </c>
      <c r="F936" s="48" t="str">
        <f aca="false">科目对照回款!$D6&amp;""</f>
        <v>美团</v>
      </c>
      <c r="G936" s="49" t="n">
        <f aca="false">-ROUND(IF(科目对照回款!$F$6="",0,SUMIFS(输入回款!$C:$C,输入回款!$A:$A,助手回款!$X64,输入回款!$B:$B,科目对照回款!$F$6)+SUMIFS(输入回款!$D:$D,输入回款!$A:$A,助手回款!$X64,输入回款!$B:$B,科目对照回款!$F$6))+IF(科目对照回款!$G$6="",0,SUMIFS(输入回款!$C:$C,输入回款!$A:$A,助手回款!$X64,输入回款!$B:$B,科目对照回款!$G$6)+SUMIFS(输入回款!$D:$D,输入回款!$A:$A,助手回款!$X64,输入回款!$B:$B,科目对照回款!$G$6))+IF(科目对照回款!$H$6="",0,SUMIFS(输入回款!$C:$C,输入回款!$A:$A,助手回款!$X64,输入回款!$B:$B,科目对照回款!$H$6)+SUMIFS(输入回款!$D:$D,输入回款!$A:$A,助手回款!$X64,输入回款!$B:$B,科目对照回款!$H$6)),2)</f>
        <v>-0</v>
      </c>
      <c r="H936" s="49" t="str">
        <f aca="false">IF(ROUND($G936,2)&gt;0,ROUND($G936,2),"")</f>
        <v/>
      </c>
      <c r="I936" s="49" t="str">
        <f aca="false">IF(ROUND($G936,2)&lt;0,-ROUND($G936,2),"")</f>
        <v/>
      </c>
      <c r="J936" s="20" t="n">
        <f aca="false">IF(ROUND($G936,2)=0,0,1)</f>
        <v>0</v>
      </c>
      <c r="K936" s="20" t="str">
        <f aca="false">IF($J936=0,"",SUM($J$932:$J936))</f>
        <v/>
      </c>
      <c r="L936" s="20" t="str">
        <f aca="false">IF($K936="","",$A936*100+$K936)</f>
        <v/>
      </c>
      <c r="M936" s="48" t="str">
        <f aca="false">参数!$B$4</f>
        <v>回款</v>
      </c>
    </row>
    <row r="937" customFormat="false" ht="13.5" hidden="false" customHeight="false" outlineLevel="0" collapsed="false">
      <c r="A937" s="47" t="n">
        <v>63</v>
      </c>
      <c r="B937" s="38" t="str">
        <f aca="false">助手回款!$B64</f>
        <v/>
      </c>
      <c r="C937" s="48" t="str">
        <f aca="false">助手回款!$C64</f>
        <v>备用18</v>
      </c>
      <c r="D937" s="48" t="str">
        <f aca="false">科目对照回款!$B7&amp;""</f>
        <v>饿了么</v>
      </c>
      <c r="E937" s="48" t="str">
        <f aca="false">科目对照回款!$C7&amp;""</f>
        <v>应收账款</v>
      </c>
      <c r="F937" s="48" t="str">
        <f aca="false">科目对照回款!$D7&amp;""</f>
        <v>饿了么</v>
      </c>
      <c r="G937" s="49" t="n">
        <f aca="false">-ROUND(IF(科目对照回款!$F$7="",0,SUMIFS(输入回款!$C:$C,输入回款!$A:$A,助手回款!$X64,输入回款!$B:$B,科目对照回款!$F$7)+SUMIFS(输入回款!$D:$D,输入回款!$A:$A,助手回款!$X64,输入回款!$B:$B,科目对照回款!$F$7))+IF(科目对照回款!$G$7="",0,SUMIFS(输入回款!$C:$C,输入回款!$A:$A,助手回款!$X64,输入回款!$B:$B,科目对照回款!$G$7)+SUMIFS(输入回款!$D:$D,输入回款!$A:$A,助手回款!$X64,输入回款!$B:$B,科目对照回款!$G$7))+IF(科目对照回款!$H$7="",0,SUMIFS(输入回款!$C:$C,输入回款!$A:$A,助手回款!$X64,输入回款!$B:$B,科目对照回款!$H$7)+SUMIFS(输入回款!$D:$D,输入回款!$A:$A,助手回款!$X64,输入回款!$B:$B,科目对照回款!$H$7)),2)</f>
        <v>-0</v>
      </c>
      <c r="H937" s="49" t="str">
        <f aca="false">IF(ROUND($G937,2)&gt;0,ROUND($G937,2),"")</f>
        <v/>
      </c>
      <c r="I937" s="49" t="str">
        <f aca="false">IF(ROUND($G937,2)&lt;0,-ROUND($G937,2),"")</f>
        <v/>
      </c>
      <c r="J937" s="20" t="n">
        <f aca="false">IF(ROUND($G937,2)=0,0,1)</f>
        <v>0</v>
      </c>
      <c r="K937" s="20" t="str">
        <f aca="false">IF($J937=0,"",SUM($J$932:$J937))</f>
        <v/>
      </c>
      <c r="L937" s="20" t="str">
        <f aca="false">IF($K937="","",$A937*100+$K937)</f>
        <v/>
      </c>
      <c r="M937" s="48" t="str">
        <f aca="false">参数!$B$4</f>
        <v>回款</v>
      </c>
    </row>
    <row r="938" customFormat="false" ht="13.5" hidden="false" customHeight="false" outlineLevel="0" collapsed="false">
      <c r="A938" s="47" t="n">
        <v>63</v>
      </c>
      <c r="B938" s="38" t="str">
        <f aca="false">助手回款!$B64</f>
        <v/>
      </c>
      <c r="C938" s="48" t="str">
        <f aca="false">助手回款!$C64</f>
        <v>备用18</v>
      </c>
      <c r="D938" s="48" t="str">
        <f aca="false">科目对照回款!$B8&amp;""</f>
        <v>24小时</v>
      </c>
      <c r="E938" s="48" t="str">
        <f aca="false">科目对照回款!$C8&amp;""</f>
        <v>应收账款</v>
      </c>
      <c r="F938" s="48" t="str">
        <f aca="false">科目对照回款!$D8&amp;""</f>
        <v>24小时</v>
      </c>
      <c r="G938" s="49" t="n">
        <f aca="false">-ROUND(IF(科目对照回款!$F$8="",0,SUMIFS(输入回款!$C:$C,输入回款!$A:$A,助手回款!$X64,输入回款!$B:$B,科目对照回款!$F$8)+SUMIFS(输入回款!$D:$D,输入回款!$A:$A,助手回款!$X64,输入回款!$B:$B,科目对照回款!$F$8))+IF(科目对照回款!$G$8="",0,SUMIFS(输入回款!$C:$C,输入回款!$A:$A,助手回款!$X64,输入回款!$B:$B,科目对照回款!$G$8)+SUMIFS(输入回款!$D:$D,输入回款!$A:$A,助手回款!$X64,输入回款!$B:$B,科目对照回款!$G$8))+IF(科目对照回款!$H$8="",0,SUMIFS(输入回款!$C:$C,输入回款!$A:$A,助手回款!$X64,输入回款!$B:$B,科目对照回款!$H$8)+SUMIFS(输入回款!$D:$D,输入回款!$A:$A,助手回款!$X64,输入回款!$B:$B,科目对照回款!$H$8)),2)</f>
        <v>-0</v>
      </c>
      <c r="H938" s="49" t="str">
        <f aca="false">IF(ROUND($G938,2)&gt;0,ROUND($G938,2),"")</f>
        <v/>
      </c>
      <c r="I938" s="49" t="str">
        <f aca="false">IF(ROUND($G938,2)&lt;0,-ROUND($G938,2),"")</f>
        <v/>
      </c>
      <c r="J938" s="20" t="n">
        <f aca="false">IF(ROUND($G938,2)=0,0,1)</f>
        <v>0</v>
      </c>
      <c r="K938" s="20" t="str">
        <f aca="false">IF($J938=0,"",SUM($J$932:$J938))</f>
        <v/>
      </c>
      <c r="L938" s="20" t="str">
        <f aca="false">IF($K938="","",$A938*100+$K938)</f>
        <v/>
      </c>
      <c r="M938" s="48" t="str">
        <f aca="false">参数!$B$4</f>
        <v>回款</v>
      </c>
    </row>
    <row r="939" customFormat="false" ht="13.5" hidden="false" customHeight="false" outlineLevel="0" collapsed="false">
      <c r="A939" s="47" t="n">
        <v>63</v>
      </c>
      <c r="B939" s="38" t="str">
        <f aca="false">助手回款!$B64</f>
        <v/>
      </c>
      <c r="C939" s="48" t="str">
        <f aca="false">助手回款!$C64</f>
        <v>备用18</v>
      </c>
      <c r="D939" s="48" t="str">
        <f aca="false">科目对照回款!$B9&amp;""</f>
        <v>健E卡</v>
      </c>
      <c r="E939" s="48" t="str">
        <f aca="false">科目对照回款!$C9&amp;""</f>
        <v>应收账款</v>
      </c>
      <c r="F939" s="48" t="str">
        <f aca="false">科目对照回款!$D9&amp;""</f>
        <v>健E卡</v>
      </c>
      <c r="G939" s="49" t="n">
        <f aca="false">-ROUND(IF(科目对照回款!$F$9="",0,SUMIFS(输入回款!$C:$C,输入回款!$A:$A,助手回款!$X64,输入回款!$B:$B,科目对照回款!$F$9)+SUMIFS(输入回款!$D:$D,输入回款!$A:$A,助手回款!$X64,输入回款!$B:$B,科目对照回款!$F$9))+IF(科目对照回款!$G$9="",0,SUMIFS(输入回款!$C:$C,输入回款!$A:$A,助手回款!$X64,输入回款!$B:$B,科目对照回款!$G$9)+SUMIFS(输入回款!$D:$D,输入回款!$A:$A,助手回款!$X64,输入回款!$B:$B,科目对照回款!$G$9))+IF(科目对照回款!$H$9="",0,SUMIFS(输入回款!$C:$C,输入回款!$A:$A,助手回款!$X64,输入回款!$B:$B,科目对照回款!$H$9)+SUMIFS(输入回款!$D:$D,输入回款!$A:$A,助手回款!$X64,输入回款!$B:$B,科目对照回款!$H$9)),2)</f>
        <v>-0</v>
      </c>
      <c r="H939" s="49" t="str">
        <f aca="false">IF(ROUND($G939,2)&gt;0,ROUND($G939,2),"")</f>
        <v/>
      </c>
      <c r="I939" s="49" t="str">
        <f aca="false">IF(ROUND($G939,2)&lt;0,-ROUND($G939,2),"")</f>
        <v/>
      </c>
      <c r="J939" s="20" t="n">
        <f aca="false">IF(ROUND($G939,2)=0,0,1)</f>
        <v>0</v>
      </c>
      <c r="K939" s="20" t="str">
        <f aca="false">IF($J939=0,"",SUM($J$932:$J939))</f>
        <v/>
      </c>
      <c r="L939" s="20" t="str">
        <f aca="false">IF($K939="","",$A939*100+$K939)</f>
        <v/>
      </c>
      <c r="M939" s="48" t="str">
        <f aca="false">参数!$B$4</f>
        <v>回款</v>
      </c>
    </row>
    <row r="940" customFormat="false" ht="13.5" hidden="false" customHeight="false" outlineLevel="0" collapsed="false">
      <c r="A940" s="47" t="n">
        <v>63</v>
      </c>
      <c r="B940" s="38" t="str">
        <f aca="false">助手回款!$B64</f>
        <v/>
      </c>
      <c r="C940" s="48" t="str">
        <f aca="false">助手回款!$C64</f>
        <v>备用18</v>
      </c>
      <c r="D940" s="48" t="str">
        <f aca="false">科目对照回款!$B10&amp;""</f>
        <v>医卡通</v>
      </c>
      <c r="E940" s="48" t="str">
        <f aca="false">科目对照回款!$C10&amp;""</f>
        <v>应收账款</v>
      </c>
      <c r="F940" s="48" t="str">
        <f aca="false">科目对照回款!$D10&amp;""</f>
        <v>医卡通</v>
      </c>
      <c r="G940" s="49" t="n">
        <f aca="false">-ROUND(IF(科目对照回款!$F$10="",0,SUMIFS(输入回款!$C:$C,输入回款!$A:$A,助手回款!$X64,输入回款!$B:$B,科目对照回款!$F$10)+SUMIFS(输入回款!$D:$D,输入回款!$A:$A,助手回款!$X64,输入回款!$B:$B,科目对照回款!$F$10))+IF(科目对照回款!$G$10="",0,SUMIFS(输入回款!$C:$C,输入回款!$A:$A,助手回款!$X64,输入回款!$B:$B,科目对照回款!$G$10)+SUMIFS(输入回款!$D:$D,输入回款!$A:$A,助手回款!$X64,输入回款!$B:$B,科目对照回款!$G$10))+IF(科目对照回款!$H$10="",0,SUMIFS(输入回款!$C:$C,输入回款!$A:$A,助手回款!$X64,输入回款!$B:$B,科目对照回款!$H$10)+SUMIFS(输入回款!$D:$D,输入回款!$A:$A,助手回款!$X64,输入回款!$B:$B,科目对照回款!$H$10)),2)</f>
        <v>-0</v>
      </c>
      <c r="H940" s="49" t="str">
        <f aca="false">IF(ROUND($G940,2)&gt;0,ROUND($G940,2),"")</f>
        <v/>
      </c>
      <c r="I940" s="49" t="str">
        <f aca="false">IF(ROUND($G940,2)&lt;0,-ROUND($G940,2),"")</f>
        <v/>
      </c>
      <c r="J940" s="20" t="n">
        <f aca="false">IF(ROUND($G940,2)=0,0,1)</f>
        <v>0</v>
      </c>
      <c r="K940" s="20" t="str">
        <f aca="false">IF($J940=0,"",SUM($J$932:$J940))</f>
        <v/>
      </c>
      <c r="L940" s="20" t="str">
        <f aca="false">IF($K940="","",$A940*100+$K940)</f>
        <v/>
      </c>
      <c r="M940" s="48" t="str">
        <f aca="false">参数!$B$4</f>
        <v>回款</v>
      </c>
    </row>
    <row r="941" customFormat="false" ht="13.5" hidden="false" customHeight="false" outlineLevel="0" collapsed="false">
      <c r="A941" s="47" t="n">
        <v>63</v>
      </c>
      <c r="B941" s="38" t="str">
        <f aca="false">助手回款!$B64</f>
        <v/>
      </c>
      <c r="C941" s="48" t="str">
        <f aca="false">助手回款!$C64</f>
        <v>备用18</v>
      </c>
      <c r="D941" s="48" t="str">
        <f aca="false">科目对照回款!$B11&amp;""</f>
        <v>企健网</v>
      </c>
      <c r="E941" s="48" t="str">
        <f aca="false">科目对照回款!$C11&amp;""</f>
        <v>应收账款</v>
      </c>
      <c r="F941" s="48" t="str">
        <f aca="false">科目对照回款!$D11&amp;""</f>
        <v>企健网</v>
      </c>
      <c r="G941" s="49" t="n">
        <f aca="false">-ROUND(IF(科目对照回款!$F$11="",0,SUMIFS(输入回款!$C:$C,输入回款!$A:$A,助手回款!$X64,输入回款!$B:$B,科目对照回款!$F$11)+SUMIFS(输入回款!$D:$D,输入回款!$A:$A,助手回款!$X64,输入回款!$B:$B,科目对照回款!$F$11))+IF(科目对照回款!$G$11="",0,SUMIFS(输入回款!$C:$C,输入回款!$A:$A,助手回款!$X64,输入回款!$B:$B,科目对照回款!$G$11)+SUMIFS(输入回款!$D:$D,输入回款!$A:$A,助手回款!$X64,输入回款!$B:$B,科目对照回款!$G$11))+IF(科目对照回款!$H$11="",0,SUMIFS(输入回款!$C:$C,输入回款!$A:$A,助手回款!$X64,输入回款!$B:$B,科目对照回款!$H$11)+SUMIFS(输入回款!$D:$D,输入回款!$A:$A,助手回款!$X64,输入回款!$B:$B,科目对照回款!$H$11)),2)</f>
        <v>-0</v>
      </c>
      <c r="H941" s="49" t="str">
        <f aca="false">IF(ROUND($G941,2)&gt;0,ROUND($G941,2),"")</f>
        <v/>
      </c>
      <c r="I941" s="49" t="str">
        <f aca="false">IF(ROUND($G941,2)&lt;0,-ROUND($G941,2),"")</f>
        <v/>
      </c>
      <c r="J941" s="20" t="n">
        <f aca="false">IF(ROUND($G941,2)=0,0,1)</f>
        <v>0</v>
      </c>
      <c r="K941" s="20" t="str">
        <f aca="false">IF($J941=0,"",SUM($J$932:$J941))</f>
        <v/>
      </c>
      <c r="L941" s="20" t="str">
        <f aca="false">IF($K941="","",$A941*100+$K941)</f>
        <v/>
      </c>
      <c r="M941" s="48" t="str">
        <f aca="false">参数!$B$4</f>
        <v>回款</v>
      </c>
    </row>
    <row r="942" customFormat="false" ht="13.5" hidden="false" customHeight="false" outlineLevel="0" collapsed="false">
      <c r="A942" s="47" t="n">
        <v>63</v>
      </c>
      <c r="B942" s="38" t="str">
        <f aca="false">助手回款!$B64</f>
        <v/>
      </c>
      <c r="C942" s="48" t="str">
        <f aca="false">助手回款!$C64</f>
        <v>备用18</v>
      </c>
      <c r="D942" s="48" t="str">
        <f aca="false">科目对照回款!$B12&amp;""</f>
        <v>亲情卡</v>
      </c>
      <c r="E942" s="48" t="str">
        <f aca="false">科目对照回款!$C12&amp;""</f>
        <v>应收账款</v>
      </c>
      <c r="F942" s="48" t="str">
        <f aca="false">科目对照回款!$D12&amp;""</f>
        <v>亲情卡</v>
      </c>
      <c r="G942" s="49" t="n">
        <f aca="false">-ROUND(IF(科目对照回款!$F$12="",0,SUMIFS(输入回款!$C:$C,输入回款!$A:$A,助手回款!$X64,输入回款!$B:$B,科目对照回款!$F$12)+SUMIFS(输入回款!$D:$D,输入回款!$A:$A,助手回款!$X64,输入回款!$B:$B,科目对照回款!$F$12))+IF(科目对照回款!$G$12="",0,SUMIFS(输入回款!$C:$C,输入回款!$A:$A,助手回款!$X64,输入回款!$B:$B,科目对照回款!$G$12)+SUMIFS(输入回款!$D:$D,输入回款!$A:$A,助手回款!$X64,输入回款!$B:$B,科目对照回款!$G$12))+IF(科目对照回款!$H$12="",0,SUMIFS(输入回款!$C:$C,输入回款!$A:$A,助手回款!$X64,输入回款!$B:$B,科目对照回款!$H$12)+SUMIFS(输入回款!$D:$D,输入回款!$A:$A,助手回款!$X64,输入回款!$B:$B,科目对照回款!$H$12)),2)</f>
        <v>-0</v>
      </c>
      <c r="H942" s="49" t="str">
        <f aca="false">IF(ROUND($G942,2)&gt;0,ROUND($G942,2),"")</f>
        <v/>
      </c>
      <c r="I942" s="49" t="str">
        <f aca="false">IF(ROUND($G942,2)&lt;0,-ROUND($G942,2),"")</f>
        <v/>
      </c>
      <c r="J942" s="20" t="n">
        <f aca="false">IF(ROUND($G942,2)=0,0,1)</f>
        <v>0</v>
      </c>
      <c r="K942" s="20" t="str">
        <f aca="false">IF($J942=0,"",SUM($J$932:$J942))</f>
        <v/>
      </c>
      <c r="L942" s="20" t="str">
        <f aca="false">IF($K942="","",$A942*100+$K942)</f>
        <v/>
      </c>
      <c r="M942" s="48" t="str">
        <f aca="false">参数!$B$4</f>
        <v>回款</v>
      </c>
    </row>
    <row r="943" customFormat="false" ht="13.5" hidden="false" customHeight="false" outlineLevel="0" collapsed="false">
      <c r="A943" s="47" t="n">
        <v>63</v>
      </c>
      <c r="B943" s="38" t="str">
        <f aca="false">助手回款!$B64</f>
        <v/>
      </c>
      <c r="C943" s="48" t="str">
        <f aca="false">助手回款!$C64</f>
        <v>备用18</v>
      </c>
      <c r="D943" s="48" t="str">
        <f aca="false">科目对照回款!$B13&amp;""</f>
        <v>银联</v>
      </c>
      <c r="E943" s="48" t="str">
        <f aca="false">科目对照回款!$C13&amp;""</f>
        <v>应收账款</v>
      </c>
      <c r="F943" s="48" t="str">
        <f aca="false">科目对照回款!$D13&amp;""</f>
        <v>银联</v>
      </c>
      <c r="G943" s="49" t="n">
        <f aca="false">-ROUND(IF(科目对照回款!$F$13="",0,SUMIFS(输入回款!$C:$C,输入回款!$A:$A,助手回款!$X64,输入回款!$B:$B,科目对照回款!$F$13)+SUMIFS(输入回款!$D:$D,输入回款!$A:$A,助手回款!$X64,输入回款!$B:$B,科目对照回款!$F$13))+IF(科目对照回款!$G$13="",0,SUMIFS(输入回款!$C:$C,输入回款!$A:$A,助手回款!$X64,输入回款!$B:$B,科目对照回款!$G$13)+SUMIFS(输入回款!$D:$D,输入回款!$A:$A,助手回款!$X64,输入回款!$B:$B,科目对照回款!$G$13))+IF(科目对照回款!$H$13="",0,SUMIFS(输入回款!$C:$C,输入回款!$A:$A,助手回款!$X64,输入回款!$B:$B,科目对照回款!$H$13)+SUMIFS(输入回款!$D:$D,输入回款!$A:$A,助手回款!$X64,输入回款!$B:$B,科目对照回款!$H$13)),2)</f>
        <v>-0</v>
      </c>
      <c r="H943" s="49" t="str">
        <f aca="false">IF(ROUND($G943,2)&gt;0,ROUND($G943,2),"")</f>
        <v/>
      </c>
      <c r="I943" s="49" t="str">
        <f aca="false">IF(ROUND($G943,2)&lt;0,-ROUND($G943,2),"")</f>
        <v/>
      </c>
      <c r="J943" s="20" t="n">
        <f aca="false">IF(ROUND($G943,2)=0,0,1)</f>
        <v>0</v>
      </c>
      <c r="K943" s="20" t="str">
        <f aca="false">IF($J943=0,"",SUM($J$932:$J943))</f>
        <v/>
      </c>
      <c r="L943" s="20" t="str">
        <f aca="false">IF($K943="","",$A943*100+$K943)</f>
        <v/>
      </c>
      <c r="M943" s="48" t="str">
        <f aca="false">参数!$B$4</f>
        <v>回款</v>
      </c>
    </row>
    <row r="944" customFormat="false" ht="13.5" hidden="false" customHeight="false" outlineLevel="0" collapsed="false">
      <c r="A944" s="47" t="n">
        <v>63</v>
      </c>
      <c r="B944" s="38" t="str">
        <f aca="false">助手回款!$B64</f>
        <v/>
      </c>
      <c r="C944" s="48" t="str">
        <f aca="false">助手回款!$C64</f>
        <v>备用18</v>
      </c>
      <c r="D944" s="48" t="str">
        <f aca="false">科目对照回款!$B14&amp;""</f>
        <v>代金券</v>
      </c>
      <c r="E944" s="48" t="str">
        <f aca="false">科目对照回款!$C14&amp;""</f>
        <v>应收账款</v>
      </c>
      <c r="F944" s="48" t="str">
        <f aca="false">科目对照回款!$D14&amp;""</f>
        <v>代金券</v>
      </c>
      <c r="G944" s="49" t="n">
        <f aca="false">-ROUND(IF(科目对照回款!$F$14="",0,SUMIFS(输入回款!$C:$C,输入回款!$A:$A,助手回款!$X64,输入回款!$B:$B,科目对照回款!$F$14)+SUMIFS(输入回款!$D:$D,输入回款!$A:$A,助手回款!$X64,输入回款!$B:$B,科目对照回款!$F$14))+IF(科目对照回款!$G$14="",0,SUMIFS(输入回款!$C:$C,输入回款!$A:$A,助手回款!$X64,输入回款!$B:$B,科目对照回款!$G$14)+SUMIFS(输入回款!$D:$D,输入回款!$A:$A,助手回款!$X64,输入回款!$B:$B,科目对照回款!$G$14))+IF(科目对照回款!$H$14="",0,SUMIFS(输入回款!$C:$C,输入回款!$A:$A,助手回款!$X64,输入回款!$B:$B,科目对照回款!$H$14)+SUMIFS(输入回款!$D:$D,输入回款!$A:$A,助手回款!$X64,输入回款!$B:$B,科目对照回款!$H$14)),2)</f>
        <v>-0</v>
      </c>
      <c r="H944" s="49" t="str">
        <f aca="false">IF(ROUND($G944,2)&gt;0,ROUND($G944,2),"")</f>
        <v/>
      </c>
      <c r="I944" s="49" t="str">
        <f aca="false">IF(ROUND($G944,2)&lt;0,-ROUND($G944,2),"")</f>
        <v/>
      </c>
      <c r="J944" s="20" t="n">
        <f aca="false">IF(ROUND($G944,2)=0,0,1)</f>
        <v>0</v>
      </c>
      <c r="K944" s="20" t="str">
        <f aca="false">IF($J944=0,"",SUM($J$932:$J944))</f>
        <v/>
      </c>
      <c r="L944" s="20" t="str">
        <f aca="false">IF($K944="","",$A944*100+$K944)</f>
        <v/>
      </c>
      <c r="M944" s="48" t="str">
        <f aca="false">参数!$B$4</f>
        <v>回款</v>
      </c>
    </row>
    <row r="945" customFormat="false" ht="13.5" hidden="false" customHeight="false" outlineLevel="0" collapsed="false">
      <c r="A945" s="47" t="n">
        <v>63</v>
      </c>
      <c r="B945" s="38" t="str">
        <f aca="false">助手回款!$B64</f>
        <v/>
      </c>
      <c r="C945" s="48" t="str">
        <f aca="false">助手回款!$C64</f>
        <v>备用18</v>
      </c>
      <c r="D945" s="48" t="str">
        <f aca="false">科目对照回款!$B15&amp;""</f>
        <v>药机微信</v>
      </c>
      <c r="E945" s="48" t="str">
        <f aca="false">科目对照回款!$C15&amp;""</f>
        <v>应收账款</v>
      </c>
      <c r="F945" s="48" t="str">
        <f aca="false">科目对照回款!$D15&amp;""</f>
        <v>药机微信</v>
      </c>
      <c r="G945" s="49" t="n">
        <f aca="false">-ROUND(IF(科目对照回款!$F$15="",0,SUMIFS(输入回款!$C:$C,输入回款!$A:$A,助手回款!$X64,输入回款!$B:$B,科目对照回款!$F$15)+SUMIFS(输入回款!$D:$D,输入回款!$A:$A,助手回款!$X64,输入回款!$B:$B,科目对照回款!$F$15))+IF(科目对照回款!$G$15="",0,SUMIFS(输入回款!$C:$C,输入回款!$A:$A,助手回款!$X64,输入回款!$B:$B,科目对照回款!$G$15)+SUMIFS(输入回款!$D:$D,输入回款!$A:$A,助手回款!$X64,输入回款!$B:$B,科目对照回款!$G$15))+IF(科目对照回款!$H$15="",0,SUMIFS(输入回款!$C:$C,输入回款!$A:$A,助手回款!$X64,输入回款!$B:$B,科目对照回款!$H$15)+SUMIFS(输入回款!$D:$D,输入回款!$A:$A,助手回款!$X64,输入回款!$B:$B,科目对照回款!$H$15)),2)</f>
        <v>-0</v>
      </c>
      <c r="H945" s="49" t="str">
        <f aca="false">IF(ROUND($G945,2)&gt;0,ROUND($G945,2),"")</f>
        <v/>
      </c>
      <c r="I945" s="49" t="str">
        <f aca="false">IF(ROUND($G945,2)&lt;0,-ROUND($G945,2),"")</f>
        <v/>
      </c>
      <c r="J945" s="20" t="n">
        <f aca="false">IF(ROUND($G945,2)=0,0,1)</f>
        <v>0</v>
      </c>
      <c r="K945" s="20" t="str">
        <f aca="false">IF($J945=0,"",SUM($J$932:$J945))</f>
        <v/>
      </c>
      <c r="L945" s="20" t="str">
        <f aca="false">IF($K945="","",$A945*100+$K945)</f>
        <v/>
      </c>
      <c r="M945" s="48" t="str">
        <f aca="false">参数!$B$4</f>
        <v>回款</v>
      </c>
    </row>
    <row r="946" customFormat="false" ht="13.5" hidden="false" customHeight="false" outlineLevel="0" collapsed="false">
      <c r="A946" s="47" t="n">
        <v>63</v>
      </c>
      <c r="B946" s="38" t="str">
        <f aca="false">助手回款!$B64</f>
        <v/>
      </c>
      <c r="C946" s="48" t="str">
        <f aca="false">助手回款!$C64</f>
        <v>备用18</v>
      </c>
      <c r="D946" s="48" t="str">
        <f aca="false">科目对照回款!$B16&amp;""</f>
        <v>储值卡</v>
      </c>
      <c r="E946" s="48" t="str">
        <f aca="false">科目对照回款!$C16&amp;""</f>
        <v>其他应收款</v>
      </c>
      <c r="F946" s="48" t="str">
        <f aca="false">科目对照回款!$D16&amp;""</f>
        <v>储值卡</v>
      </c>
      <c r="G946" s="49" t="n">
        <f aca="false">-ROUND(IF(科目对照回款!$F$16="",0,SUMIFS(输入回款!$C:$C,输入回款!$A:$A,助手回款!$X64,输入回款!$B:$B,科目对照回款!$F$16)+SUMIFS(输入回款!$D:$D,输入回款!$A:$A,助手回款!$X64,输入回款!$B:$B,科目对照回款!$F$16))+IF(科目对照回款!$G$16="",0,SUMIFS(输入回款!$C:$C,输入回款!$A:$A,助手回款!$X64,输入回款!$B:$B,科目对照回款!$G$16)+SUMIFS(输入回款!$D:$D,输入回款!$A:$A,助手回款!$X64,输入回款!$B:$B,科目对照回款!$G$16))+IF(科目对照回款!$H$16="",0,SUMIFS(输入回款!$C:$C,输入回款!$A:$A,助手回款!$X64,输入回款!$B:$B,科目对照回款!$H$16)+SUMIFS(输入回款!$D:$D,输入回款!$A:$A,助手回款!$X64,输入回款!$B:$B,科目对照回款!$H$16)),2)</f>
        <v>-0</v>
      </c>
      <c r="H946" s="49" t="str">
        <f aca="false">IF(ROUND($G946,2)&gt;0,ROUND($G946,2),"")</f>
        <v/>
      </c>
      <c r="I946" s="49" t="str">
        <f aca="false">IF(ROUND($G946,2)&lt;0,-ROUND($G946,2),"")</f>
        <v/>
      </c>
      <c r="J946" s="20" t="n">
        <f aca="false">IF(ROUND($G946,2)=0,0,1)</f>
        <v>0</v>
      </c>
      <c r="K946" s="20" t="str">
        <f aca="false">IF($J946=0,"",SUM($J$932:$J946))</f>
        <v/>
      </c>
      <c r="L946" s="20" t="str">
        <f aca="false">IF($K946="","",$A946*100+$K946)</f>
        <v/>
      </c>
      <c r="M946" s="48" t="str">
        <f aca="false">参数!$B$4</f>
        <v>回款</v>
      </c>
    </row>
    <row r="947" customFormat="false" ht="13.5" hidden="false" customHeight="false" outlineLevel="0" collapsed="false">
      <c r="A947" s="47" t="n">
        <v>64</v>
      </c>
      <c r="B947" s="38" t="str">
        <f aca="false">助手回款!$B65</f>
        <v/>
      </c>
      <c r="C947" s="48" t="str">
        <f aca="false">助手回款!$C65</f>
        <v>备用19</v>
      </c>
      <c r="D947" s="48" t="str">
        <f aca="false">科目对照回款!$B2&amp;""</f>
        <v>库存现金</v>
      </c>
      <c r="E947" s="48" t="str">
        <f aca="false">科目对照回款!$C2&amp;""</f>
        <v>库存现金</v>
      </c>
      <c r="F947" s="48" t="str">
        <f aca="false">科目对照回款!$D2&amp;""</f>
        <v/>
      </c>
      <c r="G947" s="49" t="n">
        <f aca="false">助手回款!$E65</f>
        <v>0</v>
      </c>
      <c r="H947" s="49" t="str">
        <f aca="false">IF(ROUND($G947,2)&gt;0,ROUND($G947,2),"")</f>
        <v/>
      </c>
      <c r="I947" s="49" t="str">
        <f aca="false">IF(ROUND($G947,2)&lt;0,-ROUND($G947,2),"")</f>
        <v/>
      </c>
      <c r="J947" s="20" t="n">
        <f aca="false">IF(ROUND($G947,2)=0,0,1)</f>
        <v>0</v>
      </c>
      <c r="K947" s="20" t="str">
        <f aca="false">IF($J947=0,"",SUM($J$947:$J947))</f>
        <v/>
      </c>
      <c r="L947" s="20" t="str">
        <f aca="false">IF($K947="","",$A947*100+$K947)</f>
        <v/>
      </c>
      <c r="M947" s="48" t="str">
        <f aca="false">参数!$B$4</f>
        <v>回款</v>
      </c>
    </row>
    <row r="948" customFormat="false" ht="13.5" hidden="false" customHeight="false" outlineLevel="0" collapsed="false">
      <c r="A948" s="47" t="n">
        <v>64</v>
      </c>
      <c r="B948" s="38" t="str">
        <f aca="false">助手回款!$B65</f>
        <v/>
      </c>
      <c r="C948" s="48" t="str">
        <f aca="false">助手回款!$C65</f>
        <v>备用19</v>
      </c>
      <c r="D948" s="48" t="str">
        <f aca="false">科目对照回款!$B3&amp;""</f>
        <v>手续费</v>
      </c>
      <c r="E948" s="48" t="str">
        <f aca="false">科目对照回款!$C3&amp;""</f>
        <v>财务费用</v>
      </c>
      <c r="F948" s="48" t="str">
        <f aca="false">科目对照回款!$D3&amp;""</f>
        <v>手续费</v>
      </c>
      <c r="G948" s="49" t="n">
        <f aca="false">助手回款!$F65</f>
        <v>0</v>
      </c>
      <c r="H948" s="49" t="str">
        <f aca="false">IF(ROUND($G948,2)&gt;0,ROUND($G948,2),"")</f>
        <v/>
      </c>
      <c r="I948" s="49" t="str">
        <f aca="false">IF(ROUND($G948,2)&lt;0,-ROUND($G948,2),"")</f>
        <v/>
      </c>
      <c r="J948" s="20" t="n">
        <f aca="false">IF(ROUND($G948,2)=0,0,1)</f>
        <v>0</v>
      </c>
      <c r="K948" s="20" t="str">
        <f aca="false">IF($J948=0,"",SUM($J$947:$J948))</f>
        <v/>
      </c>
      <c r="L948" s="20" t="str">
        <f aca="false">IF($K948="","",$A948*100+$K948)</f>
        <v/>
      </c>
      <c r="M948" s="48" t="str">
        <f aca="false">参数!$B$4</f>
        <v>回款</v>
      </c>
    </row>
    <row r="949" customFormat="false" ht="13.5" hidden="false" customHeight="false" outlineLevel="0" collapsed="false">
      <c r="A949" s="47" t="n">
        <v>64</v>
      </c>
      <c r="B949" s="38" t="str">
        <f aca="false">助手回款!$B65</f>
        <v/>
      </c>
      <c r="C949" s="48" t="str">
        <f aca="false">助手回款!$C65</f>
        <v>备用19</v>
      </c>
      <c r="D949" s="48" t="str">
        <f aca="false">科目对照回款!$B4&amp;""</f>
        <v>聚合支付</v>
      </c>
      <c r="E949" s="48" t="str">
        <f aca="false">科目对照回款!$C4&amp;""</f>
        <v>应收账款</v>
      </c>
      <c r="F949" s="48" t="str">
        <f aca="false">科目对照回款!$D4&amp;""</f>
        <v>聚合支付</v>
      </c>
      <c r="G949" s="49" t="n">
        <f aca="false">-ROUND(IF(科目对照回款!$F$4="",0,SUMIFS(输入回款!$C:$C,输入回款!$A:$A,助手回款!$X65,输入回款!$B:$B,科目对照回款!$F$4)+SUMIFS(输入回款!$D:$D,输入回款!$A:$A,助手回款!$X65,输入回款!$B:$B,科目对照回款!$F$4))+IF(科目对照回款!$G$4="",0,SUMIFS(输入回款!$C:$C,输入回款!$A:$A,助手回款!$X65,输入回款!$B:$B,科目对照回款!$G$4)+SUMIFS(输入回款!$D:$D,输入回款!$A:$A,助手回款!$X65,输入回款!$B:$B,科目对照回款!$G$4))+IF(科目对照回款!$H$4="",0,SUMIFS(输入回款!$C:$C,输入回款!$A:$A,助手回款!$X65,输入回款!$B:$B,科目对照回款!$H$4)+SUMIFS(输入回款!$D:$D,输入回款!$A:$A,助手回款!$X65,输入回款!$B:$B,科目对照回款!$H$4)),2)</f>
        <v>-0</v>
      </c>
      <c r="H949" s="49" t="str">
        <f aca="false">IF(ROUND($G949,2)&gt;0,ROUND($G949,2),"")</f>
        <v/>
      </c>
      <c r="I949" s="49" t="str">
        <f aca="false">IF(ROUND($G949,2)&lt;0,-ROUND($G949,2),"")</f>
        <v/>
      </c>
      <c r="J949" s="20" t="n">
        <f aca="false">IF(ROUND($G949,2)=0,0,1)</f>
        <v>0</v>
      </c>
      <c r="K949" s="20" t="str">
        <f aca="false">IF($J949=0,"",SUM($J$947:$J949))</f>
        <v/>
      </c>
      <c r="L949" s="20" t="str">
        <f aca="false">IF($K949="","",$A949*100+$K949)</f>
        <v/>
      </c>
      <c r="M949" s="48" t="str">
        <f aca="false">参数!$B$4</f>
        <v>回款</v>
      </c>
    </row>
    <row r="950" customFormat="false" ht="13.5" hidden="false" customHeight="false" outlineLevel="0" collapsed="false">
      <c r="A950" s="47" t="n">
        <v>64</v>
      </c>
      <c r="B950" s="38" t="str">
        <f aca="false">助手回款!$B65</f>
        <v/>
      </c>
      <c r="C950" s="48" t="str">
        <f aca="false">助手回款!$C65</f>
        <v>备用19</v>
      </c>
      <c r="D950" s="48" t="str">
        <f aca="false">科目对照回款!$B5&amp;""</f>
        <v>医保</v>
      </c>
      <c r="E950" s="48" t="str">
        <f aca="false">科目对照回款!$C5&amp;""</f>
        <v>应收账款</v>
      </c>
      <c r="F950" s="48" t="str">
        <f aca="false">科目对照回款!$D5&amp;""</f>
        <v>医保</v>
      </c>
      <c r="G950" s="49" t="n">
        <f aca="false">-ROUND(IF(科目对照回款!$F$5="",0,SUMIFS(输入回款!$C:$C,输入回款!$A:$A,助手回款!$X65,输入回款!$B:$B,科目对照回款!$F$5)+SUMIFS(输入回款!$D:$D,输入回款!$A:$A,助手回款!$X65,输入回款!$B:$B,科目对照回款!$F$5))+IF(科目对照回款!$G$5="",0,SUMIFS(输入回款!$C:$C,输入回款!$A:$A,助手回款!$X65,输入回款!$B:$B,科目对照回款!$G$5)+SUMIFS(输入回款!$D:$D,输入回款!$A:$A,助手回款!$X65,输入回款!$B:$B,科目对照回款!$G$5))+IF(科目对照回款!$H$5="",0,SUMIFS(输入回款!$C:$C,输入回款!$A:$A,助手回款!$X65,输入回款!$B:$B,科目对照回款!$H$5)+SUMIFS(输入回款!$D:$D,输入回款!$A:$A,助手回款!$X65,输入回款!$B:$B,科目对照回款!$H$5)),2)</f>
        <v>-0</v>
      </c>
      <c r="H950" s="49" t="str">
        <f aca="false">IF(ROUND($G950,2)&gt;0,ROUND($G950,2),"")</f>
        <v/>
      </c>
      <c r="I950" s="49" t="str">
        <f aca="false">IF(ROUND($G950,2)&lt;0,-ROUND($G950,2),"")</f>
        <v/>
      </c>
      <c r="J950" s="20" t="n">
        <f aca="false">IF(ROUND($G950,2)=0,0,1)</f>
        <v>0</v>
      </c>
      <c r="K950" s="20" t="str">
        <f aca="false">IF($J950=0,"",SUM($J$947:$J950))</f>
        <v/>
      </c>
      <c r="L950" s="20" t="str">
        <f aca="false">IF($K950="","",$A950*100+$K950)</f>
        <v/>
      </c>
      <c r="M950" s="48" t="str">
        <f aca="false">参数!$B$4</f>
        <v>回款</v>
      </c>
    </row>
    <row r="951" customFormat="false" ht="13.5" hidden="false" customHeight="false" outlineLevel="0" collapsed="false">
      <c r="A951" s="47" t="n">
        <v>64</v>
      </c>
      <c r="B951" s="38" t="str">
        <f aca="false">助手回款!$B65</f>
        <v/>
      </c>
      <c r="C951" s="48" t="str">
        <f aca="false">助手回款!$C65</f>
        <v>备用19</v>
      </c>
      <c r="D951" s="48" t="str">
        <f aca="false">科目对照回款!$B6&amp;""</f>
        <v>美团</v>
      </c>
      <c r="E951" s="48" t="str">
        <f aca="false">科目对照回款!$C6&amp;""</f>
        <v>应收账款</v>
      </c>
      <c r="F951" s="48" t="str">
        <f aca="false">科目对照回款!$D6&amp;""</f>
        <v>美团</v>
      </c>
      <c r="G951" s="49" t="n">
        <f aca="false">-ROUND(IF(科目对照回款!$F$6="",0,SUMIFS(输入回款!$C:$C,输入回款!$A:$A,助手回款!$X65,输入回款!$B:$B,科目对照回款!$F$6)+SUMIFS(输入回款!$D:$D,输入回款!$A:$A,助手回款!$X65,输入回款!$B:$B,科目对照回款!$F$6))+IF(科目对照回款!$G$6="",0,SUMIFS(输入回款!$C:$C,输入回款!$A:$A,助手回款!$X65,输入回款!$B:$B,科目对照回款!$G$6)+SUMIFS(输入回款!$D:$D,输入回款!$A:$A,助手回款!$X65,输入回款!$B:$B,科目对照回款!$G$6))+IF(科目对照回款!$H$6="",0,SUMIFS(输入回款!$C:$C,输入回款!$A:$A,助手回款!$X65,输入回款!$B:$B,科目对照回款!$H$6)+SUMIFS(输入回款!$D:$D,输入回款!$A:$A,助手回款!$X65,输入回款!$B:$B,科目对照回款!$H$6)),2)</f>
        <v>-0</v>
      </c>
      <c r="H951" s="49" t="str">
        <f aca="false">IF(ROUND($G951,2)&gt;0,ROUND($G951,2),"")</f>
        <v/>
      </c>
      <c r="I951" s="49" t="str">
        <f aca="false">IF(ROUND($G951,2)&lt;0,-ROUND($G951,2),"")</f>
        <v/>
      </c>
      <c r="J951" s="20" t="n">
        <f aca="false">IF(ROUND($G951,2)=0,0,1)</f>
        <v>0</v>
      </c>
      <c r="K951" s="20" t="str">
        <f aca="false">IF($J951=0,"",SUM($J$947:$J951))</f>
        <v/>
      </c>
      <c r="L951" s="20" t="str">
        <f aca="false">IF($K951="","",$A951*100+$K951)</f>
        <v/>
      </c>
      <c r="M951" s="48" t="str">
        <f aca="false">参数!$B$4</f>
        <v>回款</v>
      </c>
    </row>
    <row r="952" customFormat="false" ht="13.5" hidden="false" customHeight="false" outlineLevel="0" collapsed="false">
      <c r="A952" s="47" t="n">
        <v>64</v>
      </c>
      <c r="B952" s="38" t="str">
        <f aca="false">助手回款!$B65</f>
        <v/>
      </c>
      <c r="C952" s="48" t="str">
        <f aca="false">助手回款!$C65</f>
        <v>备用19</v>
      </c>
      <c r="D952" s="48" t="str">
        <f aca="false">科目对照回款!$B7&amp;""</f>
        <v>饿了么</v>
      </c>
      <c r="E952" s="48" t="str">
        <f aca="false">科目对照回款!$C7&amp;""</f>
        <v>应收账款</v>
      </c>
      <c r="F952" s="48" t="str">
        <f aca="false">科目对照回款!$D7&amp;""</f>
        <v>饿了么</v>
      </c>
      <c r="G952" s="49" t="n">
        <f aca="false">-ROUND(IF(科目对照回款!$F$7="",0,SUMIFS(输入回款!$C:$C,输入回款!$A:$A,助手回款!$X65,输入回款!$B:$B,科目对照回款!$F$7)+SUMIFS(输入回款!$D:$D,输入回款!$A:$A,助手回款!$X65,输入回款!$B:$B,科目对照回款!$F$7))+IF(科目对照回款!$G$7="",0,SUMIFS(输入回款!$C:$C,输入回款!$A:$A,助手回款!$X65,输入回款!$B:$B,科目对照回款!$G$7)+SUMIFS(输入回款!$D:$D,输入回款!$A:$A,助手回款!$X65,输入回款!$B:$B,科目对照回款!$G$7))+IF(科目对照回款!$H$7="",0,SUMIFS(输入回款!$C:$C,输入回款!$A:$A,助手回款!$X65,输入回款!$B:$B,科目对照回款!$H$7)+SUMIFS(输入回款!$D:$D,输入回款!$A:$A,助手回款!$X65,输入回款!$B:$B,科目对照回款!$H$7)),2)</f>
        <v>-0</v>
      </c>
      <c r="H952" s="49" t="str">
        <f aca="false">IF(ROUND($G952,2)&gt;0,ROUND($G952,2),"")</f>
        <v/>
      </c>
      <c r="I952" s="49" t="str">
        <f aca="false">IF(ROUND($G952,2)&lt;0,-ROUND($G952,2),"")</f>
        <v/>
      </c>
      <c r="J952" s="20" t="n">
        <f aca="false">IF(ROUND($G952,2)=0,0,1)</f>
        <v>0</v>
      </c>
      <c r="K952" s="20" t="str">
        <f aca="false">IF($J952=0,"",SUM($J$947:$J952))</f>
        <v/>
      </c>
      <c r="L952" s="20" t="str">
        <f aca="false">IF($K952="","",$A952*100+$K952)</f>
        <v/>
      </c>
      <c r="M952" s="48" t="str">
        <f aca="false">参数!$B$4</f>
        <v>回款</v>
      </c>
    </row>
    <row r="953" customFormat="false" ht="13.5" hidden="false" customHeight="false" outlineLevel="0" collapsed="false">
      <c r="A953" s="47" t="n">
        <v>64</v>
      </c>
      <c r="B953" s="38" t="str">
        <f aca="false">助手回款!$B65</f>
        <v/>
      </c>
      <c r="C953" s="48" t="str">
        <f aca="false">助手回款!$C65</f>
        <v>备用19</v>
      </c>
      <c r="D953" s="48" t="str">
        <f aca="false">科目对照回款!$B8&amp;""</f>
        <v>24小时</v>
      </c>
      <c r="E953" s="48" t="str">
        <f aca="false">科目对照回款!$C8&amp;""</f>
        <v>应收账款</v>
      </c>
      <c r="F953" s="48" t="str">
        <f aca="false">科目对照回款!$D8&amp;""</f>
        <v>24小时</v>
      </c>
      <c r="G953" s="49" t="n">
        <f aca="false">-ROUND(IF(科目对照回款!$F$8="",0,SUMIFS(输入回款!$C:$C,输入回款!$A:$A,助手回款!$X65,输入回款!$B:$B,科目对照回款!$F$8)+SUMIFS(输入回款!$D:$D,输入回款!$A:$A,助手回款!$X65,输入回款!$B:$B,科目对照回款!$F$8))+IF(科目对照回款!$G$8="",0,SUMIFS(输入回款!$C:$C,输入回款!$A:$A,助手回款!$X65,输入回款!$B:$B,科目对照回款!$G$8)+SUMIFS(输入回款!$D:$D,输入回款!$A:$A,助手回款!$X65,输入回款!$B:$B,科目对照回款!$G$8))+IF(科目对照回款!$H$8="",0,SUMIFS(输入回款!$C:$C,输入回款!$A:$A,助手回款!$X65,输入回款!$B:$B,科目对照回款!$H$8)+SUMIFS(输入回款!$D:$D,输入回款!$A:$A,助手回款!$X65,输入回款!$B:$B,科目对照回款!$H$8)),2)</f>
        <v>-0</v>
      </c>
      <c r="H953" s="49" t="str">
        <f aca="false">IF(ROUND($G953,2)&gt;0,ROUND($G953,2),"")</f>
        <v/>
      </c>
      <c r="I953" s="49" t="str">
        <f aca="false">IF(ROUND($G953,2)&lt;0,-ROUND($G953,2),"")</f>
        <v/>
      </c>
      <c r="J953" s="20" t="n">
        <f aca="false">IF(ROUND($G953,2)=0,0,1)</f>
        <v>0</v>
      </c>
      <c r="K953" s="20" t="str">
        <f aca="false">IF($J953=0,"",SUM($J$947:$J953))</f>
        <v/>
      </c>
      <c r="L953" s="20" t="str">
        <f aca="false">IF($K953="","",$A953*100+$K953)</f>
        <v/>
      </c>
      <c r="M953" s="48" t="str">
        <f aca="false">参数!$B$4</f>
        <v>回款</v>
      </c>
    </row>
    <row r="954" customFormat="false" ht="13.5" hidden="false" customHeight="false" outlineLevel="0" collapsed="false">
      <c r="A954" s="47" t="n">
        <v>64</v>
      </c>
      <c r="B954" s="38" t="str">
        <f aca="false">助手回款!$B65</f>
        <v/>
      </c>
      <c r="C954" s="48" t="str">
        <f aca="false">助手回款!$C65</f>
        <v>备用19</v>
      </c>
      <c r="D954" s="48" t="str">
        <f aca="false">科目对照回款!$B9&amp;""</f>
        <v>健E卡</v>
      </c>
      <c r="E954" s="48" t="str">
        <f aca="false">科目对照回款!$C9&amp;""</f>
        <v>应收账款</v>
      </c>
      <c r="F954" s="48" t="str">
        <f aca="false">科目对照回款!$D9&amp;""</f>
        <v>健E卡</v>
      </c>
      <c r="G954" s="49" t="n">
        <f aca="false">-ROUND(IF(科目对照回款!$F$9="",0,SUMIFS(输入回款!$C:$C,输入回款!$A:$A,助手回款!$X65,输入回款!$B:$B,科目对照回款!$F$9)+SUMIFS(输入回款!$D:$D,输入回款!$A:$A,助手回款!$X65,输入回款!$B:$B,科目对照回款!$F$9))+IF(科目对照回款!$G$9="",0,SUMIFS(输入回款!$C:$C,输入回款!$A:$A,助手回款!$X65,输入回款!$B:$B,科目对照回款!$G$9)+SUMIFS(输入回款!$D:$D,输入回款!$A:$A,助手回款!$X65,输入回款!$B:$B,科目对照回款!$G$9))+IF(科目对照回款!$H$9="",0,SUMIFS(输入回款!$C:$C,输入回款!$A:$A,助手回款!$X65,输入回款!$B:$B,科目对照回款!$H$9)+SUMIFS(输入回款!$D:$D,输入回款!$A:$A,助手回款!$X65,输入回款!$B:$B,科目对照回款!$H$9)),2)</f>
        <v>-0</v>
      </c>
      <c r="H954" s="49" t="str">
        <f aca="false">IF(ROUND($G954,2)&gt;0,ROUND($G954,2),"")</f>
        <v/>
      </c>
      <c r="I954" s="49" t="str">
        <f aca="false">IF(ROUND($G954,2)&lt;0,-ROUND($G954,2),"")</f>
        <v/>
      </c>
      <c r="J954" s="20" t="n">
        <f aca="false">IF(ROUND($G954,2)=0,0,1)</f>
        <v>0</v>
      </c>
      <c r="K954" s="20" t="str">
        <f aca="false">IF($J954=0,"",SUM($J$947:$J954))</f>
        <v/>
      </c>
      <c r="L954" s="20" t="str">
        <f aca="false">IF($K954="","",$A954*100+$K954)</f>
        <v/>
      </c>
      <c r="M954" s="48" t="str">
        <f aca="false">参数!$B$4</f>
        <v>回款</v>
      </c>
    </row>
    <row r="955" customFormat="false" ht="13.5" hidden="false" customHeight="false" outlineLevel="0" collapsed="false">
      <c r="A955" s="47" t="n">
        <v>64</v>
      </c>
      <c r="B955" s="38" t="str">
        <f aca="false">助手回款!$B65</f>
        <v/>
      </c>
      <c r="C955" s="48" t="str">
        <f aca="false">助手回款!$C65</f>
        <v>备用19</v>
      </c>
      <c r="D955" s="48" t="str">
        <f aca="false">科目对照回款!$B10&amp;""</f>
        <v>医卡通</v>
      </c>
      <c r="E955" s="48" t="str">
        <f aca="false">科目对照回款!$C10&amp;""</f>
        <v>应收账款</v>
      </c>
      <c r="F955" s="48" t="str">
        <f aca="false">科目对照回款!$D10&amp;""</f>
        <v>医卡通</v>
      </c>
      <c r="G955" s="49" t="n">
        <f aca="false">-ROUND(IF(科目对照回款!$F$10="",0,SUMIFS(输入回款!$C:$C,输入回款!$A:$A,助手回款!$X65,输入回款!$B:$B,科目对照回款!$F$10)+SUMIFS(输入回款!$D:$D,输入回款!$A:$A,助手回款!$X65,输入回款!$B:$B,科目对照回款!$F$10))+IF(科目对照回款!$G$10="",0,SUMIFS(输入回款!$C:$C,输入回款!$A:$A,助手回款!$X65,输入回款!$B:$B,科目对照回款!$G$10)+SUMIFS(输入回款!$D:$D,输入回款!$A:$A,助手回款!$X65,输入回款!$B:$B,科目对照回款!$G$10))+IF(科目对照回款!$H$10="",0,SUMIFS(输入回款!$C:$C,输入回款!$A:$A,助手回款!$X65,输入回款!$B:$B,科目对照回款!$H$10)+SUMIFS(输入回款!$D:$D,输入回款!$A:$A,助手回款!$X65,输入回款!$B:$B,科目对照回款!$H$10)),2)</f>
        <v>-0</v>
      </c>
      <c r="H955" s="49" t="str">
        <f aca="false">IF(ROUND($G955,2)&gt;0,ROUND($G955,2),"")</f>
        <v/>
      </c>
      <c r="I955" s="49" t="str">
        <f aca="false">IF(ROUND($G955,2)&lt;0,-ROUND($G955,2),"")</f>
        <v/>
      </c>
      <c r="J955" s="20" t="n">
        <f aca="false">IF(ROUND($G955,2)=0,0,1)</f>
        <v>0</v>
      </c>
      <c r="K955" s="20" t="str">
        <f aca="false">IF($J955=0,"",SUM($J$947:$J955))</f>
        <v/>
      </c>
      <c r="L955" s="20" t="str">
        <f aca="false">IF($K955="","",$A955*100+$K955)</f>
        <v/>
      </c>
      <c r="M955" s="48" t="str">
        <f aca="false">参数!$B$4</f>
        <v>回款</v>
      </c>
    </row>
    <row r="956" customFormat="false" ht="13.5" hidden="false" customHeight="false" outlineLevel="0" collapsed="false">
      <c r="A956" s="47" t="n">
        <v>64</v>
      </c>
      <c r="B956" s="38" t="str">
        <f aca="false">助手回款!$B65</f>
        <v/>
      </c>
      <c r="C956" s="48" t="str">
        <f aca="false">助手回款!$C65</f>
        <v>备用19</v>
      </c>
      <c r="D956" s="48" t="str">
        <f aca="false">科目对照回款!$B11&amp;""</f>
        <v>企健网</v>
      </c>
      <c r="E956" s="48" t="str">
        <f aca="false">科目对照回款!$C11&amp;""</f>
        <v>应收账款</v>
      </c>
      <c r="F956" s="48" t="str">
        <f aca="false">科目对照回款!$D11&amp;""</f>
        <v>企健网</v>
      </c>
      <c r="G956" s="49" t="n">
        <f aca="false">-ROUND(IF(科目对照回款!$F$11="",0,SUMIFS(输入回款!$C:$C,输入回款!$A:$A,助手回款!$X65,输入回款!$B:$B,科目对照回款!$F$11)+SUMIFS(输入回款!$D:$D,输入回款!$A:$A,助手回款!$X65,输入回款!$B:$B,科目对照回款!$F$11))+IF(科目对照回款!$G$11="",0,SUMIFS(输入回款!$C:$C,输入回款!$A:$A,助手回款!$X65,输入回款!$B:$B,科目对照回款!$G$11)+SUMIFS(输入回款!$D:$D,输入回款!$A:$A,助手回款!$X65,输入回款!$B:$B,科目对照回款!$G$11))+IF(科目对照回款!$H$11="",0,SUMIFS(输入回款!$C:$C,输入回款!$A:$A,助手回款!$X65,输入回款!$B:$B,科目对照回款!$H$11)+SUMIFS(输入回款!$D:$D,输入回款!$A:$A,助手回款!$X65,输入回款!$B:$B,科目对照回款!$H$11)),2)</f>
        <v>-0</v>
      </c>
      <c r="H956" s="49" t="str">
        <f aca="false">IF(ROUND($G956,2)&gt;0,ROUND($G956,2),"")</f>
        <v/>
      </c>
      <c r="I956" s="49" t="str">
        <f aca="false">IF(ROUND($G956,2)&lt;0,-ROUND($G956,2),"")</f>
        <v/>
      </c>
      <c r="J956" s="20" t="n">
        <f aca="false">IF(ROUND($G956,2)=0,0,1)</f>
        <v>0</v>
      </c>
      <c r="K956" s="20" t="str">
        <f aca="false">IF($J956=0,"",SUM($J$947:$J956))</f>
        <v/>
      </c>
      <c r="L956" s="20" t="str">
        <f aca="false">IF($K956="","",$A956*100+$K956)</f>
        <v/>
      </c>
      <c r="M956" s="48" t="str">
        <f aca="false">参数!$B$4</f>
        <v>回款</v>
      </c>
    </row>
    <row r="957" customFormat="false" ht="13.5" hidden="false" customHeight="false" outlineLevel="0" collapsed="false">
      <c r="A957" s="47" t="n">
        <v>64</v>
      </c>
      <c r="B957" s="38" t="str">
        <f aca="false">助手回款!$B65</f>
        <v/>
      </c>
      <c r="C957" s="48" t="str">
        <f aca="false">助手回款!$C65</f>
        <v>备用19</v>
      </c>
      <c r="D957" s="48" t="str">
        <f aca="false">科目对照回款!$B12&amp;""</f>
        <v>亲情卡</v>
      </c>
      <c r="E957" s="48" t="str">
        <f aca="false">科目对照回款!$C12&amp;""</f>
        <v>应收账款</v>
      </c>
      <c r="F957" s="48" t="str">
        <f aca="false">科目对照回款!$D12&amp;""</f>
        <v>亲情卡</v>
      </c>
      <c r="G957" s="49" t="n">
        <f aca="false">-ROUND(IF(科目对照回款!$F$12="",0,SUMIFS(输入回款!$C:$C,输入回款!$A:$A,助手回款!$X65,输入回款!$B:$B,科目对照回款!$F$12)+SUMIFS(输入回款!$D:$D,输入回款!$A:$A,助手回款!$X65,输入回款!$B:$B,科目对照回款!$F$12))+IF(科目对照回款!$G$12="",0,SUMIFS(输入回款!$C:$C,输入回款!$A:$A,助手回款!$X65,输入回款!$B:$B,科目对照回款!$G$12)+SUMIFS(输入回款!$D:$D,输入回款!$A:$A,助手回款!$X65,输入回款!$B:$B,科目对照回款!$G$12))+IF(科目对照回款!$H$12="",0,SUMIFS(输入回款!$C:$C,输入回款!$A:$A,助手回款!$X65,输入回款!$B:$B,科目对照回款!$H$12)+SUMIFS(输入回款!$D:$D,输入回款!$A:$A,助手回款!$X65,输入回款!$B:$B,科目对照回款!$H$12)),2)</f>
        <v>-0</v>
      </c>
      <c r="H957" s="49" t="str">
        <f aca="false">IF(ROUND($G957,2)&gt;0,ROUND($G957,2),"")</f>
        <v/>
      </c>
      <c r="I957" s="49" t="str">
        <f aca="false">IF(ROUND($G957,2)&lt;0,-ROUND($G957,2),"")</f>
        <v/>
      </c>
      <c r="J957" s="20" t="n">
        <f aca="false">IF(ROUND($G957,2)=0,0,1)</f>
        <v>0</v>
      </c>
      <c r="K957" s="20" t="str">
        <f aca="false">IF($J957=0,"",SUM($J$947:$J957))</f>
        <v/>
      </c>
      <c r="L957" s="20" t="str">
        <f aca="false">IF($K957="","",$A957*100+$K957)</f>
        <v/>
      </c>
      <c r="M957" s="48" t="str">
        <f aca="false">参数!$B$4</f>
        <v>回款</v>
      </c>
    </row>
    <row r="958" customFormat="false" ht="13.5" hidden="false" customHeight="false" outlineLevel="0" collapsed="false">
      <c r="A958" s="47" t="n">
        <v>64</v>
      </c>
      <c r="B958" s="38" t="str">
        <f aca="false">助手回款!$B65</f>
        <v/>
      </c>
      <c r="C958" s="48" t="str">
        <f aca="false">助手回款!$C65</f>
        <v>备用19</v>
      </c>
      <c r="D958" s="48" t="str">
        <f aca="false">科目对照回款!$B13&amp;""</f>
        <v>银联</v>
      </c>
      <c r="E958" s="48" t="str">
        <f aca="false">科目对照回款!$C13&amp;""</f>
        <v>应收账款</v>
      </c>
      <c r="F958" s="48" t="str">
        <f aca="false">科目对照回款!$D13&amp;""</f>
        <v>银联</v>
      </c>
      <c r="G958" s="49" t="n">
        <f aca="false">-ROUND(IF(科目对照回款!$F$13="",0,SUMIFS(输入回款!$C:$C,输入回款!$A:$A,助手回款!$X65,输入回款!$B:$B,科目对照回款!$F$13)+SUMIFS(输入回款!$D:$D,输入回款!$A:$A,助手回款!$X65,输入回款!$B:$B,科目对照回款!$F$13))+IF(科目对照回款!$G$13="",0,SUMIFS(输入回款!$C:$C,输入回款!$A:$A,助手回款!$X65,输入回款!$B:$B,科目对照回款!$G$13)+SUMIFS(输入回款!$D:$D,输入回款!$A:$A,助手回款!$X65,输入回款!$B:$B,科目对照回款!$G$13))+IF(科目对照回款!$H$13="",0,SUMIFS(输入回款!$C:$C,输入回款!$A:$A,助手回款!$X65,输入回款!$B:$B,科目对照回款!$H$13)+SUMIFS(输入回款!$D:$D,输入回款!$A:$A,助手回款!$X65,输入回款!$B:$B,科目对照回款!$H$13)),2)</f>
        <v>-0</v>
      </c>
      <c r="H958" s="49" t="str">
        <f aca="false">IF(ROUND($G958,2)&gt;0,ROUND($G958,2),"")</f>
        <v/>
      </c>
      <c r="I958" s="49" t="str">
        <f aca="false">IF(ROUND($G958,2)&lt;0,-ROUND($G958,2),"")</f>
        <v/>
      </c>
      <c r="J958" s="20" t="n">
        <f aca="false">IF(ROUND($G958,2)=0,0,1)</f>
        <v>0</v>
      </c>
      <c r="K958" s="20" t="str">
        <f aca="false">IF($J958=0,"",SUM($J$947:$J958))</f>
        <v/>
      </c>
      <c r="L958" s="20" t="str">
        <f aca="false">IF($K958="","",$A958*100+$K958)</f>
        <v/>
      </c>
      <c r="M958" s="48" t="str">
        <f aca="false">参数!$B$4</f>
        <v>回款</v>
      </c>
    </row>
    <row r="959" customFormat="false" ht="13.5" hidden="false" customHeight="false" outlineLevel="0" collapsed="false">
      <c r="A959" s="47" t="n">
        <v>64</v>
      </c>
      <c r="B959" s="38" t="str">
        <f aca="false">助手回款!$B65</f>
        <v/>
      </c>
      <c r="C959" s="48" t="str">
        <f aca="false">助手回款!$C65</f>
        <v>备用19</v>
      </c>
      <c r="D959" s="48" t="str">
        <f aca="false">科目对照回款!$B14&amp;""</f>
        <v>代金券</v>
      </c>
      <c r="E959" s="48" t="str">
        <f aca="false">科目对照回款!$C14&amp;""</f>
        <v>应收账款</v>
      </c>
      <c r="F959" s="48" t="str">
        <f aca="false">科目对照回款!$D14&amp;""</f>
        <v>代金券</v>
      </c>
      <c r="G959" s="49" t="n">
        <f aca="false">-ROUND(IF(科目对照回款!$F$14="",0,SUMIFS(输入回款!$C:$C,输入回款!$A:$A,助手回款!$X65,输入回款!$B:$B,科目对照回款!$F$14)+SUMIFS(输入回款!$D:$D,输入回款!$A:$A,助手回款!$X65,输入回款!$B:$B,科目对照回款!$F$14))+IF(科目对照回款!$G$14="",0,SUMIFS(输入回款!$C:$C,输入回款!$A:$A,助手回款!$X65,输入回款!$B:$B,科目对照回款!$G$14)+SUMIFS(输入回款!$D:$D,输入回款!$A:$A,助手回款!$X65,输入回款!$B:$B,科目对照回款!$G$14))+IF(科目对照回款!$H$14="",0,SUMIFS(输入回款!$C:$C,输入回款!$A:$A,助手回款!$X65,输入回款!$B:$B,科目对照回款!$H$14)+SUMIFS(输入回款!$D:$D,输入回款!$A:$A,助手回款!$X65,输入回款!$B:$B,科目对照回款!$H$14)),2)</f>
        <v>-0</v>
      </c>
      <c r="H959" s="49" t="str">
        <f aca="false">IF(ROUND($G959,2)&gt;0,ROUND($G959,2),"")</f>
        <v/>
      </c>
      <c r="I959" s="49" t="str">
        <f aca="false">IF(ROUND($G959,2)&lt;0,-ROUND($G959,2),"")</f>
        <v/>
      </c>
      <c r="J959" s="20" t="n">
        <f aca="false">IF(ROUND($G959,2)=0,0,1)</f>
        <v>0</v>
      </c>
      <c r="K959" s="20" t="str">
        <f aca="false">IF($J959=0,"",SUM($J$947:$J959))</f>
        <v/>
      </c>
      <c r="L959" s="20" t="str">
        <f aca="false">IF($K959="","",$A959*100+$K959)</f>
        <v/>
      </c>
      <c r="M959" s="48" t="str">
        <f aca="false">参数!$B$4</f>
        <v>回款</v>
      </c>
    </row>
    <row r="960" customFormat="false" ht="13.5" hidden="false" customHeight="false" outlineLevel="0" collapsed="false">
      <c r="A960" s="47" t="n">
        <v>64</v>
      </c>
      <c r="B960" s="38" t="str">
        <f aca="false">助手回款!$B65</f>
        <v/>
      </c>
      <c r="C960" s="48" t="str">
        <f aca="false">助手回款!$C65</f>
        <v>备用19</v>
      </c>
      <c r="D960" s="48" t="str">
        <f aca="false">科目对照回款!$B15&amp;""</f>
        <v>药机微信</v>
      </c>
      <c r="E960" s="48" t="str">
        <f aca="false">科目对照回款!$C15&amp;""</f>
        <v>应收账款</v>
      </c>
      <c r="F960" s="48" t="str">
        <f aca="false">科目对照回款!$D15&amp;""</f>
        <v>药机微信</v>
      </c>
      <c r="G960" s="49" t="n">
        <f aca="false">-ROUND(IF(科目对照回款!$F$15="",0,SUMIFS(输入回款!$C:$C,输入回款!$A:$A,助手回款!$X65,输入回款!$B:$B,科目对照回款!$F$15)+SUMIFS(输入回款!$D:$D,输入回款!$A:$A,助手回款!$X65,输入回款!$B:$B,科目对照回款!$F$15))+IF(科目对照回款!$G$15="",0,SUMIFS(输入回款!$C:$C,输入回款!$A:$A,助手回款!$X65,输入回款!$B:$B,科目对照回款!$G$15)+SUMIFS(输入回款!$D:$D,输入回款!$A:$A,助手回款!$X65,输入回款!$B:$B,科目对照回款!$G$15))+IF(科目对照回款!$H$15="",0,SUMIFS(输入回款!$C:$C,输入回款!$A:$A,助手回款!$X65,输入回款!$B:$B,科目对照回款!$H$15)+SUMIFS(输入回款!$D:$D,输入回款!$A:$A,助手回款!$X65,输入回款!$B:$B,科目对照回款!$H$15)),2)</f>
        <v>-0</v>
      </c>
      <c r="H960" s="49" t="str">
        <f aca="false">IF(ROUND($G960,2)&gt;0,ROUND($G960,2),"")</f>
        <v/>
      </c>
      <c r="I960" s="49" t="str">
        <f aca="false">IF(ROUND($G960,2)&lt;0,-ROUND($G960,2),"")</f>
        <v/>
      </c>
      <c r="J960" s="20" t="n">
        <f aca="false">IF(ROUND($G960,2)=0,0,1)</f>
        <v>0</v>
      </c>
      <c r="K960" s="20" t="str">
        <f aca="false">IF($J960=0,"",SUM($J$947:$J960))</f>
        <v/>
      </c>
      <c r="L960" s="20" t="str">
        <f aca="false">IF($K960="","",$A960*100+$K960)</f>
        <v/>
      </c>
      <c r="M960" s="48" t="str">
        <f aca="false">参数!$B$4</f>
        <v>回款</v>
      </c>
    </row>
    <row r="961" customFormat="false" ht="13.5" hidden="false" customHeight="false" outlineLevel="0" collapsed="false">
      <c r="A961" s="47" t="n">
        <v>64</v>
      </c>
      <c r="B961" s="38" t="str">
        <f aca="false">助手回款!$B65</f>
        <v/>
      </c>
      <c r="C961" s="48" t="str">
        <f aca="false">助手回款!$C65</f>
        <v>备用19</v>
      </c>
      <c r="D961" s="48" t="str">
        <f aca="false">科目对照回款!$B16&amp;""</f>
        <v>储值卡</v>
      </c>
      <c r="E961" s="48" t="str">
        <f aca="false">科目对照回款!$C16&amp;""</f>
        <v>其他应收款</v>
      </c>
      <c r="F961" s="48" t="str">
        <f aca="false">科目对照回款!$D16&amp;""</f>
        <v>储值卡</v>
      </c>
      <c r="G961" s="49" t="n">
        <f aca="false">-ROUND(IF(科目对照回款!$F$16="",0,SUMIFS(输入回款!$C:$C,输入回款!$A:$A,助手回款!$X65,输入回款!$B:$B,科目对照回款!$F$16)+SUMIFS(输入回款!$D:$D,输入回款!$A:$A,助手回款!$X65,输入回款!$B:$B,科目对照回款!$F$16))+IF(科目对照回款!$G$16="",0,SUMIFS(输入回款!$C:$C,输入回款!$A:$A,助手回款!$X65,输入回款!$B:$B,科目对照回款!$G$16)+SUMIFS(输入回款!$D:$D,输入回款!$A:$A,助手回款!$X65,输入回款!$B:$B,科目对照回款!$G$16))+IF(科目对照回款!$H$16="",0,SUMIFS(输入回款!$C:$C,输入回款!$A:$A,助手回款!$X65,输入回款!$B:$B,科目对照回款!$H$16)+SUMIFS(输入回款!$D:$D,输入回款!$A:$A,助手回款!$X65,输入回款!$B:$B,科目对照回款!$H$16)),2)</f>
        <v>-0</v>
      </c>
      <c r="H961" s="49" t="str">
        <f aca="false">IF(ROUND($G961,2)&gt;0,ROUND($G961,2),"")</f>
        <v/>
      </c>
      <c r="I961" s="49" t="str">
        <f aca="false">IF(ROUND($G961,2)&lt;0,-ROUND($G961,2),"")</f>
        <v/>
      </c>
      <c r="J961" s="20" t="n">
        <f aca="false">IF(ROUND($G961,2)=0,0,1)</f>
        <v>0</v>
      </c>
      <c r="K961" s="20" t="str">
        <f aca="false">IF($J961=0,"",SUM($J$947:$J961))</f>
        <v/>
      </c>
      <c r="L961" s="20" t="str">
        <f aca="false">IF($K961="","",$A961*100+$K961)</f>
        <v/>
      </c>
      <c r="M961" s="48" t="str">
        <f aca="false">参数!$B$4</f>
        <v>回款</v>
      </c>
    </row>
    <row r="962" customFormat="false" ht="13.5" hidden="false" customHeight="false" outlineLevel="0" collapsed="false">
      <c r="A962" s="47" t="n">
        <v>65</v>
      </c>
      <c r="B962" s="38" t="str">
        <f aca="false">助手回款!$B66</f>
        <v/>
      </c>
      <c r="C962" s="48" t="str">
        <f aca="false">助手回款!$C66</f>
        <v>备用20</v>
      </c>
      <c r="D962" s="48" t="str">
        <f aca="false">科目对照回款!$B2&amp;""</f>
        <v>库存现金</v>
      </c>
      <c r="E962" s="48" t="str">
        <f aca="false">科目对照回款!$C2&amp;""</f>
        <v>库存现金</v>
      </c>
      <c r="F962" s="48" t="str">
        <f aca="false">科目对照回款!$D2&amp;""</f>
        <v/>
      </c>
      <c r="G962" s="49" t="n">
        <f aca="false">助手回款!$E66</f>
        <v>0</v>
      </c>
      <c r="H962" s="49" t="str">
        <f aca="false">IF(ROUND($G962,2)&gt;0,ROUND($G962,2),"")</f>
        <v/>
      </c>
      <c r="I962" s="49" t="str">
        <f aca="false">IF(ROUND($G962,2)&lt;0,-ROUND($G962,2),"")</f>
        <v/>
      </c>
      <c r="J962" s="20" t="n">
        <f aca="false">IF(ROUND($G962,2)=0,0,1)</f>
        <v>0</v>
      </c>
      <c r="K962" s="20" t="str">
        <f aca="false">IF($J962=0,"",SUM($J$962:$J962))</f>
        <v/>
      </c>
      <c r="L962" s="20" t="str">
        <f aca="false">IF($K962="","",$A962*100+$K962)</f>
        <v/>
      </c>
      <c r="M962" s="48" t="str">
        <f aca="false">参数!$B$4</f>
        <v>回款</v>
      </c>
    </row>
    <row r="963" customFormat="false" ht="13.5" hidden="false" customHeight="false" outlineLevel="0" collapsed="false">
      <c r="A963" s="47" t="n">
        <v>65</v>
      </c>
      <c r="B963" s="38" t="str">
        <f aca="false">助手回款!$B66</f>
        <v/>
      </c>
      <c r="C963" s="48" t="str">
        <f aca="false">助手回款!$C66</f>
        <v>备用20</v>
      </c>
      <c r="D963" s="48" t="str">
        <f aca="false">科目对照回款!$B3&amp;""</f>
        <v>手续费</v>
      </c>
      <c r="E963" s="48" t="str">
        <f aca="false">科目对照回款!$C3&amp;""</f>
        <v>财务费用</v>
      </c>
      <c r="F963" s="48" t="str">
        <f aca="false">科目对照回款!$D3&amp;""</f>
        <v>手续费</v>
      </c>
      <c r="G963" s="49" t="n">
        <f aca="false">助手回款!$F66</f>
        <v>0</v>
      </c>
      <c r="H963" s="49" t="str">
        <f aca="false">IF(ROUND($G963,2)&gt;0,ROUND($G963,2),"")</f>
        <v/>
      </c>
      <c r="I963" s="49" t="str">
        <f aca="false">IF(ROUND($G963,2)&lt;0,-ROUND($G963,2),"")</f>
        <v/>
      </c>
      <c r="J963" s="20" t="n">
        <f aca="false">IF(ROUND($G963,2)=0,0,1)</f>
        <v>0</v>
      </c>
      <c r="K963" s="20" t="str">
        <f aca="false">IF($J963=0,"",SUM($J$962:$J963))</f>
        <v/>
      </c>
      <c r="L963" s="20" t="str">
        <f aca="false">IF($K963="","",$A963*100+$K963)</f>
        <v/>
      </c>
      <c r="M963" s="48" t="str">
        <f aca="false">参数!$B$4</f>
        <v>回款</v>
      </c>
    </row>
    <row r="964" customFormat="false" ht="13.5" hidden="false" customHeight="false" outlineLevel="0" collapsed="false">
      <c r="A964" s="47" t="n">
        <v>65</v>
      </c>
      <c r="B964" s="38" t="str">
        <f aca="false">助手回款!$B66</f>
        <v/>
      </c>
      <c r="C964" s="48" t="str">
        <f aca="false">助手回款!$C66</f>
        <v>备用20</v>
      </c>
      <c r="D964" s="48" t="str">
        <f aca="false">科目对照回款!$B4&amp;""</f>
        <v>聚合支付</v>
      </c>
      <c r="E964" s="48" t="str">
        <f aca="false">科目对照回款!$C4&amp;""</f>
        <v>应收账款</v>
      </c>
      <c r="F964" s="48" t="str">
        <f aca="false">科目对照回款!$D4&amp;""</f>
        <v>聚合支付</v>
      </c>
      <c r="G964" s="49" t="n">
        <f aca="false">-ROUND(IF(科目对照回款!$F$4="",0,SUMIFS(输入回款!$C:$C,输入回款!$A:$A,助手回款!$X66,输入回款!$B:$B,科目对照回款!$F$4)+SUMIFS(输入回款!$D:$D,输入回款!$A:$A,助手回款!$X66,输入回款!$B:$B,科目对照回款!$F$4))+IF(科目对照回款!$G$4="",0,SUMIFS(输入回款!$C:$C,输入回款!$A:$A,助手回款!$X66,输入回款!$B:$B,科目对照回款!$G$4)+SUMIFS(输入回款!$D:$D,输入回款!$A:$A,助手回款!$X66,输入回款!$B:$B,科目对照回款!$G$4))+IF(科目对照回款!$H$4="",0,SUMIFS(输入回款!$C:$C,输入回款!$A:$A,助手回款!$X66,输入回款!$B:$B,科目对照回款!$H$4)+SUMIFS(输入回款!$D:$D,输入回款!$A:$A,助手回款!$X66,输入回款!$B:$B,科目对照回款!$H$4)),2)</f>
        <v>-0</v>
      </c>
      <c r="H964" s="49" t="str">
        <f aca="false">IF(ROUND($G964,2)&gt;0,ROUND($G964,2),"")</f>
        <v/>
      </c>
      <c r="I964" s="49" t="str">
        <f aca="false">IF(ROUND($G964,2)&lt;0,-ROUND($G964,2),"")</f>
        <v/>
      </c>
      <c r="J964" s="20" t="n">
        <f aca="false">IF(ROUND($G964,2)=0,0,1)</f>
        <v>0</v>
      </c>
      <c r="K964" s="20" t="str">
        <f aca="false">IF($J964=0,"",SUM($J$962:$J964))</f>
        <v/>
      </c>
      <c r="L964" s="20" t="str">
        <f aca="false">IF($K964="","",$A964*100+$K964)</f>
        <v/>
      </c>
      <c r="M964" s="48" t="str">
        <f aca="false">参数!$B$4</f>
        <v>回款</v>
      </c>
    </row>
    <row r="965" customFormat="false" ht="13.5" hidden="false" customHeight="false" outlineLevel="0" collapsed="false">
      <c r="A965" s="47" t="n">
        <v>65</v>
      </c>
      <c r="B965" s="38" t="str">
        <f aca="false">助手回款!$B66</f>
        <v/>
      </c>
      <c r="C965" s="48" t="str">
        <f aca="false">助手回款!$C66</f>
        <v>备用20</v>
      </c>
      <c r="D965" s="48" t="str">
        <f aca="false">科目对照回款!$B5&amp;""</f>
        <v>医保</v>
      </c>
      <c r="E965" s="48" t="str">
        <f aca="false">科目对照回款!$C5&amp;""</f>
        <v>应收账款</v>
      </c>
      <c r="F965" s="48" t="str">
        <f aca="false">科目对照回款!$D5&amp;""</f>
        <v>医保</v>
      </c>
      <c r="G965" s="49" t="n">
        <f aca="false">-ROUND(IF(科目对照回款!$F$5="",0,SUMIFS(输入回款!$C:$C,输入回款!$A:$A,助手回款!$X66,输入回款!$B:$B,科目对照回款!$F$5)+SUMIFS(输入回款!$D:$D,输入回款!$A:$A,助手回款!$X66,输入回款!$B:$B,科目对照回款!$F$5))+IF(科目对照回款!$G$5="",0,SUMIFS(输入回款!$C:$C,输入回款!$A:$A,助手回款!$X66,输入回款!$B:$B,科目对照回款!$G$5)+SUMIFS(输入回款!$D:$D,输入回款!$A:$A,助手回款!$X66,输入回款!$B:$B,科目对照回款!$G$5))+IF(科目对照回款!$H$5="",0,SUMIFS(输入回款!$C:$C,输入回款!$A:$A,助手回款!$X66,输入回款!$B:$B,科目对照回款!$H$5)+SUMIFS(输入回款!$D:$D,输入回款!$A:$A,助手回款!$X66,输入回款!$B:$B,科目对照回款!$H$5)),2)</f>
        <v>-0</v>
      </c>
      <c r="H965" s="49" t="str">
        <f aca="false">IF(ROUND($G965,2)&gt;0,ROUND($G965,2),"")</f>
        <v/>
      </c>
      <c r="I965" s="49" t="str">
        <f aca="false">IF(ROUND($G965,2)&lt;0,-ROUND($G965,2),"")</f>
        <v/>
      </c>
      <c r="J965" s="20" t="n">
        <f aca="false">IF(ROUND($G965,2)=0,0,1)</f>
        <v>0</v>
      </c>
      <c r="K965" s="20" t="str">
        <f aca="false">IF($J965=0,"",SUM($J$962:$J965))</f>
        <v/>
      </c>
      <c r="L965" s="20" t="str">
        <f aca="false">IF($K965="","",$A965*100+$K965)</f>
        <v/>
      </c>
      <c r="M965" s="48" t="str">
        <f aca="false">参数!$B$4</f>
        <v>回款</v>
      </c>
    </row>
    <row r="966" customFormat="false" ht="13.5" hidden="false" customHeight="false" outlineLevel="0" collapsed="false">
      <c r="A966" s="47" t="n">
        <v>65</v>
      </c>
      <c r="B966" s="38" t="str">
        <f aca="false">助手回款!$B66</f>
        <v/>
      </c>
      <c r="C966" s="48" t="str">
        <f aca="false">助手回款!$C66</f>
        <v>备用20</v>
      </c>
      <c r="D966" s="48" t="str">
        <f aca="false">科目对照回款!$B6&amp;""</f>
        <v>美团</v>
      </c>
      <c r="E966" s="48" t="str">
        <f aca="false">科目对照回款!$C6&amp;""</f>
        <v>应收账款</v>
      </c>
      <c r="F966" s="48" t="str">
        <f aca="false">科目对照回款!$D6&amp;""</f>
        <v>美团</v>
      </c>
      <c r="G966" s="49" t="n">
        <f aca="false">-ROUND(IF(科目对照回款!$F$6="",0,SUMIFS(输入回款!$C:$C,输入回款!$A:$A,助手回款!$X66,输入回款!$B:$B,科目对照回款!$F$6)+SUMIFS(输入回款!$D:$D,输入回款!$A:$A,助手回款!$X66,输入回款!$B:$B,科目对照回款!$F$6))+IF(科目对照回款!$G$6="",0,SUMIFS(输入回款!$C:$C,输入回款!$A:$A,助手回款!$X66,输入回款!$B:$B,科目对照回款!$G$6)+SUMIFS(输入回款!$D:$D,输入回款!$A:$A,助手回款!$X66,输入回款!$B:$B,科目对照回款!$G$6))+IF(科目对照回款!$H$6="",0,SUMIFS(输入回款!$C:$C,输入回款!$A:$A,助手回款!$X66,输入回款!$B:$B,科目对照回款!$H$6)+SUMIFS(输入回款!$D:$D,输入回款!$A:$A,助手回款!$X66,输入回款!$B:$B,科目对照回款!$H$6)),2)</f>
        <v>-0</v>
      </c>
      <c r="H966" s="49" t="str">
        <f aca="false">IF(ROUND($G966,2)&gt;0,ROUND($G966,2),"")</f>
        <v/>
      </c>
      <c r="I966" s="49" t="str">
        <f aca="false">IF(ROUND($G966,2)&lt;0,-ROUND($G966,2),"")</f>
        <v/>
      </c>
      <c r="J966" s="20" t="n">
        <f aca="false">IF(ROUND($G966,2)=0,0,1)</f>
        <v>0</v>
      </c>
      <c r="K966" s="20" t="str">
        <f aca="false">IF($J966=0,"",SUM($J$962:$J966))</f>
        <v/>
      </c>
      <c r="L966" s="20" t="str">
        <f aca="false">IF($K966="","",$A966*100+$K966)</f>
        <v/>
      </c>
      <c r="M966" s="48" t="str">
        <f aca="false">参数!$B$4</f>
        <v>回款</v>
      </c>
    </row>
    <row r="967" customFormat="false" ht="13.5" hidden="false" customHeight="false" outlineLevel="0" collapsed="false">
      <c r="A967" s="47" t="n">
        <v>65</v>
      </c>
      <c r="B967" s="38" t="str">
        <f aca="false">助手回款!$B66</f>
        <v/>
      </c>
      <c r="C967" s="48" t="str">
        <f aca="false">助手回款!$C66</f>
        <v>备用20</v>
      </c>
      <c r="D967" s="48" t="str">
        <f aca="false">科目对照回款!$B7&amp;""</f>
        <v>饿了么</v>
      </c>
      <c r="E967" s="48" t="str">
        <f aca="false">科目对照回款!$C7&amp;""</f>
        <v>应收账款</v>
      </c>
      <c r="F967" s="48" t="str">
        <f aca="false">科目对照回款!$D7&amp;""</f>
        <v>饿了么</v>
      </c>
      <c r="G967" s="49" t="n">
        <f aca="false">-ROUND(IF(科目对照回款!$F$7="",0,SUMIFS(输入回款!$C:$C,输入回款!$A:$A,助手回款!$X66,输入回款!$B:$B,科目对照回款!$F$7)+SUMIFS(输入回款!$D:$D,输入回款!$A:$A,助手回款!$X66,输入回款!$B:$B,科目对照回款!$F$7))+IF(科目对照回款!$G$7="",0,SUMIFS(输入回款!$C:$C,输入回款!$A:$A,助手回款!$X66,输入回款!$B:$B,科目对照回款!$G$7)+SUMIFS(输入回款!$D:$D,输入回款!$A:$A,助手回款!$X66,输入回款!$B:$B,科目对照回款!$G$7))+IF(科目对照回款!$H$7="",0,SUMIFS(输入回款!$C:$C,输入回款!$A:$A,助手回款!$X66,输入回款!$B:$B,科目对照回款!$H$7)+SUMIFS(输入回款!$D:$D,输入回款!$A:$A,助手回款!$X66,输入回款!$B:$B,科目对照回款!$H$7)),2)</f>
        <v>-0</v>
      </c>
      <c r="H967" s="49" t="str">
        <f aca="false">IF(ROUND($G967,2)&gt;0,ROUND($G967,2),"")</f>
        <v/>
      </c>
      <c r="I967" s="49" t="str">
        <f aca="false">IF(ROUND($G967,2)&lt;0,-ROUND($G967,2),"")</f>
        <v/>
      </c>
      <c r="J967" s="20" t="n">
        <f aca="false">IF(ROUND($G967,2)=0,0,1)</f>
        <v>0</v>
      </c>
      <c r="K967" s="20" t="str">
        <f aca="false">IF($J967=0,"",SUM($J$962:$J967))</f>
        <v/>
      </c>
      <c r="L967" s="20" t="str">
        <f aca="false">IF($K967="","",$A967*100+$K967)</f>
        <v/>
      </c>
      <c r="M967" s="48" t="str">
        <f aca="false">参数!$B$4</f>
        <v>回款</v>
      </c>
    </row>
    <row r="968" customFormat="false" ht="13.5" hidden="false" customHeight="false" outlineLevel="0" collapsed="false">
      <c r="A968" s="47" t="n">
        <v>65</v>
      </c>
      <c r="B968" s="38" t="str">
        <f aca="false">助手回款!$B66</f>
        <v/>
      </c>
      <c r="C968" s="48" t="str">
        <f aca="false">助手回款!$C66</f>
        <v>备用20</v>
      </c>
      <c r="D968" s="48" t="str">
        <f aca="false">科目对照回款!$B8&amp;""</f>
        <v>24小时</v>
      </c>
      <c r="E968" s="48" t="str">
        <f aca="false">科目对照回款!$C8&amp;""</f>
        <v>应收账款</v>
      </c>
      <c r="F968" s="48" t="str">
        <f aca="false">科目对照回款!$D8&amp;""</f>
        <v>24小时</v>
      </c>
      <c r="G968" s="49" t="n">
        <f aca="false">-ROUND(IF(科目对照回款!$F$8="",0,SUMIFS(输入回款!$C:$C,输入回款!$A:$A,助手回款!$X66,输入回款!$B:$B,科目对照回款!$F$8)+SUMIFS(输入回款!$D:$D,输入回款!$A:$A,助手回款!$X66,输入回款!$B:$B,科目对照回款!$F$8))+IF(科目对照回款!$G$8="",0,SUMIFS(输入回款!$C:$C,输入回款!$A:$A,助手回款!$X66,输入回款!$B:$B,科目对照回款!$G$8)+SUMIFS(输入回款!$D:$D,输入回款!$A:$A,助手回款!$X66,输入回款!$B:$B,科目对照回款!$G$8))+IF(科目对照回款!$H$8="",0,SUMIFS(输入回款!$C:$C,输入回款!$A:$A,助手回款!$X66,输入回款!$B:$B,科目对照回款!$H$8)+SUMIFS(输入回款!$D:$D,输入回款!$A:$A,助手回款!$X66,输入回款!$B:$B,科目对照回款!$H$8)),2)</f>
        <v>-0</v>
      </c>
      <c r="H968" s="49" t="str">
        <f aca="false">IF(ROUND($G968,2)&gt;0,ROUND($G968,2),"")</f>
        <v/>
      </c>
      <c r="I968" s="49" t="str">
        <f aca="false">IF(ROUND($G968,2)&lt;0,-ROUND($G968,2),"")</f>
        <v/>
      </c>
      <c r="J968" s="20" t="n">
        <f aca="false">IF(ROUND($G968,2)=0,0,1)</f>
        <v>0</v>
      </c>
      <c r="K968" s="20" t="str">
        <f aca="false">IF($J968=0,"",SUM($J$962:$J968))</f>
        <v/>
      </c>
      <c r="L968" s="20" t="str">
        <f aca="false">IF($K968="","",$A968*100+$K968)</f>
        <v/>
      </c>
      <c r="M968" s="48" t="str">
        <f aca="false">参数!$B$4</f>
        <v>回款</v>
      </c>
    </row>
    <row r="969" customFormat="false" ht="13.5" hidden="false" customHeight="false" outlineLevel="0" collapsed="false">
      <c r="A969" s="47" t="n">
        <v>65</v>
      </c>
      <c r="B969" s="38" t="str">
        <f aca="false">助手回款!$B66</f>
        <v/>
      </c>
      <c r="C969" s="48" t="str">
        <f aca="false">助手回款!$C66</f>
        <v>备用20</v>
      </c>
      <c r="D969" s="48" t="str">
        <f aca="false">科目对照回款!$B9&amp;""</f>
        <v>健E卡</v>
      </c>
      <c r="E969" s="48" t="str">
        <f aca="false">科目对照回款!$C9&amp;""</f>
        <v>应收账款</v>
      </c>
      <c r="F969" s="48" t="str">
        <f aca="false">科目对照回款!$D9&amp;""</f>
        <v>健E卡</v>
      </c>
      <c r="G969" s="49" t="n">
        <f aca="false">-ROUND(IF(科目对照回款!$F$9="",0,SUMIFS(输入回款!$C:$C,输入回款!$A:$A,助手回款!$X66,输入回款!$B:$B,科目对照回款!$F$9)+SUMIFS(输入回款!$D:$D,输入回款!$A:$A,助手回款!$X66,输入回款!$B:$B,科目对照回款!$F$9))+IF(科目对照回款!$G$9="",0,SUMIFS(输入回款!$C:$C,输入回款!$A:$A,助手回款!$X66,输入回款!$B:$B,科目对照回款!$G$9)+SUMIFS(输入回款!$D:$D,输入回款!$A:$A,助手回款!$X66,输入回款!$B:$B,科目对照回款!$G$9))+IF(科目对照回款!$H$9="",0,SUMIFS(输入回款!$C:$C,输入回款!$A:$A,助手回款!$X66,输入回款!$B:$B,科目对照回款!$H$9)+SUMIFS(输入回款!$D:$D,输入回款!$A:$A,助手回款!$X66,输入回款!$B:$B,科目对照回款!$H$9)),2)</f>
        <v>-0</v>
      </c>
      <c r="H969" s="49" t="str">
        <f aca="false">IF(ROUND($G969,2)&gt;0,ROUND($G969,2),"")</f>
        <v/>
      </c>
      <c r="I969" s="49" t="str">
        <f aca="false">IF(ROUND($G969,2)&lt;0,-ROUND($G969,2),"")</f>
        <v/>
      </c>
      <c r="J969" s="20" t="n">
        <f aca="false">IF(ROUND($G969,2)=0,0,1)</f>
        <v>0</v>
      </c>
      <c r="K969" s="20" t="str">
        <f aca="false">IF($J969=0,"",SUM($J$962:$J969))</f>
        <v/>
      </c>
      <c r="L969" s="20" t="str">
        <f aca="false">IF($K969="","",$A969*100+$K969)</f>
        <v/>
      </c>
      <c r="M969" s="48" t="str">
        <f aca="false">参数!$B$4</f>
        <v>回款</v>
      </c>
    </row>
    <row r="970" customFormat="false" ht="13.5" hidden="false" customHeight="false" outlineLevel="0" collapsed="false">
      <c r="A970" s="47" t="n">
        <v>65</v>
      </c>
      <c r="B970" s="38" t="str">
        <f aca="false">助手回款!$B66</f>
        <v/>
      </c>
      <c r="C970" s="48" t="str">
        <f aca="false">助手回款!$C66</f>
        <v>备用20</v>
      </c>
      <c r="D970" s="48" t="str">
        <f aca="false">科目对照回款!$B10&amp;""</f>
        <v>医卡通</v>
      </c>
      <c r="E970" s="48" t="str">
        <f aca="false">科目对照回款!$C10&amp;""</f>
        <v>应收账款</v>
      </c>
      <c r="F970" s="48" t="str">
        <f aca="false">科目对照回款!$D10&amp;""</f>
        <v>医卡通</v>
      </c>
      <c r="G970" s="49" t="n">
        <f aca="false">-ROUND(IF(科目对照回款!$F$10="",0,SUMIFS(输入回款!$C:$C,输入回款!$A:$A,助手回款!$X66,输入回款!$B:$B,科目对照回款!$F$10)+SUMIFS(输入回款!$D:$D,输入回款!$A:$A,助手回款!$X66,输入回款!$B:$B,科目对照回款!$F$10))+IF(科目对照回款!$G$10="",0,SUMIFS(输入回款!$C:$C,输入回款!$A:$A,助手回款!$X66,输入回款!$B:$B,科目对照回款!$G$10)+SUMIFS(输入回款!$D:$D,输入回款!$A:$A,助手回款!$X66,输入回款!$B:$B,科目对照回款!$G$10))+IF(科目对照回款!$H$10="",0,SUMIFS(输入回款!$C:$C,输入回款!$A:$A,助手回款!$X66,输入回款!$B:$B,科目对照回款!$H$10)+SUMIFS(输入回款!$D:$D,输入回款!$A:$A,助手回款!$X66,输入回款!$B:$B,科目对照回款!$H$10)),2)</f>
        <v>-0</v>
      </c>
      <c r="H970" s="49" t="str">
        <f aca="false">IF(ROUND($G970,2)&gt;0,ROUND($G970,2),"")</f>
        <v/>
      </c>
      <c r="I970" s="49" t="str">
        <f aca="false">IF(ROUND($G970,2)&lt;0,-ROUND($G970,2),"")</f>
        <v/>
      </c>
      <c r="J970" s="20" t="n">
        <f aca="false">IF(ROUND($G970,2)=0,0,1)</f>
        <v>0</v>
      </c>
      <c r="K970" s="20" t="str">
        <f aca="false">IF($J970=0,"",SUM($J$962:$J970))</f>
        <v/>
      </c>
      <c r="L970" s="20" t="str">
        <f aca="false">IF($K970="","",$A970*100+$K970)</f>
        <v/>
      </c>
      <c r="M970" s="48" t="str">
        <f aca="false">参数!$B$4</f>
        <v>回款</v>
      </c>
    </row>
    <row r="971" customFormat="false" ht="13.5" hidden="false" customHeight="false" outlineLevel="0" collapsed="false">
      <c r="A971" s="47" t="n">
        <v>65</v>
      </c>
      <c r="B971" s="38" t="str">
        <f aca="false">助手回款!$B66</f>
        <v/>
      </c>
      <c r="C971" s="48" t="str">
        <f aca="false">助手回款!$C66</f>
        <v>备用20</v>
      </c>
      <c r="D971" s="48" t="str">
        <f aca="false">科目对照回款!$B11&amp;""</f>
        <v>企健网</v>
      </c>
      <c r="E971" s="48" t="str">
        <f aca="false">科目对照回款!$C11&amp;""</f>
        <v>应收账款</v>
      </c>
      <c r="F971" s="48" t="str">
        <f aca="false">科目对照回款!$D11&amp;""</f>
        <v>企健网</v>
      </c>
      <c r="G971" s="49" t="n">
        <f aca="false">-ROUND(IF(科目对照回款!$F$11="",0,SUMIFS(输入回款!$C:$C,输入回款!$A:$A,助手回款!$X66,输入回款!$B:$B,科目对照回款!$F$11)+SUMIFS(输入回款!$D:$D,输入回款!$A:$A,助手回款!$X66,输入回款!$B:$B,科目对照回款!$F$11))+IF(科目对照回款!$G$11="",0,SUMIFS(输入回款!$C:$C,输入回款!$A:$A,助手回款!$X66,输入回款!$B:$B,科目对照回款!$G$11)+SUMIFS(输入回款!$D:$D,输入回款!$A:$A,助手回款!$X66,输入回款!$B:$B,科目对照回款!$G$11))+IF(科目对照回款!$H$11="",0,SUMIFS(输入回款!$C:$C,输入回款!$A:$A,助手回款!$X66,输入回款!$B:$B,科目对照回款!$H$11)+SUMIFS(输入回款!$D:$D,输入回款!$A:$A,助手回款!$X66,输入回款!$B:$B,科目对照回款!$H$11)),2)</f>
        <v>-0</v>
      </c>
      <c r="H971" s="49" t="str">
        <f aca="false">IF(ROUND($G971,2)&gt;0,ROUND($G971,2),"")</f>
        <v/>
      </c>
      <c r="I971" s="49" t="str">
        <f aca="false">IF(ROUND($G971,2)&lt;0,-ROUND($G971,2),"")</f>
        <v/>
      </c>
      <c r="J971" s="20" t="n">
        <f aca="false">IF(ROUND($G971,2)=0,0,1)</f>
        <v>0</v>
      </c>
      <c r="K971" s="20" t="str">
        <f aca="false">IF($J971=0,"",SUM($J$962:$J971))</f>
        <v/>
      </c>
      <c r="L971" s="20" t="str">
        <f aca="false">IF($K971="","",$A971*100+$K971)</f>
        <v/>
      </c>
      <c r="M971" s="48" t="str">
        <f aca="false">参数!$B$4</f>
        <v>回款</v>
      </c>
    </row>
    <row r="972" customFormat="false" ht="13.5" hidden="false" customHeight="false" outlineLevel="0" collapsed="false">
      <c r="A972" s="47" t="n">
        <v>65</v>
      </c>
      <c r="B972" s="38" t="str">
        <f aca="false">助手回款!$B66</f>
        <v/>
      </c>
      <c r="C972" s="48" t="str">
        <f aca="false">助手回款!$C66</f>
        <v>备用20</v>
      </c>
      <c r="D972" s="48" t="str">
        <f aca="false">科目对照回款!$B12&amp;""</f>
        <v>亲情卡</v>
      </c>
      <c r="E972" s="48" t="str">
        <f aca="false">科目对照回款!$C12&amp;""</f>
        <v>应收账款</v>
      </c>
      <c r="F972" s="48" t="str">
        <f aca="false">科目对照回款!$D12&amp;""</f>
        <v>亲情卡</v>
      </c>
      <c r="G972" s="49" t="n">
        <f aca="false">-ROUND(IF(科目对照回款!$F$12="",0,SUMIFS(输入回款!$C:$C,输入回款!$A:$A,助手回款!$X66,输入回款!$B:$B,科目对照回款!$F$12)+SUMIFS(输入回款!$D:$D,输入回款!$A:$A,助手回款!$X66,输入回款!$B:$B,科目对照回款!$F$12))+IF(科目对照回款!$G$12="",0,SUMIFS(输入回款!$C:$C,输入回款!$A:$A,助手回款!$X66,输入回款!$B:$B,科目对照回款!$G$12)+SUMIFS(输入回款!$D:$D,输入回款!$A:$A,助手回款!$X66,输入回款!$B:$B,科目对照回款!$G$12))+IF(科目对照回款!$H$12="",0,SUMIFS(输入回款!$C:$C,输入回款!$A:$A,助手回款!$X66,输入回款!$B:$B,科目对照回款!$H$12)+SUMIFS(输入回款!$D:$D,输入回款!$A:$A,助手回款!$X66,输入回款!$B:$B,科目对照回款!$H$12)),2)</f>
        <v>-0</v>
      </c>
      <c r="H972" s="49" t="str">
        <f aca="false">IF(ROUND($G972,2)&gt;0,ROUND($G972,2),"")</f>
        <v/>
      </c>
      <c r="I972" s="49" t="str">
        <f aca="false">IF(ROUND($G972,2)&lt;0,-ROUND($G972,2),"")</f>
        <v/>
      </c>
      <c r="J972" s="20" t="n">
        <f aca="false">IF(ROUND($G972,2)=0,0,1)</f>
        <v>0</v>
      </c>
      <c r="K972" s="20" t="str">
        <f aca="false">IF($J972=0,"",SUM($J$962:$J972))</f>
        <v/>
      </c>
      <c r="L972" s="20" t="str">
        <f aca="false">IF($K972="","",$A972*100+$K972)</f>
        <v/>
      </c>
      <c r="M972" s="48" t="str">
        <f aca="false">参数!$B$4</f>
        <v>回款</v>
      </c>
    </row>
    <row r="973" customFormat="false" ht="13.5" hidden="false" customHeight="false" outlineLevel="0" collapsed="false">
      <c r="A973" s="47" t="n">
        <v>65</v>
      </c>
      <c r="B973" s="38" t="str">
        <f aca="false">助手回款!$B66</f>
        <v/>
      </c>
      <c r="C973" s="48" t="str">
        <f aca="false">助手回款!$C66</f>
        <v>备用20</v>
      </c>
      <c r="D973" s="48" t="str">
        <f aca="false">科目对照回款!$B13&amp;""</f>
        <v>银联</v>
      </c>
      <c r="E973" s="48" t="str">
        <f aca="false">科目对照回款!$C13&amp;""</f>
        <v>应收账款</v>
      </c>
      <c r="F973" s="48" t="str">
        <f aca="false">科目对照回款!$D13&amp;""</f>
        <v>银联</v>
      </c>
      <c r="G973" s="49" t="n">
        <f aca="false">-ROUND(IF(科目对照回款!$F$13="",0,SUMIFS(输入回款!$C:$C,输入回款!$A:$A,助手回款!$X66,输入回款!$B:$B,科目对照回款!$F$13)+SUMIFS(输入回款!$D:$D,输入回款!$A:$A,助手回款!$X66,输入回款!$B:$B,科目对照回款!$F$13))+IF(科目对照回款!$G$13="",0,SUMIFS(输入回款!$C:$C,输入回款!$A:$A,助手回款!$X66,输入回款!$B:$B,科目对照回款!$G$13)+SUMIFS(输入回款!$D:$D,输入回款!$A:$A,助手回款!$X66,输入回款!$B:$B,科目对照回款!$G$13))+IF(科目对照回款!$H$13="",0,SUMIFS(输入回款!$C:$C,输入回款!$A:$A,助手回款!$X66,输入回款!$B:$B,科目对照回款!$H$13)+SUMIFS(输入回款!$D:$D,输入回款!$A:$A,助手回款!$X66,输入回款!$B:$B,科目对照回款!$H$13)),2)</f>
        <v>-0</v>
      </c>
      <c r="H973" s="49" t="str">
        <f aca="false">IF(ROUND($G973,2)&gt;0,ROUND($G973,2),"")</f>
        <v/>
      </c>
      <c r="I973" s="49" t="str">
        <f aca="false">IF(ROUND($G973,2)&lt;0,-ROUND($G973,2),"")</f>
        <v/>
      </c>
      <c r="J973" s="20" t="n">
        <f aca="false">IF(ROUND($G973,2)=0,0,1)</f>
        <v>0</v>
      </c>
      <c r="K973" s="20" t="str">
        <f aca="false">IF($J973=0,"",SUM($J$962:$J973))</f>
        <v/>
      </c>
      <c r="L973" s="20" t="str">
        <f aca="false">IF($K973="","",$A973*100+$K973)</f>
        <v/>
      </c>
      <c r="M973" s="48" t="str">
        <f aca="false">参数!$B$4</f>
        <v>回款</v>
      </c>
    </row>
    <row r="974" customFormat="false" ht="13.5" hidden="false" customHeight="false" outlineLevel="0" collapsed="false">
      <c r="A974" s="47" t="n">
        <v>65</v>
      </c>
      <c r="B974" s="38" t="str">
        <f aca="false">助手回款!$B66</f>
        <v/>
      </c>
      <c r="C974" s="48" t="str">
        <f aca="false">助手回款!$C66</f>
        <v>备用20</v>
      </c>
      <c r="D974" s="48" t="str">
        <f aca="false">科目对照回款!$B14&amp;""</f>
        <v>代金券</v>
      </c>
      <c r="E974" s="48" t="str">
        <f aca="false">科目对照回款!$C14&amp;""</f>
        <v>应收账款</v>
      </c>
      <c r="F974" s="48" t="str">
        <f aca="false">科目对照回款!$D14&amp;""</f>
        <v>代金券</v>
      </c>
      <c r="G974" s="49" t="n">
        <f aca="false">-ROUND(IF(科目对照回款!$F$14="",0,SUMIFS(输入回款!$C:$C,输入回款!$A:$A,助手回款!$X66,输入回款!$B:$B,科目对照回款!$F$14)+SUMIFS(输入回款!$D:$D,输入回款!$A:$A,助手回款!$X66,输入回款!$B:$B,科目对照回款!$F$14))+IF(科目对照回款!$G$14="",0,SUMIFS(输入回款!$C:$C,输入回款!$A:$A,助手回款!$X66,输入回款!$B:$B,科目对照回款!$G$14)+SUMIFS(输入回款!$D:$D,输入回款!$A:$A,助手回款!$X66,输入回款!$B:$B,科目对照回款!$G$14))+IF(科目对照回款!$H$14="",0,SUMIFS(输入回款!$C:$C,输入回款!$A:$A,助手回款!$X66,输入回款!$B:$B,科目对照回款!$H$14)+SUMIFS(输入回款!$D:$D,输入回款!$A:$A,助手回款!$X66,输入回款!$B:$B,科目对照回款!$H$14)),2)</f>
        <v>-0</v>
      </c>
      <c r="H974" s="49" t="str">
        <f aca="false">IF(ROUND($G974,2)&gt;0,ROUND($G974,2),"")</f>
        <v/>
      </c>
      <c r="I974" s="49" t="str">
        <f aca="false">IF(ROUND($G974,2)&lt;0,-ROUND($G974,2),"")</f>
        <v/>
      </c>
      <c r="J974" s="20" t="n">
        <f aca="false">IF(ROUND($G974,2)=0,0,1)</f>
        <v>0</v>
      </c>
      <c r="K974" s="20" t="str">
        <f aca="false">IF($J974=0,"",SUM($J$962:$J974))</f>
        <v/>
      </c>
      <c r="L974" s="20" t="str">
        <f aca="false">IF($K974="","",$A974*100+$K974)</f>
        <v/>
      </c>
      <c r="M974" s="48" t="str">
        <f aca="false">参数!$B$4</f>
        <v>回款</v>
      </c>
    </row>
    <row r="975" customFormat="false" ht="13.5" hidden="false" customHeight="false" outlineLevel="0" collapsed="false">
      <c r="A975" s="47" t="n">
        <v>65</v>
      </c>
      <c r="B975" s="38" t="str">
        <f aca="false">助手回款!$B66</f>
        <v/>
      </c>
      <c r="C975" s="48" t="str">
        <f aca="false">助手回款!$C66</f>
        <v>备用20</v>
      </c>
      <c r="D975" s="48" t="str">
        <f aca="false">科目对照回款!$B15&amp;""</f>
        <v>药机微信</v>
      </c>
      <c r="E975" s="48" t="str">
        <f aca="false">科目对照回款!$C15&amp;""</f>
        <v>应收账款</v>
      </c>
      <c r="F975" s="48" t="str">
        <f aca="false">科目对照回款!$D15&amp;""</f>
        <v>药机微信</v>
      </c>
      <c r="G975" s="49" t="n">
        <f aca="false">-ROUND(IF(科目对照回款!$F$15="",0,SUMIFS(输入回款!$C:$C,输入回款!$A:$A,助手回款!$X66,输入回款!$B:$B,科目对照回款!$F$15)+SUMIFS(输入回款!$D:$D,输入回款!$A:$A,助手回款!$X66,输入回款!$B:$B,科目对照回款!$F$15))+IF(科目对照回款!$G$15="",0,SUMIFS(输入回款!$C:$C,输入回款!$A:$A,助手回款!$X66,输入回款!$B:$B,科目对照回款!$G$15)+SUMIFS(输入回款!$D:$D,输入回款!$A:$A,助手回款!$X66,输入回款!$B:$B,科目对照回款!$G$15))+IF(科目对照回款!$H$15="",0,SUMIFS(输入回款!$C:$C,输入回款!$A:$A,助手回款!$X66,输入回款!$B:$B,科目对照回款!$H$15)+SUMIFS(输入回款!$D:$D,输入回款!$A:$A,助手回款!$X66,输入回款!$B:$B,科目对照回款!$H$15)),2)</f>
        <v>-0</v>
      </c>
      <c r="H975" s="49" t="str">
        <f aca="false">IF(ROUND($G975,2)&gt;0,ROUND($G975,2),"")</f>
        <v/>
      </c>
      <c r="I975" s="49" t="str">
        <f aca="false">IF(ROUND($G975,2)&lt;0,-ROUND($G975,2),"")</f>
        <v/>
      </c>
      <c r="J975" s="20" t="n">
        <f aca="false">IF(ROUND($G975,2)=0,0,1)</f>
        <v>0</v>
      </c>
      <c r="K975" s="20" t="str">
        <f aca="false">IF($J975=0,"",SUM($J$962:$J975))</f>
        <v/>
      </c>
      <c r="L975" s="20" t="str">
        <f aca="false">IF($K975="","",$A975*100+$K975)</f>
        <v/>
      </c>
      <c r="M975" s="48" t="str">
        <f aca="false">参数!$B$4</f>
        <v>回款</v>
      </c>
    </row>
    <row r="976" customFormat="false" ht="13.5" hidden="false" customHeight="false" outlineLevel="0" collapsed="false">
      <c r="A976" s="47" t="n">
        <v>65</v>
      </c>
      <c r="B976" s="38" t="str">
        <f aca="false">助手回款!$B66</f>
        <v/>
      </c>
      <c r="C976" s="48" t="str">
        <f aca="false">助手回款!$C66</f>
        <v>备用20</v>
      </c>
      <c r="D976" s="48" t="str">
        <f aca="false">科目对照回款!$B16&amp;""</f>
        <v>储值卡</v>
      </c>
      <c r="E976" s="48" t="str">
        <f aca="false">科目对照回款!$C16&amp;""</f>
        <v>其他应收款</v>
      </c>
      <c r="F976" s="48" t="str">
        <f aca="false">科目对照回款!$D16&amp;""</f>
        <v>储值卡</v>
      </c>
      <c r="G976" s="49" t="n">
        <f aca="false">-ROUND(IF(科目对照回款!$F$16="",0,SUMIFS(输入回款!$C:$C,输入回款!$A:$A,助手回款!$X66,输入回款!$B:$B,科目对照回款!$F$16)+SUMIFS(输入回款!$D:$D,输入回款!$A:$A,助手回款!$X66,输入回款!$B:$B,科目对照回款!$F$16))+IF(科目对照回款!$G$16="",0,SUMIFS(输入回款!$C:$C,输入回款!$A:$A,助手回款!$X66,输入回款!$B:$B,科目对照回款!$G$16)+SUMIFS(输入回款!$D:$D,输入回款!$A:$A,助手回款!$X66,输入回款!$B:$B,科目对照回款!$G$16))+IF(科目对照回款!$H$16="",0,SUMIFS(输入回款!$C:$C,输入回款!$A:$A,助手回款!$X66,输入回款!$B:$B,科目对照回款!$H$16)+SUMIFS(输入回款!$D:$D,输入回款!$A:$A,助手回款!$X66,输入回款!$B:$B,科目对照回款!$H$16)),2)</f>
        <v>-0</v>
      </c>
      <c r="H976" s="49" t="str">
        <f aca="false">IF(ROUND($G976,2)&gt;0,ROUND($G976,2),"")</f>
        <v/>
      </c>
      <c r="I976" s="49" t="str">
        <f aca="false">IF(ROUND($G976,2)&lt;0,-ROUND($G976,2),"")</f>
        <v/>
      </c>
      <c r="J976" s="20" t="n">
        <f aca="false">IF(ROUND($G976,2)=0,0,1)</f>
        <v>0</v>
      </c>
      <c r="K976" s="20" t="str">
        <f aca="false">IF($J976=0,"",SUM($J$962:$J976))</f>
        <v/>
      </c>
      <c r="L976" s="20" t="str">
        <f aca="false">IF($K976="","",$A976*100+$K976)</f>
        <v/>
      </c>
      <c r="M976" s="48" t="str">
        <f aca="false">参数!$B$4</f>
        <v>回款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1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0" min="9" style="0" width="3"/>
    <col collapsed="false" customWidth="true" hidden="false" outlineLevel="0" max="11" min="11" style="0" width="10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20" min="16" style="0" width="8"/>
    <col collapsed="false" customWidth="true" hidden="false" outlineLevel="0" max="23" min="23" style="0" width="7"/>
    <col collapsed="false" customWidth="true" hidden="false" outlineLevel="0" max="24" min="24" style="0" width="12"/>
  </cols>
  <sheetData>
    <row r="1" customFormat="false" ht="14.9" hidden="false" customHeight="false" outlineLevel="0" collapsed="false">
      <c r="A1" s="17" t="s">
        <v>448</v>
      </c>
      <c r="B1" s="17" t="s">
        <v>88</v>
      </c>
      <c r="C1" s="17" t="s">
        <v>412</v>
      </c>
      <c r="D1" s="17" t="s">
        <v>411</v>
      </c>
      <c r="E1" s="17" t="s">
        <v>474</v>
      </c>
      <c r="F1" s="17" t="s">
        <v>475</v>
      </c>
      <c r="G1" s="17" t="s">
        <v>476</v>
      </c>
      <c r="H1" s="17" t="s">
        <v>477</v>
      </c>
      <c r="I1" s="17"/>
      <c r="J1" s="17"/>
      <c r="K1" s="17" t="s">
        <v>458</v>
      </c>
      <c r="L1" s="17" t="s">
        <v>459</v>
      </c>
      <c r="M1" s="17" t="s">
        <v>460</v>
      </c>
      <c r="N1" s="17" t="s">
        <v>461</v>
      </c>
      <c r="O1" s="17" t="s">
        <v>462</v>
      </c>
      <c r="P1" s="50" t="s">
        <v>463</v>
      </c>
      <c r="Q1" s="50" t="s">
        <v>464</v>
      </c>
      <c r="R1" s="50" t="s">
        <v>465</v>
      </c>
      <c r="S1" s="50" t="s">
        <v>466</v>
      </c>
      <c r="T1" s="50" t="s">
        <v>467</v>
      </c>
      <c r="U1" s="51" t="s">
        <v>468</v>
      </c>
      <c r="V1" s="52" t="n">
        <f aca="false">SUM($L$2:$L$66)</f>
        <v>46</v>
      </c>
      <c r="W1" s="50" t="s">
        <v>469</v>
      </c>
      <c r="X1" s="50" t="s">
        <v>470</v>
      </c>
    </row>
    <row r="2" customFormat="false" ht="13.5" hidden="false" customHeight="false" outlineLevel="0" collapsed="false">
      <c r="A2" s="47" t="n">
        <v>1</v>
      </c>
      <c r="B2" s="25" t="n">
        <f aca="false">IF(门店对照!$A2="","",门店对照!$A2)</f>
        <v>2001</v>
      </c>
      <c r="C2" s="26" t="str">
        <f aca="false">门店对照!$C2&amp;""</f>
        <v>柏人商城店</v>
      </c>
      <c r="D2" s="14" t="n">
        <f aca="false">参数!$B$2</f>
        <v>46234</v>
      </c>
      <c r="E2" s="15" t="n">
        <f aca="false">ROUND(SUMIFS(输入回款!$C:$C,输入回款!$A:$A,$X2),2)</f>
        <v>32050.31</v>
      </c>
      <c r="F2" s="15" t="n">
        <f aca="false">ROUND(SUMIFS(输入回款!$D:$D,输入回款!$A:$A,$X2),2)</f>
        <v>54.73</v>
      </c>
      <c r="G2" s="15" t="n">
        <f aca="false">ROUND(SUM(分录回款!$I$2:$I$16),2)</f>
        <v>32105.04</v>
      </c>
      <c r="H2" s="15" t="n">
        <f aca="false">ROUND($E2+$F2-$G2,2)</f>
        <v>0</v>
      </c>
      <c r="K2" s="20" t="n">
        <f aca="false">SUM(分录回款!$J$2:$J$16)</f>
        <v>5</v>
      </c>
      <c r="L2" s="20" t="n">
        <f aca="false">IF(OR($K2=0,$W2=0),0,ROUNDUP($K2/6,0))</f>
        <v>1</v>
      </c>
      <c r="M2" s="20" t="n">
        <f aca="false">SUM($L$2:$L2)</f>
        <v>1</v>
      </c>
      <c r="N2" s="15" t="n">
        <f aca="false">ROUND(SUM(分录回款!$H$2:$H$16),2)</f>
        <v>32105.04</v>
      </c>
      <c r="O2" s="15" t="n">
        <f aca="false">ROUND(SUM(分录回款!$I$2:$I$16),2)</f>
        <v>32105.04</v>
      </c>
      <c r="P2" s="20" t="n">
        <f aca="false">IF($L2=0,"",COUNTIF($L$2:$L2,"&gt;0"))</f>
        <v>1</v>
      </c>
      <c r="Q2" s="47" t="n">
        <v>1</v>
      </c>
      <c r="R2" s="20" t="n">
        <f aca="false">IF(1&gt;$V$1,"",COUNTIF($M$2:$M$66,"&lt;"&amp;1)+1)</f>
        <v>1</v>
      </c>
      <c r="S2" s="20" t="n">
        <f aca="false">IF($R2="","",1-IF($R2=1,0,INDEX($M$2:$M$66,$R2-1)))</f>
        <v>1</v>
      </c>
      <c r="T2" s="20" t="n">
        <f aca="false">IF($R2="",0,IF($S2=INDEX($L$2:$L$66,$R2),1,0))</f>
        <v>1</v>
      </c>
      <c r="W2" s="20" t="n">
        <f aca="false">门店对照!$D2</f>
        <v>1</v>
      </c>
      <c r="X2" s="38" t="n">
        <f aca="false">IF($W2=1,$B2,"#未启用#")</f>
        <v>2001</v>
      </c>
    </row>
    <row r="3" customFormat="false" ht="13.5" hidden="false" customHeight="false" outlineLevel="0" collapsed="false">
      <c r="A3" s="47" t="n">
        <v>2</v>
      </c>
      <c r="B3" s="25" t="n">
        <f aca="false">IF(门店对照!$A3="","",门店对照!$A3)</f>
        <v>2002</v>
      </c>
      <c r="C3" s="26" t="str">
        <f aca="false">门店对照!$C3&amp;""</f>
        <v>新隆店</v>
      </c>
      <c r="D3" s="14" t="n">
        <f aca="false">参数!$B$2</f>
        <v>46234</v>
      </c>
      <c r="E3" s="15" t="n">
        <f aca="false">ROUND(SUMIFS(输入回款!$C:$C,输入回款!$A:$A,$X3),2)</f>
        <v>150110.95</v>
      </c>
      <c r="F3" s="15" t="n">
        <f aca="false">ROUND(SUMIFS(输入回款!$D:$D,输入回款!$A:$A,$X3),2)</f>
        <v>0</v>
      </c>
      <c r="G3" s="15" t="n">
        <f aca="false">ROUND(SUM(分录回款!$I$17:$I$31),2)</f>
        <v>150110.95</v>
      </c>
      <c r="H3" s="15" t="n">
        <f aca="false">ROUND($E3+$F3-$G3,2)</f>
        <v>0</v>
      </c>
      <c r="K3" s="20" t="n">
        <f aca="false">SUM(分录回款!$J$17:$J$31)</f>
        <v>3</v>
      </c>
      <c r="L3" s="20" t="n">
        <f aca="false">IF(OR($K3=0,$W3=0),0,ROUNDUP($K3/6,0))</f>
        <v>1</v>
      </c>
      <c r="M3" s="20" t="n">
        <f aca="false">SUM($L$2:$L3)</f>
        <v>2</v>
      </c>
      <c r="N3" s="15" t="n">
        <f aca="false">ROUND(SUM(分录回款!$H$17:$H$31),2)</f>
        <v>150110.95</v>
      </c>
      <c r="O3" s="15" t="n">
        <f aca="false">ROUND(SUM(分录回款!$I$17:$I$31),2)</f>
        <v>150110.95</v>
      </c>
      <c r="P3" s="20" t="n">
        <f aca="false">IF($L3=0,"",COUNTIF($L$2:$L3,"&gt;0"))</f>
        <v>2</v>
      </c>
      <c r="Q3" s="47" t="n">
        <v>2</v>
      </c>
      <c r="R3" s="20" t="n">
        <f aca="false">IF(2&gt;$V$1,"",COUNTIF($M$2:$M$66,"&lt;"&amp;2)+1)</f>
        <v>2</v>
      </c>
      <c r="S3" s="20" t="n">
        <f aca="false">IF($R3="","",2-IF($R3=1,0,INDEX($M$2:$M$66,$R3-1)))</f>
        <v>1</v>
      </c>
      <c r="T3" s="20" t="n">
        <f aca="false">IF($R3="",0,IF($S3=INDEX($L$2:$L$66,$R3),1,0))</f>
        <v>1</v>
      </c>
      <c r="W3" s="20" t="n">
        <f aca="false">门店对照!$D3</f>
        <v>1</v>
      </c>
      <c r="X3" s="38" t="n">
        <f aca="false">IF($W3=1,$B3,"#未启用#")</f>
        <v>2002</v>
      </c>
    </row>
    <row r="4" customFormat="false" ht="13.5" hidden="false" customHeight="false" outlineLevel="0" collapsed="false">
      <c r="A4" s="47" t="n">
        <v>3</v>
      </c>
      <c r="B4" s="25" t="n">
        <f aca="false">IF(门店对照!$A4="","",门店对照!$A4)</f>
        <v>2003</v>
      </c>
      <c r="C4" s="26" t="str">
        <f aca="false">门店对照!$C4&amp;""</f>
        <v>康庄路店</v>
      </c>
      <c r="D4" s="14" t="n">
        <f aca="false">参数!$B$2</f>
        <v>46234</v>
      </c>
      <c r="E4" s="15" t="n">
        <f aca="false">ROUND(SUMIFS(输入回款!$C:$C,输入回款!$A:$A,$X4),2)</f>
        <v>156113.63</v>
      </c>
      <c r="F4" s="15" t="n">
        <f aca="false">ROUND(SUMIFS(输入回款!$D:$D,输入回款!$A:$A,$X4),2)</f>
        <v>81.68</v>
      </c>
      <c r="G4" s="15" t="n">
        <f aca="false">ROUND(SUM(分录回款!$I$32:$I$46),2)</f>
        <v>156195.31</v>
      </c>
      <c r="H4" s="15" t="n">
        <f aca="false">ROUND($E4+$F4-$G4,2)</f>
        <v>0</v>
      </c>
      <c r="K4" s="20" t="n">
        <f aca="false">SUM(分录回款!$J$32:$J$46)</f>
        <v>7</v>
      </c>
      <c r="L4" s="20" t="n">
        <f aca="false">IF(OR($K4=0,$W4=0),0,ROUNDUP($K4/6,0))</f>
        <v>2</v>
      </c>
      <c r="M4" s="20" t="n">
        <f aca="false">SUM($L$2:$L4)</f>
        <v>4</v>
      </c>
      <c r="N4" s="15" t="n">
        <f aca="false">ROUND(SUM(分录回款!$H$32:$H$46),2)</f>
        <v>156195.31</v>
      </c>
      <c r="O4" s="15" t="n">
        <f aca="false">ROUND(SUM(分录回款!$I$32:$I$46),2)</f>
        <v>156195.31</v>
      </c>
      <c r="P4" s="20" t="n">
        <f aca="false">IF($L4=0,"",COUNTIF($L$2:$L4,"&gt;0"))</f>
        <v>3</v>
      </c>
      <c r="Q4" s="47" t="n">
        <v>3</v>
      </c>
      <c r="R4" s="20" t="n">
        <f aca="false">IF(3&gt;$V$1,"",COUNTIF($M$2:$M$66,"&lt;"&amp;3)+1)</f>
        <v>3</v>
      </c>
      <c r="S4" s="20" t="n">
        <f aca="false">IF($R4="","",3-IF($R4=1,0,INDEX($M$2:$M$66,$R4-1)))</f>
        <v>1</v>
      </c>
      <c r="T4" s="20" t="n">
        <f aca="false">IF($R4="",0,IF($S4=INDEX($L$2:$L$66,$R4),1,0))</f>
        <v>0</v>
      </c>
      <c r="W4" s="20" t="n">
        <f aca="false">门店对照!$D4</f>
        <v>1</v>
      </c>
      <c r="X4" s="38" t="n">
        <f aca="false">IF($W4=1,$B4,"#未启用#")</f>
        <v>2003</v>
      </c>
    </row>
    <row r="5" customFormat="false" ht="13.5" hidden="false" customHeight="false" outlineLevel="0" collapsed="false">
      <c r="A5" s="47" t="n">
        <v>4</v>
      </c>
      <c r="B5" s="25" t="n">
        <f aca="false">IF(门店对照!$A5="","",门店对照!$A5)</f>
        <v>2004</v>
      </c>
      <c r="C5" s="26" t="str">
        <f aca="false">门店对照!$C5&amp;""</f>
        <v>东关店</v>
      </c>
      <c r="D5" s="14" t="n">
        <f aca="false">参数!$B$2</f>
        <v>46234</v>
      </c>
      <c r="E5" s="15" t="n">
        <f aca="false">ROUND(SUMIFS(输入回款!$C:$C,输入回款!$A:$A,$X5),2)</f>
        <v>30287.44</v>
      </c>
      <c r="F5" s="15" t="n">
        <f aca="false">ROUND(SUMIFS(输入回款!$D:$D,输入回款!$A:$A,$X5),2)</f>
        <v>111.32</v>
      </c>
      <c r="G5" s="15" t="n">
        <f aca="false">ROUND(SUM(分录回款!$I$47:$I$61),2)</f>
        <v>30398.76</v>
      </c>
      <c r="H5" s="15" t="n">
        <f aca="false">ROUND($E5+$F5-$G5,2)</f>
        <v>0</v>
      </c>
      <c r="K5" s="20" t="n">
        <f aca="false">SUM(分录回款!$J$47:$J$61)</f>
        <v>6</v>
      </c>
      <c r="L5" s="20" t="n">
        <f aca="false">IF(OR($K5=0,$W5=0),0,ROUNDUP($K5/6,0))</f>
        <v>1</v>
      </c>
      <c r="M5" s="20" t="n">
        <f aca="false">SUM($L$2:$L5)</f>
        <v>5</v>
      </c>
      <c r="N5" s="15" t="n">
        <f aca="false">ROUND(SUM(分录回款!$H$47:$H$61),2)</f>
        <v>30398.76</v>
      </c>
      <c r="O5" s="15" t="n">
        <f aca="false">ROUND(SUM(分录回款!$I$47:$I$61),2)</f>
        <v>30398.76</v>
      </c>
      <c r="P5" s="20" t="n">
        <f aca="false">IF($L5=0,"",COUNTIF($L$2:$L5,"&gt;0"))</f>
        <v>4</v>
      </c>
      <c r="Q5" s="47" t="n">
        <v>4</v>
      </c>
      <c r="R5" s="20" t="n">
        <f aca="false">IF(4&gt;$V$1,"",COUNTIF($M$2:$M$66,"&lt;"&amp;4)+1)</f>
        <v>3</v>
      </c>
      <c r="S5" s="20" t="n">
        <f aca="false">IF($R5="","",4-IF($R5=1,0,INDEX($M$2:$M$66,$R5-1)))</f>
        <v>2</v>
      </c>
      <c r="T5" s="20" t="n">
        <f aca="false">IF($R5="",0,IF($S5=INDEX($L$2:$L$66,$R5),1,0))</f>
        <v>1</v>
      </c>
      <c r="W5" s="20" t="n">
        <f aca="false">门店对照!$D5</f>
        <v>1</v>
      </c>
      <c r="X5" s="38" t="n">
        <f aca="false">IF($W5=1,$B5,"#未启用#")</f>
        <v>2004</v>
      </c>
    </row>
    <row r="6" customFormat="false" ht="13.5" hidden="false" customHeight="false" outlineLevel="0" collapsed="false">
      <c r="A6" s="47" t="n">
        <v>5</v>
      </c>
      <c r="B6" s="25" t="n">
        <f aca="false">IF(门店对照!$A6="","",门店对照!$A6)</f>
        <v>2005</v>
      </c>
      <c r="C6" s="26" t="str">
        <f aca="false">门店对照!$C6&amp;""</f>
        <v>象城街店</v>
      </c>
      <c r="D6" s="14" t="n">
        <f aca="false">参数!$B$2</f>
        <v>46234</v>
      </c>
      <c r="E6" s="15" t="n">
        <f aca="false">ROUND(SUMIFS(输入回款!$C:$C,输入回款!$A:$A,$X6),2)</f>
        <v>47151.07</v>
      </c>
      <c r="F6" s="15" t="n">
        <f aca="false">ROUND(SUMIFS(输入回款!$D:$D,输入回款!$A:$A,$X6),2)</f>
        <v>82.32</v>
      </c>
      <c r="G6" s="15" t="n">
        <f aca="false">ROUND(SUM(分录回款!$I$62:$I$76),2)</f>
        <v>47233.39</v>
      </c>
      <c r="H6" s="15" t="n">
        <f aca="false">ROUND($E6+$F6-$G6,2)</f>
        <v>0</v>
      </c>
      <c r="K6" s="20" t="n">
        <f aca="false">SUM(分录回款!$J$62:$J$76)</f>
        <v>6</v>
      </c>
      <c r="L6" s="20" t="n">
        <f aca="false">IF(OR($K6=0,$W6=0),0,ROUNDUP($K6/6,0))</f>
        <v>1</v>
      </c>
      <c r="M6" s="20" t="n">
        <f aca="false">SUM($L$2:$L6)</f>
        <v>6</v>
      </c>
      <c r="N6" s="15" t="n">
        <f aca="false">ROUND(SUM(分录回款!$H$62:$H$76),2)</f>
        <v>47233.39</v>
      </c>
      <c r="O6" s="15" t="n">
        <f aca="false">ROUND(SUM(分录回款!$I$62:$I$76),2)</f>
        <v>47233.39</v>
      </c>
      <c r="P6" s="20" t="n">
        <f aca="false">IF($L6=0,"",COUNTIF($L$2:$L6,"&gt;0"))</f>
        <v>5</v>
      </c>
      <c r="Q6" s="47" t="n">
        <v>5</v>
      </c>
      <c r="R6" s="20" t="n">
        <f aca="false">IF(5&gt;$V$1,"",COUNTIF($M$2:$M$66,"&lt;"&amp;5)+1)</f>
        <v>4</v>
      </c>
      <c r="S6" s="20" t="n">
        <f aca="false">IF($R6="","",5-IF($R6=1,0,INDEX($M$2:$M$66,$R6-1)))</f>
        <v>1</v>
      </c>
      <c r="T6" s="20" t="n">
        <f aca="false">IF($R6="",0,IF($S6=INDEX($L$2:$L$66,$R6),1,0))</f>
        <v>1</v>
      </c>
      <c r="W6" s="20" t="n">
        <f aca="false">门店对照!$D6</f>
        <v>1</v>
      </c>
      <c r="X6" s="38" t="n">
        <f aca="false">IF($W6=1,$B6,"#未启用#")</f>
        <v>2005</v>
      </c>
    </row>
    <row r="7" customFormat="false" ht="13.5" hidden="false" customHeight="false" outlineLevel="0" collapsed="false">
      <c r="A7" s="47" t="n">
        <v>6</v>
      </c>
      <c r="B7" s="25" t="n">
        <f aca="false">IF(门店对照!$A7="","",门店对照!$A7)</f>
        <v>2006</v>
      </c>
      <c r="C7" s="26" t="str">
        <f aca="false">门店对照!$C7&amp;""</f>
        <v>博荣店</v>
      </c>
      <c r="D7" s="14" t="n">
        <f aca="false">参数!$B$2</f>
        <v>46234</v>
      </c>
      <c r="E7" s="15" t="n">
        <f aca="false">ROUND(SUMIFS(输入回款!$C:$C,输入回款!$A:$A,$X7),2)</f>
        <v>77638.99</v>
      </c>
      <c r="F7" s="15" t="n">
        <f aca="false">ROUND(SUMIFS(输入回款!$D:$D,输入回款!$A:$A,$X7),2)</f>
        <v>27.84</v>
      </c>
      <c r="G7" s="15" t="n">
        <f aca="false">ROUND(SUM(分录回款!$I$77:$I$91),2)</f>
        <v>77666.83</v>
      </c>
      <c r="H7" s="15" t="n">
        <f aca="false">ROUND($E7+$F7-$G7,2)</f>
        <v>0</v>
      </c>
      <c r="K7" s="20" t="n">
        <f aca="false">SUM(分录回款!$J$77:$J$91)</f>
        <v>6</v>
      </c>
      <c r="L7" s="20" t="n">
        <f aca="false">IF(OR($K7=0,$W7=0),0,ROUNDUP($K7/6,0))</f>
        <v>1</v>
      </c>
      <c r="M7" s="20" t="n">
        <f aca="false">SUM($L$2:$L7)</f>
        <v>7</v>
      </c>
      <c r="N7" s="15" t="n">
        <f aca="false">ROUND(SUM(分录回款!$H$77:$H$91),2)</f>
        <v>77666.83</v>
      </c>
      <c r="O7" s="15" t="n">
        <f aca="false">ROUND(SUM(分录回款!$I$77:$I$91),2)</f>
        <v>77666.83</v>
      </c>
      <c r="P7" s="20" t="n">
        <f aca="false">IF($L7=0,"",COUNTIF($L$2:$L7,"&gt;0"))</f>
        <v>6</v>
      </c>
      <c r="Q7" s="47" t="n">
        <v>6</v>
      </c>
      <c r="R7" s="20" t="n">
        <f aca="false">IF(6&gt;$V$1,"",COUNTIF($M$2:$M$66,"&lt;"&amp;6)+1)</f>
        <v>5</v>
      </c>
      <c r="S7" s="20" t="n">
        <f aca="false">IF($R7="","",6-IF($R7=1,0,INDEX($M$2:$M$66,$R7-1)))</f>
        <v>1</v>
      </c>
      <c r="T7" s="20" t="n">
        <f aca="false">IF($R7="",0,IF($S7=INDEX($L$2:$L$66,$R7),1,0))</f>
        <v>1</v>
      </c>
      <c r="W7" s="20" t="n">
        <f aca="false">门店对照!$D7</f>
        <v>1</v>
      </c>
      <c r="X7" s="38" t="n">
        <f aca="false">IF($W7=1,$B7,"#未启用#")</f>
        <v>2006</v>
      </c>
    </row>
    <row r="8" customFormat="false" ht="13.5" hidden="false" customHeight="false" outlineLevel="0" collapsed="false">
      <c r="A8" s="47" t="n">
        <v>7</v>
      </c>
      <c r="B8" s="25" t="n">
        <f aca="false">IF(门店对照!$A8="","",门店对照!$A8)</f>
        <v>2007</v>
      </c>
      <c r="C8" s="26" t="str">
        <f aca="false">门店对照!$C8&amp;""</f>
        <v>华鑫店</v>
      </c>
      <c r="D8" s="14" t="n">
        <f aca="false">参数!$B$2</f>
        <v>46234</v>
      </c>
      <c r="E8" s="15" t="n">
        <f aca="false">ROUND(SUMIFS(输入回款!$C:$C,输入回款!$A:$A,$X8),2)</f>
        <v>42985.8</v>
      </c>
      <c r="F8" s="15" t="n">
        <f aca="false">ROUND(SUMIFS(输入回款!$D:$D,输入回款!$A:$A,$X8),2)</f>
        <v>65.84</v>
      </c>
      <c r="G8" s="15" t="n">
        <f aca="false">ROUND(SUM(分录回款!$I$92:$I$106),2)</f>
        <v>43051.64</v>
      </c>
      <c r="H8" s="15" t="n">
        <f aca="false">ROUND($E8+$F8-$G8,2)</f>
        <v>0</v>
      </c>
      <c r="K8" s="20" t="n">
        <f aca="false">SUM(分录回款!$J$92:$J$106)</f>
        <v>7</v>
      </c>
      <c r="L8" s="20" t="n">
        <f aca="false">IF(OR($K8=0,$W8=0),0,ROUNDUP($K8/6,0))</f>
        <v>2</v>
      </c>
      <c r="M8" s="20" t="n">
        <f aca="false">SUM($L$2:$L8)</f>
        <v>9</v>
      </c>
      <c r="N8" s="15" t="n">
        <f aca="false">ROUND(SUM(分录回款!$H$92:$H$106),2)</f>
        <v>43051.64</v>
      </c>
      <c r="O8" s="15" t="n">
        <f aca="false">ROUND(SUM(分录回款!$I$92:$I$106),2)</f>
        <v>43051.64</v>
      </c>
      <c r="P8" s="20" t="n">
        <f aca="false">IF($L8=0,"",COUNTIF($L$2:$L8,"&gt;0"))</f>
        <v>7</v>
      </c>
      <c r="Q8" s="47" t="n">
        <v>7</v>
      </c>
      <c r="R8" s="20" t="n">
        <f aca="false">IF(7&gt;$V$1,"",COUNTIF($M$2:$M$66,"&lt;"&amp;7)+1)</f>
        <v>6</v>
      </c>
      <c r="S8" s="20" t="n">
        <f aca="false">IF($R8="","",7-IF($R8=1,0,INDEX($M$2:$M$66,$R8-1)))</f>
        <v>1</v>
      </c>
      <c r="T8" s="20" t="n">
        <f aca="false">IF($R8="",0,IF($S8=INDEX($L$2:$L$66,$R8),1,0))</f>
        <v>1</v>
      </c>
      <c r="W8" s="20" t="n">
        <f aca="false">门店对照!$D8</f>
        <v>1</v>
      </c>
      <c r="X8" s="38" t="n">
        <f aca="false">IF($W8=1,$B8,"#未启用#")</f>
        <v>2007</v>
      </c>
    </row>
    <row r="9" customFormat="false" ht="13.5" hidden="false" customHeight="false" outlineLevel="0" collapsed="false">
      <c r="A9" s="47" t="n">
        <v>8</v>
      </c>
      <c r="B9" s="25" t="n">
        <f aca="false">IF(门店对照!$A9="","",门店对照!$A9)</f>
        <v>2008</v>
      </c>
      <c r="C9" s="26" t="str">
        <f aca="false">门店对照!$C9&amp;""</f>
        <v>博昭店</v>
      </c>
      <c r="D9" s="14" t="n">
        <f aca="false">参数!$B$2</f>
        <v>46234</v>
      </c>
      <c r="E9" s="15" t="n">
        <f aca="false">ROUND(SUMIFS(输入回款!$C:$C,输入回款!$A:$A,$X9),2)</f>
        <v>73981.1</v>
      </c>
      <c r="F9" s="15" t="n">
        <f aca="false">ROUND(SUMIFS(输入回款!$D:$D,输入回款!$A:$A,$X9),2)</f>
        <v>5</v>
      </c>
      <c r="G9" s="15" t="n">
        <f aca="false">ROUND(SUM(分录回款!$I$107:$I$121),2)</f>
        <v>73986.1</v>
      </c>
      <c r="H9" s="15" t="n">
        <f aca="false">ROUND($E9+$F9-$G9,2)</f>
        <v>0</v>
      </c>
      <c r="K9" s="20" t="n">
        <f aca="false">SUM(分录回款!$J$107:$J$121)</f>
        <v>5</v>
      </c>
      <c r="L9" s="20" t="n">
        <f aca="false">IF(OR($K9=0,$W9=0),0,ROUNDUP($K9/6,0))</f>
        <v>1</v>
      </c>
      <c r="M9" s="20" t="n">
        <f aca="false">SUM($L$2:$L9)</f>
        <v>10</v>
      </c>
      <c r="N9" s="15" t="n">
        <f aca="false">ROUND(SUM(分录回款!$H$107:$H$121),2)</f>
        <v>73986.1</v>
      </c>
      <c r="O9" s="15" t="n">
        <f aca="false">ROUND(SUM(分录回款!$I$107:$I$121),2)</f>
        <v>73986.1</v>
      </c>
      <c r="P9" s="20" t="n">
        <f aca="false">IF($L9=0,"",COUNTIF($L$2:$L9,"&gt;0"))</f>
        <v>8</v>
      </c>
      <c r="Q9" s="47" t="n">
        <v>8</v>
      </c>
      <c r="R9" s="20" t="n">
        <f aca="false">IF(8&gt;$V$1,"",COUNTIF($M$2:$M$66,"&lt;"&amp;8)+1)</f>
        <v>7</v>
      </c>
      <c r="S9" s="20" t="n">
        <f aca="false">IF($R9="","",8-IF($R9=1,0,INDEX($M$2:$M$66,$R9-1)))</f>
        <v>1</v>
      </c>
      <c r="T9" s="20" t="n">
        <f aca="false">IF($R9="",0,IF($S9=INDEX($L$2:$L$66,$R9),1,0))</f>
        <v>0</v>
      </c>
      <c r="W9" s="20" t="n">
        <f aca="false">门店对照!$D9</f>
        <v>1</v>
      </c>
      <c r="X9" s="38" t="n">
        <f aca="false">IF($W9=1,$B9,"#未启用#")</f>
        <v>2008</v>
      </c>
    </row>
    <row r="10" customFormat="false" ht="13.5" hidden="false" customHeight="false" outlineLevel="0" collapsed="false">
      <c r="A10" s="47" t="n">
        <v>9</v>
      </c>
      <c r="B10" s="25" t="n">
        <f aca="false">IF(门店对照!$A10="","",门店对照!$A10)</f>
        <v>2009</v>
      </c>
      <c r="C10" s="26" t="str">
        <f aca="false">门店对照!$C10&amp;""</f>
        <v>大霍店</v>
      </c>
      <c r="D10" s="14" t="n">
        <f aca="false">参数!$B$2</f>
        <v>46234</v>
      </c>
      <c r="E10" s="15" t="n">
        <f aca="false">ROUND(SUMIFS(输入回款!$C:$C,输入回款!$A:$A,$X10),2)</f>
        <v>34503.35</v>
      </c>
      <c r="F10" s="15" t="n">
        <f aca="false">ROUND(SUMIFS(输入回款!$D:$D,输入回款!$A:$A,$X10),2)</f>
        <v>0</v>
      </c>
      <c r="G10" s="15" t="n">
        <f aca="false">ROUND(SUM(分录回款!$I$122:$I$136),2)</f>
        <v>34503.35</v>
      </c>
      <c r="H10" s="15" t="n">
        <f aca="false">ROUND($E10+$F10-$G10,2)</f>
        <v>0</v>
      </c>
      <c r="K10" s="20" t="n">
        <f aca="false">SUM(分录回款!$J$122:$J$136)</f>
        <v>3</v>
      </c>
      <c r="L10" s="20" t="n">
        <f aca="false">IF(OR($K10=0,$W10=0),0,ROUNDUP($K10/6,0))</f>
        <v>1</v>
      </c>
      <c r="M10" s="20" t="n">
        <f aca="false">SUM($L$2:$L10)</f>
        <v>11</v>
      </c>
      <c r="N10" s="15" t="n">
        <f aca="false">ROUND(SUM(分录回款!$H$122:$H$136),2)</f>
        <v>34503.35</v>
      </c>
      <c r="O10" s="15" t="n">
        <f aca="false">ROUND(SUM(分录回款!$I$122:$I$136),2)</f>
        <v>34503.35</v>
      </c>
      <c r="P10" s="20" t="n">
        <f aca="false">IF($L10=0,"",COUNTIF($L$2:$L10,"&gt;0"))</f>
        <v>9</v>
      </c>
      <c r="Q10" s="47" t="n">
        <v>9</v>
      </c>
      <c r="R10" s="20" t="n">
        <f aca="false">IF(9&gt;$V$1,"",COUNTIF($M$2:$M$66,"&lt;"&amp;9)+1)</f>
        <v>7</v>
      </c>
      <c r="S10" s="20" t="n">
        <f aca="false">IF($R10="","",9-IF($R10=1,0,INDEX($M$2:$M$66,$R10-1)))</f>
        <v>2</v>
      </c>
      <c r="T10" s="20" t="n">
        <f aca="false">IF($R10="",0,IF($S10=INDEX($L$2:$L$66,$R10),1,0))</f>
        <v>1</v>
      </c>
      <c r="W10" s="20" t="n">
        <f aca="false">门店对照!$D10</f>
        <v>1</v>
      </c>
      <c r="X10" s="38" t="n">
        <f aca="false">IF($W10=1,$B10,"#未启用#")</f>
        <v>2009</v>
      </c>
    </row>
    <row r="11" customFormat="false" ht="13.5" hidden="false" customHeight="false" outlineLevel="0" collapsed="false">
      <c r="A11" s="47" t="n">
        <v>10</v>
      </c>
      <c r="B11" s="25" t="n">
        <f aca="false">IF(门店对照!$A11="","",门店对照!$A11)</f>
        <v>2010</v>
      </c>
      <c r="C11" s="26" t="str">
        <f aca="false">门店对照!$C11&amp;""</f>
        <v>莲子镇店</v>
      </c>
      <c r="D11" s="14" t="n">
        <f aca="false">参数!$B$2</f>
        <v>46234</v>
      </c>
      <c r="E11" s="15" t="n">
        <f aca="false">ROUND(SUMIFS(输入回款!$C:$C,输入回款!$A:$A,$X11),2)</f>
        <v>90939.53</v>
      </c>
      <c r="F11" s="15" t="n">
        <f aca="false">ROUND(SUMIFS(输入回款!$D:$D,输入回款!$A:$A,$X11),2)</f>
        <v>0</v>
      </c>
      <c r="G11" s="15" t="n">
        <f aca="false">ROUND(SUM(分录回款!$I$137:$I$151),2)</f>
        <v>90939.53</v>
      </c>
      <c r="H11" s="15" t="n">
        <f aca="false">ROUND($E11+$F11-$G11,2)</f>
        <v>0</v>
      </c>
      <c r="K11" s="20" t="n">
        <f aca="false">SUM(分录回款!$J$137:$J$151)</f>
        <v>3</v>
      </c>
      <c r="L11" s="20" t="n">
        <f aca="false">IF(OR($K11=0,$W11=0),0,ROUNDUP($K11/6,0))</f>
        <v>1</v>
      </c>
      <c r="M11" s="20" t="n">
        <f aca="false">SUM($L$2:$L11)</f>
        <v>12</v>
      </c>
      <c r="N11" s="15" t="n">
        <f aca="false">ROUND(SUM(分录回款!$H$137:$H$151),2)</f>
        <v>90939.53</v>
      </c>
      <c r="O11" s="15" t="n">
        <f aca="false">ROUND(SUM(分录回款!$I$137:$I$151),2)</f>
        <v>90939.53</v>
      </c>
      <c r="P11" s="20" t="n">
        <f aca="false">IF($L11=0,"",COUNTIF($L$2:$L11,"&gt;0"))</f>
        <v>10</v>
      </c>
      <c r="Q11" s="47" t="n">
        <v>10</v>
      </c>
      <c r="R11" s="20" t="n">
        <f aca="false">IF(10&gt;$V$1,"",COUNTIF($M$2:$M$66,"&lt;"&amp;10)+1)</f>
        <v>8</v>
      </c>
      <c r="S11" s="20" t="n">
        <f aca="false">IF($R11="","",10-IF($R11=1,0,INDEX($M$2:$M$66,$R11-1)))</f>
        <v>1</v>
      </c>
      <c r="T11" s="20" t="n">
        <f aca="false">IF($R11="",0,IF($S11=INDEX($L$2:$L$66,$R11),1,0))</f>
        <v>1</v>
      </c>
      <c r="W11" s="20" t="n">
        <f aca="false">门店对照!$D11</f>
        <v>1</v>
      </c>
      <c r="X11" s="38" t="n">
        <f aca="false">IF($W11=1,$B11,"#未启用#")</f>
        <v>2010</v>
      </c>
    </row>
    <row r="12" customFormat="false" ht="13.5" hidden="false" customHeight="false" outlineLevel="0" collapsed="false">
      <c r="A12" s="47" t="n">
        <v>11</v>
      </c>
      <c r="B12" s="25" t="n">
        <f aca="false">IF(门店对照!$A12="","",门店对照!$A12)</f>
        <v>2011</v>
      </c>
      <c r="C12" s="26" t="str">
        <f aca="false">门店对照!$C12&amp;""</f>
        <v>毛尔寨店</v>
      </c>
      <c r="D12" s="14" t="n">
        <f aca="false">参数!$B$2</f>
        <v>46234</v>
      </c>
      <c r="E12" s="15" t="n">
        <f aca="false">ROUND(SUMIFS(输入回款!$C:$C,输入回款!$A:$A,$X12),2)</f>
        <v>17341.43</v>
      </c>
      <c r="F12" s="15" t="n">
        <f aca="false">ROUND(SUMIFS(输入回款!$D:$D,输入回款!$A:$A,$X12),2)</f>
        <v>0</v>
      </c>
      <c r="G12" s="15" t="n">
        <f aca="false">ROUND(SUM(分录回款!$I$152:$I$166),2)</f>
        <v>17341.43</v>
      </c>
      <c r="H12" s="15" t="n">
        <f aca="false">ROUND($E12+$F12-$G12,2)</f>
        <v>0</v>
      </c>
      <c r="K12" s="20" t="n">
        <f aca="false">SUM(分录回款!$J$152:$J$166)</f>
        <v>3</v>
      </c>
      <c r="L12" s="20" t="n">
        <f aca="false">IF(OR($K12=0,$W12=0),0,ROUNDUP($K12/6,0))</f>
        <v>1</v>
      </c>
      <c r="M12" s="20" t="n">
        <f aca="false">SUM($L$2:$L12)</f>
        <v>13</v>
      </c>
      <c r="N12" s="15" t="n">
        <f aca="false">ROUND(SUM(分录回款!$H$152:$H$166),2)</f>
        <v>17341.43</v>
      </c>
      <c r="O12" s="15" t="n">
        <f aca="false">ROUND(SUM(分录回款!$I$152:$I$166),2)</f>
        <v>17341.43</v>
      </c>
      <c r="P12" s="20" t="n">
        <f aca="false">IF($L12=0,"",COUNTIF($L$2:$L12,"&gt;0"))</f>
        <v>11</v>
      </c>
      <c r="Q12" s="47" t="n">
        <v>11</v>
      </c>
      <c r="R12" s="20" t="n">
        <f aca="false">IF(11&gt;$V$1,"",COUNTIF($M$2:$M$66,"&lt;"&amp;11)+1)</f>
        <v>9</v>
      </c>
      <c r="S12" s="20" t="n">
        <f aca="false">IF($R12="","",11-IF($R12=1,0,INDEX($M$2:$M$66,$R12-1)))</f>
        <v>1</v>
      </c>
      <c r="T12" s="20" t="n">
        <f aca="false">IF($R12="",0,IF($S12=INDEX($L$2:$L$66,$R12),1,0))</f>
        <v>1</v>
      </c>
      <c r="W12" s="20" t="n">
        <f aca="false">门店对照!$D12</f>
        <v>1</v>
      </c>
      <c r="X12" s="38" t="n">
        <f aca="false">IF($W12=1,$B12,"#未启用#")</f>
        <v>2011</v>
      </c>
    </row>
    <row r="13" customFormat="false" ht="13.5" hidden="false" customHeight="false" outlineLevel="0" collapsed="false">
      <c r="A13" s="47" t="n">
        <v>12</v>
      </c>
      <c r="B13" s="25" t="n">
        <f aca="false">IF(门店对照!$A13="","",门店对照!$A13)</f>
        <v>2012</v>
      </c>
      <c r="C13" s="26" t="str">
        <f aca="false">门店对照!$C13&amp;""</f>
        <v>泽畔店</v>
      </c>
      <c r="D13" s="14" t="n">
        <f aca="false">参数!$B$2</f>
        <v>46234</v>
      </c>
      <c r="E13" s="15" t="n">
        <f aca="false">ROUND(SUMIFS(输入回款!$C:$C,输入回款!$A:$A,$X13),2)</f>
        <v>33713.92</v>
      </c>
      <c r="F13" s="15" t="n">
        <f aca="false">ROUND(SUMIFS(输入回款!$D:$D,输入回款!$A:$A,$X13),2)</f>
        <v>0</v>
      </c>
      <c r="G13" s="15" t="n">
        <f aca="false">ROUND(SUM(分录回款!$I$167:$I$181),2)</f>
        <v>33713.92</v>
      </c>
      <c r="H13" s="15" t="n">
        <f aca="false">ROUND($E13+$F13-$G13,2)</f>
        <v>0</v>
      </c>
      <c r="K13" s="20" t="n">
        <f aca="false">SUM(分录回款!$J$167:$J$181)</f>
        <v>3</v>
      </c>
      <c r="L13" s="20" t="n">
        <f aca="false">IF(OR($K13=0,$W13=0),0,ROUNDUP($K13/6,0))</f>
        <v>1</v>
      </c>
      <c r="M13" s="20" t="n">
        <f aca="false">SUM($L$2:$L13)</f>
        <v>14</v>
      </c>
      <c r="N13" s="15" t="n">
        <f aca="false">ROUND(SUM(分录回款!$H$167:$H$181),2)</f>
        <v>33713.92</v>
      </c>
      <c r="O13" s="15" t="n">
        <f aca="false">ROUND(SUM(分录回款!$I$167:$I$181),2)</f>
        <v>33713.92</v>
      </c>
      <c r="P13" s="20" t="n">
        <f aca="false">IF($L13=0,"",COUNTIF($L$2:$L13,"&gt;0"))</f>
        <v>12</v>
      </c>
      <c r="Q13" s="47" t="n">
        <v>12</v>
      </c>
      <c r="R13" s="20" t="n">
        <f aca="false">IF(12&gt;$V$1,"",COUNTIF($M$2:$M$66,"&lt;"&amp;12)+1)</f>
        <v>10</v>
      </c>
      <c r="S13" s="20" t="n">
        <f aca="false">IF($R13="","",12-IF($R13=1,0,INDEX($M$2:$M$66,$R13-1)))</f>
        <v>1</v>
      </c>
      <c r="T13" s="20" t="n">
        <f aca="false">IF($R13="",0,IF($S13=INDEX($L$2:$L$66,$R13),1,0))</f>
        <v>1</v>
      </c>
      <c r="W13" s="20" t="n">
        <f aca="false">门店对照!$D13</f>
        <v>1</v>
      </c>
      <c r="X13" s="38" t="n">
        <f aca="false">IF($W13=1,$B13,"#未启用#")</f>
        <v>2012</v>
      </c>
    </row>
    <row r="14" customFormat="false" ht="13.5" hidden="false" customHeight="false" outlineLevel="0" collapsed="false">
      <c r="A14" s="47" t="n">
        <v>13</v>
      </c>
      <c r="B14" s="25" t="n">
        <f aca="false">IF(门店对照!$A14="","",门店对照!$A14)</f>
        <v>2014</v>
      </c>
      <c r="C14" s="26" t="str">
        <f aca="false">门店对照!$C14&amp;""</f>
        <v>博桥店</v>
      </c>
      <c r="D14" s="14" t="n">
        <f aca="false">参数!$B$2</f>
        <v>46234</v>
      </c>
      <c r="E14" s="15" t="n">
        <f aca="false">ROUND(SUMIFS(输入回款!$C:$C,输入回款!$A:$A,$X14),2)</f>
        <v>57332.73</v>
      </c>
      <c r="F14" s="15" t="n">
        <f aca="false">ROUND(SUMIFS(输入回款!$D:$D,输入回款!$A:$A,$X14),2)</f>
        <v>0</v>
      </c>
      <c r="G14" s="15" t="n">
        <f aca="false">ROUND(SUM(分录回款!$I$182:$I$196),2)</f>
        <v>57332.73</v>
      </c>
      <c r="H14" s="15" t="n">
        <f aca="false">ROUND($E14+$F14-$G14,2)</f>
        <v>0</v>
      </c>
      <c r="K14" s="20" t="n">
        <f aca="false">SUM(分录回款!$J$182:$J$196)</f>
        <v>3</v>
      </c>
      <c r="L14" s="20" t="n">
        <f aca="false">IF(OR($K14=0,$W14=0),0,ROUNDUP($K14/6,0))</f>
        <v>1</v>
      </c>
      <c r="M14" s="20" t="n">
        <f aca="false">SUM($L$2:$L14)</f>
        <v>15</v>
      </c>
      <c r="N14" s="15" t="n">
        <f aca="false">ROUND(SUM(分录回款!$H$182:$H$196),2)</f>
        <v>57332.73</v>
      </c>
      <c r="O14" s="15" t="n">
        <f aca="false">ROUND(SUM(分录回款!$I$182:$I$196),2)</f>
        <v>57332.73</v>
      </c>
      <c r="P14" s="20" t="n">
        <f aca="false">IF($L14=0,"",COUNTIF($L$2:$L14,"&gt;0"))</f>
        <v>13</v>
      </c>
      <c r="Q14" s="47" t="n">
        <v>13</v>
      </c>
      <c r="R14" s="20" t="n">
        <f aca="false">IF(13&gt;$V$1,"",COUNTIF($M$2:$M$66,"&lt;"&amp;13)+1)</f>
        <v>11</v>
      </c>
      <c r="S14" s="20" t="n">
        <f aca="false">IF($R14="","",13-IF($R14=1,0,INDEX($M$2:$M$66,$R14-1)))</f>
        <v>1</v>
      </c>
      <c r="T14" s="20" t="n">
        <f aca="false">IF($R14="",0,IF($S14=INDEX($L$2:$L$66,$R14),1,0))</f>
        <v>1</v>
      </c>
      <c r="W14" s="20" t="n">
        <f aca="false">门店对照!$D14</f>
        <v>1</v>
      </c>
      <c r="X14" s="38" t="n">
        <f aca="false">IF($W14=1,$B14,"#未启用#")</f>
        <v>2014</v>
      </c>
    </row>
    <row r="15" customFormat="false" ht="13.5" hidden="false" customHeight="false" outlineLevel="0" collapsed="false">
      <c r="A15" s="47" t="n">
        <v>14</v>
      </c>
      <c r="B15" s="25" t="n">
        <f aca="false">IF(门店对照!$A15="","",门店对照!$A15)</f>
        <v>2015</v>
      </c>
      <c r="C15" s="26" t="str">
        <f aca="false">门店对照!$C15&amp;""</f>
        <v>齐村店</v>
      </c>
      <c r="D15" s="14" t="n">
        <f aca="false">参数!$B$2</f>
        <v>46234</v>
      </c>
      <c r="E15" s="15" t="n">
        <f aca="false">ROUND(SUMIFS(输入回款!$C:$C,输入回款!$A:$A,$X15),2)</f>
        <v>0</v>
      </c>
      <c r="F15" s="15" t="n">
        <f aca="false">ROUND(SUMIFS(输入回款!$D:$D,输入回款!$A:$A,$X15),2)</f>
        <v>0</v>
      </c>
      <c r="G15" s="15" t="n">
        <f aca="false">ROUND(SUM(分录回款!$I$197:$I$211),2)</f>
        <v>0</v>
      </c>
      <c r="H15" s="15" t="n">
        <f aca="false">ROUND($E15+$F15-$G15,2)</f>
        <v>0</v>
      </c>
      <c r="K15" s="20" t="n">
        <f aca="false">SUM(分录回款!$J$197:$J$211)</f>
        <v>0</v>
      </c>
      <c r="L15" s="20" t="n">
        <f aca="false">IF(OR($K15=0,$W15=0),0,ROUNDUP($K15/6,0))</f>
        <v>0</v>
      </c>
      <c r="M15" s="20" t="n">
        <f aca="false">SUM($L$2:$L15)</f>
        <v>15</v>
      </c>
      <c r="N15" s="15" t="n">
        <f aca="false">ROUND(SUM(分录回款!$H$197:$H$211),2)</f>
        <v>0</v>
      </c>
      <c r="O15" s="15" t="n">
        <f aca="false">ROUND(SUM(分录回款!$I$197:$I$211),2)</f>
        <v>0</v>
      </c>
      <c r="P15" s="20" t="str">
        <f aca="false">IF($L15=0,"",COUNTIF($L$2:$L15,"&gt;0"))</f>
        <v/>
      </c>
      <c r="Q15" s="47" t="n">
        <v>14</v>
      </c>
      <c r="R15" s="20" t="n">
        <f aca="false">IF(14&gt;$V$1,"",COUNTIF($M$2:$M$66,"&lt;"&amp;14)+1)</f>
        <v>12</v>
      </c>
      <c r="S15" s="20" t="n">
        <f aca="false">IF($R15="","",14-IF($R15=1,0,INDEX($M$2:$M$66,$R15-1)))</f>
        <v>1</v>
      </c>
      <c r="T15" s="20" t="n">
        <f aca="false">IF($R15="",0,IF($S15=INDEX($L$2:$L$66,$R15),1,0))</f>
        <v>1</v>
      </c>
      <c r="W15" s="20" t="n">
        <f aca="false">门店对照!$D15</f>
        <v>1</v>
      </c>
      <c r="X15" s="38" t="n">
        <f aca="false">IF($W15=1,$B15,"#未启用#")</f>
        <v>2015</v>
      </c>
    </row>
    <row r="16" customFormat="false" ht="13.5" hidden="false" customHeight="false" outlineLevel="0" collapsed="false">
      <c r="A16" s="47" t="n">
        <v>15</v>
      </c>
      <c r="B16" s="25" t="n">
        <f aca="false">IF(门店对照!$A16="","",门店对照!$A16)</f>
        <v>2017</v>
      </c>
      <c r="C16" s="26" t="str">
        <f aca="false">门店对照!$C16&amp;""</f>
        <v>博天店</v>
      </c>
      <c r="D16" s="14" t="n">
        <f aca="false">参数!$B$2</f>
        <v>46234</v>
      </c>
      <c r="E16" s="15" t="n">
        <f aca="false">ROUND(SUMIFS(输入回款!$C:$C,输入回款!$A:$A,$X16),2)</f>
        <v>2307.81</v>
      </c>
      <c r="F16" s="15" t="n">
        <f aca="false">ROUND(SUMIFS(输入回款!$D:$D,输入回款!$A:$A,$X16),2)</f>
        <v>29.32</v>
      </c>
      <c r="G16" s="15" t="n">
        <f aca="false">ROUND(SUM(分录回款!$I$212:$I$226),2)</f>
        <v>2337.13</v>
      </c>
      <c r="H16" s="15" t="n">
        <f aca="false">ROUND($E16+$F16-$G16,2)</f>
        <v>0</v>
      </c>
      <c r="K16" s="20" t="n">
        <f aca="false">SUM(分录回款!$J$212:$J$226)</f>
        <v>4</v>
      </c>
      <c r="L16" s="20" t="n">
        <f aca="false">IF(OR($K16=0,$W16=0),0,ROUNDUP($K16/6,0))</f>
        <v>1</v>
      </c>
      <c r="M16" s="20" t="n">
        <f aca="false">SUM($L$2:$L16)</f>
        <v>16</v>
      </c>
      <c r="N16" s="15" t="n">
        <f aca="false">ROUND(SUM(分录回款!$H$212:$H$226),2)</f>
        <v>2337.13</v>
      </c>
      <c r="O16" s="15" t="n">
        <f aca="false">ROUND(SUM(分录回款!$I$212:$I$226),2)</f>
        <v>2337.13</v>
      </c>
      <c r="P16" s="20" t="n">
        <f aca="false">IF($L16=0,"",COUNTIF($L$2:$L16,"&gt;0"))</f>
        <v>14</v>
      </c>
      <c r="Q16" s="47" t="n">
        <v>15</v>
      </c>
      <c r="R16" s="20" t="n">
        <f aca="false">IF(15&gt;$V$1,"",COUNTIF($M$2:$M$66,"&lt;"&amp;15)+1)</f>
        <v>13</v>
      </c>
      <c r="S16" s="20" t="n">
        <f aca="false">IF($R16="","",15-IF($R16=1,0,INDEX($M$2:$M$66,$R16-1)))</f>
        <v>1</v>
      </c>
      <c r="T16" s="20" t="n">
        <f aca="false">IF($R16="",0,IF($S16=INDEX($L$2:$L$66,$R16),1,0))</f>
        <v>1</v>
      </c>
      <c r="W16" s="20" t="n">
        <f aca="false">门店对照!$D16</f>
        <v>1</v>
      </c>
      <c r="X16" s="38" t="n">
        <f aca="false">IF($W16=1,$B16,"#未启用#")</f>
        <v>2017</v>
      </c>
    </row>
    <row r="17" customFormat="false" ht="13.5" hidden="false" customHeight="false" outlineLevel="0" collapsed="false">
      <c r="A17" s="47" t="n">
        <v>16</v>
      </c>
      <c r="B17" s="25" t="n">
        <f aca="false">IF(门店对照!$A17="","",门店对照!$A17)</f>
        <v>2018</v>
      </c>
      <c r="C17" s="26" t="str">
        <f aca="false">门店对照!$C17&amp;""</f>
        <v>魏家庄店</v>
      </c>
      <c r="D17" s="14" t="n">
        <f aca="false">参数!$B$2</f>
        <v>46234</v>
      </c>
      <c r="E17" s="15" t="n">
        <f aca="false">ROUND(SUMIFS(输入回款!$C:$C,输入回款!$A:$A,$X17),2)</f>
        <v>29208</v>
      </c>
      <c r="F17" s="15" t="n">
        <f aca="false">ROUND(SUMIFS(输入回款!$D:$D,输入回款!$A:$A,$X17),2)</f>
        <v>0</v>
      </c>
      <c r="G17" s="15" t="n">
        <f aca="false">ROUND(SUM(分录回款!$I$227:$I$241),2)</f>
        <v>29208</v>
      </c>
      <c r="H17" s="15" t="n">
        <f aca="false">ROUND($E17+$F17-$G17,2)</f>
        <v>0</v>
      </c>
      <c r="K17" s="20" t="n">
        <f aca="false">SUM(分录回款!$J$227:$J$241)</f>
        <v>3</v>
      </c>
      <c r="L17" s="20" t="n">
        <f aca="false">IF(OR($K17=0,$W17=0),0,ROUNDUP($K17/6,0))</f>
        <v>1</v>
      </c>
      <c r="M17" s="20" t="n">
        <f aca="false">SUM($L$2:$L17)</f>
        <v>17</v>
      </c>
      <c r="N17" s="15" t="n">
        <f aca="false">ROUND(SUM(分录回款!$H$227:$H$241),2)</f>
        <v>29208</v>
      </c>
      <c r="O17" s="15" t="n">
        <f aca="false">ROUND(SUM(分录回款!$I$227:$I$241),2)</f>
        <v>29208</v>
      </c>
      <c r="P17" s="20" t="n">
        <f aca="false">IF($L17=0,"",COUNTIF($L$2:$L17,"&gt;0"))</f>
        <v>15</v>
      </c>
      <c r="Q17" s="47" t="n">
        <v>16</v>
      </c>
      <c r="R17" s="20" t="n">
        <f aca="false">IF(16&gt;$V$1,"",COUNTIF($M$2:$M$66,"&lt;"&amp;16)+1)</f>
        <v>15</v>
      </c>
      <c r="S17" s="20" t="n">
        <f aca="false">IF($R17="","",16-IF($R17=1,0,INDEX($M$2:$M$66,$R17-1)))</f>
        <v>1</v>
      </c>
      <c r="T17" s="20" t="n">
        <f aca="false">IF($R17="",0,IF($S17=INDEX($L$2:$L$66,$R17),1,0))</f>
        <v>1</v>
      </c>
      <c r="W17" s="20" t="n">
        <f aca="false">门店对照!$D17</f>
        <v>1</v>
      </c>
      <c r="X17" s="38" t="n">
        <f aca="false">IF($W17=1,$B17,"#未启用#")</f>
        <v>2018</v>
      </c>
    </row>
    <row r="18" customFormat="false" ht="13.5" hidden="false" customHeight="false" outlineLevel="0" collapsed="false">
      <c r="A18" s="47" t="n">
        <v>17</v>
      </c>
      <c r="B18" s="25" t="n">
        <f aca="false">IF(门店对照!$A18="","",门店对照!$A18)</f>
        <v>2022</v>
      </c>
      <c r="C18" s="26" t="str">
        <f aca="false">门店对照!$C18&amp;""</f>
        <v>北楼店</v>
      </c>
      <c r="D18" s="14" t="n">
        <f aca="false">参数!$B$2</f>
        <v>46234</v>
      </c>
      <c r="E18" s="15" t="n">
        <f aca="false">ROUND(SUMIFS(输入回款!$C:$C,输入回款!$A:$A,$X18),2)</f>
        <v>58435.76</v>
      </c>
      <c r="F18" s="15" t="n">
        <f aca="false">ROUND(SUMIFS(输入回款!$D:$D,输入回款!$A:$A,$X18),2)</f>
        <v>0</v>
      </c>
      <c r="G18" s="15" t="n">
        <f aca="false">ROUND(SUM(分录回款!$I$242:$I$256),2)</f>
        <v>58435.76</v>
      </c>
      <c r="H18" s="15" t="n">
        <f aca="false">ROUND($E18+$F18-$G18,2)</f>
        <v>0</v>
      </c>
      <c r="K18" s="20" t="n">
        <f aca="false">SUM(分录回款!$J$242:$J$256)</f>
        <v>3</v>
      </c>
      <c r="L18" s="20" t="n">
        <f aca="false">IF(OR($K18=0,$W18=0),0,ROUNDUP($K18/6,0))</f>
        <v>1</v>
      </c>
      <c r="M18" s="20" t="n">
        <f aca="false">SUM($L$2:$L18)</f>
        <v>18</v>
      </c>
      <c r="N18" s="15" t="n">
        <f aca="false">ROUND(SUM(分录回款!$H$242:$H$256),2)</f>
        <v>58435.76</v>
      </c>
      <c r="O18" s="15" t="n">
        <f aca="false">ROUND(SUM(分录回款!$I$242:$I$256),2)</f>
        <v>58435.76</v>
      </c>
      <c r="P18" s="20" t="n">
        <f aca="false">IF($L18=0,"",COUNTIF($L$2:$L18,"&gt;0"))</f>
        <v>16</v>
      </c>
      <c r="Q18" s="47" t="n">
        <v>17</v>
      </c>
      <c r="R18" s="20" t="n">
        <f aca="false">IF(17&gt;$V$1,"",COUNTIF($M$2:$M$66,"&lt;"&amp;17)+1)</f>
        <v>16</v>
      </c>
      <c r="S18" s="20" t="n">
        <f aca="false">IF($R18="","",17-IF($R18=1,0,INDEX($M$2:$M$66,$R18-1)))</f>
        <v>1</v>
      </c>
      <c r="T18" s="20" t="n">
        <f aca="false">IF($R18="",0,IF($S18=INDEX($L$2:$L$66,$R18),1,0))</f>
        <v>1</v>
      </c>
      <c r="W18" s="20" t="n">
        <f aca="false">门店对照!$D18</f>
        <v>1</v>
      </c>
      <c r="X18" s="38" t="n">
        <f aca="false">IF($W18=1,$B18,"#未启用#")</f>
        <v>2022</v>
      </c>
    </row>
    <row r="19" customFormat="false" ht="13.5" hidden="false" customHeight="false" outlineLevel="0" collapsed="false">
      <c r="A19" s="47" t="n">
        <v>18</v>
      </c>
      <c r="B19" s="25" t="n">
        <f aca="false">IF(门店对照!$A19="","",门店对照!$A19)</f>
        <v>2023</v>
      </c>
      <c r="C19" s="26" t="str">
        <f aca="false">门店对照!$C19&amp;""</f>
        <v>尹村店</v>
      </c>
      <c r="D19" s="14" t="n">
        <f aca="false">参数!$B$2</f>
        <v>46234</v>
      </c>
      <c r="E19" s="15" t="n">
        <f aca="false">ROUND(SUMIFS(输入回款!$C:$C,输入回款!$A:$A,$X19),2)</f>
        <v>39148.34</v>
      </c>
      <c r="F19" s="15" t="n">
        <f aca="false">ROUND(SUMIFS(输入回款!$D:$D,输入回款!$A:$A,$X19),2)</f>
        <v>0</v>
      </c>
      <c r="G19" s="15" t="n">
        <f aca="false">ROUND(SUM(分录回款!$I$257:$I$271),2)</f>
        <v>39148.34</v>
      </c>
      <c r="H19" s="15" t="n">
        <f aca="false">ROUND($E19+$F19-$G19,2)</f>
        <v>0</v>
      </c>
      <c r="K19" s="20" t="n">
        <f aca="false">SUM(分录回款!$J$257:$J$271)</f>
        <v>3</v>
      </c>
      <c r="L19" s="20" t="n">
        <f aca="false">IF(OR($K19=0,$W19=0),0,ROUNDUP($K19/6,0))</f>
        <v>1</v>
      </c>
      <c r="M19" s="20" t="n">
        <f aca="false">SUM($L$2:$L19)</f>
        <v>19</v>
      </c>
      <c r="N19" s="15" t="n">
        <f aca="false">ROUND(SUM(分录回款!$H$257:$H$271),2)</f>
        <v>39148.34</v>
      </c>
      <c r="O19" s="15" t="n">
        <f aca="false">ROUND(SUM(分录回款!$I$257:$I$271),2)</f>
        <v>39148.34</v>
      </c>
      <c r="P19" s="20" t="n">
        <f aca="false">IF($L19=0,"",COUNTIF($L$2:$L19,"&gt;0"))</f>
        <v>17</v>
      </c>
      <c r="Q19" s="47" t="n">
        <v>18</v>
      </c>
      <c r="R19" s="20" t="n">
        <f aca="false">IF(18&gt;$V$1,"",COUNTIF($M$2:$M$66,"&lt;"&amp;18)+1)</f>
        <v>17</v>
      </c>
      <c r="S19" s="20" t="n">
        <f aca="false">IF($R19="","",18-IF($R19=1,0,INDEX($M$2:$M$66,$R19-1)))</f>
        <v>1</v>
      </c>
      <c r="T19" s="20" t="n">
        <f aca="false">IF($R19="",0,IF($S19=INDEX($L$2:$L$66,$R19),1,0))</f>
        <v>1</v>
      </c>
      <c r="W19" s="20" t="n">
        <f aca="false">门店对照!$D19</f>
        <v>1</v>
      </c>
      <c r="X19" s="38" t="n">
        <f aca="false">IF($W19=1,$B19,"#未启用#")</f>
        <v>2023</v>
      </c>
    </row>
    <row r="20" customFormat="false" ht="13.5" hidden="false" customHeight="false" outlineLevel="0" collapsed="false">
      <c r="A20" s="47" t="n">
        <v>19</v>
      </c>
      <c r="B20" s="25" t="n">
        <f aca="false">IF(门店对照!$A20="","",门店对照!$A20)</f>
        <v>2024</v>
      </c>
      <c r="C20" s="26" t="str">
        <f aca="false">门店对照!$C20&amp;""</f>
        <v>高村店</v>
      </c>
      <c r="D20" s="14" t="n">
        <f aca="false">参数!$B$2</f>
        <v>46234</v>
      </c>
      <c r="E20" s="15" t="n">
        <f aca="false">ROUND(SUMIFS(输入回款!$C:$C,输入回款!$A:$A,$X20),2)</f>
        <v>67730.22</v>
      </c>
      <c r="F20" s="15" t="n">
        <f aca="false">ROUND(SUMIFS(输入回款!$D:$D,输入回款!$A:$A,$X20),2)</f>
        <v>0</v>
      </c>
      <c r="G20" s="15" t="n">
        <f aca="false">ROUND(SUM(分录回款!$I$272:$I$286),2)</f>
        <v>67730.22</v>
      </c>
      <c r="H20" s="15" t="n">
        <f aca="false">ROUND($E20+$F20-$G20,2)</f>
        <v>0</v>
      </c>
      <c r="K20" s="20" t="n">
        <f aca="false">SUM(分录回款!$J$272:$J$286)</f>
        <v>3</v>
      </c>
      <c r="L20" s="20" t="n">
        <f aca="false">IF(OR($K20=0,$W20=0),0,ROUNDUP($K20/6,0))</f>
        <v>1</v>
      </c>
      <c r="M20" s="20" t="n">
        <f aca="false">SUM($L$2:$L20)</f>
        <v>20</v>
      </c>
      <c r="N20" s="15" t="n">
        <f aca="false">ROUND(SUM(分录回款!$H$272:$H$286),2)</f>
        <v>67730.22</v>
      </c>
      <c r="O20" s="15" t="n">
        <f aca="false">ROUND(SUM(分录回款!$I$272:$I$286),2)</f>
        <v>67730.22</v>
      </c>
      <c r="P20" s="20" t="n">
        <f aca="false">IF($L20=0,"",COUNTIF($L$2:$L20,"&gt;0"))</f>
        <v>18</v>
      </c>
      <c r="Q20" s="47" t="n">
        <v>19</v>
      </c>
      <c r="R20" s="20" t="n">
        <f aca="false">IF(19&gt;$V$1,"",COUNTIF($M$2:$M$66,"&lt;"&amp;19)+1)</f>
        <v>18</v>
      </c>
      <c r="S20" s="20" t="n">
        <f aca="false">IF($R20="","",19-IF($R20=1,0,INDEX($M$2:$M$66,$R20-1)))</f>
        <v>1</v>
      </c>
      <c r="T20" s="20" t="n">
        <f aca="false">IF($R20="",0,IF($S20=INDEX($L$2:$L$66,$R20),1,0))</f>
        <v>1</v>
      </c>
      <c r="W20" s="20" t="n">
        <f aca="false">门店对照!$D20</f>
        <v>1</v>
      </c>
      <c r="X20" s="38" t="n">
        <f aca="false">IF($W20=1,$B20,"#未启用#")</f>
        <v>2024</v>
      </c>
    </row>
    <row r="21" customFormat="false" ht="13.5" hidden="false" customHeight="false" outlineLevel="0" collapsed="false">
      <c r="A21" s="47" t="n">
        <v>20</v>
      </c>
      <c r="B21" s="25" t="n">
        <f aca="false">IF(门店对照!$A21="","",门店对照!$A21)</f>
        <v>2026</v>
      </c>
      <c r="C21" s="26" t="str">
        <f aca="false">门店对照!$C21&amp;""</f>
        <v>彭村店</v>
      </c>
      <c r="D21" s="14" t="n">
        <f aca="false">参数!$B$2</f>
        <v>46234</v>
      </c>
      <c r="E21" s="15" t="n">
        <f aca="false">ROUND(SUMIFS(输入回款!$C:$C,输入回款!$A:$A,$X21),2)</f>
        <v>28850.25</v>
      </c>
      <c r="F21" s="15" t="n">
        <f aca="false">ROUND(SUMIFS(输入回款!$D:$D,输入回款!$A:$A,$X21),2)</f>
        <v>0</v>
      </c>
      <c r="G21" s="15" t="n">
        <f aca="false">ROUND(SUM(分录回款!$I$287:$I$301),2)</f>
        <v>28850.25</v>
      </c>
      <c r="H21" s="15" t="n">
        <f aca="false">ROUND($E21+$F21-$G21,2)</f>
        <v>0</v>
      </c>
      <c r="K21" s="20" t="n">
        <f aca="false">SUM(分录回款!$J$287:$J$301)</f>
        <v>3</v>
      </c>
      <c r="L21" s="20" t="n">
        <f aca="false">IF(OR($K21=0,$W21=0),0,ROUNDUP($K21/6,0))</f>
        <v>1</v>
      </c>
      <c r="M21" s="20" t="n">
        <f aca="false">SUM($L$2:$L21)</f>
        <v>21</v>
      </c>
      <c r="N21" s="15" t="n">
        <f aca="false">ROUND(SUM(分录回款!$H$287:$H$301),2)</f>
        <v>28850.25</v>
      </c>
      <c r="O21" s="15" t="n">
        <f aca="false">ROUND(SUM(分录回款!$I$287:$I$301),2)</f>
        <v>28850.25</v>
      </c>
      <c r="P21" s="20" t="n">
        <f aca="false">IF($L21=0,"",COUNTIF($L$2:$L21,"&gt;0"))</f>
        <v>19</v>
      </c>
      <c r="Q21" s="47" t="n">
        <v>20</v>
      </c>
      <c r="R21" s="20" t="n">
        <f aca="false">IF(20&gt;$V$1,"",COUNTIF($M$2:$M$66,"&lt;"&amp;20)+1)</f>
        <v>19</v>
      </c>
      <c r="S21" s="20" t="n">
        <f aca="false">IF($R21="","",20-IF($R21=1,0,INDEX($M$2:$M$66,$R21-1)))</f>
        <v>1</v>
      </c>
      <c r="T21" s="20" t="n">
        <f aca="false">IF($R21="",0,IF($S21=INDEX($L$2:$L$66,$R21),1,0))</f>
        <v>1</v>
      </c>
      <c r="W21" s="20" t="n">
        <f aca="false">门店对照!$D21</f>
        <v>1</v>
      </c>
      <c r="X21" s="38" t="n">
        <f aca="false">IF($W21=1,$B21,"#未启用#")</f>
        <v>2026</v>
      </c>
    </row>
    <row r="22" customFormat="false" ht="13.5" hidden="false" customHeight="false" outlineLevel="0" collapsed="false">
      <c r="A22" s="47" t="n">
        <v>21</v>
      </c>
      <c r="B22" s="25" t="n">
        <f aca="false">IF(门店对照!$A22="","",门店对照!$A22)</f>
        <v>2030</v>
      </c>
      <c r="C22" s="26" t="str">
        <f aca="false">门店对照!$C22&amp;""</f>
        <v>南位店</v>
      </c>
      <c r="D22" s="14" t="n">
        <f aca="false">参数!$B$2</f>
        <v>46234</v>
      </c>
      <c r="E22" s="15" t="n">
        <f aca="false">ROUND(SUMIFS(输入回款!$C:$C,输入回款!$A:$A,$X22),2)</f>
        <v>21397.99</v>
      </c>
      <c r="F22" s="15" t="n">
        <f aca="false">ROUND(SUMIFS(输入回款!$D:$D,输入回款!$A:$A,$X22),2)</f>
        <v>0</v>
      </c>
      <c r="G22" s="15" t="n">
        <f aca="false">ROUND(SUM(分录回款!$I$302:$I$316),2)</f>
        <v>21397.99</v>
      </c>
      <c r="H22" s="15" t="n">
        <f aca="false">ROUND($E22+$F22-$G22,2)</f>
        <v>0</v>
      </c>
      <c r="K22" s="20" t="n">
        <f aca="false">SUM(分录回款!$J$302:$J$316)</f>
        <v>3</v>
      </c>
      <c r="L22" s="20" t="n">
        <f aca="false">IF(OR($K22=0,$W22=0),0,ROUNDUP($K22/6,0))</f>
        <v>1</v>
      </c>
      <c r="M22" s="20" t="n">
        <f aca="false">SUM($L$2:$L22)</f>
        <v>22</v>
      </c>
      <c r="N22" s="15" t="n">
        <f aca="false">ROUND(SUM(分录回款!$H$302:$H$316),2)</f>
        <v>21397.99</v>
      </c>
      <c r="O22" s="15" t="n">
        <f aca="false">ROUND(SUM(分录回款!$I$302:$I$316),2)</f>
        <v>21397.99</v>
      </c>
      <c r="P22" s="20" t="n">
        <f aca="false">IF($L22=0,"",COUNTIF($L$2:$L22,"&gt;0"))</f>
        <v>20</v>
      </c>
      <c r="Q22" s="47" t="n">
        <v>21</v>
      </c>
      <c r="R22" s="20" t="n">
        <f aca="false">IF(21&gt;$V$1,"",COUNTIF($M$2:$M$66,"&lt;"&amp;21)+1)</f>
        <v>20</v>
      </c>
      <c r="S22" s="20" t="n">
        <f aca="false">IF($R22="","",21-IF($R22=1,0,INDEX($M$2:$M$66,$R22-1)))</f>
        <v>1</v>
      </c>
      <c r="T22" s="20" t="n">
        <f aca="false">IF($R22="",0,IF($S22=INDEX($L$2:$L$66,$R22),1,0))</f>
        <v>1</v>
      </c>
      <c r="W22" s="20" t="n">
        <f aca="false">门店对照!$D22</f>
        <v>1</v>
      </c>
      <c r="X22" s="38" t="n">
        <f aca="false">IF($W22=1,$B22,"#未启用#")</f>
        <v>2030</v>
      </c>
    </row>
    <row r="23" customFormat="false" ht="13.5" hidden="false" customHeight="false" outlineLevel="0" collapsed="false">
      <c r="A23" s="47" t="n">
        <v>22</v>
      </c>
      <c r="B23" s="25" t="n">
        <f aca="false">IF(门店对照!$A23="","",门店对照!$A23)</f>
        <v>2032</v>
      </c>
      <c r="C23" s="26" t="str">
        <f aca="false">门店对照!$C23&amp;""</f>
        <v>博园店</v>
      </c>
      <c r="D23" s="14" t="n">
        <f aca="false">参数!$B$2</f>
        <v>46234</v>
      </c>
      <c r="E23" s="15" t="n">
        <f aca="false">ROUND(SUMIFS(输入回款!$C:$C,输入回款!$A:$A,$X23),2)</f>
        <v>34752.49</v>
      </c>
      <c r="F23" s="15" t="n">
        <f aca="false">ROUND(SUMIFS(输入回款!$D:$D,输入回款!$A:$A,$X23),2)</f>
        <v>0</v>
      </c>
      <c r="G23" s="15" t="n">
        <f aca="false">ROUND(SUM(分录回款!$I$317:$I$331),2)</f>
        <v>34752.49</v>
      </c>
      <c r="H23" s="15" t="n">
        <f aca="false">ROUND($E23+$F23-$G23,2)</f>
        <v>0</v>
      </c>
      <c r="K23" s="20" t="n">
        <f aca="false">SUM(分录回款!$J$317:$J$331)</f>
        <v>3</v>
      </c>
      <c r="L23" s="20" t="n">
        <f aca="false">IF(OR($K23=0,$W23=0),0,ROUNDUP($K23/6,0))</f>
        <v>1</v>
      </c>
      <c r="M23" s="20" t="n">
        <f aca="false">SUM($L$2:$L23)</f>
        <v>23</v>
      </c>
      <c r="N23" s="15" t="n">
        <f aca="false">ROUND(SUM(分录回款!$H$317:$H$331),2)</f>
        <v>34752.49</v>
      </c>
      <c r="O23" s="15" t="n">
        <f aca="false">ROUND(SUM(分录回款!$I$317:$I$331),2)</f>
        <v>34752.49</v>
      </c>
      <c r="P23" s="20" t="n">
        <f aca="false">IF($L23=0,"",COUNTIF($L$2:$L23,"&gt;0"))</f>
        <v>21</v>
      </c>
      <c r="Q23" s="47" t="n">
        <v>22</v>
      </c>
      <c r="R23" s="20" t="n">
        <f aca="false">IF(22&gt;$V$1,"",COUNTIF($M$2:$M$66,"&lt;"&amp;22)+1)</f>
        <v>21</v>
      </c>
      <c r="S23" s="20" t="n">
        <f aca="false">IF($R23="","",22-IF($R23=1,0,INDEX($M$2:$M$66,$R23-1)))</f>
        <v>1</v>
      </c>
      <c r="T23" s="20" t="n">
        <f aca="false">IF($R23="",0,IF($S23=INDEX($L$2:$L$66,$R23),1,0))</f>
        <v>1</v>
      </c>
      <c r="W23" s="20" t="n">
        <f aca="false">门店对照!$D23</f>
        <v>1</v>
      </c>
      <c r="X23" s="38" t="n">
        <f aca="false">IF($W23=1,$B23,"#未启用#")</f>
        <v>2032</v>
      </c>
    </row>
    <row r="24" customFormat="false" ht="13.5" hidden="false" customHeight="false" outlineLevel="0" collapsed="false">
      <c r="A24" s="47" t="n">
        <v>23</v>
      </c>
      <c r="B24" s="25" t="n">
        <f aca="false">IF(门店对照!$A24="","",门店对照!$A24)</f>
        <v>2036</v>
      </c>
      <c r="C24" s="26" t="str">
        <f aca="false">门店对照!$C24&amp;""</f>
        <v>黑城店</v>
      </c>
      <c r="D24" s="14" t="n">
        <f aca="false">参数!$B$2</f>
        <v>46234</v>
      </c>
      <c r="E24" s="15" t="n">
        <f aca="false">ROUND(SUMIFS(输入回款!$C:$C,输入回款!$A:$A,$X24),2)</f>
        <v>17642.02</v>
      </c>
      <c r="F24" s="15" t="n">
        <f aca="false">ROUND(SUMIFS(输入回款!$D:$D,输入回款!$A:$A,$X24),2)</f>
        <v>0</v>
      </c>
      <c r="G24" s="15" t="n">
        <f aca="false">ROUND(SUM(分录回款!$I$332:$I$346),2)</f>
        <v>17642.02</v>
      </c>
      <c r="H24" s="15" t="n">
        <f aca="false">ROUND($E24+$F24-$G24,2)</f>
        <v>0</v>
      </c>
      <c r="K24" s="20" t="n">
        <f aca="false">SUM(分录回款!$J$332:$J$346)</f>
        <v>2</v>
      </c>
      <c r="L24" s="20" t="n">
        <f aca="false">IF(OR($K24=0,$W24=0),0,ROUNDUP($K24/6,0))</f>
        <v>1</v>
      </c>
      <c r="M24" s="20" t="n">
        <f aca="false">SUM($L$2:$L24)</f>
        <v>24</v>
      </c>
      <c r="N24" s="15" t="n">
        <f aca="false">ROUND(SUM(分录回款!$H$332:$H$346),2)</f>
        <v>17642.02</v>
      </c>
      <c r="O24" s="15" t="n">
        <f aca="false">ROUND(SUM(分录回款!$I$332:$I$346),2)</f>
        <v>17642.02</v>
      </c>
      <c r="P24" s="20" t="n">
        <f aca="false">IF($L24=0,"",COUNTIF($L$2:$L24,"&gt;0"))</f>
        <v>22</v>
      </c>
      <c r="Q24" s="47" t="n">
        <v>23</v>
      </c>
      <c r="R24" s="20" t="n">
        <f aca="false">IF(23&gt;$V$1,"",COUNTIF($M$2:$M$66,"&lt;"&amp;23)+1)</f>
        <v>22</v>
      </c>
      <c r="S24" s="20" t="n">
        <f aca="false">IF($R24="","",23-IF($R24=1,0,INDEX($M$2:$M$66,$R24-1)))</f>
        <v>1</v>
      </c>
      <c r="T24" s="20" t="n">
        <f aca="false">IF($R24="",0,IF($S24=INDEX($L$2:$L$66,$R24),1,0))</f>
        <v>1</v>
      </c>
      <c r="W24" s="20" t="n">
        <f aca="false">门店对照!$D24</f>
        <v>1</v>
      </c>
      <c r="X24" s="38" t="n">
        <f aca="false">IF($W24=1,$B24,"#未启用#")</f>
        <v>2036</v>
      </c>
    </row>
    <row r="25" customFormat="false" ht="13.5" hidden="false" customHeight="false" outlineLevel="0" collapsed="false">
      <c r="A25" s="47" t="n">
        <v>24</v>
      </c>
      <c r="B25" s="25" t="n">
        <f aca="false">IF(门店对照!$A25="","",门店对照!$A25)</f>
        <v>2037</v>
      </c>
      <c r="C25" s="26" t="str">
        <f aca="false">门店对照!$C25&amp;""</f>
        <v>新华路店</v>
      </c>
      <c r="D25" s="14" t="n">
        <f aca="false">参数!$B$2</f>
        <v>46234</v>
      </c>
      <c r="E25" s="15" t="n">
        <f aca="false">ROUND(SUMIFS(输入回款!$C:$C,输入回款!$A:$A,$X25),2)</f>
        <v>45182.19</v>
      </c>
      <c r="F25" s="15" t="n">
        <f aca="false">ROUND(SUMIFS(输入回款!$D:$D,输入回款!$A:$A,$X25),2)</f>
        <v>4147.09</v>
      </c>
      <c r="G25" s="15" t="n">
        <f aca="false">ROUND(SUM(分录回款!$I$347:$I$361),2)</f>
        <v>49329.28</v>
      </c>
      <c r="H25" s="15" t="n">
        <f aca="false">ROUND($E25+$F25-$G25,2)</f>
        <v>0</v>
      </c>
      <c r="K25" s="20" t="n">
        <f aca="false">SUM(分录回款!$J$347:$J$361)</f>
        <v>6</v>
      </c>
      <c r="L25" s="20" t="n">
        <f aca="false">IF(OR($K25=0,$W25=0),0,ROUNDUP($K25/6,0))</f>
        <v>1</v>
      </c>
      <c r="M25" s="20" t="n">
        <f aca="false">SUM($L$2:$L25)</f>
        <v>25</v>
      </c>
      <c r="N25" s="15" t="n">
        <f aca="false">ROUND(SUM(分录回款!$H$347:$H$361),2)</f>
        <v>49329.28</v>
      </c>
      <c r="O25" s="15" t="n">
        <f aca="false">ROUND(SUM(分录回款!$I$347:$I$361),2)</f>
        <v>49329.28</v>
      </c>
      <c r="P25" s="20" t="n">
        <f aca="false">IF($L25=0,"",COUNTIF($L$2:$L25,"&gt;0"))</f>
        <v>23</v>
      </c>
      <c r="Q25" s="47" t="n">
        <v>24</v>
      </c>
      <c r="R25" s="20" t="n">
        <f aca="false">IF(24&gt;$V$1,"",COUNTIF($M$2:$M$66,"&lt;"&amp;24)+1)</f>
        <v>23</v>
      </c>
      <c r="S25" s="20" t="n">
        <f aca="false">IF($R25="","",24-IF($R25=1,0,INDEX($M$2:$M$66,$R25-1)))</f>
        <v>1</v>
      </c>
      <c r="T25" s="20" t="n">
        <f aca="false">IF($R25="",0,IF($S25=INDEX($L$2:$L$66,$R25),1,0))</f>
        <v>1</v>
      </c>
      <c r="W25" s="20" t="n">
        <f aca="false">门店对照!$D25</f>
        <v>1</v>
      </c>
      <c r="X25" s="38" t="n">
        <f aca="false">IF($W25=1,$B25,"#未启用#")</f>
        <v>2037</v>
      </c>
    </row>
    <row r="26" customFormat="false" ht="13.5" hidden="false" customHeight="false" outlineLevel="0" collapsed="false">
      <c r="A26" s="47" t="n">
        <v>25</v>
      </c>
      <c r="B26" s="25" t="n">
        <f aca="false">IF(门店对照!$A26="","",门店对照!$A26)</f>
        <v>2038</v>
      </c>
      <c r="C26" s="26" t="str">
        <f aca="false">门店对照!$C26&amp;""</f>
        <v>杨村王街店</v>
      </c>
      <c r="D26" s="14" t="n">
        <f aca="false">参数!$B$2</f>
        <v>46234</v>
      </c>
      <c r="E26" s="15" t="n">
        <f aca="false">ROUND(SUMIFS(输入回款!$C:$C,输入回款!$A:$A,$X26),2)</f>
        <v>26989.38</v>
      </c>
      <c r="F26" s="15" t="n">
        <f aca="false">ROUND(SUMIFS(输入回款!$D:$D,输入回款!$A:$A,$X26),2)</f>
        <v>0</v>
      </c>
      <c r="G26" s="15" t="n">
        <f aca="false">ROUND(SUM(分录回款!$I$362:$I$376),2)</f>
        <v>26989.38</v>
      </c>
      <c r="H26" s="15" t="n">
        <f aca="false">ROUND($E26+$F26-$G26,2)</f>
        <v>0</v>
      </c>
      <c r="K26" s="20" t="n">
        <f aca="false">SUM(分录回款!$J$362:$J$376)</f>
        <v>3</v>
      </c>
      <c r="L26" s="20" t="n">
        <f aca="false">IF(OR($K26=0,$W26=0),0,ROUNDUP($K26/6,0))</f>
        <v>1</v>
      </c>
      <c r="M26" s="20" t="n">
        <f aca="false">SUM($L$2:$L26)</f>
        <v>26</v>
      </c>
      <c r="N26" s="15" t="n">
        <f aca="false">ROUND(SUM(分录回款!$H$362:$H$376),2)</f>
        <v>26989.38</v>
      </c>
      <c r="O26" s="15" t="n">
        <f aca="false">ROUND(SUM(分录回款!$I$362:$I$376),2)</f>
        <v>26989.38</v>
      </c>
      <c r="P26" s="20" t="n">
        <f aca="false">IF($L26=0,"",COUNTIF($L$2:$L26,"&gt;0"))</f>
        <v>24</v>
      </c>
      <c r="Q26" s="47" t="n">
        <v>25</v>
      </c>
      <c r="R26" s="20" t="n">
        <f aca="false">IF(25&gt;$V$1,"",COUNTIF($M$2:$M$66,"&lt;"&amp;25)+1)</f>
        <v>24</v>
      </c>
      <c r="S26" s="20" t="n">
        <f aca="false">IF($R26="","",25-IF($R26=1,0,INDEX($M$2:$M$66,$R26-1)))</f>
        <v>1</v>
      </c>
      <c r="T26" s="20" t="n">
        <f aca="false">IF($R26="",0,IF($S26=INDEX($L$2:$L$66,$R26),1,0))</f>
        <v>1</v>
      </c>
      <c r="W26" s="20" t="n">
        <f aca="false">门店对照!$D26</f>
        <v>1</v>
      </c>
      <c r="X26" s="38" t="n">
        <f aca="false">IF($W26=1,$B26,"#未启用#")</f>
        <v>2038</v>
      </c>
    </row>
    <row r="27" customFormat="false" ht="13.5" hidden="false" customHeight="false" outlineLevel="0" collapsed="false">
      <c r="A27" s="47" t="n">
        <v>26</v>
      </c>
      <c r="B27" s="25" t="n">
        <f aca="false">IF(门店对照!$A27="","",门店对照!$A27)</f>
        <v>2039</v>
      </c>
      <c r="C27" s="26" t="str">
        <f aca="false">门店对照!$C27&amp;""</f>
        <v>千户营店</v>
      </c>
      <c r="D27" s="14" t="n">
        <f aca="false">参数!$B$2</f>
        <v>46234</v>
      </c>
      <c r="E27" s="15" t="n">
        <f aca="false">ROUND(SUMIFS(输入回款!$C:$C,输入回款!$A:$A,$X27),2)</f>
        <v>48822.62</v>
      </c>
      <c r="F27" s="15" t="n">
        <f aca="false">ROUND(SUMIFS(输入回款!$D:$D,输入回款!$A:$A,$X27),2)</f>
        <v>0</v>
      </c>
      <c r="G27" s="15" t="n">
        <f aca="false">ROUND(SUM(分录回款!$I$377:$I$391),2)</f>
        <v>48822.62</v>
      </c>
      <c r="H27" s="15" t="n">
        <f aca="false">ROUND($E27+$F27-$G27,2)</f>
        <v>0</v>
      </c>
      <c r="K27" s="20" t="n">
        <f aca="false">SUM(分录回款!$J$377:$J$391)</f>
        <v>3</v>
      </c>
      <c r="L27" s="20" t="n">
        <f aca="false">IF(OR($K27=0,$W27=0),0,ROUNDUP($K27/6,0))</f>
        <v>1</v>
      </c>
      <c r="M27" s="20" t="n">
        <f aca="false">SUM($L$2:$L27)</f>
        <v>27</v>
      </c>
      <c r="N27" s="15" t="n">
        <f aca="false">ROUND(SUM(分录回款!$H$377:$H$391),2)</f>
        <v>48822.62</v>
      </c>
      <c r="O27" s="15" t="n">
        <f aca="false">ROUND(SUM(分录回款!$I$377:$I$391),2)</f>
        <v>48822.62</v>
      </c>
      <c r="P27" s="20" t="n">
        <f aca="false">IF($L27=0,"",COUNTIF($L$2:$L27,"&gt;0"))</f>
        <v>25</v>
      </c>
      <c r="Q27" s="47" t="n">
        <v>26</v>
      </c>
      <c r="R27" s="20" t="n">
        <f aca="false">IF(26&gt;$V$1,"",COUNTIF($M$2:$M$66,"&lt;"&amp;26)+1)</f>
        <v>25</v>
      </c>
      <c r="S27" s="20" t="n">
        <f aca="false">IF($R27="","",26-IF($R27=1,0,INDEX($M$2:$M$66,$R27-1)))</f>
        <v>1</v>
      </c>
      <c r="T27" s="20" t="n">
        <f aca="false">IF($R27="",0,IF($S27=INDEX($L$2:$L$66,$R27),1,0))</f>
        <v>1</v>
      </c>
      <c r="W27" s="20" t="n">
        <f aca="false">门店对照!$D27</f>
        <v>1</v>
      </c>
      <c r="X27" s="38" t="n">
        <f aca="false">IF($W27=1,$B27,"#未启用#")</f>
        <v>2039</v>
      </c>
    </row>
    <row r="28" customFormat="false" ht="13.5" hidden="false" customHeight="false" outlineLevel="0" collapsed="false">
      <c r="A28" s="47" t="n">
        <v>27</v>
      </c>
      <c r="B28" s="25" t="n">
        <f aca="false">IF(门店对照!$A28="","",门店对照!$A28)</f>
        <v>2040</v>
      </c>
      <c r="C28" s="26" t="str">
        <f aca="false">门店对照!$C28&amp;""</f>
        <v>大张庄店</v>
      </c>
      <c r="D28" s="14" t="n">
        <f aca="false">参数!$B$2</f>
        <v>46234</v>
      </c>
      <c r="E28" s="15" t="n">
        <f aca="false">ROUND(SUMIFS(输入回款!$C:$C,输入回款!$A:$A,$X28),2)</f>
        <v>62695.3</v>
      </c>
      <c r="F28" s="15" t="n">
        <f aca="false">ROUND(SUMIFS(输入回款!$D:$D,输入回款!$A:$A,$X28),2)</f>
        <v>0</v>
      </c>
      <c r="G28" s="15" t="n">
        <f aca="false">ROUND(SUM(分录回款!$I$392:$I$406),2)</f>
        <v>62695.3</v>
      </c>
      <c r="H28" s="15" t="n">
        <f aca="false">ROUND($E28+$F28-$G28,2)</f>
        <v>0</v>
      </c>
      <c r="K28" s="20" t="n">
        <f aca="false">SUM(分录回款!$J$392:$J$406)</f>
        <v>3</v>
      </c>
      <c r="L28" s="20" t="n">
        <f aca="false">IF(OR($K28=0,$W28=0),0,ROUNDUP($K28/6,0))</f>
        <v>1</v>
      </c>
      <c r="M28" s="20" t="n">
        <f aca="false">SUM($L$2:$L28)</f>
        <v>28</v>
      </c>
      <c r="N28" s="15" t="n">
        <f aca="false">ROUND(SUM(分录回款!$H$392:$H$406),2)</f>
        <v>62695.3</v>
      </c>
      <c r="O28" s="15" t="n">
        <f aca="false">ROUND(SUM(分录回款!$I$392:$I$406),2)</f>
        <v>62695.3</v>
      </c>
      <c r="P28" s="20" t="n">
        <f aca="false">IF($L28=0,"",COUNTIF($L$2:$L28,"&gt;0"))</f>
        <v>26</v>
      </c>
      <c r="Q28" s="47" t="n">
        <v>27</v>
      </c>
      <c r="R28" s="20" t="n">
        <f aca="false">IF(27&gt;$V$1,"",COUNTIF($M$2:$M$66,"&lt;"&amp;27)+1)</f>
        <v>26</v>
      </c>
      <c r="S28" s="20" t="n">
        <f aca="false">IF($R28="","",27-IF($R28=1,0,INDEX($M$2:$M$66,$R28-1)))</f>
        <v>1</v>
      </c>
      <c r="T28" s="20" t="n">
        <f aca="false">IF($R28="",0,IF($S28=INDEX($L$2:$L$66,$R28),1,0))</f>
        <v>1</v>
      </c>
      <c r="W28" s="20" t="n">
        <f aca="false">门店对照!$D28</f>
        <v>1</v>
      </c>
      <c r="X28" s="38" t="n">
        <f aca="false">IF($W28=1,$B28,"#未启用#")</f>
        <v>2040</v>
      </c>
    </row>
    <row r="29" customFormat="false" ht="13.5" hidden="false" customHeight="false" outlineLevel="0" collapsed="false">
      <c r="A29" s="47" t="n">
        <v>28</v>
      </c>
      <c r="B29" s="25" t="n">
        <f aca="false">IF(门店对照!$A29="","",门店对照!$A29)</f>
        <v>2041</v>
      </c>
      <c r="C29" s="26" t="str">
        <f aca="false">门店对照!$C29&amp;""</f>
        <v>郝庄店</v>
      </c>
      <c r="D29" s="14" t="n">
        <f aca="false">参数!$B$2</f>
        <v>46234</v>
      </c>
      <c r="E29" s="15" t="n">
        <f aca="false">ROUND(SUMIFS(输入回款!$C:$C,输入回款!$A:$A,$X29),2)</f>
        <v>37197.81</v>
      </c>
      <c r="F29" s="15" t="n">
        <f aca="false">ROUND(SUMIFS(输入回款!$D:$D,输入回款!$A:$A,$X29),2)</f>
        <v>0</v>
      </c>
      <c r="G29" s="15" t="n">
        <f aca="false">ROUND(SUM(分录回款!$I$407:$I$421),2)</f>
        <v>37197.81</v>
      </c>
      <c r="H29" s="15" t="n">
        <f aca="false">ROUND($E29+$F29-$G29,2)</f>
        <v>0</v>
      </c>
      <c r="K29" s="20" t="n">
        <f aca="false">SUM(分录回款!$J$407:$J$421)</f>
        <v>2</v>
      </c>
      <c r="L29" s="20" t="n">
        <f aca="false">IF(OR($K29=0,$W29=0),0,ROUNDUP($K29/6,0))</f>
        <v>1</v>
      </c>
      <c r="M29" s="20" t="n">
        <f aca="false">SUM($L$2:$L29)</f>
        <v>29</v>
      </c>
      <c r="N29" s="15" t="n">
        <f aca="false">ROUND(SUM(分录回款!$H$407:$H$421),2)</f>
        <v>37197.81</v>
      </c>
      <c r="O29" s="15" t="n">
        <f aca="false">ROUND(SUM(分录回款!$I$407:$I$421),2)</f>
        <v>37197.81</v>
      </c>
      <c r="P29" s="20" t="n">
        <f aca="false">IF($L29=0,"",COUNTIF($L$2:$L29,"&gt;0"))</f>
        <v>27</v>
      </c>
      <c r="Q29" s="47" t="n">
        <v>28</v>
      </c>
      <c r="R29" s="20" t="n">
        <f aca="false">IF(28&gt;$V$1,"",COUNTIF($M$2:$M$66,"&lt;"&amp;28)+1)</f>
        <v>27</v>
      </c>
      <c r="S29" s="20" t="n">
        <f aca="false">IF($R29="","",28-IF($R29=1,0,INDEX($M$2:$M$66,$R29-1)))</f>
        <v>1</v>
      </c>
      <c r="T29" s="20" t="n">
        <f aca="false">IF($R29="",0,IF($S29=INDEX($L$2:$L$66,$R29),1,0))</f>
        <v>1</v>
      </c>
      <c r="W29" s="20" t="n">
        <f aca="false">门店对照!$D29</f>
        <v>1</v>
      </c>
      <c r="X29" s="38" t="n">
        <f aca="false">IF($W29=1,$B29,"#未启用#")</f>
        <v>2041</v>
      </c>
    </row>
    <row r="30" customFormat="false" ht="13.5" hidden="false" customHeight="false" outlineLevel="0" collapsed="false">
      <c r="A30" s="47" t="n">
        <v>29</v>
      </c>
      <c r="B30" s="25" t="n">
        <f aca="false">IF(门店对照!$A30="","",门店对照!$A30)</f>
        <v>2042</v>
      </c>
      <c r="C30" s="26" t="str">
        <f aca="false">门店对照!$C30&amp;""</f>
        <v>白家寨店</v>
      </c>
      <c r="D30" s="14" t="n">
        <f aca="false">参数!$B$2</f>
        <v>46234</v>
      </c>
      <c r="E30" s="15" t="n">
        <f aca="false">ROUND(SUMIFS(输入回款!$C:$C,输入回款!$A:$A,$X30),2)</f>
        <v>37112.57</v>
      </c>
      <c r="F30" s="15" t="n">
        <f aca="false">ROUND(SUMIFS(输入回款!$D:$D,输入回款!$A:$A,$X30),2)</f>
        <v>0</v>
      </c>
      <c r="G30" s="15" t="n">
        <f aca="false">ROUND(SUM(分录回款!$I$422:$I$436),2)</f>
        <v>37112.57</v>
      </c>
      <c r="H30" s="15" t="n">
        <f aca="false">ROUND($E30+$F30-$G30,2)</f>
        <v>0</v>
      </c>
      <c r="K30" s="20" t="n">
        <f aca="false">SUM(分录回款!$J$422:$J$436)</f>
        <v>3</v>
      </c>
      <c r="L30" s="20" t="n">
        <f aca="false">IF(OR($K30=0,$W30=0),0,ROUNDUP($K30/6,0))</f>
        <v>1</v>
      </c>
      <c r="M30" s="20" t="n">
        <f aca="false">SUM($L$2:$L30)</f>
        <v>30</v>
      </c>
      <c r="N30" s="15" t="n">
        <f aca="false">ROUND(SUM(分录回款!$H$422:$H$436),2)</f>
        <v>37112.57</v>
      </c>
      <c r="O30" s="15" t="n">
        <f aca="false">ROUND(SUM(分录回款!$I$422:$I$436),2)</f>
        <v>37112.57</v>
      </c>
      <c r="P30" s="20" t="n">
        <f aca="false">IF($L30=0,"",COUNTIF($L$2:$L30,"&gt;0"))</f>
        <v>28</v>
      </c>
      <c r="Q30" s="47" t="n">
        <v>29</v>
      </c>
      <c r="R30" s="20" t="n">
        <f aca="false">IF(29&gt;$V$1,"",COUNTIF($M$2:$M$66,"&lt;"&amp;29)+1)</f>
        <v>28</v>
      </c>
      <c r="S30" s="20" t="n">
        <f aca="false">IF($R30="","",29-IF($R30=1,0,INDEX($M$2:$M$66,$R30-1)))</f>
        <v>1</v>
      </c>
      <c r="T30" s="20" t="n">
        <f aca="false">IF($R30="",0,IF($S30=INDEX($L$2:$L$66,$R30),1,0))</f>
        <v>1</v>
      </c>
      <c r="W30" s="20" t="n">
        <f aca="false">门店对照!$D30</f>
        <v>1</v>
      </c>
      <c r="X30" s="38" t="n">
        <f aca="false">IF($W30=1,$B30,"#未启用#")</f>
        <v>2042</v>
      </c>
    </row>
    <row r="31" customFormat="false" ht="13.5" hidden="false" customHeight="false" outlineLevel="0" collapsed="false">
      <c r="A31" s="47" t="n">
        <v>30</v>
      </c>
      <c r="B31" s="25" t="n">
        <f aca="false">IF(门店对照!$A31="","",门店对照!$A31)</f>
        <v>2043</v>
      </c>
      <c r="C31" s="26" t="str">
        <f aca="false">门店对照!$C31&amp;""</f>
        <v>博福店</v>
      </c>
      <c r="D31" s="14" t="n">
        <f aca="false">参数!$B$2</f>
        <v>46234</v>
      </c>
      <c r="E31" s="15" t="n">
        <f aca="false">ROUND(SUMIFS(输入回款!$C:$C,输入回款!$A:$A,$X31),2)</f>
        <v>131492.43</v>
      </c>
      <c r="F31" s="15" t="n">
        <f aca="false">ROUND(SUMIFS(输入回款!$D:$D,输入回款!$A:$A,$X31),2)</f>
        <v>319.26</v>
      </c>
      <c r="G31" s="15" t="n">
        <f aca="false">ROUND(SUM(分录回款!$I$437:$I$451),2)</f>
        <v>131811.69</v>
      </c>
      <c r="H31" s="15" t="n">
        <f aca="false">ROUND($E31+$F31-$G31,2)</f>
        <v>0</v>
      </c>
      <c r="K31" s="20" t="n">
        <f aca="false">SUM(分录回款!$J$437:$J$451)</f>
        <v>7</v>
      </c>
      <c r="L31" s="20" t="n">
        <f aca="false">IF(OR($K31=0,$W31=0),0,ROUNDUP($K31/6,0))</f>
        <v>2</v>
      </c>
      <c r="M31" s="20" t="n">
        <f aca="false">SUM($L$2:$L31)</f>
        <v>32</v>
      </c>
      <c r="N31" s="15" t="n">
        <f aca="false">ROUND(SUM(分录回款!$H$437:$H$451),2)</f>
        <v>131811.69</v>
      </c>
      <c r="O31" s="15" t="n">
        <f aca="false">ROUND(SUM(分录回款!$I$437:$I$451),2)</f>
        <v>131811.69</v>
      </c>
      <c r="P31" s="20" t="n">
        <f aca="false">IF($L31=0,"",COUNTIF($L$2:$L31,"&gt;0"))</f>
        <v>29</v>
      </c>
      <c r="Q31" s="47" t="n">
        <v>30</v>
      </c>
      <c r="R31" s="20" t="n">
        <f aca="false">IF(30&gt;$V$1,"",COUNTIF($M$2:$M$66,"&lt;"&amp;30)+1)</f>
        <v>29</v>
      </c>
      <c r="S31" s="20" t="n">
        <f aca="false">IF($R31="","",30-IF($R31=1,0,INDEX($M$2:$M$66,$R31-1)))</f>
        <v>1</v>
      </c>
      <c r="T31" s="20" t="n">
        <f aca="false">IF($R31="",0,IF($S31=INDEX($L$2:$L$66,$R31),1,0))</f>
        <v>1</v>
      </c>
      <c r="W31" s="20" t="n">
        <f aca="false">门店对照!$D31</f>
        <v>1</v>
      </c>
      <c r="X31" s="38" t="n">
        <f aca="false">IF($W31=1,$B31,"#未启用#")</f>
        <v>2043</v>
      </c>
    </row>
    <row r="32" customFormat="false" ht="13.5" hidden="false" customHeight="false" outlineLevel="0" collapsed="false">
      <c r="A32" s="47" t="n">
        <v>31</v>
      </c>
      <c r="B32" s="25" t="n">
        <f aca="false">IF(门店对照!$A32="","",门店对照!$A32)</f>
        <v>2044</v>
      </c>
      <c r="C32" s="26" t="str">
        <f aca="false">门店对照!$C32&amp;""</f>
        <v>博营店</v>
      </c>
      <c r="D32" s="14" t="n">
        <f aca="false">参数!$B$2</f>
        <v>46234</v>
      </c>
      <c r="E32" s="15" t="n">
        <f aca="false">ROUND(SUMIFS(输入回款!$C:$C,输入回款!$A:$A,$X32),2)</f>
        <v>25828.82</v>
      </c>
      <c r="F32" s="15" t="n">
        <f aca="false">ROUND(SUMIFS(输入回款!$D:$D,输入回款!$A:$A,$X32),2)</f>
        <v>0</v>
      </c>
      <c r="G32" s="15" t="n">
        <f aca="false">ROUND(SUM(分录回款!$I$452:$I$466),2)</f>
        <v>25828.82</v>
      </c>
      <c r="H32" s="15" t="n">
        <f aca="false">ROUND($E32+$F32-$G32,2)</f>
        <v>0</v>
      </c>
      <c r="K32" s="20" t="n">
        <f aca="false">SUM(分录回款!$J$452:$J$466)</f>
        <v>2</v>
      </c>
      <c r="L32" s="20" t="n">
        <f aca="false">IF(OR($K32=0,$W32=0),0,ROUNDUP($K32/6,0))</f>
        <v>1</v>
      </c>
      <c r="M32" s="20" t="n">
        <f aca="false">SUM($L$2:$L32)</f>
        <v>33</v>
      </c>
      <c r="N32" s="15" t="n">
        <f aca="false">ROUND(SUM(分录回款!$H$452:$H$466),2)</f>
        <v>25828.82</v>
      </c>
      <c r="O32" s="15" t="n">
        <f aca="false">ROUND(SUM(分录回款!$I$452:$I$466),2)</f>
        <v>25828.82</v>
      </c>
      <c r="P32" s="20" t="n">
        <f aca="false">IF($L32=0,"",COUNTIF($L$2:$L32,"&gt;0"))</f>
        <v>30</v>
      </c>
      <c r="Q32" s="47" t="n">
        <v>31</v>
      </c>
      <c r="R32" s="20" t="n">
        <f aca="false">IF(31&gt;$V$1,"",COUNTIF($M$2:$M$66,"&lt;"&amp;31)+1)</f>
        <v>30</v>
      </c>
      <c r="S32" s="20" t="n">
        <f aca="false">IF($R32="","",31-IF($R32=1,0,INDEX($M$2:$M$66,$R32-1)))</f>
        <v>1</v>
      </c>
      <c r="T32" s="20" t="n">
        <f aca="false">IF($R32="",0,IF($S32=INDEX($L$2:$L$66,$R32),1,0))</f>
        <v>0</v>
      </c>
      <c r="W32" s="20" t="n">
        <f aca="false">门店对照!$D32</f>
        <v>1</v>
      </c>
      <c r="X32" s="38" t="n">
        <f aca="false">IF($W32=1,$B32,"#未启用#")</f>
        <v>2044</v>
      </c>
    </row>
    <row r="33" customFormat="false" ht="13.5" hidden="false" customHeight="false" outlineLevel="0" collapsed="false">
      <c r="A33" s="47" t="n">
        <v>32</v>
      </c>
      <c r="B33" s="25" t="n">
        <f aca="false">IF(门店对照!$A33="","",门店对照!$A33)</f>
        <v>2046</v>
      </c>
      <c r="C33" s="26" t="str">
        <f aca="false">门店对照!$C33&amp;""</f>
        <v>博康店</v>
      </c>
      <c r="D33" s="14" t="n">
        <f aca="false">参数!$B$2</f>
        <v>46234</v>
      </c>
      <c r="E33" s="15" t="n">
        <f aca="false">ROUND(SUMIFS(输入回款!$C:$C,输入回款!$A:$A,$X33),2)</f>
        <v>23497.92</v>
      </c>
      <c r="F33" s="15" t="n">
        <f aca="false">ROUND(SUMIFS(输入回款!$D:$D,输入回款!$A:$A,$X33),2)</f>
        <v>226.58</v>
      </c>
      <c r="G33" s="15" t="n">
        <f aca="false">ROUND(SUM(分录回款!$I$467:$I$481),2)</f>
        <v>23724.5</v>
      </c>
      <c r="H33" s="15" t="n">
        <f aca="false">ROUND($E33+$F33-$G33,2)</f>
        <v>0</v>
      </c>
      <c r="K33" s="20" t="n">
        <f aca="false">SUM(分录回款!$J$467:$J$481)</f>
        <v>5</v>
      </c>
      <c r="L33" s="20" t="n">
        <f aca="false">IF(OR($K33=0,$W33=0),0,ROUNDUP($K33/6,0))</f>
        <v>1</v>
      </c>
      <c r="M33" s="20" t="n">
        <f aca="false">SUM($L$2:$L33)</f>
        <v>34</v>
      </c>
      <c r="N33" s="15" t="n">
        <f aca="false">ROUND(SUM(分录回款!$H$467:$H$481),2)</f>
        <v>23724.5</v>
      </c>
      <c r="O33" s="15" t="n">
        <f aca="false">ROUND(SUM(分录回款!$I$467:$I$481),2)</f>
        <v>23724.5</v>
      </c>
      <c r="P33" s="20" t="n">
        <f aca="false">IF($L33=0,"",COUNTIF($L$2:$L33,"&gt;0"))</f>
        <v>31</v>
      </c>
      <c r="Q33" s="47" t="n">
        <v>32</v>
      </c>
      <c r="R33" s="20" t="n">
        <f aca="false">IF(32&gt;$V$1,"",COUNTIF($M$2:$M$66,"&lt;"&amp;32)+1)</f>
        <v>30</v>
      </c>
      <c r="S33" s="20" t="n">
        <f aca="false">IF($R33="","",32-IF($R33=1,0,INDEX($M$2:$M$66,$R33-1)))</f>
        <v>2</v>
      </c>
      <c r="T33" s="20" t="n">
        <f aca="false">IF($R33="",0,IF($S33=INDEX($L$2:$L$66,$R33),1,0))</f>
        <v>1</v>
      </c>
      <c r="W33" s="20" t="n">
        <f aca="false">门店对照!$D33</f>
        <v>1</v>
      </c>
      <c r="X33" s="38" t="n">
        <f aca="false">IF($W33=1,$B33,"#未启用#")</f>
        <v>2046</v>
      </c>
    </row>
    <row r="34" customFormat="false" ht="13.5" hidden="false" customHeight="false" outlineLevel="0" collapsed="false">
      <c r="A34" s="47" t="n">
        <v>33</v>
      </c>
      <c r="B34" s="25" t="n">
        <f aca="false">IF(门店对照!$A34="","",门店对照!$A34)</f>
        <v>2047</v>
      </c>
      <c r="C34" s="26" t="str">
        <f aca="false">门店对照!$C34&amp;""</f>
        <v>博联店</v>
      </c>
      <c r="D34" s="14" t="n">
        <f aca="false">参数!$B$2</f>
        <v>46234</v>
      </c>
      <c r="E34" s="15" t="n">
        <f aca="false">ROUND(SUMIFS(输入回款!$C:$C,输入回款!$A:$A,$X34),2)</f>
        <v>14114.02</v>
      </c>
      <c r="F34" s="15" t="n">
        <f aca="false">ROUND(SUMIFS(输入回款!$D:$D,输入回款!$A:$A,$X34),2)</f>
        <v>0</v>
      </c>
      <c r="G34" s="15" t="n">
        <f aca="false">ROUND(SUM(分录回款!$I$482:$I$496),2)</f>
        <v>14114.02</v>
      </c>
      <c r="H34" s="15" t="n">
        <f aca="false">ROUND($E34+$F34-$G34,2)</f>
        <v>0</v>
      </c>
      <c r="K34" s="20" t="n">
        <f aca="false">SUM(分录回款!$J$482:$J$496)</f>
        <v>3</v>
      </c>
      <c r="L34" s="20" t="n">
        <f aca="false">IF(OR($K34=0,$W34=0),0,ROUNDUP($K34/6,0))</f>
        <v>1</v>
      </c>
      <c r="M34" s="20" t="n">
        <f aca="false">SUM($L$2:$L34)</f>
        <v>35</v>
      </c>
      <c r="N34" s="15" t="n">
        <f aca="false">ROUND(SUM(分录回款!$H$482:$H$496),2)</f>
        <v>14114.02</v>
      </c>
      <c r="O34" s="15" t="n">
        <f aca="false">ROUND(SUM(分录回款!$I$482:$I$496),2)</f>
        <v>14114.02</v>
      </c>
      <c r="P34" s="20" t="n">
        <f aca="false">IF($L34=0,"",COUNTIF($L$2:$L34,"&gt;0"))</f>
        <v>32</v>
      </c>
      <c r="Q34" s="47" t="n">
        <v>33</v>
      </c>
      <c r="R34" s="20" t="n">
        <f aca="false">IF(33&gt;$V$1,"",COUNTIF($M$2:$M$66,"&lt;"&amp;33)+1)</f>
        <v>31</v>
      </c>
      <c r="S34" s="20" t="n">
        <f aca="false">IF($R34="","",33-IF($R34=1,0,INDEX($M$2:$M$66,$R34-1)))</f>
        <v>1</v>
      </c>
      <c r="T34" s="20" t="n">
        <f aca="false">IF($R34="",0,IF($S34=INDEX($L$2:$L$66,$R34),1,0))</f>
        <v>1</v>
      </c>
      <c r="W34" s="20" t="n">
        <f aca="false">门店对照!$D34</f>
        <v>1</v>
      </c>
      <c r="X34" s="38" t="n">
        <f aca="false">IF($W34=1,$B34,"#未启用#")</f>
        <v>2047</v>
      </c>
    </row>
    <row r="35" customFormat="false" ht="13.5" hidden="false" customHeight="false" outlineLevel="0" collapsed="false">
      <c r="A35" s="47" t="n">
        <v>34</v>
      </c>
      <c r="B35" s="25" t="n">
        <f aca="false">IF(门店对照!$A35="","",门店对照!$A35)</f>
        <v>2050</v>
      </c>
      <c r="C35" s="26" t="str">
        <f aca="false">门店对照!$C35&amp;""</f>
        <v>博尚店</v>
      </c>
      <c r="D35" s="14" t="n">
        <f aca="false">参数!$B$2</f>
        <v>46234</v>
      </c>
      <c r="E35" s="15" t="n">
        <f aca="false">ROUND(SUMIFS(输入回款!$C:$C,输入回款!$A:$A,$X35),2)</f>
        <v>25383.46</v>
      </c>
      <c r="F35" s="15" t="n">
        <f aca="false">ROUND(SUMIFS(输入回款!$D:$D,输入回款!$A:$A,$X35),2)</f>
        <v>73.91</v>
      </c>
      <c r="G35" s="15" t="n">
        <f aca="false">ROUND(SUM(分录回款!$I$497:$I$511),2)</f>
        <v>25457.37</v>
      </c>
      <c r="H35" s="15" t="n">
        <f aca="false">ROUND($E35+$F35-$G35,2)</f>
        <v>0</v>
      </c>
      <c r="K35" s="20" t="n">
        <f aca="false">SUM(分录回款!$J$497:$J$511)</f>
        <v>6</v>
      </c>
      <c r="L35" s="20" t="n">
        <f aca="false">IF(OR($K35=0,$W35=0),0,ROUNDUP($K35/6,0))</f>
        <v>1</v>
      </c>
      <c r="M35" s="20" t="n">
        <f aca="false">SUM($L$2:$L35)</f>
        <v>36</v>
      </c>
      <c r="N35" s="15" t="n">
        <f aca="false">ROUND(SUM(分录回款!$H$497:$H$511),2)</f>
        <v>25457.37</v>
      </c>
      <c r="O35" s="15" t="n">
        <f aca="false">ROUND(SUM(分录回款!$I$497:$I$511),2)</f>
        <v>25457.37</v>
      </c>
      <c r="P35" s="20" t="n">
        <f aca="false">IF($L35=0,"",COUNTIF($L$2:$L35,"&gt;0"))</f>
        <v>33</v>
      </c>
      <c r="Q35" s="47" t="n">
        <v>34</v>
      </c>
      <c r="R35" s="20" t="n">
        <f aca="false">IF(34&gt;$V$1,"",COUNTIF($M$2:$M$66,"&lt;"&amp;34)+1)</f>
        <v>32</v>
      </c>
      <c r="S35" s="20" t="n">
        <f aca="false">IF($R35="","",34-IF($R35=1,0,INDEX($M$2:$M$66,$R35-1)))</f>
        <v>1</v>
      </c>
      <c r="T35" s="20" t="n">
        <f aca="false">IF($R35="",0,IF($S35=INDEX($L$2:$L$66,$R35),1,0))</f>
        <v>1</v>
      </c>
      <c r="W35" s="20" t="n">
        <f aca="false">门店对照!$D35</f>
        <v>1</v>
      </c>
      <c r="X35" s="38" t="n">
        <f aca="false">IF($W35=1,$B35,"#未启用#")</f>
        <v>2050</v>
      </c>
    </row>
    <row r="36" customFormat="false" ht="13.5" hidden="false" customHeight="false" outlineLevel="0" collapsed="false">
      <c r="A36" s="47" t="n">
        <v>35</v>
      </c>
      <c r="B36" s="25" t="n">
        <f aca="false">IF(门店对照!$A36="","",门店对照!$A36)</f>
        <v>2053</v>
      </c>
      <c r="C36" s="26" t="str">
        <f aca="false">门店对照!$C36&amp;""</f>
        <v>博鑫店</v>
      </c>
      <c r="D36" s="14" t="n">
        <f aca="false">参数!$B$2</f>
        <v>46234</v>
      </c>
      <c r="E36" s="15" t="n">
        <f aca="false">ROUND(SUMIFS(输入回款!$C:$C,输入回款!$A:$A,$X36),2)</f>
        <v>34379.69</v>
      </c>
      <c r="F36" s="15" t="n">
        <f aca="false">ROUND(SUMIFS(输入回款!$D:$D,输入回款!$A:$A,$X36),2)</f>
        <v>15.78</v>
      </c>
      <c r="G36" s="15" t="n">
        <f aca="false">ROUND(SUM(分录回款!$I$512:$I$526),2)</f>
        <v>34395.47</v>
      </c>
      <c r="H36" s="15" t="n">
        <f aca="false">ROUND($E36+$F36-$G36,2)</f>
        <v>0</v>
      </c>
      <c r="K36" s="20" t="n">
        <f aca="false">SUM(分录回款!$J$512:$J$526)</f>
        <v>5</v>
      </c>
      <c r="L36" s="20" t="n">
        <f aca="false">IF(OR($K36=0,$W36=0),0,ROUNDUP($K36/6,0))</f>
        <v>1</v>
      </c>
      <c r="M36" s="20" t="n">
        <f aca="false">SUM($L$2:$L36)</f>
        <v>37</v>
      </c>
      <c r="N36" s="15" t="n">
        <f aca="false">ROUND(SUM(分录回款!$H$512:$H$526),2)</f>
        <v>34395.47</v>
      </c>
      <c r="O36" s="15" t="n">
        <f aca="false">ROUND(SUM(分录回款!$I$512:$I$526),2)</f>
        <v>34395.47</v>
      </c>
      <c r="P36" s="20" t="n">
        <f aca="false">IF($L36=0,"",COUNTIF($L$2:$L36,"&gt;0"))</f>
        <v>34</v>
      </c>
      <c r="Q36" s="47" t="n">
        <v>35</v>
      </c>
      <c r="R36" s="20" t="n">
        <f aca="false">IF(35&gt;$V$1,"",COUNTIF($M$2:$M$66,"&lt;"&amp;35)+1)</f>
        <v>33</v>
      </c>
      <c r="S36" s="20" t="n">
        <f aca="false">IF($R36="","",35-IF($R36=1,0,INDEX($M$2:$M$66,$R36-1)))</f>
        <v>1</v>
      </c>
      <c r="T36" s="20" t="n">
        <f aca="false">IF($R36="",0,IF($S36=INDEX($L$2:$L$66,$R36),1,0))</f>
        <v>1</v>
      </c>
      <c r="W36" s="20" t="n">
        <f aca="false">门店对照!$D36</f>
        <v>1</v>
      </c>
      <c r="X36" s="38" t="n">
        <f aca="false">IF($W36=1,$B36,"#未启用#")</f>
        <v>2053</v>
      </c>
    </row>
    <row r="37" customFormat="false" ht="13.5" hidden="false" customHeight="false" outlineLevel="0" collapsed="false">
      <c r="A37" s="47" t="n">
        <v>36</v>
      </c>
      <c r="B37" s="25" t="n">
        <f aca="false">IF(门店对照!$A37="","",门店对照!$A37)</f>
        <v>2055</v>
      </c>
      <c r="C37" s="26" t="str">
        <f aca="false">门店对照!$C37&amp;""</f>
        <v>博魏店</v>
      </c>
      <c r="D37" s="14" t="n">
        <f aca="false">参数!$B$2</f>
        <v>46234</v>
      </c>
      <c r="E37" s="15" t="n">
        <f aca="false">ROUND(SUMIFS(输入回款!$C:$C,输入回款!$A:$A,$X37),2)</f>
        <v>25814.11</v>
      </c>
      <c r="F37" s="15" t="n">
        <f aca="false">ROUND(SUMIFS(输入回款!$D:$D,输入回款!$A:$A,$X37),2)</f>
        <v>0</v>
      </c>
      <c r="G37" s="15" t="n">
        <f aca="false">ROUND(SUM(分录回款!$I$527:$I$541),2)</f>
        <v>25814.11</v>
      </c>
      <c r="H37" s="15" t="n">
        <f aca="false">ROUND($E37+$F37-$G37,2)</f>
        <v>0</v>
      </c>
      <c r="K37" s="20" t="n">
        <f aca="false">SUM(分录回款!$J$527:$J$541)</f>
        <v>2</v>
      </c>
      <c r="L37" s="20" t="n">
        <f aca="false">IF(OR($K37=0,$W37=0),0,ROUNDUP($K37/6,0))</f>
        <v>1</v>
      </c>
      <c r="M37" s="20" t="n">
        <f aca="false">SUM($L$2:$L37)</f>
        <v>38</v>
      </c>
      <c r="N37" s="15" t="n">
        <f aca="false">ROUND(SUM(分录回款!$H$527:$H$541),2)</f>
        <v>25814.11</v>
      </c>
      <c r="O37" s="15" t="n">
        <f aca="false">ROUND(SUM(分录回款!$I$527:$I$541),2)</f>
        <v>25814.11</v>
      </c>
      <c r="P37" s="20" t="n">
        <f aca="false">IF($L37=0,"",COUNTIF($L$2:$L37,"&gt;0"))</f>
        <v>35</v>
      </c>
      <c r="Q37" s="47" t="n">
        <v>36</v>
      </c>
      <c r="R37" s="20" t="n">
        <f aca="false">IF(36&gt;$V$1,"",COUNTIF($M$2:$M$66,"&lt;"&amp;36)+1)</f>
        <v>34</v>
      </c>
      <c r="S37" s="20" t="n">
        <f aca="false">IF($R37="","",36-IF($R37=1,0,INDEX($M$2:$M$66,$R37-1)))</f>
        <v>1</v>
      </c>
      <c r="T37" s="20" t="n">
        <f aca="false">IF($R37="",0,IF($S37=INDEX($L$2:$L$66,$R37),1,0))</f>
        <v>1</v>
      </c>
      <c r="W37" s="20" t="n">
        <f aca="false">门店对照!$D37</f>
        <v>1</v>
      </c>
      <c r="X37" s="38" t="n">
        <f aca="false">IF($W37=1,$B37,"#未启用#")</f>
        <v>2055</v>
      </c>
    </row>
    <row r="38" customFormat="false" ht="13.5" hidden="false" customHeight="false" outlineLevel="0" collapsed="false">
      <c r="A38" s="47" t="n">
        <v>37</v>
      </c>
      <c r="B38" s="25" t="n">
        <f aca="false">IF(门店对照!$A38="","",门店对照!$A38)</f>
        <v>2057</v>
      </c>
      <c r="C38" s="26" t="str">
        <f aca="false">门店对照!$C38&amp;""</f>
        <v>博城店</v>
      </c>
      <c r="D38" s="14" t="n">
        <f aca="false">参数!$B$2</f>
        <v>46234</v>
      </c>
      <c r="E38" s="15" t="n">
        <f aca="false">ROUND(SUMIFS(输入回款!$C:$C,输入回款!$A:$A,$X38),2)</f>
        <v>13284.83</v>
      </c>
      <c r="F38" s="15" t="n">
        <f aca="false">ROUND(SUMIFS(输入回款!$D:$D,输入回款!$A:$A,$X38),2)</f>
        <v>0</v>
      </c>
      <c r="G38" s="15" t="n">
        <f aca="false">ROUND(SUM(分录回款!$I$542:$I$556),2)</f>
        <v>13284.83</v>
      </c>
      <c r="H38" s="15" t="n">
        <f aca="false">ROUND($E38+$F38-$G38,2)</f>
        <v>0</v>
      </c>
      <c r="K38" s="20" t="n">
        <f aca="false">SUM(分录回款!$J$542:$J$556)</f>
        <v>2</v>
      </c>
      <c r="L38" s="20" t="n">
        <f aca="false">IF(OR($K38=0,$W38=0),0,ROUNDUP($K38/6,0))</f>
        <v>1</v>
      </c>
      <c r="M38" s="20" t="n">
        <f aca="false">SUM($L$2:$L38)</f>
        <v>39</v>
      </c>
      <c r="N38" s="15" t="n">
        <f aca="false">ROUND(SUM(分录回款!$H$542:$H$556),2)</f>
        <v>13284.83</v>
      </c>
      <c r="O38" s="15" t="n">
        <f aca="false">ROUND(SUM(分录回款!$I$542:$I$556),2)</f>
        <v>13284.83</v>
      </c>
      <c r="P38" s="20" t="n">
        <f aca="false">IF($L38=0,"",COUNTIF($L$2:$L38,"&gt;0"))</f>
        <v>36</v>
      </c>
      <c r="Q38" s="47" t="n">
        <v>37</v>
      </c>
      <c r="R38" s="20" t="n">
        <f aca="false">IF(37&gt;$V$1,"",COUNTIF($M$2:$M$66,"&lt;"&amp;37)+1)</f>
        <v>35</v>
      </c>
      <c r="S38" s="20" t="n">
        <f aca="false">IF($R38="","",37-IF($R38=1,0,INDEX($M$2:$M$66,$R38-1)))</f>
        <v>1</v>
      </c>
      <c r="T38" s="20" t="n">
        <f aca="false">IF($R38="",0,IF($S38=INDEX($L$2:$L$66,$R38),1,0))</f>
        <v>1</v>
      </c>
      <c r="W38" s="20" t="n">
        <f aca="false">门店对照!$D38</f>
        <v>1</v>
      </c>
      <c r="X38" s="38" t="n">
        <f aca="false">IF($W38=1,$B38,"#未启用#")</f>
        <v>2057</v>
      </c>
    </row>
    <row r="39" customFormat="false" ht="13.5" hidden="false" customHeight="false" outlineLevel="0" collapsed="false">
      <c r="A39" s="47" t="n">
        <v>38</v>
      </c>
      <c r="B39" s="25" t="n">
        <f aca="false">IF(门店对照!$A39="","",门店对照!$A39)</f>
        <v>2060</v>
      </c>
      <c r="C39" s="26" t="str">
        <f aca="false">门店对照!$C39&amp;""</f>
        <v>博景店</v>
      </c>
      <c r="D39" s="14" t="n">
        <f aca="false">参数!$B$2</f>
        <v>46234</v>
      </c>
      <c r="E39" s="15" t="n">
        <f aca="false">ROUND(SUMIFS(输入回款!$C:$C,输入回款!$A:$A,$X39),2)</f>
        <v>32735</v>
      </c>
      <c r="F39" s="15" t="n">
        <f aca="false">ROUND(SUMIFS(输入回款!$D:$D,输入回款!$A:$A,$X39),2)</f>
        <v>41.05</v>
      </c>
      <c r="G39" s="15" t="n">
        <f aca="false">ROUND(SUM(分录回款!$I$557:$I$571),2)</f>
        <v>32776.05</v>
      </c>
      <c r="H39" s="15" t="n">
        <f aca="false">ROUND($E39+$F39-$G39,2)</f>
        <v>0</v>
      </c>
      <c r="K39" s="20" t="n">
        <f aca="false">SUM(分录回款!$J$557:$J$571)</f>
        <v>6</v>
      </c>
      <c r="L39" s="20" t="n">
        <f aca="false">IF(OR($K39=0,$W39=0),0,ROUNDUP($K39/6,0))</f>
        <v>1</v>
      </c>
      <c r="M39" s="20" t="n">
        <f aca="false">SUM($L$2:$L39)</f>
        <v>40</v>
      </c>
      <c r="N39" s="15" t="n">
        <f aca="false">ROUND(SUM(分录回款!$H$557:$H$571),2)</f>
        <v>32776.05</v>
      </c>
      <c r="O39" s="15" t="n">
        <f aca="false">ROUND(SUM(分录回款!$I$557:$I$571),2)</f>
        <v>32776.05</v>
      </c>
      <c r="P39" s="20" t="n">
        <f aca="false">IF($L39=0,"",COUNTIF($L$2:$L39,"&gt;0"))</f>
        <v>37</v>
      </c>
      <c r="Q39" s="47" t="n">
        <v>38</v>
      </c>
      <c r="R39" s="20" t="n">
        <f aca="false">IF(38&gt;$V$1,"",COUNTIF($M$2:$M$66,"&lt;"&amp;38)+1)</f>
        <v>36</v>
      </c>
      <c r="S39" s="20" t="n">
        <f aca="false">IF($R39="","",38-IF($R39=1,0,INDEX($M$2:$M$66,$R39-1)))</f>
        <v>1</v>
      </c>
      <c r="T39" s="20" t="n">
        <f aca="false">IF($R39="",0,IF($S39=INDEX($L$2:$L$66,$R39),1,0))</f>
        <v>1</v>
      </c>
      <c r="W39" s="20" t="n">
        <f aca="false">门店对照!$D39</f>
        <v>1</v>
      </c>
      <c r="X39" s="38" t="n">
        <f aca="false">IF($W39=1,$B39,"#未启用#")</f>
        <v>2060</v>
      </c>
    </row>
    <row r="40" customFormat="false" ht="13.5" hidden="false" customHeight="false" outlineLevel="0" collapsed="false">
      <c r="A40" s="47" t="n">
        <v>39</v>
      </c>
      <c r="B40" s="25" t="n">
        <f aca="false">IF(门店对照!$A40="","",门店对照!$A40)</f>
        <v>2062</v>
      </c>
      <c r="C40" s="26" t="str">
        <f aca="false">门店对照!$C40&amp;""</f>
        <v>西范村店</v>
      </c>
      <c r="D40" s="14" t="n">
        <f aca="false">参数!$B$2</f>
        <v>46234</v>
      </c>
      <c r="E40" s="15" t="n">
        <f aca="false">ROUND(SUMIFS(输入回款!$C:$C,输入回款!$A:$A,$X40),2)</f>
        <v>61578.01</v>
      </c>
      <c r="F40" s="15" t="n">
        <f aca="false">ROUND(SUMIFS(输入回款!$D:$D,输入回款!$A:$A,$X40),2)</f>
        <v>246.59</v>
      </c>
      <c r="G40" s="15" t="n">
        <f aca="false">ROUND(SUM(分录回款!$I$572:$I$586),2)</f>
        <v>61824.6</v>
      </c>
      <c r="H40" s="15" t="n">
        <f aca="false">ROUND($E40+$F40-$G40,2)</f>
        <v>0</v>
      </c>
      <c r="K40" s="20" t="n">
        <f aca="false">SUM(分录回款!$J$572:$J$586)</f>
        <v>5</v>
      </c>
      <c r="L40" s="20" t="n">
        <f aca="false">IF(OR($K40=0,$W40=0),0,ROUNDUP($K40/6,0))</f>
        <v>1</v>
      </c>
      <c r="M40" s="20" t="n">
        <f aca="false">SUM($L$2:$L40)</f>
        <v>41</v>
      </c>
      <c r="N40" s="15" t="n">
        <f aca="false">ROUND(SUM(分录回款!$H$572:$H$586),2)</f>
        <v>61824.6</v>
      </c>
      <c r="O40" s="15" t="n">
        <f aca="false">ROUND(SUM(分录回款!$I$572:$I$586),2)</f>
        <v>61824.6</v>
      </c>
      <c r="P40" s="20" t="n">
        <f aca="false">IF($L40=0,"",COUNTIF($L$2:$L40,"&gt;0"))</f>
        <v>38</v>
      </c>
      <c r="Q40" s="47" t="n">
        <v>39</v>
      </c>
      <c r="R40" s="20" t="n">
        <f aca="false">IF(39&gt;$V$1,"",COUNTIF($M$2:$M$66,"&lt;"&amp;39)+1)</f>
        <v>37</v>
      </c>
      <c r="S40" s="20" t="n">
        <f aca="false">IF($R40="","",39-IF($R40=1,0,INDEX($M$2:$M$66,$R40-1)))</f>
        <v>1</v>
      </c>
      <c r="T40" s="20" t="n">
        <f aca="false">IF($R40="",0,IF($S40=INDEX($L$2:$L$66,$R40),1,0))</f>
        <v>1</v>
      </c>
      <c r="W40" s="20" t="n">
        <f aca="false">门店对照!$D40</f>
        <v>1</v>
      </c>
      <c r="X40" s="38" t="n">
        <f aca="false">IF($W40=1,$B40,"#未启用#")</f>
        <v>2062</v>
      </c>
    </row>
    <row r="41" customFormat="false" ht="13.5" hidden="false" customHeight="false" outlineLevel="0" collapsed="false">
      <c r="A41" s="47" t="n">
        <v>40</v>
      </c>
      <c r="B41" s="25" t="n">
        <f aca="false">IF(门店对照!$A41="","",门店对照!$A41)</f>
        <v>2063</v>
      </c>
      <c r="C41" s="26" t="str">
        <f aca="false">门店对照!$C41&amp;""</f>
        <v>博医店</v>
      </c>
      <c r="D41" s="14" t="n">
        <f aca="false">参数!$B$2</f>
        <v>46234</v>
      </c>
      <c r="E41" s="15" t="n">
        <f aca="false">ROUND(SUMIFS(输入回款!$C:$C,输入回款!$A:$A,$X41),2)</f>
        <v>156570.16</v>
      </c>
      <c r="F41" s="15" t="n">
        <f aca="false">ROUND(SUMIFS(输入回款!$D:$D,输入回款!$A:$A,$X41),2)</f>
        <v>244.7</v>
      </c>
      <c r="G41" s="15" t="n">
        <f aca="false">ROUND(SUM(分录回款!$I$587:$I$601),2)</f>
        <v>156814.86</v>
      </c>
      <c r="H41" s="15" t="n">
        <f aca="false">ROUND($E41+$F41-$G41,2)</f>
        <v>0</v>
      </c>
      <c r="K41" s="20" t="n">
        <f aca="false">SUM(分录回款!$J$587:$J$601)</f>
        <v>6</v>
      </c>
      <c r="L41" s="20" t="n">
        <f aca="false">IF(OR($K41=0,$W41=0),0,ROUNDUP($K41/6,0))</f>
        <v>1</v>
      </c>
      <c r="M41" s="20" t="n">
        <f aca="false">SUM($L$2:$L41)</f>
        <v>42</v>
      </c>
      <c r="N41" s="15" t="n">
        <f aca="false">ROUND(SUM(分录回款!$H$587:$H$601),2)</f>
        <v>156814.86</v>
      </c>
      <c r="O41" s="15" t="n">
        <f aca="false">ROUND(SUM(分录回款!$I$587:$I$601),2)</f>
        <v>156814.86</v>
      </c>
      <c r="P41" s="20" t="n">
        <f aca="false">IF($L41=0,"",COUNTIF($L$2:$L41,"&gt;0"))</f>
        <v>39</v>
      </c>
      <c r="Q41" s="47" t="n">
        <v>40</v>
      </c>
      <c r="R41" s="20" t="n">
        <f aca="false">IF(40&gt;$V$1,"",COUNTIF($M$2:$M$66,"&lt;"&amp;40)+1)</f>
        <v>38</v>
      </c>
      <c r="S41" s="20" t="n">
        <f aca="false">IF($R41="","",40-IF($R41=1,0,INDEX($M$2:$M$66,$R41-1)))</f>
        <v>1</v>
      </c>
      <c r="T41" s="20" t="n">
        <f aca="false">IF($R41="",0,IF($S41=INDEX($L$2:$L$66,$R41),1,0))</f>
        <v>1</v>
      </c>
      <c r="W41" s="20" t="n">
        <f aca="false">门店对照!$D41</f>
        <v>1</v>
      </c>
      <c r="X41" s="38" t="n">
        <f aca="false">IF($W41=1,$B41,"#未启用#")</f>
        <v>2063</v>
      </c>
    </row>
    <row r="42" customFormat="false" ht="13.5" hidden="false" customHeight="false" outlineLevel="0" collapsed="false">
      <c r="A42" s="47" t="n">
        <v>41</v>
      </c>
      <c r="B42" s="25" t="n">
        <f aca="false">IF(门店对照!$A42="","",门店对照!$A42)</f>
        <v>2064</v>
      </c>
      <c r="C42" s="26" t="str">
        <f aca="false">门店对照!$C42&amp;""</f>
        <v>旗舰店</v>
      </c>
      <c r="D42" s="14" t="n">
        <f aca="false">参数!$B$2</f>
        <v>46234</v>
      </c>
      <c r="E42" s="15" t="n">
        <f aca="false">ROUND(SUMIFS(输入回款!$C:$C,输入回款!$A:$A,$X42),2)</f>
        <v>0</v>
      </c>
      <c r="F42" s="15" t="n">
        <f aca="false">ROUND(SUMIFS(输入回款!$D:$D,输入回款!$A:$A,$X42),2)</f>
        <v>0</v>
      </c>
      <c r="G42" s="15" t="n">
        <f aca="false">ROUND(SUM(分录回款!$I$602:$I$616),2)</f>
        <v>0</v>
      </c>
      <c r="H42" s="15" t="n">
        <f aca="false">ROUND($E42+$F42-$G42,2)</f>
        <v>0</v>
      </c>
      <c r="K42" s="20" t="n">
        <f aca="false">SUM(分录回款!$J$602:$J$616)</f>
        <v>0</v>
      </c>
      <c r="L42" s="20" t="n">
        <f aca="false">IF(OR($K42=0,$W42=0),0,ROUNDUP($K42/6,0))</f>
        <v>0</v>
      </c>
      <c r="M42" s="20" t="n">
        <f aca="false">SUM($L$2:$L42)</f>
        <v>42</v>
      </c>
      <c r="N42" s="15" t="n">
        <f aca="false">ROUND(SUM(分录回款!$H$602:$H$616),2)</f>
        <v>0</v>
      </c>
      <c r="O42" s="15" t="n">
        <f aca="false">ROUND(SUM(分录回款!$I$602:$I$616),2)</f>
        <v>0</v>
      </c>
      <c r="P42" s="20" t="str">
        <f aca="false">IF($L42=0,"",COUNTIF($L$2:$L42,"&gt;0"))</f>
        <v/>
      </c>
      <c r="Q42" s="47" t="n">
        <v>41</v>
      </c>
      <c r="R42" s="20" t="n">
        <f aca="false">IF(41&gt;$V$1,"",COUNTIF($M$2:$M$66,"&lt;"&amp;41)+1)</f>
        <v>39</v>
      </c>
      <c r="S42" s="20" t="n">
        <f aca="false">IF($R42="","",41-IF($R42=1,0,INDEX($M$2:$M$66,$R42-1)))</f>
        <v>1</v>
      </c>
      <c r="T42" s="20" t="n">
        <f aca="false">IF($R42="",0,IF($S42=INDEX($L$2:$L$66,$R42),1,0))</f>
        <v>1</v>
      </c>
      <c r="W42" s="20" t="n">
        <f aca="false">门店对照!$D42</f>
        <v>1</v>
      </c>
      <c r="X42" s="38" t="n">
        <f aca="false">IF($W42=1,$B42,"#未启用#")</f>
        <v>2064</v>
      </c>
    </row>
    <row r="43" customFormat="false" ht="13.5" hidden="false" customHeight="false" outlineLevel="0" collapsed="false">
      <c r="A43" s="47" t="n">
        <v>42</v>
      </c>
      <c r="B43" s="25" t="n">
        <f aca="false">IF(门店对照!$A43="","",门店对照!$A43)</f>
        <v>2066</v>
      </c>
      <c r="C43" s="26" t="str">
        <f aca="false">门店对照!$C43&amp;""</f>
        <v>博实店</v>
      </c>
      <c r="D43" s="14" t="n">
        <f aca="false">参数!$B$2</f>
        <v>46234</v>
      </c>
      <c r="E43" s="15" t="n">
        <f aca="false">ROUND(SUMIFS(输入回款!$C:$C,输入回款!$A:$A,$X43),2)</f>
        <v>45737.13</v>
      </c>
      <c r="F43" s="15" t="n">
        <f aca="false">ROUND(SUMIFS(输入回款!$D:$D,输入回款!$A:$A,$X43),2)</f>
        <v>25.11</v>
      </c>
      <c r="G43" s="15" t="n">
        <f aca="false">ROUND(SUM(分录回款!$I$617:$I$631),2)</f>
        <v>45762.24</v>
      </c>
      <c r="H43" s="15" t="n">
        <f aca="false">ROUND($E43+$F43-$G43,2)</f>
        <v>0</v>
      </c>
      <c r="K43" s="20" t="n">
        <f aca="false">SUM(分录回款!$J$617:$J$631)</f>
        <v>6</v>
      </c>
      <c r="L43" s="20" t="n">
        <f aca="false">IF(OR($K43=0,$W43=0),0,ROUNDUP($K43/6,0))</f>
        <v>1</v>
      </c>
      <c r="M43" s="20" t="n">
        <f aca="false">SUM($L$2:$L43)</f>
        <v>43</v>
      </c>
      <c r="N43" s="15" t="n">
        <f aca="false">ROUND(SUM(分录回款!$H$617:$H$631),2)</f>
        <v>45762.24</v>
      </c>
      <c r="O43" s="15" t="n">
        <f aca="false">ROUND(SUM(分录回款!$I$617:$I$631),2)</f>
        <v>45762.24</v>
      </c>
      <c r="P43" s="20" t="n">
        <f aca="false">IF($L43=0,"",COUNTIF($L$2:$L43,"&gt;0"))</f>
        <v>40</v>
      </c>
      <c r="Q43" s="47" t="n">
        <v>42</v>
      </c>
      <c r="R43" s="20" t="n">
        <f aca="false">IF(42&gt;$V$1,"",COUNTIF($M$2:$M$66,"&lt;"&amp;42)+1)</f>
        <v>40</v>
      </c>
      <c r="S43" s="20" t="n">
        <f aca="false">IF($R43="","",42-IF($R43=1,0,INDEX($M$2:$M$66,$R43-1)))</f>
        <v>1</v>
      </c>
      <c r="T43" s="20" t="n">
        <f aca="false">IF($R43="",0,IF($S43=INDEX($L$2:$L$66,$R43),1,0))</f>
        <v>1</v>
      </c>
      <c r="W43" s="20" t="n">
        <f aca="false">门店对照!$D43</f>
        <v>1</v>
      </c>
      <c r="X43" s="38" t="n">
        <f aca="false">IF($W43=1,$B43,"#未启用#")</f>
        <v>2066</v>
      </c>
    </row>
    <row r="44" customFormat="false" ht="13.5" hidden="false" customHeight="false" outlineLevel="0" collapsed="false">
      <c r="A44" s="47" t="n">
        <v>43</v>
      </c>
      <c r="B44" s="25" t="n">
        <f aca="false">IF(门店对照!$A44="","",门店对照!$A44)</f>
        <v>2067</v>
      </c>
      <c r="C44" s="26" t="str">
        <f aca="false">门店对照!$C44&amp;""</f>
        <v>博亮店</v>
      </c>
      <c r="D44" s="14" t="n">
        <f aca="false">参数!$B$2</f>
        <v>46234</v>
      </c>
      <c r="E44" s="15" t="n">
        <f aca="false">ROUND(SUMIFS(输入回款!$C:$C,输入回款!$A:$A,$X44),2)</f>
        <v>32450.61</v>
      </c>
      <c r="F44" s="15" t="n">
        <f aca="false">ROUND(SUMIFS(输入回款!$D:$D,输入回款!$A:$A,$X44),2)</f>
        <v>79.54</v>
      </c>
      <c r="G44" s="15" t="n">
        <f aca="false">ROUND(SUM(分录回款!$I$632:$I$646),2)</f>
        <v>32530.15</v>
      </c>
      <c r="H44" s="15" t="n">
        <f aca="false">ROUND($E44+$F44-$G44,2)</f>
        <v>0</v>
      </c>
      <c r="K44" s="20" t="n">
        <f aca="false">SUM(分录回款!$J$632:$J$646)</f>
        <v>4</v>
      </c>
      <c r="L44" s="20" t="n">
        <f aca="false">IF(OR($K44=0,$W44=0),0,ROUNDUP($K44/6,0))</f>
        <v>1</v>
      </c>
      <c r="M44" s="20" t="n">
        <f aca="false">SUM($L$2:$L44)</f>
        <v>44</v>
      </c>
      <c r="N44" s="15" t="n">
        <f aca="false">ROUND(SUM(分录回款!$H$632:$H$646),2)</f>
        <v>32530.15</v>
      </c>
      <c r="O44" s="15" t="n">
        <f aca="false">ROUND(SUM(分录回款!$I$632:$I$646),2)</f>
        <v>32530.15</v>
      </c>
      <c r="P44" s="20" t="n">
        <f aca="false">IF($L44=0,"",COUNTIF($L$2:$L44,"&gt;0"))</f>
        <v>41</v>
      </c>
      <c r="Q44" s="47" t="n">
        <v>43</v>
      </c>
      <c r="R44" s="20" t="n">
        <f aca="false">IF(43&gt;$V$1,"",COUNTIF($M$2:$M$66,"&lt;"&amp;43)+1)</f>
        <v>42</v>
      </c>
      <c r="S44" s="20" t="n">
        <f aca="false">IF($R44="","",43-IF($R44=1,0,INDEX($M$2:$M$66,$R44-1)))</f>
        <v>1</v>
      </c>
      <c r="T44" s="20" t="n">
        <f aca="false">IF($R44="",0,IF($S44=INDEX($L$2:$L$66,$R44),1,0))</f>
        <v>1</v>
      </c>
      <c r="W44" s="20" t="n">
        <f aca="false">门店对照!$D44</f>
        <v>1</v>
      </c>
      <c r="X44" s="38" t="n">
        <f aca="false">IF($W44=1,$B44,"#未启用#")</f>
        <v>2067</v>
      </c>
    </row>
    <row r="45" customFormat="false" ht="13.5" hidden="false" customHeight="false" outlineLevel="0" collapsed="false">
      <c r="A45" s="47" t="n">
        <v>44</v>
      </c>
      <c r="B45" s="25" t="n">
        <f aca="false">IF(门店对照!$A45="","",门店对照!$A45)</f>
        <v>2068</v>
      </c>
      <c r="C45" s="26" t="str">
        <f aca="false">门店对照!$C45&amp;""</f>
        <v>博山店</v>
      </c>
      <c r="D45" s="14" t="n">
        <f aca="false">参数!$B$2</f>
        <v>46234</v>
      </c>
      <c r="E45" s="15" t="n">
        <f aca="false">ROUND(SUMIFS(输入回款!$C:$C,输入回款!$A:$A,$X45),2)</f>
        <v>65308.4</v>
      </c>
      <c r="F45" s="15" t="n">
        <f aca="false">ROUND(SUMIFS(输入回款!$D:$D,输入回款!$A:$A,$X45),2)</f>
        <v>5.32</v>
      </c>
      <c r="G45" s="15" t="n">
        <f aca="false">ROUND(SUM(分录回款!$I$647:$I$661),2)</f>
        <v>65313.72</v>
      </c>
      <c r="H45" s="15" t="n">
        <f aca="false">ROUND($E45+$F45-$G45,2)</f>
        <v>0</v>
      </c>
      <c r="K45" s="20" t="n">
        <f aca="false">SUM(分录回款!$J$647:$J$661)</f>
        <v>5</v>
      </c>
      <c r="L45" s="20" t="n">
        <f aca="false">IF(OR($K45=0,$W45=0),0,ROUNDUP($K45/6,0))</f>
        <v>1</v>
      </c>
      <c r="M45" s="20" t="n">
        <f aca="false">SUM($L$2:$L45)</f>
        <v>45</v>
      </c>
      <c r="N45" s="15" t="n">
        <f aca="false">ROUND(SUM(分录回款!$H$647:$H$661),2)</f>
        <v>65313.72</v>
      </c>
      <c r="O45" s="15" t="n">
        <f aca="false">ROUND(SUM(分录回款!$I$647:$I$661),2)</f>
        <v>65313.72</v>
      </c>
      <c r="P45" s="20" t="n">
        <f aca="false">IF($L45=0,"",COUNTIF($L$2:$L45,"&gt;0"))</f>
        <v>42</v>
      </c>
      <c r="Q45" s="47" t="n">
        <v>44</v>
      </c>
      <c r="R45" s="20" t="n">
        <f aca="false">IF(44&gt;$V$1,"",COUNTIF($M$2:$M$66,"&lt;"&amp;44)+1)</f>
        <v>43</v>
      </c>
      <c r="S45" s="20" t="n">
        <f aca="false">IF($R45="","",44-IF($R45=1,0,INDEX($M$2:$M$66,$R45-1)))</f>
        <v>1</v>
      </c>
      <c r="T45" s="20" t="n">
        <f aca="false">IF($R45="",0,IF($S45=INDEX($L$2:$L$66,$R45),1,0))</f>
        <v>1</v>
      </c>
      <c r="W45" s="20" t="n">
        <f aca="false">门店对照!$D45</f>
        <v>1</v>
      </c>
      <c r="X45" s="38" t="n">
        <f aca="false">IF($W45=1,$B45,"#未启用#")</f>
        <v>2068</v>
      </c>
    </row>
    <row r="46" customFormat="false" ht="13.5" hidden="false" customHeight="false" outlineLevel="0" collapsed="false">
      <c r="A46" s="47" t="n">
        <v>45</v>
      </c>
      <c r="B46" s="25" t="n">
        <f aca="false">IF(门店对照!$A46="","",门店对照!$A46)</f>
        <v>2069</v>
      </c>
      <c r="C46" s="26" t="str">
        <f aca="false">门店对照!$C46&amp;""</f>
        <v>博东店</v>
      </c>
      <c r="D46" s="14" t="n">
        <f aca="false">参数!$B$2</f>
        <v>46234</v>
      </c>
      <c r="E46" s="15" t="n">
        <f aca="false">ROUND(SUMIFS(输入回款!$C:$C,输入回款!$A:$A,$X46),2)</f>
        <v>14270.85</v>
      </c>
      <c r="F46" s="15" t="n">
        <f aca="false">ROUND(SUMIFS(输入回款!$D:$D,输入回款!$A:$A,$X46),2)</f>
        <v>0</v>
      </c>
      <c r="G46" s="15" t="n">
        <f aca="false">ROUND(SUM(分录回款!$I$662:$I$676),2)</f>
        <v>14270.85</v>
      </c>
      <c r="H46" s="15" t="n">
        <f aca="false">ROUND($E46+$F46-$G46,2)</f>
        <v>0</v>
      </c>
      <c r="K46" s="20" t="n">
        <f aca="false">SUM(分录回款!$J$662:$J$676)</f>
        <v>2</v>
      </c>
      <c r="L46" s="20" t="n">
        <f aca="false">IF(OR($K46=0,$W46=0),0,ROUNDUP($K46/6,0))</f>
        <v>1</v>
      </c>
      <c r="M46" s="20" t="n">
        <f aca="false">SUM($L$2:$L46)</f>
        <v>46</v>
      </c>
      <c r="N46" s="15" t="n">
        <f aca="false">ROUND(SUM(分录回款!$H$662:$H$676),2)</f>
        <v>14270.85</v>
      </c>
      <c r="O46" s="15" t="n">
        <f aca="false">ROUND(SUM(分录回款!$I$662:$I$676),2)</f>
        <v>14270.85</v>
      </c>
      <c r="P46" s="20" t="n">
        <f aca="false">IF($L46=0,"",COUNTIF($L$2:$L46,"&gt;0"))</f>
        <v>43</v>
      </c>
      <c r="Q46" s="47" t="n">
        <v>45</v>
      </c>
      <c r="R46" s="20" t="n">
        <f aca="false">IF(45&gt;$V$1,"",COUNTIF($M$2:$M$66,"&lt;"&amp;45)+1)</f>
        <v>44</v>
      </c>
      <c r="S46" s="20" t="n">
        <f aca="false">IF($R46="","",45-IF($R46=1,0,INDEX($M$2:$M$66,$R46-1)))</f>
        <v>1</v>
      </c>
      <c r="T46" s="20" t="n">
        <f aca="false">IF($R46="",0,IF($S46=INDEX($L$2:$L$66,$R46),1,0))</f>
        <v>1</v>
      </c>
      <c r="W46" s="20" t="n">
        <f aca="false">门店对照!$D46</f>
        <v>1</v>
      </c>
      <c r="X46" s="38" t="n">
        <f aca="false">IF($W46=1,$B46,"#未启用#")</f>
        <v>2069</v>
      </c>
    </row>
    <row r="47" customFormat="false" ht="14.9" hidden="false" customHeight="false" outlineLevel="0" collapsed="false">
      <c r="A47" s="47" t="n">
        <v>46</v>
      </c>
      <c r="B47" s="25" t="str">
        <f aca="false">IF(门店对照!$A47="","",门店对照!$A47)</f>
        <v/>
      </c>
      <c r="C47" s="26" t="str">
        <f aca="false">门店对照!$C47&amp;""</f>
        <v>备用1</v>
      </c>
      <c r="D47" s="14" t="n">
        <f aca="false">参数!$B$2</f>
        <v>46234</v>
      </c>
      <c r="E47" s="15" t="n">
        <f aca="false">ROUND(SUMIFS(输入回款!$C:$C,输入回款!$A:$A,$X47),2)</f>
        <v>0</v>
      </c>
      <c r="F47" s="15" t="n">
        <f aca="false">ROUND(SUMIFS(输入回款!$D:$D,输入回款!$A:$A,$X47),2)</f>
        <v>0</v>
      </c>
      <c r="G47" s="15" t="n">
        <f aca="false">ROUND(SUM(分录回款!$I$677:$I$691),2)</f>
        <v>0</v>
      </c>
      <c r="H47" s="15" t="n">
        <f aca="false">ROUND($E47+$F47-$G47,2)</f>
        <v>0</v>
      </c>
      <c r="K47" s="20" t="n">
        <f aca="false">SUM(分录回款!$J$677:$J$691)</f>
        <v>0</v>
      </c>
      <c r="L47" s="20" t="n">
        <f aca="false">IF(OR($K47=0,$W47=0),0,ROUNDUP($K47/6,0))</f>
        <v>0</v>
      </c>
      <c r="M47" s="20" t="n">
        <f aca="false">SUM($L$2:$L47)</f>
        <v>46</v>
      </c>
      <c r="N47" s="15" t="n">
        <f aca="false">ROUND(SUM(分录回款!$H$677:$H$691),2)</f>
        <v>0</v>
      </c>
      <c r="O47" s="15" t="n">
        <f aca="false">ROUND(SUM(分录回款!$I$677:$I$691),2)</f>
        <v>0</v>
      </c>
      <c r="P47" s="20" t="str">
        <f aca="false">IF($L47=0,"",COUNTIF($L$2:$L47,"&gt;0"))</f>
        <v/>
      </c>
      <c r="Q47" s="47" t="n">
        <v>46</v>
      </c>
      <c r="R47" s="20" t="n">
        <f aca="false">IF(46&gt;$V$1,"",COUNTIF($M$2:$M$66,"&lt;"&amp;46)+1)</f>
        <v>45</v>
      </c>
      <c r="S47" s="20" t="n">
        <f aca="false">IF($R47="","",46-IF($R47=1,0,INDEX($M$2:$M$66,$R47-1)))</f>
        <v>1</v>
      </c>
      <c r="T47" s="20" t="n">
        <f aca="false">IF($R47="",0,IF($S47=INDEX($L$2:$L$66,$R47),1,0))</f>
        <v>1</v>
      </c>
      <c r="W47" s="20" t="n">
        <f aca="false">门店对照!$D47</f>
        <v>0</v>
      </c>
      <c r="X47" s="38" t="str">
        <f aca="false">IF($W47=1,$B47,"#未启用#")</f>
        <v>#未启用#</v>
      </c>
    </row>
    <row r="48" customFormat="false" ht="14.9" hidden="false" customHeight="false" outlineLevel="0" collapsed="false">
      <c r="A48" s="47" t="n">
        <v>47</v>
      </c>
      <c r="B48" s="25" t="str">
        <f aca="false">IF(门店对照!$A48="","",门店对照!$A48)</f>
        <v/>
      </c>
      <c r="C48" s="26" t="str">
        <f aca="false">门店对照!$C48&amp;""</f>
        <v>备用2</v>
      </c>
      <c r="D48" s="14" t="n">
        <f aca="false">参数!$B$2</f>
        <v>46234</v>
      </c>
      <c r="E48" s="15" t="n">
        <f aca="false">ROUND(SUMIFS(输入回款!$C:$C,输入回款!$A:$A,$X48),2)</f>
        <v>0</v>
      </c>
      <c r="F48" s="15" t="n">
        <f aca="false">ROUND(SUMIFS(输入回款!$D:$D,输入回款!$A:$A,$X48),2)</f>
        <v>0</v>
      </c>
      <c r="G48" s="15" t="n">
        <f aca="false">ROUND(SUM(分录回款!$I$692:$I$706),2)</f>
        <v>0</v>
      </c>
      <c r="H48" s="15" t="n">
        <f aca="false">ROUND($E48+$F48-$G48,2)</f>
        <v>0</v>
      </c>
      <c r="K48" s="20" t="n">
        <f aca="false">SUM(分录回款!$J$692:$J$706)</f>
        <v>0</v>
      </c>
      <c r="L48" s="20" t="n">
        <f aca="false">IF(OR($K48=0,$W48=0),0,ROUNDUP($K48/6,0))</f>
        <v>0</v>
      </c>
      <c r="M48" s="20" t="n">
        <f aca="false">SUM($L$2:$L48)</f>
        <v>46</v>
      </c>
      <c r="N48" s="15" t="n">
        <f aca="false">ROUND(SUM(分录回款!$H$692:$H$706),2)</f>
        <v>0</v>
      </c>
      <c r="O48" s="15" t="n">
        <f aca="false">ROUND(SUM(分录回款!$I$692:$I$706),2)</f>
        <v>0</v>
      </c>
      <c r="P48" s="20" t="str">
        <f aca="false">IF($L48=0,"",COUNTIF($L$2:$L48,"&gt;0"))</f>
        <v/>
      </c>
      <c r="Q48" s="47" t="n">
        <v>47</v>
      </c>
      <c r="R48" s="20" t="str">
        <f aca="false">IF(47&gt;$V$1,"",COUNTIF($M$2:$M$66,"&lt;"&amp;47)+1)</f>
        <v/>
      </c>
      <c r="S48" s="20" t="str">
        <f aca="false">IF($R48="","",47-IF($R48=1,0,INDEX($M$2:$M$66,$R48-1)))</f>
        <v/>
      </c>
      <c r="T48" s="20" t="n">
        <f aca="false">IF($R48="",0,IF($S48=INDEX($L$2:$L$66,$R48),1,0))</f>
        <v>0</v>
      </c>
      <c r="W48" s="20" t="n">
        <f aca="false">门店对照!$D48</f>
        <v>0</v>
      </c>
      <c r="X48" s="38" t="str">
        <f aca="false">IF($W48=1,$B48,"#未启用#")</f>
        <v>#未启用#</v>
      </c>
    </row>
    <row r="49" customFormat="false" ht="14.9" hidden="false" customHeight="false" outlineLevel="0" collapsed="false">
      <c r="A49" s="47" t="n">
        <v>48</v>
      </c>
      <c r="B49" s="25" t="str">
        <f aca="false">IF(门店对照!$A49="","",门店对照!$A49)</f>
        <v/>
      </c>
      <c r="C49" s="26" t="str">
        <f aca="false">门店对照!$C49&amp;""</f>
        <v>备用3</v>
      </c>
      <c r="D49" s="14" t="n">
        <f aca="false">参数!$B$2</f>
        <v>46234</v>
      </c>
      <c r="E49" s="15" t="n">
        <f aca="false">ROUND(SUMIFS(输入回款!$C:$C,输入回款!$A:$A,$X49),2)</f>
        <v>0</v>
      </c>
      <c r="F49" s="15" t="n">
        <f aca="false">ROUND(SUMIFS(输入回款!$D:$D,输入回款!$A:$A,$X49),2)</f>
        <v>0</v>
      </c>
      <c r="G49" s="15" t="n">
        <f aca="false">ROUND(SUM(分录回款!$I$707:$I$721),2)</f>
        <v>0</v>
      </c>
      <c r="H49" s="15" t="n">
        <f aca="false">ROUND($E49+$F49-$G49,2)</f>
        <v>0</v>
      </c>
      <c r="K49" s="20" t="n">
        <f aca="false">SUM(分录回款!$J$707:$J$721)</f>
        <v>0</v>
      </c>
      <c r="L49" s="20" t="n">
        <f aca="false">IF(OR($K49=0,$W49=0),0,ROUNDUP($K49/6,0))</f>
        <v>0</v>
      </c>
      <c r="M49" s="20" t="n">
        <f aca="false">SUM($L$2:$L49)</f>
        <v>46</v>
      </c>
      <c r="N49" s="15" t="n">
        <f aca="false">ROUND(SUM(分录回款!$H$707:$H$721),2)</f>
        <v>0</v>
      </c>
      <c r="O49" s="15" t="n">
        <f aca="false">ROUND(SUM(分录回款!$I$707:$I$721),2)</f>
        <v>0</v>
      </c>
      <c r="P49" s="20" t="str">
        <f aca="false">IF($L49=0,"",COUNTIF($L$2:$L49,"&gt;0"))</f>
        <v/>
      </c>
      <c r="Q49" s="47" t="n">
        <v>48</v>
      </c>
      <c r="R49" s="20" t="str">
        <f aca="false">IF(48&gt;$V$1,"",COUNTIF($M$2:$M$66,"&lt;"&amp;48)+1)</f>
        <v/>
      </c>
      <c r="S49" s="20" t="str">
        <f aca="false">IF($R49="","",48-IF($R49=1,0,INDEX($M$2:$M$66,$R49-1)))</f>
        <v/>
      </c>
      <c r="T49" s="20" t="n">
        <f aca="false">IF($R49="",0,IF($S49=INDEX($L$2:$L$66,$R49),1,0))</f>
        <v>0</v>
      </c>
      <c r="W49" s="20" t="n">
        <f aca="false">门店对照!$D49</f>
        <v>0</v>
      </c>
      <c r="X49" s="38" t="str">
        <f aca="false">IF($W49=1,$B49,"#未启用#")</f>
        <v>#未启用#</v>
      </c>
    </row>
    <row r="50" customFormat="false" ht="14.9" hidden="false" customHeight="false" outlineLevel="0" collapsed="false">
      <c r="A50" s="47" t="n">
        <v>49</v>
      </c>
      <c r="B50" s="25" t="str">
        <f aca="false">IF(门店对照!$A50="","",门店对照!$A50)</f>
        <v/>
      </c>
      <c r="C50" s="26" t="str">
        <f aca="false">门店对照!$C50&amp;""</f>
        <v>备用4</v>
      </c>
      <c r="D50" s="14" t="n">
        <f aca="false">参数!$B$2</f>
        <v>46234</v>
      </c>
      <c r="E50" s="15" t="n">
        <f aca="false">ROUND(SUMIFS(输入回款!$C:$C,输入回款!$A:$A,$X50),2)</f>
        <v>0</v>
      </c>
      <c r="F50" s="15" t="n">
        <f aca="false">ROUND(SUMIFS(输入回款!$D:$D,输入回款!$A:$A,$X50),2)</f>
        <v>0</v>
      </c>
      <c r="G50" s="15" t="n">
        <f aca="false">ROUND(SUM(分录回款!$I$722:$I$736),2)</f>
        <v>0</v>
      </c>
      <c r="H50" s="15" t="n">
        <f aca="false">ROUND($E50+$F50-$G50,2)</f>
        <v>0</v>
      </c>
      <c r="K50" s="20" t="n">
        <f aca="false">SUM(分录回款!$J$722:$J$736)</f>
        <v>0</v>
      </c>
      <c r="L50" s="20" t="n">
        <f aca="false">IF(OR($K50=0,$W50=0),0,ROUNDUP($K50/6,0))</f>
        <v>0</v>
      </c>
      <c r="M50" s="20" t="n">
        <f aca="false">SUM($L$2:$L50)</f>
        <v>46</v>
      </c>
      <c r="N50" s="15" t="n">
        <f aca="false">ROUND(SUM(分录回款!$H$722:$H$736),2)</f>
        <v>0</v>
      </c>
      <c r="O50" s="15" t="n">
        <f aca="false">ROUND(SUM(分录回款!$I$722:$I$736),2)</f>
        <v>0</v>
      </c>
      <c r="P50" s="20" t="str">
        <f aca="false">IF($L50=0,"",COUNTIF($L$2:$L50,"&gt;0"))</f>
        <v/>
      </c>
      <c r="Q50" s="47" t="n">
        <v>49</v>
      </c>
      <c r="R50" s="20" t="str">
        <f aca="false">IF(49&gt;$V$1,"",COUNTIF($M$2:$M$66,"&lt;"&amp;49)+1)</f>
        <v/>
      </c>
      <c r="S50" s="20" t="str">
        <f aca="false">IF($R50="","",49-IF($R50=1,0,INDEX($M$2:$M$66,$R50-1)))</f>
        <v/>
      </c>
      <c r="T50" s="20" t="n">
        <f aca="false">IF($R50="",0,IF($S50=INDEX($L$2:$L$66,$R50),1,0))</f>
        <v>0</v>
      </c>
      <c r="W50" s="20" t="n">
        <f aca="false">门店对照!$D50</f>
        <v>0</v>
      </c>
      <c r="X50" s="38" t="str">
        <f aca="false">IF($W50=1,$B50,"#未启用#")</f>
        <v>#未启用#</v>
      </c>
    </row>
    <row r="51" customFormat="false" ht="14.9" hidden="false" customHeight="false" outlineLevel="0" collapsed="false">
      <c r="A51" s="47" t="n">
        <v>50</v>
      </c>
      <c r="B51" s="25" t="str">
        <f aca="false">IF(门店对照!$A51="","",门店对照!$A51)</f>
        <v/>
      </c>
      <c r="C51" s="26" t="str">
        <f aca="false">门店对照!$C51&amp;""</f>
        <v>备用5</v>
      </c>
      <c r="D51" s="14" t="n">
        <f aca="false">参数!$B$2</f>
        <v>46234</v>
      </c>
      <c r="E51" s="15" t="n">
        <f aca="false">ROUND(SUMIFS(输入回款!$C:$C,输入回款!$A:$A,$X51),2)</f>
        <v>0</v>
      </c>
      <c r="F51" s="15" t="n">
        <f aca="false">ROUND(SUMIFS(输入回款!$D:$D,输入回款!$A:$A,$X51),2)</f>
        <v>0</v>
      </c>
      <c r="G51" s="15" t="n">
        <f aca="false">ROUND(SUM(分录回款!$I$737:$I$751),2)</f>
        <v>0</v>
      </c>
      <c r="H51" s="15" t="n">
        <f aca="false">ROUND($E51+$F51-$G51,2)</f>
        <v>0</v>
      </c>
      <c r="K51" s="20" t="n">
        <f aca="false">SUM(分录回款!$J$737:$J$751)</f>
        <v>0</v>
      </c>
      <c r="L51" s="20" t="n">
        <f aca="false">IF(OR($K51=0,$W51=0),0,ROUNDUP($K51/6,0))</f>
        <v>0</v>
      </c>
      <c r="M51" s="20" t="n">
        <f aca="false">SUM($L$2:$L51)</f>
        <v>46</v>
      </c>
      <c r="N51" s="15" t="n">
        <f aca="false">ROUND(SUM(分录回款!$H$737:$H$751),2)</f>
        <v>0</v>
      </c>
      <c r="O51" s="15" t="n">
        <f aca="false">ROUND(SUM(分录回款!$I$737:$I$751),2)</f>
        <v>0</v>
      </c>
      <c r="P51" s="20" t="str">
        <f aca="false">IF($L51=0,"",COUNTIF($L$2:$L51,"&gt;0"))</f>
        <v/>
      </c>
      <c r="Q51" s="47" t="n">
        <v>50</v>
      </c>
      <c r="R51" s="20" t="str">
        <f aca="false">IF(50&gt;$V$1,"",COUNTIF($M$2:$M$66,"&lt;"&amp;50)+1)</f>
        <v/>
      </c>
      <c r="S51" s="20" t="str">
        <f aca="false">IF($R51="","",50-IF($R51=1,0,INDEX($M$2:$M$66,$R51-1)))</f>
        <v/>
      </c>
      <c r="T51" s="20" t="n">
        <f aca="false">IF($R51="",0,IF($S51=INDEX($L$2:$L$66,$R51),1,0))</f>
        <v>0</v>
      </c>
      <c r="W51" s="20" t="n">
        <f aca="false">门店对照!$D51</f>
        <v>0</v>
      </c>
      <c r="X51" s="38" t="str">
        <f aca="false">IF($W51=1,$B51,"#未启用#")</f>
        <v>#未启用#</v>
      </c>
    </row>
    <row r="52" customFormat="false" ht="14.9" hidden="false" customHeight="false" outlineLevel="0" collapsed="false">
      <c r="A52" s="47" t="n">
        <v>51</v>
      </c>
      <c r="B52" s="25" t="str">
        <f aca="false">IF(门店对照!$A52="","",门店对照!$A52)</f>
        <v/>
      </c>
      <c r="C52" s="26" t="str">
        <f aca="false">门店对照!$C52&amp;""</f>
        <v>备用6</v>
      </c>
      <c r="D52" s="14" t="n">
        <f aca="false">参数!$B$2</f>
        <v>46234</v>
      </c>
      <c r="E52" s="15" t="n">
        <f aca="false">ROUND(SUMIFS(输入回款!$C:$C,输入回款!$A:$A,$X52),2)</f>
        <v>0</v>
      </c>
      <c r="F52" s="15" t="n">
        <f aca="false">ROUND(SUMIFS(输入回款!$D:$D,输入回款!$A:$A,$X52),2)</f>
        <v>0</v>
      </c>
      <c r="G52" s="15" t="n">
        <f aca="false">ROUND(SUM(分录回款!$I$752:$I$766),2)</f>
        <v>0</v>
      </c>
      <c r="H52" s="15" t="n">
        <f aca="false">ROUND($E52+$F52-$G52,2)</f>
        <v>0</v>
      </c>
      <c r="K52" s="20" t="n">
        <f aca="false">SUM(分录回款!$J$752:$J$766)</f>
        <v>0</v>
      </c>
      <c r="L52" s="20" t="n">
        <f aca="false">IF(OR($K52=0,$W52=0),0,ROUNDUP($K52/6,0))</f>
        <v>0</v>
      </c>
      <c r="M52" s="20" t="n">
        <f aca="false">SUM($L$2:$L52)</f>
        <v>46</v>
      </c>
      <c r="N52" s="15" t="n">
        <f aca="false">ROUND(SUM(分录回款!$H$752:$H$766),2)</f>
        <v>0</v>
      </c>
      <c r="O52" s="15" t="n">
        <f aca="false">ROUND(SUM(分录回款!$I$752:$I$766),2)</f>
        <v>0</v>
      </c>
      <c r="P52" s="20" t="str">
        <f aca="false">IF($L52=0,"",COUNTIF($L$2:$L52,"&gt;0"))</f>
        <v/>
      </c>
      <c r="Q52" s="47" t="n">
        <v>51</v>
      </c>
      <c r="R52" s="20" t="str">
        <f aca="false">IF(51&gt;$V$1,"",COUNTIF($M$2:$M$66,"&lt;"&amp;51)+1)</f>
        <v/>
      </c>
      <c r="S52" s="20" t="str">
        <f aca="false">IF($R52="","",51-IF($R52=1,0,INDEX($M$2:$M$66,$R52-1)))</f>
        <v/>
      </c>
      <c r="T52" s="20" t="n">
        <f aca="false">IF($R52="",0,IF($S52=INDEX($L$2:$L$66,$R52),1,0))</f>
        <v>0</v>
      </c>
      <c r="W52" s="20" t="n">
        <f aca="false">门店对照!$D52</f>
        <v>0</v>
      </c>
      <c r="X52" s="38" t="str">
        <f aca="false">IF($W52=1,$B52,"#未启用#")</f>
        <v>#未启用#</v>
      </c>
    </row>
    <row r="53" customFormat="false" ht="14.9" hidden="false" customHeight="false" outlineLevel="0" collapsed="false">
      <c r="A53" s="47" t="n">
        <v>52</v>
      </c>
      <c r="B53" s="25" t="str">
        <f aca="false">IF(门店对照!$A53="","",门店对照!$A53)</f>
        <v/>
      </c>
      <c r="C53" s="26" t="str">
        <f aca="false">门店对照!$C53&amp;""</f>
        <v>备用7</v>
      </c>
      <c r="D53" s="14" t="n">
        <f aca="false">参数!$B$2</f>
        <v>46234</v>
      </c>
      <c r="E53" s="15" t="n">
        <f aca="false">ROUND(SUMIFS(输入回款!$C:$C,输入回款!$A:$A,$X53),2)</f>
        <v>0</v>
      </c>
      <c r="F53" s="15" t="n">
        <f aca="false">ROUND(SUMIFS(输入回款!$D:$D,输入回款!$A:$A,$X53),2)</f>
        <v>0</v>
      </c>
      <c r="G53" s="15" t="n">
        <f aca="false">ROUND(SUM(分录回款!$I$767:$I$781),2)</f>
        <v>0</v>
      </c>
      <c r="H53" s="15" t="n">
        <f aca="false">ROUND($E53+$F53-$G53,2)</f>
        <v>0</v>
      </c>
      <c r="K53" s="20" t="n">
        <f aca="false">SUM(分录回款!$J$767:$J$781)</f>
        <v>0</v>
      </c>
      <c r="L53" s="20" t="n">
        <f aca="false">IF(OR($K53=0,$W53=0),0,ROUNDUP($K53/6,0))</f>
        <v>0</v>
      </c>
      <c r="M53" s="20" t="n">
        <f aca="false">SUM($L$2:$L53)</f>
        <v>46</v>
      </c>
      <c r="N53" s="15" t="n">
        <f aca="false">ROUND(SUM(分录回款!$H$767:$H$781),2)</f>
        <v>0</v>
      </c>
      <c r="O53" s="15" t="n">
        <f aca="false">ROUND(SUM(分录回款!$I$767:$I$781),2)</f>
        <v>0</v>
      </c>
      <c r="P53" s="20" t="str">
        <f aca="false">IF($L53=0,"",COUNTIF($L$2:$L53,"&gt;0"))</f>
        <v/>
      </c>
      <c r="Q53" s="47" t="n">
        <v>52</v>
      </c>
      <c r="R53" s="20" t="str">
        <f aca="false">IF(52&gt;$V$1,"",COUNTIF($M$2:$M$66,"&lt;"&amp;52)+1)</f>
        <v/>
      </c>
      <c r="S53" s="20" t="str">
        <f aca="false">IF($R53="","",52-IF($R53=1,0,INDEX($M$2:$M$66,$R53-1)))</f>
        <v/>
      </c>
      <c r="T53" s="20" t="n">
        <f aca="false">IF($R53="",0,IF($S53=INDEX($L$2:$L$66,$R53),1,0))</f>
        <v>0</v>
      </c>
      <c r="W53" s="20" t="n">
        <f aca="false">门店对照!$D53</f>
        <v>0</v>
      </c>
      <c r="X53" s="38" t="str">
        <f aca="false">IF($W53=1,$B53,"#未启用#")</f>
        <v>#未启用#</v>
      </c>
    </row>
    <row r="54" customFormat="false" ht="14.9" hidden="false" customHeight="false" outlineLevel="0" collapsed="false">
      <c r="A54" s="47" t="n">
        <v>53</v>
      </c>
      <c r="B54" s="25" t="str">
        <f aca="false">IF(门店对照!$A54="","",门店对照!$A54)</f>
        <v/>
      </c>
      <c r="C54" s="26" t="str">
        <f aca="false">门店对照!$C54&amp;""</f>
        <v>备用8</v>
      </c>
      <c r="D54" s="14" t="n">
        <f aca="false">参数!$B$2</f>
        <v>46234</v>
      </c>
      <c r="E54" s="15" t="n">
        <f aca="false">ROUND(SUMIFS(输入回款!$C:$C,输入回款!$A:$A,$X54),2)</f>
        <v>0</v>
      </c>
      <c r="F54" s="15" t="n">
        <f aca="false">ROUND(SUMIFS(输入回款!$D:$D,输入回款!$A:$A,$X54),2)</f>
        <v>0</v>
      </c>
      <c r="G54" s="15" t="n">
        <f aca="false">ROUND(SUM(分录回款!$I$782:$I$796),2)</f>
        <v>0</v>
      </c>
      <c r="H54" s="15" t="n">
        <f aca="false">ROUND($E54+$F54-$G54,2)</f>
        <v>0</v>
      </c>
      <c r="K54" s="20" t="n">
        <f aca="false">SUM(分录回款!$J$782:$J$796)</f>
        <v>0</v>
      </c>
      <c r="L54" s="20" t="n">
        <f aca="false">IF(OR($K54=0,$W54=0),0,ROUNDUP($K54/6,0))</f>
        <v>0</v>
      </c>
      <c r="M54" s="20" t="n">
        <f aca="false">SUM($L$2:$L54)</f>
        <v>46</v>
      </c>
      <c r="N54" s="15" t="n">
        <f aca="false">ROUND(SUM(分录回款!$H$782:$H$796),2)</f>
        <v>0</v>
      </c>
      <c r="O54" s="15" t="n">
        <f aca="false">ROUND(SUM(分录回款!$I$782:$I$796),2)</f>
        <v>0</v>
      </c>
      <c r="P54" s="20" t="str">
        <f aca="false">IF($L54=0,"",COUNTIF($L$2:$L54,"&gt;0"))</f>
        <v/>
      </c>
      <c r="Q54" s="47" t="n">
        <v>53</v>
      </c>
      <c r="R54" s="20" t="str">
        <f aca="false">IF(53&gt;$V$1,"",COUNTIF($M$2:$M$66,"&lt;"&amp;53)+1)</f>
        <v/>
      </c>
      <c r="S54" s="20" t="str">
        <f aca="false">IF($R54="","",53-IF($R54=1,0,INDEX($M$2:$M$66,$R54-1)))</f>
        <v/>
      </c>
      <c r="T54" s="20" t="n">
        <f aca="false">IF($R54="",0,IF($S54=INDEX($L$2:$L$66,$R54),1,0))</f>
        <v>0</v>
      </c>
      <c r="W54" s="20" t="n">
        <f aca="false">门店对照!$D54</f>
        <v>0</v>
      </c>
      <c r="X54" s="38" t="str">
        <f aca="false">IF($W54=1,$B54,"#未启用#")</f>
        <v>#未启用#</v>
      </c>
    </row>
    <row r="55" customFormat="false" ht="14.9" hidden="false" customHeight="false" outlineLevel="0" collapsed="false">
      <c r="A55" s="47" t="n">
        <v>54</v>
      </c>
      <c r="B55" s="25" t="str">
        <f aca="false">IF(门店对照!$A55="","",门店对照!$A55)</f>
        <v/>
      </c>
      <c r="C55" s="26" t="str">
        <f aca="false">门店对照!$C55&amp;""</f>
        <v>备用9</v>
      </c>
      <c r="D55" s="14" t="n">
        <f aca="false">参数!$B$2</f>
        <v>46234</v>
      </c>
      <c r="E55" s="15" t="n">
        <f aca="false">ROUND(SUMIFS(输入回款!$C:$C,输入回款!$A:$A,$X55),2)</f>
        <v>0</v>
      </c>
      <c r="F55" s="15" t="n">
        <f aca="false">ROUND(SUMIFS(输入回款!$D:$D,输入回款!$A:$A,$X55),2)</f>
        <v>0</v>
      </c>
      <c r="G55" s="15" t="n">
        <f aca="false">ROUND(SUM(分录回款!$I$797:$I$811),2)</f>
        <v>0</v>
      </c>
      <c r="H55" s="15" t="n">
        <f aca="false">ROUND($E55+$F55-$G55,2)</f>
        <v>0</v>
      </c>
      <c r="K55" s="20" t="n">
        <f aca="false">SUM(分录回款!$J$797:$J$811)</f>
        <v>0</v>
      </c>
      <c r="L55" s="20" t="n">
        <f aca="false">IF(OR($K55=0,$W55=0),0,ROUNDUP($K55/6,0))</f>
        <v>0</v>
      </c>
      <c r="M55" s="20" t="n">
        <f aca="false">SUM($L$2:$L55)</f>
        <v>46</v>
      </c>
      <c r="N55" s="15" t="n">
        <f aca="false">ROUND(SUM(分录回款!$H$797:$H$811),2)</f>
        <v>0</v>
      </c>
      <c r="O55" s="15" t="n">
        <f aca="false">ROUND(SUM(分录回款!$I$797:$I$811),2)</f>
        <v>0</v>
      </c>
      <c r="P55" s="20" t="str">
        <f aca="false">IF($L55=0,"",COUNTIF($L$2:$L55,"&gt;0"))</f>
        <v/>
      </c>
      <c r="Q55" s="47" t="n">
        <v>54</v>
      </c>
      <c r="R55" s="20" t="str">
        <f aca="false">IF(54&gt;$V$1,"",COUNTIF($M$2:$M$66,"&lt;"&amp;54)+1)</f>
        <v/>
      </c>
      <c r="S55" s="20" t="str">
        <f aca="false">IF($R55="","",54-IF($R55=1,0,INDEX($M$2:$M$66,$R55-1)))</f>
        <v/>
      </c>
      <c r="T55" s="20" t="n">
        <f aca="false">IF($R55="",0,IF($S55=INDEX($L$2:$L$66,$R55),1,0))</f>
        <v>0</v>
      </c>
      <c r="W55" s="20" t="n">
        <f aca="false">门店对照!$D55</f>
        <v>0</v>
      </c>
      <c r="X55" s="38" t="str">
        <f aca="false">IF($W55=1,$B55,"#未启用#")</f>
        <v>#未启用#</v>
      </c>
    </row>
    <row r="56" customFormat="false" ht="14.9" hidden="false" customHeight="false" outlineLevel="0" collapsed="false">
      <c r="A56" s="47" t="n">
        <v>55</v>
      </c>
      <c r="B56" s="25" t="str">
        <f aca="false">IF(门店对照!$A56="","",门店对照!$A56)</f>
        <v/>
      </c>
      <c r="C56" s="26" t="str">
        <f aca="false">门店对照!$C56&amp;""</f>
        <v>备用10</v>
      </c>
      <c r="D56" s="14" t="n">
        <f aca="false">参数!$B$2</f>
        <v>46234</v>
      </c>
      <c r="E56" s="15" t="n">
        <f aca="false">ROUND(SUMIFS(输入回款!$C:$C,输入回款!$A:$A,$X56),2)</f>
        <v>0</v>
      </c>
      <c r="F56" s="15" t="n">
        <f aca="false">ROUND(SUMIFS(输入回款!$D:$D,输入回款!$A:$A,$X56),2)</f>
        <v>0</v>
      </c>
      <c r="G56" s="15" t="n">
        <f aca="false">ROUND(SUM(分录回款!$I$812:$I$826),2)</f>
        <v>0</v>
      </c>
      <c r="H56" s="15" t="n">
        <f aca="false">ROUND($E56+$F56-$G56,2)</f>
        <v>0</v>
      </c>
      <c r="K56" s="20" t="n">
        <f aca="false">SUM(分录回款!$J$812:$J$826)</f>
        <v>0</v>
      </c>
      <c r="L56" s="20" t="n">
        <f aca="false">IF(OR($K56=0,$W56=0),0,ROUNDUP($K56/6,0))</f>
        <v>0</v>
      </c>
      <c r="M56" s="20" t="n">
        <f aca="false">SUM($L$2:$L56)</f>
        <v>46</v>
      </c>
      <c r="N56" s="15" t="n">
        <f aca="false">ROUND(SUM(分录回款!$H$812:$H$826),2)</f>
        <v>0</v>
      </c>
      <c r="O56" s="15" t="n">
        <f aca="false">ROUND(SUM(分录回款!$I$812:$I$826),2)</f>
        <v>0</v>
      </c>
      <c r="P56" s="20" t="str">
        <f aca="false">IF($L56=0,"",COUNTIF($L$2:$L56,"&gt;0"))</f>
        <v/>
      </c>
      <c r="Q56" s="47" t="n">
        <v>55</v>
      </c>
      <c r="R56" s="20" t="str">
        <f aca="false">IF(55&gt;$V$1,"",COUNTIF($M$2:$M$66,"&lt;"&amp;55)+1)</f>
        <v/>
      </c>
      <c r="S56" s="20" t="str">
        <f aca="false">IF($R56="","",55-IF($R56=1,0,INDEX($M$2:$M$66,$R56-1)))</f>
        <v/>
      </c>
      <c r="T56" s="20" t="n">
        <f aca="false">IF($R56="",0,IF($S56=INDEX($L$2:$L$66,$R56),1,0))</f>
        <v>0</v>
      </c>
      <c r="W56" s="20" t="n">
        <f aca="false">门店对照!$D56</f>
        <v>0</v>
      </c>
      <c r="X56" s="38" t="str">
        <f aca="false">IF($W56=1,$B56,"#未启用#")</f>
        <v>#未启用#</v>
      </c>
    </row>
    <row r="57" customFormat="false" ht="14.9" hidden="false" customHeight="false" outlineLevel="0" collapsed="false">
      <c r="A57" s="47" t="n">
        <v>56</v>
      </c>
      <c r="B57" s="25" t="str">
        <f aca="false">IF(门店对照!$A57="","",门店对照!$A57)</f>
        <v/>
      </c>
      <c r="C57" s="26" t="str">
        <f aca="false">门店对照!$C57&amp;""</f>
        <v>备用11</v>
      </c>
      <c r="D57" s="14" t="n">
        <f aca="false">参数!$B$2</f>
        <v>46234</v>
      </c>
      <c r="E57" s="15" t="n">
        <f aca="false">ROUND(SUMIFS(输入回款!$C:$C,输入回款!$A:$A,$X57),2)</f>
        <v>0</v>
      </c>
      <c r="F57" s="15" t="n">
        <f aca="false">ROUND(SUMIFS(输入回款!$D:$D,输入回款!$A:$A,$X57),2)</f>
        <v>0</v>
      </c>
      <c r="G57" s="15" t="n">
        <f aca="false">ROUND(SUM(分录回款!$I$827:$I$841),2)</f>
        <v>0</v>
      </c>
      <c r="H57" s="15" t="n">
        <f aca="false">ROUND($E57+$F57-$G57,2)</f>
        <v>0</v>
      </c>
      <c r="K57" s="20" t="n">
        <f aca="false">SUM(分录回款!$J$827:$J$841)</f>
        <v>0</v>
      </c>
      <c r="L57" s="20" t="n">
        <f aca="false">IF(OR($K57=0,$W57=0),0,ROUNDUP($K57/6,0))</f>
        <v>0</v>
      </c>
      <c r="M57" s="20" t="n">
        <f aca="false">SUM($L$2:$L57)</f>
        <v>46</v>
      </c>
      <c r="N57" s="15" t="n">
        <f aca="false">ROUND(SUM(分录回款!$H$827:$H$841),2)</f>
        <v>0</v>
      </c>
      <c r="O57" s="15" t="n">
        <f aca="false">ROUND(SUM(分录回款!$I$827:$I$841),2)</f>
        <v>0</v>
      </c>
      <c r="P57" s="20" t="str">
        <f aca="false">IF($L57=0,"",COUNTIF($L$2:$L57,"&gt;0"))</f>
        <v/>
      </c>
      <c r="Q57" s="47" t="n">
        <v>56</v>
      </c>
      <c r="R57" s="20" t="str">
        <f aca="false">IF(56&gt;$V$1,"",COUNTIF($M$2:$M$66,"&lt;"&amp;56)+1)</f>
        <v/>
      </c>
      <c r="S57" s="20" t="str">
        <f aca="false">IF($R57="","",56-IF($R57=1,0,INDEX($M$2:$M$66,$R57-1)))</f>
        <v/>
      </c>
      <c r="T57" s="20" t="n">
        <f aca="false">IF($R57="",0,IF($S57=INDEX($L$2:$L$66,$R57),1,0))</f>
        <v>0</v>
      </c>
      <c r="W57" s="20" t="n">
        <f aca="false">门店对照!$D57</f>
        <v>0</v>
      </c>
      <c r="X57" s="38" t="str">
        <f aca="false">IF($W57=1,$B57,"#未启用#")</f>
        <v>#未启用#</v>
      </c>
    </row>
    <row r="58" customFormat="false" ht="14.9" hidden="false" customHeight="false" outlineLevel="0" collapsed="false">
      <c r="A58" s="47" t="n">
        <v>57</v>
      </c>
      <c r="B58" s="25" t="str">
        <f aca="false">IF(门店对照!$A58="","",门店对照!$A58)</f>
        <v/>
      </c>
      <c r="C58" s="26" t="str">
        <f aca="false">门店对照!$C58&amp;""</f>
        <v>备用12</v>
      </c>
      <c r="D58" s="14" t="n">
        <f aca="false">参数!$B$2</f>
        <v>46234</v>
      </c>
      <c r="E58" s="15" t="n">
        <f aca="false">ROUND(SUMIFS(输入回款!$C:$C,输入回款!$A:$A,$X58),2)</f>
        <v>0</v>
      </c>
      <c r="F58" s="15" t="n">
        <f aca="false">ROUND(SUMIFS(输入回款!$D:$D,输入回款!$A:$A,$X58),2)</f>
        <v>0</v>
      </c>
      <c r="G58" s="15" t="n">
        <f aca="false">ROUND(SUM(分录回款!$I$842:$I$856),2)</f>
        <v>0</v>
      </c>
      <c r="H58" s="15" t="n">
        <f aca="false">ROUND($E58+$F58-$G58,2)</f>
        <v>0</v>
      </c>
      <c r="K58" s="20" t="n">
        <f aca="false">SUM(分录回款!$J$842:$J$856)</f>
        <v>0</v>
      </c>
      <c r="L58" s="20" t="n">
        <f aca="false">IF(OR($K58=0,$W58=0),0,ROUNDUP($K58/6,0))</f>
        <v>0</v>
      </c>
      <c r="M58" s="20" t="n">
        <f aca="false">SUM($L$2:$L58)</f>
        <v>46</v>
      </c>
      <c r="N58" s="15" t="n">
        <f aca="false">ROUND(SUM(分录回款!$H$842:$H$856),2)</f>
        <v>0</v>
      </c>
      <c r="O58" s="15" t="n">
        <f aca="false">ROUND(SUM(分录回款!$I$842:$I$856),2)</f>
        <v>0</v>
      </c>
      <c r="P58" s="20" t="str">
        <f aca="false">IF($L58=0,"",COUNTIF($L$2:$L58,"&gt;0"))</f>
        <v/>
      </c>
      <c r="Q58" s="47" t="n">
        <v>57</v>
      </c>
      <c r="R58" s="20" t="str">
        <f aca="false">IF(57&gt;$V$1,"",COUNTIF($M$2:$M$66,"&lt;"&amp;57)+1)</f>
        <v/>
      </c>
      <c r="S58" s="20" t="str">
        <f aca="false">IF($R58="","",57-IF($R58=1,0,INDEX($M$2:$M$66,$R58-1)))</f>
        <v/>
      </c>
      <c r="T58" s="20" t="n">
        <f aca="false">IF($R58="",0,IF($S58=INDEX($L$2:$L$66,$R58),1,0))</f>
        <v>0</v>
      </c>
      <c r="W58" s="20" t="n">
        <f aca="false">门店对照!$D58</f>
        <v>0</v>
      </c>
      <c r="X58" s="38" t="str">
        <f aca="false">IF($W58=1,$B58,"#未启用#")</f>
        <v>#未启用#</v>
      </c>
    </row>
    <row r="59" customFormat="false" ht="14.9" hidden="false" customHeight="false" outlineLevel="0" collapsed="false">
      <c r="A59" s="47" t="n">
        <v>58</v>
      </c>
      <c r="B59" s="25" t="str">
        <f aca="false">IF(门店对照!$A59="","",门店对照!$A59)</f>
        <v/>
      </c>
      <c r="C59" s="26" t="str">
        <f aca="false">门店对照!$C59&amp;""</f>
        <v>备用13</v>
      </c>
      <c r="D59" s="14" t="n">
        <f aca="false">参数!$B$2</f>
        <v>46234</v>
      </c>
      <c r="E59" s="15" t="n">
        <f aca="false">ROUND(SUMIFS(输入回款!$C:$C,输入回款!$A:$A,$X59),2)</f>
        <v>0</v>
      </c>
      <c r="F59" s="15" t="n">
        <f aca="false">ROUND(SUMIFS(输入回款!$D:$D,输入回款!$A:$A,$X59),2)</f>
        <v>0</v>
      </c>
      <c r="G59" s="15" t="n">
        <f aca="false">ROUND(SUM(分录回款!$I$857:$I$871),2)</f>
        <v>0</v>
      </c>
      <c r="H59" s="15" t="n">
        <f aca="false">ROUND($E59+$F59-$G59,2)</f>
        <v>0</v>
      </c>
      <c r="K59" s="20" t="n">
        <f aca="false">SUM(分录回款!$J$857:$J$871)</f>
        <v>0</v>
      </c>
      <c r="L59" s="20" t="n">
        <f aca="false">IF(OR($K59=0,$W59=0),0,ROUNDUP($K59/6,0))</f>
        <v>0</v>
      </c>
      <c r="M59" s="20" t="n">
        <f aca="false">SUM($L$2:$L59)</f>
        <v>46</v>
      </c>
      <c r="N59" s="15" t="n">
        <f aca="false">ROUND(SUM(分录回款!$H$857:$H$871),2)</f>
        <v>0</v>
      </c>
      <c r="O59" s="15" t="n">
        <f aca="false">ROUND(SUM(分录回款!$I$857:$I$871),2)</f>
        <v>0</v>
      </c>
      <c r="P59" s="20" t="str">
        <f aca="false">IF($L59=0,"",COUNTIF($L$2:$L59,"&gt;0"))</f>
        <v/>
      </c>
      <c r="Q59" s="47" t="n">
        <v>58</v>
      </c>
      <c r="R59" s="20" t="str">
        <f aca="false">IF(58&gt;$V$1,"",COUNTIF($M$2:$M$66,"&lt;"&amp;58)+1)</f>
        <v/>
      </c>
      <c r="S59" s="20" t="str">
        <f aca="false">IF($R59="","",58-IF($R59=1,0,INDEX($M$2:$M$66,$R59-1)))</f>
        <v/>
      </c>
      <c r="T59" s="20" t="n">
        <f aca="false">IF($R59="",0,IF($S59=INDEX($L$2:$L$66,$R59),1,0))</f>
        <v>0</v>
      </c>
      <c r="W59" s="20" t="n">
        <f aca="false">门店对照!$D59</f>
        <v>0</v>
      </c>
      <c r="X59" s="38" t="str">
        <f aca="false">IF($W59=1,$B59,"#未启用#")</f>
        <v>#未启用#</v>
      </c>
    </row>
    <row r="60" customFormat="false" ht="14.9" hidden="false" customHeight="false" outlineLevel="0" collapsed="false">
      <c r="A60" s="47" t="n">
        <v>59</v>
      </c>
      <c r="B60" s="25" t="str">
        <f aca="false">IF(门店对照!$A60="","",门店对照!$A60)</f>
        <v/>
      </c>
      <c r="C60" s="26" t="str">
        <f aca="false">门店对照!$C60&amp;""</f>
        <v>备用14</v>
      </c>
      <c r="D60" s="14" t="n">
        <f aca="false">参数!$B$2</f>
        <v>46234</v>
      </c>
      <c r="E60" s="15" t="n">
        <f aca="false">ROUND(SUMIFS(输入回款!$C:$C,输入回款!$A:$A,$X60),2)</f>
        <v>0</v>
      </c>
      <c r="F60" s="15" t="n">
        <f aca="false">ROUND(SUMIFS(输入回款!$D:$D,输入回款!$A:$A,$X60),2)</f>
        <v>0</v>
      </c>
      <c r="G60" s="15" t="n">
        <f aca="false">ROUND(SUM(分录回款!$I$872:$I$886),2)</f>
        <v>0</v>
      </c>
      <c r="H60" s="15" t="n">
        <f aca="false">ROUND($E60+$F60-$G60,2)</f>
        <v>0</v>
      </c>
      <c r="K60" s="20" t="n">
        <f aca="false">SUM(分录回款!$J$872:$J$886)</f>
        <v>0</v>
      </c>
      <c r="L60" s="20" t="n">
        <f aca="false">IF(OR($K60=0,$W60=0),0,ROUNDUP($K60/6,0))</f>
        <v>0</v>
      </c>
      <c r="M60" s="20" t="n">
        <f aca="false">SUM($L$2:$L60)</f>
        <v>46</v>
      </c>
      <c r="N60" s="15" t="n">
        <f aca="false">ROUND(SUM(分录回款!$H$872:$H$886),2)</f>
        <v>0</v>
      </c>
      <c r="O60" s="15" t="n">
        <f aca="false">ROUND(SUM(分录回款!$I$872:$I$886),2)</f>
        <v>0</v>
      </c>
      <c r="P60" s="20" t="str">
        <f aca="false">IF($L60=0,"",COUNTIF($L$2:$L60,"&gt;0"))</f>
        <v/>
      </c>
      <c r="Q60" s="47" t="n">
        <v>59</v>
      </c>
      <c r="R60" s="20" t="str">
        <f aca="false">IF(59&gt;$V$1,"",COUNTIF($M$2:$M$66,"&lt;"&amp;59)+1)</f>
        <v/>
      </c>
      <c r="S60" s="20" t="str">
        <f aca="false">IF($R60="","",59-IF($R60=1,0,INDEX($M$2:$M$66,$R60-1)))</f>
        <v/>
      </c>
      <c r="T60" s="20" t="n">
        <f aca="false">IF($R60="",0,IF($S60=INDEX($L$2:$L$66,$R60),1,0))</f>
        <v>0</v>
      </c>
      <c r="W60" s="20" t="n">
        <f aca="false">门店对照!$D60</f>
        <v>0</v>
      </c>
      <c r="X60" s="38" t="str">
        <f aca="false">IF($W60=1,$B60,"#未启用#")</f>
        <v>#未启用#</v>
      </c>
    </row>
    <row r="61" customFormat="false" ht="14.9" hidden="false" customHeight="false" outlineLevel="0" collapsed="false">
      <c r="A61" s="47" t="n">
        <v>60</v>
      </c>
      <c r="B61" s="25" t="str">
        <f aca="false">IF(门店对照!$A61="","",门店对照!$A61)</f>
        <v/>
      </c>
      <c r="C61" s="26" t="str">
        <f aca="false">门店对照!$C61&amp;""</f>
        <v>备用15</v>
      </c>
      <c r="D61" s="14" t="n">
        <f aca="false">参数!$B$2</f>
        <v>46234</v>
      </c>
      <c r="E61" s="15" t="n">
        <f aca="false">ROUND(SUMIFS(输入回款!$C:$C,输入回款!$A:$A,$X61),2)</f>
        <v>0</v>
      </c>
      <c r="F61" s="15" t="n">
        <f aca="false">ROUND(SUMIFS(输入回款!$D:$D,输入回款!$A:$A,$X61),2)</f>
        <v>0</v>
      </c>
      <c r="G61" s="15" t="n">
        <f aca="false">ROUND(SUM(分录回款!$I$887:$I$901),2)</f>
        <v>0</v>
      </c>
      <c r="H61" s="15" t="n">
        <f aca="false">ROUND($E61+$F61-$G61,2)</f>
        <v>0</v>
      </c>
      <c r="K61" s="20" t="n">
        <f aca="false">SUM(分录回款!$J$887:$J$901)</f>
        <v>0</v>
      </c>
      <c r="L61" s="20" t="n">
        <f aca="false">IF(OR($K61=0,$W61=0),0,ROUNDUP($K61/6,0))</f>
        <v>0</v>
      </c>
      <c r="M61" s="20" t="n">
        <f aca="false">SUM($L$2:$L61)</f>
        <v>46</v>
      </c>
      <c r="N61" s="15" t="n">
        <f aca="false">ROUND(SUM(分录回款!$H$887:$H$901),2)</f>
        <v>0</v>
      </c>
      <c r="O61" s="15" t="n">
        <f aca="false">ROUND(SUM(分录回款!$I$887:$I$901),2)</f>
        <v>0</v>
      </c>
      <c r="P61" s="20" t="str">
        <f aca="false">IF($L61=0,"",COUNTIF($L$2:$L61,"&gt;0"))</f>
        <v/>
      </c>
      <c r="Q61" s="47" t="n">
        <v>60</v>
      </c>
      <c r="R61" s="20" t="str">
        <f aca="false">IF(60&gt;$V$1,"",COUNTIF($M$2:$M$66,"&lt;"&amp;60)+1)</f>
        <v/>
      </c>
      <c r="S61" s="20" t="str">
        <f aca="false">IF($R61="","",60-IF($R61=1,0,INDEX($M$2:$M$66,$R61-1)))</f>
        <v/>
      </c>
      <c r="T61" s="20" t="n">
        <f aca="false">IF($R61="",0,IF($S61=INDEX($L$2:$L$66,$R61),1,0))</f>
        <v>0</v>
      </c>
      <c r="W61" s="20" t="n">
        <f aca="false">门店对照!$D61</f>
        <v>0</v>
      </c>
      <c r="X61" s="38" t="str">
        <f aca="false">IF($W61=1,$B61,"#未启用#")</f>
        <v>#未启用#</v>
      </c>
    </row>
    <row r="62" customFormat="false" ht="14.9" hidden="false" customHeight="false" outlineLevel="0" collapsed="false">
      <c r="A62" s="47" t="n">
        <v>61</v>
      </c>
      <c r="B62" s="25" t="str">
        <f aca="false">IF(门店对照!$A62="","",门店对照!$A62)</f>
        <v/>
      </c>
      <c r="C62" s="26" t="str">
        <f aca="false">门店对照!$C62&amp;""</f>
        <v>备用16</v>
      </c>
      <c r="D62" s="14" t="n">
        <f aca="false">参数!$B$2</f>
        <v>46234</v>
      </c>
      <c r="E62" s="15" t="n">
        <f aca="false">ROUND(SUMIFS(输入回款!$C:$C,输入回款!$A:$A,$X62),2)</f>
        <v>0</v>
      </c>
      <c r="F62" s="15" t="n">
        <f aca="false">ROUND(SUMIFS(输入回款!$D:$D,输入回款!$A:$A,$X62),2)</f>
        <v>0</v>
      </c>
      <c r="G62" s="15" t="n">
        <f aca="false">ROUND(SUM(分录回款!$I$902:$I$916),2)</f>
        <v>0</v>
      </c>
      <c r="H62" s="15" t="n">
        <f aca="false">ROUND($E62+$F62-$G62,2)</f>
        <v>0</v>
      </c>
      <c r="K62" s="20" t="n">
        <f aca="false">SUM(分录回款!$J$902:$J$916)</f>
        <v>0</v>
      </c>
      <c r="L62" s="20" t="n">
        <f aca="false">IF(OR($K62=0,$W62=0),0,ROUNDUP($K62/6,0))</f>
        <v>0</v>
      </c>
      <c r="M62" s="20" t="n">
        <f aca="false">SUM($L$2:$L62)</f>
        <v>46</v>
      </c>
      <c r="N62" s="15" t="n">
        <f aca="false">ROUND(SUM(分录回款!$H$902:$H$916),2)</f>
        <v>0</v>
      </c>
      <c r="O62" s="15" t="n">
        <f aca="false">ROUND(SUM(分录回款!$I$902:$I$916),2)</f>
        <v>0</v>
      </c>
      <c r="P62" s="20" t="str">
        <f aca="false">IF($L62=0,"",COUNTIF($L$2:$L62,"&gt;0"))</f>
        <v/>
      </c>
      <c r="Q62" s="47" t="n">
        <v>61</v>
      </c>
      <c r="R62" s="20" t="str">
        <f aca="false">IF(61&gt;$V$1,"",COUNTIF($M$2:$M$66,"&lt;"&amp;61)+1)</f>
        <v/>
      </c>
      <c r="S62" s="20" t="str">
        <f aca="false">IF($R62="","",61-IF($R62=1,0,INDEX($M$2:$M$66,$R62-1)))</f>
        <v/>
      </c>
      <c r="T62" s="20" t="n">
        <f aca="false">IF($R62="",0,IF($S62=INDEX($L$2:$L$66,$R62),1,0))</f>
        <v>0</v>
      </c>
      <c r="W62" s="20" t="n">
        <f aca="false">门店对照!$D62</f>
        <v>0</v>
      </c>
      <c r="X62" s="38" t="str">
        <f aca="false">IF($W62=1,$B62,"#未启用#")</f>
        <v>#未启用#</v>
      </c>
    </row>
    <row r="63" customFormat="false" ht="14.9" hidden="false" customHeight="false" outlineLevel="0" collapsed="false">
      <c r="A63" s="47" t="n">
        <v>62</v>
      </c>
      <c r="B63" s="25" t="str">
        <f aca="false">IF(门店对照!$A63="","",门店对照!$A63)</f>
        <v/>
      </c>
      <c r="C63" s="26" t="str">
        <f aca="false">门店对照!$C63&amp;""</f>
        <v>备用17</v>
      </c>
      <c r="D63" s="14" t="n">
        <f aca="false">参数!$B$2</f>
        <v>46234</v>
      </c>
      <c r="E63" s="15" t="n">
        <f aca="false">ROUND(SUMIFS(输入回款!$C:$C,输入回款!$A:$A,$X63),2)</f>
        <v>0</v>
      </c>
      <c r="F63" s="15" t="n">
        <f aca="false">ROUND(SUMIFS(输入回款!$D:$D,输入回款!$A:$A,$X63),2)</f>
        <v>0</v>
      </c>
      <c r="G63" s="15" t="n">
        <f aca="false">ROUND(SUM(分录回款!$I$917:$I$931),2)</f>
        <v>0</v>
      </c>
      <c r="H63" s="15" t="n">
        <f aca="false">ROUND($E63+$F63-$G63,2)</f>
        <v>0</v>
      </c>
      <c r="K63" s="20" t="n">
        <f aca="false">SUM(分录回款!$J$917:$J$931)</f>
        <v>0</v>
      </c>
      <c r="L63" s="20" t="n">
        <f aca="false">IF(OR($K63=0,$W63=0),0,ROUNDUP($K63/6,0))</f>
        <v>0</v>
      </c>
      <c r="M63" s="20" t="n">
        <f aca="false">SUM($L$2:$L63)</f>
        <v>46</v>
      </c>
      <c r="N63" s="15" t="n">
        <f aca="false">ROUND(SUM(分录回款!$H$917:$H$931),2)</f>
        <v>0</v>
      </c>
      <c r="O63" s="15" t="n">
        <f aca="false">ROUND(SUM(分录回款!$I$917:$I$931),2)</f>
        <v>0</v>
      </c>
      <c r="P63" s="20" t="str">
        <f aca="false">IF($L63=0,"",COUNTIF($L$2:$L63,"&gt;0"))</f>
        <v/>
      </c>
      <c r="Q63" s="47" t="n">
        <v>62</v>
      </c>
      <c r="R63" s="20" t="str">
        <f aca="false">IF(62&gt;$V$1,"",COUNTIF($M$2:$M$66,"&lt;"&amp;62)+1)</f>
        <v/>
      </c>
      <c r="S63" s="20" t="str">
        <f aca="false">IF($R63="","",62-IF($R63=1,0,INDEX($M$2:$M$66,$R63-1)))</f>
        <v/>
      </c>
      <c r="T63" s="20" t="n">
        <f aca="false">IF($R63="",0,IF($S63=INDEX($L$2:$L$66,$R63),1,0))</f>
        <v>0</v>
      </c>
      <c r="W63" s="20" t="n">
        <f aca="false">门店对照!$D63</f>
        <v>0</v>
      </c>
      <c r="X63" s="38" t="str">
        <f aca="false">IF($W63=1,$B63,"#未启用#")</f>
        <v>#未启用#</v>
      </c>
    </row>
    <row r="64" customFormat="false" ht="14.9" hidden="false" customHeight="false" outlineLevel="0" collapsed="false">
      <c r="A64" s="47" t="n">
        <v>63</v>
      </c>
      <c r="B64" s="25" t="str">
        <f aca="false">IF(门店对照!$A64="","",门店对照!$A64)</f>
        <v/>
      </c>
      <c r="C64" s="26" t="str">
        <f aca="false">门店对照!$C64&amp;""</f>
        <v>备用18</v>
      </c>
      <c r="D64" s="14" t="n">
        <f aca="false">参数!$B$2</f>
        <v>46234</v>
      </c>
      <c r="E64" s="15" t="n">
        <f aca="false">ROUND(SUMIFS(输入回款!$C:$C,输入回款!$A:$A,$X64),2)</f>
        <v>0</v>
      </c>
      <c r="F64" s="15" t="n">
        <f aca="false">ROUND(SUMIFS(输入回款!$D:$D,输入回款!$A:$A,$X64),2)</f>
        <v>0</v>
      </c>
      <c r="G64" s="15" t="n">
        <f aca="false">ROUND(SUM(分录回款!$I$932:$I$946),2)</f>
        <v>0</v>
      </c>
      <c r="H64" s="15" t="n">
        <f aca="false">ROUND($E64+$F64-$G64,2)</f>
        <v>0</v>
      </c>
      <c r="K64" s="20" t="n">
        <f aca="false">SUM(分录回款!$J$932:$J$946)</f>
        <v>0</v>
      </c>
      <c r="L64" s="20" t="n">
        <f aca="false">IF(OR($K64=0,$W64=0),0,ROUNDUP($K64/6,0))</f>
        <v>0</v>
      </c>
      <c r="M64" s="20" t="n">
        <f aca="false">SUM($L$2:$L64)</f>
        <v>46</v>
      </c>
      <c r="N64" s="15" t="n">
        <f aca="false">ROUND(SUM(分录回款!$H$932:$H$946),2)</f>
        <v>0</v>
      </c>
      <c r="O64" s="15" t="n">
        <f aca="false">ROUND(SUM(分录回款!$I$932:$I$946),2)</f>
        <v>0</v>
      </c>
      <c r="P64" s="20" t="str">
        <f aca="false">IF($L64=0,"",COUNTIF($L$2:$L64,"&gt;0"))</f>
        <v/>
      </c>
      <c r="Q64" s="47" t="n">
        <v>63</v>
      </c>
      <c r="R64" s="20" t="str">
        <f aca="false">IF(63&gt;$V$1,"",COUNTIF($M$2:$M$66,"&lt;"&amp;63)+1)</f>
        <v/>
      </c>
      <c r="S64" s="20" t="str">
        <f aca="false">IF($R64="","",63-IF($R64=1,0,INDEX($M$2:$M$66,$R64-1)))</f>
        <v/>
      </c>
      <c r="T64" s="20" t="n">
        <f aca="false">IF($R64="",0,IF($S64=INDEX($L$2:$L$66,$R64),1,0))</f>
        <v>0</v>
      </c>
      <c r="W64" s="20" t="n">
        <f aca="false">门店对照!$D64</f>
        <v>0</v>
      </c>
      <c r="X64" s="38" t="str">
        <f aca="false">IF($W64=1,$B64,"#未启用#")</f>
        <v>#未启用#</v>
      </c>
    </row>
    <row r="65" customFormat="false" ht="14.9" hidden="false" customHeight="false" outlineLevel="0" collapsed="false">
      <c r="A65" s="47" t="n">
        <v>64</v>
      </c>
      <c r="B65" s="25" t="str">
        <f aca="false">IF(门店对照!$A65="","",门店对照!$A65)</f>
        <v/>
      </c>
      <c r="C65" s="26" t="str">
        <f aca="false">门店对照!$C65&amp;""</f>
        <v>备用19</v>
      </c>
      <c r="D65" s="14" t="n">
        <f aca="false">参数!$B$2</f>
        <v>46234</v>
      </c>
      <c r="E65" s="15" t="n">
        <f aca="false">ROUND(SUMIFS(输入回款!$C:$C,输入回款!$A:$A,$X65),2)</f>
        <v>0</v>
      </c>
      <c r="F65" s="15" t="n">
        <f aca="false">ROUND(SUMIFS(输入回款!$D:$D,输入回款!$A:$A,$X65),2)</f>
        <v>0</v>
      </c>
      <c r="G65" s="15" t="n">
        <f aca="false">ROUND(SUM(分录回款!$I$947:$I$961),2)</f>
        <v>0</v>
      </c>
      <c r="H65" s="15" t="n">
        <f aca="false">ROUND($E65+$F65-$G65,2)</f>
        <v>0</v>
      </c>
      <c r="K65" s="20" t="n">
        <f aca="false">SUM(分录回款!$J$947:$J$961)</f>
        <v>0</v>
      </c>
      <c r="L65" s="20" t="n">
        <f aca="false">IF(OR($K65=0,$W65=0),0,ROUNDUP($K65/6,0))</f>
        <v>0</v>
      </c>
      <c r="M65" s="20" t="n">
        <f aca="false">SUM($L$2:$L65)</f>
        <v>46</v>
      </c>
      <c r="N65" s="15" t="n">
        <f aca="false">ROUND(SUM(分录回款!$H$947:$H$961),2)</f>
        <v>0</v>
      </c>
      <c r="O65" s="15" t="n">
        <f aca="false">ROUND(SUM(分录回款!$I$947:$I$961),2)</f>
        <v>0</v>
      </c>
      <c r="P65" s="20" t="str">
        <f aca="false">IF($L65=0,"",COUNTIF($L$2:$L65,"&gt;0"))</f>
        <v/>
      </c>
      <c r="Q65" s="47" t="n">
        <v>64</v>
      </c>
      <c r="R65" s="20" t="str">
        <f aca="false">IF(64&gt;$V$1,"",COUNTIF($M$2:$M$66,"&lt;"&amp;64)+1)</f>
        <v/>
      </c>
      <c r="S65" s="20" t="str">
        <f aca="false">IF($R65="","",64-IF($R65=1,0,INDEX($M$2:$M$66,$R65-1)))</f>
        <v/>
      </c>
      <c r="T65" s="20" t="n">
        <f aca="false">IF($R65="",0,IF($S65=INDEX($L$2:$L$66,$R65),1,0))</f>
        <v>0</v>
      </c>
      <c r="W65" s="20" t="n">
        <f aca="false">门店对照!$D65</f>
        <v>0</v>
      </c>
      <c r="X65" s="38" t="str">
        <f aca="false">IF($W65=1,$B65,"#未启用#")</f>
        <v>#未启用#</v>
      </c>
    </row>
    <row r="66" customFormat="false" ht="14.9" hidden="false" customHeight="false" outlineLevel="0" collapsed="false">
      <c r="A66" s="47" t="n">
        <v>65</v>
      </c>
      <c r="B66" s="25" t="str">
        <f aca="false">IF(门店对照!$A66="","",门店对照!$A66)</f>
        <v/>
      </c>
      <c r="C66" s="26" t="str">
        <f aca="false">门店对照!$C66&amp;""</f>
        <v>备用20</v>
      </c>
      <c r="D66" s="14" t="n">
        <f aca="false">参数!$B$2</f>
        <v>46234</v>
      </c>
      <c r="E66" s="15" t="n">
        <f aca="false">ROUND(SUMIFS(输入回款!$C:$C,输入回款!$A:$A,$X66),2)</f>
        <v>0</v>
      </c>
      <c r="F66" s="15" t="n">
        <f aca="false">ROUND(SUMIFS(输入回款!$D:$D,输入回款!$A:$A,$X66),2)</f>
        <v>0</v>
      </c>
      <c r="G66" s="15" t="n">
        <f aca="false">ROUND(SUM(分录回款!$I$962:$I$976),2)</f>
        <v>0</v>
      </c>
      <c r="H66" s="15" t="n">
        <f aca="false">ROUND($E66+$F66-$G66,2)</f>
        <v>0</v>
      </c>
      <c r="K66" s="20" t="n">
        <f aca="false">SUM(分录回款!$J$962:$J$976)</f>
        <v>0</v>
      </c>
      <c r="L66" s="20" t="n">
        <f aca="false">IF(OR($K66=0,$W66=0),0,ROUNDUP($K66/6,0))</f>
        <v>0</v>
      </c>
      <c r="M66" s="20" t="n">
        <f aca="false">SUM($L$2:$L66)</f>
        <v>46</v>
      </c>
      <c r="N66" s="15" t="n">
        <f aca="false">ROUND(SUM(分录回款!$H$962:$H$976),2)</f>
        <v>0</v>
      </c>
      <c r="O66" s="15" t="n">
        <f aca="false">ROUND(SUM(分录回款!$I$962:$I$976),2)</f>
        <v>0</v>
      </c>
      <c r="P66" s="20" t="str">
        <f aca="false">IF($L66=0,"",COUNTIF($L$2:$L66,"&gt;0"))</f>
        <v/>
      </c>
      <c r="Q66" s="47" t="n">
        <v>65</v>
      </c>
      <c r="R66" s="20" t="str">
        <f aca="false">IF(65&gt;$V$1,"",COUNTIF($M$2:$M$66,"&lt;"&amp;65)+1)</f>
        <v/>
      </c>
      <c r="S66" s="20" t="str">
        <f aca="false">IF($R66="","",65-IF($R66=1,0,INDEX($M$2:$M$66,$R66-1)))</f>
        <v/>
      </c>
      <c r="T66" s="20" t="n">
        <f aca="false">IF($R66="",0,IF($S66=INDEX($L$2:$L$66,$R66),1,0))</f>
        <v>0</v>
      </c>
      <c r="W66" s="20" t="n">
        <f aca="false">门店对照!$D66</f>
        <v>0</v>
      </c>
      <c r="X66" s="38" t="str">
        <f aca="false">IF($W66=1,$B66,"#未启用#")</f>
        <v>#未启用#</v>
      </c>
    </row>
    <row r="67" customFormat="false" ht="13.5" hidden="false" customHeight="false" outlineLevel="0" collapsed="false">
      <c r="Q67" s="47" t="n">
        <v>66</v>
      </c>
      <c r="R67" s="20" t="str">
        <f aca="false">IF(66&gt;$V$1,"",COUNTIF($M$2:$M$66,"&lt;"&amp;66)+1)</f>
        <v/>
      </c>
      <c r="S67" s="20" t="str">
        <f aca="false">IF($R67="","",66-IF($R67=1,0,INDEX($M$2:$M$66,$R67-1)))</f>
        <v/>
      </c>
      <c r="T67" s="20" t="n">
        <f aca="false">IF($R67="",0,IF($S67=INDEX($L$2:$L$66,$R67),1,0))</f>
        <v>0</v>
      </c>
    </row>
    <row r="68" customFormat="false" ht="13.5" hidden="false" customHeight="false" outlineLevel="0" collapsed="false">
      <c r="Q68" s="47" t="n">
        <v>67</v>
      </c>
      <c r="R68" s="20" t="str">
        <f aca="false">IF(67&gt;$V$1,"",COUNTIF($M$2:$M$66,"&lt;"&amp;67)+1)</f>
        <v/>
      </c>
      <c r="S68" s="20" t="str">
        <f aca="false">IF($R68="","",67-IF($R68=1,0,INDEX($M$2:$M$66,$R68-1)))</f>
        <v/>
      </c>
      <c r="T68" s="20" t="n">
        <f aca="false">IF($R68="",0,IF($S68=INDEX($L$2:$L$66,$R68),1,0))</f>
        <v>0</v>
      </c>
    </row>
    <row r="69" customFormat="false" ht="13.5" hidden="false" customHeight="false" outlineLevel="0" collapsed="false">
      <c r="Q69" s="47" t="n">
        <v>68</v>
      </c>
      <c r="R69" s="20" t="str">
        <f aca="false">IF(68&gt;$V$1,"",COUNTIF($M$2:$M$66,"&lt;"&amp;68)+1)</f>
        <v/>
      </c>
      <c r="S69" s="20" t="str">
        <f aca="false">IF($R69="","",68-IF($R69=1,0,INDEX($M$2:$M$66,$R69-1)))</f>
        <v/>
      </c>
      <c r="T69" s="20" t="n">
        <f aca="false">IF($R69="",0,IF($S69=INDEX($L$2:$L$66,$R69),1,0))</f>
        <v>0</v>
      </c>
    </row>
    <row r="70" customFormat="false" ht="13.5" hidden="false" customHeight="false" outlineLevel="0" collapsed="false">
      <c r="Q70" s="47" t="n">
        <v>69</v>
      </c>
      <c r="R70" s="20" t="str">
        <f aca="false">IF(69&gt;$V$1,"",COUNTIF($M$2:$M$66,"&lt;"&amp;69)+1)</f>
        <v/>
      </c>
      <c r="S70" s="20" t="str">
        <f aca="false">IF($R70="","",69-IF($R70=1,0,INDEX($M$2:$M$66,$R70-1)))</f>
        <v/>
      </c>
      <c r="T70" s="20" t="n">
        <f aca="false">IF($R70="",0,IF($S70=INDEX($L$2:$L$66,$R70),1,0))</f>
        <v>0</v>
      </c>
    </row>
    <row r="71" customFormat="false" ht="13.5" hidden="false" customHeight="false" outlineLevel="0" collapsed="false">
      <c r="Q71" s="47" t="n">
        <v>70</v>
      </c>
      <c r="R71" s="20" t="str">
        <f aca="false">IF(70&gt;$V$1,"",COUNTIF($M$2:$M$66,"&lt;"&amp;70)+1)</f>
        <v/>
      </c>
      <c r="S71" s="20" t="str">
        <f aca="false">IF($R71="","",70-IF($R71=1,0,INDEX($M$2:$M$66,$R71-1)))</f>
        <v/>
      </c>
      <c r="T71" s="20" t="n">
        <f aca="false">IF($R71="",0,IF($S71=INDEX($L$2:$L$66,$R71),1,0))</f>
        <v>0</v>
      </c>
    </row>
    <row r="72" customFormat="false" ht="13.5" hidden="false" customHeight="false" outlineLevel="0" collapsed="false">
      <c r="Q72" s="47" t="n">
        <v>71</v>
      </c>
      <c r="R72" s="20" t="str">
        <f aca="false">IF(71&gt;$V$1,"",COUNTIF($M$2:$M$66,"&lt;"&amp;71)+1)</f>
        <v/>
      </c>
      <c r="S72" s="20" t="str">
        <f aca="false">IF($R72="","",71-IF($R72=1,0,INDEX($M$2:$M$66,$R72-1)))</f>
        <v/>
      </c>
      <c r="T72" s="20" t="n">
        <f aca="false">IF($R72="",0,IF($S72=INDEX($L$2:$L$66,$R72),1,0))</f>
        <v>0</v>
      </c>
    </row>
    <row r="73" customFormat="false" ht="13.5" hidden="false" customHeight="false" outlineLevel="0" collapsed="false">
      <c r="Q73" s="47" t="n">
        <v>72</v>
      </c>
      <c r="R73" s="20" t="str">
        <f aca="false">IF(72&gt;$V$1,"",COUNTIF($M$2:$M$66,"&lt;"&amp;72)+1)</f>
        <v/>
      </c>
      <c r="S73" s="20" t="str">
        <f aca="false">IF($R73="","",72-IF($R73=1,0,INDEX($M$2:$M$66,$R73-1)))</f>
        <v/>
      </c>
      <c r="T73" s="20" t="n">
        <f aca="false">IF($R73="",0,IF($S73=INDEX($L$2:$L$66,$R73),1,0))</f>
        <v>0</v>
      </c>
    </row>
    <row r="74" customFormat="false" ht="13.5" hidden="false" customHeight="false" outlineLevel="0" collapsed="false">
      <c r="Q74" s="47" t="n">
        <v>73</v>
      </c>
      <c r="R74" s="20" t="str">
        <f aca="false">IF(73&gt;$V$1,"",COUNTIF($M$2:$M$66,"&lt;"&amp;73)+1)</f>
        <v/>
      </c>
      <c r="S74" s="20" t="str">
        <f aca="false">IF($R74="","",73-IF($R74=1,0,INDEX($M$2:$M$66,$R74-1)))</f>
        <v/>
      </c>
      <c r="T74" s="20" t="n">
        <f aca="false">IF($R74="",0,IF($S74=INDEX($L$2:$L$66,$R74),1,0))</f>
        <v>0</v>
      </c>
    </row>
    <row r="75" customFormat="false" ht="13.5" hidden="false" customHeight="false" outlineLevel="0" collapsed="false">
      <c r="Q75" s="47" t="n">
        <v>74</v>
      </c>
      <c r="R75" s="20" t="str">
        <f aca="false">IF(74&gt;$V$1,"",COUNTIF($M$2:$M$66,"&lt;"&amp;74)+1)</f>
        <v/>
      </c>
      <c r="S75" s="20" t="str">
        <f aca="false">IF($R75="","",74-IF($R75=1,0,INDEX($M$2:$M$66,$R75-1)))</f>
        <v/>
      </c>
      <c r="T75" s="20" t="n">
        <f aca="false">IF($R75="",0,IF($S75=INDEX($L$2:$L$66,$R75),1,0))</f>
        <v>0</v>
      </c>
    </row>
    <row r="76" customFormat="false" ht="13.5" hidden="false" customHeight="false" outlineLevel="0" collapsed="false">
      <c r="Q76" s="47" t="n">
        <v>75</v>
      </c>
      <c r="R76" s="20" t="str">
        <f aca="false">IF(75&gt;$V$1,"",COUNTIF($M$2:$M$66,"&lt;"&amp;75)+1)</f>
        <v/>
      </c>
      <c r="S76" s="20" t="str">
        <f aca="false">IF($R76="","",75-IF($R76=1,0,INDEX($M$2:$M$66,$R76-1)))</f>
        <v/>
      </c>
      <c r="T76" s="20" t="n">
        <f aca="false">IF($R76="",0,IF($S76=INDEX($L$2:$L$66,$R76),1,0))</f>
        <v>0</v>
      </c>
    </row>
    <row r="77" customFormat="false" ht="13.5" hidden="false" customHeight="false" outlineLevel="0" collapsed="false">
      <c r="Q77" s="47" t="n">
        <v>76</v>
      </c>
      <c r="R77" s="20" t="str">
        <f aca="false">IF(76&gt;$V$1,"",COUNTIF($M$2:$M$66,"&lt;"&amp;76)+1)</f>
        <v/>
      </c>
      <c r="S77" s="20" t="str">
        <f aca="false">IF($R77="","",76-IF($R77=1,0,INDEX($M$2:$M$66,$R77-1)))</f>
        <v/>
      </c>
      <c r="T77" s="20" t="n">
        <f aca="false">IF($R77="",0,IF($S77=INDEX($L$2:$L$66,$R77),1,0))</f>
        <v>0</v>
      </c>
    </row>
    <row r="78" customFormat="false" ht="13.5" hidden="false" customHeight="false" outlineLevel="0" collapsed="false">
      <c r="Q78" s="47" t="n">
        <v>77</v>
      </c>
      <c r="R78" s="20" t="str">
        <f aca="false">IF(77&gt;$V$1,"",COUNTIF($M$2:$M$66,"&lt;"&amp;77)+1)</f>
        <v/>
      </c>
      <c r="S78" s="20" t="str">
        <f aca="false">IF($R78="","",77-IF($R78=1,0,INDEX($M$2:$M$66,$R78-1)))</f>
        <v/>
      </c>
      <c r="T78" s="20" t="n">
        <f aca="false">IF($R78="",0,IF($S78=INDEX($L$2:$L$66,$R78),1,0))</f>
        <v>0</v>
      </c>
    </row>
    <row r="79" customFormat="false" ht="13.5" hidden="false" customHeight="false" outlineLevel="0" collapsed="false">
      <c r="Q79" s="47" t="n">
        <v>78</v>
      </c>
      <c r="R79" s="20" t="str">
        <f aca="false">IF(78&gt;$V$1,"",COUNTIF($M$2:$M$66,"&lt;"&amp;78)+1)</f>
        <v/>
      </c>
      <c r="S79" s="20" t="str">
        <f aca="false">IF($R79="","",78-IF($R79=1,0,INDEX($M$2:$M$66,$R79-1)))</f>
        <v/>
      </c>
      <c r="T79" s="20" t="n">
        <f aca="false">IF($R79="",0,IF($S79=INDEX($L$2:$L$66,$R79),1,0))</f>
        <v>0</v>
      </c>
    </row>
    <row r="80" customFormat="false" ht="13.5" hidden="false" customHeight="false" outlineLevel="0" collapsed="false">
      <c r="Q80" s="47" t="n">
        <v>79</v>
      </c>
      <c r="R80" s="20" t="str">
        <f aca="false">IF(79&gt;$V$1,"",COUNTIF($M$2:$M$66,"&lt;"&amp;79)+1)</f>
        <v/>
      </c>
      <c r="S80" s="20" t="str">
        <f aca="false">IF($R80="","",79-IF($R80=1,0,INDEX($M$2:$M$66,$R80-1)))</f>
        <v/>
      </c>
      <c r="T80" s="20" t="n">
        <f aca="false">IF($R80="",0,IF($S80=INDEX($L$2:$L$66,$R80),1,0))</f>
        <v>0</v>
      </c>
    </row>
    <row r="81" customFormat="false" ht="13.5" hidden="false" customHeight="false" outlineLevel="0" collapsed="false">
      <c r="Q81" s="47" t="n">
        <v>80</v>
      </c>
      <c r="R81" s="20" t="str">
        <f aca="false">IF(80&gt;$V$1,"",COUNTIF($M$2:$M$66,"&lt;"&amp;80)+1)</f>
        <v/>
      </c>
      <c r="S81" s="20" t="str">
        <f aca="false">IF($R81="","",80-IF($R81=1,0,INDEX($M$2:$M$66,$R81-1)))</f>
        <v/>
      </c>
      <c r="T81" s="20" t="n">
        <f aca="false">IF($R81="",0,IF($S81=INDEX($L$2:$L$66,$R81),1,0))</f>
        <v>0</v>
      </c>
    </row>
    <row r="82" customFormat="false" ht="13.5" hidden="false" customHeight="false" outlineLevel="0" collapsed="false">
      <c r="Q82" s="47" t="n">
        <v>81</v>
      </c>
      <c r="R82" s="20" t="str">
        <f aca="false">IF(81&gt;$V$1,"",COUNTIF($M$2:$M$66,"&lt;"&amp;81)+1)</f>
        <v/>
      </c>
      <c r="S82" s="20" t="str">
        <f aca="false">IF($R82="","",81-IF($R82=1,0,INDEX($M$2:$M$66,$R82-1)))</f>
        <v/>
      </c>
      <c r="T82" s="20" t="n">
        <f aca="false">IF($R82="",0,IF($S82=INDEX($L$2:$L$66,$R82),1,0))</f>
        <v>0</v>
      </c>
    </row>
    <row r="83" customFormat="false" ht="13.5" hidden="false" customHeight="false" outlineLevel="0" collapsed="false">
      <c r="Q83" s="47" t="n">
        <v>82</v>
      </c>
      <c r="R83" s="20" t="str">
        <f aca="false">IF(82&gt;$V$1,"",COUNTIF($M$2:$M$66,"&lt;"&amp;82)+1)</f>
        <v/>
      </c>
      <c r="S83" s="20" t="str">
        <f aca="false">IF($R83="","",82-IF($R83=1,0,INDEX($M$2:$M$66,$R83-1)))</f>
        <v/>
      </c>
      <c r="T83" s="20" t="n">
        <f aca="false">IF($R83="",0,IF($S83=INDEX($L$2:$L$66,$R83),1,0))</f>
        <v>0</v>
      </c>
    </row>
    <row r="84" customFormat="false" ht="13.5" hidden="false" customHeight="false" outlineLevel="0" collapsed="false">
      <c r="Q84" s="47" t="n">
        <v>83</v>
      </c>
      <c r="R84" s="20" t="str">
        <f aca="false">IF(83&gt;$V$1,"",COUNTIF($M$2:$M$66,"&lt;"&amp;83)+1)</f>
        <v/>
      </c>
      <c r="S84" s="20" t="str">
        <f aca="false">IF($R84="","",83-IF($R84=1,0,INDEX($M$2:$M$66,$R84-1)))</f>
        <v/>
      </c>
      <c r="T84" s="20" t="n">
        <f aca="false">IF($R84="",0,IF($S84=INDEX($L$2:$L$66,$R84),1,0))</f>
        <v>0</v>
      </c>
    </row>
    <row r="85" customFormat="false" ht="13.5" hidden="false" customHeight="false" outlineLevel="0" collapsed="false">
      <c r="Q85" s="47" t="n">
        <v>84</v>
      </c>
      <c r="R85" s="20" t="str">
        <f aca="false">IF(84&gt;$V$1,"",COUNTIF($M$2:$M$66,"&lt;"&amp;84)+1)</f>
        <v/>
      </c>
      <c r="S85" s="20" t="str">
        <f aca="false">IF($R85="","",84-IF($R85=1,0,INDEX($M$2:$M$66,$R85-1)))</f>
        <v/>
      </c>
      <c r="T85" s="20" t="n">
        <f aca="false">IF($R85="",0,IF($S85=INDEX($L$2:$L$66,$R85),1,0))</f>
        <v>0</v>
      </c>
    </row>
    <row r="86" customFormat="false" ht="13.5" hidden="false" customHeight="false" outlineLevel="0" collapsed="false">
      <c r="Q86" s="47" t="n">
        <v>85</v>
      </c>
      <c r="R86" s="20" t="str">
        <f aca="false">IF(85&gt;$V$1,"",COUNTIF($M$2:$M$66,"&lt;"&amp;85)+1)</f>
        <v/>
      </c>
      <c r="S86" s="20" t="str">
        <f aca="false">IF($R86="","",85-IF($R86=1,0,INDEX($M$2:$M$66,$R86-1)))</f>
        <v/>
      </c>
      <c r="T86" s="20" t="n">
        <f aca="false">IF($R86="",0,IF($S86=INDEX($L$2:$L$66,$R86),1,0))</f>
        <v>0</v>
      </c>
    </row>
    <row r="87" customFormat="false" ht="13.5" hidden="false" customHeight="false" outlineLevel="0" collapsed="false">
      <c r="Q87" s="47" t="n">
        <v>86</v>
      </c>
      <c r="R87" s="20" t="str">
        <f aca="false">IF(86&gt;$V$1,"",COUNTIF($M$2:$M$66,"&lt;"&amp;86)+1)</f>
        <v/>
      </c>
      <c r="S87" s="20" t="str">
        <f aca="false">IF($R87="","",86-IF($R87=1,0,INDEX($M$2:$M$66,$R87-1)))</f>
        <v/>
      </c>
      <c r="T87" s="20" t="n">
        <f aca="false">IF($R87="",0,IF($S87=INDEX($L$2:$L$66,$R87),1,0))</f>
        <v>0</v>
      </c>
    </row>
    <row r="88" customFormat="false" ht="13.5" hidden="false" customHeight="false" outlineLevel="0" collapsed="false">
      <c r="Q88" s="47" t="n">
        <v>87</v>
      </c>
      <c r="R88" s="20" t="str">
        <f aca="false">IF(87&gt;$V$1,"",COUNTIF($M$2:$M$66,"&lt;"&amp;87)+1)</f>
        <v/>
      </c>
      <c r="S88" s="20" t="str">
        <f aca="false">IF($R88="","",87-IF($R88=1,0,INDEX($M$2:$M$66,$R88-1)))</f>
        <v/>
      </c>
      <c r="T88" s="20" t="n">
        <f aca="false">IF($R88="",0,IF($S88=INDEX($L$2:$L$66,$R88),1,0))</f>
        <v>0</v>
      </c>
    </row>
    <row r="89" customFormat="false" ht="13.5" hidden="false" customHeight="false" outlineLevel="0" collapsed="false">
      <c r="Q89" s="47" t="n">
        <v>88</v>
      </c>
      <c r="R89" s="20" t="str">
        <f aca="false">IF(88&gt;$V$1,"",COUNTIF($M$2:$M$66,"&lt;"&amp;88)+1)</f>
        <v/>
      </c>
      <c r="S89" s="20" t="str">
        <f aca="false">IF($R89="","",88-IF($R89=1,0,INDEX($M$2:$M$66,$R89-1)))</f>
        <v/>
      </c>
      <c r="T89" s="20" t="n">
        <f aca="false">IF($R89="",0,IF($S89=INDEX($L$2:$L$66,$R89),1,0))</f>
        <v>0</v>
      </c>
    </row>
    <row r="90" customFormat="false" ht="13.5" hidden="false" customHeight="false" outlineLevel="0" collapsed="false">
      <c r="Q90" s="47" t="n">
        <v>89</v>
      </c>
      <c r="R90" s="20" t="str">
        <f aca="false">IF(89&gt;$V$1,"",COUNTIF($M$2:$M$66,"&lt;"&amp;89)+1)</f>
        <v/>
      </c>
      <c r="S90" s="20" t="str">
        <f aca="false">IF($R90="","",89-IF($R90=1,0,INDEX($M$2:$M$66,$R90-1)))</f>
        <v/>
      </c>
      <c r="T90" s="20" t="n">
        <f aca="false">IF($R90="",0,IF($S90=INDEX($L$2:$L$66,$R90),1,0))</f>
        <v>0</v>
      </c>
    </row>
    <row r="91" customFormat="false" ht="13.5" hidden="false" customHeight="false" outlineLevel="0" collapsed="false">
      <c r="Q91" s="47" t="n">
        <v>90</v>
      </c>
      <c r="R91" s="20" t="str">
        <f aca="false">IF(90&gt;$V$1,"",COUNTIF($M$2:$M$66,"&lt;"&amp;90)+1)</f>
        <v/>
      </c>
      <c r="S91" s="20" t="str">
        <f aca="false">IF($R91="","",90-IF($R91=1,0,INDEX($M$2:$M$66,$R91-1)))</f>
        <v/>
      </c>
      <c r="T91" s="20" t="n">
        <f aca="false">IF($R91="",0,IF($S91=INDEX($L$2:$L$66,$R91),1,0))</f>
        <v>0</v>
      </c>
    </row>
    <row r="92" customFormat="false" ht="13.5" hidden="false" customHeight="false" outlineLevel="0" collapsed="false">
      <c r="Q92" s="47" t="n">
        <v>91</v>
      </c>
      <c r="R92" s="20" t="str">
        <f aca="false">IF(91&gt;$V$1,"",COUNTIF($M$2:$M$66,"&lt;"&amp;91)+1)</f>
        <v/>
      </c>
      <c r="S92" s="20" t="str">
        <f aca="false">IF($R92="","",91-IF($R92=1,0,INDEX($M$2:$M$66,$R92-1)))</f>
        <v/>
      </c>
      <c r="T92" s="20" t="n">
        <f aca="false">IF($R92="",0,IF($S92=INDEX($L$2:$L$66,$R92),1,0))</f>
        <v>0</v>
      </c>
    </row>
    <row r="93" customFormat="false" ht="13.5" hidden="false" customHeight="false" outlineLevel="0" collapsed="false">
      <c r="Q93" s="47" t="n">
        <v>92</v>
      </c>
      <c r="R93" s="20" t="str">
        <f aca="false">IF(92&gt;$V$1,"",COUNTIF($M$2:$M$66,"&lt;"&amp;92)+1)</f>
        <v/>
      </c>
      <c r="S93" s="20" t="str">
        <f aca="false">IF($R93="","",92-IF($R93=1,0,INDEX($M$2:$M$66,$R93-1)))</f>
        <v/>
      </c>
      <c r="T93" s="20" t="n">
        <f aca="false">IF($R93="",0,IF($S93=INDEX($L$2:$L$66,$R93),1,0))</f>
        <v>0</v>
      </c>
    </row>
    <row r="94" customFormat="false" ht="13.5" hidden="false" customHeight="false" outlineLevel="0" collapsed="false">
      <c r="Q94" s="47" t="n">
        <v>93</v>
      </c>
      <c r="R94" s="20" t="str">
        <f aca="false">IF(93&gt;$V$1,"",COUNTIF($M$2:$M$66,"&lt;"&amp;93)+1)</f>
        <v/>
      </c>
      <c r="S94" s="20" t="str">
        <f aca="false">IF($R94="","",93-IF($R94=1,0,INDEX($M$2:$M$66,$R94-1)))</f>
        <v/>
      </c>
      <c r="T94" s="20" t="n">
        <f aca="false">IF($R94="",0,IF($S94=INDEX($L$2:$L$66,$R94),1,0))</f>
        <v>0</v>
      </c>
    </row>
    <row r="95" customFormat="false" ht="13.5" hidden="false" customHeight="false" outlineLevel="0" collapsed="false">
      <c r="Q95" s="47" t="n">
        <v>94</v>
      </c>
      <c r="R95" s="20" t="str">
        <f aca="false">IF(94&gt;$V$1,"",COUNTIF($M$2:$M$66,"&lt;"&amp;94)+1)</f>
        <v/>
      </c>
      <c r="S95" s="20" t="str">
        <f aca="false">IF($R95="","",94-IF($R95=1,0,INDEX($M$2:$M$66,$R95-1)))</f>
        <v/>
      </c>
      <c r="T95" s="20" t="n">
        <f aca="false">IF($R95="",0,IF($S95=INDEX($L$2:$L$66,$R95),1,0))</f>
        <v>0</v>
      </c>
    </row>
    <row r="96" customFormat="false" ht="13.5" hidden="false" customHeight="false" outlineLevel="0" collapsed="false">
      <c r="Q96" s="47" t="n">
        <v>95</v>
      </c>
      <c r="R96" s="20" t="str">
        <f aca="false">IF(95&gt;$V$1,"",COUNTIF($M$2:$M$66,"&lt;"&amp;95)+1)</f>
        <v/>
      </c>
      <c r="S96" s="20" t="str">
        <f aca="false">IF($R96="","",95-IF($R96=1,0,INDEX($M$2:$M$66,$R96-1)))</f>
        <v/>
      </c>
      <c r="T96" s="20" t="n">
        <f aca="false">IF($R96="",0,IF($S96=INDEX($L$2:$L$66,$R96),1,0))</f>
        <v>0</v>
      </c>
    </row>
    <row r="97" customFormat="false" ht="13.5" hidden="false" customHeight="false" outlineLevel="0" collapsed="false">
      <c r="Q97" s="47" t="n">
        <v>96</v>
      </c>
      <c r="R97" s="20" t="str">
        <f aca="false">IF(96&gt;$V$1,"",COUNTIF($M$2:$M$66,"&lt;"&amp;96)+1)</f>
        <v/>
      </c>
      <c r="S97" s="20" t="str">
        <f aca="false">IF($R97="","",96-IF($R97=1,0,INDEX($M$2:$M$66,$R97-1)))</f>
        <v/>
      </c>
      <c r="T97" s="20" t="n">
        <f aca="false">IF($R97="",0,IF($S97=INDEX($L$2:$L$66,$R97),1,0))</f>
        <v>0</v>
      </c>
    </row>
    <row r="98" customFormat="false" ht="13.5" hidden="false" customHeight="false" outlineLevel="0" collapsed="false">
      <c r="Q98" s="47" t="n">
        <v>97</v>
      </c>
      <c r="R98" s="20" t="str">
        <f aca="false">IF(97&gt;$V$1,"",COUNTIF($M$2:$M$66,"&lt;"&amp;97)+1)</f>
        <v/>
      </c>
      <c r="S98" s="20" t="str">
        <f aca="false">IF($R98="","",97-IF($R98=1,0,INDEX($M$2:$M$66,$R98-1)))</f>
        <v/>
      </c>
      <c r="T98" s="20" t="n">
        <f aca="false">IF($R98="",0,IF($S98=INDEX($L$2:$L$66,$R98),1,0))</f>
        <v>0</v>
      </c>
    </row>
    <row r="99" customFormat="false" ht="13.5" hidden="false" customHeight="false" outlineLevel="0" collapsed="false">
      <c r="Q99" s="47" t="n">
        <v>98</v>
      </c>
      <c r="R99" s="20" t="str">
        <f aca="false">IF(98&gt;$V$1,"",COUNTIF($M$2:$M$66,"&lt;"&amp;98)+1)</f>
        <v/>
      </c>
      <c r="S99" s="20" t="str">
        <f aca="false">IF($R99="","",98-IF($R99=1,0,INDEX($M$2:$M$66,$R99-1)))</f>
        <v/>
      </c>
      <c r="T99" s="20" t="n">
        <f aca="false">IF($R99="",0,IF($S99=INDEX($L$2:$L$66,$R99),1,0))</f>
        <v>0</v>
      </c>
    </row>
    <row r="100" customFormat="false" ht="13.5" hidden="false" customHeight="false" outlineLevel="0" collapsed="false">
      <c r="Q100" s="47" t="n">
        <v>99</v>
      </c>
      <c r="R100" s="20" t="str">
        <f aca="false">IF(99&gt;$V$1,"",COUNTIF($M$2:$M$66,"&lt;"&amp;99)+1)</f>
        <v/>
      </c>
      <c r="S100" s="20" t="str">
        <f aca="false">IF($R100="","",99-IF($R100=1,0,INDEX($M$2:$M$66,$R100-1)))</f>
        <v/>
      </c>
      <c r="T100" s="20" t="n">
        <f aca="false">IF($R100="",0,IF($S100=INDEX($L$2:$L$66,$R100),1,0))</f>
        <v>0</v>
      </c>
    </row>
    <row r="101" customFormat="false" ht="13.5" hidden="false" customHeight="false" outlineLevel="0" collapsed="false">
      <c r="Q101" s="47" t="n">
        <v>100</v>
      </c>
      <c r="R101" s="20" t="str">
        <f aca="false">IF(100&gt;$V$1,"",COUNTIF($M$2:$M$66,"&lt;"&amp;100)+1)</f>
        <v/>
      </c>
      <c r="S101" s="20" t="str">
        <f aca="false">IF($R101="","",100-IF($R101=1,0,INDEX($M$2:$M$66,$R101-1)))</f>
        <v/>
      </c>
      <c r="T101" s="20" t="n">
        <f aca="false">IF($R101="",0,IF($S101=INDEX($L$2:$L$66,$R101),1,0))</f>
        <v>0</v>
      </c>
    </row>
    <row r="102" customFormat="false" ht="13.5" hidden="false" customHeight="false" outlineLevel="0" collapsed="false">
      <c r="Q102" s="47" t="n">
        <v>101</v>
      </c>
      <c r="R102" s="20" t="str">
        <f aca="false">IF(101&gt;$V$1,"",COUNTIF($M$2:$M$66,"&lt;"&amp;101)+1)</f>
        <v/>
      </c>
      <c r="S102" s="20" t="str">
        <f aca="false">IF($R102="","",101-IF($R102=1,0,INDEX($M$2:$M$66,$R102-1)))</f>
        <v/>
      </c>
      <c r="T102" s="20" t="n">
        <f aca="false">IF($R102="",0,IF($S102=INDEX($L$2:$L$66,$R102),1,0))</f>
        <v>0</v>
      </c>
    </row>
    <row r="103" customFormat="false" ht="13.5" hidden="false" customHeight="false" outlineLevel="0" collapsed="false">
      <c r="Q103" s="47" t="n">
        <v>102</v>
      </c>
      <c r="R103" s="20" t="str">
        <f aca="false">IF(102&gt;$V$1,"",COUNTIF($M$2:$M$66,"&lt;"&amp;102)+1)</f>
        <v/>
      </c>
      <c r="S103" s="20" t="str">
        <f aca="false">IF($R103="","",102-IF($R103=1,0,INDEX($M$2:$M$66,$R103-1)))</f>
        <v/>
      </c>
      <c r="T103" s="20" t="n">
        <f aca="false">IF($R103="",0,IF($S103=INDEX($L$2:$L$66,$R103),1,0))</f>
        <v>0</v>
      </c>
    </row>
    <row r="104" customFormat="false" ht="13.5" hidden="false" customHeight="false" outlineLevel="0" collapsed="false">
      <c r="Q104" s="47" t="n">
        <v>103</v>
      </c>
      <c r="R104" s="20" t="str">
        <f aca="false">IF(103&gt;$V$1,"",COUNTIF($M$2:$M$66,"&lt;"&amp;103)+1)</f>
        <v/>
      </c>
      <c r="S104" s="20" t="str">
        <f aca="false">IF($R104="","",103-IF($R104=1,0,INDEX($M$2:$M$66,$R104-1)))</f>
        <v/>
      </c>
      <c r="T104" s="20" t="n">
        <f aca="false">IF($R104="",0,IF($S104=INDEX($L$2:$L$66,$R104),1,0))</f>
        <v>0</v>
      </c>
    </row>
    <row r="105" customFormat="false" ht="13.5" hidden="false" customHeight="false" outlineLevel="0" collapsed="false">
      <c r="Q105" s="47" t="n">
        <v>104</v>
      </c>
      <c r="R105" s="20" t="str">
        <f aca="false">IF(104&gt;$V$1,"",COUNTIF($M$2:$M$66,"&lt;"&amp;104)+1)</f>
        <v/>
      </c>
      <c r="S105" s="20" t="str">
        <f aca="false">IF($R105="","",104-IF($R105=1,0,INDEX($M$2:$M$66,$R105-1)))</f>
        <v/>
      </c>
      <c r="T105" s="20" t="n">
        <f aca="false">IF($R105="",0,IF($S105=INDEX($L$2:$L$66,$R105),1,0))</f>
        <v>0</v>
      </c>
    </row>
    <row r="106" customFormat="false" ht="13.5" hidden="false" customHeight="false" outlineLevel="0" collapsed="false">
      <c r="Q106" s="47" t="n">
        <v>105</v>
      </c>
      <c r="R106" s="20" t="str">
        <f aca="false">IF(105&gt;$V$1,"",COUNTIF($M$2:$M$66,"&lt;"&amp;105)+1)</f>
        <v/>
      </c>
      <c r="S106" s="20" t="str">
        <f aca="false">IF($R106="","",105-IF($R106=1,0,INDEX($M$2:$M$66,$R106-1)))</f>
        <v/>
      </c>
      <c r="T106" s="20" t="n">
        <f aca="false">IF($R106="",0,IF($S106=INDEX($L$2:$L$66,$R106),1,0))</f>
        <v>0</v>
      </c>
    </row>
    <row r="107" customFormat="false" ht="13.5" hidden="false" customHeight="false" outlineLevel="0" collapsed="false">
      <c r="Q107" s="47" t="n">
        <v>106</v>
      </c>
      <c r="R107" s="20" t="str">
        <f aca="false">IF(106&gt;$V$1,"",COUNTIF($M$2:$M$66,"&lt;"&amp;106)+1)</f>
        <v/>
      </c>
      <c r="S107" s="20" t="str">
        <f aca="false">IF($R107="","",106-IF($R107=1,0,INDEX($M$2:$M$66,$R107-1)))</f>
        <v/>
      </c>
      <c r="T107" s="20" t="n">
        <f aca="false">IF($R107="",0,IF($S107=INDEX($L$2:$L$66,$R107),1,0))</f>
        <v>0</v>
      </c>
    </row>
    <row r="108" customFormat="false" ht="13.5" hidden="false" customHeight="false" outlineLevel="0" collapsed="false">
      <c r="Q108" s="47" t="n">
        <v>107</v>
      </c>
      <c r="R108" s="20" t="str">
        <f aca="false">IF(107&gt;$V$1,"",COUNTIF($M$2:$M$66,"&lt;"&amp;107)+1)</f>
        <v/>
      </c>
      <c r="S108" s="20" t="str">
        <f aca="false">IF($R108="","",107-IF($R108=1,0,INDEX($M$2:$M$66,$R108-1)))</f>
        <v/>
      </c>
      <c r="T108" s="20" t="n">
        <f aca="false">IF($R108="",0,IF($S108=INDEX($L$2:$L$66,$R108),1,0))</f>
        <v>0</v>
      </c>
    </row>
    <row r="109" customFormat="false" ht="13.5" hidden="false" customHeight="false" outlineLevel="0" collapsed="false">
      <c r="Q109" s="47" t="n">
        <v>108</v>
      </c>
      <c r="R109" s="20" t="str">
        <f aca="false">IF(108&gt;$V$1,"",COUNTIF($M$2:$M$66,"&lt;"&amp;108)+1)</f>
        <v/>
      </c>
      <c r="S109" s="20" t="str">
        <f aca="false">IF($R109="","",108-IF($R109=1,0,INDEX($M$2:$M$66,$R109-1)))</f>
        <v/>
      </c>
      <c r="T109" s="20" t="n">
        <f aca="false">IF($R109="",0,IF($S109=INDEX($L$2:$L$66,$R109),1,0))</f>
        <v>0</v>
      </c>
    </row>
    <row r="110" customFormat="false" ht="13.5" hidden="false" customHeight="false" outlineLevel="0" collapsed="false">
      <c r="Q110" s="47" t="n">
        <v>109</v>
      </c>
      <c r="R110" s="20" t="str">
        <f aca="false">IF(109&gt;$V$1,"",COUNTIF($M$2:$M$66,"&lt;"&amp;109)+1)</f>
        <v/>
      </c>
      <c r="S110" s="20" t="str">
        <f aca="false">IF($R110="","",109-IF($R110=1,0,INDEX($M$2:$M$66,$R110-1)))</f>
        <v/>
      </c>
      <c r="T110" s="20" t="n">
        <f aca="false">IF($R110="",0,IF($S110=INDEX($L$2:$L$66,$R110),1,0))</f>
        <v>0</v>
      </c>
    </row>
    <row r="111" customFormat="false" ht="13.5" hidden="false" customHeight="false" outlineLevel="0" collapsed="false">
      <c r="Q111" s="47" t="n">
        <v>110</v>
      </c>
      <c r="R111" s="20" t="str">
        <f aca="false">IF(110&gt;$V$1,"",COUNTIF($M$2:$M$66,"&lt;"&amp;110)+1)</f>
        <v/>
      </c>
      <c r="S111" s="20" t="str">
        <f aca="false">IF($R111="","",110-IF($R111=1,0,INDEX($M$2:$M$66,$R111-1)))</f>
        <v/>
      </c>
      <c r="T111" s="20" t="n">
        <f aca="false">IF($R111="",0,IF($S111=INDEX($L$2:$L$66,$R111),1,0))</f>
        <v>0</v>
      </c>
    </row>
    <row r="112" customFormat="false" ht="13.5" hidden="false" customHeight="false" outlineLevel="0" collapsed="false">
      <c r="Q112" s="47" t="n">
        <v>111</v>
      </c>
      <c r="R112" s="20" t="str">
        <f aca="false">IF(111&gt;$V$1,"",COUNTIF($M$2:$M$66,"&lt;"&amp;111)+1)</f>
        <v/>
      </c>
      <c r="S112" s="20" t="str">
        <f aca="false">IF($R112="","",111-IF($R112=1,0,INDEX($M$2:$M$66,$R112-1)))</f>
        <v/>
      </c>
      <c r="T112" s="20" t="n">
        <f aca="false">IF($R112="",0,IF($S112=INDEX($L$2:$L$66,$R112),1,0))</f>
        <v>0</v>
      </c>
    </row>
    <row r="113" customFormat="false" ht="13.5" hidden="false" customHeight="false" outlineLevel="0" collapsed="false">
      <c r="Q113" s="47" t="n">
        <v>112</v>
      </c>
      <c r="R113" s="20" t="str">
        <f aca="false">IF(112&gt;$V$1,"",COUNTIF($M$2:$M$66,"&lt;"&amp;112)+1)</f>
        <v/>
      </c>
      <c r="S113" s="20" t="str">
        <f aca="false">IF($R113="","",112-IF($R113=1,0,INDEX($M$2:$M$66,$R113-1)))</f>
        <v/>
      </c>
      <c r="T113" s="20" t="n">
        <f aca="false">IF($R113="",0,IF($S113=INDEX($L$2:$L$66,$R113),1,0))</f>
        <v>0</v>
      </c>
    </row>
    <row r="114" customFormat="false" ht="13.5" hidden="false" customHeight="false" outlineLevel="0" collapsed="false">
      <c r="Q114" s="47" t="n">
        <v>113</v>
      </c>
      <c r="R114" s="20" t="str">
        <f aca="false">IF(113&gt;$V$1,"",COUNTIF($M$2:$M$66,"&lt;"&amp;113)+1)</f>
        <v/>
      </c>
      <c r="S114" s="20" t="str">
        <f aca="false">IF($R114="","",113-IF($R114=1,0,INDEX($M$2:$M$66,$R114-1)))</f>
        <v/>
      </c>
      <c r="T114" s="20" t="n">
        <f aca="false">IF($R114="",0,IF($S114=INDEX($L$2:$L$66,$R114),1,0))</f>
        <v>0</v>
      </c>
    </row>
    <row r="115" customFormat="false" ht="13.5" hidden="false" customHeight="false" outlineLevel="0" collapsed="false">
      <c r="Q115" s="47" t="n">
        <v>114</v>
      </c>
      <c r="R115" s="20" t="str">
        <f aca="false">IF(114&gt;$V$1,"",COUNTIF($M$2:$M$66,"&lt;"&amp;114)+1)</f>
        <v/>
      </c>
      <c r="S115" s="20" t="str">
        <f aca="false">IF($R115="","",114-IF($R115=1,0,INDEX($M$2:$M$66,$R115-1)))</f>
        <v/>
      </c>
      <c r="T115" s="20" t="n">
        <f aca="false">IF($R115="",0,IF($S115=INDEX($L$2:$L$66,$R115),1,0))</f>
        <v>0</v>
      </c>
    </row>
    <row r="116" customFormat="false" ht="13.5" hidden="false" customHeight="false" outlineLevel="0" collapsed="false">
      <c r="Q116" s="47" t="n">
        <v>115</v>
      </c>
      <c r="R116" s="20" t="str">
        <f aca="false">IF(115&gt;$V$1,"",COUNTIF($M$2:$M$66,"&lt;"&amp;115)+1)</f>
        <v/>
      </c>
      <c r="S116" s="20" t="str">
        <f aca="false">IF($R116="","",115-IF($R116=1,0,INDEX($M$2:$M$66,$R116-1)))</f>
        <v/>
      </c>
      <c r="T116" s="20" t="n">
        <f aca="false">IF($R116="",0,IF($S116=INDEX($L$2:$L$66,$R116),1,0))</f>
        <v>0</v>
      </c>
    </row>
    <row r="117" customFormat="false" ht="13.5" hidden="false" customHeight="false" outlineLevel="0" collapsed="false">
      <c r="Q117" s="47" t="n">
        <v>116</v>
      </c>
      <c r="R117" s="20" t="str">
        <f aca="false">IF(116&gt;$V$1,"",COUNTIF($M$2:$M$66,"&lt;"&amp;116)+1)</f>
        <v/>
      </c>
      <c r="S117" s="20" t="str">
        <f aca="false">IF($R117="","",116-IF($R117=1,0,INDEX($M$2:$M$66,$R117-1)))</f>
        <v/>
      </c>
      <c r="T117" s="20" t="n">
        <f aca="false">IF($R117="",0,IF($S117=INDEX($L$2:$L$66,$R117),1,0))</f>
        <v>0</v>
      </c>
    </row>
    <row r="118" customFormat="false" ht="13.5" hidden="false" customHeight="false" outlineLevel="0" collapsed="false">
      <c r="Q118" s="47" t="n">
        <v>117</v>
      </c>
      <c r="R118" s="20" t="str">
        <f aca="false">IF(117&gt;$V$1,"",COUNTIF($M$2:$M$66,"&lt;"&amp;117)+1)</f>
        <v/>
      </c>
      <c r="S118" s="20" t="str">
        <f aca="false">IF($R118="","",117-IF($R118=1,0,INDEX($M$2:$M$66,$R118-1)))</f>
        <v/>
      </c>
      <c r="T118" s="20" t="n">
        <f aca="false">IF($R118="",0,IF($S118=INDEX($L$2:$L$66,$R118),1,0))</f>
        <v>0</v>
      </c>
    </row>
    <row r="119" customFormat="false" ht="13.5" hidden="false" customHeight="false" outlineLevel="0" collapsed="false">
      <c r="Q119" s="47" t="n">
        <v>118</v>
      </c>
      <c r="R119" s="20" t="str">
        <f aca="false">IF(118&gt;$V$1,"",COUNTIF($M$2:$M$66,"&lt;"&amp;118)+1)</f>
        <v/>
      </c>
      <c r="S119" s="20" t="str">
        <f aca="false">IF($R119="","",118-IF($R119=1,0,INDEX($M$2:$M$66,$R119-1)))</f>
        <v/>
      </c>
      <c r="T119" s="20" t="n">
        <f aca="false">IF($R119="",0,IF($S119=INDEX($L$2:$L$66,$R119),1,0))</f>
        <v>0</v>
      </c>
    </row>
    <row r="120" customFormat="false" ht="13.5" hidden="false" customHeight="false" outlineLevel="0" collapsed="false">
      <c r="Q120" s="47" t="n">
        <v>119</v>
      </c>
      <c r="R120" s="20" t="str">
        <f aca="false">IF(119&gt;$V$1,"",COUNTIF($M$2:$M$66,"&lt;"&amp;119)+1)</f>
        <v/>
      </c>
      <c r="S120" s="20" t="str">
        <f aca="false">IF($R120="","",119-IF($R120=1,0,INDEX($M$2:$M$66,$R120-1)))</f>
        <v/>
      </c>
      <c r="T120" s="20" t="n">
        <f aca="false">IF($R120="",0,IF($S120=INDEX($L$2:$L$66,$R120),1,0))</f>
        <v>0</v>
      </c>
    </row>
    <row r="121" customFormat="false" ht="13.5" hidden="false" customHeight="false" outlineLevel="0" collapsed="false">
      <c r="Q121" s="47" t="n">
        <v>120</v>
      </c>
      <c r="R121" s="20" t="str">
        <f aca="false">IF(120&gt;$V$1,"",COUNTIF($M$2:$M$66,"&lt;"&amp;120)+1)</f>
        <v/>
      </c>
      <c r="S121" s="20" t="str">
        <f aca="false">IF($R121="","",120-IF($R121=1,0,INDEX($M$2:$M$66,$R121-1)))</f>
        <v/>
      </c>
      <c r="T121" s="20" t="n">
        <f aca="false">IF($R121="",0,IF($S121=INDEX($L$2:$L$66,$R121),1,0))</f>
        <v>0</v>
      </c>
    </row>
    <row r="122" customFormat="false" ht="13.5" hidden="false" customHeight="false" outlineLevel="0" collapsed="false">
      <c r="Q122" s="47" t="n">
        <v>121</v>
      </c>
      <c r="R122" s="20" t="str">
        <f aca="false">IF(121&gt;$V$1,"",COUNTIF($M$2:$M$66,"&lt;"&amp;121)+1)</f>
        <v/>
      </c>
      <c r="S122" s="20" t="str">
        <f aca="false">IF($R122="","",121-IF($R122=1,0,INDEX($M$2:$M$66,$R122-1)))</f>
        <v/>
      </c>
      <c r="T122" s="20" t="n">
        <f aca="false">IF($R122="",0,IF($S122=INDEX($L$2:$L$66,$R122),1,0))</f>
        <v>0</v>
      </c>
    </row>
    <row r="123" customFormat="false" ht="13.5" hidden="false" customHeight="false" outlineLevel="0" collapsed="false">
      <c r="Q123" s="47" t="n">
        <v>122</v>
      </c>
      <c r="R123" s="20" t="str">
        <f aca="false">IF(122&gt;$V$1,"",COUNTIF($M$2:$M$66,"&lt;"&amp;122)+1)</f>
        <v/>
      </c>
      <c r="S123" s="20" t="str">
        <f aca="false">IF($R123="","",122-IF($R123=1,0,INDEX($M$2:$M$66,$R123-1)))</f>
        <v/>
      </c>
      <c r="T123" s="20" t="n">
        <f aca="false">IF($R123="",0,IF($S123=INDEX($L$2:$L$66,$R123),1,0))</f>
        <v>0</v>
      </c>
    </row>
    <row r="124" customFormat="false" ht="13.5" hidden="false" customHeight="false" outlineLevel="0" collapsed="false">
      <c r="Q124" s="47" t="n">
        <v>123</v>
      </c>
      <c r="R124" s="20" t="str">
        <f aca="false">IF(123&gt;$V$1,"",COUNTIF($M$2:$M$66,"&lt;"&amp;123)+1)</f>
        <v/>
      </c>
      <c r="S124" s="20" t="str">
        <f aca="false">IF($R124="","",123-IF($R124=1,0,INDEX($M$2:$M$66,$R124-1)))</f>
        <v/>
      </c>
      <c r="T124" s="20" t="n">
        <f aca="false">IF($R124="",0,IF($S124=INDEX($L$2:$L$66,$R124),1,0))</f>
        <v>0</v>
      </c>
    </row>
    <row r="125" customFormat="false" ht="13.5" hidden="false" customHeight="false" outlineLevel="0" collapsed="false">
      <c r="Q125" s="47" t="n">
        <v>124</v>
      </c>
      <c r="R125" s="20" t="str">
        <f aca="false">IF(124&gt;$V$1,"",COUNTIF($M$2:$M$66,"&lt;"&amp;124)+1)</f>
        <v/>
      </c>
      <c r="S125" s="20" t="str">
        <f aca="false">IF($R125="","",124-IF($R125=1,0,INDEX($M$2:$M$66,$R125-1)))</f>
        <v/>
      </c>
      <c r="T125" s="20" t="n">
        <f aca="false">IF($R125="",0,IF($S125=INDEX($L$2:$L$66,$R125),1,0))</f>
        <v>0</v>
      </c>
    </row>
    <row r="126" customFormat="false" ht="13.5" hidden="false" customHeight="false" outlineLevel="0" collapsed="false">
      <c r="Q126" s="47" t="n">
        <v>125</v>
      </c>
      <c r="R126" s="20" t="str">
        <f aca="false">IF(125&gt;$V$1,"",COUNTIF($M$2:$M$66,"&lt;"&amp;125)+1)</f>
        <v/>
      </c>
      <c r="S126" s="20" t="str">
        <f aca="false">IF($R126="","",125-IF($R126=1,0,INDEX($M$2:$M$66,$R126-1)))</f>
        <v/>
      </c>
      <c r="T126" s="20" t="n">
        <f aca="false">IF($R126="",0,IF($S126=INDEX($L$2:$L$66,$R126),1,0))</f>
        <v>0</v>
      </c>
    </row>
    <row r="127" customFormat="false" ht="13.5" hidden="false" customHeight="false" outlineLevel="0" collapsed="false">
      <c r="Q127" s="47" t="n">
        <v>126</v>
      </c>
      <c r="R127" s="20" t="str">
        <f aca="false">IF(126&gt;$V$1,"",COUNTIF($M$2:$M$66,"&lt;"&amp;126)+1)</f>
        <v/>
      </c>
      <c r="S127" s="20" t="str">
        <f aca="false">IF($R127="","",126-IF($R127=1,0,INDEX($M$2:$M$66,$R127-1)))</f>
        <v/>
      </c>
      <c r="T127" s="20" t="n">
        <f aca="false">IF($R127="",0,IF($S127=INDEX($L$2:$L$66,$R127),1,0))</f>
        <v>0</v>
      </c>
    </row>
    <row r="128" customFormat="false" ht="13.5" hidden="false" customHeight="false" outlineLevel="0" collapsed="false">
      <c r="Q128" s="47" t="n">
        <v>127</v>
      </c>
      <c r="R128" s="20" t="str">
        <f aca="false">IF(127&gt;$V$1,"",COUNTIF($M$2:$M$66,"&lt;"&amp;127)+1)</f>
        <v/>
      </c>
      <c r="S128" s="20" t="str">
        <f aca="false">IF($R128="","",127-IF($R128=1,0,INDEX($M$2:$M$66,$R128-1)))</f>
        <v/>
      </c>
      <c r="T128" s="20" t="n">
        <f aca="false">IF($R128="",0,IF($S128=INDEX($L$2:$L$66,$R128),1,0))</f>
        <v>0</v>
      </c>
    </row>
    <row r="129" customFormat="false" ht="13.5" hidden="false" customHeight="false" outlineLevel="0" collapsed="false">
      <c r="Q129" s="47" t="n">
        <v>128</v>
      </c>
      <c r="R129" s="20" t="str">
        <f aca="false">IF(128&gt;$V$1,"",COUNTIF($M$2:$M$66,"&lt;"&amp;128)+1)</f>
        <v/>
      </c>
      <c r="S129" s="20" t="str">
        <f aca="false">IF($R129="","",128-IF($R129=1,0,INDEX($M$2:$M$66,$R129-1)))</f>
        <v/>
      </c>
      <c r="T129" s="20" t="n">
        <f aca="false">IF($R129="",0,IF($S129=INDEX($L$2:$L$66,$R129),1,0))</f>
        <v>0</v>
      </c>
    </row>
    <row r="130" customFormat="false" ht="13.5" hidden="false" customHeight="false" outlineLevel="0" collapsed="false">
      <c r="Q130" s="47" t="n">
        <v>129</v>
      </c>
      <c r="R130" s="20" t="str">
        <f aca="false">IF(129&gt;$V$1,"",COUNTIF($M$2:$M$66,"&lt;"&amp;129)+1)</f>
        <v/>
      </c>
      <c r="S130" s="20" t="str">
        <f aca="false">IF($R130="","",129-IF($R130=1,0,INDEX($M$2:$M$66,$R130-1)))</f>
        <v/>
      </c>
      <c r="T130" s="20" t="n">
        <f aca="false">IF($R130="",0,IF($S130=INDEX($L$2:$L$66,$R130),1,0))</f>
        <v>0</v>
      </c>
    </row>
    <row r="131" customFormat="false" ht="13.5" hidden="false" customHeight="false" outlineLevel="0" collapsed="false">
      <c r="Q131" s="47" t="n">
        <v>130</v>
      </c>
      <c r="R131" s="20" t="str">
        <f aca="false">IF(130&gt;$V$1,"",COUNTIF($M$2:$M$66,"&lt;"&amp;130)+1)</f>
        <v/>
      </c>
      <c r="S131" s="20" t="str">
        <f aca="false">IF($R131="","",130-IF($R131=1,0,INDEX($M$2:$M$66,$R131-1)))</f>
        <v/>
      </c>
      <c r="T131" s="20" t="n">
        <f aca="false">IF($R131="",0,IF($S131=INDEX($L$2:$L$66,$R131),1,0))</f>
        <v>0</v>
      </c>
    </row>
    <row r="132" customFormat="false" ht="13.5" hidden="false" customHeight="false" outlineLevel="0" collapsed="false">
      <c r="Q132" s="47" t="n">
        <v>131</v>
      </c>
      <c r="R132" s="20" t="str">
        <f aca="false">IF(131&gt;$V$1,"",COUNTIF($M$2:$M$66,"&lt;"&amp;131)+1)</f>
        <v/>
      </c>
      <c r="S132" s="20" t="str">
        <f aca="false">IF($R132="","",131-IF($R132=1,0,INDEX($M$2:$M$66,$R132-1)))</f>
        <v/>
      </c>
      <c r="T132" s="20" t="n">
        <f aca="false">IF($R132="",0,IF($S132=INDEX($L$2:$L$66,$R132),1,0))</f>
        <v>0</v>
      </c>
    </row>
    <row r="133" customFormat="false" ht="13.5" hidden="false" customHeight="false" outlineLevel="0" collapsed="false">
      <c r="Q133" s="47" t="n">
        <v>132</v>
      </c>
      <c r="R133" s="20" t="str">
        <f aca="false">IF(132&gt;$V$1,"",COUNTIF($M$2:$M$66,"&lt;"&amp;132)+1)</f>
        <v/>
      </c>
      <c r="S133" s="20" t="str">
        <f aca="false">IF($R133="","",132-IF($R133=1,0,INDEX($M$2:$M$66,$R133-1)))</f>
        <v/>
      </c>
      <c r="T133" s="20" t="n">
        <f aca="false">IF($R133="",0,IF($S133=INDEX($L$2:$L$66,$R133),1,0))</f>
        <v>0</v>
      </c>
    </row>
    <row r="134" customFormat="false" ht="13.5" hidden="false" customHeight="false" outlineLevel="0" collapsed="false">
      <c r="Q134" s="47" t="n">
        <v>133</v>
      </c>
      <c r="R134" s="20" t="str">
        <f aca="false">IF(133&gt;$V$1,"",COUNTIF($M$2:$M$66,"&lt;"&amp;133)+1)</f>
        <v/>
      </c>
      <c r="S134" s="20" t="str">
        <f aca="false">IF($R134="","",133-IF($R134=1,0,INDEX($M$2:$M$66,$R134-1)))</f>
        <v/>
      </c>
      <c r="T134" s="20" t="n">
        <f aca="false">IF($R134="",0,IF($S134=INDEX($L$2:$L$66,$R134),1,0))</f>
        <v>0</v>
      </c>
    </row>
    <row r="135" customFormat="false" ht="13.5" hidden="false" customHeight="false" outlineLevel="0" collapsed="false">
      <c r="Q135" s="47" t="n">
        <v>134</v>
      </c>
      <c r="R135" s="20" t="str">
        <f aca="false">IF(134&gt;$V$1,"",COUNTIF($M$2:$M$66,"&lt;"&amp;134)+1)</f>
        <v/>
      </c>
      <c r="S135" s="20" t="str">
        <f aca="false">IF($R135="","",134-IF($R135=1,0,INDEX($M$2:$M$66,$R135-1)))</f>
        <v/>
      </c>
      <c r="T135" s="20" t="n">
        <f aca="false">IF($R135="",0,IF($S135=INDEX($L$2:$L$66,$R135),1,0))</f>
        <v>0</v>
      </c>
    </row>
    <row r="136" customFormat="false" ht="13.5" hidden="false" customHeight="false" outlineLevel="0" collapsed="false">
      <c r="Q136" s="47" t="n">
        <v>135</v>
      </c>
      <c r="R136" s="20" t="str">
        <f aca="false">IF(135&gt;$V$1,"",COUNTIF($M$2:$M$66,"&lt;"&amp;135)+1)</f>
        <v/>
      </c>
      <c r="S136" s="20" t="str">
        <f aca="false">IF($R136="","",135-IF($R136=1,0,INDEX($M$2:$M$66,$R136-1)))</f>
        <v/>
      </c>
      <c r="T136" s="20" t="n">
        <f aca="false">IF($R136="",0,IF($S136=INDEX($L$2:$L$66,$R136),1,0))</f>
        <v>0</v>
      </c>
    </row>
    <row r="137" customFormat="false" ht="13.5" hidden="false" customHeight="false" outlineLevel="0" collapsed="false">
      <c r="Q137" s="47" t="n">
        <v>136</v>
      </c>
      <c r="R137" s="20" t="str">
        <f aca="false">IF(136&gt;$V$1,"",COUNTIF($M$2:$M$66,"&lt;"&amp;136)+1)</f>
        <v/>
      </c>
      <c r="S137" s="20" t="str">
        <f aca="false">IF($R137="","",136-IF($R137=1,0,INDEX($M$2:$M$66,$R137-1)))</f>
        <v/>
      </c>
      <c r="T137" s="20" t="n">
        <f aca="false">IF($R137="",0,IF($S137=INDEX($L$2:$L$66,$R137),1,0))</f>
        <v>0</v>
      </c>
    </row>
    <row r="138" customFormat="false" ht="13.5" hidden="false" customHeight="false" outlineLevel="0" collapsed="false">
      <c r="Q138" s="47" t="n">
        <v>137</v>
      </c>
      <c r="R138" s="20" t="str">
        <f aca="false">IF(137&gt;$V$1,"",COUNTIF($M$2:$M$66,"&lt;"&amp;137)+1)</f>
        <v/>
      </c>
      <c r="S138" s="20" t="str">
        <f aca="false">IF($R138="","",137-IF($R138=1,0,INDEX($M$2:$M$66,$R138-1)))</f>
        <v/>
      </c>
      <c r="T138" s="20" t="n">
        <f aca="false">IF($R138="",0,IF($S138=INDEX($L$2:$L$66,$R138),1,0))</f>
        <v>0</v>
      </c>
    </row>
    <row r="139" customFormat="false" ht="13.5" hidden="false" customHeight="false" outlineLevel="0" collapsed="false">
      <c r="Q139" s="47" t="n">
        <v>138</v>
      </c>
      <c r="R139" s="20" t="str">
        <f aca="false">IF(138&gt;$V$1,"",COUNTIF($M$2:$M$66,"&lt;"&amp;138)+1)</f>
        <v/>
      </c>
      <c r="S139" s="20" t="str">
        <f aca="false">IF($R139="","",138-IF($R139=1,0,INDEX($M$2:$M$66,$R139-1)))</f>
        <v/>
      </c>
      <c r="T139" s="20" t="n">
        <f aca="false">IF($R139="",0,IF($S139=INDEX($L$2:$L$66,$R139),1,0))</f>
        <v>0</v>
      </c>
    </row>
    <row r="140" customFormat="false" ht="13.5" hidden="false" customHeight="false" outlineLevel="0" collapsed="false">
      <c r="Q140" s="47" t="n">
        <v>139</v>
      </c>
      <c r="R140" s="20" t="str">
        <f aca="false">IF(139&gt;$V$1,"",COUNTIF($M$2:$M$66,"&lt;"&amp;139)+1)</f>
        <v/>
      </c>
      <c r="S140" s="20" t="str">
        <f aca="false">IF($R140="","",139-IF($R140=1,0,INDEX($M$2:$M$66,$R140-1)))</f>
        <v/>
      </c>
      <c r="T140" s="20" t="n">
        <f aca="false">IF($R140="",0,IF($S140=INDEX($L$2:$L$66,$R140),1,0))</f>
        <v>0</v>
      </c>
    </row>
    <row r="141" customFormat="false" ht="13.5" hidden="false" customHeight="false" outlineLevel="0" collapsed="false">
      <c r="Q141" s="47" t="n">
        <v>140</v>
      </c>
      <c r="R141" s="20" t="str">
        <f aca="false">IF(140&gt;$V$1,"",COUNTIF($M$2:$M$66,"&lt;"&amp;140)+1)</f>
        <v/>
      </c>
      <c r="S141" s="20" t="str">
        <f aca="false">IF($R141="","",140-IF($R141=1,0,INDEX($M$2:$M$66,$R141-1)))</f>
        <v/>
      </c>
      <c r="T141" s="20" t="n">
        <f aca="false">IF($R141="",0,IF($S141=INDEX($L$2:$L$66,$R141),1,0))</f>
        <v>0</v>
      </c>
    </row>
    <row r="142" customFormat="false" ht="13.5" hidden="false" customHeight="false" outlineLevel="0" collapsed="false">
      <c r="Q142" s="47" t="n">
        <v>141</v>
      </c>
      <c r="R142" s="20" t="str">
        <f aca="false">IF(141&gt;$V$1,"",COUNTIF($M$2:$M$66,"&lt;"&amp;141)+1)</f>
        <v/>
      </c>
      <c r="S142" s="20" t="str">
        <f aca="false">IF($R142="","",141-IF($R142=1,0,INDEX($M$2:$M$66,$R142-1)))</f>
        <v/>
      </c>
      <c r="T142" s="20" t="n">
        <f aca="false">IF($R142="",0,IF($S142=INDEX($L$2:$L$66,$R142),1,0))</f>
        <v>0</v>
      </c>
    </row>
    <row r="143" customFormat="false" ht="13.5" hidden="false" customHeight="false" outlineLevel="0" collapsed="false">
      <c r="Q143" s="47" t="n">
        <v>142</v>
      </c>
      <c r="R143" s="20" t="str">
        <f aca="false">IF(142&gt;$V$1,"",COUNTIF($M$2:$M$66,"&lt;"&amp;142)+1)</f>
        <v/>
      </c>
      <c r="S143" s="20" t="str">
        <f aca="false">IF($R143="","",142-IF($R143=1,0,INDEX($M$2:$M$66,$R143-1)))</f>
        <v/>
      </c>
      <c r="T143" s="20" t="n">
        <f aca="false">IF($R143="",0,IF($S143=INDEX($L$2:$L$66,$R143),1,0))</f>
        <v>0</v>
      </c>
    </row>
    <row r="144" customFormat="false" ht="13.5" hidden="false" customHeight="false" outlineLevel="0" collapsed="false">
      <c r="Q144" s="47" t="n">
        <v>143</v>
      </c>
      <c r="R144" s="20" t="str">
        <f aca="false">IF(143&gt;$V$1,"",COUNTIF($M$2:$M$66,"&lt;"&amp;143)+1)</f>
        <v/>
      </c>
      <c r="S144" s="20" t="str">
        <f aca="false">IF($R144="","",143-IF($R144=1,0,INDEX($M$2:$M$66,$R144-1)))</f>
        <v/>
      </c>
      <c r="T144" s="20" t="n">
        <f aca="false">IF($R144="",0,IF($S144=INDEX($L$2:$L$66,$R144),1,0))</f>
        <v>0</v>
      </c>
    </row>
    <row r="145" customFormat="false" ht="13.5" hidden="false" customHeight="false" outlineLevel="0" collapsed="false">
      <c r="Q145" s="47" t="n">
        <v>144</v>
      </c>
      <c r="R145" s="20" t="str">
        <f aca="false">IF(144&gt;$V$1,"",COUNTIF($M$2:$M$66,"&lt;"&amp;144)+1)</f>
        <v/>
      </c>
      <c r="S145" s="20" t="str">
        <f aca="false">IF($R145="","",144-IF($R145=1,0,INDEX($M$2:$M$66,$R145-1)))</f>
        <v/>
      </c>
      <c r="T145" s="20" t="n">
        <f aca="false">IF($R145="",0,IF($S145=INDEX($L$2:$L$66,$R145),1,0))</f>
        <v>0</v>
      </c>
    </row>
    <row r="146" customFormat="false" ht="13.5" hidden="false" customHeight="false" outlineLevel="0" collapsed="false">
      <c r="Q146" s="47" t="n">
        <v>145</v>
      </c>
      <c r="R146" s="20" t="str">
        <f aca="false">IF(145&gt;$V$1,"",COUNTIF($M$2:$M$66,"&lt;"&amp;145)+1)</f>
        <v/>
      </c>
      <c r="S146" s="20" t="str">
        <f aca="false">IF($R146="","",145-IF($R146=1,0,INDEX($M$2:$M$66,$R146-1)))</f>
        <v/>
      </c>
      <c r="T146" s="20" t="n">
        <f aca="false">IF($R146="",0,IF($S146=INDEX($L$2:$L$66,$R146),1,0))</f>
        <v>0</v>
      </c>
    </row>
    <row r="147" customFormat="false" ht="13.5" hidden="false" customHeight="false" outlineLevel="0" collapsed="false">
      <c r="Q147" s="47" t="n">
        <v>146</v>
      </c>
      <c r="R147" s="20" t="str">
        <f aca="false">IF(146&gt;$V$1,"",COUNTIF($M$2:$M$66,"&lt;"&amp;146)+1)</f>
        <v/>
      </c>
      <c r="S147" s="20" t="str">
        <f aca="false">IF($R147="","",146-IF($R147=1,0,INDEX($M$2:$M$66,$R147-1)))</f>
        <v/>
      </c>
      <c r="T147" s="20" t="n">
        <f aca="false">IF($R147="",0,IF($S147=INDEX($L$2:$L$66,$R147),1,0))</f>
        <v>0</v>
      </c>
    </row>
    <row r="148" customFormat="false" ht="13.5" hidden="false" customHeight="false" outlineLevel="0" collapsed="false">
      <c r="Q148" s="47" t="n">
        <v>147</v>
      </c>
      <c r="R148" s="20" t="str">
        <f aca="false">IF(147&gt;$V$1,"",COUNTIF($M$2:$M$66,"&lt;"&amp;147)+1)</f>
        <v/>
      </c>
      <c r="S148" s="20" t="str">
        <f aca="false">IF($R148="","",147-IF($R148=1,0,INDEX($M$2:$M$66,$R148-1)))</f>
        <v/>
      </c>
      <c r="T148" s="20" t="n">
        <f aca="false">IF($R148="",0,IF($S148=INDEX($L$2:$L$66,$R148),1,0))</f>
        <v>0</v>
      </c>
    </row>
    <row r="149" customFormat="false" ht="13.5" hidden="false" customHeight="false" outlineLevel="0" collapsed="false">
      <c r="Q149" s="47" t="n">
        <v>148</v>
      </c>
      <c r="R149" s="20" t="str">
        <f aca="false">IF(148&gt;$V$1,"",COUNTIF($M$2:$M$66,"&lt;"&amp;148)+1)</f>
        <v/>
      </c>
      <c r="S149" s="20" t="str">
        <f aca="false">IF($R149="","",148-IF($R149=1,0,INDEX($M$2:$M$66,$R149-1)))</f>
        <v/>
      </c>
      <c r="T149" s="20" t="n">
        <f aca="false">IF($R149="",0,IF($S149=INDEX($L$2:$L$66,$R149),1,0))</f>
        <v>0</v>
      </c>
    </row>
    <row r="150" customFormat="false" ht="13.5" hidden="false" customHeight="false" outlineLevel="0" collapsed="false">
      <c r="Q150" s="47" t="n">
        <v>149</v>
      </c>
      <c r="R150" s="20" t="str">
        <f aca="false">IF(149&gt;$V$1,"",COUNTIF($M$2:$M$66,"&lt;"&amp;149)+1)</f>
        <v/>
      </c>
      <c r="S150" s="20" t="str">
        <f aca="false">IF($R150="","",149-IF($R150=1,0,INDEX($M$2:$M$66,$R150-1)))</f>
        <v/>
      </c>
      <c r="T150" s="20" t="n">
        <f aca="false">IF($R150="",0,IF($S150=INDEX($L$2:$L$66,$R150),1,0))</f>
        <v>0</v>
      </c>
    </row>
    <row r="151" customFormat="false" ht="13.5" hidden="false" customHeight="false" outlineLevel="0" collapsed="false">
      <c r="Q151" s="47" t="n">
        <v>150</v>
      </c>
      <c r="R151" s="20" t="str">
        <f aca="false">IF(150&gt;$V$1,"",COUNTIF($M$2:$M$66,"&lt;"&amp;150)+1)</f>
        <v/>
      </c>
      <c r="S151" s="20" t="str">
        <f aca="false">IF($R151="","",150-IF($R151=1,0,INDEX($M$2:$M$66,$R151-1)))</f>
        <v/>
      </c>
      <c r="T151" s="20" t="n">
        <f aca="false">IF($R151="",0,IF($S151=INDEX($L$2:$L$66,$R151),1,0))</f>
        <v>0</v>
      </c>
    </row>
    <row r="152" customFormat="false" ht="13.5" hidden="false" customHeight="false" outlineLevel="0" collapsed="false">
      <c r="Q152" s="47" t="n">
        <v>151</v>
      </c>
      <c r="R152" s="20" t="str">
        <f aca="false">IF(151&gt;$V$1,"",COUNTIF($M$2:$M$66,"&lt;"&amp;151)+1)</f>
        <v/>
      </c>
      <c r="S152" s="20" t="str">
        <f aca="false">IF($R152="","",151-IF($R152=1,0,INDEX($M$2:$M$66,$R152-1)))</f>
        <v/>
      </c>
      <c r="T152" s="20" t="n">
        <f aca="false">IF($R152="",0,IF($S152=INDEX($L$2:$L$66,$R152),1,0))</f>
        <v>0</v>
      </c>
    </row>
    <row r="153" customFormat="false" ht="13.5" hidden="false" customHeight="false" outlineLevel="0" collapsed="false">
      <c r="Q153" s="47" t="n">
        <v>152</v>
      </c>
      <c r="R153" s="20" t="str">
        <f aca="false">IF(152&gt;$V$1,"",COUNTIF($M$2:$M$66,"&lt;"&amp;152)+1)</f>
        <v/>
      </c>
      <c r="S153" s="20" t="str">
        <f aca="false">IF($R153="","",152-IF($R153=1,0,INDEX($M$2:$M$66,$R153-1)))</f>
        <v/>
      </c>
      <c r="T153" s="20" t="n">
        <f aca="false">IF($R153="",0,IF($S153=INDEX($L$2:$L$66,$R153),1,0))</f>
        <v>0</v>
      </c>
    </row>
    <row r="154" customFormat="false" ht="13.5" hidden="false" customHeight="false" outlineLevel="0" collapsed="false">
      <c r="Q154" s="47" t="n">
        <v>153</v>
      </c>
      <c r="R154" s="20" t="str">
        <f aca="false">IF(153&gt;$V$1,"",COUNTIF($M$2:$M$66,"&lt;"&amp;153)+1)</f>
        <v/>
      </c>
      <c r="S154" s="20" t="str">
        <f aca="false">IF($R154="","",153-IF($R154=1,0,INDEX($M$2:$M$66,$R154-1)))</f>
        <v/>
      </c>
      <c r="T154" s="20" t="n">
        <f aca="false">IF($R154="",0,IF($S154=INDEX($L$2:$L$66,$R154),1,0))</f>
        <v>0</v>
      </c>
    </row>
    <row r="155" customFormat="false" ht="13.5" hidden="false" customHeight="false" outlineLevel="0" collapsed="false">
      <c r="Q155" s="47" t="n">
        <v>154</v>
      </c>
      <c r="R155" s="20" t="str">
        <f aca="false">IF(154&gt;$V$1,"",COUNTIF($M$2:$M$66,"&lt;"&amp;154)+1)</f>
        <v/>
      </c>
      <c r="S155" s="20" t="str">
        <f aca="false">IF($R155="","",154-IF($R155=1,0,INDEX($M$2:$M$66,$R155-1)))</f>
        <v/>
      </c>
      <c r="T155" s="20" t="n">
        <f aca="false">IF($R155="",0,IF($S155=INDEX($L$2:$L$66,$R155),1,0))</f>
        <v>0</v>
      </c>
    </row>
    <row r="156" customFormat="false" ht="13.5" hidden="false" customHeight="false" outlineLevel="0" collapsed="false">
      <c r="Q156" s="47" t="n">
        <v>155</v>
      </c>
      <c r="R156" s="20" t="str">
        <f aca="false">IF(155&gt;$V$1,"",COUNTIF($M$2:$M$66,"&lt;"&amp;155)+1)</f>
        <v/>
      </c>
      <c r="S156" s="20" t="str">
        <f aca="false">IF($R156="","",155-IF($R156=1,0,INDEX($M$2:$M$66,$R156-1)))</f>
        <v/>
      </c>
      <c r="T156" s="20" t="n">
        <f aca="false">IF($R156="",0,IF($S156=INDEX($L$2:$L$66,$R156),1,0))</f>
        <v>0</v>
      </c>
    </row>
    <row r="157" customFormat="false" ht="13.5" hidden="false" customHeight="false" outlineLevel="0" collapsed="false">
      <c r="Q157" s="47" t="n">
        <v>156</v>
      </c>
      <c r="R157" s="20" t="str">
        <f aca="false">IF(156&gt;$V$1,"",COUNTIF($M$2:$M$66,"&lt;"&amp;156)+1)</f>
        <v/>
      </c>
      <c r="S157" s="20" t="str">
        <f aca="false">IF($R157="","",156-IF($R157=1,0,INDEX($M$2:$M$66,$R157-1)))</f>
        <v/>
      </c>
      <c r="T157" s="20" t="n">
        <f aca="false">IF($R157="",0,IF($S157=INDEX($L$2:$L$66,$R157),1,0))</f>
        <v>0</v>
      </c>
    </row>
    <row r="158" customFormat="false" ht="13.5" hidden="false" customHeight="false" outlineLevel="0" collapsed="false">
      <c r="Q158" s="47" t="n">
        <v>157</v>
      </c>
      <c r="R158" s="20" t="str">
        <f aca="false">IF(157&gt;$V$1,"",COUNTIF($M$2:$M$66,"&lt;"&amp;157)+1)</f>
        <v/>
      </c>
      <c r="S158" s="20" t="str">
        <f aca="false">IF($R158="","",157-IF($R158=1,0,INDEX($M$2:$M$66,$R158-1)))</f>
        <v/>
      </c>
      <c r="T158" s="20" t="n">
        <f aca="false">IF($R158="",0,IF($S158=INDEX($L$2:$L$66,$R158),1,0))</f>
        <v>0</v>
      </c>
    </row>
    <row r="159" customFormat="false" ht="13.5" hidden="false" customHeight="false" outlineLevel="0" collapsed="false">
      <c r="Q159" s="47" t="n">
        <v>158</v>
      </c>
      <c r="R159" s="20" t="str">
        <f aca="false">IF(158&gt;$V$1,"",COUNTIF($M$2:$M$66,"&lt;"&amp;158)+1)</f>
        <v/>
      </c>
      <c r="S159" s="20" t="str">
        <f aca="false">IF($R159="","",158-IF($R159=1,0,INDEX($M$2:$M$66,$R159-1)))</f>
        <v/>
      </c>
      <c r="T159" s="20" t="n">
        <f aca="false">IF($R159="",0,IF($S159=INDEX($L$2:$L$66,$R159),1,0))</f>
        <v>0</v>
      </c>
    </row>
    <row r="160" customFormat="false" ht="13.5" hidden="false" customHeight="false" outlineLevel="0" collapsed="false">
      <c r="Q160" s="47" t="n">
        <v>159</v>
      </c>
      <c r="R160" s="20" t="str">
        <f aca="false">IF(159&gt;$V$1,"",COUNTIF($M$2:$M$66,"&lt;"&amp;159)+1)</f>
        <v/>
      </c>
      <c r="S160" s="20" t="str">
        <f aca="false">IF($R160="","",159-IF($R160=1,0,INDEX($M$2:$M$66,$R160-1)))</f>
        <v/>
      </c>
      <c r="T160" s="20" t="n">
        <f aca="false">IF($R160="",0,IF($S160=INDEX($L$2:$L$66,$R160),1,0))</f>
        <v>0</v>
      </c>
    </row>
    <row r="161" customFormat="false" ht="13.5" hidden="false" customHeight="false" outlineLevel="0" collapsed="false">
      <c r="Q161" s="47" t="n">
        <v>160</v>
      </c>
      <c r="R161" s="20" t="str">
        <f aca="false">IF(160&gt;$V$1,"",COUNTIF($M$2:$M$66,"&lt;"&amp;160)+1)</f>
        <v/>
      </c>
      <c r="S161" s="20" t="str">
        <f aca="false">IF($R161="","",160-IF($R161=1,0,INDEX($M$2:$M$66,$R161-1)))</f>
        <v/>
      </c>
      <c r="T161" s="20" t="n">
        <f aca="false">IF($R161="",0,IF($S161=INDEX($L$2:$L$66,$R161),1,0))</f>
        <v>0</v>
      </c>
    </row>
    <row r="162" customFormat="false" ht="13.5" hidden="false" customHeight="false" outlineLevel="0" collapsed="false">
      <c r="Q162" s="47" t="n">
        <v>161</v>
      </c>
      <c r="R162" s="20" t="str">
        <f aca="false">IF(161&gt;$V$1,"",COUNTIF($M$2:$M$66,"&lt;"&amp;161)+1)</f>
        <v/>
      </c>
      <c r="S162" s="20" t="str">
        <f aca="false">IF($R162="","",161-IF($R162=1,0,INDEX($M$2:$M$66,$R162-1)))</f>
        <v/>
      </c>
      <c r="T162" s="20" t="n">
        <f aca="false">IF($R162="",0,IF($S162=INDEX($L$2:$L$66,$R162),1,0))</f>
        <v>0</v>
      </c>
    </row>
    <row r="163" customFormat="false" ht="13.5" hidden="false" customHeight="false" outlineLevel="0" collapsed="false">
      <c r="Q163" s="47" t="n">
        <v>162</v>
      </c>
      <c r="R163" s="20" t="str">
        <f aca="false">IF(162&gt;$V$1,"",COUNTIF($M$2:$M$66,"&lt;"&amp;162)+1)</f>
        <v/>
      </c>
      <c r="S163" s="20" t="str">
        <f aca="false">IF($R163="","",162-IF($R163=1,0,INDEX($M$2:$M$66,$R163-1)))</f>
        <v/>
      </c>
      <c r="T163" s="20" t="n">
        <f aca="false">IF($R163="",0,IF($S163=INDEX($L$2:$L$66,$R163),1,0))</f>
        <v>0</v>
      </c>
    </row>
    <row r="164" customFormat="false" ht="13.5" hidden="false" customHeight="false" outlineLevel="0" collapsed="false">
      <c r="Q164" s="47" t="n">
        <v>163</v>
      </c>
      <c r="R164" s="20" t="str">
        <f aca="false">IF(163&gt;$V$1,"",COUNTIF($M$2:$M$66,"&lt;"&amp;163)+1)</f>
        <v/>
      </c>
      <c r="S164" s="20" t="str">
        <f aca="false">IF($R164="","",163-IF($R164=1,0,INDEX($M$2:$M$66,$R164-1)))</f>
        <v/>
      </c>
      <c r="T164" s="20" t="n">
        <f aca="false">IF($R164="",0,IF($S164=INDEX($L$2:$L$66,$R164),1,0))</f>
        <v>0</v>
      </c>
    </row>
    <row r="165" customFormat="false" ht="13.5" hidden="false" customHeight="false" outlineLevel="0" collapsed="false">
      <c r="Q165" s="47" t="n">
        <v>164</v>
      </c>
      <c r="R165" s="20" t="str">
        <f aca="false">IF(164&gt;$V$1,"",COUNTIF($M$2:$M$66,"&lt;"&amp;164)+1)</f>
        <v/>
      </c>
      <c r="S165" s="20" t="str">
        <f aca="false">IF($R165="","",164-IF($R165=1,0,INDEX($M$2:$M$66,$R165-1)))</f>
        <v/>
      </c>
      <c r="T165" s="20" t="n">
        <f aca="false">IF($R165="",0,IF($S165=INDEX($L$2:$L$66,$R165),1,0))</f>
        <v>0</v>
      </c>
    </row>
    <row r="166" customFormat="false" ht="13.5" hidden="false" customHeight="false" outlineLevel="0" collapsed="false">
      <c r="Q166" s="47" t="n">
        <v>165</v>
      </c>
      <c r="R166" s="20" t="str">
        <f aca="false">IF(165&gt;$V$1,"",COUNTIF($M$2:$M$66,"&lt;"&amp;165)+1)</f>
        <v/>
      </c>
      <c r="S166" s="20" t="str">
        <f aca="false">IF($R166="","",165-IF($R166=1,0,INDEX($M$2:$M$66,$R166-1)))</f>
        <v/>
      </c>
      <c r="T166" s="20" t="n">
        <f aca="false">IF($R166="",0,IF($S166=INDEX($L$2:$L$66,$R166),1,0))</f>
        <v>0</v>
      </c>
    </row>
    <row r="167" customFormat="false" ht="13.5" hidden="false" customHeight="false" outlineLevel="0" collapsed="false">
      <c r="Q167" s="47" t="n">
        <v>166</v>
      </c>
      <c r="R167" s="20" t="str">
        <f aca="false">IF(166&gt;$V$1,"",COUNTIF($M$2:$M$66,"&lt;"&amp;166)+1)</f>
        <v/>
      </c>
      <c r="S167" s="20" t="str">
        <f aca="false">IF($R167="","",166-IF($R167=1,0,INDEX($M$2:$M$66,$R167-1)))</f>
        <v/>
      </c>
      <c r="T167" s="20" t="n">
        <f aca="false">IF($R167="",0,IF($S167=INDEX($L$2:$L$66,$R167),1,0))</f>
        <v>0</v>
      </c>
    </row>
    <row r="168" customFormat="false" ht="13.5" hidden="false" customHeight="false" outlineLevel="0" collapsed="false">
      <c r="Q168" s="47" t="n">
        <v>167</v>
      </c>
      <c r="R168" s="20" t="str">
        <f aca="false">IF(167&gt;$V$1,"",COUNTIF($M$2:$M$66,"&lt;"&amp;167)+1)</f>
        <v/>
      </c>
      <c r="S168" s="20" t="str">
        <f aca="false">IF($R168="","",167-IF($R168=1,0,INDEX($M$2:$M$66,$R168-1)))</f>
        <v/>
      </c>
      <c r="T168" s="20" t="n">
        <f aca="false">IF($R168="",0,IF($S168=INDEX($L$2:$L$66,$R168),1,0))</f>
        <v>0</v>
      </c>
    </row>
    <row r="169" customFormat="false" ht="13.5" hidden="false" customHeight="false" outlineLevel="0" collapsed="false">
      <c r="Q169" s="47" t="n">
        <v>168</v>
      </c>
      <c r="R169" s="20" t="str">
        <f aca="false">IF(168&gt;$V$1,"",COUNTIF($M$2:$M$66,"&lt;"&amp;168)+1)</f>
        <v/>
      </c>
      <c r="S169" s="20" t="str">
        <f aca="false">IF($R169="","",168-IF($R169=1,0,INDEX($M$2:$M$66,$R169-1)))</f>
        <v/>
      </c>
      <c r="T169" s="20" t="n">
        <f aca="false">IF($R169="",0,IF($S169=INDEX($L$2:$L$66,$R169),1,0))</f>
        <v>0</v>
      </c>
    </row>
    <row r="170" customFormat="false" ht="13.5" hidden="false" customHeight="false" outlineLevel="0" collapsed="false">
      <c r="Q170" s="47" t="n">
        <v>169</v>
      </c>
      <c r="R170" s="20" t="str">
        <f aca="false">IF(169&gt;$V$1,"",COUNTIF($M$2:$M$66,"&lt;"&amp;169)+1)</f>
        <v/>
      </c>
      <c r="S170" s="20" t="str">
        <f aca="false">IF($R170="","",169-IF($R170=1,0,INDEX($M$2:$M$66,$R170-1)))</f>
        <v/>
      </c>
      <c r="T170" s="20" t="n">
        <f aca="false">IF($R170="",0,IF($S170=INDEX($L$2:$L$66,$R170),1,0))</f>
        <v>0</v>
      </c>
    </row>
    <row r="171" customFormat="false" ht="13.5" hidden="false" customHeight="false" outlineLevel="0" collapsed="false">
      <c r="Q171" s="47" t="n">
        <v>170</v>
      </c>
      <c r="R171" s="20" t="str">
        <f aca="false">IF(170&gt;$V$1,"",COUNTIF($M$2:$M$66,"&lt;"&amp;170)+1)</f>
        <v/>
      </c>
      <c r="S171" s="20" t="str">
        <f aca="false">IF($R171="","",170-IF($R171=1,0,INDEX($M$2:$M$66,$R171-1)))</f>
        <v/>
      </c>
      <c r="T171" s="20" t="n">
        <f aca="false">IF($R171="",0,IF($S171=INDEX($L$2:$L$66,$R171),1,0))</f>
        <v>0</v>
      </c>
    </row>
    <row r="172" customFormat="false" ht="13.5" hidden="false" customHeight="false" outlineLevel="0" collapsed="false">
      <c r="Q172" s="47" t="n">
        <v>171</v>
      </c>
      <c r="R172" s="20" t="str">
        <f aca="false">IF(171&gt;$V$1,"",COUNTIF($M$2:$M$66,"&lt;"&amp;171)+1)</f>
        <v/>
      </c>
      <c r="S172" s="20" t="str">
        <f aca="false">IF($R172="","",171-IF($R172=1,0,INDEX($M$2:$M$66,$R172-1)))</f>
        <v/>
      </c>
      <c r="T172" s="20" t="n">
        <f aca="false">IF($R172="",0,IF($S172=INDEX($L$2:$L$66,$R172),1,0))</f>
        <v>0</v>
      </c>
    </row>
    <row r="173" customFormat="false" ht="13.5" hidden="false" customHeight="false" outlineLevel="0" collapsed="false">
      <c r="Q173" s="47" t="n">
        <v>172</v>
      </c>
      <c r="R173" s="20" t="str">
        <f aca="false">IF(172&gt;$V$1,"",COUNTIF($M$2:$M$66,"&lt;"&amp;172)+1)</f>
        <v/>
      </c>
      <c r="S173" s="20" t="str">
        <f aca="false">IF($R173="","",172-IF($R173=1,0,INDEX($M$2:$M$66,$R173-1)))</f>
        <v/>
      </c>
      <c r="T173" s="20" t="n">
        <f aca="false">IF($R173="",0,IF($S173=INDEX($L$2:$L$66,$R173),1,0))</f>
        <v>0</v>
      </c>
    </row>
    <row r="174" customFormat="false" ht="13.5" hidden="false" customHeight="false" outlineLevel="0" collapsed="false">
      <c r="Q174" s="47" t="n">
        <v>173</v>
      </c>
      <c r="R174" s="20" t="str">
        <f aca="false">IF(173&gt;$V$1,"",COUNTIF($M$2:$M$66,"&lt;"&amp;173)+1)</f>
        <v/>
      </c>
      <c r="S174" s="20" t="str">
        <f aca="false">IF($R174="","",173-IF($R174=1,0,INDEX($M$2:$M$66,$R174-1)))</f>
        <v/>
      </c>
      <c r="T174" s="20" t="n">
        <f aca="false">IF($R174="",0,IF($S174=INDEX($L$2:$L$66,$R174),1,0))</f>
        <v>0</v>
      </c>
    </row>
    <row r="175" customFormat="false" ht="13.5" hidden="false" customHeight="false" outlineLevel="0" collapsed="false">
      <c r="Q175" s="47" t="n">
        <v>174</v>
      </c>
      <c r="R175" s="20" t="str">
        <f aca="false">IF(174&gt;$V$1,"",COUNTIF($M$2:$M$66,"&lt;"&amp;174)+1)</f>
        <v/>
      </c>
      <c r="S175" s="20" t="str">
        <f aca="false">IF($R175="","",174-IF($R175=1,0,INDEX($M$2:$M$66,$R175-1)))</f>
        <v/>
      </c>
      <c r="T175" s="20" t="n">
        <f aca="false">IF($R175="",0,IF($S175=INDEX($L$2:$L$66,$R175),1,0))</f>
        <v>0</v>
      </c>
    </row>
    <row r="176" customFormat="false" ht="13.5" hidden="false" customHeight="false" outlineLevel="0" collapsed="false">
      <c r="Q176" s="47" t="n">
        <v>175</v>
      </c>
      <c r="R176" s="20" t="str">
        <f aca="false">IF(175&gt;$V$1,"",COUNTIF($M$2:$M$66,"&lt;"&amp;175)+1)</f>
        <v/>
      </c>
      <c r="S176" s="20" t="str">
        <f aca="false">IF($R176="","",175-IF($R176=1,0,INDEX($M$2:$M$66,$R176-1)))</f>
        <v/>
      </c>
      <c r="T176" s="20" t="n">
        <f aca="false">IF($R176="",0,IF($S176=INDEX($L$2:$L$66,$R176),1,0))</f>
        <v>0</v>
      </c>
    </row>
    <row r="177" customFormat="false" ht="13.5" hidden="false" customHeight="false" outlineLevel="0" collapsed="false">
      <c r="Q177" s="47" t="n">
        <v>176</v>
      </c>
      <c r="R177" s="20" t="str">
        <f aca="false">IF(176&gt;$V$1,"",COUNTIF($M$2:$M$66,"&lt;"&amp;176)+1)</f>
        <v/>
      </c>
      <c r="S177" s="20" t="str">
        <f aca="false">IF($R177="","",176-IF($R177=1,0,INDEX($M$2:$M$66,$R177-1)))</f>
        <v/>
      </c>
      <c r="T177" s="20" t="n">
        <f aca="false">IF($R177="",0,IF($S177=INDEX($L$2:$L$66,$R177),1,0))</f>
        <v>0</v>
      </c>
    </row>
    <row r="178" customFormat="false" ht="13.5" hidden="false" customHeight="false" outlineLevel="0" collapsed="false">
      <c r="Q178" s="47" t="n">
        <v>177</v>
      </c>
      <c r="R178" s="20" t="str">
        <f aca="false">IF(177&gt;$V$1,"",COUNTIF($M$2:$M$66,"&lt;"&amp;177)+1)</f>
        <v/>
      </c>
      <c r="S178" s="20" t="str">
        <f aca="false">IF($R178="","",177-IF($R178=1,0,INDEX($M$2:$M$66,$R178-1)))</f>
        <v/>
      </c>
      <c r="T178" s="20" t="n">
        <f aca="false">IF($R178="",0,IF($S178=INDEX($L$2:$L$66,$R178),1,0))</f>
        <v>0</v>
      </c>
    </row>
    <row r="179" customFormat="false" ht="13.5" hidden="false" customHeight="false" outlineLevel="0" collapsed="false">
      <c r="Q179" s="47" t="n">
        <v>178</v>
      </c>
      <c r="R179" s="20" t="str">
        <f aca="false">IF(178&gt;$V$1,"",COUNTIF($M$2:$M$66,"&lt;"&amp;178)+1)</f>
        <v/>
      </c>
      <c r="S179" s="20" t="str">
        <f aca="false">IF($R179="","",178-IF($R179=1,0,INDEX($M$2:$M$66,$R179-1)))</f>
        <v/>
      </c>
      <c r="T179" s="20" t="n">
        <f aca="false">IF($R179="",0,IF($S179=INDEX($L$2:$L$66,$R179),1,0))</f>
        <v>0</v>
      </c>
    </row>
    <row r="180" customFormat="false" ht="13.5" hidden="false" customHeight="false" outlineLevel="0" collapsed="false">
      <c r="Q180" s="47" t="n">
        <v>179</v>
      </c>
      <c r="R180" s="20" t="str">
        <f aca="false">IF(179&gt;$V$1,"",COUNTIF($M$2:$M$66,"&lt;"&amp;179)+1)</f>
        <v/>
      </c>
      <c r="S180" s="20" t="str">
        <f aca="false">IF($R180="","",179-IF($R180=1,0,INDEX($M$2:$M$66,$R180-1)))</f>
        <v/>
      </c>
      <c r="T180" s="20" t="n">
        <f aca="false">IF($R180="",0,IF($S180=INDEX($L$2:$L$66,$R180),1,0))</f>
        <v>0</v>
      </c>
    </row>
    <row r="181" customFormat="false" ht="13.5" hidden="false" customHeight="false" outlineLevel="0" collapsed="false">
      <c r="Q181" s="47" t="n">
        <v>180</v>
      </c>
      <c r="R181" s="20" t="str">
        <f aca="false">IF(180&gt;$V$1,"",COUNTIF($M$2:$M$66,"&lt;"&amp;180)+1)</f>
        <v/>
      </c>
      <c r="S181" s="20" t="str">
        <f aca="false">IF($R181="","",180-IF($R181=1,0,INDEX($M$2:$M$66,$R181-1)))</f>
        <v/>
      </c>
      <c r="T181" s="20" t="n">
        <f aca="false">IF($R181="",0,IF($S181=INDEX($L$2:$L$66,$R181),1,0))</f>
        <v>0</v>
      </c>
    </row>
    <row r="182" customFormat="false" ht="13.5" hidden="false" customHeight="false" outlineLevel="0" collapsed="false">
      <c r="Q182" s="47" t="n">
        <v>181</v>
      </c>
      <c r="R182" s="20" t="str">
        <f aca="false">IF(181&gt;$V$1,"",COUNTIF($M$2:$M$66,"&lt;"&amp;181)+1)</f>
        <v/>
      </c>
      <c r="S182" s="20" t="str">
        <f aca="false">IF($R182="","",181-IF($R182=1,0,INDEX($M$2:$M$66,$R182-1)))</f>
        <v/>
      </c>
      <c r="T182" s="20" t="n">
        <f aca="false">IF($R182="",0,IF($S182=INDEX($L$2:$L$66,$R182),1,0))</f>
        <v>0</v>
      </c>
    </row>
    <row r="183" customFormat="false" ht="13.5" hidden="false" customHeight="false" outlineLevel="0" collapsed="false">
      <c r="Q183" s="47" t="n">
        <v>182</v>
      </c>
      <c r="R183" s="20" t="str">
        <f aca="false">IF(182&gt;$V$1,"",COUNTIF($M$2:$M$66,"&lt;"&amp;182)+1)</f>
        <v/>
      </c>
      <c r="S183" s="20" t="str">
        <f aca="false">IF($R183="","",182-IF($R183=1,0,INDEX($M$2:$M$66,$R183-1)))</f>
        <v/>
      </c>
      <c r="T183" s="20" t="n">
        <f aca="false">IF($R183="",0,IF($S183=INDEX($L$2:$L$66,$R183),1,0))</f>
        <v>0</v>
      </c>
    </row>
    <row r="184" customFormat="false" ht="13.5" hidden="false" customHeight="false" outlineLevel="0" collapsed="false">
      <c r="Q184" s="47" t="n">
        <v>183</v>
      </c>
      <c r="R184" s="20" t="str">
        <f aca="false">IF(183&gt;$V$1,"",COUNTIF($M$2:$M$66,"&lt;"&amp;183)+1)</f>
        <v/>
      </c>
      <c r="S184" s="20" t="str">
        <f aca="false">IF($R184="","",183-IF($R184=1,0,INDEX($M$2:$M$66,$R184-1)))</f>
        <v/>
      </c>
      <c r="T184" s="20" t="n">
        <f aca="false">IF($R184="",0,IF($S184=INDEX($L$2:$L$66,$R184),1,0))</f>
        <v>0</v>
      </c>
    </row>
    <row r="185" customFormat="false" ht="13.5" hidden="false" customHeight="false" outlineLevel="0" collapsed="false">
      <c r="Q185" s="47" t="n">
        <v>184</v>
      </c>
      <c r="R185" s="20" t="str">
        <f aca="false">IF(184&gt;$V$1,"",COUNTIF($M$2:$M$66,"&lt;"&amp;184)+1)</f>
        <v/>
      </c>
      <c r="S185" s="20" t="str">
        <f aca="false">IF($R185="","",184-IF($R185=1,0,INDEX($M$2:$M$66,$R185-1)))</f>
        <v/>
      </c>
      <c r="T185" s="20" t="n">
        <f aca="false">IF($R185="",0,IF($S185=INDEX($L$2:$L$66,$R185),1,0))</f>
        <v>0</v>
      </c>
    </row>
    <row r="186" customFormat="false" ht="13.5" hidden="false" customHeight="false" outlineLevel="0" collapsed="false">
      <c r="Q186" s="47" t="n">
        <v>185</v>
      </c>
      <c r="R186" s="20" t="str">
        <f aca="false">IF(185&gt;$V$1,"",COUNTIF($M$2:$M$66,"&lt;"&amp;185)+1)</f>
        <v/>
      </c>
      <c r="S186" s="20" t="str">
        <f aca="false">IF($R186="","",185-IF($R186=1,0,INDEX($M$2:$M$66,$R186-1)))</f>
        <v/>
      </c>
      <c r="T186" s="20" t="n">
        <f aca="false">IF($R186="",0,IF($S186=INDEX($L$2:$L$66,$R186),1,0))</f>
        <v>0</v>
      </c>
    </row>
    <row r="187" customFormat="false" ht="13.5" hidden="false" customHeight="false" outlineLevel="0" collapsed="false">
      <c r="Q187" s="47" t="n">
        <v>186</v>
      </c>
      <c r="R187" s="20" t="str">
        <f aca="false">IF(186&gt;$V$1,"",COUNTIF($M$2:$M$66,"&lt;"&amp;186)+1)</f>
        <v/>
      </c>
      <c r="S187" s="20" t="str">
        <f aca="false">IF($R187="","",186-IF($R187=1,0,INDEX($M$2:$M$66,$R187-1)))</f>
        <v/>
      </c>
      <c r="T187" s="20" t="n">
        <f aca="false">IF($R187="",0,IF($S187=INDEX($L$2:$L$66,$R187),1,0))</f>
        <v>0</v>
      </c>
    </row>
    <row r="188" customFormat="false" ht="13.5" hidden="false" customHeight="false" outlineLevel="0" collapsed="false">
      <c r="Q188" s="47" t="n">
        <v>187</v>
      </c>
      <c r="R188" s="20" t="str">
        <f aca="false">IF(187&gt;$V$1,"",COUNTIF($M$2:$M$66,"&lt;"&amp;187)+1)</f>
        <v/>
      </c>
      <c r="S188" s="20" t="str">
        <f aca="false">IF($R188="","",187-IF($R188=1,0,INDEX($M$2:$M$66,$R188-1)))</f>
        <v/>
      </c>
      <c r="T188" s="20" t="n">
        <f aca="false">IF($R188="",0,IF($S188=INDEX($L$2:$L$66,$R188),1,0))</f>
        <v>0</v>
      </c>
    </row>
    <row r="189" customFormat="false" ht="13.5" hidden="false" customHeight="false" outlineLevel="0" collapsed="false">
      <c r="Q189" s="47" t="n">
        <v>188</v>
      </c>
      <c r="R189" s="20" t="str">
        <f aca="false">IF(188&gt;$V$1,"",COUNTIF($M$2:$M$66,"&lt;"&amp;188)+1)</f>
        <v/>
      </c>
      <c r="S189" s="20" t="str">
        <f aca="false">IF($R189="","",188-IF($R189=1,0,INDEX($M$2:$M$66,$R189-1)))</f>
        <v/>
      </c>
      <c r="T189" s="20" t="n">
        <f aca="false">IF($R189="",0,IF($S189=INDEX($L$2:$L$66,$R189),1,0))</f>
        <v>0</v>
      </c>
    </row>
    <row r="190" customFormat="false" ht="13.5" hidden="false" customHeight="false" outlineLevel="0" collapsed="false">
      <c r="Q190" s="47" t="n">
        <v>189</v>
      </c>
      <c r="R190" s="20" t="str">
        <f aca="false">IF(189&gt;$V$1,"",COUNTIF($M$2:$M$66,"&lt;"&amp;189)+1)</f>
        <v/>
      </c>
      <c r="S190" s="20" t="str">
        <f aca="false">IF($R190="","",189-IF($R190=1,0,INDEX($M$2:$M$66,$R190-1)))</f>
        <v/>
      </c>
      <c r="T190" s="20" t="n">
        <f aca="false">IF($R190="",0,IF($S190=INDEX($L$2:$L$66,$R190),1,0))</f>
        <v>0</v>
      </c>
    </row>
    <row r="191" customFormat="false" ht="13.5" hidden="false" customHeight="false" outlineLevel="0" collapsed="false">
      <c r="Q191" s="47" t="n">
        <v>190</v>
      </c>
      <c r="R191" s="20" t="str">
        <f aca="false">IF(190&gt;$V$1,"",COUNTIF($M$2:$M$66,"&lt;"&amp;190)+1)</f>
        <v/>
      </c>
      <c r="S191" s="20" t="str">
        <f aca="false">IF($R191="","",190-IF($R191=1,0,INDEX($M$2:$M$66,$R191-1)))</f>
        <v/>
      </c>
      <c r="T191" s="20" t="n">
        <f aca="false">IF($R191="",0,IF($S191=INDEX($L$2:$L$66,$R191),1,0))</f>
        <v>0</v>
      </c>
    </row>
    <row r="192" customFormat="false" ht="13.5" hidden="false" customHeight="false" outlineLevel="0" collapsed="false">
      <c r="Q192" s="47" t="n">
        <v>191</v>
      </c>
      <c r="R192" s="20" t="str">
        <f aca="false">IF(191&gt;$V$1,"",COUNTIF($M$2:$M$66,"&lt;"&amp;191)+1)</f>
        <v/>
      </c>
      <c r="S192" s="20" t="str">
        <f aca="false">IF($R192="","",191-IF($R192=1,0,INDEX($M$2:$M$66,$R192-1)))</f>
        <v/>
      </c>
      <c r="T192" s="20" t="n">
        <f aca="false">IF($R192="",0,IF($S192=INDEX($L$2:$L$66,$R192),1,0))</f>
        <v>0</v>
      </c>
    </row>
    <row r="193" customFormat="false" ht="13.5" hidden="false" customHeight="false" outlineLevel="0" collapsed="false">
      <c r="Q193" s="47" t="n">
        <v>192</v>
      </c>
      <c r="R193" s="20" t="str">
        <f aca="false">IF(192&gt;$V$1,"",COUNTIF($M$2:$M$66,"&lt;"&amp;192)+1)</f>
        <v/>
      </c>
      <c r="S193" s="20" t="str">
        <f aca="false">IF($R193="","",192-IF($R193=1,0,INDEX($M$2:$M$66,$R193-1)))</f>
        <v/>
      </c>
      <c r="T193" s="20" t="n">
        <f aca="false">IF($R193="",0,IF($S193=INDEX($L$2:$L$66,$R193),1,0))</f>
        <v>0</v>
      </c>
    </row>
    <row r="194" customFormat="false" ht="13.5" hidden="false" customHeight="false" outlineLevel="0" collapsed="false">
      <c r="Q194" s="47" t="n">
        <v>193</v>
      </c>
      <c r="R194" s="20" t="str">
        <f aca="false">IF(193&gt;$V$1,"",COUNTIF($M$2:$M$66,"&lt;"&amp;193)+1)</f>
        <v/>
      </c>
      <c r="S194" s="20" t="str">
        <f aca="false">IF($R194="","",193-IF($R194=1,0,INDEX($M$2:$M$66,$R194-1)))</f>
        <v/>
      </c>
      <c r="T194" s="20" t="n">
        <f aca="false">IF($R194="",0,IF($S194=INDEX($L$2:$L$66,$R194),1,0))</f>
        <v>0</v>
      </c>
    </row>
    <row r="195" customFormat="false" ht="13.5" hidden="false" customHeight="false" outlineLevel="0" collapsed="false">
      <c r="Q195" s="47" t="n">
        <v>194</v>
      </c>
      <c r="R195" s="20" t="str">
        <f aca="false">IF(194&gt;$V$1,"",COUNTIF($M$2:$M$66,"&lt;"&amp;194)+1)</f>
        <v/>
      </c>
      <c r="S195" s="20" t="str">
        <f aca="false">IF($R195="","",194-IF($R195=1,0,INDEX($M$2:$M$66,$R195-1)))</f>
        <v/>
      </c>
      <c r="T195" s="20" t="n">
        <f aca="false">IF($R195="",0,IF($S195=INDEX($L$2:$L$66,$R195),1,0))</f>
        <v>0</v>
      </c>
    </row>
    <row r="196" customFormat="false" ht="13.5" hidden="false" customHeight="false" outlineLevel="0" collapsed="false">
      <c r="Q196" s="47" t="n">
        <v>195</v>
      </c>
      <c r="R196" s="20" t="str">
        <f aca="false">IF(195&gt;$V$1,"",COUNTIF($M$2:$M$66,"&lt;"&amp;195)+1)</f>
        <v/>
      </c>
      <c r="S196" s="20" t="str">
        <f aca="false">IF($R196="","",195-IF($R196=1,0,INDEX($M$2:$M$66,$R196-1)))</f>
        <v/>
      </c>
      <c r="T196" s="20" t="n">
        <f aca="false">IF($R196="",0,IF($S196=INDEX($L$2:$L$66,$R196),1,0))</f>
        <v>0</v>
      </c>
    </row>
    <row r="197" customFormat="false" ht="13.5" hidden="false" customHeight="false" outlineLevel="0" collapsed="false">
      <c r="Q197" s="47" t="n">
        <v>196</v>
      </c>
      <c r="R197" s="20" t="str">
        <f aca="false">IF(196&gt;$V$1,"",COUNTIF($M$2:$M$66,"&lt;"&amp;196)+1)</f>
        <v/>
      </c>
      <c r="S197" s="20" t="str">
        <f aca="false">IF($R197="","",196-IF($R197=1,0,INDEX($M$2:$M$66,$R197-1)))</f>
        <v/>
      </c>
      <c r="T197" s="20" t="n">
        <f aca="false">IF($R197="",0,IF($S197=INDEX($L$2:$L$66,$R197),1,0))</f>
        <v>0</v>
      </c>
    </row>
    <row r="198" customFormat="false" ht="13.5" hidden="false" customHeight="false" outlineLevel="0" collapsed="false">
      <c r="Q198" s="47" t="n">
        <v>197</v>
      </c>
      <c r="R198" s="20" t="str">
        <f aca="false">IF(197&gt;$V$1,"",COUNTIF($M$2:$M$66,"&lt;"&amp;197)+1)</f>
        <v/>
      </c>
      <c r="S198" s="20" t="str">
        <f aca="false">IF($R198="","",197-IF($R198=1,0,INDEX($M$2:$M$66,$R198-1)))</f>
        <v/>
      </c>
      <c r="T198" s="20" t="n">
        <f aca="false">IF($R198="",0,IF($S198=INDEX($L$2:$L$66,$R198),1,0))</f>
        <v>0</v>
      </c>
    </row>
    <row r="199" customFormat="false" ht="13.5" hidden="false" customHeight="false" outlineLevel="0" collapsed="false">
      <c r="Q199" s="47" t="n">
        <v>198</v>
      </c>
      <c r="R199" s="20" t="str">
        <f aca="false">IF(198&gt;$V$1,"",COUNTIF($M$2:$M$66,"&lt;"&amp;198)+1)</f>
        <v/>
      </c>
      <c r="S199" s="20" t="str">
        <f aca="false">IF($R199="","",198-IF($R199=1,0,INDEX($M$2:$M$66,$R199-1)))</f>
        <v/>
      </c>
      <c r="T199" s="20" t="n">
        <f aca="false">IF($R199="",0,IF($S199=INDEX($L$2:$L$66,$R199),1,0))</f>
        <v>0</v>
      </c>
    </row>
    <row r="200" customFormat="false" ht="13.5" hidden="false" customHeight="false" outlineLevel="0" collapsed="false">
      <c r="Q200" s="47" t="n">
        <v>199</v>
      </c>
      <c r="R200" s="20" t="str">
        <f aca="false">IF(199&gt;$V$1,"",COUNTIF($M$2:$M$66,"&lt;"&amp;199)+1)</f>
        <v/>
      </c>
      <c r="S200" s="20" t="str">
        <f aca="false">IF($R200="","",199-IF($R200=1,0,INDEX($M$2:$M$66,$R200-1)))</f>
        <v/>
      </c>
      <c r="T200" s="20" t="n">
        <f aca="false">IF($R200="",0,IF($S200=INDEX($L$2:$L$66,$R200),1,0))</f>
        <v>0</v>
      </c>
    </row>
    <row r="201" customFormat="false" ht="13.5" hidden="false" customHeight="false" outlineLevel="0" collapsed="false">
      <c r="Q201" s="47" t="n">
        <v>200</v>
      </c>
      <c r="R201" s="20" t="str">
        <f aca="false">IF(200&gt;$V$1,"",COUNTIF($M$2:$M$66,"&lt;"&amp;200)+1)</f>
        <v/>
      </c>
      <c r="S201" s="20" t="str">
        <f aca="false">IF($R201="","",200-IF($R201=1,0,INDEX($M$2:$M$66,$R201-1)))</f>
        <v/>
      </c>
      <c r="T201" s="20" t="n">
        <f aca="false">IF($R201="",0,IF($S201=INDEX($L$2:$L$66,$R201),1,0))</f>
        <v>0</v>
      </c>
    </row>
    <row r="202" customFormat="false" ht="13.5" hidden="false" customHeight="false" outlineLevel="0" collapsed="false">
      <c r="Q202" s="47" t="n">
        <v>201</v>
      </c>
      <c r="R202" s="20" t="str">
        <f aca="false">IF(201&gt;$V$1,"",COUNTIF($M$2:$M$66,"&lt;"&amp;201)+1)</f>
        <v/>
      </c>
      <c r="S202" s="20" t="str">
        <f aca="false">IF($R202="","",201-IF($R202=1,0,INDEX($M$2:$M$66,$R202-1)))</f>
        <v/>
      </c>
      <c r="T202" s="20" t="n">
        <f aca="false">IF($R202="",0,IF($S202=INDEX($L$2:$L$66,$R202),1,0))</f>
        <v>0</v>
      </c>
    </row>
    <row r="203" customFormat="false" ht="13.5" hidden="false" customHeight="false" outlineLevel="0" collapsed="false">
      <c r="Q203" s="47" t="n">
        <v>202</v>
      </c>
      <c r="R203" s="20" t="str">
        <f aca="false">IF(202&gt;$V$1,"",COUNTIF($M$2:$M$66,"&lt;"&amp;202)+1)</f>
        <v/>
      </c>
      <c r="S203" s="20" t="str">
        <f aca="false">IF($R203="","",202-IF($R203=1,0,INDEX($M$2:$M$66,$R203-1)))</f>
        <v/>
      </c>
      <c r="T203" s="20" t="n">
        <f aca="false">IF($R203="",0,IF($S203=INDEX($L$2:$L$66,$R203),1,0))</f>
        <v>0</v>
      </c>
    </row>
    <row r="204" customFormat="false" ht="13.5" hidden="false" customHeight="false" outlineLevel="0" collapsed="false">
      <c r="Q204" s="47" t="n">
        <v>203</v>
      </c>
      <c r="R204" s="20" t="str">
        <f aca="false">IF(203&gt;$V$1,"",COUNTIF($M$2:$M$66,"&lt;"&amp;203)+1)</f>
        <v/>
      </c>
      <c r="S204" s="20" t="str">
        <f aca="false">IF($R204="","",203-IF($R204=1,0,INDEX($M$2:$M$66,$R204-1)))</f>
        <v/>
      </c>
      <c r="T204" s="20" t="n">
        <f aca="false">IF($R204="",0,IF($S204=INDEX($L$2:$L$66,$R204),1,0))</f>
        <v>0</v>
      </c>
    </row>
    <row r="205" customFormat="false" ht="13.5" hidden="false" customHeight="false" outlineLevel="0" collapsed="false">
      <c r="Q205" s="47" t="n">
        <v>204</v>
      </c>
      <c r="R205" s="20" t="str">
        <f aca="false">IF(204&gt;$V$1,"",COUNTIF($M$2:$M$66,"&lt;"&amp;204)+1)</f>
        <v/>
      </c>
      <c r="S205" s="20" t="str">
        <f aca="false">IF($R205="","",204-IF($R205=1,0,INDEX($M$2:$M$66,$R205-1)))</f>
        <v/>
      </c>
      <c r="T205" s="20" t="n">
        <f aca="false">IF($R205="",0,IF($S205=INDEX($L$2:$L$66,$R205),1,0))</f>
        <v>0</v>
      </c>
    </row>
    <row r="206" customFormat="false" ht="13.5" hidden="false" customHeight="false" outlineLevel="0" collapsed="false">
      <c r="Q206" s="47" t="n">
        <v>205</v>
      </c>
      <c r="R206" s="20" t="str">
        <f aca="false">IF(205&gt;$V$1,"",COUNTIF($M$2:$M$66,"&lt;"&amp;205)+1)</f>
        <v/>
      </c>
      <c r="S206" s="20" t="str">
        <f aca="false">IF($R206="","",205-IF($R206=1,0,INDEX($M$2:$M$66,$R206-1)))</f>
        <v/>
      </c>
      <c r="T206" s="20" t="n">
        <f aca="false">IF($R206="",0,IF($S206=INDEX($L$2:$L$66,$R206),1,0))</f>
        <v>0</v>
      </c>
    </row>
    <row r="207" customFormat="false" ht="13.5" hidden="false" customHeight="false" outlineLevel="0" collapsed="false">
      <c r="Q207" s="47" t="n">
        <v>206</v>
      </c>
      <c r="R207" s="20" t="str">
        <f aca="false">IF(206&gt;$V$1,"",COUNTIF($M$2:$M$66,"&lt;"&amp;206)+1)</f>
        <v/>
      </c>
      <c r="S207" s="20" t="str">
        <f aca="false">IF($R207="","",206-IF($R207=1,0,INDEX($M$2:$M$66,$R207-1)))</f>
        <v/>
      </c>
      <c r="T207" s="20" t="n">
        <f aca="false">IF($R207="",0,IF($S207=INDEX($L$2:$L$66,$R207),1,0))</f>
        <v>0</v>
      </c>
    </row>
    <row r="208" customFormat="false" ht="13.5" hidden="false" customHeight="false" outlineLevel="0" collapsed="false">
      <c r="Q208" s="47" t="n">
        <v>207</v>
      </c>
      <c r="R208" s="20" t="str">
        <f aca="false">IF(207&gt;$V$1,"",COUNTIF($M$2:$M$66,"&lt;"&amp;207)+1)</f>
        <v/>
      </c>
      <c r="S208" s="20" t="str">
        <f aca="false">IF($R208="","",207-IF($R208=1,0,INDEX($M$2:$M$66,$R208-1)))</f>
        <v/>
      </c>
      <c r="T208" s="20" t="n">
        <f aca="false">IF($R208="",0,IF($S208=INDEX($L$2:$L$66,$R208),1,0))</f>
        <v>0</v>
      </c>
    </row>
    <row r="209" customFormat="false" ht="13.5" hidden="false" customHeight="false" outlineLevel="0" collapsed="false">
      <c r="Q209" s="47" t="n">
        <v>208</v>
      </c>
      <c r="R209" s="20" t="str">
        <f aca="false">IF(208&gt;$V$1,"",COUNTIF($M$2:$M$66,"&lt;"&amp;208)+1)</f>
        <v/>
      </c>
      <c r="S209" s="20" t="str">
        <f aca="false">IF($R209="","",208-IF($R209=1,0,INDEX($M$2:$M$66,$R209-1)))</f>
        <v/>
      </c>
      <c r="T209" s="20" t="n">
        <f aca="false">IF($R209="",0,IF($S209=INDEX($L$2:$L$66,$R209),1,0))</f>
        <v>0</v>
      </c>
    </row>
    <row r="210" customFormat="false" ht="13.5" hidden="false" customHeight="false" outlineLevel="0" collapsed="false">
      <c r="Q210" s="47" t="n">
        <v>209</v>
      </c>
      <c r="R210" s="20" t="str">
        <f aca="false">IF(209&gt;$V$1,"",COUNTIF($M$2:$M$66,"&lt;"&amp;209)+1)</f>
        <v/>
      </c>
      <c r="S210" s="20" t="str">
        <f aca="false">IF($R210="","",209-IF($R210=1,0,INDEX($M$2:$M$66,$R210-1)))</f>
        <v/>
      </c>
      <c r="T210" s="20" t="n">
        <f aca="false">IF($R210="",0,IF($S210=INDEX($L$2:$L$66,$R210),1,0))</f>
        <v>0</v>
      </c>
    </row>
    <row r="211" customFormat="false" ht="13.5" hidden="false" customHeight="false" outlineLevel="0" collapsed="false">
      <c r="Q211" s="47" t="n">
        <v>210</v>
      </c>
      <c r="R211" s="20" t="str">
        <f aca="false">IF(210&gt;$V$1,"",COUNTIF($M$2:$M$66,"&lt;"&amp;210)+1)</f>
        <v/>
      </c>
      <c r="S211" s="20" t="str">
        <f aca="false">IF($R211="","",210-IF($R211=1,0,INDEX($M$2:$M$66,$R211-1)))</f>
        <v/>
      </c>
      <c r="T211" s="20" t="n">
        <f aca="false">IF($R211="",0,IF($S211=INDEX($L$2:$L$66,$R211),1,0))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3150"/>
  <sheetViews>
    <sheetView showFormulas="false" showGridLines="false" showRowColHeaders="true" showZeros="true" rightToLeft="false" showOutlineSymbols="true" defaultGridColor="true" view="normal" topLeftCell="A8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7"/>
    <col collapsed="false" customWidth="true" hidden="false" outlineLevel="0" max="3" min="3" style="0" width="33.76"/>
    <col collapsed="false" customWidth="true" hidden="false" outlineLevel="0" max="7" min="4" style="0" width="13.5"/>
    <col collapsed="false" customWidth="true" hidden="false" outlineLevel="0" max="8" min="8" style="0" width="3.4"/>
    <col collapsed="false" customWidth="true" hidden="false" outlineLevel="0" max="9" min="9" style="0" width="7.5"/>
    <col collapsed="false" customWidth="true" hidden="true" outlineLevel="0" max="12" min="12" style="0" width="10"/>
    <col collapsed="false" customWidth="true" hidden="false" outlineLevel="0" max="13" min="13" style="0" width="11"/>
    <col collapsed="false" customWidth="true" hidden="false" outlineLevel="0" max="15" min="15" style="0" width="34"/>
    <col collapsed="false" customWidth="true" hidden="false" outlineLevel="0" max="16" min="16" style="0" width="46"/>
  </cols>
  <sheetData>
    <row r="1" customFormat="false" ht="19.5" hidden="false" customHeight="true" outlineLevel="0" collapsed="false">
      <c r="B1" s="53" t="str">
        <f aca="false">IF(助手回款!$R$2&lt;&gt;"","记  账  凭  证","")</f>
        <v>记  账  凭  证</v>
      </c>
      <c r="C1" s="53"/>
      <c r="D1" s="53"/>
      <c r="E1" s="53"/>
      <c r="F1" s="53"/>
      <c r="G1" s="53"/>
      <c r="H1" s="53"/>
      <c r="I1" s="53"/>
      <c r="M1" s="54" t="s">
        <v>471</v>
      </c>
      <c r="N1" s="54" t="s">
        <v>463</v>
      </c>
      <c r="O1" s="54" t="s">
        <v>472</v>
      </c>
      <c r="P1" s="55" t="s">
        <v>473</v>
      </c>
    </row>
    <row r="2" customFormat="false" ht="3" hidden="false" customHeight="true" outlineLevel="0" collapsed="false"/>
    <row r="3" customFormat="false" ht="15" hidden="false" customHeight="true" outlineLevel="0" collapsed="false">
      <c r="C3" s="56" t="n">
        <f aca="false">IF(助手回款!$R$2&lt;&gt;"",INDEX(助手回款!$B$2:$B$66,助手回款!$R$2),"")</f>
        <v>2001</v>
      </c>
      <c r="D3" s="57" t="n">
        <f aca="false">IF(助手回款!$R$2&lt;&gt;"",参数!$B$2,"")</f>
        <v>46234</v>
      </c>
      <c r="E3" s="57"/>
      <c r="F3" s="58" t="str">
        <f aca="false">IF(助手回款!$R$2&lt;&gt;"",INDEX(助手回款!$C$2:$C$66,助手回款!$R$2)&amp;"  字第 "&amp;IF(参数!$B$9="是",INDEX(助手回款!$P$2:$P$66,助手回款!$R$2),"　　　　")&amp;" 号"&amp;IF(INDEX(助手回款!$L$2:$L$66,助手回款!$R$2)&gt;1,"  (共"&amp;INDEX(助手回款!$L$2:$L$66,助手回款!$R$2)&amp;"页 第"&amp;助手回款!$S$2&amp;"页)",""),"")</f>
        <v>柏人商城店  字第 　　　　 号</v>
      </c>
      <c r="G3" s="58"/>
      <c r="H3" s="58"/>
      <c r="I3" s="58"/>
      <c r="M3" s="59" t="n">
        <f aca="false">IF(助手回款!$R$2="","",助手回款!$Q$2)</f>
        <v>1</v>
      </c>
      <c r="N3" s="60" t="n">
        <f aca="false">IF(助手回款!$R$2="","",INDEX(助手回款!$P$2:$P$66,助手回款!$R$2))</f>
        <v>1</v>
      </c>
      <c r="O3" s="55" t="str">
        <f aca="false">IF(助手回款!$R$2="","",INDEX(助手回款!$C$2:$C$66,助手回款!$R$2)&amp;"  字第 "&amp;INDEX(助手回款!$P$2:$P$66,助手回款!$R$2)&amp;" 号"&amp;IF(INDEX(助手回款!$L$2:$L$66,助手回款!$R$2)&gt;1,"  (共"&amp;INDEX(助手回款!$L$2:$L$66,助手回款!$R$2)&amp;"页 第"&amp;助手回款!$S$2&amp;"页)",""))</f>
        <v>柏人商城店  字第 1 号</v>
      </c>
    </row>
    <row r="4" customFormat="false" ht="12.75" hidden="false" customHeight="true" outlineLevel="0" collapsed="false">
      <c r="B4" s="61" t="str">
        <f aca="false">IF(助手回款!$R$2&lt;&gt;"","摘　　要","")</f>
        <v>摘　　要</v>
      </c>
      <c r="C4" s="61"/>
      <c r="D4" s="62" t="str">
        <f aca="false">IF(助手回款!$R$2&lt;&gt;"","科　　　　目","")</f>
        <v>科　　　　目</v>
      </c>
      <c r="E4" s="62"/>
      <c r="F4" s="61" t="str">
        <f aca="false">IF(助手回款!$R$2&lt;&gt;"","借 方 金 额","")</f>
        <v>借 方 金 额</v>
      </c>
      <c r="G4" s="62" t="str">
        <f aca="false">IF(助手回款!$R$2&lt;&gt;"","贷 方 金 额","")</f>
        <v>贷 方 金 额</v>
      </c>
      <c r="H4" s="63" t="str">
        <f aca="false">IF(助手回款!$R$2&lt;&gt;"","√","")</f>
        <v>√</v>
      </c>
      <c r="I4" s="64" t="str">
        <f aca="false">IF(助手回款!$R$2&lt;&gt;"","附单据  张","")</f>
        <v>附单据  张</v>
      </c>
    </row>
    <row r="5" customFormat="false" ht="12.75" hidden="false" customHeight="true" outlineLevel="0" collapsed="false">
      <c r="B5" s="61"/>
      <c r="C5" s="61"/>
      <c r="D5" s="23" t="str">
        <f aca="false">IF(助手回款!$R$2&lt;&gt;"","总 账 科 目","")</f>
        <v>总 账 科 目</v>
      </c>
      <c r="E5" s="23" t="str">
        <f aca="false">IF(助手回款!$R$2&lt;&gt;"","明 细 科 目","")</f>
        <v>明 细 科 目</v>
      </c>
      <c r="F5" s="65"/>
      <c r="G5" s="66"/>
      <c r="H5" s="63"/>
      <c r="I5" s="64"/>
    </row>
    <row r="6" customFormat="false" ht="23.25" hidden="false" customHeight="true" outlineLevel="0" collapsed="false">
      <c r="B6" s="67" t="str">
        <f aca="false">IFERROR(INDEX(分录回款!$M:$M,MATCH($L6,分录回款!$L:$L,0)),"")</f>
        <v>回款</v>
      </c>
      <c r="C6" s="67"/>
      <c r="D6" s="23" t="str">
        <f aca="false">IFERROR(INDEX(分录回款!$E:$E,MATCH($L6,分录回款!$L:$L,0)),"")</f>
        <v>库存现金</v>
      </c>
      <c r="E6" s="23" t="str">
        <f aca="false">IFERROR(INDEX(分录回款!$F:$F,MATCH($L6,分录回款!$L:$L,0)),"")</f>
        <v/>
      </c>
      <c r="F6" s="68" t="n">
        <f aca="false">IFERROR(INDEX(分录回款!$H:$H,MATCH($L6,分录回款!$L:$L,0)),"")</f>
        <v>32050.31</v>
      </c>
      <c r="G6" s="69" t="str">
        <f aca="false">IFERROR(INDEX(分录回款!$I:$I,MATCH($L6,分录回款!$L:$L,0)),"")</f>
        <v/>
      </c>
      <c r="H6" s="23"/>
      <c r="I6" s="70"/>
      <c r="L6" s="71" t="n">
        <f aca="false">IF(助手回款!$R$2="",-1,助手回款!$R$2*100+(助手回款!$S$2-1)*6+1)</f>
        <v>101</v>
      </c>
    </row>
    <row r="7" customFormat="false" ht="23.25" hidden="false" customHeight="true" outlineLevel="0" collapsed="false">
      <c r="B7" s="67" t="str">
        <f aca="false">""</f>
        <v/>
      </c>
      <c r="C7" s="67"/>
      <c r="D7" s="23" t="str">
        <f aca="false">IFERROR(INDEX(分录回款!$E:$E,MATCH($L7,分录回款!$L:$L,0)),"")</f>
        <v>财务费用</v>
      </c>
      <c r="E7" s="23" t="str">
        <f aca="false">IFERROR(INDEX(分录回款!$F:$F,MATCH($L7,分录回款!$L:$L,0)),"")</f>
        <v>手续费</v>
      </c>
      <c r="F7" s="68" t="n">
        <f aca="false">IFERROR(INDEX(分录回款!$H:$H,MATCH($L7,分录回款!$L:$L,0)),"")</f>
        <v>54.73</v>
      </c>
      <c r="G7" s="69" t="str">
        <f aca="false">IFERROR(INDEX(分录回款!$I:$I,MATCH($L7,分录回款!$L:$L,0)),"")</f>
        <v/>
      </c>
      <c r="H7" s="23"/>
      <c r="I7" s="70"/>
      <c r="L7" s="71" t="n">
        <f aca="false">IF(助手回款!$R$2="",-1,助手回款!$R$2*100+(助手回款!$S$2-1)*6+2)</f>
        <v>102</v>
      </c>
    </row>
    <row r="8" customFormat="false" ht="23.25" hidden="false" customHeight="true" outlineLevel="0" collapsed="false">
      <c r="B8" s="67" t="str">
        <f aca="false">""</f>
        <v/>
      </c>
      <c r="C8" s="67"/>
      <c r="D8" s="23" t="str">
        <f aca="false">IFERROR(INDEX(分录回款!$E:$E,MATCH($L8,分录回款!$L:$L,0)),"")</f>
        <v>应收账款</v>
      </c>
      <c r="E8" s="23" t="str">
        <f aca="false">IFERROR(INDEX(分录回款!$F:$F,MATCH($L8,分录回款!$L:$L,0)),"")</f>
        <v>聚合支付</v>
      </c>
      <c r="F8" s="68" t="str">
        <f aca="false">IFERROR(INDEX(分录回款!$H:$H,MATCH($L8,分录回款!$L:$L,0)),"")</f>
        <v/>
      </c>
      <c r="G8" s="69" t="n">
        <f aca="false">IFERROR(INDEX(分录回款!$I:$I,MATCH($L8,分录回款!$L:$L,0)),"")</f>
        <v>24279.15</v>
      </c>
      <c r="H8" s="23"/>
      <c r="I8" s="70"/>
      <c r="L8" s="71" t="n">
        <f aca="false">IF(助手回款!$R$2="",-1,助手回款!$R$2*100+(助手回款!$S$2-1)*6+3)</f>
        <v>103</v>
      </c>
    </row>
    <row r="9" customFormat="false" ht="23.25" hidden="false" customHeight="true" outlineLevel="0" collapsed="false">
      <c r="B9" s="67" t="str">
        <f aca="false">""</f>
        <v/>
      </c>
      <c r="C9" s="67"/>
      <c r="D9" s="23" t="str">
        <f aca="false">IFERROR(INDEX(分录回款!$E:$E,MATCH($L9,分录回款!$L:$L,0)),"")</f>
        <v>应收账款</v>
      </c>
      <c r="E9" s="23" t="str">
        <f aca="false">IFERROR(INDEX(分录回款!$F:$F,MATCH($L9,分录回款!$L:$L,0)),"")</f>
        <v>医保</v>
      </c>
      <c r="F9" s="68" t="str">
        <f aca="false">IFERROR(INDEX(分录回款!$H:$H,MATCH($L9,分录回款!$L:$L,0)),"")</f>
        <v/>
      </c>
      <c r="G9" s="69" t="n">
        <f aca="false">IFERROR(INDEX(分录回款!$I:$I,MATCH($L9,分录回款!$L:$L,0)),"")</f>
        <v>7544.09</v>
      </c>
      <c r="H9" s="23"/>
      <c r="I9" s="70"/>
      <c r="L9" s="71" t="n">
        <f aca="false">IF(助手回款!$R$2="",-1,助手回款!$R$2*100+(助手回款!$S$2-1)*6+4)</f>
        <v>104</v>
      </c>
    </row>
    <row r="10" customFormat="false" ht="23.25" hidden="false" customHeight="true" outlineLevel="0" collapsed="false">
      <c r="B10" s="67" t="str">
        <f aca="false">""</f>
        <v/>
      </c>
      <c r="C10" s="67"/>
      <c r="D10" s="23" t="str">
        <f aca="false">IFERROR(INDEX(分录回款!$E:$E,MATCH($L10,分录回款!$L:$L,0)),"")</f>
        <v>应收账款</v>
      </c>
      <c r="E10" s="23" t="str">
        <f aca="false">IFERROR(INDEX(分录回款!$F:$F,MATCH($L10,分录回款!$L:$L,0)),"")</f>
        <v>美团</v>
      </c>
      <c r="F10" s="68" t="str">
        <f aca="false">IFERROR(INDEX(分录回款!$H:$H,MATCH($L10,分录回款!$L:$L,0)),"")</f>
        <v/>
      </c>
      <c r="G10" s="69" t="n">
        <f aca="false">IFERROR(INDEX(分录回款!$I:$I,MATCH($L10,分录回款!$L:$L,0)),"")</f>
        <v>281.8</v>
      </c>
      <c r="H10" s="23"/>
      <c r="I10" s="70"/>
      <c r="L10" s="71" t="n">
        <f aca="false">IF(助手回款!$R$2="",-1,助手回款!$R$2*100+(助手回款!$S$2-1)*6+5)</f>
        <v>105</v>
      </c>
    </row>
    <row r="11" customFormat="false" ht="23.25" hidden="false" customHeight="true" outlineLevel="0" collapsed="false">
      <c r="B11" s="67" t="str">
        <f aca="false">""</f>
        <v/>
      </c>
      <c r="C11" s="67"/>
      <c r="D11" s="23" t="str">
        <f aca="false">IFERROR(INDEX(分录回款!$E:$E,MATCH($L11,分录回款!$L:$L,0)),"")</f>
        <v/>
      </c>
      <c r="E11" s="23" t="str">
        <f aca="false">IFERROR(INDEX(分录回款!$F:$F,MATCH($L11,分录回款!$L:$L,0)),"")</f>
        <v/>
      </c>
      <c r="F11" s="68" t="str">
        <f aca="false">IFERROR(INDEX(分录回款!$H:$H,MATCH($L11,分录回款!$L:$L,0)),"")</f>
        <v/>
      </c>
      <c r="G11" s="69" t="str">
        <f aca="false">IFERROR(INDEX(分录回款!$I:$I,MATCH($L11,分录回款!$L:$L,0)),"")</f>
        <v/>
      </c>
      <c r="H11" s="23"/>
      <c r="I11" s="70"/>
      <c r="L11" s="71" t="n">
        <f aca="false">IF(助手回款!$R$2="",-1,助手回款!$R$2*100+(助手回款!$S$2-1)*6+6)</f>
        <v>106</v>
      </c>
    </row>
    <row r="12" customFormat="false" ht="23.25" hidden="false" customHeight="true" outlineLevel="0" collapsed="false">
      <c r="B12" s="72" t="str">
        <f aca="false">IF(助手回款!$T$2=1,"合计：","")</f>
        <v>合计：</v>
      </c>
      <c r="C12" s="73" t="n">
        <f aca="false">IF(助手回款!$T$2=1,$F12,"")</f>
        <v>32105.04</v>
      </c>
      <c r="D12" s="74"/>
      <c r="E12" s="74"/>
      <c r="F12" s="75" t="n">
        <f aca="false">IF(助手回款!$T$2=1,INDEX(助手回款!$N$2:$N$66,助手回款!$R$2),"")</f>
        <v>32105.04</v>
      </c>
      <c r="G12" s="76" t="n">
        <f aca="false">IF(助手回款!$T$2=1,INDEX(助手回款!$O$2:$O$66,助手回款!$R$2),"")</f>
        <v>32105.04</v>
      </c>
      <c r="H12" s="74"/>
      <c r="I12" s="77"/>
    </row>
    <row r="13" customFormat="false" ht="6" hidden="false" customHeight="true" outlineLevel="0" collapsed="false"/>
    <row r="14" customFormat="false" ht="13.5" hidden="false" customHeight="false" outlineLevel="0" collapsed="false">
      <c r="B14" s="78" t="str">
        <f aca="false">IF(助手回款!$R$2&lt;&gt;"","会计主管：","")</f>
        <v>会计主管：</v>
      </c>
      <c r="D14" s="78" t="str">
        <f aca="false">IF(助手回款!$R$2&lt;&gt;"","会计：","")</f>
        <v>会计：</v>
      </c>
      <c r="E14" s="78" t="str">
        <f aca="false">IF(助手回款!$R$2&lt;&gt;"","出纳：","")</f>
        <v>出纳：</v>
      </c>
      <c r="F14" s="78" t="str">
        <f aca="false">IF(助手回款!$R$2&lt;&gt;"","复核：","")</f>
        <v>复核：</v>
      </c>
      <c r="G14" s="78" t="str">
        <f aca="false">IF(助手回款!$R$2&lt;&gt;"","制单：","")</f>
        <v>制单：</v>
      </c>
    </row>
    <row r="15" customFormat="false" ht="3" hidden="false" customHeight="true" outlineLevel="0" collapsed="false"/>
    <row r="16" customFormat="false" ht="19.5" hidden="false" customHeight="true" outlineLevel="0" collapsed="false">
      <c r="B16" s="53" t="str">
        <f aca="false">IF(助手回款!$R$3&lt;&gt;"","记  账  凭  证","")</f>
        <v>记  账  凭  证</v>
      </c>
      <c r="C16" s="53"/>
      <c r="D16" s="53"/>
      <c r="E16" s="53"/>
      <c r="F16" s="53"/>
      <c r="G16" s="53"/>
      <c r="H16" s="53"/>
      <c r="I16" s="53"/>
    </row>
    <row r="17" customFormat="false" ht="3" hidden="false" customHeight="true" outlineLevel="0" collapsed="false"/>
    <row r="18" customFormat="false" ht="15" hidden="false" customHeight="true" outlineLevel="0" collapsed="false">
      <c r="C18" s="56" t="n">
        <f aca="false">IF(助手回款!$R$3&lt;&gt;"",INDEX(助手回款!$B$2:$B$66,助手回款!$R$3),"")</f>
        <v>2002</v>
      </c>
      <c r="D18" s="57" t="n">
        <f aca="false">IF(助手回款!$R$3&lt;&gt;"",参数!$B$2,"")</f>
        <v>46234</v>
      </c>
      <c r="E18" s="57"/>
      <c r="F18" s="58" t="str">
        <f aca="false">IF(助手回款!$R$3&lt;&gt;"",INDEX(助手回款!$C$2:$C$66,助手回款!$R$3)&amp;"  字第 "&amp;IF(参数!$B$9="是",INDEX(助手回款!$P$2:$P$66,助手回款!$R$3),"　　　　")&amp;" 号"&amp;IF(INDEX(助手回款!$L$2:$L$66,助手回款!$R$3)&gt;1,"  (共"&amp;INDEX(助手回款!$L$2:$L$66,助手回款!$R$3)&amp;"页 第"&amp;助手回款!$S$3&amp;"页)",""),"")</f>
        <v>新隆店  字第 　　　　 号</v>
      </c>
      <c r="G18" s="58"/>
      <c r="H18" s="58"/>
      <c r="I18" s="58"/>
      <c r="M18" s="59" t="n">
        <f aca="false">IF(助手回款!$R$3="","",助手回款!$Q$3)</f>
        <v>2</v>
      </c>
      <c r="N18" s="60" t="n">
        <f aca="false">IF(助手回款!$R$3="","",INDEX(助手回款!$P$2:$P$66,助手回款!$R$3))</f>
        <v>2</v>
      </c>
      <c r="O18" s="55" t="str">
        <f aca="false">IF(助手回款!$R$3="","",INDEX(助手回款!$C$2:$C$66,助手回款!$R$3)&amp;"  字第 "&amp;INDEX(助手回款!$P$2:$P$66,助手回款!$R$3)&amp;" 号"&amp;IF(INDEX(助手回款!$L$2:$L$66,助手回款!$R$3)&gt;1,"  (共"&amp;INDEX(助手回款!$L$2:$L$66,助手回款!$R$3)&amp;"页 第"&amp;助手回款!$S$3&amp;"页)",""))</f>
        <v>新隆店  字第 2 号</v>
      </c>
    </row>
    <row r="19" customFormat="false" ht="12.75" hidden="false" customHeight="true" outlineLevel="0" collapsed="false">
      <c r="B19" s="61" t="str">
        <f aca="false">IF(助手回款!$R$3&lt;&gt;"","摘　　要","")</f>
        <v>摘　　要</v>
      </c>
      <c r="C19" s="61"/>
      <c r="D19" s="62" t="str">
        <f aca="false">IF(助手回款!$R$3&lt;&gt;"","科　　　　目","")</f>
        <v>科　　　　目</v>
      </c>
      <c r="E19" s="62"/>
      <c r="F19" s="61" t="str">
        <f aca="false">IF(助手回款!$R$3&lt;&gt;"","借 方 金 额","")</f>
        <v>借 方 金 额</v>
      </c>
      <c r="G19" s="62" t="str">
        <f aca="false">IF(助手回款!$R$3&lt;&gt;"","贷 方 金 额","")</f>
        <v>贷 方 金 额</v>
      </c>
      <c r="H19" s="63" t="str">
        <f aca="false">IF(助手回款!$R$3&lt;&gt;"","√","")</f>
        <v>√</v>
      </c>
      <c r="I19" s="64" t="str">
        <f aca="false">IF(助手回款!$R$3&lt;&gt;"","附单据  张","")</f>
        <v>附单据  张</v>
      </c>
    </row>
    <row r="20" customFormat="false" ht="12.75" hidden="false" customHeight="true" outlineLevel="0" collapsed="false">
      <c r="B20" s="61"/>
      <c r="C20" s="61"/>
      <c r="D20" s="23" t="str">
        <f aca="false">IF(助手回款!$R$3&lt;&gt;"","总 账 科 目","")</f>
        <v>总 账 科 目</v>
      </c>
      <c r="E20" s="23" t="str">
        <f aca="false">IF(助手回款!$R$3&lt;&gt;"","明 细 科 目","")</f>
        <v>明 细 科 目</v>
      </c>
      <c r="F20" s="65"/>
      <c r="G20" s="66"/>
      <c r="H20" s="63"/>
      <c r="I20" s="64"/>
    </row>
    <row r="21" customFormat="false" ht="23.25" hidden="false" customHeight="true" outlineLevel="0" collapsed="false">
      <c r="B21" s="67" t="str">
        <f aca="false">IFERROR(INDEX(分录回款!$M:$M,MATCH($L21,分录回款!$L:$L,0)),"")</f>
        <v>回款</v>
      </c>
      <c r="C21" s="67"/>
      <c r="D21" s="23" t="str">
        <f aca="false">IFERROR(INDEX(分录回款!$E:$E,MATCH($L21,分录回款!$L:$L,0)),"")</f>
        <v>库存现金</v>
      </c>
      <c r="E21" s="23" t="str">
        <f aca="false">IFERROR(INDEX(分录回款!$F:$F,MATCH($L21,分录回款!$L:$L,0)),"")</f>
        <v/>
      </c>
      <c r="F21" s="68" t="n">
        <f aca="false">IFERROR(INDEX(分录回款!$H:$H,MATCH($L21,分录回款!$L:$L,0)),"")</f>
        <v>150110.95</v>
      </c>
      <c r="G21" s="69" t="str">
        <f aca="false">IFERROR(INDEX(分录回款!$I:$I,MATCH($L21,分录回款!$L:$L,0)),"")</f>
        <v/>
      </c>
      <c r="H21" s="23"/>
      <c r="I21" s="70"/>
      <c r="L21" s="71" t="n">
        <f aca="false">IF(助手回款!$R$3="",-1,助手回款!$R$3*100+(助手回款!$S$3-1)*6+1)</f>
        <v>201</v>
      </c>
    </row>
    <row r="22" customFormat="false" ht="23.25" hidden="false" customHeight="true" outlineLevel="0" collapsed="false">
      <c r="B22" s="67" t="str">
        <f aca="false">""</f>
        <v/>
      </c>
      <c r="C22" s="67"/>
      <c r="D22" s="23" t="str">
        <f aca="false">IFERROR(INDEX(分录回款!$E:$E,MATCH($L22,分录回款!$L:$L,0)),"")</f>
        <v>应收账款</v>
      </c>
      <c r="E22" s="23" t="str">
        <f aca="false">IFERROR(INDEX(分录回款!$F:$F,MATCH($L22,分录回款!$L:$L,0)),"")</f>
        <v>聚合支付</v>
      </c>
      <c r="F22" s="68" t="str">
        <f aca="false">IFERROR(INDEX(分录回款!$H:$H,MATCH($L22,分录回款!$L:$L,0)),"")</f>
        <v/>
      </c>
      <c r="G22" s="69" t="n">
        <f aca="false">IFERROR(INDEX(分录回款!$I:$I,MATCH($L22,分录回款!$L:$L,0)),"")</f>
        <v>99405.36</v>
      </c>
      <c r="H22" s="23"/>
      <c r="I22" s="70"/>
      <c r="L22" s="71" t="n">
        <f aca="false">IF(助手回款!$R$3="",-1,助手回款!$R$3*100+(助手回款!$S$3-1)*6+2)</f>
        <v>202</v>
      </c>
    </row>
    <row r="23" customFormat="false" ht="23.25" hidden="false" customHeight="true" outlineLevel="0" collapsed="false">
      <c r="B23" s="67" t="str">
        <f aca="false">""</f>
        <v/>
      </c>
      <c r="C23" s="67"/>
      <c r="D23" s="23" t="str">
        <f aca="false">IFERROR(INDEX(分录回款!$E:$E,MATCH($L23,分录回款!$L:$L,0)),"")</f>
        <v>应收账款</v>
      </c>
      <c r="E23" s="23" t="str">
        <f aca="false">IFERROR(INDEX(分录回款!$F:$F,MATCH($L23,分录回款!$L:$L,0)),"")</f>
        <v>医保</v>
      </c>
      <c r="F23" s="68" t="str">
        <f aca="false">IFERROR(INDEX(分录回款!$H:$H,MATCH($L23,分录回款!$L:$L,0)),"")</f>
        <v/>
      </c>
      <c r="G23" s="69" t="n">
        <f aca="false">IFERROR(INDEX(分录回款!$I:$I,MATCH($L23,分录回款!$L:$L,0)),"")</f>
        <v>50705.59</v>
      </c>
      <c r="H23" s="23"/>
      <c r="I23" s="70"/>
      <c r="L23" s="71" t="n">
        <f aca="false">IF(助手回款!$R$3="",-1,助手回款!$R$3*100+(助手回款!$S$3-1)*6+3)</f>
        <v>203</v>
      </c>
    </row>
    <row r="24" customFormat="false" ht="23.25" hidden="false" customHeight="true" outlineLevel="0" collapsed="false">
      <c r="B24" s="67" t="str">
        <f aca="false">""</f>
        <v/>
      </c>
      <c r="C24" s="67"/>
      <c r="D24" s="23" t="str">
        <f aca="false">IFERROR(INDEX(分录回款!$E:$E,MATCH($L24,分录回款!$L:$L,0)),"")</f>
        <v/>
      </c>
      <c r="E24" s="23" t="str">
        <f aca="false">IFERROR(INDEX(分录回款!$F:$F,MATCH($L24,分录回款!$L:$L,0)),"")</f>
        <v/>
      </c>
      <c r="F24" s="68" t="str">
        <f aca="false">IFERROR(INDEX(分录回款!$H:$H,MATCH($L24,分录回款!$L:$L,0)),"")</f>
        <v/>
      </c>
      <c r="G24" s="69" t="str">
        <f aca="false">IFERROR(INDEX(分录回款!$I:$I,MATCH($L24,分录回款!$L:$L,0)),"")</f>
        <v/>
      </c>
      <c r="H24" s="23"/>
      <c r="I24" s="70"/>
      <c r="L24" s="71" t="n">
        <f aca="false">IF(助手回款!$R$3="",-1,助手回款!$R$3*100+(助手回款!$S$3-1)*6+4)</f>
        <v>204</v>
      </c>
    </row>
    <row r="25" customFormat="false" ht="23.25" hidden="false" customHeight="true" outlineLevel="0" collapsed="false">
      <c r="B25" s="67" t="str">
        <f aca="false">""</f>
        <v/>
      </c>
      <c r="C25" s="67"/>
      <c r="D25" s="23" t="str">
        <f aca="false">IFERROR(INDEX(分录回款!$E:$E,MATCH($L25,分录回款!$L:$L,0)),"")</f>
        <v/>
      </c>
      <c r="E25" s="23" t="str">
        <f aca="false">IFERROR(INDEX(分录回款!$F:$F,MATCH($L25,分录回款!$L:$L,0)),"")</f>
        <v/>
      </c>
      <c r="F25" s="68" t="str">
        <f aca="false">IFERROR(INDEX(分录回款!$H:$H,MATCH($L25,分录回款!$L:$L,0)),"")</f>
        <v/>
      </c>
      <c r="G25" s="69" t="str">
        <f aca="false">IFERROR(INDEX(分录回款!$I:$I,MATCH($L25,分录回款!$L:$L,0)),"")</f>
        <v/>
      </c>
      <c r="H25" s="23"/>
      <c r="I25" s="70"/>
      <c r="L25" s="71" t="n">
        <f aca="false">IF(助手回款!$R$3="",-1,助手回款!$R$3*100+(助手回款!$S$3-1)*6+5)</f>
        <v>205</v>
      </c>
    </row>
    <row r="26" customFormat="false" ht="23.25" hidden="false" customHeight="true" outlineLevel="0" collapsed="false">
      <c r="B26" s="67" t="str">
        <f aca="false">""</f>
        <v/>
      </c>
      <c r="C26" s="67"/>
      <c r="D26" s="23" t="str">
        <f aca="false">IFERROR(INDEX(分录回款!$E:$E,MATCH($L26,分录回款!$L:$L,0)),"")</f>
        <v/>
      </c>
      <c r="E26" s="23" t="str">
        <f aca="false">IFERROR(INDEX(分录回款!$F:$F,MATCH($L26,分录回款!$L:$L,0)),"")</f>
        <v/>
      </c>
      <c r="F26" s="68" t="str">
        <f aca="false">IFERROR(INDEX(分录回款!$H:$H,MATCH($L26,分录回款!$L:$L,0)),"")</f>
        <v/>
      </c>
      <c r="G26" s="69" t="str">
        <f aca="false">IFERROR(INDEX(分录回款!$I:$I,MATCH($L26,分录回款!$L:$L,0)),"")</f>
        <v/>
      </c>
      <c r="H26" s="23"/>
      <c r="I26" s="70"/>
      <c r="L26" s="71" t="n">
        <f aca="false">IF(助手回款!$R$3="",-1,助手回款!$R$3*100+(助手回款!$S$3-1)*6+6)</f>
        <v>206</v>
      </c>
    </row>
    <row r="27" customFormat="false" ht="23.25" hidden="false" customHeight="true" outlineLevel="0" collapsed="false">
      <c r="B27" s="72" t="str">
        <f aca="false">IF(助手回款!$T$3=1,"合计：","")</f>
        <v>合计：</v>
      </c>
      <c r="C27" s="73" t="n">
        <f aca="false">IF(助手回款!$T$3=1,$F27,"")</f>
        <v>150110.95</v>
      </c>
      <c r="D27" s="74"/>
      <c r="E27" s="74"/>
      <c r="F27" s="75" t="n">
        <f aca="false">IF(助手回款!$T$3=1,INDEX(助手回款!$N$2:$N$66,助手回款!$R$3),"")</f>
        <v>150110.95</v>
      </c>
      <c r="G27" s="76" t="n">
        <f aca="false">IF(助手回款!$T$3=1,INDEX(助手回款!$O$2:$O$66,助手回款!$R$3),"")</f>
        <v>150110.95</v>
      </c>
      <c r="H27" s="74"/>
      <c r="I27" s="77"/>
    </row>
    <row r="28" customFormat="false" ht="6" hidden="false" customHeight="true" outlineLevel="0" collapsed="false"/>
    <row r="29" customFormat="false" ht="13.5" hidden="false" customHeight="false" outlineLevel="0" collapsed="false">
      <c r="B29" s="78" t="str">
        <f aca="false">IF(助手回款!$R$3&lt;&gt;"","会计主管：","")</f>
        <v>会计主管：</v>
      </c>
      <c r="D29" s="78" t="str">
        <f aca="false">IF(助手回款!$R$3&lt;&gt;"","会计：","")</f>
        <v>会计：</v>
      </c>
      <c r="E29" s="78" t="str">
        <f aca="false">IF(助手回款!$R$3&lt;&gt;"","出纳：","")</f>
        <v>出纳：</v>
      </c>
      <c r="F29" s="78" t="str">
        <f aca="false">IF(助手回款!$R$3&lt;&gt;"","复核：","")</f>
        <v>复核：</v>
      </c>
      <c r="G29" s="78" t="str">
        <f aca="false">IF(助手回款!$R$3&lt;&gt;"","制单：","")</f>
        <v>制单：</v>
      </c>
    </row>
    <row r="30" customFormat="false" ht="3" hidden="false" customHeight="true" outlineLevel="0" collapsed="false"/>
    <row r="31" customFormat="false" ht="19.5" hidden="false" customHeight="true" outlineLevel="0" collapsed="false">
      <c r="B31" s="53" t="str">
        <f aca="false">IF(助手回款!$R$4&lt;&gt;"","记  账  凭  证","")</f>
        <v>记  账  凭  证</v>
      </c>
      <c r="C31" s="53"/>
      <c r="D31" s="53"/>
      <c r="E31" s="53"/>
      <c r="F31" s="53"/>
      <c r="G31" s="53"/>
      <c r="H31" s="53"/>
      <c r="I31" s="53"/>
    </row>
    <row r="32" customFormat="false" ht="3" hidden="false" customHeight="true" outlineLevel="0" collapsed="false"/>
    <row r="33" customFormat="false" ht="15" hidden="false" customHeight="true" outlineLevel="0" collapsed="false">
      <c r="C33" s="56" t="n">
        <f aca="false">IF(助手回款!$R$4&lt;&gt;"",INDEX(助手回款!$B$2:$B$66,助手回款!$R$4),"")</f>
        <v>2003</v>
      </c>
      <c r="D33" s="57" t="n">
        <f aca="false">IF(助手回款!$R$4&lt;&gt;"",参数!$B$2,"")</f>
        <v>46234</v>
      </c>
      <c r="E33" s="57"/>
      <c r="F33" s="58" t="str">
        <f aca="false">IF(助手回款!$R$4&lt;&gt;"",INDEX(助手回款!$C$2:$C$66,助手回款!$R$4)&amp;"  字第 "&amp;IF(参数!$B$9="是",INDEX(助手回款!$P$2:$P$66,助手回款!$R$4),"　　　　")&amp;" 号"&amp;IF(INDEX(助手回款!$L$2:$L$66,助手回款!$R$4)&gt;1,"  (共"&amp;INDEX(助手回款!$L$2:$L$66,助手回款!$R$4)&amp;"页 第"&amp;助手回款!$S$4&amp;"页)",""),"")</f>
        <v>康庄路店  字第 　　　　 号  (共2页 第1页)</v>
      </c>
      <c r="G33" s="58"/>
      <c r="H33" s="58"/>
      <c r="I33" s="58"/>
      <c r="M33" s="59" t="n">
        <f aca="false">IF(助手回款!$R$4="","",助手回款!$Q$4)</f>
        <v>3</v>
      </c>
      <c r="N33" s="60" t="n">
        <f aca="false">IF(助手回款!$R$4="","",INDEX(助手回款!$P$2:$P$66,助手回款!$R$4))</f>
        <v>3</v>
      </c>
      <c r="O33" s="55" t="str">
        <f aca="false">IF(助手回款!$R$4="","",INDEX(助手回款!$C$2:$C$66,助手回款!$R$4)&amp;"  字第 "&amp;INDEX(助手回款!$P$2:$P$66,助手回款!$R$4)&amp;" 号"&amp;IF(INDEX(助手回款!$L$2:$L$66,助手回款!$R$4)&gt;1,"  (共"&amp;INDEX(助手回款!$L$2:$L$66,助手回款!$R$4)&amp;"页 第"&amp;助手回款!$S$4&amp;"页)",""))</f>
        <v>康庄路店  字第 3 号  (共2页 第1页)</v>
      </c>
    </row>
    <row r="34" customFormat="false" ht="12.75" hidden="false" customHeight="true" outlineLevel="0" collapsed="false">
      <c r="B34" s="61" t="str">
        <f aca="false">IF(助手回款!$R$4&lt;&gt;"","摘　　要","")</f>
        <v>摘　　要</v>
      </c>
      <c r="C34" s="61"/>
      <c r="D34" s="62" t="str">
        <f aca="false">IF(助手回款!$R$4&lt;&gt;"","科　　　　目","")</f>
        <v>科　　　　目</v>
      </c>
      <c r="E34" s="62"/>
      <c r="F34" s="61" t="str">
        <f aca="false">IF(助手回款!$R$4&lt;&gt;"","借 方 金 额","")</f>
        <v>借 方 金 额</v>
      </c>
      <c r="G34" s="62" t="str">
        <f aca="false">IF(助手回款!$R$4&lt;&gt;"","贷 方 金 额","")</f>
        <v>贷 方 金 额</v>
      </c>
      <c r="H34" s="63" t="str">
        <f aca="false">IF(助手回款!$R$4&lt;&gt;"","√","")</f>
        <v>√</v>
      </c>
      <c r="I34" s="64" t="str">
        <f aca="false">IF(助手回款!$R$4&lt;&gt;"","附单据  张","")</f>
        <v>附单据  张</v>
      </c>
    </row>
    <row r="35" customFormat="false" ht="12.75" hidden="false" customHeight="true" outlineLevel="0" collapsed="false">
      <c r="B35" s="61"/>
      <c r="C35" s="61"/>
      <c r="D35" s="23" t="str">
        <f aca="false">IF(助手回款!$R$4&lt;&gt;"","总 账 科 目","")</f>
        <v>总 账 科 目</v>
      </c>
      <c r="E35" s="23" t="str">
        <f aca="false">IF(助手回款!$R$4&lt;&gt;"","明 细 科 目","")</f>
        <v>明 细 科 目</v>
      </c>
      <c r="F35" s="65"/>
      <c r="G35" s="66"/>
      <c r="H35" s="63"/>
      <c r="I35" s="64"/>
    </row>
    <row r="36" customFormat="false" ht="23.25" hidden="false" customHeight="true" outlineLevel="0" collapsed="false">
      <c r="B36" s="67" t="str">
        <f aca="false">IFERROR(INDEX(分录回款!$M:$M,MATCH($L36,分录回款!$L:$L,0)),"")</f>
        <v>回款</v>
      </c>
      <c r="C36" s="67"/>
      <c r="D36" s="23" t="str">
        <f aca="false">IFERROR(INDEX(分录回款!$E:$E,MATCH($L36,分录回款!$L:$L,0)),"")</f>
        <v>库存现金</v>
      </c>
      <c r="E36" s="23" t="str">
        <f aca="false">IFERROR(INDEX(分录回款!$F:$F,MATCH($L36,分录回款!$L:$L,0)),"")</f>
        <v/>
      </c>
      <c r="F36" s="68" t="n">
        <f aca="false">IFERROR(INDEX(分录回款!$H:$H,MATCH($L36,分录回款!$L:$L,0)),"")</f>
        <v>156113.63</v>
      </c>
      <c r="G36" s="69" t="str">
        <f aca="false">IFERROR(INDEX(分录回款!$I:$I,MATCH($L36,分录回款!$L:$L,0)),"")</f>
        <v/>
      </c>
      <c r="H36" s="23"/>
      <c r="I36" s="70"/>
      <c r="L36" s="71" t="n">
        <f aca="false">IF(助手回款!$R$4="",-1,助手回款!$R$4*100+(助手回款!$S$4-1)*6+1)</f>
        <v>301</v>
      </c>
    </row>
    <row r="37" customFormat="false" ht="23.25" hidden="false" customHeight="true" outlineLevel="0" collapsed="false">
      <c r="B37" s="67" t="str">
        <f aca="false">""</f>
        <v/>
      </c>
      <c r="C37" s="67"/>
      <c r="D37" s="23" t="str">
        <f aca="false">IFERROR(INDEX(分录回款!$E:$E,MATCH($L37,分录回款!$L:$L,0)),"")</f>
        <v>财务费用</v>
      </c>
      <c r="E37" s="23" t="str">
        <f aca="false">IFERROR(INDEX(分录回款!$F:$F,MATCH($L37,分录回款!$L:$L,0)),"")</f>
        <v>手续费</v>
      </c>
      <c r="F37" s="68" t="n">
        <f aca="false">IFERROR(INDEX(分录回款!$H:$H,MATCH($L37,分录回款!$L:$L,0)),"")</f>
        <v>81.68</v>
      </c>
      <c r="G37" s="69" t="str">
        <f aca="false">IFERROR(INDEX(分录回款!$I:$I,MATCH($L37,分录回款!$L:$L,0)),"")</f>
        <v/>
      </c>
      <c r="H37" s="23"/>
      <c r="I37" s="70"/>
      <c r="L37" s="71" t="n">
        <f aca="false">IF(助手回款!$R$4="",-1,助手回款!$R$4*100+(助手回款!$S$4-1)*6+2)</f>
        <v>302</v>
      </c>
    </row>
    <row r="38" customFormat="false" ht="23.25" hidden="false" customHeight="true" outlineLevel="0" collapsed="false">
      <c r="B38" s="67" t="str">
        <f aca="false">""</f>
        <v/>
      </c>
      <c r="C38" s="67"/>
      <c r="D38" s="23" t="str">
        <f aca="false">IFERROR(INDEX(分录回款!$E:$E,MATCH($L38,分录回款!$L:$L,0)),"")</f>
        <v>应收账款</v>
      </c>
      <c r="E38" s="23" t="str">
        <f aca="false">IFERROR(INDEX(分录回款!$F:$F,MATCH($L38,分录回款!$L:$L,0)),"")</f>
        <v>聚合支付</v>
      </c>
      <c r="F38" s="68" t="str">
        <f aca="false">IFERROR(INDEX(分录回款!$H:$H,MATCH($L38,分录回款!$L:$L,0)),"")</f>
        <v/>
      </c>
      <c r="G38" s="69" t="n">
        <f aca="false">IFERROR(INDEX(分录回款!$I:$I,MATCH($L38,分录回款!$L:$L,0)),"")</f>
        <v>7997.23</v>
      </c>
      <c r="H38" s="23"/>
      <c r="I38" s="70"/>
      <c r="L38" s="71" t="n">
        <f aca="false">IF(助手回款!$R$4="",-1,助手回款!$R$4*100+(助手回款!$S$4-1)*6+3)</f>
        <v>303</v>
      </c>
    </row>
    <row r="39" customFormat="false" ht="23.25" hidden="false" customHeight="true" outlineLevel="0" collapsed="false">
      <c r="B39" s="67" t="str">
        <f aca="false">""</f>
        <v/>
      </c>
      <c r="C39" s="67"/>
      <c r="D39" s="23" t="str">
        <f aca="false">IFERROR(INDEX(分录回款!$E:$E,MATCH($L39,分录回款!$L:$L,0)),"")</f>
        <v>应收账款</v>
      </c>
      <c r="E39" s="23" t="str">
        <f aca="false">IFERROR(INDEX(分录回款!$F:$F,MATCH($L39,分录回款!$L:$L,0)),"")</f>
        <v>医保</v>
      </c>
      <c r="F39" s="68" t="str">
        <f aca="false">IFERROR(INDEX(分录回款!$H:$H,MATCH($L39,分录回款!$L:$L,0)),"")</f>
        <v/>
      </c>
      <c r="G39" s="69" t="n">
        <f aca="false">IFERROR(INDEX(分录回款!$I:$I,MATCH($L39,分录回款!$L:$L,0)),"")</f>
        <v>29213.06</v>
      </c>
      <c r="H39" s="23"/>
      <c r="I39" s="70"/>
      <c r="L39" s="71" t="n">
        <f aca="false">IF(助手回款!$R$4="",-1,助手回款!$R$4*100+(助手回款!$S$4-1)*6+4)</f>
        <v>304</v>
      </c>
    </row>
    <row r="40" customFormat="false" ht="23.25" hidden="false" customHeight="true" outlineLevel="0" collapsed="false">
      <c r="B40" s="67" t="str">
        <f aca="false">""</f>
        <v/>
      </c>
      <c r="C40" s="67"/>
      <c r="D40" s="23" t="str">
        <f aca="false">IFERROR(INDEX(分录回款!$E:$E,MATCH($L40,分录回款!$L:$L,0)),"")</f>
        <v>应收账款</v>
      </c>
      <c r="E40" s="23" t="str">
        <f aca="false">IFERROR(INDEX(分录回款!$F:$F,MATCH($L40,分录回款!$L:$L,0)),"")</f>
        <v>美团</v>
      </c>
      <c r="F40" s="68" t="str">
        <f aca="false">IFERROR(INDEX(分录回款!$H:$H,MATCH($L40,分录回款!$L:$L,0)),"")</f>
        <v/>
      </c>
      <c r="G40" s="69" t="n">
        <f aca="false">IFERROR(INDEX(分录回款!$I:$I,MATCH($L40,分录回款!$L:$L,0)),"")</f>
        <v>238</v>
      </c>
      <c r="H40" s="23"/>
      <c r="I40" s="70"/>
      <c r="L40" s="71" t="n">
        <f aca="false">IF(助手回款!$R$4="",-1,助手回款!$R$4*100+(助手回款!$S$4-1)*6+5)</f>
        <v>305</v>
      </c>
    </row>
    <row r="41" customFormat="false" ht="23.25" hidden="false" customHeight="true" outlineLevel="0" collapsed="false">
      <c r="B41" s="67" t="str">
        <f aca="false">""</f>
        <v/>
      </c>
      <c r="C41" s="67"/>
      <c r="D41" s="23" t="str">
        <f aca="false">IFERROR(INDEX(分录回款!$E:$E,MATCH($L41,分录回款!$L:$L,0)),"")</f>
        <v>应收账款</v>
      </c>
      <c r="E41" s="23" t="str">
        <f aca="false">IFERROR(INDEX(分录回款!$F:$F,MATCH($L41,分录回款!$L:$L,0)),"")</f>
        <v>健E卡</v>
      </c>
      <c r="F41" s="68" t="str">
        <f aca="false">IFERROR(INDEX(分录回款!$H:$H,MATCH($L41,分录回款!$L:$L,0)),"")</f>
        <v/>
      </c>
      <c r="G41" s="69" t="n">
        <f aca="false">IFERROR(INDEX(分录回款!$I:$I,MATCH($L41,分录回款!$L:$L,0)),"")</f>
        <v>118495.62</v>
      </c>
      <c r="H41" s="23"/>
      <c r="I41" s="70"/>
      <c r="L41" s="71" t="n">
        <f aca="false">IF(助手回款!$R$4="",-1,助手回款!$R$4*100+(助手回款!$S$4-1)*6+6)</f>
        <v>306</v>
      </c>
    </row>
    <row r="42" customFormat="false" ht="23.25" hidden="false" customHeight="true" outlineLevel="0" collapsed="false">
      <c r="B42" s="72" t="str">
        <f aca="false">IF(助手回款!$T$4=1,"合计：","")</f>
        <v/>
      </c>
      <c r="C42" s="73" t="str">
        <f aca="false">IF(助手回款!$T$4=1,$F42,"")</f>
        <v/>
      </c>
      <c r="D42" s="74"/>
      <c r="E42" s="74"/>
      <c r="F42" s="75" t="str">
        <f aca="false">IF(助手回款!$T$4=1,INDEX(助手回款!$N$2:$N$66,助手回款!$R$4),"")</f>
        <v/>
      </c>
      <c r="G42" s="76" t="str">
        <f aca="false">IF(助手回款!$T$4=1,INDEX(助手回款!$O$2:$O$66,助手回款!$R$4),"")</f>
        <v/>
      </c>
      <c r="H42" s="74"/>
      <c r="I42" s="77"/>
    </row>
    <row r="43" customFormat="false" ht="6" hidden="false" customHeight="true" outlineLevel="0" collapsed="false"/>
    <row r="44" customFormat="false" ht="13.5" hidden="false" customHeight="false" outlineLevel="0" collapsed="false">
      <c r="B44" s="78" t="str">
        <f aca="false">IF(助手回款!$R$4&lt;&gt;"","会计主管：","")</f>
        <v>会计主管：</v>
      </c>
      <c r="D44" s="78" t="str">
        <f aca="false">IF(助手回款!$R$4&lt;&gt;"","会计：","")</f>
        <v>会计：</v>
      </c>
      <c r="E44" s="78" t="str">
        <f aca="false">IF(助手回款!$R$4&lt;&gt;"","出纳：","")</f>
        <v>出纳：</v>
      </c>
      <c r="F44" s="78" t="str">
        <f aca="false">IF(助手回款!$R$4&lt;&gt;"","复核：","")</f>
        <v>复核：</v>
      </c>
      <c r="G44" s="78" t="str">
        <f aca="false">IF(助手回款!$R$4&lt;&gt;"","制单：","")</f>
        <v>制单：</v>
      </c>
    </row>
    <row r="45" customFormat="false" ht="3" hidden="false" customHeight="true" outlineLevel="0" collapsed="false"/>
    <row r="46" customFormat="false" ht="19.5" hidden="false" customHeight="true" outlineLevel="0" collapsed="false">
      <c r="B46" s="53" t="str">
        <f aca="false">IF(助手回款!$R$5&lt;&gt;"","记  账  凭  证","")</f>
        <v>记  账  凭  证</v>
      </c>
      <c r="C46" s="53"/>
      <c r="D46" s="53"/>
      <c r="E46" s="53"/>
      <c r="F46" s="53"/>
      <c r="G46" s="53"/>
      <c r="H46" s="53"/>
      <c r="I46" s="53"/>
    </row>
    <row r="47" customFormat="false" ht="3" hidden="false" customHeight="true" outlineLevel="0" collapsed="false"/>
    <row r="48" customFormat="false" ht="15" hidden="false" customHeight="true" outlineLevel="0" collapsed="false">
      <c r="C48" s="56" t="n">
        <f aca="false">IF(助手回款!$R$5&lt;&gt;"",INDEX(助手回款!$B$2:$B$66,助手回款!$R$5),"")</f>
        <v>2003</v>
      </c>
      <c r="D48" s="57" t="n">
        <f aca="false">IF(助手回款!$R$5&lt;&gt;"",参数!$B$2,"")</f>
        <v>46234</v>
      </c>
      <c r="E48" s="57"/>
      <c r="F48" s="58" t="str">
        <f aca="false">IF(助手回款!$R$5&lt;&gt;"",INDEX(助手回款!$C$2:$C$66,助手回款!$R$5)&amp;"  字第 "&amp;IF(参数!$B$9="是",INDEX(助手回款!$P$2:$P$66,助手回款!$R$5),"　　　　")&amp;" 号"&amp;IF(INDEX(助手回款!$L$2:$L$66,助手回款!$R$5)&gt;1,"  (共"&amp;INDEX(助手回款!$L$2:$L$66,助手回款!$R$5)&amp;"页 第"&amp;助手回款!$S$5&amp;"页)",""),"")</f>
        <v>康庄路店  字第 　　　　 号  (共2页 第2页)</v>
      </c>
      <c r="G48" s="58"/>
      <c r="H48" s="58"/>
      <c r="I48" s="58"/>
      <c r="M48" s="59" t="n">
        <f aca="false">IF(助手回款!$R$5="","",助手回款!$Q$5)</f>
        <v>4</v>
      </c>
      <c r="N48" s="60" t="n">
        <f aca="false">IF(助手回款!$R$5="","",INDEX(助手回款!$P$2:$P$66,助手回款!$R$5))</f>
        <v>3</v>
      </c>
      <c r="O48" s="55" t="str">
        <f aca="false">IF(助手回款!$R$5="","",INDEX(助手回款!$C$2:$C$66,助手回款!$R$5)&amp;"  字第 "&amp;INDEX(助手回款!$P$2:$P$66,助手回款!$R$5)&amp;" 号"&amp;IF(INDEX(助手回款!$L$2:$L$66,助手回款!$R$5)&gt;1,"  (共"&amp;INDEX(助手回款!$L$2:$L$66,助手回款!$R$5)&amp;"页 第"&amp;助手回款!$S$5&amp;"页)",""))</f>
        <v>康庄路店  字第 3 号  (共2页 第2页)</v>
      </c>
    </row>
    <row r="49" customFormat="false" ht="12.75" hidden="false" customHeight="true" outlineLevel="0" collapsed="false">
      <c r="B49" s="61" t="str">
        <f aca="false">IF(助手回款!$R$5&lt;&gt;"","摘　　要","")</f>
        <v>摘　　要</v>
      </c>
      <c r="C49" s="61"/>
      <c r="D49" s="62" t="str">
        <f aca="false">IF(助手回款!$R$5&lt;&gt;"","科　　　　目","")</f>
        <v>科　　　　目</v>
      </c>
      <c r="E49" s="62"/>
      <c r="F49" s="61" t="str">
        <f aca="false">IF(助手回款!$R$5&lt;&gt;"","借 方 金 额","")</f>
        <v>借 方 金 额</v>
      </c>
      <c r="G49" s="62" t="str">
        <f aca="false">IF(助手回款!$R$5&lt;&gt;"","贷 方 金 额","")</f>
        <v>贷 方 金 额</v>
      </c>
      <c r="H49" s="63" t="str">
        <f aca="false">IF(助手回款!$R$5&lt;&gt;"","√","")</f>
        <v>√</v>
      </c>
      <c r="I49" s="64" t="str">
        <f aca="false">IF(助手回款!$R$5&lt;&gt;"","附单据  张","")</f>
        <v>附单据  张</v>
      </c>
    </row>
    <row r="50" customFormat="false" ht="12.75" hidden="false" customHeight="true" outlineLevel="0" collapsed="false">
      <c r="B50" s="61"/>
      <c r="C50" s="61"/>
      <c r="D50" s="23" t="str">
        <f aca="false">IF(助手回款!$R$5&lt;&gt;"","总 账 科 目","")</f>
        <v>总 账 科 目</v>
      </c>
      <c r="E50" s="23" t="str">
        <f aca="false">IF(助手回款!$R$5&lt;&gt;"","明 细 科 目","")</f>
        <v>明 细 科 目</v>
      </c>
      <c r="F50" s="65"/>
      <c r="G50" s="66"/>
      <c r="H50" s="63"/>
      <c r="I50" s="64"/>
    </row>
    <row r="51" customFormat="false" ht="23.25" hidden="false" customHeight="true" outlineLevel="0" collapsed="false">
      <c r="B51" s="67" t="str">
        <f aca="false">IFERROR(INDEX(分录回款!$M:$M,MATCH($L51,分录回款!$L:$L,0)),"")</f>
        <v>回款</v>
      </c>
      <c r="C51" s="67"/>
      <c r="D51" s="23" t="str">
        <f aca="false">IFERROR(INDEX(分录回款!$E:$E,MATCH($L51,分录回款!$L:$L,0)),"")</f>
        <v>应收账款</v>
      </c>
      <c r="E51" s="23" t="str">
        <f aca="false">IFERROR(INDEX(分录回款!$F:$F,MATCH($L51,分录回款!$L:$L,0)),"")</f>
        <v>医卡通</v>
      </c>
      <c r="F51" s="68" t="str">
        <f aca="false">IFERROR(INDEX(分录回款!$H:$H,MATCH($L51,分录回款!$L:$L,0)),"")</f>
        <v/>
      </c>
      <c r="G51" s="69" t="n">
        <f aca="false">IFERROR(INDEX(分录回款!$I:$I,MATCH($L51,分录回款!$L:$L,0)),"")</f>
        <v>251.4</v>
      </c>
      <c r="H51" s="23"/>
      <c r="I51" s="70"/>
      <c r="L51" s="71" t="n">
        <f aca="false">IF(助手回款!$R$5="",-1,助手回款!$R$5*100+(助手回款!$S$5-1)*6+1)</f>
        <v>307</v>
      </c>
    </row>
    <row r="52" customFormat="false" ht="23.25" hidden="false" customHeight="true" outlineLevel="0" collapsed="false">
      <c r="B52" s="67" t="str">
        <f aca="false">""</f>
        <v/>
      </c>
      <c r="C52" s="67"/>
      <c r="D52" s="23" t="str">
        <f aca="false">IFERROR(INDEX(分录回款!$E:$E,MATCH($L52,分录回款!$L:$L,0)),"")</f>
        <v/>
      </c>
      <c r="E52" s="23" t="str">
        <f aca="false">IFERROR(INDEX(分录回款!$F:$F,MATCH($L52,分录回款!$L:$L,0)),"")</f>
        <v/>
      </c>
      <c r="F52" s="68" t="str">
        <f aca="false">IFERROR(INDEX(分录回款!$H:$H,MATCH($L52,分录回款!$L:$L,0)),"")</f>
        <v/>
      </c>
      <c r="G52" s="69" t="str">
        <f aca="false">IFERROR(INDEX(分录回款!$I:$I,MATCH($L52,分录回款!$L:$L,0)),"")</f>
        <v/>
      </c>
      <c r="H52" s="23"/>
      <c r="I52" s="70"/>
      <c r="L52" s="71" t="n">
        <f aca="false">IF(助手回款!$R$5="",-1,助手回款!$R$5*100+(助手回款!$S$5-1)*6+2)</f>
        <v>308</v>
      </c>
    </row>
    <row r="53" customFormat="false" ht="23.25" hidden="false" customHeight="true" outlineLevel="0" collapsed="false">
      <c r="B53" s="67" t="str">
        <f aca="false">""</f>
        <v/>
      </c>
      <c r="C53" s="67"/>
      <c r="D53" s="23" t="str">
        <f aca="false">IFERROR(INDEX(分录回款!$E:$E,MATCH($L53,分录回款!$L:$L,0)),"")</f>
        <v/>
      </c>
      <c r="E53" s="23" t="str">
        <f aca="false">IFERROR(INDEX(分录回款!$F:$F,MATCH($L53,分录回款!$L:$L,0)),"")</f>
        <v/>
      </c>
      <c r="F53" s="68" t="str">
        <f aca="false">IFERROR(INDEX(分录回款!$H:$H,MATCH($L53,分录回款!$L:$L,0)),"")</f>
        <v/>
      </c>
      <c r="G53" s="69" t="str">
        <f aca="false">IFERROR(INDEX(分录回款!$I:$I,MATCH($L53,分录回款!$L:$L,0)),"")</f>
        <v/>
      </c>
      <c r="H53" s="23"/>
      <c r="I53" s="70"/>
      <c r="L53" s="71" t="n">
        <f aca="false">IF(助手回款!$R$5="",-1,助手回款!$R$5*100+(助手回款!$S$5-1)*6+3)</f>
        <v>309</v>
      </c>
    </row>
    <row r="54" customFormat="false" ht="23.25" hidden="false" customHeight="true" outlineLevel="0" collapsed="false">
      <c r="B54" s="67" t="str">
        <f aca="false">""</f>
        <v/>
      </c>
      <c r="C54" s="67"/>
      <c r="D54" s="23" t="str">
        <f aca="false">IFERROR(INDEX(分录回款!$E:$E,MATCH($L54,分录回款!$L:$L,0)),"")</f>
        <v/>
      </c>
      <c r="E54" s="23" t="str">
        <f aca="false">IFERROR(INDEX(分录回款!$F:$F,MATCH($L54,分录回款!$L:$L,0)),"")</f>
        <v/>
      </c>
      <c r="F54" s="68" t="str">
        <f aca="false">IFERROR(INDEX(分录回款!$H:$H,MATCH($L54,分录回款!$L:$L,0)),"")</f>
        <v/>
      </c>
      <c r="G54" s="69" t="str">
        <f aca="false">IFERROR(INDEX(分录回款!$I:$I,MATCH($L54,分录回款!$L:$L,0)),"")</f>
        <v/>
      </c>
      <c r="H54" s="23"/>
      <c r="I54" s="70"/>
      <c r="L54" s="71" t="n">
        <f aca="false">IF(助手回款!$R$5="",-1,助手回款!$R$5*100+(助手回款!$S$5-1)*6+4)</f>
        <v>310</v>
      </c>
    </row>
    <row r="55" customFormat="false" ht="23.25" hidden="false" customHeight="true" outlineLevel="0" collapsed="false">
      <c r="B55" s="67" t="str">
        <f aca="false">""</f>
        <v/>
      </c>
      <c r="C55" s="67"/>
      <c r="D55" s="23" t="str">
        <f aca="false">IFERROR(INDEX(分录回款!$E:$E,MATCH($L55,分录回款!$L:$L,0)),"")</f>
        <v/>
      </c>
      <c r="E55" s="23" t="str">
        <f aca="false">IFERROR(INDEX(分录回款!$F:$F,MATCH($L55,分录回款!$L:$L,0)),"")</f>
        <v/>
      </c>
      <c r="F55" s="68" t="str">
        <f aca="false">IFERROR(INDEX(分录回款!$H:$H,MATCH($L55,分录回款!$L:$L,0)),"")</f>
        <v/>
      </c>
      <c r="G55" s="69" t="str">
        <f aca="false">IFERROR(INDEX(分录回款!$I:$I,MATCH($L55,分录回款!$L:$L,0)),"")</f>
        <v/>
      </c>
      <c r="H55" s="23"/>
      <c r="I55" s="70"/>
      <c r="L55" s="71" t="n">
        <f aca="false">IF(助手回款!$R$5="",-1,助手回款!$R$5*100+(助手回款!$S$5-1)*6+5)</f>
        <v>311</v>
      </c>
    </row>
    <row r="56" customFormat="false" ht="23.25" hidden="false" customHeight="true" outlineLevel="0" collapsed="false">
      <c r="B56" s="67" t="str">
        <f aca="false">""</f>
        <v/>
      </c>
      <c r="C56" s="67"/>
      <c r="D56" s="23" t="str">
        <f aca="false">IFERROR(INDEX(分录回款!$E:$E,MATCH($L56,分录回款!$L:$L,0)),"")</f>
        <v/>
      </c>
      <c r="E56" s="23" t="str">
        <f aca="false">IFERROR(INDEX(分录回款!$F:$F,MATCH($L56,分录回款!$L:$L,0)),"")</f>
        <v/>
      </c>
      <c r="F56" s="68" t="str">
        <f aca="false">IFERROR(INDEX(分录回款!$H:$H,MATCH($L56,分录回款!$L:$L,0)),"")</f>
        <v/>
      </c>
      <c r="G56" s="69" t="str">
        <f aca="false">IFERROR(INDEX(分录回款!$I:$I,MATCH($L56,分录回款!$L:$L,0)),"")</f>
        <v/>
      </c>
      <c r="H56" s="23"/>
      <c r="I56" s="70"/>
      <c r="L56" s="71" t="n">
        <f aca="false">IF(助手回款!$R$5="",-1,助手回款!$R$5*100+(助手回款!$S$5-1)*6+6)</f>
        <v>312</v>
      </c>
    </row>
    <row r="57" customFormat="false" ht="23.25" hidden="false" customHeight="true" outlineLevel="0" collapsed="false">
      <c r="B57" s="72" t="str">
        <f aca="false">IF(助手回款!$T$5=1,"合计：","")</f>
        <v>合计：</v>
      </c>
      <c r="C57" s="73" t="n">
        <f aca="false">IF(助手回款!$T$5=1,$F57,"")</f>
        <v>156195.31</v>
      </c>
      <c r="D57" s="74"/>
      <c r="E57" s="74"/>
      <c r="F57" s="75" t="n">
        <f aca="false">IF(助手回款!$T$5=1,INDEX(助手回款!$N$2:$N$66,助手回款!$R$5),"")</f>
        <v>156195.31</v>
      </c>
      <c r="G57" s="76" t="n">
        <f aca="false">IF(助手回款!$T$5=1,INDEX(助手回款!$O$2:$O$66,助手回款!$R$5),"")</f>
        <v>156195.31</v>
      </c>
      <c r="H57" s="74"/>
      <c r="I57" s="77"/>
    </row>
    <row r="58" customFormat="false" ht="6" hidden="false" customHeight="true" outlineLevel="0" collapsed="false"/>
    <row r="59" customFormat="false" ht="13.5" hidden="false" customHeight="false" outlineLevel="0" collapsed="false">
      <c r="B59" s="78" t="str">
        <f aca="false">IF(助手回款!$R$5&lt;&gt;"","会计主管：","")</f>
        <v>会计主管：</v>
      </c>
      <c r="D59" s="78" t="str">
        <f aca="false">IF(助手回款!$R$5&lt;&gt;"","会计：","")</f>
        <v>会计：</v>
      </c>
      <c r="E59" s="78" t="str">
        <f aca="false">IF(助手回款!$R$5&lt;&gt;"","出纳：","")</f>
        <v>出纳：</v>
      </c>
      <c r="F59" s="78" t="str">
        <f aca="false">IF(助手回款!$R$5&lt;&gt;"","复核：","")</f>
        <v>复核：</v>
      </c>
      <c r="G59" s="78" t="str">
        <f aca="false">IF(助手回款!$R$5&lt;&gt;"","制单：","")</f>
        <v>制单：</v>
      </c>
    </row>
    <row r="60" customFormat="false" ht="3" hidden="false" customHeight="true" outlineLevel="0" collapsed="false"/>
    <row r="61" customFormat="false" ht="19.5" hidden="false" customHeight="true" outlineLevel="0" collapsed="false">
      <c r="B61" s="53" t="str">
        <f aca="false">IF(助手回款!$R$6&lt;&gt;"","记  账  凭  证","")</f>
        <v>记  账  凭  证</v>
      </c>
      <c r="C61" s="53"/>
      <c r="D61" s="53"/>
      <c r="E61" s="53"/>
      <c r="F61" s="53"/>
      <c r="G61" s="53"/>
      <c r="H61" s="53"/>
      <c r="I61" s="53"/>
    </row>
    <row r="62" customFormat="false" ht="3" hidden="false" customHeight="true" outlineLevel="0" collapsed="false"/>
    <row r="63" customFormat="false" ht="15" hidden="false" customHeight="true" outlineLevel="0" collapsed="false">
      <c r="C63" s="56" t="n">
        <f aca="false">IF(助手回款!$R$6&lt;&gt;"",INDEX(助手回款!$B$2:$B$66,助手回款!$R$6),"")</f>
        <v>2004</v>
      </c>
      <c r="D63" s="57" t="n">
        <f aca="false">IF(助手回款!$R$6&lt;&gt;"",参数!$B$2,"")</f>
        <v>46234</v>
      </c>
      <c r="E63" s="57"/>
      <c r="F63" s="58" t="str">
        <f aca="false">IF(助手回款!$R$6&lt;&gt;"",INDEX(助手回款!$C$2:$C$66,助手回款!$R$6)&amp;"  字第 "&amp;IF(参数!$B$9="是",INDEX(助手回款!$P$2:$P$66,助手回款!$R$6),"　　　　")&amp;" 号"&amp;IF(INDEX(助手回款!$L$2:$L$66,助手回款!$R$6)&gt;1,"  (共"&amp;INDEX(助手回款!$L$2:$L$66,助手回款!$R$6)&amp;"页 第"&amp;助手回款!$S$6&amp;"页)",""),"")</f>
        <v>东关店  字第 　　　　 号</v>
      </c>
      <c r="G63" s="58"/>
      <c r="H63" s="58"/>
      <c r="I63" s="58"/>
      <c r="M63" s="59" t="n">
        <f aca="false">IF(助手回款!$R$6="","",助手回款!$Q$6)</f>
        <v>5</v>
      </c>
      <c r="N63" s="60" t="n">
        <f aca="false">IF(助手回款!$R$6="","",INDEX(助手回款!$P$2:$P$66,助手回款!$R$6))</f>
        <v>4</v>
      </c>
      <c r="O63" s="55" t="str">
        <f aca="false">IF(助手回款!$R$6="","",INDEX(助手回款!$C$2:$C$66,助手回款!$R$6)&amp;"  字第 "&amp;INDEX(助手回款!$P$2:$P$66,助手回款!$R$6)&amp;" 号"&amp;IF(INDEX(助手回款!$L$2:$L$66,助手回款!$R$6)&gt;1,"  (共"&amp;INDEX(助手回款!$L$2:$L$66,助手回款!$R$6)&amp;"页 第"&amp;助手回款!$S$6&amp;"页)",""))</f>
        <v>东关店  字第 4 号</v>
      </c>
    </row>
    <row r="64" customFormat="false" ht="12.75" hidden="false" customHeight="true" outlineLevel="0" collapsed="false">
      <c r="B64" s="61" t="str">
        <f aca="false">IF(助手回款!$R$6&lt;&gt;"","摘　　要","")</f>
        <v>摘　　要</v>
      </c>
      <c r="C64" s="61"/>
      <c r="D64" s="62" t="str">
        <f aca="false">IF(助手回款!$R$6&lt;&gt;"","科　　　　目","")</f>
        <v>科　　　　目</v>
      </c>
      <c r="E64" s="62"/>
      <c r="F64" s="61" t="str">
        <f aca="false">IF(助手回款!$R$6&lt;&gt;"","借 方 金 额","")</f>
        <v>借 方 金 额</v>
      </c>
      <c r="G64" s="62" t="str">
        <f aca="false">IF(助手回款!$R$6&lt;&gt;"","贷 方 金 额","")</f>
        <v>贷 方 金 额</v>
      </c>
      <c r="H64" s="63" t="str">
        <f aca="false">IF(助手回款!$R$6&lt;&gt;"","√","")</f>
        <v>√</v>
      </c>
      <c r="I64" s="64" t="str">
        <f aca="false">IF(助手回款!$R$6&lt;&gt;"","附单据  张","")</f>
        <v>附单据  张</v>
      </c>
    </row>
    <row r="65" customFormat="false" ht="12.75" hidden="false" customHeight="true" outlineLevel="0" collapsed="false">
      <c r="B65" s="61"/>
      <c r="C65" s="61"/>
      <c r="D65" s="23" t="str">
        <f aca="false">IF(助手回款!$R$6&lt;&gt;"","总 账 科 目","")</f>
        <v>总 账 科 目</v>
      </c>
      <c r="E65" s="23" t="str">
        <f aca="false">IF(助手回款!$R$6&lt;&gt;"","明 细 科 目","")</f>
        <v>明 细 科 目</v>
      </c>
      <c r="F65" s="65"/>
      <c r="G65" s="66"/>
      <c r="H65" s="63"/>
      <c r="I65" s="64"/>
    </row>
    <row r="66" customFormat="false" ht="23.25" hidden="false" customHeight="true" outlineLevel="0" collapsed="false">
      <c r="B66" s="67" t="str">
        <f aca="false">IFERROR(INDEX(分录回款!$M:$M,MATCH($L66,分录回款!$L:$L,0)),"")</f>
        <v>回款</v>
      </c>
      <c r="C66" s="67"/>
      <c r="D66" s="23" t="str">
        <f aca="false">IFERROR(INDEX(分录回款!$E:$E,MATCH($L66,分录回款!$L:$L,0)),"")</f>
        <v>库存现金</v>
      </c>
      <c r="E66" s="23" t="str">
        <f aca="false">IFERROR(INDEX(分录回款!$F:$F,MATCH($L66,分录回款!$L:$L,0)),"")</f>
        <v/>
      </c>
      <c r="F66" s="68" t="n">
        <f aca="false">IFERROR(INDEX(分录回款!$H:$H,MATCH($L66,分录回款!$L:$L,0)),"")</f>
        <v>30287.44</v>
      </c>
      <c r="G66" s="69" t="str">
        <f aca="false">IFERROR(INDEX(分录回款!$I:$I,MATCH($L66,分录回款!$L:$L,0)),"")</f>
        <v/>
      </c>
      <c r="H66" s="23"/>
      <c r="I66" s="70"/>
      <c r="L66" s="71" t="n">
        <f aca="false">IF(助手回款!$R$6="",-1,助手回款!$R$6*100+(助手回款!$S$6-1)*6+1)</f>
        <v>401</v>
      </c>
    </row>
    <row r="67" customFormat="false" ht="23.25" hidden="false" customHeight="true" outlineLevel="0" collapsed="false">
      <c r="B67" s="67" t="str">
        <f aca="false">""</f>
        <v/>
      </c>
      <c r="C67" s="67"/>
      <c r="D67" s="23" t="str">
        <f aca="false">IFERROR(INDEX(分录回款!$E:$E,MATCH($L67,分录回款!$L:$L,0)),"")</f>
        <v>财务费用</v>
      </c>
      <c r="E67" s="23" t="str">
        <f aca="false">IFERROR(INDEX(分录回款!$F:$F,MATCH($L67,分录回款!$L:$L,0)),"")</f>
        <v>手续费</v>
      </c>
      <c r="F67" s="68" t="n">
        <f aca="false">IFERROR(INDEX(分录回款!$H:$H,MATCH($L67,分录回款!$L:$L,0)),"")</f>
        <v>111.32</v>
      </c>
      <c r="G67" s="69" t="str">
        <f aca="false">IFERROR(INDEX(分录回款!$I:$I,MATCH($L67,分录回款!$L:$L,0)),"")</f>
        <v/>
      </c>
      <c r="H67" s="23"/>
      <c r="I67" s="70"/>
      <c r="L67" s="71" t="n">
        <f aca="false">IF(助手回款!$R$6="",-1,助手回款!$R$6*100+(助手回款!$S$6-1)*6+2)</f>
        <v>402</v>
      </c>
    </row>
    <row r="68" customFormat="false" ht="23.25" hidden="false" customHeight="true" outlineLevel="0" collapsed="false">
      <c r="B68" s="67" t="str">
        <f aca="false">""</f>
        <v/>
      </c>
      <c r="C68" s="67"/>
      <c r="D68" s="23" t="str">
        <f aca="false">IFERROR(INDEX(分录回款!$E:$E,MATCH($L68,分录回款!$L:$L,0)),"")</f>
        <v>应收账款</v>
      </c>
      <c r="E68" s="23" t="str">
        <f aca="false">IFERROR(INDEX(分录回款!$F:$F,MATCH($L68,分录回款!$L:$L,0)),"")</f>
        <v>聚合支付</v>
      </c>
      <c r="F68" s="68" t="str">
        <f aca="false">IFERROR(INDEX(分录回款!$H:$H,MATCH($L68,分录回款!$L:$L,0)),"")</f>
        <v/>
      </c>
      <c r="G68" s="69" t="n">
        <f aca="false">IFERROR(INDEX(分录回款!$I:$I,MATCH($L68,分录回款!$L:$L,0)),"")</f>
        <v>3891.92</v>
      </c>
      <c r="H68" s="23"/>
      <c r="I68" s="70"/>
      <c r="L68" s="71" t="n">
        <f aca="false">IF(助手回款!$R$6="",-1,助手回款!$R$6*100+(助手回款!$S$6-1)*6+3)</f>
        <v>403</v>
      </c>
    </row>
    <row r="69" customFormat="false" ht="23.25" hidden="false" customHeight="true" outlineLevel="0" collapsed="false">
      <c r="B69" s="67" t="str">
        <f aca="false">""</f>
        <v/>
      </c>
      <c r="C69" s="67"/>
      <c r="D69" s="23" t="str">
        <f aca="false">IFERROR(INDEX(分录回款!$E:$E,MATCH($L69,分录回款!$L:$L,0)),"")</f>
        <v>应收账款</v>
      </c>
      <c r="E69" s="23" t="str">
        <f aca="false">IFERROR(INDEX(分录回款!$F:$F,MATCH($L69,分录回款!$L:$L,0)),"")</f>
        <v>医保</v>
      </c>
      <c r="F69" s="68" t="str">
        <f aca="false">IFERROR(INDEX(分录回款!$H:$H,MATCH($L69,分录回款!$L:$L,0)),"")</f>
        <v/>
      </c>
      <c r="G69" s="69" t="n">
        <f aca="false">IFERROR(INDEX(分录回款!$I:$I,MATCH($L69,分录回款!$L:$L,0)),"")</f>
        <v>25974.44</v>
      </c>
      <c r="H69" s="23"/>
      <c r="I69" s="70"/>
      <c r="L69" s="71" t="n">
        <f aca="false">IF(助手回款!$R$6="",-1,助手回款!$R$6*100+(助手回款!$S$6-1)*6+4)</f>
        <v>404</v>
      </c>
    </row>
    <row r="70" customFormat="false" ht="23.25" hidden="false" customHeight="true" outlineLevel="0" collapsed="false">
      <c r="B70" s="67" t="str">
        <f aca="false">""</f>
        <v/>
      </c>
      <c r="C70" s="67"/>
      <c r="D70" s="23" t="str">
        <f aca="false">IFERROR(INDEX(分录回款!$E:$E,MATCH($L70,分录回款!$L:$L,0)),"")</f>
        <v>应收账款</v>
      </c>
      <c r="E70" s="23" t="str">
        <f aca="false">IFERROR(INDEX(分录回款!$F:$F,MATCH($L70,分录回款!$L:$L,0)),"")</f>
        <v>美团</v>
      </c>
      <c r="F70" s="68" t="str">
        <f aca="false">IFERROR(INDEX(分录回款!$H:$H,MATCH($L70,分录回款!$L:$L,0)),"")</f>
        <v/>
      </c>
      <c r="G70" s="69" t="n">
        <f aca="false">IFERROR(INDEX(分录回款!$I:$I,MATCH($L70,分录回款!$L:$L,0)),"")</f>
        <v>425.6</v>
      </c>
      <c r="H70" s="23"/>
      <c r="I70" s="70"/>
      <c r="L70" s="71" t="n">
        <f aca="false">IF(助手回款!$R$6="",-1,助手回款!$R$6*100+(助手回款!$S$6-1)*6+5)</f>
        <v>405</v>
      </c>
    </row>
    <row r="71" customFormat="false" ht="23.25" hidden="false" customHeight="true" outlineLevel="0" collapsed="false">
      <c r="B71" s="67" t="str">
        <f aca="false">""</f>
        <v/>
      </c>
      <c r="C71" s="67"/>
      <c r="D71" s="23" t="str">
        <f aca="false">IFERROR(INDEX(分录回款!$E:$E,MATCH($L71,分录回款!$L:$L,0)),"")</f>
        <v>应收账款</v>
      </c>
      <c r="E71" s="23" t="str">
        <f aca="false">IFERROR(INDEX(分录回款!$F:$F,MATCH($L71,分录回款!$L:$L,0)),"")</f>
        <v>饿了么</v>
      </c>
      <c r="F71" s="68" t="str">
        <f aca="false">IFERROR(INDEX(分录回款!$H:$H,MATCH($L71,分录回款!$L:$L,0)),"")</f>
        <v/>
      </c>
      <c r="G71" s="69" t="n">
        <f aca="false">IFERROR(INDEX(分录回款!$I:$I,MATCH($L71,分录回款!$L:$L,0)),"")</f>
        <v>106.8</v>
      </c>
      <c r="H71" s="23"/>
      <c r="I71" s="70"/>
      <c r="L71" s="71" t="n">
        <f aca="false">IF(助手回款!$R$6="",-1,助手回款!$R$6*100+(助手回款!$S$6-1)*6+6)</f>
        <v>406</v>
      </c>
    </row>
    <row r="72" customFormat="false" ht="23.25" hidden="false" customHeight="true" outlineLevel="0" collapsed="false">
      <c r="B72" s="72" t="str">
        <f aca="false">IF(助手回款!$T$6=1,"合计：","")</f>
        <v>合计：</v>
      </c>
      <c r="C72" s="73" t="n">
        <f aca="false">IF(助手回款!$T$6=1,$F72,"")</f>
        <v>30398.76</v>
      </c>
      <c r="D72" s="74"/>
      <c r="E72" s="74"/>
      <c r="F72" s="75" t="n">
        <f aca="false">IF(助手回款!$T$6=1,INDEX(助手回款!$N$2:$N$66,助手回款!$R$6),"")</f>
        <v>30398.76</v>
      </c>
      <c r="G72" s="76" t="n">
        <f aca="false">IF(助手回款!$T$6=1,INDEX(助手回款!$O$2:$O$66,助手回款!$R$6),"")</f>
        <v>30398.76</v>
      </c>
      <c r="H72" s="74"/>
      <c r="I72" s="77"/>
    </row>
    <row r="73" customFormat="false" ht="6" hidden="false" customHeight="true" outlineLevel="0" collapsed="false"/>
    <row r="74" customFormat="false" ht="13.5" hidden="false" customHeight="false" outlineLevel="0" collapsed="false">
      <c r="B74" s="78" t="str">
        <f aca="false">IF(助手回款!$R$6&lt;&gt;"","会计主管：","")</f>
        <v>会计主管：</v>
      </c>
      <c r="D74" s="78" t="str">
        <f aca="false">IF(助手回款!$R$6&lt;&gt;"","会计：","")</f>
        <v>会计：</v>
      </c>
      <c r="E74" s="78" t="str">
        <f aca="false">IF(助手回款!$R$6&lt;&gt;"","出纳：","")</f>
        <v>出纳：</v>
      </c>
      <c r="F74" s="78" t="str">
        <f aca="false">IF(助手回款!$R$6&lt;&gt;"","复核：","")</f>
        <v>复核：</v>
      </c>
      <c r="G74" s="78" t="str">
        <f aca="false">IF(助手回款!$R$6&lt;&gt;"","制单：","")</f>
        <v>制单：</v>
      </c>
    </row>
    <row r="75" customFormat="false" ht="3" hidden="false" customHeight="true" outlineLevel="0" collapsed="false"/>
    <row r="76" customFormat="false" ht="19.5" hidden="false" customHeight="true" outlineLevel="0" collapsed="false">
      <c r="B76" s="53" t="str">
        <f aca="false">IF(助手回款!$R$7&lt;&gt;"","记  账  凭  证","")</f>
        <v>记  账  凭  证</v>
      </c>
      <c r="C76" s="53"/>
      <c r="D76" s="53"/>
      <c r="E76" s="53"/>
      <c r="F76" s="53"/>
      <c r="G76" s="53"/>
      <c r="H76" s="53"/>
      <c r="I76" s="53"/>
    </row>
    <row r="77" customFormat="false" ht="3" hidden="false" customHeight="true" outlineLevel="0" collapsed="false"/>
    <row r="78" customFormat="false" ht="15" hidden="false" customHeight="true" outlineLevel="0" collapsed="false">
      <c r="C78" s="56" t="n">
        <f aca="false">IF(助手回款!$R$7&lt;&gt;"",INDEX(助手回款!$B$2:$B$66,助手回款!$R$7),"")</f>
        <v>2005</v>
      </c>
      <c r="D78" s="57" t="n">
        <f aca="false">IF(助手回款!$R$7&lt;&gt;"",参数!$B$2,"")</f>
        <v>46234</v>
      </c>
      <c r="E78" s="57"/>
      <c r="F78" s="58" t="str">
        <f aca="false">IF(助手回款!$R$7&lt;&gt;"",INDEX(助手回款!$C$2:$C$66,助手回款!$R$7)&amp;"  字第 "&amp;IF(参数!$B$9="是",INDEX(助手回款!$P$2:$P$66,助手回款!$R$7),"　　　　")&amp;" 号"&amp;IF(INDEX(助手回款!$L$2:$L$66,助手回款!$R$7)&gt;1,"  (共"&amp;INDEX(助手回款!$L$2:$L$66,助手回款!$R$7)&amp;"页 第"&amp;助手回款!$S$7&amp;"页)",""),"")</f>
        <v>象城街店  字第 　　　　 号</v>
      </c>
      <c r="G78" s="58"/>
      <c r="H78" s="58"/>
      <c r="I78" s="58"/>
      <c r="M78" s="59" t="n">
        <f aca="false">IF(助手回款!$R$7="","",助手回款!$Q$7)</f>
        <v>6</v>
      </c>
      <c r="N78" s="60" t="n">
        <f aca="false">IF(助手回款!$R$7="","",INDEX(助手回款!$P$2:$P$66,助手回款!$R$7))</f>
        <v>5</v>
      </c>
      <c r="O78" s="55" t="str">
        <f aca="false">IF(助手回款!$R$7="","",INDEX(助手回款!$C$2:$C$66,助手回款!$R$7)&amp;"  字第 "&amp;INDEX(助手回款!$P$2:$P$66,助手回款!$R$7)&amp;" 号"&amp;IF(INDEX(助手回款!$L$2:$L$66,助手回款!$R$7)&gt;1,"  (共"&amp;INDEX(助手回款!$L$2:$L$66,助手回款!$R$7)&amp;"页 第"&amp;助手回款!$S$7&amp;"页)",""))</f>
        <v>象城街店  字第 5 号</v>
      </c>
    </row>
    <row r="79" customFormat="false" ht="12.75" hidden="false" customHeight="true" outlineLevel="0" collapsed="false">
      <c r="B79" s="61" t="str">
        <f aca="false">IF(助手回款!$R$7&lt;&gt;"","摘　　要","")</f>
        <v>摘　　要</v>
      </c>
      <c r="C79" s="61"/>
      <c r="D79" s="62" t="str">
        <f aca="false">IF(助手回款!$R$7&lt;&gt;"","科　　　　目","")</f>
        <v>科　　　　目</v>
      </c>
      <c r="E79" s="62"/>
      <c r="F79" s="61" t="str">
        <f aca="false">IF(助手回款!$R$7&lt;&gt;"","借 方 金 额","")</f>
        <v>借 方 金 额</v>
      </c>
      <c r="G79" s="62" t="str">
        <f aca="false">IF(助手回款!$R$7&lt;&gt;"","贷 方 金 额","")</f>
        <v>贷 方 金 额</v>
      </c>
      <c r="H79" s="63" t="str">
        <f aca="false">IF(助手回款!$R$7&lt;&gt;"","√","")</f>
        <v>√</v>
      </c>
      <c r="I79" s="64" t="str">
        <f aca="false">IF(助手回款!$R$7&lt;&gt;"","附单据  张","")</f>
        <v>附单据  张</v>
      </c>
    </row>
    <row r="80" customFormat="false" ht="12.75" hidden="false" customHeight="true" outlineLevel="0" collapsed="false">
      <c r="B80" s="61"/>
      <c r="C80" s="61"/>
      <c r="D80" s="23" t="str">
        <f aca="false">IF(助手回款!$R$7&lt;&gt;"","总 账 科 目","")</f>
        <v>总 账 科 目</v>
      </c>
      <c r="E80" s="23" t="str">
        <f aca="false">IF(助手回款!$R$7&lt;&gt;"","明 细 科 目","")</f>
        <v>明 细 科 目</v>
      </c>
      <c r="F80" s="65"/>
      <c r="G80" s="66"/>
      <c r="H80" s="63"/>
      <c r="I80" s="64"/>
    </row>
    <row r="81" customFormat="false" ht="23.25" hidden="false" customHeight="true" outlineLevel="0" collapsed="false">
      <c r="B81" s="67" t="str">
        <f aca="false">IFERROR(INDEX(分录回款!$M:$M,MATCH($L81,分录回款!$L:$L,0)),"")</f>
        <v>回款</v>
      </c>
      <c r="C81" s="67"/>
      <c r="D81" s="23" t="str">
        <f aca="false">IFERROR(INDEX(分录回款!$E:$E,MATCH($L81,分录回款!$L:$L,0)),"")</f>
        <v>库存现金</v>
      </c>
      <c r="E81" s="23" t="str">
        <f aca="false">IFERROR(INDEX(分录回款!$F:$F,MATCH($L81,分录回款!$L:$L,0)),"")</f>
        <v/>
      </c>
      <c r="F81" s="68" t="n">
        <f aca="false">IFERROR(INDEX(分录回款!$H:$H,MATCH($L81,分录回款!$L:$L,0)),"")</f>
        <v>47151.07</v>
      </c>
      <c r="G81" s="69" t="str">
        <f aca="false">IFERROR(INDEX(分录回款!$I:$I,MATCH($L81,分录回款!$L:$L,0)),"")</f>
        <v/>
      </c>
      <c r="H81" s="23"/>
      <c r="I81" s="70"/>
      <c r="L81" s="71" t="n">
        <f aca="false">IF(助手回款!$R$7="",-1,助手回款!$R$7*100+(助手回款!$S$7-1)*6+1)</f>
        <v>501</v>
      </c>
    </row>
    <row r="82" customFormat="false" ht="23.25" hidden="false" customHeight="true" outlineLevel="0" collapsed="false">
      <c r="B82" s="67" t="str">
        <f aca="false">""</f>
        <v/>
      </c>
      <c r="C82" s="67"/>
      <c r="D82" s="23" t="str">
        <f aca="false">IFERROR(INDEX(分录回款!$E:$E,MATCH($L82,分录回款!$L:$L,0)),"")</f>
        <v>财务费用</v>
      </c>
      <c r="E82" s="23" t="str">
        <f aca="false">IFERROR(INDEX(分录回款!$F:$F,MATCH($L82,分录回款!$L:$L,0)),"")</f>
        <v>手续费</v>
      </c>
      <c r="F82" s="68" t="n">
        <f aca="false">IFERROR(INDEX(分录回款!$H:$H,MATCH($L82,分录回款!$L:$L,0)),"")</f>
        <v>82.32</v>
      </c>
      <c r="G82" s="69" t="str">
        <f aca="false">IFERROR(INDEX(分录回款!$I:$I,MATCH($L82,分录回款!$L:$L,0)),"")</f>
        <v/>
      </c>
      <c r="H82" s="23"/>
      <c r="I82" s="70"/>
      <c r="L82" s="71" t="n">
        <f aca="false">IF(助手回款!$R$7="",-1,助手回款!$R$7*100+(助手回款!$S$7-1)*6+2)</f>
        <v>502</v>
      </c>
    </row>
    <row r="83" customFormat="false" ht="23.25" hidden="false" customHeight="true" outlineLevel="0" collapsed="false">
      <c r="B83" s="67" t="str">
        <f aca="false">""</f>
        <v/>
      </c>
      <c r="C83" s="67"/>
      <c r="D83" s="23" t="str">
        <f aca="false">IFERROR(INDEX(分录回款!$E:$E,MATCH($L83,分录回款!$L:$L,0)),"")</f>
        <v>应收账款</v>
      </c>
      <c r="E83" s="23" t="str">
        <f aca="false">IFERROR(INDEX(分录回款!$F:$F,MATCH($L83,分录回款!$L:$L,0)),"")</f>
        <v>聚合支付</v>
      </c>
      <c r="F83" s="68" t="str">
        <f aca="false">IFERROR(INDEX(分录回款!$H:$H,MATCH($L83,分录回款!$L:$L,0)),"")</f>
        <v/>
      </c>
      <c r="G83" s="69" t="n">
        <f aca="false">IFERROR(INDEX(分录回款!$I:$I,MATCH($L83,分录回款!$L:$L,0)),"")</f>
        <v>17238.67</v>
      </c>
      <c r="H83" s="23"/>
      <c r="I83" s="70"/>
      <c r="L83" s="71" t="n">
        <f aca="false">IF(助手回款!$R$7="",-1,助手回款!$R$7*100+(助手回款!$S$7-1)*6+3)</f>
        <v>503</v>
      </c>
    </row>
    <row r="84" customFormat="false" ht="23.25" hidden="false" customHeight="true" outlineLevel="0" collapsed="false">
      <c r="B84" s="67" t="str">
        <f aca="false">""</f>
        <v/>
      </c>
      <c r="C84" s="67"/>
      <c r="D84" s="23" t="str">
        <f aca="false">IFERROR(INDEX(分录回款!$E:$E,MATCH($L84,分录回款!$L:$L,0)),"")</f>
        <v>应收账款</v>
      </c>
      <c r="E84" s="23" t="str">
        <f aca="false">IFERROR(INDEX(分录回款!$F:$F,MATCH($L84,分录回款!$L:$L,0)),"")</f>
        <v>医保</v>
      </c>
      <c r="F84" s="68" t="str">
        <f aca="false">IFERROR(INDEX(分录回款!$H:$H,MATCH($L84,分录回款!$L:$L,0)),"")</f>
        <v/>
      </c>
      <c r="G84" s="69" t="n">
        <f aca="false">IFERROR(INDEX(分录回款!$I:$I,MATCH($L84,分录回款!$L:$L,0)),"")</f>
        <v>29457.94</v>
      </c>
      <c r="H84" s="23"/>
      <c r="I84" s="70"/>
      <c r="L84" s="71" t="n">
        <f aca="false">IF(助手回款!$R$7="",-1,助手回款!$R$7*100+(助手回款!$S$7-1)*6+4)</f>
        <v>504</v>
      </c>
    </row>
    <row r="85" customFormat="false" ht="23.25" hidden="false" customHeight="true" outlineLevel="0" collapsed="false">
      <c r="B85" s="67" t="str">
        <f aca="false">""</f>
        <v/>
      </c>
      <c r="C85" s="67"/>
      <c r="D85" s="23" t="str">
        <f aca="false">IFERROR(INDEX(分录回款!$E:$E,MATCH($L85,分录回款!$L:$L,0)),"")</f>
        <v>应收账款</v>
      </c>
      <c r="E85" s="23" t="str">
        <f aca="false">IFERROR(INDEX(分录回款!$F:$F,MATCH($L85,分录回款!$L:$L,0)),"")</f>
        <v>美团</v>
      </c>
      <c r="F85" s="68" t="str">
        <f aca="false">IFERROR(INDEX(分录回款!$H:$H,MATCH($L85,分录回款!$L:$L,0)),"")</f>
        <v/>
      </c>
      <c r="G85" s="69" t="n">
        <f aca="false">IFERROR(INDEX(分录回款!$I:$I,MATCH($L85,分录回款!$L:$L,0)),"")</f>
        <v>246.9</v>
      </c>
      <c r="H85" s="23"/>
      <c r="I85" s="70"/>
      <c r="L85" s="71" t="n">
        <f aca="false">IF(助手回款!$R$7="",-1,助手回款!$R$7*100+(助手回款!$S$7-1)*6+5)</f>
        <v>505</v>
      </c>
    </row>
    <row r="86" customFormat="false" ht="23.25" hidden="false" customHeight="true" outlineLevel="0" collapsed="false">
      <c r="B86" s="67" t="str">
        <f aca="false">""</f>
        <v/>
      </c>
      <c r="C86" s="67"/>
      <c r="D86" s="23" t="str">
        <f aca="false">IFERROR(INDEX(分录回款!$E:$E,MATCH($L86,分录回款!$L:$L,0)),"")</f>
        <v>应收账款</v>
      </c>
      <c r="E86" s="23" t="str">
        <f aca="false">IFERROR(INDEX(分录回款!$F:$F,MATCH($L86,分录回款!$L:$L,0)),"")</f>
        <v>医卡通</v>
      </c>
      <c r="F86" s="68" t="str">
        <f aca="false">IFERROR(INDEX(分录回款!$H:$H,MATCH($L86,分录回款!$L:$L,0)),"")</f>
        <v/>
      </c>
      <c r="G86" s="69" t="n">
        <f aca="false">IFERROR(INDEX(分录回款!$I:$I,MATCH($L86,分录回款!$L:$L,0)),"")</f>
        <v>289.88</v>
      </c>
      <c r="H86" s="23"/>
      <c r="I86" s="70"/>
      <c r="L86" s="71" t="n">
        <f aca="false">IF(助手回款!$R$7="",-1,助手回款!$R$7*100+(助手回款!$S$7-1)*6+6)</f>
        <v>506</v>
      </c>
    </row>
    <row r="87" customFormat="false" ht="23.25" hidden="false" customHeight="true" outlineLevel="0" collapsed="false">
      <c r="B87" s="72" t="str">
        <f aca="false">IF(助手回款!$T$7=1,"合计：","")</f>
        <v>合计：</v>
      </c>
      <c r="C87" s="73" t="n">
        <f aca="false">IF(助手回款!$T$7=1,$F87,"")</f>
        <v>47233.39</v>
      </c>
      <c r="D87" s="74"/>
      <c r="E87" s="74"/>
      <c r="F87" s="75" t="n">
        <f aca="false">IF(助手回款!$T$7=1,INDEX(助手回款!$N$2:$N$66,助手回款!$R$7),"")</f>
        <v>47233.39</v>
      </c>
      <c r="G87" s="76" t="n">
        <f aca="false">IF(助手回款!$T$7=1,INDEX(助手回款!$O$2:$O$66,助手回款!$R$7),"")</f>
        <v>47233.39</v>
      </c>
      <c r="H87" s="74"/>
      <c r="I87" s="77"/>
    </row>
    <row r="88" customFormat="false" ht="6" hidden="false" customHeight="true" outlineLevel="0" collapsed="false"/>
    <row r="89" customFormat="false" ht="13.5" hidden="false" customHeight="false" outlineLevel="0" collapsed="false">
      <c r="B89" s="78" t="str">
        <f aca="false">IF(助手回款!$R$7&lt;&gt;"","会计主管：","")</f>
        <v>会计主管：</v>
      </c>
      <c r="D89" s="78" t="str">
        <f aca="false">IF(助手回款!$R$7&lt;&gt;"","会计：","")</f>
        <v>会计：</v>
      </c>
      <c r="E89" s="78" t="str">
        <f aca="false">IF(助手回款!$R$7&lt;&gt;"","出纳：","")</f>
        <v>出纳：</v>
      </c>
      <c r="F89" s="78" t="str">
        <f aca="false">IF(助手回款!$R$7&lt;&gt;"","复核：","")</f>
        <v>复核：</v>
      </c>
      <c r="G89" s="78" t="str">
        <f aca="false">IF(助手回款!$R$7&lt;&gt;"","制单：","")</f>
        <v>制单：</v>
      </c>
    </row>
    <row r="90" customFormat="false" ht="3" hidden="false" customHeight="true" outlineLevel="0" collapsed="false"/>
    <row r="91" customFormat="false" ht="19.5" hidden="false" customHeight="true" outlineLevel="0" collapsed="false">
      <c r="B91" s="53" t="str">
        <f aca="false">IF(助手回款!$R$8&lt;&gt;"","记  账  凭  证","")</f>
        <v>记  账  凭  证</v>
      </c>
      <c r="C91" s="53"/>
      <c r="D91" s="53"/>
      <c r="E91" s="53"/>
      <c r="F91" s="53"/>
      <c r="G91" s="53"/>
      <c r="H91" s="53"/>
      <c r="I91" s="53"/>
    </row>
    <row r="92" customFormat="false" ht="3" hidden="false" customHeight="true" outlineLevel="0" collapsed="false"/>
    <row r="93" customFormat="false" ht="15" hidden="false" customHeight="true" outlineLevel="0" collapsed="false">
      <c r="C93" s="56" t="n">
        <f aca="false">IF(助手回款!$R$8&lt;&gt;"",INDEX(助手回款!$B$2:$B$66,助手回款!$R$8),"")</f>
        <v>2006</v>
      </c>
      <c r="D93" s="57" t="n">
        <f aca="false">IF(助手回款!$R$8&lt;&gt;"",参数!$B$2,"")</f>
        <v>46234</v>
      </c>
      <c r="E93" s="57"/>
      <c r="F93" s="58" t="str">
        <f aca="false">IF(助手回款!$R$8&lt;&gt;"",INDEX(助手回款!$C$2:$C$66,助手回款!$R$8)&amp;"  字第 "&amp;IF(参数!$B$9="是",INDEX(助手回款!$P$2:$P$66,助手回款!$R$8),"　　　　")&amp;" 号"&amp;IF(INDEX(助手回款!$L$2:$L$66,助手回款!$R$8)&gt;1,"  (共"&amp;INDEX(助手回款!$L$2:$L$66,助手回款!$R$8)&amp;"页 第"&amp;助手回款!$S$8&amp;"页)",""),"")</f>
        <v>博荣店  字第 　　　　 号</v>
      </c>
      <c r="G93" s="58"/>
      <c r="H93" s="58"/>
      <c r="I93" s="58"/>
      <c r="M93" s="59" t="n">
        <f aca="false">IF(助手回款!$R$8="","",助手回款!$Q$8)</f>
        <v>7</v>
      </c>
      <c r="N93" s="60" t="n">
        <f aca="false">IF(助手回款!$R$8="","",INDEX(助手回款!$P$2:$P$66,助手回款!$R$8))</f>
        <v>6</v>
      </c>
      <c r="O93" s="55" t="str">
        <f aca="false">IF(助手回款!$R$8="","",INDEX(助手回款!$C$2:$C$66,助手回款!$R$8)&amp;"  字第 "&amp;INDEX(助手回款!$P$2:$P$66,助手回款!$R$8)&amp;" 号"&amp;IF(INDEX(助手回款!$L$2:$L$66,助手回款!$R$8)&gt;1,"  (共"&amp;INDEX(助手回款!$L$2:$L$66,助手回款!$R$8)&amp;"页 第"&amp;助手回款!$S$8&amp;"页)",""))</f>
        <v>博荣店  字第 6 号</v>
      </c>
    </row>
    <row r="94" customFormat="false" ht="12.75" hidden="false" customHeight="true" outlineLevel="0" collapsed="false">
      <c r="B94" s="61" t="str">
        <f aca="false">IF(助手回款!$R$8&lt;&gt;"","摘　　要","")</f>
        <v>摘　　要</v>
      </c>
      <c r="C94" s="61"/>
      <c r="D94" s="62" t="str">
        <f aca="false">IF(助手回款!$R$8&lt;&gt;"","科　　　　目","")</f>
        <v>科　　　　目</v>
      </c>
      <c r="E94" s="62"/>
      <c r="F94" s="61" t="str">
        <f aca="false">IF(助手回款!$R$8&lt;&gt;"","借 方 金 额","")</f>
        <v>借 方 金 额</v>
      </c>
      <c r="G94" s="62" t="str">
        <f aca="false">IF(助手回款!$R$8&lt;&gt;"","贷 方 金 额","")</f>
        <v>贷 方 金 额</v>
      </c>
      <c r="H94" s="63" t="str">
        <f aca="false">IF(助手回款!$R$8&lt;&gt;"","√","")</f>
        <v>√</v>
      </c>
      <c r="I94" s="64" t="str">
        <f aca="false">IF(助手回款!$R$8&lt;&gt;"","附单据  张","")</f>
        <v>附单据  张</v>
      </c>
    </row>
    <row r="95" customFormat="false" ht="12.75" hidden="false" customHeight="true" outlineLevel="0" collapsed="false">
      <c r="B95" s="61"/>
      <c r="C95" s="61"/>
      <c r="D95" s="23" t="str">
        <f aca="false">IF(助手回款!$R$8&lt;&gt;"","总 账 科 目","")</f>
        <v>总 账 科 目</v>
      </c>
      <c r="E95" s="23" t="str">
        <f aca="false">IF(助手回款!$R$8&lt;&gt;"","明 细 科 目","")</f>
        <v>明 细 科 目</v>
      </c>
      <c r="F95" s="65"/>
      <c r="G95" s="66"/>
      <c r="H95" s="63"/>
      <c r="I95" s="64"/>
    </row>
    <row r="96" customFormat="false" ht="23.25" hidden="false" customHeight="true" outlineLevel="0" collapsed="false">
      <c r="B96" s="67" t="str">
        <f aca="false">IFERROR(INDEX(分录回款!$M:$M,MATCH($L96,分录回款!$L:$L,0)),"")</f>
        <v>回款</v>
      </c>
      <c r="C96" s="67"/>
      <c r="D96" s="23" t="str">
        <f aca="false">IFERROR(INDEX(分录回款!$E:$E,MATCH($L96,分录回款!$L:$L,0)),"")</f>
        <v>库存现金</v>
      </c>
      <c r="E96" s="23" t="str">
        <f aca="false">IFERROR(INDEX(分录回款!$F:$F,MATCH($L96,分录回款!$L:$L,0)),"")</f>
        <v/>
      </c>
      <c r="F96" s="68" t="n">
        <f aca="false">IFERROR(INDEX(分录回款!$H:$H,MATCH($L96,分录回款!$L:$L,0)),"")</f>
        <v>77638.99</v>
      </c>
      <c r="G96" s="69" t="str">
        <f aca="false">IFERROR(INDEX(分录回款!$I:$I,MATCH($L96,分录回款!$L:$L,0)),"")</f>
        <v/>
      </c>
      <c r="H96" s="23"/>
      <c r="I96" s="70"/>
      <c r="L96" s="71" t="n">
        <f aca="false">IF(助手回款!$R$8="",-1,助手回款!$R$8*100+(助手回款!$S$8-1)*6+1)</f>
        <v>601</v>
      </c>
    </row>
    <row r="97" customFormat="false" ht="23.25" hidden="false" customHeight="true" outlineLevel="0" collapsed="false">
      <c r="B97" s="67" t="str">
        <f aca="false">""</f>
        <v/>
      </c>
      <c r="C97" s="67"/>
      <c r="D97" s="23" t="str">
        <f aca="false">IFERROR(INDEX(分录回款!$E:$E,MATCH($L97,分录回款!$L:$L,0)),"")</f>
        <v>财务费用</v>
      </c>
      <c r="E97" s="23" t="str">
        <f aca="false">IFERROR(INDEX(分录回款!$F:$F,MATCH($L97,分录回款!$L:$L,0)),"")</f>
        <v>手续费</v>
      </c>
      <c r="F97" s="68" t="n">
        <f aca="false">IFERROR(INDEX(分录回款!$H:$H,MATCH($L97,分录回款!$L:$L,0)),"")</f>
        <v>27.84</v>
      </c>
      <c r="G97" s="69" t="str">
        <f aca="false">IFERROR(INDEX(分录回款!$I:$I,MATCH($L97,分录回款!$L:$L,0)),"")</f>
        <v/>
      </c>
      <c r="H97" s="23"/>
      <c r="I97" s="70"/>
      <c r="L97" s="71" t="n">
        <f aca="false">IF(助手回款!$R$8="",-1,助手回款!$R$8*100+(助手回款!$S$8-1)*6+2)</f>
        <v>602</v>
      </c>
    </row>
    <row r="98" customFormat="false" ht="23.25" hidden="false" customHeight="true" outlineLevel="0" collapsed="false">
      <c r="B98" s="67" t="str">
        <f aca="false">""</f>
        <v/>
      </c>
      <c r="C98" s="67"/>
      <c r="D98" s="23" t="str">
        <f aca="false">IFERROR(INDEX(分录回款!$E:$E,MATCH($L98,分录回款!$L:$L,0)),"")</f>
        <v>应收账款</v>
      </c>
      <c r="E98" s="23" t="str">
        <f aca="false">IFERROR(INDEX(分录回款!$F:$F,MATCH($L98,分录回款!$L:$L,0)),"")</f>
        <v>聚合支付</v>
      </c>
      <c r="F98" s="68" t="str">
        <f aca="false">IFERROR(INDEX(分录回款!$H:$H,MATCH($L98,分录回款!$L:$L,0)),"")</f>
        <v/>
      </c>
      <c r="G98" s="69" t="n">
        <f aca="false">IFERROR(INDEX(分录回款!$I:$I,MATCH($L98,分录回款!$L:$L,0)),"")</f>
        <v>33904.99</v>
      </c>
      <c r="H98" s="23"/>
      <c r="I98" s="70"/>
      <c r="L98" s="71" t="n">
        <f aca="false">IF(助手回款!$R$8="",-1,助手回款!$R$8*100+(助手回款!$S$8-1)*6+3)</f>
        <v>603</v>
      </c>
    </row>
    <row r="99" customFormat="false" ht="23.25" hidden="false" customHeight="true" outlineLevel="0" collapsed="false">
      <c r="B99" s="67" t="str">
        <f aca="false">""</f>
        <v/>
      </c>
      <c r="C99" s="67"/>
      <c r="D99" s="23" t="str">
        <f aca="false">IFERROR(INDEX(分录回款!$E:$E,MATCH($L99,分录回款!$L:$L,0)),"")</f>
        <v>应收账款</v>
      </c>
      <c r="E99" s="23" t="str">
        <f aca="false">IFERROR(INDEX(分录回款!$F:$F,MATCH($L99,分录回款!$L:$L,0)),"")</f>
        <v>医保</v>
      </c>
      <c r="F99" s="68" t="str">
        <f aca="false">IFERROR(INDEX(分录回款!$H:$H,MATCH($L99,分录回款!$L:$L,0)),"")</f>
        <v/>
      </c>
      <c r="G99" s="69" t="n">
        <f aca="false">IFERROR(INDEX(分录回款!$I:$I,MATCH($L99,分录回款!$L:$L,0)),"")</f>
        <v>22380.67</v>
      </c>
      <c r="H99" s="23"/>
      <c r="I99" s="70"/>
      <c r="L99" s="71" t="n">
        <f aca="false">IF(助手回款!$R$8="",-1,助手回款!$R$8*100+(助手回款!$S$8-1)*6+4)</f>
        <v>604</v>
      </c>
    </row>
    <row r="100" customFormat="false" ht="23.25" hidden="false" customHeight="true" outlineLevel="0" collapsed="false">
      <c r="B100" s="67" t="str">
        <f aca="false">""</f>
        <v/>
      </c>
      <c r="C100" s="67"/>
      <c r="D100" s="23" t="str">
        <f aca="false">IFERROR(INDEX(分录回款!$E:$E,MATCH($L100,分录回款!$L:$L,0)),"")</f>
        <v>应收账款</v>
      </c>
      <c r="E100" s="23" t="str">
        <f aca="false">IFERROR(INDEX(分录回款!$F:$F,MATCH($L100,分录回款!$L:$L,0)),"")</f>
        <v>美团</v>
      </c>
      <c r="F100" s="68" t="str">
        <f aca="false">IFERROR(INDEX(分录回款!$H:$H,MATCH($L100,分录回款!$L:$L,0)),"")</f>
        <v/>
      </c>
      <c r="G100" s="69" t="n">
        <f aca="false">IFERROR(INDEX(分录回款!$I:$I,MATCH($L100,分录回款!$L:$L,0)),"")</f>
        <v>188</v>
      </c>
      <c r="H100" s="23"/>
      <c r="I100" s="70"/>
      <c r="L100" s="71" t="n">
        <f aca="false">IF(助手回款!$R$8="",-1,助手回款!$R$8*100+(助手回款!$S$8-1)*6+5)</f>
        <v>605</v>
      </c>
    </row>
    <row r="101" customFormat="false" ht="23.25" hidden="false" customHeight="true" outlineLevel="0" collapsed="false">
      <c r="B101" s="67" t="str">
        <f aca="false">""</f>
        <v/>
      </c>
      <c r="C101" s="67"/>
      <c r="D101" s="23" t="str">
        <f aca="false">IFERROR(INDEX(分录回款!$E:$E,MATCH($L101,分录回款!$L:$L,0)),"")</f>
        <v>应收账款</v>
      </c>
      <c r="E101" s="23" t="str">
        <f aca="false">IFERROR(INDEX(分录回款!$F:$F,MATCH($L101,分录回款!$L:$L,0)),"")</f>
        <v>健E卡</v>
      </c>
      <c r="F101" s="68" t="str">
        <f aca="false">IFERROR(INDEX(分录回款!$H:$H,MATCH($L101,分录回款!$L:$L,0)),"")</f>
        <v/>
      </c>
      <c r="G101" s="69" t="n">
        <f aca="false">IFERROR(INDEX(分录回款!$I:$I,MATCH($L101,分录回款!$L:$L,0)),"")</f>
        <v>21193.17</v>
      </c>
      <c r="H101" s="23"/>
      <c r="I101" s="70"/>
      <c r="L101" s="71" t="n">
        <f aca="false">IF(助手回款!$R$8="",-1,助手回款!$R$8*100+(助手回款!$S$8-1)*6+6)</f>
        <v>606</v>
      </c>
    </row>
    <row r="102" customFormat="false" ht="23.25" hidden="false" customHeight="true" outlineLevel="0" collapsed="false">
      <c r="B102" s="72" t="str">
        <f aca="false">IF(助手回款!$T$8=1,"合计：","")</f>
        <v>合计：</v>
      </c>
      <c r="C102" s="73" t="n">
        <f aca="false">IF(助手回款!$T$8=1,$F102,"")</f>
        <v>77666.83</v>
      </c>
      <c r="D102" s="74"/>
      <c r="E102" s="74"/>
      <c r="F102" s="75" t="n">
        <f aca="false">IF(助手回款!$T$8=1,INDEX(助手回款!$N$2:$N$66,助手回款!$R$8),"")</f>
        <v>77666.83</v>
      </c>
      <c r="G102" s="76" t="n">
        <f aca="false">IF(助手回款!$T$8=1,INDEX(助手回款!$O$2:$O$66,助手回款!$R$8),"")</f>
        <v>77666.83</v>
      </c>
      <c r="H102" s="74"/>
      <c r="I102" s="77"/>
    </row>
    <row r="103" customFormat="false" ht="6" hidden="false" customHeight="true" outlineLevel="0" collapsed="false"/>
    <row r="104" customFormat="false" ht="13.5" hidden="false" customHeight="false" outlineLevel="0" collapsed="false">
      <c r="B104" s="78" t="str">
        <f aca="false">IF(助手回款!$R$8&lt;&gt;"","会计主管：","")</f>
        <v>会计主管：</v>
      </c>
      <c r="D104" s="78" t="str">
        <f aca="false">IF(助手回款!$R$8&lt;&gt;"","会计：","")</f>
        <v>会计：</v>
      </c>
      <c r="E104" s="78" t="str">
        <f aca="false">IF(助手回款!$R$8&lt;&gt;"","出纳：","")</f>
        <v>出纳：</v>
      </c>
      <c r="F104" s="78" t="str">
        <f aca="false">IF(助手回款!$R$8&lt;&gt;"","复核：","")</f>
        <v>复核：</v>
      </c>
      <c r="G104" s="78" t="str">
        <f aca="false">IF(助手回款!$R$8&lt;&gt;"","制单：","")</f>
        <v>制单：</v>
      </c>
    </row>
    <row r="105" customFormat="false" ht="3" hidden="false" customHeight="true" outlineLevel="0" collapsed="false"/>
    <row r="106" customFormat="false" ht="19.5" hidden="false" customHeight="true" outlineLevel="0" collapsed="false">
      <c r="B106" s="53" t="str">
        <f aca="false">IF(助手回款!$R$9&lt;&gt;"","记  账  凭  证","")</f>
        <v>记  账  凭  证</v>
      </c>
      <c r="C106" s="53"/>
      <c r="D106" s="53"/>
      <c r="E106" s="53"/>
      <c r="F106" s="53"/>
      <c r="G106" s="53"/>
      <c r="H106" s="53"/>
      <c r="I106" s="53"/>
    </row>
    <row r="107" customFormat="false" ht="3" hidden="false" customHeight="true" outlineLevel="0" collapsed="false"/>
    <row r="108" customFormat="false" ht="15" hidden="false" customHeight="true" outlineLevel="0" collapsed="false">
      <c r="C108" s="56" t="n">
        <f aca="false">IF(助手回款!$R$9&lt;&gt;"",INDEX(助手回款!$B$2:$B$66,助手回款!$R$9),"")</f>
        <v>2007</v>
      </c>
      <c r="D108" s="57" t="n">
        <f aca="false">IF(助手回款!$R$9&lt;&gt;"",参数!$B$2,"")</f>
        <v>46234</v>
      </c>
      <c r="E108" s="57"/>
      <c r="F108" s="58" t="str">
        <f aca="false">IF(助手回款!$R$9&lt;&gt;"",INDEX(助手回款!$C$2:$C$66,助手回款!$R$9)&amp;"  字第 "&amp;IF(参数!$B$9="是",INDEX(助手回款!$P$2:$P$66,助手回款!$R$9),"　　　　")&amp;" 号"&amp;IF(INDEX(助手回款!$L$2:$L$66,助手回款!$R$9)&gt;1,"  (共"&amp;INDEX(助手回款!$L$2:$L$66,助手回款!$R$9)&amp;"页 第"&amp;助手回款!$S$9&amp;"页)",""),"")</f>
        <v>华鑫店  字第 　　　　 号  (共2页 第1页)</v>
      </c>
      <c r="G108" s="58"/>
      <c r="H108" s="58"/>
      <c r="I108" s="58"/>
      <c r="M108" s="59" t="n">
        <f aca="false">IF(助手回款!$R$9="","",助手回款!$Q$9)</f>
        <v>8</v>
      </c>
      <c r="N108" s="60" t="n">
        <f aca="false">IF(助手回款!$R$9="","",INDEX(助手回款!$P$2:$P$66,助手回款!$R$9))</f>
        <v>7</v>
      </c>
      <c r="O108" s="55" t="str">
        <f aca="false">IF(助手回款!$R$9="","",INDEX(助手回款!$C$2:$C$66,助手回款!$R$9)&amp;"  字第 "&amp;INDEX(助手回款!$P$2:$P$66,助手回款!$R$9)&amp;" 号"&amp;IF(INDEX(助手回款!$L$2:$L$66,助手回款!$R$9)&gt;1,"  (共"&amp;INDEX(助手回款!$L$2:$L$66,助手回款!$R$9)&amp;"页 第"&amp;助手回款!$S$9&amp;"页)",""))</f>
        <v>华鑫店  字第 7 号  (共2页 第1页)</v>
      </c>
    </row>
    <row r="109" customFormat="false" ht="12.75" hidden="false" customHeight="true" outlineLevel="0" collapsed="false">
      <c r="B109" s="61" t="str">
        <f aca="false">IF(助手回款!$R$9&lt;&gt;"","摘　　要","")</f>
        <v>摘　　要</v>
      </c>
      <c r="C109" s="61"/>
      <c r="D109" s="62" t="str">
        <f aca="false">IF(助手回款!$R$9&lt;&gt;"","科　　　　目","")</f>
        <v>科　　　　目</v>
      </c>
      <c r="E109" s="62"/>
      <c r="F109" s="61" t="str">
        <f aca="false">IF(助手回款!$R$9&lt;&gt;"","借 方 金 额","")</f>
        <v>借 方 金 额</v>
      </c>
      <c r="G109" s="62" t="str">
        <f aca="false">IF(助手回款!$R$9&lt;&gt;"","贷 方 金 额","")</f>
        <v>贷 方 金 额</v>
      </c>
      <c r="H109" s="63" t="str">
        <f aca="false">IF(助手回款!$R$9&lt;&gt;"","√","")</f>
        <v>√</v>
      </c>
      <c r="I109" s="64" t="str">
        <f aca="false">IF(助手回款!$R$9&lt;&gt;"","附单据  张","")</f>
        <v>附单据  张</v>
      </c>
    </row>
    <row r="110" customFormat="false" ht="12.75" hidden="false" customHeight="true" outlineLevel="0" collapsed="false">
      <c r="B110" s="61"/>
      <c r="C110" s="61"/>
      <c r="D110" s="23" t="str">
        <f aca="false">IF(助手回款!$R$9&lt;&gt;"","总 账 科 目","")</f>
        <v>总 账 科 目</v>
      </c>
      <c r="E110" s="23" t="str">
        <f aca="false">IF(助手回款!$R$9&lt;&gt;"","明 细 科 目","")</f>
        <v>明 细 科 目</v>
      </c>
      <c r="F110" s="65"/>
      <c r="G110" s="66"/>
      <c r="H110" s="63"/>
      <c r="I110" s="64"/>
    </row>
    <row r="111" customFormat="false" ht="23.25" hidden="false" customHeight="true" outlineLevel="0" collapsed="false">
      <c r="B111" s="67" t="str">
        <f aca="false">IFERROR(INDEX(分录回款!$M:$M,MATCH($L111,分录回款!$L:$L,0)),"")</f>
        <v>回款</v>
      </c>
      <c r="C111" s="67"/>
      <c r="D111" s="23" t="str">
        <f aca="false">IFERROR(INDEX(分录回款!$E:$E,MATCH($L111,分录回款!$L:$L,0)),"")</f>
        <v>库存现金</v>
      </c>
      <c r="E111" s="23" t="str">
        <f aca="false">IFERROR(INDEX(分录回款!$F:$F,MATCH($L111,分录回款!$L:$L,0)),"")</f>
        <v/>
      </c>
      <c r="F111" s="68" t="n">
        <f aca="false">IFERROR(INDEX(分录回款!$H:$H,MATCH($L111,分录回款!$L:$L,0)),"")</f>
        <v>42985.8</v>
      </c>
      <c r="G111" s="69" t="str">
        <f aca="false">IFERROR(INDEX(分录回款!$I:$I,MATCH($L111,分录回款!$L:$L,0)),"")</f>
        <v/>
      </c>
      <c r="H111" s="23"/>
      <c r="I111" s="70"/>
      <c r="L111" s="71" t="n">
        <f aca="false">IF(助手回款!$R$9="",-1,助手回款!$R$9*100+(助手回款!$S$9-1)*6+1)</f>
        <v>701</v>
      </c>
    </row>
    <row r="112" customFormat="false" ht="23.25" hidden="false" customHeight="true" outlineLevel="0" collapsed="false">
      <c r="B112" s="67" t="str">
        <f aca="false">""</f>
        <v/>
      </c>
      <c r="C112" s="67"/>
      <c r="D112" s="23" t="str">
        <f aca="false">IFERROR(INDEX(分录回款!$E:$E,MATCH($L112,分录回款!$L:$L,0)),"")</f>
        <v>财务费用</v>
      </c>
      <c r="E112" s="23" t="str">
        <f aca="false">IFERROR(INDEX(分录回款!$F:$F,MATCH($L112,分录回款!$L:$L,0)),"")</f>
        <v>手续费</v>
      </c>
      <c r="F112" s="68" t="n">
        <f aca="false">IFERROR(INDEX(分录回款!$H:$H,MATCH($L112,分录回款!$L:$L,0)),"")</f>
        <v>65.84</v>
      </c>
      <c r="G112" s="69" t="str">
        <f aca="false">IFERROR(INDEX(分录回款!$I:$I,MATCH($L112,分录回款!$L:$L,0)),"")</f>
        <v/>
      </c>
      <c r="H112" s="23"/>
      <c r="I112" s="70"/>
      <c r="L112" s="71" t="n">
        <f aca="false">IF(助手回款!$R$9="",-1,助手回款!$R$9*100+(助手回款!$S$9-1)*6+2)</f>
        <v>702</v>
      </c>
    </row>
    <row r="113" customFormat="false" ht="23.25" hidden="false" customHeight="true" outlineLevel="0" collapsed="false">
      <c r="B113" s="67" t="str">
        <f aca="false">""</f>
        <v/>
      </c>
      <c r="C113" s="67"/>
      <c r="D113" s="23" t="str">
        <f aca="false">IFERROR(INDEX(分录回款!$E:$E,MATCH($L113,分录回款!$L:$L,0)),"")</f>
        <v>应收账款</v>
      </c>
      <c r="E113" s="23" t="str">
        <f aca="false">IFERROR(INDEX(分录回款!$F:$F,MATCH($L113,分录回款!$L:$L,0)),"")</f>
        <v>聚合支付</v>
      </c>
      <c r="F113" s="68" t="str">
        <f aca="false">IFERROR(INDEX(分录回款!$H:$H,MATCH($L113,分录回款!$L:$L,0)),"")</f>
        <v/>
      </c>
      <c r="G113" s="69" t="n">
        <f aca="false">IFERROR(INDEX(分录回款!$I:$I,MATCH($L113,分录回款!$L:$L,0)),"")</f>
        <v>30413.09</v>
      </c>
      <c r="H113" s="23"/>
      <c r="I113" s="70"/>
      <c r="L113" s="71" t="n">
        <f aca="false">IF(助手回款!$R$9="",-1,助手回款!$R$9*100+(助手回款!$S$9-1)*6+3)</f>
        <v>703</v>
      </c>
    </row>
    <row r="114" customFormat="false" ht="23.25" hidden="false" customHeight="true" outlineLevel="0" collapsed="false">
      <c r="B114" s="67" t="str">
        <f aca="false">""</f>
        <v/>
      </c>
      <c r="C114" s="67"/>
      <c r="D114" s="23" t="str">
        <f aca="false">IFERROR(INDEX(分录回款!$E:$E,MATCH($L114,分录回款!$L:$L,0)),"")</f>
        <v>应收账款</v>
      </c>
      <c r="E114" s="23" t="str">
        <f aca="false">IFERROR(INDEX(分录回款!$F:$F,MATCH($L114,分录回款!$L:$L,0)),"")</f>
        <v>医保</v>
      </c>
      <c r="F114" s="68" t="str">
        <f aca="false">IFERROR(INDEX(分录回款!$H:$H,MATCH($L114,分录回款!$L:$L,0)),"")</f>
        <v/>
      </c>
      <c r="G114" s="69" t="n">
        <f aca="false">IFERROR(INDEX(分录回款!$I:$I,MATCH($L114,分录回款!$L:$L,0)),"")</f>
        <v>11979.59</v>
      </c>
      <c r="H114" s="23"/>
      <c r="I114" s="70"/>
      <c r="L114" s="71" t="n">
        <f aca="false">IF(助手回款!$R$9="",-1,助手回款!$R$9*100+(助手回款!$S$9-1)*6+4)</f>
        <v>704</v>
      </c>
    </row>
    <row r="115" customFormat="false" ht="23.25" hidden="false" customHeight="true" outlineLevel="0" collapsed="false">
      <c r="B115" s="67" t="str">
        <f aca="false">""</f>
        <v/>
      </c>
      <c r="C115" s="67"/>
      <c r="D115" s="23" t="str">
        <f aca="false">IFERROR(INDEX(分录回款!$E:$E,MATCH($L115,分录回款!$L:$L,0)),"")</f>
        <v>应收账款</v>
      </c>
      <c r="E115" s="23" t="str">
        <f aca="false">IFERROR(INDEX(分录回款!$F:$F,MATCH($L115,分录回款!$L:$L,0)),"")</f>
        <v>美团</v>
      </c>
      <c r="F115" s="68" t="str">
        <f aca="false">IFERROR(INDEX(分录回款!$H:$H,MATCH($L115,分录回款!$L:$L,0)),"")</f>
        <v/>
      </c>
      <c r="G115" s="69" t="n">
        <f aca="false">IFERROR(INDEX(分录回款!$I:$I,MATCH($L115,分录回款!$L:$L,0)),"")</f>
        <v>158.96</v>
      </c>
      <c r="H115" s="23"/>
      <c r="I115" s="70"/>
      <c r="L115" s="71" t="n">
        <f aca="false">IF(助手回款!$R$9="",-1,助手回款!$R$9*100+(助手回款!$S$9-1)*6+5)</f>
        <v>705</v>
      </c>
    </row>
    <row r="116" customFormat="false" ht="23.25" hidden="false" customHeight="true" outlineLevel="0" collapsed="false">
      <c r="B116" s="67" t="str">
        <f aca="false">""</f>
        <v/>
      </c>
      <c r="C116" s="67"/>
      <c r="D116" s="23" t="str">
        <f aca="false">IFERROR(INDEX(分录回款!$E:$E,MATCH($L116,分录回款!$L:$L,0)),"")</f>
        <v>应收账款</v>
      </c>
      <c r="E116" s="23" t="str">
        <f aca="false">IFERROR(INDEX(分录回款!$F:$F,MATCH($L116,分录回款!$L:$L,0)),"")</f>
        <v>饿了么</v>
      </c>
      <c r="F116" s="68" t="str">
        <f aca="false">IFERROR(INDEX(分录回款!$H:$H,MATCH($L116,分录回款!$L:$L,0)),"")</f>
        <v/>
      </c>
      <c r="G116" s="69" t="n">
        <f aca="false">IFERROR(INDEX(分录回款!$I:$I,MATCH($L116,分录回款!$L:$L,0)),"")</f>
        <v>142.8</v>
      </c>
      <c r="H116" s="23"/>
      <c r="I116" s="70"/>
      <c r="L116" s="71" t="n">
        <f aca="false">IF(助手回款!$R$9="",-1,助手回款!$R$9*100+(助手回款!$S$9-1)*6+6)</f>
        <v>706</v>
      </c>
    </row>
    <row r="117" customFormat="false" ht="23.25" hidden="false" customHeight="true" outlineLevel="0" collapsed="false">
      <c r="B117" s="72" t="str">
        <f aca="false">IF(助手回款!$T$9=1,"合计：","")</f>
        <v/>
      </c>
      <c r="C117" s="73" t="str">
        <f aca="false">IF(助手回款!$T$9=1,$F117,"")</f>
        <v/>
      </c>
      <c r="D117" s="74"/>
      <c r="E117" s="74"/>
      <c r="F117" s="75" t="str">
        <f aca="false">IF(助手回款!$T$9=1,INDEX(助手回款!$N$2:$N$66,助手回款!$R$9),"")</f>
        <v/>
      </c>
      <c r="G117" s="76" t="str">
        <f aca="false">IF(助手回款!$T$9=1,INDEX(助手回款!$O$2:$O$66,助手回款!$R$9),"")</f>
        <v/>
      </c>
      <c r="H117" s="74"/>
      <c r="I117" s="77"/>
    </row>
    <row r="118" customFormat="false" ht="6" hidden="false" customHeight="true" outlineLevel="0" collapsed="false"/>
    <row r="119" customFormat="false" ht="13.5" hidden="false" customHeight="false" outlineLevel="0" collapsed="false">
      <c r="B119" s="78" t="str">
        <f aca="false">IF(助手回款!$R$9&lt;&gt;"","会计主管：","")</f>
        <v>会计主管：</v>
      </c>
      <c r="D119" s="78" t="str">
        <f aca="false">IF(助手回款!$R$9&lt;&gt;"","会计：","")</f>
        <v>会计：</v>
      </c>
      <c r="E119" s="78" t="str">
        <f aca="false">IF(助手回款!$R$9&lt;&gt;"","出纳：","")</f>
        <v>出纳：</v>
      </c>
      <c r="F119" s="78" t="str">
        <f aca="false">IF(助手回款!$R$9&lt;&gt;"","复核：","")</f>
        <v>复核：</v>
      </c>
      <c r="G119" s="78" t="str">
        <f aca="false">IF(助手回款!$R$9&lt;&gt;"","制单：","")</f>
        <v>制单：</v>
      </c>
    </row>
    <row r="120" customFormat="false" ht="3" hidden="false" customHeight="true" outlineLevel="0" collapsed="false"/>
    <row r="121" customFormat="false" ht="19.5" hidden="false" customHeight="true" outlineLevel="0" collapsed="false">
      <c r="B121" s="53" t="str">
        <f aca="false">IF(助手回款!$R$10&lt;&gt;"","记  账  凭  证","")</f>
        <v>记  账  凭  证</v>
      </c>
      <c r="C121" s="53"/>
      <c r="D121" s="53"/>
      <c r="E121" s="53"/>
      <c r="F121" s="53"/>
      <c r="G121" s="53"/>
      <c r="H121" s="53"/>
      <c r="I121" s="53"/>
    </row>
    <row r="122" customFormat="false" ht="3" hidden="false" customHeight="true" outlineLevel="0" collapsed="false"/>
    <row r="123" customFormat="false" ht="15" hidden="false" customHeight="true" outlineLevel="0" collapsed="false">
      <c r="C123" s="56" t="n">
        <f aca="false">IF(助手回款!$R$10&lt;&gt;"",INDEX(助手回款!$B$2:$B$66,助手回款!$R$10),"")</f>
        <v>2007</v>
      </c>
      <c r="D123" s="57" t="n">
        <f aca="false">IF(助手回款!$R$10&lt;&gt;"",参数!$B$2,"")</f>
        <v>46234</v>
      </c>
      <c r="E123" s="57"/>
      <c r="F123" s="58" t="str">
        <f aca="false">IF(助手回款!$R$10&lt;&gt;"",INDEX(助手回款!$C$2:$C$66,助手回款!$R$10)&amp;"  字第 "&amp;IF(参数!$B$9="是",INDEX(助手回款!$P$2:$P$66,助手回款!$R$10),"　　　　")&amp;" 号"&amp;IF(INDEX(助手回款!$L$2:$L$66,助手回款!$R$10)&gt;1,"  (共"&amp;INDEX(助手回款!$L$2:$L$66,助手回款!$R$10)&amp;"页 第"&amp;助手回款!$S$10&amp;"页)",""),"")</f>
        <v>华鑫店  字第 　　　　 号  (共2页 第2页)</v>
      </c>
      <c r="G123" s="58"/>
      <c r="H123" s="58"/>
      <c r="I123" s="58"/>
      <c r="M123" s="59" t="n">
        <f aca="false">IF(助手回款!$R$10="","",助手回款!$Q$10)</f>
        <v>9</v>
      </c>
      <c r="N123" s="60" t="n">
        <f aca="false">IF(助手回款!$R$10="","",INDEX(助手回款!$P$2:$P$66,助手回款!$R$10))</f>
        <v>7</v>
      </c>
      <c r="O123" s="55" t="str">
        <f aca="false">IF(助手回款!$R$10="","",INDEX(助手回款!$C$2:$C$66,助手回款!$R$10)&amp;"  字第 "&amp;INDEX(助手回款!$P$2:$P$66,助手回款!$R$10)&amp;" 号"&amp;IF(INDEX(助手回款!$L$2:$L$66,助手回款!$R$10)&gt;1,"  (共"&amp;INDEX(助手回款!$L$2:$L$66,助手回款!$R$10)&amp;"页 第"&amp;助手回款!$S$10&amp;"页)",""))</f>
        <v>华鑫店  字第 7 号  (共2页 第2页)</v>
      </c>
    </row>
    <row r="124" customFormat="false" ht="12.75" hidden="false" customHeight="true" outlineLevel="0" collapsed="false">
      <c r="B124" s="61" t="str">
        <f aca="false">IF(助手回款!$R$10&lt;&gt;"","摘　　要","")</f>
        <v>摘　　要</v>
      </c>
      <c r="C124" s="61"/>
      <c r="D124" s="62" t="str">
        <f aca="false">IF(助手回款!$R$10&lt;&gt;"","科　　　　目","")</f>
        <v>科　　　　目</v>
      </c>
      <c r="E124" s="62"/>
      <c r="F124" s="61" t="str">
        <f aca="false">IF(助手回款!$R$10&lt;&gt;"","借 方 金 额","")</f>
        <v>借 方 金 额</v>
      </c>
      <c r="G124" s="62" t="str">
        <f aca="false">IF(助手回款!$R$10&lt;&gt;"","贷 方 金 额","")</f>
        <v>贷 方 金 额</v>
      </c>
      <c r="H124" s="63" t="str">
        <f aca="false">IF(助手回款!$R$10&lt;&gt;"","√","")</f>
        <v>√</v>
      </c>
      <c r="I124" s="64" t="str">
        <f aca="false">IF(助手回款!$R$10&lt;&gt;"","附单据  张","")</f>
        <v>附单据  张</v>
      </c>
    </row>
    <row r="125" customFormat="false" ht="12.75" hidden="false" customHeight="true" outlineLevel="0" collapsed="false">
      <c r="B125" s="61"/>
      <c r="C125" s="61"/>
      <c r="D125" s="23" t="str">
        <f aca="false">IF(助手回款!$R$10&lt;&gt;"","总 账 科 目","")</f>
        <v>总 账 科 目</v>
      </c>
      <c r="E125" s="23" t="str">
        <f aca="false">IF(助手回款!$R$10&lt;&gt;"","明 细 科 目","")</f>
        <v>明 细 科 目</v>
      </c>
      <c r="F125" s="65"/>
      <c r="G125" s="66"/>
      <c r="H125" s="63"/>
      <c r="I125" s="64"/>
    </row>
    <row r="126" customFormat="false" ht="23.25" hidden="false" customHeight="true" outlineLevel="0" collapsed="false">
      <c r="B126" s="67" t="str">
        <f aca="false">IFERROR(INDEX(分录回款!$M:$M,MATCH($L126,分录回款!$L:$L,0)),"")</f>
        <v>回款</v>
      </c>
      <c r="C126" s="67"/>
      <c r="D126" s="23" t="str">
        <f aca="false">IFERROR(INDEX(分录回款!$E:$E,MATCH($L126,分录回款!$L:$L,0)),"")</f>
        <v>应收账款</v>
      </c>
      <c r="E126" s="23" t="str">
        <f aca="false">IFERROR(INDEX(分录回款!$F:$F,MATCH($L126,分录回款!$L:$L,0)),"")</f>
        <v>企健网</v>
      </c>
      <c r="F126" s="68" t="str">
        <f aca="false">IFERROR(INDEX(分录回款!$H:$H,MATCH($L126,分录回款!$L:$L,0)),"")</f>
        <v/>
      </c>
      <c r="G126" s="69" t="n">
        <f aca="false">IFERROR(INDEX(分录回款!$I:$I,MATCH($L126,分录回款!$L:$L,0)),"")</f>
        <v>357.2</v>
      </c>
      <c r="H126" s="23"/>
      <c r="I126" s="70"/>
      <c r="L126" s="71" t="n">
        <f aca="false">IF(助手回款!$R$10="",-1,助手回款!$R$10*100+(助手回款!$S$10-1)*6+1)</f>
        <v>707</v>
      </c>
    </row>
    <row r="127" customFormat="false" ht="23.25" hidden="false" customHeight="true" outlineLevel="0" collapsed="false">
      <c r="B127" s="67" t="str">
        <f aca="false">""</f>
        <v/>
      </c>
      <c r="C127" s="67"/>
      <c r="D127" s="23" t="str">
        <f aca="false">IFERROR(INDEX(分录回款!$E:$E,MATCH($L127,分录回款!$L:$L,0)),"")</f>
        <v/>
      </c>
      <c r="E127" s="23" t="str">
        <f aca="false">IFERROR(INDEX(分录回款!$F:$F,MATCH($L127,分录回款!$L:$L,0)),"")</f>
        <v/>
      </c>
      <c r="F127" s="68" t="str">
        <f aca="false">IFERROR(INDEX(分录回款!$H:$H,MATCH($L127,分录回款!$L:$L,0)),"")</f>
        <v/>
      </c>
      <c r="G127" s="69" t="str">
        <f aca="false">IFERROR(INDEX(分录回款!$I:$I,MATCH($L127,分录回款!$L:$L,0)),"")</f>
        <v/>
      </c>
      <c r="H127" s="23"/>
      <c r="I127" s="70"/>
      <c r="L127" s="71" t="n">
        <f aca="false">IF(助手回款!$R$10="",-1,助手回款!$R$10*100+(助手回款!$S$10-1)*6+2)</f>
        <v>708</v>
      </c>
    </row>
    <row r="128" customFormat="false" ht="23.25" hidden="false" customHeight="true" outlineLevel="0" collapsed="false">
      <c r="B128" s="67" t="str">
        <f aca="false">""</f>
        <v/>
      </c>
      <c r="C128" s="67"/>
      <c r="D128" s="23" t="str">
        <f aca="false">IFERROR(INDEX(分录回款!$E:$E,MATCH($L128,分录回款!$L:$L,0)),"")</f>
        <v/>
      </c>
      <c r="E128" s="23" t="str">
        <f aca="false">IFERROR(INDEX(分录回款!$F:$F,MATCH($L128,分录回款!$L:$L,0)),"")</f>
        <v/>
      </c>
      <c r="F128" s="68" t="str">
        <f aca="false">IFERROR(INDEX(分录回款!$H:$H,MATCH($L128,分录回款!$L:$L,0)),"")</f>
        <v/>
      </c>
      <c r="G128" s="69" t="str">
        <f aca="false">IFERROR(INDEX(分录回款!$I:$I,MATCH($L128,分录回款!$L:$L,0)),"")</f>
        <v/>
      </c>
      <c r="H128" s="23"/>
      <c r="I128" s="70"/>
      <c r="L128" s="71" t="n">
        <f aca="false">IF(助手回款!$R$10="",-1,助手回款!$R$10*100+(助手回款!$S$10-1)*6+3)</f>
        <v>709</v>
      </c>
    </row>
    <row r="129" customFormat="false" ht="23.25" hidden="false" customHeight="true" outlineLevel="0" collapsed="false">
      <c r="B129" s="67" t="str">
        <f aca="false">""</f>
        <v/>
      </c>
      <c r="C129" s="67"/>
      <c r="D129" s="23" t="str">
        <f aca="false">IFERROR(INDEX(分录回款!$E:$E,MATCH($L129,分录回款!$L:$L,0)),"")</f>
        <v/>
      </c>
      <c r="E129" s="23" t="str">
        <f aca="false">IFERROR(INDEX(分录回款!$F:$F,MATCH($L129,分录回款!$L:$L,0)),"")</f>
        <v/>
      </c>
      <c r="F129" s="68" t="str">
        <f aca="false">IFERROR(INDEX(分录回款!$H:$H,MATCH($L129,分录回款!$L:$L,0)),"")</f>
        <v/>
      </c>
      <c r="G129" s="69" t="str">
        <f aca="false">IFERROR(INDEX(分录回款!$I:$I,MATCH($L129,分录回款!$L:$L,0)),"")</f>
        <v/>
      </c>
      <c r="H129" s="23"/>
      <c r="I129" s="70"/>
      <c r="L129" s="71" t="n">
        <f aca="false">IF(助手回款!$R$10="",-1,助手回款!$R$10*100+(助手回款!$S$10-1)*6+4)</f>
        <v>710</v>
      </c>
    </row>
    <row r="130" customFormat="false" ht="23.25" hidden="false" customHeight="true" outlineLevel="0" collapsed="false">
      <c r="B130" s="67" t="str">
        <f aca="false">""</f>
        <v/>
      </c>
      <c r="C130" s="67"/>
      <c r="D130" s="23" t="str">
        <f aca="false">IFERROR(INDEX(分录回款!$E:$E,MATCH($L130,分录回款!$L:$L,0)),"")</f>
        <v/>
      </c>
      <c r="E130" s="23" t="str">
        <f aca="false">IFERROR(INDEX(分录回款!$F:$F,MATCH($L130,分录回款!$L:$L,0)),"")</f>
        <v/>
      </c>
      <c r="F130" s="68" t="str">
        <f aca="false">IFERROR(INDEX(分录回款!$H:$H,MATCH($L130,分录回款!$L:$L,0)),"")</f>
        <v/>
      </c>
      <c r="G130" s="69" t="str">
        <f aca="false">IFERROR(INDEX(分录回款!$I:$I,MATCH($L130,分录回款!$L:$L,0)),"")</f>
        <v/>
      </c>
      <c r="H130" s="23"/>
      <c r="I130" s="70"/>
      <c r="L130" s="71" t="n">
        <f aca="false">IF(助手回款!$R$10="",-1,助手回款!$R$10*100+(助手回款!$S$10-1)*6+5)</f>
        <v>711</v>
      </c>
    </row>
    <row r="131" customFormat="false" ht="23.25" hidden="false" customHeight="true" outlineLevel="0" collapsed="false">
      <c r="B131" s="67" t="str">
        <f aca="false">""</f>
        <v/>
      </c>
      <c r="C131" s="67"/>
      <c r="D131" s="23" t="str">
        <f aca="false">IFERROR(INDEX(分录回款!$E:$E,MATCH($L131,分录回款!$L:$L,0)),"")</f>
        <v/>
      </c>
      <c r="E131" s="23" t="str">
        <f aca="false">IFERROR(INDEX(分录回款!$F:$F,MATCH($L131,分录回款!$L:$L,0)),"")</f>
        <v/>
      </c>
      <c r="F131" s="68" t="str">
        <f aca="false">IFERROR(INDEX(分录回款!$H:$H,MATCH($L131,分录回款!$L:$L,0)),"")</f>
        <v/>
      </c>
      <c r="G131" s="69" t="str">
        <f aca="false">IFERROR(INDEX(分录回款!$I:$I,MATCH($L131,分录回款!$L:$L,0)),"")</f>
        <v/>
      </c>
      <c r="H131" s="23"/>
      <c r="I131" s="70"/>
      <c r="L131" s="71" t="n">
        <f aca="false">IF(助手回款!$R$10="",-1,助手回款!$R$10*100+(助手回款!$S$10-1)*6+6)</f>
        <v>712</v>
      </c>
    </row>
    <row r="132" customFormat="false" ht="23.25" hidden="false" customHeight="true" outlineLevel="0" collapsed="false">
      <c r="B132" s="72" t="str">
        <f aca="false">IF(助手回款!$T$10=1,"合计：","")</f>
        <v>合计：</v>
      </c>
      <c r="C132" s="73" t="n">
        <f aca="false">IF(助手回款!$T$10=1,$F132,"")</f>
        <v>43051.64</v>
      </c>
      <c r="D132" s="74"/>
      <c r="E132" s="74"/>
      <c r="F132" s="75" t="n">
        <f aca="false">IF(助手回款!$T$10=1,INDEX(助手回款!$N$2:$N$66,助手回款!$R$10),"")</f>
        <v>43051.64</v>
      </c>
      <c r="G132" s="76" t="n">
        <f aca="false">IF(助手回款!$T$10=1,INDEX(助手回款!$O$2:$O$66,助手回款!$R$10),"")</f>
        <v>43051.64</v>
      </c>
      <c r="H132" s="74"/>
      <c r="I132" s="77"/>
    </row>
    <row r="133" customFormat="false" ht="6" hidden="false" customHeight="true" outlineLevel="0" collapsed="false"/>
    <row r="134" customFormat="false" ht="13.5" hidden="false" customHeight="false" outlineLevel="0" collapsed="false">
      <c r="B134" s="78" t="str">
        <f aca="false">IF(助手回款!$R$10&lt;&gt;"","会计主管：","")</f>
        <v>会计主管：</v>
      </c>
      <c r="D134" s="78" t="str">
        <f aca="false">IF(助手回款!$R$10&lt;&gt;"","会计：","")</f>
        <v>会计：</v>
      </c>
      <c r="E134" s="78" t="str">
        <f aca="false">IF(助手回款!$R$10&lt;&gt;"","出纳：","")</f>
        <v>出纳：</v>
      </c>
      <c r="F134" s="78" t="str">
        <f aca="false">IF(助手回款!$R$10&lt;&gt;"","复核：","")</f>
        <v>复核：</v>
      </c>
      <c r="G134" s="78" t="str">
        <f aca="false">IF(助手回款!$R$10&lt;&gt;"","制单：","")</f>
        <v>制单：</v>
      </c>
    </row>
    <row r="135" customFormat="false" ht="3" hidden="false" customHeight="true" outlineLevel="0" collapsed="false"/>
    <row r="136" customFormat="false" ht="19.5" hidden="false" customHeight="true" outlineLevel="0" collapsed="false">
      <c r="B136" s="53" t="str">
        <f aca="false">IF(助手回款!$R$11&lt;&gt;"","记  账  凭  证","")</f>
        <v>记  账  凭  证</v>
      </c>
      <c r="C136" s="53"/>
      <c r="D136" s="53"/>
      <c r="E136" s="53"/>
      <c r="F136" s="53"/>
      <c r="G136" s="53"/>
      <c r="H136" s="53"/>
      <c r="I136" s="53"/>
    </row>
    <row r="137" customFormat="false" ht="3" hidden="false" customHeight="true" outlineLevel="0" collapsed="false"/>
    <row r="138" customFormat="false" ht="15" hidden="false" customHeight="true" outlineLevel="0" collapsed="false">
      <c r="C138" s="56" t="n">
        <f aca="false">IF(助手回款!$R$11&lt;&gt;"",INDEX(助手回款!$B$2:$B$66,助手回款!$R$11),"")</f>
        <v>2008</v>
      </c>
      <c r="D138" s="57" t="n">
        <f aca="false">IF(助手回款!$R$11&lt;&gt;"",参数!$B$2,"")</f>
        <v>46234</v>
      </c>
      <c r="E138" s="57"/>
      <c r="F138" s="58" t="str">
        <f aca="false">IF(助手回款!$R$11&lt;&gt;"",INDEX(助手回款!$C$2:$C$66,助手回款!$R$11)&amp;"  字第 "&amp;IF(参数!$B$9="是",INDEX(助手回款!$P$2:$P$66,助手回款!$R$11),"　　　　")&amp;" 号"&amp;IF(INDEX(助手回款!$L$2:$L$66,助手回款!$R$11)&gt;1,"  (共"&amp;INDEX(助手回款!$L$2:$L$66,助手回款!$R$11)&amp;"页 第"&amp;助手回款!$S$11&amp;"页)",""),"")</f>
        <v>博昭店  字第 　　　　 号</v>
      </c>
      <c r="G138" s="58"/>
      <c r="H138" s="58"/>
      <c r="I138" s="58"/>
      <c r="M138" s="59" t="n">
        <f aca="false">IF(助手回款!$R$11="","",助手回款!$Q$11)</f>
        <v>10</v>
      </c>
      <c r="N138" s="60" t="n">
        <f aca="false">IF(助手回款!$R$11="","",INDEX(助手回款!$P$2:$P$66,助手回款!$R$11))</f>
        <v>8</v>
      </c>
      <c r="O138" s="55" t="str">
        <f aca="false">IF(助手回款!$R$11="","",INDEX(助手回款!$C$2:$C$66,助手回款!$R$11)&amp;"  字第 "&amp;INDEX(助手回款!$P$2:$P$66,助手回款!$R$11)&amp;" 号"&amp;IF(INDEX(助手回款!$L$2:$L$66,助手回款!$R$11)&gt;1,"  (共"&amp;INDEX(助手回款!$L$2:$L$66,助手回款!$R$11)&amp;"页 第"&amp;助手回款!$S$11&amp;"页)",""))</f>
        <v>博昭店  字第 8 号</v>
      </c>
    </row>
    <row r="139" customFormat="false" ht="12.75" hidden="false" customHeight="true" outlineLevel="0" collapsed="false">
      <c r="B139" s="61" t="str">
        <f aca="false">IF(助手回款!$R$11&lt;&gt;"","摘　　要","")</f>
        <v>摘　　要</v>
      </c>
      <c r="C139" s="61"/>
      <c r="D139" s="62" t="str">
        <f aca="false">IF(助手回款!$R$11&lt;&gt;"","科　　　　目","")</f>
        <v>科　　　　目</v>
      </c>
      <c r="E139" s="62"/>
      <c r="F139" s="61" t="str">
        <f aca="false">IF(助手回款!$R$11&lt;&gt;"","借 方 金 额","")</f>
        <v>借 方 金 额</v>
      </c>
      <c r="G139" s="62" t="str">
        <f aca="false">IF(助手回款!$R$11&lt;&gt;"","贷 方 金 额","")</f>
        <v>贷 方 金 额</v>
      </c>
      <c r="H139" s="63" t="str">
        <f aca="false">IF(助手回款!$R$11&lt;&gt;"","√","")</f>
        <v>√</v>
      </c>
      <c r="I139" s="64" t="str">
        <f aca="false">IF(助手回款!$R$11&lt;&gt;"","附单据  张","")</f>
        <v>附单据  张</v>
      </c>
    </row>
    <row r="140" customFormat="false" ht="12.75" hidden="false" customHeight="true" outlineLevel="0" collapsed="false">
      <c r="B140" s="61"/>
      <c r="C140" s="61"/>
      <c r="D140" s="23" t="str">
        <f aca="false">IF(助手回款!$R$11&lt;&gt;"","总 账 科 目","")</f>
        <v>总 账 科 目</v>
      </c>
      <c r="E140" s="23" t="str">
        <f aca="false">IF(助手回款!$R$11&lt;&gt;"","明 细 科 目","")</f>
        <v>明 细 科 目</v>
      </c>
      <c r="F140" s="65"/>
      <c r="G140" s="66"/>
      <c r="H140" s="63"/>
      <c r="I140" s="64"/>
    </row>
    <row r="141" customFormat="false" ht="23.25" hidden="false" customHeight="true" outlineLevel="0" collapsed="false">
      <c r="B141" s="67" t="str">
        <f aca="false">IFERROR(INDEX(分录回款!$M:$M,MATCH($L141,分录回款!$L:$L,0)),"")</f>
        <v>回款</v>
      </c>
      <c r="C141" s="67"/>
      <c r="D141" s="23" t="str">
        <f aca="false">IFERROR(INDEX(分录回款!$E:$E,MATCH($L141,分录回款!$L:$L,0)),"")</f>
        <v>库存现金</v>
      </c>
      <c r="E141" s="23" t="str">
        <f aca="false">IFERROR(INDEX(分录回款!$F:$F,MATCH($L141,分录回款!$L:$L,0)),"")</f>
        <v/>
      </c>
      <c r="F141" s="68" t="n">
        <f aca="false">IFERROR(INDEX(分录回款!$H:$H,MATCH($L141,分录回款!$L:$L,0)),"")</f>
        <v>73981.1</v>
      </c>
      <c r="G141" s="69" t="str">
        <f aca="false">IFERROR(INDEX(分录回款!$I:$I,MATCH($L141,分录回款!$L:$L,0)),"")</f>
        <v/>
      </c>
      <c r="H141" s="23"/>
      <c r="I141" s="70"/>
      <c r="L141" s="71" t="n">
        <f aca="false">IF(助手回款!$R$11="",-1,助手回款!$R$11*100+(助手回款!$S$11-1)*6+1)</f>
        <v>801</v>
      </c>
    </row>
    <row r="142" customFormat="false" ht="23.25" hidden="false" customHeight="true" outlineLevel="0" collapsed="false">
      <c r="B142" s="67" t="str">
        <f aca="false">""</f>
        <v/>
      </c>
      <c r="C142" s="67"/>
      <c r="D142" s="23" t="str">
        <f aca="false">IFERROR(INDEX(分录回款!$E:$E,MATCH($L142,分录回款!$L:$L,0)),"")</f>
        <v>财务费用</v>
      </c>
      <c r="E142" s="23" t="str">
        <f aca="false">IFERROR(INDEX(分录回款!$F:$F,MATCH($L142,分录回款!$L:$L,0)),"")</f>
        <v>手续费</v>
      </c>
      <c r="F142" s="68" t="n">
        <f aca="false">IFERROR(INDEX(分录回款!$H:$H,MATCH($L142,分录回款!$L:$L,0)),"")</f>
        <v>5</v>
      </c>
      <c r="G142" s="69" t="str">
        <f aca="false">IFERROR(INDEX(分录回款!$I:$I,MATCH($L142,分录回款!$L:$L,0)),"")</f>
        <v/>
      </c>
      <c r="H142" s="23"/>
      <c r="I142" s="70"/>
      <c r="L142" s="71" t="n">
        <f aca="false">IF(助手回款!$R$11="",-1,助手回款!$R$11*100+(助手回款!$S$11-1)*6+2)</f>
        <v>802</v>
      </c>
    </row>
    <row r="143" customFormat="false" ht="23.25" hidden="false" customHeight="true" outlineLevel="0" collapsed="false">
      <c r="B143" s="67" t="str">
        <f aca="false">""</f>
        <v/>
      </c>
      <c r="C143" s="67"/>
      <c r="D143" s="23" t="str">
        <f aca="false">IFERROR(INDEX(分录回款!$E:$E,MATCH($L143,分录回款!$L:$L,0)),"")</f>
        <v>应收账款</v>
      </c>
      <c r="E143" s="23" t="str">
        <f aca="false">IFERROR(INDEX(分录回款!$F:$F,MATCH($L143,分录回款!$L:$L,0)),"")</f>
        <v>聚合支付</v>
      </c>
      <c r="F143" s="68" t="str">
        <f aca="false">IFERROR(INDEX(分录回款!$H:$H,MATCH($L143,分录回款!$L:$L,0)),"")</f>
        <v/>
      </c>
      <c r="G143" s="69" t="n">
        <f aca="false">IFERROR(INDEX(分录回款!$I:$I,MATCH($L143,分录回款!$L:$L,0)),"")</f>
        <v>59537.32</v>
      </c>
      <c r="H143" s="23"/>
      <c r="I143" s="70"/>
      <c r="L143" s="71" t="n">
        <f aca="false">IF(助手回款!$R$11="",-1,助手回款!$R$11*100+(助手回款!$S$11-1)*6+3)</f>
        <v>803</v>
      </c>
    </row>
    <row r="144" customFormat="false" ht="23.25" hidden="false" customHeight="true" outlineLevel="0" collapsed="false">
      <c r="B144" s="67" t="str">
        <f aca="false">""</f>
        <v/>
      </c>
      <c r="C144" s="67"/>
      <c r="D144" s="23" t="str">
        <f aca="false">IFERROR(INDEX(分录回款!$E:$E,MATCH($L144,分录回款!$L:$L,0)),"")</f>
        <v>应收账款</v>
      </c>
      <c r="E144" s="23" t="str">
        <f aca="false">IFERROR(INDEX(分录回款!$F:$F,MATCH($L144,分录回款!$L:$L,0)),"")</f>
        <v>医保</v>
      </c>
      <c r="F144" s="68" t="str">
        <f aca="false">IFERROR(INDEX(分录回款!$H:$H,MATCH($L144,分录回款!$L:$L,0)),"")</f>
        <v/>
      </c>
      <c r="G144" s="69" t="n">
        <f aca="false">IFERROR(INDEX(分录回款!$I:$I,MATCH($L144,分录回款!$L:$L,0)),"")</f>
        <v>14423.78</v>
      </c>
      <c r="H144" s="23"/>
      <c r="I144" s="70"/>
      <c r="L144" s="71" t="n">
        <f aca="false">IF(助手回款!$R$11="",-1,助手回款!$R$11*100+(助手回款!$S$11-1)*6+4)</f>
        <v>804</v>
      </c>
    </row>
    <row r="145" customFormat="false" ht="23.25" hidden="false" customHeight="true" outlineLevel="0" collapsed="false">
      <c r="B145" s="67" t="str">
        <f aca="false">""</f>
        <v/>
      </c>
      <c r="C145" s="67"/>
      <c r="D145" s="23" t="str">
        <f aca="false">IFERROR(INDEX(分录回款!$E:$E,MATCH($L145,分录回款!$L:$L,0)),"")</f>
        <v>应收账款</v>
      </c>
      <c r="E145" s="23" t="str">
        <f aca="false">IFERROR(INDEX(分录回款!$F:$F,MATCH($L145,分录回款!$L:$L,0)),"")</f>
        <v>美团</v>
      </c>
      <c r="F145" s="68" t="str">
        <f aca="false">IFERROR(INDEX(分录回款!$H:$H,MATCH($L145,分录回款!$L:$L,0)),"")</f>
        <v/>
      </c>
      <c r="G145" s="69" t="n">
        <f aca="false">IFERROR(INDEX(分录回款!$I:$I,MATCH($L145,分录回款!$L:$L,0)),"")</f>
        <v>25</v>
      </c>
      <c r="H145" s="23"/>
      <c r="I145" s="70"/>
      <c r="L145" s="71" t="n">
        <f aca="false">IF(助手回款!$R$11="",-1,助手回款!$R$11*100+(助手回款!$S$11-1)*6+5)</f>
        <v>805</v>
      </c>
    </row>
    <row r="146" customFormat="false" ht="23.25" hidden="false" customHeight="true" outlineLevel="0" collapsed="false">
      <c r="B146" s="67" t="str">
        <f aca="false">""</f>
        <v/>
      </c>
      <c r="C146" s="67"/>
      <c r="D146" s="23" t="str">
        <f aca="false">IFERROR(INDEX(分录回款!$E:$E,MATCH($L146,分录回款!$L:$L,0)),"")</f>
        <v/>
      </c>
      <c r="E146" s="23" t="str">
        <f aca="false">IFERROR(INDEX(分录回款!$F:$F,MATCH($L146,分录回款!$L:$L,0)),"")</f>
        <v/>
      </c>
      <c r="F146" s="68" t="str">
        <f aca="false">IFERROR(INDEX(分录回款!$H:$H,MATCH($L146,分录回款!$L:$L,0)),"")</f>
        <v/>
      </c>
      <c r="G146" s="69" t="str">
        <f aca="false">IFERROR(INDEX(分录回款!$I:$I,MATCH($L146,分录回款!$L:$L,0)),"")</f>
        <v/>
      </c>
      <c r="H146" s="23"/>
      <c r="I146" s="70"/>
      <c r="L146" s="71" t="n">
        <f aca="false">IF(助手回款!$R$11="",-1,助手回款!$R$11*100+(助手回款!$S$11-1)*6+6)</f>
        <v>806</v>
      </c>
    </row>
    <row r="147" customFormat="false" ht="23.25" hidden="false" customHeight="true" outlineLevel="0" collapsed="false">
      <c r="B147" s="72" t="str">
        <f aca="false">IF(助手回款!$T$11=1,"合计：","")</f>
        <v>合计：</v>
      </c>
      <c r="C147" s="73" t="n">
        <f aca="false">IF(助手回款!$T$11=1,$F147,"")</f>
        <v>73986.1</v>
      </c>
      <c r="D147" s="74"/>
      <c r="E147" s="74"/>
      <c r="F147" s="75" t="n">
        <f aca="false">IF(助手回款!$T$11=1,INDEX(助手回款!$N$2:$N$66,助手回款!$R$11),"")</f>
        <v>73986.1</v>
      </c>
      <c r="G147" s="76" t="n">
        <f aca="false">IF(助手回款!$T$11=1,INDEX(助手回款!$O$2:$O$66,助手回款!$R$11),"")</f>
        <v>73986.1</v>
      </c>
      <c r="H147" s="74"/>
      <c r="I147" s="77"/>
    </row>
    <row r="148" customFormat="false" ht="6" hidden="false" customHeight="true" outlineLevel="0" collapsed="false"/>
    <row r="149" customFormat="false" ht="13.5" hidden="false" customHeight="false" outlineLevel="0" collapsed="false">
      <c r="B149" s="78" t="str">
        <f aca="false">IF(助手回款!$R$11&lt;&gt;"","会计主管：","")</f>
        <v>会计主管：</v>
      </c>
      <c r="D149" s="78" t="str">
        <f aca="false">IF(助手回款!$R$11&lt;&gt;"","会计：","")</f>
        <v>会计：</v>
      </c>
      <c r="E149" s="78" t="str">
        <f aca="false">IF(助手回款!$R$11&lt;&gt;"","出纳：","")</f>
        <v>出纳：</v>
      </c>
      <c r="F149" s="78" t="str">
        <f aca="false">IF(助手回款!$R$11&lt;&gt;"","复核：","")</f>
        <v>复核：</v>
      </c>
      <c r="G149" s="78" t="str">
        <f aca="false">IF(助手回款!$R$11&lt;&gt;"","制单：","")</f>
        <v>制单：</v>
      </c>
    </row>
    <row r="150" customFormat="false" ht="3" hidden="false" customHeight="true" outlineLevel="0" collapsed="false"/>
    <row r="151" customFormat="false" ht="19.5" hidden="false" customHeight="true" outlineLevel="0" collapsed="false">
      <c r="B151" s="53" t="str">
        <f aca="false">IF(助手回款!$R$12&lt;&gt;"","记  账  凭  证","")</f>
        <v>记  账  凭  证</v>
      </c>
      <c r="C151" s="53"/>
      <c r="D151" s="53"/>
      <c r="E151" s="53"/>
      <c r="F151" s="53"/>
      <c r="G151" s="53"/>
      <c r="H151" s="53"/>
      <c r="I151" s="53"/>
    </row>
    <row r="152" customFormat="false" ht="3" hidden="false" customHeight="true" outlineLevel="0" collapsed="false"/>
    <row r="153" customFormat="false" ht="15" hidden="false" customHeight="true" outlineLevel="0" collapsed="false">
      <c r="C153" s="56" t="n">
        <f aca="false">IF(助手回款!$R$12&lt;&gt;"",INDEX(助手回款!$B$2:$B$66,助手回款!$R$12),"")</f>
        <v>2009</v>
      </c>
      <c r="D153" s="57" t="n">
        <f aca="false">IF(助手回款!$R$12&lt;&gt;"",参数!$B$2,"")</f>
        <v>46234</v>
      </c>
      <c r="E153" s="57"/>
      <c r="F153" s="58" t="str">
        <f aca="false">IF(助手回款!$R$12&lt;&gt;"",INDEX(助手回款!$C$2:$C$66,助手回款!$R$12)&amp;"  字第 "&amp;IF(参数!$B$9="是",INDEX(助手回款!$P$2:$P$66,助手回款!$R$12),"　　　　")&amp;" 号"&amp;IF(INDEX(助手回款!$L$2:$L$66,助手回款!$R$12)&gt;1,"  (共"&amp;INDEX(助手回款!$L$2:$L$66,助手回款!$R$12)&amp;"页 第"&amp;助手回款!$S$12&amp;"页)",""),"")</f>
        <v>大霍店  字第 　　　　 号</v>
      </c>
      <c r="G153" s="58"/>
      <c r="H153" s="58"/>
      <c r="I153" s="58"/>
      <c r="M153" s="59" t="n">
        <f aca="false">IF(助手回款!$R$12="","",助手回款!$Q$12)</f>
        <v>11</v>
      </c>
      <c r="N153" s="60" t="n">
        <f aca="false">IF(助手回款!$R$12="","",INDEX(助手回款!$P$2:$P$66,助手回款!$R$12))</f>
        <v>9</v>
      </c>
      <c r="O153" s="55" t="str">
        <f aca="false">IF(助手回款!$R$12="","",INDEX(助手回款!$C$2:$C$66,助手回款!$R$12)&amp;"  字第 "&amp;INDEX(助手回款!$P$2:$P$66,助手回款!$R$12)&amp;" 号"&amp;IF(INDEX(助手回款!$L$2:$L$66,助手回款!$R$12)&gt;1,"  (共"&amp;INDEX(助手回款!$L$2:$L$66,助手回款!$R$12)&amp;"页 第"&amp;助手回款!$S$12&amp;"页)",""))</f>
        <v>大霍店  字第 9 号</v>
      </c>
    </row>
    <row r="154" customFormat="false" ht="12.75" hidden="false" customHeight="true" outlineLevel="0" collapsed="false">
      <c r="B154" s="61" t="str">
        <f aca="false">IF(助手回款!$R$12&lt;&gt;"","摘　　要","")</f>
        <v>摘　　要</v>
      </c>
      <c r="C154" s="61"/>
      <c r="D154" s="62" t="str">
        <f aca="false">IF(助手回款!$R$12&lt;&gt;"","科　　　　目","")</f>
        <v>科　　　　目</v>
      </c>
      <c r="E154" s="62"/>
      <c r="F154" s="61" t="str">
        <f aca="false">IF(助手回款!$R$12&lt;&gt;"","借 方 金 额","")</f>
        <v>借 方 金 额</v>
      </c>
      <c r="G154" s="62" t="str">
        <f aca="false">IF(助手回款!$R$12&lt;&gt;"","贷 方 金 额","")</f>
        <v>贷 方 金 额</v>
      </c>
      <c r="H154" s="63" t="str">
        <f aca="false">IF(助手回款!$R$12&lt;&gt;"","√","")</f>
        <v>√</v>
      </c>
      <c r="I154" s="64" t="str">
        <f aca="false">IF(助手回款!$R$12&lt;&gt;"","附单据  张","")</f>
        <v>附单据  张</v>
      </c>
    </row>
    <row r="155" customFormat="false" ht="12.75" hidden="false" customHeight="true" outlineLevel="0" collapsed="false">
      <c r="B155" s="61"/>
      <c r="C155" s="61"/>
      <c r="D155" s="23" t="str">
        <f aca="false">IF(助手回款!$R$12&lt;&gt;"","总 账 科 目","")</f>
        <v>总 账 科 目</v>
      </c>
      <c r="E155" s="23" t="str">
        <f aca="false">IF(助手回款!$R$12&lt;&gt;"","明 细 科 目","")</f>
        <v>明 细 科 目</v>
      </c>
      <c r="F155" s="65"/>
      <c r="G155" s="66"/>
      <c r="H155" s="63"/>
      <c r="I155" s="64"/>
    </row>
    <row r="156" customFormat="false" ht="23.25" hidden="false" customHeight="true" outlineLevel="0" collapsed="false">
      <c r="B156" s="67" t="str">
        <f aca="false">IFERROR(INDEX(分录回款!$M:$M,MATCH($L156,分录回款!$L:$L,0)),"")</f>
        <v>回款</v>
      </c>
      <c r="C156" s="67"/>
      <c r="D156" s="23" t="str">
        <f aca="false">IFERROR(INDEX(分录回款!$E:$E,MATCH($L156,分录回款!$L:$L,0)),"")</f>
        <v>库存现金</v>
      </c>
      <c r="E156" s="23" t="str">
        <f aca="false">IFERROR(INDEX(分录回款!$F:$F,MATCH($L156,分录回款!$L:$L,0)),"")</f>
        <v/>
      </c>
      <c r="F156" s="68" t="n">
        <f aca="false">IFERROR(INDEX(分录回款!$H:$H,MATCH($L156,分录回款!$L:$L,0)),"")</f>
        <v>34503.35</v>
      </c>
      <c r="G156" s="69" t="str">
        <f aca="false">IFERROR(INDEX(分录回款!$I:$I,MATCH($L156,分录回款!$L:$L,0)),"")</f>
        <v/>
      </c>
      <c r="H156" s="23"/>
      <c r="I156" s="70"/>
      <c r="L156" s="71" t="n">
        <f aca="false">IF(助手回款!$R$12="",-1,助手回款!$R$12*100+(助手回款!$S$12-1)*6+1)</f>
        <v>901</v>
      </c>
    </row>
    <row r="157" customFormat="false" ht="23.25" hidden="false" customHeight="true" outlineLevel="0" collapsed="false">
      <c r="B157" s="67" t="str">
        <f aca="false">""</f>
        <v/>
      </c>
      <c r="C157" s="67"/>
      <c r="D157" s="23" t="str">
        <f aca="false">IFERROR(INDEX(分录回款!$E:$E,MATCH($L157,分录回款!$L:$L,0)),"")</f>
        <v>应收账款</v>
      </c>
      <c r="E157" s="23" t="str">
        <f aca="false">IFERROR(INDEX(分录回款!$F:$F,MATCH($L157,分录回款!$L:$L,0)),"")</f>
        <v>聚合支付</v>
      </c>
      <c r="F157" s="68" t="str">
        <f aca="false">IFERROR(INDEX(分录回款!$H:$H,MATCH($L157,分录回款!$L:$L,0)),"")</f>
        <v/>
      </c>
      <c r="G157" s="69" t="n">
        <f aca="false">IFERROR(INDEX(分录回款!$I:$I,MATCH($L157,分录回款!$L:$L,0)),"")</f>
        <v>30903.16</v>
      </c>
      <c r="H157" s="23"/>
      <c r="I157" s="70"/>
      <c r="L157" s="71" t="n">
        <f aca="false">IF(助手回款!$R$12="",-1,助手回款!$R$12*100+(助手回款!$S$12-1)*6+2)</f>
        <v>902</v>
      </c>
    </row>
    <row r="158" customFormat="false" ht="23.25" hidden="false" customHeight="true" outlineLevel="0" collapsed="false">
      <c r="B158" s="67" t="str">
        <f aca="false">""</f>
        <v/>
      </c>
      <c r="C158" s="67"/>
      <c r="D158" s="23" t="str">
        <f aca="false">IFERROR(INDEX(分录回款!$E:$E,MATCH($L158,分录回款!$L:$L,0)),"")</f>
        <v>应收账款</v>
      </c>
      <c r="E158" s="23" t="str">
        <f aca="false">IFERROR(INDEX(分录回款!$F:$F,MATCH($L158,分录回款!$L:$L,0)),"")</f>
        <v>医保</v>
      </c>
      <c r="F158" s="68" t="str">
        <f aca="false">IFERROR(INDEX(分录回款!$H:$H,MATCH($L158,分录回款!$L:$L,0)),"")</f>
        <v/>
      </c>
      <c r="G158" s="69" t="n">
        <f aca="false">IFERROR(INDEX(分录回款!$I:$I,MATCH($L158,分录回款!$L:$L,0)),"")</f>
        <v>3600.19</v>
      </c>
      <c r="H158" s="23"/>
      <c r="I158" s="70"/>
      <c r="L158" s="71" t="n">
        <f aca="false">IF(助手回款!$R$12="",-1,助手回款!$R$12*100+(助手回款!$S$12-1)*6+3)</f>
        <v>903</v>
      </c>
    </row>
    <row r="159" customFormat="false" ht="23.25" hidden="false" customHeight="true" outlineLevel="0" collapsed="false">
      <c r="B159" s="67" t="str">
        <f aca="false">""</f>
        <v/>
      </c>
      <c r="C159" s="67"/>
      <c r="D159" s="23" t="str">
        <f aca="false">IFERROR(INDEX(分录回款!$E:$E,MATCH($L159,分录回款!$L:$L,0)),"")</f>
        <v/>
      </c>
      <c r="E159" s="23" t="str">
        <f aca="false">IFERROR(INDEX(分录回款!$F:$F,MATCH($L159,分录回款!$L:$L,0)),"")</f>
        <v/>
      </c>
      <c r="F159" s="68" t="str">
        <f aca="false">IFERROR(INDEX(分录回款!$H:$H,MATCH($L159,分录回款!$L:$L,0)),"")</f>
        <v/>
      </c>
      <c r="G159" s="69" t="str">
        <f aca="false">IFERROR(INDEX(分录回款!$I:$I,MATCH($L159,分录回款!$L:$L,0)),"")</f>
        <v/>
      </c>
      <c r="H159" s="23"/>
      <c r="I159" s="70"/>
      <c r="L159" s="71" t="n">
        <f aca="false">IF(助手回款!$R$12="",-1,助手回款!$R$12*100+(助手回款!$S$12-1)*6+4)</f>
        <v>904</v>
      </c>
    </row>
    <row r="160" customFormat="false" ht="23.25" hidden="false" customHeight="true" outlineLevel="0" collapsed="false">
      <c r="B160" s="67" t="str">
        <f aca="false">""</f>
        <v/>
      </c>
      <c r="C160" s="67"/>
      <c r="D160" s="23" t="str">
        <f aca="false">IFERROR(INDEX(分录回款!$E:$E,MATCH($L160,分录回款!$L:$L,0)),"")</f>
        <v/>
      </c>
      <c r="E160" s="23" t="str">
        <f aca="false">IFERROR(INDEX(分录回款!$F:$F,MATCH($L160,分录回款!$L:$L,0)),"")</f>
        <v/>
      </c>
      <c r="F160" s="68" t="str">
        <f aca="false">IFERROR(INDEX(分录回款!$H:$H,MATCH($L160,分录回款!$L:$L,0)),"")</f>
        <v/>
      </c>
      <c r="G160" s="69" t="str">
        <f aca="false">IFERROR(INDEX(分录回款!$I:$I,MATCH($L160,分录回款!$L:$L,0)),"")</f>
        <v/>
      </c>
      <c r="H160" s="23"/>
      <c r="I160" s="70"/>
      <c r="L160" s="71" t="n">
        <f aca="false">IF(助手回款!$R$12="",-1,助手回款!$R$12*100+(助手回款!$S$12-1)*6+5)</f>
        <v>905</v>
      </c>
    </row>
    <row r="161" customFormat="false" ht="23.25" hidden="false" customHeight="true" outlineLevel="0" collapsed="false">
      <c r="B161" s="67" t="str">
        <f aca="false">""</f>
        <v/>
      </c>
      <c r="C161" s="67"/>
      <c r="D161" s="23" t="str">
        <f aca="false">IFERROR(INDEX(分录回款!$E:$E,MATCH($L161,分录回款!$L:$L,0)),"")</f>
        <v/>
      </c>
      <c r="E161" s="23" t="str">
        <f aca="false">IFERROR(INDEX(分录回款!$F:$F,MATCH($L161,分录回款!$L:$L,0)),"")</f>
        <v/>
      </c>
      <c r="F161" s="68" t="str">
        <f aca="false">IFERROR(INDEX(分录回款!$H:$H,MATCH($L161,分录回款!$L:$L,0)),"")</f>
        <v/>
      </c>
      <c r="G161" s="69" t="str">
        <f aca="false">IFERROR(INDEX(分录回款!$I:$I,MATCH($L161,分录回款!$L:$L,0)),"")</f>
        <v/>
      </c>
      <c r="H161" s="23"/>
      <c r="I161" s="70"/>
      <c r="L161" s="71" t="n">
        <f aca="false">IF(助手回款!$R$12="",-1,助手回款!$R$12*100+(助手回款!$S$12-1)*6+6)</f>
        <v>906</v>
      </c>
    </row>
    <row r="162" customFormat="false" ht="23.25" hidden="false" customHeight="true" outlineLevel="0" collapsed="false">
      <c r="B162" s="72" t="str">
        <f aca="false">IF(助手回款!$T$12=1,"合计：","")</f>
        <v>合计：</v>
      </c>
      <c r="C162" s="73" t="n">
        <f aca="false">IF(助手回款!$T$12=1,$F162,"")</f>
        <v>34503.35</v>
      </c>
      <c r="D162" s="74"/>
      <c r="E162" s="74"/>
      <c r="F162" s="75" t="n">
        <f aca="false">IF(助手回款!$T$12=1,INDEX(助手回款!$N$2:$N$66,助手回款!$R$12),"")</f>
        <v>34503.35</v>
      </c>
      <c r="G162" s="76" t="n">
        <f aca="false">IF(助手回款!$T$12=1,INDEX(助手回款!$O$2:$O$66,助手回款!$R$12),"")</f>
        <v>34503.35</v>
      </c>
      <c r="H162" s="74"/>
      <c r="I162" s="77"/>
    </row>
    <row r="163" customFormat="false" ht="6" hidden="false" customHeight="true" outlineLevel="0" collapsed="false"/>
    <row r="164" customFormat="false" ht="13.5" hidden="false" customHeight="false" outlineLevel="0" collapsed="false">
      <c r="B164" s="78" t="str">
        <f aca="false">IF(助手回款!$R$12&lt;&gt;"","会计主管：","")</f>
        <v>会计主管：</v>
      </c>
      <c r="D164" s="78" t="str">
        <f aca="false">IF(助手回款!$R$12&lt;&gt;"","会计：","")</f>
        <v>会计：</v>
      </c>
      <c r="E164" s="78" t="str">
        <f aca="false">IF(助手回款!$R$12&lt;&gt;"","出纳：","")</f>
        <v>出纳：</v>
      </c>
      <c r="F164" s="78" t="str">
        <f aca="false">IF(助手回款!$R$12&lt;&gt;"","复核：","")</f>
        <v>复核：</v>
      </c>
      <c r="G164" s="78" t="str">
        <f aca="false">IF(助手回款!$R$12&lt;&gt;"","制单：","")</f>
        <v>制单：</v>
      </c>
    </row>
    <row r="165" customFormat="false" ht="3" hidden="false" customHeight="true" outlineLevel="0" collapsed="false"/>
    <row r="166" customFormat="false" ht="19.5" hidden="false" customHeight="true" outlineLevel="0" collapsed="false">
      <c r="B166" s="53" t="str">
        <f aca="false">IF(助手回款!$R$13&lt;&gt;"","记  账  凭  证","")</f>
        <v>记  账  凭  证</v>
      </c>
      <c r="C166" s="53"/>
      <c r="D166" s="53"/>
      <c r="E166" s="53"/>
      <c r="F166" s="53"/>
      <c r="G166" s="53"/>
      <c r="H166" s="53"/>
      <c r="I166" s="53"/>
    </row>
    <row r="167" customFormat="false" ht="3" hidden="false" customHeight="true" outlineLevel="0" collapsed="false"/>
    <row r="168" customFormat="false" ht="15" hidden="false" customHeight="true" outlineLevel="0" collapsed="false">
      <c r="C168" s="56" t="n">
        <f aca="false">IF(助手回款!$R$13&lt;&gt;"",INDEX(助手回款!$B$2:$B$66,助手回款!$R$13),"")</f>
        <v>2010</v>
      </c>
      <c r="D168" s="57" t="n">
        <f aca="false">IF(助手回款!$R$13&lt;&gt;"",参数!$B$2,"")</f>
        <v>46234</v>
      </c>
      <c r="E168" s="57"/>
      <c r="F168" s="58" t="str">
        <f aca="false">IF(助手回款!$R$13&lt;&gt;"",INDEX(助手回款!$C$2:$C$66,助手回款!$R$13)&amp;"  字第 "&amp;IF(参数!$B$9="是",INDEX(助手回款!$P$2:$P$66,助手回款!$R$13),"　　　　")&amp;" 号"&amp;IF(INDEX(助手回款!$L$2:$L$66,助手回款!$R$13)&gt;1,"  (共"&amp;INDEX(助手回款!$L$2:$L$66,助手回款!$R$13)&amp;"页 第"&amp;助手回款!$S$13&amp;"页)",""),"")</f>
        <v>莲子镇店  字第 　　　　 号</v>
      </c>
      <c r="G168" s="58"/>
      <c r="H168" s="58"/>
      <c r="I168" s="58"/>
      <c r="M168" s="59" t="n">
        <f aca="false">IF(助手回款!$R$13="","",助手回款!$Q$13)</f>
        <v>12</v>
      </c>
      <c r="N168" s="60" t="n">
        <f aca="false">IF(助手回款!$R$13="","",INDEX(助手回款!$P$2:$P$66,助手回款!$R$13))</f>
        <v>10</v>
      </c>
      <c r="O168" s="55" t="str">
        <f aca="false">IF(助手回款!$R$13="","",INDEX(助手回款!$C$2:$C$66,助手回款!$R$13)&amp;"  字第 "&amp;INDEX(助手回款!$P$2:$P$66,助手回款!$R$13)&amp;" 号"&amp;IF(INDEX(助手回款!$L$2:$L$66,助手回款!$R$13)&gt;1,"  (共"&amp;INDEX(助手回款!$L$2:$L$66,助手回款!$R$13)&amp;"页 第"&amp;助手回款!$S$13&amp;"页)",""))</f>
        <v>莲子镇店  字第 10 号</v>
      </c>
    </row>
    <row r="169" customFormat="false" ht="12.75" hidden="false" customHeight="true" outlineLevel="0" collapsed="false">
      <c r="B169" s="61" t="str">
        <f aca="false">IF(助手回款!$R$13&lt;&gt;"","摘　　要","")</f>
        <v>摘　　要</v>
      </c>
      <c r="C169" s="61"/>
      <c r="D169" s="62" t="str">
        <f aca="false">IF(助手回款!$R$13&lt;&gt;"","科　　　　目","")</f>
        <v>科　　　　目</v>
      </c>
      <c r="E169" s="62"/>
      <c r="F169" s="61" t="str">
        <f aca="false">IF(助手回款!$R$13&lt;&gt;"","借 方 金 额","")</f>
        <v>借 方 金 额</v>
      </c>
      <c r="G169" s="62" t="str">
        <f aca="false">IF(助手回款!$R$13&lt;&gt;"","贷 方 金 额","")</f>
        <v>贷 方 金 额</v>
      </c>
      <c r="H169" s="63" t="str">
        <f aca="false">IF(助手回款!$R$13&lt;&gt;"","√","")</f>
        <v>√</v>
      </c>
      <c r="I169" s="64" t="str">
        <f aca="false">IF(助手回款!$R$13&lt;&gt;"","附单据  张","")</f>
        <v>附单据  张</v>
      </c>
    </row>
    <row r="170" customFormat="false" ht="12.75" hidden="false" customHeight="true" outlineLevel="0" collapsed="false">
      <c r="B170" s="61"/>
      <c r="C170" s="61"/>
      <c r="D170" s="23" t="str">
        <f aca="false">IF(助手回款!$R$13&lt;&gt;"","总 账 科 目","")</f>
        <v>总 账 科 目</v>
      </c>
      <c r="E170" s="23" t="str">
        <f aca="false">IF(助手回款!$R$13&lt;&gt;"","明 细 科 目","")</f>
        <v>明 细 科 目</v>
      </c>
      <c r="F170" s="65"/>
      <c r="G170" s="66"/>
      <c r="H170" s="63"/>
      <c r="I170" s="64"/>
    </row>
    <row r="171" customFormat="false" ht="23.25" hidden="false" customHeight="true" outlineLevel="0" collapsed="false">
      <c r="B171" s="67" t="str">
        <f aca="false">IFERROR(INDEX(分录回款!$M:$M,MATCH($L171,分录回款!$L:$L,0)),"")</f>
        <v>回款</v>
      </c>
      <c r="C171" s="67"/>
      <c r="D171" s="23" t="str">
        <f aca="false">IFERROR(INDEX(分录回款!$E:$E,MATCH($L171,分录回款!$L:$L,0)),"")</f>
        <v>库存现金</v>
      </c>
      <c r="E171" s="23" t="str">
        <f aca="false">IFERROR(INDEX(分录回款!$F:$F,MATCH($L171,分录回款!$L:$L,0)),"")</f>
        <v/>
      </c>
      <c r="F171" s="68" t="n">
        <f aca="false">IFERROR(INDEX(分录回款!$H:$H,MATCH($L171,分录回款!$L:$L,0)),"")</f>
        <v>90939.53</v>
      </c>
      <c r="G171" s="69" t="str">
        <f aca="false">IFERROR(INDEX(分录回款!$I:$I,MATCH($L171,分录回款!$L:$L,0)),"")</f>
        <v/>
      </c>
      <c r="H171" s="23"/>
      <c r="I171" s="70"/>
      <c r="L171" s="71" t="n">
        <f aca="false">IF(助手回款!$R$13="",-1,助手回款!$R$13*100+(助手回款!$S$13-1)*6+1)</f>
        <v>1001</v>
      </c>
    </row>
    <row r="172" customFormat="false" ht="23.25" hidden="false" customHeight="true" outlineLevel="0" collapsed="false">
      <c r="B172" s="67" t="str">
        <f aca="false">""</f>
        <v/>
      </c>
      <c r="C172" s="67"/>
      <c r="D172" s="23" t="str">
        <f aca="false">IFERROR(INDEX(分录回款!$E:$E,MATCH($L172,分录回款!$L:$L,0)),"")</f>
        <v>应收账款</v>
      </c>
      <c r="E172" s="23" t="str">
        <f aca="false">IFERROR(INDEX(分录回款!$F:$F,MATCH($L172,分录回款!$L:$L,0)),"")</f>
        <v>聚合支付</v>
      </c>
      <c r="F172" s="68" t="str">
        <f aca="false">IFERROR(INDEX(分录回款!$H:$H,MATCH($L172,分录回款!$L:$L,0)),"")</f>
        <v/>
      </c>
      <c r="G172" s="69" t="n">
        <f aca="false">IFERROR(INDEX(分录回款!$I:$I,MATCH($L172,分录回款!$L:$L,0)),"")</f>
        <v>72193.49</v>
      </c>
      <c r="H172" s="23"/>
      <c r="I172" s="70"/>
      <c r="L172" s="71" t="n">
        <f aca="false">IF(助手回款!$R$13="",-1,助手回款!$R$13*100+(助手回款!$S$13-1)*6+2)</f>
        <v>1002</v>
      </c>
    </row>
    <row r="173" customFormat="false" ht="23.25" hidden="false" customHeight="true" outlineLevel="0" collapsed="false">
      <c r="B173" s="67" t="str">
        <f aca="false">""</f>
        <v/>
      </c>
      <c r="C173" s="67"/>
      <c r="D173" s="23" t="str">
        <f aca="false">IFERROR(INDEX(分录回款!$E:$E,MATCH($L173,分录回款!$L:$L,0)),"")</f>
        <v>应收账款</v>
      </c>
      <c r="E173" s="23" t="str">
        <f aca="false">IFERROR(INDEX(分录回款!$F:$F,MATCH($L173,分录回款!$L:$L,0)),"")</f>
        <v>医保</v>
      </c>
      <c r="F173" s="68" t="str">
        <f aca="false">IFERROR(INDEX(分录回款!$H:$H,MATCH($L173,分录回款!$L:$L,0)),"")</f>
        <v/>
      </c>
      <c r="G173" s="69" t="n">
        <f aca="false">IFERROR(INDEX(分录回款!$I:$I,MATCH($L173,分录回款!$L:$L,0)),"")</f>
        <v>18746.04</v>
      </c>
      <c r="H173" s="23"/>
      <c r="I173" s="70"/>
      <c r="L173" s="71" t="n">
        <f aca="false">IF(助手回款!$R$13="",-1,助手回款!$R$13*100+(助手回款!$S$13-1)*6+3)</f>
        <v>1003</v>
      </c>
    </row>
    <row r="174" customFormat="false" ht="23.25" hidden="false" customHeight="true" outlineLevel="0" collapsed="false">
      <c r="B174" s="67" t="str">
        <f aca="false">""</f>
        <v/>
      </c>
      <c r="C174" s="67"/>
      <c r="D174" s="23" t="str">
        <f aca="false">IFERROR(INDEX(分录回款!$E:$E,MATCH($L174,分录回款!$L:$L,0)),"")</f>
        <v/>
      </c>
      <c r="E174" s="23" t="str">
        <f aca="false">IFERROR(INDEX(分录回款!$F:$F,MATCH($L174,分录回款!$L:$L,0)),"")</f>
        <v/>
      </c>
      <c r="F174" s="68" t="str">
        <f aca="false">IFERROR(INDEX(分录回款!$H:$H,MATCH($L174,分录回款!$L:$L,0)),"")</f>
        <v/>
      </c>
      <c r="G174" s="69" t="str">
        <f aca="false">IFERROR(INDEX(分录回款!$I:$I,MATCH($L174,分录回款!$L:$L,0)),"")</f>
        <v/>
      </c>
      <c r="H174" s="23"/>
      <c r="I174" s="70"/>
      <c r="L174" s="71" t="n">
        <f aca="false">IF(助手回款!$R$13="",-1,助手回款!$R$13*100+(助手回款!$S$13-1)*6+4)</f>
        <v>1004</v>
      </c>
    </row>
    <row r="175" customFormat="false" ht="23.25" hidden="false" customHeight="true" outlineLevel="0" collapsed="false">
      <c r="B175" s="67" t="str">
        <f aca="false">""</f>
        <v/>
      </c>
      <c r="C175" s="67"/>
      <c r="D175" s="23" t="str">
        <f aca="false">IFERROR(INDEX(分录回款!$E:$E,MATCH($L175,分录回款!$L:$L,0)),"")</f>
        <v/>
      </c>
      <c r="E175" s="23" t="str">
        <f aca="false">IFERROR(INDEX(分录回款!$F:$F,MATCH($L175,分录回款!$L:$L,0)),"")</f>
        <v/>
      </c>
      <c r="F175" s="68" t="str">
        <f aca="false">IFERROR(INDEX(分录回款!$H:$H,MATCH($L175,分录回款!$L:$L,0)),"")</f>
        <v/>
      </c>
      <c r="G175" s="69" t="str">
        <f aca="false">IFERROR(INDEX(分录回款!$I:$I,MATCH($L175,分录回款!$L:$L,0)),"")</f>
        <v/>
      </c>
      <c r="H175" s="23"/>
      <c r="I175" s="70"/>
      <c r="L175" s="71" t="n">
        <f aca="false">IF(助手回款!$R$13="",-1,助手回款!$R$13*100+(助手回款!$S$13-1)*6+5)</f>
        <v>1005</v>
      </c>
    </row>
    <row r="176" customFormat="false" ht="23.25" hidden="false" customHeight="true" outlineLevel="0" collapsed="false">
      <c r="B176" s="67" t="str">
        <f aca="false">""</f>
        <v/>
      </c>
      <c r="C176" s="67"/>
      <c r="D176" s="23" t="str">
        <f aca="false">IFERROR(INDEX(分录回款!$E:$E,MATCH($L176,分录回款!$L:$L,0)),"")</f>
        <v/>
      </c>
      <c r="E176" s="23" t="str">
        <f aca="false">IFERROR(INDEX(分录回款!$F:$F,MATCH($L176,分录回款!$L:$L,0)),"")</f>
        <v/>
      </c>
      <c r="F176" s="68" t="str">
        <f aca="false">IFERROR(INDEX(分录回款!$H:$H,MATCH($L176,分录回款!$L:$L,0)),"")</f>
        <v/>
      </c>
      <c r="G176" s="69" t="str">
        <f aca="false">IFERROR(INDEX(分录回款!$I:$I,MATCH($L176,分录回款!$L:$L,0)),"")</f>
        <v/>
      </c>
      <c r="H176" s="23"/>
      <c r="I176" s="70"/>
      <c r="L176" s="71" t="n">
        <f aca="false">IF(助手回款!$R$13="",-1,助手回款!$R$13*100+(助手回款!$S$13-1)*6+6)</f>
        <v>1006</v>
      </c>
    </row>
    <row r="177" customFormat="false" ht="23.25" hidden="false" customHeight="true" outlineLevel="0" collapsed="false">
      <c r="B177" s="72" t="str">
        <f aca="false">IF(助手回款!$T$13=1,"合计：","")</f>
        <v>合计：</v>
      </c>
      <c r="C177" s="73" t="n">
        <f aca="false">IF(助手回款!$T$13=1,$F177,"")</f>
        <v>90939.53</v>
      </c>
      <c r="D177" s="74"/>
      <c r="E177" s="74"/>
      <c r="F177" s="75" t="n">
        <f aca="false">IF(助手回款!$T$13=1,INDEX(助手回款!$N$2:$N$66,助手回款!$R$13),"")</f>
        <v>90939.53</v>
      </c>
      <c r="G177" s="76" t="n">
        <f aca="false">IF(助手回款!$T$13=1,INDEX(助手回款!$O$2:$O$66,助手回款!$R$13),"")</f>
        <v>90939.53</v>
      </c>
      <c r="H177" s="74"/>
      <c r="I177" s="77"/>
    </row>
    <row r="178" customFormat="false" ht="6" hidden="false" customHeight="true" outlineLevel="0" collapsed="false"/>
    <row r="179" customFormat="false" ht="13.5" hidden="false" customHeight="false" outlineLevel="0" collapsed="false">
      <c r="B179" s="78" t="str">
        <f aca="false">IF(助手回款!$R$13&lt;&gt;"","会计主管：","")</f>
        <v>会计主管：</v>
      </c>
      <c r="D179" s="78" t="str">
        <f aca="false">IF(助手回款!$R$13&lt;&gt;"","会计：","")</f>
        <v>会计：</v>
      </c>
      <c r="E179" s="78" t="str">
        <f aca="false">IF(助手回款!$R$13&lt;&gt;"","出纳：","")</f>
        <v>出纳：</v>
      </c>
      <c r="F179" s="78" t="str">
        <f aca="false">IF(助手回款!$R$13&lt;&gt;"","复核：","")</f>
        <v>复核：</v>
      </c>
      <c r="G179" s="78" t="str">
        <f aca="false">IF(助手回款!$R$13&lt;&gt;"","制单：","")</f>
        <v>制单：</v>
      </c>
    </row>
    <row r="180" customFormat="false" ht="3" hidden="false" customHeight="true" outlineLevel="0" collapsed="false"/>
    <row r="181" customFormat="false" ht="19.5" hidden="false" customHeight="true" outlineLevel="0" collapsed="false">
      <c r="B181" s="53" t="str">
        <f aca="false">IF(助手回款!$R$14&lt;&gt;"","记  账  凭  证","")</f>
        <v>记  账  凭  证</v>
      </c>
      <c r="C181" s="53"/>
      <c r="D181" s="53"/>
      <c r="E181" s="53"/>
      <c r="F181" s="53"/>
      <c r="G181" s="53"/>
      <c r="H181" s="53"/>
      <c r="I181" s="53"/>
    </row>
    <row r="182" customFormat="false" ht="3" hidden="false" customHeight="true" outlineLevel="0" collapsed="false"/>
    <row r="183" customFormat="false" ht="15" hidden="false" customHeight="true" outlineLevel="0" collapsed="false">
      <c r="C183" s="56" t="n">
        <f aca="false">IF(助手回款!$R$14&lt;&gt;"",INDEX(助手回款!$B$2:$B$66,助手回款!$R$14),"")</f>
        <v>2011</v>
      </c>
      <c r="D183" s="57" t="n">
        <f aca="false">IF(助手回款!$R$14&lt;&gt;"",参数!$B$2,"")</f>
        <v>46234</v>
      </c>
      <c r="E183" s="57"/>
      <c r="F183" s="58" t="str">
        <f aca="false">IF(助手回款!$R$14&lt;&gt;"",INDEX(助手回款!$C$2:$C$66,助手回款!$R$14)&amp;"  字第 "&amp;IF(参数!$B$9="是",INDEX(助手回款!$P$2:$P$66,助手回款!$R$14),"　　　　")&amp;" 号"&amp;IF(INDEX(助手回款!$L$2:$L$66,助手回款!$R$14)&gt;1,"  (共"&amp;INDEX(助手回款!$L$2:$L$66,助手回款!$R$14)&amp;"页 第"&amp;助手回款!$S$14&amp;"页)",""),"")</f>
        <v>毛尔寨店  字第 　　　　 号</v>
      </c>
      <c r="G183" s="58"/>
      <c r="H183" s="58"/>
      <c r="I183" s="58"/>
      <c r="M183" s="59" t="n">
        <f aca="false">IF(助手回款!$R$14="","",助手回款!$Q$14)</f>
        <v>13</v>
      </c>
      <c r="N183" s="60" t="n">
        <f aca="false">IF(助手回款!$R$14="","",INDEX(助手回款!$P$2:$P$66,助手回款!$R$14))</f>
        <v>11</v>
      </c>
      <c r="O183" s="55" t="str">
        <f aca="false">IF(助手回款!$R$14="","",INDEX(助手回款!$C$2:$C$66,助手回款!$R$14)&amp;"  字第 "&amp;INDEX(助手回款!$P$2:$P$66,助手回款!$R$14)&amp;" 号"&amp;IF(INDEX(助手回款!$L$2:$L$66,助手回款!$R$14)&gt;1,"  (共"&amp;INDEX(助手回款!$L$2:$L$66,助手回款!$R$14)&amp;"页 第"&amp;助手回款!$S$14&amp;"页)",""))</f>
        <v>毛尔寨店  字第 11 号</v>
      </c>
    </row>
    <row r="184" customFormat="false" ht="12.75" hidden="false" customHeight="true" outlineLevel="0" collapsed="false">
      <c r="B184" s="61" t="str">
        <f aca="false">IF(助手回款!$R$14&lt;&gt;"","摘　　要","")</f>
        <v>摘　　要</v>
      </c>
      <c r="C184" s="61"/>
      <c r="D184" s="62" t="str">
        <f aca="false">IF(助手回款!$R$14&lt;&gt;"","科　　　　目","")</f>
        <v>科　　　　目</v>
      </c>
      <c r="E184" s="62"/>
      <c r="F184" s="61" t="str">
        <f aca="false">IF(助手回款!$R$14&lt;&gt;"","借 方 金 额","")</f>
        <v>借 方 金 额</v>
      </c>
      <c r="G184" s="62" t="str">
        <f aca="false">IF(助手回款!$R$14&lt;&gt;"","贷 方 金 额","")</f>
        <v>贷 方 金 额</v>
      </c>
      <c r="H184" s="63" t="str">
        <f aca="false">IF(助手回款!$R$14&lt;&gt;"","√","")</f>
        <v>√</v>
      </c>
      <c r="I184" s="64" t="str">
        <f aca="false">IF(助手回款!$R$14&lt;&gt;"","附单据  张","")</f>
        <v>附单据  张</v>
      </c>
    </row>
    <row r="185" customFormat="false" ht="12.75" hidden="false" customHeight="true" outlineLevel="0" collapsed="false">
      <c r="B185" s="61"/>
      <c r="C185" s="61"/>
      <c r="D185" s="23" t="str">
        <f aca="false">IF(助手回款!$R$14&lt;&gt;"","总 账 科 目","")</f>
        <v>总 账 科 目</v>
      </c>
      <c r="E185" s="23" t="str">
        <f aca="false">IF(助手回款!$R$14&lt;&gt;"","明 细 科 目","")</f>
        <v>明 细 科 目</v>
      </c>
      <c r="F185" s="65"/>
      <c r="G185" s="66"/>
      <c r="H185" s="63"/>
      <c r="I185" s="64"/>
    </row>
    <row r="186" customFormat="false" ht="23.25" hidden="false" customHeight="true" outlineLevel="0" collapsed="false">
      <c r="B186" s="67" t="str">
        <f aca="false">IFERROR(INDEX(分录回款!$M:$M,MATCH($L186,分录回款!$L:$L,0)),"")</f>
        <v>回款</v>
      </c>
      <c r="C186" s="67"/>
      <c r="D186" s="23" t="str">
        <f aca="false">IFERROR(INDEX(分录回款!$E:$E,MATCH($L186,分录回款!$L:$L,0)),"")</f>
        <v>库存现金</v>
      </c>
      <c r="E186" s="23" t="str">
        <f aca="false">IFERROR(INDEX(分录回款!$F:$F,MATCH($L186,分录回款!$L:$L,0)),"")</f>
        <v/>
      </c>
      <c r="F186" s="68" t="n">
        <f aca="false">IFERROR(INDEX(分录回款!$H:$H,MATCH($L186,分录回款!$L:$L,0)),"")</f>
        <v>17341.43</v>
      </c>
      <c r="G186" s="69" t="str">
        <f aca="false">IFERROR(INDEX(分录回款!$I:$I,MATCH($L186,分录回款!$L:$L,0)),"")</f>
        <v/>
      </c>
      <c r="H186" s="23"/>
      <c r="I186" s="70"/>
      <c r="L186" s="71" t="n">
        <f aca="false">IF(助手回款!$R$14="",-1,助手回款!$R$14*100+(助手回款!$S$14-1)*6+1)</f>
        <v>1101</v>
      </c>
    </row>
    <row r="187" customFormat="false" ht="23.25" hidden="false" customHeight="true" outlineLevel="0" collapsed="false">
      <c r="B187" s="67" t="str">
        <f aca="false">""</f>
        <v/>
      </c>
      <c r="C187" s="67"/>
      <c r="D187" s="23" t="str">
        <f aca="false">IFERROR(INDEX(分录回款!$E:$E,MATCH($L187,分录回款!$L:$L,0)),"")</f>
        <v>应收账款</v>
      </c>
      <c r="E187" s="23" t="str">
        <f aca="false">IFERROR(INDEX(分录回款!$F:$F,MATCH($L187,分录回款!$L:$L,0)),"")</f>
        <v>聚合支付</v>
      </c>
      <c r="F187" s="68" t="str">
        <f aca="false">IFERROR(INDEX(分录回款!$H:$H,MATCH($L187,分录回款!$L:$L,0)),"")</f>
        <v/>
      </c>
      <c r="G187" s="69" t="n">
        <f aca="false">IFERROR(INDEX(分录回款!$I:$I,MATCH($L187,分录回款!$L:$L,0)),"")</f>
        <v>12673.23</v>
      </c>
      <c r="H187" s="23"/>
      <c r="I187" s="70"/>
      <c r="L187" s="71" t="n">
        <f aca="false">IF(助手回款!$R$14="",-1,助手回款!$R$14*100+(助手回款!$S$14-1)*6+2)</f>
        <v>1102</v>
      </c>
    </row>
    <row r="188" customFormat="false" ht="23.25" hidden="false" customHeight="true" outlineLevel="0" collapsed="false">
      <c r="B188" s="67" t="str">
        <f aca="false">""</f>
        <v/>
      </c>
      <c r="C188" s="67"/>
      <c r="D188" s="23" t="str">
        <f aca="false">IFERROR(INDEX(分录回款!$E:$E,MATCH($L188,分录回款!$L:$L,0)),"")</f>
        <v>应收账款</v>
      </c>
      <c r="E188" s="23" t="str">
        <f aca="false">IFERROR(INDEX(分录回款!$F:$F,MATCH($L188,分录回款!$L:$L,0)),"")</f>
        <v>医保</v>
      </c>
      <c r="F188" s="68" t="str">
        <f aca="false">IFERROR(INDEX(分录回款!$H:$H,MATCH($L188,分录回款!$L:$L,0)),"")</f>
        <v/>
      </c>
      <c r="G188" s="69" t="n">
        <f aca="false">IFERROR(INDEX(分录回款!$I:$I,MATCH($L188,分录回款!$L:$L,0)),"")</f>
        <v>4668.2</v>
      </c>
      <c r="H188" s="23"/>
      <c r="I188" s="70"/>
      <c r="L188" s="71" t="n">
        <f aca="false">IF(助手回款!$R$14="",-1,助手回款!$R$14*100+(助手回款!$S$14-1)*6+3)</f>
        <v>1103</v>
      </c>
    </row>
    <row r="189" customFormat="false" ht="23.25" hidden="false" customHeight="true" outlineLevel="0" collapsed="false">
      <c r="B189" s="67" t="str">
        <f aca="false">""</f>
        <v/>
      </c>
      <c r="C189" s="67"/>
      <c r="D189" s="23" t="str">
        <f aca="false">IFERROR(INDEX(分录回款!$E:$E,MATCH($L189,分录回款!$L:$L,0)),"")</f>
        <v/>
      </c>
      <c r="E189" s="23" t="str">
        <f aca="false">IFERROR(INDEX(分录回款!$F:$F,MATCH($L189,分录回款!$L:$L,0)),"")</f>
        <v/>
      </c>
      <c r="F189" s="68" t="str">
        <f aca="false">IFERROR(INDEX(分录回款!$H:$H,MATCH($L189,分录回款!$L:$L,0)),"")</f>
        <v/>
      </c>
      <c r="G189" s="69" t="str">
        <f aca="false">IFERROR(INDEX(分录回款!$I:$I,MATCH($L189,分录回款!$L:$L,0)),"")</f>
        <v/>
      </c>
      <c r="H189" s="23"/>
      <c r="I189" s="70"/>
      <c r="L189" s="71" t="n">
        <f aca="false">IF(助手回款!$R$14="",-1,助手回款!$R$14*100+(助手回款!$S$14-1)*6+4)</f>
        <v>1104</v>
      </c>
    </row>
    <row r="190" customFormat="false" ht="23.25" hidden="false" customHeight="true" outlineLevel="0" collapsed="false">
      <c r="B190" s="67" t="str">
        <f aca="false">""</f>
        <v/>
      </c>
      <c r="C190" s="67"/>
      <c r="D190" s="23" t="str">
        <f aca="false">IFERROR(INDEX(分录回款!$E:$E,MATCH($L190,分录回款!$L:$L,0)),"")</f>
        <v/>
      </c>
      <c r="E190" s="23" t="str">
        <f aca="false">IFERROR(INDEX(分录回款!$F:$F,MATCH($L190,分录回款!$L:$L,0)),"")</f>
        <v/>
      </c>
      <c r="F190" s="68" t="str">
        <f aca="false">IFERROR(INDEX(分录回款!$H:$H,MATCH($L190,分录回款!$L:$L,0)),"")</f>
        <v/>
      </c>
      <c r="G190" s="69" t="str">
        <f aca="false">IFERROR(INDEX(分录回款!$I:$I,MATCH($L190,分录回款!$L:$L,0)),"")</f>
        <v/>
      </c>
      <c r="H190" s="23"/>
      <c r="I190" s="70"/>
      <c r="L190" s="71" t="n">
        <f aca="false">IF(助手回款!$R$14="",-1,助手回款!$R$14*100+(助手回款!$S$14-1)*6+5)</f>
        <v>1105</v>
      </c>
    </row>
    <row r="191" customFormat="false" ht="23.25" hidden="false" customHeight="true" outlineLevel="0" collapsed="false">
      <c r="B191" s="67" t="str">
        <f aca="false">""</f>
        <v/>
      </c>
      <c r="C191" s="67"/>
      <c r="D191" s="23" t="str">
        <f aca="false">IFERROR(INDEX(分录回款!$E:$E,MATCH($L191,分录回款!$L:$L,0)),"")</f>
        <v/>
      </c>
      <c r="E191" s="23" t="str">
        <f aca="false">IFERROR(INDEX(分录回款!$F:$F,MATCH($L191,分录回款!$L:$L,0)),"")</f>
        <v/>
      </c>
      <c r="F191" s="68" t="str">
        <f aca="false">IFERROR(INDEX(分录回款!$H:$H,MATCH($L191,分录回款!$L:$L,0)),"")</f>
        <v/>
      </c>
      <c r="G191" s="69" t="str">
        <f aca="false">IFERROR(INDEX(分录回款!$I:$I,MATCH($L191,分录回款!$L:$L,0)),"")</f>
        <v/>
      </c>
      <c r="H191" s="23"/>
      <c r="I191" s="70"/>
      <c r="L191" s="71" t="n">
        <f aca="false">IF(助手回款!$R$14="",-1,助手回款!$R$14*100+(助手回款!$S$14-1)*6+6)</f>
        <v>1106</v>
      </c>
    </row>
    <row r="192" customFormat="false" ht="23.25" hidden="false" customHeight="true" outlineLevel="0" collapsed="false">
      <c r="B192" s="72" t="str">
        <f aca="false">IF(助手回款!$T$14=1,"合计：","")</f>
        <v>合计：</v>
      </c>
      <c r="C192" s="73" t="n">
        <f aca="false">IF(助手回款!$T$14=1,$F192,"")</f>
        <v>17341.43</v>
      </c>
      <c r="D192" s="74"/>
      <c r="E192" s="74"/>
      <c r="F192" s="75" t="n">
        <f aca="false">IF(助手回款!$T$14=1,INDEX(助手回款!$N$2:$N$66,助手回款!$R$14),"")</f>
        <v>17341.43</v>
      </c>
      <c r="G192" s="76" t="n">
        <f aca="false">IF(助手回款!$T$14=1,INDEX(助手回款!$O$2:$O$66,助手回款!$R$14),"")</f>
        <v>17341.43</v>
      </c>
      <c r="H192" s="74"/>
      <c r="I192" s="77"/>
    </row>
    <row r="193" customFormat="false" ht="6" hidden="false" customHeight="true" outlineLevel="0" collapsed="false"/>
    <row r="194" customFormat="false" ht="13.5" hidden="false" customHeight="false" outlineLevel="0" collapsed="false">
      <c r="B194" s="78" t="str">
        <f aca="false">IF(助手回款!$R$14&lt;&gt;"","会计主管：","")</f>
        <v>会计主管：</v>
      </c>
      <c r="D194" s="78" t="str">
        <f aca="false">IF(助手回款!$R$14&lt;&gt;"","会计：","")</f>
        <v>会计：</v>
      </c>
      <c r="E194" s="78" t="str">
        <f aca="false">IF(助手回款!$R$14&lt;&gt;"","出纳：","")</f>
        <v>出纳：</v>
      </c>
      <c r="F194" s="78" t="str">
        <f aca="false">IF(助手回款!$R$14&lt;&gt;"","复核：","")</f>
        <v>复核：</v>
      </c>
      <c r="G194" s="78" t="str">
        <f aca="false">IF(助手回款!$R$14&lt;&gt;"","制单：","")</f>
        <v>制单：</v>
      </c>
    </row>
    <row r="195" customFormat="false" ht="3" hidden="false" customHeight="true" outlineLevel="0" collapsed="false"/>
    <row r="196" customFormat="false" ht="19.5" hidden="false" customHeight="true" outlineLevel="0" collapsed="false">
      <c r="B196" s="53" t="str">
        <f aca="false">IF(助手回款!$R$15&lt;&gt;"","记  账  凭  证","")</f>
        <v>记  账  凭  证</v>
      </c>
      <c r="C196" s="53"/>
      <c r="D196" s="53"/>
      <c r="E196" s="53"/>
      <c r="F196" s="53"/>
      <c r="G196" s="53"/>
      <c r="H196" s="53"/>
      <c r="I196" s="53"/>
    </row>
    <row r="197" customFormat="false" ht="3" hidden="false" customHeight="true" outlineLevel="0" collapsed="false"/>
    <row r="198" customFormat="false" ht="15" hidden="false" customHeight="true" outlineLevel="0" collapsed="false">
      <c r="C198" s="56" t="n">
        <f aca="false">IF(助手回款!$R$15&lt;&gt;"",INDEX(助手回款!$B$2:$B$66,助手回款!$R$15),"")</f>
        <v>2012</v>
      </c>
      <c r="D198" s="57" t="n">
        <f aca="false">IF(助手回款!$R$15&lt;&gt;"",参数!$B$2,"")</f>
        <v>46234</v>
      </c>
      <c r="E198" s="57"/>
      <c r="F198" s="58" t="str">
        <f aca="false">IF(助手回款!$R$15&lt;&gt;"",INDEX(助手回款!$C$2:$C$66,助手回款!$R$15)&amp;"  字第 "&amp;IF(参数!$B$9="是",INDEX(助手回款!$P$2:$P$66,助手回款!$R$15),"　　　　")&amp;" 号"&amp;IF(INDEX(助手回款!$L$2:$L$66,助手回款!$R$15)&gt;1,"  (共"&amp;INDEX(助手回款!$L$2:$L$66,助手回款!$R$15)&amp;"页 第"&amp;助手回款!$S$15&amp;"页)",""),"")</f>
        <v>泽畔店  字第 　　　　 号</v>
      </c>
      <c r="G198" s="58"/>
      <c r="H198" s="58"/>
      <c r="I198" s="58"/>
      <c r="M198" s="59" t="n">
        <f aca="false">IF(助手回款!$R$15="","",助手回款!$Q$15)</f>
        <v>14</v>
      </c>
      <c r="N198" s="60" t="n">
        <f aca="false">IF(助手回款!$R$15="","",INDEX(助手回款!$P$2:$P$66,助手回款!$R$15))</f>
        <v>12</v>
      </c>
      <c r="O198" s="55" t="str">
        <f aca="false">IF(助手回款!$R$15="","",INDEX(助手回款!$C$2:$C$66,助手回款!$R$15)&amp;"  字第 "&amp;INDEX(助手回款!$P$2:$P$66,助手回款!$R$15)&amp;" 号"&amp;IF(INDEX(助手回款!$L$2:$L$66,助手回款!$R$15)&gt;1,"  (共"&amp;INDEX(助手回款!$L$2:$L$66,助手回款!$R$15)&amp;"页 第"&amp;助手回款!$S$15&amp;"页)",""))</f>
        <v>泽畔店  字第 12 号</v>
      </c>
    </row>
    <row r="199" customFormat="false" ht="12.75" hidden="false" customHeight="true" outlineLevel="0" collapsed="false">
      <c r="B199" s="61" t="str">
        <f aca="false">IF(助手回款!$R$15&lt;&gt;"","摘　　要","")</f>
        <v>摘　　要</v>
      </c>
      <c r="C199" s="61"/>
      <c r="D199" s="62" t="str">
        <f aca="false">IF(助手回款!$R$15&lt;&gt;"","科　　　　目","")</f>
        <v>科　　　　目</v>
      </c>
      <c r="E199" s="62"/>
      <c r="F199" s="61" t="str">
        <f aca="false">IF(助手回款!$R$15&lt;&gt;"","借 方 金 额","")</f>
        <v>借 方 金 额</v>
      </c>
      <c r="G199" s="62" t="str">
        <f aca="false">IF(助手回款!$R$15&lt;&gt;"","贷 方 金 额","")</f>
        <v>贷 方 金 额</v>
      </c>
      <c r="H199" s="63" t="str">
        <f aca="false">IF(助手回款!$R$15&lt;&gt;"","√","")</f>
        <v>√</v>
      </c>
      <c r="I199" s="64" t="str">
        <f aca="false">IF(助手回款!$R$15&lt;&gt;"","附单据  张","")</f>
        <v>附单据  张</v>
      </c>
    </row>
    <row r="200" customFormat="false" ht="12.75" hidden="false" customHeight="true" outlineLevel="0" collapsed="false">
      <c r="B200" s="61"/>
      <c r="C200" s="61"/>
      <c r="D200" s="23" t="str">
        <f aca="false">IF(助手回款!$R$15&lt;&gt;"","总 账 科 目","")</f>
        <v>总 账 科 目</v>
      </c>
      <c r="E200" s="23" t="str">
        <f aca="false">IF(助手回款!$R$15&lt;&gt;"","明 细 科 目","")</f>
        <v>明 细 科 目</v>
      </c>
      <c r="F200" s="65"/>
      <c r="G200" s="66"/>
      <c r="H200" s="63"/>
      <c r="I200" s="64"/>
    </row>
    <row r="201" customFormat="false" ht="23.25" hidden="false" customHeight="true" outlineLevel="0" collapsed="false">
      <c r="B201" s="67" t="str">
        <f aca="false">IFERROR(INDEX(分录回款!$M:$M,MATCH($L201,分录回款!$L:$L,0)),"")</f>
        <v>回款</v>
      </c>
      <c r="C201" s="67"/>
      <c r="D201" s="23" t="str">
        <f aca="false">IFERROR(INDEX(分录回款!$E:$E,MATCH($L201,分录回款!$L:$L,0)),"")</f>
        <v>库存现金</v>
      </c>
      <c r="E201" s="23" t="str">
        <f aca="false">IFERROR(INDEX(分录回款!$F:$F,MATCH($L201,分录回款!$L:$L,0)),"")</f>
        <v/>
      </c>
      <c r="F201" s="68" t="n">
        <f aca="false">IFERROR(INDEX(分录回款!$H:$H,MATCH($L201,分录回款!$L:$L,0)),"")</f>
        <v>33713.92</v>
      </c>
      <c r="G201" s="69" t="str">
        <f aca="false">IFERROR(INDEX(分录回款!$I:$I,MATCH($L201,分录回款!$L:$L,0)),"")</f>
        <v/>
      </c>
      <c r="H201" s="23"/>
      <c r="I201" s="70"/>
      <c r="L201" s="71" t="n">
        <f aca="false">IF(助手回款!$R$15="",-1,助手回款!$R$15*100+(助手回款!$S$15-1)*6+1)</f>
        <v>1201</v>
      </c>
    </row>
    <row r="202" customFormat="false" ht="23.25" hidden="false" customHeight="true" outlineLevel="0" collapsed="false">
      <c r="B202" s="67" t="str">
        <f aca="false">""</f>
        <v/>
      </c>
      <c r="C202" s="67"/>
      <c r="D202" s="23" t="str">
        <f aca="false">IFERROR(INDEX(分录回款!$E:$E,MATCH($L202,分录回款!$L:$L,0)),"")</f>
        <v>应收账款</v>
      </c>
      <c r="E202" s="23" t="str">
        <f aca="false">IFERROR(INDEX(分录回款!$F:$F,MATCH($L202,分录回款!$L:$L,0)),"")</f>
        <v>聚合支付</v>
      </c>
      <c r="F202" s="68" t="str">
        <f aca="false">IFERROR(INDEX(分录回款!$H:$H,MATCH($L202,分录回款!$L:$L,0)),"")</f>
        <v/>
      </c>
      <c r="G202" s="69" t="n">
        <f aca="false">IFERROR(INDEX(分录回款!$I:$I,MATCH($L202,分录回款!$L:$L,0)),"")</f>
        <v>30920.38</v>
      </c>
      <c r="H202" s="23"/>
      <c r="I202" s="70"/>
      <c r="L202" s="71" t="n">
        <f aca="false">IF(助手回款!$R$15="",-1,助手回款!$R$15*100+(助手回款!$S$15-1)*6+2)</f>
        <v>1202</v>
      </c>
    </row>
    <row r="203" customFormat="false" ht="23.25" hidden="false" customHeight="true" outlineLevel="0" collapsed="false">
      <c r="B203" s="67" t="str">
        <f aca="false">""</f>
        <v/>
      </c>
      <c r="C203" s="67"/>
      <c r="D203" s="23" t="str">
        <f aca="false">IFERROR(INDEX(分录回款!$E:$E,MATCH($L203,分录回款!$L:$L,0)),"")</f>
        <v>应收账款</v>
      </c>
      <c r="E203" s="23" t="str">
        <f aca="false">IFERROR(INDEX(分录回款!$F:$F,MATCH($L203,分录回款!$L:$L,0)),"")</f>
        <v>医保</v>
      </c>
      <c r="F203" s="68" t="str">
        <f aca="false">IFERROR(INDEX(分录回款!$H:$H,MATCH($L203,分录回款!$L:$L,0)),"")</f>
        <v/>
      </c>
      <c r="G203" s="69" t="n">
        <f aca="false">IFERROR(INDEX(分录回款!$I:$I,MATCH($L203,分录回款!$L:$L,0)),"")</f>
        <v>2793.54</v>
      </c>
      <c r="H203" s="23"/>
      <c r="I203" s="70"/>
      <c r="L203" s="71" t="n">
        <f aca="false">IF(助手回款!$R$15="",-1,助手回款!$R$15*100+(助手回款!$S$15-1)*6+3)</f>
        <v>1203</v>
      </c>
    </row>
    <row r="204" customFormat="false" ht="23.25" hidden="false" customHeight="true" outlineLevel="0" collapsed="false">
      <c r="B204" s="67" t="str">
        <f aca="false">""</f>
        <v/>
      </c>
      <c r="C204" s="67"/>
      <c r="D204" s="23" t="str">
        <f aca="false">IFERROR(INDEX(分录回款!$E:$E,MATCH($L204,分录回款!$L:$L,0)),"")</f>
        <v/>
      </c>
      <c r="E204" s="23" t="str">
        <f aca="false">IFERROR(INDEX(分录回款!$F:$F,MATCH($L204,分录回款!$L:$L,0)),"")</f>
        <v/>
      </c>
      <c r="F204" s="68" t="str">
        <f aca="false">IFERROR(INDEX(分录回款!$H:$H,MATCH($L204,分录回款!$L:$L,0)),"")</f>
        <v/>
      </c>
      <c r="G204" s="69" t="str">
        <f aca="false">IFERROR(INDEX(分录回款!$I:$I,MATCH($L204,分录回款!$L:$L,0)),"")</f>
        <v/>
      </c>
      <c r="H204" s="23"/>
      <c r="I204" s="70"/>
      <c r="L204" s="71" t="n">
        <f aca="false">IF(助手回款!$R$15="",-1,助手回款!$R$15*100+(助手回款!$S$15-1)*6+4)</f>
        <v>1204</v>
      </c>
    </row>
    <row r="205" customFormat="false" ht="23.25" hidden="false" customHeight="true" outlineLevel="0" collapsed="false">
      <c r="B205" s="67" t="str">
        <f aca="false">""</f>
        <v/>
      </c>
      <c r="C205" s="67"/>
      <c r="D205" s="23" t="str">
        <f aca="false">IFERROR(INDEX(分录回款!$E:$E,MATCH($L205,分录回款!$L:$L,0)),"")</f>
        <v/>
      </c>
      <c r="E205" s="23" t="str">
        <f aca="false">IFERROR(INDEX(分录回款!$F:$F,MATCH($L205,分录回款!$L:$L,0)),"")</f>
        <v/>
      </c>
      <c r="F205" s="68" t="str">
        <f aca="false">IFERROR(INDEX(分录回款!$H:$H,MATCH($L205,分录回款!$L:$L,0)),"")</f>
        <v/>
      </c>
      <c r="G205" s="69" t="str">
        <f aca="false">IFERROR(INDEX(分录回款!$I:$I,MATCH($L205,分录回款!$L:$L,0)),"")</f>
        <v/>
      </c>
      <c r="H205" s="23"/>
      <c r="I205" s="70"/>
      <c r="L205" s="71" t="n">
        <f aca="false">IF(助手回款!$R$15="",-1,助手回款!$R$15*100+(助手回款!$S$15-1)*6+5)</f>
        <v>1205</v>
      </c>
    </row>
    <row r="206" customFormat="false" ht="23.25" hidden="false" customHeight="true" outlineLevel="0" collapsed="false">
      <c r="B206" s="67" t="str">
        <f aca="false">""</f>
        <v/>
      </c>
      <c r="C206" s="67"/>
      <c r="D206" s="23" t="str">
        <f aca="false">IFERROR(INDEX(分录回款!$E:$E,MATCH($L206,分录回款!$L:$L,0)),"")</f>
        <v/>
      </c>
      <c r="E206" s="23" t="str">
        <f aca="false">IFERROR(INDEX(分录回款!$F:$F,MATCH($L206,分录回款!$L:$L,0)),"")</f>
        <v/>
      </c>
      <c r="F206" s="68" t="str">
        <f aca="false">IFERROR(INDEX(分录回款!$H:$H,MATCH($L206,分录回款!$L:$L,0)),"")</f>
        <v/>
      </c>
      <c r="G206" s="69" t="str">
        <f aca="false">IFERROR(INDEX(分录回款!$I:$I,MATCH($L206,分录回款!$L:$L,0)),"")</f>
        <v/>
      </c>
      <c r="H206" s="23"/>
      <c r="I206" s="70"/>
      <c r="L206" s="71" t="n">
        <f aca="false">IF(助手回款!$R$15="",-1,助手回款!$R$15*100+(助手回款!$S$15-1)*6+6)</f>
        <v>1206</v>
      </c>
    </row>
    <row r="207" customFormat="false" ht="23.25" hidden="false" customHeight="true" outlineLevel="0" collapsed="false">
      <c r="B207" s="72" t="str">
        <f aca="false">IF(助手回款!$T$15=1,"合计：","")</f>
        <v>合计：</v>
      </c>
      <c r="C207" s="73" t="n">
        <f aca="false">IF(助手回款!$T$15=1,$F207,"")</f>
        <v>33713.92</v>
      </c>
      <c r="D207" s="74"/>
      <c r="E207" s="74"/>
      <c r="F207" s="75" t="n">
        <f aca="false">IF(助手回款!$T$15=1,INDEX(助手回款!$N$2:$N$66,助手回款!$R$15),"")</f>
        <v>33713.92</v>
      </c>
      <c r="G207" s="76" t="n">
        <f aca="false">IF(助手回款!$T$15=1,INDEX(助手回款!$O$2:$O$66,助手回款!$R$15),"")</f>
        <v>33713.92</v>
      </c>
      <c r="H207" s="74"/>
      <c r="I207" s="77"/>
    </row>
    <row r="208" customFormat="false" ht="6" hidden="false" customHeight="true" outlineLevel="0" collapsed="false"/>
    <row r="209" customFormat="false" ht="13.5" hidden="false" customHeight="false" outlineLevel="0" collapsed="false">
      <c r="B209" s="78" t="str">
        <f aca="false">IF(助手回款!$R$15&lt;&gt;"","会计主管：","")</f>
        <v>会计主管：</v>
      </c>
      <c r="D209" s="78" t="str">
        <f aca="false">IF(助手回款!$R$15&lt;&gt;"","会计：","")</f>
        <v>会计：</v>
      </c>
      <c r="E209" s="78" t="str">
        <f aca="false">IF(助手回款!$R$15&lt;&gt;"","出纳：","")</f>
        <v>出纳：</v>
      </c>
      <c r="F209" s="78" t="str">
        <f aca="false">IF(助手回款!$R$15&lt;&gt;"","复核：","")</f>
        <v>复核：</v>
      </c>
      <c r="G209" s="78" t="str">
        <f aca="false">IF(助手回款!$R$15&lt;&gt;"","制单：","")</f>
        <v>制单：</v>
      </c>
    </row>
    <row r="210" customFormat="false" ht="3" hidden="false" customHeight="true" outlineLevel="0" collapsed="false"/>
    <row r="211" customFormat="false" ht="19.5" hidden="false" customHeight="true" outlineLevel="0" collapsed="false">
      <c r="B211" s="53" t="str">
        <f aca="false">IF(助手回款!$R$16&lt;&gt;"","记  账  凭  证","")</f>
        <v>记  账  凭  证</v>
      </c>
      <c r="C211" s="53"/>
      <c r="D211" s="53"/>
      <c r="E211" s="53"/>
      <c r="F211" s="53"/>
      <c r="G211" s="53"/>
      <c r="H211" s="53"/>
      <c r="I211" s="53"/>
    </row>
    <row r="212" customFormat="false" ht="3" hidden="false" customHeight="true" outlineLevel="0" collapsed="false"/>
    <row r="213" customFormat="false" ht="15" hidden="false" customHeight="true" outlineLevel="0" collapsed="false">
      <c r="C213" s="56" t="n">
        <f aca="false">IF(助手回款!$R$16&lt;&gt;"",INDEX(助手回款!$B$2:$B$66,助手回款!$R$16),"")</f>
        <v>2014</v>
      </c>
      <c r="D213" s="57" t="n">
        <f aca="false">IF(助手回款!$R$16&lt;&gt;"",参数!$B$2,"")</f>
        <v>46234</v>
      </c>
      <c r="E213" s="57"/>
      <c r="F213" s="58" t="str">
        <f aca="false">IF(助手回款!$R$16&lt;&gt;"",INDEX(助手回款!$C$2:$C$66,助手回款!$R$16)&amp;"  字第 "&amp;IF(参数!$B$9="是",INDEX(助手回款!$P$2:$P$66,助手回款!$R$16),"　　　　")&amp;" 号"&amp;IF(INDEX(助手回款!$L$2:$L$66,助手回款!$R$16)&gt;1,"  (共"&amp;INDEX(助手回款!$L$2:$L$66,助手回款!$R$16)&amp;"页 第"&amp;助手回款!$S$16&amp;"页)",""),"")</f>
        <v>博桥店  字第 　　　　 号</v>
      </c>
      <c r="G213" s="58"/>
      <c r="H213" s="58"/>
      <c r="I213" s="58"/>
      <c r="M213" s="59" t="n">
        <f aca="false">IF(助手回款!$R$16="","",助手回款!$Q$16)</f>
        <v>15</v>
      </c>
      <c r="N213" s="60" t="n">
        <f aca="false">IF(助手回款!$R$16="","",INDEX(助手回款!$P$2:$P$66,助手回款!$R$16))</f>
        <v>13</v>
      </c>
      <c r="O213" s="55" t="str">
        <f aca="false">IF(助手回款!$R$16="","",INDEX(助手回款!$C$2:$C$66,助手回款!$R$16)&amp;"  字第 "&amp;INDEX(助手回款!$P$2:$P$66,助手回款!$R$16)&amp;" 号"&amp;IF(INDEX(助手回款!$L$2:$L$66,助手回款!$R$16)&gt;1,"  (共"&amp;INDEX(助手回款!$L$2:$L$66,助手回款!$R$16)&amp;"页 第"&amp;助手回款!$S$16&amp;"页)",""))</f>
        <v>博桥店  字第 13 号</v>
      </c>
    </row>
    <row r="214" customFormat="false" ht="12.75" hidden="false" customHeight="true" outlineLevel="0" collapsed="false">
      <c r="B214" s="61" t="str">
        <f aca="false">IF(助手回款!$R$16&lt;&gt;"","摘　　要","")</f>
        <v>摘　　要</v>
      </c>
      <c r="C214" s="61"/>
      <c r="D214" s="62" t="str">
        <f aca="false">IF(助手回款!$R$16&lt;&gt;"","科　　　　目","")</f>
        <v>科　　　　目</v>
      </c>
      <c r="E214" s="62"/>
      <c r="F214" s="61" t="str">
        <f aca="false">IF(助手回款!$R$16&lt;&gt;"","借 方 金 额","")</f>
        <v>借 方 金 额</v>
      </c>
      <c r="G214" s="62" t="str">
        <f aca="false">IF(助手回款!$R$16&lt;&gt;"","贷 方 金 额","")</f>
        <v>贷 方 金 额</v>
      </c>
      <c r="H214" s="63" t="str">
        <f aca="false">IF(助手回款!$R$16&lt;&gt;"","√","")</f>
        <v>√</v>
      </c>
      <c r="I214" s="64" t="str">
        <f aca="false">IF(助手回款!$R$16&lt;&gt;"","附单据  张","")</f>
        <v>附单据  张</v>
      </c>
    </row>
    <row r="215" customFormat="false" ht="12.75" hidden="false" customHeight="true" outlineLevel="0" collapsed="false">
      <c r="B215" s="61"/>
      <c r="C215" s="61"/>
      <c r="D215" s="23" t="str">
        <f aca="false">IF(助手回款!$R$16&lt;&gt;"","总 账 科 目","")</f>
        <v>总 账 科 目</v>
      </c>
      <c r="E215" s="23" t="str">
        <f aca="false">IF(助手回款!$R$16&lt;&gt;"","明 细 科 目","")</f>
        <v>明 细 科 目</v>
      </c>
      <c r="F215" s="65"/>
      <c r="G215" s="66"/>
      <c r="H215" s="63"/>
      <c r="I215" s="64"/>
    </row>
    <row r="216" customFormat="false" ht="23.25" hidden="false" customHeight="true" outlineLevel="0" collapsed="false">
      <c r="B216" s="67" t="str">
        <f aca="false">IFERROR(INDEX(分录回款!$M:$M,MATCH($L216,分录回款!$L:$L,0)),"")</f>
        <v>回款</v>
      </c>
      <c r="C216" s="67"/>
      <c r="D216" s="23" t="str">
        <f aca="false">IFERROR(INDEX(分录回款!$E:$E,MATCH($L216,分录回款!$L:$L,0)),"")</f>
        <v>库存现金</v>
      </c>
      <c r="E216" s="23" t="str">
        <f aca="false">IFERROR(INDEX(分录回款!$F:$F,MATCH($L216,分录回款!$L:$L,0)),"")</f>
        <v/>
      </c>
      <c r="F216" s="68" t="n">
        <f aca="false">IFERROR(INDEX(分录回款!$H:$H,MATCH($L216,分录回款!$L:$L,0)),"")</f>
        <v>57332.73</v>
      </c>
      <c r="G216" s="69" t="str">
        <f aca="false">IFERROR(INDEX(分录回款!$I:$I,MATCH($L216,分录回款!$L:$L,0)),"")</f>
        <v/>
      </c>
      <c r="H216" s="23"/>
      <c r="I216" s="70"/>
      <c r="L216" s="71" t="n">
        <f aca="false">IF(助手回款!$R$16="",-1,助手回款!$R$16*100+(助手回款!$S$16-1)*6+1)</f>
        <v>1301</v>
      </c>
    </row>
    <row r="217" customFormat="false" ht="23.25" hidden="false" customHeight="true" outlineLevel="0" collapsed="false">
      <c r="B217" s="67" t="str">
        <f aca="false">""</f>
        <v/>
      </c>
      <c r="C217" s="67"/>
      <c r="D217" s="23" t="str">
        <f aca="false">IFERROR(INDEX(分录回款!$E:$E,MATCH($L217,分录回款!$L:$L,0)),"")</f>
        <v>应收账款</v>
      </c>
      <c r="E217" s="23" t="str">
        <f aca="false">IFERROR(INDEX(分录回款!$F:$F,MATCH($L217,分录回款!$L:$L,0)),"")</f>
        <v>聚合支付</v>
      </c>
      <c r="F217" s="68" t="str">
        <f aca="false">IFERROR(INDEX(分录回款!$H:$H,MATCH($L217,分录回款!$L:$L,0)),"")</f>
        <v/>
      </c>
      <c r="G217" s="69" t="n">
        <f aca="false">IFERROR(INDEX(分录回款!$I:$I,MATCH($L217,分录回款!$L:$L,0)),"")</f>
        <v>47703.25</v>
      </c>
      <c r="H217" s="23"/>
      <c r="I217" s="70"/>
      <c r="L217" s="71" t="n">
        <f aca="false">IF(助手回款!$R$16="",-1,助手回款!$R$16*100+(助手回款!$S$16-1)*6+2)</f>
        <v>1302</v>
      </c>
    </row>
    <row r="218" customFormat="false" ht="23.25" hidden="false" customHeight="true" outlineLevel="0" collapsed="false">
      <c r="B218" s="67" t="str">
        <f aca="false">""</f>
        <v/>
      </c>
      <c r="C218" s="67"/>
      <c r="D218" s="23" t="str">
        <f aca="false">IFERROR(INDEX(分录回款!$E:$E,MATCH($L218,分录回款!$L:$L,0)),"")</f>
        <v>应收账款</v>
      </c>
      <c r="E218" s="23" t="str">
        <f aca="false">IFERROR(INDEX(分录回款!$F:$F,MATCH($L218,分录回款!$L:$L,0)),"")</f>
        <v>医保</v>
      </c>
      <c r="F218" s="68" t="str">
        <f aca="false">IFERROR(INDEX(分录回款!$H:$H,MATCH($L218,分录回款!$L:$L,0)),"")</f>
        <v/>
      </c>
      <c r="G218" s="69" t="n">
        <f aca="false">IFERROR(INDEX(分录回款!$I:$I,MATCH($L218,分录回款!$L:$L,0)),"")</f>
        <v>9629.48</v>
      </c>
      <c r="H218" s="23"/>
      <c r="I218" s="70"/>
      <c r="L218" s="71" t="n">
        <f aca="false">IF(助手回款!$R$16="",-1,助手回款!$R$16*100+(助手回款!$S$16-1)*6+3)</f>
        <v>1303</v>
      </c>
    </row>
    <row r="219" customFormat="false" ht="23.25" hidden="false" customHeight="true" outlineLevel="0" collapsed="false">
      <c r="B219" s="67" t="str">
        <f aca="false">""</f>
        <v/>
      </c>
      <c r="C219" s="67"/>
      <c r="D219" s="23" t="str">
        <f aca="false">IFERROR(INDEX(分录回款!$E:$E,MATCH($L219,分录回款!$L:$L,0)),"")</f>
        <v/>
      </c>
      <c r="E219" s="23" t="str">
        <f aca="false">IFERROR(INDEX(分录回款!$F:$F,MATCH($L219,分录回款!$L:$L,0)),"")</f>
        <v/>
      </c>
      <c r="F219" s="68" t="str">
        <f aca="false">IFERROR(INDEX(分录回款!$H:$H,MATCH($L219,分录回款!$L:$L,0)),"")</f>
        <v/>
      </c>
      <c r="G219" s="69" t="str">
        <f aca="false">IFERROR(INDEX(分录回款!$I:$I,MATCH($L219,分录回款!$L:$L,0)),"")</f>
        <v/>
      </c>
      <c r="H219" s="23"/>
      <c r="I219" s="70"/>
      <c r="L219" s="71" t="n">
        <f aca="false">IF(助手回款!$R$16="",-1,助手回款!$R$16*100+(助手回款!$S$16-1)*6+4)</f>
        <v>1304</v>
      </c>
    </row>
    <row r="220" customFormat="false" ht="23.25" hidden="false" customHeight="true" outlineLevel="0" collapsed="false">
      <c r="B220" s="67" t="str">
        <f aca="false">""</f>
        <v/>
      </c>
      <c r="C220" s="67"/>
      <c r="D220" s="23" t="str">
        <f aca="false">IFERROR(INDEX(分录回款!$E:$E,MATCH($L220,分录回款!$L:$L,0)),"")</f>
        <v/>
      </c>
      <c r="E220" s="23" t="str">
        <f aca="false">IFERROR(INDEX(分录回款!$F:$F,MATCH($L220,分录回款!$L:$L,0)),"")</f>
        <v/>
      </c>
      <c r="F220" s="68" t="str">
        <f aca="false">IFERROR(INDEX(分录回款!$H:$H,MATCH($L220,分录回款!$L:$L,0)),"")</f>
        <v/>
      </c>
      <c r="G220" s="69" t="str">
        <f aca="false">IFERROR(INDEX(分录回款!$I:$I,MATCH($L220,分录回款!$L:$L,0)),"")</f>
        <v/>
      </c>
      <c r="H220" s="23"/>
      <c r="I220" s="70"/>
      <c r="L220" s="71" t="n">
        <f aca="false">IF(助手回款!$R$16="",-1,助手回款!$R$16*100+(助手回款!$S$16-1)*6+5)</f>
        <v>1305</v>
      </c>
    </row>
    <row r="221" customFormat="false" ht="23.25" hidden="false" customHeight="true" outlineLevel="0" collapsed="false">
      <c r="B221" s="67" t="str">
        <f aca="false">""</f>
        <v/>
      </c>
      <c r="C221" s="67"/>
      <c r="D221" s="23" t="str">
        <f aca="false">IFERROR(INDEX(分录回款!$E:$E,MATCH($L221,分录回款!$L:$L,0)),"")</f>
        <v/>
      </c>
      <c r="E221" s="23" t="str">
        <f aca="false">IFERROR(INDEX(分录回款!$F:$F,MATCH($L221,分录回款!$L:$L,0)),"")</f>
        <v/>
      </c>
      <c r="F221" s="68" t="str">
        <f aca="false">IFERROR(INDEX(分录回款!$H:$H,MATCH($L221,分录回款!$L:$L,0)),"")</f>
        <v/>
      </c>
      <c r="G221" s="69" t="str">
        <f aca="false">IFERROR(INDEX(分录回款!$I:$I,MATCH($L221,分录回款!$L:$L,0)),"")</f>
        <v/>
      </c>
      <c r="H221" s="23"/>
      <c r="I221" s="70"/>
      <c r="L221" s="71" t="n">
        <f aca="false">IF(助手回款!$R$16="",-1,助手回款!$R$16*100+(助手回款!$S$16-1)*6+6)</f>
        <v>1306</v>
      </c>
    </row>
    <row r="222" customFormat="false" ht="23.25" hidden="false" customHeight="true" outlineLevel="0" collapsed="false">
      <c r="B222" s="72" t="str">
        <f aca="false">IF(助手回款!$T$16=1,"合计：","")</f>
        <v>合计：</v>
      </c>
      <c r="C222" s="73" t="n">
        <f aca="false">IF(助手回款!$T$16=1,$F222,"")</f>
        <v>57332.73</v>
      </c>
      <c r="D222" s="74"/>
      <c r="E222" s="74"/>
      <c r="F222" s="75" t="n">
        <f aca="false">IF(助手回款!$T$16=1,INDEX(助手回款!$N$2:$N$66,助手回款!$R$16),"")</f>
        <v>57332.73</v>
      </c>
      <c r="G222" s="76" t="n">
        <f aca="false">IF(助手回款!$T$16=1,INDEX(助手回款!$O$2:$O$66,助手回款!$R$16),"")</f>
        <v>57332.73</v>
      </c>
      <c r="H222" s="74"/>
      <c r="I222" s="77"/>
    </row>
    <row r="223" customFormat="false" ht="6" hidden="false" customHeight="true" outlineLevel="0" collapsed="false"/>
    <row r="224" customFormat="false" ht="13.5" hidden="false" customHeight="false" outlineLevel="0" collapsed="false">
      <c r="B224" s="78" t="str">
        <f aca="false">IF(助手回款!$R$16&lt;&gt;"","会计主管：","")</f>
        <v>会计主管：</v>
      </c>
      <c r="D224" s="78" t="str">
        <f aca="false">IF(助手回款!$R$16&lt;&gt;"","会计：","")</f>
        <v>会计：</v>
      </c>
      <c r="E224" s="78" t="str">
        <f aca="false">IF(助手回款!$R$16&lt;&gt;"","出纳：","")</f>
        <v>出纳：</v>
      </c>
      <c r="F224" s="78" t="str">
        <f aca="false">IF(助手回款!$R$16&lt;&gt;"","复核：","")</f>
        <v>复核：</v>
      </c>
      <c r="G224" s="78" t="str">
        <f aca="false">IF(助手回款!$R$16&lt;&gt;"","制单：","")</f>
        <v>制单：</v>
      </c>
    </row>
    <row r="225" customFormat="false" ht="3" hidden="false" customHeight="true" outlineLevel="0" collapsed="false"/>
    <row r="226" customFormat="false" ht="19.5" hidden="false" customHeight="true" outlineLevel="0" collapsed="false">
      <c r="B226" s="53" t="str">
        <f aca="false">IF(助手回款!$R$17&lt;&gt;"","记  账  凭  证","")</f>
        <v>记  账  凭  证</v>
      </c>
      <c r="C226" s="53"/>
      <c r="D226" s="53"/>
      <c r="E226" s="53"/>
      <c r="F226" s="53"/>
      <c r="G226" s="53"/>
      <c r="H226" s="53"/>
      <c r="I226" s="53"/>
    </row>
    <row r="227" customFormat="false" ht="3" hidden="false" customHeight="true" outlineLevel="0" collapsed="false"/>
    <row r="228" customFormat="false" ht="15" hidden="false" customHeight="true" outlineLevel="0" collapsed="false">
      <c r="C228" s="56" t="n">
        <f aca="false">IF(助手回款!$R$17&lt;&gt;"",INDEX(助手回款!$B$2:$B$66,助手回款!$R$17),"")</f>
        <v>2017</v>
      </c>
      <c r="D228" s="57" t="n">
        <f aca="false">IF(助手回款!$R$17&lt;&gt;"",参数!$B$2,"")</f>
        <v>46234</v>
      </c>
      <c r="E228" s="57"/>
      <c r="F228" s="58" t="str">
        <f aca="false">IF(助手回款!$R$17&lt;&gt;"",INDEX(助手回款!$C$2:$C$66,助手回款!$R$17)&amp;"  字第 "&amp;IF(参数!$B$9="是",INDEX(助手回款!$P$2:$P$66,助手回款!$R$17),"　　　　")&amp;" 号"&amp;IF(INDEX(助手回款!$L$2:$L$66,助手回款!$R$17)&gt;1,"  (共"&amp;INDEX(助手回款!$L$2:$L$66,助手回款!$R$17)&amp;"页 第"&amp;助手回款!$S$17&amp;"页)",""),"")</f>
        <v>博天店  字第 　　　　 号</v>
      </c>
      <c r="G228" s="58"/>
      <c r="H228" s="58"/>
      <c r="I228" s="58"/>
      <c r="M228" s="59" t="n">
        <f aca="false">IF(助手回款!$R$17="","",助手回款!$Q$17)</f>
        <v>16</v>
      </c>
      <c r="N228" s="60" t="n">
        <f aca="false">IF(助手回款!$R$17="","",INDEX(助手回款!$P$2:$P$66,助手回款!$R$17))</f>
        <v>14</v>
      </c>
      <c r="O228" s="55" t="str">
        <f aca="false">IF(助手回款!$R$17="","",INDEX(助手回款!$C$2:$C$66,助手回款!$R$17)&amp;"  字第 "&amp;INDEX(助手回款!$P$2:$P$66,助手回款!$R$17)&amp;" 号"&amp;IF(INDEX(助手回款!$L$2:$L$66,助手回款!$R$17)&gt;1,"  (共"&amp;INDEX(助手回款!$L$2:$L$66,助手回款!$R$17)&amp;"页 第"&amp;助手回款!$S$17&amp;"页)",""))</f>
        <v>博天店  字第 14 号</v>
      </c>
    </row>
    <row r="229" customFormat="false" ht="12.75" hidden="false" customHeight="true" outlineLevel="0" collapsed="false">
      <c r="B229" s="61" t="str">
        <f aca="false">IF(助手回款!$R$17&lt;&gt;"","摘　　要","")</f>
        <v>摘　　要</v>
      </c>
      <c r="C229" s="61"/>
      <c r="D229" s="62" t="str">
        <f aca="false">IF(助手回款!$R$17&lt;&gt;"","科　　　　目","")</f>
        <v>科　　　　目</v>
      </c>
      <c r="E229" s="62"/>
      <c r="F229" s="61" t="str">
        <f aca="false">IF(助手回款!$R$17&lt;&gt;"","借 方 金 额","")</f>
        <v>借 方 金 额</v>
      </c>
      <c r="G229" s="62" t="str">
        <f aca="false">IF(助手回款!$R$17&lt;&gt;"","贷 方 金 额","")</f>
        <v>贷 方 金 额</v>
      </c>
      <c r="H229" s="63" t="str">
        <f aca="false">IF(助手回款!$R$17&lt;&gt;"","√","")</f>
        <v>√</v>
      </c>
      <c r="I229" s="64" t="str">
        <f aca="false">IF(助手回款!$R$17&lt;&gt;"","附单据  张","")</f>
        <v>附单据  张</v>
      </c>
    </row>
    <row r="230" customFormat="false" ht="12.75" hidden="false" customHeight="true" outlineLevel="0" collapsed="false">
      <c r="B230" s="61"/>
      <c r="C230" s="61"/>
      <c r="D230" s="23" t="str">
        <f aca="false">IF(助手回款!$R$17&lt;&gt;"","总 账 科 目","")</f>
        <v>总 账 科 目</v>
      </c>
      <c r="E230" s="23" t="str">
        <f aca="false">IF(助手回款!$R$17&lt;&gt;"","明 细 科 目","")</f>
        <v>明 细 科 目</v>
      </c>
      <c r="F230" s="65"/>
      <c r="G230" s="66"/>
      <c r="H230" s="63"/>
      <c r="I230" s="64"/>
    </row>
    <row r="231" customFormat="false" ht="23.25" hidden="false" customHeight="true" outlineLevel="0" collapsed="false">
      <c r="B231" s="67" t="str">
        <f aca="false">IFERROR(INDEX(分录回款!$M:$M,MATCH($L231,分录回款!$L:$L,0)),"")</f>
        <v>回款</v>
      </c>
      <c r="C231" s="67"/>
      <c r="D231" s="23" t="str">
        <f aca="false">IFERROR(INDEX(分录回款!$E:$E,MATCH($L231,分录回款!$L:$L,0)),"")</f>
        <v>库存现金</v>
      </c>
      <c r="E231" s="23" t="str">
        <f aca="false">IFERROR(INDEX(分录回款!$F:$F,MATCH($L231,分录回款!$L:$L,0)),"")</f>
        <v/>
      </c>
      <c r="F231" s="68" t="n">
        <f aca="false">IFERROR(INDEX(分录回款!$H:$H,MATCH($L231,分录回款!$L:$L,0)),"")</f>
        <v>2307.81</v>
      </c>
      <c r="G231" s="69" t="str">
        <f aca="false">IFERROR(INDEX(分录回款!$I:$I,MATCH($L231,分录回款!$L:$L,0)),"")</f>
        <v/>
      </c>
      <c r="H231" s="23"/>
      <c r="I231" s="70"/>
      <c r="L231" s="71" t="n">
        <f aca="false">IF(助手回款!$R$17="",-1,助手回款!$R$17*100+(助手回款!$S$17-1)*6+1)</f>
        <v>1501</v>
      </c>
    </row>
    <row r="232" customFormat="false" ht="23.25" hidden="false" customHeight="true" outlineLevel="0" collapsed="false">
      <c r="B232" s="67" t="str">
        <f aca="false">""</f>
        <v/>
      </c>
      <c r="C232" s="67"/>
      <c r="D232" s="23" t="str">
        <f aca="false">IFERROR(INDEX(分录回款!$E:$E,MATCH($L232,分录回款!$L:$L,0)),"")</f>
        <v>财务费用</v>
      </c>
      <c r="E232" s="23" t="str">
        <f aca="false">IFERROR(INDEX(分录回款!$F:$F,MATCH($L232,分录回款!$L:$L,0)),"")</f>
        <v>手续费</v>
      </c>
      <c r="F232" s="68" t="n">
        <f aca="false">IFERROR(INDEX(分录回款!$H:$H,MATCH($L232,分录回款!$L:$L,0)),"")</f>
        <v>29.32</v>
      </c>
      <c r="G232" s="69" t="str">
        <f aca="false">IFERROR(INDEX(分录回款!$I:$I,MATCH($L232,分录回款!$L:$L,0)),"")</f>
        <v/>
      </c>
      <c r="H232" s="23"/>
      <c r="I232" s="70"/>
      <c r="L232" s="71" t="n">
        <f aca="false">IF(助手回款!$R$17="",-1,助手回款!$R$17*100+(助手回款!$S$17-1)*6+2)</f>
        <v>1502</v>
      </c>
    </row>
    <row r="233" customFormat="false" ht="23.25" hidden="false" customHeight="true" outlineLevel="0" collapsed="false">
      <c r="B233" s="67" t="str">
        <f aca="false">""</f>
        <v/>
      </c>
      <c r="C233" s="67"/>
      <c r="D233" s="23" t="str">
        <f aca="false">IFERROR(INDEX(分录回款!$E:$E,MATCH($L233,分录回款!$L:$L,0)),"")</f>
        <v>应收账款</v>
      </c>
      <c r="E233" s="23" t="str">
        <f aca="false">IFERROR(INDEX(分录回款!$F:$F,MATCH($L233,分录回款!$L:$L,0)),"")</f>
        <v>聚合支付</v>
      </c>
      <c r="F233" s="68" t="str">
        <f aca="false">IFERROR(INDEX(分录回款!$H:$H,MATCH($L233,分录回款!$L:$L,0)),"")</f>
        <v/>
      </c>
      <c r="G233" s="69" t="n">
        <f aca="false">IFERROR(INDEX(分录回款!$I:$I,MATCH($L233,分录回款!$L:$L,0)),"")</f>
        <v>870.21</v>
      </c>
      <c r="H233" s="23"/>
      <c r="I233" s="70"/>
      <c r="L233" s="71" t="n">
        <f aca="false">IF(助手回款!$R$17="",-1,助手回款!$R$17*100+(助手回款!$S$17-1)*6+3)</f>
        <v>1503</v>
      </c>
    </row>
    <row r="234" customFormat="false" ht="23.25" hidden="false" customHeight="true" outlineLevel="0" collapsed="false">
      <c r="B234" s="67" t="str">
        <f aca="false">""</f>
        <v/>
      </c>
      <c r="C234" s="67"/>
      <c r="D234" s="23" t="str">
        <f aca="false">IFERROR(INDEX(分录回款!$E:$E,MATCH($L234,分录回款!$L:$L,0)),"")</f>
        <v>应收账款</v>
      </c>
      <c r="E234" s="23" t="str">
        <f aca="false">IFERROR(INDEX(分录回款!$F:$F,MATCH($L234,分录回款!$L:$L,0)),"")</f>
        <v>亲情卡</v>
      </c>
      <c r="F234" s="68" t="str">
        <f aca="false">IFERROR(INDEX(分录回款!$H:$H,MATCH($L234,分录回款!$L:$L,0)),"")</f>
        <v/>
      </c>
      <c r="G234" s="69" t="n">
        <f aca="false">IFERROR(INDEX(分录回款!$I:$I,MATCH($L234,分录回款!$L:$L,0)),"")</f>
        <v>1466.92</v>
      </c>
      <c r="H234" s="23"/>
      <c r="I234" s="70"/>
      <c r="L234" s="71" t="n">
        <f aca="false">IF(助手回款!$R$17="",-1,助手回款!$R$17*100+(助手回款!$S$17-1)*6+4)</f>
        <v>1504</v>
      </c>
    </row>
    <row r="235" customFormat="false" ht="23.25" hidden="false" customHeight="true" outlineLevel="0" collapsed="false">
      <c r="B235" s="67" t="str">
        <f aca="false">""</f>
        <v/>
      </c>
      <c r="C235" s="67"/>
      <c r="D235" s="23" t="str">
        <f aca="false">IFERROR(INDEX(分录回款!$E:$E,MATCH($L235,分录回款!$L:$L,0)),"")</f>
        <v/>
      </c>
      <c r="E235" s="23" t="str">
        <f aca="false">IFERROR(INDEX(分录回款!$F:$F,MATCH($L235,分录回款!$L:$L,0)),"")</f>
        <v/>
      </c>
      <c r="F235" s="68" t="str">
        <f aca="false">IFERROR(INDEX(分录回款!$H:$H,MATCH($L235,分录回款!$L:$L,0)),"")</f>
        <v/>
      </c>
      <c r="G235" s="69" t="str">
        <f aca="false">IFERROR(INDEX(分录回款!$I:$I,MATCH($L235,分录回款!$L:$L,0)),"")</f>
        <v/>
      </c>
      <c r="H235" s="23"/>
      <c r="I235" s="70"/>
      <c r="L235" s="71" t="n">
        <f aca="false">IF(助手回款!$R$17="",-1,助手回款!$R$17*100+(助手回款!$S$17-1)*6+5)</f>
        <v>1505</v>
      </c>
    </row>
    <row r="236" customFormat="false" ht="23.25" hidden="false" customHeight="true" outlineLevel="0" collapsed="false">
      <c r="B236" s="67" t="str">
        <f aca="false">""</f>
        <v/>
      </c>
      <c r="C236" s="67"/>
      <c r="D236" s="23" t="str">
        <f aca="false">IFERROR(INDEX(分录回款!$E:$E,MATCH($L236,分录回款!$L:$L,0)),"")</f>
        <v/>
      </c>
      <c r="E236" s="23" t="str">
        <f aca="false">IFERROR(INDEX(分录回款!$F:$F,MATCH($L236,分录回款!$L:$L,0)),"")</f>
        <v/>
      </c>
      <c r="F236" s="68" t="str">
        <f aca="false">IFERROR(INDEX(分录回款!$H:$H,MATCH($L236,分录回款!$L:$L,0)),"")</f>
        <v/>
      </c>
      <c r="G236" s="69" t="str">
        <f aca="false">IFERROR(INDEX(分录回款!$I:$I,MATCH($L236,分录回款!$L:$L,0)),"")</f>
        <v/>
      </c>
      <c r="H236" s="23"/>
      <c r="I236" s="70"/>
      <c r="L236" s="71" t="n">
        <f aca="false">IF(助手回款!$R$17="",-1,助手回款!$R$17*100+(助手回款!$S$17-1)*6+6)</f>
        <v>1506</v>
      </c>
    </row>
    <row r="237" customFormat="false" ht="23.25" hidden="false" customHeight="true" outlineLevel="0" collapsed="false">
      <c r="B237" s="72" t="str">
        <f aca="false">IF(助手回款!$T$17=1,"合计：","")</f>
        <v>合计：</v>
      </c>
      <c r="C237" s="73" t="n">
        <f aca="false">IF(助手回款!$T$17=1,$F237,"")</f>
        <v>2337.13</v>
      </c>
      <c r="D237" s="74"/>
      <c r="E237" s="74"/>
      <c r="F237" s="75" t="n">
        <f aca="false">IF(助手回款!$T$17=1,INDEX(助手回款!$N$2:$N$66,助手回款!$R$17),"")</f>
        <v>2337.13</v>
      </c>
      <c r="G237" s="76" t="n">
        <f aca="false">IF(助手回款!$T$17=1,INDEX(助手回款!$O$2:$O$66,助手回款!$R$17),"")</f>
        <v>2337.13</v>
      </c>
      <c r="H237" s="74"/>
      <c r="I237" s="77"/>
    </row>
    <row r="238" customFormat="false" ht="6" hidden="false" customHeight="true" outlineLevel="0" collapsed="false"/>
    <row r="239" customFormat="false" ht="13.5" hidden="false" customHeight="false" outlineLevel="0" collapsed="false">
      <c r="B239" s="78" t="str">
        <f aca="false">IF(助手回款!$R$17&lt;&gt;"","会计主管：","")</f>
        <v>会计主管：</v>
      </c>
      <c r="D239" s="78" t="str">
        <f aca="false">IF(助手回款!$R$17&lt;&gt;"","会计：","")</f>
        <v>会计：</v>
      </c>
      <c r="E239" s="78" t="str">
        <f aca="false">IF(助手回款!$R$17&lt;&gt;"","出纳：","")</f>
        <v>出纳：</v>
      </c>
      <c r="F239" s="78" t="str">
        <f aca="false">IF(助手回款!$R$17&lt;&gt;"","复核：","")</f>
        <v>复核：</v>
      </c>
      <c r="G239" s="78" t="str">
        <f aca="false">IF(助手回款!$R$17&lt;&gt;"","制单：","")</f>
        <v>制单：</v>
      </c>
    </row>
    <row r="240" customFormat="false" ht="3" hidden="false" customHeight="true" outlineLevel="0" collapsed="false"/>
    <row r="241" customFormat="false" ht="19.5" hidden="false" customHeight="true" outlineLevel="0" collapsed="false">
      <c r="B241" s="53" t="str">
        <f aca="false">IF(助手回款!$R$18&lt;&gt;"","记  账  凭  证","")</f>
        <v>记  账  凭  证</v>
      </c>
      <c r="C241" s="53"/>
      <c r="D241" s="53"/>
      <c r="E241" s="53"/>
      <c r="F241" s="53"/>
      <c r="G241" s="53"/>
      <c r="H241" s="53"/>
      <c r="I241" s="53"/>
    </row>
    <row r="242" customFormat="false" ht="3" hidden="false" customHeight="true" outlineLevel="0" collapsed="false"/>
    <row r="243" customFormat="false" ht="15" hidden="false" customHeight="true" outlineLevel="0" collapsed="false">
      <c r="C243" s="56" t="n">
        <f aca="false">IF(助手回款!$R$18&lt;&gt;"",INDEX(助手回款!$B$2:$B$66,助手回款!$R$18),"")</f>
        <v>2018</v>
      </c>
      <c r="D243" s="57" t="n">
        <f aca="false">IF(助手回款!$R$18&lt;&gt;"",参数!$B$2,"")</f>
        <v>46234</v>
      </c>
      <c r="E243" s="57"/>
      <c r="F243" s="58" t="str">
        <f aca="false">IF(助手回款!$R$18&lt;&gt;"",INDEX(助手回款!$C$2:$C$66,助手回款!$R$18)&amp;"  字第 "&amp;IF(参数!$B$9="是",INDEX(助手回款!$P$2:$P$66,助手回款!$R$18),"　　　　")&amp;" 号"&amp;IF(INDEX(助手回款!$L$2:$L$66,助手回款!$R$18)&gt;1,"  (共"&amp;INDEX(助手回款!$L$2:$L$66,助手回款!$R$18)&amp;"页 第"&amp;助手回款!$S$18&amp;"页)",""),"")</f>
        <v>魏家庄店  字第 　　　　 号</v>
      </c>
      <c r="G243" s="58"/>
      <c r="H243" s="58"/>
      <c r="I243" s="58"/>
      <c r="M243" s="59" t="n">
        <f aca="false">IF(助手回款!$R$18="","",助手回款!$Q$18)</f>
        <v>17</v>
      </c>
      <c r="N243" s="60" t="n">
        <f aca="false">IF(助手回款!$R$18="","",INDEX(助手回款!$P$2:$P$66,助手回款!$R$18))</f>
        <v>15</v>
      </c>
      <c r="O243" s="55" t="str">
        <f aca="false">IF(助手回款!$R$18="","",INDEX(助手回款!$C$2:$C$66,助手回款!$R$18)&amp;"  字第 "&amp;INDEX(助手回款!$P$2:$P$66,助手回款!$R$18)&amp;" 号"&amp;IF(INDEX(助手回款!$L$2:$L$66,助手回款!$R$18)&gt;1,"  (共"&amp;INDEX(助手回款!$L$2:$L$66,助手回款!$R$18)&amp;"页 第"&amp;助手回款!$S$18&amp;"页)",""))</f>
        <v>魏家庄店  字第 15 号</v>
      </c>
    </row>
    <row r="244" customFormat="false" ht="12.75" hidden="false" customHeight="true" outlineLevel="0" collapsed="false">
      <c r="B244" s="61" t="str">
        <f aca="false">IF(助手回款!$R$18&lt;&gt;"","摘　　要","")</f>
        <v>摘　　要</v>
      </c>
      <c r="C244" s="61"/>
      <c r="D244" s="62" t="str">
        <f aca="false">IF(助手回款!$R$18&lt;&gt;"","科　　　　目","")</f>
        <v>科　　　　目</v>
      </c>
      <c r="E244" s="62"/>
      <c r="F244" s="61" t="str">
        <f aca="false">IF(助手回款!$R$18&lt;&gt;"","借 方 金 额","")</f>
        <v>借 方 金 额</v>
      </c>
      <c r="G244" s="62" t="str">
        <f aca="false">IF(助手回款!$R$18&lt;&gt;"","贷 方 金 额","")</f>
        <v>贷 方 金 额</v>
      </c>
      <c r="H244" s="63" t="str">
        <f aca="false">IF(助手回款!$R$18&lt;&gt;"","√","")</f>
        <v>√</v>
      </c>
      <c r="I244" s="64" t="str">
        <f aca="false">IF(助手回款!$R$18&lt;&gt;"","附单据  张","")</f>
        <v>附单据  张</v>
      </c>
    </row>
    <row r="245" customFormat="false" ht="12.75" hidden="false" customHeight="true" outlineLevel="0" collapsed="false">
      <c r="B245" s="61"/>
      <c r="C245" s="61"/>
      <c r="D245" s="23" t="str">
        <f aca="false">IF(助手回款!$R$18&lt;&gt;"","总 账 科 目","")</f>
        <v>总 账 科 目</v>
      </c>
      <c r="E245" s="23" t="str">
        <f aca="false">IF(助手回款!$R$18&lt;&gt;"","明 细 科 目","")</f>
        <v>明 细 科 目</v>
      </c>
      <c r="F245" s="65"/>
      <c r="G245" s="66"/>
      <c r="H245" s="63"/>
      <c r="I245" s="64"/>
    </row>
    <row r="246" customFormat="false" ht="23.25" hidden="false" customHeight="true" outlineLevel="0" collapsed="false">
      <c r="B246" s="67" t="str">
        <f aca="false">IFERROR(INDEX(分录回款!$M:$M,MATCH($L246,分录回款!$L:$L,0)),"")</f>
        <v>回款</v>
      </c>
      <c r="C246" s="67"/>
      <c r="D246" s="23" t="str">
        <f aca="false">IFERROR(INDEX(分录回款!$E:$E,MATCH($L246,分录回款!$L:$L,0)),"")</f>
        <v>库存现金</v>
      </c>
      <c r="E246" s="23" t="str">
        <f aca="false">IFERROR(INDEX(分录回款!$F:$F,MATCH($L246,分录回款!$L:$L,0)),"")</f>
        <v/>
      </c>
      <c r="F246" s="68" t="n">
        <f aca="false">IFERROR(INDEX(分录回款!$H:$H,MATCH($L246,分录回款!$L:$L,0)),"")</f>
        <v>29208</v>
      </c>
      <c r="G246" s="69" t="str">
        <f aca="false">IFERROR(INDEX(分录回款!$I:$I,MATCH($L246,分录回款!$L:$L,0)),"")</f>
        <v/>
      </c>
      <c r="H246" s="23"/>
      <c r="I246" s="70"/>
      <c r="L246" s="71" t="n">
        <f aca="false">IF(助手回款!$R$18="",-1,助手回款!$R$18*100+(助手回款!$S$18-1)*6+1)</f>
        <v>1601</v>
      </c>
    </row>
    <row r="247" customFormat="false" ht="23.25" hidden="false" customHeight="true" outlineLevel="0" collapsed="false">
      <c r="B247" s="67" t="str">
        <f aca="false">""</f>
        <v/>
      </c>
      <c r="C247" s="67"/>
      <c r="D247" s="23" t="str">
        <f aca="false">IFERROR(INDEX(分录回款!$E:$E,MATCH($L247,分录回款!$L:$L,0)),"")</f>
        <v>应收账款</v>
      </c>
      <c r="E247" s="23" t="str">
        <f aca="false">IFERROR(INDEX(分录回款!$F:$F,MATCH($L247,分录回款!$L:$L,0)),"")</f>
        <v>聚合支付</v>
      </c>
      <c r="F247" s="68" t="str">
        <f aca="false">IFERROR(INDEX(分录回款!$H:$H,MATCH($L247,分录回款!$L:$L,0)),"")</f>
        <v/>
      </c>
      <c r="G247" s="69" t="n">
        <f aca="false">IFERROR(INDEX(分录回款!$I:$I,MATCH($L247,分录回款!$L:$L,0)),"")</f>
        <v>24661.76</v>
      </c>
      <c r="H247" s="23"/>
      <c r="I247" s="70"/>
      <c r="L247" s="71" t="n">
        <f aca="false">IF(助手回款!$R$18="",-1,助手回款!$R$18*100+(助手回款!$S$18-1)*6+2)</f>
        <v>1602</v>
      </c>
    </row>
    <row r="248" customFormat="false" ht="23.25" hidden="false" customHeight="true" outlineLevel="0" collapsed="false">
      <c r="B248" s="67" t="str">
        <f aca="false">""</f>
        <v/>
      </c>
      <c r="C248" s="67"/>
      <c r="D248" s="23" t="str">
        <f aca="false">IFERROR(INDEX(分录回款!$E:$E,MATCH($L248,分录回款!$L:$L,0)),"")</f>
        <v>应收账款</v>
      </c>
      <c r="E248" s="23" t="str">
        <f aca="false">IFERROR(INDEX(分录回款!$F:$F,MATCH($L248,分录回款!$L:$L,0)),"")</f>
        <v>医保</v>
      </c>
      <c r="F248" s="68" t="str">
        <f aca="false">IFERROR(INDEX(分录回款!$H:$H,MATCH($L248,分录回款!$L:$L,0)),"")</f>
        <v/>
      </c>
      <c r="G248" s="69" t="n">
        <f aca="false">IFERROR(INDEX(分录回款!$I:$I,MATCH($L248,分录回款!$L:$L,0)),"")</f>
        <v>4546.24</v>
      </c>
      <c r="H248" s="23"/>
      <c r="I248" s="70"/>
      <c r="L248" s="71" t="n">
        <f aca="false">IF(助手回款!$R$18="",-1,助手回款!$R$18*100+(助手回款!$S$18-1)*6+3)</f>
        <v>1603</v>
      </c>
    </row>
    <row r="249" customFormat="false" ht="23.25" hidden="false" customHeight="true" outlineLevel="0" collapsed="false">
      <c r="B249" s="67" t="str">
        <f aca="false">""</f>
        <v/>
      </c>
      <c r="C249" s="67"/>
      <c r="D249" s="23" t="str">
        <f aca="false">IFERROR(INDEX(分录回款!$E:$E,MATCH($L249,分录回款!$L:$L,0)),"")</f>
        <v/>
      </c>
      <c r="E249" s="23" t="str">
        <f aca="false">IFERROR(INDEX(分录回款!$F:$F,MATCH($L249,分录回款!$L:$L,0)),"")</f>
        <v/>
      </c>
      <c r="F249" s="68" t="str">
        <f aca="false">IFERROR(INDEX(分录回款!$H:$H,MATCH($L249,分录回款!$L:$L,0)),"")</f>
        <v/>
      </c>
      <c r="G249" s="69" t="str">
        <f aca="false">IFERROR(INDEX(分录回款!$I:$I,MATCH($L249,分录回款!$L:$L,0)),"")</f>
        <v/>
      </c>
      <c r="H249" s="23"/>
      <c r="I249" s="70"/>
      <c r="L249" s="71" t="n">
        <f aca="false">IF(助手回款!$R$18="",-1,助手回款!$R$18*100+(助手回款!$S$18-1)*6+4)</f>
        <v>1604</v>
      </c>
    </row>
    <row r="250" customFormat="false" ht="23.25" hidden="false" customHeight="true" outlineLevel="0" collapsed="false">
      <c r="B250" s="67" t="str">
        <f aca="false">""</f>
        <v/>
      </c>
      <c r="C250" s="67"/>
      <c r="D250" s="23" t="str">
        <f aca="false">IFERROR(INDEX(分录回款!$E:$E,MATCH($L250,分录回款!$L:$L,0)),"")</f>
        <v/>
      </c>
      <c r="E250" s="23" t="str">
        <f aca="false">IFERROR(INDEX(分录回款!$F:$F,MATCH($L250,分录回款!$L:$L,0)),"")</f>
        <v/>
      </c>
      <c r="F250" s="68" t="str">
        <f aca="false">IFERROR(INDEX(分录回款!$H:$H,MATCH($L250,分录回款!$L:$L,0)),"")</f>
        <v/>
      </c>
      <c r="G250" s="69" t="str">
        <f aca="false">IFERROR(INDEX(分录回款!$I:$I,MATCH($L250,分录回款!$L:$L,0)),"")</f>
        <v/>
      </c>
      <c r="H250" s="23"/>
      <c r="I250" s="70"/>
      <c r="L250" s="71" t="n">
        <f aca="false">IF(助手回款!$R$18="",-1,助手回款!$R$18*100+(助手回款!$S$18-1)*6+5)</f>
        <v>1605</v>
      </c>
    </row>
    <row r="251" customFormat="false" ht="23.25" hidden="false" customHeight="true" outlineLevel="0" collapsed="false">
      <c r="B251" s="67" t="str">
        <f aca="false">""</f>
        <v/>
      </c>
      <c r="C251" s="67"/>
      <c r="D251" s="23" t="str">
        <f aca="false">IFERROR(INDEX(分录回款!$E:$E,MATCH($L251,分录回款!$L:$L,0)),"")</f>
        <v/>
      </c>
      <c r="E251" s="23" t="str">
        <f aca="false">IFERROR(INDEX(分录回款!$F:$F,MATCH($L251,分录回款!$L:$L,0)),"")</f>
        <v/>
      </c>
      <c r="F251" s="68" t="str">
        <f aca="false">IFERROR(INDEX(分录回款!$H:$H,MATCH($L251,分录回款!$L:$L,0)),"")</f>
        <v/>
      </c>
      <c r="G251" s="69" t="str">
        <f aca="false">IFERROR(INDEX(分录回款!$I:$I,MATCH($L251,分录回款!$L:$L,0)),"")</f>
        <v/>
      </c>
      <c r="H251" s="23"/>
      <c r="I251" s="70"/>
      <c r="L251" s="71" t="n">
        <f aca="false">IF(助手回款!$R$18="",-1,助手回款!$R$18*100+(助手回款!$S$18-1)*6+6)</f>
        <v>1606</v>
      </c>
    </row>
    <row r="252" customFormat="false" ht="23.25" hidden="false" customHeight="true" outlineLevel="0" collapsed="false">
      <c r="B252" s="72" t="str">
        <f aca="false">IF(助手回款!$T$18=1,"合计：","")</f>
        <v>合计：</v>
      </c>
      <c r="C252" s="73" t="n">
        <f aca="false">IF(助手回款!$T$18=1,$F252,"")</f>
        <v>29208</v>
      </c>
      <c r="D252" s="74"/>
      <c r="E252" s="74"/>
      <c r="F252" s="75" t="n">
        <f aca="false">IF(助手回款!$T$18=1,INDEX(助手回款!$N$2:$N$66,助手回款!$R$18),"")</f>
        <v>29208</v>
      </c>
      <c r="G252" s="76" t="n">
        <f aca="false">IF(助手回款!$T$18=1,INDEX(助手回款!$O$2:$O$66,助手回款!$R$18),"")</f>
        <v>29208</v>
      </c>
      <c r="H252" s="74"/>
      <c r="I252" s="77"/>
    </row>
    <row r="253" customFormat="false" ht="6" hidden="false" customHeight="true" outlineLevel="0" collapsed="false"/>
    <row r="254" customFormat="false" ht="13.5" hidden="false" customHeight="false" outlineLevel="0" collapsed="false">
      <c r="B254" s="78" t="str">
        <f aca="false">IF(助手回款!$R$18&lt;&gt;"","会计主管：","")</f>
        <v>会计主管：</v>
      </c>
      <c r="D254" s="78" t="str">
        <f aca="false">IF(助手回款!$R$18&lt;&gt;"","会计：","")</f>
        <v>会计：</v>
      </c>
      <c r="E254" s="78" t="str">
        <f aca="false">IF(助手回款!$R$18&lt;&gt;"","出纳：","")</f>
        <v>出纳：</v>
      </c>
      <c r="F254" s="78" t="str">
        <f aca="false">IF(助手回款!$R$18&lt;&gt;"","复核：","")</f>
        <v>复核：</v>
      </c>
      <c r="G254" s="78" t="str">
        <f aca="false">IF(助手回款!$R$18&lt;&gt;"","制单：","")</f>
        <v>制单：</v>
      </c>
    </row>
    <row r="255" customFormat="false" ht="3" hidden="false" customHeight="true" outlineLevel="0" collapsed="false"/>
    <row r="256" customFormat="false" ht="19.5" hidden="false" customHeight="true" outlineLevel="0" collapsed="false">
      <c r="B256" s="53" t="str">
        <f aca="false">IF(助手回款!$R$19&lt;&gt;"","记  账  凭  证","")</f>
        <v>记  账  凭  证</v>
      </c>
      <c r="C256" s="53"/>
      <c r="D256" s="53"/>
      <c r="E256" s="53"/>
      <c r="F256" s="53"/>
      <c r="G256" s="53"/>
      <c r="H256" s="53"/>
      <c r="I256" s="53"/>
    </row>
    <row r="257" customFormat="false" ht="3" hidden="false" customHeight="true" outlineLevel="0" collapsed="false"/>
    <row r="258" customFormat="false" ht="15" hidden="false" customHeight="true" outlineLevel="0" collapsed="false">
      <c r="C258" s="56" t="n">
        <f aca="false">IF(助手回款!$R$19&lt;&gt;"",INDEX(助手回款!$B$2:$B$66,助手回款!$R$19),"")</f>
        <v>2022</v>
      </c>
      <c r="D258" s="57" t="n">
        <f aca="false">IF(助手回款!$R$19&lt;&gt;"",参数!$B$2,"")</f>
        <v>46234</v>
      </c>
      <c r="E258" s="57"/>
      <c r="F258" s="58" t="str">
        <f aca="false">IF(助手回款!$R$19&lt;&gt;"",INDEX(助手回款!$C$2:$C$66,助手回款!$R$19)&amp;"  字第 "&amp;IF(参数!$B$9="是",INDEX(助手回款!$P$2:$P$66,助手回款!$R$19),"　　　　")&amp;" 号"&amp;IF(INDEX(助手回款!$L$2:$L$66,助手回款!$R$19)&gt;1,"  (共"&amp;INDEX(助手回款!$L$2:$L$66,助手回款!$R$19)&amp;"页 第"&amp;助手回款!$S$19&amp;"页)",""),"")</f>
        <v>北楼店  字第 　　　　 号</v>
      </c>
      <c r="G258" s="58"/>
      <c r="H258" s="58"/>
      <c r="I258" s="58"/>
      <c r="M258" s="59" t="n">
        <f aca="false">IF(助手回款!$R$19="","",助手回款!$Q$19)</f>
        <v>18</v>
      </c>
      <c r="N258" s="60" t="n">
        <f aca="false">IF(助手回款!$R$19="","",INDEX(助手回款!$P$2:$P$66,助手回款!$R$19))</f>
        <v>16</v>
      </c>
      <c r="O258" s="55" t="str">
        <f aca="false">IF(助手回款!$R$19="","",INDEX(助手回款!$C$2:$C$66,助手回款!$R$19)&amp;"  字第 "&amp;INDEX(助手回款!$P$2:$P$66,助手回款!$R$19)&amp;" 号"&amp;IF(INDEX(助手回款!$L$2:$L$66,助手回款!$R$19)&gt;1,"  (共"&amp;INDEX(助手回款!$L$2:$L$66,助手回款!$R$19)&amp;"页 第"&amp;助手回款!$S$19&amp;"页)",""))</f>
        <v>北楼店  字第 16 号</v>
      </c>
    </row>
    <row r="259" customFormat="false" ht="12.75" hidden="false" customHeight="true" outlineLevel="0" collapsed="false">
      <c r="B259" s="61" t="str">
        <f aca="false">IF(助手回款!$R$19&lt;&gt;"","摘　　要","")</f>
        <v>摘　　要</v>
      </c>
      <c r="C259" s="61"/>
      <c r="D259" s="62" t="str">
        <f aca="false">IF(助手回款!$R$19&lt;&gt;"","科　　　　目","")</f>
        <v>科　　　　目</v>
      </c>
      <c r="E259" s="62"/>
      <c r="F259" s="61" t="str">
        <f aca="false">IF(助手回款!$R$19&lt;&gt;"","借 方 金 额","")</f>
        <v>借 方 金 额</v>
      </c>
      <c r="G259" s="62" t="str">
        <f aca="false">IF(助手回款!$R$19&lt;&gt;"","贷 方 金 额","")</f>
        <v>贷 方 金 额</v>
      </c>
      <c r="H259" s="63" t="str">
        <f aca="false">IF(助手回款!$R$19&lt;&gt;"","√","")</f>
        <v>√</v>
      </c>
      <c r="I259" s="64" t="str">
        <f aca="false">IF(助手回款!$R$19&lt;&gt;"","附单据  张","")</f>
        <v>附单据  张</v>
      </c>
    </row>
    <row r="260" customFormat="false" ht="12.75" hidden="false" customHeight="true" outlineLevel="0" collapsed="false">
      <c r="B260" s="61"/>
      <c r="C260" s="61"/>
      <c r="D260" s="23" t="str">
        <f aca="false">IF(助手回款!$R$19&lt;&gt;"","总 账 科 目","")</f>
        <v>总 账 科 目</v>
      </c>
      <c r="E260" s="23" t="str">
        <f aca="false">IF(助手回款!$R$19&lt;&gt;"","明 细 科 目","")</f>
        <v>明 细 科 目</v>
      </c>
      <c r="F260" s="65"/>
      <c r="G260" s="66"/>
      <c r="H260" s="63"/>
      <c r="I260" s="64"/>
    </row>
    <row r="261" customFormat="false" ht="23.25" hidden="false" customHeight="true" outlineLevel="0" collapsed="false">
      <c r="B261" s="67" t="str">
        <f aca="false">IFERROR(INDEX(分录回款!$M:$M,MATCH($L261,分录回款!$L:$L,0)),"")</f>
        <v>回款</v>
      </c>
      <c r="C261" s="67"/>
      <c r="D261" s="23" t="str">
        <f aca="false">IFERROR(INDEX(分录回款!$E:$E,MATCH($L261,分录回款!$L:$L,0)),"")</f>
        <v>库存现金</v>
      </c>
      <c r="E261" s="23" t="str">
        <f aca="false">IFERROR(INDEX(分录回款!$F:$F,MATCH($L261,分录回款!$L:$L,0)),"")</f>
        <v/>
      </c>
      <c r="F261" s="68" t="n">
        <f aca="false">IFERROR(INDEX(分录回款!$H:$H,MATCH($L261,分录回款!$L:$L,0)),"")</f>
        <v>58435.76</v>
      </c>
      <c r="G261" s="69" t="str">
        <f aca="false">IFERROR(INDEX(分录回款!$I:$I,MATCH($L261,分录回款!$L:$L,0)),"")</f>
        <v/>
      </c>
      <c r="H261" s="23"/>
      <c r="I261" s="70"/>
      <c r="L261" s="71" t="n">
        <f aca="false">IF(助手回款!$R$19="",-1,助手回款!$R$19*100+(助手回款!$S$19-1)*6+1)</f>
        <v>1701</v>
      </c>
    </row>
    <row r="262" customFormat="false" ht="23.25" hidden="false" customHeight="true" outlineLevel="0" collapsed="false">
      <c r="B262" s="67" t="str">
        <f aca="false">""</f>
        <v/>
      </c>
      <c r="C262" s="67"/>
      <c r="D262" s="23" t="str">
        <f aca="false">IFERROR(INDEX(分录回款!$E:$E,MATCH($L262,分录回款!$L:$L,0)),"")</f>
        <v>应收账款</v>
      </c>
      <c r="E262" s="23" t="str">
        <f aca="false">IFERROR(INDEX(分录回款!$F:$F,MATCH($L262,分录回款!$L:$L,0)),"")</f>
        <v>聚合支付</v>
      </c>
      <c r="F262" s="68" t="str">
        <f aca="false">IFERROR(INDEX(分录回款!$H:$H,MATCH($L262,分录回款!$L:$L,0)),"")</f>
        <v/>
      </c>
      <c r="G262" s="69" t="n">
        <f aca="false">IFERROR(INDEX(分录回款!$I:$I,MATCH($L262,分录回款!$L:$L,0)),"")</f>
        <v>48343.27</v>
      </c>
      <c r="H262" s="23"/>
      <c r="I262" s="70"/>
      <c r="L262" s="71" t="n">
        <f aca="false">IF(助手回款!$R$19="",-1,助手回款!$R$19*100+(助手回款!$S$19-1)*6+2)</f>
        <v>1702</v>
      </c>
    </row>
    <row r="263" customFormat="false" ht="23.25" hidden="false" customHeight="true" outlineLevel="0" collapsed="false">
      <c r="B263" s="67" t="str">
        <f aca="false">""</f>
        <v/>
      </c>
      <c r="C263" s="67"/>
      <c r="D263" s="23" t="str">
        <f aca="false">IFERROR(INDEX(分录回款!$E:$E,MATCH($L263,分录回款!$L:$L,0)),"")</f>
        <v>应收账款</v>
      </c>
      <c r="E263" s="23" t="str">
        <f aca="false">IFERROR(INDEX(分录回款!$F:$F,MATCH($L263,分录回款!$L:$L,0)),"")</f>
        <v>医保</v>
      </c>
      <c r="F263" s="68" t="str">
        <f aca="false">IFERROR(INDEX(分录回款!$H:$H,MATCH($L263,分录回款!$L:$L,0)),"")</f>
        <v/>
      </c>
      <c r="G263" s="69" t="n">
        <f aca="false">IFERROR(INDEX(分录回款!$I:$I,MATCH($L263,分录回款!$L:$L,0)),"")</f>
        <v>10092.49</v>
      </c>
      <c r="H263" s="23"/>
      <c r="I263" s="70"/>
      <c r="L263" s="71" t="n">
        <f aca="false">IF(助手回款!$R$19="",-1,助手回款!$R$19*100+(助手回款!$S$19-1)*6+3)</f>
        <v>1703</v>
      </c>
    </row>
    <row r="264" customFormat="false" ht="23.25" hidden="false" customHeight="true" outlineLevel="0" collapsed="false">
      <c r="B264" s="67" t="str">
        <f aca="false">""</f>
        <v/>
      </c>
      <c r="C264" s="67"/>
      <c r="D264" s="23" t="str">
        <f aca="false">IFERROR(INDEX(分录回款!$E:$E,MATCH($L264,分录回款!$L:$L,0)),"")</f>
        <v/>
      </c>
      <c r="E264" s="23" t="str">
        <f aca="false">IFERROR(INDEX(分录回款!$F:$F,MATCH($L264,分录回款!$L:$L,0)),"")</f>
        <v/>
      </c>
      <c r="F264" s="68" t="str">
        <f aca="false">IFERROR(INDEX(分录回款!$H:$H,MATCH($L264,分录回款!$L:$L,0)),"")</f>
        <v/>
      </c>
      <c r="G264" s="69" t="str">
        <f aca="false">IFERROR(INDEX(分录回款!$I:$I,MATCH($L264,分录回款!$L:$L,0)),"")</f>
        <v/>
      </c>
      <c r="H264" s="23"/>
      <c r="I264" s="70"/>
      <c r="L264" s="71" t="n">
        <f aca="false">IF(助手回款!$R$19="",-1,助手回款!$R$19*100+(助手回款!$S$19-1)*6+4)</f>
        <v>1704</v>
      </c>
    </row>
    <row r="265" customFormat="false" ht="23.25" hidden="false" customHeight="true" outlineLevel="0" collapsed="false">
      <c r="B265" s="67" t="str">
        <f aca="false">""</f>
        <v/>
      </c>
      <c r="C265" s="67"/>
      <c r="D265" s="23" t="str">
        <f aca="false">IFERROR(INDEX(分录回款!$E:$E,MATCH($L265,分录回款!$L:$L,0)),"")</f>
        <v/>
      </c>
      <c r="E265" s="23" t="str">
        <f aca="false">IFERROR(INDEX(分录回款!$F:$F,MATCH($L265,分录回款!$L:$L,0)),"")</f>
        <v/>
      </c>
      <c r="F265" s="68" t="str">
        <f aca="false">IFERROR(INDEX(分录回款!$H:$H,MATCH($L265,分录回款!$L:$L,0)),"")</f>
        <v/>
      </c>
      <c r="G265" s="69" t="str">
        <f aca="false">IFERROR(INDEX(分录回款!$I:$I,MATCH($L265,分录回款!$L:$L,0)),"")</f>
        <v/>
      </c>
      <c r="H265" s="23"/>
      <c r="I265" s="70"/>
      <c r="L265" s="71" t="n">
        <f aca="false">IF(助手回款!$R$19="",-1,助手回款!$R$19*100+(助手回款!$S$19-1)*6+5)</f>
        <v>1705</v>
      </c>
    </row>
    <row r="266" customFormat="false" ht="23.25" hidden="false" customHeight="true" outlineLevel="0" collapsed="false">
      <c r="B266" s="67" t="str">
        <f aca="false">""</f>
        <v/>
      </c>
      <c r="C266" s="67"/>
      <c r="D266" s="23" t="str">
        <f aca="false">IFERROR(INDEX(分录回款!$E:$E,MATCH($L266,分录回款!$L:$L,0)),"")</f>
        <v/>
      </c>
      <c r="E266" s="23" t="str">
        <f aca="false">IFERROR(INDEX(分录回款!$F:$F,MATCH($L266,分录回款!$L:$L,0)),"")</f>
        <v/>
      </c>
      <c r="F266" s="68" t="str">
        <f aca="false">IFERROR(INDEX(分录回款!$H:$H,MATCH($L266,分录回款!$L:$L,0)),"")</f>
        <v/>
      </c>
      <c r="G266" s="69" t="str">
        <f aca="false">IFERROR(INDEX(分录回款!$I:$I,MATCH($L266,分录回款!$L:$L,0)),"")</f>
        <v/>
      </c>
      <c r="H266" s="23"/>
      <c r="I266" s="70"/>
      <c r="L266" s="71" t="n">
        <f aca="false">IF(助手回款!$R$19="",-1,助手回款!$R$19*100+(助手回款!$S$19-1)*6+6)</f>
        <v>1706</v>
      </c>
    </row>
    <row r="267" customFormat="false" ht="23.25" hidden="false" customHeight="true" outlineLevel="0" collapsed="false">
      <c r="B267" s="72" t="str">
        <f aca="false">IF(助手回款!$T$19=1,"合计：","")</f>
        <v>合计：</v>
      </c>
      <c r="C267" s="73" t="n">
        <f aca="false">IF(助手回款!$T$19=1,$F267,"")</f>
        <v>58435.76</v>
      </c>
      <c r="D267" s="74"/>
      <c r="E267" s="74"/>
      <c r="F267" s="75" t="n">
        <f aca="false">IF(助手回款!$T$19=1,INDEX(助手回款!$N$2:$N$66,助手回款!$R$19),"")</f>
        <v>58435.76</v>
      </c>
      <c r="G267" s="76" t="n">
        <f aca="false">IF(助手回款!$T$19=1,INDEX(助手回款!$O$2:$O$66,助手回款!$R$19),"")</f>
        <v>58435.76</v>
      </c>
      <c r="H267" s="74"/>
      <c r="I267" s="77"/>
    </row>
    <row r="268" customFormat="false" ht="6" hidden="false" customHeight="true" outlineLevel="0" collapsed="false"/>
    <row r="269" customFormat="false" ht="13.5" hidden="false" customHeight="false" outlineLevel="0" collapsed="false">
      <c r="B269" s="78" t="str">
        <f aca="false">IF(助手回款!$R$19&lt;&gt;"","会计主管：","")</f>
        <v>会计主管：</v>
      </c>
      <c r="D269" s="78" t="str">
        <f aca="false">IF(助手回款!$R$19&lt;&gt;"","会计：","")</f>
        <v>会计：</v>
      </c>
      <c r="E269" s="78" t="str">
        <f aca="false">IF(助手回款!$R$19&lt;&gt;"","出纳：","")</f>
        <v>出纳：</v>
      </c>
      <c r="F269" s="78" t="str">
        <f aca="false">IF(助手回款!$R$19&lt;&gt;"","复核：","")</f>
        <v>复核：</v>
      </c>
      <c r="G269" s="78" t="str">
        <f aca="false">IF(助手回款!$R$19&lt;&gt;"","制单：","")</f>
        <v>制单：</v>
      </c>
    </row>
    <row r="270" customFormat="false" ht="3" hidden="false" customHeight="true" outlineLevel="0" collapsed="false"/>
    <row r="271" customFormat="false" ht="19.5" hidden="false" customHeight="true" outlineLevel="0" collapsed="false">
      <c r="B271" s="53" t="str">
        <f aca="false">IF(助手回款!$R$20&lt;&gt;"","记  账  凭  证","")</f>
        <v>记  账  凭  证</v>
      </c>
      <c r="C271" s="53"/>
      <c r="D271" s="53"/>
      <c r="E271" s="53"/>
      <c r="F271" s="53"/>
      <c r="G271" s="53"/>
      <c r="H271" s="53"/>
      <c r="I271" s="53"/>
    </row>
    <row r="272" customFormat="false" ht="3" hidden="false" customHeight="true" outlineLevel="0" collapsed="false"/>
    <row r="273" customFormat="false" ht="15" hidden="false" customHeight="true" outlineLevel="0" collapsed="false">
      <c r="C273" s="56" t="n">
        <f aca="false">IF(助手回款!$R$20&lt;&gt;"",INDEX(助手回款!$B$2:$B$66,助手回款!$R$20),"")</f>
        <v>2023</v>
      </c>
      <c r="D273" s="57" t="n">
        <f aca="false">IF(助手回款!$R$20&lt;&gt;"",参数!$B$2,"")</f>
        <v>46234</v>
      </c>
      <c r="E273" s="57"/>
      <c r="F273" s="58" t="str">
        <f aca="false">IF(助手回款!$R$20&lt;&gt;"",INDEX(助手回款!$C$2:$C$66,助手回款!$R$20)&amp;"  字第 "&amp;IF(参数!$B$9="是",INDEX(助手回款!$P$2:$P$66,助手回款!$R$20),"　　　　")&amp;" 号"&amp;IF(INDEX(助手回款!$L$2:$L$66,助手回款!$R$20)&gt;1,"  (共"&amp;INDEX(助手回款!$L$2:$L$66,助手回款!$R$20)&amp;"页 第"&amp;助手回款!$S$20&amp;"页)",""),"")</f>
        <v>尹村店  字第 　　　　 号</v>
      </c>
      <c r="G273" s="58"/>
      <c r="H273" s="58"/>
      <c r="I273" s="58"/>
      <c r="M273" s="59" t="n">
        <f aca="false">IF(助手回款!$R$20="","",助手回款!$Q$20)</f>
        <v>19</v>
      </c>
      <c r="N273" s="60" t="n">
        <f aca="false">IF(助手回款!$R$20="","",INDEX(助手回款!$P$2:$P$66,助手回款!$R$20))</f>
        <v>17</v>
      </c>
      <c r="O273" s="55" t="str">
        <f aca="false">IF(助手回款!$R$20="","",INDEX(助手回款!$C$2:$C$66,助手回款!$R$20)&amp;"  字第 "&amp;INDEX(助手回款!$P$2:$P$66,助手回款!$R$20)&amp;" 号"&amp;IF(INDEX(助手回款!$L$2:$L$66,助手回款!$R$20)&gt;1,"  (共"&amp;INDEX(助手回款!$L$2:$L$66,助手回款!$R$20)&amp;"页 第"&amp;助手回款!$S$20&amp;"页)",""))</f>
        <v>尹村店  字第 17 号</v>
      </c>
    </row>
    <row r="274" customFormat="false" ht="12.75" hidden="false" customHeight="true" outlineLevel="0" collapsed="false">
      <c r="B274" s="61" t="str">
        <f aca="false">IF(助手回款!$R$20&lt;&gt;"","摘　　要","")</f>
        <v>摘　　要</v>
      </c>
      <c r="C274" s="61"/>
      <c r="D274" s="62" t="str">
        <f aca="false">IF(助手回款!$R$20&lt;&gt;"","科　　　　目","")</f>
        <v>科　　　　目</v>
      </c>
      <c r="E274" s="62"/>
      <c r="F274" s="61" t="str">
        <f aca="false">IF(助手回款!$R$20&lt;&gt;"","借 方 金 额","")</f>
        <v>借 方 金 额</v>
      </c>
      <c r="G274" s="62" t="str">
        <f aca="false">IF(助手回款!$R$20&lt;&gt;"","贷 方 金 额","")</f>
        <v>贷 方 金 额</v>
      </c>
      <c r="H274" s="63" t="str">
        <f aca="false">IF(助手回款!$R$20&lt;&gt;"","√","")</f>
        <v>√</v>
      </c>
      <c r="I274" s="64" t="str">
        <f aca="false">IF(助手回款!$R$20&lt;&gt;"","附单据  张","")</f>
        <v>附单据  张</v>
      </c>
    </row>
    <row r="275" customFormat="false" ht="12.75" hidden="false" customHeight="true" outlineLevel="0" collapsed="false">
      <c r="B275" s="61"/>
      <c r="C275" s="61"/>
      <c r="D275" s="23" t="str">
        <f aca="false">IF(助手回款!$R$20&lt;&gt;"","总 账 科 目","")</f>
        <v>总 账 科 目</v>
      </c>
      <c r="E275" s="23" t="str">
        <f aca="false">IF(助手回款!$R$20&lt;&gt;"","明 细 科 目","")</f>
        <v>明 细 科 目</v>
      </c>
      <c r="F275" s="65"/>
      <c r="G275" s="66"/>
      <c r="H275" s="63"/>
      <c r="I275" s="64"/>
    </row>
    <row r="276" customFormat="false" ht="23.25" hidden="false" customHeight="true" outlineLevel="0" collapsed="false">
      <c r="B276" s="67" t="str">
        <f aca="false">IFERROR(INDEX(分录回款!$M:$M,MATCH($L276,分录回款!$L:$L,0)),"")</f>
        <v>回款</v>
      </c>
      <c r="C276" s="67"/>
      <c r="D276" s="23" t="str">
        <f aca="false">IFERROR(INDEX(分录回款!$E:$E,MATCH($L276,分录回款!$L:$L,0)),"")</f>
        <v>库存现金</v>
      </c>
      <c r="E276" s="23" t="str">
        <f aca="false">IFERROR(INDEX(分录回款!$F:$F,MATCH($L276,分录回款!$L:$L,0)),"")</f>
        <v/>
      </c>
      <c r="F276" s="68" t="n">
        <f aca="false">IFERROR(INDEX(分录回款!$H:$H,MATCH($L276,分录回款!$L:$L,0)),"")</f>
        <v>39148.34</v>
      </c>
      <c r="G276" s="69" t="str">
        <f aca="false">IFERROR(INDEX(分录回款!$I:$I,MATCH($L276,分录回款!$L:$L,0)),"")</f>
        <v/>
      </c>
      <c r="H276" s="23"/>
      <c r="I276" s="70"/>
      <c r="L276" s="71" t="n">
        <f aca="false">IF(助手回款!$R$20="",-1,助手回款!$R$20*100+(助手回款!$S$20-1)*6+1)</f>
        <v>1801</v>
      </c>
    </row>
    <row r="277" customFormat="false" ht="23.25" hidden="false" customHeight="true" outlineLevel="0" collapsed="false">
      <c r="B277" s="67" t="str">
        <f aca="false">""</f>
        <v/>
      </c>
      <c r="C277" s="67"/>
      <c r="D277" s="23" t="str">
        <f aca="false">IFERROR(INDEX(分录回款!$E:$E,MATCH($L277,分录回款!$L:$L,0)),"")</f>
        <v>应收账款</v>
      </c>
      <c r="E277" s="23" t="str">
        <f aca="false">IFERROR(INDEX(分录回款!$F:$F,MATCH($L277,分录回款!$L:$L,0)),"")</f>
        <v>聚合支付</v>
      </c>
      <c r="F277" s="68" t="str">
        <f aca="false">IFERROR(INDEX(分录回款!$H:$H,MATCH($L277,分录回款!$L:$L,0)),"")</f>
        <v/>
      </c>
      <c r="G277" s="69" t="n">
        <f aca="false">IFERROR(INDEX(分录回款!$I:$I,MATCH($L277,分录回款!$L:$L,0)),"")</f>
        <v>29969.07</v>
      </c>
      <c r="H277" s="23"/>
      <c r="I277" s="70"/>
      <c r="L277" s="71" t="n">
        <f aca="false">IF(助手回款!$R$20="",-1,助手回款!$R$20*100+(助手回款!$S$20-1)*6+2)</f>
        <v>1802</v>
      </c>
    </row>
    <row r="278" customFormat="false" ht="23.25" hidden="false" customHeight="true" outlineLevel="0" collapsed="false">
      <c r="B278" s="67" t="str">
        <f aca="false">""</f>
        <v/>
      </c>
      <c r="C278" s="67"/>
      <c r="D278" s="23" t="str">
        <f aca="false">IFERROR(INDEX(分录回款!$E:$E,MATCH($L278,分录回款!$L:$L,0)),"")</f>
        <v>应收账款</v>
      </c>
      <c r="E278" s="23" t="str">
        <f aca="false">IFERROR(INDEX(分录回款!$F:$F,MATCH($L278,分录回款!$L:$L,0)),"")</f>
        <v>医保</v>
      </c>
      <c r="F278" s="68" t="str">
        <f aca="false">IFERROR(INDEX(分录回款!$H:$H,MATCH($L278,分录回款!$L:$L,0)),"")</f>
        <v/>
      </c>
      <c r="G278" s="69" t="n">
        <f aca="false">IFERROR(INDEX(分录回款!$I:$I,MATCH($L278,分录回款!$L:$L,0)),"")</f>
        <v>9179.27</v>
      </c>
      <c r="H278" s="23"/>
      <c r="I278" s="70"/>
      <c r="L278" s="71" t="n">
        <f aca="false">IF(助手回款!$R$20="",-1,助手回款!$R$20*100+(助手回款!$S$20-1)*6+3)</f>
        <v>1803</v>
      </c>
    </row>
    <row r="279" customFormat="false" ht="23.25" hidden="false" customHeight="true" outlineLevel="0" collapsed="false">
      <c r="B279" s="67" t="str">
        <f aca="false">""</f>
        <v/>
      </c>
      <c r="C279" s="67"/>
      <c r="D279" s="23" t="str">
        <f aca="false">IFERROR(INDEX(分录回款!$E:$E,MATCH($L279,分录回款!$L:$L,0)),"")</f>
        <v/>
      </c>
      <c r="E279" s="23" t="str">
        <f aca="false">IFERROR(INDEX(分录回款!$F:$F,MATCH($L279,分录回款!$L:$L,0)),"")</f>
        <v/>
      </c>
      <c r="F279" s="68" t="str">
        <f aca="false">IFERROR(INDEX(分录回款!$H:$H,MATCH($L279,分录回款!$L:$L,0)),"")</f>
        <v/>
      </c>
      <c r="G279" s="69" t="str">
        <f aca="false">IFERROR(INDEX(分录回款!$I:$I,MATCH($L279,分录回款!$L:$L,0)),"")</f>
        <v/>
      </c>
      <c r="H279" s="23"/>
      <c r="I279" s="70"/>
      <c r="L279" s="71" t="n">
        <f aca="false">IF(助手回款!$R$20="",-1,助手回款!$R$20*100+(助手回款!$S$20-1)*6+4)</f>
        <v>1804</v>
      </c>
    </row>
    <row r="280" customFormat="false" ht="23.25" hidden="false" customHeight="true" outlineLevel="0" collapsed="false">
      <c r="B280" s="67" t="str">
        <f aca="false">""</f>
        <v/>
      </c>
      <c r="C280" s="67"/>
      <c r="D280" s="23" t="str">
        <f aca="false">IFERROR(INDEX(分录回款!$E:$E,MATCH($L280,分录回款!$L:$L,0)),"")</f>
        <v/>
      </c>
      <c r="E280" s="23" t="str">
        <f aca="false">IFERROR(INDEX(分录回款!$F:$F,MATCH($L280,分录回款!$L:$L,0)),"")</f>
        <v/>
      </c>
      <c r="F280" s="68" t="str">
        <f aca="false">IFERROR(INDEX(分录回款!$H:$H,MATCH($L280,分录回款!$L:$L,0)),"")</f>
        <v/>
      </c>
      <c r="G280" s="69" t="str">
        <f aca="false">IFERROR(INDEX(分录回款!$I:$I,MATCH($L280,分录回款!$L:$L,0)),"")</f>
        <v/>
      </c>
      <c r="H280" s="23"/>
      <c r="I280" s="70"/>
      <c r="L280" s="71" t="n">
        <f aca="false">IF(助手回款!$R$20="",-1,助手回款!$R$20*100+(助手回款!$S$20-1)*6+5)</f>
        <v>1805</v>
      </c>
    </row>
    <row r="281" customFormat="false" ht="23.25" hidden="false" customHeight="true" outlineLevel="0" collapsed="false">
      <c r="B281" s="67" t="str">
        <f aca="false">""</f>
        <v/>
      </c>
      <c r="C281" s="67"/>
      <c r="D281" s="23" t="str">
        <f aca="false">IFERROR(INDEX(分录回款!$E:$E,MATCH($L281,分录回款!$L:$L,0)),"")</f>
        <v/>
      </c>
      <c r="E281" s="23" t="str">
        <f aca="false">IFERROR(INDEX(分录回款!$F:$F,MATCH($L281,分录回款!$L:$L,0)),"")</f>
        <v/>
      </c>
      <c r="F281" s="68" t="str">
        <f aca="false">IFERROR(INDEX(分录回款!$H:$H,MATCH($L281,分录回款!$L:$L,0)),"")</f>
        <v/>
      </c>
      <c r="G281" s="69" t="str">
        <f aca="false">IFERROR(INDEX(分录回款!$I:$I,MATCH($L281,分录回款!$L:$L,0)),"")</f>
        <v/>
      </c>
      <c r="H281" s="23"/>
      <c r="I281" s="70"/>
      <c r="L281" s="71" t="n">
        <f aca="false">IF(助手回款!$R$20="",-1,助手回款!$R$20*100+(助手回款!$S$20-1)*6+6)</f>
        <v>1806</v>
      </c>
    </row>
    <row r="282" customFormat="false" ht="23.25" hidden="false" customHeight="true" outlineLevel="0" collapsed="false">
      <c r="B282" s="72" t="str">
        <f aca="false">IF(助手回款!$T$20=1,"合计：","")</f>
        <v>合计：</v>
      </c>
      <c r="C282" s="73" t="n">
        <f aca="false">IF(助手回款!$T$20=1,$F282,"")</f>
        <v>39148.34</v>
      </c>
      <c r="D282" s="74"/>
      <c r="E282" s="74"/>
      <c r="F282" s="75" t="n">
        <f aca="false">IF(助手回款!$T$20=1,INDEX(助手回款!$N$2:$N$66,助手回款!$R$20),"")</f>
        <v>39148.34</v>
      </c>
      <c r="G282" s="76" t="n">
        <f aca="false">IF(助手回款!$T$20=1,INDEX(助手回款!$O$2:$O$66,助手回款!$R$20),"")</f>
        <v>39148.34</v>
      </c>
      <c r="H282" s="74"/>
      <c r="I282" s="77"/>
    </row>
    <row r="283" customFormat="false" ht="6" hidden="false" customHeight="true" outlineLevel="0" collapsed="false"/>
    <row r="284" customFormat="false" ht="13.5" hidden="false" customHeight="false" outlineLevel="0" collapsed="false">
      <c r="B284" s="78" t="str">
        <f aca="false">IF(助手回款!$R$20&lt;&gt;"","会计主管：","")</f>
        <v>会计主管：</v>
      </c>
      <c r="D284" s="78" t="str">
        <f aca="false">IF(助手回款!$R$20&lt;&gt;"","会计：","")</f>
        <v>会计：</v>
      </c>
      <c r="E284" s="78" t="str">
        <f aca="false">IF(助手回款!$R$20&lt;&gt;"","出纳：","")</f>
        <v>出纳：</v>
      </c>
      <c r="F284" s="78" t="str">
        <f aca="false">IF(助手回款!$R$20&lt;&gt;"","复核：","")</f>
        <v>复核：</v>
      </c>
      <c r="G284" s="78" t="str">
        <f aca="false">IF(助手回款!$R$20&lt;&gt;"","制单：","")</f>
        <v>制单：</v>
      </c>
    </row>
    <row r="285" customFormat="false" ht="3" hidden="false" customHeight="true" outlineLevel="0" collapsed="false"/>
    <row r="286" customFormat="false" ht="19.5" hidden="false" customHeight="true" outlineLevel="0" collapsed="false">
      <c r="B286" s="53" t="str">
        <f aca="false">IF(助手回款!$R$21&lt;&gt;"","记  账  凭  证","")</f>
        <v>记  账  凭  证</v>
      </c>
      <c r="C286" s="53"/>
      <c r="D286" s="53"/>
      <c r="E286" s="53"/>
      <c r="F286" s="53"/>
      <c r="G286" s="53"/>
      <c r="H286" s="53"/>
      <c r="I286" s="53"/>
    </row>
    <row r="287" customFormat="false" ht="3" hidden="false" customHeight="true" outlineLevel="0" collapsed="false"/>
    <row r="288" customFormat="false" ht="15" hidden="false" customHeight="true" outlineLevel="0" collapsed="false">
      <c r="C288" s="56" t="n">
        <f aca="false">IF(助手回款!$R$21&lt;&gt;"",INDEX(助手回款!$B$2:$B$66,助手回款!$R$21),"")</f>
        <v>2024</v>
      </c>
      <c r="D288" s="57" t="n">
        <f aca="false">IF(助手回款!$R$21&lt;&gt;"",参数!$B$2,"")</f>
        <v>46234</v>
      </c>
      <c r="E288" s="57"/>
      <c r="F288" s="58" t="str">
        <f aca="false">IF(助手回款!$R$21&lt;&gt;"",INDEX(助手回款!$C$2:$C$66,助手回款!$R$21)&amp;"  字第 "&amp;IF(参数!$B$9="是",INDEX(助手回款!$P$2:$P$66,助手回款!$R$21),"　　　　")&amp;" 号"&amp;IF(INDEX(助手回款!$L$2:$L$66,助手回款!$R$21)&gt;1,"  (共"&amp;INDEX(助手回款!$L$2:$L$66,助手回款!$R$21)&amp;"页 第"&amp;助手回款!$S$21&amp;"页)",""),"")</f>
        <v>高村店  字第 　　　　 号</v>
      </c>
      <c r="G288" s="58"/>
      <c r="H288" s="58"/>
      <c r="I288" s="58"/>
      <c r="M288" s="59" t="n">
        <f aca="false">IF(助手回款!$R$21="","",助手回款!$Q$21)</f>
        <v>20</v>
      </c>
      <c r="N288" s="60" t="n">
        <f aca="false">IF(助手回款!$R$21="","",INDEX(助手回款!$P$2:$P$66,助手回款!$R$21))</f>
        <v>18</v>
      </c>
      <c r="O288" s="55" t="str">
        <f aca="false">IF(助手回款!$R$21="","",INDEX(助手回款!$C$2:$C$66,助手回款!$R$21)&amp;"  字第 "&amp;INDEX(助手回款!$P$2:$P$66,助手回款!$R$21)&amp;" 号"&amp;IF(INDEX(助手回款!$L$2:$L$66,助手回款!$R$21)&gt;1,"  (共"&amp;INDEX(助手回款!$L$2:$L$66,助手回款!$R$21)&amp;"页 第"&amp;助手回款!$S$21&amp;"页)",""))</f>
        <v>高村店  字第 18 号</v>
      </c>
    </row>
    <row r="289" customFormat="false" ht="12.75" hidden="false" customHeight="true" outlineLevel="0" collapsed="false">
      <c r="B289" s="61" t="str">
        <f aca="false">IF(助手回款!$R$21&lt;&gt;"","摘　　要","")</f>
        <v>摘　　要</v>
      </c>
      <c r="C289" s="61"/>
      <c r="D289" s="62" t="str">
        <f aca="false">IF(助手回款!$R$21&lt;&gt;"","科　　　　目","")</f>
        <v>科　　　　目</v>
      </c>
      <c r="E289" s="62"/>
      <c r="F289" s="61" t="str">
        <f aca="false">IF(助手回款!$R$21&lt;&gt;"","借 方 金 额","")</f>
        <v>借 方 金 额</v>
      </c>
      <c r="G289" s="62" t="str">
        <f aca="false">IF(助手回款!$R$21&lt;&gt;"","贷 方 金 额","")</f>
        <v>贷 方 金 额</v>
      </c>
      <c r="H289" s="63" t="str">
        <f aca="false">IF(助手回款!$R$21&lt;&gt;"","√","")</f>
        <v>√</v>
      </c>
      <c r="I289" s="64" t="str">
        <f aca="false">IF(助手回款!$R$21&lt;&gt;"","附单据  张","")</f>
        <v>附单据  张</v>
      </c>
    </row>
    <row r="290" customFormat="false" ht="12.75" hidden="false" customHeight="true" outlineLevel="0" collapsed="false">
      <c r="B290" s="61"/>
      <c r="C290" s="61"/>
      <c r="D290" s="23" t="str">
        <f aca="false">IF(助手回款!$R$21&lt;&gt;"","总 账 科 目","")</f>
        <v>总 账 科 目</v>
      </c>
      <c r="E290" s="23" t="str">
        <f aca="false">IF(助手回款!$R$21&lt;&gt;"","明 细 科 目","")</f>
        <v>明 细 科 目</v>
      </c>
      <c r="F290" s="65"/>
      <c r="G290" s="66"/>
      <c r="H290" s="63"/>
      <c r="I290" s="64"/>
    </row>
    <row r="291" customFormat="false" ht="23.25" hidden="false" customHeight="true" outlineLevel="0" collapsed="false">
      <c r="B291" s="67" t="str">
        <f aca="false">IFERROR(INDEX(分录回款!$M:$M,MATCH($L291,分录回款!$L:$L,0)),"")</f>
        <v>回款</v>
      </c>
      <c r="C291" s="67"/>
      <c r="D291" s="23" t="str">
        <f aca="false">IFERROR(INDEX(分录回款!$E:$E,MATCH($L291,分录回款!$L:$L,0)),"")</f>
        <v>库存现金</v>
      </c>
      <c r="E291" s="23" t="str">
        <f aca="false">IFERROR(INDEX(分录回款!$F:$F,MATCH($L291,分录回款!$L:$L,0)),"")</f>
        <v/>
      </c>
      <c r="F291" s="68" t="n">
        <f aca="false">IFERROR(INDEX(分录回款!$H:$H,MATCH($L291,分录回款!$L:$L,0)),"")</f>
        <v>67730.22</v>
      </c>
      <c r="G291" s="69" t="str">
        <f aca="false">IFERROR(INDEX(分录回款!$I:$I,MATCH($L291,分录回款!$L:$L,0)),"")</f>
        <v/>
      </c>
      <c r="H291" s="23"/>
      <c r="I291" s="70"/>
      <c r="L291" s="71" t="n">
        <f aca="false">IF(助手回款!$R$21="",-1,助手回款!$R$21*100+(助手回款!$S$21-1)*6+1)</f>
        <v>1901</v>
      </c>
    </row>
    <row r="292" customFormat="false" ht="23.25" hidden="false" customHeight="true" outlineLevel="0" collapsed="false">
      <c r="B292" s="67" t="str">
        <f aca="false">""</f>
        <v/>
      </c>
      <c r="C292" s="67"/>
      <c r="D292" s="23" t="str">
        <f aca="false">IFERROR(INDEX(分录回款!$E:$E,MATCH($L292,分录回款!$L:$L,0)),"")</f>
        <v>应收账款</v>
      </c>
      <c r="E292" s="23" t="str">
        <f aca="false">IFERROR(INDEX(分录回款!$F:$F,MATCH($L292,分录回款!$L:$L,0)),"")</f>
        <v>聚合支付</v>
      </c>
      <c r="F292" s="68" t="str">
        <f aca="false">IFERROR(INDEX(分录回款!$H:$H,MATCH($L292,分录回款!$L:$L,0)),"")</f>
        <v/>
      </c>
      <c r="G292" s="69" t="n">
        <f aca="false">IFERROR(INDEX(分录回款!$I:$I,MATCH($L292,分录回款!$L:$L,0)),"")</f>
        <v>49579.53</v>
      </c>
      <c r="H292" s="23"/>
      <c r="I292" s="70"/>
      <c r="L292" s="71" t="n">
        <f aca="false">IF(助手回款!$R$21="",-1,助手回款!$R$21*100+(助手回款!$S$21-1)*6+2)</f>
        <v>1902</v>
      </c>
    </row>
    <row r="293" customFormat="false" ht="23.25" hidden="false" customHeight="true" outlineLevel="0" collapsed="false">
      <c r="B293" s="67" t="str">
        <f aca="false">""</f>
        <v/>
      </c>
      <c r="C293" s="67"/>
      <c r="D293" s="23" t="str">
        <f aca="false">IFERROR(INDEX(分录回款!$E:$E,MATCH($L293,分录回款!$L:$L,0)),"")</f>
        <v>应收账款</v>
      </c>
      <c r="E293" s="23" t="str">
        <f aca="false">IFERROR(INDEX(分录回款!$F:$F,MATCH($L293,分录回款!$L:$L,0)),"")</f>
        <v>医保</v>
      </c>
      <c r="F293" s="68" t="str">
        <f aca="false">IFERROR(INDEX(分录回款!$H:$H,MATCH($L293,分录回款!$L:$L,0)),"")</f>
        <v/>
      </c>
      <c r="G293" s="69" t="n">
        <f aca="false">IFERROR(INDEX(分录回款!$I:$I,MATCH($L293,分录回款!$L:$L,0)),"")</f>
        <v>18150.69</v>
      </c>
      <c r="H293" s="23"/>
      <c r="I293" s="70"/>
      <c r="L293" s="71" t="n">
        <f aca="false">IF(助手回款!$R$21="",-1,助手回款!$R$21*100+(助手回款!$S$21-1)*6+3)</f>
        <v>1903</v>
      </c>
    </row>
    <row r="294" customFormat="false" ht="23.25" hidden="false" customHeight="true" outlineLevel="0" collapsed="false">
      <c r="B294" s="67" t="str">
        <f aca="false">""</f>
        <v/>
      </c>
      <c r="C294" s="67"/>
      <c r="D294" s="23" t="str">
        <f aca="false">IFERROR(INDEX(分录回款!$E:$E,MATCH($L294,分录回款!$L:$L,0)),"")</f>
        <v/>
      </c>
      <c r="E294" s="23" t="str">
        <f aca="false">IFERROR(INDEX(分录回款!$F:$F,MATCH($L294,分录回款!$L:$L,0)),"")</f>
        <v/>
      </c>
      <c r="F294" s="68" t="str">
        <f aca="false">IFERROR(INDEX(分录回款!$H:$H,MATCH($L294,分录回款!$L:$L,0)),"")</f>
        <v/>
      </c>
      <c r="G294" s="69" t="str">
        <f aca="false">IFERROR(INDEX(分录回款!$I:$I,MATCH($L294,分录回款!$L:$L,0)),"")</f>
        <v/>
      </c>
      <c r="H294" s="23"/>
      <c r="I294" s="70"/>
      <c r="L294" s="71" t="n">
        <f aca="false">IF(助手回款!$R$21="",-1,助手回款!$R$21*100+(助手回款!$S$21-1)*6+4)</f>
        <v>1904</v>
      </c>
    </row>
    <row r="295" customFormat="false" ht="23.25" hidden="false" customHeight="true" outlineLevel="0" collapsed="false">
      <c r="B295" s="67" t="str">
        <f aca="false">""</f>
        <v/>
      </c>
      <c r="C295" s="67"/>
      <c r="D295" s="23" t="str">
        <f aca="false">IFERROR(INDEX(分录回款!$E:$E,MATCH($L295,分录回款!$L:$L,0)),"")</f>
        <v/>
      </c>
      <c r="E295" s="23" t="str">
        <f aca="false">IFERROR(INDEX(分录回款!$F:$F,MATCH($L295,分录回款!$L:$L,0)),"")</f>
        <v/>
      </c>
      <c r="F295" s="68" t="str">
        <f aca="false">IFERROR(INDEX(分录回款!$H:$H,MATCH($L295,分录回款!$L:$L,0)),"")</f>
        <v/>
      </c>
      <c r="G295" s="69" t="str">
        <f aca="false">IFERROR(INDEX(分录回款!$I:$I,MATCH($L295,分录回款!$L:$L,0)),"")</f>
        <v/>
      </c>
      <c r="H295" s="23"/>
      <c r="I295" s="70"/>
      <c r="L295" s="71" t="n">
        <f aca="false">IF(助手回款!$R$21="",-1,助手回款!$R$21*100+(助手回款!$S$21-1)*6+5)</f>
        <v>1905</v>
      </c>
    </row>
    <row r="296" customFormat="false" ht="23.25" hidden="false" customHeight="true" outlineLevel="0" collapsed="false">
      <c r="B296" s="67" t="str">
        <f aca="false">""</f>
        <v/>
      </c>
      <c r="C296" s="67"/>
      <c r="D296" s="23" t="str">
        <f aca="false">IFERROR(INDEX(分录回款!$E:$E,MATCH($L296,分录回款!$L:$L,0)),"")</f>
        <v/>
      </c>
      <c r="E296" s="23" t="str">
        <f aca="false">IFERROR(INDEX(分录回款!$F:$F,MATCH($L296,分录回款!$L:$L,0)),"")</f>
        <v/>
      </c>
      <c r="F296" s="68" t="str">
        <f aca="false">IFERROR(INDEX(分录回款!$H:$H,MATCH($L296,分录回款!$L:$L,0)),"")</f>
        <v/>
      </c>
      <c r="G296" s="69" t="str">
        <f aca="false">IFERROR(INDEX(分录回款!$I:$I,MATCH($L296,分录回款!$L:$L,0)),"")</f>
        <v/>
      </c>
      <c r="H296" s="23"/>
      <c r="I296" s="70"/>
      <c r="L296" s="71" t="n">
        <f aca="false">IF(助手回款!$R$21="",-1,助手回款!$R$21*100+(助手回款!$S$21-1)*6+6)</f>
        <v>1906</v>
      </c>
    </row>
    <row r="297" customFormat="false" ht="23.25" hidden="false" customHeight="true" outlineLevel="0" collapsed="false">
      <c r="B297" s="72" t="str">
        <f aca="false">IF(助手回款!$T$21=1,"合计：","")</f>
        <v>合计：</v>
      </c>
      <c r="C297" s="73" t="n">
        <f aca="false">IF(助手回款!$T$21=1,$F297,"")</f>
        <v>67730.22</v>
      </c>
      <c r="D297" s="74"/>
      <c r="E297" s="74"/>
      <c r="F297" s="75" t="n">
        <f aca="false">IF(助手回款!$T$21=1,INDEX(助手回款!$N$2:$N$66,助手回款!$R$21),"")</f>
        <v>67730.22</v>
      </c>
      <c r="G297" s="76" t="n">
        <f aca="false">IF(助手回款!$T$21=1,INDEX(助手回款!$O$2:$O$66,助手回款!$R$21),"")</f>
        <v>67730.22</v>
      </c>
      <c r="H297" s="74"/>
      <c r="I297" s="77"/>
    </row>
    <row r="298" customFormat="false" ht="6" hidden="false" customHeight="true" outlineLevel="0" collapsed="false"/>
    <row r="299" customFormat="false" ht="13.5" hidden="false" customHeight="false" outlineLevel="0" collapsed="false">
      <c r="B299" s="78" t="str">
        <f aca="false">IF(助手回款!$R$21&lt;&gt;"","会计主管：","")</f>
        <v>会计主管：</v>
      </c>
      <c r="D299" s="78" t="str">
        <f aca="false">IF(助手回款!$R$21&lt;&gt;"","会计：","")</f>
        <v>会计：</v>
      </c>
      <c r="E299" s="78" t="str">
        <f aca="false">IF(助手回款!$R$21&lt;&gt;"","出纳：","")</f>
        <v>出纳：</v>
      </c>
      <c r="F299" s="78" t="str">
        <f aca="false">IF(助手回款!$R$21&lt;&gt;"","复核：","")</f>
        <v>复核：</v>
      </c>
      <c r="G299" s="78" t="str">
        <f aca="false">IF(助手回款!$R$21&lt;&gt;"","制单：","")</f>
        <v>制单：</v>
      </c>
    </row>
    <row r="300" customFormat="false" ht="3" hidden="false" customHeight="true" outlineLevel="0" collapsed="false"/>
    <row r="301" customFormat="false" ht="19.5" hidden="false" customHeight="true" outlineLevel="0" collapsed="false">
      <c r="B301" s="53" t="str">
        <f aca="false">IF(助手回款!$R$22&lt;&gt;"","记  账  凭  证","")</f>
        <v>记  账  凭  证</v>
      </c>
      <c r="C301" s="53"/>
      <c r="D301" s="53"/>
      <c r="E301" s="53"/>
      <c r="F301" s="53"/>
      <c r="G301" s="53"/>
      <c r="H301" s="53"/>
      <c r="I301" s="53"/>
    </row>
    <row r="302" customFormat="false" ht="3" hidden="false" customHeight="true" outlineLevel="0" collapsed="false"/>
    <row r="303" customFormat="false" ht="15" hidden="false" customHeight="true" outlineLevel="0" collapsed="false">
      <c r="C303" s="56" t="n">
        <f aca="false">IF(助手回款!$R$22&lt;&gt;"",INDEX(助手回款!$B$2:$B$66,助手回款!$R$22),"")</f>
        <v>2026</v>
      </c>
      <c r="D303" s="57" t="n">
        <f aca="false">IF(助手回款!$R$22&lt;&gt;"",参数!$B$2,"")</f>
        <v>46234</v>
      </c>
      <c r="E303" s="57"/>
      <c r="F303" s="58" t="str">
        <f aca="false">IF(助手回款!$R$22&lt;&gt;"",INDEX(助手回款!$C$2:$C$66,助手回款!$R$22)&amp;"  字第 "&amp;IF(参数!$B$9="是",INDEX(助手回款!$P$2:$P$66,助手回款!$R$22),"　　　　")&amp;" 号"&amp;IF(INDEX(助手回款!$L$2:$L$66,助手回款!$R$22)&gt;1,"  (共"&amp;INDEX(助手回款!$L$2:$L$66,助手回款!$R$22)&amp;"页 第"&amp;助手回款!$S$22&amp;"页)",""),"")</f>
        <v>彭村店  字第 　　　　 号</v>
      </c>
      <c r="G303" s="58"/>
      <c r="H303" s="58"/>
      <c r="I303" s="58"/>
      <c r="M303" s="59" t="n">
        <f aca="false">IF(助手回款!$R$22="","",助手回款!$Q$22)</f>
        <v>21</v>
      </c>
      <c r="N303" s="60" t="n">
        <f aca="false">IF(助手回款!$R$22="","",INDEX(助手回款!$P$2:$P$66,助手回款!$R$22))</f>
        <v>19</v>
      </c>
      <c r="O303" s="55" t="str">
        <f aca="false">IF(助手回款!$R$22="","",INDEX(助手回款!$C$2:$C$66,助手回款!$R$22)&amp;"  字第 "&amp;INDEX(助手回款!$P$2:$P$66,助手回款!$R$22)&amp;" 号"&amp;IF(INDEX(助手回款!$L$2:$L$66,助手回款!$R$22)&gt;1,"  (共"&amp;INDEX(助手回款!$L$2:$L$66,助手回款!$R$22)&amp;"页 第"&amp;助手回款!$S$22&amp;"页)",""))</f>
        <v>彭村店  字第 19 号</v>
      </c>
    </row>
    <row r="304" customFormat="false" ht="12.75" hidden="false" customHeight="true" outlineLevel="0" collapsed="false">
      <c r="B304" s="61" t="str">
        <f aca="false">IF(助手回款!$R$22&lt;&gt;"","摘　　要","")</f>
        <v>摘　　要</v>
      </c>
      <c r="C304" s="61"/>
      <c r="D304" s="62" t="str">
        <f aca="false">IF(助手回款!$R$22&lt;&gt;"","科　　　　目","")</f>
        <v>科　　　　目</v>
      </c>
      <c r="E304" s="62"/>
      <c r="F304" s="61" t="str">
        <f aca="false">IF(助手回款!$R$22&lt;&gt;"","借 方 金 额","")</f>
        <v>借 方 金 额</v>
      </c>
      <c r="G304" s="62" t="str">
        <f aca="false">IF(助手回款!$R$22&lt;&gt;"","贷 方 金 额","")</f>
        <v>贷 方 金 额</v>
      </c>
      <c r="H304" s="63" t="str">
        <f aca="false">IF(助手回款!$R$22&lt;&gt;"","√","")</f>
        <v>√</v>
      </c>
      <c r="I304" s="64" t="str">
        <f aca="false">IF(助手回款!$R$22&lt;&gt;"","附单据  张","")</f>
        <v>附单据  张</v>
      </c>
    </row>
    <row r="305" customFormat="false" ht="12.75" hidden="false" customHeight="true" outlineLevel="0" collapsed="false">
      <c r="B305" s="61"/>
      <c r="C305" s="61"/>
      <c r="D305" s="23" t="str">
        <f aca="false">IF(助手回款!$R$22&lt;&gt;"","总 账 科 目","")</f>
        <v>总 账 科 目</v>
      </c>
      <c r="E305" s="23" t="str">
        <f aca="false">IF(助手回款!$R$22&lt;&gt;"","明 细 科 目","")</f>
        <v>明 细 科 目</v>
      </c>
      <c r="F305" s="65"/>
      <c r="G305" s="66"/>
      <c r="H305" s="63"/>
      <c r="I305" s="64"/>
    </row>
    <row r="306" customFormat="false" ht="23.25" hidden="false" customHeight="true" outlineLevel="0" collapsed="false">
      <c r="B306" s="67" t="str">
        <f aca="false">IFERROR(INDEX(分录回款!$M:$M,MATCH($L306,分录回款!$L:$L,0)),"")</f>
        <v>回款</v>
      </c>
      <c r="C306" s="67"/>
      <c r="D306" s="23" t="str">
        <f aca="false">IFERROR(INDEX(分录回款!$E:$E,MATCH($L306,分录回款!$L:$L,0)),"")</f>
        <v>库存现金</v>
      </c>
      <c r="E306" s="23" t="str">
        <f aca="false">IFERROR(INDEX(分录回款!$F:$F,MATCH($L306,分录回款!$L:$L,0)),"")</f>
        <v/>
      </c>
      <c r="F306" s="68" t="n">
        <f aca="false">IFERROR(INDEX(分录回款!$H:$H,MATCH($L306,分录回款!$L:$L,0)),"")</f>
        <v>28850.25</v>
      </c>
      <c r="G306" s="69" t="str">
        <f aca="false">IFERROR(INDEX(分录回款!$I:$I,MATCH($L306,分录回款!$L:$L,0)),"")</f>
        <v/>
      </c>
      <c r="H306" s="23"/>
      <c r="I306" s="70"/>
      <c r="L306" s="71" t="n">
        <f aca="false">IF(助手回款!$R$22="",-1,助手回款!$R$22*100+(助手回款!$S$22-1)*6+1)</f>
        <v>2001</v>
      </c>
    </row>
    <row r="307" customFormat="false" ht="23.25" hidden="false" customHeight="true" outlineLevel="0" collapsed="false">
      <c r="B307" s="67" t="str">
        <f aca="false">""</f>
        <v/>
      </c>
      <c r="C307" s="67"/>
      <c r="D307" s="23" t="str">
        <f aca="false">IFERROR(INDEX(分录回款!$E:$E,MATCH($L307,分录回款!$L:$L,0)),"")</f>
        <v>应收账款</v>
      </c>
      <c r="E307" s="23" t="str">
        <f aca="false">IFERROR(INDEX(分录回款!$F:$F,MATCH($L307,分录回款!$L:$L,0)),"")</f>
        <v>聚合支付</v>
      </c>
      <c r="F307" s="68" t="str">
        <f aca="false">IFERROR(INDEX(分录回款!$H:$H,MATCH($L307,分录回款!$L:$L,0)),"")</f>
        <v/>
      </c>
      <c r="G307" s="69" t="n">
        <f aca="false">IFERROR(INDEX(分录回款!$I:$I,MATCH($L307,分录回款!$L:$L,0)),"")</f>
        <v>26320.32</v>
      </c>
      <c r="H307" s="23"/>
      <c r="I307" s="70"/>
      <c r="L307" s="71" t="n">
        <f aca="false">IF(助手回款!$R$22="",-1,助手回款!$R$22*100+(助手回款!$S$22-1)*6+2)</f>
        <v>2002</v>
      </c>
    </row>
    <row r="308" customFormat="false" ht="23.25" hidden="false" customHeight="true" outlineLevel="0" collapsed="false">
      <c r="B308" s="67" t="str">
        <f aca="false">""</f>
        <v/>
      </c>
      <c r="C308" s="67"/>
      <c r="D308" s="23" t="str">
        <f aca="false">IFERROR(INDEX(分录回款!$E:$E,MATCH($L308,分录回款!$L:$L,0)),"")</f>
        <v>应收账款</v>
      </c>
      <c r="E308" s="23" t="str">
        <f aca="false">IFERROR(INDEX(分录回款!$F:$F,MATCH($L308,分录回款!$L:$L,0)),"")</f>
        <v>医保</v>
      </c>
      <c r="F308" s="68" t="str">
        <f aca="false">IFERROR(INDEX(分录回款!$H:$H,MATCH($L308,分录回款!$L:$L,0)),"")</f>
        <v/>
      </c>
      <c r="G308" s="69" t="n">
        <f aca="false">IFERROR(INDEX(分录回款!$I:$I,MATCH($L308,分录回款!$L:$L,0)),"")</f>
        <v>2529.93</v>
      </c>
      <c r="H308" s="23"/>
      <c r="I308" s="70"/>
      <c r="L308" s="71" t="n">
        <f aca="false">IF(助手回款!$R$22="",-1,助手回款!$R$22*100+(助手回款!$S$22-1)*6+3)</f>
        <v>2003</v>
      </c>
    </row>
    <row r="309" customFormat="false" ht="23.25" hidden="false" customHeight="true" outlineLevel="0" collapsed="false">
      <c r="B309" s="67" t="str">
        <f aca="false">""</f>
        <v/>
      </c>
      <c r="C309" s="67"/>
      <c r="D309" s="23" t="str">
        <f aca="false">IFERROR(INDEX(分录回款!$E:$E,MATCH($L309,分录回款!$L:$L,0)),"")</f>
        <v/>
      </c>
      <c r="E309" s="23" t="str">
        <f aca="false">IFERROR(INDEX(分录回款!$F:$F,MATCH($L309,分录回款!$L:$L,0)),"")</f>
        <v/>
      </c>
      <c r="F309" s="68" t="str">
        <f aca="false">IFERROR(INDEX(分录回款!$H:$H,MATCH($L309,分录回款!$L:$L,0)),"")</f>
        <v/>
      </c>
      <c r="G309" s="69" t="str">
        <f aca="false">IFERROR(INDEX(分录回款!$I:$I,MATCH($L309,分录回款!$L:$L,0)),"")</f>
        <v/>
      </c>
      <c r="H309" s="23"/>
      <c r="I309" s="70"/>
      <c r="L309" s="71" t="n">
        <f aca="false">IF(助手回款!$R$22="",-1,助手回款!$R$22*100+(助手回款!$S$22-1)*6+4)</f>
        <v>2004</v>
      </c>
    </row>
    <row r="310" customFormat="false" ht="23.25" hidden="false" customHeight="true" outlineLevel="0" collapsed="false">
      <c r="B310" s="67" t="str">
        <f aca="false">""</f>
        <v/>
      </c>
      <c r="C310" s="67"/>
      <c r="D310" s="23" t="str">
        <f aca="false">IFERROR(INDEX(分录回款!$E:$E,MATCH($L310,分录回款!$L:$L,0)),"")</f>
        <v/>
      </c>
      <c r="E310" s="23" t="str">
        <f aca="false">IFERROR(INDEX(分录回款!$F:$F,MATCH($L310,分录回款!$L:$L,0)),"")</f>
        <v/>
      </c>
      <c r="F310" s="68" t="str">
        <f aca="false">IFERROR(INDEX(分录回款!$H:$H,MATCH($L310,分录回款!$L:$L,0)),"")</f>
        <v/>
      </c>
      <c r="G310" s="69" t="str">
        <f aca="false">IFERROR(INDEX(分录回款!$I:$I,MATCH($L310,分录回款!$L:$L,0)),"")</f>
        <v/>
      </c>
      <c r="H310" s="23"/>
      <c r="I310" s="70"/>
      <c r="L310" s="71" t="n">
        <f aca="false">IF(助手回款!$R$22="",-1,助手回款!$R$22*100+(助手回款!$S$22-1)*6+5)</f>
        <v>2005</v>
      </c>
    </row>
    <row r="311" customFormat="false" ht="23.25" hidden="false" customHeight="true" outlineLevel="0" collapsed="false">
      <c r="B311" s="67" t="str">
        <f aca="false">""</f>
        <v/>
      </c>
      <c r="C311" s="67"/>
      <c r="D311" s="23" t="str">
        <f aca="false">IFERROR(INDEX(分录回款!$E:$E,MATCH($L311,分录回款!$L:$L,0)),"")</f>
        <v/>
      </c>
      <c r="E311" s="23" t="str">
        <f aca="false">IFERROR(INDEX(分录回款!$F:$F,MATCH($L311,分录回款!$L:$L,0)),"")</f>
        <v/>
      </c>
      <c r="F311" s="68" t="str">
        <f aca="false">IFERROR(INDEX(分录回款!$H:$H,MATCH($L311,分录回款!$L:$L,0)),"")</f>
        <v/>
      </c>
      <c r="G311" s="69" t="str">
        <f aca="false">IFERROR(INDEX(分录回款!$I:$I,MATCH($L311,分录回款!$L:$L,0)),"")</f>
        <v/>
      </c>
      <c r="H311" s="23"/>
      <c r="I311" s="70"/>
      <c r="L311" s="71" t="n">
        <f aca="false">IF(助手回款!$R$22="",-1,助手回款!$R$22*100+(助手回款!$S$22-1)*6+6)</f>
        <v>2006</v>
      </c>
    </row>
    <row r="312" customFormat="false" ht="23.25" hidden="false" customHeight="true" outlineLevel="0" collapsed="false">
      <c r="B312" s="72" t="str">
        <f aca="false">IF(助手回款!$T$22=1,"合计：","")</f>
        <v>合计：</v>
      </c>
      <c r="C312" s="73" t="n">
        <f aca="false">IF(助手回款!$T$22=1,$F312,"")</f>
        <v>28850.25</v>
      </c>
      <c r="D312" s="74"/>
      <c r="E312" s="74"/>
      <c r="F312" s="75" t="n">
        <f aca="false">IF(助手回款!$T$22=1,INDEX(助手回款!$N$2:$N$66,助手回款!$R$22),"")</f>
        <v>28850.25</v>
      </c>
      <c r="G312" s="76" t="n">
        <f aca="false">IF(助手回款!$T$22=1,INDEX(助手回款!$O$2:$O$66,助手回款!$R$22),"")</f>
        <v>28850.25</v>
      </c>
      <c r="H312" s="74"/>
      <c r="I312" s="77"/>
    </row>
    <row r="313" customFormat="false" ht="6" hidden="false" customHeight="true" outlineLevel="0" collapsed="false"/>
    <row r="314" customFormat="false" ht="13.5" hidden="false" customHeight="false" outlineLevel="0" collapsed="false">
      <c r="B314" s="78" t="str">
        <f aca="false">IF(助手回款!$R$22&lt;&gt;"","会计主管：","")</f>
        <v>会计主管：</v>
      </c>
      <c r="D314" s="78" t="str">
        <f aca="false">IF(助手回款!$R$22&lt;&gt;"","会计：","")</f>
        <v>会计：</v>
      </c>
      <c r="E314" s="78" t="str">
        <f aca="false">IF(助手回款!$R$22&lt;&gt;"","出纳：","")</f>
        <v>出纳：</v>
      </c>
      <c r="F314" s="78" t="str">
        <f aca="false">IF(助手回款!$R$22&lt;&gt;"","复核：","")</f>
        <v>复核：</v>
      </c>
      <c r="G314" s="78" t="str">
        <f aca="false">IF(助手回款!$R$22&lt;&gt;"","制单：","")</f>
        <v>制单：</v>
      </c>
    </row>
    <row r="315" customFormat="false" ht="3" hidden="false" customHeight="true" outlineLevel="0" collapsed="false"/>
    <row r="316" customFormat="false" ht="19.5" hidden="false" customHeight="true" outlineLevel="0" collapsed="false">
      <c r="B316" s="53" t="str">
        <f aca="false">IF(助手回款!$R$23&lt;&gt;"","记  账  凭  证","")</f>
        <v>记  账  凭  证</v>
      </c>
      <c r="C316" s="53"/>
      <c r="D316" s="53"/>
      <c r="E316" s="53"/>
      <c r="F316" s="53"/>
      <c r="G316" s="53"/>
      <c r="H316" s="53"/>
      <c r="I316" s="53"/>
    </row>
    <row r="317" customFormat="false" ht="3" hidden="false" customHeight="true" outlineLevel="0" collapsed="false"/>
    <row r="318" customFormat="false" ht="15" hidden="false" customHeight="true" outlineLevel="0" collapsed="false">
      <c r="C318" s="56" t="n">
        <f aca="false">IF(助手回款!$R$23&lt;&gt;"",INDEX(助手回款!$B$2:$B$66,助手回款!$R$23),"")</f>
        <v>2030</v>
      </c>
      <c r="D318" s="57" t="n">
        <f aca="false">IF(助手回款!$R$23&lt;&gt;"",参数!$B$2,"")</f>
        <v>46234</v>
      </c>
      <c r="E318" s="57"/>
      <c r="F318" s="58" t="str">
        <f aca="false">IF(助手回款!$R$23&lt;&gt;"",INDEX(助手回款!$C$2:$C$66,助手回款!$R$23)&amp;"  字第 "&amp;IF(参数!$B$9="是",INDEX(助手回款!$P$2:$P$66,助手回款!$R$23),"　　　　")&amp;" 号"&amp;IF(INDEX(助手回款!$L$2:$L$66,助手回款!$R$23)&gt;1,"  (共"&amp;INDEX(助手回款!$L$2:$L$66,助手回款!$R$23)&amp;"页 第"&amp;助手回款!$S$23&amp;"页)",""),"")</f>
        <v>南位店  字第 　　　　 号</v>
      </c>
      <c r="G318" s="58"/>
      <c r="H318" s="58"/>
      <c r="I318" s="58"/>
      <c r="M318" s="59" t="n">
        <f aca="false">IF(助手回款!$R$23="","",助手回款!$Q$23)</f>
        <v>22</v>
      </c>
      <c r="N318" s="60" t="n">
        <f aca="false">IF(助手回款!$R$23="","",INDEX(助手回款!$P$2:$P$66,助手回款!$R$23))</f>
        <v>20</v>
      </c>
      <c r="O318" s="55" t="str">
        <f aca="false">IF(助手回款!$R$23="","",INDEX(助手回款!$C$2:$C$66,助手回款!$R$23)&amp;"  字第 "&amp;INDEX(助手回款!$P$2:$P$66,助手回款!$R$23)&amp;" 号"&amp;IF(INDEX(助手回款!$L$2:$L$66,助手回款!$R$23)&gt;1,"  (共"&amp;INDEX(助手回款!$L$2:$L$66,助手回款!$R$23)&amp;"页 第"&amp;助手回款!$S$23&amp;"页)",""))</f>
        <v>南位店  字第 20 号</v>
      </c>
    </row>
    <row r="319" customFormat="false" ht="12.75" hidden="false" customHeight="true" outlineLevel="0" collapsed="false">
      <c r="B319" s="61" t="str">
        <f aca="false">IF(助手回款!$R$23&lt;&gt;"","摘　　要","")</f>
        <v>摘　　要</v>
      </c>
      <c r="C319" s="61"/>
      <c r="D319" s="62" t="str">
        <f aca="false">IF(助手回款!$R$23&lt;&gt;"","科　　　　目","")</f>
        <v>科　　　　目</v>
      </c>
      <c r="E319" s="62"/>
      <c r="F319" s="61" t="str">
        <f aca="false">IF(助手回款!$R$23&lt;&gt;"","借 方 金 额","")</f>
        <v>借 方 金 额</v>
      </c>
      <c r="G319" s="62" t="str">
        <f aca="false">IF(助手回款!$R$23&lt;&gt;"","贷 方 金 额","")</f>
        <v>贷 方 金 额</v>
      </c>
      <c r="H319" s="63" t="str">
        <f aca="false">IF(助手回款!$R$23&lt;&gt;"","√","")</f>
        <v>√</v>
      </c>
      <c r="I319" s="64" t="str">
        <f aca="false">IF(助手回款!$R$23&lt;&gt;"","附单据  张","")</f>
        <v>附单据  张</v>
      </c>
    </row>
    <row r="320" customFormat="false" ht="12.75" hidden="false" customHeight="true" outlineLevel="0" collapsed="false">
      <c r="B320" s="61"/>
      <c r="C320" s="61"/>
      <c r="D320" s="23" t="str">
        <f aca="false">IF(助手回款!$R$23&lt;&gt;"","总 账 科 目","")</f>
        <v>总 账 科 目</v>
      </c>
      <c r="E320" s="23" t="str">
        <f aca="false">IF(助手回款!$R$23&lt;&gt;"","明 细 科 目","")</f>
        <v>明 细 科 目</v>
      </c>
      <c r="F320" s="65"/>
      <c r="G320" s="66"/>
      <c r="H320" s="63"/>
      <c r="I320" s="64"/>
    </row>
    <row r="321" customFormat="false" ht="23.25" hidden="false" customHeight="true" outlineLevel="0" collapsed="false">
      <c r="B321" s="67" t="str">
        <f aca="false">IFERROR(INDEX(分录回款!$M:$M,MATCH($L321,分录回款!$L:$L,0)),"")</f>
        <v>回款</v>
      </c>
      <c r="C321" s="67"/>
      <c r="D321" s="23" t="str">
        <f aca="false">IFERROR(INDEX(分录回款!$E:$E,MATCH($L321,分录回款!$L:$L,0)),"")</f>
        <v>库存现金</v>
      </c>
      <c r="E321" s="23" t="str">
        <f aca="false">IFERROR(INDEX(分录回款!$F:$F,MATCH($L321,分录回款!$L:$L,0)),"")</f>
        <v/>
      </c>
      <c r="F321" s="68" t="n">
        <f aca="false">IFERROR(INDEX(分录回款!$H:$H,MATCH($L321,分录回款!$L:$L,0)),"")</f>
        <v>21397.99</v>
      </c>
      <c r="G321" s="69" t="str">
        <f aca="false">IFERROR(INDEX(分录回款!$I:$I,MATCH($L321,分录回款!$L:$L,0)),"")</f>
        <v/>
      </c>
      <c r="H321" s="23"/>
      <c r="I321" s="70"/>
      <c r="L321" s="71" t="n">
        <f aca="false">IF(助手回款!$R$23="",-1,助手回款!$R$23*100+(助手回款!$S$23-1)*6+1)</f>
        <v>2101</v>
      </c>
    </row>
    <row r="322" customFormat="false" ht="23.25" hidden="false" customHeight="true" outlineLevel="0" collapsed="false">
      <c r="B322" s="67" t="str">
        <f aca="false">""</f>
        <v/>
      </c>
      <c r="C322" s="67"/>
      <c r="D322" s="23" t="str">
        <f aca="false">IFERROR(INDEX(分录回款!$E:$E,MATCH($L322,分录回款!$L:$L,0)),"")</f>
        <v>应收账款</v>
      </c>
      <c r="E322" s="23" t="str">
        <f aca="false">IFERROR(INDEX(分录回款!$F:$F,MATCH($L322,分录回款!$L:$L,0)),"")</f>
        <v>聚合支付</v>
      </c>
      <c r="F322" s="68" t="str">
        <f aca="false">IFERROR(INDEX(分录回款!$H:$H,MATCH($L322,分录回款!$L:$L,0)),"")</f>
        <v/>
      </c>
      <c r="G322" s="69" t="n">
        <f aca="false">IFERROR(INDEX(分录回款!$I:$I,MATCH($L322,分录回款!$L:$L,0)),"")</f>
        <v>17154.53</v>
      </c>
      <c r="H322" s="23"/>
      <c r="I322" s="70"/>
      <c r="L322" s="71" t="n">
        <f aca="false">IF(助手回款!$R$23="",-1,助手回款!$R$23*100+(助手回款!$S$23-1)*6+2)</f>
        <v>2102</v>
      </c>
    </row>
    <row r="323" customFormat="false" ht="23.25" hidden="false" customHeight="true" outlineLevel="0" collapsed="false">
      <c r="B323" s="67" t="str">
        <f aca="false">""</f>
        <v/>
      </c>
      <c r="C323" s="67"/>
      <c r="D323" s="23" t="str">
        <f aca="false">IFERROR(INDEX(分录回款!$E:$E,MATCH($L323,分录回款!$L:$L,0)),"")</f>
        <v>应收账款</v>
      </c>
      <c r="E323" s="23" t="str">
        <f aca="false">IFERROR(INDEX(分录回款!$F:$F,MATCH($L323,分录回款!$L:$L,0)),"")</f>
        <v>医保</v>
      </c>
      <c r="F323" s="68" t="str">
        <f aca="false">IFERROR(INDEX(分录回款!$H:$H,MATCH($L323,分录回款!$L:$L,0)),"")</f>
        <v/>
      </c>
      <c r="G323" s="69" t="n">
        <f aca="false">IFERROR(INDEX(分录回款!$I:$I,MATCH($L323,分录回款!$L:$L,0)),"")</f>
        <v>4243.46</v>
      </c>
      <c r="H323" s="23"/>
      <c r="I323" s="70"/>
      <c r="L323" s="71" t="n">
        <f aca="false">IF(助手回款!$R$23="",-1,助手回款!$R$23*100+(助手回款!$S$23-1)*6+3)</f>
        <v>2103</v>
      </c>
    </row>
    <row r="324" customFormat="false" ht="23.25" hidden="false" customHeight="true" outlineLevel="0" collapsed="false">
      <c r="B324" s="67" t="str">
        <f aca="false">""</f>
        <v/>
      </c>
      <c r="C324" s="67"/>
      <c r="D324" s="23" t="str">
        <f aca="false">IFERROR(INDEX(分录回款!$E:$E,MATCH($L324,分录回款!$L:$L,0)),"")</f>
        <v/>
      </c>
      <c r="E324" s="23" t="str">
        <f aca="false">IFERROR(INDEX(分录回款!$F:$F,MATCH($L324,分录回款!$L:$L,0)),"")</f>
        <v/>
      </c>
      <c r="F324" s="68" t="str">
        <f aca="false">IFERROR(INDEX(分录回款!$H:$H,MATCH($L324,分录回款!$L:$L,0)),"")</f>
        <v/>
      </c>
      <c r="G324" s="69" t="str">
        <f aca="false">IFERROR(INDEX(分录回款!$I:$I,MATCH($L324,分录回款!$L:$L,0)),"")</f>
        <v/>
      </c>
      <c r="H324" s="23"/>
      <c r="I324" s="70"/>
      <c r="L324" s="71" t="n">
        <f aca="false">IF(助手回款!$R$23="",-1,助手回款!$R$23*100+(助手回款!$S$23-1)*6+4)</f>
        <v>2104</v>
      </c>
    </row>
    <row r="325" customFormat="false" ht="23.25" hidden="false" customHeight="true" outlineLevel="0" collapsed="false">
      <c r="B325" s="67" t="str">
        <f aca="false">""</f>
        <v/>
      </c>
      <c r="C325" s="67"/>
      <c r="D325" s="23" t="str">
        <f aca="false">IFERROR(INDEX(分录回款!$E:$E,MATCH($L325,分录回款!$L:$L,0)),"")</f>
        <v/>
      </c>
      <c r="E325" s="23" t="str">
        <f aca="false">IFERROR(INDEX(分录回款!$F:$F,MATCH($L325,分录回款!$L:$L,0)),"")</f>
        <v/>
      </c>
      <c r="F325" s="68" t="str">
        <f aca="false">IFERROR(INDEX(分录回款!$H:$H,MATCH($L325,分录回款!$L:$L,0)),"")</f>
        <v/>
      </c>
      <c r="G325" s="69" t="str">
        <f aca="false">IFERROR(INDEX(分录回款!$I:$I,MATCH($L325,分录回款!$L:$L,0)),"")</f>
        <v/>
      </c>
      <c r="H325" s="23"/>
      <c r="I325" s="70"/>
      <c r="L325" s="71" t="n">
        <f aca="false">IF(助手回款!$R$23="",-1,助手回款!$R$23*100+(助手回款!$S$23-1)*6+5)</f>
        <v>2105</v>
      </c>
    </row>
    <row r="326" customFormat="false" ht="23.25" hidden="false" customHeight="true" outlineLevel="0" collapsed="false">
      <c r="B326" s="67" t="str">
        <f aca="false">""</f>
        <v/>
      </c>
      <c r="C326" s="67"/>
      <c r="D326" s="23" t="str">
        <f aca="false">IFERROR(INDEX(分录回款!$E:$E,MATCH($L326,分录回款!$L:$L,0)),"")</f>
        <v/>
      </c>
      <c r="E326" s="23" t="str">
        <f aca="false">IFERROR(INDEX(分录回款!$F:$F,MATCH($L326,分录回款!$L:$L,0)),"")</f>
        <v/>
      </c>
      <c r="F326" s="68" t="str">
        <f aca="false">IFERROR(INDEX(分录回款!$H:$H,MATCH($L326,分录回款!$L:$L,0)),"")</f>
        <v/>
      </c>
      <c r="G326" s="69" t="str">
        <f aca="false">IFERROR(INDEX(分录回款!$I:$I,MATCH($L326,分录回款!$L:$L,0)),"")</f>
        <v/>
      </c>
      <c r="H326" s="23"/>
      <c r="I326" s="70"/>
      <c r="L326" s="71" t="n">
        <f aca="false">IF(助手回款!$R$23="",-1,助手回款!$R$23*100+(助手回款!$S$23-1)*6+6)</f>
        <v>2106</v>
      </c>
    </row>
    <row r="327" customFormat="false" ht="23.25" hidden="false" customHeight="true" outlineLevel="0" collapsed="false">
      <c r="B327" s="72" t="str">
        <f aca="false">IF(助手回款!$T$23=1,"合计：","")</f>
        <v>合计：</v>
      </c>
      <c r="C327" s="73" t="n">
        <f aca="false">IF(助手回款!$T$23=1,$F327,"")</f>
        <v>21397.99</v>
      </c>
      <c r="D327" s="74"/>
      <c r="E327" s="74"/>
      <c r="F327" s="75" t="n">
        <f aca="false">IF(助手回款!$T$23=1,INDEX(助手回款!$N$2:$N$66,助手回款!$R$23),"")</f>
        <v>21397.99</v>
      </c>
      <c r="G327" s="76" t="n">
        <f aca="false">IF(助手回款!$T$23=1,INDEX(助手回款!$O$2:$O$66,助手回款!$R$23),"")</f>
        <v>21397.99</v>
      </c>
      <c r="H327" s="74"/>
      <c r="I327" s="77"/>
    </row>
    <row r="328" customFormat="false" ht="6" hidden="false" customHeight="true" outlineLevel="0" collapsed="false"/>
    <row r="329" customFormat="false" ht="13.5" hidden="false" customHeight="false" outlineLevel="0" collapsed="false">
      <c r="B329" s="78" t="str">
        <f aca="false">IF(助手回款!$R$23&lt;&gt;"","会计主管：","")</f>
        <v>会计主管：</v>
      </c>
      <c r="D329" s="78" t="str">
        <f aca="false">IF(助手回款!$R$23&lt;&gt;"","会计：","")</f>
        <v>会计：</v>
      </c>
      <c r="E329" s="78" t="str">
        <f aca="false">IF(助手回款!$R$23&lt;&gt;"","出纳：","")</f>
        <v>出纳：</v>
      </c>
      <c r="F329" s="78" t="str">
        <f aca="false">IF(助手回款!$R$23&lt;&gt;"","复核：","")</f>
        <v>复核：</v>
      </c>
      <c r="G329" s="78" t="str">
        <f aca="false">IF(助手回款!$R$23&lt;&gt;"","制单：","")</f>
        <v>制单：</v>
      </c>
    </row>
    <row r="330" customFormat="false" ht="3" hidden="false" customHeight="true" outlineLevel="0" collapsed="false"/>
    <row r="331" customFormat="false" ht="19.5" hidden="false" customHeight="true" outlineLevel="0" collapsed="false">
      <c r="B331" s="53" t="str">
        <f aca="false">IF(助手回款!$R$24&lt;&gt;"","记  账  凭  证","")</f>
        <v>记  账  凭  证</v>
      </c>
      <c r="C331" s="53"/>
      <c r="D331" s="53"/>
      <c r="E331" s="53"/>
      <c r="F331" s="53"/>
      <c r="G331" s="53"/>
      <c r="H331" s="53"/>
      <c r="I331" s="53"/>
    </row>
    <row r="332" customFormat="false" ht="3" hidden="false" customHeight="true" outlineLevel="0" collapsed="false"/>
    <row r="333" customFormat="false" ht="15" hidden="false" customHeight="true" outlineLevel="0" collapsed="false">
      <c r="C333" s="56" t="n">
        <f aca="false">IF(助手回款!$R$24&lt;&gt;"",INDEX(助手回款!$B$2:$B$66,助手回款!$R$24),"")</f>
        <v>2032</v>
      </c>
      <c r="D333" s="57" t="n">
        <f aca="false">IF(助手回款!$R$24&lt;&gt;"",参数!$B$2,"")</f>
        <v>46234</v>
      </c>
      <c r="E333" s="57"/>
      <c r="F333" s="58" t="str">
        <f aca="false">IF(助手回款!$R$24&lt;&gt;"",INDEX(助手回款!$C$2:$C$66,助手回款!$R$24)&amp;"  字第 "&amp;IF(参数!$B$9="是",INDEX(助手回款!$P$2:$P$66,助手回款!$R$24),"　　　　")&amp;" 号"&amp;IF(INDEX(助手回款!$L$2:$L$66,助手回款!$R$24)&gt;1,"  (共"&amp;INDEX(助手回款!$L$2:$L$66,助手回款!$R$24)&amp;"页 第"&amp;助手回款!$S$24&amp;"页)",""),"")</f>
        <v>博园店  字第 　　　　 号</v>
      </c>
      <c r="G333" s="58"/>
      <c r="H333" s="58"/>
      <c r="I333" s="58"/>
      <c r="M333" s="59" t="n">
        <f aca="false">IF(助手回款!$R$24="","",助手回款!$Q$24)</f>
        <v>23</v>
      </c>
      <c r="N333" s="60" t="n">
        <f aca="false">IF(助手回款!$R$24="","",INDEX(助手回款!$P$2:$P$66,助手回款!$R$24))</f>
        <v>21</v>
      </c>
      <c r="O333" s="55" t="str">
        <f aca="false">IF(助手回款!$R$24="","",INDEX(助手回款!$C$2:$C$66,助手回款!$R$24)&amp;"  字第 "&amp;INDEX(助手回款!$P$2:$P$66,助手回款!$R$24)&amp;" 号"&amp;IF(INDEX(助手回款!$L$2:$L$66,助手回款!$R$24)&gt;1,"  (共"&amp;INDEX(助手回款!$L$2:$L$66,助手回款!$R$24)&amp;"页 第"&amp;助手回款!$S$24&amp;"页)",""))</f>
        <v>博园店  字第 21 号</v>
      </c>
    </row>
    <row r="334" customFormat="false" ht="12.75" hidden="false" customHeight="true" outlineLevel="0" collapsed="false">
      <c r="B334" s="61" t="str">
        <f aca="false">IF(助手回款!$R$24&lt;&gt;"","摘　　要","")</f>
        <v>摘　　要</v>
      </c>
      <c r="C334" s="61"/>
      <c r="D334" s="62" t="str">
        <f aca="false">IF(助手回款!$R$24&lt;&gt;"","科　　　　目","")</f>
        <v>科　　　　目</v>
      </c>
      <c r="E334" s="62"/>
      <c r="F334" s="61" t="str">
        <f aca="false">IF(助手回款!$R$24&lt;&gt;"","借 方 金 额","")</f>
        <v>借 方 金 额</v>
      </c>
      <c r="G334" s="62" t="str">
        <f aca="false">IF(助手回款!$R$24&lt;&gt;"","贷 方 金 额","")</f>
        <v>贷 方 金 额</v>
      </c>
      <c r="H334" s="63" t="str">
        <f aca="false">IF(助手回款!$R$24&lt;&gt;"","√","")</f>
        <v>√</v>
      </c>
      <c r="I334" s="64" t="str">
        <f aca="false">IF(助手回款!$R$24&lt;&gt;"","附单据  张","")</f>
        <v>附单据  张</v>
      </c>
    </row>
    <row r="335" customFormat="false" ht="12.75" hidden="false" customHeight="true" outlineLevel="0" collapsed="false">
      <c r="B335" s="61"/>
      <c r="C335" s="61"/>
      <c r="D335" s="23" t="str">
        <f aca="false">IF(助手回款!$R$24&lt;&gt;"","总 账 科 目","")</f>
        <v>总 账 科 目</v>
      </c>
      <c r="E335" s="23" t="str">
        <f aca="false">IF(助手回款!$R$24&lt;&gt;"","明 细 科 目","")</f>
        <v>明 细 科 目</v>
      </c>
      <c r="F335" s="65"/>
      <c r="G335" s="66"/>
      <c r="H335" s="63"/>
      <c r="I335" s="64"/>
    </row>
    <row r="336" customFormat="false" ht="23.25" hidden="false" customHeight="true" outlineLevel="0" collapsed="false">
      <c r="B336" s="67" t="str">
        <f aca="false">IFERROR(INDEX(分录回款!$M:$M,MATCH($L336,分录回款!$L:$L,0)),"")</f>
        <v>回款</v>
      </c>
      <c r="C336" s="67"/>
      <c r="D336" s="23" t="str">
        <f aca="false">IFERROR(INDEX(分录回款!$E:$E,MATCH($L336,分录回款!$L:$L,0)),"")</f>
        <v>库存现金</v>
      </c>
      <c r="E336" s="23" t="str">
        <f aca="false">IFERROR(INDEX(分录回款!$F:$F,MATCH($L336,分录回款!$L:$L,0)),"")</f>
        <v/>
      </c>
      <c r="F336" s="68" t="n">
        <f aca="false">IFERROR(INDEX(分录回款!$H:$H,MATCH($L336,分录回款!$L:$L,0)),"")</f>
        <v>34752.49</v>
      </c>
      <c r="G336" s="69" t="str">
        <f aca="false">IFERROR(INDEX(分录回款!$I:$I,MATCH($L336,分录回款!$L:$L,0)),"")</f>
        <v/>
      </c>
      <c r="H336" s="23"/>
      <c r="I336" s="70"/>
      <c r="L336" s="71" t="n">
        <f aca="false">IF(助手回款!$R$24="",-1,助手回款!$R$24*100+(助手回款!$S$24-1)*6+1)</f>
        <v>2201</v>
      </c>
    </row>
    <row r="337" customFormat="false" ht="23.25" hidden="false" customHeight="true" outlineLevel="0" collapsed="false">
      <c r="B337" s="67" t="str">
        <f aca="false">""</f>
        <v/>
      </c>
      <c r="C337" s="67"/>
      <c r="D337" s="23" t="str">
        <f aca="false">IFERROR(INDEX(分录回款!$E:$E,MATCH($L337,分录回款!$L:$L,0)),"")</f>
        <v>应收账款</v>
      </c>
      <c r="E337" s="23" t="str">
        <f aca="false">IFERROR(INDEX(分录回款!$F:$F,MATCH($L337,分录回款!$L:$L,0)),"")</f>
        <v>聚合支付</v>
      </c>
      <c r="F337" s="68" t="str">
        <f aca="false">IFERROR(INDEX(分录回款!$H:$H,MATCH($L337,分录回款!$L:$L,0)),"")</f>
        <v/>
      </c>
      <c r="G337" s="69" t="n">
        <f aca="false">IFERROR(INDEX(分录回款!$I:$I,MATCH($L337,分录回款!$L:$L,0)),"")</f>
        <v>24794.04</v>
      </c>
      <c r="H337" s="23"/>
      <c r="I337" s="70"/>
      <c r="L337" s="71" t="n">
        <f aca="false">IF(助手回款!$R$24="",-1,助手回款!$R$24*100+(助手回款!$S$24-1)*6+2)</f>
        <v>2202</v>
      </c>
    </row>
    <row r="338" customFormat="false" ht="23.25" hidden="false" customHeight="true" outlineLevel="0" collapsed="false">
      <c r="B338" s="67" t="str">
        <f aca="false">""</f>
        <v/>
      </c>
      <c r="C338" s="67"/>
      <c r="D338" s="23" t="str">
        <f aca="false">IFERROR(INDEX(分录回款!$E:$E,MATCH($L338,分录回款!$L:$L,0)),"")</f>
        <v>应收账款</v>
      </c>
      <c r="E338" s="23" t="str">
        <f aca="false">IFERROR(INDEX(分录回款!$F:$F,MATCH($L338,分录回款!$L:$L,0)),"")</f>
        <v>医保</v>
      </c>
      <c r="F338" s="68" t="str">
        <f aca="false">IFERROR(INDEX(分录回款!$H:$H,MATCH($L338,分录回款!$L:$L,0)),"")</f>
        <v/>
      </c>
      <c r="G338" s="69" t="n">
        <f aca="false">IFERROR(INDEX(分录回款!$I:$I,MATCH($L338,分录回款!$L:$L,0)),"")</f>
        <v>9958.45</v>
      </c>
      <c r="H338" s="23"/>
      <c r="I338" s="70"/>
      <c r="L338" s="71" t="n">
        <f aca="false">IF(助手回款!$R$24="",-1,助手回款!$R$24*100+(助手回款!$S$24-1)*6+3)</f>
        <v>2203</v>
      </c>
    </row>
    <row r="339" customFormat="false" ht="23.25" hidden="false" customHeight="true" outlineLevel="0" collapsed="false">
      <c r="B339" s="67" t="str">
        <f aca="false">""</f>
        <v/>
      </c>
      <c r="C339" s="67"/>
      <c r="D339" s="23" t="str">
        <f aca="false">IFERROR(INDEX(分录回款!$E:$E,MATCH($L339,分录回款!$L:$L,0)),"")</f>
        <v/>
      </c>
      <c r="E339" s="23" t="str">
        <f aca="false">IFERROR(INDEX(分录回款!$F:$F,MATCH($L339,分录回款!$L:$L,0)),"")</f>
        <v/>
      </c>
      <c r="F339" s="68" t="str">
        <f aca="false">IFERROR(INDEX(分录回款!$H:$H,MATCH($L339,分录回款!$L:$L,0)),"")</f>
        <v/>
      </c>
      <c r="G339" s="69" t="str">
        <f aca="false">IFERROR(INDEX(分录回款!$I:$I,MATCH($L339,分录回款!$L:$L,0)),"")</f>
        <v/>
      </c>
      <c r="H339" s="23"/>
      <c r="I339" s="70"/>
      <c r="L339" s="71" t="n">
        <f aca="false">IF(助手回款!$R$24="",-1,助手回款!$R$24*100+(助手回款!$S$24-1)*6+4)</f>
        <v>2204</v>
      </c>
    </row>
    <row r="340" customFormat="false" ht="23.25" hidden="false" customHeight="true" outlineLevel="0" collapsed="false">
      <c r="B340" s="67" t="str">
        <f aca="false">""</f>
        <v/>
      </c>
      <c r="C340" s="67"/>
      <c r="D340" s="23" t="str">
        <f aca="false">IFERROR(INDEX(分录回款!$E:$E,MATCH($L340,分录回款!$L:$L,0)),"")</f>
        <v/>
      </c>
      <c r="E340" s="23" t="str">
        <f aca="false">IFERROR(INDEX(分录回款!$F:$F,MATCH($L340,分录回款!$L:$L,0)),"")</f>
        <v/>
      </c>
      <c r="F340" s="68" t="str">
        <f aca="false">IFERROR(INDEX(分录回款!$H:$H,MATCH($L340,分录回款!$L:$L,0)),"")</f>
        <v/>
      </c>
      <c r="G340" s="69" t="str">
        <f aca="false">IFERROR(INDEX(分录回款!$I:$I,MATCH($L340,分录回款!$L:$L,0)),"")</f>
        <v/>
      </c>
      <c r="H340" s="23"/>
      <c r="I340" s="70"/>
      <c r="L340" s="71" t="n">
        <f aca="false">IF(助手回款!$R$24="",-1,助手回款!$R$24*100+(助手回款!$S$24-1)*6+5)</f>
        <v>2205</v>
      </c>
    </row>
    <row r="341" customFormat="false" ht="23.25" hidden="false" customHeight="true" outlineLevel="0" collapsed="false">
      <c r="B341" s="67" t="str">
        <f aca="false">""</f>
        <v/>
      </c>
      <c r="C341" s="67"/>
      <c r="D341" s="23" t="str">
        <f aca="false">IFERROR(INDEX(分录回款!$E:$E,MATCH($L341,分录回款!$L:$L,0)),"")</f>
        <v/>
      </c>
      <c r="E341" s="23" t="str">
        <f aca="false">IFERROR(INDEX(分录回款!$F:$F,MATCH($L341,分录回款!$L:$L,0)),"")</f>
        <v/>
      </c>
      <c r="F341" s="68" t="str">
        <f aca="false">IFERROR(INDEX(分录回款!$H:$H,MATCH($L341,分录回款!$L:$L,0)),"")</f>
        <v/>
      </c>
      <c r="G341" s="69" t="str">
        <f aca="false">IFERROR(INDEX(分录回款!$I:$I,MATCH($L341,分录回款!$L:$L,0)),"")</f>
        <v/>
      </c>
      <c r="H341" s="23"/>
      <c r="I341" s="70"/>
      <c r="L341" s="71" t="n">
        <f aca="false">IF(助手回款!$R$24="",-1,助手回款!$R$24*100+(助手回款!$S$24-1)*6+6)</f>
        <v>2206</v>
      </c>
    </row>
    <row r="342" customFormat="false" ht="23.25" hidden="false" customHeight="true" outlineLevel="0" collapsed="false">
      <c r="B342" s="72" t="str">
        <f aca="false">IF(助手回款!$T$24=1,"合计：","")</f>
        <v>合计：</v>
      </c>
      <c r="C342" s="73" t="n">
        <f aca="false">IF(助手回款!$T$24=1,$F342,"")</f>
        <v>34752.49</v>
      </c>
      <c r="D342" s="74"/>
      <c r="E342" s="74"/>
      <c r="F342" s="75" t="n">
        <f aca="false">IF(助手回款!$T$24=1,INDEX(助手回款!$N$2:$N$66,助手回款!$R$24),"")</f>
        <v>34752.49</v>
      </c>
      <c r="G342" s="76" t="n">
        <f aca="false">IF(助手回款!$T$24=1,INDEX(助手回款!$O$2:$O$66,助手回款!$R$24),"")</f>
        <v>34752.49</v>
      </c>
      <c r="H342" s="74"/>
      <c r="I342" s="77"/>
    </row>
    <row r="343" customFormat="false" ht="6" hidden="false" customHeight="true" outlineLevel="0" collapsed="false"/>
    <row r="344" customFormat="false" ht="13.5" hidden="false" customHeight="false" outlineLevel="0" collapsed="false">
      <c r="B344" s="78" t="str">
        <f aca="false">IF(助手回款!$R$24&lt;&gt;"","会计主管：","")</f>
        <v>会计主管：</v>
      </c>
      <c r="D344" s="78" t="str">
        <f aca="false">IF(助手回款!$R$24&lt;&gt;"","会计：","")</f>
        <v>会计：</v>
      </c>
      <c r="E344" s="78" t="str">
        <f aca="false">IF(助手回款!$R$24&lt;&gt;"","出纳：","")</f>
        <v>出纳：</v>
      </c>
      <c r="F344" s="78" t="str">
        <f aca="false">IF(助手回款!$R$24&lt;&gt;"","复核：","")</f>
        <v>复核：</v>
      </c>
      <c r="G344" s="78" t="str">
        <f aca="false">IF(助手回款!$R$24&lt;&gt;"","制单：","")</f>
        <v>制单：</v>
      </c>
    </row>
    <row r="345" customFormat="false" ht="3" hidden="false" customHeight="true" outlineLevel="0" collapsed="false"/>
    <row r="346" customFormat="false" ht="19.5" hidden="false" customHeight="true" outlineLevel="0" collapsed="false">
      <c r="B346" s="53" t="str">
        <f aca="false">IF(助手回款!$R$25&lt;&gt;"","记  账  凭  证","")</f>
        <v>记  账  凭  证</v>
      </c>
      <c r="C346" s="53"/>
      <c r="D346" s="53"/>
      <c r="E346" s="53"/>
      <c r="F346" s="53"/>
      <c r="G346" s="53"/>
      <c r="H346" s="53"/>
      <c r="I346" s="53"/>
    </row>
    <row r="347" customFormat="false" ht="3" hidden="false" customHeight="true" outlineLevel="0" collapsed="false"/>
    <row r="348" customFormat="false" ht="15" hidden="false" customHeight="true" outlineLevel="0" collapsed="false">
      <c r="C348" s="56" t="n">
        <f aca="false">IF(助手回款!$R$25&lt;&gt;"",INDEX(助手回款!$B$2:$B$66,助手回款!$R$25),"")</f>
        <v>2036</v>
      </c>
      <c r="D348" s="57" t="n">
        <f aca="false">IF(助手回款!$R$25&lt;&gt;"",参数!$B$2,"")</f>
        <v>46234</v>
      </c>
      <c r="E348" s="57"/>
      <c r="F348" s="58" t="str">
        <f aca="false">IF(助手回款!$R$25&lt;&gt;"",INDEX(助手回款!$C$2:$C$66,助手回款!$R$25)&amp;"  字第 "&amp;IF(参数!$B$9="是",INDEX(助手回款!$P$2:$P$66,助手回款!$R$25),"　　　　")&amp;" 号"&amp;IF(INDEX(助手回款!$L$2:$L$66,助手回款!$R$25)&gt;1,"  (共"&amp;INDEX(助手回款!$L$2:$L$66,助手回款!$R$25)&amp;"页 第"&amp;助手回款!$S$25&amp;"页)",""),"")</f>
        <v>黑城店  字第 　　　　 号</v>
      </c>
      <c r="G348" s="58"/>
      <c r="H348" s="58"/>
      <c r="I348" s="58"/>
      <c r="M348" s="59" t="n">
        <f aca="false">IF(助手回款!$R$25="","",助手回款!$Q$25)</f>
        <v>24</v>
      </c>
      <c r="N348" s="60" t="n">
        <f aca="false">IF(助手回款!$R$25="","",INDEX(助手回款!$P$2:$P$66,助手回款!$R$25))</f>
        <v>22</v>
      </c>
      <c r="O348" s="55" t="str">
        <f aca="false">IF(助手回款!$R$25="","",INDEX(助手回款!$C$2:$C$66,助手回款!$R$25)&amp;"  字第 "&amp;INDEX(助手回款!$P$2:$P$66,助手回款!$R$25)&amp;" 号"&amp;IF(INDEX(助手回款!$L$2:$L$66,助手回款!$R$25)&gt;1,"  (共"&amp;INDEX(助手回款!$L$2:$L$66,助手回款!$R$25)&amp;"页 第"&amp;助手回款!$S$25&amp;"页)",""))</f>
        <v>黑城店  字第 22 号</v>
      </c>
    </row>
    <row r="349" customFormat="false" ht="12.75" hidden="false" customHeight="true" outlineLevel="0" collapsed="false">
      <c r="B349" s="61" t="str">
        <f aca="false">IF(助手回款!$R$25&lt;&gt;"","摘　　要","")</f>
        <v>摘　　要</v>
      </c>
      <c r="C349" s="61"/>
      <c r="D349" s="62" t="str">
        <f aca="false">IF(助手回款!$R$25&lt;&gt;"","科　　　　目","")</f>
        <v>科　　　　目</v>
      </c>
      <c r="E349" s="62"/>
      <c r="F349" s="61" t="str">
        <f aca="false">IF(助手回款!$R$25&lt;&gt;"","借 方 金 额","")</f>
        <v>借 方 金 额</v>
      </c>
      <c r="G349" s="62" t="str">
        <f aca="false">IF(助手回款!$R$25&lt;&gt;"","贷 方 金 额","")</f>
        <v>贷 方 金 额</v>
      </c>
      <c r="H349" s="63" t="str">
        <f aca="false">IF(助手回款!$R$25&lt;&gt;"","√","")</f>
        <v>√</v>
      </c>
      <c r="I349" s="64" t="str">
        <f aca="false">IF(助手回款!$R$25&lt;&gt;"","附单据  张","")</f>
        <v>附单据  张</v>
      </c>
    </row>
    <row r="350" customFormat="false" ht="12.75" hidden="false" customHeight="true" outlineLevel="0" collapsed="false">
      <c r="B350" s="61"/>
      <c r="C350" s="61"/>
      <c r="D350" s="23" t="str">
        <f aca="false">IF(助手回款!$R$25&lt;&gt;"","总 账 科 目","")</f>
        <v>总 账 科 目</v>
      </c>
      <c r="E350" s="23" t="str">
        <f aca="false">IF(助手回款!$R$25&lt;&gt;"","明 细 科 目","")</f>
        <v>明 细 科 目</v>
      </c>
      <c r="F350" s="65"/>
      <c r="G350" s="66"/>
      <c r="H350" s="63"/>
      <c r="I350" s="64"/>
    </row>
    <row r="351" customFormat="false" ht="23.25" hidden="false" customHeight="true" outlineLevel="0" collapsed="false">
      <c r="B351" s="67" t="str">
        <f aca="false">IFERROR(INDEX(分录回款!$M:$M,MATCH($L351,分录回款!$L:$L,0)),"")</f>
        <v>回款</v>
      </c>
      <c r="C351" s="67"/>
      <c r="D351" s="23" t="str">
        <f aca="false">IFERROR(INDEX(分录回款!$E:$E,MATCH($L351,分录回款!$L:$L,0)),"")</f>
        <v>库存现金</v>
      </c>
      <c r="E351" s="23" t="str">
        <f aca="false">IFERROR(INDEX(分录回款!$F:$F,MATCH($L351,分录回款!$L:$L,0)),"")</f>
        <v/>
      </c>
      <c r="F351" s="68" t="n">
        <f aca="false">IFERROR(INDEX(分录回款!$H:$H,MATCH($L351,分录回款!$L:$L,0)),"")</f>
        <v>17642.02</v>
      </c>
      <c r="G351" s="69" t="str">
        <f aca="false">IFERROR(INDEX(分录回款!$I:$I,MATCH($L351,分录回款!$L:$L,0)),"")</f>
        <v/>
      </c>
      <c r="H351" s="23"/>
      <c r="I351" s="70"/>
      <c r="L351" s="71" t="n">
        <f aca="false">IF(助手回款!$R$25="",-1,助手回款!$R$25*100+(助手回款!$S$25-1)*6+1)</f>
        <v>2301</v>
      </c>
    </row>
    <row r="352" customFormat="false" ht="23.25" hidden="false" customHeight="true" outlineLevel="0" collapsed="false">
      <c r="B352" s="67" t="str">
        <f aca="false">""</f>
        <v/>
      </c>
      <c r="C352" s="67"/>
      <c r="D352" s="23" t="str">
        <f aca="false">IFERROR(INDEX(分录回款!$E:$E,MATCH($L352,分录回款!$L:$L,0)),"")</f>
        <v>应收账款</v>
      </c>
      <c r="E352" s="23" t="str">
        <f aca="false">IFERROR(INDEX(分录回款!$F:$F,MATCH($L352,分录回款!$L:$L,0)),"")</f>
        <v>聚合支付</v>
      </c>
      <c r="F352" s="68" t="str">
        <f aca="false">IFERROR(INDEX(分录回款!$H:$H,MATCH($L352,分录回款!$L:$L,0)),"")</f>
        <v/>
      </c>
      <c r="G352" s="69" t="n">
        <f aca="false">IFERROR(INDEX(分录回款!$I:$I,MATCH($L352,分录回款!$L:$L,0)),"")</f>
        <v>17642.02</v>
      </c>
      <c r="H352" s="23"/>
      <c r="I352" s="70"/>
      <c r="L352" s="71" t="n">
        <f aca="false">IF(助手回款!$R$25="",-1,助手回款!$R$25*100+(助手回款!$S$25-1)*6+2)</f>
        <v>2302</v>
      </c>
    </row>
    <row r="353" customFormat="false" ht="23.25" hidden="false" customHeight="true" outlineLevel="0" collapsed="false">
      <c r="B353" s="67" t="str">
        <f aca="false">""</f>
        <v/>
      </c>
      <c r="C353" s="67"/>
      <c r="D353" s="23" t="str">
        <f aca="false">IFERROR(INDEX(分录回款!$E:$E,MATCH($L353,分录回款!$L:$L,0)),"")</f>
        <v/>
      </c>
      <c r="E353" s="23" t="str">
        <f aca="false">IFERROR(INDEX(分录回款!$F:$F,MATCH($L353,分录回款!$L:$L,0)),"")</f>
        <v/>
      </c>
      <c r="F353" s="68" t="str">
        <f aca="false">IFERROR(INDEX(分录回款!$H:$H,MATCH($L353,分录回款!$L:$L,0)),"")</f>
        <v/>
      </c>
      <c r="G353" s="69" t="str">
        <f aca="false">IFERROR(INDEX(分录回款!$I:$I,MATCH($L353,分录回款!$L:$L,0)),"")</f>
        <v/>
      </c>
      <c r="H353" s="23"/>
      <c r="I353" s="70"/>
      <c r="L353" s="71" t="n">
        <f aca="false">IF(助手回款!$R$25="",-1,助手回款!$R$25*100+(助手回款!$S$25-1)*6+3)</f>
        <v>2303</v>
      </c>
    </row>
    <row r="354" customFormat="false" ht="23.25" hidden="false" customHeight="true" outlineLevel="0" collapsed="false">
      <c r="B354" s="67" t="str">
        <f aca="false">""</f>
        <v/>
      </c>
      <c r="C354" s="67"/>
      <c r="D354" s="23" t="str">
        <f aca="false">IFERROR(INDEX(分录回款!$E:$E,MATCH($L354,分录回款!$L:$L,0)),"")</f>
        <v/>
      </c>
      <c r="E354" s="23" t="str">
        <f aca="false">IFERROR(INDEX(分录回款!$F:$F,MATCH($L354,分录回款!$L:$L,0)),"")</f>
        <v/>
      </c>
      <c r="F354" s="68" t="str">
        <f aca="false">IFERROR(INDEX(分录回款!$H:$H,MATCH($L354,分录回款!$L:$L,0)),"")</f>
        <v/>
      </c>
      <c r="G354" s="69" t="str">
        <f aca="false">IFERROR(INDEX(分录回款!$I:$I,MATCH($L354,分录回款!$L:$L,0)),"")</f>
        <v/>
      </c>
      <c r="H354" s="23"/>
      <c r="I354" s="70"/>
      <c r="L354" s="71" t="n">
        <f aca="false">IF(助手回款!$R$25="",-1,助手回款!$R$25*100+(助手回款!$S$25-1)*6+4)</f>
        <v>2304</v>
      </c>
    </row>
    <row r="355" customFormat="false" ht="23.25" hidden="false" customHeight="true" outlineLevel="0" collapsed="false">
      <c r="B355" s="67" t="str">
        <f aca="false">""</f>
        <v/>
      </c>
      <c r="C355" s="67"/>
      <c r="D355" s="23" t="str">
        <f aca="false">IFERROR(INDEX(分录回款!$E:$E,MATCH($L355,分录回款!$L:$L,0)),"")</f>
        <v/>
      </c>
      <c r="E355" s="23" t="str">
        <f aca="false">IFERROR(INDEX(分录回款!$F:$F,MATCH($L355,分录回款!$L:$L,0)),"")</f>
        <v/>
      </c>
      <c r="F355" s="68" t="str">
        <f aca="false">IFERROR(INDEX(分录回款!$H:$H,MATCH($L355,分录回款!$L:$L,0)),"")</f>
        <v/>
      </c>
      <c r="G355" s="69" t="str">
        <f aca="false">IFERROR(INDEX(分录回款!$I:$I,MATCH($L355,分录回款!$L:$L,0)),"")</f>
        <v/>
      </c>
      <c r="H355" s="23"/>
      <c r="I355" s="70"/>
      <c r="L355" s="71" t="n">
        <f aca="false">IF(助手回款!$R$25="",-1,助手回款!$R$25*100+(助手回款!$S$25-1)*6+5)</f>
        <v>2305</v>
      </c>
    </row>
    <row r="356" customFormat="false" ht="23.25" hidden="false" customHeight="true" outlineLevel="0" collapsed="false">
      <c r="B356" s="67" t="str">
        <f aca="false">""</f>
        <v/>
      </c>
      <c r="C356" s="67"/>
      <c r="D356" s="23" t="str">
        <f aca="false">IFERROR(INDEX(分录回款!$E:$E,MATCH($L356,分录回款!$L:$L,0)),"")</f>
        <v/>
      </c>
      <c r="E356" s="23" t="str">
        <f aca="false">IFERROR(INDEX(分录回款!$F:$F,MATCH($L356,分录回款!$L:$L,0)),"")</f>
        <v/>
      </c>
      <c r="F356" s="68" t="str">
        <f aca="false">IFERROR(INDEX(分录回款!$H:$H,MATCH($L356,分录回款!$L:$L,0)),"")</f>
        <v/>
      </c>
      <c r="G356" s="69" t="str">
        <f aca="false">IFERROR(INDEX(分录回款!$I:$I,MATCH($L356,分录回款!$L:$L,0)),"")</f>
        <v/>
      </c>
      <c r="H356" s="23"/>
      <c r="I356" s="70"/>
      <c r="L356" s="71" t="n">
        <f aca="false">IF(助手回款!$R$25="",-1,助手回款!$R$25*100+(助手回款!$S$25-1)*6+6)</f>
        <v>2306</v>
      </c>
    </row>
    <row r="357" customFormat="false" ht="23.25" hidden="false" customHeight="true" outlineLevel="0" collapsed="false">
      <c r="B357" s="72" t="str">
        <f aca="false">IF(助手回款!$T$25=1,"合计：","")</f>
        <v>合计：</v>
      </c>
      <c r="C357" s="73" t="n">
        <f aca="false">IF(助手回款!$T$25=1,$F357,"")</f>
        <v>17642.02</v>
      </c>
      <c r="D357" s="74"/>
      <c r="E357" s="74"/>
      <c r="F357" s="75" t="n">
        <f aca="false">IF(助手回款!$T$25=1,INDEX(助手回款!$N$2:$N$66,助手回款!$R$25),"")</f>
        <v>17642.02</v>
      </c>
      <c r="G357" s="76" t="n">
        <f aca="false">IF(助手回款!$T$25=1,INDEX(助手回款!$O$2:$O$66,助手回款!$R$25),"")</f>
        <v>17642.02</v>
      </c>
      <c r="H357" s="74"/>
      <c r="I357" s="77"/>
    </row>
    <row r="358" customFormat="false" ht="6" hidden="false" customHeight="true" outlineLevel="0" collapsed="false"/>
    <row r="359" customFormat="false" ht="13.5" hidden="false" customHeight="false" outlineLevel="0" collapsed="false">
      <c r="B359" s="78" t="str">
        <f aca="false">IF(助手回款!$R$25&lt;&gt;"","会计主管：","")</f>
        <v>会计主管：</v>
      </c>
      <c r="D359" s="78" t="str">
        <f aca="false">IF(助手回款!$R$25&lt;&gt;"","会计：","")</f>
        <v>会计：</v>
      </c>
      <c r="E359" s="78" t="str">
        <f aca="false">IF(助手回款!$R$25&lt;&gt;"","出纳：","")</f>
        <v>出纳：</v>
      </c>
      <c r="F359" s="78" t="str">
        <f aca="false">IF(助手回款!$R$25&lt;&gt;"","复核：","")</f>
        <v>复核：</v>
      </c>
      <c r="G359" s="78" t="str">
        <f aca="false">IF(助手回款!$R$25&lt;&gt;"","制单：","")</f>
        <v>制单：</v>
      </c>
    </row>
    <row r="360" customFormat="false" ht="3" hidden="false" customHeight="true" outlineLevel="0" collapsed="false"/>
    <row r="361" customFormat="false" ht="19.5" hidden="false" customHeight="true" outlineLevel="0" collapsed="false">
      <c r="B361" s="53" t="str">
        <f aca="false">IF(助手回款!$R$26&lt;&gt;"","记  账  凭  证","")</f>
        <v>记  账  凭  证</v>
      </c>
      <c r="C361" s="53"/>
      <c r="D361" s="53"/>
      <c r="E361" s="53"/>
      <c r="F361" s="53"/>
      <c r="G361" s="53"/>
      <c r="H361" s="53"/>
      <c r="I361" s="53"/>
    </row>
    <row r="362" customFormat="false" ht="3" hidden="false" customHeight="true" outlineLevel="0" collapsed="false"/>
    <row r="363" customFormat="false" ht="15" hidden="false" customHeight="true" outlineLevel="0" collapsed="false">
      <c r="C363" s="56" t="n">
        <f aca="false">IF(助手回款!$R$26&lt;&gt;"",INDEX(助手回款!$B$2:$B$66,助手回款!$R$26),"")</f>
        <v>2037</v>
      </c>
      <c r="D363" s="57" t="n">
        <f aca="false">IF(助手回款!$R$26&lt;&gt;"",参数!$B$2,"")</f>
        <v>46234</v>
      </c>
      <c r="E363" s="57"/>
      <c r="F363" s="58" t="str">
        <f aca="false">IF(助手回款!$R$26&lt;&gt;"",INDEX(助手回款!$C$2:$C$66,助手回款!$R$26)&amp;"  字第 "&amp;IF(参数!$B$9="是",INDEX(助手回款!$P$2:$P$66,助手回款!$R$26),"　　　　")&amp;" 号"&amp;IF(INDEX(助手回款!$L$2:$L$66,助手回款!$R$26)&gt;1,"  (共"&amp;INDEX(助手回款!$L$2:$L$66,助手回款!$R$26)&amp;"页 第"&amp;助手回款!$S$26&amp;"页)",""),"")</f>
        <v>新华路店  字第 　　　　 号</v>
      </c>
      <c r="G363" s="58"/>
      <c r="H363" s="58"/>
      <c r="I363" s="58"/>
      <c r="M363" s="59" t="n">
        <f aca="false">IF(助手回款!$R$26="","",助手回款!$Q$26)</f>
        <v>25</v>
      </c>
      <c r="N363" s="60" t="n">
        <f aca="false">IF(助手回款!$R$26="","",INDEX(助手回款!$P$2:$P$66,助手回款!$R$26))</f>
        <v>23</v>
      </c>
      <c r="O363" s="55" t="str">
        <f aca="false">IF(助手回款!$R$26="","",INDEX(助手回款!$C$2:$C$66,助手回款!$R$26)&amp;"  字第 "&amp;INDEX(助手回款!$P$2:$P$66,助手回款!$R$26)&amp;" 号"&amp;IF(INDEX(助手回款!$L$2:$L$66,助手回款!$R$26)&gt;1,"  (共"&amp;INDEX(助手回款!$L$2:$L$66,助手回款!$R$26)&amp;"页 第"&amp;助手回款!$S$26&amp;"页)",""))</f>
        <v>新华路店  字第 23 号</v>
      </c>
    </row>
    <row r="364" customFormat="false" ht="12.75" hidden="false" customHeight="true" outlineLevel="0" collapsed="false">
      <c r="B364" s="61" t="str">
        <f aca="false">IF(助手回款!$R$26&lt;&gt;"","摘　　要","")</f>
        <v>摘　　要</v>
      </c>
      <c r="C364" s="61"/>
      <c r="D364" s="62" t="str">
        <f aca="false">IF(助手回款!$R$26&lt;&gt;"","科　　　　目","")</f>
        <v>科　　　　目</v>
      </c>
      <c r="E364" s="62"/>
      <c r="F364" s="61" t="str">
        <f aca="false">IF(助手回款!$R$26&lt;&gt;"","借 方 金 额","")</f>
        <v>借 方 金 额</v>
      </c>
      <c r="G364" s="62" t="str">
        <f aca="false">IF(助手回款!$R$26&lt;&gt;"","贷 方 金 额","")</f>
        <v>贷 方 金 额</v>
      </c>
      <c r="H364" s="63" t="str">
        <f aca="false">IF(助手回款!$R$26&lt;&gt;"","√","")</f>
        <v>√</v>
      </c>
      <c r="I364" s="64" t="str">
        <f aca="false">IF(助手回款!$R$26&lt;&gt;"","附单据  张","")</f>
        <v>附单据  张</v>
      </c>
    </row>
    <row r="365" customFormat="false" ht="12.75" hidden="false" customHeight="true" outlineLevel="0" collapsed="false">
      <c r="B365" s="61"/>
      <c r="C365" s="61"/>
      <c r="D365" s="23" t="str">
        <f aca="false">IF(助手回款!$R$26&lt;&gt;"","总 账 科 目","")</f>
        <v>总 账 科 目</v>
      </c>
      <c r="E365" s="23" t="str">
        <f aca="false">IF(助手回款!$R$26&lt;&gt;"","明 细 科 目","")</f>
        <v>明 细 科 目</v>
      </c>
      <c r="F365" s="65"/>
      <c r="G365" s="66"/>
      <c r="H365" s="63"/>
      <c r="I365" s="64"/>
    </row>
    <row r="366" customFormat="false" ht="23.25" hidden="false" customHeight="true" outlineLevel="0" collapsed="false">
      <c r="B366" s="67" t="str">
        <f aca="false">IFERROR(INDEX(分录回款!$M:$M,MATCH($L366,分录回款!$L:$L,0)),"")</f>
        <v>回款</v>
      </c>
      <c r="C366" s="67"/>
      <c r="D366" s="23" t="str">
        <f aca="false">IFERROR(INDEX(分录回款!$E:$E,MATCH($L366,分录回款!$L:$L,0)),"")</f>
        <v>库存现金</v>
      </c>
      <c r="E366" s="23" t="str">
        <f aca="false">IFERROR(INDEX(分录回款!$F:$F,MATCH($L366,分录回款!$L:$L,0)),"")</f>
        <v/>
      </c>
      <c r="F366" s="68" t="n">
        <f aca="false">IFERROR(INDEX(分录回款!$H:$H,MATCH($L366,分录回款!$L:$L,0)),"")</f>
        <v>45182.19</v>
      </c>
      <c r="G366" s="69" t="str">
        <f aca="false">IFERROR(INDEX(分录回款!$I:$I,MATCH($L366,分录回款!$L:$L,0)),"")</f>
        <v/>
      </c>
      <c r="H366" s="23"/>
      <c r="I366" s="70"/>
      <c r="L366" s="71" t="n">
        <f aca="false">IF(助手回款!$R$26="",-1,助手回款!$R$26*100+(助手回款!$S$26-1)*6+1)</f>
        <v>2401</v>
      </c>
    </row>
    <row r="367" customFormat="false" ht="23.25" hidden="false" customHeight="true" outlineLevel="0" collapsed="false">
      <c r="B367" s="67" t="str">
        <f aca="false">""</f>
        <v/>
      </c>
      <c r="C367" s="67"/>
      <c r="D367" s="23" t="str">
        <f aca="false">IFERROR(INDEX(分录回款!$E:$E,MATCH($L367,分录回款!$L:$L,0)),"")</f>
        <v>财务费用</v>
      </c>
      <c r="E367" s="23" t="str">
        <f aca="false">IFERROR(INDEX(分录回款!$F:$F,MATCH($L367,分录回款!$L:$L,0)),"")</f>
        <v>手续费</v>
      </c>
      <c r="F367" s="68" t="n">
        <f aca="false">IFERROR(INDEX(分录回款!$H:$H,MATCH($L367,分录回款!$L:$L,0)),"")</f>
        <v>4147.09</v>
      </c>
      <c r="G367" s="69" t="str">
        <f aca="false">IFERROR(INDEX(分录回款!$I:$I,MATCH($L367,分录回款!$L:$L,0)),"")</f>
        <v/>
      </c>
      <c r="H367" s="23"/>
      <c r="I367" s="70"/>
      <c r="L367" s="71" t="n">
        <f aca="false">IF(助手回款!$R$26="",-1,助手回款!$R$26*100+(助手回款!$S$26-1)*6+2)</f>
        <v>2402</v>
      </c>
    </row>
    <row r="368" customFormat="false" ht="23.25" hidden="false" customHeight="true" outlineLevel="0" collapsed="false">
      <c r="B368" s="67" t="str">
        <f aca="false">""</f>
        <v/>
      </c>
      <c r="C368" s="67"/>
      <c r="D368" s="23" t="str">
        <f aca="false">IFERROR(INDEX(分录回款!$E:$E,MATCH($L368,分录回款!$L:$L,0)),"")</f>
        <v>应收账款</v>
      </c>
      <c r="E368" s="23" t="str">
        <f aca="false">IFERROR(INDEX(分录回款!$F:$F,MATCH($L368,分录回款!$L:$L,0)),"")</f>
        <v>聚合支付</v>
      </c>
      <c r="F368" s="68" t="str">
        <f aca="false">IFERROR(INDEX(分录回款!$H:$H,MATCH($L368,分录回款!$L:$L,0)),"")</f>
        <v/>
      </c>
      <c r="G368" s="69" t="n">
        <f aca="false">IFERROR(INDEX(分录回款!$I:$I,MATCH($L368,分录回款!$L:$L,0)),"")</f>
        <v>22777.69</v>
      </c>
      <c r="H368" s="23"/>
      <c r="I368" s="70"/>
      <c r="L368" s="71" t="n">
        <f aca="false">IF(助手回款!$R$26="",-1,助手回款!$R$26*100+(助手回款!$S$26-1)*6+3)</f>
        <v>2403</v>
      </c>
    </row>
    <row r="369" customFormat="false" ht="23.25" hidden="false" customHeight="true" outlineLevel="0" collapsed="false">
      <c r="B369" s="67" t="str">
        <f aca="false">""</f>
        <v/>
      </c>
      <c r="C369" s="67"/>
      <c r="D369" s="23" t="str">
        <f aca="false">IFERROR(INDEX(分录回款!$E:$E,MATCH($L369,分录回款!$L:$L,0)),"")</f>
        <v>应收账款</v>
      </c>
      <c r="E369" s="23" t="str">
        <f aca="false">IFERROR(INDEX(分录回款!$F:$F,MATCH($L369,分录回款!$L:$L,0)),"")</f>
        <v>医保</v>
      </c>
      <c r="F369" s="68" t="str">
        <f aca="false">IFERROR(INDEX(分录回款!$H:$H,MATCH($L369,分录回款!$L:$L,0)),"")</f>
        <v/>
      </c>
      <c r="G369" s="69" t="n">
        <f aca="false">IFERROR(INDEX(分录回款!$I:$I,MATCH($L369,分录回款!$L:$L,0)),"")</f>
        <v>12655.09</v>
      </c>
      <c r="H369" s="23"/>
      <c r="I369" s="70"/>
      <c r="L369" s="71" t="n">
        <f aca="false">IF(助手回款!$R$26="",-1,助手回款!$R$26*100+(助手回款!$S$26-1)*6+4)</f>
        <v>2404</v>
      </c>
    </row>
    <row r="370" customFormat="false" ht="23.25" hidden="false" customHeight="true" outlineLevel="0" collapsed="false">
      <c r="B370" s="67" t="str">
        <f aca="false">""</f>
        <v/>
      </c>
      <c r="C370" s="67"/>
      <c r="D370" s="23" t="str">
        <f aca="false">IFERROR(INDEX(分录回款!$E:$E,MATCH($L370,分录回款!$L:$L,0)),"")</f>
        <v>应收账款</v>
      </c>
      <c r="E370" s="23" t="str">
        <f aca="false">IFERROR(INDEX(分录回款!$F:$F,MATCH($L370,分录回款!$L:$L,0)),"")</f>
        <v>美团</v>
      </c>
      <c r="F370" s="68" t="str">
        <f aca="false">IFERROR(INDEX(分录回款!$H:$H,MATCH($L370,分录回款!$L:$L,0)),"")</f>
        <v/>
      </c>
      <c r="G370" s="69" t="n">
        <f aca="false">IFERROR(INDEX(分录回款!$I:$I,MATCH($L370,分录回款!$L:$L,0)),"")</f>
        <v>7586.1</v>
      </c>
      <c r="H370" s="23"/>
      <c r="I370" s="70"/>
      <c r="L370" s="71" t="n">
        <f aca="false">IF(助手回款!$R$26="",-1,助手回款!$R$26*100+(助手回款!$S$26-1)*6+5)</f>
        <v>2405</v>
      </c>
    </row>
    <row r="371" customFormat="false" ht="23.25" hidden="false" customHeight="true" outlineLevel="0" collapsed="false">
      <c r="B371" s="67" t="str">
        <f aca="false">""</f>
        <v/>
      </c>
      <c r="C371" s="67"/>
      <c r="D371" s="23" t="str">
        <f aca="false">IFERROR(INDEX(分录回款!$E:$E,MATCH($L371,分录回款!$L:$L,0)),"")</f>
        <v>应收账款</v>
      </c>
      <c r="E371" s="23" t="str">
        <f aca="false">IFERROR(INDEX(分录回款!$F:$F,MATCH($L371,分录回款!$L:$L,0)),"")</f>
        <v>饿了么</v>
      </c>
      <c r="F371" s="68" t="str">
        <f aca="false">IFERROR(INDEX(分录回款!$H:$H,MATCH($L371,分录回款!$L:$L,0)),"")</f>
        <v/>
      </c>
      <c r="G371" s="69" t="n">
        <f aca="false">IFERROR(INDEX(分录回款!$I:$I,MATCH($L371,分录回款!$L:$L,0)),"")</f>
        <v>6310.4</v>
      </c>
      <c r="H371" s="23"/>
      <c r="I371" s="70"/>
      <c r="L371" s="71" t="n">
        <f aca="false">IF(助手回款!$R$26="",-1,助手回款!$R$26*100+(助手回款!$S$26-1)*6+6)</f>
        <v>2406</v>
      </c>
    </row>
    <row r="372" customFormat="false" ht="23.25" hidden="false" customHeight="true" outlineLevel="0" collapsed="false">
      <c r="B372" s="72" t="str">
        <f aca="false">IF(助手回款!$T$26=1,"合计：","")</f>
        <v>合计：</v>
      </c>
      <c r="C372" s="73" t="n">
        <f aca="false">IF(助手回款!$T$26=1,$F372,"")</f>
        <v>49329.28</v>
      </c>
      <c r="D372" s="74"/>
      <c r="E372" s="74"/>
      <c r="F372" s="75" t="n">
        <f aca="false">IF(助手回款!$T$26=1,INDEX(助手回款!$N$2:$N$66,助手回款!$R$26),"")</f>
        <v>49329.28</v>
      </c>
      <c r="G372" s="76" t="n">
        <f aca="false">IF(助手回款!$T$26=1,INDEX(助手回款!$O$2:$O$66,助手回款!$R$26),"")</f>
        <v>49329.28</v>
      </c>
      <c r="H372" s="74"/>
      <c r="I372" s="77"/>
    </row>
    <row r="373" customFormat="false" ht="6" hidden="false" customHeight="true" outlineLevel="0" collapsed="false"/>
    <row r="374" customFormat="false" ht="13.5" hidden="false" customHeight="false" outlineLevel="0" collapsed="false">
      <c r="B374" s="78" t="str">
        <f aca="false">IF(助手回款!$R$26&lt;&gt;"","会计主管：","")</f>
        <v>会计主管：</v>
      </c>
      <c r="D374" s="78" t="str">
        <f aca="false">IF(助手回款!$R$26&lt;&gt;"","会计：","")</f>
        <v>会计：</v>
      </c>
      <c r="E374" s="78" t="str">
        <f aca="false">IF(助手回款!$R$26&lt;&gt;"","出纳：","")</f>
        <v>出纳：</v>
      </c>
      <c r="F374" s="78" t="str">
        <f aca="false">IF(助手回款!$R$26&lt;&gt;"","复核：","")</f>
        <v>复核：</v>
      </c>
      <c r="G374" s="78" t="str">
        <f aca="false">IF(助手回款!$R$26&lt;&gt;"","制单：","")</f>
        <v>制单：</v>
      </c>
    </row>
    <row r="375" customFormat="false" ht="3" hidden="false" customHeight="true" outlineLevel="0" collapsed="false"/>
    <row r="376" customFormat="false" ht="19.5" hidden="false" customHeight="true" outlineLevel="0" collapsed="false">
      <c r="B376" s="53" t="str">
        <f aca="false">IF(助手回款!$R$27&lt;&gt;"","记  账  凭  证","")</f>
        <v>记  账  凭  证</v>
      </c>
      <c r="C376" s="53"/>
      <c r="D376" s="53"/>
      <c r="E376" s="53"/>
      <c r="F376" s="53"/>
      <c r="G376" s="53"/>
      <c r="H376" s="53"/>
      <c r="I376" s="53"/>
    </row>
    <row r="377" customFormat="false" ht="3" hidden="false" customHeight="true" outlineLevel="0" collapsed="false"/>
    <row r="378" customFormat="false" ht="15" hidden="false" customHeight="true" outlineLevel="0" collapsed="false">
      <c r="C378" s="56" t="n">
        <f aca="false">IF(助手回款!$R$27&lt;&gt;"",INDEX(助手回款!$B$2:$B$66,助手回款!$R$27),"")</f>
        <v>2038</v>
      </c>
      <c r="D378" s="57" t="n">
        <f aca="false">IF(助手回款!$R$27&lt;&gt;"",参数!$B$2,"")</f>
        <v>46234</v>
      </c>
      <c r="E378" s="57"/>
      <c r="F378" s="58" t="str">
        <f aca="false">IF(助手回款!$R$27&lt;&gt;"",INDEX(助手回款!$C$2:$C$66,助手回款!$R$27)&amp;"  字第 "&amp;IF(参数!$B$9="是",INDEX(助手回款!$P$2:$P$66,助手回款!$R$27),"　　　　")&amp;" 号"&amp;IF(INDEX(助手回款!$L$2:$L$66,助手回款!$R$27)&gt;1,"  (共"&amp;INDEX(助手回款!$L$2:$L$66,助手回款!$R$27)&amp;"页 第"&amp;助手回款!$S$27&amp;"页)",""),"")</f>
        <v>杨村王街店  字第 　　　　 号</v>
      </c>
      <c r="G378" s="58"/>
      <c r="H378" s="58"/>
      <c r="I378" s="58"/>
      <c r="M378" s="59" t="n">
        <f aca="false">IF(助手回款!$R$27="","",助手回款!$Q$27)</f>
        <v>26</v>
      </c>
      <c r="N378" s="60" t="n">
        <f aca="false">IF(助手回款!$R$27="","",INDEX(助手回款!$P$2:$P$66,助手回款!$R$27))</f>
        <v>24</v>
      </c>
      <c r="O378" s="55" t="str">
        <f aca="false">IF(助手回款!$R$27="","",INDEX(助手回款!$C$2:$C$66,助手回款!$R$27)&amp;"  字第 "&amp;INDEX(助手回款!$P$2:$P$66,助手回款!$R$27)&amp;" 号"&amp;IF(INDEX(助手回款!$L$2:$L$66,助手回款!$R$27)&gt;1,"  (共"&amp;INDEX(助手回款!$L$2:$L$66,助手回款!$R$27)&amp;"页 第"&amp;助手回款!$S$27&amp;"页)",""))</f>
        <v>杨村王街店  字第 24 号</v>
      </c>
    </row>
    <row r="379" customFormat="false" ht="12.75" hidden="false" customHeight="true" outlineLevel="0" collapsed="false">
      <c r="B379" s="61" t="str">
        <f aca="false">IF(助手回款!$R$27&lt;&gt;"","摘　　要","")</f>
        <v>摘　　要</v>
      </c>
      <c r="C379" s="61"/>
      <c r="D379" s="62" t="str">
        <f aca="false">IF(助手回款!$R$27&lt;&gt;"","科　　　　目","")</f>
        <v>科　　　　目</v>
      </c>
      <c r="E379" s="62"/>
      <c r="F379" s="61" t="str">
        <f aca="false">IF(助手回款!$R$27&lt;&gt;"","借 方 金 额","")</f>
        <v>借 方 金 额</v>
      </c>
      <c r="G379" s="62" t="str">
        <f aca="false">IF(助手回款!$R$27&lt;&gt;"","贷 方 金 额","")</f>
        <v>贷 方 金 额</v>
      </c>
      <c r="H379" s="63" t="str">
        <f aca="false">IF(助手回款!$R$27&lt;&gt;"","√","")</f>
        <v>√</v>
      </c>
      <c r="I379" s="64" t="str">
        <f aca="false">IF(助手回款!$R$27&lt;&gt;"","附单据  张","")</f>
        <v>附单据  张</v>
      </c>
    </row>
    <row r="380" customFormat="false" ht="12.75" hidden="false" customHeight="true" outlineLevel="0" collapsed="false">
      <c r="B380" s="61"/>
      <c r="C380" s="61"/>
      <c r="D380" s="23" t="str">
        <f aca="false">IF(助手回款!$R$27&lt;&gt;"","总 账 科 目","")</f>
        <v>总 账 科 目</v>
      </c>
      <c r="E380" s="23" t="str">
        <f aca="false">IF(助手回款!$R$27&lt;&gt;"","明 细 科 目","")</f>
        <v>明 细 科 目</v>
      </c>
      <c r="F380" s="65"/>
      <c r="G380" s="66"/>
      <c r="H380" s="63"/>
      <c r="I380" s="64"/>
    </row>
    <row r="381" customFormat="false" ht="23.25" hidden="false" customHeight="true" outlineLevel="0" collapsed="false">
      <c r="B381" s="67" t="str">
        <f aca="false">IFERROR(INDEX(分录回款!$M:$M,MATCH($L381,分录回款!$L:$L,0)),"")</f>
        <v>回款</v>
      </c>
      <c r="C381" s="67"/>
      <c r="D381" s="23" t="str">
        <f aca="false">IFERROR(INDEX(分录回款!$E:$E,MATCH($L381,分录回款!$L:$L,0)),"")</f>
        <v>库存现金</v>
      </c>
      <c r="E381" s="23" t="str">
        <f aca="false">IFERROR(INDEX(分录回款!$F:$F,MATCH($L381,分录回款!$L:$L,0)),"")</f>
        <v/>
      </c>
      <c r="F381" s="68" t="n">
        <f aca="false">IFERROR(INDEX(分录回款!$H:$H,MATCH($L381,分录回款!$L:$L,0)),"")</f>
        <v>26989.38</v>
      </c>
      <c r="G381" s="69" t="str">
        <f aca="false">IFERROR(INDEX(分录回款!$I:$I,MATCH($L381,分录回款!$L:$L,0)),"")</f>
        <v/>
      </c>
      <c r="H381" s="23"/>
      <c r="I381" s="70"/>
      <c r="L381" s="71" t="n">
        <f aca="false">IF(助手回款!$R$27="",-1,助手回款!$R$27*100+(助手回款!$S$27-1)*6+1)</f>
        <v>2501</v>
      </c>
    </row>
    <row r="382" customFormat="false" ht="23.25" hidden="false" customHeight="true" outlineLevel="0" collapsed="false">
      <c r="B382" s="67" t="str">
        <f aca="false">""</f>
        <v/>
      </c>
      <c r="C382" s="67"/>
      <c r="D382" s="23" t="str">
        <f aca="false">IFERROR(INDEX(分录回款!$E:$E,MATCH($L382,分录回款!$L:$L,0)),"")</f>
        <v>应收账款</v>
      </c>
      <c r="E382" s="23" t="str">
        <f aca="false">IFERROR(INDEX(分录回款!$F:$F,MATCH($L382,分录回款!$L:$L,0)),"")</f>
        <v>聚合支付</v>
      </c>
      <c r="F382" s="68" t="str">
        <f aca="false">IFERROR(INDEX(分录回款!$H:$H,MATCH($L382,分录回款!$L:$L,0)),"")</f>
        <v/>
      </c>
      <c r="G382" s="69" t="n">
        <f aca="false">IFERROR(INDEX(分录回款!$I:$I,MATCH($L382,分录回款!$L:$L,0)),"")</f>
        <v>22652</v>
      </c>
      <c r="H382" s="23"/>
      <c r="I382" s="70"/>
      <c r="L382" s="71" t="n">
        <f aca="false">IF(助手回款!$R$27="",-1,助手回款!$R$27*100+(助手回款!$S$27-1)*6+2)</f>
        <v>2502</v>
      </c>
    </row>
    <row r="383" customFormat="false" ht="23.25" hidden="false" customHeight="true" outlineLevel="0" collapsed="false">
      <c r="B383" s="67" t="str">
        <f aca="false">""</f>
        <v/>
      </c>
      <c r="C383" s="67"/>
      <c r="D383" s="23" t="str">
        <f aca="false">IFERROR(INDEX(分录回款!$E:$E,MATCH($L383,分录回款!$L:$L,0)),"")</f>
        <v>应收账款</v>
      </c>
      <c r="E383" s="23" t="str">
        <f aca="false">IFERROR(INDEX(分录回款!$F:$F,MATCH($L383,分录回款!$L:$L,0)),"")</f>
        <v>医保</v>
      </c>
      <c r="F383" s="68" t="str">
        <f aca="false">IFERROR(INDEX(分录回款!$H:$H,MATCH($L383,分录回款!$L:$L,0)),"")</f>
        <v/>
      </c>
      <c r="G383" s="69" t="n">
        <f aca="false">IFERROR(INDEX(分录回款!$I:$I,MATCH($L383,分录回款!$L:$L,0)),"")</f>
        <v>4337.38</v>
      </c>
      <c r="H383" s="23"/>
      <c r="I383" s="70"/>
      <c r="L383" s="71" t="n">
        <f aca="false">IF(助手回款!$R$27="",-1,助手回款!$R$27*100+(助手回款!$S$27-1)*6+3)</f>
        <v>2503</v>
      </c>
    </row>
    <row r="384" customFormat="false" ht="23.25" hidden="false" customHeight="true" outlineLevel="0" collapsed="false">
      <c r="B384" s="67" t="str">
        <f aca="false">""</f>
        <v/>
      </c>
      <c r="C384" s="67"/>
      <c r="D384" s="23" t="str">
        <f aca="false">IFERROR(INDEX(分录回款!$E:$E,MATCH($L384,分录回款!$L:$L,0)),"")</f>
        <v/>
      </c>
      <c r="E384" s="23" t="str">
        <f aca="false">IFERROR(INDEX(分录回款!$F:$F,MATCH($L384,分录回款!$L:$L,0)),"")</f>
        <v/>
      </c>
      <c r="F384" s="68" t="str">
        <f aca="false">IFERROR(INDEX(分录回款!$H:$H,MATCH($L384,分录回款!$L:$L,0)),"")</f>
        <v/>
      </c>
      <c r="G384" s="69" t="str">
        <f aca="false">IFERROR(INDEX(分录回款!$I:$I,MATCH($L384,分录回款!$L:$L,0)),"")</f>
        <v/>
      </c>
      <c r="H384" s="23"/>
      <c r="I384" s="70"/>
      <c r="L384" s="71" t="n">
        <f aca="false">IF(助手回款!$R$27="",-1,助手回款!$R$27*100+(助手回款!$S$27-1)*6+4)</f>
        <v>2504</v>
      </c>
    </row>
    <row r="385" customFormat="false" ht="23.25" hidden="false" customHeight="true" outlineLevel="0" collapsed="false">
      <c r="B385" s="67" t="str">
        <f aca="false">""</f>
        <v/>
      </c>
      <c r="C385" s="67"/>
      <c r="D385" s="23" t="str">
        <f aca="false">IFERROR(INDEX(分录回款!$E:$E,MATCH($L385,分录回款!$L:$L,0)),"")</f>
        <v/>
      </c>
      <c r="E385" s="23" t="str">
        <f aca="false">IFERROR(INDEX(分录回款!$F:$F,MATCH($L385,分录回款!$L:$L,0)),"")</f>
        <v/>
      </c>
      <c r="F385" s="68" t="str">
        <f aca="false">IFERROR(INDEX(分录回款!$H:$H,MATCH($L385,分录回款!$L:$L,0)),"")</f>
        <v/>
      </c>
      <c r="G385" s="69" t="str">
        <f aca="false">IFERROR(INDEX(分录回款!$I:$I,MATCH($L385,分录回款!$L:$L,0)),"")</f>
        <v/>
      </c>
      <c r="H385" s="23"/>
      <c r="I385" s="70"/>
      <c r="L385" s="71" t="n">
        <f aca="false">IF(助手回款!$R$27="",-1,助手回款!$R$27*100+(助手回款!$S$27-1)*6+5)</f>
        <v>2505</v>
      </c>
    </row>
    <row r="386" customFormat="false" ht="23.25" hidden="false" customHeight="true" outlineLevel="0" collapsed="false">
      <c r="B386" s="67" t="str">
        <f aca="false">""</f>
        <v/>
      </c>
      <c r="C386" s="67"/>
      <c r="D386" s="23" t="str">
        <f aca="false">IFERROR(INDEX(分录回款!$E:$E,MATCH($L386,分录回款!$L:$L,0)),"")</f>
        <v/>
      </c>
      <c r="E386" s="23" t="str">
        <f aca="false">IFERROR(INDEX(分录回款!$F:$F,MATCH($L386,分录回款!$L:$L,0)),"")</f>
        <v/>
      </c>
      <c r="F386" s="68" t="str">
        <f aca="false">IFERROR(INDEX(分录回款!$H:$H,MATCH($L386,分录回款!$L:$L,0)),"")</f>
        <v/>
      </c>
      <c r="G386" s="69" t="str">
        <f aca="false">IFERROR(INDEX(分录回款!$I:$I,MATCH($L386,分录回款!$L:$L,0)),"")</f>
        <v/>
      </c>
      <c r="H386" s="23"/>
      <c r="I386" s="70"/>
      <c r="L386" s="71" t="n">
        <f aca="false">IF(助手回款!$R$27="",-1,助手回款!$R$27*100+(助手回款!$S$27-1)*6+6)</f>
        <v>2506</v>
      </c>
    </row>
    <row r="387" customFormat="false" ht="23.25" hidden="false" customHeight="true" outlineLevel="0" collapsed="false">
      <c r="B387" s="72" t="str">
        <f aca="false">IF(助手回款!$T$27=1,"合计：","")</f>
        <v>合计：</v>
      </c>
      <c r="C387" s="73" t="n">
        <f aca="false">IF(助手回款!$T$27=1,$F387,"")</f>
        <v>26989.38</v>
      </c>
      <c r="D387" s="74"/>
      <c r="E387" s="74"/>
      <c r="F387" s="75" t="n">
        <f aca="false">IF(助手回款!$T$27=1,INDEX(助手回款!$N$2:$N$66,助手回款!$R$27),"")</f>
        <v>26989.38</v>
      </c>
      <c r="G387" s="76" t="n">
        <f aca="false">IF(助手回款!$T$27=1,INDEX(助手回款!$O$2:$O$66,助手回款!$R$27),"")</f>
        <v>26989.38</v>
      </c>
      <c r="H387" s="74"/>
      <c r="I387" s="77"/>
    </row>
    <row r="388" customFormat="false" ht="6" hidden="false" customHeight="true" outlineLevel="0" collapsed="false"/>
    <row r="389" customFormat="false" ht="13.5" hidden="false" customHeight="false" outlineLevel="0" collapsed="false">
      <c r="B389" s="78" t="str">
        <f aca="false">IF(助手回款!$R$27&lt;&gt;"","会计主管：","")</f>
        <v>会计主管：</v>
      </c>
      <c r="D389" s="78" t="str">
        <f aca="false">IF(助手回款!$R$27&lt;&gt;"","会计：","")</f>
        <v>会计：</v>
      </c>
      <c r="E389" s="78" t="str">
        <f aca="false">IF(助手回款!$R$27&lt;&gt;"","出纳：","")</f>
        <v>出纳：</v>
      </c>
      <c r="F389" s="78" t="str">
        <f aca="false">IF(助手回款!$R$27&lt;&gt;"","复核：","")</f>
        <v>复核：</v>
      </c>
      <c r="G389" s="78" t="str">
        <f aca="false">IF(助手回款!$R$27&lt;&gt;"","制单：","")</f>
        <v>制单：</v>
      </c>
    </row>
    <row r="390" customFormat="false" ht="3" hidden="false" customHeight="true" outlineLevel="0" collapsed="false"/>
    <row r="391" customFormat="false" ht="19.5" hidden="false" customHeight="true" outlineLevel="0" collapsed="false">
      <c r="B391" s="53" t="str">
        <f aca="false">IF(助手回款!$R$28&lt;&gt;"","记  账  凭  证","")</f>
        <v>记  账  凭  证</v>
      </c>
      <c r="C391" s="53"/>
      <c r="D391" s="53"/>
      <c r="E391" s="53"/>
      <c r="F391" s="53"/>
      <c r="G391" s="53"/>
      <c r="H391" s="53"/>
      <c r="I391" s="53"/>
    </row>
    <row r="392" customFormat="false" ht="3" hidden="false" customHeight="true" outlineLevel="0" collapsed="false"/>
    <row r="393" customFormat="false" ht="15" hidden="false" customHeight="true" outlineLevel="0" collapsed="false">
      <c r="C393" s="56" t="n">
        <f aca="false">IF(助手回款!$R$28&lt;&gt;"",INDEX(助手回款!$B$2:$B$66,助手回款!$R$28),"")</f>
        <v>2039</v>
      </c>
      <c r="D393" s="57" t="n">
        <f aca="false">IF(助手回款!$R$28&lt;&gt;"",参数!$B$2,"")</f>
        <v>46234</v>
      </c>
      <c r="E393" s="57"/>
      <c r="F393" s="58" t="str">
        <f aca="false">IF(助手回款!$R$28&lt;&gt;"",INDEX(助手回款!$C$2:$C$66,助手回款!$R$28)&amp;"  字第 "&amp;IF(参数!$B$9="是",INDEX(助手回款!$P$2:$P$66,助手回款!$R$28),"　　　　")&amp;" 号"&amp;IF(INDEX(助手回款!$L$2:$L$66,助手回款!$R$28)&gt;1,"  (共"&amp;INDEX(助手回款!$L$2:$L$66,助手回款!$R$28)&amp;"页 第"&amp;助手回款!$S$28&amp;"页)",""),"")</f>
        <v>千户营店  字第 　　　　 号</v>
      </c>
      <c r="G393" s="58"/>
      <c r="H393" s="58"/>
      <c r="I393" s="58"/>
      <c r="M393" s="59" t="n">
        <f aca="false">IF(助手回款!$R$28="","",助手回款!$Q$28)</f>
        <v>27</v>
      </c>
      <c r="N393" s="60" t="n">
        <f aca="false">IF(助手回款!$R$28="","",INDEX(助手回款!$P$2:$P$66,助手回款!$R$28))</f>
        <v>25</v>
      </c>
      <c r="O393" s="55" t="str">
        <f aca="false">IF(助手回款!$R$28="","",INDEX(助手回款!$C$2:$C$66,助手回款!$R$28)&amp;"  字第 "&amp;INDEX(助手回款!$P$2:$P$66,助手回款!$R$28)&amp;" 号"&amp;IF(INDEX(助手回款!$L$2:$L$66,助手回款!$R$28)&gt;1,"  (共"&amp;INDEX(助手回款!$L$2:$L$66,助手回款!$R$28)&amp;"页 第"&amp;助手回款!$S$28&amp;"页)",""))</f>
        <v>千户营店  字第 25 号</v>
      </c>
    </row>
    <row r="394" customFormat="false" ht="12.75" hidden="false" customHeight="true" outlineLevel="0" collapsed="false">
      <c r="B394" s="61" t="str">
        <f aca="false">IF(助手回款!$R$28&lt;&gt;"","摘　　要","")</f>
        <v>摘　　要</v>
      </c>
      <c r="C394" s="61"/>
      <c r="D394" s="62" t="str">
        <f aca="false">IF(助手回款!$R$28&lt;&gt;"","科　　　　目","")</f>
        <v>科　　　　目</v>
      </c>
      <c r="E394" s="62"/>
      <c r="F394" s="61" t="str">
        <f aca="false">IF(助手回款!$R$28&lt;&gt;"","借 方 金 额","")</f>
        <v>借 方 金 额</v>
      </c>
      <c r="G394" s="62" t="str">
        <f aca="false">IF(助手回款!$R$28&lt;&gt;"","贷 方 金 额","")</f>
        <v>贷 方 金 额</v>
      </c>
      <c r="H394" s="63" t="str">
        <f aca="false">IF(助手回款!$R$28&lt;&gt;"","√","")</f>
        <v>√</v>
      </c>
      <c r="I394" s="64" t="str">
        <f aca="false">IF(助手回款!$R$28&lt;&gt;"","附单据  张","")</f>
        <v>附单据  张</v>
      </c>
    </row>
    <row r="395" customFormat="false" ht="12.75" hidden="false" customHeight="true" outlineLevel="0" collapsed="false">
      <c r="B395" s="61"/>
      <c r="C395" s="61"/>
      <c r="D395" s="23" t="str">
        <f aca="false">IF(助手回款!$R$28&lt;&gt;"","总 账 科 目","")</f>
        <v>总 账 科 目</v>
      </c>
      <c r="E395" s="23" t="str">
        <f aca="false">IF(助手回款!$R$28&lt;&gt;"","明 细 科 目","")</f>
        <v>明 细 科 目</v>
      </c>
      <c r="F395" s="65"/>
      <c r="G395" s="66"/>
      <c r="H395" s="63"/>
      <c r="I395" s="64"/>
    </row>
    <row r="396" customFormat="false" ht="23.25" hidden="false" customHeight="true" outlineLevel="0" collapsed="false">
      <c r="B396" s="67" t="str">
        <f aca="false">IFERROR(INDEX(分录回款!$M:$M,MATCH($L396,分录回款!$L:$L,0)),"")</f>
        <v>回款</v>
      </c>
      <c r="C396" s="67"/>
      <c r="D396" s="23" t="str">
        <f aca="false">IFERROR(INDEX(分录回款!$E:$E,MATCH($L396,分录回款!$L:$L,0)),"")</f>
        <v>库存现金</v>
      </c>
      <c r="E396" s="23" t="str">
        <f aca="false">IFERROR(INDEX(分录回款!$F:$F,MATCH($L396,分录回款!$L:$L,0)),"")</f>
        <v/>
      </c>
      <c r="F396" s="68" t="n">
        <f aca="false">IFERROR(INDEX(分录回款!$H:$H,MATCH($L396,分录回款!$L:$L,0)),"")</f>
        <v>48822.62</v>
      </c>
      <c r="G396" s="69" t="str">
        <f aca="false">IFERROR(INDEX(分录回款!$I:$I,MATCH($L396,分录回款!$L:$L,0)),"")</f>
        <v/>
      </c>
      <c r="H396" s="23"/>
      <c r="I396" s="70"/>
      <c r="L396" s="71" t="n">
        <f aca="false">IF(助手回款!$R$28="",-1,助手回款!$R$28*100+(助手回款!$S$28-1)*6+1)</f>
        <v>2601</v>
      </c>
    </row>
    <row r="397" customFormat="false" ht="23.25" hidden="false" customHeight="true" outlineLevel="0" collapsed="false">
      <c r="B397" s="67" t="str">
        <f aca="false">""</f>
        <v/>
      </c>
      <c r="C397" s="67"/>
      <c r="D397" s="23" t="str">
        <f aca="false">IFERROR(INDEX(分录回款!$E:$E,MATCH($L397,分录回款!$L:$L,0)),"")</f>
        <v>应收账款</v>
      </c>
      <c r="E397" s="23" t="str">
        <f aca="false">IFERROR(INDEX(分录回款!$F:$F,MATCH($L397,分录回款!$L:$L,0)),"")</f>
        <v>聚合支付</v>
      </c>
      <c r="F397" s="68" t="str">
        <f aca="false">IFERROR(INDEX(分录回款!$H:$H,MATCH($L397,分录回款!$L:$L,0)),"")</f>
        <v/>
      </c>
      <c r="G397" s="69" t="n">
        <f aca="false">IFERROR(INDEX(分录回款!$I:$I,MATCH($L397,分录回款!$L:$L,0)),"")</f>
        <v>41825.68</v>
      </c>
      <c r="H397" s="23"/>
      <c r="I397" s="70"/>
      <c r="L397" s="71" t="n">
        <f aca="false">IF(助手回款!$R$28="",-1,助手回款!$R$28*100+(助手回款!$S$28-1)*6+2)</f>
        <v>2602</v>
      </c>
    </row>
    <row r="398" customFormat="false" ht="23.25" hidden="false" customHeight="true" outlineLevel="0" collapsed="false">
      <c r="B398" s="67" t="str">
        <f aca="false">""</f>
        <v/>
      </c>
      <c r="C398" s="67"/>
      <c r="D398" s="23" t="str">
        <f aca="false">IFERROR(INDEX(分录回款!$E:$E,MATCH($L398,分录回款!$L:$L,0)),"")</f>
        <v>应收账款</v>
      </c>
      <c r="E398" s="23" t="str">
        <f aca="false">IFERROR(INDEX(分录回款!$F:$F,MATCH($L398,分录回款!$L:$L,0)),"")</f>
        <v>医保</v>
      </c>
      <c r="F398" s="68" t="str">
        <f aca="false">IFERROR(INDEX(分录回款!$H:$H,MATCH($L398,分录回款!$L:$L,0)),"")</f>
        <v/>
      </c>
      <c r="G398" s="69" t="n">
        <f aca="false">IFERROR(INDEX(分录回款!$I:$I,MATCH($L398,分录回款!$L:$L,0)),"")</f>
        <v>6996.94</v>
      </c>
      <c r="H398" s="23"/>
      <c r="I398" s="70"/>
      <c r="L398" s="71" t="n">
        <f aca="false">IF(助手回款!$R$28="",-1,助手回款!$R$28*100+(助手回款!$S$28-1)*6+3)</f>
        <v>2603</v>
      </c>
    </row>
    <row r="399" customFormat="false" ht="23.25" hidden="false" customHeight="true" outlineLevel="0" collapsed="false">
      <c r="B399" s="67" t="str">
        <f aca="false">""</f>
        <v/>
      </c>
      <c r="C399" s="67"/>
      <c r="D399" s="23" t="str">
        <f aca="false">IFERROR(INDEX(分录回款!$E:$E,MATCH($L399,分录回款!$L:$L,0)),"")</f>
        <v/>
      </c>
      <c r="E399" s="23" t="str">
        <f aca="false">IFERROR(INDEX(分录回款!$F:$F,MATCH($L399,分录回款!$L:$L,0)),"")</f>
        <v/>
      </c>
      <c r="F399" s="68" t="str">
        <f aca="false">IFERROR(INDEX(分录回款!$H:$H,MATCH($L399,分录回款!$L:$L,0)),"")</f>
        <v/>
      </c>
      <c r="G399" s="69" t="str">
        <f aca="false">IFERROR(INDEX(分录回款!$I:$I,MATCH($L399,分录回款!$L:$L,0)),"")</f>
        <v/>
      </c>
      <c r="H399" s="23"/>
      <c r="I399" s="70"/>
      <c r="L399" s="71" t="n">
        <f aca="false">IF(助手回款!$R$28="",-1,助手回款!$R$28*100+(助手回款!$S$28-1)*6+4)</f>
        <v>2604</v>
      </c>
    </row>
    <row r="400" customFormat="false" ht="23.25" hidden="false" customHeight="true" outlineLevel="0" collapsed="false">
      <c r="B400" s="67" t="str">
        <f aca="false">""</f>
        <v/>
      </c>
      <c r="C400" s="67"/>
      <c r="D400" s="23" t="str">
        <f aca="false">IFERROR(INDEX(分录回款!$E:$E,MATCH($L400,分录回款!$L:$L,0)),"")</f>
        <v/>
      </c>
      <c r="E400" s="23" t="str">
        <f aca="false">IFERROR(INDEX(分录回款!$F:$F,MATCH($L400,分录回款!$L:$L,0)),"")</f>
        <v/>
      </c>
      <c r="F400" s="68" t="str">
        <f aca="false">IFERROR(INDEX(分录回款!$H:$H,MATCH($L400,分录回款!$L:$L,0)),"")</f>
        <v/>
      </c>
      <c r="G400" s="69" t="str">
        <f aca="false">IFERROR(INDEX(分录回款!$I:$I,MATCH($L400,分录回款!$L:$L,0)),"")</f>
        <v/>
      </c>
      <c r="H400" s="23"/>
      <c r="I400" s="70"/>
      <c r="L400" s="71" t="n">
        <f aca="false">IF(助手回款!$R$28="",-1,助手回款!$R$28*100+(助手回款!$S$28-1)*6+5)</f>
        <v>2605</v>
      </c>
    </row>
    <row r="401" customFormat="false" ht="23.25" hidden="false" customHeight="true" outlineLevel="0" collapsed="false">
      <c r="B401" s="67" t="str">
        <f aca="false">""</f>
        <v/>
      </c>
      <c r="C401" s="67"/>
      <c r="D401" s="23" t="str">
        <f aca="false">IFERROR(INDEX(分录回款!$E:$E,MATCH($L401,分录回款!$L:$L,0)),"")</f>
        <v/>
      </c>
      <c r="E401" s="23" t="str">
        <f aca="false">IFERROR(INDEX(分录回款!$F:$F,MATCH($L401,分录回款!$L:$L,0)),"")</f>
        <v/>
      </c>
      <c r="F401" s="68" t="str">
        <f aca="false">IFERROR(INDEX(分录回款!$H:$H,MATCH($L401,分录回款!$L:$L,0)),"")</f>
        <v/>
      </c>
      <c r="G401" s="69" t="str">
        <f aca="false">IFERROR(INDEX(分录回款!$I:$I,MATCH($L401,分录回款!$L:$L,0)),"")</f>
        <v/>
      </c>
      <c r="H401" s="23"/>
      <c r="I401" s="70"/>
      <c r="L401" s="71" t="n">
        <f aca="false">IF(助手回款!$R$28="",-1,助手回款!$R$28*100+(助手回款!$S$28-1)*6+6)</f>
        <v>2606</v>
      </c>
    </row>
    <row r="402" customFormat="false" ht="23.25" hidden="false" customHeight="true" outlineLevel="0" collapsed="false">
      <c r="B402" s="72" t="str">
        <f aca="false">IF(助手回款!$T$28=1,"合计：","")</f>
        <v>合计：</v>
      </c>
      <c r="C402" s="73" t="n">
        <f aca="false">IF(助手回款!$T$28=1,$F402,"")</f>
        <v>48822.62</v>
      </c>
      <c r="D402" s="74"/>
      <c r="E402" s="74"/>
      <c r="F402" s="75" t="n">
        <f aca="false">IF(助手回款!$T$28=1,INDEX(助手回款!$N$2:$N$66,助手回款!$R$28),"")</f>
        <v>48822.62</v>
      </c>
      <c r="G402" s="76" t="n">
        <f aca="false">IF(助手回款!$T$28=1,INDEX(助手回款!$O$2:$O$66,助手回款!$R$28),"")</f>
        <v>48822.62</v>
      </c>
      <c r="H402" s="74"/>
      <c r="I402" s="77"/>
    </row>
    <row r="403" customFormat="false" ht="6" hidden="false" customHeight="true" outlineLevel="0" collapsed="false"/>
    <row r="404" customFormat="false" ht="13.5" hidden="false" customHeight="false" outlineLevel="0" collapsed="false">
      <c r="B404" s="78" t="str">
        <f aca="false">IF(助手回款!$R$28&lt;&gt;"","会计主管：","")</f>
        <v>会计主管：</v>
      </c>
      <c r="D404" s="78" t="str">
        <f aca="false">IF(助手回款!$R$28&lt;&gt;"","会计：","")</f>
        <v>会计：</v>
      </c>
      <c r="E404" s="78" t="str">
        <f aca="false">IF(助手回款!$R$28&lt;&gt;"","出纳：","")</f>
        <v>出纳：</v>
      </c>
      <c r="F404" s="78" t="str">
        <f aca="false">IF(助手回款!$R$28&lt;&gt;"","复核：","")</f>
        <v>复核：</v>
      </c>
      <c r="G404" s="78" t="str">
        <f aca="false">IF(助手回款!$R$28&lt;&gt;"","制单：","")</f>
        <v>制单：</v>
      </c>
    </row>
    <row r="405" customFormat="false" ht="3" hidden="false" customHeight="true" outlineLevel="0" collapsed="false"/>
    <row r="406" customFormat="false" ht="19.5" hidden="false" customHeight="true" outlineLevel="0" collapsed="false">
      <c r="B406" s="53" t="str">
        <f aca="false">IF(助手回款!$R$29&lt;&gt;"","记  账  凭  证","")</f>
        <v>记  账  凭  证</v>
      </c>
      <c r="C406" s="53"/>
      <c r="D406" s="53"/>
      <c r="E406" s="53"/>
      <c r="F406" s="53"/>
      <c r="G406" s="53"/>
      <c r="H406" s="53"/>
      <c r="I406" s="53"/>
    </row>
    <row r="407" customFormat="false" ht="3" hidden="false" customHeight="true" outlineLevel="0" collapsed="false"/>
    <row r="408" customFormat="false" ht="15" hidden="false" customHeight="true" outlineLevel="0" collapsed="false">
      <c r="C408" s="56" t="n">
        <f aca="false">IF(助手回款!$R$29&lt;&gt;"",INDEX(助手回款!$B$2:$B$66,助手回款!$R$29),"")</f>
        <v>2040</v>
      </c>
      <c r="D408" s="57" t="n">
        <f aca="false">IF(助手回款!$R$29&lt;&gt;"",参数!$B$2,"")</f>
        <v>46234</v>
      </c>
      <c r="E408" s="57"/>
      <c r="F408" s="58" t="str">
        <f aca="false">IF(助手回款!$R$29&lt;&gt;"",INDEX(助手回款!$C$2:$C$66,助手回款!$R$29)&amp;"  字第 "&amp;IF(参数!$B$9="是",INDEX(助手回款!$P$2:$P$66,助手回款!$R$29),"　　　　")&amp;" 号"&amp;IF(INDEX(助手回款!$L$2:$L$66,助手回款!$R$29)&gt;1,"  (共"&amp;INDEX(助手回款!$L$2:$L$66,助手回款!$R$29)&amp;"页 第"&amp;助手回款!$S$29&amp;"页)",""),"")</f>
        <v>大张庄店  字第 　　　　 号</v>
      </c>
      <c r="G408" s="58"/>
      <c r="H408" s="58"/>
      <c r="I408" s="58"/>
      <c r="M408" s="59" t="n">
        <f aca="false">IF(助手回款!$R$29="","",助手回款!$Q$29)</f>
        <v>28</v>
      </c>
      <c r="N408" s="60" t="n">
        <f aca="false">IF(助手回款!$R$29="","",INDEX(助手回款!$P$2:$P$66,助手回款!$R$29))</f>
        <v>26</v>
      </c>
      <c r="O408" s="55" t="str">
        <f aca="false">IF(助手回款!$R$29="","",INDEX(助手回款!$C$2:$C$66,助手回款!$R$29)&amp;"  字第 "&amp;INDEX(助手回款!$P$2:$P$66,助手回款!$R$29)&amp;" 号"&amp;IF(INDEX(助手回款!$L$2:$L$66,助手回款!$R$29)&gt;1,"  (共"&amp;INDEX(助手回款!$L$2:$L$66,助手回款!$R$29)&amp;"页 第"&amp;助手回款!$S$29&amp;"页)",""))</f>
        <v>大张庄店  字第 26 号</v>
      </c>
    </row>
    <row r="409" customFormat="false" ht="12.75" hidden="false" customHeight="true" outlineLevel="0" collapsed="false">
      <c r="B409" s="61" t="str">
        <f aca="false">IF(助手回款!$R$29&lt;&gt;"","摘　　要","")</f>
        <v>摘　　要</v>
      </c>
      <c r="C409" s="61"/>
      <c r="D409" s="62" t="str">
        <f aca="false">IF(助手回款!$R$29&lt;&gt;"","科　　　　目","")</f>
        <v>科　　　　目</v>
      </c>
      <c r="E409" s="62"/>
      <c r="F409" s="61" t="str">
        <f aca="false">IF(助手回款!$R$29&lt;&gt;"","借 方 金 额","")</f>
        <v>借 方 金 额</v>
      </c>
      <c r="G409" s="62" t="str">
        <f aca="false">IF(助手回款!$R$29&lt;&gt;"","贷 方 金 额","")</f>
        <v>贷 方 金 额</v>
      </c>
      <c r="H409" s="63" t="str">
        <f aca="false">IF(助手回款!$R$29&lt;&gt;"","√","")</f>
        <v>√</v>
      </c>
      <c r="I409" s="64" t="str">
        <f aca="false">IF(助手回款!$R$29&lt;&gt;"","附单据  张","")</f>
        <v>附单据  张</v>
      </c>
    </row>
    <row r="410" customFormat="false" ht="12.75" hidden="false" customHeight="true" outlineLevel="0" collapsed="false">
      <c r="B410" s="61"/>
      <c r="C410" s="61"/>
      <c r="D410" s="23" t="str">
        <f aca="false">IF(助手回款!$R$29&lt;&gt;"","总 账 科 目","")</f>
        <v>总 账 科 目</v>
      </c>
      <c r="E410" s="23" t="str">
        <f aca="false">IF(助手回款!$R$29&lt;&gt;"","明 细 科 目","")</f>
        <v>明 细 科 目</v>
      </c>
      <c r="F410" s="65"/>
      <c r="G410" s="66"/>
      <c r="H410" s="63"/>
      <c r="I410" s="64"/>
    </row>
    <row r="411" customFormat="false" ht="23.25" hidden="false" customHeight="true" outlineLevel="0" collapsed="false">
      <c r="B411" s="67" t="str">
        <f aca="false">IFERROR(INDEX(分录回款!$M:$M,MATCH($L411,分录回款!$L:$L,0)),"")</f>
        <v>回款</v>
      </c>
      <c r="C411" s="67"/>
      <c r="D411" s="23" t="str">
        <f aca="false">IFERROR(INDEX(分录回款!$E:$E,MATCH($L411,分录回款!$L:$L,0)),"")</f>
        <v>库存现金</v>
      </c>
      <c r="E411" s="23" t="str">
        <f aca="false">IFERROR(INDEX(分录回款!$F:$F,MATCH($L411,分录回款!$L:$L,0)),"")</f>
        <v/>
      </c>
      <c r="F411" s="68" t="n">
        <f aca="false">IFERROR(INDEX(分录回款!$H:$H,MATCH($L411,分录回款!$L:$L,0)),"")</f>
        <v>62695.3</v>
      </c>
      <c r="G411" s="69" t="str">
        <f aca="false">IFERROR(INDEX(分录回款!$I:$I,MATCH($L411,分录回款!$L:$L,0)),"")</f>
        <v/>
      </c>
      <c r="H411" s="23"/>
      <c r="I411" s="70"/>
      <c r="L411" s="71" t="n">
        <f aca="false">IF(助手回款!$R$29="",-1,助手回款!$R$29*100+(助手回款!$S$29-1)*6+1)</f>
        <v>2701</v>
      </c>
    </row>
    <row r="412" customFormat="false" ht="23.25" hidden="false" customHeight="true" outlineLevel="0" collapsed="false">
      <c r="B412" s="67" t="str">
        <f aca="false">""</f>
        <v/>
      </c>
      <c r="C412" s="67"/>
      <c r="D412" s="23" t="str">
        <f aca="false">IFERROR(INDEX(分录回款!$E:$E,MATCH($L412,分录回款!$L:$L,0)),"")</f>
        <v>应收账款</v>
      </c>
      <c r="E412" s="23" t="str">
        <f aca="false">IFERROR(INDEX(分录回款!$F:$F,MATCH($L412,分录回款!$L:$L,0)),"")</f>
        <v>聚合支付</v>
      </c>
      <c r="F412" s="68" t="str">
        <f aca="false">IFERROR(INDEX(分录回款!$H:$H,MATCH($L412,分录回款!$L:$L,0)),"")</f>
        <v/>
      </c>
      <c r="G412" s="69" t="n">
        <f aca="false">IFERROR(INDEX(分录回款!$I:$I,MATCH($L412,分录回款!$L:$L,0)),"")</f>
        <v>51124.15</v>
      </c>
      <c r="H412" s="23"/>
      <c r="I412" s="70"/>
      <c r="L412" s="71" t="n">
        <f aca="false">IF(助手回款!$R$29="",-1,助手回款!$R$29*100+(助手回款!$S$29-1)*6+2)</f>
        <v>2702</v>
      </c>
    </row>
    <row r="413" customFormat="false" ht="23.25" hidden="false" customHeight="true" outlineLevel="0" collapsed="false">
      <c r="B413" s="67" t="str">
        <f aca="false">""</f>
        <v/>
      </c>
      <c r="C413" s="67"/>
      <c r="D413" s="23" t="str">
        <f aca="false">IFERROR(INDEX(分录回款!$E:$E,MATCH($L413,分录回款!$L:$L,0)),"")</f>
        <v>应收账款</v>
      </c>
      <c r="E413" s="23" t="str">
        <f aca="false">IFERROR(INDEX(分录回款!$F:$F,MATCH($L413,分录回款!$L:$L,0)),"")</f>
        <v>医保</v>
      </c>
      <c r="F413" s="68" t="str">
        <f aca="false">IFERROR(INDEX(分录回款!$H:$H,MATCH($L413,分录回款!$L:$L,0)),"")</f>
        <v/>
      </c>
      <c r="G413" s="69" t="n">
        <f aca="false">IFERROR(INDEX(分录回款!$I:$I,MATCH($L413,分录回款!$L:$L,0)),"")</f>
        <v>11571.15</v>
      </c>
      <c r="H413" s="23"/>
      <c r="I413" s="70"/>
      <c r="L413" s="71" t="n">
        <f aca="false">IF(助手回款!$R$29="",-1,助手回款!$R$29*100+(助手回款!$S$29-1)*6+3)</f>
        <v>2703</v>
      </c>
    </row>
    <row r="414" customFormat="false" ht="23.25" hidden="false" customHeight="true" outlineLevel="0" collapsed="false">
      <c r="B414" s="67" t="str">
        <f aca="false">""</f>
        <v/>
      </c>
      <c r="C414" s="67"/>
      <c r="D414" s="23" t="str">
        <f aca="false">IFERROR(INDEX(分录回款!$E:$E,MATCH($L414,分录回款!$L:$L,0)),"")</f>
        <v/>
      </c>
      <c r="E414" s="23" t="str">
        <f aca="false">IFERROR(INDEX(分录回款!$F:$F,MATCH($L414,分录回款!$L:$L,0)),"")</f>
        <v/>
      </c>
      <c r="F414" s="68" t="str">
        <f aca="false">IFERROR(INDEX(分录回款!$H:$H,MATCH($L414,分录回款!$L:$L,0)),"")</f>
        <v/>
      </c>
      <c r="G414" s="69" t="str">
        <f aca="false">IFERROR(INDEX(分录回款!$I:$I,MATCH($L414,分录回款!$L:$L,0)),"")</f>
        <v/>
      </c>
      <c r="H414" s="23"/>
      <c r="I414" s="70"/>
      <c r="L414" s="71" t="n">
        <f aca="false">IF(助手回款!$R$29="",-1,助手回款!$R$29*100+(助手回款!$S$29-1)*6+4)</f>
        <v>2704</v>
      </c>
    </row>
    <row r="415" customFormat="false" ht="23.25" hidden="false" customHeight="true" outlineLevel="0" collapsed="false">
      <c r="B415" s="67" t="str">
        <f aca="false">""</f>
        <v/>
      </c>
      <c r="C415" s="67"/>
      <c r="D415" s="23" t="str">
        <f aca="false">IFERROR(INDEX(分录回款!$E:$E,MATCH($L415,分录回款!$L:$L,0)),"")</f>
        <v/>
      </c>
      <c r="E415" s="23" t="str">
        <f aca="false">IFERROR(INDEX(分录回款!$F:$F,MATCH($L415,分录回款!$L:$L,0)),"")</f>
        <v/>
      </c>
      <c r="F415" s="68" t="str">
        <f aca="false">IFERROR(INDEX(分录回款!$H:$H,MATCH($L415,分录回款!$L:$L,0)),"")</f>
        <v/>
      </c>
      <c r="G415" s="69" t="str">
        <f aca="false">IFERROR(INDEX(分录回款!$I:$I,MATCH($L415,分录回款!$L:$L,0)),"")</f>
        <v/>
      </c>
      <c r="H415" s="23"/>
      <c r="I415" s="70"/>
      <c r="L415" s="71" t="n">
        <f aca="false">IF(助手回款!$R$29="",-1,助手回款!$R$29*100+(助手回款!$S$29-1)*6+5)</f>
        <v>2705</v>
      </c>
    </row>
    <row r="416" customFormat="false" ht="23.25" hidden="false" customHeight="true" outlineLevel="0" collapsed="false">
      <c r="B416" s="67" t="str">
        <f aca="false">""</f>
        <v/>
      </c>
      <c r="C416" s="67"/>
      <c r="D416" s="23" t="str">
        <f aca="false">IFERROR(INDEX(分录回款!$E:$E,MATCH($L416,分录回款!$L:$L,0)),"")</f>
        <v/>
      </c>
      <c r="E416" s="23" t="str">
        <f aca="false">IFERROR(INDEX(分录回款!$F:$F,MATCH($L416,分录回款!$L:$L,0)),"")</f>
        <v/>
      </c>
      <c r="F416" s="68" t="str">
        <f aca="false">IFERROR(INDEX(分录回款!$H:$H,MATCH($L416,分录回款!$L:$L,0)),"")</f>
        <v/>
      </c>
      <c r="G416" s="69" t="str">
        <f aca="false">IFERROR(INDEX(分录回款!$I:$I,MATCH($L416,分录回款!$L:$L,0)),"")</f>
        <v/>
      </c>
      <c r="H416" s="23"/>
      <c r="I416" s="70"/>
      <c r="L416" s="71" t="n">
        <f aca="false">IF(助手回款!$R$29="",-1,助手回款!$R$29*100+(助手回款!$S$29-1)*6+6)</f>
        <v>2706</v>
      </c>
    </row>
    <row r="417" customFormat="false" ht="23.25" hidden="false" customHeight="true" outlineLevel="0" collapsed="false">
      <c r="B417" s="72" t="str">
        <f aca="false">IF(助手回款!$T$29=1,"合计：","")</f>
        <v>合计：</v>
      </c>
      <c r="C417" s="73" t="n">
        <f aca="false">IF(助手回款!$T$29=1,$F417,"")</f>
        <v>62695.3</v>
      </c>
      <c r="D417" s="74"/>
      <c r="E417" s="74"/>
      <c r="F417" s="75" t="n">
        <f aca="false">IF(助手回款!$T$29=1,INDEX(助手回款!$N$2:$N$66,助手回款!$R$29),"")</f>
        <v>62695.3</v>
      </c>
      <c r="G417" s="76" t="n">
        <f aca="false">IF(助手回款!$T$29=1,INDEX(助手回款!$O$2:$O$66,助手回款!$R$29),"")</f>
        <v>62695.3</v>
      </c>
      <c r="H417" s="74"/>
      <c r="I417" s="77"/>
    </row>
    <row r="418" customFormat="false" ht="6" hidden="false" customHeight="true" outlineLevel="0" collapsed="false"/>
    <row r="419" customFormat="false" ht="13.5" hidden="false" customHeight="false" outlineLevel="0" collapsed="false">
      <c r="B419" s="78" t="str">
        <f aca="false">IF(助手回款!$R$29&lt;&gt;"","会计主管：","")</f>
        <v>会计主管：</v>
      </c>
      <c r="D419" s="78" t="str">
        <f aca="false">IF(助手回款!$R$29&lt;&gt;"","会计：","")</f>
        <v>会计：</v>
      </c>
      <c r="E419" s="78" t="str">
        <f aca="false">IF(助手回款!$R$29&lt;&gt;"","出纳：","")</f>
        <v>出纳：</v>
      </c>
      <c r="F419" s="78" t="str">
        <f aca="false">IF(助手回款!$R$29&lt;&gt;"","复核：","")</f>
        <v>复核：</v>
      </c>
      <c r="G419" s="78" t="str">
        <f aca="false">IF(助手回款!$R$29&lt;&gt;"","制单：","")</f>
        <v>制单：</v>
      </c>
    </row>
    <row r="420" customFormat="false" ht="3" hidden="false" customHeight="true" outlineLevel="0" collapsed="false"/>
    <row r="421" customFormat="false" ht="19.5" hidden="false" customHeight="true" outlineLevel="0" collapsed="false">
      <c r="B421" s="53" t="str">
        <f aca="false">IF(助手回款!$R$30&lt;&gt;"","记  账  凭  证","")</f>
        <v>记  账  凭  证</v>
      </c>
      <c r="C421" s="53"/>
      <c r="D421" s="53"/>
      <c r="E421" s="53"/>
      <c r="F421" s="53"/>
      <c r="G421" s="53"/>
      <c r="H421" s="53"/>
      <c r="I421" s="53"/>
    </row>
    <row r="422" customFormat="false" ht="3" hidden="false" customHeight="true" outlineLevel="0" collapsed="false"/>
    <row r="423" customFormat="false" ht="15" hidden="false" customHeight="true" outlineLevel="0" collapsed="false">
      <c r="C423" s="56" t="n">
        <f aca="false">IF(助手回款!$R$30&lt;&gt;"",INDEX(助手回款!$B$2:$B$66,助手回款!$R$30),"")</f>
        <v>2041</v>
      </c>
      <c r="D423" s="57" t="n">
        <f aca="false">IF(助手回款!$R$30&lt;&gt;"",参数!$B$2,"")</f>
        <v>46234</v>
      </c>
      <c r="E423" s="57"/>
      <c r="F423" s="58" t="str">
        <f aca="false">IF(助手回款!$R$30&lt;&gt;"",INDEX(助手回款!$C$2:$C$66,助手回款!$R$30)&amp;"  字第 "&amp;IF(参数!$B$9="是",INDEX(助手回款!$P$2:$P$66,助手回款!$R$30),"　　　　")&amp;" 号"&amp;IF(INDEX(助手回款!$L$2:$L$66,助手回款!$R$30)&gt;1,"  (共"&amp;INDEX(助手回款!$L$2:$L$66,助手回款!$R$30)&amp;"页 第"&amp;助手回款!$S$30&amp;"页)",""),"")</f>
        <v>郝庄店  字第 　　　　 号</v>
      </c>
      <c r="G423" s="58"/>
      <c r="H423" s="58"/>
      <c r="I423" s="58"/>
      <c r="M423" s="59" t="n">
        <f aca="false">IF(助手回款!$R$30="","",助手回款!$Q$30)</f>
        <v>29</v>
      </c>
      <c r="N423" s="60" t="n">
        <f aca="false">IF(助手回款!$R$30="","",INDEX(助手回款!$P$2:$P$66,助手回款!$R$30))</f>
        <v>27</v>
      </c>
      <c r="O423" s="55" t="str">
        <f aca="false">IF(助手回款!$R$30="","",INDEX(助手回款!$C$2:$C$66,助手回款!$R$30)&amp;"  字第 "&amp;INDEX(助手回款!$P$2:$P$66,助手回款!$R$30)&amp;" 号"&amp;IF(INDEX(助手回款!$L$2:$L$66,助手回款!$R$30)&gt;1,"  (共"&amp;INDEX(助手回款!$L$2:$L$66,助手回款!$R$30)&amp;"页 第"&amp;助手回款!$S$30&amp;"页)",""))</f>
        <v>郝庄店  字第 27 号</v>
      </c>
    </row>
    <row r="424" customFormat="false" ht="12.75" hidden="false" customHeight="true" outlineLevel="0" collapsed="false">
      <c r="B424" s="61" t="str">
        <f aca="false">IF(助手回款!$R$30&lt;&gt;"","摘　　要","")</f>
        <v>摘　　要</v>
      </c>
      <c r="C424" s="61"/>
      <c r="D424" s="62" t="str">
        <f aca="false">IF(助手回款!$R$30&lt;&gt;"","科　　　　目","")</f>
        <v>科　　　　目</v>
      </c>
      <c r="E424" s="62"/>
      <c r="F424" s="61" t="str">
        <f aca="false">IF(助手回款!$R$30&lt;&gt;"","借 方 金 额","")</f>
        <v>借 方 金 额</v>
      </c>
      <c r="G424" s="62" t="str">
        <f aca="false">IF(助手回款!$R$30&lt;&gt;"","贷 方 金 额","")</f>
        <v>贷 方 金 额</v>
      </c>
      <c r="H424" s="63" t="str">
        <f aca="false">IF(助手回款!$R$30&lt;&gt;"","√","")</f>
        <v>√</v>
      </c>
      <c r="I424" s="64" t="str">
        <f aca="false">IF(助手回款!$R$30&lt;&gt;"","附单据  张","")</f>
        <v>附单据  张</v>
      </c>
    </row>
    <row r="425" customFormat="false" ht="12.75" hidden="false" customHeight="true" outlineLevel="0" collapsed="false">
      <c r="B425" s="61"/>
      <c r="C425" s="61"/>
      <c r="D425" s="23" t="str">
        <f aca="false">IF(助手回款!$R$30&lt;&gt;"","总 账 科 目","")</f>
        <v>总 账 科 目</v>
      </c>
      <c r="E425" s="23" t="str">
        <f aca="false">IF(助手回款!$R$30&lt;&gt;"","明 细 科 目","")</f>
        <v>明 细 科 目</v>
      </c>
      <c r="F425" s="65"/>
      <c r="G425" s="66"/>
      <c r="H425" s="63"/>
      <c r="I425" s="64"/>
    </row>
    <row r="426" customFormat="false" ht="23.25" hidden="false" customHeight="true" outlineLevel="0" collapsed="false">
      <c r="B426" s="67" t="str">
        <f aca="false">IFERROR(INDEX(分录回款!$M:$M,MATCH($L426,分录回款!$L:$L,0)),"")</f>
        <v>回款</v>
      </c>
      <c r="C426" s="67"/>
      <c r="D426" s="23" t="str">
        <f aca="false">IFERROR(INDEX(分录回款!$E:$E,MATCH($L426,分录回款!$L:$L,0)),"")</f>
        <v>库存现金</v>
      </c>
      <c r="E426" s="23" t="str">
        <f aca="false">IFERROR(INDEX(分录回款!$F:$F,MATCH($L426,分录回款!$L:$L,0)),"")</f>
        <v/>
      </c>
      <c r="F426" s="68" t="n">
        <f aca="false">IFERROR(INDEX(分录回款!$H:$H,MATCH($L426,分录回款!$L:$L,0)),"")</f>
        <v>37197.81</v>
      </c>
      <c r="G426" s="69" t="str">
        <f aca="false">IFERROR(INDEX(分录回款!$I:$I,MATCH($L426,分录回款!$L:$L,0)),"")</f>
        <v/>
      </c>
      <c r="H426" s="23"/>
      <c r="I426" s="70"/>
      <c r="L426" s="71" t="n">
        <f aca="false">IF(助手回款!$R$30="",-1,助手回款!$R$30*100+(助手回款!$S$30-1)*6+1)</f>
        <v>2801</v>
      </c>
    </row>
    <row r="427" customFormat="false" ht="23.25" hidden="false" customHeight="true" outlineLevel="0" collapsed="false">
      <c r="B427" s="67" t="str">
        <f aca="false">""</f>
        <v/>
      </c>
      <c r="C427" s="67"/>
      <c r="D427" s="23" t="str">
        <f aca="false">IFERROR(INDEX(分录回款!$E:$E,MATCH($L427,分录回款!$L:$L,0)),"")</f>
        <v>应收账款</v>
      </c>
      <c r="E427" s="23" t="str">
        <f aca="false">IFERROR(INDEX(分录回款!$F:$F,MATCH($L427,分录回款!$L:$L,0)),"")</f>
        <v>聚合支付</v>
      </c>
      <c r="F427" s="68" t="str">
        <f aca="false">IFERROR(INDEX(分录回款!$H:$H,MATCH($L427,分录回款!$L:$L,0)),"")</f>
        <v/>
      </c>
      <c r="G427" s="69" t="n">
        <f aca="false">IFERROR(INDEX(分录回款!$I:$I,MATCH($L427,分录回款!$L:$L,0)),"")</f>
        <v>37197.81</v>
      </c>
      <c r="H427" s="23"/>
      <c r="I427" s="70"/>
      <c r="L427" s="71" t="n">
        <f aca="false">IF(助手回款!$R$30="",-1,助手回款!$R$30*100+(助手回款!$S$30-1)*6+2)</f>
        <v>2802</v>
      </c>
    </row>
    <row r="428" customFormat="false" ht="23.25" hidden="false" customHeight="true" outlineLevel="0" collapsed="false">
      <c r="B428" s="67" t="str">
        <f aca="false">""</f>
        <v/>
      </c>
      <c r="C428" s="67"/>
      <c r="D428" s="23" t="str">
        <f aca="false">IFERROR(INDEX(分录回款!$E:$E,MATCH($L428,分录回款!$L:$L,0)),"")</f>
        <v/>
      </c>
      <c r="E428" s="23" t="str">
        <f aca="false">IFERROR(INDEX(分录回款!$F:$F,MATCH($L428,分录回款!$L:$L,0)),"")</f>
        <v/>
      </c>
      <c r="F428" s="68" t="str">
        <f aca="false">IFERROR(INDEX(分录回款!$H:$H,MATCH($L428,分录回款!$L:$L,0)),"")</f>
        <v/>
      </c>
      <c r="G428" s="69" t="str">
        <f aca="false">IFERROR(INDEX(分录回款!$I:$I,MATCH($L428,分录回款!$L:$L,0)),"")</f>
        <v/>
      </c>
      <c r="H428" s="23"/>
      <c r="I428" s="70"/>
      <c r="L428" s="71" t="n">
        <f aca="false">IF(助手回款!$R$30="",-1,助手回款!$R$30*100+(助手回款!$S$30-1)*6+3)</f>
        <v>2803</v>
      </c>
    </row>
    <row r="429" customFormat="false" ht="23.25" hidden="false" customHeight="true" outlineLevel="0" collapsed="false">
      <c r="B429" s="67" t="str">
        <f aca="false">""</f>
        <v/>
      </c>
      <c r="C429" s="67"/>
      <c r="D429" s="23" t="str">
        <f aca="false">IFERROR(INDEX(分录回款!$E:$E,MATCH($L429,分录回款!$L:$L,0)),"")</f>
        <v/>
      </c>
      <c r="E429" s="23" t="str">
        <f aca="false">IFERROR(INDEX(分录回款!$F:$F,MATCH($L429,分录回款!$L:$L,0)),"")</f>
        <v/>
      </c>
      <c r="F429" s="68" t="str">
        <f aca="false">IFERROR(INDEX(分录回款!$H:$H,MATCH($L429,分录回款!$L:$L,0)),"")</f>
        <v/>
      </c>
      <c r="G429" s="69" t="str">
        <f aca="false">IFERROR(INDEX(分录回款!$I:$I,MATCH($L429,分录回款!$L:$L,0)),"")</f>
        <v/>
      </c>
      <c r="H429" s="23"/>
      <c r="I429" s="70"/>
      <c r="L429" s="71" t="n">
        <f aca="false">IF(助手回款!$R$30="",-1,助手回款!$R$30*100+(助手回款!$S$30-1)*6+4)</f>
        <v>2804</v>
      </c>
    </row>
    <row r="430" customFormat="false" ht="23.25" hidden="false" customHeight="true" outlineLevel="0" collapsed="false">
      <c r="B430" s="67" t="str">
        <f aca="false">""</f>
        <v/>
      </c>
      <c r="C430" s="67"/>
      <c r="D430" s="23" t="str">
        <f aca="false">IFERROR(INDEX(分录回款!$E:$E,MATCH($L430,分录回款!$L:$L,0)),"")</f>
        <v/>
      </c>
      <c r="E430" s="23" t="str">
        <f aca="false">IFERROR(INDEX(分录回款!$F:$F,MATCH($L430,分录回款!$L:$L,0)),"")</f>
        <v/>
      </c>
      <c r="F430" s="68" t="str">
        <f aca="false">IFERROR(INDEX(分录回款!$H:$H,MATCH($L430,分录回款!$L:$L,0)),"")</f>
        <v/>
      </c>
      <c r="G430" s="69" t="str">
        <f aca="false">IFERROR(INDEX(分录回款!$I:$I,MATCH($L430,分录回款!$L:$L,0)),"")</f>
        <v/>
      </c>
      <c r="H430" s="23"/>
      <c r="I430" s="70"/>
      <c r="L430" s="71" t="n">
        <f aca="false">IF(助手回款!$R$30="",-1,助手回款!$R$30*100+(助手回款!$S$30-1)*6+5)</f>
        <v>2805</v>
      </c>
    </row>
    <row r="431" customFormat="false" ht="23.25" hidden="false" customHeight="true" outlineLevel="0" collapsed="false">
      <c r="B431" s="67" t="str">
        <f aca="false">""</f>
        <v/>
      </c>
      <c r="C431" s="67"/>
      <c r="D431" s="23" t="str">
        <f aca="false">IFERROR(INDEX(分录回款!$E:$E,MATCH($L431,分录回款!$L:$L,0)),"")</f>
        <v/>
      </c>
      <c r="E431" s="23" t="str">
        <f aca="false">IFERROR(INDEX(分录回款!$F:$F,MATCH($L431,分录回款!$L:$L,0)),"")</f>
        <v/>
      </c>
      <c r="F431" s="68" t="str">
        <f aca="false">IFERROR(INDEX(分录回款!$H:$H,MATCH($L431,分录回款!$L:$L,0)),"")</f>
        <v/>
      </c>
      <c r="G431" s="69" t="str">
        <f aca="false">IFERROR(INDEX(分录回款!$I:$I,MATCH($L431,分录回款!$L:$L,0)),"")</f>
        <v/>
      </c>
      <c r="H431" s="23"/>
      <c r="I431" s="70"/>
      <c r="L431" s="71" t="n">
        <f aca="false">IF(助手回款!$R$30="",-1,助手回款!$R$30*100+(助手回款!$S$30-1)*6+6)</f>
        <v>2806</v>
      </c>
    </row>
    <row r="432" customFormat="false" ht="23.25" hidden="false" customHeight="true" outlineLevel="0" collapsed="false">
      <c r="B432" s="72" t="str">
        <f aca="false">IF(助手回款!$T$30=1,"合计：","")</f>
        <v>合计：</v>
      </c>
      <c r="C432" s="73" t="n">
        <f aca="false">IF(助手回款!$T$30=1,$F432,"")</f>
        <v>37197.81</v>
      </c>
      <c r="D432" s="74"/>
      <c r="E432" s="74"/>
      <c r="F432" s="75" t="n">
        <f aca="false">IF(助手回款!$T$30=1,INDEX(助手回款!$N$2:$N$66,助手回款!$R$30),"")</f>
        <v>37197.81</v>
      </c>
      <c r="G432" s="76" t="n">
        <f aca="false">IF(助手回款!$T$30=1,INDEX(助手回款!$O$2:$O$66,助手回款!$R$30),"")</f>
        <v>37197.81</v>
      </c>
      <c r="H432" s="74"/>
      <c r="I432" s="77"/>
    </row>
    <row r="433" customFormat="false" ht="6" hidden="false" customHeight="true" outlineLevel="0" collapsed="false"/>
    <row r="434" customFormat="false" ht="13.5" hidden="false" customHeight="false" outlineLevel="0" collapsed="false">
      <c r="B434" s="78" t="str">
        <f aca="false">IF(助手回款!$R$30&lt;&gt;"","会计主管：","")</f>
        <v>会计主管：</v>
      </c>
      <c r="D434" s="78" t="str">
        <f aca="false">IF(助手回款!$R$30&lt;&gt;"","会计：","")</f>
        <v>会计：</v>
      </c>
      <c r="E434" s="78" t="str">
        <f aca="false">IF(助手回款!$R$30&lt;&gt;"","出纳：","")</f>
        <v>出纳：</v>
      </c>
      <c r="F434" s="78" t="str">
        <f aca="false">IF(助手回款!$R$30&lt;&gt;"","复核：","")</f>
        <v>复核：</v>
      </c>
      <c r="G434" s="78" t="str">
        <f aca="false">IF(助手回款!$R$30&lt;&gt;"","制单：","")</f>
        <v>制单：</v>
      </c>
    </row>
    <row r="435" customFormat="false" ht="3" hidden="false" customHeight="true" outlineLevel="0" collapsed="false"/>
    <row r="436" customFormat="false" ht="19.5" hidden="false" customHeight="true" outlineLevel="0" collapsed="false">
      <c r="B436" s="53" t="str">
        <f aca="false">IF(助手回款!$R$31&lt;&gt;"","记  账  凭  证","")</f>
        <v>记  账  凭  证</v>
      </c>
      <c r="C436" s="53"/>
      <c r="D436" s="53"/>
      <c r="E436" s="53"/>
      <c r="F436" s="53"/>
      <c r="G436" s="53"/>
      <c r="H436" s="53"/>
      <c r="I436" s="53"/>
    </row>
    <row r="437" customFormat="false" ht="3" hidden="false" customHeight="true" outlineLevel="0" collapsed="false"/>
    <row r="438" customFormat="false" ht="15" hidden="false" customHeight="true" outlineLevel="0" collapsed="false">
      <c r="C438" s="56" t="n">
        <f aca="false">IF(助手回款!$R$31&lt;&gt;"",INDEX(助手回款!$B$2:$B$66,助手回款!$R$31),"")</f>
        <v>2042</v>
      </c>
      <c r="D438" s="57" t="n">
        <f aca="false">IF(助手回款!$R$31&lt;&gt;"",参数!$B$2,"")</f>
        <v>46234</v>
      </c>
      <c r="E438" s="57"/>
      <c r="F438" s="58" t="str">
        <f aca="false">IF(助手回款!$R$31&lt;&gt;"",INDEX(助手回款!$C$2:$C$66,助手回款!$R$31)&amp;"  字第 "&amp;IF(参数!$B$9="是",INDEX(助手回款!$P$2:$P$66,助手回款!$R$31),"　　　　")&amp;" 号"&amp;IF(INDEX(助手回款!$L$2:$L$66,助手回款!$R$31)&gt;1,"  (共"&amp;INDEX(助手回款!$L$2:$L$66,助手回款!$R$31)&amp;"页 第"&amp;助手回款!$S$31&amp;"页)",""),"")</f>
        <v>白家寨店  字第 　　　　 号</v>
      </c>
      <c r="G438" s="58"/>
      <c r="H438" s="58"/>
      <c r="I438" s="58"/>
      <c r="M438" s="59" t="n">
        <f aca="false">IF(助手回款!$R$31="","",助手回款!$Q$31)</f>
        <v>30</v>
      </c>
      <c r="N438" s="60" t="n">
        <f aca="false">IF(助手回款!$R$31="","",INDEX(助手回款!$P$2:$P$66,助手回款!$R$31))</f>
        <v>28</v>
      </c>
      <c r="O438" s="55" t="str">
        <f aca="false">IF(助手回款!$R$31="","",INDEX(助手回款!$C$2:$C$66,助手回款!$R$31)&amp;"  字第 "&amp;INDEX(助手回款!$P$2:$P$66,助手回款!$R$31)&amp;" 号"&amp;IF(INDEX(助手回款!$L$2:$L$66,助手回款!$R$31)&gt;1,"  (共"&amp;INDEX(助手回款!$L$2:$L$66,助手回款!$R$31)&amp;"页 第"&amp;助手回款!$S$31&amp;"页)",""))</f>
        <v>白家寨店  字第 28 号</v>
      </c>
    </row>
    <row r="439" customFormat="false" ht="12.75" hidden="false" customHeight="true" outlineLevel="0" collapsed="false">
      <c r="B439" s="61" t="str">
        <f aca="false">IF(助手回款!$R$31&lt;&gt;"","摘　　要","")</f>
        <v>摘　　要</v>
      </c>
      <c r="C439" s="61"/>
      <c r="D439" s="62" t="str">
        <f aca="false">IF(助手回款!$R$31&lt;&gt;"","科　　　　目","")</f>
        <v>科　　　　目</v>
      </c>
      <c r="E439" s="62"/>
      <c r="F439" s="61" t="str">
        <f aca="false">IF(助手回款!$R$31&lt;&gt;"","借 方 金 额","")</f>
        <v>借 方 金 额</v>
      </c>
      <c r="G439" s="62" t="str">
        <f aca="false">IF(助手回款!$R$31&lt;&gt;"","贷 方 金 额","")</f>
        <v>贷 方 金 额</v>
      </c>
      <c r="H439" s="63" t="str">
        <f aca="false">IF(助手回款!$R$31&lt;&gt;"","√","")</f>
        <v>√</v>
      </c>
      <c r="I439" s="64" t="str">
        <f aca="false">IF(助手回款!$R$31&lt;&gt;"","附单据  张","")</f>
        <v>附单据  张</v>
      </c>
    </row>
    <row r="440" customFormat="false" ht="12.75" hidden="false" customHeight="true" outlineLevel="0" collapsed="false">
      <c r="B440" s="61"/>
      <c r="C440" s="61"/>
      <c r="D440" s="23" t="str">
        <f aca="false">IF(助手回款!$R$31&lt;&gt;"","总 账 科 目","")</f>
        <v>总 账 科 目</v>
      </c>
      <c r="E440" s="23" t="str">
        <f aca="false">IF(助手回款!$R$31&lt;&gt;"","明 细 科 目","")</f>
        <v>明 细 科 目</v>
      </c>
      <c r="F440" s="65"/>
      <c r="G440" s="66"/>
      <c r="H440" s="63"/>
      <c r="I440" s="64"/>
    </row>
    <row r="441" customFormat="false" ht="23.25" hidden="false" customHeight="true" outlineLevel="0" collapsed="false">
      <c r="B441" s="67" t="str">
        <f aca="false">IFERROR(INDEX(分录回款!$M:$M,MATCH($L441,分录回款!$L:$L,0)),"")</f>
        <v>回款</v>
      </c>
      <c r="C441" s="67"/>
      <c r="D441" s="23" t="str">
        <f aca="false">IFERROR(INDEX(分录回款!$E:$E,MATCH($L441,分录回款!$L:$L,0)),"")</f>
        <v>库存现金</v>
      </c>
      <c r="E441" s="23" t="str">
        <f aca="false">IFERROR(INDEX(分录回款!$F:$F,MATCH($L441,分录回款!$L:$L,0)),"")</f>
        <v/>
      </c>
      <c r="F441" s="68" t="n">
        <f aca="false">IFERROR(INDEX(分录回款!$H:$H,MATCH($L441,分录回款!$L:$L,0)),"")</f>
        <v>37112.57</v>
      </c>
      <c r="G441" s="69" t="str">
        <f aca="false">IFERROR(INDEX(分录回款!$I:$I,MATCH($L441,分录回款!$L:$L,0)),"")</f>
        <v/>
      </c>
      <c r="H441" s="23"/>
      <c r="I441" s="70"/>
      <c r="L441" s="71" t="n">
        <f aca="false">IF(助手回款!$R$31="",-1,助手回款!$R$31*100+(助手回款!$S$31-1)*6+1)</f>
        <v>2901</v>
      </c>
    </row>
    <row r="442" customFormat="false" ht="23.25" hidden="false" customHeight="true" outlineLevel="0" collapsed="false">
      <c r="B442" s="67" t="str">
        <f aca="false">""</f>
        <v/>
      </c>
      <c r="C442" s="67"/>
      <c r="D442" s="23" t="str">
        <f aca="false">IFERROR(INDEX(分录回款!$E:$E,MATCH($L442,分录回款!$L:$L,0)),"")</f>
        <v>应收账款</v>
      </c>
      <c r="E442" s="23" t="str">
        <f aca="false">IFERROR(INDEX(分录回款!$F:$F,MATCH($L442,分录回款!$L:$L,0)),"")</f>
        <v>聚合支付</v>
      </c>
      <c r="F442" s="68" t="str">
        <f aca="false">IFERROR(INDEX(分录回款!$H:$H,MATCH($L442,分录回款!$L:$L,0)),"")</f>
        <v/>
      </c>
      <c r="G442" s="69" t="n">
        <f aca="false">IFERROR(INDEX(分录回款!$I:$I,MATCH($L442,分录回款!$L:$L,0)),"")</f>
        <v>31450.32</v>
      </c>
      <c r="H442" s="23"/>
      <c r="I442" s="70"/>
      <c r="L442" s="71" t="n">
        <f aca="false">IF(助手回款!$R$31="",-1,助手回款!$R$31*100+(助手回款!$S$31-1)*6+2)</f>
        <v>2902</v>
      </c>
    </row>
    <row r="443" customFormat="false" ht="23.25" hidden="false" customHeight="true" outlineLevel="0" collapsed="false">
      <c r="B443" s="67" t="str">
        <f aca="false">""</f>
        <v/>
      </c>
      <c r="C443" s="67"/>
      <c r="D443" s="23" t="str">
        <f aca="false">IFERROR(INDEX(分录回款!$E:$E,MATCH($L443,分录回款!$L:$L,0)),"")</f>
        <v>应收账款</v>
      </c>
      <c r="E443" s="23" t="str">
        <f aca="false">IFERROR(INDEX(分录回款!$F:$F,MATCH($L443,分录回款!$L:$L,0)),"")</f>
        <v>医保</v>
      </c>
      <c r="F443" s="68" t="str">
        <f aca="false">IFERROR(INDEX(分录回款!$H:$H,MATCH($L443,分录回款!$L:$L,0)),"")</f>
        <v/>
      </c>
      <c r="G443" s="69" t="n">
        <f aca="false">IFERROR(INDEX(分录回款!$I:$I,MATCH($L443,分录回款!$L:$L,0)),"")</f>
        <v>5662.25</v>
      </c>
      <c r="H443" s="23"/>
      <c r="I443" s="70"/>
      <c r="L443" s="71" t="n">
        <f aca="false">IF(助手回款!$R$31="",-1,助手回款!$R$31*100+(助手回款!$S$31-1)*6+3)</f>
        <v>2903</v>
      </c>
    </row>
    <row r="444" customFormat="false" ht="23.25" hidden="false" customHeight="true" outlineLevel="0" collapsed="false">
      <c r="B444" s="67" t="str">
        <f aca="false">""</f>
        <v/>
      </c>
      <c r="C444" s="67"/>
      <c r="D444" s="23" t="str">
        <f aca="false">IFERROR(INDEX(分录回款!$E:$E,MATCH($L444,分录回款!$L:$L,0)),"")</f>
        <v/>
      </c>
      <c r="E444" s="23" t="str">
        <f aca="false">IFERROR(INDEX(分录回款!$F:$F,MATCH($L444,分录回款!$L:$L,0)),"")</f>
        <v/>
      </c>
      <c r="F444" s="68" t="str">
        <f aca="false">IFERROR(INDEX(分录回款!$H:$H,MATCH($L444,分录回款!$L:$L,0)),"")</f>
        <v/>
      </c>
      <c r="G444" s="69" t="str">
        <f aca="false">IFERROR(INDEX(分录回款!$I:$I,MATCH($L444,分录回款!$L:$L,0)),"")</f>
        <v/>
      </c>
      <c r="H444" s="23"/>
      <c r="I444" s="70"/>
      <c r="L444" s="71" t="n">
        <f aca="false">IF(助手回款!$R$31="",-1,助手回款!$R$31*100+(助手回款!$S$31-1)*6+4)</f>
        <v>2904</v>
      </c>
    </row>
    <row r="445" customFormat="false" ht="23.25" hidden="false" customHeight="true" outlineLevel="0" collapsed="false">
      <c r="B445" s="67" t="str">
        <f aca="false">""</f>
        <v/>
      </c>
      <c r="C445" s="67"/>
      <c r="D445" s="23" t="str">
        <f aca="false">IFERROR(INDEX(分录回款!$E:$E,MATCH($L445,分录回款!$L:$L,0)),"")</f>
        <v/>
      </c>
      <c r="E445" s="23" t="str">
        <f aca="false">IFERROR(INDEX(分录回款!$F:$F,MATCH($L445,分录回款!$L:$L,0)),"")</f>
        <v/>
      </c>
      <c r="F445" s="68" t="str">
        <f aca="false">IFERROR(INDEX(分录回款!$H:$H,MATCH($L445,分录回款!$L:$L,0)),"")</f>
        <v/>
      </c>
      <c r="G445" s="69" t="str">
        <f aca="false">IFERROR(INDEX(分录回款!$I:$I,MATCH($L445,分录回款!$L:$L,0)),"")</f>
        <v/>
      </c>
      <c r="H445" s="23"/>
      <c r="I445" s="70"/>
      <c r="L445" s="71" t="n">
        <f aca="false">IF(助手回款!$R$31="",-1,助手回款!$R$31*100+(助手回款!$S$31-1)*6+5)</f>
        <v>2905</v>
      </c>
    </row>
    <row r="446" customFormat="false" ht="23.25" hidden="false" customHeight="true" outlineLevel="0" collapsed="false">
      <c r="B446" s="67" t="str">
        <f aca="false">""</f>
        <v/>
      </c>
      <c r="C446" s="67"/>
      <c r="D446" s="23" t="str">
        <f aca="false">IFERROR(INDEX(分录回款!$E:$E,MATCH($L446,分录回款!$L:$L,0)),"")</f>
        <v/>
      </c>
      <c r="E446" s="23" t="str">
        <f aca="false">IFERROR(INDEX(分录回款!$F:$F,MATCH($L446,分录回款!$L:$L,0)),"")</f>
        <v/>
      </c>
      <c r="F446" s="68" t="str">
        <f aca="false">IFERROR(INDEX(分录回款!$H:$H,MATCH($L446,分录回款!$L:$L,0)),"")</f>
        <v/>
      </c>
      <c r="G446" s="69" t="str">
        <f aca="false">IFERROR(INDEX(分录回款!$I:$I,MATCH($L446,分录回款!$L:$L,0)),"")</f>
        <v/>
      </c>
      <c r="H446" s="23"/>
      <c r="I446" s="70"/>
      <c r="L446" s="71" t="n">
        <f aca="false">IF(助手回款!$R$31="",-1,助手回款!$R$31*100+(助手回款!$S$31-1)*6+6)</f>
        <v>2906</v>
      </c>
    </row>
    <row r="447" customFormat="false" ht="23.25" hidden="false" customHeight="true" outlineLevel="0" collapsed="false">
      <c r="B447" s="72" t="str">
        <f aca="false">IF(助手回款!$T$31=1,"合计：","")</f>
        <v>合计：</v>
      </c>
      <c r="C447" s="73" t="n">
        <f aca="false">IF(助手回款!$T$31=1,$F447,"")</f>
        <v>37112.57</v>
      </c>
      <c r="D447" s="74"/>
      <c r="E447" s="74"/>
      <c r="F447" s="75" t="n">
        <f aca="false">IF(助手回款!$T$31=1,INDEX(助手回款!$N$2:$N$66,助手回款!$R$31),"")</f>
        <v>37112.57</v>
      </c>
      <c r="G447" s="76" t="n">
        <f aca="false">IF(助手回款!$T$31=1,INDEX(助手回款!$O$2:$O$66,助手回款!$R$31),"")</f>
        <v>37112.57</v>
      </c>
      <c r="H447" s="74"/>
      <c r="I447" s="77"/>
    </row>
    <row r="448" customFormat="false" ht="6" hidden="false" customHeight="true" outlineLevel="0" collapsed="false"/>
    <row r="449" customFormat="false" ht="13.5" hidden="false" customHeight="false" outlineLevel="0" collapsed="false">
      <c r="B449" s="78" t="str">
        <f aca="false">IF(助手回款!$R$31&lt;&gt;"","会计主管：","")</f>
        <v>会计主管：</v>
      </c>
      <c r="D449" s="78" t="str">
        <f aca="false">IF(助手回款!$R$31&lt;&gt;"","会计：","")</f>
        <v>会计：</v>
      </c>
      <c r="E449" s="78" t="str">
        <f aca="false">IF(助手回款!$R$31&lt;&gt;"","出纳：","")</f>
        <v>出纳：</v>
      </c>
      <c r="F449" s="78" t="str">
        <f aca="false">IF(助手回款!$R$31&lt;&gt;"","复核：","")</f>
        <v>复核：</v>
      </c>
      <c r="G449" s="78" t="str">
        <f aca="false">IF(助手回款!$R$31&lt;&gt;"","制单：","")</f>
        <v>制单：</v>
      </c>
    </row>
    <row r="450" customFormat="false" ht="3" hidden="false" customHeight="true" outlineLevel="0" collapsed="false"/>
    <row r="451" customFormat="false" ht="19.5" hidden="false" customHeight="true" outlineLevel="0" collapsed="false">
      <c r="B451" s="53" t="str">
        <f aca="false">IF(助手回款!$R$32&lt;&gt;"","记  账  凭  证","")</f>
        <v>记  账  凭  证</v>
      </c>
      <c r="C451" s="53"/>
      <c r="D451" s="53"/>
      <c r="E451" s="53"/>
      <c r="F451" s="53"/>
      <c r="G451" s="53"/>
      <c r="H451" s="53"/>
      <c r="I451" s="53"/>
    </row>
    <row r="452" customFormat="false" ht="3" hidden="false" customHeight="true" outlineLevel="0" collapsed="false"/>
    <row r="453" customFormat="false" ht="15" hidden="false" customHeight="true" outlineLevel="0" collapsed="false">
      <c r="C453" s="56" t="n">
        <f aca="false">IF(助手回款!$R$32&lt;&gt;"",INDEX(助手回款!$B$2:$B$66,助手回款!$R$32),"")</f>
        <v>2043</v>
      </c>
      <c r="D453" s="57" t="n">
        <f aca="false">IF(助手回款!$R$32&lt;&gt;"",参数!$B$2,"")</f>
        <v>46234</v>
      </c>
      <c r="E453" s="57"/>
      <c r="F453" s="58" t="str">
        <f aca="false">IF(助手回款!$R$32&lt;&gt;"",INDEX(助手回款!$C$2:$C$66,助手回款!$R$32)&amp;"  字第 "&amp;IF(参数!$B$9="是",INDEX(助手回款!$P$2:$P$66,助手回款!$R$32),"　　　　")&amp;" 号"&amp;IF(INDEX(助手回款!$L$2:$L$66,助手回款!$R$32)&gt;1,"  (共"&amp;INDEX(助手回款!$L$2:$L$66,助手回款!$R$32)&amp;"页 第"&amp;助手回款!$S$32&amp;"页)",""),"")</f>
        <v>博福店  字第 　　　　 号  (共2页 第1页)</v>
      </c>
      <c r="G453" s="58"/>
      <c r="H453" s="58"/>
      <c r="I453" s="58"/>
      <c r="M453" s="59" t="n">
        <f aca="false">IF(助手回款!$R$32="","",助手回款!$Q$32)</f>
        <v>31</v>
      </c>
      <c r="N453" s="60" t="n">
        <f aca="false">IF(助手回款!$R$32="","",INDEX(助手回款!$P$2:$P$66,助手回款!$R$32))</f>
        <v>29</v>
      </c>
      <c r="O453" s="55" t="str">
        <f aca="false">IF(助手回款!$R$32="","",INDEX(助手回款!$C$2:$C$66,助手回款!$R$32)&amp;"  字第 "&amp;INDEX(助手回款!$P$2:$P$66,助手回款!$R$32)&amp;" 号"&amp;IF(INDEX(助手回款!$L$2:$L$66,助手回款!$R$32)&gt;1,"  (共"&amp;INDEX(助手回款!$L$2:$L$66,助手回款!$R$32)&amp;"页 第"&amp;助手回款!$S$32&amp;"页)",""))</f>
        <v>博福店  字第 29 号  (共2页 第1页)</v>
      </c>
    </row>
    <row r="454" customFormat="false" ht="12.75" hidden="false" customHeight="true" outlineLevel="0" collapsed="false">
      <c r="B454" s="61" t="str">
        <f aca="false">IF(助手回款!$R$32&lt;&gt;"","摘　　要","")</f>
        <v>摘　　要</v>
      </c>
      <c r="C454" s="61"/>
      <c r="D454" s="62" t="str">
        <f aca="false">IF(助手回款!$R$32&lt;&gt;"","科　　　　目","")</f>
        <v>科　　　　目</v>
      </c>
      <c r="E454" s="62"/>
      <c r="F454" s="61" t="str">
        <f aca="false">IF(助手回款!$R$32&lt;&gt;"","借 方 金 额","")</f>
        <v>借 方 金 额</v>
      </c>
      <c r="G454" s="62" t="str">
        <f aca="false">IF(助手回款!$R$32&lt;&gt;"","贷 方 金 额","")</f>
        <v>贷 方 金 额</v>
      </c>
      <c r="H454" s="63" t="str">
        <f aca="false">IF(助手回款!$R$32&lt;&gt;"","√","")</f>
        <v>√</v>
      </c>
      <c r="I454" s="64" t="str">
        <f aca="false">IF(助手回款!$R$32&lt;&gt;"","附单据  张","")</f>
        <v>附单据  张</v>
      </c>
    </row>
    <row r="455" customFormat="false" ht="12.75" hidden="false" customHeight="true" outlineLevel="0" collapsed="false">
      <c r="B455" s="61"/>
      <c r="C455" s="61"/>
      <c r="D455" s="23" t="str">
        <f aca="false">IF(助手回款!$R$32&lt;&gt;"","总 账 科 目","")</f>
        <v>总 账 科 目</v>
      </c>
      <c r="E455" s="23" t="str">
        <f aca="false">IF(助手回款!$R$32&lt;&gt;"","明 细 科 目","")</f>
        <v>明 细 科 目</v>
      </c>
      <c r="F455" s="65"/>
      <c r="G455" s="66"/>
      <c r="H455" s="63"/>
      <c r="I455" s="64"/>
    </row>
    <row r="456" customFormat="false" ht="23.25" hidden="false" customHeight="true" outlineLevel="0" collapsed="false">
      <c r="B456" s="67" t="str">
        <f aca="false">IFERROR(INDEX(分录回款!$M:$M,MATCH($L456,分录回款!$L:$L,0)),"")</f>
        <v>回款</v>
      </c>
      <c r="C456" s="67"/>
      <c r="D456" s="23" t="str">
        <f aca="false">IFERROR(INDEX(分录回款!$E:$E,MATCH($L456,分录回款!$L:$L,0)),"")</f>
        <v>库存现金</v>
      </c>
      <c r="E456" s="23" t="str">
        <f aca="false">IFERROR(INDEX(分录回款!$F:$F,MATCH($L456,分录回款!$L:$L,0)),"")</f>
        <v/>
      </c>
      <c r="F456" s="68" t="n">
        <f aca="false">IFERROR(INDEX(分录回款!$H:$H,MATCH($L456,分录回款!$L:$L,0)),"")</f>
        <v>131492.43</v>
      </c>
      <c r="G456" s="69" t="str">
        <f aca="false">IFERROR(INDEX(分录回款!$I:$I,MATCH($L456,分录回款!$L:$L,0)),"")</f>
        <v/>
      </c>
      <c r="H456" s="23"/>
      <c r="I456" s="70"/>
      <c r="L456" s="71" t="n">
        <f aca="false">IF(助手回款!$R$32="",-1,助手回款!$R$32*100+(助手回款!$S$32-1)*6+1)</f>
        <v>3001</v>
      </c>
    </row>
    <row r="457" customFormat="false" ht="23.25" hidden="false" customHeight="true" outlineLevel="0" collapsed="false">
      <c r="B457" s="67" t="str">
        <f aca="false">""</f>
        <v/>
      </c>
      <c r="C457" s="67"/>
      <c r="D457" s="23" t="str">
        <f aca="false">IFERROR(INDEX(分录回款!$E:$E,MATCH($L457,分录回款!$L:$L,0)),"")</f>
        <v>财务费用</v>
      </c>
      <c r="E457" s="23" t="str">
        <f aca="false">IFERROR(INDEX(分录回款!$F:$F,MATCH($L457,分录回款!$L:$L,0)),"")</f>
        <v>手续费</v>
      </c>
      <c r="F457" s="68" t="n">
        <f aca="false">IFERROR(INDEX(分录回款!$H:$H,MATCH($L457,分录回款!$L:$L,0)),"")</f>
        <v>319.26</v>
      </c>
      <c r="G457" s="69" t="str">
        <f aca="false">IFERROR(INDEX(分录回款!$I:$I,MATCH($L457,分录回款!$L:$L,0)),"")</f>
        <v/>
      </c>
      <c r="H457" s="23"/>
      <c r="I457" s="70"/>
      <c r="L457" s="71" t="n">
        <f aca="false">IF(助手回款!$R$32="",-1,助手回款!$R$32*100+(助手回款!$S$32-1)*6+2)</f>
        <v>3002</v>
      </c>
    </row>
    <row r="458" customFormat="false" ht="23.25" hidden="false" customHeight="true" outlineLevel="0" collapsed="false">
      <c r="B458" s="67" t="str">
        <f aca="false">""</f>
        <v/>
      </c>
      <c r="C458" s="67"/>
      <c r="D458" s="23" t="str">
        <f aca="false">IFERROR(INDEX(分录回款!$E:$E,MATCH($L458,分录回款!$L:$L,0)),"")</f>
        <v>应收账款</v>
      </c>
      <c r="E458" s="23" t="str">
        <f aca="false">IFERROR(INDEX(分录回款!$F:$F,MATCH($L458,分录回款!$L:$L,0)),"")</f>
        <v>聚合支付</v>
      </c>
      <c r="F458" s="68" t="str">
        <f aca="false">IFERROR(INDEX(分录回款!$H:$H,MATCH($L458,分录回款!$L:$L,0)),"")</f>
        <v/>
      </c>
      <c r="G458" s="69" t="n">
        <f aca="false">IFERROR(INDEX(分录回款!$I:$I,MATCH($L458,分录回款!$L:$L,0)),"")</f>
        <v>26201.94</v>
      </c>
      <c r="H458" s="23"/>
      <c r="I458" s="70"/>
      <c r="L458" s="71" t="n">
        <f aca="false">IF(助手回款!$R$32="",-1,助手回款!$R$32*100+(助手回款!$S$32-1)*6+3)</f>
        <v>3003</v>
      </c>
    </row>
    <row r="459" customFormat="false" ht="23.25" hidden="false" customHeight="true" outlineLevel="0" collapsed="false">
      <c r="B459" s="67" t="str">
        <f aca="false">""</f>
        <v/>
      </c>
      <c r="C459" s="67"/>
      <c r="D459" s="23" t="str">
        <f aca="false">IFERROR(INDEX(分录回款!$E:$E,MATCH($L459,分录回款!$L:$L,0)),"")</f>
        <v>应收账款</v>
      </c>
      <c r="E459" s="23" t="str">
        <f aca="false">IFERROR(INDEX(分录回款!$F:$F,MATCH($L459,分录回款!$L:$L,0)),"")</f>
        <v>医保</v>
      </c>
      <c r="F459" s="68" t="str">
        <f aca="false">IFERROR(INDEX(分录回款!$H:$H,MATCH($L459,分录回款!$L:$L,0)),"")</f>
        <v/>
      </c>
      <c r="G459" s="69" t="n">
        <f aca="false">IFERROR(INDEX(分录回款!$I:$I,MATCH($L459,分录回款!$L:$L,0)),"")</f>
        <v>13066.57</v>
      </c>
      <c r="H459" s="23"/>
      <c r="I459" s="70"/>
      <c r="L459" s="71" t="n">
        <f aca="false">IF(助手回款!$R$32="",-1,助手回款!$R$32*100+(助手回款!$S$32-1)*6+4)</f>
        <v>3004</v>
      </c>
    </row>
    <row r="460" customFormat="false" ht="23.25" hidden="false" customHeight="true" outlineLevel="0" collapsed="false">
      <c r="B460" s="67" t="str">
        <f aca="false">""</f>
        <v/>
      </c>
      <c r="C460" s="67"/>
      <c r="D460" s="23" t="str">
        <f aca="false">IFERROR(INDEX(分录回款!$E:$E,MATCH($L460,分录回款!$L:$L,0)),"")</f>
        <v>应收账款</v>
      </c>
      <c r="E460" s="23" t="str">
        <f aca="false">IFERROR(INDEX(分录回款!$F:$F,MATCH($L460,分录回款!$L:$L,0)),"")</f>
        <v>美团</v>
      </c>
      <c r="F460" s="68" t="str">
        <f aca="false">IFERROR(INDEX(分录回款!$H:$H,MATCH($L460,分录回款!$L:$L,0)),"")</f>
        <v/>
      </c>
      <c r="G460" s="69" t="n">
        <f aca="false">IFERROR(INDEX(分录回款!$I:$I,MATCH($L460,分录回款!$L:$L,0)),"")</f>
        <v>394.9</v>
      </c>
      <c r="H460" s="23"/>
      <c r="I460" s="70"/>
      <c r="L460" s="71" t="n">
        <f aca="false">IF(助手回款!$R$32="",-1,助手回款!$R$32*100+(助手回款!$S$32-1)*6+5)</f>
        <v>3005</v>
      </c>
    </row>
    <row r="461" customFormat="false" ht="23.25" hidden="false" customHeight="true" outlineLevel="0" collapsed="false">
      <c r="B461" s="67" t="str">
        <f aca="false">""</f>
        <v/>
      </c>
      <c r="C461" s="67"/>
      <c r="D461" s="23" t="str">
        <f aca="false">IFERROR(INDEX(分录回款!$E:$E,MATCH($L461,分录回款!$L:$L,0)),"")</f>
        <v>应收账款</v>
      </c>
      <c r="E461" s="23" t="str">
        <f aca="false">IFERROR(INDEX(分录回款!$F:$F,MATCH($L461,分录回款!$L:$L,0)),"")</f>
        <v>24小时</v>
      </c>
      <c r="F461" s="68" t="str">
        <f aca="false">IFERROR(INDEX(分录回款!$H:$H,MATCH($L461,分录回款!$L:$L,0)),"")</f>
        <v/>
      </c>
      <c r="G461" s="69" t="n">
        <f aca="false">IFERROR(INDEX(分录回款!$I:$I,MATCH($L461,分录回款!$L:$L,0)),"")</f>
        <v>3017.06</v>
      </c>
      <c r="H461" s="23"/>
      <c r="I461" s="70"/>
      <c r="L461" s="71" t="n">
        <f aca="false">IF(助手回款!$R$32="",-1,助手回款!$R$32*100+(助手回款!$S$32-1)*6+6)</f>
        <v>3006</v>
      </c>
    </row>
    <row r="462" customFormat="false" ht="23.25" hidden="false" customHeight="true" outlineLevel="0" collapsed="false">
      <c r="B462" s="72" t="str">
        <f aca="false">IF(助手回款!$T$32=1,"合计：","")</f>
        <v/>
      </c>
      <c r="C462" s="73" t="str">
        <f aca="false">IF(助手回款!$T$32=1,$F462,"")</f>
        <v/>
      </c>
      <c r="D462" s="74"/>
      <c r="E462" s="74"/>
      <c r="F462" s="75" t="str">
        <f aca="false">IF(助手回款!$T$32=1,INDEX(助手回款!$N$2:$N$66,助手回款!$R$32),"")</f>
        <v/>
      </c>
      <c r="G462" s="76" t="str">
        <f aca="false">IF(助手回款!$T$32=1,INDEX(助手回款!$O$2:$O$66,助手回款!$R$32),"")</f>
        <v/>
      </c>
      <c r="H462" s="74"/>
      <c r="I462" s="77"/>
    </row>
    <row r="463" customFormat="false" ht="6" hidden="false" customHeight="true" outlineLevel="0" collapsed="false"/>
    <row r="464" customFormat="false" ht="13.5" hidden="false" customHeight="false" outlineLevel="0" collapsed="false">
      <c r="B464" s="78" t="str">
        <f aca="false">IF(助手回款!$R$32&lt;&gt;"","会计主管：","")</f>
        <v>会计主管：</v>
      </c>
      <c r="D464" s="78" t="str">
        <f aca="false">IF(助手回款!$R$32&lt;&gt;"","会计：","")</f>
        <v>会计：</v>
      </c>
      <c r="E464" s="78" t="str">
        <f aca="false">IF(助手回款!$R$32&lt;&gt;"","出纳：","")</f>
        <v>出纳：</v>
      </c>
      <c r="F464" s="78" t="str">
        <f aca="false">IF(助手回款!$R$32&lt;&gt;"","复核：","")</f>
        <v>复核：</v>
      </c>
      <c r="G464" s="78" t="str">
        <f aca="false">IF(助手回款!$R$32&lt;&gt;"","制单：","")</f>
        <v>制单：</v>
      </c>
    </row>
    <row r="465" customFormat="false" ht="3" hidden="false" customHeight="true" outlineLevel="0" collapsed="false"/>
    <row r="466" customFormat="false" ht="19.5" hidden="false" customHeight="true" outlineLevel="0" collapsed="false">
      <c r="B466" s="53" t="str">
        <f aca="false">IF(助手回款!$R$33&lt;&gt;"","记  账  凭  证","")</f>
        <v>记  账  凭  证</v>
      </c>
      <c r="C466" s="53"/>
      <c r="D466" s="53"/>
      <c r="E466" s="53"/>
      <c r="F466" s="53"/>
      <c r="G466" s="53"/>
      <c r="H466" s="53"/>
      <c r="I466" s="53"/>
    </row>
    <row r="467" customFormat="false" ht="3" hidden="false" customHeight="true" outlineLevel="0" collapsed="false"/>
    <row r="468" customFormat="false" ht="15" hidden="false" customHeight="true" outlineLevel="0" collapsed="false">
      <c r="C468" s="56" t="n">
        <f aca="false">IF(助手回款!$R$33&lt;&gt;"",INDEX(助手回款!$B$2:$B$66,助手回款!$R$33),"")</f>
        <v>2043</v>
      </c>
      <c r="D468" s="57" t="n">
        <f aca="false">IF(助手回款!$R$33&lt;&gt;"",参数!$B$2,"")</f>
        <v>46234</v>
      </c>
      <c r="E468" s="57"/>
      <c r="F468" s="58" t="str">
        <f aca="false">IF(助手回款!$R$33&lt;&gt;"",INDEX(助手回款!$C$2:$C$66,助手回款!$R$33)&amp;"  字第 "&amp;IF(参数!$B$9="是",INDEX(助手回款!$P$2:$P$66,助手回款!$R$33),"　　　　")&amp;" 号"&amp;IF(INDEX(助手回款!$L$2:$L$66,助手回款!$R$33)&gt;1,"  (共"&amp;INDEX(助手回款!$L$2:$L$66,助手回款!$R$33)&amp;"页 第"&amp;助手回款!$S$33&amp;"页)",""),"")</f>
        <v>博福店  字第 　　　　 号  (共2页 第2页)</v>
      </c>
      <c r="G468" s="58"/>
      <c r="H468" s="58"/>
      <c r="I468" s="58"/>
      <c r="M468" s="59" t="n">
        <f aca="false">IF(助手回款!$R$33="","",助手回款!$Q$33)</f>
        <v>32</v>
      </c>
      <c r="N468" s="60" t="n">
        <f aca="false">IF(助手回款!$R$33="","",INDEX(助手回款!$P$2:$P$66,助手回款!$R$33))</f>
        <v>29</v>
      </c>
      <c r="O468" s="55" t="str">
        <f aca="false">IF(助手回款!$R$33="","",INDEX(助手回款!$C$2:$C$66,助手回款!$R$33)&amp;"  字第 "&amp;INDEX(助手回款!$P$2:$P$66,助手回款!$R$33)&amp;" 号"&amp;IF(INDEX(助手回款!$L$2:$L$66,助手回款!$R$33)&gt;1,"  (共"&amp;INDEX(助手回款!$L$2:$L$66,助手回款!$R$33)&amp;"页 第"&amp;助手回款!$S$33&amp;"页)",""))</f>
        <v>博福店  字第 29 号  (共2页 第2页)</v>
      </c>
    </row>
    <row r="469" customFormat="false" ht="12.75" hidden="false" customHeight="true" outlineLevel="0" collapsed="false">
      <c r="B469" s="61" t="str">
        <f aca="false">IF(助手回款!$R$33&lt;&gt;"","摘　　要","")</f>
        <v>摘　　要</v>
      </c>
      <c r="C469" s="61"/>
      <c r="D469" s="62" t="str">
        <f aca="false">IF(助手回款!$R$33&lt;&gt;"","科　　　　目","")</f>
        <v>科　　　　目</v>
      </c>
      <c r="E469" s="62"/>
      <c r="F469" s="61" t="str">
        <f aca="false">IF(助手回款!$R$33&lt;&gt;"","借 方 金 额","")</f>
        <v>借 方 金 额</v>
      </c>
      <c r="G469" s="62" t="str">
        <f aca="false">IF(助手回款!$R$33&lt;&gt;"","贷 方 金 额","")</f>
        <v>贷 方 金 额</v>
      </c>
      <c r="H469" s="63" t="str">
        <f aca="false">IF(助手回款!$R$33&lt;&gt;"","√","")</f>
        <v>√</v>
      </c>
      <c r="I469" s="64" t="str">
        <f aca="false">IF(助手回款!$R$33&lt;&gt;"","附单据  张","")</f>
        <v>附单据  张</v>
      </c>
    </row>
    <row r="470" customFormat="false" ht="12.75" hidden="false" customHeight="true" outlineLevel="0" collapsed="false">
      <c r="B470" s="61"/>
      <c r="C470" s="61"/>
      <c r="D470" s="23" t="str">
        <f aca="false">IF(助手回款!$R$33&lt;&gt;"","总 账 科 目","")</f>
        <v>总 账 科 目</v>
      </c>
      <c r="E470" s="23" t="str">
        <f aca="false">IF(助手回款!$R$33&lt;&gt;"","明 细 科 目","")</f>
        <v>明 细 科 目</v>
      </c>
      <c r="F470" s="65"/>
      <c r="G470" s="66"/>
      <c r="H470" s="63"/>
      <c r="I470" s="64"/>
    </row>
    <row r="471" customFormat="false" ht="23.25" hidden="false" customHeight="true" outlineLevel="0" collapsed="false">
      <c r="B471" s="67" t="str">
        <f aca="false">IFERROR(INDEX(分录回款!$M:$M,MATCH($L471,分录回款!$L:$L,0)),"")</f>
        <v>回款</v>
      </c>
      <c r="C471" s="67"/>
      <c r="D471" s="23" t="str">
        <f aca="false">IFERROR(INDEX(分录回款!$E:$E,MATCH($L471,分录回款!$L:$L,0)),"")</f>
        <v>应收账款</v>
      </c>
      <c r="E471" s="23" t="str">
        <f aca="false">IFERROR(INDEX(分录回款!$F:$F,MATCH($L471,分录回款!$L:$L,0)),"")</f>
        <v>健E卡</v>
      </c>
      <c r="F471" s="68" t="str">
        <f aca="false">IFERROR(INDEX(分录回款!$H:$H,MATCH($L471,分录回款!$L:$L,0)),"")</f>
        <v/>
      </c>
      <c r="G471" s="69" t="n">
        <f aca="false">IFERROR(INDEX(分录回款!$I:$I,MATCH($L471,分录回款!$L:$L,0)),"")</f>
        <v>89131.22</v>
      </c>
      <c r="H471" s="23"/>
      <c r="I471" s="70"/>
      <c r="L471" s="71" t="n">
        <f aca="false">IF(助手回款!$R$33="",-1,助手回款!$R$33*100+(助手回款!$S$33-1)*6+1)</f>
        <v>3007</v>
      </c>
    </row>
    <row r="472" customFormat="false" ht="23.25" hidden="false" customHeight="true" outlineLevel="0" collapsed="false">
      <c r="B472" s="67" t="str">
        <f aca="false">""</f>
        <v/>
      </c>
      <c r="C472" s="67"/>
      <c r="D472" s="23" t="str">
        <f aca="false">IFERROR(INDEX(分录回款!$E:$E,MATCH($L472,分录回款!$L:$L,0)),"")</f>
        <v/>
      </c>
      <c r="E472" s="23" t="str">
        <f aca="false">IFERROR(INDEX(分录回款!$F:$F,MATCH($L472,分录回款!$L:$L,0)),"")</f>
        <v/>
      </c>
      <c r="F472" s="68" t="str">
        <f aca="false">IFERROR(INDEX(分录回款!$H:$H,MATCH($L472,分录回款!$L:$L,0)),"")</f>
        <v/>
      </c>
      <c r="G472" s="69" t="str">
        <f aca="false">IFERROR(INDEX(分录回款!$I:$I,MATCH($L472,分录回款!$L:$L,0)),"")</f>
        <v/>
      </c>
      <c r="H472" s="23"/>
      <c r="I472" s="70"/>
      <c r="L472" s="71" t="n">
        <f aca="false">IF(助手回款!$R$33="",-1,助手回款!$R$33*100+(助手回款!$S$33-1)*6+2)</f>
        <v>3008</v>
      </c>
    </row>
    <row r="473" customFormat="false" ht="23.25" hidden="false" customHeight="true" outlineLevel="0" collapsed="false">
      <c r="B473" s="67" t="str">
        <f aca="false">""</f>
        <v/>
      </c>
      <c r="C473" s="67"/>
      <c r="D473" s="23" t="str">
        <f aca="false">IFERROR(INDEX(分录回款!$E:$E,MATCH($L473,分录回款!$L:$L,0)),"")</f>
        <v/>
      </c>
      <c r="E473" s="23" t="str">
        <f aca="false">IFERROR(INDEX(分录回款!$F:$F,MATCH($L473,分录回款!$L:$L,0)),"")</f>
        <v/>
      </c>
      <c r="F473" s="68" t="str">
        <f aca="false">IFERROR(INDEX(分录回款!$H:$H,MATCH($L473,分录回款!$L:$L,0)),"")</f>
        <v/>
      </c>
      <c r="G473" s="69" t="str">
        <f aca="false">IFERROR(INDEX(分录回款!$I:$I,MATCH($L473,分录回款!$L:$L,0)),"")</f>
        <v/>
      </c>
      <c r="H473" s="23"/>
      <c r="I473" s="70"/>
      <c r="L473" s="71" t="n">
        <f aca="false">IF(助手回款!$R$33="",-1,助手回款!$R$33*100+(助手回款!$S$33-1)*6+3)</f>
        <v>3009</v>
      </c>
    </row>
    <row r="474" customFormat="false" ht="23.25" hidden="false" customHeight="true" outlineLevel="0" collapsed="false">
      <c r="B474" s="67" t="str">
        <f aca="false">""</f>
        <v/>
      </c>
      <c r="C474" s="67"/>
      <c r="D474" s="23" t="str">
        <f aca="false">IFERROR(INDEX(分录回款!$E:$E,MATCH($L474,分录回款!$L:$L,0)),"")</f>
        <v/>
      </c>
      <c r="E474" s="23" t="str">
        <f aca="false">IFERROR(INDEX(分录回款!$F:$F,MATCH($L474,分录回款!$L:$L,0)),"")</f>
        <v/>
      </c>
      <c r="F474" s="68" t="str">
        <f aca="false">IFERROR(INDEX(分录回款!$H:$H,MATCH($L474,分录回款!$L:$L,0)),"")</f>
        <v/>
      </c>
      <c r="G474" s="69" t="str">
        <f aca="false">IFERROR(INDEX(分录回款!$I:$I,MATCH($L474,分录回款!$L:$L,0)),"")</f>
        <v/>
      </c>
      <c r="H474" s="23"/>
      <c r="I474" s="70"/>
      <c r="L474" s="71" t="n">
        <f aca="false">IF(助手回款!$R$33="",-1,助手回款!$R$33*100+(助手回款!$S$33-1)*6+4)</f>
        <v>3010</v>
      </c>
    </row>
    <row r="475" customFormat="false" ht="23.25" hidden="false" customHeight="true" outlineLevel="0" collapsed="false">
      <c r="B475" s="67" t="str">
        <f aca="false">""</f>
        <v/>
      </c>
      <c r="C475" s="67"/>
      <c r="D475" s="23" t="str">
        <f aca="false">IFERROR(INDEX(分录回款!$E:$E,MATCH($L475,分录回款!$L:$L,0)),"")</f>
        <v/>
      </c>
      <c r="E475" s="23" t="str">
        <f aca="false">IFERROR(INDEX(分录回款!$F:$F,MATCH($L475,分录回款!$L:$L,0)),"")</f>
        <v/>
      </c>
      <c r="F475" s="68" t="str">
        <f aca="false">IFERROR(INDEX(分录回款!$H:$H,MATCH($L475,分录回款!$L:$L,0)),"")</f>
        <v/>
      </c>
      <c r="G475" s="69" t="str">
        <f aca="false">IFERROR(INDEX(分录回款!$I:$I,MATCH($L475,分录回款!$L:$L,0)),"")</f>
        <v/>
      </c>
      <c r="H475" s="23"/>
      <c r="I475" s="70"/>
      <c r="L475" s="71" t="n">
        <f aca="false">IF(助手回款!$R$33="",-1,助手回款!$R$33*100+(助手回款!$S$33-1)*6+5)</f>
        <v>3011</v>
      </c>
    </row>
    <row r="476" customFormat="false" ht="23.25" hidden="false" customHeight="true" outlineLevel="0" collapsed="false">
      <c r="B476" s="67" t="str">
        <f aca="false">""</f>
        <v/>
      </c>
      <c r="C476" s="67"/>
      <c r="D476" s="23" t="str">
        <f aca="false">IFERROR(INDEX(分录回款!$E:$E,MATCH($L476,分录回款!$L:$L,0)),"")</f>
        <v/>
      </c>
      <c r="E476" s="23" t="str">
        <f aca="false">IFERROR(INDEX(分录回款!$F:$F,MATCH($L476,分录回款!$L:$L,0)),"")</f>
        <v/>
      </c>
      <c r="F476" s="68" t="str">
        <f aca="false">IFERROR(INDEX(分录回款!$H:$H,MATCH($L476,分录回款!$L:$L,0)),"")</f>
        <v/>
      </c>
      <c r="G476" s="69" t="str">
        <f aca="false">IFERROR(INDEX(分录回款!$I:$I,MATCH($L476,分录回款!$L:$L,0)),"")</f>
        <v/>
      </c>
      <c r="H476" s="23"/>
      <c r="I476" s="70"/>
      <c r="L476" s="71" t="n">
        <f aca="false">IF(助手回款!$R$33="",-1,助手回款!$R$33*100+(助手回款!$S$33-1)*6+6)</f>
        <v>3012</v>
      </c>
    </row>
    <row r="477" customFormat="false" ht="23.25" hidden="false" customHeight="true" outlineLevel="0" collapsed="false">
      <c r="B477" s="72" t="str">
        <f aca="false">IF(助手回款!$T$33=1,"合计：","")</f>
        <v>合计：</v>
      </c>
      <c r="C477" s="73" t="n">
        <f aca="false">IF(助手回款!$T$33=1,$F477,"")</f>
        <v>131811.69</v>
      </c>
      <c r="D477" s="74"/>
      <c r="E477" s="74"/>
      <c r="F477" s="75" t="n">
        <f aca="false">IF(助手回款!$T$33=1,INDEX(助手回款!$N$2:$N$66,助手回款!$R$33),"")</f>
        <v>131811.69</v>
      </c>
      <c r="G477" s="76" t="n">
        <f aca="false">IF(助手回款!$T$33=1,INDEX(助手回款!$O$2:$O$66,助手回款!$R$33),"")</f>
        <v>131811.69</v>
      </c>
      <c r="H477" s="74"/>
      <c r="I477" s="77"/>
    </row>
    <row r="478" customFormat="false" ht="6" hidden="false" customHeight="true" outlineLevel="0" collapsed="false"/>
    <row r="479" customFormat="false" ht="13.5" hidden="false" customHeight="false" outlineLevel="0" collapsed="false">
      <c r="B479" s="78" t="str">
        <f aca="false">IF(助手回款!$R$33&lt;&gt;"","会计主管：","")</f>
        <v>会计主管：</v>
      </c>
      <c r="D479" s="78" t="str">
        <f aca="false">IF(助手回款!$R$33&lt;&gt;"","会计：","")</f>
        <v>会计：</v>
      </c>
      <c r="E479" s="78" t="str">
        <f aca="false">IF(助手回款!$R$33&lt;&gt;"","出纳：","")</f>
        <v>出纳：</v>
      </c>
      <c r="F479" s="78" t="str">
        <f aca="false">IF(助手回款!$R$33&lt;&gt;"","复核：","")</f>
        <v>复核：</v>
      </c>
      <c r="G479" s="78" t="str">
        <f aca="false">IF(助手回款!$R$33&lt;&gt;"","制单：","")</f>
        <v>制单：</v>
      </c>
    </row>
    <row r="480" customFormat="false" ht="3" hidden="false" customHeight="true" outlineLevel="0" collapsed="false"/>
    <row r="481" customFormat="false" ht="19.5" hidden="false" customHeight="true" outlineLevel="0" collapsed="false">
      <c r="B481" s="53" t="str">
        <f aca="false">IF(助手回款!$R$34&lt;&gt;"","记  账  凭  证","")</f>
        <v>记  账  凭  证</v>
      </c>
      <c r="C481" s="53"/>
      <c r="D481" s="53"/>
      <c r="E481" s="53"/>
      <c r="F481" s="53"/>
      <c r="G481" s="53"/>
      <c r="H481" s="53"/>
      <c r="I481" s="53"/>
    </row>
    <row r="482" customFormat="false" ht="3" hidden="false" customHeight="true" outlineLevel="0" collapsed="false"/>
    <row r="483" customFormat="false" ht="15" hidden="false" customHeight="true" outlineLevel="0" collapsed="false">
      <c r="C483" s="56" t="n">
        <f aca="false">IF(助手回款!$R$34&lt;&gt;"",INDEX(助手回款!$B$2:$B$66,助手回款!$R$34),"")</f>
        <v>2044</v>
      </c>
      <c r="D483" s="57" t="n">
        <f aca="false">IF(助手回款!$R$34&lt;&gt;"",参数!$B$2,"")</f>
        <v>46234</v>
      </c>
      <c r="E483" s="57"/>
      <c r="F483" s="58" t="str">
        <f aca="false">IF(助手回款!$R$34&lt;&gt;"",INDEX(助手回款!$C$2:$C$66,助手回款!$R$34)&amp;"  字第 "&amp;IF(参数!$B$9="是",INDEX(助手回款!$P$2:$P$66,助手回款!$R$34),"　　　　")&amp;" 号"&amp;IF(INDEX(助手回款!$L$2:$L$66,助手回款!$R$34)&gt;1,"  (共"&amp;INDEX(助手回款!$L$2:$L$66,助手回款!$R$34)&amp;"页 第"&amp;助手回款!$S$34&amp;"页)",""),"")</f>
        <v>博营店  字第 　　　　 号</v>
      </c>
      <c r="G483" s="58"/>
      <c r="H483" s="58"/>
      <c r="I483" s="58"/>
      <c r="M483" s="59" t="n">
        <f aca="false">IF(助手回款!$R$34="","",助手回款!$Q$34)</f>
        <v>33</v>
      </c>
      <c r="N483" s="60" t="n">
        <f aca="false">IF(助手回款!$R$34="","",INDEX(助手回款!$P$2:$P$66,助手回款!$R$34))</f>
        <v>30</v>
      </c>
      <c r="O483" s="55" t="str">
        <f aca="false">IF(助手回款!$R$34="","",INDEX(助手回款!$C$2:$C$66,助手回款!$R$34)&amp;"  字第 "&amp;INDEX(助手回款!$P$2:$P$66,助手回款!$R$34)&amp;" 号"&amp;IF(INDEX(助手回款!$L$2:$L$66,助手回款!$R$34)&gt;1,"  (共"&amp;INDEX(助手回款!$L$2:$L$66,助手回款!$R$34)&amp;"页 第"&amp;助手回款!$S$34&amp;"页)",""))</f>
        <v>博营店  字第 30 号</v>
      </c>
    </row>
    <row r="484" customFormat="false" ht="12.75" hidden="false" customHeight="true" outlineLevel="0" collapsed="false">
      <c r="B484" s="61" t="str">
        <f aca="false">IF(助手回款!$R$34&lt;&gt;"","摘　　要","")</f>
        <v>摘　　要</v>
      </c>
      <c r="C484" s="61"/>
      <c r="D484" s="62" t="str">
        <f aca="false">IF(助手回款!$R$34&lt;&gt;"","科　　　　目","")</f>
        <v>科　　　　目</v>
      </c>
      <c r="E484" s="62"/>
      <c r="F484" s="61" t="str">
        <f aca="false">IF(助手回款!$R$34&lt;&gt;"","借 方 金 额","")</f>
        <v>借 方 金 额</v>
      </c>
      <c r="G484" s="62" t="str">
        <f aca="false">IF(助手回款!$R$34&lt;&gt;"","贷 方 金 额","")</f>
        <v>贷 方 金 额</v>
      </c>
      <c r="H484" s="63" t="str">
        <f aca="false">IF(助手回款!$R$34&lt;&gt;"","√","")</f>
        <v>√</v>
      </c>
      <c r="I484" s="64" t="str">
        <f aca="false">IF(助手回款!$R$34&lt;&gt;"","附单据  张","")</f>
        <v>附单据  张</v>
      </c>
    </row>
    <row r="485" customFormat="false" ht="12.75" hidden="false" customHeight="true" outlineLevel="0" collapsed="false">
      <c r="B485" s="61"/>
      <c r="C485" s="61"/>
      <c r="D485" s="23" t="str">
        <f aca="false">IF(助手回款!$R$34&lt;&gt;"","总 账 科 目","")</f>
        <v>总 账 科 目</v>
      </c>
      <c r="E485" s="23" t="str">
        <f aca="false">IF(助手回款!$R$34&lt;&gt;"","明 细 科 目","")</f>
        <v>明 细 科 目</v>
      </c>
      <c r="F485" s="65"/>
      <c r="G485" s="66"/>
      <c r="H485" s="63"/>
      <c r="I485" s="64"/>
    </row>
    <row r="486" customFormat="false" ht="23.25" hidden="false" customHeight="true" outlineLevel="0" collapsed="false">
      <c r="B486" s="67" t="str">
        <f aca="false">IFERROR(INDEX(分录回款!$M:$M,MATCH($L486,分录回款!$L:$L,0)),"")</f>
        <v>回款</v>
      </c>
      <c r="C486" s="67"/>
      <c r="D486" s="23" t="str">
        <f aca="false">IFERROR(INDEX(分录回款!$E:$E,MATCH($L486,分录回款!$L:$L,0)),"")</f>
        <v>库存现金</v>
      </c>
      <c r="E486" s="23" t="str">
        <f aca="false">IFERROR(INDEX(分录回款!$F:$F,MATCH($L486,分录回款!$L:$L,0)),"")</f>
        <v/>
      </c>
      <c r="F486" s="68" t="n">
        <f aca="false">IFERROR(INDEX(分录回款!$H:$H,MATCH($L486,分录回款!$L:$L,0)),"")</f>
        <v>25828.82</v>
      </c>
      <c r="G486" s="69" t="str">
        <f aca="false">IFERROR(INDEX(分录回款!$I:$I,MATCH($L486,分录回款!$L:$L,0)),"")</f>
        <v/>
      </c>
      <c r="H486" s="23"/>
      <c r="I486" s="70"/>
      <c r="L486" s="71" t="n">
        <f aca="false">IF(助手回款!$R$34="",-1,助手回款!$R$34*100+(助手回款!$S$34-1)*6+1)</f>
        <v>3101</v>
      </c>
    </row>
    <row r="487" customFormat="false" ht="23.25" hidden="false" customHeight="true" outlineLevel="0" collapsed="false">
      <c r="B487" s="67" t="str">
        <f aca="false">""</f>
        <v/>
      </c>
      <c r="C487" s="67"/>
      <c r="D487" s="23" t="str">
        <f aca="false">IFERROR(INDEX(分录回款!$E:$E,MATCH($L487,分录回款!$L:$L,0)),"")</f>
        <v>应收账款</v>
      </c>
      <c r="E487" s="23" t="str">
        <f aca="false">IFERROR(INDEX(分录回款!$F:$F,MATCH($L487,分录回款!$L:$L,0)),"")</f>
        <v>聚合支付</v>
      </c>
      <c r="F487" s="68" t="str">
        <f aca="false">IFERROR(INDEX(分录回款!$H:$H,MATCH($L487,分录回款!$L:$L,0)),"")</f>
        <v/>
      </c>
      <c r="G487" s="69" t="n">
        <f aca="false">IFERROR(INDEX(分录回款!$I:$I,MATCH($L487,分录回款!$L:$L,0)),"")</f>
        <v>25828.82</v>
      </c>
      <c r="H487" s="23"/>
      <c r="I487" s="70"/>
      <c r="L487" s="71" t="n">
        <f aca="false">IF(助手回款!$R$34="",-1,助手回款!$R$34*100+(助手回款!$S$34-1)*6+2)</f>
        <v>3102</v>
      </c>
    </row>
    <row r="488" customFormat="false" ht="23.25" hidden="false" customHeight="true" outlineLevel="0" collapsed="false">
      <c r="B488" s="67" t="str">
        <f aca="false">""</f>
        <v/>
      </c>
      <c r="C488" s="67"/>
      <c r="D488" s="23" t="str">
        <f aca="false">IFERROR(INDEX(分录回款!$E:$E,MATCH($L488,分录回款!$L:$L,0)),"")</f>
        <v/>
      </c>
      <c r="E488" s="23" t="str">
        <f aca="false">IFERROR(INDEX(分录回款!$F:$F,MATCH($L488,分录回款!$L:$L,0)),"")</f>
        <v/>
      </c>
      <c r="F488" s="68" t="str">
        <f aca="false">IFERROR(INDEX(分录回款!$H:$H,MATCH($L488,分录回款!$L:$L,0)),"")</f>
        <v/>
      </c>
      <c r="G488" s="69" t="str">
        <f aca="false">IFERROR(INDEX(分录回款!$I:$I,MATCH($L488,分录回款!$L:$L,0)),"")</f>
        <v/>
      </c>
      <c r="H488" s="23"/>
      <c r="I488" s="70"/>
      <c r="L488" s="71" t="n">
        <f aca="false">IF(助手回款!$R$34="",-1,助手回款!$R$34*100+(助手回款!$S$34-1)*6+3)</f>
        <v>3103</v>
      </c>
    </row>
    <row r="489" customFormat="false" ht="23.25" hidden="false" customHeight="true" outlineLevel="0" collapsed="false">
      <c r="B489" s="67" t="str">
        <f aca="false">""</f>
        <v/>
      </c>
      <c r="C489" s="67"/>
      <c r="D489" s="23" t="str">
        <f aca="false">IFERROR(INDEX(分录回款!$E:$E,MATCH($L489,分录回款!$L:$L,0)),"")</f>
        <v/>
      </c>
      <c r="E489" s="23" t="str">
        <f aca="false">IFERROR(INDEX(分录回款!$F:$F,MATCH($L489,分录回款!$L:$L,0)),"")</f>
        <v/>
      </c>
      <c r="F489" s="68" t="str">
        <f aca="false">IFERROR(INDEX(分录回款!$H:$H,MATCH($L489,分录回款!$L:$L,0)),"")</f>
        <v/>
      </c>
      <c r="G489" s="69" t="str">
        <f aca="false">IFERROR(INDEX(分录回款!$I:$I,MATCH($L489,分录回款!$L:$L,0)),"")</f>
        <v/>
      </c>
      <c r="H489" s="23"/>
      <c r="I489" s="70"/>
      <c r="L489" s="71" t="n">
        <f aca="false">IF(助手回款!$R$34="",-1,助手回款!$R$34*100+(助手回款!$S$34-1)*6+4)</f>
        <v>3104</v>
      </c>
    </row>
    <row r="490" customFormat="false" ht="23.25" hidden="false" customHeight="true" outlineLevel="0" collapsed="false">
      <c r="B490" s="67" t="str">
        <f aca="false">""</f>
        <v/>
      </c>
      <c r="C490" s="67"/>
      <c r="D490" s="23" t="str">
        <f aca="false">IFERROR(INDEX(分录回款!$E:$E,MATCH($L490,分录回款!$L:$L,0)),"")</f>
        <v/>
      </c>
      <c r="E490" s="23" t="str">
        <f aca="false">IFERROR(INDEX(分录回款!$F:$F,MATCH($L490,分录回款!$L:$L,0)),"")</f>
        <v/>
      </c>
      <c r="F490" s="68" t="str">
        <f aca="false">IFERROR(INDEX(分录回款!$H:$H,MATCH($L490,分录回款!$L:$L,0)),"")</f>
        <v/>
      </c>
      <c r="G490" s="69" t="str">
        <f aca="false">IFERROR(INDEX(分录回款!$I:$I,MATCH($L490,分录回款!$L:$L,0)),"")</f>
        <v/>
      </c>
      <c r="H490" s="23"/>
      <c r="I490" s="70"/>
      <c r="L490" s="71" t="n">
        <f aca="false">IF(助手回款!$R$34="",-1,助手回款!$R$34*100+(助手回款!$S$34-1)*6+5)</f>
        <v>3105</v>
      </c>
    </row>
    <row r="491" customFormat="false" ht="23.25" hidden="false" customHeight="true" outlineLevel="0" collapsed="false">
      <c r="B491" s="67" t="str">
        <f aca="false">""</f>
        <v/>
      </c>
      <c r="C491" s="67"/>
      <c r="D491" s="23" t="str">
        <f aca="false">IFERROR(INDEX(分录回款!$E:$E,MATCH($L491,分录回款!$L:$L,0)),"")</f>
        <v/>
      </c>
      <c r="E491" s="23" t="str">
        <f aca="false">IFERROR(INDEX(分录回款!$F:$F,MATCH($L491,分录回款!$L:$L,0)),"")</f>
        <v/>
      </c>
      <c r="F491" s="68" t="str">
        <f aca="false">IFERROR(INDEX(分录回款!$H:$H,MATCH($L491,分录回款!$L:$L,0)),"")</f>
        <v/>
      </c>
      <c r="G491" s="69" t="str">
        <f aca="false">IFERROR(INDEX(分录回款!$I:$I,MATCH($L491,分录回款!$L:$L,0)),"")</f>
        <v/>
      </c>
      <c r="H491" s="23"/>
      <c r="I491" s="70"/>
      <c r="L491" s="71" t="n">
        <f aca="false">IF(助手回款!$R$34="",-1,助手回款!$R$34*100+(助手回款!$S$34-1)*6+6)</f>
        <v>3106</v>
      </c>
    </row>
    <row r="492" customFormat="false" ht="23.25" hidden="false" customHeight="true" outlineLevel="0" collapsed="false">
      <c r="B492" s="72" t="str">
        <f aca="false">IF(助手回款!$T$34=1,"合计：","")</f>
        <v>合计：</v>
      </c>
      <c r="C492" s="73" t="n">
        <f aca="false">IF(助手回款!$T$34=1,$F492,"")</f>
        <v>25828.82</v>
      </c>
      <c r="D492" s="74"/>
      <c r="E492" s="74"/>
      <c r="F492" s="75" t="n">
        <f aca="false">IF(助手回款!$T$34=1,INDEX(助手回款!$N$2:$N$66,助手回款!$R$34),"")</f>
        <v>25828.82</v>
      </c>
      <c r="G492" s="76" t="n">
        <f aca="false">IF(助手回款!$T$34=1,INDEX(助手回款!$O$2:$O$66,助手回款!$R$34),"")</f>
        <v>25828.82</v>
      </c>
      <c r="H492" s="74"/>
      <c r="I492" s="77"/>
    </row>
    <row r="493" customFormat="false" ht="6" hidden="false" customHeight="true" outlineLevel="0" collapsed="false"/>
    <row r="494" customFormat="false" ht="13.5" hidden="false" customHeight="false" outlineLevel="0" collapsed="false">
      <c r="B494" s="78" t="str">
        <f aca="false">IF(助手回款!$R$34&lt;&gt;"","会计主管：","")</f>
        <v>会计主管：</v>
      </c>
      <c r="D494" s="78" t="str">
        <f aca="false">IF(助手回款!$R$34&lt;&gt;"","会计：","")</f>
        <v>会计：</v>
      </c>
      <c r="E494" s="78" t="str">
        <f aca="false">IF(助手回款!$R$34&lt;&gt;"","出纳：","")</f>
        <v>出纳：</v>
      </c>
      <c r="F494" s="78" t="str">
        <f aca="false">IF(助手回款!$R$34&lt;&gt;"","复核：","")</f>
        <v>复核：</v>
      </c>
      <c r="G494" s="78" t="str">
        <f aca="false">IF(助手回款!$R$34&lt;&gt;"","制单：","")</f>
        <v>制单：</v>
      </c>
    </row>
    <row r="495" customFormat="false" ht="3" hidden="false" customHeight="true" outlineLevel="0" collapsed="false"/>
    <row r="496" customFormat="false" ht="19.5" hidden="false" customHeight="true" outlineLevel="0" collapsed="false">
      <c r="B496" s="53" t="str">
        <f aca="false">IF(助手回款!$R$35&lt;&gt;"","记  账  凭  证","")</f>
        <v>记  账  凭  证</v>
      </c>
      <c r="C496" s="53"/>
      <c r="D496" s="53"/>
      <c r="E496" s="53"/>
      <c r="F496" s="53"/>
      <c r="G496" s="53"/>
      <c r="H496" s="53"/>
      <c r="I496" s="53"/>
    </row>
    <row r="497" customFormat="false" ht="3" hidden="false" customHeight="true" outlineLevel="0" collapsed="false"/>
    <row r="498" customFormat="false" ht="15" hidden="false" customHeight="true" outlineLevel="0" collapsed="false">
      <c r="C498" s="56" t="n">
        <f aca="false">IF(助手回款!$R$35&lt;&gt;"",INDEX(助手回款!$B$2:$B$66,助手回款!$R$35),"")</f>
        <v>2046</v>
      </c>
      <c r="D498" s="57" t="n">
        <f aca="false">IF(助手回款!$R$35&lt;&gt;"",参数!$B$2,"")</f>
        <v>46234</v>
      </c>
      <c r="E498" s="57"/>
      <c r="F498" s="58" t="str">
        <f aca="false">IF(助手回款!$R$35&lt;&gt;"",INDEX(助手回款!$C$2:$C$66,助手回款!$R$35)&amp;"  字第 "&amp;IF(参数!$B$9="是",INDEX(助手回款!$P$2:$P$66,助手回款!$R$35),"　　　　")&amp;" 号"&amp;IF(INDEX(助手回款!$L$2:$L$66,助手回款!$R$35)&gt;1,"  (共"&amp;INDEX(助手回款!$L$2:$L$66,助手回款!$R$35)&amp;"页 第"&amp;助手回款!$S$35&amp;"页)",""),"")</f>
        <v>博康店  字第 　　　　 号</v>
      </c>
      <c r="G498" s="58"/>
      <c r="H498" s="58"/>
      <c r="I498" s="58"/>
      <c r="M498" s="59" t="n">
        <f aca="false">IF(助手回款!$R$35="","",助手回款!$Q$35)</f>
        <v>34</v>
      </c>
      <c r="N498" s="60" t="n">
        <f aca="false">IF(助手回款!$R$35="","",INDEX(助手回款!$P$2:$P$66,助手回款!$R$35))</f>
        <v>31</v>
      </c>
      <c r="O498" s="55" t="str">
        <f aca="false">IF(助手回款!$R$35="","",INDEX(助手回款!$C$2:$C$66,助手回款!$R$35)&amp;"  字第 "&amp;INDEX(助手回款!$P$2:$P$66,助手回款!$R$35)&amp;" 号"&amp;IF(INDEX(助手回款!$L$2:$L$66,助手回款!$R$35)&gt;1,"  (共"&amp;INDEX(助手回款!$L$2:$L$66,助手回款!$R$35)&amp;"页 第"&amp;助手回款!$S$35&amp;"页)",""))</f>
        <v>博康店  字第 31 号</v>
      </c>
    </row>
    <row r="499" customFormat="false" ht="12.75" hidden="false" customHeight="true" outlineLevel="0" collapsed="false">
      <c r="B499" s="61" t="str">
        <f aca="false">IF(助手回款!$R$35&lt;&gt;"","摘　　要","")</f>
        <v>摘　　要</v>
      </c>
      <c r="C499" s="61"/>
      <c r="D499" s="62" t="str">
        <f aca="false">IF(助手回款!$R$35&lt;&gt;"","科　　　　目","")</f>
        <v>科　　　　目</v>
      </c>
      <c r="E499" s="62"/>
      <c r="F499" s="61" t="str">
        <f aca="false">IF(助手回款!$R$35&lt;&gt;"","借 方 金 额","")</f>
        <v>借 方 金 额</v>
      </c>
      <c r="G499" s="62" t="str">
        <f aca="false">IF(助手回款!$R$35&lt;&gt;"","贷 方 金 额","")</f>
        <v>贷 方 金 额</v>
      </c>
      <c r="H499" s="63" t="str">
        <f aca="false">IF(助手回款!$R$35&lt;&gt;"","√","")</f>
        <v>√</v>
      </c>
      <c r="I499" s="64" t="str">
        <f aca="false">IF(助手回款!$R$35&lt;&gt;"","附单据  张","")</f>
        <v>附单据  张</v>
      </c>
    </row>
    <row r="500" customFormat="false" ht="12.75" hidden="false" customHeight="true" outlineLevel="0" collapsed="false">
      <c r="B500" s="61"/>
      <c r="C500" s="61"/>
      <c r="D500" s="23" t="str">
        <f aca="false">IF(助手回款!$R$35&lt;&gt;"","总 账 科 目","")</f>
        <v>总 账 科 目</v>
      </c>
      <c r="E500" s="23" t="str">
        <f aca="false">IF(助手回款!$R$35&lt;&gt;"","明 细 科 目","")</f>
        <v>明 细 科 目</v>
      </c>
      <c r="F500" s="65"/>
      <c r="G500" s="66"/>
      <c r="H500" s="63"/>
      <c r="I500" s="64"/>
    </row>
    <row r="501" customFormat="false" ht="23.25" hidden="false" customHeight="true" outlineLevel="0" collapsed="false">
      <c r="B501" s="67" t="str">
        <f aca="false">IFERROR(INDEX(分录回款!$M:$M,MATCH($L501,分录回款!$L:$L,0)),"")</f>
        <v>回款</v>
      </c>
      <c r="C501" s="67"/>
      <c r="D501" s="23" t="str">
        <f aca="false">IFERROR(INDEX(分录回款!$E:$E,MATCH($L501,分录回款!$L:$L,0)),"")</f>
        <v>库存现金</v>
      </c>
      <c r="E501" s="23" t="str">
        <f aca="false">IFERROR(INDEX(分录回款!$F:$F,MATCH($L501,分录回款!$L:$L,0)),"")</f>
        <v/>
      </c>
      <c r="F501" s="68" t="n">
        <f aca="false">IFERROR(INDEX(分录回款!$H:$H,MATCH($L501,分录回款!$L:$L,0)),"")</f>
        <v>23497.92</v>
      </c>
      <c r="G501" s="69" t="str">
        <f aca="false">IFERROR(INDEX(分录回款!$I:$I,MATCH($L501,分录回款!$L:$L,0)),"")</f>
        <v/>
      </c>
      <c r="H501" s="23"/>
      <c r="I501" s="70"/>
      <c r="L501" s="71" t="n">
        <f aca="false">IF(助手回款!$R$35="",-1,助手回款!$R$35*100+(助手回款!$S$35-1)*6+1)</f>
        <v>3201</v>
      </c>
    </row>
    <row r="502" customFormat="false" ht="23.25" hidden="false" customHeight="true" outlineLevel="0" collapsed="false">
      <c r="B502" s="67" t="str">
        <f aca="false">""</f>
        <v/>
      </c>
      <c r="C502" s="67"/>
      <c r="D502" s="23" t="str">
        <f aca="false">IFERROR(INDEX(分录回款!$E:$E,MATCH($L502,分录回款!$L:$L,0)),"")</f>
        <v>财务费用</v>
      </c>
      <c r="E502" s="23" t="str">
        <f aca="false">IFERROR(INDEX(分录回款!$F:$F,MATCH($L502,分录回款!$L:$L,0)),"")</f>
        <v>手续费</v>
      </c>
      <c r="F502" s="68" t="n">
        <f aca="false">IFERROR(INDEX(分录回款!$H:$H,MATCH($L502,分录回款!$L:$L,0)),"")</f>
        <v>226.58</v>
      </c>
      <c r="G502" s="69" t="str">
        <f aca="false">IFERROR(INDEX(分录回款!$I:$I,MATCH($L502,分录回款!$L:$L,0)),"")</f>
        <v/>
      </c>
      <c r="H502" s="23"/>
      <c r="I502" s="70"/>
      <c r="L502" s="71" t="n">
        <f aca="false">IF(助手回款!$R$35="",-1,助手回款!$R$35*100+(助手回款!$S$35-1)*6+2)</f>
        <v>3202</v>
      </c>
    </row>
    <row r="503" customFormat="false" ht="23.25" hidden="false" customHeight="true" outlineLevel="0" collapsed="false">
      <c r="B503" s="67" t="str">
        <f aca="false">""</f>
        <v/>
      </c>
      <c r="C503" s="67"/>
      <c r="D503" s="23" t="str">
        <f aca="false">IFERROR(INDEX(分录回款!$E:$E,MATCH($L503,分录回款!$L:$L,0)),"")</f>
        <v>应收账款</v>
      </c>
      <c r="E503" s="23" t="str">
        <f aca="false">IFERROR(INDEX(分录回款!$F:$F,MATCH($L503,分录回款!$L:$L,0)),"")</f>
        <v>聚合支付</v>
      </c>
      <c r="F503" s="68" t="str">
        <f aca="false">IFERROR(INDEX(分录回款!$H:$H,MATCH($L503,分录回款!$L:$L,0)),"")</f>
        <v/>
      </c>
      <c r="G503" s="69" t="n">
        <f aca="false">IFERROR(INDEX(分录回款!$I:$I,MATCH($L503,分录回款!$L:$L,0)),"")</f>
        <v>21850.93</v>
      </c>
      <c r="H503" s="23"/>
      <c r="I503" s="70"/>
      <c r="L503" s="71" t="n">
        <f aca="false">IF(助手回款!$R$35="",-1,助手回款!$R$35*100+(助手回款!$S$35-1)*6+3)</f>
        <v>3203</v>
      </c>
    </row>
    <row r="504" customFormat="false" ht="23.25" hidden="false" customHeight="true" outlineLevel="0" collapsed="false">
      <c r="B504" s="67" t="str">
        <f aca="false">""</f>
        <v/>
      </c>
      <c r="C504" s="67"/>
      <c r="D504" s="23" t="str">
        <f aca="false">IFERROR(INDEX(分录回款!$E:$E,MATCH($L504,分录回款!$L:$L,0)),"")</f>
        <v>应收账款</v>
      </c>
      <c r="E504" s="23" t="str">
        <f aca="false">IFERROR(INDEX(分录回款!$F:$F,MATCH($L504,分录回款!$L:$L,0)),"")</f>
        <v>美团</v>
      </c>
      <c r="F504" s="68" t="str">
        <f aca="false">IFERROR(INDEX(分录回款!$H:$H,MATCH($L504,分录回款!$L:$L,0)),"")</f>
        <v/>
      </c>
      <c r="G504" s="69" t="n">
        <f aca="false">IFERROR(INDEX(分录回款!$I:$I,MATCH($L504,分录回款!$L:$L,0)),"")</f>
        <v>66.8</v>
      </c>
      <c r="H504" s="23"/>
      <c r="I504" s="70"/>
      <c r="L504" s="71" t="n">
        <f aca="false">IF(助手回款!$R$35="",-1,助手回款!$R$35*100+(助手回款!$S$35-1)*6+4)</f>
        <v>3204</v>
      </c>
    </row>
    <row r="505" customFormat="false" ht="23.25" hidden="false" customHeight="true" outlineLevel="0" collapsed="false">
      <c r="B505" s="67" t="str">
        <f aca="false">""</f>
        <v/>
      </c>
      <c r="C505" s="67"/>
      <c r="D505" s="23" t="str">
        <f aca="false">IFERROR(INDEX(分录回款!$E:$E,MATCH($L505,分录回款!$L:$L,0)),"")</f>
        <v>应收账款</v>
      </c>
      <c r="E505" s="23" t="str">
        <f aca="false">IFERROR(INDEX(分录回款!$F:$F,MATCH($L505,分录回款!$L:$L,0)),"")</f>
        <v>医卡通</v>
      </c>
      <c r="F505" s="68" t="str">
        <f aca="false">IFERROR(INDEX(分录回款!$H:$H,MATCH($L505,分录回款!$L:$L,0)),"")</f>
        <v/>
      </c>
      <c r="G505" s="69" t="n">
        <f aca="false">IFERROR(INDEX(分录回款!$I:$I,MATCH($L505,分录回款!$L:$L,0)),"")</f>
        <v>1806.77</v>
      </c>
      <c r="H505" s="23"/>
      <c r="I505" s="70"/>
      <c r="L505" s="71" t="n">
        <f aca="false">IF(助手回款!$R$35="",-1,助手回款!$R$35*100+(助手回款!$S$35-1)*6+5)</f>
        <v>3205</v>
      </c>
    </row>
    <row r="506" customFormat="false" ht="23.25" hidden="false" customHeight="true" outlineLevel="0" collapsed="false">
      <c r="B506" s="67" t="str">
        <f aca="false">""</f>
        <v/>
      </c>
      <c r="C506" s="67"/>
      <c r="D506" s="23" t="str">
        <f aca="false">IFERROR(INDEX(分录回款!$E:$E,MATCH($L506,分录回款!$L:$L,0)),"")</f>
        <v/>
      </c>
      <c r="E506" s="23" t="str">
        <f aca="false">IFERROR(INDEX(分录回款!$F:$F,MATCH($L506,分录回款!$L:$L,0)),"")</f>
        <v/>
      </c>
      <c r="F506" s="68" t="str">
        <f aca="false">IFERROR(INDEX(分录回款!$H:$H,MATCH($L506,分录回款!$L:$L,0)),"")</f>
        <v/>
      </c>
      <c r="G506" s="69" t="str">
        <f aca="false">IFERROR(INDEX(分录回款!$I:$I,MATCH($L506,分录回款!$L:$L,0)),"")</f>
        <v/>
      </c>
      <c r="H506" s="23"/>
      <c r="I506" s="70"/>
      <c r="L506" s="71" t="n">
        <f aca="false">IF(助手回款!$R$35="",-1,助手回款!$R$35*100+(助手回款!$S$35-1)*6+6)</f>
        <v>3206</v>
      </c>
    </row>
    <row r="507" customFormat="false" ht="23.25" hidden="false" customHeight="true" outlineLevel="0" collapsed="false">
      <c r="B507" s="72" t="str">
        <f aca="false">IF(助手回款!$T$35=1,"合计：","")</f>
        <v>合计：</v>
      </c>
      <c r="C507" s="73" t="n">
        <f aca="false">IF(助手回款!$T$35=1,$F507,"")</f>
        <v>23724.5</v>
      </c>
      <c r="D507" s="74"/>
      <c r="E507" s="74"/>
      <c r="F507" s="75" t="n">
        <f aca="false">IF(助手回款!$T$35=1,INDEX(助手回款!$N$2:$N$66,助手回款!$R$35),"")</f>
        <v>23724.5</v>
      </c>
      <c r="G507" s="76" t="n">
        <f aca="false">IF(助手回款!$T$35=1,INDEX(助手回款!$O$2:$O$66,助手回款!$R$35),"")</f>
        <v>23724.5</v>
      </c>
      <c r="H507" s="74"/>
      <c r="I507" s="77"/>
    </row>
    <row r="508" customFormat="false" ht="6" hidden="false" customHeight="true" outlineLevel="0" collapsed="false"/>
    <row r="509" customFormat="false" ht="13.5" hidden="false" customHeight="false" outlineLevel="0" collapsed="false">
      <c r="B509" s="78" t="str">
        <f aca="false">IF(助手回款!$R$35&lt;&gt;"","会计主管：","")</f>
        <v>会计主管：</v>
      </c>
      <c r="D509" s="78" t="str">
        <f aca="false">IF(助手回款!$R$35&lt;&gt;"","会计：","")</f>
        <v>会计：</v>
      </c>
      <c r="E509" s="78" t="str">
        <f aca="false">IF(助手回款!$R$35&lt;&gt;"","出纳：","")</f>
        <v>出纳：</v>
      </c>
      <c r="F509" s="78" t="str">
        <f aca="false">IF(助手回款!$R$35&lt;&gt;"","复核：","")</f>
        <v>复核：</v>
      </c>
      <c r="G509" s="78" t="str">
        <f aca="false">IF(助手回款!$R$35&lt;&gt;"","制单：","")</f>
        <v>制单：</v>
      </c>
    </row>
    <row r="510" customFormat="false" ht="3" hidden="false" customHeight="true" outlineLevel="0" collapsed="false"/>
    <row r="511" customFormat="false" ht="19.5" hidden="false" customHeight="true" outlineLevel="0" collapsed="false">
      <c r="B511" s="53" t="str">
        <f aca="false">IF(助手回款!$R$36&lt;&gt;"","记  账  凭  证","")</f>
        <v>记  账  凭  证</v>
      </c>
      <c r="C511" s="53"/>
      <c r="D511" s="53"/>
      <c r="E511" s="53"/>
      <c r="F511" s="53"/>
      <c r="G511" s="53"/>
      <c r="H511" s="53"/>
      <c r="I511" s="53"/>
    </row>
    <row r="512" customFormat="false" ht="3" hidden="false" customHeight="true" outlineLevel="0" collapsed="false"/>
    <row r="513" customFormat="false" ht="15" hidden="false" customHeight="true" outlineLevel="0" collapsed="false">
      <c r="C513" s="56" t="n">
        <f aca="false">IF(助手回款!$R$36&lt;&gt;"",INDEX(助手回款!$B$2:$B$66,助手回款!$R$36),"")</f>
        <v>2047</v>
      </c>
      <c r="D513" s="57" t="n">
        <f aca="false">IF(助手回款!$R$36&lt;&gt;"",参数!$B$2,"")</f>
        <v>46234</v>
      </c>
      <c r="E513" s="57"/>
      <c r="F513" s="58" t="str">
        <f aca="false">IF(助手回款!$R$36&lt;&gt;"",INDEX(助手回款!$C$2:$C$66,助手回款!$R$36)&amp;"  字第 "&amp;IF(参数!$B$9="是",INDEX(助手回款!$P$2:$P$66,助手回款!$R$36),"　　　　")&amp;" 号"&amp;IF(INDEX(助手回款!$L$2:$L$66,助手回款!$R$36)&gt;1,"  (共"&amp;INDEX(助手回款!$L$2:$L$66,助手回款!$R$36)&amp;"页 第"&amp;助手回款!$S$36&amp;"页)",""),"")</f>
        <v>博联店  字第 　　　　 号</v>
      </c>
      <c r="G513" s="58"/>
      <c r="H513" s="58"/>
      <c r="I513" s="58"/>
      <c r="M513" s="59" t="n">
        <f aca="false">IF(助手回款!$R$36="","",助手回款!$Q$36)</f>
        <v>35</v>
      </c>
      <c r="N513" s="60" t="n">
        <f aca="false">IF(助手回款!$R$36="","",INDEX(助手回款!$P$2:$P$66,助手回款!$R$36))</f>
        <v>32</v>
      </c>
      <c r="O513" s="55" t="str">
        <f aca="false">IF(助手回款!$R$36="","",INDEX(助手回款!$C$2:$C$66,助手回款!$R$36)&amp;"  字第 "&amp;INDEX(助手回款!$P$2:$P$66,助手回款!$R$36)&amp;" 号"&amp;IF(INDEX(助手回款!$L$2:$L$66,助手回款!$R$36)&gt;1,"  (共"&amp;INDEX(助手回款!$L$2:$L$66,助手回款!$R$36)&amp;"页 第"&amp;助手回款!$S$36&amp;"页)",""))</f>
        <v>博联店  字第 32 号</v>
      </c>
    </row>
    <row r="514" customFormat="false" ht="12.75" hidden="false" customHeight="true" outlineLevel="0" collapsed="false">
      <c r="B514" s="61" t="str">
        <f aca="false">IF(助手回款!$R$36&lt;&gt;"","摘　　要","")</f>
        <v>摘　　要</v>
      </c>
      <c r="C514" s="61"/>
      <c r="D514" s="62" t="str">
        <f aca="false">IF(助手回款!$R$36&lt;&gt;"","科　　　　目","")</f>
        <v>科　　　　目</v>
      </c>
      <c r="E514" s="62"/>
      <c r="F514" s="61" t="str">
        <f aca="false">IF(助手回款!$R$36&lt;&gt;"","借 方 金 额","")</f>
        <v>借 方 金 额</v>
      </c>
      <c r="G514" s="62" t="str">
        <f aca="false">IF(助手回款!$R$36&lt;&gt;"","贷 方 金 额","")</f>
        <v>贷 方 金 额</v>
      </c>
      <c r="H514" s="63" t="str">
        <f aca="false">IF(助手回款!$R$36&lt;&gt;"","√","")</f>
        <v>√</v>
      </c>
      <c r="I514" s="64" t="str">
        <f aca="false">IF(助手回款!$R$36&lt;&gt;"","附单据  张","")</f>
        <v>附单据  张</v>
      </c>
    </row>
    <row r="515" customFormat="false" ht="12.75" hidden="false" customHeight="true" outlineLevel="0" collapsed="false">
      <c r="B515" s="61"/>
      <c r="C515" s="61"/>
      <c r="D515" s="23" t="str">
        <f aca="false">IF(助手回款!$R$36&lt;&gt;"","总 账 科 目","")</f>
        <v>总 账 科 目</v>
      </c>
      <c r="E515" s="23" t="str">
        <f aca="false">IF(助手回款!$R$36&lt;&gt;"","明 细 科 目","")</f>
        <v>明 细 科 目</v>
      </c>
      <c r="F515" s="65"/>
      <c r="G515" s="66"/>
      <c r="H515" s="63"/>
      <c r="I515" s="64"/>
    </row>
    <row r="516" customFormat="false" ht="23.25" hidden="false" customHeight="true" outlineLevel="0" collapsed="false">
      <c r="B516" s="67" t="str">
        <f aca="false">IFERROR(INDEX(分录回款!$M:$M,MATCH($L516,分录回款!$L:$L,0)),"")</f>
        <v>回款</v>
      </c>
      <c r="C516" s="67"/>
      <c r="D516" s="23" t="str">
        <f aca="false">IFERROR(INDEX(分录回款!$E:$E,MATCH($L516,分录回款!$L:$L,0)),"")</f>
        <v>库存现金</v>
      </c>
      <c r="E516" s="23" t="str">
        <f aca="false">IFERROR(INDEX(分录回款!$F:$F,MATCH($L516,分录回款!$L:$L,0)),"")</f>
        <v/>
      </c>
      <c r="F516" s="68" t="n">
        <f aca="false">IFERROR(INDEX(分录回款!$H:$H,MATCH($L516,分录回款!$L:$L,0)),"")</f>
        <v>14114.02</v>
      </c>
      <c r="G516" s="69" t="str">
        <f aca="false">IFERROR(INDEX(分录回款!$I:$I,MATCH($L516,分录回款!$L:$L,0)),"")</f>
        <v/>
      </c>
      <c r="H516" s="23"/>
      <c r="I516" s="70"/>
      <c r="L516" s="71" t="n">
        <f aca="false">IF(助手回款!$R$36="",-1,助手回款!$R$36*100+(助手回款!$S$36-1)*6+1)</f>
        <v>3301</v>
      </c>
    </row>
    <row r="517" customFormat="false" ht="23.25" hidden="false" customHeight="true" outlineLevel="0" collapsed="false">
      <c r="B517" s="67" t="str">
        <f aca="false">""</f>
        <v/>
      </c>
      <c r="C517" s="67"/>
      <c r="D517" s="23" t="str">
        <f aca="false">IFERROR(INDEX(分录回款!$E:$E,MATCH($L517,分录回款!$L:$L,0)),"")</f>
        <v>应收账款</v>
      </c>
      <c r="E517" s="23" t="str">
        <f aca="false">IFERROR(INDEX(分录回款!$F:$F,MATCH($L517,分录回款!$L:$L,0)),"")</f>
        <v>聚合支付</v>
      </c>
      <c r="F517" s="68" t="str">
        <f aca="false">IFERROR(INDEX(分录回款!$H:$H,MATCH($L517,分录回款!$L:$L,0)),"")</f>
        <v/>
      </c>
      <c r="G517" s="69" t="n">
        <f aca="false">IFERROR(INDEX(分录回款!$I:$I,MATCH($L517,分录回款!$L:$L,0)),"")</f>
        <v>10968.81</v>
      </c>
      <c r="H517" s="23"/>
      <c r="I517" s="70"/>
      <c r="L517" s="71" t="n">
        <f aca="false">IF(助手回款!$R$36="",-1,助手回款!$R$36*100+(助手回款!$S$36-1)*6+2)</f>
        <v>3302</v>
      </c>
    </row>
    <row r="518" customFormat="false" ht="23.25" hidden="false" customHeight="true" outlineLevel="0" collapsed="false">
      <c r="B518" s="67" t="str">
        <f aca="false">""</f>
        <v/>
      </c>
      <c r="C518" s="67"/>
      <c r="D518" s="23" t="str">
        <f aca="false">IFERROR(INDEX(分录回款!$E:$E,MATCH($L518,分录回款!$L:$L,0)),"")</f>
        <v>应收账款</v>
      </c>
      <c r="E518" s="23" t="str">
        <f aca="false">IFERROR(INDEX(分录回款!$F:$F,MATCH($L518,分录回款!$L:$L,0)),"")</f>
        <v>医保</v>
      </c>
      <c r="F518" s="68" t="str">
        <f aca="false">IFERROR(INDEX(分录回款!$H:$H,MATCH($L518,分录回款!$L:$L,0)),"")</f>
        <v/>
      </c>
      <c r="G518" s="69" t="n">
        <f aca="false">IFERROR(INDEX(分录回款!$I:$I,MATCH($L518,分录回款!$L:$L,0)),"")</f>
        <v>3145.21</v>
      </c>
      <c r="H518" s="23"/>
      <c r="I518" s="70"/>
      <c r="L518" s="71" t="n">
        <f aca="false">IF(助手回款!$R$36="",-1,助手回款!$R$36*100+(助手回款!$S$36-1)*6+3)</f>
        <v>3303</v>
      </c>
    </row>
    <row r="519" customFormat="false" ht="23.25" hidden="false" customHeight="true" outlineLevel="0" collapsed="false">
      <c r="B519" s="67" t="str">
        <f aca="false">""</f>
        <v/>
      </c>
      <c r="C519" s="67"/>
      <c r="D519" s="23" t="str">
        <f aca="false">IFERROR(INDEX(分录回款!$E:$E,MATCH($L519,分录回款!$L:$L,0)),"")</f>
        <v/>
      </c>
      <c r="E519" s="23" t="str">
        <f aca="false">IFERROR(INDEX(分录回款!$F:$F,MATCH($L519,分录回款!$L:$L,0)),"")</f>
        <v/>
      </c>
      <c r="F519" s="68" t="str">
        <f aca="false">IFERROR(INDEX(分录回款!$H:$H,MATCH($L519,分录回款!$L:$L,0)),"")</f>
        <v/>
      </c>
      <c r="G519" s="69" t="str">
        <f aca="false">IFERROR(INDEX(分录回款!$I:$I,MATCH($L519,分录回款!$L:$L,0)),"")</f>
        <v/>
      </c>
      <c r="H519" s="23"/>
      <c r="I519" s="70"/>
      <c r="L519" s="71" t="n">
        <f aca="false">IF(助手回款!$R$36="",-1,助手回款!$R$36*100+(助手回款!$S$36-1)*6+4)</f>
        <v>3304</v>
      </c>
    </row>
    <row r="520" customFormat="false" ht="23.25" hidden="false" customHeight="true" outlineLevel="0" collapsed="false">
      <c r="B520" s="67" t="str">
        <f aca="false">""</f>
        <v/>
      </c>
      <c r="C520" s="67"/>
      <c r="D520" s="23" t="str">
        <f aca="false">IFERROR(INDEX(分录回款!$E:$E,MATCH($L520,分录回款!$L:$L,0)),"")</f>
        <v/>
      </c>
      <c r="E520" s="23" t="str">
        <f aca="false">IFERROR(INDEX(分录回款!$F:$F,MATCH($L520,分录回款!$L:$L,0)),"")</f>
        <v/>
      </c>
      <c r="F520" s="68" t="str">
        <f aca="false">IFERROR(INDEX(分录回款!$H:$H,MATCH($L520,分录回款!$L:$L,0)),"")</f>
        <v/>
      </c>
      <c r="G520" s="69" t="str">
        <f aca="false">IFERROR(INDEX(分录回款!$I:$I,MATCH($L520,分录回款!$L:$L,0)),"")</f>
        <v/>
      </c>
      <c r="H520" s="23"/>
      <c r="I520" s="70"/>
      <c r="L520" s="71" t="n">
        <f aca="false">IF(助手回款!$R$36="",-1,助手回款!$R$36*100+(助手回款!$S$36-1)*6+5)</f>
        <v>3305</v>
      </c>
    </row>
    <row r="521" customFormat="false" ht="23.25" hidden="false" customHeight="true" outlineLevel="0" collapsed="false">
      <c r="B521" s="67" t="str">
        <f aca="false">""</f>
        <v/>
      </c>
      <c r="C521" s="67"/>
      <c r="D521" s="23" t="str">
        <f aca="false">IFERROR(INDEX(分录回款!$E:$E,MATCH($L521,分录回款!$L:$L,0)),"")</f>
        <v/>
      </c>
      <c r="E521" s="23" t="str">
        <f aca="false">IFERROR(INDEX(分录回款!$F:$F,MATCH($L521,分录回款!$L:$L,0)),"")</f>
        <v/>
      </c>
      <c r="F521" s="68" t="str">
        <f aca="false">IFERROR(INDEX(分录回款!$H:$H,MATCH($L521,分录回款!$L:$L,0)),"")</f>
        <v/>
      </c>
      <c r="G521" s="69" t="str">
        <f aca="false">IFERROR(INDEX(分录回款!$I:$I,MATCH($L521,分录回款!$L:$L,0)),"")</f>
        <v/>
      </c>
      <c r="H521" s="23"/>
      <c r="I521" s="70"/>
      <c r="L521" s="71" t="n">
        <f aca="false">IF(助手回款!$R$36="",-1,助手回款!$R$36*100+(助手回款!$S$36-1)*6+6)</f>
        <v>3306</v>
      </c>
    </row>
    <row r="522" customFormat="false" ht="23.25" hidden="false" customHeight="true" outlineLevel="0" collapsed="false">
      <c r="B522" s="72" t="str">
        <f aca="false">IF(助手回款!$T$36=1,"合计：","")</f>
        <v>合计：</v>
      </c>
      <c r="C522" s="73" t="n">
        <f aca="false">IF(助手回款!$T$36=1,$F522,"")</f>
        <v>14114.02</v>
      </c>
      <c r="D522" s="74"/>
      <c r="E522" s="74"/>
      <c r="F522" s="75" t="n">
        <f aca="false">IF(助手回款!$T$36=1,INDEX(助手回款!$N$2:$N$66,助手回款!$R$36),"")</f>
        <v>14114.02</v>
      </c>
      <c r="G522" s="76" t="n">
        <f aca="false">IF(助手回款!$T$36=1,INDEX(助手回款!$O$2:$O$66,助手回款!$R$36),"")</f>
        <v>14114.02</v>
      </c>
      <c r="H522" s="74"/>
      <c r="I522" s="77"/>
    </row>
    <row r="523" customFormat="false" ht="6" hidden="false" customHeight="true" outlineLevel="0" collapsed="false"/>
    <row r="524" customFormat="false" ht="13.5" hidden="false" customHeight="false" outlineLevel="0" collapsed="false">
      <c r="B524" s="78" t="str">
        <f aca="false">IF(助手回款!$R$36&lt;&gt;"","会计主管：","")</f>
        <v>会计主管：</v>
      </c>
      <c r="D524" s="78" t="str">
        <f aca="false">IF(助手回款!$R$36&lt;&gt;"","会计：","")</f>
        <v>会计：</v>
      </c>
      <c r="E524" s="78" t="str">
        <f aca="false">IF(助手回款!$R$36&lt;&gt;"","出纳：","")</f>
        <v>出纳：</v>
      </c>
      <c r="F524" s="78" t="str">
        <f aca="false">IF(助手回款!$R$36&lt;&gt;"","复核：","")</f>
        <v>复核：</v>
      </c>
      <c r="G524" s="78" t="str">
        <f aca="false">IF(助手回款!$R$36&lt;&gt;"","制单：","")</f>
        <v>制单：</v>
      </c>
    </row>
    <row r="525" customFormat="false" ht="3" hidden="false" customHeight="true" outlineLevel="0" collapsed="false"/>
    <row r="526" customFormat="false" ht="19.5" hidden="false" customHeight="true" outlineLevel="0" collapsed="false">
      <c r="B526" s="53" t="str">
        <f aca="false">IF(助手回款!$R$37&lt;&gt;"","记  账  凭  证","")</f>
        <v>记  账  凭  证</v>
      </c>
      <c r="C526" s="53"/>
      <c r="D526" s="53"/>
      <c r="E526" s="53"/>
      <c r="F526" s="53"/>
      <c r="G526" s="53"/>
      <c r="H526" s="53"/>
      <c r="I526" s="53"/>
    </row>
    <row r="527" customFormat="false" ht="3" hidden="false" customHeight="true" outlineLevel="0" collapsed="false"/>
    <row r="528" customFormat="false" ht="15" hidden="false" customHeight="true" outlineLevel="0" collapsed="false">
      <c r="C528" s="56" t="n">
        <f aca="false">IF(助手回款!$R$37&lt;&gt;"",INDEX(助手回款!$B$2:$B$66,助手回款!$R$37),"")</f>
        <v>2050</v>
      </c>
      <c r="D528" s="57" t="n">
        <f aca="false">IF(助手回款!$R$37&lt;&gt;"",参数!$B$2,"")</f>
        <v>46234</v>
      </c>
      <c r="E528" s="57"/>
      <c r="F528" s="58" t="str">
        <f aca="false">IF(助手回款!$R$37&lt;&gt;"",INDEX(助手回款!$C$2:$C$66,助手回款!$R$37)&amp;"  字第 "&amp;IF(参数!$B$9="是",INDEX(助手回款!$P$2:$P$66,助手回款!$R$37),"　　　　")&amp;" 号"&amp;IF(INDEX(助手回款!$L$2:$L$66,助手回款!$R$37)&gt;1,"  (共"&amp;INDEX(助手回款!$L$2:$L$66,助手回款!$R$37)&amp;"页 第"&amp;助手回款!$S$37&amp;"页)",""),"")</f>
        <v>博尚店  字第 　　　　 号</v>
      </c>
      <c r="G528" s="58"/>
      <c r="H528" s="58"/>
      <c r="I528" s="58"/>
      <c r="M528" s="59" t="n">
        <f aca="false">IF(助手回款!$R$37="","",助手回款!$Q$37)</f>
        <v>36</v>
      </c>
      <c r="N528" s="60" t="n">
        <f aca="false">IF(助手回款!$R$37="","",INDEX(助手回款!$P$2:$P$66,助手回款!$R$37))</f>
        <v>33</v>
      </c>
      <c r="O528" s="55" t="str">
        <f aca="false">IF(助手回款!$R$37="","",INDEX(助手回款!$C$2:$C$66,助手回款!$R$37)&amp;"  字第 "&amp;INDEX(助手回款!$P$2:$P$66,助手回款!$R$37)&amp;" 号"&amp;IF(INDEX(助手回款!$L$2:$L$66,助手回款!$R$37)&gt;1,"  (共"&amp;INDEX(助手回款!$L$2:$L$66,助手回款!$R$37)&amp;"页 第"&amp;助手回款!$S$37&amp;"页)",""))</f>
        <v>博尚店  字第 33 号</v>
      </c>
    </row>
    <row r="529" customFormat="false" ht="12.75" hidden="false" customHeight="true" outlineLevel="0" collapsed="false">
      <c r="B529" s="61" t="str">
        <f aca="false">IF(助手回款!$R$37&lt;&gt;"","摘　　要","")</f>
        <v>摘　　要</v>
      </c>
      <c r="C529" s="61"/>
      <c r="D529" s="62" t="str">
        <f aca="false">IF(助手回款!$R$37&lt;&gt;"","科　　　　目","")</f>
        <v>科　　　　目</v>
      </c>
      <c r="E529" s="62"/>
      <c r="F529" s="61" t="str">
        <f aca="false">IF(助手回款!$R$37&lt;&gt;"","借 方 金 额","")</f>
        <v>借 方 金 额</v>
      </c>
      <c r="G529" s="62" t="str">
        <f aca="false">IF(助手回款!$R$37&lt;&gt;"","贷 方 金 额","")</f>
        <v>贷 方 金 额</v>
      </c>
      <c r="H529" s="63" t="str">
        <f aca="false">IF(助手回款!$R$37&lt;&gt;"","√","")</f>
        <v>√</v>
      </c>
      <c r="I529" s="64" t="str">
        <f aca="false">IF(助手回款!$R$37&lt;&gt;"","附单据  张","")</f>
        <v>附单据  张</v>
      </c>
    </row>
    <row r="530" customFormat="false" ht="12.75" hidden="false" customHeight="true" outlineLevel="0" collapsed="false">
      <c r="B530" s="61"/>
      <c r="C530" s="61"/>
      <c r="D530" s="23" t="str">
        <f aca="false">IF(助手回款!$R$37&lt;&gt;"","总 账 科 目","")</f>
        <v>总 账 科 目</v>
      </c>
      <c r="E530" s="23" t="str">
        <f aca="false">IF(助手回款!$R$37&lt;&gt;"","明 细 科 目","")</f>
        <v>明 细 科 目</v>
      </c>
      <c r="F530" s="65"/>
      <c r="G530" s="66"/>
      <c r="H530" s="63"/>
      <c r="I530" s="64"/>
    </row>
    <row r="531" customFormat="false" ht="23.25" hidden="false" customHeight="true" outlineLevel="0" collapsed="false">
      <c r="B531" s="67" t="str">
        <f aca="false">IFERROR(INDEX(分录回款!$M:$M,MATCH($L531,分录回款!$L:$L,0)),"")</f>
        <v>回款</v>
      </c>
      <c r="C531" s="67"/>
      <c r="D531" s="23" t="str">
        <f aca="false">IFERROR(INDEX(分录回款!$E:$E,MATCH($L531,分录回款!$L:$L,0)),"")</f>
        <v>库存现金</v>
      </c>
      <c r="E531" s="23" t="str">
        <f aca="false">IFERROR(INDEX(分录回款!$F:$F,MATCH($L531,分录回款!$L:$L,0)),"")</f>
        <v/>
      </c>
      <c r="F531" s="68" t="n">
        <f aca="false">IFERROR(INDEX(分录回款!$H:$H,MATCH($L531,分录回款!$L:$L,0)),"")</f>
        <v>25383.46</v>
      </c>
      <c r="G531" s="69" t="str">
        <f aca="false">IFERROR(INDEX(分录回款!$I:$I,MATCH($L531,分录回款!$L:$L,0)),"")</f>
        <v/>
      </c>
      <c r="H531" s="23"/>
      <c r="I531" s="70"/>
      <c r="L531" s="71" t="n">
        <f aca="false">IF(助手回款!$R$37="",-1,助手回款!$R$37*100+(助手回款!$S$37-1)*6+1)</f>
        <v>3401</v>
      </c>
    </row>
    <row r="532" customFormat="false" ht="23.25" hidden="false" customHeight="true" outlineLevel="0" collapsed="false">
      <c r="B532" s="67" t="str">
        <f aca="false">""</f>
        <v/>
      </c>
      <c r="C532" s="67"/>
      <c r="D532" s="23" t="str">
        <f aca="false">IFERROR(INDEX(分录回款!$E:$E,MATCH($L532,分录回款!$L:$L,0)),"")</f>
        <v>财务费用</v>
      </c>
      <c r="E532" s="23" t="str">
        <f aca="false">IFERROR(INDEX(分录回款!$F:$F,MATCH($L532,分录回款!$L:$L,0)),"")</f>
        <v>手续费</v>
      </c>
      <c r="F532" s="68" t="n">
        <f aca="false">IFERROR(INDEX(分录回款!$H:$H,MATCH($L532,分录回款!$L:$L,0)),"")</f>
        <v>73.91</v>
      </c>
      <c r="G532" s="69" t="str">
        <f aca="false">IFERROR(INDEX(分录回款!$I:$I,MATCH($L532,分录回款!$L:$L,0)),"")</f>
        <v/>
      </c>
      <c r="H532" s="23"/>
      <c r="I532" s="70"/>
      <c r="L532" s="71" t="n">
        <f aca="false">IF(助手回款!$R$37="",-1,助手回款!$R$37*100+(助手回款!$S$37-1)*6+2)</f>
        <v>3402</v>
      </c>
    </row>
    <row r="533" customFormat="false" ht="23.25" hidden="false" customHeight="true" outlineLevel="0" collapsed="false">
      <c r="B533" s="67" t="str">
        <f aca="false">""</f>
        <v/>
      </c>
      <c r="C533" s="67"/>
      <c r="D533" s="23" t="str">
        <f aca="false">IFERROR(INDEX(分录回款!$E:$E,MATCH($L533,分录回款!$L:$L,0)),"")</f>
        <v>应收账款</v>
      </c>
      <c r="E533" s="23" t="str">
        <f aca="false">IFERROR(INDEX(分录回款!$F:$F,MATCH($L533,分录回款!$L:$L,0)),"")</f>
        <v>聚合支付</v>
      </c>
      <c r="F533" s="68" t="str">
        <f aca="false">IFERROR(INDEX(分录回款!$H:$H,MATCH($L533,分录回款!$L:$L,0)),"")</f>
        <v/>
      </c>
      <c r="G533" s="69" t="n">
        <f aca="false">IFERROR(INDEX(分录回款!$I:$I,MATCH($L533,分录回款!$L:$L,0)),"")</f>
        <v>17000.61</v>
      </c>
      <c r="H533" s="23"/>
      <c r="I533" s="70"/>
      <c r="L533" s="71" t="n">
        <f aca="false">IF(助手回款!$R$37="",-1,助手回款!$R$37*100+(助手回款!$S$37-1)*6+3)</f>
        <v>3403</v>
      </c>
    </row>
    <row r="534" customFormat="false" ht="23.25" hidden="false" customHeight="true" outlineLevel="0" collapsed="false">
      <c r="B534" s="67" t="str">
        <f aca="false">""</f>
        <v/>
      </c>
      <c r="C534" s="67"/>
      <c r="D534" s="23" t="str">
        <f aca="false">IFERROR(INDEX(分录回款!$E:$E,MATCH($L534,分录回款!$L:$L,0)),"")</f>
        <v>应收账款</v>
      </c>
      <c r="E534" s="23" t="str">
        <f aca="false">IFERROR(INDEX(分录回款!$F:$F,MATCH($L534,分录回款!$L:$L,0)),"")</f>
        <v>医保</v>
      </c>
      <c r="F534" s="68" t="str">
        <f aca="false">IFERROR(INDEX(分录回款!$H:$H,MATCH($L534,分录回款!$L:$L,0)),"")</f>
        <v/>
      </c>
      <c r="G534" s="69" t="n">
        <f aca="false">IFERROR(INDEX(分录回款!$I:$I,MATCH($L534,分录回款!$L:$L,0)),"")</f>
        <v>7951.36</v>
      </c>
      <c r="H534" s="23"/>
      <c r="I534" s="70"/>
      <c r="L534" s="71" t="n">
        <f aca="false">IF(助手回款!$R$37="",-1,助手回款!$R$37*100+(助手回款!$S$37-1)*6+4)</f>
        <v>3404</v>
      </c>
    </row>
    <row r="535" customFormat="false" ht="23.25" hidden="false" customHeight="true" outlineLevel="0" collapsed="false">
      <c r="B535" s="67" t="str">
        <f aca="false">""</f>
        <v/>
      </c>
      <c r="C535" s="67"/>
      <c r="D535" s="23" t="str">
        <f aca="false">IFERROR(INDEX(分录回款!$E:$E,MATCH($L535,分录回款!$L:$L,0)),"")</f>
        <v>应收账款</v>
      </c>
      <c r="E535" s="23" t="str">
        <f aca="false">IFERROR(INDEX(分录回款!$F:$F,MATCH($L535,分录回款!$L:$L,0)),"")</f>
        <v>美团</v>
      </c>
      <c r="F535" s="68" t="str">
        <f aca="false">IFERROR(INDEX(分录回款!$H:$H,MATCH($L535,分录回款!$L:$L,0)),"")</f>
        <v/>
      </c>
      <c r="G535" s="69" t="n">
        <f aca="false">IFERROR(INDEX(分录回款!$I:$I,MATCH($L535,分录回款!$L:$L,0)),"")</f>
        <v>418.6</v>
      </c>
      <c r="H535" s="23"/>
      <c r="I535" s="70"/>
      <c r="L535" s="71" t="n">
        <f aca="false">IF(助手回款!$R$37="",-1,助手回款!$R$37*100+(助手回款!$S$37-1)*6+5)</f>
        <v>3405</v>
      </c>
    </row>
    <row r="536" customFormat="false" ht="23.25" hidden="false" customHeight="true" outlineLevel="0" collapsed="false">
      <c r="B536" s="67" t="str">
        <f aca="false">""</f>
        <v/>
      </c>
      <c r="C536" s="67"/>
      <c r="D536" s="23" t="str">
        <f aca="false">IFERROR(INDEX(分录回款!$E:$E,MATCH($L536,分录回款!$L:$L,0)),"")</f>
        <v>应收账款</v>
      </c>
      <c r="E536" s="23" t="str">
        <f aca="false">IFERROR(INDEX(分录回款!$F:$F,MATCH($L536,分录回款!$L:$L,0)),"")</f>
        <v>医卡通</v>
      </c>
      <c r="F536" s="68" t="str">
        <f aca="false">IFERROR(INDEX(分录回款!$H:$H,MATCH($L536,分录回款!$L:$L,0)),"")</f>
        <v/>
      </c>
      <c r="G536" s="69" t="n">
        <f aca="false">IFERROR(INDEX(分录回款!$I:$I,MATCH($L536,分录回款!$L:$L,0)),"")</f>
        <v>86.8</v>
      </c>
      <c r="H536" s="23"/>
      <c r="I536" s="70"/>
      <c r="L536" s="71" t="n">
        <f aca="false">IF(助手回款!$R$37="",-1,助手回款!$R$37*100+(助手回款!$S$37-1)*6+6)</f>
        <v>3406</v>
      </c>
    </row>
    <row r="537" customFormat="false" ht="23.25" hidden="false" customHeight="true" outlineLevel="0" collapsed="false">
      <c r="B537" s="72" t="str">
        <f aca="false">IF(助手回款!$T$37=1,"合计：","")</f>
        <v>合计：</v>
      </c>
      <c r="C537" s="73" t="n">
        <f aca="false">IF(助手回款!$T$37=1,$F537,"")</f>
        <v>25457.37</v>
      </c>
      <c r="D537" s="74"/>
      <c r="E537" s="74"/>
      <c r="F537" s="75" t="n">
        <f aca="false">IF(助手回款!$T$37=1,INDEX(助手回款!$N$2:$N$66,助手回款!$R$37),"")</f>
        <v>25457.37</v>
      </c>
      <c r="G537" s="76" t="n">
        <f aca="false">IF(助手回款!$T$37=1,INDEX(助手回款!$O$2:$O$66,助手回款!$R$37),"")</f>
        <v>25457.37</v>
      </c>
      <c r="H537" s="74"/>
      <c r="I537" s="77"/>
    </row>
    <row r="538" customFormat="false" ht="6" hidden="false" customHeight="true" outlineLevel="0" collapsed="false"/>
    <row r="539" customFormat="false" ht="13.5" hidden="false" customHeight="false" outlineLevel="0" collapsed="false">
      <c r="B539" s="78" t="str">
        <f aca="false">IF(助手回款!$R$37&lt;&gt;"","会计主管：","")</f>
        <v>会计主管：</v>
      </c>
      <c r="D539" s="78" t="str">
        <f aca="false">IF(助手回款!$R$37&lt;&gt;"","会计：","")</f>
        <v>会计：</v>
      </c>
      <c r="E539" s="78" t="str">
        <f aca="false">IF(助手回款!$R$37&lt;&gt;"","出纳：","")</f>
        <v>出纳：</v>
      </c>
      <c r="F539" s="78" t="str">
        <f aca="false">IF(助手回款!$R$37&lt;&gt;"","复核：","")</f>
        <v>复核：</v>
      </c>
      <c r="G539" s="78" t="str">
        <f aca="false">IF(助手回款!$R$37&lt;&gt;"","制单：","")</f>
        <v>制单：</v>
      </c>
    </row>
    <row r="540" customFormat="false" ht="3" hidden="false" customHeight="true" outlineLevel="0" collapsed="false"/>
    <row r="541" customFormat="false" ht="19.5" hidden="false" customHeight="true" outlineLevel="0" collapsed="false">
      <c r="B541" s="53" t="str">
        <f aca="false">IF(助手回款!$R$38&lt;&gt;"","记  账  凭  证","")</f>
        <v>记  账  凭  证</v>
      </c>
      <c r="C541" s="53"/>
      <c r="D541" s="53"/>
      <c r="E541" s="53"/>
      <c r="F541" s="53"/>
      <c r="G541" s="53"/>
      <c r="H541" s="53"/>
      <c r="I541" s="53"/>
    </row>
    <row r="542" customFormat="false" ht="3" hidden="false" customHeight="true" outlineLevel="0" collapsed="false"/>
    <row r="543" customFormat="false" ht="15" hidden="false" customHeight="true" outlineLevel="0" collapsed="false">
      <c r="C543" s="56" t="n">
        <f aca="false">IF(助手回款!$R$38&lt;&gt;"",INDEX(助手回款!$B$2:$B$66,助手回款!$R$38),"")</f>
        <v>2053</v>
      </c>
      <c r="D543" s="57" t="n">
        <f aca="false">IF(助手回款!$R$38&lt;&gt;"",参数!$B$2,"")</f>
        <v>46234</v>
      </c>
      <c r="E543" s="57"/>
      <c r="F543" s="58" t="str">
        <f aca="false">IF(助手回款!$R$38&lt;&gt;"",INDEX(助手回款!$C$2:$C$66,助手回款!$R$38)&amp;"  字第 "&amp;IF(参数!$B$9="是",INDEX(助手回款!$P$2:$P$66,助手回款!$R$38),"　　　　")&amp;" 号"&amp;IF(INDEX(助手回款!$L$2:$L$66,助手回款!$R$38)&gt;1,"  (共"&amp;INDEX(助手回款!$L$2:$L$66,助手回款!$R$38)&amp;"页 第"&amp;助手回款!$S$38&amp;"页)",""),"")</f>
        <v>博鑫店  字第 　　　　 号</v>
      </c>
      <c r="G543" s="58"/>
      <c r="H543" s="58"/>
      <c r="I543" s="58"/>
      <c r="M543" s="59" t="n">
        <f aca="false">IF(助手回款!$R$38="","",助手回款!$Q$38)</f>
        <v>37</v>
      </c>
      <c r="N543" s="60" t="n">
        <f aca="false">IF(助手回款!$R$38="","",INDEX(助手回款!$P$2:$P$66,助手回款!$R$38))</f>
        <v>34</v>
      </c>
      <c r="O543" s="55" t="str">
        <f aca="false">IF(助手回款!$R$38="","",INDEX(助手回款!$C$2:$C$66,助手回款!$R$38)&amp;"  字第 "&amp;INDEX(助手回款!$P$2:$P$66,助手回款!$R$38)&amp;" 号"&amp;IF(INDEX(助手回款!$L$2:$L$66,助手回款!$R$38)&gt;1,"  (共"&amp;INDEX(助手回款!$L$2:$L$66,助手回款!$R$38)&amp;"页 第"&amp;助手回款!$S$38&amp;"页)",""))</f>
        <v>博鑫店  字第 34 号</v>
      </c>
    </row>
    <row r="544" customFormat="false" ht="12.75" hidden="false" customHeight="true" outlineLevel="0" collapsed="false">
      <c r="B544" s="61" t="str">
        <f aca="false">IF(助手回款!$R$38&lt;&gt;"","摘　　要","")</f>
        <v>摘　　要</v>
      </c>
      <c r="C544" s="61"/>
      <c r="D544" s="62" t="str">
        <f aca="false">IF(助手回款!$R$38&lt;&gt;"","科　　　　目","")</f>
        <v>科　　　　目</v>
      </c>
      <c r="E544" s="62"/>
      <c r="F544" s="61" t="str">
        <f aca="false">IF(助手回款!$R$38&lt;&gt;"","借 方 金 额","")</f>
        <v>借 方 金 额</v>
      </c>
      <c r="G544" s="62" t="str">
        <f aca="false">IF(助手回款!$R$38&lt;&gt;"","贷 方 金 额","")</f>
        <v>贷 方 金 额</v>
      </c>
      <c r="H544" s="63" t="str">
        <f aca="false">IF(助手回款!$R$38&lt;&gt;"","√","")</f>
        <v>√</v>
      </c>
      <c r="I544" s="64" t="str">
        <f aca="false">IF(助手回款!$R$38&lt;&gt;"","附单据  张","")</f>
        <v>附单据  张</v>
      </c>
    </row>
    <row r="545" customFormat="false" ht="12.75" hidden="false" customHeight="true" outlineLevel="0" collapsed="false">
      <c r="B545" s="61"/>
      <c r="C545" s="61"/>
      <c r="D545" s="23" t="str">
        <f aca="false">IF(助手回款!$R$38&lt;&gt;"","总 账 科 目","")</f>
        <v>总 账 科 目</v>
      </c>
      <c r="E545" s="23" t="str">
        <f aca="false">IF(助手回款!$R$38&lt;&gt;"","明 细 科 目","")</f>
        <v>明 细 科 目</v>
      </c>
      <c r="F545" s="65"/>
      <c r="G545" s="66"/>
      <c r="H545" s="63"/>
      <c r="I545" s="64"/>
    </row>
    <row r="546" customFormat="false" ht="23.25" hidden="false" customHeight="true" outlineLevel="0" collapsed="false">
      <c r="B546" s="67" t="str">
        <f aca="false">IFERROR(INDEX(分录回款!$M:$M,MATCH($L546,分录回款!$L:$L,0)),"")</f>
        <v>回款</v>
      </c>
      <c r="C546" s="67"/>
      <c r="D546" s="23" t="str">
        <f aca="false">IFERROR(INDEX(分录回款!$E:$E,MATCH($L546,分录回款!$L:$L,0)),"")</f>
        <v>库存现金</v>
      </c>
      <c r="E546" s="23" t="str">
        <f aca="false">IFERROR(INDEX(分录回款!$F:$F,MATCH($L546,分录回款!$L:$L,0)),"")</f>
        <v/>
      </c>
      <c r="F546" s="68" t="n">
        <f aca="false">IFERROR(INDEX(分录回款!$H:$H,MATCH($L546,分录回款!$L:$L,0)),"")</f>
        <v>34379.69</v>
      </c>
      <c r="G546" s="69" t="str">
        <f aca="false">IFERROR(INDEX(分录回款!$I:$I,MATCH($L546,分录回款!$L:$L,0)),"")</f>
        <v/>
      </c>
      <c r="H546" s="23"/>
      <c r="I546" s="70"/>
      <c r="L546" s="71" t="n">
        <f aca="false">IF(助手回款!$R$38="",-1,助手回款!$R$38*100+(助手回款!$S$38-1)*6+1)</f>
        <v>3501</v>
      </c>
    </row>
    <row r="547" customFormat="false" ht="23.25" hidden="false" customHeight="true" outlineLevel="0" collapsed="false">
      <c r="B547" s="67" t="str">
        <f aca="false">""</f>
        <v/>
      </c>
      <c r="C547" s="67"/>
      <c r="D547" s="23" t="str">
        <f aca="false">IFERROR(INDEX(分录回款!$E:$E,MATCH($L547,分录回款!$L:$L,0)),"")</f>
        <v>财务费用</v>
      </c>
      <c r="E547" s="23" t="str">
        <f aca="false">IFERROR(INDEX(分录回款!$F:$F,MATCH($L547,分录回款!$L:$L,0)),"")</f>
        <v>手续费</v>
      </c>
      <c r="F547" s="68" t="n">
        <f aca="false">IFERROR(INDEX(分录回款!$H:$H,MATCH($L547,分录回款!$L:$L,0)),"")</f>
        <v>15.78</v>
      </c>
      <c r="G547" s="69" t="str">
        <f aca="false">IFERROR(INDEX(分录回款!$I:$I,MATCH($L547,分录回款!$L:$L,0)),"")</f>
        <v/>
      </c>
      <c r="H547" s="23"/>
      <c r="I547" s="70"/>
      <c r="L547" s="71" t="n">
        <f aca="false">IF(助手回款!$R$38="",-1,助手回款!$R$38*100+(助手回款!$S$38-1)*6+2)</f>
        <v>3502</v>
      </c>
    </row>
    <row r="548" customFormat="false" ht="23.25" hidden="false" customHeight="true" outlineLevel="0" collapsed="false">
      <c r="B548" s="67" t="str">
        <f aca="false">""</f>
        <v/>
      </c>
      <c r="C548" s="67"/>
      <c r="D548" s="23" t="str">
        <f aca="false">IFERROR(INDEX(分录回款!$E:$E,MATCH($L548,分录回款!$L:$L,0)),"")</f>
        <v>应收账款</v>
      </c>
      <c r="E548" s="23" t="str">
        <f aca="false">IFERROR(INDEX(分录回款!$F:$F,MATCH($L548,分录回款!$L:$L,0)),"")</f>
        <v>聚合支付</v>
      </c>
      <c r="F548" s="68" t="str">
        <f aca="false">IFERROR(INDEX(分录回款!$H:$H,MATCH($L548,分录回款!$L:$L,0)),"")</f>
        <v/>
      </c>
      <c r="G548" s="69" t="n">
        <f aca="false">IFERROR(INDEX(分录回款!$I:$I,MATCH($L548,分录回款!$L:$L,0)),"")</f>
        <v>25267.3</v>
      </c>
      <c r="H548" s="23"/>
      <c r="I548" s="70"/>
      <c r="L548" s="71" t="n">
        <f aca="false">IF(助手回款!$R$38="",-1,助手回款!$R$38*100+(助手回款!$S$38-1)*6+3)</f>
        <v>3503</v>
      </c>
    </row>
    <row r="549" customFormat="false" ht="23.25" hidden="false" customHeight="true" outlineLevel="0" collapsed="false">
      <c r="B549" s="67" t="str">
        <f aca="false">""</f>
        <v/>
      </c>
      <c r="C549" s="67"/>
      <c r="D549" s="23" t="str">
        <f aca="false">IFERROR(INDEX(分录回款!$E:$E,MATCH($L549,分录回款!$L:$L,0)),"")</f>
        <v>应收账款</v>
      </c>
      <c r="E549" s="23" t="str">
        <f aca="false">IFERROR(INDEX(分录回款!$F:$F,MATCH($L549,分录回款!$L:$L,0)),"")</f>
        <v>医保</v>
      </c>
      <c r="F549" s="68" t="str">
        <f aca="false">IFERROR(INDEX(分录回款!$H:$H,MATCH($L549,分录回款!$L:$L,0)),"")</f>
        <v/>
      </c>
      <c r="G549" s="69" t="n">
        <f aca="false">IFERROR(INDEX(分录回款!$I:$I,MATCH($L549,分录回款!$L:$L,0)),"")</f>
        <v>9054.17</v>
      </c>
      <c r="H549" s="23"/>
      <c r="I549" s="70"/>
      <c r="L549" s="71" t="n">
        <f aca="false">IF(助手回款!$R$38="",-1,助手回款!$R$38*100+(助手回款!$S$38-1)*6+4)</f>
        <v>3504</v>
      </c>
    </row>
    <row r="550" customFormat="false" ht="23.25" hidden="false" customHeight="true" outlineLevel="0" collapsed="false">
      <c r="B550" s="67" t="str">
        <f aca="false">""</f>
        <v/>
      </c>
      <c r="C550" s="67"/>
      <c r="D550" s="23" t="str">
        <f aca="false">IFERROR(INDEX(分录回款!$E:$E,MATCH($L550,分录回款!$L:$L,0)),"")</f>
        <v>应收账款</v>
      </c>
      <c r="E550" s="23" t="str">
        <f aca="false">IFERROR(INDEX(分录回款!$F:$F,MATCH($L550,分录回款!$L:$L,0)),"")</f>
        <v>美团</v>
      </c>
      <c r="F550" s="68" t="str">
        <f aca="false">IFERROR(INDEX(分录回款!$H:$H,MATCH($L550,分录回款!$L:$L,0)),"")</f>
        <v/>
      </c>
      <c r="G550" s="69" t="n">
        <f aca="false">IFERROR(INDEX(分录回款!$I:$I,MATCH($L550,分录回款!$L:$L,0)),"")</f>
        <v>74</v>
      </c>
      <c r="H550" s="23"/>
      <c r="I550" s="70"/>
      <c r="L550" s="71" t="n">
        <f aca="false">IF(助手回款!$R$38="",-1,助手回款!$R$38*100+(助手回款!$S$38-1)*6+5)</f>
        <v>3505</v>
      </c>
    </row>
    <row r="551" customFormat="false" ht="23.25" hidden="false" customHeight="true" outlineLevel="0" collapsed="false">
      <c r="B551" s="67" t="str">
        <f aca="false">""</f>
        <v/>
      </c>
      <c r="C551" s="67"/>
      <c r="D551" s="23" t="str">
        <f aca="false">IFERROR(INDEX(分录回款!$E:$E,MATCH($L551,分录回款!$L:$L,0)),"")</f>
        <v/>
      </c>
      <c r="E551" s="23" t="str">
        <f aca="false">IFERROR(INDEX(分录回款!$F:$F,MATCH($L551,分录回款!$L:$L,0)),"")</f>
        <v/>
      </c>
      <c r="F551" s="68" t="str">
        <f aca="false">IFERROR(INDEX(分录回款!$H:$H,MATCH($L551,分录回款!$L:$L,0)),"")</f>
        <v/>
      </c>
      <c r="G551" s="69" t="str">
        <f aca="false">IFERROR(INDEX(分录回款!$I:$I,MATCH($L551,分录回款!$L:$L,0)),"")</f>
        <v/>
      </c>
      <c r="H551" s="23"/>
      <c r="I551" s="70"/>
      <c r="L551" s="71" t="n">
        <f aca="false">IF(助手回款!$R$38="",-1,助手回款!$R$38*100+(助手回款!$S$38-1)*6+6)</f>
        <v>3506</v>
      </c>
    </row>
    <row r="552" customFormat="false" ht="23.25" hidden="false" customHeight="true" outlineLevel="0" collapsed="false">
      <c r="B552" s="72" t="str">
        <f aca="false">IF(助手回款!$T$38=1,"合计：","")</f>
        <v>合计：</v>
      </c>
      <c r="C552" s="73" t="n">
        <f aca="false">IF(助手回款!$T$38=1,$F552,"")</f>
        <v>34395.47</v>
      </c>
      <c r="D552" s="74"/>
      <c r="E552" s="74"/>
      <c r="F552" s="75" t="n">
        <f aca="false">IF(助手回款!$T$38=1,INDEX(助手回款!$N$2:$N$66,助手回款!$R$38),"")</f>
        <v>34395.47</v>
      </c>
      <c r="G552" s="76" t="n">
        <f aca="false">IF(助手回款!$T$38=1,INDEX(助手回款!$O$2:$O$66,助手回款!$R$38),"")</f>
        <v>34395.47</v>
      </c>
      <c r="H552" s="74"/>
      <c r="I552" s="77"/>
    </row>
    <row r="553" customFormat="false" ht="6" hidden="false" customHeight="true" outlineLevel="0" collapsed="false"/>
    <row r="554" customFormat="false" ht="13.5" hidden="false" customHeight="false" outlineLevel="0" collapsed="false">
      <c r="B554" s="78" t="str">
        <f aca="false">IF(助手回款!$R$38&lt;&gt;"","会计主管：","")</f>
        <v>会计主管：</v>
      </c>
      <c r="D554" s="78" t="str">
        <f aca="false">IF(助手回款!$R$38&lt;&gt;"","会计：","")</f>
        <v>会计：</v>
      </c>
      <c r="E554" s="78" t="str">
        <f aca="false">IF(助手回款!$R$38&lt;&gt;"","出纳：","")</f>
        <v>出纳：</v>
      </c>
      <c r="F554" s="78" t="str">
        <f aca="false">IF(助手回款!$R$38&lt;&gt;"","复核：","")</f>
        <v>复核：</v>
      </c>
      <c r="G554" s="78" t="str">
        <f aca="false">IF(助手回款!$R$38&lt;&gt;"","制单：","")</f>
        <v>制单：</v>
      </c>
    </row>
    <row r="555" customFormat="false" ht="3" hidden="false" customHeight="true" outlineLevel="0" collapsed="false"/>
    <row r="556" customFormat="false" ht="19.5" hidden="false" customHeight="true" outlineLevel="0" collapsed="false">
      <c r="B556" s="53" t="str">
        <f aca="false">IF(助手回款!$R$39&lt;&gt;"","记  账  凭  证","")</f>
        <v>记  账  凭  证</v>
      </c>
      <c r="C556" s="53"/>
      <c r="D556" s="53"/>
      <c r="E556" s="53"/>
      <c r="F556" s="53"/>
      <c r="G556" s="53"/>
      <c r="H556" s="53"/>
      <c r="I556" s="53"/>
    </row>
    <row r="557" customFormat="false" ht="3" hidden="false" customHeight="true" outlineLevel="0" collapsed="false"/>
    <row r="558" customFormat="false" ht="15" hidden="false" customHeight="true" outlineLevel="0" collapsed="false">
      <c r="C558" s="56" t="n">
        <f aca="false">IF(助手回款!$R$39&lt;&gt;"",INDEX(助手回款!$B$2:$B$66,助手回款!$R$39),"")</f>
        <v>2055</v>
      </c>
      <c r="D558" s="57" t="n">
        <f aca="false">IF(助手回款!$R$39&lt;&gt;"",参数!$B$2,"")</f>
        <v>46234</v>
      </c>
      <c r="E558" s="57"/>
      <c r="F558" s="58" t="str">
        <f aca="false">IF(助手回款!$R$39&lt;&gt;"",INDEX(助手回款!$C$2:$C$66,助手回款!$R$39)&amp;"  字第 "&amp;IF(参数!$B$9="是",INDEX(助手回款!$P$2:$P$66,助手回款!$R$39),"　　　　")&amp;" 号"&amp;IF(INDEX(助手回款!$L$2:$L$66,助手回款!$R$39)&gt;1,"  (共"&amp;INDEX(助手回款!$L$2:$L$66,助手回款!$R$39)&amp;"页 第"&amp;助手回款!$S$39&amp;"页)",""),"")</f>
        <v>博魏店  字第 　　　　 号</v>
      </c>
      <c r="G558" s="58"/>
      <c r="H558" s="58"/>
      <c r="I558" s="58"/>
      <c r="M558" s="59" t="n">
        <f aca="false">IF(助手回款!$R$39="","",助手回款!$Q$39)</f>
        <v>38</v>
      </c>
      <c r="N558" s="60" t="n">
        <f aca="false">IF(助手回款!$R$39="","",INDEX(助手回款!$P$2:$P$66,助手回款!$R$39))</f>
        <v>35</v>
      </c>
      <c r="O558" s="55" t="str">
        <f aca="false">IF(助手回款!$R$39="","",INDEX(助手回款!$C$2:$C$66,助手回款!$R$39)&amp;"  字第 "&amp;INDEX(助手回款!$P$2:$P$66,助手回款!$R$39)&amp;" 号"&amp;IF(INDEX(助手回款!$L$2:$L$66,助手回款!$R$39)&gt;1,"  (共"&amp;INDEX(助手回款!$L$2:$L$66,助手回款!$R$39)&amp;"页 第"&amp;助手回款!$S$39&amp;"页)",""))</f>
        <v>博魏店  字第 35 号</v>
      </c>
    </row>
    <row r="559" customFormat="false" ht="12.75" hidden="false" customHeight="true" outlineLevel="0" collapsed="false">
      <c r="B559" s="61" t="str">
        <f aca="false">IF(助手回款!$R$39&lt;&gt;"","摘　　要","")</f>
        <v>摘　　要</v>
      </c>
      <c r="C559" s="61"/>
      <c r="D559" s="62" t="str">
        <f aca="false">IF(助手回款!$R$39&lt;&gt;"","科　　　　目","")</f>
        <v>科　　　　目</v>
      </c>
      <c r="E559" s="62"/>
      <c r="F559" s="61" t="str">
        <f aca="false">IF(助手回款!$R$39&lt;&gt;"","借 方 金 额","")</f>
        <v>借 方 金 额</v>
      </c>
      <c r="G559" s="62" t="str">
        <f aca="false">IF(助手回款!$R$39&lt;&gt;"","贷 方 金 额","")</f>
        <v>贷 方 金 额</v>
      </c>
      <c r="H559" s="63" t="str">
        <f aca="false">IF(助手回款!$R$39&lt;&gt;"","√","")</f>
        <v>√</v>
      </c>
      <c r="I559" s="64" t="str">
        <f aca="false">IF(助手回款!$R$39&lt;&gt;"","附单据  张","")</f>
        <v>附单据  张</v>
      </c>
    </row>
    <row r="560" customFormat="false" ht="12.75" hidden="false" customHeight="true" outlineLevel="0" collapsed="false">
      <c r="B560" s="61"/>
      <c r="C560" s="61"/>
      <c r="D560" s="23" t="str">
        <f aca="false">IF(助手回款!$R$39&lt;&gt;"","总 账 科 目","")</f>
        <v>总 账 科 目</v>
      </c>
      <c r="E560" s="23" t="str">
        <f aca="false">IF(助手回款!$R$39&lt;&gt;"","明 细 科 目","")</f>
        <v>明 细 科 目</v>
      </c>
      <c r="F560" s="65"/>
      <c r="G560" s="66"/>
      <c r="H560" s="63"/>
      <c r="I560" s="64"/>
    </row>
    <row r="561" customFormat="false" ht="23.25" hidden="false" customHeight="true" outlineLevel="0" collapsed="false">
      <c r="B561" s="67" t="str">
        <f aca="false">IFERROR(INDEX(分录回款!$M:$M,MATCH($L561,分录回款!$L:$L,0)),"")</f>
        <v>回款</v>
      </c>
      <c r="C561" s="67"/>
      <c r="D561" s="23" t="str">
        <f aca="false">IFERROR(INDEX(分录回款!$E:$E,MATCH($L561,分录回款!$L:$L,0)),"")</f>
        <v>库存现金</v>
      </c>
      <c r="E561" s="23" t="str">
        <f aca="false">IFERROR(INDEX(分录回款!$F:$F,MATCH($L561,分录回款!$L:$L,0)),"")</f>
        <v/>
      </c>
      <c r="F561" s="68" t="n">
        <f aca="false">IFERROR(INDEX(分录回款!$H:$H,MATCH($L561,分录回款!$L:$L,0)),"")</f>
        <v>25814.11</v>
      </c>
      <c r="G561" s="69" t="str">
        <f aca="false">IFERROR(INDEX(分录回款!$I:$I,MATCH($L561,分录回款!$L:$L,0)),"")</f>
        <v/>
      </c>
      <c r="H561" s="23"/>
      <c r="I561" s="70"/>
      <c r="L561" s="71" t="n">
        <f aca="false">IF(助手回款!$R$39="",-1,助手回款!$R$39*100+(助手回款!$S$39-1)*6+1)</f>
        <v>3601</v>
      </c>
    </row>
    <row r="562" customFormat="false" ht="23.25" hidden="false" customHeight="true" outlineLevel="0" collapsed="false">
      <c r="B562" s="67" t="str">
        <f aca="false">""</f>
        <v/>
      </c>
      <c r="C562" s="67"/>
      <c r="D562" s="23" t="str">
        <f aca="false">IFERROR(INDEX(分录回款!$E:$E,MATCH($L562,分录回款!$L:$L,0)),"")</f>
        <v>应收账款</v>
      </c>
      <c r="E562" s="23" t="str">
        <f aca="false">IFERROR(INDEX(分录回款!$F:$F,MATCH($L562,分录回款!$L:$L,0)),"")</f>
        <v>聚合支付</v>
      </c>
      <c r="F562" s="68" t="str">
        <f aca="false">IFERROR(INDEX(分录回款!$H:$H,MATCH($L562,分录回款!$L:$L,0)),"")</f>
        <v/>
      </c>
      <c r="G562" s="69" t="n">
        <f aca="false">IFERROR(INDEX(分录回款!$I:$I,MATCH($L562,分录回款!$L:$L,0)),"")</f>
        <v>25814.11</v>
      </c>
      <c r="H562" s="23"/>
      <c r="I562" s="70"/>
      <c r="L562" s="71" t="n">
        <f aca="false">IF(助手回款!$R$39="",-1,助手回款!$R$39*100+(助手回款!$S$39-1)*6+2)</f>
        <v>3602</v>
      </c>
    </row>
    <row r="563" customFormat="false" ht="23.25" hidden="false" customHeight="true" outlineLevel="0" collapsed="false">
      <c r="B563" s="67" t="str">
        <f aca="false">""</f>
        <v/>
      </c>
      <c r="C563" s="67"/>
      <c r="D563" s="23" t="str">
        <f aca="false">IFERROR(INDEX(分录回款!$E:$E,MATCH($L563,分录回款!$L:$L,0)),"")</f>
        <v/>
      </c>
      <c r="E563" s="23" t="str">
        <f aca="false">IFERROR(INDEX(分录回款!$F:$F,MATCH($L563,分录回款!$L:$L,0)),"")</f>
        <v/>
      </c>
      <c r="F563" s="68" t="str">
        <f aca="false">IFERROR(INDEX(分录回款!$H:$H,MATCH($L563,分录回款!$L:$L,0)),"")</f>
        <v/>
      </c>
      <c r="G563" s="69" t="str">
        <f aca="false">IFERROR(INDEX(分录回款!$I:$I,MATCH($L563,分录回款!$L:$L,0)),"")</f>
        <v/>
      </c>
      <c r="H563" s="23"/>
      <c r="I563" s="70"/>
      <c r="L563" s="71" t="n">
        <f aca="false">IF(助手回款!$R$39="",-1,助手回款!$R$39*100+(助手回款!$S$39-1)*6+3)</f>
        <v>3603</v>
      </c>
    </row>
    <row r="564" customFormat="false" ht="23.25" hidden="false" customHeight="true" outlineLevel="0" collapsed="false">
      <c r="B564" s="67" t="str">
        <f aca="false">""</f>
        <v/>
      </c>
      <c r="C564" s="67"/>
      <c r="D564" s="23" t="str">
        <f aca="false">IFERROR(INDEX(分录回款!$E:$E,MATCH($L564,分录回款!$L:$L,0)),"")</f>
        <v/>
      </c>
      <c r="E564" s="23" t="str">
        <f aca="false">IFERROR(INDEX(分录回款!$F:$F,MATCH($L564,分录回款!$L:$L,0)),"")</f>
        <v/>
      </c>
      <c r="F564" s="68" t="str">
        <f aca="false">IFERROR(INDEX(分录回款!$H:$H,MATCH($L564,分录回款!$L:$L,0)),"")</f>
        <v/>
      </c>
      <c r="G564" s="69" t="str">
        <f aca="false">IFERROR(INDEX(分录回款!$I:$I,MATCH($L564,分录回款!$L:$L,0)),"")</f>
        <v/>
      </c>
      <c r="H564" s="23"/>
      <c r="I564" s="70"/>
      <c r="L564" s="71" t="n">
        <f aca="false">IF(助手回款!$R$39="",-1,助手回款!$R$39*100+(助手回款!$S$39-1)*6+4)</f>
        <v>3604</v>
      </c>
    </row>
    <row r="565" customFormat="false" ht="23.25" hidden="false" customHeight="true" outlineLevel="0" collapsed="false">
      <c r="B565" s="67" t="str">
        <f aca="false">""</f>
        <v/>
      </c>
      <c r="C565" s="67"/>
      <c r="D565" s="23" t="str">
        <f aca="false">IFERROR(INDEX(分录回款!$E:$E,MATCH($L565,分录回款!$L:$L,0)),"")</f>
        <v/>
      </c>
      <c r="E565" s="23" t="str">
        <f aca="false">IFERROR(INDEX(分录回款!$F:$F,MATCH($L565,分录回款!$L:$L,0)),"")</f>
        <v/>
      </c>
      <c r="F565" s="68" t="str">
        <f aca="false">IFERROR(INDEX(分录回款!$H:$H,MATCH($L565,分录回款!$L:$L,0)),"")</f>
        <v/>
      </c>
      <c r="G565" s="69" t="str">
        <f aca="false">IFERROR(INDEX(分录回款!$I:$I,MATCH($L565,分录回款!$L:$L,0)),"")</f>
        <v/>
      </c>
      <c r="H565" s="23"/>
      <c r="I565" s="70"/>
      <c r="L565" s="71" t="n">
        <f aca="false">IF(助手回款!$R$39="",-1,助手回款!$R$39*100+(助手回款!$S$39-1)*6+5)</f>
        <v>3605</v>
      </c>
    </row>
    <row r="566" customFormat="false" ht="23.25" hidden="false" customHeight="true" outlineLevel="0" collapsed="false">
      <c r="B566" s="67" t="str">
        <f aca="false">""</f>
        <v/>
      </c>
      <c r="C566" s="67"/>
      <c r="D566" s="23" t="str">
        <f aca="false">IFERROR(INDEX(分录回款!$E:$E,MATCH($L566,分录回款!$L:$L,0)),"")</f>
        <v/>
      </c>
      <c r="E566" s="23" t="str">
        <f aca="false">IFERROR(INDEX(分录回款!$F:$F,MATCH($L566,分录回款!$L:$L,0)),"")</f>
        <v/>
      </c>
      <c r="F566" s="68" t="str">
        <f aca="false">IFERROR(INDEX(分录回款!$H:$H,MATCH($L566,分录回款!$L:$L,0)),"")</f>
        <v/>
      </c>
      <c r="G566" s="69" t="str">
        <f aca="false">IFERROR(INDEX(分录回款!$I:$I,MATCH($L566,分录回款!$L:$L,0)),"")</f>
        <v/>
      </c>
      <c r="H566" s="23"/>
      <c r="I566" s="70"/>
      <c r="L566" s="71" t="n">
        <f aca="false">IF(助手回款!$R$39="",-1,助手回款!$R$39*100+(助手回款!$S$39-1)*6+6)</f>
        <v>3606</v>
      </c>
    </row>
    <row r="567" customFormat="false" ht="23.25" hidden="false" customHeight="true" outlineLevel="0" collapsed="false">
      <c r="B567" s="72" t="str">
        <f aca="false">IF(助手回款!$T$39=1,"合计：","")</f>
        <v>合计：</v>
      </c>
      <c r="C567" s="73" t="n">
        <f aca="false">IF(助手回款!$T$39=1,$F567,"")</f>
        <v>25814.11</v>
      </c>
      <c r="D567" s="74"/>
      <c r="E567" s="74"/>
      <c r="F567" s="75" t="n">
        <f aca="false">IF(助手回款!$T$39=1,INDEX(助手回款!$N$2:$N$66,助手回款!$R$39),"")</f>
        <v>25814.11</v>
      </c>
      <c r="G567" s="76" t="n">
        <f aca="false">IF(助手回款!$T$39=1,INDEX(助手回款!$O$2:$O$66,助手回款!$R$39),"")</f>
        <v>25814.11</v>
      </c>
      <c r="H567" s="74"/>
      <c r="I567" s="77"/>
    </row>
    <row r="568" customFormat="false" ht="6" hidden="false" customHeight="true" outlineLevel="0" collapsed="false"/>
    <row r="569" customFormat="false" ht="13.5" hidden="false" customHeight="false" outlineLevel="0" collapsed="false">
      <c r="B569" s="78" t="str">
        <f aca="false">IF(助手回款!$R$39&lt;&gt;"","会计主管：","")</f>
        <v>会计主管：</v>
      </c>
      <c r="D569" s="78" t="str">
        <f aca="false">IF(助手回款!$R$39&lt;&gt;"","会计：","")</f>
        <v>会计：</v>
      </c>
      <c r="E569" s="78" t="str">
        <f aca="false">IF(助手回款!$R$39&lt;&gt;"","出纳：","")</f>
        <v>出纳：</v>
      </c>
      <c r="F569" s="78" t="str">
        <f aca="false">IF(助手回款!$R$39&lt;&gt;"","复核：","")</f>
        <v>复核：</v>
      </c>
      <c r="G569" s="78" t="str">
        <f aca="false">IF(助手回款!$R$39&lt;&gt;"","制单：","")</f>
        <v>制单：</v>
      </c>
    </row>
    <row r="570" customFormat="false" ht="3" hidden="false" customHeight="true" outlineLevel="0" collapsed="false"/>
    <row r="571" customFormat="false" ht="19.5" hidden="false" customHeight="true" outlineLevel="0" collapsed="false">
      <c r="B571" s="53" t="str">
        <f aca="false">IF(助手回款!$R$40&lt;&gt;"","记  账  凭  证","")</f>
        <v>记  账  凭  证</v>
      </c>
      <c r="C571" s="53"/>
      <c r="D571" s="53"/>
      <c r="E571" s="53"/>
      <c r="F571" s="53"/>
      <c r="G571" s="53"/>
      <c r="H571" s="53"/>
      <c r="I571" s="53"/>
    </row>
    <row r="572" customFormat="false" ht="3" hidden="false" customHeight="true" outlineLevel="0" collapsed="false"/>
    <row r="573" customFormat="false" ht="15" hidden="false" customHeight="true" outlineLevel="0" collapsed="false">
      <c r="C573" s="56" t="n">
        <f aca="false">IF(助手回款!$R$40&lt;&gt;"",INDEX(助手回款!$B$2:$B$66,助手回款!$R$40),"")</f>
        <v>2057</v>
      </c>
      <c r="D573" s="57" t="n">
        <f aca="false">IF(助手回款!$R$40&lt;&gt;"",参数!$B$2,"")</f>
        <v>46234</v>
      </c>
      <c r="E573" s="57"/>
      <c r="F573" s="58" t="str">
        <f aca="false">IF(助手回款!$R$40&lt;&gt;"",INDEX(助手回款!$C$2:$C$66,助手回款!$R$40)&amp;"  字第 "&amp;IF(参数!$B$9="是",INDEX(助手回款!$P$2:$P$66,助手回款!$R$40),"　　　　")&amp;" 号"&amp;IF(INDEX(助手回款!$L$2:$L$66,助手回款!$R$40)&gt;1,"  (共"&amp;INDEX(助手回款!$L$2:$L$66,助手回款!$R$40)&amp;"页 第"&amp;助手回款!$S$40&amp;"页)",""),"")</f>
        <v>博城店  字第 　　　　 号</v>
      </c>
      <c r="G573" s="58"/>
      <c r="H573" s="58"/>
      <c r="I573" s="58"/>
      <c r="M573" s="59" t="n">
        <f aca="false">IF(助手回款!$R$40="","",助手回款!$Q$40)</f>
        <v>39</v>
      </c>
      <c r="N573" s="60" t="n">
        <f aca="false">IF(助手回款!$R$40="","",INDEX(助手回款!$P$2:$P$66,助手回款!$R$40))</f>
        <v>36</v>
      </c>
      <c r="O573" s="55" t="str">
        <f aca="false">IF(助手回款!$R$40="","",INDEX(助手回款!$C$2:$C$66,助手回款!$R$40)&amp;"  字第 "&amp;INDEX(助手回款!$P$2:$P$66,助手回款!$R$40)&amp;" 号"&amp;IF(INDEX(助手回款!$L$2:$L$66,助手回款!$R$40)&gt;1,"  (共"&amp;INDEX(助手回款!$L$2:$L$66,助手回款!$R$40)&amp;"页 第"&amp;助手回款!$S$40&amp;"页)",""))</f>
        <v>博城店  字第 36 号</v>
      </c>
    </row>
    <row r="574" customFormat="false" ht="12.75" hidden="false" customHeight="true" outlineLevel="0" collapsed="false">
      <c r="B574" s="61" t="str">
        <f aca="false">IF(助手回款!$R$40&lt;&gt;"","摘　　要","")</f>
        <v>摘　　要</v>
      </c>
      <c r="C574" s="61"/>
      <c r="D574" s="62" t="str">
        <f aca="false">IF(助手回款!$R$40&lt;&gt;"","科　　　　目","")</f>
        <v>科　　　　目</v>
      </c>
      <c r="E574" s="62"/>
      <c r="F574" s="61" t="str">
        <f aca="false">IF(助手回款!$R$40&lt;&gt;"","借 方 金 额","")</f>
        <v>借 方 金 额</v>
      </c>
      <c r="G574" s="62" t="str">
        <f aca="false">IF(助手回款!$R$40&lt;&gt;"","贷 方 金 额","")</f>
        <v>贷 方 金 额</v>
      </c>
      <c r="H574" s="63" t="str">
        <f aca="false">IF(助手回款!$R$40&lt;&gt;"","√","")</f>
        <v>√</v>
      </c>
      <c r="I574" s="64" t="str">
        <f aca="false">IF(助手回款!$R$40&lt;&gt;"","附单据  张","")</f>
        <v>附单据  张</v>
      </c>
    </row>
    <row r="575" customFormat="false" ht="12.75" hidden="false" customHeight="true" outlineLevel="0" collapsed="false">
      <c r="B575" s="61"/>
      <c r="C575" s="61"/>
      <c r="D575" s="23" t="str">
        <f aca="false">IF(助手回款!$R$40&lt;&gt;"","总 账 科 目","")</f>
        <v>总 账 科 目</v>
      </c>
      <c r="E575" s="23" t="str">
        <f aca="false">IF(助手回款!$R$40&lt;&gt;"","明 细 科 目","")</f>
        <v>明 细 科 目</v>
      </c>
      <c r="F575" s="65"/>
      <c r="G575" s="66"/>
      <c r="H575" s="63"/>
      <c r="I575" s="64"/>
    </row>
    <row r="576" customFormat="false" ht="23.25" hidden="false" customHeight="true" outlineLevel="0" collapsed="false">
      <c r="B576" s="67" t="str">
        <f aca="false">IFERROR(INDEX(分录回款!$M:$M,MATCH($L576,分录回款!$L:$L,0)),"")</f>
        <v>回款</v>
      </c>
      <c r="C576" s="67"/>
      <c r="D576" s="23" t="str">
        <f aca="false">IFERROR(INDEX(分录回款!$E:$E,MATCH($L576,分录回款!$L:$L,0)),"")</f>
        <v>库存现金</v>
      </c>
      <c r="E576" s="23" t="str">
        <f aca="false">IFERROR(INDEX(分录回款!$F:$F,MATCH($L576,分录回款!$L:$L,0)),"")</f>
        <v/>
      </c>
      <c r="F576" s="68" t="n">
        <f aca="false">IFERROR(INDEX(分录回款!$H:$H,MATCH($L576,分录回款!$L:$L,0)),"")</f>
        <v>13284.83</v>
      </c>
      <c r="G576" s="69" t="str">
        <f aca="false">IFERROR(INDEX(分录回款!$I:$I,MATCH($L576,分录回款!$L:$L,0)),"")</f>
        <v/>
      </c>
      <c r="H576" s="23"/>
      <c r="I576" s="70"/>
      <c r="L576" s="71" t="n">
        <f aca="false">IF(助手回款!$R$40="",-1,助手回款!$R$40*100+(助手回款!$S$40-1)*6+1)</f>
        <v>3701</v>
      </c>
    </row>
    <row r="577" customFormat="false" ht="23.25" hidden="false" customHeight="true" outlineLevel="0" collapsed="false">
      <c r="B577" s="67" t="str">
        <f aca="false">""</f>
        <v/>
      </c>
      <c r="C577" s="67"/>
      <c r="D577" s="23" t="str">
        <f aca="false">IFERROR(INDEX(分录回款!$E:$E,MATCH($L577,分录回款!$L:$L,0)),"")</f>
        <v>应收账款</v>
      </c>
      <c r="E577" s="23" t="str">
        <f aca="false">IFERROR(INDEX(分录回款!$F:$F,MATCH($L577,分录回款!$L:$L,0)),"")</f>
        <v>聚合支付</v>
      </c>
      <c r="F577" s="68" t="str">
        <f aca="false">IFERROR(INDEX(分录回款!$H:$H,MATCH($L577,分录回款!$L:$L,0)),"")</f>
        <v/>
      </c>
      <c r="G577" s="69" t="n">
        <f aca="false">IFERROR(INDEX(分录回款!$I:$I,MATCH($L577,分录回款!$L:$L,0)),"")</f>
        <v>13284.83</v>
      </c>
      <c r="H577" s="23"/>
      <c r="I577" s="70"/>
      <c r="L577" s="71" t="n">
        <f aca="false">IF(助手回款!$R$40="",-1,助手回款!$R$40*100+(助手回款!$S$40-1)*6+2)</f>
        <v>3702</v>
      </c>
    </row>
    <row r="578" customFormat="false" ht="23.25" hidden="false" customHeight="true" outlineLevel="0" collapsed="false">
      <c r="B578" s="67" t="str">
        <f aca="false">""</f>
        <v/>
      </c>
      <c r="C578" s="67"/>
      <c r="D578" s="23" t="str">
        <f aca="false">IFERROR(INDEX(分录回款!$E:$E,MATCH($L578,分录回款!$L:$L,0)),"")</f>
        <v/>
      </c>
      <c r="E578" s="23" t="str">
        <f aca="false">IFERROR(INDEX(分录回款!$F:$F,MATCH($L578,分录回款!$L:$L,0)),"")</f>
        <v/>
      </c>
      <c r="F578" s="68" t="str">
        <f aca="false">IFERROR(INDEX(分录回款!$H:$H,MATCH($L578,分录回款!$L:$L,0)),"")</f>
        <v/>
      </c>
      <c r="G578" s="69" t="str">
        <f aca="false">IFERROR(INDEX(分录回款!$I:$I,MATCH($L578,分录回款!$L:$L,0)),"")</f>
        <v/>
      </c>
      <c r="H578" s="23"/>
      <c r="I578" s="70"/>
      <c r="L578" s="71" t="n">
        <f aca="false">IF(助手回款!$R$40="",-1,助手回款!$R$40*100+(助手回款!$S$40-1)*6+3)</f>
        <v>3703</v>
      </c>
    </row>
    <row r="579" customFormat="false" ht="23.25" hidden="false" customHeight="true" outlineLevel="0" collapsed="false">
      <c r="B579" s="67" t="str">
        <f aca="false">""</f>
        <v/>
      </c>
      <c r="C579" s="67"/>
      <c r="D579" s="23" t="str">
        <f aca="false">IFERROR(INDEX(分录回款!$E:$E,MATCH($L579,分录回款!$L:$L,0)),"")</f>
        <v/>
      </c>
      <c r="E579" s="23" t="str">
        <f aca="false">IFERROR(INDEX(分录回款!$F:$F,MATCH($L579,分录回款!$L:$L,0)),"")</f>
        <v/>
      </c>
      <c r="F579" s="68" t="str">
        <f aca="false">IFERROR(INDEX(分录回款!$H:$H,MATCH($L579,分录回款!$L:$L,0)),"")</f>
        <v/>
      </c>
      <c r="G579" s="69" t="str">
        <f aca="false">IFERROR(INDEX(分录回款!$I:$I,MATCH($L579,分录回款!$L:$L,0)),"")</f>
        <v/>
      </c>
      <c r="H579" s="23"/>
      <c r="I579" s="70"/>
      <c r="L579" s="71" t="n">
        <f aca="false">IF(助手回款!$R$40="",-1,助手回款!$R$40*100+(助手回款!$S$40-1)*6+4)</f>
        <v>3704</v>
      </c>
    </row>
    <row r="580" customFormat="false" ht="23.25" hidden="false" customHeight="true" outlineLevel="0" collapsed="false">
      <c r="B580" s="67" t="str">
        <f aca="false">""</f>
        <v/>
      </c>
      <c r="C580" s="67"/>
      <c r="D580" s="23" t="str">
        <f aca="false">IFERROR(INDEX(分录回款!$E:$E,MATCH($L580,分录回款!$L:$L,0)),"")</f>
        <v/>
      </c>
      <c r="E580" s="23" t="str">
        <f aca="false">IFERROR(INDEX(分录回款!$F:$F,MATCH($L580,分录回款!$L:$L,0)),"")</f>
        <v/>
      </c>
      <c r="F580" s="68" t="str">
        <f aca="false">IFERROR(INDEX(分录回款!$H:$H,MATCH($L580,分录回款!$L:$L,0)),"")</f>
        <v/>
      </c>
      <c r="G580" s="69" t="str">
        <f aca="false">IFERROR(INDEX(分录回款!$I:$I,MATCH($L580,分录回款!$L:$L,0)),"")</f>
        <v/>
      </c>
      <c r="H580" s="23"/>
      <c r="I580" s="70"/>
      <c r="L580" s="71" t="n">
        <f aca="false">IF(助手回款!$R$40="",-1,助手回款!$R$40*100+(助手回款!$S$40-1)*6+5)</f>
        <v>3705</v>
      </c>
    </row>
    <row r="581" customFormat="false" ht="23.25" hidden="false" customHeight="true" outlineLevel="0" collapsed="false">
      <c r="B581" s="67" t="str">
        <f aca="false">""</f>
        <v/>
      </c>
      <c r="C581" s="67"/>
      <c r="D581" s="23" t="str">
        <f aca="false">IFERROR(INDEX(分录回款!$E:$E,MATCH($L581,分录回款!$L:$L,0)),"")</f>
        <v/>
      </c>
      <c r="E581" s="23" t="str">
        <f aca="false">IFERROR(INDEX(分录回款!$F:$F,MATCH($L581,分录回款!$L:$L,0)),"")</f>
        <v/>
      </c>
      <c r="F581" s="68" t="str">
        <f aca="false">IFERROR(INDEX(分录回款!$H:$H,MATCH($L581,分录回款!$L:$L,0)),"")</f>
        <v/>
      </c>
      <c r="G581" s="69" t="str">
        <f aca="false">IFERROR(INDEX(分录回款!$I:$I,MATCH($L581,分录回款!$L:$L,0)),"")</f>
        <v/>
      </c>
      <c r="H581" s="23"/>
      <c r="I581" s="70"/>
      <c r="L581" s="71" t="n">
        <f aca="false">IF(助手回款!$R$40="",-1,助手回款!$R$40*100+(助手回款!$S$40-1)*6+6)</f>
        <v>3706</v>
      </c>
    </row>
    <row r="582" customFormat="false" ht="23.25" hidden="false" customHeight="true" outlineLevel="0" collapsed="false">
      <c r="B582" s="72" t="str">
        <f aca="false">IF(助手回款!$T$40=1,"合计：","")</f>
        <v>合计：</v>
      </c>
      <c r="C582" s="73" t="n">
        <f aca="false">IF(助手回款!$T$40=1,$F582,"")</f>
        <v>13284.83</v>
      </c>
      <c r="D582" s="74"/>
      <c r="E582" s="74"/>
      <c r="F582" s="75" t="n">
        <f aca="false">IF(助手回款!$T$40=1,INDEX(助手回款!$N$2:$N$66,助手回款!$R$40),"")</f>
        <v>13284.83</v>
      </c>
      <c r="G582" s="76" t="n">
        <f aca="false">IF(助手回款!$T$40=1,INDEX(助手回款!$O$2:$O$66,助手回款!$R$40),"")</f>
        <v>13284.83</v>
      </c>
      <c r="H582" s="74"/>
      <c r="I582" s="77"/>
    </row>
    <row r="583" customFormat="false" ht="6" hidden="false" customHeight="true" outlineLevel="0" collapsed="false"/>
    <row r="584" customFormat="false" ht="13.5" hidden="false" customHeight="false" outlineLevel="0" collapsed="false">
      <c r="B584" s="78" t="str">
        <f aca="false">IF(助手回款!$R$40&lt;&gt;"","会计主管：","")</f>
        <v>会计主管：</v>
      </c>
      <c r="D584" s="78" t="str">
        <f aca="false">IF(助手回款!$R$40&lt;&gt;"","会计：","")</f>
        <v>会计：</v>
      </c>
      <c r="E584" s="78" t="str">
        <f aca="false">IF(助手回款!$R$40&lt;&gt;"","出纳：","")</f>
        <v>出纳：</v>
      </c>
      <c r="F584" s="78" t="str">
        <f aca="false">IF(助手回款!$R$40&lt;&gt;"","复核：","")</f>
        <v>复核：</v>
      </c>
      <c r="G584" s="78" t="str">
        <f aca="false">IF(助手回款!$R$40&lt;&gt;"","制单：","")</f>
        <v>制单：</v>
      </c>
    </row>
    <row r="585" customFormat="false" ht="3" hidden="false" customHeight="true" outlineLevel="0" collapsed="false"/>
    <row r="586" customFormat="false" ht="19.5" hidden="false" customHeight="true" outlineLevel="0" collapsed="false">
      <c r="B586" s="53" t="str">
        <f aca="false">IF(助手回款!$R$41&lt;&gt;"","记  账  凭  证","")</f>
        <v>记  账  凭  证</v>
      </c>
      <c r="C586" s="53"/>
      <c r="D586" s="53"/>
      <c r="E586" s="53"/>
      <c r="F586" s="53"/>
      <c r="G586" s="53"/>
      <c r="H586" s="53"/>
      <c r="I586" s="53"/>
    </row>
    <row r="587" customFormat="false" ht="3" hidden="false" customHeight="true" outlineLevel="0" collapsed="false"/>
    <row r="588" customFormat="false" ht="15" hidden="false" customHeight="true" outlineLevel="0" collapsed="false">
      <c r="C588" s="56" t="n">
        <f aca="false">IF(助手回款!$R$41&lt;&gt;"",INDEX(助手回款!$B$2:$B$66,助手回款!$R$41),"")</f>
        <v>2060</v>
      </c>
      <c r="D588" s="57" t="n">
        <f aca="false">IF(助手回款!$R$41&lt;&gt;"",参数!$B$2,"")</f>
        <v>46234</v>
      </c>
      <c r="E588" s="57"/>
      <c r="F588" s="58" t="str">
        <f aca="false">IF(助手回款!$R$41&lt;&gt;"",INDEX(助手回款!$C$2:$C$66,助手回款!$R$41)&amp;"  字第 "&amp;IF(参数!$B$9="是",INDEX(助手回款!$P$2:$P$66,助手回款!$R$41),"　　　　")&amp;" 号"&amp;IF(INDEX(助手回款!$L$2:$L$66,助手回款!$R$41)&gt;1,"  (共"&amp;INDEX(助手回款!$L$2:$L$66,助手回款!$R$41)&amp;"页 第"&amp;助手回款!$S$41&amp;"页)",""),"")</f>
        <v>博景店  字第 　　　　 号</v>
      </c>
      <c r="G588" s="58"/>
      <c r="H588" s="58"/>
      <c r="I588" s="58"/>
      <c r="M588" s="59" t="n">
        <f aca="false">IF(助手回款!$R$41="","",助手回款!$Q$41)</f>
        <v>40</v>
      </c>
      <c r="N588" s="60" t="n">
        <f aca="false">IF(助手回款!$R$41="","",INDEX(助手回款!$P$2:$P$66,助手回款!$R$41))</f>
        <v>37</v>
      </c>
      <c r="O588" s="55" t="str">
        <f aca="false">IF(助手回款!$R$41="","",INDEX(助手回款!$C$2:$C$66,助手回款!$R$41)&amp;"  字第 "&amp;INDEX(助手回款!$P$2:$P$66,助手回款!$R$41)&amp;" 号"&amp;IF(INDEX(助手回款!$L$2:$L$66,助手回款!$R$41)&gt;1,"  (共"&amp;INDEX(助手回款!$L$2:$L$66,助手回款!$R$41)&amp;"页 第"&amp;助手回款!$S$41&amp;"页)",""))</f>
        <v>博景店  字第 37 号</v>
      </c>
    </row>
    <row r="589" customFormat="false" ht="12.75" hidden="false" customHeight="true" outlineLevel="0" collapsed="false">
      <c r="B589" s="61" t="str">
        <f aca="false">IF(助手回款!$R$41&lt;&gt;"","摘　　要","")</f>
        <v>摘　　要</v>
      </c>
      <c r="C589" s="61"/>
      <c r="D589" s="62" t="str">
        <f aca="false">IF(助手回款!$R$41&lt;&gt;"","科　　　　目","")</f>
        <v>科　　　　目</v>
      </c>
      <c r="E589" s="62"/>
      <c r="F589" s="61" t="str">
        <f aca="false">IF(助手回款!$R$41&lt;&gt;"","借 方 金 额","")</f>
        <v>借 方 金 额</v>
      </c>
      <c r="G589" s="62" t="str">
        <f aca="false">IF(助手回款!$R$41&lt;&gt;"","贷 方 金 额","")</f>
        <v>贷 方 金 额</v>
      </c>
      <c r="H589" s="63" t="str">
        <f aca="false">IF(助手回款!$R$41&lt;&gt;"","√","")</f>
        <v>√</v>
      </c>
      <c r="I589" s="64" t="str">
        <f aca="false">IF(助手回款!$R$41&lt;&gt;"","附单据  张","")</f>
        <v>附单据  张</v>
      </c>
    </row>
    <row r="590" customFormat="false" ht="12.75" hidden="false" customHeight="true" outlineLevel="0" collapsed="false">
      <c r="B590" s="61"/>
      <c r="C590" s="61"/>
      <c r="D590" s="23" t="str">
        <f aca="false">IF(助手回款!$R$41&lt;&gt;"","总 账 科 目","")</f>
        <v>总 账 科 目</v>
      </c>
      <c r="E590" s="23" t="str">
        <f aca="false">IF(助手回款!$R$41&lt;&gt;"","明 细 科 目","")</f>
        <v>明 细 科 目</v>
      </c>
      <c r="F590" s="65"/>
      <c r="G590" s="66"/>
      <c r="H590" s="63"/>
      <c r="I590" s="64"/>
    </row>
    <row r="591" customFormat="false" ht="23.25" hidden="false" customHeight="true" outlineLevel="0" collapsed="false">
      <c r="B591" s="67" t="str">
        <f aca="false">IFERROR(INDEX(分录回款!$M:$M,MATCH($L591,分录回款!$L:$L,0)),"")</f>
        <v>回款</v>
      </c>
      <c r="C591" s="67"/>
      <c r="D591" s="23" t="str">
        <f aca="false">IFERROR(INDEX(分录回款!$E:$E,MATCH($L591,分录回款!$L:$L,0)),"")</f>
        <v>库存现金</v>
      </c>
      <c r="E591" s="23" t="str">
        <f aca="false">IFERROR(INDEX(分录回款!$F:$F,MATCH($L591,分录回款!$L:$L,0)),"")</f>
        <v/>
      </c>
      <c r="F591" s="68" t="n">
        <f aca="false">IFERROR(INDEX(分录回款!$H:$H,MATCH($L591,分录回款!$L:$L,0)),"")</f>
        <v>32735</v>
      </c>
      <c r="G591" s="69" t="str">
        <f aca="false">IFERROR(INDEX(分录回款!$I:$I,MATCH($L591,分录回款!$L:$L,0)),"")</f>
        <v/>
      </c>
      <c r="H591" s="23"/>
      <c r="I591" s="70"/>
      <c r="L591" s="71" t="n">
        <f aca="false">IF(助手回款!$R$41="",-1,助手回款!$R$41*100+(助手回款!$S$41-1)*6+1)</f>
        <v>3801</v>
      </c>
    </row>
    <row r="592" customFormat="false" ht="23.25" hidden="false" customHeight="true" outlineLevel="0" collapsed="false">
      <c r="B592" s="67" t="str">
        <f aca="false">""</f>
        <v/>
      </c>
      <c r="C592" s="67"/>
      <c r="D592" s="23" t="str">
        <f aca="false">IFERROR(INDEX(分录回款!$E:$E,MATCH($L592,分录回款!$L:$L,0)),"")</f>
        <v>财务费用</v>
      </c>
      <c r="E592" s="23" t="str">
        <f aca="false">IFERROR(INDEX(分录回款!$F:$F,MATCH($L592,分录回款!$L:$L,0)),"")</f>
        <v>手续费</v>
      </c>
      <c r="F592" s="68" t="n">
        <f aca="false">IFERROR(INDEX(分录回款!$H:$H,MATCH($L592,分录回款!$L:$L,0)),"")</f>
        <v>41.05</v>
      </c>
      <c r="G592" s="69" t="str">
        <f aca="false">IFERROR(INDEX(分录回款!$I:$I,MATCH($L592,分录回款!$L:$L,0)),"")</f>
        <v/>
      </c>
      <c r="H592" s="23"/>
      <c r="I592" s="70"/>
      <c r="L592" s="71" t="n">
        <f aca="false">IF(助手回款!$R$41="",-1,助手回款!$R$41*100+(助手回款!$S$41-1)*6+2)</f>
        <v>3802</v>
      </c>
    </row>
    <row r="593" customFormat="false" ht="23.25" hidden="false" customHeight="true" outlineLevel="0" collapsed="false">
      <c r="B593" s="67" t="str">
        <f aca="false">""</f>
        <v/>
      </c>
      <c r="C593" s="67"/>
      <c r="D593" s="23" t="str">
        <f aca="false">IFERROR(INDEX(分录回款!$E:$E,MATCH($L593,分录回款!$L:$L,0)),"")</f>
        <v>应收账款</v>
      </c>
      <c r="E593" s="23" t="str">
        <f aca="false">IFERROR(INDEX(分录回款!$F:$F,MATCH($L593,分录回款!$L:$L,0)),"")</f>
        <v>聚合支付</v>
      </c>
      <c r="F593" s="68" t="str">
        <f aca="false">IFERROR(INDEX(分录回款!$H:$H,MATCH($L593,分录回款!$L:$L,0)),"")</f>
        <v/>
      </c>
      <c r="G593" s="69" t="n">
        <f aca="false">IFERROR(INDEX(分录回款!$I:$I,MATCH($L593,分录回款!$L:$L,0)),"")</f>
        <v>23889.36</v>
      </c>
      <c r="H593" s="23"/>
      <c r="I593" s="70"/>
      <c r="L593" s="71" t="n">
        <f aca="false">IF(助手回款!$R$41="",-1,助手回款!$R$41*100+(助手回款!$S$41-1)*6+3)</f>
        <v>3803</v>
      </c>
    </row>
    <row r="594" customFormat="false" ht="23.25" hidden="false" customHeight="true" outlineLevel="0" collapsed="false">
      <c r="B594" s="67" t="str">
        <f aca="false">""</f>
        <v/>
      </c>
      <c r="C594" s="67"/>
      <c r="D594" s="23" t="str">
        <f aca="false">IFERROR(INDEX(分录回款!$E:$E,MATCH($L594,分录回款!$L:$L,0)),"")</f>
        <v>应收账款</v>
      </c>
      <c r="E594" s="23" t="str">
        <f aca="false">IFERROR(INDEX(分录回款!$F:$F,MATCH($L594,分录回款!$L:$L,0)),"")</f>
        <v>医保</v>
      </c>
      <c r="F594" s="68" t="str">
        <f aca="false">IFERROR(INDEX(分录回款!$H:$H,MATCH($L594,分录回款!$L:$L,0)),"")</f>
        <v/>
      </c>
      <c r="G594" s="69" t="n">
        <f aca="false">IFERROR(INDEX(分录回款!$I:$I,MATCH($L594,分录回款!$L:$L,0)),"")</f>
        <v>8731.19</v>
      </c>
      <c r="H594" s="23"/>
      <c r="I594" s="70"/>
      <c r="L594" s="71" t="n">
        <f aca="false">IF(助手回款!$R$41="",-1,助手回款!$R$41*100+(助手回款!$S$41-1)*6+4)</f>
        <v>3804</v>
      </c>
    </row>
    <row r="595" customFormat="false" ht="23.25" hidden="false" customHeight="true" outlineLevel="0" collapsed="false">
      <c r="B595" s="67" t="str">
        <f aca="false">""</f>
        <v/>
      </c>
      <c r="C595" s="67"/>
      <c r="D595" s="23" t="str">
        <f aca="false">IFERROR(INDEX(分录回款!$E:$E,MATCH($L595,分录回款!$L:$L,0)),"")</f>
        <v>应收账款</v>
      </c>
      <c r="E595" s="23" t="str">
        <f aca="false">IFERROR(INDEX(分录回款!$F:$F,MATCH($L595,分录回款!$L:$L,0)),"")</f>
        <v>美团</v>
      </c>
      <c r="F595" s="68" t="str">
        <f aca="false">IFERROR(INDEX(分录回款!$H:$H,MATCH($L595,分录回款!$L:$L,0)),"")</f>
        <v/>
      </c>
      <c r="G595" s="69" t="n">
        <f aca="false">IFERROR(INDEX(分录回款!$I:$I,MATCH($L595,分录回款!$L:$L,0)),"")</f>
        <v>79</v>
      </c>
      <c r="H595" s="23"/>
      <c r="I595" s="70"/>
      <c r="L595" s="71" t="n">
        <f aca="false">IF(助手回款!$R$41="",-1,助手回款!$R$41*100+(助手回款!$S$41-1)*6+5)</f>
        <v>3805</v>
      </c>
    </row>
    <row r="596" customFormat="false" ht="23.25" hidden="false" customHeight="true" outlineLevel="0" collapsed="false">
      <c r="B596" s="67" t="str">
        <f aca="false">""</f>
        <v/>
      </c>
      <c r="C596" s="67"/>
      <c r="D596" s="23" t="str">
        <f aca="false">IFERROR(INDEX(分录回款!$E:$E,MATCH($L596,分录回款!$L:$L,0)),"")</f>
        <v>应收账款</v>
      </c>
      <c r="E596" s="23" t="str">
        <f aca="false">IFERROR(INDEX(分录回款!$F:$F,MATCH($L596,分录回款!$L:$L,0)),"")</f>
        <v>饿了么</v>
      </c>
      <c r="F596" s="68" t="str">
        <f aca="false">IFERROR(INDEX(分录回款!$H:$H,MATCH($L596,分录回款!$L:$L,0)),"")</f>
        <v/>
      </c>
      <c r="G596" s="69" t="n">
        <f aca="false">IFERROR(INDEX(分录回款!$I:$I,MATCH($L596,分录回款!$L:$L,0)),"")</f>
        <v>76.5</v>
      </c>
      <c r="H596" s="23"/>
      <c r="I596" s="70"/>
      <c r="L596" s="71" t="n">
        <f aca="false">IF(助手回款!$R$41="",-1,助手回款!$R$41*100+(助手回款!$S$41-1)*6+6)</f>
        <v>3806</v>
      </c>
    </row>
    <row r="597" customFormat="false" ht="23.25" hidden="false" customHeight="true" outlineLevel="0" collapsed="false">
      <c r="B597" s="72" t="str">
        <f aca="false">IF(助手回款!$T$41=1,"合计：","")</f>
        <v>合计：</v>
      </c>
      <c r="C597" s="73" t="n">
        <f aca="false">IF(助手回款!$T$41=1,$F597,"")</f>
        <v>32776.05</v>
      </c>
      <c r="D597" s="74"/>
      <c r="E597" s="74"/>
      <c r="F597" s="75" t="n">
        <f aca="false">IF(助手回款!$T$41=1,INDEX(助手回款!$N$2:$N$66,助手回款!$R$41),"")</f>
        <v>32776.05</v>
      </c>
      <c r="G597" s="76" t="n">
        <f aca="false">IF(助手回款!$T$41=1,INDEX(助手回款!$O$2:$O$66,助手回款!$R$41),"")</f>
        <v>32776.05</v>
      </c>
      <c r="H597" s="74"/>
      <c r="I597" s="77"/>
    </row>
    <row r="598" customFormat="false" ht="6" hidden="false" customHeight="true" outlineLevel="0" collapsed="false"/>
    <row r="599" customFormat="false" ht="13.5" hidden="false" customHeight="false" outlineLevel="0" collapsed="false">
      <c r="B599" s="78" t="str">
        <f aca="false">IF(助手回款!$R$41&lt;&gt;"","会计主管：","")</f>
        <v>会计主管：</v>
      </c>
      <c r="D599" s="78" t="str">
        <f aca="false">IF(助手回款!$R$41&lt;&gt;"","会计：","")</f>
        <v>会计：</v>
      </c>
      <c r="E599" s="78" t="str">
        <f aca="false">IF(助手回款!$R$41&lt;&gt;"","出纳：","")</f>
        <v>出纳：</v>
      </c>
      <c r="F599" s="78" t="str">
        <f aca="false">IF(助手回款!$R$41&lt;&gt;"","复核：","")</f>
        <v>复核：</v>
      </c>
      <c r="G599" s="78" t="str">
        <f aca="false">IF(助手回款!$R$41&lt;&gt;"","制单：","")</f>
        <v>制单：</v>
      </c>
    </row>
    <row r="600" customFormat="false" ht="3" hidden="false" customHeight="true" outlineLevel="0" collapsed="false"/>
    <row r="601" customFormat="false" ht="19.5" hidden="false" customHeight="true" outlineLevel="0" collapsed="false">
      <c r="B601" s="53" t="str">
        <f aca="false">IF(助手回款!$R$42&lt;&gt;"","记  账  凭  证","")</f>
        <v>记  账  凭  证</v>
      </c>
      <c r="C601" s="53"/>
      <c r="D601" s="53"/>
      <c r="E601" s="53"/>
      <c r="F601" s="53"/>
      <c r="G601" s="53"/>
      <c r="H601" s="53"/>
      <c r="I601" s="53"/>
    </row>
    <row r="602" customFormat="false" ht="3" hidden="false" customHeight="true" outlineLevel="0" collapsed="false"/>
    <row r="603" customFormat="false" ht="15" hidden="false" customHeight="true" outlineLevel="0" collapsed="false">
      <c r="C603" s="56" t="n">
        <f aca="false">IF(助手回款!$R$42&lt;&gt;"",INDEX(助手回款!$B$2:$B$66,助手回款!$R$42),"")</f>
        <v>2062</v>
      </c>
      <c r="D603" s="57" t="n">
        <f aca="false">IF(助手回款!$R$42&lt;&gt;"",参数!$B$2,"")</f>
        <v>46234</v>
      </c>
      <c r="E603" s="57"/>
      <c r="F603" s="58" t="str">
        <f aca="false">IF(助手回款!$R$42&lt;&gt;"",INDEX(助手回款!$C$2:$C$66,助手回款!$R$42)&amp;"  字第 "&amp;IF(参数!$B$9="是",INDEX(助手回款!$P$2:$P$66,助手回款!$R$42),"　　　　")&amp;" 号"&amp;IF(INDEX(助手回款!$L$2:$L$66,助手回款!$R$42)&gt;1,"  (共"&amp;INDEX(助手回款!$L$2:$L$66,助手回款!$R$42)&amp;"页 第"&amp;助手回款!$S$42&amp;"页)",""),"")</f>
        <v>西范村店  字第 　　　　 号</v>
      </c>
      <c r="G603" s="58"/>
      <c r="H603" s="58"/>
      <c r="I603" s="58"/>
      <c r="M603" s="59" t="n">
        <f aca="false">IF(助手回款!$R$42="","",助手回款!$Q$42)</f>
        <v>41</v>
      </c>
      <c r="N603" s="60" t="n">
        <f aca="false">IF(助手回款!$R$42="","",INDEX(助手回款!$P$2:$P$66,助手回款!$R$42))</f>
        <v>38</v>
      </c>
      <c r="O603" s="55" t="str">
        <f aca="false">IF(助手回款!$R$42="","",INDEX(助手回款!$C$2:$C$66,助手回款!$R$42)&amp;"  字第 "&amp;INDEX(助手回款!$P$2:$P$66,助手回款!$R$42)&amp;" 号"&amp;IF(INDEX(助手回款!$L$2:$L$66,助手回款!$R$42)&gt;1,"  (共"&amp;INDEX(助手回款!$L$2:$L$66,助手回款!$R$42)&amp;"页 第"&amp;助手回款!$S$42&amp;"页)",""))</f>
        <v>西范村店  字第 38 号</v>
      </c>
    </row>
    <row r="604" customFormat="false" ht="12.75" hidden="false" customHeight="true" outlineLevel="0" collapsed="false">
      <c r="B604" s="61" t="str">
        <f aca="false">IF(助手回款!$R$42&lt;&gt;"","摘　　要","")</f>
        <v>摘　　要</v>
      </c>
      <c r="C604" s="61"/>
      <c r="D604" s="62" t="str">
        <f aca="false">IF(助手回款!$R$42&lt;&gt;"","科　　　　目","")</f>
        <v>科　　　　目</v>
      </c>
      <c r="E604" s="62"/>
      <c r="F604" s="61" t="str">
        <f aca="false">IF(助手回款!$R$42&lt;&gt;"","借 方 金 额","")</f>
        <v>借 方 金 额</v>
      </c>
      <c r="G604" s="62" t="str">
        <f aca="false">IF(助手回款!$R$42&lt;&gt;"","贷 方 金 额","")</f>
        <v>贷 方 金 额</v>
      </c>
      <c r="H604" s="63" t="str">
        <f aca="false">IF(助手回款!$R$42&lt;&gt;"","√","")</f>
        <v>√</v>
      </c>
      <c r="I604" s="64" t="str">
        <f aca="false">IF(助手回款!$R$42&lt;&gt;"","附单据  张","")</f>
        <v>附单据  张</v>
      </c>
    </row>
    <row r="605" customFormat="false" ht="12.75" hidden="false" customHeight="true" outlineLevel="0" collapsed="false">
      <c r="B605" s="61"/>
      <c r="C605" s="61"/>
      <c r="D605" s="23" t="str">
        <f aca="false">IF(助手回款!$R$42&lt;&gt;"","总 账 科 目","")</f>
        <v>总 账 科 目</v>
      </c>
      <c r="E605" s="23" t="str">
        <f aca="false">IF(助手回款!$R$42&lt;&gt;"","明 细 科 目","")</f>
        <v>明 细 科 目</v>
      </c>
      <c r="F605" s="65"/>
      <c r="G605" s="66"/>
      <c r="H605" s="63"/>
      <c r="I605" s="64"/>
    </row>
    <row r="606" customFormat="false" ht="23.25" hidden="false" customHeight="true" outlineLevel="0" collapsed="false">
      <c r="B606" s="67" t="str">
        <f aca="false">IFERROR(INDEX(分录回款!$M:$M,MATCH($L606,分录回款!$L:$L,0)),"")</f>
        <v>回款</v>
      </c>
      <c r="C606" s="67"/>
      <c r="D606" s="23" t="str">
        <f aca="false">IFERROR(INDEX(分录回款!$E:$E,MATCH($L606,分录回款!$L:$L,0)),"")</f>
        <v>库存现金</v>
      </c>
      <c r="E606" s="23" t="str">
        <f aca="false">IFERROR(INDEX(分录回款!$F:$F,MATCH($L606,分录回款!$L:$L,0)),"")</f>
        <v/>
      </c>
      <c r="F606" s="68" t="n">
        <f aca="false">IFERROR(INDEX(分录回款!$H:$H,MATCH($L606,分录回款!$L:$L,0)),"")</f>
        <v>61578.01</v>
      </c>
      <c r="G606" s="69" t="str">
        <f aca="false">IFERROR(INDEX(分录回款!$I:$I,MATCH($L606,分录回款!$L:$L,0)),"")</f>
        <v/>
      </c>
      <c r="H606" s="23"/>
      <c r="I606" s="70"/>
      <c r="L606" s="71" t="n">
        <f aca="false">IF(助手回款!$R$42="",-1,助手回款!$R$42*100+(助手回款!$S$42-1)*6+1)</f>
        <v>3901</v>
      </c>
    </row>
    <row r="607" customFormat="false" ht="23.25" hidden="false" customHeight="true" outlineLevel="0" collapsed="false">
      <c r="B607" s="67" t="str">
        <f aca="false">""</f>
        <v/>
      </c>
      <c r="C607" s="67"/>
      <c r="D607" s="23" t="str">
        <f aca="false">IFERROR(INDEX(分录回款!$E:$E,MATCH($L607,分录回款!$L:$L,0)),"")</f>
        <v>财务费用</v>
      </c>
      <c r="E607" s="23" t="str">
        <f aca="false">IFERROR(INDEX(分录回款!$F:$F,MATCH($L607,分录回款!$L:$L,0)),"")</f>
        <v>手续费</v>
      </c>
      <c r="F607" s="68" t="n">
        <f aca="false">IFERROR(INDEX(分录回款!$H:$H,MATCH($L607,分录回款!$L:$L,0)),"")</f>
        <v>246.59</v>
      </c>
      <c r="G607" s="69" t="str">
        <f aca="false">IFERROR(INDEX(分录回款!$I:$I,MATCH($L607,分录回款!$L:$L,0)),"")</f>
        <v/>
      </c>
      <c r="H607" s="23"/>
      <c r="I607" s="70"/>
      <c r="L607" s="71" t="n">
        <f aca="false">IF(助手回款!$R$42="",-1,助手回款!$R$42*100+(助手回款!$S$42-1)*6+2)</f>
        <v>3902</v>
      </c>
    </row>
    <row r="608" customFormat="false" ht="23.25" hidden="false" customHeight="true" outlineLevel="0" collapsed="false">
      <c r="B608" s="67" t="str">
        <f aca="false">""</f>
        <v/>
      </c>
      <c r="C608" s="67"/>
      <c r="D608" s="23" t="str">
        <f aca="false">IFERROR(INDEX(分录回款!$E:$E,MATCH($L608,分录回款!$L:$L,0)),"")</f>
        <v>应收账款</v>
      </c>
      <c r="E608" s="23" t="str">
        <f aca="false">IFERROR(INDEX(分录回款!$F:$F,MATCH($L608,分录回款!$L:$L,0)),"")</f>
        <v>聚合支付</v>
      </c>
      <c r="F608" s="68" t="str">
        <f aca="false">IFERROR(INDEX(分录回款!$H:$H,MATCH($L608,分录回款!$L:$L,0)),"")</f>
        <v/>
      </c>
      <c r="G608" s="69" t="n">
        <f aca="false">IFERROR(INDEX(分录回款!$I:$I,MATCH($L608,分录回款!$L:$L,0)),"")</f>
        <v>49256.77</v>
      </c>
      <c r="H608" s="23"/>
      <c r="I608" s="70"/>
      <c r="L608" s="71" t="n">
        <f aca="false">IF(助手回款!$R$42="",-1,助手回款!$R$42*100+(助手回款!$S$42-1)*6+3)</f>
        <v>3903</v>
      </c>
    </row>
    <row r="609" customFormat="false" ht="23.25" hidden="false" customHeight="true" outlineLevel="0" collapsed="false">
      <c r="B609" s="67" t="str">
        <f aca="false">""</f>
        <v/>
      </c>
      <c r="C609" s="67"/>
      <c r="D609" s="23" t="str">
        <f aca="false">IFERROR(INDEX(分录回款!$E:$E,MATCH($L609,分录回款!$L:$L,0)),"")</f>
        <v>应收账款</v>
      </c>
      <c r="E609" s="23" t="str">
        <f aca="false">IFERROR(INDEX(分录回款!$F:$F,MATCH($L609,分录回款!$L:$L,0)),"")</f>
        <v>医保</v>
      </c>
      <c r="F609" s="68" t="str">
        <f aca="false">IFERROR(INDEX(分录回款!$H:$H,MATCH($L609,分录回款!$L:$L,0)),"")</f>
        <v/>
      </c>
      <c r="G609" s="69" t="n">
        <f aca="false">IFERROR(INDEX(分录回款!$I:$I,MATCH($L609,分录回款!$L:$L,0)),"")</f>
        <v>11760.13</v>
      </c>
      <c r="H609" s="23"/>
      <c r="I609" s="70"/>
      <c r="L609" s="71" t="n">
        <f aca="false">IF(助手回款!$R$42="",-1,助手回款!$R$42*100+(助手回款!$S$42-1)*6+4)</f>
        <v>3904</v>
      </c>
    </row>
    <row r="610" customFormat="false" ht="23.25" hidden="false" customHeight="true" outlineLevel="0" collapsed="false">
      <c r="B610" s="67" t="str">
        <f aca="false">""</f>
        <v/>
      </c>
      <c r="C610" s="67"/>
      <c r="D610" s="23" t="str">
        <f aca="false">IFERROR(INDEX(分录回款!$E:$E,MATCH($L610,分录回款!$L:$L,0)),"")</f>
        <v>应收账款</v>
      </c>
      <c r="E610" s="23" t="str">
        <f aca="false">IFERROR(INDEX(分录回款!$F:$F,MATCH($L610,分录回款!$L:$L,0)),"")</f>
        <v>饿了么</v>
      </c>
      <c r="F610" s="68" t="str">
        <f aca="false">IFERROR(INDEX(分录回款!$H:$H,MATCH($L610,分录回款!$L:$L,0)),"")</f>
        <v/>
      </c>
      <c r="G610" s="69" t="n">
        <f aca="false">IFERROR(INDEX(分录回款!$I:$I,MATCH($L610,分录回款!$L:$L,0)),"")</f>
        <v>807.7</v>
      </c>
      <c r="H610" s="23"/>
      <c r="I610" s="70"/>
      <c r="L610" s="71" t="n">
        <f aca="false">IF(助手回款!$R$42="",-1,助手回款!$R$42*100+(助手回款!$S$42-1)*6+5)</f>
        <v>3905</v>
      </c>
    </row>
    <row r="611" customFormat="false" ht="23.25" hidden="false" customHeight="true" outlineLevel="0" collapsed="false">
      <c r="B611" s="67" t="str">
        <f aca="false">""</f>
        <v/>
      </c>
      <c r="C611" s="67"/>
      <c r="D611" s="23" t="str">
        <f aca="false">IFERROR(INDEX(分录回款!$E:$E,MATCH($L611,分录回款!$L:$L,0)),"")</f>
        <v/>
      </c>
      <c r="E611" s="23" t="str">
        <f aca="false">IFERROR(INDEX(分录回款!$F:$F,MATCH($L611,分录回款!$L:$L,0)),"")</f>
        <v/>
      </c>
      <c r="F611" s="68" t="str">
        <f aca="false">IFERROR(INDEX(分录回款!$H:$H,MATCH($L611,分录回款!$L:$L,0)),"")</f>
        <v/>
      </c>
      <c r="G611" s="69" t="str">
        <f aca="false">IFERROR(INDEX(分录回款!$I:$I,MATCH($L611,分录回款!$L:$L,0)),"")</f>
        <v/>
      </c>
      <c r="H611" s="23"/>
      <c r="I611" s="70"/>
      <c r="L611" s="71" t="n">
        <f aca="false">IF(助手回款!$R$42="",-1,助手回款!$R$42*100+(助手回款!$S$42-1)*6+6)</f>
        <v>3906</v>
      </c>
    </row>
    <row r="612" customFormat="false" ht="23.25" hidden="false" customHeight="true" outlineLevel="0" collapsed="false">
      <c r="B612" s="72" t="str">
        <f aca="false">IF(助手回款!$T$42=1,"合计：","")</f>
        <v>合计：</v>
      </c>
      <c r="C612" s="73" t="n">
        <f aca="false">IF(助手回款!$T$42=1,$F612,"")</f>
        <v>61824.6</v>
      </c>
      <c r="D612" s="74"/>
      <c r="E612" s="74"/>
      <c r="F612" s="75" t="n">
        <f aca="false">IF(助手回款!$T$42=1,INDEX(助手回款!$N$2:$N$66,助手回款!$R$42),"")</f>
        <v>61824.6</v>
      </c>
      <c r="G612" s="76" t="n">
        <f aca="false">IF(助手回款!$T$42=1,INDEX(助手回款!$O$2:$O$66,助手回款!$R$42),"")</f>
        <v>61824.6</v>
      </c>
      <c r="H612" s="74"/>
      <c r="I612" s="77"/>
    </row>
    <row r="613" customFormat="false" ht="6" hidden="false" customHeight="true" outlineLevel="0" collapsed="false"/>
    <row r="614" customFormat="false" ht="13.5" hidden="false" customHeight="false" outlineLevel="0" collapsed="false">
      <c r="B614" s="78" t="str">
        <f aca="false">IF(助手回款!$R$42&lt;&gt;"","会计主管：","")</f>
        <v>会计主管：</v>
      </c>
      <c r="D614" s="78" t="str">
        <f aca="false">IF(助手回款!$R$42&lt;&gt;"","会计：","")</f>
        <v>会计：</v>
      </c>
      <c r="E614" s="78" t="str">
        <f aca="false">IF(助手回款!$R$42&lt;&gt;"","出纳：","")</f>
        <v>出纳：</v>
      </c>
      <c r="F614" s="78" t="str">
        <f aca="false">IF(助手回款!$R$42&lt;&gt;"","复核：","")</f>
        <v>复核：</v>
      </c>
      <c r="G614" s="78" t="str">
        <f aca="false">IF(助手回款!$R$42&lt;&gt;"","制单：","")</f>
        <v>制单：</v>
      </c>
    </row>
    <row r="615" customFormat="false" ht="3" hidden="false" customHeight="true" outlineLevel="0" collapsed="false"/>
    <row r="616" customFormat="false" ht="19.5" hidden="false" customHeight="true" outlineLevel="0" collapsed="false">
      <c r="B616" s="53" t="str">
        <f aca="false">IF(助手回款!$R$43&lt;&gt;"","记  账  凭  证","")</f>
        <v>记  账  凭  证</v>
      </c>
      <c r="C616" s="53"/>
      <c r="D616" s="53"/>
      <c r="E616" s="53"/>
      <c r="F616" s="53"/>
      <c r="G616" s="53"/>
      <c r="H616" s="53"/>
      <c r="I616" s="53"/>
    </row>
    <row r="617" customFormat="false" ht="3" hidden="false" customHeight="true" outlineLevel="0" collapsed="false"/>
    <row r="618" customFormat="false" ht="15" hidden="false" customHeight="true" outlineLevel="0" collapsed="false">
      <c r="C618" s="56" t="n">
        <f aca="false">IF(助手回款!$R$43&lt;&gt;"",INDEX(助手回款!$B$2:$B$66,助手回款!$R$43),"")</f>
        <v>2063</v>
      </c>
      <c r="D618" s="57" t="n">
        <f aca="false">IF(助手回款!$R$43&lt;&gt;"",参数!$B$2,"")</f>
        <v>46234</v>
      </c>
      <c r="E618" s="57"/>
      <c r="F618" s="58" t="str">
        <f aca="false">IF(助手回款!$R$43&lt;&gt;"",INDEX(助手回款!$C$2:$C$66,助手回款!$R$43)&amp;"  字第 "&amp;IF(参数!$B$9="是",INDEX(助手回款!$P$2:$P$66,助手回款!$R$43),"　　　　")&amp;" 号"&amp;IF(INDEX(助手回款!$L$2:$L$66,助手回款!$R$43)&gt;1,"  (共"&amp;INDEX(助手回款!$L$2:$L$66,助手回款!$R$43)&amp;"页 第"&amp;助手回款!$S$43&amp;"页)",""),"")</f>
        <v>博医店  字第 　　　　 号</v>
      </c>
      <c r="G618" s="58"/>
      <c r="H618" s="58"/>
      <c r="I618" s="58"/>
      <c r="M618" s="59" t="n">
        <f aca="false">IF(助手回款!$R$43="","",助手回款!$Q$43)</f>
        <v>42</v>
      </c>
      <c r="N618" s="60" t="n">
        <f aca="false">IF(助手回款!$R$43="","",INDEX(助手回款!$P$2:$P$66,助手回款!$R$43))</f>
        <v>39</v>
      </c>
      <c r="O618" s="55" t="str">
        <f aca="false">IF(助手回款!$R$43="","",INDEX(助手回款!$C$2:$C$66,助手回款!$R$43)&amp;"  字第 "&amp;INDEX(助手回款!$P$2:$P$66,助手回款!$R$43)&amp;" 号"&amp;IF(INDEX(助手回款!$L$2:$L$66,助手回款!$R$43)&gt;1,"  (共"&amp;INDEX(助手回款!$L$2:$L$66,助手回款!$R$43)&amp;"页 第"&amp;助手回款!$S$43&amp;"页)",""))</f>
        <v>博医店  字第 39 号</v>
      </c>
    </row>
    <row r="619" customFormat="false" ht="12.75" hidden="false" customHeight="true" outlineLevel="0" collapsed="false">
      <c r="B619" s="61" t="str">
        <f aca="false">IF(助手回款!$R$43&lt;&gt;"","摘　　要","")</f>
        <v>摘　　要</v>
      </c>
      <c r="C619" s="61"/>
      <c r="D619" s="62" t="str">
        <f aca="false">IF(助手回款!$R$43&lt;&gt;"","科　　　　目","")</f>
        <v>科　　　　目</v>
      </c>
      <c r="E619" s="62"/>
      <c r="F619" s="61" t="str">
        <f aca="false">IF(助手回款!$R$43&lt;&gt;"","借 方 金 额","")</f>
        <v>借 方 金 额</v>
      </c>
      <c r="G619" s="62" t="str">
        <f aca="false">IF(助手回款!$R$43&lt;&gt;"","贷 方 金 额","")</f>
        <v>贷 方 金 额</v>
      </c>
      <c r="H619" s="63" t="str">
        <f aca="false">IF(助手回款!$R$43&lt;&gt;"","√","")</f>
        <v>√</v>
      </c>
      <c r="I619" s="64" t="str">
        <f aca="false">IF(助手回款!$R$43&lt;&gt;"","附单据  张","")</f>
        <v>附单据  张</v>
      </c>
    </row>
    <row r="620" customFormat="false" ht="12.75" hidden="false" customHeight="true" outlineLevel="0" collapsed="false">
      <c r="B620" s="61"/>
      <c r="C620" s="61"/>
      <c r="D620" s="23" t="str">
        <f aca="false">IF(助手回款!$R$43&lt;&gt;"","总 账 科 目","")</f>
        <v>总 账 科 目</v>
      </c>
      <c r="E620" s="23" t="str">
        <f aca="false">IF(助手回款!$R$43&lt;&gt;"","明 细 科 目","")</f>
        <v>明 细 科 目</v>
      </c>
      <c r="F620" s="65"/>
      <c r="G620" s="66"/>
      <c r="H620" s="63"/>
      <c r="I620" s="64"/>
    </row>
    <row r="621" customFormat="false" ht="23.25" hidden="false" customHeight="true" outlineLevel="0" collapsed="false">
      <c r="B621" s="67" t="str">
        <f aca="false">IFERROR(INDEX(分录回款!$M:$M,MATCH($L621,分录回款!$L:$L,0)),"")</f>
        <v>回款</v>
      </c>
      <c r="C621" s="67"/>
      <c r="D621" s="23" t="str">
        <f aca="false">IFERROR(INDEX(分录回款!$E:$E,MATCH($L621,分录回款!$L:$L,0)),"")</f>
        <v>库存现金</v>
      </c>
      <c r="E621" s="23" t="str">
        <f aca="false">IFERROR(INDEX(分录回款!$F:$F,MATCH($L621,分录回款!$L:$L,0)),"")</f>
        <v/>
      </c>
      <c r="F621" s="68" t="n">
        <f aca="false">IFERROR(INDEX(分录回款!$H:$H,MATCH($L621,分录回款!$L:$L,0)),"")</f>
        <v>156570.16</v>
      </c>
      <c r="G621" s="69" t="str">
        <f aca="false">IFERROR(INDEX(分录回款!$I:$I,MATCH($L621,分录回款!$L:$L,0)),"")</f>
        <v/>
      </c>
      <c r="H621" s="23"/>
      <c r="I621" s="70"/>
      <c r="L621" s="71" t="n">
        <f aca="false">IF(助手回款!$R$43="",-1,助手回款!$R$43*100+(助手回款!$S$43-1)*6+1)</f>
        <v>4001</v>
      </c>
    </row>
    <row r="622" customFormat="false" ht="23.25" hidden="false" customHeight="true" outlineLevel="0" collapsed="false">
      <c r="B622" s="67" t="str">
        <f aca="false">""</f>
        <v/>
      </c>
      <c r="C622" s="67"/>
      <c r="D622" s="23" t="str">
        <f aca="false">IFERROR(INDEX(分录回款!$E:$E,MATCH($L622,分录回款!$L:$L,0)),"")</f>
        <v>财务费用</v>
      </c>
      <c r="E622" s="23" t="str">
        <f aca="false">IFERROR(INDEX(分录回款!$F:$F,MATCH($L622,分录回款!$L:$L,0)),"")</f>
        <v>手续费</v>
      </c>
      <c r="F622" s="68" t="n">
        <f aca="false">IFERROR(INDEX(分录回款!$H:$H,MATCH($L622,分录回款!$L:$L,0)),"")</f>
        <v>244.7</v>
      </c>
      <c r="G622" s="69" t="str">
        <f aca="false">IFERROR(INDEX(分录回款!$I:$I,MATCH($L622,分录回款!$L:$L,0)),"")</f>
        <v/>
      </c>
      <c r="H622" s="23"/>
      <c r="I622" s="70"/>
      <c r="L622" s="71" t="n">
        <f aca="false">IF(助手回款!$R$43="",-1,助手回款!$R$43*100+(助手回款!$S$43-1)*6+2)</f>
        <v>4002</v>
      </c>
    </row>
    <row r="623" customFormat="false" ht="23.25" hidden="false" customHeight="true" outlineLevel="0" collapsed="false">
      <c r="B623" s="67" t="str">
        <f aca="false">""</f>
        <v/>
      </c>
      <c r="C623" s="67"/>
      <c r="D623" s="23" t="str">
        <f aca="false">IFERROR(INDEX(分录回款!$E:$E,MATCH($L623,分录回款!$L:$L,0)),"")</f>
        <v>应收账款</v>
      </c>
      <c r="E623" s="23" t="str">
        <f aca="false">IFERROR(INDEX(分录回款!$F:$F,MATCH($L623,分录回款!$L:$L,0)),"")</f>
        <v>聚合支付</v>
      </c>
      <c r="F623" s="68" t="str">
        <f aca="false">IFERROR(INDEX(分录回款!$H:$H,MATCH($L623,分录回款!$L:$L,0)),"")</f>
        <v/>
      </c>
      <c r="G623" s="69" t="n">
        <f aca="false">IFERROR(INDEX(分录回款!$I:$I,MATCH($L623,分录回款!$L:$L,0)),"")</f>
        <v>12424.88</v>
      </c>
      <c r="H623" s="23"/>
      <c r="I623" s="70"/>
      <c r="L623" s="71" t="n">
        <f aca="false">IF(助手回款!$R$43="",-1,助手回款!$R$43*100+(助手回款!$S$43-1)*6+3)</f>
        <v>4003</v>
      </c>
    </row>
    <row r="624" customFormat="false" ht="23.25" hidden="false" customHeight="true" outlineLevel="0" collapsed="false">
      <c r="B624" s="67" t="str">
        <f aca="false">""</f>
        <v/>
      </c>
      <c r="C624" s="67"/>
      <c r="D624" s="23" t="str">
        <f aca="false">IFERROR(INDEX(分录回款!$E:$E,MATCH($L624,分录回款!$L:$L,0)),"")</f>
        <v>应收账款</v>
      </c>
      <c r="E624" s="23" t="str">
        <f aca="false">IFERROR(INDEX(分录回款!$F:$F,MATCH($L624,分录回款!$L:$L,0)),"")</f>
        <v>医保</v>
      </c>
      <c r="F624" s="68" t="str">
        <f aca="false">IFERROR(INDEX(分录回款!$H:$H,MATCH($L624,分录回款!$L:$L,0)),"")</f>
        <v/>
      </c>
      <c r="G624" s="69" t="n">
        <f aca="false">IFERROR(INDEX(分录回款!$I:$I,MATCH($L624,分录回款!$L:$L,0)),"")</f>
        <v>30363.77</v>
      </c>
      <c r="H624" s="23"/>
      <c r="I624" s="70"/>
      <c r="L624" s="71" t="n">
        <f aca="false">IF(助手回款!$R$43="",-1,助手回款!$R$43*100+(助手回款!$S$43-1)*6+4)</f>
        <v>4004</v>
      </c>
    </row>
    <row r="625" customFormat="false" ht="23.25" hidden="false" customHeight="true" outlineLevel="0" collapsed="false">
      <c r="B625" s="67" t="str">
        <f aca="false">""</f>
        <v/>
      </c>
      <c r="C625" s="67"/>
      <c r="D625" s="23" t="str">
        <f aca="false">IFERROR(INDEX(分录回款!$E:$E,MATCH($L625,分录回款!$L:$L,0)),"")</f>
        <v>应收账款</v>
      </c>
      <c r="E625" s="23" t="str">
        <f aca="false">IFERROR(INDEX(分录回款!$F:$F,MATCH($L625,分录回款!$L:$L,0)),"")</f>
        <v>24小时</v>
      </c>
      <c r="F625" s="68" t="str">
        <f aca="false">IFERROR(INDEX(分录回款!$H:$H,MATCH($L625,分录回款!$L:$L,0)),"")</f>
        <v/>
      </c>
      <c r="G625" s="69" t="n">
        <f aca="false">IFERROR(INDEX(分录回款!$I:$I,MATCH($L625,分录回款!$L:$L,0)),"")</f>
        <v>2923.6</v>
      </c>
      <c r="H625" s="23"/>
      <c r="I625" s="70"/>
      <c r="L625" s="71" t="n">
        <f aca="false">IF(助手回款!$R$43="",-1,助手回款!$R$43*100+(助手回款!$S$43-1)*6+5)</f>
        <v>4005</v>
      </c>
    </row>
    <row r="626" customFormat="false" ht="23.25" hidden="false" customHeight="true" outlineLevel="0" collapsed="false">
      <c r="B626" s="67" t="str">
        <f aca="false">""</f>
        <v/>
      </c>
      <c r="C626" s="67"/>
      <c r="D626" s="23" t="str">
        <f aca="false">IFERROR(INDEX(分录回款!$E:$E,MATCH($L626,分录回款!$L:$L,0)),"")</f>
        <v>应收账款</v>
      </c>
      <c r="E626" s="23" t="str">
        <f aca="false">IFERROR(INDEX(分录回款!$F:$F,MATCH($L626,分录回款!$L:$L,0)),"")</f>
        <v>健E卡</v>
      </c>
      <c r="F626" s="68" t="str">
        <f aca="false">IFERROR(INDEX(分录回款!$H:$H,MATCH($L626,分录回款!$L:$L,0)),"")</f>
        <v/>
      </c>
      <c r="G626" s="69" t="n">
        <f aca="false">IFERROR(INDEX(分录回款!$I:$I,MATCH($L626,分录回款!$L:$L,0)),"")</f>
        <v>111102.61</v>
      </c>
      <c r="H626" s="23"/>
      <c r="I626" s="70"/>
      <c r="L626" s="71" t="n">
        <f aca="false">IF(助手回款!$R$43="",-1,助手回款!$R$43*100+(助手回款!$S$43-1)*6+6)</f>
        <v>4006</v>
      </c>
    </row>
    <row r="627" customFormat="false" ht="23.25" hidden="false" customHeight="true" outlineLevel="0" collapsed="false">
      <c r="B627" s="72" t="str">
        <f aca="false">IF(助手回款!$T$43=1,"合计：","")</f>
        <v>合计：</v>
      </c>
      <c r="C627" s="73" t="n">
        <f aca="false">IF(助手回款!$T$43=1,$F627,"")</f>
        <v>156814.86</v>
      </c>
      <c r="D627" s="74"/>
      <c r="E627" s="74"/>
      <c r="F627" s="75" t="n">
        <f aca="false">IF(助手回款!$T$43=1,INDEX(助手回款!$N$2:$N$66,助手回款!$R$43),"")</f>
        <v>156814.86</v>
      </c>
      <c r="G627" s="76" t="n">
        <f aca="false">IF(助手回款!$T$43=1,INDEX(助手回款!$O$2:$O$66,助手回款!$R$43),"")</f>
        <v>156814.86</v>
      </c>
      <c r="H627" s="74"/>
      <c r="I627" s="77"/>
    </row>
    <row r="628" customFormat="false" ht="6" hidden="false" customHeight="true" outlineLevel="0" collapsed="false"/>
    <row r="629" customFormat="false" ht="13.5" hidden="false" customHeight="false" outlineLevel="0" collapsed="false">
      <c r="B629" s="78" t="str">
        <f aca="false">IF(助手回款!$R$43&lt;&gt;"","会计主管：","")</f>
        <v>会计主管：</v>
      </c>
      <c r="D629" s="78" t="str">
        <f aca="false">IF(助手回款!$R$43&lt;&gt;"","会计：","")</f>
        <v>会计：</v>
      </c>
      <c r="E629" s="78" t="str">
        <f aca="false">IF(助手回款!$R$43&lt;&gt;"","出纳：","")</f>
        <v>出纳：</v>
      </c>
      <c r="F629" s="78" t="str">
        <f aca="false">IF(助手回款!$R$43&lt;&gt;"","复核：","")</f>
        <v>复核：</v>
      </c>
      <c r="G629" s="78" t="str">
        <f aca="false">IF(助手回款!$R$43&lt;&gt;"","制单：","")</f>
        <v>制单：</v>
      </c>
    </row>
    <row r="630" customFormat="false" ht="3" hidden="false" customHeight="true" outlineLevel="0" collapsed="false"/>
    <row r="631" customFormat="false" ht="19.5" hidden="false" customHeight="true" outlineLevel="0" collapsed="false">
      <c r="B631" s="53" t="str">
        <f aca="false">IF(助手回款!$R$44&lt;&gt;"","记  账  凭  证","")</f>
        <v>记  账  凭  证</v>
      </c>
      <c r="C631" s="53"/>
      <c r="D631" s="53"/>
      <c r="E631" s="53"/>
      <c r="F631" s="53"/>
      <c r="G631" s="53"/>
      <c r="H631" s="53"/>
      <c r="I631" s="53"/>
    </row>
    <row r="632" customFormat="false" ht="3" hidden="false" customHeight="true" outlineLevel="0" collapsed="false"/>
    <row r="633" customFormat="false" ht="15" hidden="false" customHeight="true" outlineLevel="0" collapsed="false">
      <c r="C633" s="56" t="n">
        <f aca="false">IF(助手回款!$R$44&lt;&gt;"",INDEX(助手回款!$B$2:$B$66,助手回款!$R$44),"")</f>
        <v>2066</v>
      </c>
      <c r="D633" s="57" t="n">
        <f aca="false">IF(助手回款!$R$44&lt;&gt;"",参数!$B$2,"")</f>
        <v>46234</v>
      </c>
      <c r="E633" s="57"/>
      <c r="F633" s="58" t="str">
        <f aca="false">IF(助手回款!$R$44&lt;&gt;"",INDEX(助手回款!$C$2:$C$66,助手回款!$R$44)&amp;"  字第 "&amp;IF(参数!$B$9="是",INDEX(助手回款!$P$2:$P$66,助手回款!$R$44),"　　　　")&amp;" 号"&amp;IF(INDEX(助手回款!$L$2:$L$66,助手回款!$R$44)&gt;1,"  (共"&amp;INDEX(助手回款!$L$2:$L$66,助手回款!$R$44)&amp;"页 第"&amp;助手回款!$S$44&amp;"页)",""),"")</f>
        <v>博实店  字第 　　　　 号</v>
      </c>
      <c r="G633" s="58"/>
      <c r="H633" s="58"/>
      <c r="I633" s="58"/>
      <c r="M633" s="59" t="n">
        <f aca="false">IF(助手回款!$R$44="","",助手回款!$Q$44)</f>
        <v>43</v>
      </c>
      <c r="N633" s="60" t="n">
        <f aca="false">IF(助手回款!$R$44="","",INDEX(助手回款!$P$2:$P$66,助手回款!$R$44))</f>
        <v>40</v>
      </c>
      <c r="O633" s="55" t="str">
        <f aca="false">IF(助手回款!$R$44="","",INDEX(助手回款!$C$2:$C$66,助手回款!$R$44)&amp;"  字第 "&amp;INDEX(助手回款!$P$2:$P$66,助手回款!$R$44)&amp;" 号"&amp;IF(INDEX(助手回款!$L$2:$L$66,助手回款!$R$44)&gt;1,"  (共"&amp;INDEX(助手回款!$L$2:$L$66,助手回款!$R$44)&amp;"页 第"&amp;助手回款!$S$44&amp;"页)",""))</f>
        <v>博实店  字第 40 号</v>
      </c>
    </row>
    <row r="634" customFormat="false" ht="12.75" hidden="false" customHeight="true" outlineLevel="0" collapsed="false">
      <c r="B634" s="61" t="str">
        <f aca="false">IF(助手回款!$R$44&lt;&gt;"","摘　　要","")</f>
        <v>摘　　要</v>
      </c>
      <c r="C634" s="61"/>
      <c r="D634" s="62" t="str">
        <f aca="false">IF(助手回款!$R$44&lt;&gt;"","科　　　　目","")</f>
        <v>科　　　　目</v>
      </c>
      <c r="E634" s="62"/>
      <c r="F634" s="61" t="str">
        <f aca="false">IF(助手回款!$R$44&lt;&gt;"","借 方 金 额","")</f>
        <v>借 方 金 额</v>
      </c>
      <c r="G634" s="62" t="str">
        <f aca="false">IF(助手回款!$R$44&lt;&gt;"","贷 方 金 额","")</f>
        <v>贷 方 金 额</v>
      </c>
      <c r="H634" s="63" t="str">
        <f aca="false">IF(助手回款!$R$44&lt;&gt;"","√","")</f>
        <v>√</v>
      </c>
      <c r="I634" s="64" t="str">
        <f aca="false">IF(助手回款!$R$44&lt;&gt;"","附单据  张","")</f>
        <v>附单据  张</v>
      </c>
    </row>
    <row r="635" customFormat="false" ht="12.75" hidden="false" customHeight="true" outlineLevel="0" collapsed="false">
      <c r="B635" s="61"/>
      <c r="C635" s="61"/>
      <c r="D635" s="23" t="str">
        <f aca="false">IF(助手回款!$R$44&lt;&gt;"","总 账 科 目","")</f>
        <v>总 账 科 目</v>
      </c>
      <c r="E635" s="23" t="str">
        <f aca="false">IF(助手回款!$R$44&lt;&gt;"","明 细 科 目","")</f>
        <v>明 细 科 目</v>
      </c>
      <c r="F635" s="65"/>
      <c r="G635" s="66"/>
      <c r="H635" s="63"/>
      <c r="I635" s="64"/>
    </row>
    <row r="636" customFormat="false" ht="23.25" hidden="false" customHeight="true" outlineLevel="0" collapsed="false">
      <c r="B636" s="67" t="str">
        <f aca="false">IFERROR(INDEX(分录回款!$M:$M,MATCH($L636,分录回款!$L:$L,0)),"")</f>
        <v>回款</v>
      </c>
      <c r="C636" s="67"/>
      <c r="D636" s="23" t="str">
        <f aca="false">IFERROR(INDEX(分录回款!$E:$E,MATCH($L636,分录回款!$L:$L,0)),"")</f>
        <v>库存现金</v>
      </c>
      <c r="E636" s="23" t="str">
        <f aca="false">IFERROR(INDEX(分录回款!$F:$F,MATCH($L636,分录回款!$L:$L,0)),"")</f>
        <v/>
      </c>
      <c r="F636" s="68" t="n">
        <f aca="false">IFERROR(INDEX(分录回款!$H:$H,MATCH($L636,分录回款!$L:$L,0)),"")</f>
        <v>45737.13</v>
      </c>
      <c r="G636" s="69" t="str">
        <f aca="false">IFERROR(INDEX(分录回款!$I:$I,MATCH($L636,分录回款!$L:$L,0)),"")</f>
        <v/>
      </c>
      <c r="H636" s="23"/>
      <c r="I636" s="70"/>
      <c r="L636" s="71" t="n">
        <f aca="false">IF(助手回款!$R$44="",-1,助手回款!$R$44*100+(助手回款!$S$44-1)*6+1)</f>
        <v>4201</v>
      </c>
    </row>
    <row r="637" customFormat="false" ht="23.25" hidden="false" customHeight="true" outlineLevel="0" collapsed="false">
      <c r="B637" s="67" t="str">
        <f aca="false">""</f>
        <v/>
      </c>
      <c r="C637" s="67"/>
      <c r="D637" s="23" t="str">
        <f aca="false">IFERROR(INDEX(分录回款!$E:$E,MATCH($L637,分录回款!$L:$L,0)),"")</f>
        <v>财务费用</v>
      </c>
      <c r="E637" s="23" t="str">
        <f aca="false">IFERROR(INDEX(分录回款!$F:$F,MATCH($L637,分录回款!$L:$L,0)),"")</f>
        <v>手续费</v>
      </c>
      <c r="F637" s="68" t="n">
        <f aca="false">IFERROR(INDEX(分录回款!$H:$H,MATCH($L637,分录回款!$L:$L,0)),"")</f>
        <v>25.11</v>
      </c>
      <c r="G637" s="69" t="str">
        <f aca="false">IFERROR(INDEX(分录回款!$I:$I,MATCH($L637,分录回款!$L:$L,0)),"")</f>
        <v/>
      </c>
      <c r="H637" s="23"/>
      <c r="I637" s="70"/>
      <c r="L637" s="71" t="n">
        <f aca="false">IF(助手回款!$R$44="",-1,助手回款!$R$44*100+(助手回款!$S$44-1)*6+2)</f>
        <v>4202</v>
      </c>
    </row>
    <row r="638" customFormat="false" ht="23.25" hidden="false" customHeight="true" outlineLevel="0" collapsed="false">
      <c r="B638" s="67" t="str">
        <f aca="false">""</f>
        <v/>
      </c>
      <c r="C638" s="67"/>
      <c r="D638" s="23" t="str">
        <f aca="false">IFERROR(INDEX(分录回款!$E:$E,MATCH($L638,分录回款!$L:$L,0)),"")</f>
        <v>应收账款</v>
      </c>
      <c r="E638" s="23" t="str">
        <f aca="false">IFERROR(INDEX(分录回款!$F:$F,MATCH($L638,分录回款!$L:$L,0)),"")</f>
        <v>聚合支付</v>
      </c>
      <c r="F638" s="68" t="str">
        <f aca="false">IFERROR(INDEX(分录回款!$H:$H,MATCH($L638,分录回款!$L:$L,0)),"")</f>
        <v/>
      </c>
      <c r="G638" s="69" t="n">
        <f aca="false">IFERROR(INDEX(分录回款!$I:$I,MATCH($L638,分录回款!$L:$L,0)),"")</f>
        <v>33995.53</v>
      </c>
      <c r="H638" s="23"/>
      <c r="I638" s="70"/>
      <c r="L638" s="71" t="n">
        <f aca="false">IF(助手回款!$R$44="",-1,助手回款!$R$44*100+(助手回款!$S$44-1)*6+3)</f>
        <v>4203</v>
      </c>
    </row>
    <row r="639" customFormat="false" ht="23.25" hidden="false" customHeight="true" outlineLevel="0" collapsed="false">
      <c r="B639" s="67" t="str">
        <f aca="false">""</f>
        <v/>
      </c>
      <c r="C639" s="67"/>
      <c r="D639" s="23" t="str">
        <f aca="false">IFERROR(INDEX(分录回款!$E:$E,MATCH($L639,分录回款!$L:$L,0)),"")</f>
        <v>应收账款</v>
      </c>
      <c r="E639" s="23" t="str">
        <f aca="false">IFERROR(INDEX(分录回款!$F:$F,MATCH($L639,分录回款!$L:$L,0)),"")</f>
        <v>医保</v>
      </c>
      <c r="F639" s="68" t="str">
        <f aca="false">IFERROR(INDEX(分录回款!$H:$H,MATCH($L639,分录回款!$L:$L,0)),"")</f>
        <v/>
      </c>
      <c r="G639" s="69" t="n">
        <f aca="false">IFERROR(INDEX(分录回款!$I:$I,MATCH($L639,分录回款!$L:$L,0)),"")</f>
        <v>11651.21</v>
      </c>
      <c r="H639" s="23"/>
      <c r="I639" s="70"/>
      <c r="L639" s="71" t="n">
        <f aca="false">IF(助手回款!$R$44="",-1,助手回款!$R$44*100+(助手回款!$S$44-1)*6+4)</f>
        <v>4204</v>
      </c>
    </row>
    <row r="640" customFormat="false" ht="23.25" hidden="false" customHeight="true" outlineLevel="0" collapsed="false">
      <c r="B640" s="67" t="str">
        <f aca="false">""</f>
        <v/>
      </c>
      <c r="C640" s="67"/>
      <c r="D640" s="23" t="str">
        <f aca="false">IFERROR(INDEX(分录回款!$E:$E,MATCH($L640,分录回款!$L:$L,0)),"")</f>
        <v>应收账款</v>
      </c>
      <c r="E640" s="23" t="str">
        <f aca="false">IFERROR(INDEX(分录回款!$F:$F,MATCH($L640,分录回款!$L:$L,0)),"")</f>
        <v>美团</v>
      </c>
      <c r="F640" s="68" t="str">
        <f aca="false">IFERROR(INDEX(分录回款!$H:$H,MATCH($L640,分录回款!$L:$L,0)),"")</f>
        <v/>
      </c>
      <c r="G640" s="69" t="n">
        <f aca="false">IFERROR(INDEX(分录回款!$I:$I,MATCH($L640,分录回款!$L:$L,0)),"")</f>
        <v>100.5</v>
      </c>
      <c r="H640" s="23"/>
      <c r="I640" s="70"/>
      <c r="L640" s="71" t="n">
        <f aca="false">IF(助手回款!$R$44="",-1,助手回款!$R$44*100+(助手回款!$S$44-1)*6+5)</f>
        <v>4205</v>
      </c>
    </row>
    <row r="641" customFormat="false" ht="23.25" hidden="false" customHeight="true" outlineLevel="0" collapsed="false">
      <c r="B641" s="67" t="str">
        <f aca="false">""</f>
        <v/>
      </c>
      <c r="C641" s="67"/>
      <c r="D641" s="23" t="str">
        <f aca="false">IFERROR(INDEX(分录回款!$E:$E,MATCH($L641,分录回款!$L:$L,0)),"")</f>
        <v>应收账款</v>
      </c>
      <c r="E641" s="23" t="str">
        <f aca="false">IFERROR(INDEX(分录回款!$F:$F,MATCH($L641,分录回款!$L:$L,0)),"")</f>
        <v>饿了么</v>
      </c>
      <c r="F641" s="68" t="str">
        <f aca="false">IFERROR(INDEX(分录回款!$H:$H,MATCH($L641,分录回款!$L:$L,0)),"")</f>
        <v/>
      </c>
      <c r="G641" s="69" t="n">
        <f aca="false">IFERROR(INDEX(分录回款!$I:$I,MATCH($L641,分录回款!$L:$L,0)),"")</f>
        <v>15</v>
      </c>
      <c r="H641" s="23"/>
      <c r="I641" s="70"/>
      <c r="L641" s="71" t="n">
        <f aca="false">IF(助手回款!$R$44="",-1,助手回款!$R$44*100+(助手回款!$S$44-1)*6+6)</f>
        <v>4206</v>
      </c>
    </row>
    <row r="642" customFormat="false" ht="23.25" hidden="false" customHeight="true" outlineLevel="0" collapsed="false">
      <c r="B642" s="72" t="str">
        <f aca="false">IF(助手回款!$T$44=1,"合计：","")</f>
        <v>合计：</v>
      </c>
      <c r="C642" s="73" t="n">
        <f aca="false">IF(助手回款!$T$44=1,$F642,"")</f>
        <v>45762.24</v>
      </c>
      <c r="D642" s="74"/>
      <c r="E642" s="74"/>
      <c r="F642" s="75" t="n">
        <f aca="false">IF(助手回款!$T$44=1,INDEX(助手回款!$N$2:$N$66,助手回款!$R$44),"")</f>
        <v>45762.24</v>
      </c>
      <c r="G642" s="76" t="n">
        <f aca="false">IF(助手回款!$T$44=1,INDEX(助手回款!$O$2:$O$66,助手回款!$R$44),"")</f>
        <v>45762.24</v>
      </c>
      <c r="H642" s="74"/>
      <c r="I642" s="77"/>
    </row>
    <row r="643" customFormat="false" ht="6" hidden="false" customHeight="true" outlineLevel="0" collapsed="false"/>
    <row r="644" customFormat="false" ht="13.5" hidden="false" customHeight="false" outlineLevel="0" collapsed="false">
      <c r="B644" s="78" t="str">
        <f aca="false">IF(助手回款!$R$44&lt;&gt;"","会计主管：","")</f>
        <v>会计主管：</v>
      </c>
      <c r="D644" s="78" t="str">
        <f aca="false">IF(助手回款!$R$44&lt;&gt;"","会计：","")</f>
        <v>会计：</v>
      </c>
      <c r="E644" s="78" t="str">
        <f aca="false">IF(助手回款!$R$44&lt;&gt;"","出纳：","")</f>
        <v>出纳：</v>
      </c>
      <c r="F644" s="78" t="str">
        <f aca="false">IF(助手回款!$R$44&lt;&gt;"","复核：","")</f>
        <v>复核：</v>
      </c>
      <c r="G644" s="78" t="str">
        <f aca="false">IF(助手回款!$R$44&lt;&gt;"","制单：","")</f>
        <v>制单：</v>
      </c>
    </row>
    <row r="645" customFormat="false" ht="3" hidden="false" customHeight="true" outlineLevel="0" collapsed="false"/>
    <row r="646" customFormat="false" ht="19.5" hidden="false" customHeight="true" outlineLevel="0" collapsed="false">
      <c r="B646" s="53" t="str">
        <f aca="false">IF(助手回款!$R$45&lt;&gt;"","记  账  凭  证","")</f>
        <v>记  账  凭  证</v>
      </c>
      <c r="C646" s="53"/>
      <c r="D646" s="53"/>
      <c r="E646" s="53"/>
      <c r="F646" s="53"/>
      <c r="G646" s="53"/>
      <c r="H646" s="53"/>
      <c r="I646" s="53"/>
    </row>
    <row r="647" customFormat="false" ht="3" hidden="false" customHeight="true" outlineLevel="0" collapsed="false"/>
    <row r="648" customFormat="false" ht="15" hidden="false" customHeight="true" outlineLevel="0" collapsed="false">
      <c r="C648" s="56" t="n">
        <f aca="false">IF(助手回款!$R$45&lt;&gt;"",INDEX(助手回款!$B$2:$B$66,助手回款!$R$45),"")</f>
        <v>2067</v>
      </c>
      <c r="D648" s="57" t="n">
        <f aca="false">IF(助手回款!$R$45&lt;&gt;"",参数!$B$2,"")</f>
        <v>46234</v>
      </c>
      <c r="E648" s="57"/>
      <c r="F648" s="58" t="str">
        <f aca="false">IF(助手回款!$R$45&lt;&gt;"",INDEX(助手回款!$C$2:$C$66,助手回款!$R$45)&amp;"  字第 "&amp;IF(参数!$B$9="是",INDEX(助手回款!$P$2:$P$66,助手回款!$R$45),"　　　　")&amp;" 号"&amp;IF(INDEX(助手回款!$L$2:$L$66,助手回款!$R$45)&gt;1,"  (共"&amp;INDEX(助手回款!$L$2:$L$66,助手回款!$R$45)&amp;"页 第"&amp;助手回款!$S$45&amp;"页)",""),"")</f>
        <v>博亮店  字第 　　　　 号</v>
      </c>
      <c r="G648" s="58"/>
      <c r="H648" s="58"/>
      <c r="I648" s="58"/>
      <c r="M648" s="59" t="n">
        <f aca="false">IF(助手回款!$R$45="","",助手回款!$Q$45)</f>
        <v>44</v>
      </c>
      <c r="N648" s="60" t="n">
        <f aca="false">IF(助手回款!$R$45="","",INDEX(助手回款!$P$2:$P$66,助手回款!$R$45))</f>
        <v>41</v>
      </c>
      <c r="O648" s="55" t="str">
        <f aca="false">IF(助手回款!$R$45="","",INDEX(助手回款!$C$2:$C$66,助手回款!$R$45)&amp;"  字第 "&amp;INDEX(助手回款!$P$2:$P$66,助手回款!$R$45)&amp;" 号"&amp;IF(INDEX(助手回款!$L$2:$L$66,助手回款!$R$45)&gt;1,"  (共"&amp;INDEX(助手回款!$L$2:$L$66,助手回款!$R$45)&amp;"页 第"&amp;助手回款!$S$45&amp;"页)",""))</f>
        <v>博亮店  字第 41 号</v>
      </c>
    </row>
    <row r="649" customFormat="false" ht="12.75" hidden="false" customHeight="true" outlineLevel="0" collapsed="false">
      <c r="B649" s="61" t="str">
        <f aca="false">IF(助手回款!$R$45&lt;&gt;"","摘　　要","")</f>
        <v>摘　　要</v>
      </c>
      <c r="C649" s="61"/>
      <c r="D649" s="62" t="str">
        <f aca="false">IF(助手回款!$R$45&lt;&gt;"","科　　　　目","")</f>
        <v>科　　　　目</v>
      </c>
      <c r="E649" s="62"/>
      <c r="F649" s="61" t="str">
        <f aca="false">IF(助手回款!$R$45&lt;&gt;"","借 方 金 额","")</f>
        <v>借 方 金 额</v>
      </c>
      <c r="G649" s="62" t="str">
        <f aca="false">IF(助手回款!$R$45&lt;&gt;"","贷 方 金 额","")</f>
        <v>贷 方 金 额</v>
      </c>
      <c r="H649" s="63" t="str">
        <f aca="false">IF(助手回款!$R$45&lt;&gt;"","√","")</f>
        <v>√</v>
      </c>
      <c r="I649" s="64" t="str">
        <f aca="false">IF(助手回款!$R$45&lt;&gt;"","附单据  张","")</f>
        <v>附单据  张</v>
      </c>
    </row>
    <row r="650" customFormat="false" ht="12.75" hidden="false" customHeight="true" outlineLevel="0" collapsed="false">
      <c r="B650" s="61"/>
      <c r="C650" s="61"/>
      <c r="D650" s="23" t="str">
        <f aca="false">IF(助手回款!$R$45&lt;&gt;"","总 账 科 目","")</f>
        <v>总 账 科 目</v>
      </c>
      <c r="E650" s="23" t="str">
        <f aca="false">IF(助手回款!$R$45&lt;&gt;"","明 细 科 目","")</f>
        <v>明 细 科 目</v>
      </c>
      <c r="F650" s="65"/>
      <c r="G650" s="66"/>
      <c r="H650" s="63"/>
      <c r="I650" s="64"/>
    </row>
    <row r="651" customFormat="false" ht="23.25" hidden="false" customHeight="true" outlineLevel="0" collapsed="false">
      <c r="B651" s="67" t="str">
        <f aca="false">IFERROR(INDEX(分录回款!$M:$M,MATCH($L651,分录回款!$L:$L,0)),"")</f>
        <v>回款</v>
      </c>
      <c r="C651" s="67"/>
      <c r="D651" s="23" t="str">
        <f aca="false">IFERROR(INDEX(分录回款!$E:$E,MATCH($L651,分录回款!$L:$L,0)),"")</f>
        <v>库存现金</v>
      </c>
      <c r="E651" s="23" t="str">
        <f aca="false">IFERROR(INDEX(分录回款!$F:$F,MATCH($L651,分录回款!$L:$L,0)),"")</f>
        <v/>
      </c>
      <c r="F651" s="68" t="n">
        <f aca="false">IFERROR(INDEX(分录回款!$H:$H,MATCH($L651,分录回款!$L:$L,0)),"")</f>
        <v>32450.61</v>
      </c>
      <c r="G651" s="69" t="str">
        <f aca="false">IFERROR(INDEX(分录回款!$I:$I,MATCH($L651,分录回款!$L:$L,0)),"")</f>
        <v/>
      </c>
      <c r="H651" s="23"/>
      <c r="I651" s="70"/>
      <c r="L651" s="71" t="n">
        <f aca="false">IF(助手回款!$R$45="",-1,助手回款!$R$45*100+(助手回款!$S$45-1)*6+1)</f>
        <v>4301</v>
      </c>
    </row>
    <row r="652" customFormat="false" ht="23.25" hidden="false" customHeight="true" outlineLevel="0" collapsed="false">
      <c r="B652" s="67" t="str">
        <f aca="false">""</f>
        <v/>
      </c>
      <c r="C652" s="67"/>
      <c r="D652" s="23" t="str">
        <f aca="false">IFERROR(INDEX(分录回款!$E:$E,MATCH($L652,分录回款!$L:$L,0)),"")</f>
        <v>财务费用</v>
      </c>
      <c r="E652" s="23" t="str">
        <f aca="false">IFERROR(INDEX(分录回款!$F:$F,MATCH($L652,分录回款!$L:$L,0)),"")</f>
        <v>手续费</v>
      </c>
      <c r="F652" s="68" t="n">
        <f aca="false">IFERROR(INDEX(分录回款!$H:$H,MATCH($L652,分录回款!$L:$L,0)),"")</f>
        <v>79.54</v>
      </c>
      <c r="G652" s="69" t="str">
        <f aca="false">IFERROR(INDEX(分录回款!$I:$I,MATCH($L652,分录回款!$L:$L,0)),"")</f>
        <v/>
      </c>
      <c r="H652" s="23"/>
      <c r="I652" s="70"/>
      <c r="L652" s="71" t="n">
        <f aca="false">IF(助手回款!$R$45="",-1,助手回款!$R$45*100+(助手回款!$S$45-1)*6+2)</f>
        <v>4302</v>
      </c>
    </row>
    <row r="653" customFormat="false" ht="23.25" hidden="false" customHeight="true" outlineLevel="0" collapsed="false">
      <c r="B653" s="67" t="str">
        <f aca="false">""</f>
        <v/>
      </c>
      <c r="C653" s="67"/>
      <c r="D653" s="23" t="str">
        <f aca="false">IFERROR(INDEX(分录回款!$E:$E,MATCH($L653,分录回款!$L:$L,0)),"")</f>
        <v>应收账款</v>
      </c>
      <c r="E653" s="23" t="str">
        <f aca="false">IFERROR(INDEX(分录回款!$F:$F,MATCH($L653,分录回款!$L:$L,0)),"")</f>
        <v>聚合支付</v>
      </c>
      <c r="F653" s="68" t="str">
        <f aca="false">IFERROR(INDEX(分录回款!$H:$H,MATCH($L653,分录回款!$L:$L,0)),"")</f>
        <v/>
      </c>
      <c r="G653" s="69" t="n">
        <f aca="false">IFERROR(INDEX(分录回款!$I:$I,MATCH($L653,分录回款!$L:$L,0)),"")</f>
        <v>31986.15</v>
      </c>
      <c r="H653" s="23"/>
      <c r="I653" s="70"/>
      <c r="L653" s="71" t="n">
        <f aca="false">IF(助手回款!$R$45="",-1,助手回款!$R$45*100+(助手回款!$S$45-1)*6+3)</f>
        <v>4303</v>
      </c>
    </row>
    <row r="654" customFormat="false" ht="23.25" hidden="false" customHeight="true" outlineLevel="0" collapsed="false">
      <c r="B654" s="67" t="str">
        <f aca="false">""</f>
        <v/>
      </c>
      <c r="C654" s="67"/>
      <c r="D654" s="23" t="str">
        <f aca="false">IFERROR(INDEX(分录回款!$E:$E,MATCH($L654,分录回款!$L:$L,0)),"")</f>
        <v>应收账款</v>
      </c>
      <c r="E654" s="23" t="str">
        <f aca="false">IFERROR(INDEX(分录回款!$F:$F,MATCH($L654,分录回款!$L:$L,0)),"")</f>
        <v>美团</v>
      </c>
      <c r="F654" s="68" t="str">
        <f aca="false">IFERROR(INDEX(分录回款!$H:$H,MATCH($L654,分录回款!$L:$L,0)),"")</f>
        <v/>
      </c>
      <c r="G654" s="69" t="n">
        <f aca="false">IFERROR(INDEX(分录回款!$I:$I,MATCH($L654,分录回款!$L:$L,0)),"")</f>
        <v>544</v>
      </c>
      <c r="H654" s="23"/>
      <c r="I654" s="70"/>
      <c r="L654" s="71" t="n">
        <f aca="false">IF(助手回款!$R$45="",-1,助手回款!$R$45*100+(助手回款!$S$45-1)*6+4)</f>
        <v>4304</v>
      </c>
    </row>
    <row r="655" customFormat="false" ht="23.25" hidden="false" customHeight="true" outlineLevel="0" collapsed="false">
      <c r="B655" s="67" t="str">
        <f aca="false">""</f>
        <v/>
      </c>
      <c r="C655" s="67"/>
      <c r="D655" s="23" t="str">
        <f aca="false">IFERROR(INDEX(分录回款!$E:$E,MATCH($L655,分录回款!$L:$L,0)),"")</f>
        <v/>
      </c>
      <c r="E655" s="23" t="str">
        <f aca="false">IFERROR(INDEX(分录回款!$F:$F,MATCH($L655,分录回款!$L:$L,0)),"")</f>
        <v/>
      </c>
      <c r="F655" s="68" t="str">
        <f aca="false">IFERROR(INDEX(分录回款!$H:$H,MATCH($L655,分录回款!$L:$L,0)),"")</f>
        <v/>
      </c>
      <c r="G655" s="69" t="str">
        <f aca="false">IFERROR(INDEX(分录回款!$I:$I,MATCH($L655,分录回款!$L:$L,0)),"")</f>
        <v/>
      </c>
      <c r="H655" s="23"/>
      <c r="I655" s="70"/>
      <c r="L655" s="71" t="n">
        <f aca="false">IF(助手回款!$R$45="",-1,助手回款!$R$45*100+(助手回款!$S$45-1)*6+5)</f>
        <v>4305</v>
      </c>
    </row>
    <row r="656" customFormat="false" ht="23.25" hidden="false" customHeight="true" outlineLevel="0" collapsed="false">
      <c r="B656" s="67" t="str">
        <f aca="false">""</f>
        <v/>
      </c>
      <c r="C656" s="67"/>
      <c r="D656" s="23" t="str">
        <f aca="false">IFERROR(INDEX(分录回款!$E:$E,MATCH($L656,分录回款!$L:$L,0)),"")</f>
        <v/>
      </c>
      <c r="E656" s="23" t="str">
        <f aca="false">IFERROR(INDEX(分录回款!$F:$F,MATCH($L656,分录回款!$L:$L,0)),"")</f>
        <v/>
      </c>
      <c r="F656" s="68" t="str">
        <f aca="false">IFERROR(INDEX(分录回款!$H:$H,MATCH($L656,分录回款!$L:$L,0)),"")</f>
        <v/>
      </c>
      <c r="G656" s="69" t="str">
        <f aca="false">IFERROR(INDEX(分录回款!$I:$I,MATCH($L656,分录回款!$L:$L,0)),"")</f>
        <v/>
      </c>
      <c r="H656" s="23"/>
      <c r="I656" s="70"/>
      <c r="L656" s="71" t="n">
        <f aca="false">IF(助手回款!$R$45="",-1,助手回款!$R$45*100+(助手回款!$S$45-1)*6+6)</f>
        <v>4306</v>
      </c>
    </row>
    <row r="657" customFormat="false" ht="23.25" hidden="false" customHeight="true" outlineLevel="0" collapsed="false">
      <c r="B657" s="72" t="str">
        <f aca="false">IF(助手回款!$T$45=1,"合计：","")</f>
        <v>合计：</v>
      </c>
      <c r="C657" s="73" t="n">
        <f aca="false">IF(助手回款!$T$45=1,$F657,"")</f>
        <v>32530.15</v>
      </c>
      <c r="D657" s="74"/>
      <c r="E657" s="74"/>
      <c r="F657" s="75" t="n">
        <f aca="false">IF(助手回款!$T$45=1,INDEX(助手回款!$N$2:$N$66,助手回款!$R$45),"")</f>
        <v>32530.15</v>
      </c>
      <c r="G657" s="76" t="n">
        <f aca="false">IF(助手回款!$T$45=1,INDEX(助手回款!$O$2:$O$66,助手回款!$R$45),"")</f>
        <v>32530.15</v>
      </c>
      <c r="H657" s="74"/>
      <c r="I657" s="77"/>
    </row>
    <row r="658" customFormat="false" ht="6" hidden="false" customHeight="true" outlineLevel="0" collapsed="false"/>
    <row r="659" customFormat="false" ht="13.5" hidden="false" customHeight="false" outlineLevel="0" collapsed="false">
      <c r="B659" s="78" t="str">
        <f aca="false">IF(助手回款!$R$45&lt;&gt;"","会计主管：","")</f>
        <v>会计主管：</v>
      </c>
      <c r="D659" s="78" t="str">
        <f aca="false">IF(助手回款!$R$45&lt;&gt;"","会计：","")</f>
        <v>会计：</v>
      </c>
      <c r="E659" s="78" t="str">
        <f aca="false">IF(助手回款!$R$45&lt;&gt;"","出纳：","")</f>
        <v>出纳：</v>
      </c>
      <c r="F659" s="78" t="str">
        <f aca="false">IF(助手回款!$R$45&lt;&gt;"","复核：","")</f>
        <v>复核：</v>
      </c>
      <c r="G659" s="78" t="str">
        <f aca="false">IF(助手回款!$R$45&lt;&gt;"","制单：","")</f>
        <v>制单：</v>
      </c>
    </row>
    <row r="660" customFormat="false" ht="3" hidden="false" customHeight="true" outlineLevel="0" collapsed="false"/>
    <row r="661" customFormat="false" ht="19.5" hidden="false" customHeight="true" outlineLevel="0" collapsed="false">
      <c r="B661" s="53" t="str">
        <f aca="false">IF(助手回款!$R$46&lt;&gt;"","记  账  凭  证","")</f>
        <v>记  账  凭  证</v>
      </c>
      <c r="C661" s="53"/>
      <c r="D661" s="53"/>
      <c r="E661" s="53"/>
      <c r="F661" s="53"/>
      <c r="G661" s="53"/>
      <c r="H661" s="53"/>
      <c r="I661" s="53"/>
    </row>
    <row r="662" customFormat="false" ht="3" hidden="false" customHeight="true" outlineLevel="0" collapsed="false"/>
    <row r="663" customFormat="false" ht="15" hidden="false" customHeight="true" outlineLevel="0" collapsed="false">
      <c r="C663" s="56" t="n">
        <f aca="false">IF(助手回款!$R$46&lt;&gt;"",INDEX(助手回款!$B$2:$B$66,助手回款!$R$46),"")</f>
        <v>2068</v>
      </c>
      <c r="D663" s="57" t="n">
        <f aca="false">IF(助手回款!$R$46&lt;&gt;"",参数!$B$2,"")</f>
        <v>46234</v>
      </c>
      <c r="E663" s="57"/>
      <c r="F663" s="58" t="str">
        <f aca="false">IF(助手回款!$R$46&lt;&gt;"",INDEX(助手回款!$C$2:$C$66,助手回款!$R$46)&amp;"  字第 "&amp;IF(参数!$B$9="是",INDEX(助手回款!$P$2:$P$66,助手回款!$R$46),"　　　　")&amp;" 号"&amp;IF(INDEX(助手回款!$L$2:$L$66,助手回款!$R$46)&gt;1,"  (共"&amp;INDEX(助手回款!$L$2:$L$66,助手回款!$R$46)&amp;"页 第"&amp;助手回款!$S$46&amp;"页)",""),"")</f>
        <v>博山店  字第 　　　　 号</v>
      </c>
      <c r="G663" s="58"/>
      <c r="H663" s="58"/>
      <c r="I663" s="58"/>
      <c r="M663" s="59" t="n">
        <f aca="false">IF(助手回款!$R$46="","",助手回款!$Q$46)</f>
        <v>45</v>
      </c>
      <c r="N663" s="60" t="n">
        <f aca="false">IF(助手回款!$R$46="","",INDEX(助手回款!$P$2:$P$66,助手回款!$R$46))</f>
        <v>42</v>
      </c>
      <c r="O663" s="55" t="str">
        <f aca="false">IF(助手回款!$R$46="","",INDEX(助手回款!$C$2:$C$66,助手回款!$R$46)&amp;"  字第 "&amp;INDEX(助手回款!$P$2:$P$66,助手回款!$R$46)&amp;" 号"&amp;IF(INDEX(助手回款!$L$2:$L$66,助手回款!$R$46)&gt;1,"  (共"&amp;INDEX(助手回款!$L$2:$L$66,助手回款!$R$46)&amp;"页 第"&amp;助手回款!$S$46&amp;"页)",""))</f>
        <v>博山店  字第 42 号</v>
      </c>
    </row>
    <row r="664" customFormat="false" ht="12.75" hidden="false" customHeight="true" outlineLevel="0" collapsed="false">
      <c r="B664" s="61" t="str">
        <f aca="false">IF(助手回款!$R$46&lt;&gt;"","摘　　要","")</f>
        <v>摘　　要</v>
      </c>
      <c r="C664" s="61"/>
      <c r="D664" s="62" t="str">
        <f aca="false">IF(助手回款!$R$46&lt;&gt;"","科　　　　目","")</f>
        <v>科　　　　目</v>
      </c>
      <c r="E664" s="62"/>
      <c r="F664" s="61" t="str">
        <f aca="false">IF(助手回款!$R$46&lt;&gt;"","借 方 金 额","")</f>
        <v>借 方 金 额</v>
      </c>
      <c r="G664" s="62" t="str">
        <f aca="false">IF(助手回款!$R$46&lt;&gt;"","贷 方 金 额","")</f>
        <v>贷 方 金 额</v>
      </c>
      <c r="H664" s="63" t="str">
        <f aca="false">IF(助手回款!$R$46&lt;&gt;"","√","")</f>
        <v>√</v>
      </c>
      <c r="I664" s="64" t="str">
        <f aca="false">IF(助手回款!$R$46&lt;&gt;"","附单据  张","")</f>
        <v>附单据  张</v>
      </c>
    </row>
    <row r="665" customFormat="false" ht="12.75" hidden="false" customHeight="true" outlineLevel="0" collapsed="false">
      <c r="B665" s="61"/>
      <c r="C665" s="61"/>
      <c r="D665" s="23" t="str">
        <f aca="false">IF(助手回款!$R$46&lt;&gt;"","总 账 科 目","")</f>
        <v>总 账 科 目</v>
      </c>
      <c r="E665" s="23" t="str">
        <f aca="false">IF(助手回款!$R$46&lt;&gt;"","明 细 科 目","")</f>
        <v>明 细 科 目</v>
      </c>
      <c r="F665" s="65"/>
      <c r="G665" s="66"/>
      <c r="H665" s="63"/>
      <c r="I665" s="64"/>
    </row>
    <row r="666" customFormat="false" ht="23.25" hidden="false" customHeight="true" outlineLevel="0" collapsed="false">
      <c r="B666" s="67" t="str">
        <f aca="false">IFERROR(INDEX(分录回款!$M:$M,MATCH($L666,分录回款!$L:$L,0)),"")</f>
        <v>回款</v>
      </c>
      <c r="C666" s="67"/>
      <c r="D666" s="23" t="str">
        <f aca="false">IFERROR(INDEX(分录回款!$E:$E,MATCH($L666,分录回款!$L:$L,0)),"")</f>
        <v>库存现金</v>
      </c>
      <c r="E666" s="23" t="str">
        <f aca="false">IFERROR(INDEX(分录回款!$F:$F,MATCH($L666,分录回款!$L:$L,0)),"")</f>
        <v/>
      </c>
      <c r="F666" s="68" t="n">
        <f aca="false">IFERROR(INDEX(分录回款!$H:$H,MATCH($L666,分录回款!$L:$L,0)),"")</f>
        <v>65308.4</v>
      </c>
      <c r="G666" s="69" t="str">
        <f aca="false">IFERROR(INDEX(分录回款!$I:$I,MATCH($L666,分录回款!$L:$L,0)),"")</f>
        <v/>
      </c>
      <c r="H666" s="23"/>
      <c r="I666" s="70"/>
      <c r="L666" s="71" t="n">
        <f aca="false">IF(助手回款!$R$46="",-1,助手回款!$R$46*100+(助手回款!$S$46-1)*6+1)</f>
        <v>4401</v>
      </c>
    </row>
    <row r="667" customFormat="false" ht="23.25" hidden="false" customHeight="true" outlineLevel="0" collapsed="false">
      <c r="B667" s="67" t="str">
        <f aca="false">""</f>
        <v/>
      </c>
      <c r="C667" s="67"/>
      <c r="D667" s="23" t="str">
        <f aca="false">IFERROR(INDEX(分录回款!$E:$E,MATCH($L667,分录回款!$L:$L,0)),"")</f>
        <v>财务费用</v>
      </c>
      <c r="E667" s="23" t="str">
        <f aca="false">IFERROR(INDEX(分录回款!$F:$F,MATCH($L667,分录回款!$L:$L,0)),"")</f>
        <v>手续费</v>
      </c>
      <c r="F667" s="68" t="n">
        <f aca="false">IFERROR(INDEX(分录回款!$H:$H,MATCH($L667,分录回款!$L:$L,0)),"")</f>
        <v>5.32</v>
      </c>
      <c r="G667" s="69" t="str">
        <f aca="false">IFERROR(INDEX(分录回款!$I:$I,MATCH($L667,分录回款!$L:$L,0)),"")</f>
        <v/>
      </c>
      <c r="H667" s="23"/>
      <c r="I667" s="70"/>
      <c r="L667" s="71" t="n">
        <f aca="false">IF(助手回款!$R$46="",-1,助手回款!$R$46*100+(助手回款!$S$46-1)*6+2)</f>
        <v>4402</v>
      </c>
    </row>
    <row r="668" customFormat="false" ht="23.25" hidden="false" customHeight="true" outlineLevel="0" collapsed="false">
      <c r="B668" s="67" t="str">
        <f aca="false">""</f>
        <v/>
      </c>
      <c r="C668" s="67"/>
      <c r="D668" s="23" t="str">
        <f aca="false">IFERROR(INDEX(分录回款!$E:$E,MATCH($L668,分录回款!$L:$L,0)),"")</f>
        <v>应收账款</v>
      </c>
      <c r="E668" s="23" t="str">
        <f aca="false">IFERROR(INDEX(分录回款!$F:$F,MATCH($L668,分录回款!$L:$L,0)),"")</f>
        <v>聚合支付</v>
      </c>
      <c r="F668" s="68" t="str">
        <f aca="false">IFERROR(INDEX(分录回款!$H:$H,MATCH($L668,分录回款!$L:$L,0)),"")</f>
        <v/>
      </c>
      <c r="G668" s="69" t="n">
        <f aca="false">IFERROR(INDEX(分录回款!$I:$I,MATCH($L668,分录回款!$L:$L,0)),"")</f>
        <v>52992.17</v>
      </c>
      <c r="H668" s="23"/>
      <c r="I668" s="70"/>
      <c r="L668" s="71" t="n">
        <f aca="false">IF(助手回款!$R$46="",-1,助手回款!$R$46*100+(助手回款!$S$46-1)*6+3)</f>
        <v>4403</v>
      </c>
    </row>
    <row r="669" customFormat="false" ht="23.25" hidden="false" customHeight="true" outlineLevel="0" collapsed="false">
      <c r="B669" s="67" t="str">
        <f aca="false">""</f>
        <v/>
      </c>
      <c r="C669" s="67"/>
      <c r="D669" s="23" t="str">
        <f aca="false">IFERROR(INDEX(分录回款!$E:$E,MATCH($L669,分录回款!$L:$L,0)),"")</f>
        <v>应收账款</v>
      </c>
      <c r="E669" s="23" t="str">
        <f aca="false">IFERROR(INDEX(分录回款!$F:$F,MATCH($L669,分录回款!$L:$L,0)),"")</f>
        <v>医保</v>
      </c>
      <c r="F669" s="68" t="str">
        <f aca="false">IFERROR(INDEX(分录回款!$H:$H,MATCH($L669,分录回款!$L:$L,0)),"")</f>
        <v/>
      </c>
      <c r="G669" s="69" t="n">
        <f aca="false">IFERROR(INDEX(分录回款!$I:$I,MATCH($L669,分录回款!$L:$L,0)),"")</f>
        <v>12297.65</v>
      </c>
      <c r="H669" s="23"/>
      <c r="I669" s="70"/>
      <c r="L669" s="71" t="n">
        <f aca="false">IF(助手回款!$R$46="",-1,助手回款!$R$46*100+(助手回款!$S$46-1)*6+4)</f>
        <v>4404</v>
      </c>
    </row>
    <row r="670" customFormat="false" ht="23.25" hidden="false" customHeight="true" outlineLevel="0" collapsed="false">
      <c r="B670" s="67" t="str">
        <f aca="false">""</f>
        <v/>
      </c>
      <c r="C670" s="67"/>
      <c r="D670" s="23" t="str">
        <f aca="false">IFERROR(INDEX(分录回款!$E:$E,MATCH($L670,分录回款!$L:$L,0)),"")</f>
        <v>应收账款</v>
      </c>
      <c r="E670" s="23" t="str">
        <f aca="false">IFERROR(INDEX(分录回款!$F:$F,MATCH($L670,分录回款!$L:$L,0)),"")</f>
        <v>美团</v>
      </c>
      <c r="F670" s="68" t="str">
        <f aca="false">IFERROR(INDEX(分录回款!$H:$H,MATCH($L670,分录回款!$L:$L,0)),"")</f>
        <v/>
      </c>
      <c r="G670" s="69" t="n">
        <f aca="false">IFERROR(INDEX(分录回款!$I:$I,MATCH($L670,分录回款!$L:$L,0)),"")</f>
        <v>23.9</v>
      </c>
      <c r="H670" s="23"/>
      <c r="I670" s="70"/>
      <c r="L670" s="71" t="n">
        <f aca="false">IF(助手回款!$R$46="",-1,助手回款!$R$46*100+(助手回款!$S$46-1)*6+5)</f>
        <v>4405</v>
      </c>
    </row>
    <row r="671" customFormat="false" ht="23.25" hidden="false" customHeight="true" outlineLevel="0" collapsed="false">
      <c r="B671" s="67" t="str">
        <f aca="false">""</f>
        <v/>
      </c>
      <c r="C671" s="67"/>
      <c r="D671" s="23" t="str">
        <f aca="false">IFERROR(INDEX(分录回款!$E:$E,MATCH($L671,分录回款!$L:$L,0)),"")</f>
        <v/>
      </c>
      <c r="E671" s="23" t="str">
        <f aca="false">IFERROR(INDEX(分录回款!$F:$F,MATCH($L671,分录回款!$L:$L,0)),"")</f>
        <v/>
      </c>
      <c r="F671" s="68" t="str">
        <f aca="false">IFERROR(INDEX(分录回款!$H:$H,MATCH($L671,分录回款!$L:$L,0)),"")</f>
        <v/>
      </c>
      <c r="G671" s="69" t="str">
        <f aca="false">IFERROR(INDEX(分录回款!$I:$I,MATCH($L671,分录回款!$L:$L,0)),"")</f>
        <v/>
      </c>
      <c r="H671" s="23"/>
      <c r="I671" s="70"/>
      <c r="L671" s="71" t="n">
        <f aca="false">IF(助手回款!$R$46="",-1,助手回款!$R$46*100+(助手回款!$S$46-1)*6+6)</f>
        <v>4406</v>
      </c>
    </row>
    <row r="672" customFormat="false" ht="23.25" hidden="false" customHeight="true" outlineLevel="0" collapsed="false">
      <c r="B672" s="72" t="str">
        <f aca="false">IF(助手回款!$T$46=1,"合计：","")</f>
        <v>合计：</v>
      </c>
      <c r="C672" s="73" t="n">
        <f aca="false">IF(助手回款!$T$46=1,$F672,"")</f>
        <v>65313.72</v>
      </c>
      <c r="D672" s="74"/>
      <c r="E672" s="74"/>
      <c r="F672" s="75" t="n">
        <f aca="false">IF(助手回款!$T$46=1,INDEX(助手回款!$N$2:$N$66,助手回款!$R$46),"")</f>
        <v>65313.72</v>
      </c>
      <c r="G672" s="76" t="n">
        <f aca="false">IF(助手回款!$T$46=1,INDEX(助手回款!$O$2:$O$66,助手回款!$R$46),"")</f>
        <v>65313.72</v>
      </c>
      <c r="H672" s="74"/>
      <c r="I672" s="77"/>
    </row>
    <row r="673" customFormat="false" ht="6" hidden="false" customHeight="true" outlineLevel="0" collapsed="false"/>
    <row r="674" customFormat="false" ht="13.5" hidden="false" customHeight="false" outlineLevel="0" collapsed="false">
      <c r="B674" s="78" t="str">
        <f aca="false">IF(助手回款!$R$46&lt;&gt;"","会计主管：","")</f>
        <v>会计主管：</v>
      </c>
      <c r="D674" s="78" t="str">
        <f aca="false">IF(助手回款!$R$46&lt;&gt;"","会计：","")</f>
        <v>会计：</v>
      </c>
      <c r="E674" s="78" t="str">
        <f aca="false">IF(助手回款!$R$46&lt;&gt;"","出纳：","")</f>
        <v>出纳：</v>
      </c>
      <c r="F674" s="78" t="str">
        <f aca="false">IF(助手回款!$R$46&lt;&gt;"","复核：","")</f>
        <v>复核：</v>
      </c>
      <c r="G674" s="78" t="str">
        <f aca="false">IF(助手回款!$R$46&lt;&gt;"","制单：","")</f>
        <v>制单：</v>
      </c>
    </row>
    <row r="675" customFormat="false" ht="3" hidden="false" customHeight="true" outlineLevel="0" collapsed="false"/>
    <row r="676" customFormat="false" ht="19.5" hidden="false" customHeight="true" outlineLevel="0" collapsed="false">
      <c r="B676" s="53" t="str">
        <f aca="false">IF(助手回款!$R$47&lt;&gt;"","记  账  凭  证","")</f>
        <v>记  账  凭  证</v>
      </c>
      <c r="C676" s="53"/>
      <c r="D676" s="53"/>
      <c r="E676" s="53"/>
      <c r="F676" s="53"/>
      <c r="G676" s="53"/>
      <c r="H676" s="53"/>
      <c r="I676" s="53"/>
    </row>
    <row r="677" customFormat="false" ht="3" hidden="false" customHeight="true" outlineLevel="0" collapsed="false"/>
    <row r="678" customFormat="false" ht="15" hidden="false" customHeight="true" outlineLevel="0" collapsed="false">
      <c r="C678" s="56" t="n">
        <f aca="false">IF(助手回款!$R$47&lt;&gt;"",INDEX(助手回款!$B$2:$B$66,助手回款!$R$47),"")</f>
        <v>2069</v>
      </c>
      <c r="D678" s="57" t="n">
        <f aca="false">IF(助手回款!$R$47&lt;&gt;"",参数!$B$2,"")</f>
        <v>46234</v>
      </c>
      <c r="E678" s="57"/>
      <c r="F678" s="58" t="str">
        <f aca="false">IF(助手回款!$R$47&lt;&gt;"",INDEX(助手回款!$C$2:$C$66,助手回款!$R$47)&amp;"  字第 "&amp;IF(参数!$B$9="是",INDEX(助手回款!$P$2:$P$66,助手回款!$R$47),"　　　　")&amp;" 号"&amp;IF(INDEX(助手回款!$L$2:$L$66,助手回款!$R$47)&gt;1,"  (共"&amp;INDEX(助手回款!$L$2:$L$66,助手回款!$R$47)&amp;"页 第"&amp;助手回款!$S$47&amp;"页)",""),"")</f>
        <v>博东店  字第 　　　　 号</v>
      </c>
      <c r="G678" s="58"/>
      <c r="H678" s="58"/>
      <c r="I678" s="58"/>
      <c r="M678" s="59" t="n">
        <f aca="false">IF(助手回款!$R$47="","",助手回款!$Q$47)</f>
        <v>46</v>
      </c>
      <c r="N678" s="60" t="n">
        <f aca="false">IF(助手回款!$R$47="","",INDEX(助手回款!$P$2:$P$66,助手回款!$R$47))</f>
        <v>43</v>
      </c>
      <c r="O678" s="55" t="str">
        <f aca="false">IF(助手回款!$R$47="","",INDEX(助手回款!$C$2:$C$66,助手回款!$R$47)&amp;"  字第 "&amp;INDEX(助手回款!$P$2:$P$66,助手回款!$R$47)&amp;" 号"&amp;IF(INDEX(助手回款!$L$2:$L$66,助手回款!$R$47)&gt;1,"  (共"&amp;INDEX(助手回款!$L$2:$L$66,助手回款!$R$47)&amp;"页 第"&amp;助手回款!$S$47&amp;"页)",""))</f>
        <v>博东店  字第 43 号</v>
      </c>
    </row>
    <row r="679" customFormat="false" ht="12.75" hidden="false" customHeight="true" outlineLevel="0" collapsed="false">
      <c r="B679" s="61" t="str">
        <f aca="false">IF(助手回款!$R$47&lt;&gt;"","摘　　要","")</f>
        <v>摘　　要</v>
      </c>
      <c r="C679" s="61"/>
      <c r="D679" s="62" t="str">
        <f aca="false">IF(助手回款!$R$47&lt;&gt;"","科　　　　目","")</f>
        <v>科　　　　目</v>
      </c>
      <c r="E679" s="62"/>
      <c r="F679" s="61" t="str">
        <f aca="false">IF(助手回款!$R$47&lt;&gt;"","借 方 金 额","")</f>
        <v>借 方 金 额</v>
      </c>
      <c r="G679" s="62" t="str">
        <f aca="false">IF(助手回款!$R$47&lt;&gt;"","贷 方 金 额","")</f>
        <v>贷 方 金 额</v>
      </c>
      <c r="H679" s="63" t="str">
        <f aca="false">IF(助手回款!$R$47&lt;&gt;"","√","")</f>
        <v>√</v>
      </c>
      <c r="I679" s="64" t="str">
        <f aca="false">IF(助手回款!$R$47&lt;&gt;"","附单据  张","")</f>
        <v>附单据  张</v>
      </c>
    </row>
    <row r="680" customFormat="false" ht="12.75" hidden="false" customHeight="true" outlineLevel="0" collapsed="false">
      <c r="B680" s="61"/>
      <c r="C680" s="61"/>
      <c r="D680" s="23" t="str">
        <f aca="false">IF(助手回款!$R$47&lt;&gt;"","总 账 科 目","")</f>
        <v>总 账 科 目</v>
      </c>
      <c r="E680" s="23" t="str">
        <f aca="false">IF(助手回款!$R$47&lt;&gt;"","明 细 科 目","")</f>
        <v>明 细 科 目</v>
      </c>
      <c r="F680" s="65"/>
      <c r="G680" s="66"/>
      <c r="H680" s="63"/>
      <c r="I680" s="64"/>
    </row>
    <row r="681" customFormat="false" ht="23.25" hidden="false" customHeight="true" outlineLevel="0" collapsed="false">
      <c r="B681" s="67" t="str">
        <f aca="false">IFERROR(INDEX(分录回款!$M:$M,MATCH($L681,分录回款!$L:$L,0)),"")</f>
        <v>回款</v>
      </c>
      <c r="C681" s="67"/>
      <c r="D681" s="23" t="str">
        <f aca="false">IFERROR(INDEX(分录回款!$E:$E,MATCH($L681,分录回款!$L:$L,0)),"")</f>
        <v>库存现金</v>
      </c>
      <c r="E681" s="23" t="str">
        <f aca="false">IFERROR(INDEX(分录回款!$F:$F,MATCH($L681,分录回款!$L:$L,0)),"")</f>
        <v/>
      </c>
      <c r="F681" s="68" t="n">
        <f aca="false">IFERROR(INDEX(分录回款!$H:$H,MATCH($L681,分录回款!$L:$L,0)),"")</f>
        <v>14270.85</v>
      </c>
      <c r="G681" s="69" t="str">
        <f aca="false">IFERROR(INDEX(分录回款!$I:$I,MATCH($L681,分录回款!$L:$L,0)),"")</f>
        <v/>
      </c>
      <c r="H681" s="23"/>
      <c r="I681" s="70"/>
      <c r="L681" s="71" t="n">
        <f aca="false">IF(助手回款!$R$47="",-1,助手回款!$R$47*100+(助手回款!$S$47-1)*6+1)</f>
        <v>4501</v>
      </c>
    </row>
    <row r="682" customFormat="false" ht="23.25" hidden="false" customHeight="true" outlineLevel="0" collapsed="false">
      <c r="B682" s="67" t="str">
        <f aca="false">""</f>
        <v/>
      </c>
      <c r="C682" s="67"/>
      <c r="D682" s="23" t="str">
        <f aca="false">IFERROR(INDEX(分录回款!$E:$E,MATCH($L682,分录回款!$L:$L,0)),"")</f>
        <v>应收账款</v>
      </c>
      <c r="E682" s="23" t="str">
        <f aca="false">IFERROR(INDEX(分录回款!$F:$F,MATCH($L682,分录回款!$L:$L,0)),"")</f>
        <v>聚合支付</v>
      </c>
      <c r="F682" s="68" t="str">
        <f aca="false">IFERROR(INDEX(分录回款!$H:$H,MATCH($L682,分录回款!$L:$L,0)),"")</f>
        <v/>
      </c>
      <c r="G682" s="69" t="n">
        <f aca="false">IFERROR(INDEX(分录回款!$I:$I,MATCH($L682,分录回款!$L:$L,0)),"")</f>
        <v>14270.85</v>
      </c>
      <c r="H682" s="23"/>
      <c r="I682" s="70"/>
      <c r="L682" s="71" t="n">
        <f aca="false">IF(助手回款!$R$47="",-1,助手回款!$R$47*100+(助手回款!$S$47-1)*6+2)</f>
        <v>4502</v>
      </c>
    </row>
    <row r="683" customFormat="false" ht="23.25" hidden="false" customHeight="true" outlineLevel="0" collapsed="false">
      <c r="B683" s="67" t="str">
        <f aca="false">""</f>
        <v/>
      </c>
      <c r="C683" s="67"/>
      <c r="D683" s="23" t="str">
        <f aca="false">IFERROR(INDEX(分录回款!$E:$E,MATCH($L683,分录回款!$L:$L,0)),"")</f>
        <v/>
      </c>
      <c r="E683" s="23" t="str">
        <f aca="false">IFERROR(INDEX(分录回款!$F:$F,MATCH($L683,分录回款!$L:$L,0)),"")</f>
        <v/>
      </c>
      <c r="F683" s="68" t="str">
        <f aca="false">IFERROR(INDEX(分录回款!$H:$H,MATCH($L683,分录回款!$L:$L,0)),"")</f>
        <v/>
      </c>
      <c r="G683" s="69" t="str">
        <f aca="false">IFERROR(INDEX(分录回款!$I:$I,MATCH($L683,分录回款!$L:$L,0)),"")</f>
        <v/>
      </c>
      <c r="H683" s="23"/>
      <c r="I683" s="70"/>
      <c r="L683" s="71" t="n">
        <f aca="false">IF(助手回款!$R$47="",-1,助手回款!$R$47*100+(助手回款!$S$47-1)*6+3)</f>
        <v>4503</v>
      </c>
    </row>
    <row r="684" customFormat="false" ht="23.25" hidden="false" customHeight="true" outlineLevel="0" collapsed="false">
      <c r="B684" s="67" t="str">
        <f aca="false">""</f>
        <v/>
      </c>
      <c r="C684" s="67"/>
      <c r="D684" s="23" t="str">
        <f aca="false">IFERROR(INDEX(分录回款!$E:$E,MATCH($L684,分录回款!$L:$L,0)),"")</f>
        <v/>
      </c>
      <c r="E684" s="23" t="str">
        <f aca="false">IFERROR(INDEX(分录回款!$F:$F,MATCH($L684,分录回款!$L:$L,0)),"")</f>
        <v/>
      </c>
      <c r="F684" s="68" t="str">
        <f aca="false">IFERROR(INDEX(分录回款!$H:$H,MATCH($L684,分录回款!$L:$L,0)),"")</f>
        <v/>
      </c>
      <c r="G684" s="69" t="str">
        <f aca="false">IFERROR(INDEX(分录回款!$I:$I,MATCH($L684,分录回款!$L:$L,0)),"")</f>
        <v/>
      </c>
      <c r="H684" s="23"/>
      <c r="I684" s="70"/>
      <c r="L684" s="71" t="n">
        <f aca="false">IF(助手回款!$R$47="",-1,助手回款!$R$47*100+(助手回款!$S$47-1)*6+4)</f>
        <v>4504</v>
      </c>
    </row>
    <row r="685" customFormat="false" ht="23.25" hidden="false" customHeight="true" outlineLevel="0" collapsed="false">
      <c r="B685" s="67" t="str">
        <f aca="false">""</f>
        <v/>
      </c>
      <c r="C685" s="67"/>
      <c r="D685" s="23" t="str">
        <f aca="false">IFERROR(INDEX(分录回款!$E:$E,MATCH($L685,分录回款!$L:$L,0)),"")</f>
        <v/>
      </c>
      <c r="E685" s="23" t="str">
        <f aca="false">IFERROR(INDEX(分录回款!$F:$F,MATCH($L685,分录回款!$L:$L,0)),"")</f>
        <v/>
      </c>
      <c r="F685" s="68" t="str">
        <f aca="false">IFERROR(INDEX(分录回款!$H:$H,MATCH($L685,分录回款!$L:$L,0)),"")</f>
        <v/>
      </c>
      <c r="G685" s="69" t="str">
        <f aca="false">IFERROR(INDEX(分录回款!$I:$I,MATCH($L685,分录回款!$L:$L,0)),"")</f>
        <v/>
      </c>
      <c r="H685" s="23"/>
      <c r="I685" s="70"/>
      <c r="L685" s="71" t="n">
        <f aca="false">IF(助手回款!$R$47="",-1,助手回款!$R$47*100+(助手回款!$S$47-1)*6+5)</f>
        <v>4505</v>
      </c>
    </row>
    <row r="686" customFormat="false" ht="23.25" hidden="false" customHeight="true" outlineLevel="0" collapsed="false">
      <c r="B686" s="67" t="str">
        <f aca="false">""</f>
        <v/>
      </c>
      <c r="C686" s="67"/>
      <c r="D686" s="23" t="str">
        <f aca="false">IFERROR(INDEX(分录回款!$E:$E,MATCH($L686,分录回款!$L:$L,0)),"")</f>
        <v/>
      </c>
      <c r="E686" s="23" t="str">
        <f aca="false">IFERROR(INDEX(分录回款!$F:$F,MATCH($L686,分录回款!$L:$L,0)),"")</f>
        <v/>
      </c>
      <c r="F686" s="68" t="str">
        <f aca="false">IFERROR(INDEX(分录回款!$H:$H,MATCH($L686,分录回款!$L:$L,0)),"")</f>
        <v/>
      </c>
      <c r="G686" s="69" t="str">
        <f aca="false">IFERROR(INDEX(分录回款!$I:$I,MATCH($L686,分录回款!$L:$L,0)),"")</f>
        <v/>
      </c>
      <c r="H686" s="23"/>
      <c r="I686" s="70"/>
      <c r="L686" s="71" t="n">
        <f aca="false">IF(助手回款!$R$47="",-1,助手回款!$R$47*100+(助手回款!$S$47-1)*6+6)</f>
        <v>4506</v>
      </c>
    </row>
    <row r="687" customFormat="false" ht="23.25" hidden="false" customHeight="true" outlineLevel="0" collapsed="false">
      <c r="B687" s="72" t="str">
        <f aca="false">IF(助手回款!$T$47=1,"合计：","")</f>
        <v>合计：</v>
      </c>
      <c r="C687" s="73" t="n">
        <f aca="false">IF(助手回款!$T$47=1,$F687,"")</f>
        <v>14270.85</v>
      </c>
      <c r="D687" s="74"/>
      <c r="E687" s="74"/>
      <c r="F687" s="75" t="n">
        <f aca="false">IF(助手回款!$T$47=1,INDEX(助手回款!$N$2:$N$66,助手回款!$R$47),"")</f>
        <v>14270.85</v>
      </c>
      <c r="G687" s="76" t="n">
        <f aca="false">IF(助手回款!$T$47=1,INDEX(助手回款!$O$2:$O$66,助手回款!$R$47),"")</f>
        <v>14270.85</v>
      </c>
      <c r="H687" s="74"/>
      <c r="I687" s="77"/>
    </row>
    <row r="688" customFormat="false" ht="6" hidden="false" customHeight="true" outlineLevel="0" collapsed="false"/>
    <row r="689" customFormat="false" ht="13.5" hidden="false" customHeight="false" outlineLevel="0" collapsed="false">
      <c r="B689" s="78" t="str">
        <f aca="false">IF(助手回款!$R$47&lt;&gt;"","会计主管：","")</f>
        <v>会计主管：</v>
      </c>
      <c r="D689" s="78" t="str">
        <f aca="false">IF(助手回款!$R$47&lt;&gt;"","会计：","")</f>
        <v>会计：</v>
      </c>
      <c r="E689" s="78" t="str">
        <f aca="false">IF(助手回款!$R$47&lt;&gt;"","出纳：","")</f>
        <v>出纳：</v>
      </c>
      <c r="F689" s="78" t="str">
        <f aca="false">IF(助手回款!$R$47&lt;&gt;"","复核：","")</f>
        <v>复核：</v>
      </c>
      <c r="G689" s="78" t="str">
        <f aca="false">IF(助手回款!$R$47&lt;&gt;"","制单：","")</f>
        <v>制单：</v>
      </c>
    </row>
    <row r="690" customFormat="false" ht="3" hidden="false" customHeight="true" outlineLevel="0" collapsed="false"/>
    <row r="691" customFormat="false" ht="19.5" hidden="false" customHeight="true" outlineLevel="0" collapsed="false">
      <c r="B691" s="53" t="str">
        <f aca="false">IF(助手回款!$R$48&lt;&gt;"","记  账  凭  证","")</f>
        <v/>
      </c>
      <c r="C691" s="53"/>
      <c r="D691" s="53"/>
      <c r="E691" s="53"/>
      <c r="F691" s="53"/>
      <c r="G691" s="53"/>
      <c r="H691" s="53"/>
      <c r="I691" s="53"/>
    </row>
    <row r="692" customFormat="false" ht="3" hidden="false" customHeight="true" outlineLevel="0" collapsed="false"/>
    <row r="693" customFormat="false" ht="15" hidden="false" customHeight="true" outlineLevel="0" collapsed="false">
      <c r="C693" s="56" t="str">
        <f aca="false">IF(助手回款!$R$48&lt;&gt;"",INDEX(助手回款!$B$2:$B$66,助手回款!$R$48),"")</f>
        <v/>
      </c>
      <c r="D693" s="57" t="str">
        <f aca="false">IF(助手回款!$R$48&lt;&gt;"",参数!$B$2,"")</f>
        <v/>
      </c>
      <c r="E693" s="57"/>
      <c r="F693" s="58" t="str">
        <f aca="false">IF(助手回款!$R$48&lt;&gt;"",INDEX(助手回款!$C$2:$C$66,助手回款!$R$48)&amp;"  字第 "&amp;IF(参数!$B$9="是",INDEX(助手回款!$P$2:$P$66,助手回款!$R$48),"　　　　")&amp;" 号"&amp;IF(INDEX(助手回款!$L$2:$L$66,助手回款!$R$48)&gt;1,"  (共"&amp;INDEX(助手回款!$L$2:$L$66,助手回款!$R$48)&amp;"页 第"&amp;助手回款!$S$48&amp;"页)",""),"")</f>
        <v/>
      </c>
      <c r="G693" s="58"/>
      <c r="H693" s="58"/>
      <c r="I693" s="58"/>
      <c r="M693" s="79" t="str">
        <f aca="false">IF(助手回款!$R$48="","",助手回款!$Q$48)</f>
        <v/>
      </c>
      <c r="N693" s="80" t="str">
        <f aca="false">IF(助手回款!$R$48="","",INDEX(助手回款!$P$2:$P$66,助手回款!$R$48))</f>
        <v/>
      </c>
      <c r="O693" s="55" t="str">
        <f aca="false">IF(助手回款!$R$48="","",INDEX(助手回款!$C$2:$C$66,助手回款!$R$48)&amp;"  字第 "&amp;INDEX(助手回款!$P$2:$P$66,助手回款!$R$48)&amp;" 号"&amp;IF(INDEX(助手回款!$L$2:$L$66,助手回款!$R$48)&gt;1,"  (共"&amp;INDEX(助手回款!$L$2:$L$66,助手回款!$R$48)&amp;"页 第"&amp;助手回款!$S$48&amp;"页)",""))</f>
        <v/>
      </c>
    </row>
    <row r="694" customFormat="false" ht="12.75" hidden="false" customHeight="true" outlineLevel="0" collapsed="false">
      <c r="B694" s="61" t="str">
        <f aca="false">IF(助手回款!$R$48&lt;&gt;"","摘　　要","")</f>
        <v/>
      </c>
      <c r="C694" s="61"/>
      <c r="D694" s="62" t="str">
        <f aca="false">IF(助手回款!$R$48&lt;&gt;"","科　　　　目","")</f>
        <v/>
      </c>
      <c r="E694" s="62"/>
      <c r="F694" s="61" t="str">
        <f aca="false">IF(助手回款!$R$48&lt;&gt;"","借 方 金 额","")</f>
        <v/>
      </c>
      <c r="G694" s="62" t="str">
        <f aca="false">IF(助手回款!$R$48&lt;&gt;"","贷 方 金 额","")</f>
        <v/>
      </c>
      <c r="H694" s="63" t="str">
        <f aca="false">IF(助手回款!$R$48&lt;&gt;"","√","")</f>
        <v/>
      </c>
      <c r="I694" s="64" t="str">
        <f aca="false">IF(助手回款!$R$48&lt;&gt;"","附单据  张","")</f>
        <v/>
      </c>
    </row>
    <row r="695" customFormat="false" ht="12.75" hidden="false" customHeight="true" outlineLevel="0" collapsed="false">
      <c r="B695" s="61"/>
      <c r="C695" s="61"/>
      <c r="D695" s="23" t="str">
        <f aca="false">IF(助手回款!$R$48&lt;&gt;"","总 账 科 目","")</f>
        <v/>
      </c>
      <c r="E695" s="23" t="str">
        <f aca="false">IF(助手回款!$R$48&lt;&gt;"","明 细 科 目","")</f>
        <v/>
      </c>
      <c r="F695" s="65"/>
      <c r="G695" s="66"/>
      <c r="H695" s="63"/>
      <c r="I695" s="64"/>
    </row>
    <row r="696" customFormat="false" ht="23.25" hidden="false" customHeight="true" outlineLevel="0" collapsed="false">
      <c r="B696" s="67" t="str">
        <f aca="false">IFERROR(INDEX(分录回款!$M:$M,MATCH($L696,分录回款!$L:$L,0)),"")</f>
        <v/>
      </c>
      <c r="C696" s="67"/>
      <c r="D696" s="23" t="str">
        <f aca="false">IFERROR(INDEX(分录回款!$E:$E,MATCH($L696,分录回款!$L:$L,0)),"")</f>
        <v/>
      </c>
      <c r="E696" s="23" t="str">
        <f aca="false">IFERROR(INDEX(分录回款!$F:$F,MATCH($L696,分录回款!$L:$L,0)),"")</f>
        <v/>
      </c>
      <c r="F696" s="68" t="str">
        <f aca="false">IFERROR(INDEX(分录回款!$H:$H,MATCH($L696,分录回款!$L:$L,0)),"")</f>
        <v/>
      </c>
      <c r="G696" s="69" t="str">
        <f aca="false">IFERROR(INDEX(分录回款!$I:$I,MATCH($L696,分录回款!$L:$L,0)),"")</f>
        <v/>
      </c>
      <c r="H696" s="23"/>
      <c r="I696" s="70"/>
      <c r="L696" s="71" t="n">
        <f aca="false">IF(助手回款!$R$48="",-1,助手回款!$R$48*100+(助手回款!$S$48-1)*6+1)</f>
        <v>-1</v>
      </c>
    </row>
    <row r="697" customFormat="false" ht="23.25" hidden="false" customHeight="true" outlineLevel="0" collapsed="false">
      <c r="B697" s="67" t="str">
        <f aca="false">""</f>
        <v/>
      </c>
      <c r="C697" s="67"/>
      <c r="D697" s="23" t="str">
        <f aca="false">IFERROR(INDEX(分录回款!$E:$E,MATCH($L697,分录回款!$L:$L,0)),"")</f>
        <v/>
      </c>
      <c r="E697" s="23" t="str">
        <f aca="false">IFERROR(INDEX(分录回款!$F:$F,MATCH($L697,分录回款!$L:$L,0)),"")</f>
        <v/>
      </c>
      <c r="F697" s="68" t="str">
        <f aca="false">IFERROR(INDEX(分录回款!$H:$H,MATCH($L697,分录回款!$L:$L,0)),"")</f>
        <v/>
      </c>
      <c r="G697" s="69" t="str">
        <f aca="false">IFERROR(INDEX(分录回款!$I:$I,MATCH($L697,分录回款!$L:$L,0)),"")</f>
        <v/>
      </c>
      <c r="H697" s="23"/>
      <c r="I697" s="70"/>
      <c r="L697" s="71" t="n">
        <f aca="false">IF(助手回款!$R$48="",-1,助手回款!$R$48*100+(助手回款!$S$48-1)*6+2)</f>
        <v>-1</v>
      </c>
    </row>
    <row r="698" customFormat="false" ht="23.25" hidden="false" customHeight="true" outlineLevel="0" collapsed="false">
      <c r="B698" s="67" t="str">
        <f aca="false">""</f>
        <v/>
      </c>
      <c r="C698" s="67"/>
      <c r="D698" s="23" t="str">
        <f aca="false">IFERROR(INDEX(分录回款!$E:$E,MATCH($L698,分录回款!$L:$L,0)),"")</f>
        <v/>
      </c>
      <c r="E698" s="23" t="str">
        <f aca="false">IFERROR(INDEX(分录回款!$F:$F,MATCH($L698,分录回款!$L:$L,0)),"")</f>
        <v/>
      </c>
      <c r="F698" s="68" t="str">
        <f aca="false">IFERROR(INDEX(分录回款!$H:$H,MATCH($L698,分录回款!$L:$L,0)),"")</f>
        <v/>
      </c>
      <c r="G698" s="69" t="str">
        <f aca="false">IFERROR(INDEX(分录回款!$I:$I,MATCH($L698,分录回款!$L:$L,0)),"")</f>
        <v/>
      </c>
      <c r="H698" s="23"/>
      <c r="I698" s="70"/>
      <c r="L698" s="71" t="n">
        <f aca="false">IF(助手回款!$R$48="",-1,助手回款!$R$48*100+(助手回款!$S$48-1)*6+3)</f>
        <v>-1</v>
      </c>
    </row>
    <row r="699" customFormat="false" ht="23.25" hidden="false" customHeight="true" outlineLevel="0" collapsed="false">
      <c r="B699" s="67" t="str">
        <f aca="false">""</f>
        <v/>
      </c>
      <c r="C699" s="67"/>
      <c r="D699" s="23" t="str">
        <f aca="false">IFERROR(INDEX(分录回款!$E:$E,MATCH($L699,分录回款!$L:$L,0)),"")</f>
        <v/>
      </c>
      <c r="E699" s="23" t="str">
        <f aca="false">IFERROR(INDEX(分录回款!$F:$F,MATCH($L699,分录回款!$L:$L,0)),"")</f>
        <v/>
      </c>
      <c r="F699" s="68" t="str">
        <f aca="false">IFERROR(INDEX(分录回款!$H:$H,MATCH($L699,分录回款!$L:$L,0)),"")</f>
        <v/>
      </c>
      <c r="G699" s="69" t="str">
        <f aca="false">IFERROR(INDEX(分录回款!$I:$I,MATCH($L699,分录回款!$L:$L,0)),"")</f>
        <v/>
      </c>
      <c r="H699" s="23"/>
      <c r="I699" s="70"/>
      <c r="L699" s="71" t="n">
        <f aca="false">IF(助手回款!$R$48="",-1,助手回款!$R$48*100+(助手回款!$S$48-1)*6+4)</f>
        <v>-1</v>
      </c>
    </row>
    <row r="700" customFormat="false" ht="23.25" hidden="false" customHeight="true" outlineLevel="0" collapsed="false">
      <c r="B700" s="67" t="str">
        <f aca="false">""</f>
        <v/>
      </c>
      <c r="C700" s="67"/>
      <c r="D700" s="23" t="str">
        <f aca="false">IFERROR(INDEX(分录回款!$E:$E,MATCH($L700,分录回款!$L:$L,0)),"")</f>
        <v/>
      </c>
      <c r="E700" s="23" t="str">
        <f aca="false">IFERROR(INDEX(分录回款!$F:$F,MATCH($L700,分录回款!$L:$L,0)),"")</f>
        <v/>
      </c>
      <c r="F700" s="68" t="str">
        <f aca="false">IFERROR(INDEX(分录回款!$H:$H,MATCH($L700,分录回款!$L:$L,0)),"")</f>
        <v/>
      </c>
      <c r="G700" s="69" t="str">
        <f aca="false">IFERROR(INDEX(分录回款!$I:$I,MATCH($L700,分录回款!$L:$L,0)),"")</f>
        <v/>
      </c>
      <c r="H700" s="23"/>
      <c r="I700" s="70"/>
      <c r="L700" s="71" t="n">
        <f aca="false">IF(助手回款!$R$48="",-1,助手回款!$R$48*100+(助手回款!$S$48-1)*6+5)</f>
        <v>-1</v>
      </c>
    </row>
    <row r="701" customFormat="false" ht="23.25" hidden="false" customHeight="true" outlineLevel="0" collapsed="false">
      <c r="B701" s="67" t="str">
        <f aca="false">""</f>
        <v/>
      </c>
      <c r="C701" s="67"/>
      <c r="D701" s="23" t="str">
        <f aca="false">IFERROR(INDEX(分录回款!$E:$E,MATCH($L701,分录回款!$L:$L,0)),"")</f>
        <v/>
      </c>
      <c r="E701" s="23" t="str">
        <f aca="false">IFERROR(INDEX(分录回款!$F:$F,MATCH($L701,分录回款!$L:$L,0)),"")</f>
        <v/>
      </c>
      <c r="F701" s="68" t="str">
        <f aca="false">IFERROR(INDEX(分录回款!$H:$H,MATCH($L701,分录回款!$L:$L,0)),"")</f>
        <v/>
      </c>
      <c r="G701" s="69" t="str">
        <f aca="false">IFERROR(INDEX(分录回款!$I:$I,MATCH($L701,分录回款!$L:$L,0)),"")</f>
        <v/>
      </c>
      <c r="H701" s="23"/>
      <c r="I701" s="70"/>
      <c r="L701" s="71" t="n">
        <f aca="false">IF(助手回款!$R$48="",-1,助手回款!$R$48*100+(助手回款!$S$48-1)*6+6)</f>
        <v>-1</v>
      </c>
    </row>
    <row r="702" customFormat="false" ht="23.25" hidden="false" customHeight="true" outlineLevel="0" collapsed="false">
      <c r="B702" s="72" t="str">
        <f aca="false">IF(助手回款!$T$48=1,"合计：","")</f>
        <v/>
      </c>
      <c r="C702" s="73" t="str">
        <f aca="false">IF(助手回款!$T$48=1,$F702,"")</f>
        <v/>
      </c>
      <c r="D702" s="74"/>
      <c r="E702" s="74"/>
      <c r="F702" s="75" t="str">
        <f aca="false">IF(助手回款!$T$48=1,INDEX(助手回款!$N$2:$N$66,助手回款!$R$48),"")</f>
        <v/>
      </c>
      <c r="G702" s="76" t="str">
        <f aca="false">IF(助手回款!$T$48=1,INDEX(助手回款!$O$2:$O$66,助手回款!$R$48),"")</f>
        <v/>
      </c>
      <c r="H702" s="74"/>
      <c r="I702" s="77"/>
    </row>
    <row r="703" customFormat="false" ht="6" hidden="false" customHeight="true" outlineLevel="0" collapsed="false"/>
    <row r="704" customFormat="false" ht="13.5" hidden="false" customHeight="false" outlineLevel="0" collapsed="false">
      <c r="B704" s="78" t="str">
        <f aca="false">IF(助手回款!$R$48&lt;&gt;"","会计主管：","")</f>
        <v/>
      </c>
      <c r="D704" s="78" t="str">
        <f aca="false">IF(助手回款!$R$48&lt;&gt;"","会计：","")</f>
        <v/>
      </c>
      <c r="E704" s="78" t="str">
        <f aca="false">IF(助手回款!$R$48&lt;&gt;"","出纳：","")</f>
        <v/>
      </c>
      <c r="F704" s="78" t="str">
        <f aca="false">IF(助手回款!$R$48&lt;&gt;"","复核：","")</f>
        <v/>
      </c>
      <c r="G704" s="78" t="str">
        <f aca="false">IF(助手回款!$R$48&lt;&gt;"","制单：","")</f>
        <v/>
      </c>
    </row>
    <row r="705" customFormat="false" ht="3" hidden="false" customHeight="true" outlineLevel="0" collapsed="false"/>
    <row r="706" customFormat="false" ht="19.5" hidden="false" customHeight="true" outlineLevel="0" collapsed="false">
      <c r="B706" s="53" t="str">
        <f aca="false">IF(助手回款!$R$49&lt;&gt;"","记  账  凭  证","")</f>
        <v/>
      </c>
      <c r="C706" s="53"/>
      <c r="D706" s="53"/>
      <c r="E706" s="53"/>
      <c r="F706" s="53"/>
      <c r="G706" s="53"/>
      <c r="H706" s="53"/>
      <c r="I706" s="53"/>
    </row>
    <row r="707" customFormat="false" ht="3" hidden="false" customHeight="true" outlineLevel="0" collapsed="false"/>
    <row r="708" customFormat="false" ht="15" hidden="false" customHeight="true" outlineLevel="0" collapsed="false">
      <c r="C708" s="56" t="str">
        <f aca="false">IF(助手回款!$R$49&lt;&gt;"",INDEX(助手回款!$B$2:$B$66,助手回款!$R$49),"")</f>
        <v/>
      </c>
      <c r="D708" s="57" t="str">
        <f aca="false">IF(助手回款!$R$49&lt;&gt;"",参数!$B$2,"")</f>
        <v/>
      </c>
      <c r="E708" s="57"/>
      <c r="F708" s="58" t="str">
        <f aca="false">IF(助手回款!$R$49&lt;&gt;"",INDEX(助手回款!$C$2:$C$66,助手回款!$R$49)&amp;"  字第 "&amp;IF(参数!$B$9="是",INDEX(助手回款!$P$2:$P$66,助手回款!$R$49),"　　　　")&amp;" 号"&amp;IF(INDEX(助手回款!$L$2:$L$66,助手回款!$R$49)&gt;1,"  (共"&amp;INDEX(助手回款!$L$2:$L$66,助手回款!$R$49)&amp;"页 第"&amp;助手回款!$S$49&amp;"页)",""),"")</f>
        <v/>
      </c>
      <c r="G708" s="58"/>
      <c r="H708" s="58"/>
      <c r="I708" s="58"/>
      <c r="M708" s="79" t="str">
        <f aca="false">IF(助手回款!$R$49="","",助手回款!$Q$49)</f>
        <v/>
      </c>
      <c r="N708" s="80" t="str">
        <f aca="false">IF(助手回款!$R$49="","",INDEX(助手回款!$P$2:$P$66,助手回款!$R$49))</f>
        <v/>
      </c>
      <c r="O708" s="55" t="str">
        <f aca="false">IF(助手回款!$R$49="","",INDEX(助手回款!$C$2:$C$66,助手回款!$R$49)&amp;"  字第 "&amp;INDEX(助手回款!$P$2:$P$66,助手回款!$R$49)&amp;" 号"&amp;IF(INDEX(助手回款!$L$2:$L$66,助手回款!$R$49)&gt;1,"  (共"&amp;INDEX(助手回款!$L$2:$L$66,助手回款!$R$49)&amp;"页 第"&amp;助手回款!$S$49&amp;"页)",""))</f>
        <v/>
      </c>
    </row>
    <row r="709" customFormat="false" ht="12.75" hidden="false" customHeight="true" outlineLevel="0" collapsed="false">
      <c r="B709" s="61" t="str">
        <f aca="false">IF(助手回款!$R$49&lt;&gt;"","摘　　要","")</f>
        <v/>
      </c>
      <c r="C709" s="61"/>
      <c r="D709" s="62" t="str">
        <f aca="false">IF(助手回款!$R$49&lt;&gt;"","科　　　　目","")</f>
        <v/>
      </c>
      <c r="E709" s="62"/>
      <c r="F709" s="61" t="str">
        <f aca="false">IF(助手回款!$R$49&lt;&gt;"","借 方 金 额","")</f>
        <v/>
      </c>
      <c r="G709" s="62" t="str">
        <f aca="false">IF(助手回款!$R$49&lt;&gt;"","贷 方 金 额","")</f>
        <v/>
      </c>
      <c r="H709" s="63" t="str">
        <f aca="false">IF(助手回款!$R$49&lt;&gt;"","√","")</f>
        <v/>
      </c>
      <c r="I709" s="64" t="str">
        <f aca="false">IF(助手回款!$R$49&lt;&gt;"","附单据  张","")</f>
        <v/>
      </c>
    </row>
    <row r="710" customFormat="false" ht="12.75" hidden="false" customHeight="true" outlineLevel="0" collapsed="false">
      <c r="B710" s="61"/>
      <c r="C710" s="61"/>
      <c r="D710" s="23" t="str">
        <f aca="false">IF(助手回款!$R$49&lt;&gt;"","总 账 科 目","")</f>
        <v/>
      </c>
      <c r="E710" s="23" t="str">
        <f aca="false">IF(助手回款!$R$49&lt;&gt;"","明 细 科 目","")</f>
        <v/>
      </c>
      <c r="F710" s="65"/>
      <c r="G710" s="66"/>
      <c r="H710" s="63"/>
      <c r="I710" s="64"/>
    </row>
    <row r="711" customFormat="false" ht="23.25" hidden="false" customHeight="true" outlineLevel="0" collapsed="false">
      <c r="B711" s="67" t="str">
        <f aca="false">IFERROR(INDEX(分录回款!$M:$M,MATCH($L711,分录回款!$L:$L,0)),"")</f>
        <v/>
      </c>
      <c r="C711" s="67"/>
      <c r="D711" s="23" t="str">
        <f aca="false">IFERROR(INDEX(分录回款!$E:$E,MATCH($L711,分录回款!$L:$L,0)),"")</f>
        <v/>
      </c>
      <c r="E711" s="23" t="str">
        <f aca="false">IFERROR(INDEX(分录回款!$F:$F,MATCH($L711,分录回款!$L:$L,0)),"")</f>
        <v/>
      </c>
      <c r="F711" s="68" t="str">
        <f aca="false">IFERROR(INDEX(分录回款!$H:$H,MATCH($L711,分录回款!$L:$L,0)),"")</f>
        <v/>
      </c>
      <c r="G711" s="69" t="str">
        <f aca="false">IFERROR(INDEX(分录回款!$I:$I,MATCH($L711,分录回款!$L:$L,0)),"")</f>
        <v/>
      </c>
      <c r="H711" s="23"/>
      <c r="I711" s="70"/>
      <c r="L711" s="71" t="n">
        <f aca="false">IF(助手回款!$R$49="",-1,助手回款!$R$49*100+(助手回款!$S$49-1)*6+1)</f>
        <v>-1</v>
      </c>
    </row>
    <row r="712" customFormat="false" ht="23.25" hidden="false" customHeight="true" outlineLevel="0" collapsed="false">
      <c r="B712" s="67" t="str">
        <f aca="false">""</f>
        <v/>
      </c>
      <c r="C712" s="67"/>
      <c r="D712" s="23" t="str">
        <f aca="false">IFERROR(INDEX(分录回款!$E:$E,MATCH($L712,分录回款!$L:$L,0)),"")</f>
        <v/>
      </c>
      <c r="E712" s="23" t="str">
        <f aca="false">IFERROR(INDEX(分录回款!$F:$F,MATCH($L712,分录回款!$L:$L,0)),"")</f>
        <v/>
      </c>
      <c r="F712" s="68" t="str">
        <f aca="false">IFERROR(INDEX(分录回款!$H:$H,MATCH($L712,分录回款!$L:$L,0)),"")</f>
        <v/>
      </c>
      <c r="G712" s="69" t="str">
        <f aca="false">IFERROR(INDEX(分录回款!$I:$I,MATCH($L712,分录回款!$L:$L,0)),"")</f>
        <v/>
      </c>
      <c r="H712" s="23"/>
      <c r="I712" s="70"/>
      <c r="L712" s="71" t="n">
        <f aca="false">IF(助手回款!$R$49="",-1,助手回款!$R$49*100+(助手回款!$S$49-1)*6+2)</f>
        <v>-1</v>
      </c>
    </row>
    <row r="713" customFormat="false" ht="23.25" hidden="false" customHeight="true" outlineLevel="0" collapsed="false">
      <c r="B713" s="67" t="str">
        <f aca="false">""</f>
        <v/>
      </c>
      <c r="C713" s="67"/>
      <c r="D713" s="23" t="str">
        <f aca="false">IFERROR(INDEX(分录回款!$E:$E,MATCH($L713,分录回款!$L:$L,0)),"")</f>
        <v/>
      </c>
      <c r="E713" s="23" t="str">
        <f aca="false">IFERROR(INDEX(分录回款!$F:$F,MATCH($L713,分录回款!$L:$L,0)),"")</f>
        <v/>
      </c>
      <c r="F713" s="68" t="str">
        <f aca="false">IFERROR(INDEX(分录回款!$H:$H,MATCH($L713,分录回款!$L:$L,0)),"")</f>
        <v/>
      </c>
      <c r="G713" s="69" t="str">
        <f aca="false">IFERROR(INDEX(分录回款!$I:$I,MATCH($L713,分录回款!$L:$L,0)),"")</f>
        <v/>
      </c>
      <c r="H713" s="23"/>
      <c r="I713" s="70"/>
      <c r="L713" s="71" t="n">
        <f aca="false">IF(助手回款!$R$49="",-1,助手回款!$R$49*100+(助手回款!$S$49-1)*6+3)</f>
        <v>-1</v>
      </c>
    </row>
    <row r="714" customFormat="false" ht="23.25" hidden="false" customHeight="true" outlineLevel="0" collapsed="false">
      <c r="B714" s="67" t="str">
        <f aca="false">""</f>
        <v/>
      </c>
      <c r="C714" s="67"/>
      <c r="D714" s="23" t="str">
        <f aca="false">IFERROR(INDEX(分录回款!$E:$E,MATCH($L714,分录回款!$L:$L,0)),"")</f>
        <v/>
      </c>
      <c r="E714" s="23" t="str">
        <f aca="false">IFERROR(INDEX(分录回款!$F:$F,MATCH($L714,分录回款!$L:$L,0)),"")</f>
        <v/>
      </c>
      <c r="F714" s="68" t="str">
        <f aca="false">IFERROR(INDEX(分录回款!$H:$H,MATCH($L714,分录回款!$L:$L,0)),"")</f>
        <v/>
      </c>
      <c r="G714" s="69" t="str">
        <f aca="false">IFERROR(INDEX(分录回款!$I:$I,MATCH($L714,分录回款!$L:$L,0)),"")</f>
        <v/>
      </c>
      <c r="H714" s="23"/>
      <c r="I714" s="70"/>
      <c r="L714" s="71" t="n">
        <f aca="false">IF(助手回款!$R$49="",-1,助手回款!$R$49*100+(助手回款!$S$49-1)*6+4)</f>
        <v>-1</v>
      </c>
    </row>
    <row r="715" customFormat="false" ht="23.25" hidden="false" customHeight="true" outlineLevel="0" collapsed="false">
      <c r="B715" s="67" t="str">
        <f aca="false">""</f>
        <v/>
      </c>
      <c r="C715" s="67"/>
      <c r="D715" s="23" t="str">
        <f aca="false">IFERROR(INDEX(分录回款!$E:$E,MATCH($L715,分录回款!$L:$L,0)),"")</f>
        <v/>
      </c>
      <c r="E715" s="23" t="str">
        <f aca="false">IFERROR(INDEX(分录回款!$F:$F,MATCH($L715,分录回款!$L:$L,0)),"")</f>
        <v/>
      </c>
      <c r="F715" s="68" t="str">
        <f aca="false">IFERROR(INDEX(分录回款!$H:$H,MATCH($L715,分录回款!$L:$L,0)),"")</f>
        <v/>
      </c>
      <c r="G715" s="69" t="str">
        <f aca="false">IFERROR(INDEX(分录回款!$I:$I,MATCH($L715,分录回款!$L:$L,0)),"")</f>
        <v/>
      </c>
      <c r="H715" s="23"/>
      <c r="I715" s="70"/>
      <c r="L715" s="71" t="n">
        <f aca="false">IF(助手回款!$R$49="",-1,助手回款!$R$49*100+(助手回款!$S$49-1)*6+5)</f>
        <v>-1</v>
      </c>
    </row>
    <row r="716" customFormat="false" ht="23.25" hidden="false" customHeight="true" outlineLevel="0" collapsed="false">
      <c r="B716" s="67" t="str">
        <f aca="false">""</f>
        <v/>
      </c>
      <c r="C716" s="67"/>
      <c r="D716" s="23" t="str">
        <f aca="false">IFERROR(INDEX(分录回款!$E:$E,MATCH($L716,分录回款!$L:$L,0)),"")</f>
        <v/>
      </c>
      <c r="E716" s="23" t="str">
        <f aca="false">IFERROR(INDEX(分录回款!$F:$F,MATCH($L716,分录回款!$L:$L,0)),"")</f>
        <v/>
      </c>
      <c r="F716" s="68" t="str">
        <f aca="false">IFERROR(INDEX(分录回款!$H:$H,MATCH($L716,分录回款!$L:$L,0)),"")</f>
        <v/>
      </c>
      <c r="G716" s="69" t="str">
        <f aca="false">IFERROR(INDEX(分录回款!$I:$I,MATCH($L716,分录回款!$L:$L,0)),"")</f>
        <v/>
      </c>
      <c r="H716" s="23"/>
      <c r="I716" s="70"/>
      <c r="L716" s="71" t="n">
        <f aca="false">IF(助手回款!$R$49="",-1,助手回款!$R$49*100+(助手回款!$S$49-1)*6+6)</f>
        <v>-1</v>
      </c>
    </row>
    <row r="717" customFormat="false" ht="23.25" hidden="false" customHeight="true" outlineLevel="0" collapsed="false">
      <c r="B717" s="72" t="str">
        <f aca="false">IF(助手回款!$T$49=1,"合计：","")</f>
        <v/>
      </c>
      <c r="C717" s="73" t="str">
        <f aca="false">IF(助手回款!$T$49=1,$F717,"")</f>
        <v/>
      </c>
      <c r="D717" s="74"/>
      <c r="E717" s="74"/>
      <c r="F717" s="75" t="str">
        <f aca="false">IF(助手回款!$T$49=1,INDEX(助手回款!$N$2:$N$66,助手回款!$R$49),"")</f>
        <v/>
      </c>
      <c r="G717" s="76" t="str">
        <f aca="false">IF(助手回款!$T$49=1,INDEX(助手回款!$O$2:$O$66,助手回款!$R$49),"")</f>
        <v/>
      </c>
      <c r="H717" s="74"/>
      <c r="I717" s="77"/>
    </row>
    <row r="718" customFormat="false" ht="6" hidden="false" customHeight="true" outlineLevel="0" collapsed="false"/>
    <row r="719" customFormat="false" ht="13.5" hidden="false" customHeight="false" outlineLevel="0" collapsed="false">
      <c r="B719" s="78" t="str">
        <f aca="false">IF(助手回款!$R$49&lt;&gt;"","会计主管：","")</f>
        <v/>
      </c>
      <c r="D719" s="78" t="str">
        <f aca="false">IF(助手回款!$R$49&lt;&gt;"","会计：","")</f>
        <v/>
      </c>
      <c r="E719" s="78" t="str">
        <f aca="false">IF(助手回款!$R$49&lt;&gt;"","出纳：","")</f>
        <v/>
      </c>
      <c r="F719" s="78" t="str">
        <f aca="false">IF(助手回款!$R$49&lt;&gt;"","复核：","")</f>
        <v/>
      </c>
      <c r="G719" s="78" t="str">
        <f aca="false">IF(助手回款!$R$49&lt;&gt;"","制单：","")</f>
        <v/>
      </c>
    </row>
    <row r="720" customFormat="false" ht="3" hidden="false" customHeight="true" outlineLevel="0" collapsed="false"/>
    <row r="721" customFormat="false" ht="19.5" hidden="false" customHeight="true" outlineLevel="0" collapsed="false">
      <c r="B721" s="53" t="str">
        <f aca="false">IF(助手回款!$R$50&lt;&gt;"","记  账  凭  证","")</f>
        <v/>
      </c>
      <c r="C721" s="53"/>
      <c r="D721" s="53"/>
      <c r="E721" s="53"/>
      <c r="F721" s="53"/>
      <c r="G721" s="53"/>
      <c r="H721" s="53"/>
      <c r="I721" s="53"/>
    </row>
    <row r="722" customFormat="false" ht="3" hidden="false" customHeight="true" outlineLevel="0" collapsed="false"/>
    <row r="723" customFormat="false" ht="15" hidden="false" customHeight="true" outlineLevel="0" collapsed="false">
      <c r="C723" s="56" t="str">
        <f aca="false">IF(助手回款!$R$50&lt;&gt;"",INDEX(助手回款!$B$2:$B$66,助手回款!$R$50),"")</f>
        <v/>
      </c>
      <c r="D723" s="57" t="str">
        <f aca="false">IF(助手回款!$R$50&lt;&gt;"",参数!$B$2,"")</f>
        <v/>
      </c>
      <c r="E723" s="57"/>
      <c r="F723" s="58" t="str">
        <f aca="false">IF(助手回款!$R$50&lt;&gt;"",INDEX(助手回款!$C$2:$C$66,助手回款!$R$50)&amp;"  字第 "&amp;IF(参数!$B$9="是",INDEX(助手回款!$P$2:$P$66,助手回款!$R$50),"　　　　")&amp;" 号"&amp;IF(INDEX(助手回款!$L$2:$L$66,助手回款!$R$50)&gt;1,"  (共"&amp;INDEX(助手回款!$L$2:$L$66,助手回款!$R$50)&amp;"页 第"&amp;助手回款!$S$50&amp;"页)",""),"")</f>
        <v/>
      </c>
      <c r="G723" s="58"/>
      <c r="H723" s="58"/>
      <c r="I723" s="58"/>
      <c r="M723" s="79" t="str">
        <f aca="false">IF(助手回款!$R$50="","",助手回款!$Q$50)</f>
        <v/>
      </c>
      <c r="N723" s="80" t="str">
        <f aca="false">IF(助手回款!$R$50="","",INDEX(助手回款!$P$2:$P$66,助手回款!$R$50))</f>
        <v/>
      </c>
      <c r="O723" s="55" t="str">
        <f aca="false">IF(助手回款!$R$50="","",INDEX(助手回款!$C$2:$C$66,助手回款!$R$50)&amp;"  字第 "&amp;INDEX(助手回款!$P$2:$P$66,助手回款!$R$50)&amp;" 号"&amp;IF(INDEX(助手回款!$L$2:$L$66,助手回款!$R$50)&gt;1,"  (共"&amp;INDEX(助手回款!$L$2:$L$66,助手回款!$R$50)&amp;"页 第"&amp;助手回款!$S$50&amp;"页)",""))</f>
        <v/>
      </c>
    </row>
    <row r="724" customFormat="false" ht="12.75" hidden="false" customHeight="true" outlineLevel="0" collapsed="false">
      <c r="B724" s="61" t="str">
        <f aca="false">IF(助手回款!$R$50&lt;&gt;"","摘　　要","")</f>
        <v/>
      </c>
      <c r="C724" s="61"/>
      <c r="D724" s="62" t="str">
        <f aca="false">IF(助手回款!$R$50&lt;&gt;"","科　　　　目","")</f>
        <v/>
      </c>
      <c r="E724" s="62"/>
      <c r="F724" s="61" t="str">
        <f aca="false">IF(助手回款!$R$50&lt;&gt;"","借 方 金 额","")</f>
        <v/>
      </c>
      <c r="G724" s="62" t="str">
        <f aca="false">IF(助手回款!$R$50&lt;&gt;"","贷 方 金 额","")</f>
        <v/>
      </c>
      <c r="H724" s="63" t="str">
        <f aca="false">IF(助手回款!$R$50&lt;&gt;"","√","")</f>
        <v/>
      </c>
      <c r="I724" s="64" t="str">
        <f aca="false">IF(助手回款!$R$50&lt;&gt;"","附单据  张","")</f>
        <v/>
      </c>
    </row>
    <row r="725" customFormat="false" ht="12.75" hidden="false" customHeight="true" outlineLevel="0" collapsed="false">
      <c r="B725" s="61"/>
      <c r="C725" s="61"/>
      <c r="D725" s="23" t="str">
        <f aca="false">IF(助手回款!$R$50&lt;&gt;"","总 账 科 目","")</f>
        <v/>
      </c>
      <c r="E725" s="23" t="str">
        <f aca="false">IF(助手回款!$R$50&lt;&gt;"","明 细 科 目","")</f>
        <v/>
      </c>
      <c r="F725" s="65"/>
      <c r="G725" s="66"/>
      <c r="H725" s="63"/>
      <c r="I725" s="64"/>
    </row>
    <row r="726" customFormat="false" ht="23.25" hidden="false" customHeight="true" outlineLevel="0" collapsed="false">
      <c r="B726" s="67" t="str">
        <f aca="false">IFERROR(INDEX(分录回款!$M:$M,MATCH($L726,分录回款!$L:$L,0)),"")</f>
        <v/>
      </c>
      <c r="C726" s="67"/>
      <c r="D726" s="23" t="str">
        <f aca="false">IFERROR(INDEX(分录回款!$E:$E,MATCH($L726,分录回款!$L:$L,0)),"")</f>
        <v/>
      </c>
      <c r="E726" s="23" t="str">
        <f aca="false">IFERROR(INDEX(分录回款!$F:$F,MATCH($L726,分录回款!$L:$L,0)),"")</f>
        <v/>
      </c>
      <c r="F726" s="68" t="str">
        <f aca="false">IFERROR(INDEX(分录回款!$H:$H,MATCH($L726,分录回款!$L:$L,0)),"")</f>
        <v/>
      </c>
      <c r="G726" s="69" t="str">
        <f aca="false">IFERROR(INDEX(分录回款!$I:$I,MATCH($L726,分录回款!$L:$L,0)),"")</f>
        <v/>
      </c>
      <c r="H726" s="23"/>
      <c r="I726" s="70"/>
      <c r="L726" s="71" t="n">
        <f aca="false">IF(助手回款!$R$50="",-1,助手回款!$R$50*100+(助手回款!$S$50-1)*6+1)</f>
        <v>-1</v>
      </c>
    </row>
    <row r="727" customFormat="false" ht="23.25" hidden="false" customHeight="true" outlineLevel="0" collapsed="false">
      <c r="B727" s="67" t="str">
        <f aca="false">""</f>
        <v/>
      </c>
      <c r="C727" s="67"/>
      <c r="D727" s="23" t="str">
        <f aca="false">IFERROR(INDEX(分录回款!$E:$E,MATCH($L727,分录回款!$L:$L,0)),"")</f>
        <v/>
      </c>
      <c r="E727" s="23" t="str">
        <f aca="false">IFERROR(INDEX(分录回款!$F:$F,MATCH($L727,分录回款!$L:$L,0)),"")</f>
        <v/>
      </c>
      <c r="F727" s="68" t="str">
        <f aca="false">IFERROR(INDEX(分录回款!$H:$H,MATCH($L727,分录回款!$L:$L,0)),"")</f>
        <v/>
      </c>
      <c r="G727" s="69" t="str">
        <f aca="false">IFERROR(INDEX(分录回款!$I:$I,MATCH($L727,分录回款!$L:$L,0)),"")</f>
        <v/>
      </c>
      <c r="H727" s="23"/>
      <c r="I727" s="70"/>
      <c r="L727" s="71" t="n">
        <f aca="false">IF(助手回款!$R$50="",-1,助手回款!$R$50*100+(助手回款!$S$50-1)*6+2)</f>
        <v>-1</v>
      </c>
    </row>
    <row r="728" customFormat="false" ht="23.25" hidden="false" customHeight="true" outlineLevel="0" collapsed="false">
      <c r="B728" s="67" t="str">
        <f aca="false">""</f>
        <v/>
      </c>
      <c r="C728" s="67"/>
      <c r="D728" s="23" t="str">
        <f aca="false">IFERROR(INDEX(分录回款!$E:$E,MATCH($L728,分录回款!$L:$L,0)),"")</f>
        <v/>
      </c>
      <c r="E728" s="23" t="str">
        <f aca="false">IFERROR(INDEX(分录回款!$F:$F,MATCH($L728,分录回款!$L:$L,0)),"")</f>
        <v/>
      </c>
      <c r="F728" s="68" t="str">
        <f aca="false">IFERROR(INDEX(分录回款!$H:$H,MATCH($L728,分录回款!$L:$L,0)),"")</f>
        <v/>
      </c>
      <c r="G728" s="69" t="str">
        <f aca="false">IFERROR(INDEX(分录回款!$I:$I,MATCH($L728,分录回款!$L:$L,0)),"")</f>
        <v/>
      </c>
      <c r="H728" s="23"/>
      <c r="I728" s="70"/>
      <c r="L728" s="71" t="n">
        <f aca="false">IF(助手回款!$R$50="",-1,助手回款!$R$50*100+(助手回款!$S$50-1)*6+3)</f>
        <v>-1</v>
      </c>
    </row>
    <row r="729" customFormat="false" ht="23.25" hidden="false" customHeight="true" outlineLevel="0" collapsed="false">
      <c r="B729" s="67" t="str">
        <f aca="false">""</f>
        <v/>
      </c>
      <c r="C729" s="67"/>
      <c r="D729" s="23" t="str">
        <f aca="false">IFERROR(INDEX(分录回款!$E:$E,MATCH($L729,分录回款!$L:$L,0)),"")</f>
        <v/>
      </c>
      <c r="E729" s="23" t="str">
        <f aca="false">IFERROR(INDEX(分录回款!$F:$F,MATCH($L729,分录回款!$L:$L,0)),"")</f>
        <v/>
      </c>
      <c r="F729" s="68" t="str">
        <f aca="false">IFERROR(INDEX(分录回款!$H:$H,MATCH($L729,分录回款!$L:$L,0)),"")</f>
        <v/>
      </c>
      <c r="G729" s="69" t="str">
        <f aca="false">IFERROR(INDEX(分录回款!$I:$I,MATCH($L729,分录回款!$L:$L,0)),"")</f>
        <v/>
      </c>
      <c r="H729" s="23"/>
      <c r="I729" s="70"/>
      <c r="L729" s="71" t="n">
        <f aca="false">IF(助手回款!$R$50="",-1,助手回款!$R$50*100+(助手回款!$S$50-1)*6+4)</f>
        <v>-1</v>
      </c>
    </row>
    <row r="730" customFormat="false" ht="23.25" hidden="false" customHeight="true" outlineLevel="0" collapsed="false">
      <c r="B730" s="67" t="str">
        <f aca="false">""</f>
        <v/>
      </c>
      <c r="C730" s="67"/>
      <c r="D730" s="23" t="str">
        <f aca="false">IFERROR(INDEX(分录回款!$E:$E,MATCH($L730,分录回款!$L:$L,0)),"")</f>
        <v/>
      </c>
      <c r="E730" s="23" t="str">
        <f aca="false">IFERROR(INDEX(分录回款!$F:$F,MATCH($L730,分录回款!$L:$L,0)),"")</f>
        <v/>
      </c>
      <c r="F730" s="68" t="str">
        <f aca="false">IFERROR(INDEX(分录回款!$H:$H,MATCH($L730,分录回款!$L:$L,0)),"")</f>
        <v/>
      </c>
      <c r="G730" s="69" t="str">
        <f aca="false">IFERROR(INDEX(分录回款!$I:$I,MATCH($L730,分录回款!$L:$L,0)),"")</f>
        <v/>
      </c>
      <c r="H730" s="23"/>
      <c r="I730" s="70"/>
      <c r="L730" s="71" t="n">
        <f aca="false">IF(助手回款!$R$50="",-1,助手回款!$R$50*100+(助手回款!$S$50-1)*6+5)</f>
        <v>-1</v>
      </c>
    </row>
    <row r="731" customFormat="false" ht="23.25" hidden="false" customHeight="true" outlineLevel="0" collapsed="false">
      <c r="B731" s="67" t="str">
        <f aca="false">""</f>
        <v/>
      </c>
      <c r="C731" s="67"/>
      <c r="D731" s="23" t="str">
        <f aca="false">IFERROR(INDEX(分录回款!$E:$E,MATCH($L731,分录回款!$L:$L,0)),"")</f>
        <v/>
      </c>
      <c r="E731" s="23" t="str">
        <f aca="false">IFERROR(INDEX(分录回款!$F:$F,MATCH($L731,分录回款!$L:$L,0)),"")</f>
        <v/>
      </c>
      <c r="F731" s="68" t="str">
        <f aca="false">IFERROR(INDEX(分录回款!$H:$H,MATCH($L731,分录回款!$L:$L,0)),"")</f>
        <v/>
      </c>
      <c r="G731" s="69" t="str">
        <f aca="false">IFERROR(INDEX(分录回款!$I:$I,MATCH($L731,分录回款!$L:$L,0)),"")</f>
        <v/>
      </c>
      <c r="H731" s="23"/>
      <c r="I731" s="70"/>
      <c r="L731" s="71" t="n">
        <f aca="false">IF(助手回款!$R$50="",-1,助手回款!$R$50*100+(助手回款!$S$50-1)*6+6)</f>
        <v>-1</v>
      </c>
    </row>
    <row r="732" customFormat="false" ht="23.25" hidden="false" customHeight="true" outlineLevel="0" collapsed="false">
      <c r="B732" s="72" t="str">
        <f aca="false">IF(助手回款!$T$50=1,"合计：","")</f>
        <v/>
      </c>
      <c r="C732" s="73" t="str">
        <f aca="false">IF(助手回款!$T$50=1,$F732,"")</f>
        <v/>
      </c>
      <c r="D732" s="74"/>
      <c r="E732" s="74"/>
      <c r="F732" s="75" t="str">
        <f aca="false">IF(助手回款!$T$50=1,INDEX(助手回款!$N$2:$N$66,助手回款!$R$50),"")</f>
        <v/>
      </c>
      <c r="G732" s="76" t="str">
        <f aca="false">IF(助手回款!$T$50=1,INDEX(助手回款!$O$2:$O$66,助手回款!$R$50),"")</f>
        <v/>
      </c>
      <c r="H732" s="74"/>
      <c r="I732" s="77"/>
    </row>
    <row r="733" customFormat="false" ht="6" hidden="false" customHeight="true" outlineLevel="0" collapsed="false"/>
    <row r="734" customFormat="false" ht="13.5" hidden="false" customHeight="false" outlineLevel="0" collapsed="false">
      <c r="B734" s="78" t="str">
        <f aca="false">IF(助手回款!$R$50&lt;&gt;"","会计主管：","")</f>
        <v/>
      </c>
      <c r="D734" s="78" t="str">
        <f aca="false">IF(助手回款!$R$50&lt;&gt;"","会计：","")</f>
        <v/>
      </c>
      <c r="E734" s="78" t="str">
        <f aca="false">IF(助手回款!$R$50&lt;&gt;"","出纳：","")</f>
        <v/>
      </c>
      <c r="F734" s="78" t="str">
        <f aca="false">IF(助手回款!$R$50&lt;&gt;"","复核：","")</f>
        <v/>
      </c>
      <c r="G734" s="78" t="str">
        <f aca="false">IF(助手回款!$R$50&lt;&gt;"","制单：","")</f>
        <v/>
      </c>
    </row>
    <row r="735" customFormat="false" ht="3" hidden="false" customHeight="true" outlineLevel="0" collapsed="false"/>
    <row r="736" customFormat="false" ht="19.5" hidden="false" customHeight="true" outlineLevel="0" collapsed="false">
      <c r="B736" s="53" t="str">
        <f aca="false">IF(助手回款!$R$51&lt;&gt;"","记  账  凭  证","")</f>
        <v/>
      </c>
      <c r="C736" s="53"/>
      <c r="D736" s="53"/>
      <c r="E736" s="53"/>
      <c r="F736" s="53"/>
      <c r="G736" s="53"/>
      <c r="H736" s="53"/>
      <c r="I736" s="53"/>
    </row>
    <row r="737" customFormat="false" ht="3" hidden="false" customHeight="true" outlineLevel="0" collapsed="false"/>
    <row r="738" customFormat="false" ht="15" hidden="false" customHeight="true" outlineLevel="0" collapsed="false">
      <c r="C738" s="56" t="str">
        <f aca="false">IF(助手回款!$R$51&lt;&gt;"",INDEX(助手回款!$B$2:$B$66,助手回款!$R$51),"")</f>
        <v/>
      </c>
      <c r="D738" s="57" t="str">
        <f aca="false">IF(助手回款!$R$51&lt;&gt;"",参数!$B$2,"")</f>
        <v/>
      </c>
      <c r="E738" s="57"/>
      <c r="F738" s="58" t="str">
        <f aca="false">IF(助手回款!$R$51&lt;&gt;"",INDEX(助手回款!$C$2:$C$66,助手回款!$R$51)&amp;"  字第 "&amp;IF(参数!$B$9="是",INDEX(助手回款!$P$2:$P$66,助手回款!$R$51),"　　　　")&amp;" 号"&amp;IF(INDEX(助手回款!$L$2:$L$66,助手回款!$R$51)&gt;1,"  (共"&amp;INDEX(助手回款!$L$2:$L$66,助手回款!$R$51)&amp;"页 第"&amp;助手回款!$S$51&amp;"页)",""),"")</f>
        <v/>
      </c>
      <c r="G738" s="58"/>
      <c r="H738" s="58"/>
      <c r="I738" s="58"/>
      <c r="M738" s="79" t="str">
        <f aca="false">IF(助手回款!$R$51="","",助手回款!$Q$51)</f>
        <v/>
      </c>
      <c r="N738" s="80" t="str">
        <f aca="false">IF(助手回款!$R$51="","",INDEX(助手回款!$P$2:$P$66,助手回款!$R$51))</f>
        <v/>
      </c>
      <c r="O738" s="55" t="str">
        <f aca="false">IF(助手回款!$R$51="","",INDEX(助手回款!$C$2:$C$66,助手回款!$R$51)&amp;"  字第 "&amp;INDEX(助手回款!$P$2:$P$66,助手回款!$R$51)&amp;" 号"&amp;IF(INDEX(助手回款!$L$2:$L$66,助手回款!$R$51)&gt;1,"  (共"&amp;INDEX(助手回款!$L$2:$L$66,助手回款!$R$51)&amp;"页 第"&amp;助手回款!$S$51&amp;"页)",""))</f>
        <v/>
      </c>
    </row>
    <row r="739" customFormat="false" ht="12.75" hidden="false" customHeight="true" outlineLevel="0" collapsed="false">
      <c r="B739" s="61" t="str">
        <f aca="false">IF(助手回款!$R$51&lt;&gt;"","摘　　要","")</f>
        <v/>
      </c>
      <c r="C739" s="61"/>
      <c r="D739" s="62" t="str">
        <f aca="false">IF(助手回款!$R$51&lt;&gt;"","科　　　　目","")</f>
        <v/>
      </c>
      <c r="E739" s="62"/>
      <c r="F739" s="61" t="str">
        <f aca="false">IF(助手回款!$R$51&lt;&gt;"","借 方 金 额","")</f>
        <v/>
      </c>
      <c r="G739" s="62" t="str">
        <f aca="false">IF(助手回款!$R$51&lt;&gt;"","贷 方 金 额","")</f>
        <v/>
      </c>
      <c r="H739" s="63" t="str">
        <f aca="false">IF(助手回款!$R$51&lt;&gt;"","√","")</f>
        <v/>
      </c>
      <c r="I739" s="64" t="str">
        <f aca="false">IF(助手回款!$R$51&lt;&gt;"","附单据  张","")</f>
        <v/>
      </c>
    </row>
    <row r="740" customFormat="false" ht="12.75" hidden="false" customHeight="true" outlineLevel="0" collapsed="false">
      <c r="B740" s="61"/>
      <c r="C740" s="61"/>
      <c r="D740" s="23" t="str">
        <f aca="false">IF(助手回款!$R$51&lt;&gt;"","总 账 科 目","")</f>
        <v/>
      </c>
      <c r="E740" s="23" t="str">
        <f aca="false">IF(助手回款!$R$51&lt;&gt;"","明 细 科 目","")</f>
        <v/>
      </c>
      <c r="F740" s="65"/>
      <c r="G740" s="66"/>
      <c r="H740" s="63"/>
      <c r="I740" s="64"/>
    </row>
    <row r="741" customFormat="false" ht="23.25" hidden="false" customHeight="true" outlineLevel="0" collapsed="false">
      <c r="B741" s="67" t="str">
        <f aca="false">IFERROR(INDEX(分录回款!$M:$M,MATCH($L741,分录回款!$L:$L,0)),"")</f>
        <v/>
      </c>
      <c r="C741" s="67"/>
      <c r="D741" s="23" t="str">
        <f aca="false">IFERROR(INDEX(分录回款!$E:$E,MATCH($L741,分录回款!$L:$L,0)),"")</f>
        <v/>
      </c>
      <c r="E741" s="23" t="str">
        <f aca="false">IFERROR(INDEX(分录回款!$F:$F,MATCH($L741,分录回款!$L:$L,0)),"")</f>
        <v/>
      </c>
      <c r="F741" s="68" t="str">
        <f aca="false">IFERROR(INDEX(分录回款!$H:$H,MATCH($L741,分录回款!$L:$L,0)),"")</f>
        <v/>
      </c>
      <c r="G741" s="69" t="str">
        <f aca="false">IFERROR(INDEX(分录回款!$I:$I,MATCH($L741,分录回款!$L:$L,0)),"")</f>
        <v/>
      </c>
      <c r="H741" s="23"/>
      <c r="I741" s="70"/>
      <c r="L741" s="71" t="n">
        <f aca="false">IF(助手回款!$R$51="",-1,助手回款!$R$51*100+(助手回款!$S$51-1)*6+1)</f>
        <v>-1</v>
      </c>
    </row>
    <row r="742" customFormat="false" ht="23.25" hidden="false" customHeight="true" outlineLevel="0" collapsed="false">
      <c r="B742" s="67" t="str">
        <f aca="false">""</f>
        <v/>
      </c>
      <c r="C742" s="67"/>
      <c r="D742" s="23" t="str">
        <f aca="false">IFERROR(INDEX(分录回款!$E:$E,MATCH($L742,分录回款!$L:$L,0)),"")</f>
        <v/>
      </c>
      <c r="E742" s="23" t="str">
        <f aca="false">IFERROR(INDEX(分录回款!$F:$F,MATCH($L742,分录回款!$L:$L,0)),"")</f>
        <v/>
      </c>
      <c r="F742" s="68" t="str">
        <f aca="false">IFERROR(INDEX(分录回款!$H:$H,MATCH($L742,分录回款!$L:$L,0)),"")</f>
        <v/>
      </c>
      <c r="G742" s="69" t="str">
        <f aca="false">IFERROR(INDEX(分录回款!$I:$I,MATCH($L742,分录回款!$L:$L,0)),"")</f>
        <v/>
      </c>
      <c r="H742" s="23"/>
      <c r="I742" s="70"/>
      <c r="L742" s="71" t="n">
        <f aca="false">IF(助手回款!$R$51="",-1,助手回款!$R$51*100+(助手回款!$S$51-1)*6+2)</f>
        <v>-1</v>
      </c>
    </row>
    <row r="743" customFormat="false" ht="23.25" hidden="false" customHeight="true" outlineLevel="0" collapsed="false">
      <c r="B743" s="67" t="str">
        <f aca="false">""</f>
        <v/>
      </c>
      <c r="C743" s="67"/>
      <c r="D743" s="23" t="str">
        <f aca="false">IFERROR(INDEX(分录回款!$E:$E,MATCH($L743,分录回款!$L:$L,0)),"")</f>
        <v/>
      </c>
      <c r="E743" s="23" t="str">
        <f aca="false">IFERROR(INDEX(分录回款!$F:$F,MATCH($L743,分录回款!$L:$L,0)),"")</f>
        <v/>
      </c>
      <c r="F743" s="68" t="str">
        <f aca="false">IFERROR(INDEX(分录回款!$H:$H,MATCH($L743,分录回款!$L:$L,0)),"")</f>
        <v/>
      </c>
      <c r="G743" s="69" t="str">
        <f aca="false">IFERROR(INDEX(分录回款!$I:$I,MATCH($L743,分录回款!$L:$L,0)),"")</f>
        <v/>
      </c>
      <c r="H743" s="23"/>
      <c r="I743" s="70"/>
      <c r="L743" s="71" t="n">
        <f aca="false">IF(助手回款!$R$51="",-1,助手回款!$R$51*100+(助手回款!$S$51-1)*6+3)</f>
        <v>-1</v>
      </c>
    </row>
    <row r="744" customFormat="false" ht="23.25" hidden="false" customHeight="true" outlineLevel="0" collapsed="false">
      <c r="B744" s="67" t="str">
        <f aca="false">""</f>
        <v/>
      </c>
      <c r="C744" s="67"/>
      <c r="D744" s="23" t="str">
        <f aca="false">IFERROR(INDEX(分录回款!$E:$E,MATCH($L744,分录回款!$L:$L,0)),"")</f>
        <v/>
      </c>
      <c r="E744" s="23" t="str">
        <f aca="false">IFERROR(INDEX(分录回款!$F:$F,MATCH($L744,分录回款!$L:$L,0)),"")</f>
        <v/>
      </c>
      <c r="F744" s="68" t="str">
        <f aca="false">IFERROR(INDEX(分录回款!$H:$H,MATCH($L744,分录回款!$L:$L,0)),"")</f>
        <v/>
      </c>
      <c r="G744" s="69" t="str">
        <f aca="false">IFERROR(INDEX(分录回款!$I:$I,MATCH($L744,分录回款!$L:$L,0)),"")</f>
        <v/>
      </c>
      <c r="H744" s="23"/>
      <c r="I744" s="70"/>
      <c r="L744" s="71" t="n">
        <f aca="false">IF(助手回款!$R$51="",-1,助手回款!$R$51*100+(助手回款!$S$51-1)*6+4)</f>
        <v>-1</v>
      </c>
    </row>
    <row r="745" customFormat="false" ht="23.25" hidden="false" customHeight="true" outlineLevel="0" collapsed="false">
      <c r="B745" s="67" t="str">
        <f aca="false">""</f>
        <v/>
      </c>
      <c r="C745" s="67"/>
      <c r="D745" s="23" t="str">
        <f aca="false">IFERROR(INDEX(分录回款!$E:$E,MATCH($L745,分录回款!$L:$L,0)),"")</f>
        <v/>
      </c>
      <c r="E745" s="23" t="str">
        <f aca="false">IFERROR(INDEX(分录回款!$F:$F,MATCH($L745,分录回款!$L:$L,0)),"")</f>
        <v/>
      </c>
      <c r="F745" s="68" t="str">
        <f aca="false">IFERROR(INDEX(分录回款!$H:$H,MATCH($L745,分录回款!$L:$L,0)),"")</f>
        <v/>
      </c>
      <c r="G745" s="69" t="str">
        <f aca="false">IFERROR(INDEX(分录回款!$I:$I,MATCH($L745,分录回款!$L:$L,0)),"")</f>
        <v/>
      </c>
      <c r="H745" s="23"/>
      <c r="I745" s="70"/>
      <c r="L745" s="71" t="n">
        <f aca="false">IF(助手回款!$R$51="",-1,助手回款!$R$51*100+(助手回款!$S$51-1)*6+5)</f>
        <v>-1</v>
      </c>
    </row>
    <row r="746" customFormat="false" ht="23.25" hidden="false" customHeight="true" outlineLevel="0" collapsed="false">
      <c r="B746" s="67" t="str">
        <f aca="false">""</f>
        <v/>
      </c>
      <c r="C746" s="67"/>
      <c r="D746" s="23" t="str">
        <f aca="false">IFERROR(INDEX(分录回款!$E:$E,MATCH($L746,分录回款!$L:$L,0)),"")</f>
        <v/>
      </c>
      <c r="E746" s="23" t="str">
        <f aca="false">IFERROR(INDEX(分录回款!$F:$F,MATCH($L746,分录回款!$L:$L,0)),"")</f>
        <v/>
      </c>
      <c r="F746" s="68" t="str">
        <f aca="false">IFERROR(INDEX(分录回款!$H:$H,MATCH($L746,分录回款!$L:$L,0)),"")</f>
        <v/>
      </c>
      <c r="G746" s="69" t="str">
        <f aca="false">IFERROR(INDEX(分录回款!$I:$I,MATCH($L746,分录回款!$L:$L,0)),"")</f>
        <v/>
      </c>
      <c r="H746" s="23"/>
      <c r="I746" s="70"/>
      <c r="L746" s="71" t="n">
        <f aca="false">IF(助手回款!$R$51="",-1,助手回款!$R$51*100+(助手回款!$S$51-1)*6+6)</f>
        <v>-1</v>
      </c>
    </row>
    <row r="747" customFormat="false" ht="23.25" hidden="false" customHeight="true" outlineLevel="0" collapsed="false">
      <c r="B747" s="72" t="str">
        <f aca="false">IF(助手回款!$T$51=1,"合计：","")</f>
        <v/>
      </c>
      <c r="C747" s="73" t="str">
        <f aca="false">IF(助手回款!$T$51=1,$F747,"")</f>
        <v/>
      </c>
      <c r="D747" s="74"/>
      <c r="E747" s="74"/>
      <c r="F747" s="75" t="str">
        <f aca="false">IF(助手回款!$T$51=1,INDEX(助手回款!$N$2:$N$66,助手回款!$R$51),"")</f>
        <v/>
      </c>
      <c r="G747" s="76" t="str">
        <f aca="false">IF(助手回款!$T$51=1,INDEX(助手回款!$O$2:$O$66,助手回款!$R$51),"")</f>
        <v/>
      </c>
      <c r="H747" s="74"/>
      <c r="I747" s="77"/>
    </row>
    <row r="748" customFormat="false" ht="6" hidden="false" customHeight="true" outlineLevel="0" collapsed="false"/>
    <row r="749" customFormat="false" ht="13.5" hidden="false" customHeight="false" outlineLevel="0" collapsed="false">
      <c r="B749" s="78" t="str">
        <f aca="false">IF(助手回款!$R$51&lt;&gt;"","会计主管：","")</f>
        <v/>
      </c>
      <c r="D749" s="78" t="str">
        <f aca="false">IF(助手回款!$R$51&lt;&gt;"","会计：","")</f>
        <v/>
      </c>
      <c r="E749" s="78" t="str">
        <f aca="false">IF(助手回款!$R$51&lt;&gt;"","出纳：","")</f>
        <v/>
      </c>
      <c r="F749" s="78" t="str">
        <f aca="false">IF(助手回款!$R$51&lt;&gt;"","复核：","")</f>
        <v/>
      </c>
      <c r="G749" s="78" t="str">
        <f aca="false">IF(助手回款!$R$51&lt;&gt;"","制单：","")</f>
        <v/>
      </c>
    </row>
    <row r="750" customFormat="false" ht="3" hidden="false" customHeight="true" outlineLevel="0" collapsed="false"/>
    <row r="751" customFormat="false" ht="19.5" hidden="false" customHeight="true" outlineLevel="0" collapsed="false">
      <c r="B751" s="53" t="str">
        <f aca="false">IF(助手回款!$R$52&lt;&gt;"","记  账  凭  证","")</f>
        <v/>
      </c>
      <c r="C751" s="53"/>
      <c r="D751" s="53"/>
      <c r="E751" s="53"/>
      <c r="F751" s="53"/>
      <c r="G751" s="53"/>
      <c r="H751" s="53"/>
      <c r="I751" s="53"/>
    </row>
    <row r="752" customFormat="false" ht="3" hidden="false" customHeight="true" outlineLevel="0" collapsed="false"/>
    <row r="753" customFormat="false" ht="15" hidden="false" customHeight="true" outlineLevel="0" collapsed="false">
      <c r="C753" s="56" t="str">
        <f aca="false">IF(助手回款!$R$52&lt;&gt;"",INDEX(助手回款!$B$2:$B$66,助手回款!$R$52),"")</f>
        <v/>
      </c>
      <c r="D753" s="57" t="str">
        <f aca="false">IF(助手回款!$R$52&lt;&gt;"",参数!$B$2,"")</f>
        <v/>
      </c>
      <c r="E753" s="57"/>
      <c r="F753" s="58" t="str">
        <f aca="false">IF(助手回款!$R$52&lt;&gt;"",INDEX(助手回款!$C$2:$C$66,助手回款!$R$52)&amp;"  字第 "&amp;IF(参数!$B$9="是",INDEX(助手回款!$P$2:$P$66,助手回款!$R$52),"　　　　")&amp;" 号"&amp;IF(INDEX(助手回款!$L$2:$L$66,助手回款!$R$52)&gt;1,"  (共"&amp;INDEX(助手回款!$L$2:$L$66,助手回款!$R$52)&amp;"页 第"&amp;助手回款!$S$52&amp;"页)",""),"")</f>
        <v/>
      </c>
      <c r="G753" s="58"/>
      <c r="H753" s="58"/>
      <c r="I753" s="58"/>
      <c r="M753" s="79" t="str">
        <f aca="false">IF(助手回款!$R$52="","",助手回款!$Q$52)</f>
        <v/>
      </c>
      <c r="N753" s="80" t="str">
        <f aca="false">IF(助手回款!$R$52="","",INDEX(助手回款!$P$2:$P$66,助手回款!$R$52))</f>
        <v/>
      </c>
      <c r="O753" s="55" t="str">
        <f aca="false">IF(助手回款!$R$52="","",INDEX(助手回款!$C$2:$C$66,助手回款!$R$52)&amp;"  字第 "&amp;INDEX(助手回款!$P$2:$P$66,助手回款!$R$52)&amp;" 号"&amp;IF(INDEX(助手回款!$L$2:$L$66,助手回款!$R$52)&gt;1,"  (共"&amp;INDEX(助手回款!$L$2:$L$66,助手回款!$R$52)&amp;"页 第"&amp;助手回款!$S$52&amp;"页)",""))</f>
        <v/>
      </c>
    </row>
    <row r="754" customFormat="false" ht="12.75" hidden="false" customHeight="true" outlineLevel="0" collapsed="false">
      <c r="B754" s="61" t="str">
        <f aca="false">IF(助手回款!$R$52&lt;&gt;"","摘　　要","")</f>
        <v/>
      </c>
      <c r="C754" s="61"/>
      <c r="D754" s="62" t="str">
        <f aca="false">IF(助手回款!$R$52&lt;&gt;"","科　　　　目","")</f>
        <v/>
      </c>
      <c r="E754" s="62"/>
      <c r="F754" s="61" t="str">
        <f aca="false">IF(助手回款!$R$52&lt;&gt;"","借 方 金 额","")</f>
        <v/>
      </c>
      <c r="G754" s="62" t="str">
        <f aca="false">IF(助手回款!$R$52&lt;&gt;"","贷 方 金 额","")</f>
        <v/>
      </c>
      <c r="H754" s="63" t="str">
        <f aca="false">IF(助手回款!$R$52&lt;&gt;"","√","")</f>
        <v/>
      </c>
      <c r="I754" s="64" t="str">
        <f aca="false">IF(助手回款!$R$52&lt;&gt;"","附单据  张","")</f>
        <v/>
      </c>
    </row>
    <row r="755" customFormat="false" ht="12.75" hidden="false" customHeight="true" outlineLevel="0" collapsed="false">
      <c r="B755" s="61"/>
      <c r="C755" s="61"/>
      <c r="D755" s="23" t="str">
        <f aca="false">IF(助手回款!$R$52&lt;&gt;"","总 账 科 目","")</f>
        <v/>
      </c>
      <c r="E755" s="23" t="str">
        <f aca="false">IF(助手回款!$R$52&lt;&gt;"","明 细 科 目","")</f>
        <v/>
      </c>
      <c r="F755" s="65"/>
      <c r="G755" s="66"/>
      <c r="H755" s="63"/>
      <c r="I755" s="64"/>
    </row>
    <row r="756" customFormat="false" ht="23.25" hidden="false" customHeight="true" outlineLevel="0" collapsed="false">
      <c r="B756" s="67" t="str">
        <f aca="false">IFERROR(INDEX(分录回款!$M:$M,MATCH($L756,分录回款!$L:$L,0)),"")</f>
        <v/>
      </c>
      <c r="C756" s="67"/>
      <c r="D756" s="23" t="str">
        <f aca="false">IFERROR(INDEX(分录回款!$E:$E,MATCH($L756,分录回款!$L:$L,0)),"")</f>
        <v/>
      </c>
      <c r="E756" s="23" t="str">
        <f aca="false">IFERROR(INDEX(分录回款!$F:$F,MATCH($L756,分录回款!$L:$L,0)),"")</f>
        <v/>
      </c>
      <c r="F756" s="68" t="str">
        <f aca="false">IFERROR(INDEX(分录回款!$H:$H,MATCH($L756,分录回款!$L:$L,0)),"")</f>
        <v/>
      </c>
      <c r="G756" s="69" t="str">
        <f aca="false">IFERROR(INDEX(分录回款!$I:$I,MATCH($L756,分录回款!$L:$L,0)),"")</f>
        <v/>
      </c>
      <c r="H756" s="23"/>
      <c r="I756" s="70"/>
      <c r="L756" s="71" t="n">
        <f aca="false">IF(助手回款!$R$52="",-1,助手回款!$R$52*100+(助手回款!$S$52-1)*6+1)</f>
        <v>-1</v>
      </c>
    </row>
    <row r="757" customFormat="false" ht="23.25" hidden="false" customHeight="true" outlineLevel="0" collapsed="false">
      <c r="B757" s="67" t="str">
        <f aca="false">""</f>
        <v/>
      </c>
      <c r="C757" s="67"/>
      <c r="D757" s="23" t="str">
        <f aca="false">IFERROR(INDEX(分录回款!$E:$E,MATCH($L757,分录回款!$L:$L,0)),"")</f>
        <v/>
      </c>
      <c r="E757" s="23" t="str">
        <f aca="false">IFERROR(INDEX(分录回款!$F:$F,MATCH($L757,分录回款!$L:$L,0)),"")</f>
        <v/>
      </c>
      <c r="F757" s="68" t="str">
        <f aca="false">IFERROR(INDEX(分录回款!$H:$H,MATCH($L757,分录回款!$L:$L,0)),"")</f>
        <v/>
      </c>
      <c r="G757" s="69" t="str">
        <f aca="false">IFERROR(INDEX(分录回款!$I:$I,MATCH($L757,分录回款!$L:$L,0)),"")</f>
        <v/>
      </c>
      <c r="H757" s="23"/>
      <c r="I757" s="70"/>
      <c r="L757" s="71" t="n">
        <f aca="false">IF(助手回款!$R$52="",-1,助手回款!$R$52*100+(助手回款!$S$52-1)*6+2)</f>
        <v>-1</v>
      </c>
    </row>
    <row r="758" customFormat="false" ht="23.25" hidden="false" customHeight="true" outlineLevel="0" collapsed="false">
      <c r="B758" s="67" t="str">
        <f aca="false">""</f>
        <v/>
      </c>
      <c r="C758" s="67"/>
      <c r="D758" s="23" t="str">
        <f aca="false">IFERROR(INDEX(分录回款!$E:$E,MATCH($L758,分录回款!$L:$L,0)),"")</f>
        <v/>
      </c>
      <c r="E758" s="23" t="str">
        <f aca="false">IFERROR(INDEX(分录回款!$F:$F,MATCH($L758,分录回款!$L:$L,0)),"")</f>
        <v/>
      </c>
      <c r="F758" s="68" t="str">
        <f aca="false">IFERROR(INDEX(分录回款!$H:$H,MATCH($L758,分录回款!$L:$L,0)),"")</f>
        <v/>
      </c>
      <c r="G758" s="69" t="str">
        <f aca="false">IFERROR(INDEX(分录回款!$I:$I,MATCH($L758,分录回款!$L:$L,0)),"")</f>
        <v/>
      </c>
      <c r="H758" s="23"/>
      <c r="I758" s="70"/>
      <c r="L758" s="71" t="n">
        <f aca="false">IF(助手回款!$R$52="",-1,助手回款!$R$52*100+(助手回款!$S$52-1)*6+3)</f>
        <v>-1</v>
      </c>
    </row>
    <row r="759" customFormat="false" ht="23.25" hidden="false" customHeight="true" outlineLevel="0" collapsed="false">
      <c r="B759" s="67" t="str">
        <f aca="false">""</f>
        <v/>
      </c>
      <c r="C759" s="67"/>
      <c r="D759" s="23" t="str">
        <f aca="false">IFERROR(INDEX(分录回款!$E:$E,MATCH($L759,分录回款!$L:$L,0)),"")</f>
        <v/>
      </c>
      <c r="E759" s="23" t="str">
        <f aca="false">IFERROR(INDEX(分录回款!$F:$F,MATCH($L759,分录回款!$L:$L,0)),"")</f>
        <v/>
      </c>
      <c r="F759" s="68" t="str">
        <f aca="false">IFERROR(INDEX(分录回款!$H:$H,MATCH($L759,分录回款!$L:$L,0)),"")</f>
        <v/>
      </c>
      <c r="G759" s="69" t="str">
        <f aca="false">IFERROR(INDEX(分录回款!$I:$I,MATCH($L759,分录回款!$L:$L,0)),"")</f>
        <v/>
      </c>
      <c r="H759" s="23"/>
      <c r="I759" s="70"/>
      <c r="L759" s="71" t="n">
        <f aca="false">IF(助手回款!$R$52="",-1,助手回款!$R$52*100+(助手回款!$S$52-1)*6+4)</f>
        <v>-1</v>
      </c>
    </row>
    <row r="760" customFormat="false" ht="23.25" hidden="false" customHeight="true" outlineLevel="0" collapsed="false">
      <c r="B760" s="67" t="str">
        <f aca="false">""</f>
        <v/>
      </c>
      <c r="C760" s="67"/>
      <c r="D760" s="23" t="str">
        <f aca="false">IFERROR(INDEX(分录回款!$E:$E,MATCH($L760,分录回款!$L:$L,0)),"")</f>
        <v/>
      </c>
      <c r="E760" s="23" t="str">
        <f aca="false">IFERROR(INDEX(分录回款!$F:$F,MATCH($L760,分录回款!$L:$L,0)),"")</f>
        <v/>
      </c>
      <c r="F760" s="68" t="str">
        <f aca="false">IFERROR(INDEX(分录回款!$H:$H,MATCH($L760,分录回款!$L:$L,0)),"")</f>
        <v/>
      </c>
      <c r="G760" s="69" t="str">
        <f aca="false">IFERROR(INDEX(分录回款!$I:$I,MATCH($L760,分录回款!$L:$L,0)),"")</f>
        <v/>
      </c>
      <c r="H760" s="23"/>
      <c r="I760" s="70"/>
      <c r="L760" s="71" t="n">
        <f aca="false">IF(助手回款!$R$52="",-1,助手回款!$R$52*100+(助手回款!$S$52-1)*6+5)</f>
        <v>-1</v>
      </c>
    </row>
    <row r="761" customFormat="false" ht="23.25" hidden="false" customHeight="true" outlineLevel="0" collapsed="false">
      <c r="B761" s="67" t="str">
        <f aca="false">""</f>
        <v/>
      </c>
      <c r="C761" s="67"/>
      <c r="D761" s="23" t="str">
        <f aca="false">IFERROR(INDEX(分录回款!$E:$E,MATCH($L761,分录回款!$L:$L,0)),"")</f>
        <v/>
      </c>
      <c r="E761" s="23" t="str">
        <f aca="false">IFERROR(INDEX(分录回款!$F:$F,MATCH($L761,分录回款!$L:$L,0)),"")</f>
        <v/>
      </c>
      <c r="F761" s="68" t="str">
        <f aca="false">IFERROR(INDEX(分录回款!$H:$H,MATCH($L761,分录回款!$L:$L,0)),"")</f>
        <v/>
      </c>
      <c r="G761" s="69" t="str">
        <f aca="false">IFERROR(INDEX(分录回款!$I:$I,MATCH($L761,分录回款!$L:$L,0)),"")</f>
        <v/>
      </c>
      <c r="H761" s="23"/>
      <c r="I761" s="70"/>
      <c r="L761" s="71" t="n">
        <f aca="false">IF(助手回款!$R$52="",-1,助手回款!$R$52*100+(助手回款!$S$52-1)*6+6)</f>
        <v>-1</v>
      </c>
    </row>
    <row r="762" customFormat="false" ht="23.25" hidden="false" customHeight="true" outlineLevel="0" collapsed="false">
      <c r="B762" s="72" t="str">
        <f aca="false">IF(助手回款!$T$52=1,"合计：","")</f>
        <v/>
      </c>
      <c r="C762" s="73" t="str">
        <f aca="false">IF(助手回款!$T$52=1,$F762,"")</f>
        <v/>
      </c>
      <c r="D762" s="74"/>
      <c r="E762" s="74"/>
      <c r="F762" s="75" t="str">
        <f aca="false">IF(助手回款!$T$52=1,INDEX(助手回款!$N$2:$N$66,助手回款!$R$52),"")</f>
        <v/>
      </c>
      <c r="G762" s="76" t="str">
        <f aca="false">IF(助手回款!$T$52=1,INDEX(助手回款!$O$2:$O$66,助手回款!$R$52),"")</f>
        <v/>
      </c>
      <c r="H762" s="74"/>
      <c r="I762" s="77"/>
    </row>
    <row r="763" customFormat="false" ht="6" hidden="false" customHeight="true" outlineLevel="0" collapsed="false"/>
    <row r="764" customFormat="false" ht="13.5" hidden="false" customHeight="false" outlineLevel="0" collapsed="false">
      <c r="B764" s="78" t="str">
        <f aca="false">IF(助手回款!$R$52&lt;&gt;"","会计主管：","")</f>
        <v/>
      </c>
      <c r="D764" s="78" t="str">
        <f aca="false">IF(助手回款!$R$52&lt;&gt;"","会计：","")</f>
        <v/>
      </c>
      <c r="E764" s="78" t="str">
        <f aca="false">IF(助手回款!$R$52&lt;&gt;"","出纳：","")</f>
        <v/>
      </c>
      <c r="F764" s="78" t="str">
        <f aca="false">IF(助手回款!$R$52&lt;&gt;"","复核：","")</f>
        <v/>
      </c>
      <c r="G764" s="78" t="str">
        <f aca="false">IF(助手回款!$R$52&lt;&gt;"","制单：","")</f>
        <v/>
      </c>
    </row>
    <row r="765" customFormat="false" ht="3" hidden="false" customHeight="true" outlineLevel="0" collapsed="false"/>
    <row r="766" customFormat="false" ht="19.5" hidden="false" customHeight="true" outlineLevel="0" collapsed="false">
      <c r="B766" s="53" t="str">
        <f aca="false">IF(助手回款!$R$53&lt;&gt;"","记  账  凭  证","")</f>
        <v/>
      </c>
      <c r="C766" s="53"/>
      <c r="D766" s="53"/>
      <c r="E766" s="53"/>
      <c r="F766" s="53"/>
      <c r="G766" s="53"/>
      <c r="H766" s="53"/>
      <c r="I766" s="53"/>
    </row>
    <row r="767" customFormat="false" ht="3" hidden="false" customHeight="true" outlineLevel="0" collapsed="false"/>
    <row r="768" customFormat="false" ht="15" hidden="false" customHeight="true" outlineLevel="0" collapsed="false">
      <c r="C768" s="56" t="str">
        <f aca="false">IF(助手回款!$R$53&lt;&gt;"",INDEX(助手回款!$B$2:$B$66,助手回款!$R$53),"")</f>
        <v/>
      </c>
      <c r="D768" s="57" t="str">
        <f aca="false">IF(助手回款!$R$53&lt;&gt;"",参数!$B$2,"")</f>
        <v/>
      </c>
      <c r="E768" s="57"/>
      <c r="F768" s="58" t="str">
        <f aca="false">IF(助手回款!$R$53&lt;&gt;"",INDEX(助手回款!$C$2:$C$66,助手回款!$R$53)&amp;"  字第 "&amp;IF(参数!$B$9="是",INDEX(助手回款!$P$2:$P$66,助手回款!$R$53),"　　　　")&amp;" 号"&amp;IF(INDEX(助手回款!$L$2:$L$66,助手回款!$R$53)&gt;1,"  (共"&amp;INDEX(助手回款!$L$2:$L$66,助手回款!$R$53)&amp;"页 第"&amp;助手回款!$S$53&amp;"页)",""),"")</f>
        <v/>
      </c>
      <c r="G768" s="58"/>
      <c r="H768" s="58"/>
      <c r="I768" s="58"/>
      <c r="M768" s="79" t="str">
        <f aca="false">IF(助手回款!$R$53="","",助手回款!$Q$53)</f>
        <v/>
      </c>
      <c r="N768" s="80" t="str">
        <f aca="false">IF(助手回款!$R$53="","",INDEX(助手回款!$P$2:$P$66,助手回款!$R$53))</f>
        <v/>
      </c>
      <c r="O768" s="55" t="str">
        <f aca="false">IF(助手回款!$R$53="","",INDEX(助手回款!$C$2:$C$66,助手回款!$R$53)&amp;"  字第 "&amp;INDEX(助手回款!$P$2:$P$66,助手回款!$R$53)&amp;" 号"&amp;IF(INDEX(助手回款!$L$2:$L$66,助手回款!$R$53)&gt;1,"  (共"&amp;INDEX(助手回款!$L$2:$L$66,助手回款!$R$53)&amp;"页 第"&amp;助手回款!$S$53&amp;"页)",""))</f>
        <v/>
      </c>
    </row>
    <row r="769" customFormat="false" ht="12.75" hidden="false" customHeight="true" outlineLevel="0" collapsed="false">
      <c r="B769" s="61" t="str">
        <f aca="false">IF(助手回款!$R$53&lt;&gt;"","摘　　要","")</f>
        <v/>
      </c>
      <c r="C769" s="61"/>
      <c r="D769" s="62" t="str">
        <f aca="false">IF(助手回款!$R$53&lt;&gt;"","科　　　　目","")</f>
        <v/>
      </c>
      <c r="E769" s="62"/>
      <c r="F769" s="61" t="str">
        <f aca="false">IF(助手回款!$R$53&lt;&gt;"","借 方 金 额","")</f>
        <v/>
      </c>
      <c r="G769" s="62" t="str">
        <f aca="false">IF(助手回款!$R$53&lt;&gt;"","贷 方 金 额","")</f>
        <v/>
      </c>
      <c r="H769" s="63" t="str">
        <f aca="false">IF(助手回款!$R$53&lt;&gt;"","√","")</f>
        <v/>
      </c>
      <c r="I769" s="64" t="str">
        <f aca="false">IF(助手回款!$R$53&lt;&gt;"","附单据  张","")</f>
        <v/>
      </c>
    </row>
    <row r="770" customFormat="false" ht="12.75" hidden="false" customHeight="true" outlineLevel="0" collapsed="false">
      <c r="B770" s="61"/>
      <c r="C770" s="61"/>
      <c r="D770" s="23" t="str">
        <f aca="false">IF(助手回款!$R$53&lt;&gt;"","总 账 科 目","")</f>
        <v/>
      </c>
      <c r="E770" s="23" t="str">
        <f aca="false">IF(助手回款!$R$53&lt;&gt;"","明 细 科 目","")</f>
        <v/>
      </c>
      <c r="F770" s="65"/>
      <c r="G770" s="66"/>
      <c r="H770" s="63"/>
      <c r="I770" s="64"/>
    </row>
    <row r="771" customFormat="false" ht="23.25" hidden="false" customHeight="true" outlineLevel="0" collapsed="false">
      <c r="B771" s="67" t="str">
        <f aca="false">IFERROR(INDEX(分录回款!$M:$M,MATCH($L771,分录回款!$L:$L,0)),"")</f>
        <v/>
      </c>
      <c r="C771" s="67"/>
      <c r="D771" s="23" t="str">
        <f aca="false">IFERROR(INDEX(分录回款!$E:$E,MATCH($L771,分录回款!$L:$L,0)),"")</f>
        <v/>
      </c>
      <c r="E771" s="23" t="str">
        <f aca="false">IFERROR(INDEX(分录回款!$F:$F,MATCH($L771,分录回款!$L:$L,0)),"")</f>
        <v/>
      </c>
      <c r="F771" s="68" t="str">
        <f aca="false">IFERROR(INDEX(分录回款!$H:$H,MATCH($L771,分录回款!$L:$L,0)),"")</f>
        <v/>
      </c>
      <c r="G771" s="69" t="str">
        <f aca="false">IFERROR(INDEX(分录回款!$I:$I,MATCH($L771,分录回款!$L:$L,0)),"")</f>
        <v/>
      </c>
      <c r="H771" s="23"/>
      <c r="I771" s="70"/>
      <c r="L771" s="71" t="n">
        <f aca="false">IF(助手回款!$R$53="",-1,助手回款!$R$53*100+(助手回款!$S$53-1)*6+1)</f>
        <v>-1</v>
      </c>
    </row>
    <row r="772" customFormat="false" ht="23.25" hidden="false" customHeight="true" outlineLevel="0" collapsed="false">
      <c r="B772" s="67" t="str">
        <f aca="false">""</f>
        <v/>
      </c>
      <c r="C772" s="67"/>
      <c r="D772" s="23" t="str">
        <f aca="false">IFERROR(INDEX(分录回款!$E:$E,MATCH($L772,分录回款!$L:$L,0)),"")</f>
        <v/>
      </c>
      <c r="E772" s="23" t="str">
        <f aca="false">IFERROR(INDEX(分录回款!$F:$F,MATCH($L772,分录回款!$L:$L,0)),"")</f>
        <v/>
      </c>
      <c r="F772" s="68" t="str">
        <f aca="false">IFERROR(INDEX(分录回款!$H:$H,MATCH($L772,分录回款!$L:$L,0)),"")</f>
        <v/>
      </c>
      <c r="G772" s="69" t="str">
        <f aca="false">IFERROR(INDEX(分录回款!$I:$I,MATCH($L772,分录回款!$L:$L,0)),"")</f>
        <v/>
      </c>
      <c r="H772" s="23"/>
      <c r="I772" s="70"/>
      <c r="L772" s="71" t="n">
        <f aca="false">IF(助手回款!$R$53="",-1,助手回款!$R$53*100+(助手回款!$S$53-1)*6+2)</f>
        <v>-1</v>
      </c>
    </row>
    <row r="773" customFormat="false" ht="23.25" hidden="false" customHeight="true" outlineLevel="0" collapsed="false">
      <c r="B773" s="67" t="str">
        <f aca="false">""</f>
        <v/>
      </c>
      <c r="C773" s="67"/>
      <c r="D773" s="23" t="str">
        <f aca="false">IFERROR(INDEX(分录回款!$E:$E,MATCH($L773,分录回款!$L:$L,0)),"")</f>
        <v/>
      </c>
      <c r="E773" s="23" t="str">
        <f aca="false">IFERROR(INDEX(分录回款!$F:$F,MATCH($L773,分录回款!$L:$L,0)),"")</f>
        <v/>
      </c>
      <c r="F773" s="68" t="str">
        <f aca="false">IFERROR(INDEX(分录回款!$H:$H,MATCH($L773,分录回款!$L:$L,0)),"")</f>
        <v/>
      </c>
      <c r="G773" s="69" t="str">
        <f aca="false">IFERROR(INDEX(分录回款!$I:$I,MATCH($L773,分录回款!$L:$L,0)),"")</f>
        <v/>
      </c>
      <c r="H773" s="23"/>
      <c r="I773" s="70"/>
      <c r="L773" s="71" t="n">
        <f aca="false">IF(助手回款!$R$53="",-1,助手回款!$R$53*100+(助手回款!$S$53-1)*6+3)</f>
        <v>-1</v>
      </c>
    </row>
    <row r="774" customFormat="false" ht="23.25" hidden="false" customHeight="true" outlineLevel="0" collapsed="false">
      <c r="B774" s="67" t="str">
        <f aca="false">""</f>
        <v/>
      </c>
      <c r="C774" s="67"/>
      <c r="D774" s="23" t="str">
        <f aca="false">IFERROR(INDEX(分录回款!$E:$E,MATCH($L774,分录回款!$L:$L,0)),"")</f>
        <v/>
      </c>
      <c r="E774" s="23" t="str">
        <f aca="false">IFERROR(INDEX(分录回款!$F:$F,MATCH($L774,分录回款!$L:$L,0)),"")</f>
        <v/>
      </c>
      <c r="F774" s="68" t="str">
        <f aca="false">IFERROR(INDEX(分录回款!$H:$H,MATCH($L774,分录回款!$L:$L,0)),"")</f>
        <v/>
      </c>
      <c r="G774" s="69" t="str">
        <f aca="false">IFERROR(INDEX(分录回款!$I:$I,MATCH($L774,分录回款!$L:$L,0)),"")</f>
        <v/>
      </c>
      <c r="H774" s="23"/>
      <c r="I774" s="70"/>
      <c r="L774" s="71" t="n">
        <f aca="false">IF(助手回款!$R$53="",-1,助手回款!$R$53*100+(助手回款!$S$53-1)*6+4)</f>
        <v>-1</v>
      </c>
    </row>
    <row r="775" customFormat="false" ht="23.25" hidden="false" customHeight="true" outlineLevel="0" collapsed="false">
      <c r="B775" s="67" t="str">
        <f aca="false">""</f>
        <v/>
      </c>
      <c r="C775" s="67"/>
      <c r="D775" s="23" t="str">
        <f aca="false">IFERROR(INDEX(分录回款!$E:$E,MATCH($L775,分录回款!$L:$L,0)),"")</f>
        <v/>
      </c>
      <c r="E775" s="23" t="str">
        <f aca="false">IFERROR(INDEX(分录回款!$F:$F,MATCH($L775,分录回款!$L:$L,0)),"")</f>
        <v/>
      </c>
      <c r="F775" s="68" t="str">
        <f aca="false">IFERROR(INDEX(分录回款!$H:$H,MATCH($L775,分录回款!$L:$L,0)),"")</f>
        <v/>
      </c>
      <c r="G775" s="69" t="str">
        <f aca="false">IFERROR(INDEX(分录回款!$I:$I,MATCH($L775,分录回款!$L:$L,0)),"")</f>
        <v/>
      </c>
      <c r="H775" s="23"/>
      <c r="I775" s="70"/>
      <c r="L775" s="71" t="n">
        <f aca="false">IF(助手回款!$R$53="",-1,助手回款!$R$53*100+(助手回款!$S$53-1)*6+5)</f>
        <v>-1</v>
      </c>
    </row>
    <row r="776" customFormat="false" ht="23.25" hidden="false" customHeight="true" outlineLevel="0" collapsed="false">
      <c r="B776" s="67" t="str">
        <f aca="false">""</f>
        <v/>
      </c>
      <c r="C776" s="67"/>
      <c r="D776" s="23" t="str">
        <f aca="false">IFERROR(INDEX(分录回款!$E:$E,MATCH($L776,分录回款!$L:$L,0)),"")</f>
        <v/>
      </c>
      <c r="E776" s="23" t="str">
        <f aca="false">IFERROR(INDEX(分录回款!$F:$F,MATCH($L776,分录回款!$L:$L,0)),"")</f>
        <v/>
      </c>
      <c r="F776" s="68" t="str">
        <f aca="false">IFERROR(INDEX(分录回款!$H:$H,MATCH($L776,分录回款!$L:$L,0)),"")</f>
        <v/>
      </c>
      <c r="G776" s="69" t="str">
        <f aca="false">IFERROR(INDEX(分录回款!$I:$I,MATCH($L776,分录回款!$L:$L,0)),"")</f>
        <v/>
      </c>
      <c r="H776" s="23"/>
      <c r="I776" s="70"/>
      <c r="L776" s="71" t="n">
        <f aca="false">IF(助手回款!$R$53="",-1,助手回款!$R$53*100+(助手回款!$S$53-1)*6+6)</f>
        <v>-1</v>
      </c>
    </row>
    <row r="777" customFormat="false" ht="23.25" hidden="false" customHeight="true" outlineLevel="0" collapsed="false">
      <c r="B777" s="72" t="str">
        <f aca="false">IF(助手回款!$T$53=1,"合计：","")</f>
        <v/>
      </c>
      <c r="C777" s="73" t="str">
        <f aca="false">IF(助手回款!$T$53=1,$F777,"")</f>
        <v/>
      </c>
      <c r="D777" s="74"/>
      <c r="E777" s="74"/>
      <c r="F777" s="75" t="str">
        <f aca="false">IF(助手回款!$T$53=1,INDEX(助手回款!$N$2:$N$66,助手回款!$R$53),"")</f>
        <v/>
      </c>
      <c r="G777" s="76" t="str">
        <f aca="false">IF(助手回款!$T$53=1,INDEX(助手回款!$O$2:$O$66,助手回款!$R$53),"")</f>
        <v/>
      </c>
      <c r="H777" s="74"/>
      <c r="I777" s="77"/>
    </row>
    <row r="778" customFormat="false" ht="6" hidden="false" customHeight="true" outlineLevel="0" collapsed="false"/>
    <row r="779" customFormat="false" ht="13.5" hidden="false" customHeight="false" outlineLevel="0" collapsed="false">
      <c r="B779" s="78" t="str">
        <f aca="false">IF(助手回款!$R$53&lt;&gt;"","会计主管：","")</f>
        <v/>
      </c>
      <c r="D779" s="78" t="str">
        <f aca="false">IF(助手回款!$R$53&lt;&gt;"","会计：","")</f>
        <v/>
      </c>
      <c r="E779" s="78" t="str">
        <f aca="false">IF(助手回款!$R$53&lt;&gt;"","出纳：","")</f>
        <v/>
      </c>
      <c r="F779" s="78" t="str">
        <f aca="false">IF(助手回款!$R$53&lt;&gt;"","复核：","")</f>
        <v/>
      </c>
      <c r="G779" s="78" t="str">
        <f aca="false">IF(助手回款!$R$53&lt;&gt;"","制单：","")</f>
        <v/>
      </c>
    </row>
    <row r="780" customFormat="false" ht="3" hidden="false" customHeight="true" outlineLevel="0" collapsed="false"/>
    <row r="781" customFormat="false" ht="19.5" hidden="false" customHeight="true" outlineLevel="0" collapsed="false">
      <c r="B781" s="53" t="str">
        <f aca="false">IF(助手回款!$R$54&lt;&gt;"","记  账  凭  证","")</f>
        <v/>
      </c>
      <c r="C781" s="53"/>
      <c r="D781" s="53"/>
      <c r="E781" s="53"/>
      <c r="F781" s="53"/>
      <c r="G781" s="53"/>
      <c r="H781" s="53"/>
      <c r="I781" s="53"/>
    </row>
    <row r="782" customFormat="false" ht="3" hidden="false" customHeight="true" outlineLevel="0" collapsed="false"/>
    <row r="783" customFormat="false" ht="15" hidden="false" customHeight="true" outlineLevel="0" collapsed="false">
      <c r="C783" s="56" t="str">
        <f aca="false">IF(助手回款!$R$54&lt;&gt;"",INDEX(助手回款!$B$2:$B$66,助手回款!$R$54),"")</f>
        <v/>
      </c>
      <c r="D783" s="57" t="str">
        <f aca="false">IF(助手回款!$R$54&lt;&gt;"",参数!$B$2,"")</f>
        <v/>
      </c>
      <c r="E783" s="57"/>
      <c r="F783" s="58" t="str">
        <f aca="false">IF(助手回款!$R$54&lt;&gt;"",INDEX(助手回款!$C$2:$C$66,助手回款!$R$54)&amp;"  字第 "&amp;IF(参数!$B$9="是",INDEX(助手回款!$P$2:$P$66,助手回款!$R$54),"　　　　")&amp;" 号"&amp;IF(INDEX(助手回款!$L$2:$L$66,助手回款!$R$54)&gt;1,"  (共"&amp;INDEX(助手回款!$L$2:$L$66,助手回款!$R$54)&amp;"页 第"&amp;助手回款!$S$54&amp;"页)",""),"")</f>
        <v/>
      </c>
      <c r="G783" s="58"/>
      <c r="H783" s="58"/>
      <c r="I783" s="58"/>
      <c r="M783" s="79" t="str">
        <f aca="false">IF(助手回款!$R$54="","",助手回款!$Q$54)</f>
        <v/>
      </c>
      <c r="N783" s="80" t="str">
        <f aca="false">IF(助手回款!$R$54="","",INDEX(助手回款!$P$2:$P$66,助手回款!$R$54))</f>
        <v/>
      </c>
      <c r="O783" s="55" t="str">
        <f aca="false">IF(助手回款!$R$54="","",INDEX(助手回款!$C$2:$C$66,助手回款!$R$54)&amp;"  字第 "&amp;INDEX(助手回款!$P$2:$P$66,助手回款!$R$54)&amp;" 号"&amp;IF(INDEX(助手回款!$L$2:$L$66,助手回款!$R$54)&gt;1,"  (共"&amp;INDEX(助手回款!$L$2:$L$66,助手回款!$R$54)&amp;"页 第"&amp;助手回款!$S$54&amp;"页)",""))</f>
        <v/>
      </c>
    </row>
    <row r="784" customFormat="false" ht="12.75" hidden="false" customHeight="true" outlineLevel="0" collapsed="false">
      <c r="B784" s="61" t="str">
        <f aca="false">IF(助手回款!$R$54&lt;&gt;"","摘　　要","")</f>
        <v/>
      </c>
      <c r="C784" s="61"/>
      <c r="D784" s="62" t="str">
        <f aca="false">IF(助手回款!$R$54&lt;&gt;"","科　　　　目","")</f>
        <v/>
      </c>
      <c r="E784" s="62"/>
      <c r="F784" s="61" t="str">
        <f aca="false">IF(助手回款!$R$54&lt;&gt;"","借 方 金 额","")</f>
        <v/>
      </c>
      <c r="G784" s="62" t="str">
        <f aca="false">IF(助手回款!$R$54&lt;&gt;"","贷 方 金 额","")</f>
        <v/>
      </c>
      <c r="H784" s="63" t="str">
        <f aca="false">IF(助手回款!$R$54&lt;&gt;"","√","")</f>
        <v/>
      </c>
      <c r="I784" s="64" t="str">
        <f aca="false">IF(助手回款!$R$54&lt;&gt;"","附单据  张","")</f>
        <v/>
      </c>
    </row>
    <row r="785" customFormat="false" ht="12.75" hidden="false" customHeight="true" outlineLevel="0" collapsed="false">
      <c r="B785" s="61"/>
      <c r="C785" s="61"/>
      <c r="D785" s="23" t="str">
        <f aca="false">IF(助手回款!$R$54&lt;&gt;"","总 账 科 目","")</f>
        <v/>
      </c>
      <c r="E785" s="23" t="str">
        <f aca="false">IF(助手回款!$R$54&lt;&gt;"","明 细 科 目","")</f>
        <v/>
      </c>
      <c r="F785" s="65"/>
      <c r="G785" s="66"/>
      <c r="H785" s="63"/>
      <c r="I785" s="64"/>
    </row>
    <row r="786" customFormat="false" ht="23.25" hidden="false" customHeight="true" outlineLevel="0" collapsed="false">
      <c r="B786" s="67" t="str">
        <f aca="false">IFERROR(INDEX(分录回款!$M:$M,MATCH($L786,分录回款!$L:$L,0)),"")</f>
        <v/>
      </c>
      <c r="C786" s="67"/>
      <c r="D786" s="23" t="str">
        <f aca="false">IFERROR(INDEX(分录回款!$E:$E,MATCH($L786,分录回款!$L:$L,0)),"")</f>
        <v/>
      </c>
      <c r="E786" s="23" t="str">
        <f aca="false">IFERROR(INDEX(分录回款!$F:$F,MATCH($L786,分录回款!$L:$L,0)),"")</f>
        <v/>
      </c>
      <c r="F786" s="68" t="str">
        <f aca="false">IFERROR(INDEX(分录回款!$H:$H,MATCH($L786,分录回款!$L:$L,0)),"")</f>
        <v/>
      </c>
      <c r="G786" s="69" t="str">
        <f aca="false">IFERROR(INDEX(分录回款!$I:$I,MATCH($L786,分录回款!$L:$L,0)),"")</f>
        <v/>
      </c>
      <c r="H786" s="23"/>
      <c r="I786" s="70"/>
      <c r="L786" s="71" t="n">
        <f aca="false">IF(助手回款!$R$54="",-1,助手回款!$R$54*100+(助手回款!$S$54-1)*6+1)</f>
        <v>-1</v>
      </c>
    </row>
    <row r="787" customFormat="false" ht="23.25" hidden="false" customHeight="true" outlineLevel="0" collapsed="false">
      <c r="B787" s="67" t="str">
        <f aca="false">""</f>
        <v/>
      </c>
      <c r="C787" s="67"/>
      <c r="D787" s="23" t="str">
        <f aca="false">IFERROR(INDEX(分录回款!$E:$E,MATCH($L787,分录回款!$L:$L,0)),"")</f>
        <v/>
      </c>
      <c r="E787" s="23" t="str">
        <f aca="false">IFERROR(INDEX(分录回款!$F:$F,MATCH($L787,分录回款!$L:$L,0)),"")</f>
        <v/>
      </c>
      <c r="F787" s="68" t="str">
        <f aca="false">IFERROR(INDEX(分录回款!$H:$H,MATCH($L787,分录回款!$L:$L,0)),"")</f>
        <v/>
      </c>
      <c r="G787" s="69" t="str">
        <f aca="false">IFERROR(INDEX(分录回款!$I:$I,MATCH($L787,分录回款!$L:$L,0)),"")</f>
        <v/>
      </c>
      <c r="H787" s="23"/>
      <c r="I787" s="70"/>
      <c r="L787" s="71" t="n">
        <f aca="false">IF(助手回款!$R$54="",-1,助手回款!$R$54*100+(助手回款!$S$54-1)*6+2)</f>
        <v>-1</v>
      </c>
    </row>
    <row r="788" customFormat="false" ht="23.25" hidden="false" customHeight="true" outlineLevel="0" collapsed="false">
      <c r="B788" s="67" t="str">
        <f aca="false">""</f>
        <v/>
      </c>
      <c r="C788" s="67"/>
      <c r="D788" s="23" t="str">
        <f aca="false">IFERROR(INDEX(分录回款!$E:$E,MATCH($L788,分录回款!$L:$L,0)),"")</f>
        <v/>
      </c>
      <c r="E788" s="23" t="str">
        <f aca="false">IFERROR(INDEX(分录回款!$F:$F,MATCH($L788,分录回款!$L:$L,0)),"")</f>
        <v/>
      </c>
      <c r="F788" s="68" t="str">
        <f aca="false">IFERROR(INDEX(分录回款!$H:$H,MATCH($L788,分录回款!$L:$L,0)),"")</f>
        <v/>
      </c>
      <c r="G788" s="69" t="str">
        <f aca="false">IFERROR(INDEX(分录回款!$I:$I,MATCH($L788,分录回款!$L:$L,0)),"")</f>
        <v/>
      </c>
      <c r="H788" s="23"/>
      <c r="I788" s="70"/>
      <c r="L788" s="71" t="n">
        <f aca="false">IF(助手回款!$R$54="",-1,助手回款!$R$54*100+(助手回款!$S$54-1)*6+3)</f>
        <v>-1</v>
      </c>
    </row>
    <row r="789" customFormat="false" ht="23.25" hidden="false" customHeight="true" outlineLevel="0" collapsed="false">
      <c r="B789" s="67" t="str">
        <f aca="false">""</f>
        <v/>
      </c>
      <c r="C789" s="67"/>
      <c r="D789" s="23" t="str">
        <f aca="false">IFERROR(INDEX(分录回款!$E:$E,MATCH($L789,分录回款!$L:$L,0)),"")</f>
        <v/>
      </c>
      <c r="E789" s="23" t="str">
        <f aca="false">IFERROR(INDEX(分录回款!$F:$F,MATCH($L789,分录回款!$L:$L,0)),"")</f>
        <v/>
      </c>
      <c r="F789" s="68" t="str">
        <f aca="false">IFERROR(INDEX(分录回款!$H:$H,MATCH($L789,分录回款!$L:$L,0)),"")</f>
        <v/>
      </c>
      <c r="G789" s="69" t="str">
        <f aca="false">IFERROR(INDEX(分录回款!$I:$I,MATCH($L789,分录回款!$L:$L,0)),"")</f>
        <v/>
      </c>
      <c r="H789" s="23"/>
      <c r="I789" s="70"/>
      <c r="L789" s="71" t="n">
        <f aca="false">IF(助手回款!$R$54="",-1,助手回款!$R$54*100+(助手回款!$S$54-1)*6+4)</f>
        <v>-1</v>
      </c>
    </row>
    <row r="790" customFormat="false" ht="23.25" hidden="false" customHeight="true" outlineLevel="0" collapsed="false">
      <c r="B790" s="67" t="str">
        <f aca="false">""</f>
        <v/>
      </c>
      <c r="C790" s="67"/>
      <c r="D790" s="23" t="str">
        <f aca="false">IFERROR(INDEX(分录回款!$E:$E,MATCH($L790,分录回款!$L:$L,0)),"")</f>
        <v/>
      </c>
      <c r="E790" s="23" t="str">
        <f aca="false">IFERROR(INDEX(分录回款!$F:$F,MATCH($L790,分录回款!$L:$L,0)),"")</f>
        <v/>
      </c>
      <c r="F790" s="68" t="str">
        <f aca="false">IFERROR(INDEX(分录回款!$H:$H,MATCH($L790,分录回款!$L:$L,0)),"")</f>
        <v/>
      </c>
      <c r="G790" s="69" t="str">
        <f aca="false">IFERROR(INDEX(分录回款!$I:$I,MATCH($L790,分录回款!$L:$L,0)),"")</f>
        <v/>
      </c>
      <c r="H790" s="23"/>
      <c r="I790" s="70"/>
      <c r="L790" s="71" t="n">
        <f aca="false">IF(助手回款!$R$54="",-1,助手回款!$R$54*100+(助手回款!$S$54-1)*6+5)</f>
        <v>-1</v>
      </c>
    </row>
    <row r="791" customFormat="false" ht="23.25" hidden="false" customHeight="true" outlineLevel="0" collapsed="false">
      <c r="B791" s="67" t="str">
        <f aca="false">""</f>
        <v/>
      </c>
      <c r="C791" s="67"/>
      <c r="D791" s="23" t="str">
        <f aca="false">IFERROR(INDEX(分录回款!$E:$E,MATCH($L791,分录回款!$L:$L,0)),"")</f>
        <v/>
      </c>
      <c r="E791" s="23" t="str">
        <f aca="false">IFERROR(INDEX(分录回款!$F:$F,MATCH($L791,分录回款!$L:$L,0)),"")</f>
        <v/>
      </c>
      <c r="F791" s="68" t="str">
        <f aca="false">IFERROR(INDEX(分录回款!$H:$H,MATCH($L791,分录回款!$L:$L,0)),"")</f>
        <v/>
      </c>
      <c r="G791" s="69" t="str">
        <f aca="false">IFERROR(INDEX(分录回款!$I:$I,MATCH($L791,分录回款!$L:$L,0)),"")</f>
        <v/>
      </c>
      <c r="H791" s="23"/>
      <c r="I791" s="70"/>
      <c r="L791" s="71" t="n">
        <f aca="false">IF(助手回款!$R$54="",-1,助手回款!$R$54*100+(助手回款!$S$54-1)*6+6)</f>
        <v>-1</v>
      </c>
    </row>
    <row r="792" customFormat="false" ht="23.25" hidden="false" customHeight="true" outlineLevel="0" collapsed="false">
      <c r="B792" s="72" t="str">
        <f aca="false">IF(助手回款!$T$54=1,"合计：","")</f>
        <v/>
      </c>
      <c r="C792" s="73" t="str">
        <f aca="false">IF(助手回款!$T$54=1,$F792,"")</f>
        <v/>
      </c>
      <c r="D792" s="74"/>
      <c r="E792" s="74"/>
      <c r="F792" s="75" t="str">
        <f aca="false">IF(助手回款!$T$54=1,INDEX(助手回款!$N$2:$N$66,助手回款!$R$54),"")</f>
        <v/>
      </c>
      <c r="G792" s="76" t="str">
        <f aca="false">IF(助手回款!$T$54=1,INDEX(助手回款!$O$2:$O$66,助手回款!$R$54),"")</f>
        <v/>
      </c>
      <c r="H792" s="74"/>
      <c r="I792" s="77"/>
    </row>
    <row r="793" customFormat="false" ht="6" hidden="false" customHeight="true" outlineLevel="0" collapsed="false"/>
    <row r="794" customFormat="false" ht="13.5" hidden="false" customHeight="false" outlineLevel="0" collapsed="false">
      <c r="B794" s="78" t="str">
        <f aca="false">IF(助手回款!$R$54&lt;&gt;"","会计主管：","")</f>
        <v/>
      </c>
      <c r="D794" s="78" t="str">
        <f aca="false">IF(助手回款!$R$54&lt;&gt;"","会计：","")</f>
        <v/>
      </c>
      <c r="E794" s="78" t="str">
        <f aca="false">IF(助手回款!$R$54&lt;&gt;"","出纳：","")</f>
        <v/>
      </c>
      <c r="F794" s="78" t="str">
        <f aca="false">IF(助手回款!$R$54&lt;&gt;"","复核：","")</f>
        <v/>
      </c>
      <c r="G794" s="78" t="str">
        <f aca="false">IF(助手回款!$R$54&lt;&gt;"","制单：","")</f>
        <v/>
      </c>
    </row>
    <row r="795" customFormat="false" ht="3" hidden="false" customHeight="true" outlineLevel="0" collapsed="false"/>
    <row r="796" customFormat="false" ht="19.5" hidden="false" customHeight="true" outlineLevel="0" collapsed="false">
      <c r="B796" s="53" t="str">
        <f aca="false">IF(助手回款!$R$55&lt;&gt;"","记  账  凭  证","")</f>
        <v/>
      </c>
      <c r="C796" s="53"/>
      <c r="D796" s="53"/>
      <c r="E796" s="53"/>
      <c r="F796" s="53"/>
      <c r="G796" s="53"/>
      <c r="H796" s="53"/>
      <c r="I796" s="53"/>
    </row>
    <row r="797" customFormat="false" ht="3" hidden="false" customHeight="true" outlineLevel="0" collapsed="false"/>
    <row r="798" customFormat="false" ht="15" hidden="false" customHeight="true" outlineLevel="0" collapsed="false">
      <c r="C798" s="56" t="str">
        <f aca="false">IF(助手回款!$R$55&lt;&gt;"",INDEX(助手回款!$B$2:$B$66,助手回款!$R$55),"")</f>
        <v/>
      </c>
      <c r="D798" s="57" t="str">
        <f aca="false">IF(助手回款!$R$55&lt;&gt;"",参数!$B$2,"")</f>
        <v/>
      </c>
      <c r="E798" s="57"/>
      <c r="F798" s="58" t="str">
        <f aca="false">IF(助手回款!$R$55&lt;&gt;"",INDEX(助手回款!$C$2:$C$66,助手回款!$R$55)&amp;"  字第 "&amp;IF(参数!$B$9="是",INDEX(助手回款!$P$2:$P$66,助手回款!$R$55),"　　　　")&amp;" 号"&amp;IF(INDEX(助手回款!$L$2:$L$66,助手回款!$R$55)&gt;1,"  (共"&amp;INDEX(助手回款!$L$2:$L$66,助手回款!$R$55)&amp;"页 第"&amp;助手回款!$S$55&amp;"页)",""),"")</f>
        <v/>
      </c>
      <c r="G798" s="58"/>
      <c r="H798" s="58"/>
      <c r="I798" s="58"/>
      <c r="M798" s="79" t="str">
        <f aca="false">IF(助手回款!$R$55="","",助手回款!$Q$55)</f>
        <v/>
      </c>
      <c r="N798" s="80" t="str">
        <f aca="false">IF(助手回款!$R$55="","",INDEX(助手回款!$P$2:$P$66,助手回款!$R$55))</f>
        <v/>
      </c>
      <c r="O798" s="55" t="str">
        <f aca="false">IF(助手回款!$R$55="","",INDEX(助手回款!$C$2:$C$66,助手回款!$R$55)&amp;"  字第 "&amp;INDEX(助手回款!$P$2:$P$66,助手回款!$R$55)&amp;" 号"&amp;IF(INDEX(助手回款!$L$2:$L$66,助手回款!$R$55)&gt;1,"  (共"&amp;INDEX(助手回款!$L$2:$L$66,助手回款!$R$55)&amp;"页 第"&amp;助手回款!$S$55&amp;"页)",""))</f>
        <v/>
      </c>
    </row>
    <row r="799" customFormat="false" ht="12.75" hidden="false" customHeight="true" outlineLevel="0" collapsed="false">
      <c r="B799" s="61" t="str">
        <f aca="false">IF(助手回款!$R$55&lt;&gt;"","摘　　要","")</f>
        <v/>
      </c>
      <c r="C799" s="61"/>
      <c r="D799" s="62" t="str">
        <f aca="false">IF(助手回款!$R$55&lt;&gt;"","科　　　　目","")</f>
        <v/>
      </c>
      <c r="E799" s="62"/>
      <c r="F799" s="61" t="str">
        <f aca="false">IF(助手回款!$R$55&lt;&gt;"","借 方 金 额","")</f>
        <v/>
      </c>
      <c r="G799" s="62" t="str">
        <f aca="false">IF(助手回款!$R$55&lt;&gt;"","贷 方 金 额","")</f>
        <v/>
      </c>
      <c r="H799" s="63" t="str">
        <f aca="false">IF(助手回款!$R$55&lt;&gt;"","√","")</f>
        <v/>
      </c>
      <c r="I799" s="64" t="str">
        <f aca="false">IF(助手回款!$R$55&lt;&gt;"","附单据  张","")</f>
        <v/>
      </c>
    </row>
    <row r="800" customFormat="false" ht="12.75" hidden="false" customHeight="true" outlineLevel="0" collapsed="false">
      <c r="B800" s="61"/>
      <c r="C800" s="61"/>
      <c r="D800" s="23" t="str">
        <f aca="false">IF(助手回款!$R$55&lt;&gt;"","总 账 科 目","")</f>
        <v/>
      </c>
      <c r="E800" s="23" t="str">
        <f aca="false">IF(助手回款!$R$55&lt;&gt;"","明 细 科 目","")</f>
        <v/>
      </c>
      <c r="F800" s="65"/>
      <c r="G800" s="66"/>
      <c r="H800" s="63"/>
      <c r="I800" s="64"/>
    </row>
    <row r="801" customFormat="false" ht="23.25" hidden="false" customHeight="true" outlineLevel="0" collapsed="false">
      <c r="B801" s="67" t="str">
        <f aca="false">IFERROR(INDEX(分录回款!$M:$M,MATCH($L801,分录回款!$L:$L,0)),"")</f>
        <v/>
      </c>
      <c r="C801" s="67"/>
      <c r="D801" s="23" t="str">
        <f aca="false">IFERROR(INDEX(分录回款!$E:$E,MATCH($L801,分录回款!$L:$L,0)),"")</f>
        <v/>
      </c>
      <c r="E801" s="23" t="str">
        <f aca="false">IFERROR(INDEX(分录回款!$F:$F,MATCH($L801,分录回款!$L:$L,0)),"")</f>
        <v/>
      </c>
      <c r="F801" s="68" t="str">
        <f aca="false">IFERROR(INDEX(分录回款!$H:$H,MATCH($L801,分录回款!$L:$L,0)),"")</f>
        <v/>
      </c>
      <c r="G801" s="69" t="str">
        <f aca="false">IFERROR(INDEX(分录回款!$I:$I,MATCH($L801,分录回款!$L:$L,0)),"")</f>
        <v/>
      </c>
      <c r="H801" s="23"/>
      <c r="I801" s="70"/>
      <c r="L801" s="71" t="n">
        <f aca="false">IF(助手回款!$R$55="",-1,助手回款!$R$55*100+(助手回款!$S$55-1)*6+1)</f>
        <v>-1</v>
      </c>
    </row>
    <row r="802" customFormat="false" ht="23.25" hidden="false" customHeight="true" outlineLevel="0" collapsed="false">
      <c r="B802" s="67" t="str">
        <f aca="false">""</f>
        <v/>
      </c>
      <c r="C802" s="67"/>
      <c r="D802" s="23" t="str">
        <f aca="false">IFERROR(INDEX(分录回款!$E:$E,MATCH($L802,分录回款!$L:$L,0)),"")</f>
        <v/>
      </c>
      <c r="E802" s="23" t="str">
        <f aca="false">IFERROR(INDEX(分录回款!$F:$F,MATCH($L802,分录回款!$L:$L,0)),"")</f>
        <v/>
      </c>
      <c r="F802" s="68" t="str">
        <f aca="false">IFERROR(INDEX(分录回款!$H:$H,MATCH($L802,分录回款!$L:$L,0)),"")</f>
        <v/>
      </c>
      <c r="G802" s="69" t="str">
        <f aca="false">IFERROR(INDEX(分录回款!$I:$I,MATCH($L802,分录回款!$L:$L,0)),"")</f>
        <v/>
      </c>
      <c r="H802" s="23"/>
      <c r="I802" s="70"/>
      <c r="L802" s="71" t="n">
        <f aca="false">IF(助手回款!$R$55="",-1,助手回款!$R$55*100+(助手回款!$S$55-1)*6+2)</f>
        <v>-1</v>
      </c>
    </row>
    <row r="803" customFormat="false" ht="23.25" hidden="false" customHeight="true" outlineLevel="0" collapsed="false">
      <c r="B803" s="67" t="str">
        <f aca="false">""</f>
        <v/>
      </c>
      <c r="C803" s="67"/>
      <c r="D803" s="23" t="str">
        <f aca="false">IFERROR(INDEX(分录回款!$E:$E,MATCH($L803,分录回款!$L:$L,0)),"")</f>
        <v/>
      </c>
      <c r="E803" s="23" t="str">
        <f aca="false">IFERROR(INDEX(分录回款!$F:$F,MATCH($L803,分录回款!$L:$L,0)),"")</f>
        <v/>
      </c>
      <c r="F803" s="68" t="str">
        <f aca="false">IFERROR(INDEX(分录回款!$H:$H,MATCH($L803,分录回款!$L:$L,0)),"")</f>
        <v/>
      </c>
      <c r="G803" s="69" t="str">
        <f aca="false">IFERROR(INDEX(分录回款!$I:$I,MATCH($L803,分录回款!$L:$L,0)),"")</f>
        <v/>
      </c>
      <c r="H803" s="23"/>
      <c r="I803" s="70"/>
      <c r="L803" s="71" t="n">
        <f aca="false">IF(助手回款!$R$55="",-1,助手回款!$R$55*100+(助手回款!$S$55-1)*6+3)</f>
        <v>-1</v>
      </c>
    </row>
    <row r="804" customFormat="false" ht="23.25" hidden="false" customHeight="true" outlineLevel="0" collapsed="false">
      <c r="B804" s="67" t="str">
        <f aca="false">""</f>
        <v/>
      </c>
      <c r="C804" s="67"/>
      <c r="D804" s="23" t="str">
        <f aca="false">IFERROR(INDEX(分录回款!$E:$E,MATCH($L804,分录回款!$L:$L,0)),"")</f>
        <v/>
      </c>
      <c r="E804" s="23" t="str">
        <f aca="false">IFERROR(INDEX(分录回款!$F:$F,MATCH($L804,分录回款!$L:$L,0)),"")</f>
        <v/>
      </c>
      <c r="F804" s="68" t="str">
        <f aca="false">IFERROR(INDEX(分录回款!$H:$H,MATCH($L804,分录回款!$L:$L,0)),"")</f>
        <v/>
      </c>
      <c r="G804" s="69" t="str">
        <f aca="false">IFERROR(INDEX(分录回款!$I:$I,MATCH($L804,分录回款!$L:$L,0)),"")</f>
        <v/>
      </c>
      <c r="H804" s="23"/>
      <c r="I804" s="70"/>
      <c r="L804" s="71" t="n">
        <f aca="false">IF(助手回款!$R$55="",-1,助手回款!$R$55*100+(助手回款!$S$55-1)*6+4)</f>
        <v>-1</v>
      </c>
    </row>
    <row r="805" customFormat="false" ht="23.25" hidden="false" customHeight="true" outlineLevel="0" collapsed="false">
      <c r="B805" s="67" t="str">
        <f aca="false">""</f>
        <v/>
      </c>
      <c r="C805" s="67"/>
      <c r="D805" s="23" t="str">
        <f aca="false">IFERROR(INDEX(分录回款!$E:$E,MATCH($L805,分录回款!$L:$L,0)),"")</f>
        <v/>
      </c>
      <c r="E805" s="23" t="str">
        <f aca="false">IFERROR(INDEX(分录回款!$F:$F,MATCH($L805,分录回款!$L:$L,0)),"")</f>
        <v/>
      </c>
      <c r="F805" s="68" t="str">
        <f aca="false">IFERROR(INDEX(分录回款!$H:$H,MATCH($L805,分录回款!$L:$L,0)),"")</f>
        <v/>
      </c>
      <c r="G805" s="69" t="str">
        <f aca="false">IFERROR(INDEX(分录回款!$I:$I,MATCH($L805,分录回款!$L:$L,0)),"")</f>
        <v/>
      </c>
      <c r="H805" s="23"/>
      <c r="I805" s="70"/>
      <c r="L805" s="71" t="n">
        <f aca="false">IF(助手回款!$R$55="",-1,助手回款!$R$55*100+(助手回款!$S$55-1)*6+5)</f>
        <v>-1</v>
      </c>
    </row>
    <row r="806" customFormat="false" ht="23.25" hidden="false" customHeight="true" outlineLevel="0" collapsed="false">
      <c r="B806" s="67" t="str">
        <f aca="false">""</f>
        <v/>
      </c>
      <c r="C806" s="67"/>
      <c r="D806" s="23" t="str">
        <f aca="false">IFERROR(INDEX(分录回款!$E:$E,MATCH($L806,分录回款!$L:$L,0)),"")</f>
        <v/>
      </c>
      <c r="E806" s="23" t="str">
        <f aca="false">IFERROR(INDEX(分录回款!$F:$F,MATCH($L806,分录回款!$L:$L,0)),"")</f>
        <v/>
      </c>
      <c r="F806" s="68" t="str">
        <f aca="false">IFERROR(INDEX(分录回款!$H:$H,MATCH($L806,分录回款!$L:$L,0)),"")</f>
        <v/>
      </c>
      <c r="G806" s="69" t="str">
        <f aca="false">IFERROR(INDEX(分录回款!$I:$I,MATCH($L806,分录回款!$L:$L,0)),"")</f>
        <v/>
      </c>
      <c r="H806" s="23"/>
      <c r="I806" s="70"/>
      <c r="L806" s="71" t="n">
        <f aca="false">IF(助手回款!$R$55="",-1,助手回款!$R$55*100+(助手回款!$S$55-1)*6+6)</f>
        <v>-1</v>
      </c>
    </row>
    <row r="807" customFormat="false" ht="23.25" hidden="false" customHeight="true" outlineLevel="0" collapsed="false">
      <c r="B807" s="72" t="str">
        <f aca="false">IF(助手回款!$T$55=1,"合计：","")</f>
        <v/>
      </c>
      <c r="C807" s="73" t="str">
        <f aca="false">IF(助手回款!$T$55=1,$F807,"")</f>
        <v/>
      </c>
      <c r="D807" s="74"/>
      <c r="E807" s="74"/>
      <c r="F807" s="75" t="str">
        <f aca="false">IF(助手回款!$T$55=1,INDEX(助手回款!$N$2:$N$66,助手回款!$R$55),"")</f>
        <v/>
      </c>
      <c r="G807" s="76" t="str">
        <f aca="false">IF(助手回款!$T$55=1,INDEX(助手回款!$O$2:$O$66,助手回款!$R$55),"")</f>
        <v/>
      </c>
      <c r="H807" s="74"/>
      <c r="I807" s="77"/>
    </row>
    <row r="808" customFormat="false" ht="6" hidden="false" customHeight="true" outlineLevel="0" collapsed="false"/>
    <row r="809" customFormat="false" ht="13.5" hidden="false" customHeight="false" outlineLevel="0" collapsed="false">
      <c r="B809" s="78" t="str">
        <f aca="false">IF(助手回款!$R$55&lt;&gt;"","会计主管：","")</f>
        <v/>
      </c>
      <c r="D809" s="78" t="str">
        <f aca="false">IF(助手回款!$R$55&lt;&gt;"","会计：","")</f>
        <v/>
      </c>
      <c r="E809" s="78" t="str">
        <f aca="false">IF(助手回款!$R$55&lt;&gt;"","出纳：","")</f>
        <v/>
      </c>
      <c r="F809" s="78" t="str">
        <f aca="false">IF(助手回款!$R$55&lt;&gt;"","复核：","")</f>
        <v/>
      </c>
      <c r="G809" s="78" t="str">
        <f aca="false">IF(助手回款!$R$55&lt;&gt;"","制单：","")</f>
        <v/>
      </c>
    </row>
    <row r="810" customFormat="false" ht="3" hidden="false" customHeight="true" outlineLevel="0" collapsed="false"/>
    <row r="811" customFormat="false" ht="19.5" hidden="false" customHeight="true" outlineLevel="0" collapsed="false">
      <c r="B811" s="53" t="str">
        <f aca="false">IF(助手回款!$R$56&lt;&gt;"","记  账  凭  证","")</f>
        <v/>
      </c>
      <c r="C811" s="53"/>
      <c r="D811" s="53"/>
      <c r="E811" s="53"/>
      <c r="F811" s="53"/>
      <c r="G811" s="53"/>
      <c r="H811" s="53"/>
      <c r="I811" s="53"/>
    </row>
    <row r="812" customFormat="false" ht="3" hidden="false" customHeight="true" outlineLevel="0" collapsed="false"/>
    <row r="813" customFormat="false" ht="15" hidden="false" customHeight="true" outlineLevel="0" collapsed="false">
      <c r="C813" s="56" t="str">
        <f aca="false">IF(助手回款!$R$56&lt;&gt;"",INDEX(助手回款!$B$2:$B$66,助手回款!$R$56),"")</f>
        <v/>
      </c>
      <c r="D813" s="57" t="str">
        <f aca="false">IF(助手回款!$R$56&lt;&gt;"",参数!$B$2,"")</f>
        <v/>
      </c>
      <c r="E813" s="57"/>
      <c r="F813" s="58" t="str">
        <f aca="false">IF(助手回款!$R$56&lt;&gt;"",INDEX(助手回款!$C$2:$C$66,助手回款!$R$56)&amp;"  字第 "&amp;IF(参数!$B$9="是",INDEX(助手回款!$P$2:$P$66,助手回款!$R$56),"　　　　")&amp;" 号"&amp;IF(INDEX(助手回款!$L$2:$L$66,助手回款!$R$56)&gt;1,"  (共"&amp;INDEX(助手回款!$L$2:$L$66,助手回款!$R$56)&amp;"页 第"&amp;助手回款!$S$56&amp;"页)",""),"")</f>
        <v/>
      </c>
      <c r="G813" s="58"/>
      <c r="H813" s="58"/>
      <c r="I813" s="58"/>
      <c r="M813" s="79" t="str">
        <f aca="false">IF(助手回款!$R$56="","",助手回款!$Q$56)</f>
        <v/>
      </c>
      <c r="N813" s="80" t="str">
        <f aca="false">IF(助手回款!$R$56="","",INDEX(助手回款!$P$2:$P$66,助手回款!$R$56))</f>
        <v/>
      </c>
      <c r="O813" s="55" t="str">
        <f aca="false">IF(助手回款!$R$56="","",INDEX(助手回款!$C$2:$C$66,助手回款!$R$56)&amp;"  字第 "&amp;INDEX(助手回款!$P$2:$P$66,助手回款!$R$56)&amp;" 号"&amp;IF(INDEX(助手回款!$L$2:$L$66,助手回款!$R$56)&gt;1,"  (共"&amp;INDEX(助手回款!$L$2:$L$66,助手回款!$R$56)&amp;"页 第"&amp;助手回款!$S$56&amp;"页)",""))</f>
        <v/>
      </c>
    </row>
    <row r="814" customFormat="false" ht="12.75" hidden="false" customHeight="true" outlineLevel="0" collapsed="false">
      <c r="B814" s="61" t="str">
        <f aca="false">IF(助手回款!$R$56&lt;&gt;"","摘　　要","")</f>
        <v/>
      </c>
      <c r="C814" s="61"/>
      <c r="D814" s="62" t="str">
        <f aca="false">IF(助手回款!$R$56&lt;&gt;"","科　　　　目","")</f>
        <v/>
      </c>
      <c r="E814" s="62"/>
      <c r="F814" s="61" t="str">
        <f aca="false">IF(助手回款!$R$56&lt;&gt;"","借 方 金 额","")</f>
        <v/>
      </c>
      <c r="G814" s="62" t="str">
        <f aca="false">IF(助手回款!$R$56&lt;&gt;"","贷 方 金 额","")</f>
        <v/>
      </c>
      <c r="H814" s="63" t="str">
        <f aca="false">IF(助手回款!$R$56&lt;&gt;"","√","")</f>
        <v/>
      </c>
      <c r="I814" s="64" t="str">
        <f aca="false">IF(助手回款!$R$56&lt;&gt;"","附单据  张","")</f>
        <v/>
      </c>
    </row>
    <row r="815" customFormat="false" ht="12.75" hidden="false" customHeight="true" outlineLevel="0" collapsed="false">
      <c r="B815" s="61"/>
      <c r="C815" s="61"/>
      <c r="D815" s="23" t="str">
        <f aca="false">IF(助手回款!$R$56&lt;&gt;"","总 账 科 目","")</f>
        <v/>
      </c>
      <c r="E815" s="23" t="str">
        <f aca="false">IF(助手回款!$R$56&lt;&gt;"","明 细 科 目","")</f>
        <v/>
      </c>
      <c r="F815" s="65"/>
      <c r="G815" s="66"/>
      <c r="H815" s="63"/>
      <c r="I815" s="64"/>
    </row>
    <row r="816" customFormat="false" ht="23.25" hidden="false" customHeight="true" outlineLevel="0" collapsed="false">
      <c r="B816" s="67" t="str">
        <f aca="false">IFERROR(INDEX(分录回款!$M:$M,MATCH($L816,分录回款!$L:$L,0)),"")</f>
        <v/>
      </c>
      <c r="C816" s="67"/>
      <c r="D816" s="23" t="str">
        <f aca="false">IFERROR(INDEX(分录回款!$E:$E,MATCH($L816,分录回款!$L:$L,0)),"")</f>
        <v/>
      </c>
      <c r="E816" s="23" t="str">
        <f aca="false">IFERROR(INDEX(分录回款!$F:$F,MATCH($L816,分录回款!$L:$L,0)),"")</f>
        <v/>
      </c>
      <c r="F816" s="68" t="str">
        <f aca="false">IFERROR(INDEX(分录回款!$H:$H,MATCH($L816,分录回款!$L:$L,0)),"")</f>
        <v/>
      </c>
      <c r="G816" s="69" t="str">
        <f aca="false">IFERROR(INDEX(分录回款!$I:$I,MATCH($L816,分录回款!$L:$L,0)),"")</f>
        <v/>
      </c>
      <c r="H816" s="23"/>
      <c r="I816" s="70"/>
      <c r="L816" s="71" t="n">
        <f aca="false">IF(助手回款!$R$56="",-1,助手回款!$R$56*100+(助手回款!$S$56-1)*6+1)</f>
        <v>-1</v>
      </c>
    </row>
    <row r="817" customFormat="false" ht="23.25" hidden="false" customHeight="true" outlineLevel="0" collapsed="false">
      <c r="B817" s="67" t="str">
        <f aca="false">""</f>
        <v/>
      </c>
      <c r="C817" s="67"/>
      <c r="D817" s="23" t="str">
        <f aca="false">IFERROR(INDEX(分录回款!$E:$E,MATCH($L817,分录回款!$L:$L,0)),"")</f>
        <v/>
      </c>
      <c r="E817" s="23" t="str">
        <f aca="false">IFERROR(INDEX(分录回款!$F:$F,MATCH($L817,分录回款!$L:$L,0)),"")</f>
        <v/>
      </c>
      <c r="F817" s="68" t="str">
        <f aca="false">IFERROR(INDEX(分录回款!$H:$H,MATCH($L817,分录回款!$L:$L,0)),"")</f>
        <v/>
      </c>
      <c r="G817" s="69" t="str">
        <f aca="false">IFERROR(INDEX(分录回款!$I:$I,MATCH($L817,分录回款!$L:$L,0)),"")</f>
        <v/>
      </c>
      <c r="H817" s="23"/>
      <c r="I817" s="70"/>
      <c r="L817" s="71" t="n">
        <f aca="false">IF(助手回款!$R$56="",-1,助手回款!$R$56*100+(助手回款!$S$56-1)*6+2)</f>
        <v>-1</v>
      </c>
    </row>
    <row r="818" customFormat="false" ht="23.25" hidden="false" customHeight="true" outlineLevel="0" collapsed="false">
      <c r="B818" s="67" t="str">
        <f aca="false">""</f>
        <v/>
      </c>
      <c r="C818" s="67"/>
      <c r="D818" s="23" t="str">
        <f aca="false">IFERROR(INDEX(分录回款!$E:$E,MATCH($L818,分录回款!$L:$L,0)),"")</f>
        <v/>
      </c>
      <c r="E818" s="23" t="str">
        <f aca="false">IFERROR(INDEX(分录回款!$F:$F,MATCH($L818,分录回款!$L:$L,0)),"")</f>
        <v/>
      </c>
      <c r="F818" s="68" t="str">
        <f aca="false">IFERROR(INDEX(分录回款!$H:$H,MATCH($L818,分录回款!$L:$L,0)),"")</f>
        <v/>
      </c>
      <c r="G818" s="69" t="str">
        <f aca="false">IFERROR(INDEX(分录回款!$I:$I,MATCH($L818,分录回款!$L:$L,0)),"")</f>
        <v/>
      </c>
      <c r="H818" s="23"/>
      <c r="I818" s="70"/>
      <c r="L818" s="71" t="n">
        <f aca="false">IF(助手回款!$R$56="",-1,助手回款!$R$56*100+(助手回款!$S$56-1)*6+3)</f>
        <v>-1</v>
      </c>
    </row>
    <row r="819" customFormat="false" ht="23.25" hidden="false" customHeight="true" outlineLevel="0" collapsed="false">
      <c r="B819" s="67" t="str">
        <f aca="false">""</f>
        <v/>
      </c>
      <c r="C819" s="67"/>
      <c r="D819" s="23" t="str">
        <f aca="false">IFERROR(INDEX(分录回款!$E:$E,MATCH($L819,分录回款!$L:$L,0)),"")</f>
        <v/>
      </c>
      <c r="E819" s="23" t="str">
        <f aca="false">IFERROR(INDEX(分录回款!$F:$F,MATCH($L819,分录回款!$L:$L,0)),"")</f>
        <v/>
      </c>
      <c r="F819" s="68" t="str">
        <f aca="false">IFERROR(INDEX(分录回款!$H:$H,MATCH($L819,分录回款!$L:$L,0)),"")</f>
        <v/>
      </c>
      <c r="G819" s="69" t="str">
        <f aca="false">IFERROR(INDEX(分录回款!$I:$I,MATCH($L819,分录回款!$L:$L,0)),"")</f>
        <v/>
      </c>
      <c r="H819" s="23"/>
      <c r="I819" s="70"/>
      <c r="L819" s="71" t="n">
        <f aca="false">IF(助手回款!$R$56="",-1,助手回款!$R$56*100+(助手回款!$S$56-1)*6+4)</f>
        <v>-1</v>
      </c>
    </row>
    <row r="820" customFormat="false" ht="23.25" hidden="false" customHeight="true" outlineLevel="0" collapsed="false">
      <c r="B820" s="67" t="str">
        <f aca="false">""</f>
        <v/>
      </c>
      <c r="C820" s="67"/>
      <c r="D820" s="23" t="str">
        <f aca="false">IFERROR(INDEX(分录回款!$E:$E,MATCH($L820,分录回款!$L:$L,0)),"")</f>
        <v/>
      </c>
      <c r="E820" s="23" t="str">
        <f aca="false">IFERROR(INDEX(分录回款!$F:$F,MATCH($L820,分录回款!$L:$L,0)),"")</f>
        <v/>
      </c>
      <c r="F820" s="68" t="str">
        <f aca="false">IFERROR(INDEX(分录回款!$H:$H,MATCH($L820,分录回款!$L:$L,0)),"")</f>
        <v/>
      </c>
      <c r="G820" s="69" t="str">
        <f aca="false">IFERROR(INDEX(分录回款!$I:$I,MATCH($L820,分录回款!$L:$L,0)),"")</f>
        <v/>
      </c>
      <c r="H820" s="23"/>
      <c r="I820" s="70"/>
      <c r="L820" s="71" t="n">
        <f aca="false">IF(助手回款!$R$56="",-1,助手回款!$R$56*100+(助手回款!$S$56-1)*6+5)</f>
        <v>-1</v>
      </c>
    </row>
    <row r="821" customFormat="false" ht="23.25" hidden="false" customHeight="true" outlineLevel="0" collapsed="false">
      <c r="B821" s="67" t="str">
        <f aca="false">""</f>
        <v/>
      </c>
      <c r="C821" s="67"/>
      <c r="D821" s="23" t="str">
        <f aca="false">IFERROR(INDEX(分录回款!$E:$E,MATCH($L821,分录回款!$L:$L,0)),"")</f>
        <v/>
      </c>
      <c r="E821" s="23" t="str">
        <f aca="false">IFERROR(INDEX(分录回款!$F:$F,MATCH($L821,分录回款!$L:$L,0)),"")</f>
        <v/>
      </c>
      <c r="F821" s="68" t="str">
        <f aca="false">IFERROR(INDEX(分录回款!$H:$H,MATCH($L821,分录回款!$L:$L,0)),"")</f>
        <v/>
      </c>
      <c r="G821" s="69" t="str">
        <f aca="false">IFERROR(INDEX(分录回款!$I:$I,MATCH($L821,分录回款!$L:$L,0)),"")</f>
        <v/>
      </c>
      <c r="H821" s="23"/>
      <c r="I821" s="70"/>
      <c r="L821" s="71" t="n">
        <f aca="false">IF(助手回款!$R$56="",-1,助手回款!$R$56*100+(助手回款!$S$56-1)*6+6)</f>
        <v>-1</v>
      </c>
    </row>
    <row r="822" customFormat="false" ht="23.25" hidden="false" customHeight="true" outlineLevel="0" collapsed="false">
      <c r="B822" s="72" t="str">
        <f aca="false">IF(助手回款!$T$56=1,"合计：","")</f>
        <v/>
      </c>
      <c r="C822" s="73" t="str">
        <f aca="false">IF(助手回款!$T$56=1,$F822,"")</f>
        <v/>
      </c>
      <c r="D822" s="74"/>
      <c r="E822" s="74"/>
      <c r="F822" s="75" t="str">
        <f aca="false">IF(助手回款!$T$56=1,INDEX(助手回款!$N$2:$N$66,助手回款!$R$56),"")</f>
        <v/>
      </c>
      <c r="G822" s="76" t="str">
        <f aca="false">IF(助手回款!$T$56=1,INDEX(助手回款!$O$2:$O$66,助手回款!$R$56),"")</f>
        <v/>
      </c>
      <c r="H822" s="74"/>
      <c r="I822" s="77"/>
    </row>
    <row r="823" customFormat="false" ht="6" hidden="false" customHeight="true" outlineLevel="0" collapsed="false"/>
    <row r="824" customFormat="false" ht="13.5" hidden="false" customHeight="false" outlineLevel="0" collapsed="false">
      <c r="B824" s="78" t="str">
        <f aca="false">IF(助手回款!$R$56&lt;&gt;"","会计主管：","")</f>
        <v/>
      </c>
      <c r="D824" s="78" t="str">
        <f aca="false">IF(助手回款!$R$56&lt;&gt;"","会计：","")</f>
        <v/>
      </c>
      <c r="E824" s="78" t="str">
        <f aca="false">IF(助手回款!$R$56&lt;&gt;"","出纳：","")</f>
        <v/>
      </c>
      <c r="F824" s="78" t="str">
        <f aca="false">IF(助手回款!$R$56&lt;&gt;"","复核：","")</f>
        <v/>
      </c>
      <c r="G824" s="78" t="str">
        <f aca="false">IF(助手回款!$R$56&lt;&gt;"","制单：","")</f>
        <v/>
      </c>
    </row>
    <row r="825" customFormat="false" ht="3" hidden="false" customHeight="true" outlineLevel="0" collapsed="false"/>
    <row r="826" customFormat="false" ht="19.5" hidden="false" customHeight="true" outlineLevel="0" collapsed="false">
      <c r="B826" s="53" t="str">
        <f aca="false">IF(助手回款!$R$57&lt;&gt;"","记  账  凭  证","")</f>
        <v/>
      </c>
      <c r="C826" s="53"/>
      <c r="D826" s="53"/>
      <c r="E826" s="53"/>
      <c r="F826" s="53"/>
      <c r="G826" s="53"/>
      <c r="H826" s="53"/>
      <c r="I826" s="53"/>
    </row>
    <row r="827" customFormat="false" ht="3" hidden="false" customHeight="true" outlineLevel="0" collapsed="false"/>
    <row r="828" customFormat="false" ht="15" hidden="false" customHeight="true" outlineLevel="0" collapsed="false">
      <c r="C828" s="56" t="str">
        <f aca="false">IF(助手回款!$R$57&lt;&gt;"",INDEX(助手回款!$B$2:$B$66,助手回款!$R$57),"")</f>
        <v/>
      </c>
      <c r="D828" s="57" t="str">
        <f aca="false">IF(助手回款!$R$57&lt;&gt;"",参数!$B$2,"")</f>
        <v/>
      </c>
      <c r="E828" s="57"/>
      <c r="F828" s="58" t="str">
        <f aca="false">IF(助手回款!$R$57&lt;&gt;"",INDEX(助手回款!$C$2:$C$66,助手回款!$R$57)&amp;"  字第 "&amp;IF(参数!$B$9="是",INDEX(助手回款!$P$2:$P$66,助手回款!$R$57),"　　　　")&amp;" 号"&amp;IF(INDEX(助手回款!$L$2:$L$66,助手回款!$R$57)&gt;1,"  (共"&amp;INDEX(助手回款!$L$2:$L$66,助手回款!$R$57)&amp;"页 第"&amp;助手回款!$S$57&amp;"页)",""),"")</f>
        <v/>
      </c>
      <c r="G828" s="58"/>
      <c r="H828" s="58"/>
      <c r="I828" s="58"/>
      <c r="M828" s="79" t="str">
        <f aca="false">IF(助手回款!$R$57="","",助手回款!$Q$57)</f>
        <v/>
      </c>
      <c r="N828" s="80" t="str">
        <f aca="false">IF(助手回款!$R$57="","",INDEX(助手回款!$P$2:$P$66,助手回款!$R$57))</f>
        <v/>
      </c>
      <c r="O828" s="55" t="str">
        <f aca="false">IF(助手回款!$R$57="","",INDEX(助手回款!$C$2:$C$66,助手回款!$R$57)&amp;"  字第 "&amp;INDEX(助手回款!$P$2:$P$66,助手回款!$R$57)&amp;" 号"&amp;IF(INDEX(助手回款!$L$2:$L$66,助手回款!$R$57)&gt;1,"  (共"&amp;INDEX(助手回款!$L$2:$L$66,助手回款!$R$57)&amp;"页 第"&amp;助手回款!$S$57&amp;"页)",""))</f>
        <v/>
      </c>
    </row>
    <row r="829" customFormat="false" ht="12.75" hidden="false" customHeight="true" outlineLevel="0" collapsed="false">
      <c r="B829" s="61" t="str">
        <f aca="false">IF(助手回款!$R$57&lt;&gt;"","摘　　要","")</f>
        <v/>
      </c>
      <c r="C829" s="61"/>
      <c r="D829" s="62" t="str">
        <f aca="false">IF(助手回款!$R$57&lt;&gt;"","科　　　　目","")</f>
        <v/>
      </c>
      <c r="E829" s="62"/>
      <c r="F829" s="61" t="str">
        <f aca="false">IF(助手回款!$R$57&lt;&gt;"","借 方 金 额","")</f>
        <v/>
      </c>
      <c r="G829" s="62" t="str">
        <f aca="false">IF(助手回款!$R$57&lt;&gt;"","贷 方 金 额","")</f>
        <v/>
      </c>
      <c r="H829" s="63" t="str">
        <f aca="false">IF(助手回款!$R$57&lt;&gt;"","√","")</f>
        <v/>
      </c>
      <c r="I829" s="64" t="str">
        <f aca="false">IF(助手回款!$R$57&lt;&gt;"","附单据  张","")</f>
        <v/>
      </c>
    </row>
    <row r="830" customFormat="false" ht="12.75" hidden="false" customHeight="true" outlineLevel="0" collapsed="false">
      <c r="B830" s="61"/>
      <c r="C830" s="61"/>
      <c r="D830" s="23" t="str">
        <f aca="false">IF(助手回款!$R$57&lt;&gt;"","总 账 科 目","")</f>
        <v/>
      </c>
      <c r="E830" s="23" t="str">
        <f aca="false">IF(助手回款!$R$57&lt;&gt;"","明 细 科 目","")</f>
        <v/>
      </c>
      <c r="F830" s="65"/>
      <c r="G830" s="66"/>
      <c r="H830" s="63"/>
      <c r="I830" s="64"/>
    </row>
    <row r="831" customFormat="false" ht="23.25" hidden="false" customHeight="true" outlineLevel="0" collapsed="false">
      <c r="B831" s="67" t="str">
        <f aca="false">IFERROR(INDEX(分录回款!$M:$M,MATCH($L831,分录回款!$L:$L,0)),"")</f>
        <v/>
      </c>
      <c r="C831" s="67"/>
      <c r="D831" s="23" t="str">
        <f aca="false">IFERROR(INDEX(分录回款!$E:$E,MATCH($L831,分录回款!$L:$L,0)),"")</f>
        <v/>
      </c>
      <c r="E831" s="23" t="str">
        <f aca="false">IFERROR(INDEX(分录回款!$F:$F,MATCH($L831,分录回款!$L:$L,0)),"")</f>
        <v/>
      </c>
      <c r="F831" s="68" t="str">
        <f aca="false">IFERROR(INDEX(分录回款!$H:$H,MATCH($L831,分录回款!$L:$L,0)),"")</f>
        <v/>
      </c>
      <c r="G831" s="69" t="str">
        <f aca="false">IFERROR(INDEX(分录回款!$I:$I,MATCH($L831,分录回款!$L:$L,0)),"")</f>
        <v/>
      </c>
      <c r="H831" s="23"/>
      <c r="I831" s="70"/>
      <c r="L831" s="71" t="n">
        <f aca="false">IF(助手回款!$R$57="",-1,助手回款!$R$57*100+(助手回款!$S$57-1)*6+1)</f>
        <v>-1</v>
      </c>
    </row>
    <row r="832" customFormat="false" ht="23.25" hidden="false" customHeight="true" outlineLevel="0" collapsed="false">
      <c r="B832" s="67" t="str">
        <f aca="false">""</f>
        <v/>
      </c>
      <c r="C832" s="67"/>
      <c r="D832" s="23" t="str">
        <f aca="false">IFERROR(INDEX(分录回款!$E:$E,MATCH($L832,分录回款!$L:$L,0)),"")</f>
        <v/>
      </c>
      <c r="E832" s="23" t="str">
        <f aca="false">IFERROR(INDEX(分录回款!$F:$F,MATCH($L832,分录回款!$L:$L,0)),"")</f>
        <v/>
      </c>
      <c r="F832" s="68" t="str">
        <f aca="false">IFERROR(INDEX(分录回款!$H:$H,MATCH($L832,分录回款!$L:$L,0)),"")</f>
        <v/>
      </c>
      <c r="G832" s="69" t="str">
        <f aca="false">IFERROR(INDEX(分录回款!$I:$I,MATCH($L832,分录回款!$L:$L,0)),"")</f>
        <v/>
      </c>
      <c r="H832" s="23"/>
      <c r="I832" s="70"/>
      <c r="L832" s="71" t="n">
        <f aca="false">IF(助手回款!$R$57="",-1,助手回款!$R$57*100+(助手回款!$S$57-1)*6+2)</f>
        <v>-1</v>
      </c>
    </row>
    <row r="833" customFormat="false" ht="23.25" hidden="false" customHeight="true" outlineLevel="0" collapsed="false">
      <c r="B833" s="67" t="str">
        <f aca="false">""</f>
        <v/>
      </c>
      <c r="C833" s="67"/>
      <c r="D833" s="23" t="str">
        <f aca="false">IFERROR(INDEX(分录回款!$E:$E,MATCH($L833,分录回款!$L:$L,0)),"")</f>
        <v/>
      </c>
      <c r="E833" s="23" t="str">
        <f aca="false">IFERROR(INDEX(分录回款!$F:$F,MATCH($L833,分录回款!$L:$L,0)),"")</f>
        <v/>
      </c>
      <c r="F833" s="68" t="str">
        <f aca="false">IFERROR(INDEX(分录回款!$H:$H,MATCH($L833,分录回款!$L:$L,0)),"")</f>
        <v/>
      </c>
      <c r="G833" s="69" t="str">
        <f aca="false">IFERROR(INDEX(分录回款!$I:$I,MATCH($L833,分录回款!$L:$L,0)),"")</f>
        <v/>
      </c>
      <c r="H833" s="23"/>
      <c r="I833" s="70"/>
      <c r="L833" s="71" t="n">
        <f aca="false">IF(助手回款!$R$57="",-1,助手回款!$R$57*100+(助手回款!$S$57-1)*6+3)</f>
        <v>-1</v>
      </c>
    </row>
    <row r="834" customFormat="false" ht="23.25" hidden="false" customHeight="true" outlineLevel="0" collapsed="false">
      <c r="B834" s="67" t="str">
        <f aca="false">""</f>
        <v/>
      </c>
      <c r="C834" s="67"/>
      <c r="D834" s="23" t="str">
        <f aca="false">IFERROR(INDEX(分录回款!$E:$E,MATCH($L834,分录回款!$L:$L,0)),"")</f>
        <v/>
      </c>
      <c r="E834" s="23" t="str">
        <f aca="false">IFERROR(INDEX(分录回款!$F:$F,MATCH($L834,分录回款!$L:$L,0)),"")</f>
        <v/>
      </c>
      <c r="F834" s="68" t="str">
        <f aca="false">IFERROR(INDEX(分录回款!$H:$H,MATCH($L834,分录回款!$L:$L,0)),"")</f>
        <v/>
      </c>
      <c r="G834" s="69" t="str">
        <f aca="false">IFERROR(INDEX(分录回款!$I:$I,MATCH($L834,分录回款!$L:$L,0)),"")</f>
        <v/>
      </c>
      <c r="H834" s="23"/>
      <c r="I834" s="70"/>
      <c r="L834" s="71" t="n">
        <f aca="false">IF(助手回款!$R$57="",-1,助手回款!$R$57*100+(助手回款!$S$57-1)*6+4)</f>
        <v>-1</v>
      </c>
    </row>
    <row r="835" customFormat="false" ht="23.25" hidden="false" customHeight="true" outlineLevel="0" collapsed="false">
      <c r="B835" s="67" t="str">
        <f aca="false">""</f>
        <v/>
      </c>
      <c r="C835" s="67"/>
      <c r="D835" s="23" t="str">
        <f aca="false">IFERROR(INDEX(分录回款!$E:$E,MATCH($L835,分录回款!$L:$L,0)),"")</f>
        <v/>
      </c>
      <c r="E835" s="23" t="str">
        <f aca="false">IFERROR(INDEX(分录回款!$F:$F,MATCH($L835,分录回款!$L:$L,0)),"")</f>
        <v/>
      </c>
      <c r="F835" s="68" t="str">
        <f aca="false">IFERROR(INDEX(分录回款!$H:$H,MATCH($L835,分录回款!$L:$L,0)),"")</f>
        <v/>
      </c>
      <c r="G835" s="69" t="str">
        <f aca="false">IFERROR(INDEX(分录回款!$I:$I,MATCH($L835,分录回款!$L:$L,0)),"")</f>
        <v/>
      </c>
      <c r="H835" s="23"/>
      <c r="I835" s="70"/>
      <c r="L835" s="71" t="n">
        <f aca="false">IF(助手回款!$R$57="",-1,助手回款!$R$57*100+(助手回款!$S$57-1)*6+5)</f>
        <v>-1</v>
      </c>
    </row>
    <row r="836" customFormat="false" ht="23.25" hidden="false" customHeight="true" outlineLevel="0" collapsed="false">
      <c r="B836" s="67" t="str">
        <f aca="false">""</f>
        <v/>
      </c>
      <c r="C836" s="67"/>
      <c r="D836" s="23" t="str">
        <f aca="false">IFERROR(INDEX(分录回款!$E:$E,MATCH($L836,分录回款!$L:$L,0)),"")</f>
        <v/>
      </c>
      <c r="E836" s="23" t="str">
        <f aca="false">IFERROR(INDEX(分录回款!$F:$F,MATCH($L836,分录回款!$L:$L,0)),"")</f>
        <v/>
      </c>
      <c r="F836" s="68" t="str">
        <f aca="false">IFERROR(INDEX(分录回款!$H:$H,MATCH($L836,分录回款!$L:$L,0)),"")</f>
        <v/>
      </c>
      <c r="G836" s="69" t="str">
        <f aca="false">IFERROR(INDEX(分录回款!$I:$I,MATCH($L836,分录回款!$L:$L,0)),"")</f>
        <v/>
      </c>
      <c r="H836" s="23"/>
      <c r="I836" s="70"/>
      <c r="L836" s="71" t="n">
        <f aca="false">IF(助手回款!$R$57="",-1,助手回款!$R$57*100+(助手回款!$S$57-1)*6+6)</f>
        <v>-1</v>
      </c>
    </row>
    <row r="837" customFormat="false" ht="23.25" hidden="false" customHeight="true" outlineLevel="0" collapsed="false">
      <c r="B837" s="72" t="str">
        <f aca="false">IF(助手回款!$T$57=1,"合计：","")</f>
        <v/>
      </c>
      <c r="C837" s="73" t="str">
        <f aca="false">IF(助手回款!$T$57=1,$F837,"")</f>
        <v/>
      </c>
      <c r="D837" s="74"/>
      <c r="E837" s="74"/>
      <c r="F837" s="75" t="str">
        <f aca="false">IF(助手回款!$T$57=1,INDEX(助手回款!$N$2:$N$66,助手回款!$R$57),"")</f>
        <v/>
      </c>
      <c r="G837" s="76" t="str">
        <f aca="false">IF(助手回款!$T$57=1,INDEX(助手回款!$O$2:$O$66,助手回款!$R$57),"")</f>
        <v/>
      </c>
      <c r="H837" s="74"/>
      <c r="I837" s="77"/>
    </row>
    <row r="838" customFormat="false" ht="6" hidden="false" customHeight="true" outlineLevel="0" collapsed="false"/>
    <row r="839" customFormat="false" ht="13.5" hidden="false" customHeight="false" outlineLevel="0" collapsed="false">
      <c r="B839" s="78" t="str">
        <f aca="false">IF(助手回款!$R$57&lt;&gt;"","会计主管：","")</f>
        <v/>
      </c>
      <c r="D839" s="78" t="str">
        <f aca="false">IF(助手回款!$R$57&lt;&gt;"","会计：","")</f>
        <v/>
      </c>
      <c r="E839" s="78" t="str">
        <f aca="false">IF(助手回款!$R$57&lt;&gt;"","出纳：","")</f>
        <v/>
      </c>
      <c r="F839" s="78" t="str">
        <f aca="false">IF(助手回款!$R$57&lt;&gt;"","复核：","")</f>
        <v/>
      </c>
      <c r="G839" s="78" t="str">
        <f aca="false">IF(助手回款!$R$57&lt;&gt;"","制单：","")</f>
        <v/>
      </c>
    </row>
    <row r="840" customFormat="false" ht="3" hidden="false" customHeight="true" outlineLevel="0" collapsed="false"/>
    <row r="841" customFormat="false" ht="19.5" hidden="false" customHeight="true" outlineLevel="0" collapsed="false">
      <c r="B841" s="53" t="str">
        <f aca="false">IF(助手回款!$R$58&lt;&gt;"","记  账  凭  证","")</f>
        <v/>
      </c>
      <c r="C841" s="53"/>
      <c r="D841" s="53"/>
      <c r="E841" s="53"/>
      <c r="F841" s="53"/>
      <c r="G841" s="53"/>
      <c r="H841" s="53"/>
      <c r="I841" s="53"/>
    </row>
    <row r="842" customFormat="false" ht="3" hidden="false" customHeight="true" outlineLevel="0" collapsed="false"/>
    <row r="843" customFormat="false" ht="15" hidden="false" customHeight="true" outlineLevel="0" collapsed="false">
      <c r="C843" s="56" t="str">
        <f aca="false">IF(助手回款!$R$58&lt;&gt;"",INDEX(助手回款!$B$2:$B$66,助手回款!$R$58),"")</f>
        <v/>
      </c>
      <c r="D843" s="57" t="str">
        <f aca="false">IF(助手回款!$R$58&lt;&gt;"",参数!$B$2,"")</f>
        <v/>
      </c>
      <c r="E843" s="57"/>
      <c r="F843" s="58" t="str">
        <f aca="false">IF(助手回款!$R$58&lt;&gt;"",INDEX(助手回款!$C$2:$C$66,助手回款!$R$58)&amp;"  字第 "&amp;IF(参数!$B$9="是",INDEX(助手回款!$P$2:$P$66,助手回款!$R$58),"　　　　")&amp;" 号"&amp;IF(INDEX(助手回款!$L$2:$L$66,助手回款!$R$58)&gt;1,"  (共"&amp;INDEX(助手回款!$L$2:$L$66,助手回款!$R$58)&amp;"页 第"&amp;助手回款!$S$58&amp;"页)",""),"")</f>
        <v/>
      </c>
      <c r="G843" s="58"/>
      <c r="H843" s="58"/>
      <c r="I843" s="58"/>
      <c r="M843" s="79" t="str">
        <f aca="false">IF(助手回款!$R$58="","",助手回款!$Q$58)</f>
        <v/>
      </c>
      <c r="N843" s="80" t="str">
        <f aca="false">IF(助手回款!$R$58="","",INDEX(助手回款!$P$2:$P$66,助手回款!$R$58))</f>
        <v/>
      </c>
      <c r="O843" s="55" t="str">
        <f aca="false">IF(助手回款!$R$58="","",INDEX(助手回款!$C$2:$C$66,助手回款!$R$58)&amp;"  字第 "&amp;INDEX(助手回款!$P$2:$P$66,助手回款!$R$58)&amp;" 号"&amp;IF(INDEX(助手回款!$L$2:$L$66,助手回款!$R$58)&gt;1,"  (共"&amp;INDEX(助手回款!$L$2:$L$66,助手回款!$R$58)&amp;"页 第"&amp;助手回款!$S$58&amp;"页)",""))</f>
        <v/>
      </c>
    </row>
    <row r="844" customFormat="false" ht="12.75" hidden="false" customHeight="true" outlineLevel="0" collapsed="false">
      <c r="B844" s="61" t="str">
        <f aca="false">IF(助手回款!$R$58&lt;&gt;"","摘　　要","")</f>
        <v/>
      </c>
      <c r="C844" s="61"/>
      <c r="D844" s="62" t="str">
        <f aca="false">IF(助手回款!$R$58&lt;&gt;"","科　　　　目","")</f>
        <v/>
      </c>
      <c r="E844" s="62"/>
      <c r="F844" s="61" t="str">
        <f aca="false">IF(助手回款!$R$58&lt;&gt;"","借 方 金 额","")</f>
        <v/>
      </c>
      <c r="G844" s="62" t="str">
        <f aca="false">IF(助手回款!$R$58&lt;&gt;"","贷 方 金 额","")</f>
        <v/>
      </c>
      <c r="H844" s="63" t="str">
        <f aca="false">IF(助手回款!$R$58&lt;&gt;"","√","")</f>
        <v/>
      </c>
      <c r="I844" s="64" t="str">
        <f aca="false">IF(助手回款!$R$58&lt;&gt;"","附单据  张","")</f>
        <v/>
      </c>
    </row>
    <row r="845" customFormat="false" ht="12.75" hidden="false" customHeight="true" outlineLevel="0" collapsed="false">
      <c r="B845" s="61"/>
      <c r="C845" s="61"/>
      <c r="D845" s="23" t="str">
        <f aca="false">IF(助手回款!$R$58&lt;&gt;"","总 账 科 目","")</f>
        <v/>
      </c>
      <c r="E845" s="23" t="str">
        <f aca="false">IF(助手回款!$R$58&lt;&gt;"","明 细 科 目","")</f>
        <v/>
      </c>
      <c r="F845" s="65"/>
      <c r="G845" s="66"/>
      <c r="H845" s="63"/>
      <c r="I845" s="64"/>
    </row>
    <row r="846" customFormat="false" ht="23.25" hidden="false" customHeight="true" outlineLevel="0" collapsed="false">
      <c r="B846" s="67" t="str">
        <f aca="false">IFERROR(INDEX(分录回款!$M:$M,MATCH($L846,分录回款!$L:$L,0)),"")</f>
        <v/>
      </c>
      <c r="C846" s="67"/>
      <c r="D846" s="23" t="str">
        <f aca="false">IFERROR(INDEX(分录回款!$E:$E,MATCH($L846,分录回款!$L:$L,0)),"")</f>
        <v/>
      </c>
      <c r="E846" s="23" t="str">
        <f aca="false">IFERROR(INDEX(分录回款!$F:$F,MATCH($L846,分录回款!$L:$L,0)),"")</f>
        <v/>
      </c>
      <c r="F846" s="68" t="str">
        <f aca="false">IFERROR(INDEX(分录回款!$H:$H,MATCH($L846,分录回款!$L:$L,0)),"")</f>
        <v/>
      </c>
      <c r="G846" s="69" t="str">
        <f aca="false">IFERROR(INDEX(分录回款!$I:$I,MATCH($L846,分录回款!$L:$L,0)),"")</f>
        <v/>
      </c>
      <c r="H846" s="23"/>
      <c r="I846" s="70"/>
      <c r="L846" s="71" t="n">
        <f aca="false">IF(助手回款!$R$58="",-1,助手回款!$R$58*100+(助手回款!$S$58-1)*6+1)</f>
        <v>-1</v>
      </c>
    </row>
    <row r="847" customFormat="false" ht="23.25" hidden="false" customHeight="true" outlineLevel="0" collapsed="false">
      <c r="B847" s="67" t="str">
        <f aca="false">""</f>
        <v/>
      </c>
      <c r="C847" s="67"/>
      <c r="D847" s="23" t="str">
        <f aca="false">IFERROR(INDEX(分录回款!$E:$E,MATCH($L847,分录回款!$L:$L,0)),"")</f>
        <v/>
      </c>
      <c r="E847" s="23" t="str">
        <f aca="false">IFERROR(INDEX(分录回款!$F:$F,MATCH($L847,分录回款!$L:$L,0)),"")</f>
        <v/>
      </c>
      <c r="F847" s="68" t="str">
        <f aca="false">IFERROR(INDEX(分录回款!$H:$H,MATCH($L847,分录回款!$L:$L,0)),"")</f>
        <v/>
      </c>
      <c r="G847" s="69" t="str">
        <f aca="false">IFERROR(INDEX(分录回款!$I:$I,MATCH($L847,分录回款!$L:$L,0)),"")</f>
        <v/>
      </c>
      <c r="H847" s="23"/>
      <c r="I847" s="70"/>
      <c r="L847" s="71" t="n">
        <f aca="false">IF(助手回款!$R$58="",-1,助手回款!$R$58*100+(助手回款!$S$58-1)*6+2)</f>
        <v>-1</v>
      </c>
    </row>
    <row r="848" customFormat="false" ht="23.25" hidden="false" customHeight="true" outlineLevel="0" collapsed="false">
      <c r="B848" s="67" t="str">
        <f aca="false">""</f>
        <v/>
      </c>
      <c r="C848" s="67"/>
      <c r="D848" s="23" t="str">
        <f aca="false">IFERROR(INDEX(分录回款!$E:$E,MATCH($L848,分录回款!$L:$L,0)),"")</f>
        <v/>
      </c>
      <c r="E848" s="23" t="str">
        <f aca="false">IFERROR(INDEX(分录回款!$F:$F,MATCH($L848,分录回款!$L:$L,0)),"")</f>
        <v/>
      </c>
      <c r="F848" s="68" t="str">
        <f aca="false">IFERROR(INDEX(分录回款!$H:$H,MATCH($L848,分录回款!$L:$L,0)),"")</f>
        <v/>
      </c>
      <c r="G848" s="69" t="str">
        <f aca="false">IFERROR(INDEX(分录回款!$I:$I,MATCH($L848,分录回款!$L:$L,0)),"")</f>
        <v/>
      </c>
      <c r="H848" s="23"/>
      <c r="I848" s="70"/>
      <c r="L848" s="71" t="n">
        <f aca="false">IF(助手回款!$R$58="",-1,助手回款!$R$58*100+(助手回款!$S$58-1)*6+3)</f>
        <v>-1</v>
      </c>
    </row>
    <row r="849" customFormat="false" ht="23.25" hidden="false" customHeight="true" outlineLevel="0" collapsed="false">
      <c r="B849" s="67" t="str">
        <f aca="false">""</f>
        <v/>
      </c>
      <c r="C849" s="67"/>
      <c r="D849" s="23" t="str">
        <f aca="false">IFERROR(INDEX(分录回款!$E:$E,MATCH($L849,分录回款!$L:$L,0)),"")</f>
        <v/>
      </c>
      <c r="E849" s="23" t="str">
        <f aca="false">IFERROR(INDEX(分录回款!$F:$F,MATCH($L849,分录回款!$L:$L,0)),"")</f>
        <v/>
      </c>
      <c r="F849" s="68" t="str">
        <f aca="false">IFERROR(INDEX(分录回款!$H:$H,MATCH($L849,分录回款!$L:$L,0)),"")</f>
        <v/>
      </c>
      <c r="G849" s="69" t="str">
        <f aca="false">IFERROR(INDEX(分录回款!$I:$I,MATCH($L849,分录回款!$L:$L,0)),"")</f>
        <v/>
      </c>
      <c r="H849" s="23"/>
      <c r="I849" s="70"/>
      <c r="L849" s="71" t="n">
        <f aca="false">IF(助手回款!$R$58="",-1,助手回款!$R$58*100+(助手回款!$S$58-1)*6+4)</f>
        <v>-1</v>
      </c>
    </row>
    <row r="850" customFormat="false" ht="23.25" hidden="false" customHeight="true" outlineLevel="0" collapsed="false">
      <c r="B850" s="67" t="str">
        <f aca="false">""</f>
        <v/>
      </c>
      <c r="C850" s="67"/>
      <c r="D850" s="23" t="str">
        <f aca="false">IFERROR(INDEX(分录回款!$E:$E,MATCH($L850,分录回款!$L:$L,0)),"")</f>
        <v/>
      </c>
      <c r="E850" s="23" t="str">
        <f aca="false">IFERROR(INDEX(分录回款!$F:$F,MATCH($L850,分录回款!$L:$L,0)),"")</f>
        <v/>
      </c>
      <c r="F850" s="68" t="str">
        <f aca="false">IFERROR(INDEX(分录回款!$H:$H,MATCH($L850,分录回款!$L:$L,0)),"")</f>
        <v/>
      </c>
      <c r="G850" s="69" t="str">
        <f aca="false">IFERROR(INDEX(分录回款!$I:$I,MATCH($L850,分录回款!$L:$L,0)),"")</f>
        <v/>
      </c>
      <c r="H850" s="23"/>
      <c r="I850" s="70"/>
      <c r="L850" s="71" t="n">
        <f aca="false">IF(助手回款!$R$58="",-1,助手回款!$R$58*100+(助手回款!$S$58-1)*6+5)</f>
        <v>-1</v>
      </c>
    </row>
    <row r="851" customFormat="false" ht="23.25" hidden="false" customHeight="true" outlineLevel="0" collapsed="false">
      <c r="B851" s="67" t="str">
        <f aca="false">""</f>
        <v/>
      </c>
      <c r="C851" s="67"/>
      <c r="D851" s="23" t="str">
        <f aca="false">IFERROR(INDEX(分录回款!$E:$E,MATCH($L851,分录回款!$L:$L,0)),"")</f>
        <v/>
      </c>
      <c r="E851" s="23" t="str">
        <f aca="false">IFERROR(INDEX(分录回款!$F:$F,MATCH($L851,分录回款!$L:$L,0)),"")</f>
        <v/>
      </c>
      <c r="F851" s="68" t="str">
        <f aca="false">IFERROR(INDEX(分录回款!$H:$H,MATCH($L851,分录回款!$L:$L,0)),"")</f>
        <v/>
      </c>
      <c r="G851" s="69" t="str">
        <f aca="false">IFERROR(INDEX(分录回款!$I:$I,MATCH($L851,分录回款!$L:$L,0)),"")</f>
        <v/>
      </c>
      <c r="H851" s="23"/>
      <c r="I851" s="70"/>
      <c r="L851" s="71" t="n">
        <f aca="false">IF(助手回款!$R$58="",-1,助手回款!$R$58*100+(助手回款!$S$58-1)*6+6)</f>
        <v>-1</v>
      </c>
    </row>
    <row r="852" customFormat="false" ht="23.25" hidden="false" customHeight="true" outlineLevel="0" collapsed="false">
      <c r="B852" s="72" t="str">
        <f aca="false">IF(助手回款!$T$58=1,"合计：","")</f>
        <v/>
      </c>
      <c r="C852" s="73" t="str">
        <f aca="false">IF(助手回款!$T$58=1,$F852,"")</f>
        <v/>
      </c>
      <c r="D852" s="74"/>
      <c r="E852" s="74"/>
      <c r="F852" s="75" t="str">
        <f aca="false">IF(助手回款!$T$58=1,INDEX(助手回款!$N$2:$N$66,助手回款!$R$58),"")</f>
        <v/>
      </c>
      <c r="G852" s="76" t="str">
        <f aca="false">IF(助手回款!$T$58=1,INDEX(助手回款!$O$2:$O$66,助手回款!$R$58),"")</f>
        <v/>
      </c>
      <c r="H852" s="74"/>
      <c r="I852" s="77"/>
    </row>
    <row r="853" customFormat="false" ht="6" hidden="false" customHeight="true" outlineLevel="0" collapsed="false"/>
    <row r="854" customFormat="false" ht="13.5" hidden="false" customHeight="false" outlineLevel="0" collapsed="false">
      <c r="B854" s="78" t="str">
        <f aca="false">IF(助手回款!$R$58&lt;&gt;"","会计主管：","")</f>
        <v/>
      </c>
      <c r="D854" s="78" t="str">
        <f aca="false">IF(助手回款!$R$58&lt;&gt;"","会计：","")</f>
        <v/>
      </c>
      <c r="E854" s="78" t="str">
        <f aca="false">IF(助手回款!$R$58&lt;&gt;"","出纳：","")</f>
        <v/>
      </c>
      <c r="F854" s="78" t="str">
        <f aca="false">IF(助手回款!$R$58&lt;&gt;"","复核：","")</f>
        <v/>
      </c>
      <c r="G854" s="78" t="str">
        <f aca="false">IF(助手回款!$R$58&lt;&gt;"","制单：","")</f>
        <v/>
      </c>
    </row>
    <row r="855" customFormat="false" ht="3" hidden="false" customHeight="true" outlineLevel="0" collapsed="false"/>
    <row r="856" customFormat="false" ht="19.5" hidden="false" customHeight="true" outlineLevel="0" collapsed="false">
      <c r="B856" s="53" t="str">
        <f aca="false">IF(助手回款!$R$59&lt;&gt;"","记  账  凭  证","")</f>
        <v/>
      </c>
      <c r="C856" s="53"/>
      <c r="D856" s="53"/>
      <c r="E856" s="53"/>
      <c r="F856" s="53"/>
      <c r="G856" s="53"/>
      <c r="H856" s="53"/>
      <c r="I856" s="53"/>
    </row>
    <row r="857" customFormat="false" ht="3" hidden="false" customHeight="true" outlineLevel="0" collapsed="false"/>
    <row r="858" customFormat="false" ht="15" hidden="false" customHeight="true" outlineLevel="0" collapsed="false">
      <c r="C858" s="56" t="str">
        <f aca="false">IF(助手回款!$R$59&lt;&gt;"",INDEX(助手回款!$B$2:$B$66,助手回款!$R$59),"")</f>
        <v/>
      </c>
      <c r="D858" s="57" t="str">
        <f aca="false">IF(助手回款!$R$59&lt;&gt;"",参数!$B$2,"")</f>
        <v/>
      </c>
      <c r="E858" s="57"/>
      <c r="F858" s="58" t="str">
        <f aca="false">IF(助手回款!$R$59&lt;&gt;"",INDEX(助手回款!$C$2:$C$66,助手回款!$R$59)&amp;"  字第 "&amp;IF(参数!$B$9="是",INDEX(助手回款!$P$2:$P$66,助手回款!$R$59),"　　　　")&amp;" 号"&amp;IF(INDEX(助手回款!$L$2:$L$66,助手回款!$R$59)&gt;1,"  (共"&amp;INDEX(助手回款!$L$2:$L$66,助手回款!$R$59)&amp;"页 第"&amp;助手回款!$S$59&amp;"页)",""),"")</f>
        <v/>
      </c>
      <c r="G858" s="58"/>
      <c r="H858" s="58"/>
      <c r="I858" s="58"/>
      <c r="M858" s="79" t="str">
        <f aca="false">IF(助手回款!$R$59="","",助手回款!$Q$59)</f>
        <v/>
      </c>
      <c r="N858" s="80" t="str">
        <f aca="false">IF(助手回款!$R$59="","",INDEX(助手回款!$P$2:$P$66,助手回款!$R$59))</f>
        <v/>
      </c>
      <c r="O858" s="55" t="str">
        <f aca="false">IF(助手回款!$R$59="","",INDEX(助手回款!$C$2:$C$66,助手回款!$R$59)&amp;"  字第 "&amp;INDEX(助手回款!$P$2:$P$66,助手回款!$R$59)&amp;" 号"&amp;IF(INDEX(助手回款!$L$2:$L$66,助手回款!$R$59)&gt;1,"  (共"&amp;INDEX(助手回款!$L$2:$L$66,助手回款!$R$59)&amp;"页 第"&amp;助手回款!$S$59&amp;"页)",""))</f>
        <v/>
      </c>
    </row>
    <row r="859" customFormat="false" ht="12.75" hidden="false" customHeight="true" outlineLevel="0" collapsed="false">
      <c r="B859" s="61" t="str">
        <f aca="false">IF(助手回款!$R$59&lt;&gt;"","摘　　要","")</f>
        <v/>
      </c>
      <c r="C859" s="61"/>
      <c r="D859" s="62" t="str">
        <f aca="false">IF(助手回款!$R$59&lt;&gt;"","科　　　　目","")</f>
        <v/>
      </c>
      <c r="E859" s="62"/>
      <c r="F859" s="61" t="str">
        <f aca="false">IF(助手回款!$R$59&lt;&gt;"","借 方 金 额","")</f>
        <v/>
      </c>
      <c r="G859" s="62" t="str">
        <f aca="false">IF(助手回款!$R$59&lt;&gt;"","贷 方 金 额","")</f>
        <v/>
      </c>
      <c r="H859" s="63" t="str">
        <f aca="false">IF(助手回款!$R$59&lt;&gt;"","√","")</f>
        <v/>
      </c>
      <c r="I859" s="64" t="str">
        <f aca="false">IF(助手回款!$R$59&lt;&gt;"","附单据  张","")</f>
        <v/>
      </c>
    </row>
    <row r="860" customFormat="false" ht="12.75" hidden="false" customHeight="true" outlineLevel="0" collapsed="false">
      <c r="B860" s="61"/>
      <c r="C860" s="61"/>
      <c r="D860" s="23" t="str">
        <f aca="false">IF(助手回款!$R$59&lt;&gt;"","总 账 科 目","")</f>
        <v/>
      </c>
      <c r="E860" s="23" t="str">
        <f aca="false">IF(助手回款!$R$59&lt;&gt;"","明 细 科 目","")</f>
        <v/>
      </c>
      <c r="F860" s="65"/>
      <c r="G860" s="66"/>
      <c r="H860" s="63"/>
      <c r="I860" s="64"/>
    </row>
    <row r="861" customFormat="false" ht="23.25" hidden="false" customHeight="true" outlineLevel="0" collapsed="false">
      <c r="B861" s="67" t="str">
        <f aca="false">IFERROR(INDEX(分录回款!$M:$M,MATCH($L861,分录回款!$L:$L,0)),"")</f>
        <v/>
      </c>
      <c r="C861" s="67"/>
      <c r="D861" s="23" t="str">
        <f aca="false">IFERROR(INDEX(分录回款!$E:$E,MATCH($L861,分录回款!$L:$L,0)),"")</f>
        <v/>
      </c>
      <c r="E861" s="23" t="str">
        <f aca="false">IFERROR(INDEX(分录回款!$F:$F,MATCH($L861,分录回款!$L:$L,0)),"")</f>
        <v/>
      </c>
      <c r="F861" s="68" t="str">
        <f aca="false">IFERROR(INDEX(分录回款!$H:$H,MATCH($L861,分录回款!$L:$L,0)),"")</f>
        <v/>
      </c>
      <c r="G861" s="69" t="str">
        <f aca="false">IFERROR(INDEX(分录回款!$I:$I,MATCH($L861,分录回款!$L:$L,0)),"")</f>
        <v/>
      </c>
      <c r="H861" s="23"/>
      <c r="I861" s="70"/>
      <c r="L861" s="71" t="n">
        <f aca="false">IF(助手回款!$R$59="",-1,助手回款!$R$59*100+(助手回款!$S$59-1)*6+1)</f>
        <v>-1</v>
      </c>
    </row>
    <row r="862" customFormat="false" ht="23.25" hidden="false" customHeight="true" outlineLevel="0" collapsed="false">
      <c r="B862" s="67" t="str">
        <f aca="false">""</f>
        <v/>
      </c>
      <c r="C862" s="67"/>
      <c r="D862" s="23" t="str">
        <f aca="false">IFERROR(INDEX(分录回款!$E:$E,MATCH($L862,分录回款!$L:$L,0)),"")</f>
        <v/>
      </c>
      <c r="E862" s="23" t="str">
        <f aca="false">IFERROR(INDEX(分录回款!$F:$F,MATCH($L862,分录回款!$L:$L,0)),"")</f>
        <v/>
      </c>
      <c r="F862" s="68" t="str">
        <f aca="false">IFERROR(INDEX(分录回款!$H:$H,MATCH($L862,分录回款!$L:$L,0)),"")</f>
        <v/>
      </c>
      <c r="G862" s="69" t="str">
        <f aca="false">IFERROR(INDEX(分录回款!$I:$I,MATCH($L862,分录回款!$L:$L,0)),"")</f>
        <v/>
      </c>
      <c r="H862" s="23"/>
      <c r="I862" s="70"/>
      <c r="L862" s="71" t="n">
        <f aca="false">IF(助手回款!$R$59="",-1,助手回款!$R$59*100+(助手回款!$S$59-1)*6+2)</f>
        <v>-1</v>
      </c>
    </row>
    <row r="863" customFormat="false" ht="23.25" hidden="false" customHeight="true" outlineLevel="0" collapsed="false">
      <c r="B863" s="67" t="str">
        <f aca="false">""</f>
        <v/>
      </c>
      <c r="C863" s="67"/>
      <c r="D863" s="23" t="str">
        <f aca="false">IFERROR(INDEX(分录回款!$E:$E,MATCH($L863,分录回款!$L:$L,0)),"")</f>
        <v/>
      </c>
      <c r="E863" s="23" t="str">
        <f aca="false">IFERROR(INDEX(分录回款!$F:$F,MATCH($L863,分录回款!$L:$L,0)),"")</f>
        <v/>
      </c>
      <c r="F863" s="68" t="str">
        <f aca="false">IFERROR(INDEX(分录回款!$H:$H,MATCH($L863,分录回款!$L:$L,0)),"")</f>
        <v/>
      </c>
      <c r="G863" s="69" t="str">
        <f aca="false">IFERROR(INDEX(分录回款!$I:$I,MATCH($L863,分录回款!$L:$L,0)),"")</f>
        <v/>
      </c>
      <c r="H863" s="23"/>
      <c r="I863" s="70"/>
      <c r="L863" s="71" t="n">
        <f aca="false">IF(助手回款!$R$59="",-1,助手回款!$R$59*100+(助手回款!$S$59-1)*6+3)</f>
        <v>-1</v>
      </c>
    </row>
    <row r="864" customFormat="false" ht="23.25" hidden="false" customHeight="true" outlineLevel="0" collapsed="false">
      <c r="B864" s="67" t="str">
        <f aca="false">""</f>
        <v/>
      </c>
      <c r="C864" s="67"/>
      <c r="D864" s="23" t="str">
        <f aca="false">IFERROR(INDEX(分录回款!$E:$E,MATCH($L864,分录回款!$L:$L,0)),"")</f>
        <v/>
      </c>
      <c r="E864" s="23" t="str">
        <f aca="false">IFERROR(INDEX(分录回款!$F:$F,MATCH($L864,分录回款!$L:$L,0)),"")</f>
        <v/>
      </c>
      <c r="F864" s="68" t="str">
        <f aca="false">IFERROR(INDEX(分录回款!$H:$H,MATCH($L864,分录回款!$L:$L,0)),"")</f>
        <v/>
      </c>
      <c r="G864" s="69" t="str">
        <f aca="false">IFERROR(INDEX(分录回款!$I:$I,MATCH($L864,分录回款!$L:$L,0)),"")</f>
        <v/>
      </c>
      <c r="H864" s="23"/>
      <c r="I864" s="70"/>
      <c r="L864" s="71" t="n">
        <f aca="false">IF(助手回款!$R$59="",-1,助手回款!$R$59*100+(助手回款!$S$59-1)*6+4)</f>
        <v>-1</v>
      </c>
    </row>
    <row r="865" customFormat="false" ht="23.25" hidden="false" customHeight="true" outlineLevel="0" collapsed="false">
      <c r="B865" s="67" t="str">
        <f aca="false">""</f>
        <v/>
      </c>
      <c r="C865" s="67"/>
      <c r="D865" s="23" t="str">
        <f aca="false">IFERROR(INDEX(分录回款!$E:$E,MATCH($L865,分录回款!$L:$L,0)),"")</f>
        <v/>
      </c>
      <c r="E865" s="23" t="str">
        <f aca="false">IFERROR(INDEX(分录回款!$F:$F,MATCH($L865,分录回款!$L:$L,0)),"")</f>
        <v/>
      </c>
      <c r="F865" s="68" t="str">
        <f aca="false">IFERROR(INDEX(分录回款!$H:$H,MATCH($L865,分录回款!$L:$L,0)),"")</f>
        <v/>
      </c>
      <c r="G865" s="69" t="str">
        <f aca="false">IFERROR(INDEX(分录回款!$I:$I,MATCH($L865,分录回款!$L:$L,0)),"")</f>
        <v/>
      </c>
      <c r="H865" s="23"/>
      <c r="I865" s="70"/>
      <c r="L865" s="71" t="n">
        <f aca="false">IF(助手回款!$R$59="",-1,助手回款!$R$59*100+(助手回款!$S$59-1)*6+5)</f>
        <v>-1</v>
      </c>
    </row>
    <row r="866" customFormat="false" ht="23.25" hidden="false" customHeight="true" outlineLevel="0" collapsed="false">
      <c r="B866" s="67" t="str">
        <f aca="false">""</f>
        <v/>
      </c>
      <c r="C866" s="67"/>
      <c r="D866" s="23" t="str">
        <f aca="false">IFERROR(INDEX(分录回款!$E:$E,MATCH($L866,分录回款!$L:$L,0)),"")</f>
        <v/>
      </c>
      <c r="E866" s="23" t="str">
        <f aca="false">IFERROR(INDEX(分录回款!$F:$F,MATCH($L866,分录回款!$L:$L,0)),"")</f>
        <v/>
      </c>
      <c r="F866" s="68" t="str">
        <f aca="false">IFERROR(INDEX(分录回款!$H:$H,MATCH($L866,分录回款!$L:$L,0)),"")</f>
        <v/>
      </c>
      <c r="G866" s="69" t="str">
        <f aca="false">IFERROR(INDEX(分录回款!$I:$I,MATCH($L866,分录回款!$L:$L,0)),"")</f>
        <v/>
      </c>
      <c r="H866" s="23"/>
      <c r="I866" s="70"/>
      <c r="L866" s="71" t="n">
        <f aca="false">IF(助手回款!$R$59="",-1,助手回款!$R$59*100+(助手回款!$S$59-1)*6+6)</f>
        <v>-1</v>
      </c>
    </row>
    <row r="867" customFormat="false" ht="23.25" hidden="false" customHeight="true" outlineLevel="0" collapsed="false">
      <c r="B867" s="72" t="str">
        <f aca="false">IF(助手回款!$T$59=1,"合计：","")</f>
        <v/>
      </c>
      <c r="C867" s="73" t="str">
        <f aca="false">IF(助手回款!$T$59=1,$F867,"")</f>
        <v/>
      </c>
      <c r="D867" s="74"/>
      <c r="E867" s="74"/>
      <c r="F867" s="75" t="str">
        <f aca="false">IF(助手回款!$T$59=1,INDEX(助手回款!$N$2:$N$66,助手回款!$R$59),"")</f>
        <v/>
      </c>
      <c r="G867" s="76" t="str">
        <f aca="false">IF(助手回款!$T$59=1,INDEX(助手回款!$O$2:$O$66,助手回款!$R$59),"")</f>
        <v/>
      </c>
      <c r="H867" s="74"/>
      <c r="I867" s="77"/>
    </row>
    <row r="868" customFormat="false" ht="6" hidden="false" customHeight="true" outlineLevel="0" collapsed="false"/>
    <row r="869" customFormat="false" ht="13.5" hidden="false" customHeight="false" outlineLevel="0" collapsed="false">
      <c r="B869" s="78" t="str">
        <f aca="false">IF(助手回款!$R$59&lt;&gt;"","会计主管：","")</f>
        <v/>
      </c>
      <c r="D869" s="78" t="str">
        <f aca="false">IF(助手回款!$R$59&lt;&gt;"","会计：","")</f>
        <v/>
      </c>
      <c r="E869" s="78" t="str">
        <f aca="false">IF(助手回款!$R$59&lt;&gt;"","出纳：","")</f>
        <v/>
      </c>
      <c r="F869" s="78" t="str">
        <f aca="false">IF(助手回款!$R$59&lt;&gt;"","复核：","")</f>
        <v/>
      </c>
      <c r="G869" s="78" t="str">
        <f aca="false">IF(助手回款!$R$59&lt;&gt;"","制单：","")</f>
        <v/>
      </c>
    </row>
    <row r="870" customFormat="false" ht="3" hidden="false" customHeight="true" outlineLevel="0" collapsed="false"/>
    <row r="871" customFormat="false" ht="19.5" hidden="false" customHeight="true" outlineLevel="0" collapsed="false">
      <c r="B871" s="53" t="str">
        <f aca="false">IF(助手回款!$R$60&lt;&gt;"","记  账  凭  证","")</f>
        <v/>
      </c>
      <c r="C871" s="53"/>
      <c r="D871" s="53"/>
      <c r="E871" s="53"/>
      <c r="F871" s="53"/>
      <c r="G871" s="53"/>
      <c r="H871" s="53"/>
      <c r="I871" s="53"/>
    </row>
    <row r="872" customFormat="false" ht="3" hidden="false" customHeight="true" outlineLevel="0" collapsed="false"/>
    <row r="873" customFormat="false" ht="15" hidden="false" customHeight="true" outlineLevel="0" collapsed="false">
      <c r="C873" s="56" t="str">
        <f aca="false">IF(助手回款!$R$60&lt;&gt;"",INDEX(助手回款!$B$2:$B$66,助手回款!$R$60),"")</f>
        <v/>
      </c>
      <c r="D873" s="57" t="str">
        <f aca="false">IF(助手回款!$R$60&lt;&gt;"",参数!$B$2,"")</f>
        <v/>
      </c>
      <c r="E873" s="57"/>
      <c r="F873" s="58" t="str">
        <f aca="false">IF(助手回款!$R$60&lt;&gt;"",INDEX(助手回款!$C$2:$C$66,助手回款!$R$60)&amp;"  字第 "&amp;IF(参数!$B$9="是",INDEX(助手回款!$P$2:$P$66,助手回款!$R$60),"　　　　")&amp;" 号"&amp;IF(INDEX(助手回款!$L$2:$L$66,助手回款!$R$60)&gt;1,"  (共"&amp;INDEX(助手回款!$L$2:$L$66,助手回款!$R$60)&amp;"页 第"&amp;助手回款!$S$60&amp;"页)",""),"")</f>
        <v/>
      </c>
      <c r="G873" s="58"/>
      <c r="H873" s="58"/>
      <c r="I873" s="58"/>
      <c r="M873" s="79" t="str">
        <f aca="false">IF(助手回款!$R$60="","",助手回款!$Q$60)</f>
        <v/>
      </c>
      <c r="N873" s="80" t="str">
        <f aca="false">IF(助手回款!$R$60="","",INDEX(助手回款!$P$2:$P$66,助手回款!$R$60))</f>
        <v/>
      </c>
      <c r="O873" s="55" t="str">
        <f aca="false">IF(助手回款!$R$60="","",INDEX(助手回款!$C$2:$C$66,助手回款!$R$60)&amp;"  字第 "&amp;INDEX(助手回款!$P$2:$P$66,助手回款!$R$60)&amp;" 号"&amp;IF(INDEX(助手回款!$L$2:$L$66,助手回款!$R$60)&gt;1,"  (共"&amp;INDEX(助手回款!$L$2:$L$66,助手回款!$R$60)&amp;"页 第"&amp;助手回款!$S$60&amp;"页)",""))</f>
        <v/>
      </c>
    </row>
    <row r="874" customFormat="false" ht="12.75" hidden="false" customHeight="true" outlineLevel="0" collapsed="false">
      <c r="B874" s="61" t="str">
        <f aca="false">IF(助手回款!$R$60&lt;&gt;"","摘　　要","")</f>
        <v/>
      </c>
      <c r="C874" s="61"/>
      <c r="D874" s="62" t="str">
        <f aca="false">IF(助手回款!$R$60&lt;&gt;"","科　　　　目","")</f>
        <v/>
      </c>
      <c r="E874" s="62"/>
      <c r="F874" s="61" t="str">
        <f aca="false">IF(助手回款!$R$60&lt;&gt;"","借 方 金 额","")</f>
        <v/>
      </c>
      <c r="G874" s="62" t="str">
        <f aca="false">IF(助手回款!$R$60&lt;&gt;"","贷 方 金 额","")</f>
        <v/>
      </c>
      <c r="H874" s="63" t="str">
        <f aca="false">IF(助手回款!$R$60&lt;&gt;"","√","")</f>
        <v/>
      </c>
      <c r="I874" s="64" t="str">
        <f aca="false">IF(助手回款!$R$60&lt;&gt;"","附单据  张","")</f>
        <v/>
      </c>
    </row>
    <row r="875" customFormat="false" ht="12.75" hidden="false" customHeight="true" outlineLevel="0" collapsed="false">
      <c r="B875" s="61"/>
      <c r="C875" s="61"/>
      <c r="D875" s="23" t="str">
        <f aca="false">IF(助手回款!$R$60&lt;&gt;"","总 账 科 目","")</f>
        <v/>
      </c>
      <c r="E875" s="23" t="str">
        <f aca="false">IF(助手回款!$R$60&lt;&gt;"","明 细 科 目","")</f>
        <v/>
      </c>
      <c r="F875" s="65"/>
      <c r="G875" s="66"/>
      <c r="H875" s="63"/>
      <c r="I875" s="64"/>
    </row>
    <row r="876" customFormat="false" ht="23.25" hidden="false" customHeight="true" outlineLevel="0" collapsed="false">
      <c r="B876" s="67" t="str">
        <f aca="false">IFERROR(INDEX(分录回款!$M:$M,MATCH($L876,分录回款!$L:$L,0)),"")</f>
        <v/>
      </c>
      <c r="C876" s="67"/>
      <c r="D876" s="23" t="str">
        <f aca="false">IFERROR(INDEX(分录回款!$E:$E,MATCH($L876,分录回款!$L:$L,0)),"")</f>
        <v/>
      </c>
      <c r="E876" s="23" t="str">
        <f aca="false">IFERROR(INDEX(分录回款!$F:$F,MATCH($L876,分录回款!$L:$L,0)),"")</f>
        <v/>
      </c>
      <c r="F876" s="68" t="str">
        <f aca="false">IFERROR(INDEX(分录回款!$H:$H,MATCH($L876,分录回款!$L:$L,0)),"")</f>
        <v/>
      </c>
      <c r="G876" s="69" t="str">
        <f aca="false">IFERROR(INDEX(分录回款!$I:$I,MATCH($L876,分录回款!$L:$L,0)),"")</f>
        <v/>
      </c>
      <c r="H876" s="23"/>
      <c r="I876" s="70"/>
      <c r="L876" s="71" t="n">
        <f aca="false">IF(助手回款!$R$60="",-1,助手回款!$R$60*100+(助手回款!$S$60-1)*6+1)</f>
        <v>-1</v>
      </c>
    </row>
    <row r="877" customFormat="false" ht="23.25" hidden="false" customHeight="true" outlineLevel="0" collapsed="false">
      <c r="B877" s="67" t="str">
        <f aca="false">""</f>
        <v/>
      </c>
      <c r="C877" s="67"/>
      <c r="D877" s="23" t="str">
        <f aca="false">IFERROR(INDEX(分录回款!$E:$E,MATCH($L877,分录回款!$L:$L,0)),"")</f>
        <v/>
      </c>
      <c r="E877" s="23" t="str">
        <f aca="false">IFERROR(INDEX(分录回款!$F:$F,MATCH($L877,分录回款!$L:$L,0)),"")</f>
        <v/>
      </c>
      <c r="F877" s="68" t="str">
        <f aca="false">IFERROR(INDEX(分录回款!$H:$H,MATCH($L877,分录回款!$L:$L,0)),"")</f>
        <v/>
      </c>
      <c r="G877" s="69" t="str">
        <f aca="false">IFERROR(INDEX(分录回款!$I:$I,MATCH($L877,分录回款!$L:$L,0)),"")</f>
        <v/>
      </c>
      <c r="H877" s="23"/>
      <c r="I877" s="70"/>
      <c r="L877" s="71" t="n">
        <f aca="false">IF(助手回款!$R$60="",-1,助手回款!$R$60*100+(助手回款!$S$60-1)*6+2)</f>
        <v>-1</v>
      </c>
    </row>
    <row r="878" customFormat="false" ht="23.25" hidden="false" customHeight="true" outlineLevel="0" collapsed="false">
      <c r="B878" s="67" t="str">
        <f aca="false">""</f>
        <v/>
      </c>
      <c r="C878" s="67"/>
      <c r="D878" s="23" t="str">
        <f aca="false">IFERROR(INDEX(分录回款!$E:$E,MATCH($L878,分录回款!$L:$L,0)),"")</f>
        <v/>
      </c>
      <c r="E878" s="23" t="str">
        <f aca="false">IFERROR(INDEX(分录回款!$F:$F,MATCH($L878,分录回款!$L:$L,0)),"")</f>
        <v/>
      </c>
      <c r="F878" s="68" t="str">
        <f aca="false">IFERROR(INDEX(分录回款!$H:$H,MATCH($L878,分录回款!$L:$L,0)),"")</f>
        <v/>
      </c>
      <c r="G878" s="69" t="str">
        <f aca="false">IFERROR(INDEX(分录回款!$I:$I,MATCH($L878,分录回款!$L:$L,0)),"")</f>
        <v/>
      </c>
      <c r="H878" s="23"/>
      <c r="I878" s="70"/>
      <c r="L878" s="71" t="n">
        <f aca="false">IF(助手回款!$R$60="",-1,助手回款!$R$60*100+(助手回款!$S$60-1)*6+3)</f>
        <v>-1</v>
      </c>
    </row>
    <row r="879" customFormat="false" ht="23.25" hidden="false" customHeight="true" outlineLevel="0" collapsed="false">
      <c r="B879" s="67" t="str">
        <f aca="false">""</f>
        <v/>
      </c>
      <c r="C879" s="67"/>
      <c r="D879" s="23" t="str">
        <f aca="false">IFERROR(INDEX(分录回款!$E:$E,MATCH($L879,分录回款!$L:$L,0)),"")</f>
        <v/>
      </c>
      <c r="E879" s="23" t="str">
        <f aca="false">IFERROR(INDEX(分录回款!$F:$F,MATCH($L879,分录回款!$L:$L,0)),"")</f>
        <v/>
      </c>
      <c r="F879" s="68" t="str">
        <f aca="false">IFERROR(INDEX(分录回款!$H:$H,MATCH($L879,分录回款!$L:$L,0)),"")</f>
        <v/>
      </c>
      <c r="G879" s="69" t="str">
        <f aca="false">IFERROR(INDEX(分录回款!$I:$I,MATCH($L879,分录回款!$L:$L,0)),"")</f>
        <v/>
      </c>
      <c r="H879" s="23"/>
      <c r="I879" s="70"/>
      <c r="L879" s="71" t="n">
        <f aca="false">IF(助手回款!$R$60="",-1,助手回款!$R$60*100+(助手回款!$S$60-1)*6+4)</f>
        <v>-1</v>
      </c>
    </row>
    <row r="880" customFormat="false" ht="23.25" hidden="false" customHeight="true" outlineLevel="0" collapsed="false">
      <c r="B880" s="67" t="str">
        <f aca="false">""</f>
        <v/>
      </c>
      <c r="C880" s="67"/>
      <c r="D880" s="23" t="str">
        <f aca="false">IFERROR(INDEX(分录回款!$E:$E,MATCH($L880,分录回款!$L:$L,0)),"")</f>
        <v/>
      </c>
      <c r="E880" s="23" t="str">
        <f aca="false">IFERROR(INDEX(分录回款!$F:$F,MATCH($L880,分录回款!$L:$L,0)),"")</f>
        <v/>
      </c>
      <c r="F880" s="68" t="str">
        <f aca="false">IFERROR(INDEX(分录回款!$H:$H,MATCH($L880,分录回款!$L:$L,0)),"")</f>
        <v/>
      </c>
      <c r="G880" s="69" t="str">
        <f aca="false">IFERROR(INDEX(分录回款!$I:$I,MATCH($L880,分录回款!$L:$L,0)),"")</f>
        <v/>
      </c>
      <c r="H880" s="23"/>
      <c r="I880" s="70"/>
      <c r="L880" s="71" t="n">
        <f aca="false">IF(助手回款!$R$60="",-1,助手回款!$R$60*100+(助手回款!$S$60-1)*6+5)</f>
        <v>-1</v>
      </c>
    </row>
    <row r="881" customFormat="false" ht="23.25" hidden="false" customHeight="true" outlineLevel="0" collapsed="false">
      <c r="B881" s="67" t="str">
        <f aca="false">""</f>
        <v/>
      </c>
      <c r="C881" s="67"/>
      <c r="D881" s="23" t="str">
        <f aca="false">IFERROR(INDEX(分录回款!$E:$E,MATCH($L881,分录回款!$L:$L,0)),"")</f>
        <v/>
      </c>
      <c r="E881" s="23" t="str">
        <f aca="false">IFERROR(INDEX(分录回款!$F:$F,MATCH($L881,分录回款!$L:$L,0)),"")</f>
        <v/>
      </c>
      <c r="F881" s="68" t="str">
        <f aca="false">IFERROR(INDEX(分录回款!$H:$H,MATCH($L881,分录回款!$L:$L,0)),"")</f>
        <v/>
      </c>
      <c r="G881" s="69" t="str">
        <f aca="false">IFERROR(INDEX(分录回款!$I:$I,MATCH($L881,分录回款!$L:$L,0)),"")</f>
        <v/>
      </c>
      <c r="H881" s="23"/>
      <c r="I881" s="70"/>
      <c r="L881" s="71" t="n">
        <f aca="false">IF(助手回款!$R$60="",-1,助手回款!$R$60*100+(助手回款!$S$60-1)*6+6)</f>
        <v>-1</v>
      </c>
    </row>
    <row r="882" customFormat="false" ht="23.25" hidden="false" customHeight="true" outlineLevel="0" collapsed="false">
      <c r="B882" s="72" t="str">
        <f aca="false">IF(助手回款!$T$60=1,"合计：","")</f>
        <v/>
      </c>
      <c r="C882" s="73" t="str">
        <f aca="false">IF(助手回款!$T$60=1,$F882,"")</f>
        <v/>
      </c>
      <c r="D882" s="74"/>
      <c r="E882" s="74"/>
      <c r="F882" s="75" t="str">
        <f aca="false">IF(助手回款!$T$60=1,INDEX(助手回款!$N$2:$N$66,助手回款!$R$60),"")</f>
        <v/>
      </c>
      <c r="G882" s="76" t="str">
        <f aca="false">IF(助手回款!$T$60=1,INDEX(助手回款!$O$2:$O$66,助手回款!$R$60),"")</f>
        <v/>
      </c>
      <c r="H882" s="74"/>
      <c r="I882" s="77"/>
    </row>
    <row r="883" customFormat="false" ht="6" hidden="false" customHeight="true" outlineLevel="0" collapsed="false"/>
    <row r="884" customFormat="false" ht="13.5" hidden="false" customHeight="false" outlineLevel="0" collapsed="false">
      <c r="B884" s="78" t="str">
        <f aca="false">IF(助手回款!$R$60&lt;&gt;"","会计主管：","")</f>
        <v/>
      </c>
      <c r="D884" s="78" t="str">
        <f aca="false">IF(助手回款!$R$60&lt;&gt;"","会计：","")</f>
        <v/>
      </c>
      <c r="E884" s="78" t="str">
        <f aca="false">IF(助手回款!$R$60&lt;&gt;"","出纳：","")</f>
        <v/>
      </c>
      <c r="F884" s="78" t="str">
        <f aca="false">IF(助手回款!$R$60&lt;&gt;"","复核：","")</f>
        <v/>
      </c>
      <c r="G884" s="78" t="str">
        <f aca="false">IF(助手回款!$R$60&lt;&gt;"","制单：","")</f>
        <v/>
      </c>
    </row>
    <row r="885" customFormat="false" ht="3" hidden="false" customHeight="true" outlineLevel="0" collapsed="false"/>
    <row r="886" customFormat="false" ht="19.5" hidden="false" customHeight="true" outlineLevel="0" collapsed="false">
      <c r="B886" s="53" t="str">
        <f aca="false">IF(助手回款!$R$61&lt;&gt;"","记  账  凭  证","")</f>
        <v/>
      </c>
      <c r="C886" s="53"/>
      <c r="D886" s="53"/>
      <c r="E886" s="53"/>
      <c r="F886" s="53"/>
      <c r="G886" s="53"/>
      <c r="H886" s="53"/>
      <c r="I886" s="53"/>
    </row>
    <row r="887" customFormat="false" ht="3" hidden="false" customHeight="true" outlineLevel="0" collapsed="false"/>
    <row r="888" customFormat="false" ht="15" hidden="false" customHeight="true" outlineLevel="0" collapsed="false">
      <c r="C888" s="56" t="str">
        <f aca="false">IF(助手回款!$R$61&lt;&gt;"",INDEX(助手回款!$B$2:$B$66,助手回款!$R$61),"")</f>
        <v/>
      </c>
      <c r="D888" s="57" t="str">
        <f aca="false">IF(助手回款!$R$61&lt;&gt;"",参数!$B$2,"")</f>
        <v/>
      </c>
      <c r="E888" s="57"/>
      <c r="F888" s="58" t="str">
        <f aca="false">IF(助手回款!$R$61&lt;&gt;"",INDEX(助手回款!$C$2:$C$66,助手回款!$R$61)&amp;"  字第 "&amp;IF(参数!$B$9="是",INDEX(助手回款!$P$2:$P$66,助手回款!$R$61),"　　　　")&amp;" 号"&amp;IF(INDEX(助手回款!$L$2:$L$66,助手回款!$R$61)&gt;1,"  (共"&amp;INDEX(助手回款!$L$2:$L$66,助手回款!$R$61)&amp;"页 第"&amp;助手回款!$S$61&amp;"页)",""),"")</f>
        <v/>
      </c>
      <c r="G888" s="58"/>
      <c r="H888" s="58"/>
      <c r="I888" s="58"/>
      <c r="M888" s="79" t="str">
        <f aca="false">IF(助手回款!$R$61="","",助手回款!$Q$61)</f>
        <v/>
      </c>
      <c r="N888" s="80" t="str">
        <f aca="false">IF(助手回款!$R$61="","",INDEX(助手回款!$P$2:$P$66,助手回款!$R$61))</f>
        <v/>
      </c>
      <c r="O888" s="55" t="str">
        <f aca="false">IF(助手回款!$R$61="","",INDEX(助手回款!$C$2:$C$66,助手回款!$R$61)&amp;"  字第 "&amp;INDEX(助手回款!$P$2:$P$66,助手回款!$R$61)&amp;" 号"&amp;IF(INDEX(助手回款!$L$2:$L$66,助手回款!$R$61)&gt;1,"  (共"&amp;INDEX(助手回款!$L$2:$L$66,助手回款!$R$61)&amp;"页 第"&amp;助手回款!$S$61&amp;"页)",""))</f>
        <v/>
      </c>
    </row>
    <row r="889" customFormat="false" ht="12.75" hidden="false" customHeight="true" outlineLevel="0" collapsed="false">
      <c r="B889" s="61" t="str">
        <f aca="false">IF(助手回款!$R$61&lt;&gt;"","摘　　要","")</f>
        <v/>
      </c>
      <c r="C889" s="61"/>
      <c r="D889" s="62" t="str">
        <f aca="false">IF(助手回款!$R$61&lt;&gt;"","科　　　　目","")</f>
        <v/>
      </c>
      <c r="E889" s="62"/>
      <c r="F889" s="61" t="str">
        <f aca="false">IF(助手回款!$R$61&lt;&gt;"","借 方 金 额","")</f>
        <v/>
      </c>
      <c r="G889" s="62" t="str">
        <f aca="false">IF(助手回款!$R$61&lt;&gt;"","贷 方 金 额","")</f>
        <v/>
      </c>
      <c r="H889" s="63" t="str">
        <f aca="false">IF(助手回款!$R$61&lt;&gt;"","√","")</f>
        <v/>
      </c>
      <c r="I889" s="64" t="str">
        <f aca="false">IF(助手回款!$R$61&lt;&gt;"","附单据  张","")</f>
        <v/>
      </c>
    </row>
    <row r="890" customFormat="false" ht="12.75" hidden="false" customHeight="true" outlineLevel="0" collapsed="false">
      <c r="B890" s="61"/>
      <c r="C890" s="61"/>
      <c r="D890" s="23" t="str">
        <f aca="false">IF(助手回款!$R$61&lt;&gt;"","总 账 科 目","")</f>
        <v/>
      </c>
      <c r="E890" s="23" t="str">
        <f aca="false">IF(助手回款!$R$61&lt;&gt;"","明 细 科 目","")</f>
        <v/>
      </c>
      <c r="F890" s="65"/>
      <c r="G890" s="66"/>
      <c r="H890" s="63"/>
      <c r="I890" s="64"/>
    </row>
    <row r="891" customFormat="false" ht="23.25" hidden="false" customHeight="true" outlineLevel="0" collapsed="false">
      <c r="B891" s="67" t="str">
        <f aca="false">IFERROR(INDEX(分录回款!$M:$M,MATCH($L891,分录回款!$L:$L,0)),"")</f>
        <v/>
      </c>
      <c r="C891" s="67"/>
      <c r="D891" s="23" t="str">
        <f aca="false">IFERROR(INDEX(分录回款!$E:$E,MATCH($L891,分录回款!$L:$L,0)),"")</f>
        <v/>
      </c>
      <c r="E891" s="23" t="str">
        <f aca="false">IFERROR(INDEX(分录回款!$F:$F,MATCH($L891,分录回款!$L:$L,0)),"")</f>
        <v/>
      </c>
      <c r="F891" s="68" t="str">
        <f aca="false">IFERROR(INDEX(分录回款!$H:$H,MATCH($L891,分录回款!$L:$L,0)),"")</f>
        <v/>
      </c>
      <c r="G891" s="69" t="str">
        <f aca="false">IFERROR(INDEX(分录回款!$I:$I,MATCH($L891,分录回款!$L:$L,0)),"")</f>
        <v/>
      </c>
      <c r="H891" s="23"/>
      <c r="I891" s="70"/>
      <c r="L891" s="71" t="n">
        <f aca="false">IF(助手回款!$R$61="",-1,助手回款!$R$61*100+(助手回款!$S$61-1)*6+1)</f>
        <v>-1</v>
      </c>
    </row>
    <row r="892" customFormat="false" ht="23.25" hidden="false" customHeight="true" outlineLevel="0" collapsed="false">
      <c r="B892" s="67" t="str">
        <f aca="false">""</f>
        <v/>
      </c>
      <c r="C892" s="67"/>
      <c r="D892" s="23" t="str">
        <f aca="false">IFERROR(INDEX(分录回款!$E:$E,MATCH($L892,分录回款!$L:$L,0)),"")</f>
        <v/>
      </c>
      <c r="E892" s="23" t="str">
        <f aca="false">IFERROR(INDEX(分录回款!$F:$F,MATCH($L892,分录回款!$L:$L,0)),"")</f>
        <v/>
      </c>
      <c r="F892" s="68" t="str">
        <f aca="false">IFERROR(INDEX(分录回款!$H:$H,MATCH($L892,分录回款!$L:$L,0)),"")</f>
        <v/>
      </c>
      <c r="G892" s="69" t="str">
        <f aca="false">IFERROR(INDEX(分录回款!$I:$I,MATCH($L892,分录回款!$L:$L,0)),"")</f>
        <v/>
      </c>
      <c r="H892" s="23"/>
      <c r="I892" s="70"/>
      <c r="L892" s="71" t="n">
        <f aca="false">IF(助手回款!$R$61="",-1,助手回款!$R$61*100+(助手回款!$S$61-1)*6+2)</f>
        <v>-1</v>
      </c>
    </row>
    <row r="893" customFormat="false" ht="23.25" hidden="false" customHeight="true" outlineLevel="0" collapsed="false">
      <c r="B893" s="67" t="str">
        <f aca="false">""</f>
        <v/>
      </c>
      <c r="C893" s="67"/>
      <c r="D893" s="23" t="str">
        <f aca="false">IFERROR(INDEX(分录回款!$E:$E,MATCH($L893,分录回款!$L:$L,0)),"")</f>
        <v/>
      </c>
      <c r="E893" s="23" t="str">
        <f aca="false">IFERROR(INDEX(分录回款!$F:$F,MATCH($L893,分录回款!$L:$L,0)),"")</f>
        <v/>
      </c>
      <c r="F893" s="68" t="str">
        <f aca="false">IFERROR(INDEX(分录回款!$H:$H,MATCH($L893,分录回款!$L:$L,0)),"")</f>
        <v/>
      </c>
      <c r="G893" s="69" t="str">
        <f aca="false">IFERROR(INDEX(分录回款!$I:$I,MATCH($L893,分录回款!$L:$L,0)),"")</f>
        <v/>
      </c>
      <c r="H893" s="23"/>
      <c r="I893" s="70"/>
      <c r="L893" s="71" t="n">
        <f aca="false">IF(助手回款!$R$61="",-1,助手回款!$R$61*100+(助手回款!$S$61-1)*6+3)</f>
        <v>-1</v>
      </c>
    </row>
    <row r="894" customFormat="false" ht="23.25" hidden="false" customHeight="true" outlineLevel="0" collapsed="false">
      <c r="B894" s="67" t="str">
        <f aca="false">""</f>
        <v/>
      </c>
      <c r="C894" s="67"/>
      <c r="D894" s="23" t="str">
        <f aca="false">IFERROR(INDEX(分录回款!$E:$E,MATCH($L894,分录回款!$L:$L,0)),"")</f>
        <v/>
      </c>
      <c r="E894" s="23" t="str">
        <f aca="false">IFERROR(INDEX(分录回款!$F:$F,MATCH($L894,分录回款!$L:$L,0)),"")</f>
        <v/>
      </c>
      <c r="F894" s="68" t="str">
        <f aca="false">IFERROR(INDEX(分录回款!$H:$H,MATCH($L894,分录回款!$L:$L,0)),"")</f>
        <v/>
      </c>
      <c r="G894" s="69" t="str">
        <f aca="false">IFERROR(INDEX(分录回款!$I:$I,MATCH($L894,分录回款!$L:$L,0)),"")</f>
        <v/>
      </c>
      <c r="H894" s="23"/>
      <c r="I894" s="70"/>
      <c r="L894" s="71" t="n">
        <f aca="false">IF(助手回款!$R$61="",-1,助手回款!$R$61*100+(助手回款!$S$61-1)*6+4)</f>
        <v>-1</v>
      </c>
    </row>
    <row r="895" customFormat="false" ht="23.25" hidden="false" customHeight="true" outlineLevel="0" collapsed="false">
      <c r="B895" s="67" t="str">
        <f aca="false">""</f>
        <v/>
      </c>
      <c r="C895" s="67"/>
      <c r="D895" s="23" t="str">
        <f aca="false">IFERROR(INDEX(分录回款!$E:$E,MATCH($L895,分录回款!$L:$L,0)),"")</f>
        <v/>
      </c>
      <c r="E895" s="23" t="str">
        <f aca="false">IFERROR(INDEX(分录回款!$F:$F,MATCH($L895,分录回款!$L:$L,0)),"")</f>
        <v/>
      </c>
      <c r="F895" s="68" t="str">
        <f aca="false">IFERROR(INDEX(分录回款!$H:$H,MATCH($L895,分录回款!$L:$L,0)),"")</f>
        <v/>
      </c>
      <c r="G895" s="69" t="str">
        <f aca="false">IFERROR(INDEX(分录回款!$I:$I,MATCH($L895,分录回款!$L:$L,0)),"")</f>
        <v/>
      </c>
      <c r="H895" s="23"/>
      <c r="I895" s="70"/>
      <c r="L895" s="71" t="n">
        <f aca="false">IF(助手回款!$R$61="",-1,助手回款!$R$61*100+(助手回款!$S$61-1)*6+5)</f>
        <v>-1</v>
      </c>
    </row>
    <row r="896" customFormat="false" ht="23.25" hidden="false" customHeight="true" outlineLevel="0" collapsed="false">
      <c r="B896" s="67" t="str">
        <f aca="false">""</f>
        <v/>
      </c>
      <c r="C896" s="67"/>
      <c r="D896" s="23" t="str">
        <f aca="false">IFERROR(INDEX(分录回款!$E:$E,MATCH($L896,分录回款!$L:$L,0)),"")</f>
        <v/>
      </c>
      <c r="E896" s="23" t="str">
        <f aca="false">IFERROR(INDEX(分录回款!$F:$F,MATCH($L896,分录回款!$L:$L,0)),"")</f>
        <v/>
      </c>
      <c r="F896" s="68" t="str">
        <f aca="false">IFERROR(INDEX(分录回款!$H:$H,MATCH($L896,分录回款!$L:$L,0)),"")</f>
        <v/>
      </c>
      <c r="G896" s="69" t="str">
        <f aca="false">IFERROR(INDEX(分录回款!$I:$I,MATCH($L896,分录回款!$L:$L,0)),"")</f>
        <v/>
      </c>
      <c r="H896" s="23"/>
      <c r="I896" s="70"/>
      <c r="L896" s="71" t="n">
        <f aca="false">IF(助手回款!$R$61="",-1,助手回款!$R$61*100+(助手回款!$S$61-1)*6+6)</f>
        <v>-1</v>
      </c>
    </row>
    <row r="897" customFormat="false" ht="23.25" hidden="false" customHeight="true" outlineLevel="0" collapsed="false">
      <c r="B897" s="72" t="str">
        <f aca="false">IF(助手回款!$T$61=1,"合计：","")</f>
        <v/>
      </c>
      <c r="C897" s="73" t="str">
        <f aca="false">IF(助手回款!$T$61=1,$F897,"")</f>
        <v/>
      </c>
      <c r="D897" s="74"/>
      <c r="E897" s="74"/>
      <c r="F897" s="75" t="str">
        <f aca="false">IF(助手回款!$T$61=1,INDEX(助手回款!$N$2:$N$66,助手回款!$R$61),"")</f>
        <v/>
      </c>
      <c r="G897" s="76" t="str">
        <f aca="false">IF(助手回款!$T$61=1,INDEX(助手回款!$O$2:$O$66,助手回款!$R$61),"")</f>
        <v/>
      </c>
      <c r="H897" s="74"/>
      <c r="I897" s="77"/>
    </row>
    <row r="898" customFormat="false" ht="6" hidden="false" customHeight="true" outlineLevel="0" collapsed="false"/>
    <row r="899" customFormat="false" ht="13.5" hidden="false" customHeight="false" outlineLevel="0" collapsed="false">
      <c r="B899" s="78" t="str">
        <f aca="false">IF(助手回款!$R$61&lt;&gt;"","会计主管：","")</f>
        <v/>
      </c>
      <c r="D899" s="78" t="str">
        <f aca="false">IF(助手回款!$R$61&lt;&gt;"","会计：","")</f>
        <v/>
      </c>
      <c r="E899" s="78" t="str">
        <f aca="false">IF(助手回款!$R$61&lt;&gt;"","出纳：","")</f>
        <v/>
      </c>
      <c r="F899" s="78" t="str">
        <f aca="false">IF(助手回款!$R$61&lt;&gt;"","复核：","")</f>
        <v/>
      </c>
      <c r="G899" s="78" t="str">
        <f aca="false">IF(助手回款!$R$61&lt;&gt;"","制单：","")</f>
        <v/>
      </c>
    </row>
    <row r="900" customFormat="false" ht="3" hidden="false" customHeight="true" outlineLevel="0" collapsed="false"/>
    <row r="901" customFormat="false" ht="19.5" hidden="false" customHeight="true" outlineLevel="0" collapsed="false">
      <c r="B901" s="53" t="str">
        <f aca="false">IF(助手回款!$R$62&lt;&gt;"","记  账  凭  证","")</f>
        <v/>
      </c>
      <c r="C901" s="53"/>
      <c r="D901" s="53"/>
      <c r="E901" s="53"/>
      <c r="F901" s="53"/>
      <c r="G901" s="53"/>
      <c r="H901" s="53"/>
      <c r="I901" s="53"/>
    </row>
    <row r="902" customFormat="false" ht="3" hidden="false" customHeight="true" outlineLevel="0" collapsed="false"/>
    <row r="903" customFormat="false" ht="15" hidden="false" customHeight="true" outlineLevel="0" collapsed="false">
      <c r="C903" s="56" t="str">
        <f aca="false">IF(助手回款!$R$62&lt;&gt;"",INDEX(助手回款!$B$2:$B$66,助手回款!$R$62),"")</f>
        <v/>
      </c>
      <c r="D903" s="57" t="str">
        <f aca="false">IF(助手回款!$R$62&lt;&gt;"",参数!$B$2,"")</f>
        <v/>
      </c>
      <c r="E903" s="57"/>
      <c r="F903" s="58" t="str">
        <f aca="false">IF(助手回款!$R$62&lt;&gt;"",INDEX(助手回款!$C$2:$C$66,助手回款!$R$62)&amp;"  字第 "&amp;IF(参数!$B$9="是",INDEX(助手回款!$P$2:$P$66,助手回款!$R$62),"　　　　")&amp;" 号"&amp;IF(INDEX(助手回款!$L$2:$L$66,助手回款!$R$62)&gt;1,"  (共"&amp;INDEX(助手回款!$L$2:$L$66,助手回款!$R$62)&amp;"页 第"&amp;助手回款!$S$62&amp;"页)",""),"")</f>
        <v/>
      </c>
      <c r="G903" s="58"/>
      <c r="H903" s="58"/>
      <c r="I903" s="58"/>
      <c r="M903" s="79" t="str">
        <f aca="false">IF(助手回款!$R$62="","",助手回款!$Q$62)</f>
        <v/>
      </c>
      <c r="N903" s="80" t="str">
        <f aca="false">IF(助手回款!$R$62="","",INDEX(助手回款!$P$2:$P$66,助手回款!$R$62))</f>
        <v/>
      </c>
      <c r="O903" s="55" t="str">
        <f aca="false">IF(助手回款!$R$62="","",INDEX(助手回款!$C$2:$C$66,助手回款!$R$62)&amp;"  字第 "&amp;INDEX(助手回款!$P$2:$P$66,助手回款!$R$62)&amp;" 号"&amp;IF(INDEX(助手回款!$L$2:$L$66,助手回款!$R$62)&gt;1,"  (共"&amp;INDEX(助手回款!$L$2:$L$66,助手回款!$R$62)&amp;"页 第"&amp;助手回款!$S$62&amp;"页)",""))</f>
        <v/>
      </c>
    </row>
    <row r="904" customFormat="false" ht="12.75" hidden="false" customHeight="true" outlineLevel="0" collapsed="false">
      <c r="B904" s="61" t="str">
        <f aca="false">IF(助手回款!$R$62&lt;&gt;"","摘　　要","")</f>
        <v/>
      </c>
      <c r="C904" s="61"/>
      <c r="D904" s="62" t="str">
        <f aca="false">IF(助手回款!$R$62&lt;&gt;"","科　　　　目","")</f>
        <v/>
      </c>
      <c r="E904" s="62"/>
      <c r="F904" s="61" t="str">
        <f aca="false">IF(助手回款!$R$62&lt;&gt;"","借 方 金 额","")</f>
        <v/>
      </c>
      <c r="G904" s="62" t="str">
        <f aca="false">IF(助手回款!$R$62&lt;&gt;"","贷 方 金 额","")</f>
        <v/>
      </c>
      <c r="H904" s="63" t="str">
        <f aca="false">IF(助手回款!$R$62&lt;&gt;"","√","")</f>
        <v/>
      </c>
      <c r="I904" s="64" t="str">
        <f aca="false">IF(助手回款!$R$62&lt;&gt;"","附单据  张","")</f>
        <v/>
      </c>
    </row>
    <row r="905" customFormat="false" ht="12.75" hidden="false" customHeight="true" outlineLevel="0" collapsed="false">
      <c r="B905" s="61"/>
      <c r="C905" s="61"/>
      <c r="D905" s="23" t="str">
        <f aca="false">IF(助手回款!$R$62&lt;&gt;"","总 账 科 目","")</f>
        <v/>
      </c>
      <c r="E905" s="23" t="str">
        <f aca="false">IF(助手回款!$R$62&lt;&gt;"","明 细 科 目","")</f>
        <v/>
      </c>
      <c r="F905" s="65"/>
      <c r="G905" s="66"/>
      <c r="H905" s="63"/>
      <c r="I905" s="64"/>
    </row>
    <row r="906" customFormat="false" ht="23.25" hidden="false" customHeight="true" outlineLevel="0" collapsed="false">
      <c r="B906" s="67" t="str">
        <f aca="false">IFERROR(INDEX(分录回款!$M:$M,MATCH($L906,分录回款!$L:$L,0)),"")</f>
        <v/>
      </c>
      <c r="C906" s="67"/>
      <c r="D906" s="23" t="str">
        <f aca="false">IFERROR(INDEX(分录回款!$E:$E,MATCH($L906,分录回款!$L:$L,0)),"")</f>
        <v/>
      </c>
      <c r="E906" s="23" t="str">
        <f aca="false">IFERROR(INDEX(分录回款!$F:$F,MATCH($L906,分录回款!$L:$L,0)),"")</f>
        <v/>
      </c>
      <c r="F906" s="68" t="str">
        <f aca="false">IFERROR(INDEX(分录回款!$H:$H,MATCH($L906,分录回款!$L:$L,0)),"")</f>
        <v/>
      </c>
      <c r="G906" s="69" t="str">
        <f aca="false">IFERROR(INDEX(分录回款!$I:$I,MATCH($L906,分录回款!$L:$L,0)),"")</f>
        <v/>
      </c>
      <c r="H906" s="23"/>
      <c r="I906" s="70"/>
      <c r="L906" s="71" t="n">
        <f aca="false">IF(助手回款!$R$62="",-1,助手回款!$R$62*100+(助手回款!$S$62-1)*6+1)</f>
        <v>-1</v>
      </c>
    </row>
    <row r="907" customFormat="false" ht="23.25" hidden="false" customHeight="true" outlineLevel="0" collapsed="false">
      <c r="B907" s="67" t="str">
        <f aca="false">""</f>
        <v/>
      </c>
      <c r="C907" s="67"/>
      <c r="D907" s="23" t="str">
        <f aca="false">IFERROR(INDEX(分录回款!$E:$E,MATCH($L907,分录回款!$L:$L,0)),"")</f>
        <v/>
      </c>
      <c r="E907" s="23" t="str">
        <f aca="false">IFERROR(INDEX(分录回款!$F:$F,MATCH($L907,分录回款!$L:$L,0)),"")</f>
        <v/>
      </c>
      <c r="F907" s="68" t="str">
        <f aca="false">IFERROR(INDEX(分录回款!$H:$H,MATCH($L907,分录回款!$L:$L,0)),"")</f>
        <v/>
      </c>
      <c r="G907" s="69" t="str">
        <f aca="false">IFERROR(INDEX(分录回款!$I:$I,MATCH($L907,分录回款!$L:$L,0)),"")</f>
        <v/>
      </c>
      <c r="H907" s="23"/>
      <c r="I907" s="70"/>
      <c r="L907" s="71" t="n">
        <f aca="false">IF(助手回款!$R$62="",-1,助手回款!$R$62*100+(助手回款!$S$62-1)*6+2)</f>
        <v>-1</v>
      </c>
    </row>
    <row r="908" customFormat="false" ht="23.25" hidden="false" customHeight="true" outlineLevel="0" collapsed="false">
      <c r="B908" s="67" t="str">
        <f aca="false">""</f>
        <v/>
      </c>
      <c r="C908" s="67"/>
      <c r="D908" s="23" t="str">
        <f aca="false">IFERROR(INDEX(分录回款!$E:$E,MATCH($L908,分录回款!$L:$L,0)),"")</f>
        <v/>
      </c>
      <c r="E908" s="23" t="str">
        <f aca="false">IFERROR(INDEX(分录回款!$F:$F,MATCH($L908,分录回款!$L:$L,0)),"")</f>
        <v/>
      </c>
      <c r="F908" s="68" t="str">
        <f aca="false">IFERROR(INDEX(分录回款!$H:$H,MATCH($L908,分录回款!$L:$L,0)),"")</f>
        <v/>
      </c>
      <c r="G908" s="69" t="str">
        <f aca="false">IFERROR(INDEX(分录回款!$I:$I,MATCH($L908,分录回款!$L:$L,0)),"")</f>
        <v/>
      </c>
      <c r="H908" s="23"/>
      <c r="I908" s="70"/>
      <c r="L908" s="71" t="n">
        <f aca="false">IF(助手回款!$R$62="",-1,助手回款!$R$62*100+(助手回款!$S$62-1)*6+3)</f>
        <v>-1</v>
      </c>
    </row>
    <row r="909" customFormat="false" ht="23.25" hidden="false" customHeight="true" outlineLevel="0" collapsed="false">
      <c r="B909" s="67" t="str">
        <f aca="false">""</f>
        <v/>
      </c>
      <c r="C909" s="67"/>
      <c r="D909" s="23" t="str">
        <f aca="false">IFERROR(INDEX(分录回款!$E:$E,MATCH($L909,分录回款!$L:$L,0)),"")</f>
        <v/>
      </c>
      <c r="E909" s="23" t="str">
        <f aca="false">IFERROR(INDEX(分录回款!$F:$F,MATCH($L909,分录回款!$L:$L,0)),"")</f>
        <v/>
      </c>
      <c r="F909" s="68" t="str">
        <f aca="false">IFERROR(INDEX(分录回款!$H:$H,MATCH($L909,分录回款!$L:$L,0)),"")</f>
        <v/>
      </c>
      <c r="G909" s="69" t="str">
        <f aca="false">IFERROR(INDEX(分录回款!$I:$I,MATCH($L909,分录回款!$L:$L,0)),"")</f>
        <v/>
      </c>
      <c r="H909" s="23"/>
      <c r="I909" s="70"/>
      <c r="L909" s="71" t="n">
        <f aca="false">IF(助手回款!$R$62="",-1,助手回款!$R$62*100+(助手回款!$S$62-1)*6+4)</f>
        <v>-1</v>
      </c>
    </row>
    <row r="910" customFormat="false" ht="23.25" hidden="false" customHeight="true" outlineLevel="0" collapsed="false">
      <c r="B910" s="67" t="str">
        <f aca="false">""</f>
        <v/>
      </c>
      <c r="C910" s="67"/>
      <c r="D910" s="23" t="str">
        <f aca="false">IFERROR(INDEX(分录回款!$E:$E,MATCH($L910,分录回款!$L:$L,0)),"")</f>
        <v/>
      </c>
      <c r="E910" s="23" t="str">
        <f aca="false">IFERROR(INDEX(分录回款!$F:$F,MATCH($L910,分录回款!$L:$L,0)),"")</f>
        <v/>
      </c>
      <c r="F910" s="68" t="str">
        <f aca="false">IFERROR(INDEX(分录回款!$H:$H,MATCH($L910,分录回款!$L:$L,0)),"")</f>
        <v/>
      </c>
      <c r="G910" s="69" t="str">
        <f aca="false">IFERROR(INDEX(分录回款!$I:$I,MATCH($L910,分录回款!$L:$L,0)),"")</f>
        <v/>
      </c>
      <c r="H910" s="23"/>
      <c r="I910" s="70"/>
      <c r="L910" s="71" t="n">
        <f aca="false">IF(助手回款!$R$62="",-1,助手回款!$R$62*100+(助手回款!$S$62-1)*6+5)</f>
        <v>-1</v>
      </c>
    </row>
    <row r="911" customFormat="false" ht="23.25" hidden="false" customHeight="true" outlineLevel="0" collapsed="false">
      <c r="B911" s="67" t="str">
        <f aca="false">""</f>
        <v/>
      </c>
      <c r="C911" s="67"/>
      <c r="D911" s="23" t="str">
        <f aca="false">IFERROR(INDEX(分录回款!$E:$E,MATCH($L911,分录回款!$L:$L,0)),"")</f>
        <v/>
      </c>
      <c r="E911" s="23" t="str">
        <f aca="false">IFERROR(INDEX(分录回款!$F:$F,MATCH($L911,分录回款!$L:$L,0)),"")</f>
        <v/>
      </c>
      <c r="F911" s="68" t="str">
        <f aca="false">IFERROR(INDEX(分录回款!$H:$H,MATCH($L911,分录回款!$L:$L,0)),"")</f>
        <v/>
      </c>
      <c r="G911" s="69" t="str">
        <f aca="false">IFERROR(INDEX(分录回款!$I:$I,MATCH($L911,分录回款!$L:$L,0)),"")</f>
        <v/>
      </c>
      <c r="H911" s="23"/>
      <c r="I911" s="70"/>
      <c r="L911" s="71" t="n">
        <f aca="false">IF(助手回款!$R$62="",-1,助手回款!$R$62*100+(助手回款!$S$62-1)*6+6)</f>
        <v>-1</v>
      </c>
    </row>
    <row r="912" customFormat="false" ht="23.25" hidden="false" customHeight="true" outlineLevel="0" collapsed="false">
      <c r="B912" s="72" t="str">
        <f aca="false">IF(助手回款!$T$62=1,"合计：","")</f>
        <v/>
      </c>
      <c r="C912" s="73" t="str">
        <f aca="false">IF(助手回款!$T$62=1,$F912,"")</f>
        <v/>
      </c>
      <c r="D912" s="74"/>
      <c r="E912" s="74"/>
      <c r="F912" s="75" t="str">
        <f aca="false">IF(助手回款!$T$62=1,INDEX(助手回款!$N$2:$N$66,助手回款!$R$62),"")</f>
        <v/>
      </c>
      <c r="G912" s="76" t="str">
        <f aca="false">IF(助手回款!$T$62=1,INDEX(助手回款!$O$2:$O$66,助手回款!$R$62),"")</f>
        <v/>
      </c>
      <c r="H912" s="74"/>
      <c r="I912" s="77"/>
    </row>
    <row r="913" customFormat="false" ht="6" hidden="false" customHeight="true" outlineLevel="0" collapsed="false"/>
    <row r="914" customFormat="false" ht="13.5" hidden="false" customHeight="false" outlineLevel="0" collapsed="false">
      <c r="B914" s="78" t="str">
        <f aca="false">IF(助手回款!$R$62&lt;&gt;"","会计主管：","")</f>
        <v/>
      </c>
      <c r="D914" s="78" t="str">
        <f aca="false">IF(助手回款!$R$62&lt;&gt;"","会计：","")</f>
        <v/>
      </c>
      <c r="E914" s="78" t="str">
        <f aca="false">IF(助手回款!$R$62&lt;&gt;"","出纳：","")</f>
        <v/>
      </c>
      <c r="F914" s="78" t="str">
        <f aca="false">IF(助手回款!$R$62&lt;&gt;"","复核：","")</f>
        <v/>
      </c>
      <c r="G914" s="78" t="str">
        <f aca="false">IF(助手回款!$R$62&lt;&gt;"","制单：","")</f>
        <v/>
      </c>
    </row>
    <row r="915" customFormat="false" ht="3" hidden="false" customHeight="true" outlineLevel="0" collapsed="false"/>
    <row r="916" customFormat="false" ht="19.5" hidden="false" customHeight="true" outlineLevel="0" collapsed="false">
      <c r="B916" s="53" t="str">
        <f aca="false">IF(助手回款!$R$63&lt;&gt;"","记  账  凭  证","")</f>
        <v/>
      </c>
      <c r="C916" s="53"/>
      <c r="D916" s="53"/>
      <c r="E916" s="53"/>
      <c r="F916" s="53"/>
      <c r="G916" s="53"/>
      <c r="H916" s="53"/>
      <c r="I916" s="53"/>
    </row>
    <row r="917" customFormat="false" ht="3" hidden="false" customHeight="true" outlineLevel="0" collapsed="false"/>
    <row r="918" customFormat="false" ht="15" hidden="false" customHeight="true" outlineLevel="0" collapsed="false">
      <c r="C918" s="56" t="str">
        <f aca="false">IF(助手回款!$R$63&lt;&gt;"",INDEX(助手回款!$B$2:$B$66,助手回款!$R$63),"")</f>
        <v/>
      </c>
      <c r="D918" s="57" t="str">
        <f aca="false">IF(助手回款!$R$63&lt;&gt;"",参数!$B$2,"")</f>
        <v/>
      </c>
      <c r="E918" s="57"/>
      <c r="F918" s="58" t="str">
        <f aca="false">IF(助手回款!$R$63&lt;&gt;"",INDEX(助手回款!$C$2:$C$66,助手回款!$R$63)&amp;"  字第 "&amp;IF(参数!$B$9="是",INDEX(助手回款!$P$2:$P$66,助手回款!$R$63),"　　　　")&amp;" 号"&amp;IF(INDEX(助手回款!$L$2:$L$66,助手回款!$R$63)&gt;1,"  (共"&amp;INDEX(助手回款!$L$2:$L$66,助手回款!$R$63)&amp;"页 第"&amp;助手回款!$S$63&amp;"页)",""),"")</f>
        <v/>
      </c>
      <c r="G918" s="58"/>
      <c r="H918" s="58"/>
      <c r="I918" s="58"/>
      <c r="M918" s="79" t="str">
        <f aca="false">IF(助手回款!$R$63="","",助手回款!$Q$63)</f>
        <v/>
      </c>
      <c r="N918" s="80" t="str">
        <f aca="false">IF(助手回款!$R$63="","",INDEX(助手回款!$P$2:$P$66,助手回款!$R$63))</f>
        <v/>
      </c>
      <c r="O918" s="55" t="str">
        <f aca="false">IF(助手回款!$R$63="","",INDEX(助手回款!$C$2:$C$66,助手回款!$R$63)&amp;"  字第 "&amp;INDEX(助手回款!$P$2:$P$66,助手回款!$R$63)&amp;" 号"&amp;IF(INDEX(助手回款!$L$2:$L$66,助手回款!$R$63)&gt;1,"  (共"&amp;INDEX(助手回款!$L$2:$L$66,助手回款!$R$63)&amp;"页 第"&amp;助手回款!$S$63&amp;"页)",""))</f>
        <v/>
      </c>
    </row>
    <row r="919" customFormat="false" ht="12.75" hidden="false" customHeight="true" outlineLevel="0" collapsed="false">
      <c r="B919" s="61" t="str">
        <f aca="false">IF(助手回款!$R$63&lt;&gt;"","摘　　要","")</f>
        <v/>
      </c>
      <c r="C919" s="61"/>
      <c r="D919" s="62" t="str">
        <f aca="false">IF(助手回款!$R$63&lt;&gt;"","科　　　　目","")</f>
        <v/>
      </c>
      <c r="E919" s="62"/>
      <c r="F919" s="61" t="str">
        <f aca="false">IF(助手回款!$R$63&lt;&gt;"","借 方 金 额","")</f>
        <v/>
      </c>
      <c r="G919" s="62" t="str">
        <f aca="false">IF(助手回款!$R$63&lt;&gt;"","贷 方 金 额","")</f>
        <v/>
      </c>
      <c r="H919" s="63" t="str">
        <f aca="false">IF(助手回款!$R$63&lt;&gt;"","√","")</f>
        <v/>
      </c>
      <c r="I919" s="64" t="str">
        <f aca="false">IF(助手回款!$R$63&lt;&gt;"","附单据  张","")</f>
        <v/>
      </c>
    </row>
    <row r="920" customFormat="false" ht="12.75" hidden="false" customHeight="true" outlineLevel="0" collapsed="false">
      <c r="B920" s="61"/>
      <c r="C920" s="61"/>
      <c r="D920" s="23" t="str">
        <f aca="false">IF(助手回款!$R$63&lt;&gt;"","总 账 科 目","")</f>
        <v/>
      </c>
      <c r="E920" s="23" t="str">
        <f aca="false">IF(助手回款!$R$63&lt;&gt;"","明 细 科 目","")</f>
        <v/>
      </c>
      <c r="F920" s="65"/>
      <c r="G920" s="66"/>
      <c r="H920" s="63"/>
      <c r="I920" s="64"/>
    </row>
    <row r="921" customFormat="false" ht="23.25" hidden="false" customHeight="true" outlineLevel="0" collapsed="false">
      <c r="B921" s="67" t="str">
        <f aca="false">IFERROR(INDEX(分录回款!$M:$M,MATCH($L921,分录回款!$L:$L,0)),"")</f>
        <v/>
      </c>
      <c r="C921" s="67"/>
      <c r="D921" s="23" t="str">
        <f aca="false">IFERROR(INDEX(分录回款!$E:$E,MATCH($L921,分录回款!$L:$L,0)),"")</f>
        <v/>
      </c>
      <c r="E921" s="23" t="str">
        <f aca="false">IFERROR(INDEX(分录回款!$F:$F,MATCH($L921,分录回款!$L:$L,0)),"")</f>
        <v/>
      </c>
      <c r="F921" s="68" t="str">
        <f aca="false">IFERROR(INDEX(分录回款!$H:$H,MATCH($L921,分录回款!$L:$L,0)),"")</f>
        <v/>
      </c>
      <c r="G921" s="69" t="str">
        <f aca="false">IFERROR(INDEX(分录回款!$I:$I,MATCH($L921,分录回款!$L:$L,0)),"")</f>
        <v/>
      </c>
      <c r="H921" s="23"/>
      <c r="I921" s="70"/>
      <c r="L921" s="71" t="n">
        <f aca="false">IF(助手回款!$R$63="",-1,助手回款!$R$63*100+(助手回款!$S$63-1)*6+1)</f>
        <v>-1</v>
      </c>
    </row>
    <row r="922" customFormat="false" ht="23.25" hidden="false" customHeight="true" outlineLevel="0" collapsed="false">
      <c r="B922" s="67" t="str">
        <f aca="false">""</f>
        <v/>
      </c>
      <c r="C922" s="67"/>
      <c r="D922" s="23" t="str">
        <f aca="false">IFERROR(INDEX(分录回款!$E:$E,MATCH($L922,分录回款!$L:$L,0)),"")</f>
        <v/>
      </c>
      <c r="E922" s="23" t="str">
        <f aca="false">IFERROR(INDEX(分录回款!$F:$F,MATCH($L922,分录回款!$L:$L,0)),"")</f>
        <v/>
      </c>
      <c r="F922" s="68" t="str">
        <f aca="false">IFERROR(INDEX(分录回款!$H:$H,MATCH($L922,分录回款!$L:$L,0)),"")</f>
        <v/>
      </c>
      <c r="G922" s="69" t="str">
        <f aca="false">IFERROR(INDEX(分录回款!$I:$I,MATCH($L922,分录回款!$L:$L,0)),"")</f>
        <v/>
      </c>
      <c r="H922" s="23"/>
      <c r="I922" s="70"/>
      <c r="L922" s="71" t="n">
        <f aca="false">IF(助手回款!$R$63="",-1,助手回款!$R$63*100+(助手回款!$S$63-1)*6+2)</f>
        <v>-1</v>
      </c>
    </row>
    <row r="923" customFormat="false" ht="23.25" hidden="false" customHeight="true" outlineLevel="0" collapsed="false">
      <c r="B923" s="67" t="str">
        <f aca="false">""</f>
        <v/>
      </c>
      <c r="C923" s="67"/>
      <c r="D923" s="23" t="str">
        <f aca="false">IFERROR(INDEX(分录回款!$E:$E,MATCH($L923,分录回款!$L:$L,0)),"")</f>
        <v/>
      </c>
      <c r="E923" s="23" t="str">
        <f aca="false">IFERROR(INDEX(分录回款!$F:$F,MATCH($L923,分录回款!$L:$L,0)),"")</f>
        <v/>
      </c>
      <c r="F923" s="68" t="str">
        <f aca="false">IFERROR(INDEX(分录回款!$H:$H,MATCH($L923,分录回款!$L:$L,0)),"")</f>
        <v/>
      </c>
      <c r="G923" s="69" t="str">
        <f aca="false">IFERROR(INDEX(分录回款!$I:$I,MATCH($L923,分录回款!$L:$L,0)),"")</f>
        <v/>
      </c>
      <c r="H923" s="23"/>
      <c r="I923" s="70"/>
      <c r="L923" s="71" t="n">
        <f aca="false">IF(助手回款!$R$63="",-1,助手回款!$R$63*100+(助手回款!$S$63-1)*6+3)</f>
        <v>-1</v>
      </c>
    </row>
    <row r="924" customFormat="false" ht="23.25" hidden="false" customHeight="true" outlineLevel="0" collapsed="false">
      <c r="B924" s="67" t="str">
        <f aca="false">""</f>
        <v/>
      </c>
      <c r="C924" s="67"/>
      <c r="D924" s="23" t="str">
        <f aca="false">IFERROR(INDEX(分录回款!$E:$E,MATCH($L924,分录回款!$L:$L,0)),"")</f>
        <v/>
      </c>
      <c r="E924" s="23" t="str">
        <f aca="false">IFERROR(INDEX(分录回款!$F:$F,MATCH($L924,分录回款!$L:$L,0)),"")</f>
        <v/>
      </c>
      <c r="F924" s="68" t="str">
        <f aca="false">IFERROR(INDEX(分录回款!$H:$H,MATCH($L924,分录回款!$L:$L,0)),"")</f>
        <v/>
      </c>
      <c r="G924" s="69" t="str">
        <f aca="false">IFERROR(INDEX(分录回款!$I:$I,MATCH($L924,分录回款!$L:$L,0)),"")</f>
        <v/>
      </c>
      <c r="H924" s="23"/>
      <c r="I924" s="70"/>
      <c r="L924" s="71" t="n">
        <f aca="false">IF(助手回款!$R$63="",-1,助手回款!$R$63*100+(助手回款!$S$63-1)*6+4)</f>
        <v>-1</v>
      </c>
    </row>
    <row r="925" customFormat="false" ht="23.25" hidden="false" customHeight="true" outlineLevel="0" collapsed="false">
      <c r="B925" s="67" t="str">
        <f aca="false">""</f>
        <v/>
      </c>
      <c r="C925" s="67"/>
      <c r="D925" s="23" t="str">
        <f aca="false">IFERROR(INDEX(分录回款!$E:$E,MATCH($L925,分录回款!$L:$L,0)),"")</f>
        <v/>
      </c>
      <c r="E925" s="23" t="str">
        <f aca="false">IFERROR(INDEX(分录回款!$F:$F,MATCH($L925,分录回款!$L:$L,0)),"")</f>
        <v/>
      </c>
      <c r="F925" s="68" t="str">
        <f aca="false">IFERROR(INDEX(分录回款!$H:$H,MATCH($L925,分录回款!$L:$L,0)),"")</f>
        <v/>
      </c>
      <c r="G925" s="69" t="str">
        <f aca="false">IFERROR(INDEX(分录回款!$I:$I,MATCH($L925,分录回款!$L:$L,0)),"")</f>
        <v/>
      </c>
      <c r="H925" s="23"/>
      <c r="I925" s="70"/>
      <c r="L925" s="71" t="n">
        <f aca="false">IF(助手回款!$R$63="",-1,助手回款!$R$63*100+(助手回款!$S$63-1)*6+5)</f>
        <v>-1</v>
      </c>
    </row>
    <row r="926" customFormat="false" ht="23.25" hidden="false" customHeight="true" outlineLevel="0" collapsed="false">
      <c r="B926" s="67" t="str">
        <f aca="false">""</f>
        <v/>
      </c>
      <c r="C926" s="67"/>
      <c r="D926" s="23" t="str">
        <f aca="false">IFERROR(INDEX(分录回款!$E:$E,MATCH($L926,分录回款!$L:$L,0)),"")</f>
        <v/>
      </c>
      <c r="E926" s="23" t="str">
        <f aca="false">IFERROR(INDEX(分录回款!$F:$F,MATCH($L926,分录回款!$L:$L,0)),"")</f>
        <v/>
      </c>
      <c r="F926" s="68" t="str">
        <f aca="false">IFERROR(INDEX(分录回款!$H:$H,MATCH($L926,分录回款!$L:$L,0)),"")</f>
        <v/>
      </c>
      <c r="G926" s="69" t="str">
        <f aca="false">IFERROR(INDEX(分录回款!$I:$I,MATCH($L926,分录回款!$L:$L,0)),"")</f>
        <v/>
      </c>
      <c r="H926" s="23"/>
      <c r="I926" s="70"/>
      <c r="L926" s="71" t="n">
        <f aca="false">IF(助手回款!$R$63="",-1,助手回款!$R$63*100+(助手回款!$S$63-1)*6+6)</f>
        <v>-1</v>
      </c>
    </row>
    <row r="927" customFormat="false" ht="23.25" hidden="false" customHeight="true" outlineLevel="0" collapsed="false">
      <c r="B927" s="72" t="str">
        <f aca="false">IF(助手回款!$T$63=1,"合计：","")</f>
        <v/>
      </c>
      <c r="C927" s="73" t="str">
        <f aca="false">IF(助手回款!$T$63=1,$F927,"")</f>
        <v/>
      </c>
      <c r="D927" s="74"/>
      <c r="E927" s="74"/>
      <c r="F927" s="75" t="str">
        <f aca="false">IF(助手回款!$T$63=1,INDEX(助手回款!$N$2:$N$66,助手回款!$R$63),"")</f>
        <v/>
      </c>
      <c r="G927" s="76" t="str">
        <f aca="false">IF(助手回款!$T$63=1,INDEX(助手回款!$O$2:$O$66,助手回款!$R$63),"")</f>
        <v/>
      </c>
      <c r="H927" s="74"/>
      <c r="I927" s="77"/>
    </row>
    <row r="928" customFormat="false" ht="6" hidden="false" customHeight="true" outlineLevel="0" collapsed="false"/>
    <row r="929" customFormat="false" ht="13.5" hidden="false" customHeight="false" outlineLevel="0" collapsed="false">
      <c r="B929" s="78" t="str">
        <f aca="false">IF(助手回款!$R$63&lt;&gt;"","会计主管：","")</f>
        <v/>
      </c>
      <c r="D929" s="78" t="str">
        <f aca="false">IF(助手回款!$R$63&lt;&gt;"","会计：","")</f>
        <v/>
      </c>
      <c r="E929" s="78" t="str">
        <f aca="false">IF(助手回款!$R$63&lt;&gt;"","出纳：","")</f>
        <v/>
      </c>
      <c r="F929" s="78" t="str">
        <f aca="false">IF(助手回款!$R$63&lt;&gt;"","复核：","")</f>
        <v/>
      </c>
      <c r="G929" s="78" t="str">
        <f aca="false">IF(助手回款!$R$63&lt;&gt;"","制单：","")</f>
        <v/>
      </c>
    </row>
    <row r="930" customFormat="false" ht="3" hidden="false" customHeight="true" outlineLevel="0" collapsed="false"/>
    <row r="931" customFormat="false" ht="19.5" hidden="false" customHeight="true" outlineLevel="0" collapsed="false">
      <c r="B931" s="53" t="str">
        <f aca="false">IF(助手回款!$R$64&lt;&gt;"","记  账  凭  证","")</f>
        <v/>
      </c>
      <c r="C931" s="53"/>
      <c r="D931" s="53"/>
      <c r="E931" s="53"/>
      <c r="F931" s="53"/>
      <c r="G931" s="53"/>
      <c r="H931" s="53"/>
      <c r="I931" s="53"/>
    </row>
    <row r="932" customFormat="false" ht="3" hidden="false" customHeight="true" outlineLevel="0" collapsed="false"/>
    <row r="933" customFormat="false" ht="15" hidden="false" customHeight="true" outlineLevel="0" collapsed="false">
      <c r="C933" s="56" t="str">
        <f aca="false">IF(助手回款!$R$64&lt;&gt;"",INDEX(助手回款!$B$2:$B$66,助手回款!$R$64),"")</f>
        <v/>
      </c>
      <c r="D933" s="57" t="str">
        <f aca="false">IF(助手回款!$R$64&lt;&gt;"",参数!$B$2,"")</f>
        <v/>
      </c>
      <c r="E933" s="57"/>
      <c r="F933" s="58" t="str">
        <f aca="false">IF(助手回款!$R$64&lt;&gt;"",INDEX(助手回款!$C$2:$C$66,助手回款!$R$64)&amp;"  字第 "&amp;IF(参数!$B$9="是",INDEX(助手回款!$P$2:$P$66,助手回款!$R$64),"　　　　")&amp;" 号"&amp;IF(INDEX(助手回款!$L$2:$L$66,助手回款!$R$64)&gt;1,"  (共"&amp;INDEX(助手回款!$L$2:$L$66,助手回款!$R$64)&amp;"页 第"&amp;助手回款!$S$64&amp;"页)",""),"")</f>
        <v/>
      </c>
      <c r="G933" s="58"/>
      <c r="H933" s="58"/>
      <c r="I933" s="58"/>
      <c r="M933" s="79" t="str">
        <f aca="false">IF(助手回款!$R$64="","",助手回款!$Q$64)</f>
        <v/>
      </c>
      <c r="N933" s="80" t="str">
        <f aca="false">IF(助手回款!$R$64="","",INDEX(助手回款!$P$2:$P$66,助手回款!$R$64))</f>
        <v/>
      </c>
      <c r="O933" s="55" t="str">
        <f aca="false">IF(助手回款!$R$64="","",INDEX(助手回款!$C$2:$C$66,助手回款!$R$64)&amp;"  字第 "&amp;INDEX(助手回款!$P$2:$P$66,助手回款!$R$64)&amp;" 号"&amp;IF(INDEX(助手回款!$L$2:$L$66,助手回款!$R$64)&gt;1,"  (共"&amp;INDEX(助手回款!$L$2:$L$66,助手回款!$R$64)&amp;"页 第"&amp;助手回款!$S$64&amp;"页)",""))</f>
        <v/>
      </c>
    </row>
    <row r="934" customFormat="false" ht="12.75" hidden="false" customHeight="true" outlineLevel="0" collapsed="false">
      <c r="B934" s="61" t="str">
        <f aca="false">IF(助手回款!$R$64&lt;&gt;"","摘　　要","")</f>
        <v/>
      </c>
      <c r="C934" s="61"/>
      <c r="D934" s="62" t="str">
        <f aca="false">IF(助手回款!$R$64&lt;&gt;"","科　　　　目","")</f>
        <v/>
      </c>
      <c r="E934" s="62"/>
      <c r="F934" s="61" t="str">
        <f aca="false">IF(助手回款!$R$64&lt;&gt;"","借 方 金 额","")</f>
        <v/>
      </c>
      <c r="G934" s="62" t="str">
        <f aca="false">IF(助手回款!$R$64&lt;&gt;"","贷 方 金 额","")</f>
        <v/>
      </c>
      <c r="H934" s="63" t="str">
        <f aca="false">IF(助手回款!$R$64&lt;&gt;"","√","")</f>
        <v/>
      </c>
      <c r="I934" s="64" t="str">
        <f aca="false">IF(助手回款!$R$64&lt;&gt;"","附单据  张","")</f>
        <v/>
      </c>
    </row>
    <row r="935" customFormat="false" ht="12.75" hidden="false" customHeight="true" outlineLevel="0" collapsed="false">
      <c r="B935" s="61"/>
      <c r="C935" s="61"/>
      <c r="D935" s="23" t="str">
        <f aca="false">IF(助手回款!$R$64&lt;&gt;"","总 账 科 目","")</f>
        <v/>
      </c>
      <c r="E935" s="23" t="str">
        <f aca="false">IF(助手回款!$R$64&lt;&gt;"","明 细 科 目","")</f>
        <v/>
      </c>
      <c r="F935" s="65"/>
      <c r="G935" s="66"/>
      <c r="H935" s="63"/>
      <c r="I935" s="64"/>
    </row>
    <row r="936" customFormat="false" ht="23.25" hidden="false" customHeight="true" outlineLevel="0" collapsed="false">
      <c r="B936" s="67" t="str">
        <f aca="false">IFERROR(INDEX(分录回款!$M:$M,MATCH($L936,分录回款!$L:$L,0)),"")</f>
        <v/>
      </c>
      <c r="C936" s="67"/>
      <c r="D936" s="23" t="str">
        <f aca="false">IFERROR(INDEX(分录回款!$E:$E,MATCH($L936,分录回款!$L:$L,0)),"")</f>
        <v/>
      </c>
      <c r="E936" s="23" t="str">
        <f aca="false">IFERROR(INDEX(分录回款!$F:$F,MATCH($L936,分录回款!$L:$L,0)),"")</f>
        <v/>
      </c>
      <c r="F936" s="68" t="str">
        <f aca="false">IFERROR(INDEX(分录回款!$H:$H,MATCH($L936,分录回款!$L:$L,0)),"")</f>
        <v/>
      </c>
      <c r="G936" s="69" t="str">
        <f aca="false">IFERROR(INDEX(分录回款!$I:$I,MATCH($L936,分录回款!$L:$L,0)),"")</f>
        <v/>
      </c>
      <c r="H936" s="23"/>
      <c r="I936" s="70"/>
      <c r="L936" s="71" t="n">
        <f aca="false">IF(助手回款!$R$64="",-1,助手回款!$R$64*100+(助手回款!$S$64-1)*6+1)</f>
        <v>-1</v>
      </c>
    </row>
    <row r="937" customFormat="false" ht="23.25" hidden="false" customHeight="true" outlineLevel="0" collapsed="false">
      <c r="B937" s="67" t="str">
        <f aca="false">""</f>
        <v/>
      </c>
      <c r="C937" s="67"/>
      <c r="D937" s="23" t="str">
        <f aca="false">IFERROR(INDEX(分录回款!$E:$E,MATCH($L937,分录回款!$L:$L,0)),"")</f>
        <v/>
      </c>
      <c r="E937" s="23" t="str">
        <f aca="false">IFERROR(INDEX(分录回款!$F:$F,MATCH($L937,分录回款!$L:$L,0)),"")</f>
        <v/>
      </c>
      <c r="F937" s="68" t="str">
        <f aca="false">IFERROR(INDEX(分录回款!$H:$H,MATCH($L937,分录回款!$L:$L,0)),"")</f>
        <v/>
      </c>
      <c r="G937" s="69" t="str">
        <f aca="false">IFERROR(INDEX(分录回款!$I:$I,MATCH($L937,分录回款!$L:$L,0)),"")</f>
        <v/>
      </c>
      <c r="H937" s="23"/>
      <c r="I937" s="70"/>
      <c r="L937" s="71" t="n">
        <f aca="false">IF(助手回款!$R$64="",-1,助手回款!$R$64*100+(助手回款!$S$64-1)*6+2)</f>
        <v>-1</v>
      </c>
    </row>
    <row r="938" customFormat="false" ht="23.25" hidden="false" customHeight="true" outlineLevel="0" collapsed="false">
      <c r="B938" s="67" t="str">
        <f aca="false">""</f>
        <v/>
      </c>
      <c r="C938" s="67"/>
      <c r="D938" s="23" t="str">
        <f aca="false">IFERROR(INDEX(分录回款!$E:$E,MATCH($L938,分录回款!$L:$L,0)),"")</f>
        <v/>
      </c>
      <c r="E938" s="23" t="str">
        <f aca="false">IFERROR(INDEX(分录回款!$F:$F,MATCH($L938,分录回款!$L:$L,0)),"")</f>
        <v/>
      </c>
      <c r="F938" s="68" t="str">
        <f aca="false">IFERROR(INDEX(分录回款!$H:$H,MATCH($L938,分录回款!$L:$L,0)),"")</f>
        <v/>
      </c>
      <c r="G938" s="69" t="str">
        <f aca="false">IFERROR(INDEX(分录回款!$I:$I,MATCH($L938,分录回款!$L:$L,0)),"")</f>
        <v/>
      </c>
      <c r="H938" s="23"/>
      <c r="I938" s="70"/>
      <c r="L938" s="71" t="n">
        <f aca="false">IF(助手回款!$R$64="",-1,助手回款!$R$64*100+(助手回款!$S$64-1)*6+3)</f>
        <v>-1</v>
      </c>
    </row>
    <row r="939" customFormat="false" ht="23.25" hidden="false" customHeight="true" outlineLevel="0" collapsed="false">
      <c r="B939" s="67" t="str">
        <f aca="false">""</f>
        <v/>
      </c>
      <c r="C939" s="67"/>
      <c r="D939" s="23" t="str">
        <f aca="false">IFERROR(INDEX(分录回款!$E:$E,MATCH($L939,分录回款!$L:$L,0)),"")</f>
        <v/>
      </c>
      <c r="E939" s="23" t="str">
        <f aca="false">IFERROR(INDEX(分录回款!$F:$F,MATCH($L939,分录回款!$L:$L,0)),"")</f>
        <v/>
      </c>
      <c r="F939" s="68" t="str">
        <f aca="false">IFERROR(INDEX(分录回款!$H:$H,MATCH($L939,分录回款!$L:$L,0)),"")</f>
        <v/>
      </c>
      <c r="G939" s="69" t="str">
        <f aca="false">IFERROR(INDEX(分录回款!$I:$I,MATCH($L939,分录回款!$L:$L,0)),"")</f>
        <v/>
      </c>
      <c r="H939" s="23"/>
      <c r="I939" s="70"/>
      <c r="L939" s="71" t="n">
        <f aca="false">IF(助手回款!$R$64="",-1,助手回款!$R$64*100+(助手回款!$S$64-1)*6+4)</f>
        <v>-1</v>
      </c>
    </row>
    <row r="940" customFormat="false" ht="23.25" hidden="false" customHeight="true" outlineLevel="0" collapsed="false">
      <c r="B940" s="67" t="str">
        <f aca="false">""</f>
        <v/>
      </c>
      <c r="C940" s="67"/>
      <c r="D940" s="23" t="str">
        <f aca="false">IFERROR(INDEX(分录回款!$E:$E,MATCH($L940,分录回款!$L:$L,0)),"")</f>
        <v/>
      </c>
      <c r="E940" s="23" t="str">
        <f aca="false">IFERROR(INDEX(分录回款!$F:$F,MATCH($L940,分录回款!$L:$L,0)),"")</f>
        <v/>
      </c>
      <c r="F940" s="68" t="str">
        <f aca="false">IFERROR(INDEX(分录回款!$H:$H,MATCH($L940,分录回款!$L:$L,0)),"")</f>
        <v/>
      </c>
      <c r="G940" s="69" t="str">
        <f aca="false">IFERROR(INDEX(分录回款!$I:$I,MATCH($L940,分录回款!$L:$L,0)),"")</f>
        <v/>
      </c>
      <c r="H940" s="23"/>
      <c r="I940" s="70"/>
      <c r="L940" s="71" t="n">
        <f aca="false">IF(助手回款!$R$64="",-1,助手回款!$R$64*100+(助手回款!$S$64-1)*6+5)</f>
        <v>-1</v>
      </c>
    </row>
    <row r="941" customFormat="false" ht="23.25" hidden="false" customHeight="true" outlineLevel="0" collapsed="false">
      <c r="B941" s="67" t="str">
        <f aca="false">""</f>
        <v/>
      </c>
      <c r="C941" s="67"/>
      <c r="D941" s="23" t="str">
        <f aca="false">IFERROR(INDEX(分录回款!$E:$E,MATCH($L941,分录回款!$L:$L,0)),"")</f>
        <v/>
      </c>
      <c r="E941" s="23" t="str">
        <f aca="false">IFERROR(INDEX(分录回款!$F:$F,MATCH($L941,分录回款!$L:$L,0)),"")</f>
        <v/>
      </c>
      <c r="F941" s="68" t="str">
        <f aca="false">IFERROR(INDEX(分录回款!$H:$H,MATCH($L941,分录回款!$L:$L,0)),"")</f>
        <v/>
      </c>
      <c r="G941" s="69" t="str">
        <f aca="false">IFERROR(INDEX(分录回款!$I:$I,MATCH($L941,分录回款!$L:$L,0)),"")</f>
        <v/>
      </c>
      <c r="H941" s="23"/>
      <c r="I941" s="70"/>
      <c r="L941" s="71" t="n">
        <f aca="false">IF(助手回款!$R$64="",-1,助手回款!$R$64*100+(助手回款!$S$64-1)*6+6)</f>
        <v>-1</v>
      </c>
    </row>
    <row r="942" customFormat="false" ht="23.25" hidden="false" customHeight="true" outlineLevel="0" collapsed="false">
      <c r="B942" s="72" t="str">
        <f aca="false">IF(助手回款!$T$64=1,"合计：","")</f>
        <v/>
      </c>
      <c r="C942" s="73" t="str">
        <f aca="false">IF(助手回款!$T$64=1,$F942,"")</f>
        <v/>
      </c>
      <c r="D942" s="74"/>
      <c r="E942" s="74"/>
      <c r="F942" s="75" t="str">
        <f aca="false">IF(助手回款!$T$64=1,INDEX(助手回款!$N$2:$N$66,助手回款!$R$64),"")</f>
        <v/>
      </c>
      <c r="G942" s="76" t="str">
        <f aca="false">IF(助手回款!$T$64=1,INDEX(助手回款!$O$2:$O$66,助手回款!$R$64),"")</f>
        <v/>
      </c>
      <c r="H942" s="74"/>
      <c r="I942" s="77"/>
    </row>
    <row r="943" customFormat="false" ht="6" hidden="false" customHeight="true" outlineLevel="0" collapsed="false"/>
    <row r="944" customFormat="false" ht="13.5" hidden="false" customHeight="false" outlineLevel="0" collapsed="false">
      <c r="B944" s="78" t="str">
        <f aca="false">IF(助手回款!$R$64&lt;&gt;"","会计主管：","")</f>
        <v/>
      </c>
      <c r="D944" s="78" t="str">
        <f aca="false">IF(助手回款!$R$64&lt;&gt;"","会计：","")</f>
        <v/>
      </c>
      <c r="E944" s="78" t="str">
        <f aca="false">IF(助手回款!$R$64&lt;&gt;"","出纳：","")</f>
        <v/>
      </c>
      <c r="F944" s="78" t="str">
        <f aca="false">IF(助手回款!$R$64&lt;&gt;"","复核：","")</f>
        <v/>
      </c>
      <c r="G944" s="78" t="str">
        <f aca="false">IF(助手回款!$R$64&lt;&gt;"","制单：","")</f>
        <v/>
      </c>
    </row>
    <row r="945" customFormat="false" ht="3" hidden="false" customHeight="true" outlineLevel="0" collapsed="false"/>
    <row r="946" customFormat="false" ht="19.5" hidden="false" customHeight="true" outlineLevel="0" collapsed="false">
      <c r="B946" s="53" t="str">
        <f aca="false">IF(助手回款!$R$65&lt;&gt;"","记  账  凭  证","")</f>
        <v/>
      </c>
      <c r="C946" s="53"/>
      <c r="D946" s="53"/>
      <c r="E946" s="53"/>
      <c r="F946" s="53"/>
      <c r="G946" s="53"/>
      <c r="H946" s="53"/>
      <c r="I946" s="53"/>
    </row>
    <row r="947" customFormat="false" ht="3" hidden="false" customHeight="true" outlineLevel="0" collapsed="false"/>
    <row r="948" customFormat="false" ht="15" hidden="false" customHeight="true" outlineLevel="0" collapsed="false">
      <c r="C948" s="56" t="str">
        <f aca="false">IF(助手回款!$R$65&lt;&gt;"",INDEX(助手回款!$B$2:$B$66,助手回款!$R$65),"")</f>
        <v/>
      </c>
      <c r="D948" s="57" t="str">
        <f aca="false">IF(助手回款!$R$65&lt;&gt;"",参数!$B$2,"")</f>
        <v/>
      </c>
      <c r="E948" s="57"/>
      <c r="F948" s="58" t="str">
        <f aca="false">IF(助手回款!$R$65&lt;&gt;"",INDEX(助手回款!$C$2:$C$66,助手回款!$R$65)&amp;"  字第 "&amp;IF(参数!$B$9="是",INDEX(助手回款!$P$2:$P$66,助手回款!$R$65),"　　　　")&amp;" 号"&amp;IF(INDEX(助手回款!$L$2:$L$66,助手回款!$R$65)&gt;1,"  (共"&amp;INDEX(助手回款!$L$2:$L$66,助手回款!$R$65)&amp;"页 第"&amp;助手回款!$S$65&amp;"页)",""),"")</f>
        <v/>
      </c>
      <c r="G948" s="58"/>
      <c r="H948" s="58"/>
      <c r="I948" s="58"/>
      <c r="M948" s="79" t="str">
        <f aca="false">IF(助手回款!$R$65="","",助手回款!$Q$65)</f>
        <v/>
      </c>
      <c r="N948" s="80" t="str">
        <f aca="false">IF(助手回款!$R$65="","",INDEX(助手回款!$P$2:$P$66,助手回款!$R$65))</f>
        <v/>
      </c>
      <c r="O948" s="55" t="str">
        <f aca="false">IF(助手回款!$R$65="","",INDEX(助手回款!$C$2:$C$66,助手回款!$R$65)&amp;"  字第 "&amp;INDEX(助手回款!$P$2:$P$66,助手回款!$R$65)&amp;" 号"&amp;IF(INDEX(助手回款!$L$2:$L$66,助手回款!$R$65)&gt;1,"  (共"&amp;INDEX(助手回款!$L$2:$L$66,助手回款!$R$65)&amp;"页 第"&amp;助手回款!$S$65&amp;"页)",""))</f>
        <v/>
      </c>
    </row>
    <row r="949" customFormat="false" ht="12.75" hidden="false" customHeight="true" outlineLevel="0" collapsed="false">
      <c r="B949" s="61" t="str">
        <f aca="false">IF(助手回款!$R$65&lt;&gt;"","摘　　要","")</f>
        <v/>
      </c>
      <c r="C949" s="61"/>
      <c r="D949" s="62" t="str">
        <f aca="false">IF(助手回款!$R$65&lt;&gt;"","科　　　　目","")</f>
        <v/>
      </c>
      <c r="E949" s="62"/>
      <c r="F949" s="61" t="str">
        <f aca="false">IF(助手回款!$R$65&lt;&gt;"","借 方 金 额","")</f>
        <v/>
      </c>
      <c r="G949" s="62" t="str">
        <f aca="false">IF(助手回款!$R$65&lt;&gt;"","贷 方 金 额","")</f>
        <v/>
      </c>
      <c r="H949" s="63" t="str">
        <f aca="false">IF(助手回款!$R$65&lt;&gt;"","√","")</f>
        <v/>
      </c>
      <c r="I949" s="64" t="str">
        <f aca="false">IF(助手回款!$R$65&lt;&gt;"","附单据  张","")</f>
        <v/>
      </c>
    </row>
    <row r="950" customFormat="false" ht="12.75" hidden="false" customHeight="true" outlineLevel="0" collapsed="false">
      <c r="B950" s="61"/>
      <c r="C950" s="61"/>
      <c r="D950" s="23" t="str">
        <f aca="false">IF(助手回款!$R$65&lt;&gt;"","总 账 科 目","")</f>
        <v/>
      </c>
      <c r="E950" s="23" t="str">
        <f aca="false">IF(助手回款!$R$65&lt;&gt;"","明 细 科 目","")</f>
        <v/>
      </c>
      <c r="F950" s="65"/>
      <c r="G950" s="66"/>
      <c r="H950" s="63"/>
      <c r="I950" s="64"/>
    </row>
    <row r="951" customFormat="false" ht="23.25" hidden="false" customHeight="true" outlineLevel="0" collapsed="false">
      <c r="B951" s="67" t="str">
        <f aca="false">IFERROR(INDEX(分录回款!$M:$M,MATCH($L951,分录回款!$L:$L,0)),"")</f>
        <v/>
      </c>
      <c r="C951" s="67"/>
      <c r="D951" s="23" t="str">
        <f aca="false">IFERROR(INDEX(分录回款!$E:$E,MATCH($L951,分录回款!$L:$L,0)),"")</f>
        <v/>
      </c>
      <c r="E951" s="23" t="str">
        <f aca="false">IFERROR(INDEX(分录回款!$F:$F,MATCH($L951,分录回款!$L:$L,0)),"")</f>
        <v/>
      </c>
      <c r="F951" s="68" t="str">
        <f aca="false">IFERROR(INDEX(分录回款!$H:$H,MATCH($L951,分录回款!$L:$L,0)),"")</f>
        <v/>
      </c>
      <c r="G951" s="69" t="str">
        <f aca="false">IFERROR(INDEX(分录回款!$I:$I,MATCH($L951,分录回款!$L:$L,0)),"")</f>
        <v/>
      </c>
      <c r="H951" s="23"/>
      <c r="I951" s="70"/>
      <c r="L951" s="71" t="n">
        <f aca="false">IF(助手回款!$R$65="",-1,助手回款!$R$65*100+(助手回款!$S$65-1)*6+1)</f>
        <v>-1</v>
      </c>
    </row>
    <row r="952" customFormat="false" ht="23.25" hidden="false" customHeight="true" outlineLevel="0" collapsed="false">
      <c r="B952" s="67" t="str">
        <f aca="false">""</f>
        <v/>
      </c>
      <c r="C952" s="67"/>
      <c r="D952" s="23" t="str">
        <f aca="false">IFERROR(INDEX(分录回款!$E:$E,MATCH($L952,分录回款!$L:$L,0)),"")</f>
        <v/>
      </c>
      <c r="E952" s="23" t="str">
        <f aca="false">IFERROR(INDEX(分录回款!$F:$F,MATCH($L952,分录回款!$L:$L,0)),"")</f>
        <v/>
      </c>
      <c r="F952" s="68" t="str">
        <f aca="false">IFERROR(INDEX(分录回款!$H:$H,MATCH($L952,分录回款!$L:$L,0)),"")</f>
        <v/>
      </c>
      <c r="G952" s="69" t="str">
        <f aca="false">IFERROR(INDEX(分录回款!$I:$I,MATCH($L952,分录回款!$L:$L,0)),"")</f>
        <v/>
      </c>
      <c r="H952" s="23"/>
      <c r="I952" s="70"/>
      <c r="L952" s="71" t="n">
        <f aca="false">IF(助手回款!$R$65="",-1,助手回款!$R$65*100+(助手回款!$S$65-1)*6+2)</f>
        <v>-1</v>
      </c>
    </row>
    <row r="953" customFormat="false" ht="23.25" hidden="false" customHeight="true" outlineLevel="0" collapsed="false">
      <c r="B953" s="67" t="str">
        <f aca="false">""</f>
        <v/>
      </c>
      <c r="C953" s="67"/>
      <c r="D953" s="23" t="str">
        <f aca="false">IFERROR(INDEX(分录回款!$E:$E,MATCH($L953,分录回款!$L:$L,0)),"")</f>
        <v/>
      </c>
      <c r="E953" s="23" t="str">
        <f aca="false">IFERROR(INDEX(分录回款!$F:$F,MATCH($L953,分录回款!$L:$L,0)),"")</f>
        <v/>
      </c>
      <c r="F953" s="68" t="str">
        <f aca="false">IFERROR(INDEX(分录回款!$H:$H,MATCH($L953,分录回款!$L:$L,0)),"")</f>
        <v/>
      </c>
      <c r="G953" s="69" t="str">
        <f aca="false">IFERROR(INDEX(分录回款!$I:$I,MATCH($L953,分录回款!$L:$L,0)),"")</f>
        <v/>
      </c>
      <c r="H953" s="23"/>
      <c r="I953" s="70"/>
      <c r="L953" s="71" t="n">
        <f aca="false">IF(助手回款!$R$65="",-1,助手回款!$R$65*100+(助手回款!$S$65-1)*6+3)</f>
        <v>-1</v>
      </c>
    </row>
    <row r="954" customFormat="false" ht="23.25" hidden="false" customHeight="true" outlineLevel="0" collapsed="false">
      <c r="B954" s="67" t="str">
        <f aca="false">""</f>
        <v/>
      </c>
      <c r="C954" s="67"/>
      <c r="D954" s="23" t="str">
        <f aca="false">IFERROR(INDEX(分录回款!$E:$E,MATCH($L954,分录回款!$L:$L,0)),"")</f>
        <v/>
      </c>
      <c r="E954" s="23" t="str">
        <f aca="false">IFERROR(INDEX(分录回款!$F:$F,MATCH($L954,分录回款!$L:$L,0)),"")</f>
        <v/>
      </c>
      <c r="F954" s="68" t="str">
        <f aca="false">IFERROR(INDEX(分录回款!$H:$H,MATCH($L954,分录回款!$L:$L,0)),"")</f>
        <v/>
      </c>
      <c r="G954" s="69" t="str">
        <f aca="false">IFERROR(INDEX(分录回款!$I:$I,MATCH($L954,分录回款!$L:$L,0)),"")</f>
        <v/>
      </c>
      <c r="H954" s="23"/>
      <c r="I954" s="70"/>
      <c r="L954" s="71" t="n">
        <f aca="false">IF(助手回款!$R$65="",-1,助手回款!$R$65*100+(助手回款!$S$65-1)*6+4)</f>
        <v>-1</v>
      </c>
    </row>
    <row r="955" customFormat="false" ht="23.25" hidden="false" customHeight="true" outlineLevel="0" collapsed="false">
      <c r="B955" s="67" t="str">
        <f aca="false">""</f>
        <v/>
      </c>
      <c r="C955" s="67"/>
      <c r="D955" s="23" t="str">
        <f aca="false">IFERROR(INDEX(分录回款!$E:$E,MATCH($L955,分录回款!$L:$L,0)),"")</f>
        <v/>
      </c>
      <c r="E955" s="23" t="str">
        <f aca="false">IFERROR(INDEX(分录回款!$F:$F,MATCH($L955,分录回款!$L:$L,0)),"")</f>
        <v/>
      </c>
      <c r="F955" s="68" t="str">
        <f aca="false">IFERROR(INDEX(分录回款!$H:$H,MATCH($L955,分录回款!$L:$L,0)),"")</f>
        <v/>
      </c>
      <c r="G955" s="69" t="str">
        <f aca="false">IFERROR(INDEX(分录回款!$I:$I,MATCH($L955,分录回款!$L:$L,0)),"")</f>
        <v/>
      </c>
      <c r="H955" s="23"/>
      <c r="I955" s="70"/>
      <c r="L955" s="71" t="n">
        <f aca="false">IF(助手回款!$R$65="",-1,助手回款!$R$65*100+(助手回款!$S$65-1)*6+5)</f>
        <v>-1</v>
      </c>
    </row>
    <row r="956" customFormat="false" ht="23.25" hidden="false" customHeight="true" outlineLevel="0" collapsed="false">
      <c r="B956" s="67" t="str">
        <f aca="false">""</f>
        <v/>
      </c>
      <c r="C956" s="67"/>
      <c r="D956" s="23" t="str">
        <f aca="false">IFERROR(INDEX(分录回款!$E:$E,MATCH($L956,分录回款!$L:$L,0)),"")</f>
        <v/>
      </c>
      <c r="E956" s="23" t="str">
        <f aca="false">IFERROR(INDEX(分录回款!$F:$F,MATCH($L956,分录回款!$L:$L,0)),"")</f>
        <v/>
      </c>
      <c r="F956" s="68" t="str">
        <f aca="false">IFERROR(INDEX(分录回款!$H:$H,MATCH($L956,分录回款!$L:$L,0)),"")</f>
        <v/>
      </c>
      <c r="G956" s="69" t="str">
        <f aca="false">IFERROR(INDEX(分录回款!$I:$I,MATCH($L956,分录回款!$L:$L,0)),"")</f>
        <v/>
      </c>
      <c r="H956" s="23"/>
      <c r="I956" s="70"/>
      <c r="L956" s="71" t="n">
        <f aca="false">IF(助手回款!$R$65="",-1,助手回款!$R$65*100+(助手回款!$S$65-1)*6+6)</f>
        <v>-1</v>
      </c>
    </row>
    <row r="957" customFormat="false" ht="23.25" hidden="false" customHeight="true" outlineLevel="0" collapsed="false">
      <c r="B957" s="72" t="str">
        <f aca="false">IF(助手回款!$T$65=1,"合计：","")</f>
        <v/>
      </c>
      <c r="C957" s="73" t="str">
        <f aca="false">IF(助手回款!$T$65=1,$F957,"")</f>
        <v/>
      </c>
      <c r="D957" s="74"/>
      <c r="E957" s="74"/>
      <c r="F957" s="75" t="str">
        <f aca="false">IF(助手回款!$T$65=1,INDEX(助手回款!$N$2:$N$66,助手回款!$R$65),"")</f>
        <v/>
      </c>
      <c r="G957" s="76" t="str">
        <f aca="false">IF(助手回款!$T$65=1,INDEX(助手回款!$O$2:$O$66,助手回款!$R$65),"")</f>
        <v/>
      </c>
      <c r="H957" s="74"/>
      <c r="I957" s="77"/>
    </row>
    <row r="958" customFormat="false" ht="6" hidden="false" customHeight="true" outlineLevel="0" collapsed="false"/>
    <row r="959" customFormat="false" ht="13.5" hidden="false" customHeight="false" outlineLevel="0" collapsed="false">
      <c r="B959" s="78" t="str">
        <f aca="false">IF(助手回款!$R$65&lt;&gt;"","会计主管：","")</f>
        <v/>
      </c>
      <c r="D959" s="78" t="str">
        <f aca="false">IF(助手回款!$R$65&lt;&gt;"","会计：","")</f>
        <v/>
      </c>
      <c r="E959" s="78" t="str">
        <f aca="false">IF(助手回款!$R$65&lt;&gt;"","出纳：","")</f>
        <v/>
      </c>
      <c r="F959" s="78" t="str">
        <f aca="false">IF(助手回款!$R$65&lt;&gt;"","复核：","")</f>
        <v/>
      </c>
      <c r="G959" s="78" t="str">
        <f aca="false">IF(助手回款!$R$65&lt;&gt;"","制单：","")</f>
        <v/>
      </c>
    </row>
    <row r="960" customFormat="false" ht="3" hidden="false" customHeight="true" outlineLevel="0" collapsed="false"/>
    <row r="961" customFormat="false" ht="19.5" hidden="false" customHeight="true" outlineLevel="0" collapsed="false">
      <c r="B961" s="53" t="str">
        <f aca="false">IF(助手回款!$R$66&lt;&gt;"","记  账  凭  证","")</f>
        <v/>
      </c>
      <c r="C961" s="53"/>
      <c r="D961" s="53"/>
      <c r="E961" s="53"/>
      <c r="F961" s="53"/>
      <c r="G961" s="53"/>
      <c r="H961" s="53"/>
      <c r="I961" s="53"/>
    </row>
    <row r="962" customFormat="false" ht="3" hidden="false" customHeight="true" outlineLevel="0" collapsed="false"/>
    <row r="963" customFormat="false" ht="15" hidden="false" customHeight="true" outlineLevel="0" collapsed="false">
      <c r="C963" s="56" t="str">
        <f aca="false">IF(助手回款!$R$66&lt;&gt;"",INDEX(助手回款!$B$2:$B$66,助手回款!$R$66),"")</f>
        <v/>
      </c>
      <c r="D963" s="57" t="str">
        <f aca="false">IF(助手回款!$R$66&lt;&gt;"",参数!$B$2,"")</f>
        <v/>
      </c>
      <c r="E963" s="57"/>
      <c r="F963" s="58" t="str">
        <f aca="false">IF(助手回款!$R$66&lt;&gt;"",INDEX(助手回款!$C$2:$C$66,助手回款!$R$66)&amp;"  字第 "&amp;IF(参数!$B$9="是",INDEX(助手回款!$P$2:$P$66,助手回款!$R$66),"　　　　")&amp;" 号"&amp;IF(INDEX(助手回款!$L$2:$L$66,助手回款!$R$66)&gt;1,"  (共"&amp;INDEX(助手回款!$L$2:$L$66,助手回款!$R$66)&amp;"页 第"&amp;助手回款!$S$66&amp;"页)",""),"")</f>
        <v/>
      </c>
      <c r="G963" s="58"/>
      <c r="H963" s="58"/>
      <c r="I963" s="58"/>
      <c r="M963" s="79" t="str">
        <f aca="false">IF(助手回款!$R$66="","",助手回款!$Q$66)</f>
        <v/>
      </c>
      <c r="N963" s="80" t="str">
        <f aca="false">IF(助手回款!$R$66="","",INDEX(助手回款!$P$2:$P$66,助手回款!$R$66))</f>
        <v/>
      </c>
      <c r="O963" s="55" t="str">
        <f aca="false">IF(助手回款!$R$66="","",INDEX(助手回款!$C$2:$C$66,助手回款!$R$66)&amp;"  字第 "&amp;INDEX(助手回款!$P$2:$P$66,助手回款!$R$66)&amp;" 号"&amp;IF(INDEX(助手回款!$L$2:$L$66,助手回款!$R$66)&gt;1,"  (共"&amp;INDEX(助手回款!$L$2:$L$66,助手回款!$R$66)&amp;"页 第"&amp;助手回款!$S$66&amp;"页)",""))</f>
        <v/>
      </c>
    </row>
    <row r="964" customFormat="false" ht="12.75" hidden="false" customHeight="true" outlineLevel="0" collapsed="false">
      <c r="B964" s="61" t="str">
        <f aca="false">IF(助手回款!$R$66&lt;&gt;"","摘　　要","")</f>
        <v/>
      </c>
      <c r="C964" s="61"/>
      <c r="D964" s="62" t="str">
        <f aca="false">IF(助手回款!$R$66&lt;&gt;"","科　　　　目","")</f>
        <v/>
      </c>
      <c r="E964" s="62"/>
      <c r="F964" s="61" t="str">
        <f aca="false">IF(助手回款!$R$66&lt;&gt;"","借 方 金 额","")</f>
        <v/>
      </c>
      <c r="G964" s="62" t="str">
        <f aca="false">IF(助手回款!$R$66&lt;&gt;"","贷 方 金 额","")</f>
        <v/>
      </c>
      <c r="H964" s="63" t="str">
        <f aca="false">IF(助手回款!$R$66&lt;&gt;"","√","")</f>
        <v/>
      </c>
      <c r="I964" s="64" t="str">
        <f aca="false">IF(助手回款!$R$66&lt;&gt;"","附单据  张","")</f>
        <v/>
      </c>
    </row>
    <row r="965" customFormat="false" ht="12.75" hidden="false" customHeight="true" outlineLevel="0" collapsed="false">
      <c r="B965" s="61"/>
      <c r="C965" s="61"/>
      <c r="D965" s="23" t="str">
        <f aca="false">IF(助手回款!$R$66&lt;&gt;"","总 账 科 目","")</f>
        <v/>
      </c>
      <c r="E965" s="23" t="str">
        <f aca="false">IF(助手回款!$R$66&lt;&gt;"","明 细 科 目","")</f>
        <v/>
      </c>
      <c r="F965" s="65"/>
      <c r="G965" s="66"/>
      <c r="H965" s="63"/>
      <c r="I965" s="64"/>
    </row>
    <row r="966" customFormat="false" ht="23.25" hidden="false" customHeight="true" outlineLevel="0" collapsed="false">
      <c r="B966" s="67" t="str">
        <f aca="false">IFERROR(INDEX(分录回款!$M:$M,MATCH($L966,分录回款!$L:$L,0)),"")</f>
        <v/>
      </c>
      <c r="C966" s="67"/>
      <c r="D966" s="23" t="str">
        <f aca="false">IFERROR(INDEX(分录回款!$E:$E,MATCH($L966,分录回款!$L:$L,0)),"")</f>
        <v/>
      </c>
      <c r="E966" s="23" t="str">
        <f aca="false">IFERROR(INDEX(分录回款!$F:$F,MATCH($L966,分录回款!$L:$L,0)),"")</f>
        <v/>
      </c>
      <c r="F966" s="68" t="str">
        <f aca="false">IFERROR(INDEX(分录回款!$H:$H,MATCH($L966,分录回款!$L:$L,0)),"")</f>
        <v/>
      </c>
      <c r="G966" s="69" t="str">
        <f aca="false">IFERROR(INDEX(分录回款!$I:$I,MATCH($L966,分录回款!$L:$L,0)),"")</f>
        <v/>
      </c>
      <c r="H966" s="23"/>
      <c r="I966" s="70"/>
      <c r="L966" s="71" t="n">
        <f aca="false">IF(助手回款!$R$66="",-1,助手回款!$R$66*100+(助手回款!$S$66-1)*6+1)</f>
        <v>-1</v>
      </c>
    </row>
    <row r="967" customFormat="false" ht="23.25" hidden="false" customHeight="true" outlineLevel="0" collapsed="false">
      <c r="B967" s="67" t="str">
        <f aca="false">""</f>
        <v/>
      </c>
      <c r="C967" s="67"/>
      <c r="D967" s="23" t="str">
        <f aca="false">IFERROR(INDEX(分录回款!$E:$E,MATCH($L967,分录回款!$L:$L,0)),"")</f>
        <v/>
      </c>
      <c r="E967" s="23" t="str">
        <f aca="false">IFERROR(INDEX(分录回款!$F:$F,MATCH($L967,分录回款!$L:$L,0)),"")</f>
        <v/>
      </c>
      <c r="F967" s="68" t="str">
        <f aca="false">IFERROR(INDEX(分录回款!$H:$H,MATCH($L967,分录回款!$L:$L,0)),"")</f>
        <v/>
      </c>
      <c r="G967" s="69" t="str">
        <f aca="false">IFERROR(INDEX(分录回款!$I:$I,MATCH($L967,分录回款!$L:$L,0)),"")</f>
        <v/>
      </c>
      <c r="H967" s="23"/>
      <c r="I967" s="70"/>
      <c r="L967" s="71" t="n">
        <f aca="false">IF(助手回款!$R$66="",-1,助手回款!$R$66*100+(助手回款!$S$66-1)*6+2)</f>
        <v>-1</v>
      </c>
    </row>
    <row r="968" customFormat="false" ht="23.25" hidden="false" customHeight="true" outlineLevel="0" collapsed="false">
      <c r="B968" s="67" t="str">
        <f aca="false">""</f>
        <v/>
      </c>
      <c r="C968" s="67"/>
      <c r="D968" s="23" t="str">
        <f aca="false">IFERROR(INDEX(分录回款!$E:$E,MATCH($L968,分录回款!$L:$L,0)),"")</f>
        <v/>
      </c>
      <c r="E968" s="23" t="str">
        <f aca="false">IFERROR(INDEX(分录回款!$F:$F,MATCH($L968,分录回款!$L:$L,0)),"")</f>
        <v/>
      </c>
      <c r="F968" s="68" t="str">
        <f aca="false">IFERROR(INDEX(分录回款!$H:$H,MATCH($L968,分录回款!$L:$L,0)),"")</f>
        <v/>
      </c>
      <c r="G968" s="69" t="str">
        <f aca="false">IFERROR(INDEX(分录回款!$I:$I,MATCH($L968,分录回款!$L:$L,0)),"")</f>
        <v/>
      </c>
      <c r="H968" s="23"/>
      <c r="I968" s="70"/>
      <c r="L968" s="71" t="n">
        <f aca="false">IF(助手回款!$R$66="",-1,助手回款!$R$66*100+(助手回款!$S$66-1)*6+3)</f>
        <v>-1</v>
      </c>
    </row>
    <row r="969" customFormat="false" ht="23.25" hidden="false" customHeight="true" outlineLevel="0" collapsed="false">
      <c r="B969" s="67" t="str">
        <f aca="false">""</f>
        <v/>
      </c>
      <c r="C969" s="67"/>
      <c r="D969" s="23" t="str">
        <f aca="false">IFERROR(INDEX(分录回款!$E:$E,MATCH($L969,分录回款!$L:$L,0)),"")</f>
        <v/>
      </c>
      <c r="E969" s="23" t="str">
        <f aca="false">IFERROR(INDEX(分录回款!$F:$F,MATCH($L969,分录回款!$L:$L,0)),"")</f>
        <v/>
      </c>
      <c r="F969" s="68" t="str">
        <f aca="false">IFERROR(INDEX(分录回款!$H:$H,MATCH($L969,分录回款!$L:$L,0)),"")</f>
        <v/>
      </c>
      <c r="G969" s="69" t="str">
        <f aca="false">IFERROR(INDEX(分录回款!$I:$I,MATCH($L969,分录回款!$L:$L,0)),"")</f>
        <v/>
      </c>
      <c r="H969" s="23"/>
      <c r="I969" s="70"/>
      <c r="L969" s="71" t="n">
        <f aca="false">IF(助手回款!$R$66="",-1,助手回款!$R$66*100+(助手回款!$S$66-1)*6+4)</f>
        <v>-1</v>
      </c>
    </row>
    <row r="970" customFormat="false" ht="23.25" hidden="false" customHeight="true" outlineLevel="0" collapsed="false">
      <c r="B970" s="67" t="str">
        <f aca="false">""</f>
        <v/>
      </c>
      <c r="C970" s="67"/>
      <c r="D970" s="23" t="str">
        <f aca="false">IFERROR(INDEX(分录回款!$E:$E,MATCH($L970,分录回款!$L:$L,0)),"")</f>
        <v/>
      </c>
      <c r="E970" s="23" t="str">
        <f aca="false">IFERROR(INDEX(分录回款!$F:$F,MATCH($L970,分录回款!$L:$L,0)),"")</f>
        <v/>
      </c>
      <c r="F970" s="68" t="str">
        <f aca="false">IFERROR(INDEX(分录回款!$H:$H,MATCH($L970,分录回款!$L:$L,0)),"")</f>
        <v/>
      </c>
      <c r="G970" s="69" t="str">
        <f aca="false">IFERROR(INDEX(分录回款!$I:$I,MATCH($L970,分录回款!$L:$L,0)),"")</f>
        <v/>
      </c>
      <c r="H970" s="23"/>
      <c r="I970" s="70"/>
      <c r="L970" s="71" t="n">
        <f aca="false">IF(助手回款!$R$66="",-1,助手回款!$R$66*100+(助手回款!$S$66-1)*6+5)</f>
        <v>-1</v>
      </c>
    </row>
    <row r="971" customFormat="false" ht="23.25" hidden="false" customHeight="true" outlineLevel="0" collapsed="false">
      <c r="B971" s="67" t="str">
        <f aca="false">""</f>
        <v/>
      </c>
      <c r="C971" s="67"/>
      <c r="D971" s="23" t="str">
        <f aca="false">IFERROR(INDEX(分录回款!$E:$E,MATCH($L971,分录回款!$L:$L,0)),"")</f>
        <v/>
      </c>
      <c r="E971" s="23" t="str">
        <f aca="false">IFERROR(INDEX(分录回款!$F:$F,MATCH($L971,分录回款!$L:$L,0)),"")</f>
        <v/>
      </c>
      <c r="F971" s="68" t="str">
        <f aca="false">IFERROR(INDEX(分录回款!$H:$H,MATCH($L971,分录回款!$L:$L,0)),"")</f>
        <v/>
      </c>
      <c r="G971" s="69" t="str">
        <f aca="false">IFERROR(INDEX(分录回款!$I:$I,MATCH($L971,分录回款!$L:$L,0)),"")</f>
        <v/>
      </c>
      <c r="H971" s="23"/>
      <c r="I971" s="70"/>
      <c r="L971" s="71" t="n">
        <f aca="false">IF(助手回款!$R$66="",-1,助手回款!$R$66*100+(助手回款!$S$66-1)*6+6)</f>
        <v>-1</v>
      </c>
    </row>
    <row r="972" customFormat="false" ht="23.25" hidden="false" customHeight="true" outlineLevel="0" collapsed="false">
      <c r="B972" s="72" t="str">
        <f aca="false">IF(助手回款!$T$66=1,"合计：","")</f>
        <v/>
      </c>
      <c r="C972" s="73" t="str">
        <f aca="false">IF(助手回款!$T$66=1,$F972,"")</f>
        <v/>
      </c>
      <c r="D972" s="74"/>
      <c r="E972" s="74"/>
      <c r="F972" s="75" t="str">
        <f aca="false">IF(助手回款!$T$66=1,INDEX(助手回款!$N$2:$N$66,助手回款!$R$66),"")</f>
        <v/>
      </c>
      <c r="G972" s="76" t="str">
        <f aca="false">IF(助手回款!$T$66=1,INDEX(助手回款!$O$2:$O$66,助手回款!$R$66),"")</f>
        <v/>
      </c>
      <c r="H972" s="74"/>
      <c r="I972" s="77"/>
    </row>
    <row r="973" customFormat="false" ht="6" hidden="false" customHeight="true" outlineLevel="0" collapsed="false"/>
    <row r="974" customFormat="false" ht="13.5" hidden="false" customHeight="false" outlineLevel="0" collapsed="false">
      <c r="B974" s="78" t="str">
        <f aca="false">IF(助手回款!$R$66&lt;&gt;"","会计主管：","")</f>
        <v/>
      </c>
      <c r="D974" s="78" t="str">
        <f aca="false">IF(助手回款!$R$66&lt;&gt;"","会计：","")</f>
        <v/>
      </c>
      <c r="E974" s="78" t="str">
        <f aca="false">IF(助手回款!$R$66&lt;&gt;"","出纳：","")</f>
        <v/>
      </c>
      <c r="F974" s="78" t="str">
        <f aca="false">IF(助手回款!$R$66&lt;&gt;"","复核：","")</f>
        <v/>
      </c>
      <c r="G974" s="78" t="str">
        <f aca="false">IF(助手回款!$R$66&lt;&gt;"","制单：","")</f>
        <v/>
      </c>
    </row>
    <row r="975" customFormat="false" ht="3" hidden="false" customHeight="true" outlineLevel="0" collapsed="false"/>
    <row r="976" customFormat="false" ht="19.5" hidden="false" customHeight="true" outlineLevel="0" collapsed="false">
      <c r="B976" s="53" t="str">
        <f aca="false">IF(助手回款!$R$67&lt;&gt;"","记  账  凭  证","")</f>
        <v/>
      </c>
      <c r="C976" s="53"/>
      <c r="D976" s="53"/>
      <c r="E976" s="53"/>
      <c r="F976" s="53"/>
      <c r="G976" s="53"/>
      <c r="H976" s="53"/>
      <c r="I976" s="53"/>
    </row>
    <row r="977" customFormat="false" ht="3" hidden="false" customHeight="true" outlineLevel="0" collapsed="false"/>
    <row r="978" customFormat="false" ht="15" hidden="false" customHeight="true" outlineLevel="0" collapsed="false">
      <c r="C978" s="56" t="str">
        <f aca="false">IF(助手回款!$R$67&lt;&gt;"",INDEX(助手回款!$B$2:$B$66,助手回款!$R$67),"")</f>
        <v/>
      </c>
      <c r="D978" s="57" t="str">
        <f aca="false">IF(助手回款!$R$67&lt;&gt;"",参数!$B$2,"")</f>
        <v/>
      </c>
      <c r="E978" s="57"/>
      <c r="F978" s="58" t="str">
        <f aca="false">IF(助手回款!$R$67&lt;&gt;"",INDEX(助手回款!$C$2:$C$66,助手回款!$R$67)&amp;"  字第 "&amp;IF(参数!$B$9="是",INDEX(助手回款!$P$2:$P$66,助手回款!$R$67),"　　　　")&amp;" 号"&amp;IF(INDEX(助手回款!$L$2:$L$66,助手回款!$R$67)&gt;1,"  (共"&amp;INDEX(助手回款!$L$2:$L$66,助手回款!$R$67)&amp;"页 第"&amp;助手回款!$S$67&amp;"页)",""),"")</f>
        <v/>
      </c>
      <c r="G978" s="58"/>
      <c r="H978" s="58"/>
      <c r="I978" s="58"/>
      <c r="M978" s="79" t="str">
        <f aca="false">IF(助手回款!$R$67="","",助手回款!$Q$67)</f>
        <v/>
      </c>
      <c r="N978" s="80" t="str">
        <f aca="false">IF(助手回款!$R$67="","",INDEX(助手回款!$P$2:$P$66,助手回款!$R$67))</f>
        <v/>
      </c>
      <c r="O978" s="55" t="str">
        <f aca="false">IF(助手回款!$R$67="","",INDEX(助手回款!$C$2:$C$66,助手回款!$R$67)&amp;"  字第 "&amp;INDEX(助手回款!$P$2:$P$66,助手回款!$R$67)&amp;" 号"&amp;IF(INDEX(助手回款!$L$2:$L$66,助手回款!$R$67)&gt;1,"  (共"&amp;INDEX(助手回款!$L$2:$L$66,助手回款!$R$67)&amp;"页 第"&amp;助手回款!$S$67&amp;"页)",""))</f>
        <v/>
      </c>
    </row>
    <row r="979" customFormat="false" ht="12.75" hidden="false" customHeight="true" outlineLevel="0" collapsed="false">
      <c r="B979" s="61" t="str">
        <f aca="false">IF(助手回款!$R$67&lt;&gt;"","摘　　要","")</f>
        <v/>
      </c>
      <c r="C979" s="61"/>
      <c r="D979" s="62" t="str">
        <f aca="false">IF(助手回款!$R$67&lt;&gt;"","科　　　　目","")</f>
        <v/>
      </c>
      <c r="E979" s="62"/>
      <c r="F979" s="61" t="str">
        <f aca="false">IF(助手回款!$R$67&lt;&gt;"","借 方 金 额","")</f>
        <v/>
      </c>
      <c r="G979" s="62" t="str">
        <f aca="false">IF(助手回款!$R$67&lt;&gt;"","贷 方 金 额","")</f>
        <v/>
      </c>
      <c r="H979" s="63" t="str">
        <f aca="false">IF(助手回款!$R$67&lt;&gt;"","√","")</f>
        <v/>
      </c>
      <c r="I979" s="64" t="str">
        <f aca="false">IF(助手回款!$R$67&lt;&gt;"","附单据  张","")</f>
        <v/>
      </c>
    </row>
    <row r="980" customFormat="false" ht="12.75" hidden="false" customHeight="true" outlineLevel="0" collapsed="false">
      <c r="B980" s="61"/>
      <c r="C980" s="61"/>
      <c r="D980" s="23" t="str">
        <f aca="false">IF(助手回款!$R$67&lt;&gt;"","总 账 科 目","")</f>
        <v/>
      </c>
      <c r="E980" s="23" t="str">
        <f aca="false">IF(助手回款!$R$67&lt;&gt;"","明 细 科 目","")</f>
        <v/>
      </c>
      <c r="F980" s="65"/>
      <c r="G980" s="66"/>
      <c r="H980" s="63"/>
      <c r="I980" s="64"/>
    </row>
    <row r="981" customFormat="false" ht="23.25" hidden="false" customHeight="true" outlineLevel="0" collapsed="false">
      <c r="B981" s="67" t="str">
        <f aca="false">IFERROR(INDEX(分录回款!$M:$M,MATCH($L981,分录回款!$L:$L,0)),"")</f>
        <v/>
      </c>
      <c r="C981" s="67"/>
      <c r="D981" s="23" t="str">
        <f aca="false">IFERROR(INDEX(分录回款!$E:$E,MATCH($L981,分录回款!$L:$L,0)),"")</f>
        <v/>
      </c>
      <c r="E981" s="23" t="str">
        <f aca="false">IFERROR(INDEX(分录回款!$F:$F,MATCH($L981,分录回款!$L:$L,0)),"")</f>
        <v/>
      </c>
      <c r="F981" s="68" t="str">
        <f aca="false">IFERROR(INDEX(分录回款!$H:$H,MATCH($L981,分录回款!$L:$L,0)),"")</f>
        <v/>
      </c>
      <c r="G981" s="69" t="str">
        <f aca="false">IFERROR(INDEX(分录回款!$I:$I,MATCH($L981,分录回款!$L:$L,0)),"")</f>
        <v/>
      </c>
      <c r="H981" s="23"/>
      <c r="I981" s="70"/>
      <c r="L981" s="71" t="n">
        <f aca="false">IF(助手回款!$R$67="",-1,助手回款!$R$67*100+(助手回款!$S$67-1)*6+1)</f>
        <v>-1</v>
      </c>
    </row>
    <row r="982" customFormat="false" ht="23.25" hidden="false" customHeight="true" outlineLevel="0" collapsed="false">
      <c r="B982" s="67" t="str">
        <f aca="false">""</f>
        <v/>
      </c>
      <c r="C982" s="67"/>
      <c r="D982" s="23" t="str">
        <f aca="false">IFERROR(INDEX(分录回款!$E:$E,MATCH($L982,分录回款!$L:$L,0)),"")</f>
        <v/>
      </c>
      <c r="E982" s="23" t="str">
        <f aca="false">IFERROR(INDEX(分录回款!$F:$F,MATCH($L982,分录回款!$L:$L,0)),"")</f>
        <v/>
      </c>
      <c r="F982" s="68" t="str">
        <f aca="false">IFERROR(INDEX(分录回款!$H:$H,MATCH($L982,分录回款!$L:$L,0)),"")</f>
        <v/>
      </c>
      <c r="G982" s="69" t="str">
        <f aca="false">IFERROR(INDEX(分录回款!$I:$I,MATCH($L982,分录回款!$L:$L,0)),"")</f>
        <v/>
      </c>
      <c r="H982" s="23"/>
      <c r="I982" s="70"/>
      <c r="L982" s="71" t="n">
        <f aca="false">IF(助手回款!$R$67="",-1,助手回款!$R$67*100+(助手回款!$S$67-1)*6+2)</f>
        <v>-1</v>
      </c>
    </row>
    <row r="983" customFormat="false" ht="23.25" hidden="false" customHeight="true" outlineLevel="0" collapsed="false">
      <c r="B983" s="67" t="str">
        <f aca="false">""</f>
        <v/>
      </c>
      <c r="C983" s="67"/>
      <c r="D983" s="23" t="str">
        <f aca="false">IFERROR(INDEX(分录回款!$E:$E,MATCH($L983,分录回款!$L:$L,0)),"")</f>
        <v/>
      </c>
      <c r="E983" s="23" t="str">
        <f aca="false">IFERROR(INDEX(分录回款!$F:$F,MATCH($L983,分录回款!$L:$L,0)),"")</f>
        <v/>
      </c>
      <c r="F983" s="68" t="str">
        <f aca="false">IFERROR(INDEX(分录回款!$H:$H,MATCH($L983,分录回款!$L:$L,0)),"")</f>
        <v/>
      </c>
      <c r="G983" s="69" t="str">
        <f aca="false">IFERROR(INDEX(分录回款!$I:$I,MATCH($L983,分录回款!$L:$L,0)),"")</f>
        <v/>
      </c>
      <c r="H983" s="23"/>
      <c r="I983" s="70"/>
      <c r="L983" s="71" t="n">
        <f aca="false">IF(助手回款!$R$67="",-1,助手回款!$R$67*100+(助手回款!$S$67-1)*6+3)</f>
        <v>-1</v>
      </c>
    </row>
    <row r="984" customFormat="false" ht="23.25" hidden="false" customHeight="true" outlineLevel="0" collapsed="false">
      <c r="B984" s="67" t="str">
        <f aca="false">""</f>
        <v/>
      </c>
      <c r="C984" s="67"/>
      <c r="D984" s="23" t="str">
        <f aca="false">IFERROR(INDEX(分录回款!$E:$E,MATCH($L984,分录回款!$L:$L,0)),"")</f>
        <v/>
      </c>
      <c r="E984" s="23" t="str">
        <f aca="false">IFERROR(INDEX(分录回款!$F:$F,MATCH($L984,分录回款!$L:$L,0)),"")</f>
        <v/>
      </c>
      <c r="F984" s="68" t="str">
        <f aca="false">IFERROR(INDEX(分录回款!$H:$H,MATCH($L984,分录回款!$L:$L,0)),"")</f>
        <v/>
      </c>
      <c r="G984" s="69" t="str">
        <f aca="false">IFERROR(INDEX(分录回款!$I:$I,MATCH($L984,分录回款!$L:$L,0)),"")</f>
        <v/>
      </c>
      <c r="H984" s="23"/>
      <c r="I984" s="70"/>
      <c r="L984" s="71" t="n">
        <f aca="false">IF(助手回款!$R$67="",-1,助手回款!$R$67*100+(助手回款!$S$67-1)*6+4)</f>
        <v>-1</v>
      </c>
    </row>
    <row r="985" customFormat="false" ht="23.25" hidden="false" customHeight="true" outlineLevel="0" collapsed="false">
      <c r="B985" s="67" t="str">
        <f aca="false">""</f>
        <v/>
      </c>
      <c r="C985" s="67"/>
      <c r="D985" s="23" t="str">
        <f aca="false">IFERROR(INDEX(分录回款!$E:$E,MATCH($L985,分录回款!$L:$L,0)),"")</f>
        <v/>
      </c>
      <c r="E985" s="23" t="str">
        <f aca="false">IFERROR(INDEX(分录回款!$F:$F,MATCH($L985,分录回款!$L:$L,0)),"")</f>
        <v/>
      </c>
      <c r="F985" s="68" t="str">
        <f aca="false">IFERROR(INDEX(分录回款!$H:$H,MATCH($L985,分录回款!$L:$L,0)),"")</f>
        <v/>
      </c>
      <c r="G985" s="69" t="str">
        <f aca="false">IFERROR(INDEX(分录回款!$I:$I,MATCH($L985,分录回款!$L:$L,0)),"")</f>
        <v/>
      </c>
      <c r="H985" s="23"/>
      <c r="I985" s="70"/>
      <c r="L985" s="71" t="n">
        <f aca="false">IF(助手回款!$R$67="",-1,助手回款!$R$67*100+(助手回款!$S$67-1)*6+5)</f>
        <v>-1</v>
      </c>
    </row>
    <row r="986" customFormat="false" ht="23.25" hidden="false" customHeight="true" outlineLevel="0" collapsed="false">
      <c r="B986" s="67" t="str">
        <f aca="false">""</f>
        <v/>
      </c>
      <c r="C986" s="67"/>
      <c r="D986" s="23" t="str">
        <f aca="false">IFERROR(INDEX(分录回款!$E:$E,MATCH($L986,分录回款!$L:$L,0)),"")</f>
        <v/>
      </c>
      <c r="E986" s="23" t="str">
        <f aca="false">IFERROR(INDEX(分录回款!$F:$F,MATCH($L986,分录回款!$L:$L,0)),"")</f>
        <v/>
      </c>
      <c r="F986" s="68" t="str">
        <f aca="false">IFERROR(INDEX(分录回款!$H:$H,MATCH($L986,分录回款!$L:$L,0)),"")</f>
        <v/>
      </c>
      <c r="G986" s="69" t="str">
        <f aca="false">IFERROR(INDEX(分录回款!$I:$I,MATCH($L986,分录回款!$L:$L,0)),"")</f>
        <v/>
      </c>
      <c r="H986" s="23"/>
      <c r="I986" s="70"/>
      <c r="L986" s="71" t="n">
        <f aca="false">IF(助手回款!$R$67="",-1,助手回款!$R$67*100+(助手回款!$S$67-1)*6+6)</f>
        <v>-1</v>
      </c>
    </row>
    <row r="987" customFormat="false" ht="23.25" hidden="false" customHeight="true" outlineLevel="0" collapsed="false">
      <c r="B987" s="72" t="str">
        <f aca="false">IF(助手回款!$T$67=1,"合计：","")</f>
        <v/>
      </c>
      <c r="C987" s="73" t="str">
        <f aca="false">IF(助手回款!$T$67=1,$F987,"")</f>
        <v/>
      </c>
      <c r="D987" s="74"/>
      <c r="E987" s="74"/>
      <c r="F987" s="75" t="str">
        <f aca="false">IF(助手回款!$T$67=1,INDEX(助手回款!$N$2:$N$66,助手回款!$R$67),"")</f>
        <v/>
      </c>
      <c r="G987" s="76" t="str">
        <f aca="false">IF(助手回款!$T$67=1,INDEX(助手回款!$O$2:$O$66,助手回款!$R$67),"")</f>
        <v/>
      </c>
      <c r="H987" s="74"/>
      <c r="I987" s="77"/>
    </row>
    <row r="988" customFormat="false" ht="6" hidden="false" customHeight="true" outlineLevel="0" collapsed="false"/>
    <row r="989" customFormat="false" ht="13.5" hidden="false" customHeight="false" outlineLevel="0" collapsed="false">
      <c r="B989" s="78" t="str">
        <f aca="false">IF(助手回款!$R$67&lt;&gt;"","会计主管：","")</f>
        <v/>
      </c>
      <c r="D989" s="78" t="str">
        <f aca="false">IF(助手回款!$R$67&lt;&gt;"","会计：","")</f>
        <v/>
      </c>
      <c r="E989" s="78" t="str">
        <f aca="false">IF(助手回款!$R$67&lt;&gt;"","出纳：","")</f>
        <v/>
      </c>
      <c r="F989" s="78" t="str">
        <f aca="false">IF(助手回款!$R$67&lt;&gt;"","复核：","")</f>
        <v/>
      </c>
      <c r="G989" s="78" t="str">
        <f aca="false">IF(助手回款!$R$67&lt;&gt;"","制单：","")</f>
        <v/>
      </c>
    </row>
    <row r="990" customFormat="false" ht="3" hidden="false" customHeight="true" outlineLevel="0" collapsed="false"/>
    <row r="991" customFormat="false" ht="19.5" hidden="false" customHeight="true" outlineLevel="0" collapsed="false">
      <c r="B991" s="53" t="str">
        <f aca="false">IF(助手回款!$R$68&lt;&gt;"","记  账  凭  证","")</f>
        <v/>
      </c>
      <c r="C991" s="53"/>
      <c r="D991" s="53"/>
      <c r="E991" s="53"/>
      <c r="F991" s="53"/>
      <c r="G991" s="53"/>
      <c r="H991" s="53"/>
      <c r="I991" s="53"/>
    </row>
    <row r="992" customFormat="false" ht="3" hidden="false" customHeight="true" outlineLevel="0" collapsed="false"/>
    <row r="993" customFormat="false" ht="15" hidden="false" customHeight="true" outlineLevel="0" collapsed="false">
      <c r="C993" s="56" t="str">
        <f aca="false">IF(助手回款!$R$68&lt;&gt;"",INDEX(助手回款!$B$2:$B$66,助手回款!$R$68),"")</f>
        <v/>
      </c>
      <c r="D993" s="57" t="str">
        <f aca="false">IF(助手回款!$R$68&lt;&gt;"",参数!$B$2,"")</f>
        <v/>
      </c>
      <c r="E993" s="57"/>
      <c r="F993" s="58" t="str">
        <f aca="false">IF(助手回款!$R$68&lt;&gt;"",INDEX(助手回款!$C$2:$C$66,助手回款!$R$68)&amp;"  字第 "&amp;IF(参数!$B$9="是",INDEX(助手回款!$P$2:$P$66,助手回款!$R$68),"　　　　")&amp;" 号"&amp;IF(INDEX(助手回款!$L$2:$L$66,助手回款!$R$68)&gt;1,"  (共"&amp;INDEX(助手回款!$L$2:$L$66,助手回款!$R$68)&amp;"页 第"&amp;助手回款!$S$68&amp;"页)",""),"")</f>
        <v/>
      </c>
      <c r="G993" s="58"/>
      <c r="H993" s="58"/>
      <c r="I993" s="58"/>
      <c r="M993" s="79" t="str">
        <f aca="false">IF(助手回款!$R$68="","",助手回款!$Q$68)</f>
        <v/>
      </c>
      <c r="N993" s="80" t="str">
        <f aca="false">IF(助手回款!$R$68="","",INDEX(助手回款!$P$2:$P$66,助手回款!$R$68))</f>
        <v/>
      </c>
      <c r="O993" s="55" t="str">
        <f aca="false">IF(助手回款!$R$68="","",INDEX(助手回款!$C$2:$C$66,助手回款!$R$68)&amp;"  字第 "&amp;INDEX(助手回款!$P$2:$P$66,助手回款!$R$68)&amp;" 号"&amp;IF(INDEX(助手回款!$L$2:$L$66,助手回款!$R$68)&gt;1,"  (共"&amp;INDEX(助手回款!$L$2:$L$66,助手回款!$R$68)&amp;"页 第"&amp;助手回款!$S$68&amp;"页)",""))</f>
        <v/>
      </c>
    </row>
    <row r="994" customFormat="false" ht="12.75" hidden="false" customHeight="true" outlineLevel="0" collapsed="false">
      <c r="B994" s="61" t="str">
        <f aca="false">IF(助手回款!$R$68&lt;&gt;"","摘　　要","")</f>
        <v/>
      </c>
      <c r="C994" s="61"/>
      <c r="D994" s="62" t="str">
        <f aca="false">IF(助手回款!$R$68&lt;&gt;"","科　　　　目","")</f>
        <v/>
      </c>
      <c r="E994" s="62"/>
      <c r="F994" s="61" t="str">
        <f aca="false">IF(助手回款!$R$68&lt;&gt;"","借 方 金 额","")</f>
        <v/>
      </c>
      <c r="G994" s="62" t="str">
        <f aca="false">IF(助手回款!$R$68&lt;&gt;"","贷 方 金 额","")</f>
        <v/>
      </c>
      <c r="H994" s="63" t="str">
        <f aca="false">IF(助手回款!$R$68&lt;&gt;"","√","")</f>
        <v/>
      </c>
      <c r="I994" s="64" t="str">
        <f aca="false">IF(助手回款!$R$68&lt;&gt;"","附单据  张","")</f>
        <v/>
      </c>
    </row>
    <row r="995" customFormat="false" ht="12.75" hidden="false" customHeight="true" outlineLevel="0" collapsed="false">
      <c r="B995" s="61"/>
      <c r="C995" s="61"/>
      <c r="D995" s="23" t="str">
        <f aca="false">IF(助手回款!$R$68&lt;&gt;"","总 账 科 目","")</f>
        <v/>
      </c>
      <c r="E995" s="23" t="str">
        <f aca="false">IF(助手回款!$R$68&lt;&gt;"","明 细 科 目","")</f>
        <v/>
      </c>
      <c r="F995" s="65"/>
      <c r="G995" s="66"/>
      <c r="H995" s="63"/>
      <c r="I995" s="64"/>
    </row>
    <row r="996" customFormat="false" ht="23.25" hidden="false" customHeight="true" outlineLevel="0" collapsed="false">
      <c r="B996" s="67" t="str">
        <f aca="false">IFERROR(INDEX(分录回款!$M:$M,MATCH($L996,分录回款!$L:$L,0)),"")</f>
        <v/>
      </c>
      <c r="C996" s="67"/>
      <c r="D996" s="23" t="str">
        <f aca="false">IFERROR(INDEX(分录回款!$E:$E,MATCH($L996,分录回款!$L:$L,0)),"")</f>
        <v/>
      </c>
      <c r="E996" s="23" t="str">
        <f aca="false">IFERROR(INDEX(分录回款!$F:$F,MATCH($L996,分录回款!$L:$L,0)),"")</f>
        <v/>
      </c>
      <c r="F996" s="68" t="str">
        <f aca="false">IFERROR(INDEX(分录回款!$H:$H,MATCH($L996,分录回款!$L:$L,0)),"")</f>
        <v/>
      </c>
      <c r="G996" s="69" t="str">
        <f aca="false">IFERROR(INDEX(分录回款!$I:$I,MATCH($L996,分录回款!$L:$L,0)),"")</f>
        <v/>
      </c>
      <c r="H996" s="23"/>
      <c r="I996" s="70"/>
      <c r="L996" s="71" t="n">
        <f aca="false">IF(助手回款!$R$68="",-1,助手回款!$R$68*100+(助手回款!$S$68-1)*6+1)</f>
        <v>-1</v>
      </c>
    </row>
    <row r="997" customFormat="false" ht="23.25" hidden="false" customHeight="true" outlineLevel="0" collapsed="false">
      <c r="B997" s="67" t="str">
        <f aca="false">""</f>
        <v/>
      </c>
      <c r="C997" s="67"/>
      <c r="D997" s="23" t="str">
        <f aca="false">IFERROR(INDEX(分录回款!$E:$E,MATCH($L997,分录回款!$L:$L,0)),"")</f>
        <v/>
      </c>
      <c r="E997" s="23" t="str">
        <f aca="false">IFERROR(INDEX(分录回款!$F:$F,MATCH($L997,分录回款!$L:$L,0)),"")</f>
        <v/>
      </c>
      <c r="F997" s="68" t="str">
        <f aca="false">IFERROR(INDEX(分录回款!$H:$H,MATCH($L997,分录回款!$L:$L,0)),"")</f>
        <v/>
      </c>
      <c r="G997" s="69" t="str">
        <f aca="false">IFERROR(INDEX(分录回款!$I:$I,MATCH($L997,分录回款!$L:$L,0)),"")</f>
        <v/>
      </c>
      <c r="H997" s="23"/>
      <c r="I997" s="70"/>
      <c r="L997" s="71" t="n">
        <f aca="false">IF(助手回款!$R$68="",-1,助手回款!$R$68*100+(助手回款!$S$68-1)*6+2)</f>
        <v>-1</v>
      </c>
    </row>
    <row r="998" customFormat="false" ht="23.25" hidden="false" customHeight="true" outlineLevel="0" collapsed="false">
      <c r="B998" s="67" t="str">
        <f aca="false">""</f>
        <v/>
      </c>
      <c r="C998" s="67"/>
      <c r="D998" s="23" t="str">
        <f aca="false">IFERROR(INDEX(分录回款!$E:$E,MATCH($L998,分录回款!$L:$L,0)),"")</f>
        <v/>
      </c>
      <c r="E998" s="23" t="str">
        <f aca="false">IFERROR(INDEX(分录回款!$F:$F,MATCH($L998,分录回款!$L:$L,0)),"")</f>
        <v/>
      </c>
      <c r="F998" s="68" t="str">
        <f aca="false">IFERROR(INDEX(分录回款!$H:$H,MATCH($L998,分录回款!$L:$L,0)),"")</f>
        <v/>
      </c>
      <c r="G998" s="69" t="str">
        <f aca="false">IFERROR(INDEX(分录回款!$I:$I,MATCH($L998,分录回款!$L:$L,0)),"")</f>
        <v/>
      </c>
      <c r="H998" s="23"/>
      <c r="I998" s="70"/>
      <c r="L998" s="71" t="n">
        <f aca="false">IF(助手回款!$R$68="",-1,助手回款!$R$68*100+(助手回款!$S$68-1)*6+3)</f>
        <v>-1</v>
      </c>
    </row>
    <row r="999" customFormat="false" ht="23.25" hidden="false" customHeight="true" outlineLevel="0" collapsed="false">
      <c r="B999" s="67" t="str">
        <f aca="false">""</f>
        <v/>
      </c>
      <c r="C999" s="67"/>
      <c r="D999" s="23" t="str">
        <f aca="false">IFERROR(INDEX(分录回款!$E:$E,MATCH($L999,分录回款!$L:$L,0)),"")</f>
        <v/>
      </c>
      <c r="E999" s="23" t="str">
        <f aca="false">IFERROR(INDEX(分录回款!$F:$F,MATCH($L999,分录回款!$L:$L,0)),"")</f>
        <v/>
      </c>
      <c r="F999" s="68" t="str">
        <f aca="false">IFERROR(INDEX(分录回款!$H:$H,MATCH($L999,分录回款!$L:$L,0)),"")</f>
        <v/>
      </c>
      <c r="G999" s="69" t="str">
        <f aca="false">IFERROR(INDEX(分录回款!$I:$I,MATCH($L999,分录回款!$L:$L,0)),"")</f>
        <v/>
      </c>
      <c r="H999" s="23"/>
      <c r="I999" s="70"/>
      <c r="L999" s="71" t="n">
        <f aca="false">IF(助手回款!$R$68="",-1,助手回款!$R$68*100+(助手回款!$S$68-1)*6+4)</f>
        <v>-1</v>
      </c>
    </row>
    <row r="1000" customFormat="false" ht="23.25" hidden="false" customHeight="true" outlineLevel="0" collapsed="false">
      <c r="B1000" s="67" t="str">
        <f aca="false">""</f>
        <v/>
      </c>
      <c r="C1000" s="67"/>
      <c r="D1000" s="23" t="str">
        <f aca="false">IFERROR(INDEX(分录回款!$E:$E,MATCH($L1000,分录回款!$L:$L,0)),"")</f>
        <v/>
      </c>
      <c r="E1000" s="23" t="str">
        <f aca="false">IFERROR(INDEX(分录回款!$F:$F,MATCH($L1000,分录回款!$L:$L,0)),"")</f>
        <v/>
      </c>
      <c r="F1000" s="68" t="str">
        <f aca="false">IFERROR(INDEX(分录回款!$H:$H,MATCH($L1000,分录回款!$L:$L,0)),"")</f>
        <v/>
      </c>
      <c r="G1000" s="69" t="str">
        <f aca="false">IFERROR(INDEX(分录回款!$I:$I,MATCH($L1000,分录回款!$L:$L,0)),"")</f>
        <v/>
      </c>
      <c r="H1000" s="23"/>
      <c r="I1000" s="70"/>
      <c r="L1000" s="71" t="n">
        <f aca="false">IF(助手回款!$R$68="",-1,助手回款!$R$68*100+(助手回款!$S$68-1)*6+5)</f>
        <v>-1</v>
      </c>
    </row>
    <row r="1001" customFormat="false" ht="23.25" hidden="false" customHeight="true" outlineLevel="0" collapsed="false">
      <c r="B1001" s="67" t="str">
        <f aca="false">""</f>
        <v/>
      </c>
      <c r="C1001" s="67"/>
      <c r="D1001" s="23" t="str">
        <f aca="false">IFERROR(INDEX(分录回款!$E:$E,MATCH($L1001,分录回款!$L:$L,0)),"")</f>
        <v/>
      </c>
      <c r="E1001" s="23" t="str">
        <f aca="false">IFERROR(INDEX(分录回款!$F:$F,MATCH($L1001,分录回款!$L:$L,0)),"")</f>
        <v/>
      </c>
      <c r="F1001" s="68" t="str">
        <f aca="false">IFERROR(INDEX(分录回款!$H:$H,MATCH($L1001,分录回款!$L:$L,0)),"")</f>
        <v/>
      </c>
      <c r="G1001" s="69" t="str">
        <f aca="false">IFERROR(INDEX(分录回款!$I:$I,MATCH($L1001,分录回款!$L:$L,0)),"")</f>
        <v/>
      </c>
      <c r="H1001" s="23"/>
      <c r="I1001" s="70"/>
      <c r="L1001" s="71" t="n">
        <f aca="false">IF(助手回款!$R$68="",-1,助手回款!$R$68*100+(助手回款!$S$68-1)*6+6)</f>
        <v>-1</v>
      </c>
    </row>
    <row r="1002" customFormat="false" ht="23.25" hidden="false" customHeight="true" outlineLevel="0" collapsed="false">
      <c r="B1002" s="72" t="str">
        <f aca="false">IF(助手回款!$T$68=1,"合计：","")</f>
        <v/>
      </c>
      <c r="C1002" s="73" t="str">
        <f aca="false">IF(助手回款!$T$68=1,$F1002,"")</f>
        <v/>
      </c>
      <c r="D1002" s="74"/>
      <c r="E1002" s="74"/>
      <c r="F1002" s="75" t="str">
        <f aca="false">IF(助手回款!$T$68=1,INDEX(助手回款!$N$2:$N$66,助手回款!$R$68),"")</f>
        <v/>
      </c>
      <c r="G1002" s="76" t="str">
        <f aca="false">IF(助手回款!$T$68=1,INDEX(助手回款!$O$2:$O$66,助手回款!$R$68),"")</f>
        <v/>
      </c>
      <c r="H1002" s="74"/>
      <c r="I1002" s="77"/>
    </row>
    <row r="1003" customFormat="false" ht="6" hidden="false" customHeight="true" outlineLevel="0" collapsed="false"/>
    <row r="1004" customFormat="false" ht="13.5" hidden="false" customHeight="false" outlineLevel="0" collapsed="false">
      <c r="B1004" s="78" t="str">
        <f aca="false">IF(助手回款!$R$68&lt;&gt;"","会计主管：","")</f>
        <v/>
      </c>
      <c r="D1004" s="78" t="str">
        <f aca="false">IF(助手回款!$R$68&lt;&gt;"","会计：","")</f>
        <v/>
      </c>
      <c r="E1004" s="78" t="str">
        <f aca="false">IF(助手回款!$R$68&lt;&gt;"","出纳：","")</f>
        <v/>
      </c>
      <c r="F1004" s="78" t="str">
        <f aca="false">IF(助手回款!$R$68&lt;&gt;"","复核：","")</f>
        <v/>
      </c>
      <c r="G1004" s="78" t="str">
        <f aca="false">IF(助手回款!$R$68&lt;&gt;"","制单：","")</f>
        <v/>
      </c>
    </row>
    <row r="1005" customFormat="false" ht="3" hidden="false" customHeight="true" outlineLevel="0" collapsed="false"/>
    <row r="1006" customFormat="false" ht="19.5" hidden="false" customHeight="true" outlineLevel="0" collapsed="false">
      <c r="B1006" s="53" t="str">
        <f aca="false">IF(助手回款!$R$69&lt;&gt;"","记  账  凭  证","")</f>
        <v/>
      </c>
      <c r="C1006" s="53"/>
      <c r="D1006" s="53"/>
      <c r="E1006" s="53"/>
      <c r="F1006" s="53"/>
      <c r="G1006" s="53"/>
      <c r="H1006" s="53"/>
      <c r="I1006" s="53"/>
    </row>
    <row r="1007" customFormat="false" ht="3" hidden="false" customHeight="true" outlineLevel="0" collapsed="false"/>
    <row r="1008" customFormat="false" ht="15" hidden="false" customHeight="true" outlineLevel="0" collapsed="false">
      <c r="C1008" s="56" t="str">
        <f aca="false">IF(助手回款!$R$69&lt;&gt;"",INDEX(助手回款!$B$2:$B$66,助手回款!$R$69),"")</f>
        <v/>
      </c>
      <c r="D1008" s="57" t="str">
        <f aca="false">IF(助手回款!$R$69&lt;&gt;"",参数!$B$2,"")</f>
        <v/>
      </c>
      <c r="E1008" s="57"/>
      <c r="F1008" s="58" t="str">
        <f aca="false">IF(助手回款!$R$69&lt;&gt;"",INDEX(助手回款!$C$2:$C$66,助手回款!$R$69)&amp;"  字第 "&amp;IF(参数!$B$9="是",INDEX(助手回款!$P$2:$P$66,助手回款!$R$69),"　　　　")&amp;" 号"&amp;IF(INDEX(助手回款!$L$2:$L$66,助手回款!$R$69)&gt;1,"  (共"&amp;INDEX(助手回款!$L$2:$L$66,助手回款!$R$69)&amp;"页 第"&amp;助手回款!$S$69&amp;"页)",""),"")</f>
        <v/>
      </c>
      <c r="G1008" s="58"/>
      <c r="H1008" s="58"/>
      <c r="I1008" s="58"/>
      <c r="M1008" s="79" t="str">
        <f aca="false">IF(助手回款!$R$69="","",助手回款!$Q$69)</f>
        <v/>
      </c>
      <c r="N1008" s="80" t="str">
        <f aca="false">IF(助手回款!$R$69="","",INDEX(助手回款!$P$2:$P$66,助手回款!$R$69))</f>
        <v/>
      </c>
      <c r="O1008" s="55" t="str">
        <f aca="false">IF(助手回款!$R$69="","",INDEX(助手回款!$C$2:$C$66,助手回款!$R$69)&amp;"  字第 "&amp;INDEX(助手回款!$P$2:$P$66,助手回款!$R$69)&amp;" 号"&amp;IF(INDEX(助手回款!$L$2:$L$66,助手回款!$R$69)&gt;1,"  (共"&amp;INDEX(助手回款!$L$2:$L$66,助手回款!$R$69)&amp;"页 第"&amp;助手回款!$S$69&amp;"页)",""))</f>
        <v/>
      </c>
    </row>
    <row r="1009" customFormat="false" ht="12.75" hidden="false" customHeight="true" outlineLevel="0" collapsed="false">
      <c r="B1009" s="61" t="str">
        <f aca="false">IF(助手回款!$R$69&lt;&gt;"","摘　　要","")</f>
        <v/>
      </c>
      <c r="C1009" s="61"/>
      <c r="D1009" s="62" t="str">
        <f aca="false">IF(助手回款!$R$69&lt;&gt;"","科　　　　目","")</f>
        <v/>
      </c>
      <c r="E1009" s="62"/>
      <c r="F1009" s="61" t="str">
        <f aca="false">IF(助手回款!$R$69&lt;&gt;"","借 方 金 额","")</f>
        <v/>
      </c>
      <c r="G1009" s="62" t="str">
        <f aca="false">IF(助手回款!$R$69&lt;&gt;"","贷 方 金 额","")</f>
        <v/>
      </c>
      <c r="H1009" s="63" t="str">
        <f aca="false">IF(助手回款!$R$69&lt;&gt;"","√","")</f>
        <v/>
      </c>
      <c r="I1009" s="64" t="str">
        <f aca="false">IF(助手回款!$R$69&lt;&gt;"","附单据  张","")</f>
        <v/>
      </c>
    </row>
    <row r="1010" customFormat="false" ht="12.75" hidden="false" customHeight="true" outlineLevel="0" collapsed="false">
      <c r="B1010" s="61"/>
      <c r="C1010" s="61"/>
      <c r="D1010" s="23" t="str">
        <f aca="false">IF(助手回款!$R$69&lt;&gt;"","总 账 科 目","")</f>
        <v/>
      </c>
      <c r="E1010" s="23" t="str">
        <f aca="false">IF(助手回款!$R$69&lt;&gt;"","明 细 科 目","")</f>
        <v/>
      </c>
      <c r="F1010" s="65"/>
      <c r="G1010" s="66"/>
      <c r="H1010" s="63"/>
      <c r="I1010" s="64"/>
    </row>
    <row r="1011" customFormat="false" ht="23.25" hidden="false" customHeight="true" outlineLevel="0" collapsed="false">
      <c r="B1011" s="67" t="str">
        <f aca="false">IFERROR(INDEX(分录回款!$M:$M,MATCH($L1011,分录回款!$L:$L,0)),"")</f>
        <v/>
      </c>
      <c r="C1011" s="67"/>
      <c r="D1011" s="23" t="str">
        <f aca="false">IFERROR(INDEX(分录回款!$E:$E,MATCH($L1011,分录回款!$L:$L,0)),"")</f>
        <v/>
      </c>
      <c r="E1011" s="23" t="str">
        <f aca="false">IFERROR(INDEX(分录回款!$F:$F,MATCH($L1011,分录回款!$L:$L,0)),"")</f>
        <v/>
      </c>
      <c r="F1011" s="68" t="str">
        <f aca="false">IFERROR(INDEX(分录回款!$H:$H,MATCH($L1011,分录回款!$L:$L,0)),"")</f>
        <v/>
      </c>
      <c r="G1011" s="69" t="str">
        <f aca="false">IFERROR(INDEX(分录回款!$I:$I,MATCH($L1011,分录回款!$L:$L,0)),"")</f>
        <v/>
      </c>
      <c r="H1011" s="23"/>
      <c r="I1011" s="70"/>
      <c r="L1011" s="71" t="n">
        <f aca="false">IF(助手回款!$R$69="",-1,助手回款!$R$69*100+(助手回款!$S$69-1)*6+1)</f>
        <v>-1</v>
      </c>
    </row>
    <row r="1012" customFormat="false" ht="23.25" hidden="false" customHeight="true" outlineLevel="0" collapsed="false">
      <c r="B1012" s="67" t="str">
        <f aca="false">""</f>
        <v/>
      </c>
      <c r="C1012" s="67"/>
      <c r="D1012" s="23" t="str">
        <f aca="false">IFERROR(INDEX(分录回款!$E:$E,MATCH($L1012,分录回款!$L:$L,0)),"")</f>
        <v/>
      </c>
      <c r="E1012" s="23" t="str">
        <f aca="false">IFERROR(INDEX(分录回款!$F:$F,MATCH($L1012,分录回款!$L:$L,0)),"")</f>
        <v/>
      </c>
      <c r="F1012" s="68" t="str">
        <f aca="false">IFERROR(INDEX(分录回款!$H:$H,MATCH($L1012,分录回款!$L:$L,0)),"")</f>
        <v/>
      </c>
      <c r="G1012" s="69" t="str">
        <f aca="false">IFERROR(INDEX(分录回款!$I:$I,MATCH($L1012,分录回款!$L:$L,0)),"")</f>
        <v/>
      </c>
      <c r="H1012" s="23"/>
      <c r="I1012" s="70"/>
      <c r="L1012" s="71" t="n">
        <f aca="false">IF(助手回款!$R$69="",-1,助手回款!$R$69*100+(助手回款!$S$69-1)*6+2)</f>
        <v>-1</v>
      </c>
    </row>
    <row r="1013" customFormat="false" ht="23.25" hidden="false" customHeight="true" outlineLevel="0" collapsed="false">
      <c r="B1013" s="67" t="str">
        <f aca="false">""</f>
        <v/>
      </c>
      <c r="C1013" s="67"/>
      <c r="D1013" s="23" t="str">
        <f aca="false">IFERROR(INDEX(分录回款!$E:$E,MATCH($L1013,分录回款!$L:$L,0)),"")</f>
        <v/>
      </c>
      <c r="E1013" s="23" t="str">
        <f aca="false">IFERROR(INDEX(分录回款!$F:$F,MATCH($L1013,分录回款!$L:$L,0)),"")</f>
        <v/>
      </c>
      <c r="F1013" s="68" t="str">
        <f aca="false">IFERROR(INDEX(分录回款!$H:$H,MATCH($L1013,分录回款!$L:$L,0)),"")</f>
        <v/>
      </c>
      <c r="G1013" s="69" t="str">
        <f aca="false">IFERROR(INDEX(分录回款!$I:$I,MATCH($L1013,分录回款!$L:$L,0)),"")</f>
        <v/>
      </c>
      <c r="H1013" s="23"/>
      <c r="I1013" s="70"/>
      <c r="L1013" s="71" t="n">
        <f aca="false">IF(助手回款!$R$69="",-1,助手回款!$R$69*100+(助手回款!$S$69-1)*6+3)</f>
        <v>-1</v>
      </c>
    </row>
    <row r="1014" customFormat="false" ht="23.25" hidden="false" customHeight="true" outlineLevel="0" collapsed="false">
      <c r="B1014" s="67" t="str">
        <f aca="false">""</f>
        <v/>
      </c>
      <c r="C1014" s="67"/>
      <c r="D1014" s="23" t="str">
        <f aca="false">IFERROR(INDEX(分录回款!$E:$E,MATCH($L1014,分录回款!$L:$L,0)),"")</f>
        <v/>
      </c>
      <c r="E1014" s="23" t="str">
        <f aca="false">IFERROR(INDEX(分录回款!$F:$F,MATCH($L1014,分录回款!$L:$L,0)),"")</f>
        <v/>
      </c>
      <c r="F1014" s="68" t="str">
        <f aca="false">IFERROR(INDEX(分录回款!$H:$H,MATCH($L1014,分录回款!$L:$L,0)),"")</f>
        <v/>
      </c>
      <c r="G1014" s="69" t="str">
        <f aca="false">IFERROR(INDEX(分录回款!$I:$I,MATCH($L1014,分录回款!$L:$L,0)),"")</f>
        <v/>
      </c>
      <c r="H1014" s="23"/>
      <c r="I1014" s="70"/>
      <c r="L1014" s="71" t="n">
        <f aca="false">IF(助手回款!$R$69="",-1,助手回款!$R$69*100+(助手回款!$S$69-1)*6+4)</f>
        <v>-1</v>
      </c>
    </row>
    <row r="1015" customFormat="false" ht="23.25" hidden="false" customHeight="true" outlineLevel="0" collapsed="false">
      <c r="B1015" s="67" t="str">
        <f aca="false">""</f>
        <v/>
      </c>
      <c r="C1015" s="67"/>
      <c r="D1015" s="23" t="str">
        <f aca="false">IFERROR(INDEX(分录回款!$E:$E,MATCH($L1015,分录回款!$L:$L,0)),"")</f>
        <v/>
      </c>
      <c r="E1015" s="23" t="str">
        <f aca="false">IFERROR(INDEX(分录回款!$F:$F,MATCH($L1015,分录回款!$L:$L,0)),"")</f>
        <v/>
      </c>
      <c r="F1015" s="68" t="str">
        <f aca="false">IFERROR(INDEX(分录回款!$H:$H,MATCH($L1015,分录回款!$L:$L,0)),"")</f>
        <v/>
      </c>
      <c r="G1015" s="69" t="str">
        <f aca="false">IFERROR(INDEX(分录回款!$I:$I,MATCH($L1015,分录回款!$L:$L,0)),"")</f>
        <v/>
      </c>
      <c r="H1015" s="23"/>
      <c r="I1015" s="70"/>
      <c r="L1015" s="71" t="n">
        <f aca="false">IF(助手回款!$R$69="",-1,助手回款!$R$69*100+(助手回款!$S$69-1)*6+5)</f>
        <v>-1</v>
      </c>
    </row>
    <row r="1016" customFormat="false" ht="23.25" hidden="false" customHeight="true" outlineLevel="0" collapsed="false">
      <c r="B1016" s="67" t="str">
        <f aca="false">""</f>
        <v/>
      </c>
      <c r="C1016" s="67"/>
      <c r="D1016" s="23" t="str">
        <f aca="false">IFERROR(INDEX(分录回款!$E:$E,MATCH($L1016,分录回款!$L:$L,0)),"")</f>
        <v/>
      </c>
      <c r="E1016" s="23" t="str">
        <f aca="false">IFERROR(INDEX(分录回款!$F:$F,MATCH($L1016,分录回款!$L:$L,0)),"")</f>
        <v/>
      </c>
      <c r="F1016" s="68" t="str">
        <f aca="false">IFERROR(INDEX(分录回款!$H:$H,MATCH($L1016,分录回款!$L:$L,0)),"")</f>
        <v/>
      </c>
      <c r="G1016" s="69" t="str">
        <f aca="false">IFERROR(INDEX(分录回款!$I:$I,MATCH($L1016,分录回款!$L:$L,0)),"")</f>
        <v/>
      </c>
      <c r="H1016" s="23"/>
      <c r="I1016" s="70"/>
      <c r="L1016" s="71" t="n">
        <f aca="false">IF(助手回款!$R$69="",-1,助手回款!$R$69*100+(助手回款!$S$69-1)*6+6)</f>
        <v>-1</v>
      </c>
    </row>
    <row r="1017" customFormat="false" ht="23.25" hidden="false" customHeight="true" outlineLevel="0" collapsed="false">
      <c r="B1017" s="72" t="str">
        <f aca="false">IF(助手回款!$T$69=1,"合计：","")</f>
        <v/>
      </c>
      <c r="C1017" s="73" t="str">
        <f aca="false">IF(助手回款!$T$69=1,$F1017,"")</f>
        <v/>
      </c>
      <c r="D1017" s="74"/>
      <c r="E1017" s="74"/>
      <c r="F1017" s="75" t="str">
        <f aca="false">IF(助手回款!$T$69=1,INDEX(助手回款!$N$2:$N$66,助手回款!$R$69),"")</f>
        <v/>
      </c>
      <c r="G1017" s="76" t="str">
        <f aca="false">IF(助手回款!$T$69=1,INDEX(助手回款!$O$2:$O$66,助手回款!$R$69),"")</f>
        <v/>
      </c>
      <c r="H1017" s="74"/>
      <c r="I1017" s="77"/>
    </row>
    <row r="1018" customFormat="false" ht="6" hidden="false" customHeight="true" outlineLevel="0" collapsed="false"/>
    <row r="1019" customFormat="false" ht="13.5" hidden="false" customHeight="false" outlineLevel="0" collapsed="false">
      <c r="B1019" s="78" t="str">
        <f aca="false">IF(助手回款!$R$69&lt;&gt;"","会计主管：","")</f>
        <v/>
      </c>
      <c r="D1019" s="78" t="str">
        <f aca="false">IF(助手回款!$R$69&lt;&gt;"","会计：","")</f>
        <v/>
      </c>
      <c r="E1019" s="78" t="str">
        <f aca="false">IF(助手回款!$R$69&lt;&gt;"","出纳：","")</f>
        <v/>
      </c>
      <c r="F1019" s="78" t="str">
        <f aca="false">IF(助手回款!$R$69&lt;&gt;"","复核：","")</f>
        <v/>
      </c>
      <c r="G1019" s="78" t="str">
        <f aca="false">IF(助手回款!$R$69&lt;&gt;"","制单：","")</f>
        <v/>
      </c>
    </row>
    <row r="1020" customFormat="false" ht="3" hidden="false" customHeight="true" outlineLevel="0" collapsed="false"/>
    <row r="1021" customFormat="false" ht="19.5" hidden="false" customHeight="true" outlineLevel="0" collapsed="false">
      <c r="B1021" s="53" t="str">
        <f aca="false">IF(助手回款!$R$70&lt;&gt;"","记  账  凭  证","")</f>
        <v/>
      </c>
      <c r="C1021" s="53"/>
      <c r="D1021" s="53"/>
      <c r="E1021" s="53"/>
      <c r="F1021" s="53"/>
      <c r="G1021" s="53"/>
      <c r="H1021" s="53"/>
      <c r="I1021" s="53"/>
    </row>
    <row r="1022" customFormat="false" ht="3" hidden="false" customHeight="true" outlineLevel="0" collapsed="false"/>
    <row r="1023" customFormat="false" ht="15" hidden="false" customHeight="true" outlineLevel="0" collapsed="false">
      <c r="C1023" s="56" t="str">
        <f aca="false">IF(助手回款!$R$70&lt;&gt;"",INDEX(助手回款!$B$2:$B$66,助手回款!$R$70),"")</f>
        <v/>
      </c>
      <c r="D1023" s="57" t="str">
        <f aca="false">IF(助手回款!$R$70&lt;&gt;"",参数!$B$2,"")</f>
        <v/>
      </c>
      <c r="E1023" s="57"/>
      <c r="F1023" s="58" t="str">
        <f aca="false">IF(助手回款!$R$70&lt;&gt;"",INDEX(助手回款!$C$2:$C$66,助手回款!$R$70)&amp;"  字第 "&amp;IF(参数!$B$9="是",INDEX(助手回款!$P$2:$P$66,助手回款!$R$70),"　　　　")&amp;" 号"&amp;IF(INDEX(助手回款!$L$2:$L$66,助手回款!$R$70)&gt;1,"  (共"&amp;INDEX(助手回款!$L$2:$L$66,助手回款!$R$70)&amp;"页 第"&amp;助手回款!$S$70&amp;"页)",""),"")</f>
        <v/>
      </c>
      <c r="G1023" s="58"/>
      <c r="H1023" s="58"/>
      <c r="I1023" s="58"/>
      <c r="M1023" s="79" t="str">
        <f aca="false">IF(助手回款!$R$70="","",助手回款!$Q$70)</f>
        <v/>
      </c>
      <c r="N1023" s="80" t="str">
        <f aca="false">IF(助手回款!$R$70="","",INDEX(助手回款!$P$2:$P$66,助手回款!$R$70))</f>
        <v/>
      </c>
      <c r="O1023" s="55" t="str">
        <f aca="false">IF(助手回款!$R$70="","",INDEX(助手回款!$C$2:$C$66,助手回款!$R$70)&amp;"  字第 "&amp;INDEX(助手回款!$P$2:$P$66,助手回款!$R$70)&amp;" 号"&amp;IF(INDEX(助手回款!$L$2:$L$66,助手回款!$R$70)&gt;1,"  (共"&amp;INDEX(助手回款!$L$2:$L$66,助手回款!$R$70)&amp;"页 第"&amp;助手回款!$S$70&amp;"页)",""))</f>
        <v/>
      </c>
    </row>
    <row r="1024" customFormat="false" ht="12.75" hidden="false" customHeight="true" outlineLevel="0" collapsed="false">
      <c r="B1024" s="61" t="str">
        <f aca="false">IF(助手回款!$R$70&lt;&gt;"","摘　　要","")</f>
        <v/>
      </c>
      <c r="C1024" s="61"/>
      <c r="D1024" s="62" t="str">
        <f aca="false">IF(助手回款!$R$70&lt;&gt;"","科　　　　目","")</f>
        <v/>
      </c>
      <c r="E1024" s="62"/>
      <c r="F1024" s="61" t="str">
        <f aca="false">IF(助手回款!$R$70&lt;&gt;"","借 方 金 额","")</f>
        <v/>
      </c>
      <c r="G1024" s="62" t="str">
        <f aca="false">IF(助手回款!$R$70&lt;&gt;"","贷 方 金 额","")</f>
        <v/>
      </c>
      <c r="H1024" s="63" t="str">
        <f aca="false">IF(助手回款!$R$70&lt;&gt;"","√","")</f>
        <v/>
      </c>
      <c r="I1024" s="64" t="str">
        <f aca="false">IF(助手回款!$R$70&lt;&gt;"","附单据  张","")</f>
        <v/>
      </c>
    </row>
    <row r="1025" customFormat="false" ht="12.75" hidden="false" customHeight="true" outlineLevel="0" collapsed="false">
      <c r="B1025" s="61"/>
      <c r="C1025" s="61"/>
      <c r="D1025" s="23" t="str">
        <f aca="false">IF(助手回款!$R$70&lt;&gt;"","总 账 科 目","")</f>
        <v/>
      </c>
      <c r="E1025" s="23" t="str">
        <f aca="false">IF(助手回款!$R$70&lt;&gt;"","明 细 科 目","")</f>
        <v/>
      </c>
      <c r="F1025" s="65"/>
      <c r="G1025" s="66"/>
      <c r="H1025" s="63"/>
      <c r="I1025" s="64"/>
    </row>
    <row r="1026" customFormat="false" ht="23.25" hidden="false" customHeight="true" outlineLevel="0" collapsed="false">
      <c r="B1026" s="67" t="str">
        <f aca="false">IFERROR(INDEX(分录回款!$M:$M,MATCH($L1026,分录回款!$L:$L,0)),"")</f>
        <v/>
      </c>
      <c r="C1026" s="67"/>
      <c r="D1026" s="23" t="str">
        <f aca="false">IFERROR(INDEX(分录回款!$E:$E,MATCH($L1026,分录回款!$L:$L,0)),"")</f>
        <v/>
      </c>
      <c r="E1026" s="23" t="str">
        <f aca="false">IFERROR(INDEX(分录回款!$F:$F,MATCH($L1026,分录回款!$L:$L,0)),"")</f>
        <v/>
      </c>
      <c r="F1026" s="68" t="str">
        <f aca="false">IFERROR(INDEX(分录回款!$H:$H,MATCH($L1026,分录回款!$L:$L,0)),"")</f>
        <v/>
      </c>
      <c r="G1026" s="69" t="str">
        <f aca="false">IFERROR(INDEX(分录回款!$I:$I,MATCH($L1026,分录回款!$L:$L,0)),"")</f>
        <v/>
      </c>
      <c r="H1026" s="23"/>
      <c r="I1026" s="70"/>
      <c r="L1026" s="71" t="n">
        <f aca="false">IF(助手回款!$R$70="",-1,助手回款!$R$70*100+(助手回款!$S$70-1)*6+1)</f>
        <v>-1</v>
      </c>
    </row>
    <row r="1027" customFormat="false" ht="23.25" hidden="false" customHeight="true" outlineLevel="0" collapsed="false">
      <c r="B1027" s="67" t="str">
        <f aca="false">""</f>
        <v/>
      </c>
      <c r="C1027" s="67"/>
      <c r="D1027" s="23" t="str">
        <f aca="false">IFERROR(INDEX(分录回款!$E:$E,MATCH($L1027,分录回款!$L:$L,0)),"")</f>
        <v/>
      </c>
      <c r="E1027" s="23" t="str">
        <f aca="false">IFERROR(INDEX(分录回款!$F:$F,MATCH($L1027,分录回款!$L:$L,0)),"")</f>
        <v/>
      </c>
      <c r="F1027" s="68" t="str">
        <f aca="false">IFERROR(INDEX(分录回款!$H:$H,MATCH($L1027,分录回款!$L:$L,0)),"")</f>
        <v/>
      </c>
      <c r="G1027" s="69" t="str">
        <f aca="false">IFERROR(INDEX(分录回款!$I:$I,MATCH($L1027,分录回款!$L:$L,0)),"")</f>
        <v/>
      </c>
      <c r="H1027" s="23"/>
      <c r="I1027" s="70"/>
      <c r="L1027" s="71" t="n">
        <f aca="false">IF(助手回款!$R$70="",-1,助手回款!$R$70*100+(助手回款!$S$70-1)*6+2)</f>
        <v>-1</v>
      </c>
    </row>
    <row r="1028" customFormat="false" ht="23.25" hidden="false" customHeight="true" outlineLevel="0" collapsed="false">
      <c r="B1028" s="67" t="str">
        <f aca="false">""</f>
        <v/>
      </c>
      <c r="C1028" s="67"/>
      <c r="D1028" s="23" t="str">
        <f aca="false">IFERROR(INDEX(分录回款!$E:$E,MATCH($L1028,分录回款!$L:$L,0)),"")</f>
        <v/>
      </c>
      <c r="E1028" s="23" t="str">
        <f aca="false">IFERROR(INDEX(分录回款!$F:$F,MATCH($L1028,分录回款!$L:$L,0)),"")</f>
        <v/>
      </c>
      <c r="F1028" s="68" t="str">
        <f aca="false">IFERROR(INDEX(分录回款!$H:$H,MATCH($L1028,分录回款!$L:$L,0)),"")</f>
        <v/>
      </c>
      <c r="G1028" s="69" t="str">
        <f aca="false">IFERROR(INDEX(分录回款!$I:$I,MATCH($L1028,分录回款!$L:$L,0)),"")</f>
        <v/>
      </c>
      <c r="H1028" s="23"/>
      <c r="I1028" s="70"/>
      <c r="L1028" s="71" t="n">
        <f aca="false">IF(助手回款!$R$70="",-1,助手回款!$R$70*100+(助手回款!$S$70-1)*6+3)</f>
        <v>-1</v>
      </c>
    </row>
    <row r="1029" customFormat="false" ht="23.25" hidden="false" customHeight="true" outlineLevel="0" collapsed="false">
      <c r="B1029" s="67" t="str">
        <f aca="false">""</f>
        <v/>
      </c>
      <c r="C1029" s="67"/>
      <c r="D1029" s="23" t="str">
        <f aca="false">IFERROR(INDEX(分录回款!$E:$E,MATCH($L1029,分录回款!$L:$L,0)),"")</f>
        <v/>
      </c>
      <c r="E1029" s="23" t="str">
        <f aca="false">IFERROR(INDEX(分录回款!$F:$F,MATCH($L1029,分录回款!$L:$L,0)),"")</f>
        <v/>
      </c>
      <c r="F1029" s="68" t="str">
        <f aca="false">IFERROR(INDEX(分录回款!$H:$H,MATCH($L1029,分录回款!$L:$L,0)),"")</f>
        <v/>
      </c>
      <c r="G1029" s="69" t="str">
        <f aca="false">IFERROR(INDEX(分录回款!$I:$I,MATCH($L1029,分录回款!$L:$L,0)),"")</f>
        <v/>
      </c>
      <c r="H1029" s="23"/>
      <c r="I1029" s="70"/>
      <c r="L1029" s="71" t="n">
        <f aca="false">IF(助手回款!$R$70="",-1,助手回款!$R$70*100+(助手回款!$S$70-1)*6+4)</f>
        <v>-1</v>
      </c>
    </row>
    <row r="1030" customFormat="false" ht="23.25" hidden="false" customHeight="true" outlineLevel="0" collapsed="false">
      <c r="B1030" s="67" t="str">
        <f aca="false">""</f>
        <v/>
      </c>
      <c r="C1030" s="67"/>
      <c r="D1030" s="23" t="str">
        <f aca="false">IFERROR(INDEX(分录回款!$E:$E,MATCH($L1030,分录回款!$L:$L,0)),"")</f>
        <v/>
      </c>
      <c r="E1030" s="23" t="str">
        <f aca="false">IFERROR(INDEX(分录回款!$F:$F,MATCH($L1030,分录回款!$L:$L,0)),"")</f>
        <v/>
      </c>
      <c r="F1030" s="68" t="str">
        <f aca="false">IFERROR(INDEX(分录回款!$H:$H,MATCH($L1030,分录回款!$L:$L,0)),"")</f>
        <v/>
      </c>
      <c r="G1030" s="69" t="str">
        <f aca="false">IFERROR(INDEX(分录回款!$I:$I,MATCH($L1030,分录回款!$L:$L,0)),"")</f>
        <v/>
      </c>
      <c r="H1030" s="23"/>
      <c r="I1030" s="70"/>
      <c r="L1030" s="71" t="n">
        <f aca="false">IF(助手回款!$R$70="",-1,助手回款!$R$70*100+(助手回款!$S$70-1)*6+5)</f>
        <v>-1</v>
      </c>
    </row>
    <row r="1031" customFormat="false" ht="23.25" hidden="false" customHeight="true" outlineLevel="0" collapsed="false">
      <c r="B1031" s="67" t="str">
        <f aca="false">""</f>
        <v/>
      </c>
      <c r="C1031" s="67"/>
      <c r="D1031" s="23" t="str">
        <f aca="false">IFERROR(INDEX(分录回款!$E:$E,MATCH($L1031,分录回款!$L:$L,0)),"")</f>
        <v/>
      </c>
      <c r="E1031" s="23" t="str">
        <f aca="false">IFERROR(INDEX(分录回款!$F:$F,MATCH($L1031,分录回款!$L:$L,0)),"")</f>
        <v/>
      </c>
      <c r="F1031" s="68" t="str">
        <f aca="false">IFERROR(INDEX(分录回款!$H:$H,MATCH($L1031,分录回款!$L:$L,0)),"")</f>
        <v/>
      </c>
      <c r="G1031" s="69" t="str">
        <f aca="false">IFERROR(INDEX(分录回款!$I:$I,MATCH($L1031,分录回款!$L:$L,0)),"")</f>
        <v/>
      </c>
      <c r="H1031" s="23"/>
      <c r="I1031" s="70"/>
      <c r="L1031" s="71" t="n">
        <f aca="false">IF(助手回款!$R$70="",-1,助手回款!$R$70*100+(助手回款!$S$70-1)*6+6)</f>
        <v>-1</v>
      </c>
    </row>
    <row r="1032" customFormat="false" ht="23.25" hidden="false" customHeight="true" outlineLevel="0" collapsed="false">
      <c r="B1032" s="72" t="str">
        <f aca="false">IF(助手回款!$T$70=1,"合计：","")</f>
        <v/>
      </c>
      <c r="C1032" s="73" t="str">
        <f aca="false">IF(助手回款!$T$70=1,$F1032,"")</f>
        <v/>
      </c>
      <c r="D1032" s="74"/>
      <c r="E1032" s="74"/>
      <c r="F1032" s="75" t="str">
        <f aca="false">IF(助手回款!$T$70=1,INDEX(助手回款!$N$2:$N$66,助手回款!$R$70),"")</f>
        <v/>
      </c>
      <c r="G1032" s="76" t="str">
        <f aca="false">IF(助手回款!$T$70=1,INDEX(助手回款!$O$2:$O$66,助手回款!$R$70),"")</f>
        <v/>
      </c>
      <c r="H1032" s="74"/>
      <c r="I1032" s="77"/>
    </row>
    <row r="1033" customFormat="false" ht="6" hidden="false" customHeight="true" outlineLevel="0" collapsed="false"/>
    <row r="1034" customFormat="false" ht="13.5" hidden="false" customHeight="false" outlineLevel="0" collapsed="false">
      <c r="B1034" s="78" t="str">
        <f aca="false">IF(助手回款!$R$70&lt;&gt;"","会计主管：","")</f>
        <v/>
      </c>
      <c r="D1034" s="78" t="str">
        <f aca="false">IF(助手回款!$R$70&lt;&gt;"","会计：","")</f>
        <v/>
      </c>
      <c r="E1034" s="78" t="str">
        <f aca="false">IF(助手回款!$R$70&lt;&gt;"","出纳：","")</f>
        <v/>
      </c>
      <c r="F1034" s="78" t="str">
        <f aca="false">IF(助手回款!$R$70&lt;&gt;"","复核：","")</f>
        <v/>
      </c>
      <c r="G1034" s="78" t="str">
        <f aca="false">IF(助手回款!$R$70&lt;&gt;"","制单：","")</f>
        <v/>
      </c>
    </row>
    <row r="1035" customFormat="false" ht="3" hidden="false" customHeight="true" outlineLevel="0" collapsed="false"/>
    <row r="1036" customFormat="false" ht="19.5" hidden="false" customHeight="true" outlineLevel="0" collapsed="false">
      <c r="B1036" s="53" t="str">
        <f aca="false">IF(助手回款!$R$71&lt;&gt;"","记  账  凭  证","")</f>
        <v/>
      </c>
      <c r="C1036" s="53"/>
      <c r="D1036" s="53"/>
      <c r="E1036" s="53"/>
      <c r="F1036" s="53"/>
      <c r="G1036" s="53"/>
      <c r="H1036" s="53"/>
      <c r="I1036" s="53"/>
    </row>
    <row r="1037" customFormat="false" ht="3" hidden="false" customHeight="true" outlineLevel="0" collapsed="false"/>
    <row r="1038" customFormat="false" ht="15" hidden="false" customHeight="true" outlineLevel="0" collapsed="false">
      <c r="C1038" s="56" t="str">
        <f aca="false">IF(助手回款!$R$71&lt;&gt;"",INDEX(助手回款!$B$2:$B$66,助手回款!$R$71),"")</f>
        <v/>
      </c>
      <c r="D1038" s="57" t="str">
        <f aca="false">IF(助手回款!$R$71&lt;&gt;"",参数!$B$2,"")</f>
        <v/>
      </c>
      <c r="E1038" s="57"/>
      <c r="F1038" s="58" t="str">
        <f aca="false">IF(助手回款!$R$71&lt;&gt;"",INDEX(助手回款!$C$2:$C$66,助手回款!$R$71)&amp;"  字第 "&amp;IF(参数!$B$9="是",INDEX(助手回款!$P$2:$P$66,助手回款!$R$71),"　　　　")&amp;" 号"&amp;IF(INDEX(助手回款!$L$2:$L$66,助手回款!$R$71)&gt;1,"  (共"&amp;INDEX(助手回款!$L$2:$L$66,助手回款!$R$71)&amp;"页 第"&amp;助手回款!$S$71&amp;"页)",""),"")</f>
        <v/>
      </c>
      <c r="G1038" s="58"/>
      <c r="H1038" s="58"/>
      <c r="I1038" s="58"/>
      <c r="M1038" s="79" t="str">
        <f aca="false">IF(助手回款!$R$71="","",助手回款!$Q$71)</f>
        <v/>
      </c>
      <c r="N1038" s="80" t="str">
        <f aca="false">IF(助手回款!$R$71="","",INDEX(助手回款!$P$2:$P$66,助手回款!$R$71))</f>
        <v/>
      </c>
      <c r="O1038" s="55" t="str">
        <f aca="false">IF(助手回款!$R$71="","",INDEX(助手回款!$C$2:$C$66,助手回款!$R$71)&amp;"  字第 "&amp;INDEX(助手回款!$P$2:$P$66,助手回款!$R$71)&amp;" 号"&amp;IF(INDEX(助手回款!$L$2:$L$66,助手回款!$R$71)&gt;1,"  (共"&amp;INDEX(助手回款!$L$2:$L$66,助手回款!$R$71)&amp;"页 第"&amp;助手回款!$S$71&amp;"页)",""))</f>
        <v/>
      </c>
    </row>
    <row r="1039" customFormat="false" ht="12.75" hidden="false" customHeight="true" outlineLevel="0" collapsed="false">
      <c r="B1039" s="61" t="str">
        <f aca="false">IF(助手回款!$R$71&lt;&gt;"","摘　　要","")</f>
        <v/>
      </c>
      <c r="C1039" s="61"/>
      <c r="D1039" s="62" t="str">
        <f aca="false">IF(助手回款!$R$71&lt;&gt;"","科　　　　目","")</f>
        <v/>
      </c>
      <c r="E1039" s="62"/>
      <c r="F1039" s="61" t="str">
        <f aca="false">IF(助手回款!$R$71&lt;&gt;"","借 方 金 额","")</f>
        <v/>
      </c>
      <c r="G1039" s="62" t="str">
        <f aca="false">IF(助手回款!$R$71&lt;&gt;"","贷 方 金 额","")</f>
        <v/>
      </c>
      <c r="H1039" s="63" t="str">
        <f aca="false">IF(助手回款!$R$71&lt;&gt;"","√","")</f>
        <v/>
      </c>
      <c r="I1039" s="64" t="str">
        <f aca="false">IF(助手回款!$R$71&lt;&gt;"","附单据  张","")</f>
        <v/>
      </c>
    </row>
    <row r="1040" customFormat="false" ht="12.75" hidden="false" customHeight="true" outlineLevel="0" collapsed="false">
      <c r="B1040" s="61"/>
      <c r="C1040" s="61"/>
      <c r="D1040" s="23" t="str">
        <f aca="false">IF(助手回款!$R$71&lt;&gt;"","总 账 科 目","")</f>
        <v/>
      </c>
      <c r="E1040" s="23" t="str">
        <f aca="false">IF(助手回款!$R$71&lt;&gt;"","明 细 科 目","")</f>
        <v/>
      </c>
      <c r="F1040" s="65"/>
      <c r="G1040" s="66"/>
      <c r="H1040" s="63"/>
      <c r="I1040" s="64"/>
    </row>
    <row r="1041" customFormat="false" ht="23.25" hidden="false" customHeight="true" outlineLevel="0" collapsed="false">
      <c r="B1041" s="67" t="str">
        <f aca="false">IFERROR(INDEX(分录回款!$M:$M,MATCH($L1041,分录回款!$L:$L,0)),"")</f>
        <v/>
      </c>
      <c r="C1041" s="67"/>
      <c r="D1041" s="23" t="str">
        <f aca="false">IFERROR(INDEX(分录回款!$E:$E,MATCH($L1041,分录回款!$L:$L,0)),"")</f>
        <v/>
      </c>
      <c r="E1041" s="23" t="str">
        <f aca="false">IFERROR(INDEX(分录回款!$F:$F,MATCH($L1041,分录回款!$L:$L,0)),"")</f>
        <v/>
      </c>
      <c r="F1041" s="68" t="str">
        <f aca="false">IFERROR(INDEX(分录回款!$H:$H,MATCH($L1041,分录回款!$L:$L,0)),"")</f>
        <v/>
      </c>
      <c r="G1041" s="69" t="str">
        <f aca="false">IFERROR(INDEX(分录回款!$I:$I,MATCH($L1041,分录回款!$L:$L,0)),"")</f>
        <v/>
      </c>
      <c r="H1041" s="23"/>
      <c r="I1041" s="70"/>
      <c r="L1041" s="71" t="n">
        <f aca="false">IF(助手回款!$R$71="",-1,助手回款!$R$71*100+(助手回款!$S$71-1)*6+1)</f>
        <v>-1</v>
      </c>
    </row>
    <row r="1042" customFormat="false" ht="23.25" hidden="false" customHeight="true" outlineLevel="0" collapsed="false">
      <c r="B1042" s="67" t="str">
        <f aca="false">""</f>
        <v/>
      </c>
      <c r="C1042" s="67"/>
      <c r="D1042" s="23" t="str">
        <f aca="false">IFERROR(INDEX(分录回款!$E:$E,MATCH($L1042,分录回款!$L:$L,0)),"")</f>
        <v/>
      </c>
      <c r="E1042" s="23" t="str">
        <f aca="false">IFERROR(INDEX(分录回款!$F:$F,MATCH($L1042,分录回款!$L:$L,0)),"")</f>
        <v/>
      </c>
      <c r="F1042" s="68" t="str">
        <f aca="false">IFERROR(INDEX(分录回款!$H:$H,MATCH($L1042,分录回款!$L:$L,0)),"")</f>
        <v/>
      </c>
      <c r="G1042" s="69" t="str">
        <f aca="false">IFERROR(INDEX(分录回款!$I:$I,MATCH($L1042,分录回款!$L:$L,0)),"")</f>
        <v/>
      </c>
      <c r="H1042" s="23"/>
      <c r="I1042" s="70"/>
      <c r="L1042" s="71" t="n">
        <f aca="false">IF(助手回款!$R$71="",-1,助手回款!$R$71*100+(助手回款!$S$71-1)*6+2)</f>
        <v>-1</v>
      </c>
    </row>
    <row r="1043" customFormat="false" ht="23.25" hidden="false" customHeight="true" outlineLevel="0" collapsed="false">
      <c r="B1043" s="67" t="str">
        <f aca="false">""</f>
        <v/>
      </c>
      <c r="C1043" s="67"/>
      <c r="D1043" s="23" t="str">
        <f aca="false">IFERROR(INDEX(分录回款!$E:$E,MATCH($L1043,分录回款!$L:$L,0)),"")</f>
        <v/>
      </c>
      <c r="E1043" s="23" t="str">
        <f aca="false">IFERROR(INDEX(分录回款!$F:$F,MATCH($L1043,分录回款!$L:$L,0)),"")</f>
        <v/>
      </c>
      <c r="F1043" s="68" t="str">
        <f aca="false">IFERROR(INDEX(分录回款!$H:$H,MATCH($L1043,分录回款!$L:$L,0)),"")</f>
        <v/>
      </c>
      <c r="G1043" s="69" t="str">
        <f aca="false">IFERROR(INDEX(分录回款!$I:$I,MATCH($L1043,分录回款!$L:$L,0)),"")</f>
        <v/>
      </c>
      <c r="H1043" s="23"/>
      <c r="I1043" s="70"/>
      <c r="L1043" s="71" t="n">
        <f aca="false">IF(助手回款!$R$71="",-1,助手回款!$R$71*100+(助手回款!$S$71-1)*6+3)</f>
        <v>-1</v>
      </c>
    </row>
    <row r="1044" customFormat="false" ht="23.25" hidden="false" customHeight="true" outlineLevel="0" collapsed="false">
      <c r="B1044" s="67" t="str">
        <f aca="false">""</f>
        <v/>
      </c>
      <c r="C1044" s="67"/>
      <c r="D1044" s="23" t="str">
        <f aca="false">IFERROR(INDEX(分录回款!$E:$E,MATCH($L1044,分录回款!$L:$L,0)),"")</f>
        <v/>
      </c>
      <c r="E1044" s="23" t="str">
        <f aca="false">IFERROR(INDEX(分录回款!$F:$F,MATCH($L1044,分录回款!$L:$L,0)),"")</f>
        <v/>
      </c>
      <c r="F1044" s="68" t="str">
        <f aca="false">IFERROR(INDEX(分录回款!$H:$H,MATCH($L1044,分录回款!$L:$L,0)),"")</f>
        <v/>
      </c>
      <c r="G1044" s="69" t="str">
        <f aca="false">IFERROR(INDEX(分录回款!$I:$I,MATCH($L1044,分录回款!$L:$L,0)),"")</f>
        <v/>
      </c>
      <c r="H1044" s="23"/>
      <c r="I1044" s="70"/>
      <c r="L1044" s="71" t="n">
        <f aca="false">IF(助手回款!$R$71="",-1,助手回款!$R$71*100+(助手回款!$S$71-1)*6+4)</f>
        <v>-1</v>
      </c>
    </row>
    <row r="1045" customFormat="false" ht="23.25" hidden="false" customHeight="true" outlineLevel="0" collapsed="false">
      <c r="B1045" s="67" t="str">
        <f aca="false">""</f>
        <v/>
      </c>
      <c r="C1045" s="67"/>
      <c r="D1045" s="23" t="str">
        <f aca="false">IFERROR(INDEX(分录回款!$E:$E,MATCH($L1045,分录回款!$L:$L,0)),"")</f>
        <v/>
      </c>
      <c r="E1045" s="23" t="str">
        <f aca="false">IFERROR(INDEX(分录回款!$F:$F,MATCH($L1045,分录回款!$L:$L,0)),"")</f>
        <v/>
      </c>
      <c r="F1045" s="68" t="str">
        <f aca="false">IFERROR(INDEX(分录回款!$H:$H,MATCH($L1045,分录回款!$L:$L,0)),"")</f>
        <v/>
      </c>
      <c r="G1045" s="69" t="str">
        <f aca="false">IFERROR(INDEX(分录回款!$I:$I,MATCH($L1045,分录回款!$L:$L,0)),"")</f>
        <v/>
      </c>
      <c r="H1045" s="23"/>
      <c r="I1045" s="70"/>
      <c r="L1045" s="71" t="n">
        <f aca="false">IF(助手回款!$R$71="",-1,助手回款!$R$71*100+(助手回款!$S$71-1)*6+5)</f>
        <v>-1</v>
      </c>
    </row>
    <row r="1046" customFormat="false" ht="23.25" hidden="false" customHeight="true" outlineLevel="0" collapsed="false">
      <c r="B1046" s="67" t="str">
        <f aca="false">""</f>
        <v/>
      </c>
      <c r="C1046" s="67"/>
      <c r="D1046" s="23" t="str">
        <f aca="false">IFERROR(INDEX(分录回款!$E:$E,MATCH($L1046,分录回款!$L:$L,0)),"")</f>
        <v/>
      </c>
      <c r="E1046" s="23" t="str">
        <f aca="false">IFERROR(INDEX(分录回款!$F:$F,MATCH($L1046,分录回款!$L:$L,0)),"")</f>
        <v/>
      </c>
      <c r="F1046" s="68" t="str">
        <f aca="false">IFERROR(INDEX(分录回款!$H:$H,MATCH($L1046,分录回款!$L:$L,0)),"")</f>
        <v/>
      </c>
      <c r="G1046" s="69" t="str">
        <f aca="false">IFERROR(INDEX(分录回款!$I:$I,MATCH($L1046,分录回款!$L:$L,0)),"")</f>
        <v/>
      </c>
      <c r="H1046" s="23"/>
      <c r="I1046" s="70"/>
      <c r="L1046" s="71" t="n">
        <f aca="false">IF(助手回款!$R$71="",-1,助手回款!$R$71*100+(助手回款!$S$71-1)*6+6)</f>
        <v>-1</v>
      </c>
    </row>
    <row r="1047" customFormat="false" ht="23.25" hidden="false" customHeight="true" outlineLevel="0" collapsed="false">
      <c r="B1047" s="72" t="str">
        <f aca="false">IF(助手回款!$T$71=1,"合计：","")</f>
        <v/>
      </c>
      <c r="C1047" s="73" t="str">
        <f aca="false">IF(助手回款!$T$71=1,$F1047,"")</f>
        <v/>
      </c>
      <c r="D1047" s="74"/>
      <c r="E1047" s="74"/>
      <c r="F1047" s="75" t="str">
        <f aca="false">IF(助手回款!$T$71=1,INDEX(助手回款!$N$2:$N$66,助手回款!$R$71),"")</f>
        <v/>
      </c>
      <c r="G1047" s="76" t="str">
        <f aca="false">IF(助手回款!$T$71=1,INDEX(助手回款!$O$2:$O$66,助手回款!$R$71),"")</f>
        <v/>
      </c>
      <c r="H1047" s="74"/>
      <c r="I1047" s="77"/>
    </row>
    <row r="1048" customFormat="false" ht="6" hidden="false" customHeight="true" outlineLevel="0" collapsed="false"/>
    <row r="1049" customFormat="false" ht="13.5" hidden="false" customHeight="false" outlineLevel="0" collapsed="false">
      <c r="B1049" s="78" t="str">
        <f aca="false">IF(助手回款!$R$71&lt;&gt;"","会计主管：","")</f>
        <v/>
      </c>
      <c r="D1049" s="78" t="str">
        <f aca="false">IF(助手回款!$R$71&lt;&gt;"","会计：","")</f>
        <v/>
      </c>
      <c r="E1049" s="78" t="str">
        <f aca="false">IF(助手回款!$R$71&lt;&gt;"","出纳：","")</f>
        <v/>
      </c>
      <c r="F1049" s="78" t="str">
        <f aca="false">IF(助手回款!$R$71&lt;&gt;"","复核：","")</f>
        <v/>
      </c>
      <c r="G1049" s="78" t="str">
        <f aca="false">IF(助手回款!$R$71&lt;&gt;"","制单：","")</f>
        <v/>
      </c>
    </row>
    <row r="1050" customFormat="false" ht="3" hidden="false" customHeight="true" outlineLevel="0" collapsed="false"/>
    <row r="1051" customFormat="false" ht="19.5" hidden="false" customHeight="true" outlineLevel="0" collapsed="false">
      <c r="B1051" s="53" t="str">
        <f aca="false">IF(助手回款!$R$72&lt;&gt;"","记  账  凭  证","")</f>
        <v/>
      </c>
      <c r="C1051" s="53"/>
      <c r="D1051" s="53"/>
      <c r="E1051" s="53"/>
      <c r="F1051" s="53"/>
      <c r="G1051" s="53"/>
      <c r="H1051" s="53"/>
      <c r="I1051" s="53"/>
    </row>
    <row r="1052" customFormat="false" ht="3" hidden="false" customHeight="true" outlineLevel="0" collapsed="false"/>
    <row r="1053" customFormat="false" ht="15" hidden="false" customHeight="true" outlineLevel="0" collapsed="false">
      <c r="C1053" s="56" t="str">
        <f aca="false">IF(助手回款!$R$72&lt;&gt;"",INDEX(助手回款!$B$2:$B$66,助手回款!$R$72),"")</f>
        <v/>
      </c>
      <c r="D1053" s="57" t="str">
        <f aca="false">IF(助手回款!$R$72&lt;&gt;"",参数!$B$2,"")</f>
        <v/>
      </c>
      <c r="E1053" s="57"/>
      <c r="F1053" s="58" t="str">
        <f aca="false">IF(助手回款!$R$72&lt;&gt;"",INDEX(助手回款!$C$2:$C$66,助手回款!$R$72)&amp;"  字第 "&amp;IF(参数!$B$9="是",INDEX(助手回款!$P$2:$P$66,助手回款!$R$72),"　　　　")&amp;" 号"&amp;IF(INDEX(助手回款!$L$2:$L$66,助手回款!$R$72)&gt;1,"  (共"&amp;INDEX(助手回款!$L$2:$L$66,助手回款!$R$72)&amp;"页 第"&amp;助手回款!$S$72&amp;"页)",""),"")</f>
        <v/>
      </c>
      <c r="G1053" s="58"/>
      <c r="H1053" s="58"/>
      <c r="I1053" s="58"/>
      <c r="M1053" s="79" t="str">
        <f aca="false">IF(助手回款!$R$72="","",助手回款!$Q$72)</f>
        <v/>
      </c>
      <c r="N1053" s="80" t="str">
        <f aca="false">IF(助手回款!$R$72="","",INDEX(助手回款!$P$2:$P$66,助手回款!$R$72))</f>
        <v/>
      </c>
      <c r="O1053" s="55" t="str">
        <f aca="false">IF(助手回款!$R$72="","",INDEX(助手回款!$C$2:$C$66,助手回款!$R$72)&amp;"  字第 "&amp;INDEX(助手回款!$P$2:$P$66,助手回款!$R$72)&amp;" 号"&amp;IF(INDEX(助手回款!$L$2:$L$66,助手回款!$R$72)&gt;1,"  (共"&amp;INDEX(助手回款!$L$2:$L$66,助手回款!$R$72)&amp;"页 第"&amp;助手回款!$S$72&amp;"页)",""))</f>
        <v/>
      </c>
    </row>
    <row r="1054" customFormat="false" ht="12.75" hidden="false" customHeight="true" outlineLevel="0" collapsed="false">
      <c r="B1054" s="61" t="str">
        <f aca="false">IF(助手回款!$R$72&lt;&gt;"","摘　　要","")</f>
        <v/>
      </c>
      <c r="C1054" s="61"/>
      <c r="D1054" s="62" t="str">
        <f aca="false">IF(助手回款!$R$72&lt;&gt;"","科　　　　目","")</f>
        <v/>
      </c>
      <c r="E1054" s="62"/>
      <c r="F1054" s="61" t="str">
        <f aca="false">IF(助手回款!$R$72&lt;&gt;"","借 方 金 额","")</f>
        <v/>
      </c>
      <c r="G1054" s="62" t="str">
        <f aca="false">IF(助手回款!$R$72&lt;&gt;"","贷 方 金 额","")</f>
        <v/>
      </c>
      <c r="H1054" s="63" t="str">
        <f aca="false">IF(助手回款!$R$72&lt;&gt;"","√","")</f>
        <v/>
      </c>
      <c r="I1054" s="64" t="str">
        <f aca="false">IF(助手回款!$R$72&lt;&gt;"","附单据  张","")</f>
        <v/>
      </c>
    </row>
    <row r="1055" customFormat="false" ht="12.75" hidden="false" customHeight="true" outlineLevel="0" collapsed="false">
      <c r="B1055" s="61"/>
      <c r="C1055" s="61"/>
      <c r="D1055" s="23" t="str">
        <f aca="false">IF(助手回款!$R$72&lt;&gt;"","总 账 科 目","")</f>
        <v/>
      </c>
      <c r="E1055" s="23" t="str">
        <f aca="false">IF(助手回款!$R$72&lt;&gt;"","明 细 科 目","")</f>
        <v/>
      </c>
      <c r="F1055" s="65"/>
      <c r="G1055" s="66"/>
      <c r="H1055" s="63"/>
      <c r="I1055" s="64"/>
    </row>
    <row r="1056" customFormat="false" ht="23.25" hidden="false" customHeight="true" outlineLevel="0" collapsed="false">
      <c r="B1056" s="67" t="str">
        <f aca="false">IFERROR(INDEX(分录回款!$M:$M,MATCH($L1056,分录回款!$L:$L,0)),"")</f>
        <v/>
      </c>
      <c r="C1056" s="67"/>
      <c r="D1056" s="23" t="str">
        <f aca="false">IFERROR(INDEX(分录回款!$E:$E,MATCH($L1056,分录回款!$L:$L,0)),"")</f>
        <v/>
      </c>
      <c r="E1056" s="23" t="str">
        <f aca="false">IFERROR(INDEX(分录回款!$F:$F,MATCH($L1056,分录回款!$L:$L,0)),"")</f>
        <v/>
      </c>
      <c r="F1056" s="68" t="str">
        <f aca="false">IFERROR(INDEX(分录回款!$H:$H,MATCH($L1056,分录回款!$L:$L,0)),"")</f>
        <v/>
      </c>
      <c r="G1056" s="69" t="str">
        <f aca="false">IFERROR(INDEX(分录回款!$I:$I,MATCH($L1056,分录回款!$L:$L,0)),"")</f>
        <v/>
      </c>
      <c r="H1056" s="23"/>
      <c r="I1056" s="70"/>
      <c r="L1056" s="71" t="n">
        <f aca="false">IF(助手回款!$R$72="",-1,助手回款!$R$72*100+(助手回款!$S$72-1)*6+1)</f>
        <v>-1</v>
      </c>
    </row>
    <row r="1057" customFormat="false" ht="23.25" hidden="false" customHeight="true" outlineLevel="0" collapsed="false">
      <c r="B1057" s="67" t="str">
        <f aca="false">""</f>
        <v/>
      </c>
      <c r="C1057" s="67"/>
      <c r="D1057" s="23" t="str">
        <f aca="false">IFERROR(INDEX(分录回款!$E:$E,MATCH($L1057,分录回款!$L:$L,0)),"")</f>
        <v/>
      </c>
      <c r="E1057" s="23" t="str">
        <f aca="false">IFERROR(INDEX(分录回款!$F:$F,MATCH($L1057,分录回款!$L:$L,0)),"")</f>
        <v/>
      </c>
      <c r="F1057" s="68" t="str">
        <f aca="false">IFERROR(INDEX(分录回款!$H:$H,MATCH($L1057,分录回款!$L:$L,0)),"")</f>
        <v/>
      </c>
      <c r="G1057" s="69" t="str">
        <f aca="false">IFERROR(INDEX(分录回款!$I:$I,MATCH($L1057,分录回款!$L:$L,0)),"")</f>
        <v/>
      </c>
      <c r="H1057" s="23"/>
      <c r="I1057" s="70"/>
      <c r="L1057" s="71" t="n">
        <f aca="false">IF(助手回款!$R$72="",-1,助手回款!$R$72*100+(助手回款!$S$72-1)*6+2)</f>
        <v>-1</v>
      </c>
    </row>
    <row r="1058" customFormat="false" ht="23.25" hidden="false" customHeight="true" outlineLevel="0" collapsed="false">
      <c r="B1058" s="67" t="str">
        <f aca="false">""</f>
        <v/>
      </c>
      <c r="C1058" s="67"/>
      <c r="D1058" s="23" t="str">
        <f aca="false">IFERROR(INDEX(分录回款!$E:$E,MATCH($L1058,分录回款!$L:$L,0)),"")</f>
        <v/>
      </c>
      <c r="E1058" s="23" t="str">
        <f aca="false">IFERROR(INDEX(分录回款!$F:$F,MATCH($L1058,分录回款!$L:$L,0)),"")</f>
        <v/>
      </c>
      <c r="F1058" s="68" t="str">
        <f aca="false">IFERROR(INDEX(分录回款!$H:$H,MATCH($L1058,分录回款!$L:$L,0)),"")</f>
        <v/>
      </c>
      <c r="G1058" s="69" t="str">
        <f aca="false">IFERROR(INDEX(分录回款!$I:$I,MATCH($L1058,分录回款!$L:$L,0)),"")</f>
        <v/>
      </c>
      <c r="H1058" s="23"/>
      <c r="I1058" s="70"/>
      <c r="L1058" s="71" t="n">
        <f aca="false">IF(助手回款!$R$72="",-1,助手回款!$R$72*100+(助手回款!$S$72-1)*6+3)</f>
        <v>-1</v>
      </c>
    </row>
    <row r="1059" customFormat="false" ht="23.25" hidden="false" customHeight="true" outlineLevel="0" collapsed="false">
      <c r="B1059" s="67" t="str">
        <f aca="false">""</f>
        <v/>
      </c>
      <c r="C1059" s="67"/>
      <c r="D1059" s="23" t="str">
        <f aca="false">IFERROR(INDEX(分录回款!$E:$E,MATCH($L1059,分录回款!$L:$L,0)),"")</f>
        <v/>
      </c>
      <c r="E1059" s="23" t="str">
        <f aca="false">IFERROR(INDEX(分录回款!$F:$F,MATCH($L1059,分录回款!$L:$L,0)),"")</f>
        <v/>
      </c>
      <c r="F1059" s="68" t="str">
        <f aca="false">IFERROR(INDEX(分录回款!$H:$H,MATCH($L1059,分录回款!$L:$L,0)),"")</f>
        <v/>
      </c>
      <c r="G1059" s="69" t="str">
        <f aca="false">IFERROR(INDEX(分录回款!$I:$I,MATCH($L1059,分录回款!$L:$L,0)),"")</f>
        <v/>
      </c>
      <c r="H1059" s="23"/>
      <c r="I1059" s="70"/>
      <c r="L1059" s="71" t="n">
        <f aca="false">IF(助手回款!$R$72="",-1,助手回款!$R$72*100+(助手回款!$S$72-1)*6+4)</f>
        <v>-1</v>
      </c>
    </row>
    <row r="1060" customFormat="false" ht="23.25" hidden="false" customHeight="true" outlineLevel="0" collapsed="false">
      <c r="B1060" s="67" t="str">
        <f aca="false">""</f>
        <v/>
      </c>
      <c r="C1060" s="67"/>
      <c r="D1060" s="23" t="str">
        <f aca="false">IFERROR(INDEX(分录回款!$E:$E,MATCH($L1060,分录回款!$L:$L,0)),"")</f>
        <v/>
      </c>
      <c r="E1060" s="23" t="str">
        <f aca="false">IFERROR(INDEX(分录回款!$F:$F,MATCH($L1060,分录回款!$L:$L,0)),"")</f>
        <v/>
      </c>
      <c r="F1060" s="68" t="str">
        <f aca="false">IFERROR(INDEX(分录回款!$H:$H,MATCH($L1060,分录回款!$L:$L,0)),"")</f>
        <v/>
      </c>
      <c r="G1060" s="69" t="str">
        <f aca="false">IFERROR(INDEX(分录回款!$I:$I,MATCH($L1060,分录回款!$L:$L,0)),"")</f>
        <v/>
      </c>
      <c r="H1060" s="23"/>
      <c r="I1060" s="70"/>
      <c r="L1060" s="71" t="n">
        <f aca="false">IF(助手回款!$R$72="",-1,助手回款!$R$72*100+(助手回款!$S$72-1)*6+5)</f>
        <v>-1</v>
      </c>
    </row>
    <row r="1061" customFormat="false" ht="23.25" hidden="false" customHeight="true" outlineLevel="0" collapsed="false">
      <c r="B1061" s="67" t="str">
        <f aca="false">""</f>
        <v/>
      </c>
      <c r="C1061" s="67"/>
      <c r="D1061" s="23" t="str">
        <f aca="false">IFERROR(INDEX(分录回款!$E:$E,MATCH($L1061,分录回款!$L:$L,0)),"")</f>
        <v/>
      </c>
      <c r="E1061" s="23" t="str">
        <f aca="false">IFERROR(INDEX(分录回款!$F:$F,MATCH($L1061,分录回款!$L:$L,0)),"")</f>
        <v/>
      </c>
      <c r="F1061" s="68" t="str">
        <f aca="false">IFERROR(INDEX(分录回款!$H:$H,MATCH($L1061,分录回款!$L:$L,0)),"")</f>
        <v/>
      </c>
      <c r="G1061" s="69" t="str">
        <f aca="false">IFERROR(INDEX(分录回款!$I:$I,MATCH($L1061,分录回款!$L:$L,0)),"")</f>
        <v/>
      </c>
      <c r="H1061" s="23"/>
      <c r="I1061" s="70"/>
      <c r="L1061" s="71" t="n">
        <f aca="false">IF(助手回款!$R$72="",-1,助手回款!$R$72*100+(助手回款!$S$72-1)*6+6)</f>
        <v>-1</v>
      </c>
    </row>
    <row r="1062" customFormat="false" ht="23.25" hidden="false" customHeight="true" outlineLevel="0" collapsed="false">
      <c r="B1062" s="72" t="str">
        <f aca="false">IF(助手回款!$T$72=1,"合计：","")</f>
        <v/>
      </c>
      <c r="C1062" s="73" t="str">
        <f aca="false">IF(助手回款!$T$72=1,$F1062,"")</f>
        <v/>
      </c>
      <c r="D1062" s="74"/>
      <c r="E1062" s="74"/>
      <c r="F1062" s="75" t="str">
        <f aca="false">IF(助手回款!$T$72=1,INDEX(助手回款!$N$2:$N$66,助手回款!$R$72),"")</f>
        <v/>
      </c>
      <c r="G1062" s="76" t="str">
        <f aca="false">IF(助手回款!$T$72=1,INDEX(助手回款!$O$2:$O$66,助手回款!$R$72),"")</f>
        <v/>
      </c>
      <c r="H1062" s="74"/>
      <c r="I1062" s="77"/>
    </row>
    <row r="1063" customFormat="false" ht="6" hidden="false" customHeight="true" outlineLevel="0" collapsed="false"/>
    <row r="1064" customFormat="false" ht="13.5" hidden="false" customHeight="false" outlineLevel="0" collapsed="false">
      <c r="B1064" s="78" t="str">
        <f aca="false">IF(助手回款!$R$72&lt;&gt;"","会计主管：","")</f>
        <v/>
      </c>
      <c r="D1064" s="78" t="str">
        <f aca="false">IF(助手回款!$R$72&lt;&gt;"","会计：","")</f>
        <v/>
      </c>
      <c r="E1064" s="78" t="str">
        <f aca="false">IF(助手回款!$R$72&lt;&gt;"","出纳：","")</f>
        <v/>
      </c>
      <c r="F1064" s="78" t="str">
        <f aca="false">IF(助手回款!$R$72&lt;&gt;"","复核：","")</f>
        <v/>
      </c>
      <c r="G1064" s="78" t="str">
        <f aca="false">IF(助手回款!$R$72&lt;&gt;"","制单：","")</f>
        <v/>
      </c>
    </row>
    <row r="1065" customFormat="false" ht="3" hidden="false" customHeight="true" outlineLevel="0" collapsed="false"/>
    <row r="1066" customFormat="false" ht="19.5" hidden="false" customHeight="true" outlineLevel="0" collapsed="false">
      <c r="B1066" s="53" t="str">
        <f aca="false">IF(助手回款!$R$73&lt;&gt;"","记  账  凭  证","")</f>
        <v/>
      </c>
      <c r="C1066" s="53"/>
      <c r="D1066" s="53"/>
      <c r="E1066" s="53"/>
      <c r="F1066" s="53"/>
      <c r="G1066" s="53"/>
      <c r="H1066" s="53"/>
      <c r="I1066" s="53"/>
    </row>
    <row r="1067" customFormat="false" ht="3" hidden="false" customHeight="true" outlineLevel="0" collapsed="false"/>
    <row r="1068" customFormat="false" ht="15" hidden="false" customHeight="true" outlineLevel="0" collapsed="false">
      <c r="C1068" s="56" t="str">
        <f aca="false">IF(助手回款!$R$73&lt;&gt;"",INDEX(助手回款!$B$2:$B$66,助手回款!$R$73),"")</f>
        <v/>
      </c>
      <c r="D1068" s="57" t="str">
        <f aca="false">IF(助手回款!$R$73&lt;&gt;"",参数!$B$2,"")</f>
        <v/>
      </c>
      <c r="E1068" s="57"/>
      <c r="F1068" s="58" t="str">
        <f aca="false">IF(助手回款!$R$73&lt;&gt;"",INDEX(助手回款!$C$2:$C$66,助手回款!$R$73)&amp;"  字第 "&amp;IF(参数!$B$9="是",INDEX(助手回款!$P$2:$P$66,助手回款!$R$73),"　　　　")&amp;" 号"&amp;IF(INDEX(助手回款!$L$2:$L$66,助手回款!$R$73)&gt;1,"  (共"&amp;INDEX(助手回款!$L$2:$L$66,助手回款!$R$73)&amp;"页 第"&amp;助手回款!$S$73&amp;"页)",""),"")</f>
        <v/>
      </c>
      <c r="G1068" s="58"/>
      <c r="H1068" s="58"/>
      <c r="I1068" s="58"/>
      <c r="M1068" s="79" t="str">
        <f aca="false">IF(助手回款!$R$73="","",助手回款!$Q$73)</f>
        <v/>
      </c>
      <c r="N1068" s="80" t="str">
        <f aca="false">IF(助手回款!$R$73="","",INDEX(助手回款!$P$2:$P$66,助手回款!$R$73))</f>
        <v/>
      </c>
      <c r="O1068" s="55" t="str">
        <f aca="false">IF(助手回款!$R$73="","",INDEX(助手回款!$C$2:$C$66,助手回款!$R$73)&amp;"  字第 "&amp;INDEX(助手回款!$P$2:$P$66,助手回款!$R$73)&amp;" 号"&amp;IF(INDEX(助手回款!$L$2:$L$66,助手回款!$R$73)&gt;1,"  (共"&amp;INDEX(助手回款!$L$2:$L$66,助手回款!$R$73)&amp;"页 第"&amp;助手回款!$S$73&amp;"页)",""))</f>
        <v/>
      </c>
    </row>
    <row r="1069" customFormat="false" ht="12.75" hidden="false" customHeight="true" outlineLevel="0" collapsed="false">
      <c r="B1069" s="61" t="str">
        <f aca="false">IF(助手回款!$R$73&lt;&gt;"","摘　　要","")</f>
        <v/>
      </c>
      <c r="C1069" s="61"/>
      <c r="D1069" s="62" t="str">
        <f aca="false">IF(助手回款!$R$73&lt;&gt;"","科　　　　目","")</f>
        <v/>
      </c>
      <c r="E1069" s="62"/>
      <c r="F1069" s="61" t="str">
        <f aca="false">IF(助手回款!$R$73&lt;&gt;"","借 方 金 额","")</f>
        <v/>
      </c>
      <c r="G1069" s="62" t="str">
        <f aca="false">IF(助手回款!$R$73&lt;&gt;"","贷 方 金 额","")</f>
        <v/>
      </c>
      <c r="H1069" s="63" t="str">
        <f aca="false">IF(助手回款!$R$73&lt;&gt;"","√","")</f>
        <v/>
      </c>
      <c r="I1069" s="64" t="str">
        <f aca="false">IF(助手回款!$R$73&lt;&gt;"","附单据  张","")</f>
        <v/>
      </c>
    </row>
    <row r="1070" customFormat="false" ht="12.75" hidden="false" customHeight="true" outlineLevel="0" collapsed="false">
      <c r="B1070" s="61"/>
      <c r="C1070" s="61"/>
      <c r="D1070" s="23" t="str">
        <f aca="false">IF(助手回款!$R$73&lt;&gt;"","总 账 科 目","")</f>
        <v/>
      </c>
      <c r="E1070" s="23" t="str">
        <f aca="false">IF(助手回款!$R$73&lt;&gt;"","明 细 科 目","")</f>
        <v/>
      </c>
      <c r="F1070" s="65"/>
      <c r="G1070" s="66"/>
      <c r="H1070" s="63"/>
      <c r="I1070" s="64"/>
    </row>
    <row r="1071" customFormat="false" ht="23.25" hidden="false" customHeight="true" outlineLevel="0" collapsed="false">
      <c r="B1071" s="67" t="str">
        <f aca="false">IFERROR(INDEX(分录回款!$M:$M,MATCH($L1071,分录回款!$L:$L,0)),"")</f>
        <v/>
      </c>
      <c r="C1071" s="67"/>
      <c r="D1071" s="23" t="str">
        <f aca="false">IFERROR(INDEX(分录回款!$E:$E,MATCH($L1071,分录回款!$L:$L,0)),"")</f>
        <v/>
      </c>
      <c r="E1071" s="23" t="str">
        <f aca="false">IFERROR(INDEX(分录回款!$F:$F,MATCH($L1071,分录回款!$L:$L,0)),"")</f>
        <v/>
      </c>
      <c r="F1071" s="68" t="str">
        <f aca="false">IFERROR(INDEX(分录回款!$H:$H,MATCH($L1071,分录回款!$L:$L,0)),"")</f>
        <v/>
      </c>
      <c r="G1071" s="69" t="str">
        <f aca="false">IFERROR(INDEX(分录回款!$I:$I,MATCH($L1071,分录回款!$L:$L,0)),"")</f>
        <v/>
      </c>
      <c r="H1071" s="23"/>
      <c r="I1071" s="70"/>
      <c r="L1071" s="71" t="n">
        <f aca="false">IF(助手回款!$R$73="",-1,助手回款!$R$73*100+(助手回款!$S$73-1)*6+1)</f>
        <v>-1</v>
      </c>
    </row>
    <row r="1072" customFormat="false" ht="23.25" hidden="false" customHeight="true" outlineLevel="0" collapsed="false">
      <c r="B1072" s="67" t="str">
        <f aca="false">""</f>
        <v/>
      </c>
      <c r="C1072" s="67"/>
      <c r="D1072" s="23" t="str">
        <f aca="false">IFERROR(INDEX(分录回款!$E:$E,MATCH($L1072,分录回款!$L:$L,0)),"")</f>
        <v/>
      </c>
      <c r="E1072" s="23" t="str">
        <f aca="false">IFERROR(INDEX(分录回款!$F:$F,MATCH($L1072,分录回款!$L:$L,0)),"")</f>
        <v/>
      </c>
      <c r="F1072" s="68" t="str">
        <f aca="false">IFERROR(INDEX(分录回款!$H:$H,MATCH($L1072,分录回款!$L:$L,0)),"")</f>
        <v/>
      </c>
      <c r="G1072" s="69" t="str">
        <f aca="false">IFERROR(INDEX(分录回款!$I:$I,MATCH($L1072,分录回款!$L:$L,0)),"")</f>
        <v/>
      </c>
      <c r="H1072" s="23"/>
      <c r="I1072" s="70"/>
      <c r="L1072" s="71" t="n">
        <f aca="false">IF(助手回款!$R$73="",-1,助手回款!$R$73*100+(助手回款!$S$73-1)*6+2)</f>
        <v>-1</v>
      </c>
    </row>
    <row r="1073" customFormat="false" ht="23.25" hidden="false" customHeight="true" outlineLevel="0" collapsed="false">
      <c r="B1073" s="67" t="str">
        <f aca="false">""</f>
        <v/>
      </c>
      <c r="C1073" s="67"/>
      <c r="D1073" s="23" t="str">
        <f aca="false">IFERROR(INDEX(分录回款!$E:$E,MATCH($L1073,分录回款!$L:$L,0)),"")</f>
        <v/>
      </c>
      <c r="E1073" s="23" t="str">
        <f aca="false">IFERROR(INDEX(分录回款!$F:$F,MATCH($L1073,分录回款!$L:$L,0)),"")</f>
        <v/>
      </c>
      <c r="F1073" s="68" t="str">
        <f aca="false">IFERROR(INDEX(分录回款!$H:$H,MATCH($L1073,分录回款!$L:$L,0)),"")</f>
        <v/>
      </c>
      <c r="G1073" s="69" t="str">
        <f aca="false">IFERROR(INDEX(分录回款!$I:$I,MATCH($L1073,分录回款!$L:$L,0)),"")</f>
        <v/>
      </c>
      <c r="H1073" s="23"/>
      <c r="I1073" s="70"/>
      <c r="L1073" s="71" t="n">
        <f aca="false">IF(助手回款!$R$73="",-1,助手回款!$R$73*100+(助手回款!$S$73-1)*6+3)</f>
        <v>-1</v>
      </c>
    </row>
    <row r="1074" customFormat="false" ht="23.25" hidden="false" customHeight="true" outlineLevel="0" collapsed="false">
      <c r="B1074" s="67" t="str">
        <f aca="false">""</f>
        <v/>
      </c>
      <c r="C1074" s="67"/>
      <c r="D1074" s="23" t="str">
        <f aca="false">IFERROR(INDEX(分录回款!$E:$E,MATCH($L1074,分录回款!$L:$L,0)),"")</f>
        <v/>
      </c>
      <c r="E1074" s="23" t="str">
        <f aca="false">IFERROR(INDEX(分录回款!$F:$F,MATCH($L1074,分录回款!$L:$L,0)),"")</f>
        <v/>
      </c>
      <c r="F1074" s="68" t="str">
        <f aca="false">IFERROR(INDEX(分录回款!$H:$H,MATCH($L1074,分录回款!$L:$L,0)),"")</f>
        <v/>
      </c>
      <c r="G1074" s="69" t="str">
        <f aca="false">IFERROR(INDEX(分录回款!$I:$I,MATCH($L1074,分录回款!$L:$L,0)),"")</f>
        <v/>
      </c>
      <c r="H1074" s="23"/>
      <c r="I1074" s="70"/>
      <c r="L1074" s="71" t="n">
        <f aca="false">IF(助手回款!$R$73="",-1,助手回款!$R$73*100+(助手回款!$S$73-1)*6+4)</f>
        <v>-1</v>
      </c>
    </row>
    <row r="1075" customFormat="false" ht="23.25" hidden="false" customHeight="true" outlineLevel="0" collapsed="false">
      <c r="B1075" s="67" t="str">
        <f aca="false">""</f>
        <v/>
      </c>
      <c r="C1075" s="67"/>
      <c r="D1075" s="23" t="str">
        <f aca="false">IFERROR(INDEX(分录回款!$E:$E,MATCH($L1075,分录回款!$L:$L,0)),"")</f>
        <v/>
      </c>
      <c r="E1075" s="23" t="str">
        <f aca="false">IFERROR(INDEX(分录回款!$F:$F,MATCH($L1075,分录回款!$L:$L,0)),"")</f>
        <v/>
      </c>
      <c r="F1075" s="68" t="str">
        <f aca="false">IFERROR(INDEX(分录回款!$H:$H,MATCH($L1075,分录回款!$L:$L,0)),"")</f>
        <v/>
      </c>
      <c r="G1075" s="69" t="str">
        <f aca="false">IFERROR(INDEX(分录回款!$I:$I,MATCH($L1075,分录回款!$L:$L,0)),"")</f>
        <v/>
      </c>
      <c r="H1075" s="23"/>
      <c r="I1075" s="70"/>
      <c r="L1075" s="71" t="n">
        <f aca="false">IF(助手回款!$R$73="",-1,助手回款!$R$73*100+(助手回款!$S$73-1)*6+5)</f>
        <v>-1</v>
      </c>
    </row>
    <row r="1076" customFormat="false" ht="23.25" hidden="false" customHeight="true" outlineLevel="0" collapsed="false">
      <c r="B1076" s="67" t="str">
        <f aca="false">""</f>
        <v/>
      </c>
      <c r="C1076" s="67"/>
      <c r="D1076" s="23" t="str">
        <f aca="false">IFERROR(INDEX(分录回款!$E:$E,MATCH($L1076,分录回款!$L:$L,0)),"")</f>
        <v/>
      </c>
      <c r="E1076" s="23" t="str">
        <f aca="false">IFERROR(INDEX(分录回款!$F:$F,MATCH($L1076,分录回款!$L:$L,0)),"")</f>
        <v/>
      </c>
      <c r="F1076" s="68" t="str">
        <f aca="false">IFERROR(INDEX(分录回款!$H:$H,MATCH($L1076,分录回款!$L:$L,0)),"")</f>
        <v/>
      </c>
      <c r="G1076" s="69" t="str">
        <f aca="false">IFERROR(INDEX(分录回款!$I:$I,MATCH($L1076,分录回款!$L:$L,0)),"")</f>
        <v/>
      </c>
      <c r="H1076" s="23"/>
      <c r="I1076" s="70"/>
      <c r="L1076" s="71" t="n">
        <f aca="false">IF(助手回款!$R$73="",-1,助手回款!$R$73*100+(助手回款!$S$73-1)*6+6)</f>
        <v>-1</v>
      </c>
    </row>
    <row r="1077" customFormat="false" ht="23.25" hidden="false" customHeight="true" outlineLevel="0" collapsed="false">
      <c r="B1077" s="72" t="str">
        <f aca="false">IF(助手回款!$T$73=1,"合计：","")</f>
        <v/>
      </c>
      <c r="C1077" s="73" t="str">
        <f aca="false">IF(助手回款!$T$73=1,$F1077,"")</f>
        <v/>
      </c>
      <c r="D1077" s="74"/>
      <c r="E1077" s="74"/>
      <c r="F1077" s="75" t="str">
        <f aca="false">IF(助手回款!$T$73=1,INDEX(助手回款!$N$2:$N$66,助手回款!$R$73),"")</f>
        <v/>
      </c>
      <c r="G1077" s="76" t="str">
        <f aca="false">IF(助手回款!$T$73=1,INDEX(助手回款!$O$2:$O$66,助手回款!$R$73),"")</f>
        <v/>
      </c>
      <c r="H1077" s="74"/>
      <c r="I1077" s="77"/>
    </row>
    <row r="1078" customFormat="false" ht="6" hidden="false" customHeight="true" outlineLevel="0" collapsed="false"/>
    <row r="1079" customFormat="false" ht="13.5" hidden="false" customHeight="false" outlineLevel="0" collapsed="false">
      <c r="B1079" s="78" t="str">
        <f aca="false">IF(助手回款!$R$73&lt;&gt;"","会计主管：","")</f>
        <v/>
      </c>
      <c r="D1079" s="78" t="str">
        <f aca="false">IF(助手回款!$R$73&lt;&gt;"","会计：","")</f>
        <v/>
      </c>
      <c r="E1079" s="78" t="str">
        <f aca="false">IF(助手回款!$R$73&lt;&gt;"","出纳：","")</f>
        <v/>
      </c>
      <c r="F1079" s="78" t="str">
        <f aca="false">IF(助手回款!$R$73&lt;&gt;"","复核：","")</f>
        <v/>
      </c>
      <c r="G1079" s="78" t="str">
        <f aca="false">IF(助手回款!$R$73&lt;&gt;"","制单：","")</f>
        <v/>
      </c>
    </row>
    <row r="1080" customFormat="false" ht="3" hidden="false" customHeight="true" outlineLevel="0" collapsed="false"/>
    <row r="1081" customFormat="false" ht="19.5" hidden="false" customHeight="true" outlineLevel="0" collapsed="false">
      <c r="B1081" s="53" t="str">
        <f aca="false">IF(助手回款!$R$74&lt;&gt;"","记  账  凭  证","")</f>
        <v/>
      </c>
      <c r="C1081" s="53"/>
      <c r="D1081" s="53"/>
      <c r="E1081" s="53"/>
      <c r="F1081" s="53"/>
      <c r="G1081" s="53"/>
      <c r="H1081" s="53"/>
      <c r="I1081" s="53"/>
    </row>
    <row r="1082" customFormat="false" ht="3" hidden="false" customHeight="true" outlineLevel="0" collapsed="false"/>
    <row r="1083" customFormat="false" ht="15" hidden="false" customHeight="true" outlineLevel="0" collapsed="false">
      <c r="C1083" s="56" t="str">
        <f aca="false">IF(助手回款!$R$74&lt;&gt;"",INDEX(助手回款!$B$2:$B$66,助手回款!$R$74),"")</f>
        <v/>
      </c>
      <c r="D1083" s="57" t="str">
        <f aca="false">IF(助手回款!$R$74&lt;&gt;"",参数!$B$2,"")</f>
        <v/>
      </c>
      <c r="E1083" s="57"/>
      <c r="F1083" s="58" t="str">
        <f aca="false">IF(助手回款!$R$74&lt;&gt;"",INDEX(助手回款!$C$2:$C$66,助手回款!$R$74)&amp;"  字第 "&amp;IF(参数!$B$9="是",INDEX(助手回款!$P$2:$P$66,助手回款!$R$74),"　　　　")&amp;" 号"&amp;IF(INDEX(助手回款!$L$2:$L$66,助手回款!$R$74)&gt;1,"  (共"&amp;INDEX(助手回款!$L$2:$L$66,助手回款!$R$74)&amp;"页 第"&amp;助手回款!$S$74&amp;"页)",""),"")</f>
        <v/>
      </c>
      <c r="G1083" s="58"/>
      <c r="H1083" s="58"/>
      <c r="I1083" s="58"/>
      <c r="M1083" s="79" t="str">
        <f aca="false">IF(助手回款!$R$74="","",助手回款!$Q$74)</f>
        <v/>
      </c>
      <c r="N1083" s="80" t="str">
        <f aca="false">IF(助手回款!$R$74="","",INDEX(助手回款!$P$2:$P$66,助手回款!$R$74))</f>
        <v/>
      </c>
      <c r="O1083" s="55" t="str">
        <f aca="false">IF(助手回款!$R$74="","",INDEX(助手回款!$C$2:$C$66,助手回款!$R$74)&amp;"  字第 "&amp;INDEX(助手回款!$P$2:$P$66,助手回款!$R$74)&amp;" 号"&amp;IF(INDEX(助手回款!$L$2:$L$66,助手回款!$R$74)&gt;1,"  (共"&amp;INDEX(助手回款!$L$2:$L$66,助手回款!$R$74)&amp;"页 第"&amp;助手回款!$S$74&amp;"页)",""))</f>
        <v/>
      </c>
    </row>
    <row r="1084" customFormat="false" ht="12.75" hidden="false" customHeight="true" outlineLevel="0" collapsed="false">
      <c r="B1084" s="61" t="str">
        <f aca="false">IF(助手回款!$R$74&lt;&gt;"","摘　　要","")</f>
        <v/>
      </c>
      <c r="C1084" s="61"/>
      <c r="D1084" s="62" t="str">
        <f aca="false">IF(助手回款!$R$74&lt;&gt;"","科　　　　目","")</f>
        <v/>
      </c>
      <c r="E1084" s="62"/>
      <c r="F1084" s="61" t="str">
        <f aca="false">IF(助手回款!$R$74&lt;&gt;"","借 方 金 额","")</f>
        <v/>
      </c>
      <c r="G1084" s="62" t="str">
        <f aca="false">IF(助手回款!$R$74&lt;&gt;"","贷 方 金 额","")</f>
        <v/>
      </c>
      <c r="H1084" s="63" t="str">
        <f aca="false">IF(助手回款!$R$74&lt;&gt;"","√","")</f>
        <v/>
      </c>
      <c r="I1084" s="64" t="str">
        <f aca="false">IF(助手回款!$R$74&lt;&gt;"","附单据  张","")</f>
        <v/>
      </c>
    </row>
    <row r="1085" customFormat="false" ht="12.75" hidden="false" customHeight="true" outlineLevel="0" collapsed="false">
      <c r="B1085" s="61"/>
      <c r="C1085" s="61"/>
      <c r="D1085" s="23" t="str">
        <f aca="false">IF(助手回款!$R$74&lt;&gt;"","总 账 科 目","")</f>
        <v/>
      </c>
      <c r="E1085" s="23" t="str">
        <f aca="false">IF(助手回款!$R$74&lt;&gt;"","明 细 科 目","")</f>
        <v/>
      </c>
      <c r="F1085" s="65"/>
      <c r="G1085" s="66"/>
      <c r="H1085" s="63"/>
      <c r="I1085" s="64"/>
    </row>
    <row r="1086" customFormat="false" ht="23.25" hidden="false" customHeight="true" outlineLevel="0" collapsed="false">
      <c r="B1086" s="67" t="str">
        <f aca="false">IFERROR(INDEX(分录回款!$M:$M,MATCH($L1086,分录回款!$L:$L,0)),"")</f>
        <v/>
      </c>
      <c r="C1086" s="67"/>
      <c r="D1086" s="23" t="str">
        <f aca="false">IFERROR(INDEX(分录回款!$E:$E,MATCH($L1086,分录回款!$L:$L,0)),"")</f>
        <v/>
      </c>
      <c r="E1086" s="23" t="str">
        <f aca="false">IFERROR(INDEX(分录回款!$F:$F,MATCH($L1086,分录回款!$L:$L,0)),"")</f>
        <v/>
      </c>
      <c r="F1086" s="68" t="str">
        <f aca="false">IFERROR(INDEX(分录回款!$H:$H,MATCH($L1086,分录回款!$L:$L,0)),"")</f>
        <v/>
      </c>
      <c r="G1086" s="69" t="str">
        <f aca="false">IFERROR(INDEX(分录回款!$I:$I,MATCH($L1086,分录回款!$L:$L,0)),"")</f>
        <v/>
      </c>
      <c r="H1086" s="23"/>
      <c r="I1086" s="70"/>
      <c r="L1086" s="71" t="n">
        <f aca="false">IF(助手回款!$R$74="",-1,助手回款!$R$74*100+(助手回款!$S$74-1)*6+1)</f>
        <v>-1</v>
      </c>
    </row>
    <row r="1087" customFormat="false" ht="23.25" hidden="false" customHeight="true" outlineLevel="0" collapsed="false">
      <c r="B1087" s="67" t="str">
        <f aca="false">""</f>
        <v/>
      </c>
      <c r="C1087" s="67"/>
      <c r="D1087" s="23" t="str">
        <f aca="false">IFERROR(INDEX(分录回款!$E:$E,MATCH($L1087,分录回款!$L:$L,0)),"")</f>
        <v/>
      </c>
      <c r="E1087" s="23" t="str">
        <f aca="false">IFERROR(INDEX(分录回款!$F:$F,MATCH($L1087,分录回款!$L:$L,0)),"")</f>
        <v/>
      </c>
      <c r="F1087" s="68" t="str">
        <f aca="false">IFERROR(INDEX(分录回款!$H:$H,MATCH($L1087,分录回款!$L:$L,0)),"")</f>
        <v/>
      </c>
      <c r="G1087" s="69" t="str">
        <f aca="false">IFERROR(INDEX(分录回款!$I:$I,MATCH($L1087,分录回款!$L:$L,0)),"")</f>
        <v/>
      </c>
      <c r="H1087" s="23"/>
      <c r="I1087" s="70"/>
      <c r="L1087" s="71" t="n">
        <f aca="false">IF(助手回款!$R$74="",-1,助手回款!$R$74*100+(助手回款!$S$74-1)*6+2)</f>
        <v>-1</v>
      </c>
    </row>
    <row r="1088" customFormat="false" ht="23.25" hidden="false" customHeight="true" outlineLevel="0" collapsed="false">
      <c r="B1088" s="67" t="str">
        <f aca="false">""</f>
        <v/>
      </c>
      <c r="C1088" s="67"/>
      <c r="D1088" s="23" t="str">
        <f aca="false">IFERROR(INDEX(分录回款!$E:$E,MATCH($L1088,分录回款!$L:$L,0)),"")</f>
        <v/>
      </c>
      <c r="E1088" s="23" t="str">
        <f aca="false">IFERROR(INDEX(分录回款!$F:$F,MATCH($L1088,分录回款!$L:$L,0)),"")</f>
        <v/>
      </c>
      <c r="F1088" s="68" t="str">
        <f aca="false">IFERROR(INDEX(分录回款!$H:$H,MATCH($L1088,分录回款!$L:$L,0)),"")</f>
        <v/>
      </c>
      <c r="G1088" s="69" t="str">
        <f aca="false">IFERROR(INDEX(分录回款!$I:$I,MATCH($L1088,分录回款!$L:$L,0)),"")</f>
        <v/>
      </c>
      <c r="H1088" s="23"/>
      <c r="I1088" s="70"/>
      <c r="L1088" s="71" t="n">
        <f aca="false">IF(助手回款!$R$74="",-1,助手回款!$R$74*100+(助手回款!$S$74-1)*6+3)</f>
        <v>-1</v>
      </c>
    </row>
    <row r="1089" customFormat="false" ht="23.25" hidden="false" customHeight="true" outlineLevel="0" collapsed="false">
      <c r="B1089" s="67" t="str">
        <f aca="false">""</f>
        <v/>
      </c>
      <c r="C1089" s="67"/>
      <c r="D1089" s="23" t="str">
        <f aca="false">IFERROR(INDEX(分录回款!$E:$E,MATCH($L1089,分录回款!$L:$L,0)),"")</f>
        <v/>
      </c>
      <c r="E1089" s="23" t="str">
        <f aca="false">IFERROR(INDEX(分录回款!$F:$F,MATCH($L1089,分录回款!$L:$L,0)),"")</f>
        <v/>
      </c>
      <c r="F1089" s="68" t="str">
        <f aca="false">IFERROR(INDEX(分录回款!$H:$H,MATCH($L1089,分录回款!$L:$L,0)),"")</f>
        <v/>
      </c>
      <c r="G1089" s="69" t="str">
        <f aca="false">IFERROR(INDEX(分录回款!$I:$I,MATCH($L1089,分录回款!$L:$L,0)),"")</f>
        <v/>
      </c>
      <c r="H1089" s="23"/>
      <c r="I1089" s="70"/>
      <c r="L1089" s="71" t="n">
        <f aca="false">IF(助手回款!$R$74="",-1,助手回款!$R$74*100+(助手回款!$S$74-1)*6+4)</f>
        <v>-1</v>
      </c>
    </row>
    <row r="1090" customFormat="false" ht="23.25" hidden="false" customHeight="true" outlineLevel="0" collapsed="false">
      <c r="B1090" s="67" t="str">
        <f aca="false">""</f>
        <v/>
      </c>
      <c r="C1090" s="67"/>
      <c r="D1090" s="23" t="str">
        <f aca="false">IFERROR(INDEX(分录回款!$E:$E,MATCH($L1090,分录回款!$L:$L,0)),"")</f>
        <v/>
      </c>
      <c r="E1090" s="23" t="str">
        <f aca="false">IFERROR(INDEX(分录回款!$F:$F,MATCH($L1090,分录回款!$L:$L,0)),"")</f>
        <v/>
      </c>
      <c r="F1090" s="68" t="str">
        <f aca="false">IFERROR(INDEX(分录回款!$H:$H,MATCH($L1090,分录回款!$L:$L,0)),"")</f>
        <v/>
      </c>
      <c r="G1090" s="69" t="str">
        <f aca="false">IFERROR(INDEX(分录回款!$I:$I,MATCH($L1090,分录回款!$L:$L,0)),"")</f>
        <v/>
      </c>
      <c r="H1090" s="23"/>
      <c r="I1090" s="70"/>
      <c r="L1090" s="71" t="n">
        <f aca="false">IF(助手回款!$R$74="",-1,助手回款!$R$74*100+(助手回款!$S$74-1)*6+5)</f>
        <v>-1</v>
      </c>
    </row>
    <row r="1091" customFormat="false" ht="23.25" hidden="false" customHeight="true" outlineLevel="0" collapsed="false">
      <c r="B1091" s="67" t="str">
        <f aca="false">""</f>
        <v/>
      </c>
      <c r="C1091" s="67"/>
      <c r="D1091" s="23" t="str">
        <f aca="false">IFERROR(INDEX(分录回款!$E:$E,MATCH($L1091,分录回款!$L:$L,0)),"")</f>
        <v/>
      </c>
      <c r="E1091" s="23" t="str">
        <f aca="false">IFERROR(INDEX(分录回款!$F:$F,MATCH($L1091,分录回款!$L:$L,0)),"")</f>
        <v/>
      </c>
      <c r="F1091" s="68" t="str">
        <f aca="false">IFERROR(INDEX(分录回款!$H:$H,MATCH($L1091,分录回款!$L:$L,0)),"")</f>
        <v/>
      </c>
      <c r="G1091" s="69" t="str">
        <f aca="false">IFERROR(INDEX(分录回款!$I:$I,MATCH($L1091,分录回款!$L:$L,0)),"")</f>
        <v/>
      </c>
      <c r="H1091" s="23"/>
      <c r="I1091" s="70"/>
      <c r="L1091" s="71" t="n">
        <f aca="false">IF(助手回款!$R$74="",-1,助手回款!$R$74*100+(助手回款!$S$74-1)*6+6)</f>
        <v>-1</v>
      </c>
    </row>
    <row r="1092" customFormat="false" ht="23.25" hidden="false" customHeight="true" outlineLevel="0" collapsed="false">
      <c r="B1092" s="72" t="str">
        <f aca="false">IF(助手回款!$T$74=1,"合计：","")</f>
        <v/>
      </c>
      <c r="C1092" s="73" t="str">
        <f aca="false">IF(助手回款!$T$74=1,$F1092,"")</f>
        <v/>
      </c>
      <c r="D1092" s="74"/>
      <c r="E1092" s="74"/>
      <c r="F1092" s="75" t="str">
        <f aca="false">IF(助手回款!$T$74=1,INDEX(助手回款!$N$2:$N$66,助手回款!$R$74),"")</f>
        <v/>
      </c>
      <c r="G1092" s="76" t="str">
        <f aca="false">IF(助手回款!$T$74=1,INDEX(助手回款!$O$2:$O$66,助手回款!$R$74),"")</f>
        <v/>
      </c>
      <c r="H1092" s="74"/>
      <c r="I1092" s="77"/>
    </row>
    <row r="1093" customFormat="false" ht="6" hidden="false" customHeight="true" outlineLevel="0" collapsed="false"/>
    <row r="1094" customFormat="false" ht="13.5" hidden="false" customHeight="false" outlineLevel="0" collapsed="false">
      <c r="B1094" s="78" t="str">
        <f aca="false">IF(助手回款!$R$74&lt;&gt;"","会计主管：","")</f>
        <v/>
      </c>
      <c r="D1094" s="78" t="str">
        <f aca="false">IF(助手回款!$R$74&lt;&gt;"","会计：","")</f>
        <v/>
      </c>
      <c r="E1094" s="78" t="str">
        <f aca="false">IF(助手回款!$R$74&lt;&gt;"","出纳：","")</f>
        <v/>
      </c>
      <c r="F1094" s="78" t="str">
        <f aca="false">IF(助手回款!$R$74&lt;&gt;"","复核：","")</f>
        <v/>
      </c>
      <c r="G1094" s="78" t="str">
        <f aca="false">IF(助手回款!$R$74&lt;&gt;"","制单：","")</f>
        <v/>
      </c>
    </row>
    <row r="1095" customFormat="false" ht="3" hidden="false" customHeight="true" outlineLevel="0" collapsed="false"/>
    <row r="1096" customFormat="false" ht="19.5" hidden="false" customHeight="true" outlineLevel="0" collapsed="false">
      <c r="B1096" s="53" t="str">
        <f aca="false">IF(助手回款!$R$75&lt;&gt;"","记  账  凭  证","")</f>
        <v/>
      </c>
      <c r="C1096" s="53"/>
      <c r="D1096" s="53"/>
      <c r="E1096" s="53"/>
      <c r="F1096" s="53"/>
      <c r="G1096" s="53"/>
      <c r="H1096" s="53"/>
      <c r="I1096" s="53"/>
    </row>
    <row r="1097" customFormat="false" ht="3" hidden="false" customHeight="true" outlineLevel="0" collapsed="false"/>
    <row r="1098" customFormat="false" ht="15" hidden="false" customHeight="true" outlineLevel="0" collapsed="false">
      <c r="C1098" s="56" t="str">
        <f aca="false">IF(助手回款!$R$75&lt;&gt;"",INDEX(助手回款!$B$2:$B$66,助手回款!$R$75),"")</f>
        <v/>
      </c>
      <c r="D1098" s="57" t="str">
        <f aca="false">IF(助手回款!$R$75&lt;&gt;"",参数!$B$2,"")</f>
        <v/>
      </c>
      <c r="E1098" s="57"/>
      <c r="F1098" s="58" t="str">
        <f aca="false">IF(助手回款!$R$75&lt;&gt;"",INDEX(助手回款!$C$2:$C$66,助手回款!$R$75)&amp;"  字第 "&amp;IF(参数!$B$9="是",INDEX(助手回款!$P$2:$P$66,助手回款!$R$75),"　　　　")&amp;" 号"&amp;IF(INDEX(助手回款!$L$2:$L$66,助手回款!$R$75)&gt;1,"  (共"&amp;INDEX(助手回款!$L$2:$L$66,助手回款!$R$75)&amp;"页 第"&amp;助手回款!$S$75&amp;"页)",""),"")</f>
        <v/>
      </c>
      <c r="G1098" s="58"/>
      <c r="H1098" s="58"/>
      <c r="I1098" s="58"/>
      <c r="M1098" s="79" t="str">
        <f aca="false">IF(助手回款!$R$75="","",助手回款!$Q$75)</f>
        <v/>
      </c>
      <c r="N1098" s="80" t="str">
        <f aca="false">IF(助手回款!$R$75="","",INDEX(助手回款!$P$2:$P$66,助手回款!$R$75))</f>
        <v/>
      </c>
      <c r="O1098" s="55" t="str">
        <f aca="false">IF(助手回款!$R$75="","",INDEX(助手回款!$C$2:$C$66,助手回款!$R$75)&amp;"  字第 "&amp;INDEX(助手回款!$P$2:$P$66,助手回款!$R$75)&amp;" 号"&amp;IF(INDEX(助手回款!$L$2:$L$66,助手回款!$R$75)&gt;1,"  (共"&amp;INDEX(助手回款!$L$2:$L$66,助手回款!$R$75)&amp;"页 第"&amp;助手回款!$S$75&amp;"页)",""))</f>
        <v/>
      </c>
    </row>
    <row r="1099" customFormat="false" ht="12.75" hidden="false" customHeight="true" outlineLevel="0" collapsed="false">
      <c r="B1099" s="61" t="str">
        <f aca="false">IF(助手回款!$R$75&lt;&gt;"","摘　　要","")</f>
        <v/>
      </c>
      <c r="C1099" s="61"/>
      <c r="D1099" s="62" t="str">
        <f aca="false">IF(助手回款!$R$75&lt;&gt;"","科　　　　目","")</f>
        <v/>
      </c>
      <c r="E1099" s="62"/>
      <c r="F1099" s="61" t="str">
        <f aca="false">IF(助手回款!$R$75&lt;&gt;"","借 方 金 额","")</f>
        <v/>
      </c>
      <c r="G1099" s="62" t="str">
        <f aca="false">IF(助手回款!$R$75&lt;&gt;"","贷 方 金 额","")</f>
        <v/>
      </c>
      <c r="H1099" s="63" t="str">
        <f aca="false">IF(助手回款!$R$75&lt;&gt;"","√","")</f>
        <v/>
      </c>
      <c r="I1099" s="64" t="str">
        <f aca="false">IF(助手回款!$R$75&lt;&gt;"","附单据  张","")</f>
        <v/>
      </c>
    </row>
    <row r="1100" customFormat="false" ht="12.75" hidden="false" customHeight="true" outlineLevel="0" collapsed="false">
      <c r="B1100" s="61"/>
      <c r="C1100" s="61"/>
      <c r="D1100" s="23" t="str">
        <f aca="false">IF(助手回款!$R$75&lt;&gt;"","总 账 科 目","")</f>
        <v/>
      </c>
      <c r="E1100" s="23" t="str">
        <f aca="false">IF(助手回款!$R$75&lt;&gt;"","明 细 科 目","")</f>
        <v/>
      </c>
      <c r="F1100" s="65"/>
      <c r="G1100" s="66"/>
      <c r="H1100" s="63"/>
      <c r="I1100" s="64"/>
    </row>
    <row r="1101" customFormat="false" ht="23.25" hidden="false" customHeight="true" outlineLevel="0" collapsed="false">
      <c r="B1101" s="67" t="str">
        <f aca="false">IFERROR(INDEX(分录回款!$M:$M,MATCH($L1101,分录回款!$L:$L,0)),"")</f>
        <v/>
      </c>
      <c r="C1101" s="67"/>
      <c r="D1101" s="23" t="str">
        <f aca="false">IFERROR(INDEX(分录回款!$E:$E,MATCH($L1101,分录回款!$L:$L,0)),"")</f>
        <v/>
      </c>
      <c r="E1101" s="23" t="str">
        <f aca="false">IFERROR(INDEX(分录回款!$F:$F,MATCH($L1101,分录回款!$L:$L,0)),"")</f>
        <v/>
      </c>
      <c r="F1101" s="68" t="str">
        <f aca="false">IFERROR(INDEX(分录回款!$H:$H,MATCH($L1101,分录回款!$L:$L,0)),"")</f>
        <v/>
      </c>
      <c r="G1101" s="69" t="str">
        <f aca="false">IFERROR(INDEX(分录回款!$I:$I,MATCH($L1101,分录回款!$L:$L,0)),"")</f>
        <v/>
      </c>
      <c r="H1101" s="23"/>
      <c r="I1101" s="70"/>
      <c r="L1101" s="71" t="n">
        <f aca="false">IF(助手回款!$R$75="",-1,助手回款!$R$75*100+(助手回款!$S$75-1)*6+1)</f>
        <v>-1</v>
      </c>
    </row>
    <row r="1102" customFormat="false" ht="23.25" hidden="false" customHeight="true" outlineLevel="0" collapsed="false">
      <c r="B1102" s="67" t="str">
        <f aca="false">""</f>
        <v/>
      </c>
      <c r="C1102" s="67"/>
      <c r="D1102" s="23" t="str">
        <f aca="false">IFERROR(INDEX(分录回款!$E:$E,MATCH($L1102,分录回款!$L:$L,0)),"")</f>
        <v/>
      </c>
      <c r="E1102" s="23" t="str">
        <f aca="false">IFERROR(INDEX(分录回款!$F:$F,MATCH($L1102,分录回款!$L:$L,0)),"")</f>
        <v/>
      </c>
      <c r="F1102" s="68" t="str">
        <f aca="false">IFERROR(INDEX(分录回款!$H:$H,MATCH($L1102,分录回款!$L:$L,0)),"")</f>
        <v/>
      </c>
      <c r="G1102" s="69" t="str">
        <f aca="false">IFERROR(INDEX(分录回款!$I:$I,MATCH($L1102,分录回款!$L:$L,0)),"")</f>
        <v/>
      </c>
      <c r="H1102" s="23"/>
      <c r="I1102" s="70"/>
      <c r="L1102" s="71" t="n">
        <f aca="false">IF(助手回款!$R$75="",-1,助手回款!$R$75*100+(助手回款!$S$75-1)*6+2)</f>
        <v>-1</v>
      </c>
    </row>
    <row r="1103" customFormat="false" ht="23.25" hidden="false" customHeight="true" outlineLevel="0" collapsed="false">
      <c r="B1103" s="67" t="str">
        <f aca="false">""</f>
        <v/>
      </c>
      <c r="C1103" s="67"/>
      <c r="D1103" s="23" t="str">
        <f aca="false">IFERROR(INDEX(分录回款!$E:$E,MATCH($L1103,分录回款!$L:$L,0)),"")</f>
        <v/>
      </c>
      <c r="E1103" s="23" t="str">
        <f aca="false">IFERROR(INDEX(分录回款!$F:$F,MATCH($L1103,分录回款!$L:$L,0)),"")</f>
        <v/>
      </c>
      <c r="F1103" s="68" t="str">
        <f aca="false">IFERROR(INDEX(分录回款!$H:$H,MATCH($L1103,分录回款!$L:$L,0)),"")</f>
        <v/>
      </c>
      <c r="G1103" s="69" t="str">
        <f aca="false">IFERROR(INDEX(分录回款!$I:$I,MATCH($L1103,分录回款!$L:$L,0)),"")</f>
        <v/>
      </c>
      <c r="H1103" s="23"/>
      <c r="I1103" s="70"/>
      <c r="L1103" s="71" t="n">
        <f aca="false">IF(助手回款!$R$75="",-1,助手回款!$R$75*100+(助手回款!$S$75-1)*6+3)</f>
        <v>-1</v>
      </c>
    </row>
    <row r="1104" customFormat="false" ht="23.25" hidden="false" customHeight="true" outlineLevel="0" collapsed="false">
      <c r="B1104" s="67" t="str">
        <f aca="false">""</f>
        <v/>
      </c>
      <c r="C1104" s="67"/>
      <c r="D1104" s="23" t="str">
        <f aca="false">IFERROR(INDEX(分录回款!$E:$E,MATCH($L1104,分录回款!$L:$L,0)),"")</f>
        <v/>
      </c>
      <c r="E1104" s="23" t="str">
        <f aca="false">IFERROR(INDEX(分录回款!$F:$F,MATCH($L1104,分录回款!$L:$L,0)),"")</f>
        <v/>
      </c>
      <c r="F1104" s="68" t="str">
        <f aca="false">IFERROR(INDEX(分录回款!$H:$H,MATCH($L1104,分录回款!$L:$L,0)),"")</f>
        <v/>
      </c>
      <c r="G1104" s="69" t="str">
        <f aca="false">IFERROR(INDEX(分录回款!$I:$I,MATCH($L1104,分录回款!$L:$L,0)),"")</f>
        <v/>
      </c>
      <c r="H1104" s="23"/>
      <c r="I1104" s="70"/>
      <c r="L1104" s="71" t="n">
        <f aca="false">IF(助手回款!$R$75="",-1,助手回款!$R$75*100+(助手回款!$S$75-1)*6+4)</f>
        <v>-1</v>
      </c>
    </row>
    <row r="1105" customFormat="false" ht="23.25" hidden="false" customHeight="true" outlineLevel="0" collapsed="false">
      <c r="B1105" s="67" t="str">
        <f aca="false">""</f>
        <v/>
      </c>
      <c r="C1105" s="67"/>
      <c r="D1105" s="23" t="str">
        <f aca="false">IFERROR(INDEX(分录回款!$E:$E,MATCH($L1105,分录回款!$L:$L,0)),"")</f>
        <v/>
      </c>
      <c r="E1105" s="23" t="str">
        <f aca="false">IFERROR(INDEX(分录回款!$F:$F,MATCH($L1105,分录回款!$L:$L,0)),"")</f>
        <v/>
      </c>
      <c r="F1105" s="68" t="str">
        <f aca="false">IFERROR(INDEX(分录回款!$H:$H,MATCH($L1105,分录回款!$L:$L,0)),"")</f>
        <v/>
      </c>
      <c r="G1105" s="69" t="str">
        <f aca="false">IFERROR(INDEX(分录回款!$I:$I,MATCH($L1105,分录回款!$L:$L,0)),"")</f>
        <v/>
      </c>
      <c r="H1105" s="23"/>
      <c r="I1105" s="70"/>
      <c r="L1105" s="71" t="n">
        <f aca="false">IF(助手回款!$R$75="",-1,助手回款!$R$75*100+(助手回款!$S$75-1)*6+5)</f>
        <v>-1</v>
      </c>
    </row>
    <row r="1106" customFormat="false" ht="23.25" hidden="false" customHeight="true" outlineLevel="0" collapsed="false">
      <c r="B1106" s="67" t="str">
        <f aca="false">""</f>
        <v/>
      </c>
      <c r="C1106" s="67"/>
      <c r="D1106" s="23" t="str">
        <f aca="false">IFERROR(INDEX(分录回款!$E:$E,MATCH($L1106,分录回款!$L:$L,0)),"")</f>
        <v/>
      </c>
      <c r="E1106" s="23" t="str">
        <f aca="false">IFERROR(INDEX(分录回款!$F:$F,MATCH($L1106,分录回款!$L:$L,0)),"")</f>
        <v/>
      </c>
      <c r="F1106" s="68" t="str">
        <f aca="false">IFERROR(INDEX(分录回款!$H:$H,MATCH($L1106,分录回款!$L:$L,0)),"")</f>
        <v/>
      </c>
      <c r="G1106" s="69" t="str">
        <f aca="false">IFERROR(INDEX(分录回款!$I:$I,MATCH($L1106,分录回款!$L:$L,0)),"")</f>
        <v/>
      </c>
      <c r="H1106" s="23"/>
      <c r="I1106" s="70"/>
      <c r="L1106" s="71" t="n">
        <f aca="false">IF(助手回款!$R$75="",-1,助手回款!$R$75*100+(助手回款!$S$75-1)*6+6)</f>
        <v>-1</v>
      </c>
    </row>
    <row r="1107" customFormat="false" ht="23.25" hidden="false" customHeight="true" outlineLevel="0" collapsed="false">
      <c r="B1107" s="72" t="str">
        <f aca="false">IF(助手回款!$T$75=1,"合计：","")</f>
        <v/>
      </c>
      <c r="C1107" s="73" t="str">
        <f aca="false">IF(助手回款!$T$75=1,$F1107,"")</f>
        <v/>
      </c>
      <c r="D1107" s="74"/>
      <c r="E1107" s="74"/>
      <c r="F1107" s="75" t="str">
        <f aca="false">IF(助手回款!$T$75=1,INDEX(助手回款!$N$2:$N$66,助手回款!$R$75),"")</f>
        <v/>
      </c>
      <c r="G1107" s="76" t="str">
        <f aca="false">IF(助手回款!$T$75=1,INDEX(助手回款!$O$2:$O$66,助手回款!$R$75),"")</f>
        <v/>
      </c>
      <c r="H1107" s="74"/>
      <c r="I1107" s="77"/>
    </row>
    <row r="1108" customFormat="false" ht="6" hidden="false" customHeight="true" outlineLevel="0" collapsed="false"/>
    <row r="1109" customFormat="false" ht="13.5" hidden="false" customHeight="false" outlineLevel="0" collapsed="false">
      <c r="B1109" s="78" t="str">
        <f aca="false">IF(助手回款!$R$75&lt;&gt;"","会计主管：","")</f>
        <v/>
      </c>
      <c r="D1109" s="78" t="str">
        <f aca="false">IF(助手回款!$R$75&lt;&gt;"","会计：","")</f>
        <v/>
      </c>
      <c r="E1109" s="78" t="str">
        <f aca="false">IF(助手回款!$R$75&lt;&gt;"","出纳：","")</f>
        <v/>
      </c>
      <c r="F1109" s="78" t="str">
        <f aca="false">IF(助手回款!$R$75&lt;&gt;"","复核：","")</f>
        <v/>
      </c>
      <c r="G1109" s="78" t="str">
        <f aca="false">IF(助手回款!$R$75&lt;&gt;"","制单：","")</f>
        <v/>
      </c>
    </row>
    <row r="1110" customFormat="false" ht="3" hidden="false" customHeight="true" outlineLevel="0" collapsed="false"/>
    <row r="1111" customFormat="false" ht="19.5" hidden="false" customHeight="true" outlineLevel="0" collapsed="false">
      <c r="B1111" s="53" t="str">
        <f aca="false">IF(助手回款!$R$76&lt;&gt;"","记  账  凭  证","")</f>
        <v/>
      </c>
      <c r="C1111" s="53"/>
      <c r="D1111" s="53"/>
      <c r="E1111" s="53"/>
      <c r="F1111" s="53"/>
      <c r="G1111" s="53"/>
      <c r="H1111" s="53"/>
      <c r="I1111" s="53"/>
    </row>
    <row r="1112" customFormat="false" ht="3" hidden="false" customHeight="true" outlineLevel="0" collapsed="false"/>
    <row r="1113" customFormat="false" ht="15" hidden="false" customHeight="true" outlineLevel="0" collapsed="false">
      <c r="C1113" s="56" t="str">
        <f aca="false">IF(助手回款!$R$76&lt;&gt;"",INDEX(助手回款!$B$2:$B$66,助手回款!$R$76),"")</f>
        <v/>
      </c>
      <c r="D1113" s="57" t="str">
        <f aca="false">IF(助手回款!$R$76&lt;&gt;"",参数!$B$2,"")</f>
        <v/>
      </c>
      <c r="E1113" s="57"/>
      <c r="F1113" s="58" t="str">
        <f aca="false">IF(助手回款!$R$76&lt;&gt;"",INDEX(助手回款!$C$2:$C$66,助手回款!$R$76)&amp;"  字第 "&amp;IF(参数!$B$9="是",INDEX(助手回款!$P$2:$P$66,助手回款!$R$76),"　　　　")&amp;" 号"&amp;IF(INDEX(助手回款!$L$2:$L$66,助手回款!$R$76)&gt;1,"  (共"&amp;INDEX(助手回款!$L$2:$L$66,助手回款!$R$76)&amp;"页 第"&amp;助手回款!$S$76&amp;"页)",""),"")</f>
        <v/>
      </c>
      <c r="G1113" s="58"/>
      <c r="H1113" s="58"/>
      <c r="I1113" s="58"/>
      <c r="M1113" s="79" t="str">
        <f aca="false">IF(助手回款!$R$76="","",助手回款!$Q$76)</f>
        <v/>
      </c>
      <c r="N1113" s="80" t="str">
        <f aca="false">IF(助手回款!$R$76="","",INDEX(助手回款!$P$2:$P$66,助手回款!$R$76))</f>
        <v/>
      </c>
      <c r="O1113" s="55" t="str">
        <f aca="false">IF(助手回款!$R$76="","",INDEX(助手回款!$C$2:$C$66,助手回款!$R$76)&amp;"  字第 "&amp;INDEX(助手回款!$P$2:$P$66,助手回款!$R$76)&amp;" 号"&amp;IF(INDEX(助手回款!$L$2:$L$66,助手回款!$R$76)&gt;1,"  (共"&amp;INDEX(助手回款!$L$2:$L$66,助手回款!$R$76)&amp;"页 第"&amp;助手回款!$S$76&amp;"页)",""))</f>
        <v/>
      </c>
    </row>
    <row r="1114" customFormat="false" ht="12.75" hidden="false" customHeight="true" outlineLevel="0" collapsed="false">
      <c r="B1114" s="61" t="str">
        <f aca="false">IF(助手回款!$R$76&lt;&gt;"","摘　　要","")</f>
        <v/>
      </c>
      <c r="C1114" s="61"/>
      <c r="D1114" s="62" t="str">
        <f aca="false">IF(助手回款!$R$76&lt;&gt;"","科　　　　目","")</f>
        <v/>
      </c>
      <c r="E1114" s="62"/>
      <c r="F1114" s="61" t="str">
        <f aca="false">IF(助手回款!$R$76&lt;&gt;"","借 方 金 额","")</f>
        <v/>
      </c>
      <c r="G1114" s="62" t="str">
        <f aca="false">IF(助手回款!$R$76&lt;&gt;"","贷 方 金 额","")</f>
        <v/>
      </c>
      <c r="H1114" s="63" t="str">
        <f aca="false">IF(助手回款!$R$76&lt;&gt;"","√","")</f>
        <v/>
      </c>
      <c r="I1114" s="64" t="str">
        <f aca="false">IF(助手回款!$R$76&lt;&gt;"","附单据  张","")</f>
        <v/>
      </c>
    </row>
    <row r="1115" customFormat="false" ht="12.75" hidden="false" customHeight="true" outlineLevel="0" collapsed="false">
      <c r="B1115" s="61"/>
      <c r="C1115" s="61"/>
      <c r="D1115" s="23" t="str">
        <f aca="false">IF(助手回款!$R$76&lt;&gt;"","总 账 科 目","")</f>
        <v/>
      </c>
      <c r="E1115" s="23" t="str">
        <f aca="false">IF(助手回款!$R$76&lt;&gt;"","明 细 科 目","")</f>
        <v/>
      </c>
      <c r="F1115" s="65"/>
      <c r="G1115" s="66"/>
      <c r="H1115" s="63"/>
      <c r="I1115" s="64"/>
    </row>
    <row r="1116" customFormat="false" ht="23.25" hidden="false" customHeight="true" outlineLevel="0" collapsed="false">
      <c r="B1116" s="67" t="str">
        <f aca="false">IFERROR(INDEX(分录回款!$M:$M,MATCH($L1116,分录回款!$L:$L,0)),"")</f>
        <v/>
      </c>
      <c r="C1116" s="67"/>
      <c r="D1116" s="23" t="str">
        <f aca="false">IFERROR(INDEX(分录回款!$E:$E,MATCH($L1116,分录回款!$L:$L,0)),"")</f>
        <v/>
      </c>
      <c r="E1116" s="23" t="str">
        <f aca="false">IFERROR(INDEX(分录回款!$F:$F,MATCH($L1116,分录回款!$L:$L,0)),"")</f>
        <v/>
      </c>
      <c r="F1116" s="68" t="str">
        <f aca="false">IFERROR(INDEX(分录回款!$H:$H,MATCH($L1116,分录回款!$L:$L,0)),"")</f>
        <v/>
      </c>
      <c r="G1116" s="69" t="str">
        <f aca="false">IFERROR(INDEX(分录回款!$I:$I,MATCH($L1116,分录回款!$L:$L,0)),"")</f>
        <v/>
      </c>
      <c r="H1116" s="23"/>
      <c r="I1116" s="70"/>
      <c r="L1116" s="71" t="n">
        <f aca="false">IF(助手回款!$R$76="",-1,助手回款!$R$76*100+(助手回款!$S$76-1)*6+1)</f>
        <v>-1</v>
      </c>
    </row>
    <row r="1117" customFormat="false" ht="23.25" hidden="false" customHeight="true" outlineLevel="0" collapsed="false">
      <c r="B1117" s="67" t="str">
        <f aca="false">""</f>
        <v/>
      </c>
      <c r="C1117" s="67"/>
      <c r="D1117" s="23" t="str">
        <f aca="false">IFERROR(INDEX(分录回款!$E:$E,MATCH($L1117,分录回款!$L:$L,0)),"")</f>
        <v/>
      </c>
      <c r="E1117" s="23" t="str">
        <f aca="false">IFERROR(INDEX(分录回款!$F:$F,MATCH($L1117,分录回款!$L:$L,0)),"")</f>
        <v/>
      </c>
      <c r="F1117" s="68" t="str">
        <f aca="false">IFERROR(INDEX(分录回款!$H:$H,MATCH($L1117,分录回款!$L:$L,0)),"")</f>
        <v/>
      </c>
      <c r="G1117" s="69" t="str">
        <f aca="false">IFERROR(INDEX(分录回款!$I:$I,MATCH($L1117,分录回款!$L:$L,0)),"")</f>
        <v/>
      </c>
      <c r="H1117" s="23"/>
      <c r="I1117" s="70"/>
      <c r="L1117" s="71" t="n">
        <f aca="false">IF(助手回款!$R$76="",-1,助手回款!$R$76*100+(助手回款!$S$76-1)*6+2)</f>
        <v>-1</v>
      </c>
    </row>
    <row r="1118" customFormat="false" ht="23.25" hidden="false" customHeight="true" outlineLevel="0" collapsed="false">
      <c r="B1118" s="67" t="str">
        <f aca="false">""</f>
        <v/>
      </c>
      <c r="C1118" s="67"/>
      <c r="D1118" s="23" t="str">
        <f aca="false">IFERROR(INDEX(分录回款!$E:$E,MATCH($L1118,分录回款!$L:$L,0)),"")</f>
        <v/>
      </c>
      <c r="E1118" s="23" t="str">
        <f aca="false">IFERROR(INDEX(分录回款!$F:$F,MATCH($L1118,分录回款!$L:$L,0)),"")</f>
        <v/>
      </c>
      <c r="F1118" s="68" t="str">
        <f aca="false">IFERROR(INDEX(分录回款!$H:$H,MATCH($L1118,分录回款!$L:$L,0)),"")</f>
        <v/>
      </c>
      <c r="G1118" s="69" t="str">
        <f aca="false">IFERROR(INDEX(分录回款!$I:$I,MATCH($L1118,分录回款!$L:$L,0)),"")</f>
        <v/>
      </c>
      <c r="H1118" s="23"/>
      <c r="I1118" s="70"/>
      <c r="L1118" s="71" t="n">
        <f aca="false">IF(助手回款!$R$76="",-1,助手回款!$R$76*100+(助手回款!$S$76-1)*6+3)</f>
        <v>-1</v>
      </c>
    </row>
    <row r="1119" customFormat="false" ht="23.25" hidden="false" customHeight="true" outlineLevel="0" collapsed="false">
      <c r="B1119" s="67" t="str">
        <f aca="false">""</f>
        <v/>
      </c>
      <c r="C1119" s="67"/>
      <c r="D1119" s="23" t="str">
        <f aca="false">IFERROR(INDEX(分录回款!$E:$E,MATCH($L1119,分录回款!$L:$L,0)),"")</f>
        <v/>
      </c>
      <c r="E1119" s="23" t="str">
        <f aca="false">IFERROR(INDEX(分录回款!$F:$F,MATCH($L1119,分录回款!$L:$L,0)),"")</f>
        <v/>
      </c>
      <c r="F1119" s="68" t="str">
        <f aca="false">IFERROR(INDEX(分录回款!$H:$H,MATCH($L1119,分录回款!$L:$L,0)),"")</f>
        <v/>
      </c>
      <c r="G1119" s="69" t="str">
        <f aca="false">IFERROR(INDEX(分录回款!$I:$I,MATCH($L1119,分录回款!$L:$L,0)),"")</f>
        <v/>
      </c>
      <c r="H1119" s="23"/>
      <c r="I1119" s="70"/>
      <c r="L1119" s="71" t="n">
        <f aca="false">IF(助手回款!$R$76="",-1,助手回款!$R$76*100+(助手回款!$S$76-1)*6+4)</f>
        <v>-1</v>
      </c>
    </row>
    <row r="1120" customFormat="false" ht="23.25" hidden="false" customHeight="true" outlineLevel="0" collapsed="false">
      <c r="B1120" s="67" t="str">
        <f aca="false">""</f>
        <v/>
      </c>
      <c r="C1120" s="67"/>
      <c r="D1120" s="23" t="str">
        <f aca="false">IFERROR(INDEX(分录回款!$E:$E,MATCH($L1120,分录回款!$L:$L,0)),"")</f>
        <v/>
      </c>
      <c r="E1120" s="23" t="str">
        <f aca="false">IFERROR(INDEX(分录回款!$F:$F,MATCH($L1120,分录回款!$L:$L,0)),"")</f>
        <v/>
      </c>
      <c r="F1120" s="68" t="str">
        <f aca="false">IFERROR(INDEX(分录回款!$H:$H,MATCH($L1120,分录回款!$L:$L,0)),"")</f>
        <v/>
      </c>
      <c r="G1120" s="69" t="str">
        <f aca="false">IFERROR(INDEX(分录回款!$I:$I,MATCH($L1120,分录回款!$L:$L,0)),"")</f>
        <v/>
      </c>
      <c r="H1120" s="23"/>
      <c r="I1120" s="70"/>
      <c r="L1120" s="71" t="n">
        <f aca="false">IF(助手回款!$R$76="",-1,助手回款!$R$76*100+(助手回款!$S$76-1)*6+5)</f>
        <v>-1</v>
      </c>
    </row>
    <row r="1121" customFormat="false" ht="23.25" hidden="false" customHeight="true" outlineLevel="0" collapsed="false">
      <c r="B1121" s="67" t="str">
        <f aca="false">""</f>
        <v/>
      </c>
      <c r="C1121" s="67"/>
      <c r="D1121" s="23" t="str">
        <f aca="false">IFERROR(INDEX(分录回款!$E:$E,MATCH($L1121,分录回款!$L:$L,0)),"")</f>
        <v/>
      </c>
      <c r="E1121" s="23" t="str">
        <f aca="false">IFERROR(INDEX(分录回款!$F:$F,MATCH($L1121,分录回款!$L:$L,0)),"")</f>
        <v/>
      </c>
      <c r="F1121" s="68" t="str">
        <f aca="false">IFERROR(INDEX(分录回款!$H:$H,MATCH($L1121,分录回款!$L:$L,0)),"")</f>
        <v/>
      </c>
      <c r="G1121" s="69" t="str">
        <f aca="false">IFERROR(INDEX(分录回款!$I:$I,MATCH($L1121,分录回款!$L:$L,0)),"")</f>
        <v/>
      </c>
      <c r="H1121" s="23"/>
      <c r="I1121" s="70"/>
      <c r="L1121" s="71" t="n">
        <f aca="false">IF(助手回款!$R$76="",-1,助手回款!$R$76*100+(助手回款!$S$76-1)*6+6)</f>
        <v>-1</v>
      </c>
    </row>
    <row r="1122" customFormat="false" ht="23.25" hidden="false" customHeight="true" outlineLevel="0" collapsed="false">
      <c r="B1122" s="72" t="str">
        <f aca="false">IF(助手回款!$T$76=1,"合计：","")</f>
        <v/>
      </c>
      <c r="C1122" s="73" t="str">
        <f aca="false">IF(助手回款!$T$76=1,$F1122,"")</f>
        <v/>
      </c>
      <c r="D1122" s="74"/>
      <c r="E1122" s="74"/>
      <c r="F1122" s="75" t="str">
        <f aca="false">IF(助手回款!$T$76=1,INDEX(助手回款!$N$2:$N$66,助手回款!$R$76),"")</f>
        <v/>
      </c>
      <c r="G1122" s="76" t="str">
        <f aca="false">IF(助手回款!$T$76=1,INDEX(助手回款!$O$2:$O$66,助手回款!$R$76),"")</f>
        <v/>
      </c>
      <c r="H1122" s="74"/>
      <c r="I1122" s="77"/>
    </row>
    <row r="1123" customFormat="false" ht="6" hidden="false" customHeight="true" outlineLevel="0" collapsed="false"/>
    <row r="1124" customFormat="false" ht="13.5" hidden="false" customHeight="false" outlineLevel="0" collapsed="false">
      <c r="B1124" s="78" t="str">
        <f aca="false">IF(助手回款!$R$76&lt;&gt;"","会计主管：","")</f>
        <v/>
      </c>
      <c r="D1124" s="78" t="str">
        <f aca="false">IF(助手回款!$R$76&lt;&gt;"","会计：","")</f>
        <v/>
      </c>
      <c r="E1124" s="78" t="str">
        <f aca="false">IF(助手回款!$R$76&lt;&gt;"","出纳：","")</f>
        <v/>
      </c>
      <c r="F1124" s="78" t="str">
        <f aca="false">IF(助手回款!$R$76&lt;&gt;"","复核：","")</f>
        <v/>
      </c>
      <c r="G1124" s="78" t="str">
        <f aca="false">IF(助手回款!$R$76&lt;&gt;"","制单：","")</f>
        <v/>
      </c>
    </row>
    <row r="1125" customFormat="false" ht="3" hidden="false" customHeight="true" outlineLevel="0" collapsed="false"/>
    <row r="1126" customFormat="false" ht="19.5" hidden="false" customHeight="true" outlineLevel="0" collapsed="false">
      <c r="B1126" s="53" t="str">
        <f aca="false">IF(助手回款!$R$77&lt;&gt;"","记  账  凭  证","")</f>
        <v/>
      </c>
      <c r="C1126" s="53"/>
      <c r="D1126" s="53"/>
      <c r="E1126" s="53"/>
      <c r="F1126" s="53"/>
      <c r="G1126" s="53"/>
      <c r="H1126" s="53"/>
      <c r="I1126" s="53"/>
    </row>
    <row r="1127" customFormat="false" ht="3" hidden="false" customHeight="true" outlineLevel="0" collapsed="false"/>
    <row r="1128" customFormat="false" ht="15" hidden="false" customHeight="true" outlineLevel="0" collapsed="false">
      <c r="C1128" s="56" t="str">
        <f aca="false">IF(助手回款!$R$77&lt;&gt;"",INDEX(助手回款!$B$2:$B$66,助手回款!$R$77),"")</f>
        <v/>
      </c>
      <c r="D1128" s="57" t="str">
        <f aca="false">IF(助手回款!$R$77&lt;&gt;"",参数!$B$2,"")</f>
        <v/>
      </c>
      <c r="E1128" s="57"/>
      <c r="F1128" s="58" t="str">
        <f aca="false">IF(助手回款!$R$77&lt;&gt;"",INDEX(助手回款!$C$2:$C$66,助手回款!$R$77)&amp;"  字第 "&amp;IF(参数!$B$9="是",INDEX(助手回款!$P$2:$P$66,助手回款!$R$77),"　　　　")&amp;" 号"&amp;IF(INDEX(助手回款!$L$2:$L$66,助手回款!$R$77)&gt;1,"  (共"&amp;INDEX(助手回款!$L$2:$L$66,助手回款!$R$77)&amp;"页 第"&amp;助手回款!$S$77&amp;"页)",""),"")</f>
        <v/>
      </c>
      <c r="G1128" s="58"/>
      <c r="H1128" s="58"/>
      <c r="I1128" s="58"/>
      <c r="M1128" s="79" t="str">
        <f aca="false">IF(助手回款!$R$77="","",助手回款!$Q$77)</f>
        <v/>
      </c>
      <c r="N1128" s="80" t="str">
        <f aca="false">IF(助手回款!$R$77="","",INDEX(助手回款!$P$2:$P$66,助手回款!$R$77))</f>
        <v/>
      </c>
      <c r="O1128" s="55" t="str">
        <f aca="false">IF(助手回款!$R$77="","",INDEX(助手回款!$C$2:$C$66,助手回款!$R$77)&amp;"  字第 "&amp;INDEX(助手回款!$P$2:$P$66,助手回款!$R$77)&amp;" 号"&amp;IF(INDEX(助手回款!$L$2:$L$66,助手回款!$R$77)&gt;1,"  (共"&amp;INDEX(助手回款!$L$2:$L$66,助手回款!$R$77)&amp;"页 第"&amp;助手回款!$S$77&amp;"页)",""))</f>
        <v/>
      </c>
    </row>
    <row r="1129" customFormat="false" ht="12.75" hidden="false" customHeight="true" outlineLevel="0" collapsed="false">
      <c r="B1129" s="61" t="str">
        <f aca="false">IF(助手回款!$R$77&lt;&gt;"","摘　　要","")</f>
        <v/>
      </c>
      <c r="C1129" s="61"/>
      <c r="D1129" s="62" t="str">
        <f aca="false">IF(助手回款!$R$77&lt;&gt;"","科　　　　目","")</f>
        <v/>
      </c>
      <c r="E1129" s="62"/>
      <c r="F1129" s="61" t="str">
        <f aca="false">IF(助手回款!$R$77&lt;&gt;"","借 方 金 额","")</f>
        <v/>
      </c>
      <c r="G1129" s="62" t="str">
        <f aca="false">IF(助手回款!$R$77&lt;&gt;"","贷 方 金 额","")</f>
        <v/>
      </c>
      <c r="H1129" s="63" t="str">
        <f aca="false">IF(助手回款!$R$77&lt;&gt;"","√","")</f>
        <v/>
      </c>
      <c r="I1129" s="64" t="str">
        <f aca="false">IF(助手回款!$R$77&lt;&gt;"","附单据  张","")</f>
        <v/>
      </c>
    </row>
    <row r="1130" customFormat="false" ht="12.75" hidden="false" customHeight="true" outlineLevel="0" collapsed="false">
      <c r="B1130" s="61"/>
      <c r="C1130" s="61"/>
      <c r="D1130" s="23" t="str">
        <f aca="false">IF(助手回款!$R$77&lt;&gt;"","总 账 科 目","")</f>
        <v/>
      </c>
      <c r="E1130" s="23" t="str">
        <f aca="false">IF(助手回款!$R$77&lt;&gt;"","明 细 科 目","")</f>
        <v/>
      </c>
      <c r="F1130" s="65"/>
      <c r="G1130" s="66"/>
      <c r="H1130" s="63"/>
      <c r="I1130" s="64"/>
    </row>
    <row r="1131" customFormat="false" ht="23.25" hidden="false" customHeight="true" outlineLevel="0" collapsed="false">
      <c r="B1131" s="67" t="str">
        <f aca="false">IFERROR(INDEX(分录回款!$M:$M,MATCH($L1131,分录回款!$L:$L,0)),"")</f>
        <v/>
      </c>
      <c r="C1131" s="67"/>
      <c r="D1131" s="23" t="str">
        <f aca="false">IFERROR(INDEX(分录回款!$E:$E,MATCH($L1131,分录回款!$L:$L,0)),"")</f>
        <v/>
      </c>
      <c r="E1131" s="23" t="str">
        <f aca="false">IFERROR(INDEX(分录回款!$F:$F,MATCH($L1131,分录回款!$L:$L,0)),"")</f>
        <v/>
      </c>
      <c r="F1131" s="68" t="str">
        <f aca="false">IFERROR(INDEX(分录回款!$H:$H,MATCH($L1131,分录回款!$L:$L,0)),"")</f>
        <v/>
      </c>
      <c r="G1131" s="69" t="str">
        <f aca="false">IFERROR(INDEX(分录回款!$I:$I,MATCH($L1131,分录回款!$L:$L,0)),"")</f>
        <v/>
      </c>
      <c r="H1131" s="23"/>
      <c r="I1131" s="70"/>
      <c r="L1131" s="71" t="n">
        <f aca="false">IF(助手回款!$R$77="",-1,助手回款!$R$77*100+(助手回款!$S$77-1)*6+1)</f>
        <v>-1</v>
      </c>
    </row>
    <row r="1132" customFormat="false" ht="23.25" hidden="false" customHeight="true" outlineLevel="0" collapsed="false">
      <c r="B1132" s="67" t="str">
        <f aca="false">""</f>
        <v/>
      </c>
      <c r="C1132" s="67"/>
      <c r="D1132" s="23" t="str">
        <f aca="false">IFERROR(INDEX(分录回款!$E:$E,MATCH($L1132,分录回款!$L:$L,0)),"")</f>
        <v/>
      </c>
      <c r="E1132" s="23" t="str">
        <f aca="false">IFERROR(INDEX(分录回款!$F:$F,MATCH($L1132,分录回款!$L:$L,0)),"")</f>
        <v/>
      </c>
      <c r="F1132" s="68" t="str">
        <f aca="false">IFERROR(INDEX(分录回款!$H:$H,MATCH($L1132,分录回款!$L:$L,0)),"")</f>
        <v/>
      </c>
      <c r="G1132" s="69" t="str">
        <f aca="false">IFERROR(INDEX(分录回款!$I:$I,MATCH($L1132,分录回款!$L:$L,0)),"")</f>
        <v/>
      </c>
      <c r="H1132" s="23"/>
      <c r="I1132" s="70"/>
      <c r="L1132" s="71" t="n">
        <f aca="false">IF(助手回款!$R$77="",-1,助手回款!$R$77*100+(助手回款!$S$77-1)*6+2)</f>
        <v>-1</v>
      </c>
    </row>
    <row r="1133" customFormat="false" ht="23.25" hidden="false" customHeight="true" outlineLevel="0" collapsed="false">
      <c r="B1133" s="67" t="str">
        <f aca="false">""</f>
        <v/>
      </c>
      <c r="C1133" s="67"/>
      <c r="D1133" s="23" t="str">
        <f aca="false">IFERROR(INDEX(分录回款!$E:$E,MATCH($L1133,分录回款!$L:$L,0)),"")</f>
        <v/>
      </c>
      <c r="E1133" s="23" t="str">
        <f aca="false">IFERROR(INDEX(分录回款!$F:$F,MATCH($L1133,分录回款!$L:$L,0)),"")</f>
        <v/>
      </c>
      <c r="F1133" s="68" t="str">
        <f aca="false">IFERROR(INDEX(分录回款!$H:$H,MATCH($L1133,分录回款!$L:$L,0)),"")</f>
        <v/>
      </c>
      <c r="G1133" s="69" t="str">
        <f aca="false">IFERROR(INDEX(分录回款!$I:$I,MATCH($L1133,分录回款!$L:$L,0)),"")</f>
        <v/>
      </c>
      <c r="H1133" s="23"/>
      <c r="I1133" s="70"/>
      <c r="L1133" s="71" t="n">
        <f aca="false">IF(助手回款!$R$77="",-1,助手回款!$R$77*100+(助手回款!$S$77-1)*6+3)</f>
        <v>-1</v>
      </c>
    </row>
    <row r="1134" customFormat="false" ht="23.25" hidden="false" customHeight="true" outlineLevel="0" collapsed="false">
      <c r="B1134" s="67" t="str">
        <f aca="false">""</f>
        <v/>
      </c>
      <c r="C1134" s="67"/>
      <c r="D1134" s="23" t="str">
        <f aca="false">IFERROR(INDEX(分录回款!$E:$E,MATCH($L1134,分录回款!$L:$L,0)),"")</f>
        <v/>
      </c>
      <c r="E1134" s="23" t="str">
        <f aca="false">IFERROR(INDEX(分录回款!$F:$F,MATCH($L1134,分录回款!$L:$L,0)),"")</f>
        <v/>
      </c>
      <c r="F1134" s="68" t="str">
        <f aca="false">IFERROR(INDEX(分录回款!$H:$H,MATCH($L1134,分录回款!$L:$L,0)),"")</f>
        <v/>
      </c>
      <c r="G1134" s="69" t="str">
        <f aca="false">IFERROR(INDEX(分录回款!$I:$I,MATCH($L1134,分录回款!$L:$L,0)),"")</f>
        <v/>
      </c>
      <c r="H1134" s="23"/>
      <c r="I1134" s="70"/>
      <c r="L1134" s="71" t="n">
        <f aca="false">IF(助手回款!$R$77="",-1,助手回款!$R$77*100+(助手回款!$S$77-1)*6+4)</f>
        <v>-1</v>
      </c>
    </row>
    <row r="1135" customFormat="false" ht="23.25" hidden="false" customHeight="true" outlineLevel="0" collapsed="false">
      <c r="B1135" s="67" t="str">
        <f aca="false">""</f>
        <v/>
      </c>
      <c r="C1135" s="67"/>
      <c r="D1135" s="23" t="str">
        <f aca="false">IFERROR(INDEX(分录回款!$E:$E,MATCH($L1135,分录回款!$L:$L,0)),"")</f>
        <v/>
      </c>
      <c r="E1135" s="23" t="str">
        <f aca="false">IFERROR(INDEX(分录回款!$F:$F,MATCH($L1135,分录回款!$L:$L,0)),"")</f>
        <v/>
      </c>
      <c r="F1135" s="68" t="str">
        <f aca="false">IFERROR(INDEX(分录回款!$H:$H,MATCH($L1135,分录回款!$L:$L,0)),"")</f>
        <v/>
      </c>
      <c r="G1135" s="69" t="str">
        <f aca="false">IFERROR(INDEX(分录回款!$I:$I,MATCH($L1135,分录回款!$L:$L,0)),"")</f>
        <v/>
      </c>
      <c r="H1135" s="23"/>
      <c r="I1135" s="70"/>
      <c r="L1135" s="71" t="n">
        <f aca="false">IF(助手回款!$R$77="",-1,助手回款!$R$77*100+(助手回款!$S$77-1)*6+5)</f>
        <v>-1</v>
      </c>
    </row>
    <row r="1136" customFormat="false" ht="23.25" hidden="false" customHeight="true" outlineLevel="0" collapsed="false">
      <c r="B1136" s="67" t="str">
        <f aca="false">""</f>
        <v/>
      </c>
      <c r="C1136" s="67"/>
      <c r="D1136" s="23" t="str">
        <f aca="false">IFERROR(INDEX(分录回款!$E:$E,MATCH($L1136,分录回款!$L:$L,0)),"")</f>
        <v/>
      </c>
      <c r="E1136" s="23" t="str">
        <f aca="false">IFERROR(INDEX(分录回款!$F:$F,MATCH($L1136,分录回款!$L:$L,0)),"")</f>
        <v/>
      </c>
      <c r="F1136" s="68" t="str">
        <f aca="false">IFERROR(INDEX(分录回款!$H:$H,MATCH($L1136,分录回款!$L:$L,0)),"")</f>
        <v/>
      </c>
      <c r="G1136" s="69" t="str">
        <f aca="false">IFERROR(INDEX(分录回款!$I:$I,MATCH($L1136,分录回款!$L:$L,0)),"")</f>
        <v/>
      </c>
      <c r="H1136" s="23"/>
      <c r="I1136" s="70"/>
      <c r="L1136" s="71" t="n">
        <f aca="false">IF(助手回款!$R$77="",-1,助手回款!$R$77*100+(助手回款!$S$77-1)*6+6)</f>
        <v>-1</v>
      </c>
    </row>
    <row r="1137" customFormat="false" ht="23.25" hidden="false" customHeight="true" outlineLevel="0" collapsed="false">
      <c r="B1137" s="72" t="str">
        <f aca="false">IF(助手回款!$T$77=1,"合计：","")</f>
        <v/>
      </c>
      <c r="C1137" s="73" t="str">
        <f aca="false">IF(助手回款!$T$77=1,$F1137,"")</f>
        <v/>
      </c>
      <c r="D1137" s="74"/>
      <c r="E1137" s="74"/>
      <c r="F1137" s="75" t="str">
        <f aca="false">IF(助手回款!$T$77=1,INDEX(助手回款!$N$2:$N$66,助手回款!$R$77),"")</f>
        <v/>
      </c>
      <c r="G1137" s="76" t="str">
        <f aca="false">IF(助手回款!$T$77=1,INDEX(助手回款!$O$2:$O$66,助手回款!$R$77),"")</f>
        <v/>
      </c>
      <c r="H1137" s="74"/>
      <c r="I1137" s="77"/>
    </row>
    <row r="1138" customFormat="false" ht="6" hidden="false" customHeight="true" outlineLevel="0" collapsed="false"/>
    <row r="1139" customFormat="false" ht="13.5" hidden="false" customHeight="false" outlineLevel="0" collapsed="false">
      <c r="B1139" s="78" t="str">
        <f aca="false">IF(助手回款!$R$77&lt;&gt;"","会计主管：","")</f>
        <v/>
      </c>
      <c r="D1139" s="78" t="str">
        <f aca="false">IF(助手回款!$R$77&lt;&gt;"","会计：","")</f>
        <v/>
      </c>
      <c r="E1139" s="78" t="str">
        <f aca="false">IF(助手回款!$R$77&lt;&gt;"","出纳：","")</f>
        <v/>
      </c>
      <c r="F1139" s="78" t="str">
        <f aca="false">IF(助手回款!$R$77&lt;&gt;"","复核：","")</f>
        <v/>
      </c>
      <c r="G1139" s="78" t="str">
        <f aca="false">IF(助手回款!$R$77&lt;&gt;"","制单：","")</f>
        <v/>
      </c>
    </row>
    <row r="1140" customFormat="false" ht="3" hidden="false" customHeight="true" outlineLevel="0" collapsed="false"/>
    <row r="1141" customFormat="false" ht="19.5" hidden="false" customHeight="true" outlineLevel="0" collapsed="false">
      <c r="B1141" s="53" t="str">
        <f aca="false">IF(助手回款!$R$78&lt;&gt;"","记  账  凭  证","")</f>
        <v/>
      </c>
      <c r="C1141" s="53"/>
      <c r="D1141" s="53"/>
      <c r="E1141" s="53"/>
      <c r="F1141" s="53"/>
      <c r="G1141" s="53"/>
      <c r="H1141" s="53"/>
      <c r="I1141" s="53"/>
    </row>
    <row r="1142" customFormat="false" ht="3" hidden="false" customHeight="true" outlineLevel="0" collapsed="false"/>
    <row r="1143" customFormat="false" ht="15" hidden="false" customHeight="true" outlineLevel="0" collapsed="false">
      <c r="C1143" s="56" t="str">
        <f aca="false">IF(助手回款!$R$78&lt;&gt;"",INDEX(助手回款!$B$2:$B$66,助手回款!$R$78),"")</f>
        <v/>
      </c>
      <c r="D1143" s="57" t="str">
        <f aca="false">IF(助手回款!$R$78&lt;&gt;"",参数!$B$2,"")</f>
        <v/>
      </c>
      <c r="E1143" s="57"/>
      <c r="F1143" s="58" t="str">
        <f aca="false">IF(助手回款!$R$78&lt;&gt;"",INDEX(助手回款!$C$2:$C$66,助手回款!$R$78)&amp;"  字第 "&amp;IF(参数!$B$9="是",INDEX(助手回款!$P$2:$P$66,助手回款!$R$78),"　　　　")&amp;" 号"&amp;IF(INDEX(助手回款!$L$2:$L$66,助手回款!$R$78)&gt;1,"  (共"&amp;INDEX(助手回款!$L$2:$L$66,助手回款!$R$78)&amp;"页 第"&amp;助手回款!$S$78&amp;"页)",""),"")</f>
        <v/>
      </c>
      <c r="G1143" s="58"/>
      <c r="H1143" s="58"/>
      <c r="I1143" s="58"/>
      <c r="M1143" s="79" t="str">
        <f aca="false">IF(助手回款!$R$78="","",助手回款!$Q$78)</f>
        <v/>
      </c>
      <c r="N1143" s="80" t="str">
        <f aca="false">IF(助手回款!$R$78="","",INDEX(助手回款!$P$2:$P$66,助手回款!$R$78))</f>
        <v/>
      </c>
      <c r="O1143" s="55" t="str">
        <f aca="false">IF(助手回款!$R$78="","",INDEX(助手回款!$C$2:$C$66,助手回款!$R$78)&amp;"  字第 "&amp;INDEX(助手回款!$P$2:$P$66,助手回款!$R$78)&amp;" 号"&amp;IF(INDEX(助手回款!$L$2:$L$66,助手回款!$R$78)&gt;1,"  (共"&amp;INDEX(助手回款!$L$2:$L$66,助手回款!$R$78)&amp;"页 第"&amp;助手回款!$S$78&amp;"页)",""))</f>
        <v/>
      </c>
    </row>
    <row r="1144" customFormat="false" ht="12.75" hidden="false" customHeight="true" outlineLevel="0" collapsed="false">
      <c r="B1144" s="61" t="str">
        <f aca="false">IF(助手回款!$R$78&lt;&gt;"","摘　　要","")</f>
        <v/>
      </c>
      <c r="C1144" s="61"/>
      <c r="D1144" s="62" t="str">
        <f aca="false">IF(助手回款!$R$78&lt;&gt;"","科　　　　目","")</f>
        <v/>
      </c>
      <c r="E1144" s="62"/>
      <c r="F1144" s="61" t="str">
        <f aca="false">IF(助手回款!$R$78&lt;&gt;"","借 方 金 额","")</f>
        <v/>
      </c>
      <c r="G1144" s="62" t="str">
        <f aca="false">IF(助手回款!$R$78&lt;&gt;"","贷 方 金 额","")</f>
        <v/>
      </c>
      <c r="H1144" s="63" t="str">
        <f aca="false">IF(助手回款!$R$78&lt;&gt;"","√","")</f>
        <v/>
      </c>
      <c r="I1144" s="64" t="str">
        <f aca="false">IF(助手回款!$R$78&lt;&gt;"","附单据  张","")</f>
        <v/>
      </c>
    </row>
    <row r="1145" customFormat="false" ht="12.75" hidden="false" customHeight="true" outlineLevel="0" collapsed="false">
      <c r="B1145" s="61"/>
      <c r="C1145" s="61"/>
      <c r="D1145" s="23" t="str">
        <f aca="false">IF(助手回款!$R$78&lt;&gt;"","总 账 科 目","")</f>
        <v/>
      </c>
      <c r="E1145" s="23" t="str">
        <f aca="false">IF(助手回款!$R$78&lt;&gt;"","明 细 科 目","")</f>
        <v/>
      </c>
      <c r="F1145" s="65"/>
      <c r="G1145" s="66"/>
      <c r="H1145" s="63"/>
      <c r="I1145" s="64"/>
    </row>
    <row r="1146" customFormat="false" ht="23.25" hidden="false" customHeight="true" outlineLevel="0" collapsed="false">
      <c r="B1146" s="67" t="str">
        <f aca="false">IFERROR(INDEX(分录回款!$M:$M,MATCH($L1146,分录回款!$L:$L,0)),"")</f>
        <v/>
      </c>
      <c r="C1146" s="67"/>
      <c r="D1146" s="23" t="str">
        <f aca="false">IFERROR(INDEX(分录回款!$E:$E,MATCH($L1146,分录回款!$L:$L,0)),"")</f>
        <v/>
      </c>
      <c r="E1146" s="23" t="str">
        <f aca="false">IFERROR(INDEX(分录回款!$F:$F,MATCH($L1146,分录回款!$L:$L,0)),"")</f>
        <v/>
      </c>
      <c r="F1146" s="68" t="str">
        <f aca="false">IFERROR(INDEX(分录回款!$H:$H,MATCH($L1146,分录回款!$L:$L,0)),"")</f>
        <v/>
      </c>
      <c r="G1146" s="69" t="str">
        <f aca="false">IFERROR(INDEX(分录回款!$I:$I,MATCH($L1146,分录回款!$L:$L,0)),"")</f>
        <v/>
      </c>
      <c r="H1146" s="23"/>
      <c r="I1146" s="70"/>
      <c r="L1146" s="71" t="n">
        <f aca="false">IF(助手回款!$R$78="",-1,助手回款!$R$78*100+(助手回款!$S$78-1)*6+1)</f>
        <v>-1</v>
      </c>
    </row>
    <row r="1147" customFormat="false" ht="23.25" hidden="false" customHeight="true" outlineLevel="0" collapsed="false">
      <c r="B1147" s="67" t="str">
        <f aca="false">""</f>
        <v/>
      </c>
      <c r="C1147" s="67"/>
      <c r="D1147" s="23" t="str">
        <f aca="false">IFERROR(INDEX(分录回款!$E:$E,MATCH($L1147,分录回款!$L:$L,0)),"")</f>
        <v/>
      </c>
      <c r="E1147" s="23" t="str">
        <f aca="false">IFERROR(INDEX(分录回款!$F:$F,MATCH($L1147,分录回款!$L:$L,0)),"")</f>
        <v/>
      </c>
      <c r="F1147" s="68" t="str">
        <f aca="false">IFERROR(INDEX(分录回款!$H:$H,MATCH($L1147,分录回款!$L:$L,0)),"")</f>
        <v/>
      </c>
      <c r="G1147" s="69" t="str">
        <f aca="false">IFERROR(INDEX(分录回款!$I:$I,MATCH($L1147,分录回款!$L:$L,0)),"")</f>
        <v/>
      </c>
      <c r="H1147" s="23"/>
      <c r="I1147" s="70"/>
      <c r="L1147" s="71" t="n">
        <f aca="false">IF(助手回款!$R$78="",-1,助手回款!$R$78*100+(助手回款!$S$78-1)*6+2)</f>
        <v>-1</v>
      </c>
    </row>
    <row r="1148" customFormat="false" ht="23.25" hidden="false" customHeight="true" outlineLevel="0" collapsed="false">
      <c r="B1148" s="67" t="str">
        <f aca="false">""</f>
        <v/>
      </c>
      <c r="C1148" s="67"/>
      <c r="D1148" s="23" t="str">
        <f aca="false">IFERROR(INDEX(分录回款!$E:$E,MATCH($L1148,分录回款!$L:$L,0)),"")</f>
        <v/>
      </c>
      <c r="E1148" s="23" t="str">
        <f aca="false">IFERROR(INDEX(分录回款!$F:$F,MATCH($L1148,分录回款!$L:$L,0)),"")</f>
        <v/>
      </c>
      <c r="F1148" s="68" t="str">
        <f aca="false">IFERROR(INDEX(分录回款!$H:$H,MATCH($L1148,分录回款!$L:$L,0)),"")</f>
        <v/>
      </c>
      <c r="G1148" s="69" t="str">
        <f aca="false">IFERROR(INDEX(分录回款!$I:$I,MATCH($L1148,分录回款!$L:$L,0)),"")</f>
        <v/>
      </c>
      <c r="H1148" s="23"/>
      <c r="I1148" s="70"/>
      <c r="L1148" s="71" t="n">
        <f aca="false">IF(助手回款!$R$78="",-1,助手回款!$R$78*100+(助手回款!$S$78-1)*6+3)</f>
        <v>-1</v>
      </c>
    </row>
    <row r="1149" customFormat="false" ht="23.25" hidden="false" customHeight="true" outlineLevel="0" collapsed="false">
      <c r="B1149" s="67" t="str">
        <f aca="false">""</f>
        <v/>
      </c>
      <c r="C1149" s="67"/>
      <c r="D1149" s="23" t="str">
        <f aca="false">IFERROR(INDEX(分录回款!$E:$E,MATCH($L1149,分录回款!$L:$L,0)),"")</f>
        <v/>
      </c>
      <c r="E1149" s="23" t="str">
        <f aca="false">IFERROR(INDEX(分录回款!$F:$F,MATCH($L1149,分录回款!$L:$L,0)),"")</f>
        <v/>
      </c>
      <c r="F1149" s="68" t="str">
        <f aca="false">IFERROR(INDEX(分录回款!$H:$H,MATCH($L1149,分录回款!$L:$L,0)),"")</f>
        <v/>
      </c>
      <c r="G1149" s="69" t="str">
        <f aca="false">IFERROR(INDEX(分录回款!$I:$I,MATCH($L1149,分录回款!$L:$L,0)),"")</f>
        <v/>
      </c>
      <c r="H1149" s="23"/>
      <c r="I1149" s="70"/>
      <c r="L1149" s="71" t="n">
        <f aca="false">IF(助手回款!$R$78="",-1,助手回款!$R$78*100+(助手回款!$S$78-1)*6+4)</f>
        <v>-1</v>
      </c>
    </row>
    <row r="1150" customFormat="false" ht="23.25" hidden="false" customHeight="true" outlineLevel="0" collapsed="false">
      <c r="B1150" s="67" t="str">
        <f aca="false">""</f>
        <v/>
      </c>
      <c r="C1150" s="67"/>
      <c r="D1150" s="23" t="str">
        <f aca="false">IFERROR(INDEX(分录回款!$E:$E,MATCH($L1150,分录回款!$L:$L,0)),"")</f>
        <v/>
      </c>
      <c r="E1150" s="23" t="str">
        <f aca="false">IFERROR(INDEX(分录回款!$F:$F,MATCH($L1150,分录回款!$L:$L,0)),"")</f>
        <v/>
      </c>
      <c r="F1150" s="68" t="str">
        <f aca="false">IFERROR(INDEX(分录回款!$H:$H,MATCH($L1150,分录回款!$L:$L,0)),"")</f>
        <v/>
      </c>
      <c r="G1150" s="69" t="str">
        <f aca="false">IFERROR(INDEX(分录回款!$I:$I,MATCH($L1150,分录回款!$L:$L,0)),"")</f>
        <v/>
      </c>
      <c r="H1150" s="23"/>
      <c r="I1150" s="70"/>
      <c r="L1150" s="71" t="n">
        <f aca="false">IF(助手回款!$R$78="",-1,助手回款!$R$78*100+(助手回款!$S$78-1)*6+5)</f>
        <v>-1</v>
      </c>
    </row>
    <row r="1151" customFormat="false" ht="23.25" hidden="false" customHeight="true" outlineLevel="0" collapsed="false">
      <c r="B1151" s="67" t="str">
        <f aca="false">""</f>
        <v/>
      </c>
      <c r="C1151" s="67"/>
      <c r="D1151" s="23" t="str">
        <f aca="false">IFERROR(INDEX(分录回款!$E:$E,MATCH($L1151,分录回款!$L:$L,0)),"")</f>
        <v/>
      </c>
      <c r="E1151" s="23" t="str">
        <f aca="false">IFERROR(INDEX(分录回款!$F:$F,MATCH($L1151,分录回款!$L:$L,0)),"")</f>
        <v/>
      </c>
      <c r="F1151" s="68" t="str">
        <f aca="false">IFERROR(INDEX(分录回款!$H:$H,MATCH($L1151,分录回款!$L:$L,0)),"")</f>
        <v/>
      </c>
      <c r="G1151" s="69" t="str">
        <f aca="false">IFERROR(INDEX(分录回款!$I:$I,MATCH($L1151,分录回款!$L:$L,0)),"")</f>
        <v/>
      </c>
      <c r="H1151" s="23"/>
      <c r="I1151" s="70"/>
      <c r="L1151" s="71" t="n">
        <f aca="false">IF(助手回款!$R$78="",-1,助手回款!$R$78*100+(助手回款!$S$78-1)*6+6)</f>
        <v>-1</v>
      </c>
    </row>
    <row r="1152" customFormat="false" ht="23.25" hidden="false" customHeight="true" outlineLevel="0" collapsed="false">
      <c r="B1152" s="72" t="str">
        <f aca="false">IF(助手回款!$T$78=1,"合计：","")</f>
        <v/>
      </c>
      <c r="C1152" s="73" t="str">
        <f aca="false">IF(助手回款!$T$78=1,$F1152,"")</f>
        <v/>
      </c>
      <c r="D1152" s="74"/>
      <c r="E1152" s="74"/>
      <c r="F1152" s="75" t="str">
        <f aca="false">IF(助手回款!$T$78=1,INDEX(助手回款!$N$2:$N$66,助手回款!$R$78),"")</f>
        <v/>
      </c>
      <c r="G1152" s="76" t="str">
        <f aca="false">IF(助手回款!$T$78=1,INDEX(助手回款!$O$2:$O$66,助手回款!$R$78),"")</f>
        <v/>
      </c>
      <c r="H1152" s="74"/>
      <c r="I1152" s="77"/>
    </row>
    <row r="1153" customFormat="false" ht="6" hidden="false" customHeight="true" outlineLevel="0" collapsed="false"/>
    <row r="1154" customFormat="false" ht="13.5" hidden="false" customHeight="false" outlineLevel="0" collapsed="false">
      <c r="B1154" s="78" t="str">
        <f aca="false">IF(助手回款!$R$78&lt;&gt;"","会计主管：","")</f>
        <v/>
      </c>
      <c r="D1154" s="78" t="str">
        <f aca="false">IF(助手回款!$R$78&lt;&gt;"","会计：","")</f>
        <v/>
      </c>
      <c r="E1154" s="78" t="str">
        <f aca="false">IF(助手回款!$R$78&lt;&gt;"","出纳：","")</f>
        <v/>
      </c>
      <c r="F1154" s="78" t="str">
        <f aca="false">IF(助手回款!$R$78&lt;&gt;"","复核：","")</f>
        <v/>
      </c>
      <c r="G1154" s="78" t="str">
        <f aca="false">IF(助手回款!$R$78&lt;&gt;"","制单：","")</f>
        <v/>
      </c>
    </row>
    <row r="1155" customFormat="false" ht="3" hidden="false" customHeight="true" outlineLevel="0" collapsed="false"/>
    <row r="1156" customFormat="false" ht="19.5" hidden="false" customHeight="true" outlineLevel="0" collapsed="false">
      <c r="B1156" s="53" t="str">
        <f aca="false">IF(助手回款!$R$79&lt;&gt;"","记  账  凭  证","")</f>
        <v/>
      </c>
      <c r="C1156" s="53"/>
      <c r="D1156" s="53"/>
      <c r="E1156" s="53"/>
      <c r="F1156" s="53"/>
      <c r="G1156" s="53"/>
      <c r="H1156" s="53"/>
      <c r="I1156" s="53"/>
    </row>
    <row r="1157" customFormat="false" ht="3" hidden="false" customHeight="true" outlineLevel="0" collapsed="false"/>
    <row r="1158" customFormat="false" ht="15" hidden="false" customHeight="true" outlineLevel="0" collapsed="false">
      <c r="C1158" s="56" t="str">
        <f aca="false">IF(助手回款!$R$79&lt;&gt;"",INDEX(助手回款!$B$2:$B$66,助手回款!$R$79),"")</f>
        <v/>
      </c>
      <c r="D1158" s="57" t="str">
        <f aca="false">IF(助手回款!$R$79&lt;&gt;"",参数!$B$2,"")</f>
        <v/>
      </c>
      <c r="E1158" s="57"/>
      <c r="F1158" s="58" t="str">
        <f aca="false">IF(助手回款!$R$79&lt;&gt;"",INDEX(助手回款!$C$2:$C$66,助手回款!$R$79)&amp;"  字第 "&amp;IF(参数!$B$9="是",INDEX(助手回款!$P$2:$P$66,助手回款!$R$79),"　　　　")&amp;" 号"&amp;IF(INDEX(助手回款!$L$2:$L$66,助手回款!$R$79)&gt;1,"  (共"&amp;INDEX(助手回款!$L$2:$L$66,助手回款!$R$79)&amp;"页 第"&amp;助手回款!$S$79&amp;"页)",""),"")</f>
        <v/>
      </c>
      <c r="G1158" s="58"/>
      <c r="H1158" s="58"/>
      <c r="I1158" s="58"/>
      <c r="M1158" s="79" t="str">
        <f aca="false">IF(助手回款!$R$79="","",助手回款!$Q$79)</f>
        <v/>
      </c>
      <c r="N1158" s="80" t="str">
        <f aca="false">IF(助手回款!$R$79="","",INDEX(助手回款!$P$2:$P$66,助手回款!$R$79))</f>
        <v/>
      </c>
      <c r="O1158" s="55" t="str">
        <f aca="false">IF(助手回款!$R$79="","",INDEX(助手回款!$C$2:$C$66,助手回款!$R$79)&amp;"  字第 "&amp;INDEX(助手回款!$P$2:$P$66,助手回款!$R$79)&amp;" 号"&amp;IF(INDEX(助手回款!$L$2:$L$66,助手回款!$R$79)&gt;1,"  (共"&amp;INDEX(助手回款!$L$2:$L$66,助手回款!$R$79)&amp;"页 第"&amp;助手回款!$S$79&amp;"页)",""))</f>
        <v/>
      </c>
    </row>
    <row r="1159" customFormat="false" ht="12.75" hidden="false" customHeight="true" outlineLevel="0" collapsed="false">
      <c r="B1159" s="61" t="str">
        <f aca="false">IF(助手回款!$R$79&lt;&gt;"","摘　　要","")</f>
        <v/>
      </c>
      <c r="C1159" s="61"/>
      <c r="D1159" s="62" t="str">
        <f aca="false">IF(助手回款!$R$79&lt;&gt;"","科　　　　目","")</f>
        <v/>
      </c>
      <c r="E1159" s="62"/>
      <c r="F1159" s="61" t="str">
        <f aca="false">IF(助手回款!$R$79&lt;&gt;"","借 方 金 额","")</f>
        <v/>
      </c>
      <c r="G1159" s="62" t="str">
        <f aca="false">IF(助手回款!$R$79&lt;&gt;"","贷 方 金 额","")</f>
        <v/>
      </c>
      <c r="H1159" s="63" t="str">
        <f aca="false">IF(助手回款!$R$79&lt;&gt;"","√","")</f>
        <v/>
      </c>
      <c r="I1159" s="64" t="str">
        <f aca="false">IF(助手回款!$R$79&lt;&gt;"","附单据  张","")</f>
        <v/>
      </c>
    </row>
    <row r="1160" customFormat="false" ht="12.75" hidden="false" customHeight="true" outlineLevel="0" collapsed="false">
      <c r="B1160" s="61"/>
      <c r="C1160" s="61"/>
      <c r="D1160" s="23" t="str">
        <f aca="false">IF(助手回款!$R$79&lt;&gt;"","总 账 科 目","")</f>
        <v/>
      </c>
      <c r="E1160" s="23" t="str">
        <f aca="false">IF(助手回款!$R$79&lt;&gt;"","明 细 科 目","")</f>
        <v/>
      </c>
      <c r="F1160" s="65"/>
      <c r="G1160" s="66"/>
      <c r="H1160" s="63"/>
      <c r="I1160" s="64"/>
    </row>
    <row r="1161" customFormat="false" ht="23.25" hidden="false" customHeight="true" outlineLevel="0" collapsed="false">
      <c r="B1161" s="67" t="str">
        <f aca="false">IFERROR(INDEX(分录回款!$M:$M,MATCH($L1161,分录回款!$L:$L,0)),"")</f>
        <v/>
      </c>
      <c r="C1161" s="67"/>
      <c r="D1161" s="23" t="str">
        <f aca="false">IFERROR(INDEX(分录回款!$E:$E,MATCH($L1161,分录回款!$L:$L,0)),"")</f>
        <v/>
      </c>
      <c r="E1161" s="23" t="str">
        <f aca="false">IFERROR(INDEX(分录回款!$F:$F,MATCH($L1161,分录回款!$L:$L,0)),"")</f>
        <v/>
      </c>
      <c r="F1161" s="68" t="str">
        <f aca="false">IFERROR(INDEX(分录回款!$H:$H,MATCH($L1161,分录回款!$L:$L,0)),"")</f>
        <v/>
      </c>
      <c r="G1161" s="69" t="str">
        <f aca="false">IFERROR(INDEX(分录回款!$I:$I,MATCH($L1161,分录回款!$L:$L,0)),"")</f>
        <v/>
      </c>
      <c r="H1161" s="23"/>
      <c r="I1161" s="70"/>
      <c r="L1161" s="71" t="n">
        <f aca="false">IF(助手回款!$R$79="",-1,助手回款!$R$79*100+(助手回款!$S$79-1)*6+1)</f>
        <v>-1</v>
      </c>
    </row>
    <row r="1162" customFormat="false" ht="23.25" hidden="false" customHeight="true" outlineLevel="0" collapsed="false">
      <c r="B1162" s="67" t="str">
        <f aca="false">""</f>
        <v/>
      </c>
      <c r="C1162" s="67"/>
      <c r="D1162" s="23" t="str">
        <f aca="false">IFERROR(INDEX(分录回款!$E:$E,MATCH($L1162,分录回款!$L:$L,0)),"")</f>
        <v/>
      </c>
      <c r="E1162" s="23" t="str">
        <f aca="false">IFERROR(INDEX(分录回款!$F:$F,MATCH($L1162,分录回款!$L:$L,0)),"")</f>
        <v/>
      </c>
      <c r="F1162" s="68" t="str">
        <f aca="false">IFERROR(INDEX(分录回款!$H:$H,MATCH($L1162,分录回款!$L:$L,0)),"")</f>
        <v/>
      </c>
      <c r="G1162" s="69" t="str">
        <f aca="false">IFERROR(INDEX(分录回款!$I:$I,MATCH($L1162,分录回款!$L:$L,0)),"")</f>
        <v/>
      </c>
      <c r="H1162" s="23"/>
      <c r="I1162" s="70"/>
      <c r="L1162" s="71" t="n">
        <f aca="false">IF(助手回款!$R$79="",-1,助手回款!$R$79*100+(助手回款!$S$79-1)*6+2)</f>
        <v>-1</v>
      </c>
    </row>
    <row r="1163" customFormat="false" ht="23.25" hidden="false" customHeight="true" outlineLevel="0" collapsed="false">
      <c r="B1163" s="67" t="str">
        <f aca="false">""</f>
        <v/>
      </c>
      <c r="C1163" s="67"/>
      <c r="D1163" s="23" t="str">
        <f aca="false">IFERROR(INDEX(分录回款!$E:$E,MATCH($L1163,分录回款!$L:$L,0)),"")</f>
        <v/>
      </c>
      <c r="E1163" s="23" t="str">
        <f aca="false">IFERROR(INDEX(分录回款!$F:$F,MATCH($L1163,分录回款!$L:$L,0)),"")</f>
        <v/>
      </c>
      <c r="F1163" s="68" t="str">
        <f aca="false">IFERROR(INDEX(分录回款!$H:$H,MATCH($L1163,分录回款!$L:$L,0)),"")</f>
        <v/>
      </c>
      <c r="G1163" s="69" t="str">
        <f aca="false">IFERROR(INDEX(分录回款!$I:$I,MATCH($L1163,分录回款!$L:$L,0)),"")</f>
        <v/>
      </c>
      <c r="H1163" s="23"/>
      <c r="I1163" s="70"/>
      <c r="L1163" s="71" t="n">
        <f aca="false">IF(助手回款!$R$79="",-1,助手回款!$R$79*100+(助手回款!$S$79-1)*6+3)</f>
        <v>-1</v>
      </c>
    </row>
    <row r="1164" customFormat="false" ht="23.25" hidden="false" customHeight="true" outlineLevel="0" collapsed="false">
      <c r="B1164" s="67" t="str">
        <f aca="false">""</f>
        <v/>
      </c>
      <c r="C1164" s="67"/>
      <c r="D1164" s="23" t="str">
        <f aca="false">IFERROR(INDEX(分录回款!$E:$E,MATCH($L1164,分录回款!$L:$L,0)),"")</f>
        <v/>
      </c>
      <c r="E1164" s="23" t="str">
        <f aca="false">IFERROR(INDEX(分录回款!$F:$F,MATCH($L1164,分录回款!$L:$L,0)),"")</f>
        <v/>
      </c>
      <c r="F1164" s="68" t="str">
        <f aca="false">IFERROR(INDEX(分录回款!$H:$H,MATCH($L1164,分录回款!$L:$L,0)),"")</f>
        <v/>
      </c>
      <c r="G1164" s="69" t="str">
        <f aca="false">IFERROR(INDEX(分录回款!$I:$I,MATCH($L1164,分录回款!$L:$L,0)),"")</f>
        <v/>
      </c>
      <c r="H1164" s="23"/>
      <c r="I1164" s="70"/>
      <c r="L1164" s="71" t="n">
        <f aca="false">IF(助手回款!$R$79="",-1,助手回款!$R$79*100+(助手回款!$S$79-1)*6+4)</f>
        <v>-1</v>
      </c>
    </row>
    <row r="1165" customFormat="false" ht="23.25" hidden="false" customHeight="true" outlineLevel="0" collapsed="false">
      <c r="B1165" s="67" t="str">
        <f aca="false">""</f>
        <v/>
      </c>
      <c r="C1165" s="67"/>
      <c r="D1165" s="23" t="str">
        <f aca="false">IFERROR(INDEX(分录回款!$E:$E,MATCH($L1165,分录回款!$L:$L,0)),"")</f>
        <v/>
      </c>
      <c r="E1165" s="23" t="str">
        <f aca="false">IFERROR(INDEX(分录回款!$F:$F,MATCH($L1165,分录回款!$L:$L,0)),"")</f>
        <v/>
      </c>
      <c r="F1165" s="68" t="str">
        <f aca="false">IFERROR(INDEX(分录回款!$H:$H,MATCH($L1165,分录回款!$L:$L,0)),"")</f>
        <v/>
      </c>
      <c r="G1165" s="69" t="str">
        <f aca="false">IFERROR(INDEX(分录回款!$I:$I,MATCH($L1165,分录回款!$L:$L,0)),"")</f>
        <v/>
      </c>
      <c r="H1165" s="23"/>
      <c r="I1165" s="70"/>
      <c r="L1165" s="71" t="n">
        <f aca="false">IF(助手回款!$R$79="",-1,助手回款!$R$79*100+(助手回款!$S$79-1)*6+5)</f>
        <v>-1</v>
      </c>
    </row>
    <row r="1166" customFormat="false" ht="23.25" hidden="false" customHeight="true" outlineLevel="0" collapsed="false">
      <c r="B1166" s="67" t="str">
        <f aca="false">""</f>
        <v/>
      </c>
      <c r="C1166" s="67"/>
      <c r="D1166" s="23" t="str">
        <f aca="false">IFERROR(INDEX(分录回款!$E:$E,MATCH($L1166,分录回款!$L:$L,0)),"")</f>
        <v/>
      </c>
      <c r="E1166" s="23" t="str">
        <f aca="false">IFERROR(INDEX(分录回款!$F:$F,MATCH($L1166,分录回款!$L:$L,0)),"")</f>
        <v/>
      </c>
      <c r="F1166" s="68" t="str">
        <f aca="false">IFERROR(INDEX(分录回款!$H:$H,MATCH($L1166,分录回款!$L:$L,0)),"")</f>
        <v/>
      </c>
      <c r="G1166" s="69" t="str">
        <f aca="false">IFERROR(INDEX(分录回款!$I:$I,MATCH($L1166,分录回款!$L:$L,0)),"")</f>
        <v/>
      </c>
      <c r="H1166" s="23"/>
      <c r="I1166" s="70"/>
      <c r="L1166" s="71" t="n">
        <f aca="false">IF(助手回款!$R$79="",-1,助手回款!$R$79*100+(助手回款!$S$79-1)*6+6)</f>
        <v>-1</v>
      </c>
    </row>
    <row r="1167" customFormat="false" ht="23.25" hidden="false" customHeight="true" outlineLevel="0" collapsed="false">
      <c r="B1167" s="72" t="str">
        <f aca="false">IF(助手回款!$T$79=1,"合计：","")</f>
        <v/>
      </c>
      <c r="C1167" s="73" t="str">
        <f aca="false">IF(助手回款!$T$79=1,$F1167,"")</f>
        <v/>
      </c>
      <c r="D1167" s="74"/>
      <c r="E1167" s="74"/>
      <c r="F1167" s="75" t="str">
        <f aca="false">IF(助手回款!$T$79=1,INDEX(助手回款!$N$2:$N$66,助手回款!$R$79),"")</f>
        <v/>
      </c>
      <c r="G1167" s="76" t="str">
        <f aca="false">IF(助手回款!$T$79=1,INDEX(助手回款!$O$2:$O$66,助手回款!$R$79),"")</f>
        <v/>
      </c>
      <c r="H1167" s="74"/>
      <c r="I1167" s="77"/>
    </row>
    <row r="1168" customFormat="false" ht="6" hidden="false" customHeight="true" outlineLevel="0" collapsed="false"/>
    <row r="1169" customFormat="false" ht="13.5" hidden="false" customHeight="false" outlineLevel="0" collapsed="false">
      <c r="B1169" s="78" t="str">
        <f aca="false">IF(助手回款!$R$79&lt;&gt;"","会计主管：","")</f>
        <v/>
      </c>
      <c r="D1169" s="78" t="str">
        <f aca="false">IF(助手回款!$R$79&lt;&gt;"","会计：","")</f>
        <v/>
      </c>
      <c r="E1169" s="78" t="str">
        <f aca="false">IF(助手回款!$R$79&lt;&gt;"","出纳：","")</f>
        <v/>
      </c>
      <c r="F1169" s="78" t="str">
        <f aca="false">IF(助手回款!$R$79&lt;&gt;"","复核：","")</f>
        <v/>
      </c>
      <c r="G1169" s="78" t="str">
        <f aca="false">IF(助手回款!$R$79&lt;&gt;"","制单：","")</f>
        <v/>
      </c>
    </row>
    <row r="1170" customFormat="false" ht="3" hidden="false" customHeight="true" outlineLevel="0" collapsed="false"/>
    <row r="1171" customFormat="false" ht="19.5" hidden="false" customHeight="true" outlineLevel="0" collapsed="false">
      <c r="B1171" s="53" t="str">
        <f aca="false">IF(助手回款!$R$80&lt;&gt;"","记  账  凭  证","")</f>
        <v/>
      </c>
      <c r="C1171" s="53"/>
      <c r="D1171" s="53"/>
      <c r="E1171" s="53"/>
      <c r="F1171" s="53"/>
      <c r="G1171" s="53"/>
      <c r="H1171" s="53"/>
      <c r="I1171" s="53"/>
    </row>
    <row r="1172" customFormat="false" ht="3" hidden="false" customHeight="true" outlineLevel="0" collapsed="false"/>
    <row r="1173" customFormat="false" ht="15" hidden="false" customHeight="true" outlineLevel="0" collapsed="false">
      <c r="C1173" s="56" t="str">
        <f aca="false">IF(助手回款!$R$80&lt;&gt;"",INDEX(助手回款!$B$2:$B$66,助手回款!$R$80),"")</f>
        <v/>
      </c>
      <c r="D1173" s="57" t="str">
        <f aca="false">IF(助手回款!$R$80&lt;&gt;"",参数!$B$2,"")</f>
        <v/>
      </c>
      <c r="E1173" s="57"/>
      <c r="F1173" s="58" t="str">
        <f aca="false">IF(助手回款!$R$80&lt;&gt;"",INDEX(助手回款!$C$2:$C$66,助手回款!$R$80)&amp;"  字第 "&amp;IF(参数!$B$9="是",INDEX(助手回款!$P$2:$P$66,助手回款!$R$80),"　　　　")&amp;" 号"&amp;IF(INDEX(助手回款!$L$2:$L$66,助手回款!$R$80)&gt;1,"  (共"&amp;INDEX(助手回款!$L$2:$L$66,助手回款!$R$80)&amp;"页 第"&amp;助手回款!$S$80&amp;"页)",""),"")</f>
        <v/>
      </c>
      <c r="G1173" s="58"/>
      <c r="H1173" s="58"/>
      <c r="I1173" s="58"/>
      <c r="M1173" s="79" t="str">
        <f aca="false">IF(助手回款!$R$80="","",助手回款!$Q$80)</f>
        <v/>
      </c>
      <c r="N1173" s="80" t="str">
        <f aca="false">IF(助手回款!$R$80="","",INDEX(助手回款!$P$2:$P$66,助手回款!$R$80))</f>
        <v/>
      </c>
      <c r="O1173" s="55" t="str">
        <f aca="false">IF(助手回款!$R$80="","",INDEX(助手回款!$C$2:$C$66,助手回款!$R$80)&amp;"  字第 "&amp;INDEX(助手回款!$P$2:$P$66,助手回款!$R$80)&amp;" 号"&amp;IF(INDEX(助手回款!$L$2:$L$66,助手回款!$R$80)&gt;1,"  (共"&amp;INDEX(助手回款!$L$2:$L$66,助手回款!$R$80)&amp;"页 第"&amp;助手回款!$S$80&amp;"页)",""))</f>
        <v/>
      </c>
    </row>
    <row r="1174" customFormat="false" ht="12.75" hidden="false" customHeight="true" outlineLevel="0" collapsed="false">
      <c r="B1174" s="61" t="str">
        <f aca="false">IF(助手回款!$R$80&lt;&gt;"","摘　　要","")</f>
        <v/>
      </c>
      <c r="C1174" s="61"/>
      <c r="D1174" s="62" t="str">
        <f aca="false">IF(助手回款!$R$80&lt;&gt;"","科　　　　目","")</f>
        <v/>
      </c>
      <c r="E1174" s="62"/>
      <c r="F1174" s="61" t="str">
        <f aca="false">IF(助手回款!$R$80&lt;&gt;"","借 方 金 额","")</f>
        <v/>
      </c>
      <c r="G1174" s="62" t="str">
        <f aca="false">IF(助手回款!$R$80&lt;&gt;"","贷 方 金 额","")</f>
        <v/>
      </c>
      <c r="H1174" s="63" t="str">
        <f aca="false">IF(助手回款!$R$80&lt;&gt;"","√","")</f>
        <v/>
      </c>
      <c r="I1174" s="64" t="str">
        <f aca="false">IF(助手回款!$R$80&lt;&gt;"","附单据  张","")</f>
        <v/>
      </c>
    </row>
    <row r="1175" customFormat="false" ht="12.75" hidden="false" customHeight="true" outlineLevel="0" collapsed="false">
      <c r="B1175" s="61"/>
      <c r="C1175" s="61"/>
      <c r="D1175" s="23" t="str">
        <f aca="false">IF(助手回款!$R$80&lt;&gt;"","总 账 科 目","")</f>
        <v/>
      </c>
      <c r="E1175" s="23" t="str">
        <f aca="false">IF(助手回款!$R$80&lt;&gt;"","明 细 科 目","")</f>
        <v/>
      </c>
      <c r="F1175" s="65"/>
      <c r="G1175" s="66"/>
      <c r="H1175" s="63"/>
      <c r="I1175" s="64"/>
    </row>
    <row r="1176" customFormat="false" ht="23.25" hidden="false" customHeight="true" outlineLevel="0" collapsed="false">
      <c r="B1176" s="67" t="str">
        <f aca="false">IFERROR(INDEX(分录回款!$M:$M,MATCH($L1176,分录回款!$L:$L,0)),"")</f>
        <v/>
      </c>
      <c r="C1176" s="67"/>
      <c r="D1176" s="23" t="str">
        <f aca="false">IFERROR(INDEX(分录回款!$E:$E,MATCH($L1176,分录回款!$L:$L,0)),"")</f>
        <v/>
      </c>
      <c r="E1176" s="23" t="str">
        <f aca="false">IFERROR(INDEX(分录回款!$F:$F,MATCH($L1176,分录回款!$L:$L,0)),"")</f>
        <v/>
      </c>
      <c r="F1176" s="68" t="str">
        <f aca="false">IFERROR(INDEX(分录回款!$H:$H,MATCH($L1176,分录回款!$L:$L,0)),"")</f>
        <v/>
      </c>
      <c r="G1176" s="69" t="str">
        <f aca="false">IFERROR(INDEX(分录回款!$I:$I,MATCH($L1176,分录回款!$L:$L,0)),"")</f>
        <v/>
      </c>
      <c r="H1176" s="23"/>
      <c r="I1176" s="70"/>
      <c r="L1176" s="71" t="n">
        <f aca="false">IF(助手回款!$R$80="",-1,助手回款!$R$80*100+(助手回款!$S$80-1)*6+1)</f>
        <v>-1</v>
      </c>
    </row>
    <row r="1177" customFormat="false" ht="23.25" hidden="false" customHeight="true" outlineLevel="0" collapsed="false">
      <c r="B1177" s="67" t="str">
        <f aca="false">""</f>
        <v/>
      </c>
      <c r="C1177" s="67"/>
      <c r="D1177" s="23" t="str">
        <f aca="false">IFERROR(INDEX(分录回款!$E:$E,MATCH($L1177,分录回款!$L:$L,0)),"")</f>
        <v/>
      </c>
      <c r="E1177" s="23" t="str">
        <f aca="false">IFERROR(INDEX(分录回款!$F:$F,MATCH($L1177,分录回款!$L:$L,0)),"")</f>
        <v/>
      </c>
      <c r="F1177" s="68" t="str">
        <f aca="false">IFERROR(INDEX(分录回款!$H:$H,MATCH($L1177,分录回款!$L:$L,0)),"")</f>
        <v/>
      </c>
      <c r="G1177" s="69" t="str">
        <f aca="false">IFERROR(INDEX(分录回款!$I:$I,MATCH($L1177,分录回款!$L:$L,0)),"")</f>
        <v/>
      </c>
      <c r="H1177" s="23"/>
      <c r="I1177" s="70"/>
      <c r="L1177" s="71" t="n">
        <f aca="false">IF(助手回款!$R$80="",-1,助手回款!$R$80*100+(助手回款!$S$80-1)*6+2)</f>
        <v>-1</v>
      </c>
    </row>
    <row r="1178" customFormat="false" ht="23.25" hidden="false" customHeight="true" outlineLevel="0" collapsed="false">
      <c r="B1178" s="67" t="str">
        <f aca="false">""</f>
        <v/>
      </c>
      <c r="C1178" s="67"/>
      <c r="D1178" s="23" t="str">
        <f aca="false">IFERROR(INDEX(分录回款!$E:$E,MATCH($L1178,分录回款!$L:$L,0)),"")</f>
        <v/>
      </c>
      <c r="E1178" s="23" t="str">
        <f aca="false">IFERROR(INDEX(分录回款!$F:$F,MATCH($L1178,分录回款!$L:$L,0)),"")</f>
        <v/>
      </c>
      <c r="F1178" s="68" t="str">
        <f aca="false">IFERROR(INDEX(分录回款!$H:$H,MATCH($L1178,分录回款!$L:$L,0)),"")</f>
        <v/>
      </c>
      <c r="G1178" s="69" t="str">
        <f aca="false">IFERROR(INDEX(分录回款!$I:$I,MATCH($L1178,分录回款!$L:$L,0)),"")</f>
        <v/>
      </c>
      <c r="H1178" s="23"/>
      <c r="I1178" s="70"/>
      <c r="L1178" s="71" t="n">
        <f aca="false">IF(助手回款!$R$80="",-1,助手回款!$R$80*100+(助手回款!$S$80-1)*6+3)</f>
        <v>-1</v>
      </c>
    </row>
    <row r="1179" customFormat="false" ht="23.25" hidden="false" customHeight="true" outlineLevel="0" collapsed="false">
      <c r="B1179" s="67" t="str">
        <f aca="false">""</f>
        <v/>
      </c>
      <c r="C1179" s="67"/>
      <c r="D1179" s="23" t="str">
        <f aca="false">IFERROR(INDEX(分录回款!$E:$E,MATCH($L1179,分录回款!$L:$L,0)),"")</f>
        <v/>
      </c>
      <c r="E1179" s="23" t="str">
        <f aca="false">IFERROR(INDEX(分录回款!$F:$F,MATCH($L1179,分录回款!$L:$L,0)),"")</f>
        <v/>
      </c>
      <c r="F1179" s="68" t="str">
        <f aca="false">IFERROR(INDEX(分录回款!$H:$H,MATCH($L1179,分录回款!$L:$L,0)),"")</f>
        <v/>
      </c>
      <c r="G1179" s="69" t="str">
        <f aca="false">IFERROR(INDEX(分录回款!$I:$I,MATCH($L1179,分录回款!$L:$L,0)),"")</f>
        <v/>
      </c>
      <c r="H1179" s="23"/>
      <c r="I1179" s="70"/>
      <c r="L1179" s="71" t="n">
        <f aca="false">IF(助手回款!$R$80="",-1,助手回款!$R$80*100+(助手回款!$S$80-1)*6+4)</f>
        <v>-1</v>
      </c>
    </row>
    <row r="1180" customFormat="false" ht="23.25" hidden="false" customHeight="true" outlineLevel="0" collapsed="false">
      <c r="B1180" s="67" t="str">
        <f aca="false">""</f>
        <v/>
      </c>
      <c r="C1180" s="67"/>
      <c r="D1180" s="23" t="str">
        <f aca="false">IFERROR(INDEX(分录回款!$E:$E,MATCH($L1180,分录回款!$L:$L,0)),"")</f>
        <v/>
      </c>
      <c r="E1180" s="23" t="str">
        <f aca="false">IFERROR(INDEX(分录回款!$F:$F,MATCH($L1180,分录回款!$L:$L,0)),"")</f>
        <v/>
      </c>
      <c r="F1180" s="68" t="str">
        <f aca="false">IFERROR(INDEX(分录回款!$H:$H,MATCH($L1180,分录回款!$L:$L,0)),"")</f>
        <v/>
      </c>
      <c r="G1180" s="69" t="str">
        <f aca="false">IFERROR(INDEX(分录回款!$I:$I,MATCH($L1180,分录回款!$L:$L,0)),"")</f>
        <v/>
      </c>
      <c r="H1180" s="23"/>
      <c r="I1180" s="70"/>
      <c r="L1180" s="71" t="n">
        <f aca="false">IF(助手回款!$R$80="",-1,助手回款!$R$80*100+(助手回款!$S$80-1)*6+5)</f>
        <v>-1</v>
      </c>
    </row>
    <row r="1181" customFormat="false" ht="23.25" hidden="false" customHeight="true" outlineLevel="0" collapsed="false">
      <c r="B1181" s="67" t="str">
        <f aca="false">""</f>
        <v/>
      </c>
      <c r="C1181" s="67"/>
      <c r="D1181" s="23" t="str">
        <f aca="false">IFERROR(INDEX(分录回款!$E:$E,MATCH($L1181,分录回款!$L:$L,0)),"")</f>
        <v/>
      </c>
      <c r="E1181" s="23" t="str">
        <f aca="false">IFERROR(INDEX(分录回款!$F:$F,MATCH($L1181,分录回款!$L:$L,0)),"")</f>
        <v/>
      </c>
      <c r="F1181" s="68" t="str">
        <f aca="false">IFERROR(INDEX(分录回款!$H:$H,MATCH($L1181,分录回款!$L:$L,0)),"")</f>
        <v/>
      </c>
      <c r="G1181" s="69" t="str">
        <f aca="false">IFERROR(INDEX(分录回款!$I:$I,MATCH($L1181,分录回款!$L:$L,0)),"")</f>
        <v/>
      </c>
      <c r="H1181" s="23"/>
      <c r="I1181" s="70"/>
      <c r="L1181" s="71" t="n">
        <f aca="false">IF(助手回款!$R$80="",-1,助手回款!$R$80*100+(助手回款!$S$80-1)*6+6)</f>
        <v>-1</v>
      </c>
    </row>
    <row r="1182" customFormat="false" ht="23.25" hidden="false" customHeight="true" outlineLevel="0" collapsed="false">
      <c r="B1182" s="72" t="str">
        <f aca="false">IF(助手回款!$T$80=1,"合计：","")</f>
        <v/>
      </c>
      <c r="C1182" s="73" t="str">
        <f aca="false">IF(助手回款!$T$80=1,$F1182,"")</f>
        <v/>
      </c>
      <c r="D1182" s="74"/>
      <c r="E1182" s="74"/>
      <c r="F1182" s="75" t="str">
        <f aca="false">IF(助手回款!$T$80=1,INDEX(助手回款!$N$2:$N$66,助手回款!$R$80),"")</f>
        <v/>
      </c>
      <c r="G1182" s="76" t="str">
        <f aca="false">IF(助手回款!$T$80=1,INDEX(助手回款!$O$2:$O$66,助手回款!$R$80),"")</f>
        <v/>
      </c>
      <c r="H1182" s="74"/>
      <c r="I1182" s="77"/>
    </row>
    <row r="1183" customFormat="false" ht="6" hidden="false" customHeight="true" outlineLevel="0" collapsed="false"/>
    <row r="1184" customFormat="false" ht="13.5" hidden="false" customHeight="false" outlineLevel="0" collapsed="false">
      <c r="B1184" s="78" t="str">
        <f aca="false">IF(助手回款!$R$80&lt;&gt;"","会计主管：","")</f>
        <v/>
      </c>
      <c r="D1184" s="78" t="str">
        <f aca="false">IF(助手回款!$R$80&lt;&gt;"","会计：","")</f>
        <v/>
      </c>
      <c r="E1184" s="78" t="str">
        <f aca="false">IF(助手回款!$R$80&lt;&gt;"","出纳：","")</f>
        <v/>
      </c>
      <c r="F1184" s="78" t="str">
        <f aca="false">IF(助手回款!$R$80&lt;&gt;"","复核：","")</f>
        <v/>
      </c>
      <c r="G1184" s="78" t="str">
        <f aca="false">IF(助手回款!$R$80&lt;&gt;"","制单：","")</f>
        <v/>
      </c>
    </row>
    <row r="1185" customFormat="false" ht="3" hidden="false" customHeight="true" outlineLevel="0" collapsed="false"/>
    <row r="1186" customFormat="false" ht="19.5" hidden="false" customHeight="true" outlineLevel="0" collapsed="false">
      <c r="B1186" s="53" t="str">
        <f aca="false">IF(助手回款!$R$81&lt;&gt;"","记  账  凭  证","")</f>
        <v/>
      </c>
      <c r="C1186" s="53"/>
      <c r="D1186" s="53"/>
      <c r="E1186" s="53"/>
      <c r="F1186" s="53"/>
      <c r="G1186" s="53"/>
      <c r="H1186" s="53"/>
      <c r="I1186" s="53"/>
    </row>
    <row r="1187" customFormat="false" ht="3" hidden="false" customHeight="true" outlineLevel="0" collapsed="false"/>
    <row r="1188" customFormat="false" ht="15" hidden="false" customHeight="true" outlineLevel="0" collapsed="false">
      <c r="C1188" s="56" t="str">
        <f aca="false">IF(助手回款!$R$81&lt;&gt;"",INDEX(助手回款!$B$2:$B$66,助手回款!$R$81),"")</f>
        <v/>
      </c>
      <c r="D1188" s="57" t="str">
        <f aca="false">IF(助手回款!$R$81&lt;&gt;"",参数!$B$2,"")</f>
        <v/>
      </c>
      <c r="E1188" s="57"/>
      <c r="F1188" s="58" t="str">
        <f aca="false">IF(助手回款!$R$81&lt;&gt;"",INDEX(助手回款!$C$2:$C$66,助手回款!$R$81)&amp;"  字第 "&amp;IF(参数!$B$9="是",INDEX(助手回款!$P$2:$P$66,助手回款!$R$81),"　　　　")&amp;" 号"&amp;IF(INDEX(助手回款!$L$2:$L$66,助手回款!$R$81)&gt;1,"  (共"&amp;INDEX(助手回款!$L$2:$L$66,助手回款!$R$81)&amp;"页 第"&amp;助手回款!$S$81&amp;"页)",""),"")</f>
        <v/>
      </c>
      <c r="G1188" s="58"/>
      <c r="H1188" s="58"/>
      <c r="I1188" s="58"/>
      <c r="M1188" s="79" t="str">
        <f aca="false">IF(助手回款!$R$81="","",助手回款!$Q$81)</f>
        <v/>
      </c>
      <c r="N1188" s="80" t="str">
        <f aca="false">IF(助手回款!$R$81="","",INDEX(助手回款!$P$2:$P$66,助手回款!$R$81))</f>
        <v/>
      </c>
      <c r="O1188" s="55" t="str">
        <f aca="false">IF(助手回款!$R$81="","",INDEX(助手回款!$C$2:$C$66,助手回款!$R$81)&amp;"  字第 "&amp;INDEX(助手回款!$P$2:$P$66,助手回款!$R$81)&amp;" 号"&amp;IF(INDEX(助手回款!$L$2:$L$66,助手回款!$R$81)&gt;1,"  (共"&amp;INDEX(助手回款!$L$2:$L$66,助手回款!$R$81)&amp;"页 第"&amp;助手回款!$S$81&amp;"页)",""))</f>
        <v/>
      </c>
    </row>
    <row r="1189" customFormat="false" ht="12.75" hidden="false" customHeight="true" outlineLevel="0" collapsed="false">
      <c r="B1189" s="61" t="str">
        <f aca="false">IF(助手回款!$R$81&lt;&gt;"","摘　　要","")</f>
        <v/>
      </c>
      <c r="C1189" s="61"/>
      <c r="D1189" s="62" t="str">
        <f aca="false">IF(助手回款!$R$81&lt;&gt;"","科　　　　目","")</f>
        <v/>
      </c>
      <c r="E1189" s="62"/>
      <c r="F1189" s="61" t="str">
        <f aca="false">IF(助手回款!$R$81&lt;&gt;"","借 方 金 额","")</f>
        <v/>
      </c>
      <c r="G1189" s="62" t="str">
        <f aca="false">IF(助手回款!$R$81&lt;&gt;"","贷 方 金 额","")</f>
        <v/>
      </c>
      <c r="H1189" s="63" t="str">
        <f aca="false">IF(助手回款!$R$81&lt;&gt;"","√","")</f>
        <v/>
      </c>
      <c r="I1189" s="64" t="str">
        <f aca="false">IF(助手回款!$R$81&lt;&gt;"","附单据  张","")</f>
        <v/>
      </c>
    </row>
    <row r="1190" customFormat="false" ht="12.75" hidden="false" customHeight="true" outlineLevel="0" collapsed="false">
      <c r="B1190" s="61"/>
      <c r="C1190" s="61"/>
      <c r="D1190" s="23" t="str">
        <f aca="false">IF(助手回款!$R$81&lt;&gt;"","总 账 科 目","")</f>
        <v/>
      </c>
      <c r="E1190" s="23" t="str">
        <f aca="false">IF(助手回款!$R$81&lt;&gt;"","明 细 科 目","")</f>
        <v/>
      </c>
      <c r="F1190" s="65"/>
      <c r="G1190" s="66"/>
      <c r="H1190" s="63"/>
      <c r="I1190" s="64"/>
    </row>
    <row r="1191" customFormat="false" ht="23.25" hidden="false" customHeight="true" outlineLevel="0" collapsed="false">
      <c r="B1191" s="67" t="str">
        <f aca="false">IFERROR(INDEX(分录回款!$M:$M,MATCH($L1191,分录回款!$L:$L,0)),"")</f>
        <v/>
      </c>
      <c r="C1191" s="67"/>
      <c r="D1191" s="23" t="str">
        <f aca="false">IFERROR(INDEX(分录回款!$E:$E,MATCH($L1191,分录回款!$L:$L,0)),"")</f>
        <v/>
      </c>
      <c r="E1191" s="23" t="str">
        <f aca="false">IFERROR(INDEX(分录回款!$F:$F,MATCH($L1191,分录回款!$L:$L,0)),"")</f>
        <v/>
      </c>
      <c r="F1191" s="68" t="str">
        <f aca="false">IFERROR(INDEX(分录回款!$H:$H,MATCH($L1191,分录回款!$L:$L,0)),"")</f>
        <v/>
      </c>
      <c r="G1191" s="69" t="str">
        <f aca="false">IFERROR(INDEX(分录回款!$I:$I,MATCH($L1191,分录回款!$L:$L,0)),"")</f>
        <v/>
      </c>
      <c r="H1191" s="23"/>
      <c r="I1191" s="70"/>
      <c r="L1191" s="71" t="n">
        <f aca="false">IF(助手回款!$R$81="",-1,助手回款!$R$81*100+(助手回款!$S$81-1)*6+1)</f>
        <v>-1</v>
      </c>
    </row>
    <row r="1192" customFormat="false" ht="23.25" hidden="false" customHeight="true" outlineLevel="0" collapsed="false">
      <c r="B1192" s="67" t="str">
        <f aca="false">""</f>
        <v/>
      </c>
      <c r="C1192" s="67"/>
      <c r="D1192" s="23" t="str">
        <f aca="false">IFERROR(INDEX(分录回款!$E:$E,MATCH($L1192,分录回款!$L:$L,0)),"")</f>
        <v/>
      </c>
      <c r="E1192" s="23" t="str">
        <f aca="false">IFERROR(INDEX(分录回款!$F:$F,MATCH($L1192,分录回款!$L:$L,0)),"")</f>
        <v/>
      </c>
      <c r="F1192" s="68" t="str">
        <f aca="false">IFERROR(INDEX(分录回款!$H:$H,MATCH($L1192,分录回款!$L:$L,0)),"")</f>
        <v/>
      </c>
      <c r="G1192" s="69" t="str">
        <f aca="false">IFERROR(INDEX(分录回款!$I:$I,MATCH($L1192,分录回款!$L:$L,0)),"")</f>
        <v/>
      </c>
      <c r="H1192" s="23"/>
      <c r="I1192" s="70"/>
      <c r="L1192" s="71" t="n">
        <f aca="false">IF(助手回款!$R$81="",-1,助手回款!$R$81*100+(助手回款!$S$81-1)*6+2)</f>
        <v>-1</v>
      </c>
    </row>
    <row r="1193" customFormat="false" ht="23.25" hidden="false" customHeight="true" outlineLevel="0" collapsed="false">
      <c r="B1193" s="67" t="str">
        <f aca="false">""</f>
        <v/>
      </c>
      <c r="C1193" s="67"/>
      <c r="D1193" s="23" t="str">
        <f aca="false">IFERROR(INDEX(分录回款!$E:$E,MATCH($L1193,分录回款!$L:$L,0)),"")</f>
        <v/>
      </c>
      <c r="E1193" s="23" t="str">
        <f aca="false">IFERROR(INDEX(分录回款!$F:$F,MATCH($L1193,分录回款!$L:$L,0)),"")</f>
        <v/>
      </c>
      <c r="F1193" s="68" t="str">
        <f aca="false">IFERROR(INDEX(分录回款!$H:$H,MATCH($L1193,分录回款!$L:$L,0)),"")</f>
        <v/>
      </c>
      <c r="G1193" s="69" t="str">
        <f aca="false">IFERROR(INDEX(分录回款!$I:$I,MATCH($L1193,分录回款!$L:$L,0)),"")</f>
        <v/>
      </c>
      <c r="H1193" s="23"/>
      <c r="I1193" s="70"/>
      <c r="L1193" s="71" t="n">
        <f aca="false">IF(助手回款!$R$81="",-1,助手回款!$R$81*100+(助手回款!$S$81-1)*6+3)</f>
        <v>-1</v>
      </c>
    </row>
    <row r="1194" customFormat="false" ht="23.25" hidden="false" customHeight="true" outlineLevel="0" collapsed="false">
      <c r="B1194" s="67" t="str">
        <f aca="false">""</f>
        <v/>
      </c>
      <c r="C1194" s="67"/>
      <c r="D1194" s="23" t="str">
        <f aca="false">IFERROR(INDEX(分录回款!$E:$E,MATCH($L1194,分录回款!$L:$L,0)),"")</f>
        <v/>
      </c>
      <c r="E1194" s="23" t="str">
        <f aca="false">IFERROR(INDEX(分录回款!$F:$F,MATCH($L1194,分录回款!$L:$L,0)),"")</f>
        <v/>
      </c>
      <c r="F1194" s="68" t="str">
        <f aca="false">IFERROR(INDEX(分录回款!$H:$H,MATCH($L1194,分录回款!$L:$L,0)),"")</f>
        <v/>
      </c>
      <c r="G1194" s="69" t="str">
        <f aca="false">IFERROR(INDEX(分录回款!$I:$I,MATCH($L1194,分录回款!$L:$L,0)),"")</f>
        <v/>
      </c>
      <c r="H1194" s="23"/>
      <c r="I1194" s="70"/>
      <c r="L1194" s="71" t="n">
        <f aca="false">IF(助手回款!$R$81="",-1,助手回款!$R$81*100+(助手回款!$S$81-1)*6+4)</f>
        <v>-1</v>
      </c>
    </row>
    <row r="1195" customFormat="false" ht="23.25" hidden="false" customHeight="true" outlineLevel="0" collapsed="false">
      <c r="B1195" s="67" t="str">
        <f aca="false">""</f>
        <v/>
      </c>
      <c r="C1195" s="67"/>
      <c r="D1195" s="23" t="str">
        <f aca="false">IFERROR(INDEX(分录回款!$E:$E,MATCH($L1195,分录回款!$L:$L,0)),"")</f>
        <v/>
      </c>
      <c r="E1195" s="23" t="str">
        <f aca="false">IFERROR(INDEX(分录回款!$F:$F,MATCH($L1195,分录回款!$L:$L,0)),"")</f>
        <v/>
      </c>
      <c r="F1195" s="68" t="str">
        <f aca="false">IFERROR(INDEX(分录回款!$H:$H,MATCH($L1195,分录回款!$L:$L,0)),"")</f>
        <v/>
      </c>
      <c r="G1195" s="69" t="str">
        <f aca="false">IFERROR(INDEX(分录回款!$I:$I,MATCH($L1195,分录回款!$L:$L,0)),"")</f>
        <v/>
      </c>
      <c r="H1195" s="23"/>
      <c r="I1195" s="70"/>
      <c r="L1195" s="71" t="n">
        <f aca="false">IF(助手回款!$R$81="",-1,助手回款!$R$81*100+(助手回款!$S$81-1)*6+5)</f>
        <v>-1</v>
      </c>
    </row>
    <row r="1196" customFormat="false" ht="23.25" hidden="false" customHeight="true" outlineLevel="0" collapsed="false">
      <c r="B1196" s="67" t="str">
        <f aca="false">""</f>
        <v/>
      </c>
      <c r="C1196" s="67"/>
      <c r="D1196" s="23" t="str">
        <f aca="false">IFERROR(INDEX(分录回款!$E:$E,MATCH($L1196,分录回款!$L:$L,0)),"")</f>
        <v/>
      </c>
      <c r="E1196" s="23" t="str">
        <f aca="false">IFERROR(INDEX(分录回款!$F:$F,MATCH($L1196,分录回款!$L:$L,0)),"")</f>
        <v/>
      </c>
      <c r="F1196" s="68" t="str">
        <f aca="false">IFERROR(INDEX(分录回款!$H:$H,MATCH($L1196,分录回款!$L:$L,0)),"")</f>
        <v/>
      </c>
      <c r="G1196" s="69" t="str">
        <f aca="false">IFERROR(INDEX(分录回款!$I:$I,MATCH($L1196,分录回款!$L:$L,0)),"")</f>
        <v/>
      </c>
      <c r="H1196" s="23"/>
      <c r="I1196" s="70"/>
      <c r="L1196" s="71" t="n">
        <f aca="false">IF(助手回款!$R$81="",-1,助手回款!$R$81*100+(助手回款!$S$81-1)*6+6)</f>
        <v>-1</v>
      </c>
    </row>
    <row r="1197" customFormat="false" ht="23.25" hidden="false" customHeight="true" outlineLevel="0" collapsed="false">
      <c r="B1197" s="72" t="str">
        <f aca="false">IF(助手回款!$T$81=1,"合计：","")</f>
        <v/>
      </c>
      <c r="C1197" s="73" t="str">
        <f aca="false">IF(助手回款!$T$81=1,$F1197,"")</f>
        <v/>
      </c>
      <c r="D1197" s="74"/>
      <c r="E1197" s="74"/>
      <c r="F1197" s="75" t="str">
        <f aca="false">IF(助手回款!$T$81=1,INDEX(助手回款!$N$2:$N$66,助手回款!$R$81),"")</f>
        <v/>
      </c>
      <c r="G1197" s="76" t="str">
        <f aca="false">IF(助手回款!$T$81=1,INDEX(助手回款!$O$2:$O$66,助手回款!$R$81),"")</f>
        <v/>
      </c>
      <c r="H1197" s="74"/>
      <c r="I1197" s="77"/>
    </row>
    <row r="1198" customFormat="false" ht="6" hidden="false" customHeight="true" outlineLevel="0" collapsed="false"/>
    <row r="1199" customFormat="false" ht="13.5" hidden="false" customHeight="false" outlineLevel="0" collapsed="false">
      <c r="B1199" s="78" t="str">
        <f aca="false">IF(助手回款!$R$81&lt;&gt;"","会计主管：","")</f>
        <v/>
      </c>
      <c r="D1199" s="78" t="str">
        <f aca="false">IF(助手回款!$R$81&lt;&gt;"","会计：","")</f>
        <v/>
      </c>
      <c r="E1199" s="78" t="str">
        <f aca="false">IF(助手回款!$R$81&lt;&gt;"","出纳：","")</f>
        <v/>
      </c>
      <c r="F1199" s="78" t="str">
        <f aca="false">IF(助手回款!$R$81&lt;&gt;"","复核：","")</f>
        <v/>
      </c>
      <c r="G1199" s="78" t="str">
        <f aca="false">IF(助手回款!$R$81&lt;&gt;"","制单：","")</f>
        <v/>
      </c>
    </row>
    <row r="1200" customFormat="false" ht="3" hidden="false" customHeight="true" outlineLevel="0" collapsed="false"/>
    <row r="1201" customFormat="false" ht="19.5" hidden="false" customHeight="true" outlineLevel="0" collapsed="false">
      <c r="B1201" s="53" t="str">
        <f aca="false">IF(助手回款!$R$82&lt;&gt;"","记  账  凭  证","")</f>
        <v/>
      </c>
      <c r="C1201" s="53"/>
      <c r="D1201" s="53"/>
      <c r="E1201" s="53"/>
      <c r="F1201" s="53"/>
      <c r="G1201" s="53"/>
      <c r="H1201" s="53"/>
      <c r="I1201" s="53"/>
    </row>
    <row r="1202" customFormat="false" ht="3" hidden="false" customHeight="true" outlineLevel="0" collapsed="false"/>
    <row r="1203" customFormat="false" ht="15" hidden="false" customHeight="true" outlineLevel="0" collapsed="false">
      <c r="C1203" s="56" t="str">
        <f aca="false">IF(助手回款!$R$82&lt;&gt;"",INDEX(助手回款!$B$2:$B$66,助手回款!$R$82),"")</f>
        <v/>
      </c>
      <c r="D1203" s="57" t="str">
        <f aca="false">IF(助手回款!$R$82&lt;&gt;"",参数!$B$2,"")</f>
        <v/>
      </c>
      <c r="E1203" s="57"/>
      <c r="F1203" s="58" t="str">
        <f aca="false">IF(助手回款!$R$82&lt;&gt;"",INDEX(助手回款!$C$2:$C$66,助手回款!$R$82)&amp;"  字第 "&amp;IF(参数!$B$9="是",INDEX(助手回款!$P$2:$P$66,助手回款!$R$82),"　　　　")&amp;" 号"&amp;IF(INDEX(助手回款!$L$2:$L$66,助手回款!$R$82)&gt;1,"  (共"&amp;INDEX(助手回款!$L$2:$L$66,助手回款!$R$82)&amp;"页 第"&amp;助手回款!$S$82&amp;"页)",""),"")</f>
        <v/>
      </c>
      <c r="G1203" s="58"/>
      <c r="H1203" s="58"/>
      <c r="I1203" s="58"/>
      <c r="M1203" s="79" t="str">
        <f aca="false">IF(助手回款!$R$82="","",助手回款!$Q$82)</f>
        <v/>
      </c>
      <c r="N1203" s="80" t="str">
        <f aca="false">IF(助手回款!$R$82="","",INDEX(助手回款!$P$2:$P$66,助手回款!$R$82))</f>
        <v/>
      </c>
      <c r="O1203" s="55" t="str">
        <f aca="false">IF(助手回款!$R$82="","",INDEX(助手回款!$C$2:$C$66,助手回款!$R$82)&amp;"  字第 "&amp;INDEX(助手回款!$P$2:$P$66,助手回款!$R$82)&amp;" 号"&amp;IF(INDEX(助手回款!$L$2:$L$66,助手回款!$R$82)&gt;1,"  (共"&amp;INDEX(助手回款!$L$2:$L$66,助手回款!$R$82)&amp;"页 第"&amp;助手回款!$S$82&amp;"页)",""))</f>
        <v/>
      </c>
    </row>
    <row r="1204" customFormat="false" ht="12.75" hidden="false" customHeight="true" outlineLevel="0" collapsed="false">
      <c r="B1204" s="61" t="str">
        <f aca="false">IF(助手回款!$R$82&lt;&gt;"","摘　　要","")</f>
        <v/>
      </c>
      <c r="C1204" s="61"/>
      <c r="D1204" s="62" t="str">
        <f aca="false">IF(助手回款!$R$82&lt;&gt;"","科　　　　目","")</f>
        <v/>
      </c>
      <c r="E1204" s="62"/>
      <c r="F1204" s="61" t="str">
        <f aca="false">IF(助手回款!$R$82&lt;&gt;"","借 方 金 额","")</f>
        <v/>
      </c>
      <c r="G1204" s="62" t="str">
        <f aca="false">IF(助手回款!$R$82&lt;&gt;"","贷 方 金 额","")</f>
        <v/>
      </c>
      <c r="H1204" s="63" t="str">
        <f aca="false">IF(助手回款!$R$82&lt;&gt;"","√","")</f>
        <v/>
      </c>
      <c r="I1204" s="64" t="str">
        <f aca="false">IF(助手回款!$R$82&lt;&gt;"","附单据  张","")</f>
        <v/>
      </c>
    </row>
    <row r="1205" customFormat="false" ht="12.75" hidden="false" customHeight="true" outlineLevel="0" collapsed="false">
      <c r="B1205" s="61"/>
      <c r="C1205" s="61"/>
      <c r="D1205" s="23" t="str">
        <f aca="false">IF(助手回款!$R$82&lt;&gt;"","总 账 科 目","")</f>
        <v/>
      </c>
      <c r="E1205" s="23" t="str">
        <f aca="false">IF(助手回款!$R$82&lt;&gt;"","明 细 科 目","")</f>
        <v/>
      </c>
      <c r="F1205" s="65"/>
      <c r="G1205" s="66"/>
      <c r="H1205" s="63"/>
      <c r="I1205" s="64"/>
    </row>
    <row r="1206" customFormat="false" ht="23.25" hidden="false" customHeight="true" outlineLevel="0" collapsed="false">
      <c r="B1206" s="67" t="str">
        <f aca="false">IFERROR(INDEX(分录回款!$M:$M,MATCH($L1206,分录回款!$L:$L,0)),"")</f>
        <v/>
      </c>
      <c r="C1206" s="67"/>
      <c r="D1206" s="23" t="str">
        <f aca="false">IFERROR(INDEX(分录回款!$E:$E,MATCH($L1206,分录回款!$L:$L,0)),"")</f>
        <v/>
      </c>
      <c r="E1206" s="23" t="str">
        <f aca="false">IFERROR(INDEX(分录回款!$F:$F,MATCH($L1206,分录回款!$L:$L,0)),"")</f>
        <v/>
      </c>
      <c r="F1206" s="68" t="str">
        <f aca="false">IFERROR(INDEX(分录回款!$H:$H,MATCH($L1206,分录回款!$L:$L,0)),"")</f>
        <v/>
      </c>
      <c r="G1206" s="69" t="str">
        <f aca="false">IFERROR(INDEX(分录回款!$I:$I,MATCH($L1206,分录回款!$L:$L,0)),"")</f>
        <v/>
      </c>
      <c r="H1206" s="23"/>
      <c r="I1206" s="70"/>
      <c r="L1206" s="71" t="n">
        <f aca="false">IF(助手回款!$R$82="",-1,助手回款!$R$82*100+(助手回款!$S$82-1)*6+1)</f>
        <v>-1</v>
      </c>
    </row>
    <row r="1207" customFormat="false" ht="23.25" hidden="false" customHeight="true" outlineLevel="0" collapsed="false">
      <c r="B1207" s="67" t="str">
        <f aca="false">""</f>
        <v/>
      </c>
      <c r="C1207" s="67"/>
      <c r="D1207" s="23" t="str">
        <f aca="false">IFERROR(INDEX(分录回款!$E:$E,MATCH($L1207,分录回款!$L:$L,0)),"")</f>
        <v/>
      </c>
      <c r="E1207" s="23" t="str">
        <f aca="false">IFERROR(INDEX(分录回款!$F:$F,MATCH($L1207,分录回款!$L:$L,0)),"")</f>
        <v/>
      </c>
      <c r="F1207" s="68" t="str">
        <f aca="false">IFERROR(INDEX(分录回款!$H:$H,MATCH($L1207,分录回款!$L:$L,0)),"")</f>
        <v/>
      </c>
      <c r="G1207" s="69" t="str">
        <f aca="false">IFERROR(INDEX(分录回款!$I:$I,MATCH($L1207,分录回款!$L:$L,0)),"")</f>
        <v/>
      </c>
      <c r="H1207" s="23"/>
      <c r="I1207" s="70"/>
      <c r="L1207" s="71" t="n">
        <f aca="false">IF(助手回款!$R$82="",-1,助手回款!$R$82*100+(助手回款!$S$82-1)*6+2)</f>
        <v>-1</v>
      </c>
    </row>
    <row r="1208" customFormat="false" ht="23.25" hidden="false" customHeight="true" outlineLevel="0" collapsed="false">
      <c r="B1208" s="67" t="str">
        <f aca="false">""</f>
        <v/>
      </c>
      <c r="C1208" s="67"/>
      <c r="D1208" s="23" t="str">
        <f aca="false">IFERROR(INDEX(分录回款!$E:$E,MATCH($L1208,分录回款!$L:$L,0)),"")</f>
        <v/>
      </c>
      <c r="E1208" s="23" t="str">
        <f aca="false">IFERROR(INDEX(分录回款!$F:$F,MATCH($L1208,分录回款!$L:$L,0)),"")</f>
        <v/>
      </c>
      <c r="F1208" s="68" t="str">
        <f aca="false">IFERROR(INDEX(分录回款!$H:$H,MATCH($L1208,分录回款!$L:$L,0)),"")</f>
        <v/>
      </c>
      <c r="G1208" s="69" t="str">
        <f aca="false">IFERROR(INDEX(分录回款!$I:$I,MATCH($L1208,分录回款!$L:$L,0)),"")</f>
        <v/>
      </c>
      <c r="H1208" s="23"/>
      <c r="I1208" s="70"/>
      <c r="L1208" s="71" t="n">
        <f aca="false">IF(助手回款!$R$82="",-1,助手回款!$R$82*100+(助手回款!$S$82-1)*6+3)</f>
        <v>-1</v>
      </c>
    </row>
    <row r="1209" customFormat="false" ht="23.25" hidden="false" customHeight="true" outlineLevel="0" collapsed="false">
      <c r="B1209" s="67" t="str">
        <f aca="false">""</f>
        <v/>
      </c>
      <c r="C1209" s="67"/>
      <c r="D1209" s="23" t="str">
        <f aca="false">IFERROR(INDEX(分录回款!$E:$E,MATCH($L1209,分录回款!$L:$L,0)),"")</f>
        <v/>
      </c>
      <c r="E1209" s="23" t="str">
        <f aca="false">IFERROR(INDEX(分录回款!$F:$F,MATCH($L1209,分录回款!$L:$L,0)),"")</f>
        <v/>
      </c>
      <c r="F1209" s="68" t="str">
        <f aca="false">IFERROR(INDEX(分录回款!$H:$H,MATCH($L1209,分录回款!$L:$L,0)),"")</f>
        <v/>
      </c>
      <c r="G1209" s="69" t="str">
        <f aca="false">IFERROR(INDEX(分录回款!$I:$I,MATCH($L1209,分录回款!$L:$L,0)),"")</f>
        <v/>
      </c>
      <c r="H1209" s="23"/>
      <c r="I1209" s="70"/>
      <c r="L1209" s="71" t="n">
        <f aca="false">IF(助手回款!$R$82="",-1,助手回款!$R$82*100+(助手回款!$S$82-1)*6+4)</f>
        <v>-1</v>
      </c>
    </row>
    <row r="1210" customFormat="false" ht="23.25" hidden="false" customHeight="true" outlineLevel="0" collapsed="false">
      <c r="B1210" s="67" t="str">
        <f aca="false">""</f>
        <v/>
      </c>
      <c r="C1210" s="67"/>
      <c r="D1210" s="23" t="str">
        <f aca="false">IFERROR(INDEX(分录回款!$E:$E,MATCH($L1210,分录回款!$L:$L,0)),"")</f>
        <v/>
      </c>
      <c r="E1210" s="23" t="str">
        <f aca="false">IFERROR(INDEX(分录回款!$F:$F,MATCH($L1210,分录回款!$L:$L,0)),"")</f>
        <v/>
      </c>
      <c r="F1210" s="68" t="str">
        <f aca="false">IFERROR(INDEX(分录回款!$H:$H,MATCH($L1210,分录回款!$L:$L,0)),"")</f>
        <v/>
      </c>
      <c r="G1210" s="69" t="str">
        <f aca="false">IFERROR(INDEX(分录回款!$I:$I,MATCH($L1210,分录回款!$L:$L,0)),"")</f>
        <v/>
      </c>
      <c r="H1210" s="23"/>
      <c r="I1210" s="70"/>
      <c r="L1210" s="71" t="n">
        <f aca="false">IF(助手回款!$R$82="",-1,助手回款!$R$82*100+(助手回款!$S$82-1)*6+5)</f>
        <v>-1</v>
      </c>
    </row>
    <row r="1211" customFormat="false" ht="23.25" hidden="false" customHeight="true" outlineLevel="0" collapsed="false">
      <c r="B1211" s="67" t="str">
        <f aca="false">""</f>
        <v/>
      </c>
      <c r="C1211" s="67"/>
      <c r="D1211" s="23" t="str">
        <f aca="false">IFERROR(INDEX(分录回款!$E:$E,MATCH($L1211,分录回款!$L:$L,0)),"")</f>
        <v/>
      </c>
      <c r="E1211" s="23" t="str">
        <f aca="false">IFERROR(INDEX(分录回款!$F:$F,MATCH($L1211,分录回款!$L:$L,0)),"")</f>
        <v/>
      </c>
      <c r="F1211" s="68" t="str">
        <f aca="false">IFERROR(INDEX(分录回款!$H:$H,MATCH($L1211,分录回款!$L:$L,0)),"")</f>
        <v/>
      </c>
      <c r="G1211" s="69" t="str">
        <f aca="false">IFERROR(INDEX(分录回款!$I:$I,MATCH($L1211,分录回款!$L:$L,0)),"")</f>
        <v/>
      </c>
      <c r="H1211" s="23"/>
      <c r="I1211" s="70"/>
      <c r="L1211" s="71" t="n">
        <f aca="false">IF(助手回款!$R$82="",-1,助手回款!$R$82*100+(助手回款!$S$82-1)*6+6)</f>
        <v>-1</v>
      </c>
    </row>
    <row r="1212" customFormat="false" ht="23.25" hidden="false" customHeight="true" outlineLevel="0" collapsed="false">
      <c r="B1212" s="72" t="str">
        <f aca="false">IF(助手回款!$T$82=1,"合计：","")</f>
        <v/>
      </c>
      <c r="C1212" s="73" t="str">
        <f aca="false">IF(助手回款!$T$82=1,$F1212,"")</f>
        <v/>
      </c>
      <c r="D1212" s="74"/>
      <c r="E1212" s="74"/>
      <c r="F1212" s="75" t="str">
        <f aca="false">IF(助手回款!$T$82=1,INDEX(助手回款!$N$2:$N$66,助手回款!$R$82),"")</f>
        <v/>
      </c>
      <c r="G1212" s="76" t="str">
        <f aca="false">IF(助手回款!$T$82=1,INDEX(助手回款!$O$2:$O$66,助手回款!$R$82),"")</f>
        <v/>
      </c>
      <c r="H1212" s="74"/>
      <c r="I1212" s="77"/>
    </row>
    <row r="1213" customFormat="false" ht="6" hidden="false" customHeight="true" outlineLevel="0" collapsed="false"/>
    <row r="1214" customFormat="false" ht="13.5" hidden="false" customHeight="false" outlineLevel="0" collapsed="false">
      <c r="B1214" s="78" t="str">
        <f aca="false">IF(助手回款!$R$82&lt;&gt;"","会计主管：","")</f>
        <v/>
      </c>
      <c r="D1214" s="78" t="str">
        <f aca="false">IF(助手回款!$R$82&lt;&gt;"","会计：","")</f>
        <v/>
      </c>
      <c r="E1214" s="78" t="str">
        <f aca="false">IF(助手回款!$R$82&lt;&gt;"","出纳：","")</f>
        <v/>
      </c>
      <c r="F1214" s="78" t="str">
        <f aca="false">IF(助手回款!$R$82&lt;&gt;"","复核：","")</f>
        <v/>
      </c>
      <c r="G1214" s="78" t="str">
        <f aca="false">IF(助手回款!$R$82&lt;&gt;"","制单：","")</f>
        <v/>
      </c>
    </row>
    <row r="1215" customFormat="false" ht="3" hidden="false" customHeight="true" outlineLevel="0" collapsed="false"/>
    <row r="1216" customFormat="false" ht="19.5" hidden="false" customHeight="true" outlineLevel="0" collapsed="false">
      <c r="B1216" s="53" t="str">
        <f aca="false">IF(助手回款!$R$83&lt;&gt;"","记  账  凭  证","")</f>
        <v/>
      </c>
      <c r="C1216" s="53"/>
      <c r="D1216" s="53"/>
      <c r="E1216" s="53"/>
      <c r="F1216" s="53"/>
      <c r="G1216" s="53"/>
      <c r="H1216" s="53"/>
      <c r="I1216" s="53"/>
    </row>
    <row r="1217" customFormat="false" ht="3" hidden="false" customHeight="true" outlineLevel="0" collapsed="false"/>
    <row r="1218" customFormat="false" ht="15" hidden="false" customHeight="true" outlineLevel="0" collapsed="false">
      <c r="C1218" s="56" t="str">
        <f aca="false">IF(助手回款!$R$83&lt;&gt;"",INDEX(助手回款!$B$2:$B$66,助手回款!$R$83),"")</f>
        <v/>
      </c>
      <c r="D1218" s="57" t="str">
        <f aca="false">IF(助手回款!$R$83&lt;&gt;"",参数!$B$2,"")</f>
        <v/>
      </c>
      <c r="E1218" s="57"/>
      <c r="F1218" s="58" t="str">
        <f aca="false">IF(助手回款!$R$83&lt;&gt;"",INDEX(助手回款!$C$2:$C$66,助手回款!$R$83)&amp;"  字第 "&amp;IF(参数!$B$9="是",INDEX(助手回款!$P$2:$P$66,助手回款!$R$83),"　　　　")&amp;" 号"&amp;IF(INDEX(助手回款!$L$2:$L$66,助手回款!$R$83)&gt;1,"  (共"&amp;INDEX(助手回款!$L$2:$L$66,助手回款!$R$83)&amp;"页 第"&amp;助手回款!$S$83&amp;"页)",""),"")</f>
        <v/>
      </c>
      <c r="G1218" s="58"/>
      <c r="H1218" s="58"/>
      <c r="I1218" s="58"/>
      <c r="M1218" s="79" t="str">
        <f aca="false">IF(助手回款!$R$83="","",助手回款!$Q$83)</f>
        <v/>
      </c>
      <c r="N1218" s="80" t="str">
        <f aca="false">IF(助手回款!$R$83="","",INDEX(助手回款!$P$2:$P$66,助手回款!$R$83))</f>
        <v/>
      </c>
      <c r="O1218" s="55" t="str">
        <f aca="false">IF(助手回款!$R$83="","",INDEX(助手回款!$C$2:$C$66,助手回款!$R$83)&amp;"  字第 "&amp;INDEX(助手回款!$P$2:$P$66,助手回款!$R$83)&amp;" 号"&amp;IF(INDEX(助手回款!$L$2:$L$66,助手回款!$R$83)&gt;1,"  (共"&amp;INDEX(助手回款!$L$2:$L$66,助手回款!$R$83)&amp;"页 第"&amp;助手回款!$S$83&amp;"页)",""))</f>
        <v/>
      </c>
    </row>
    <row r="1219" customFormat="false" ht="12.75" hidden="false" customHeight="true" outlineLevel="0" collapsed="false">
      <c r="B1219" s="61" t="str">
        <f aca="false">IF(助手回款!$R$83&lt;&gt;"","摘　　要","")</f>
        <v/>
      </c>
      <c r="C1219" s="61"/>
      <c r="D1219" s="62" t="str">
        <f aca="false">IF(助手回款!$R$83&lt;&gt;"","科　　　　目","")</f>
        <v/>
      </c>
      <c r="E1219" s="62"/>
      <c r="F1219" s="61" t="str">
        <f aca="false">IF(助手回款!$R$83&lt;&gt;"","借 方 金 额","")</f>
        <v/>
      </c>
      <c r="G1219" s="62" t="str">
        <f aca="false">IF(助手回款!$R$83&lt;&gt;"","贷 方 金 额","")</f>
        <v/>
      </c>
      <c r="H1219" s="63" t="str">
        <f aca="false">IF(助手回款!$R$83&lt;&gt;"","√","")</f>
        <v/>
      </c>
      <c r="I1219" s="64" t="str">
        <f aca="false">IF(助手回款!$R$83&lt;&gt;"","附单据  张","")</f>
        <v/>
      </c>
    </row>
    <row r="1220" customFormat="false" ht="12.75" hidden="false" customHeight="true" outlineLevel="0" collapsed="false">
      <c r="B1220" s="61"/>
      <c r="C1220" s="61"/>
      <c r="D1220" s="23" t="str">
        <f aca="false">IF(助手回款!$R$83&lt;&gt;"","总 账 科 目","")</f>
        <v/>
      </c>
      <c r="E1220" s="23" t="str">
        <f aca="false">IF(助手回款!$R$83&lt;&gt;"","明 细 科 目","")</f>
        <v/>
      </c>
      <c r="F1220" s="65"/>
      <c r="G1220" s="66"/>
      <c r="H1220" s="63"/>
      <c r="I1220" s="64"/>
    </row>
    <row r="1221" customFormat="false" ht="23.25" hidden="false" customHeight="true" outlineLevel="0" collapsed="false">
      <c r="B1221" s="67" t="str">
        <f aca="false">IFERROR(INDEX(分录回款!$M:$M,MATCH($L1221,分录回款!$L:$L,0)),"")</f>
        <v/>
      </c>
      <c r="C1221" s="67"/>
      <c r="D1221" s="23" t="str">
        <f aca="false">IFERROR(INDEX(分录回款!$E:$E,MATCH($L1221,分录回款!$L:$L,0)),"")</f>
        <v/>
      </c>
      <c r="E1221" s="23" t="str">
        <f aca="false">IFERROR(INDEX(分录回款!$F:$F,MATCH($L1221,分录回款!$L:$L,0)),"")</f>
        <v/>
      </c>
      <c r="F1221" s="68" t="str">
        <f aca="false">IFERROR(INDEX(分录回款!$H:$H,MATCH($L1221,分录回款!$L:$L,0)),"")</f>
        <v/>
      </c>
      <c r="G1221" s="69" t="str">
        <f aca="false">IFERROR(INDEX(分录回款!$I:$I,MATCH($L1221,分录回款!$L:$L,0)),"")</f>
        <v/>
      </c>
      <c r="H1221" s="23"/>
      <c r="I1221" s="70"/>
      <c r="L1221" s="71" t="n">
        <f aca="false">IF(助手回款!$R$83="",-1,助手回款!$R$83*100+(助手回款!$S$83-1)*6+1)</f>
        <v>-1</v>
      </c>
    </row>
    <row r="1222" customFormat="false" ht="23.25" hidden="false" customHeight="true" outlineLevel="0" collapsed="false">
      <c r="B1222" s="67" t="str">
        <f aca="false">""</f>
        <v/>
      </c>
      <c r="C1222" s="67"/>
      <c r="D1222" s="23" t="str">
        <f aca="false">IFERROR(INDEX(分录回款!$E:$E,MATCH($L1222,分录回款!$L:$L,0)),"")</f>
        <v/>
      </c>
      <c r="E1222" s="23" t="str">
        <f aca="false">IFERROR(INDEX(分录回款!$F:$F,MATCH($L1222,分录回款!$L:$L,0)),"")</f>
        <v/>
      </c>
      <c r="F1222" s="68" t="str">
        <f aca="false">IFERROR(INDEX(分录回款!$H:$H,MATCH($L1222,分录回款!$L:$L,0)),"")</f>
        <v/>
      </c>
      <c r="G1222" s="69" t="str">
        <f aca="false">IFERROR(INDEX(分录回款!$I:$I,MATCH($L1222,分录回款!$L:$L,0)),"")</f>
        <v/>
      </c>
      <c r="H1222" s="23"/>
      <c r="I1222" s="70"/>
      <c r="L1222" s="71" t="n">
        <f aca="false">IF(助手回款!$R$83="",-1,助手回款!$R$83*100+(助手回款!$S$83-1)*6+2)</f>
        <v>-1</v>
      </c>
    </row>
    <row r="1223" customFormat="false" ht="23.25" hidden="false" customHeight="true" outlineLevel="0" collapsed="false">
      <c r="B1223" s="67" t="str">
        <f aca="false">""</f>
        <v/>
      </c>
      <c r="C1223" s="67"/>
      <c r="D1223" s="23" t="str">
        <f aca="false">IFERROR(INDEX(分录回款!$E:$E,MATCH($L1223,分录回款!$L:$L,0)),"")</f>
        <v/>
      </c>
      <c r="E1223" s="23" t="str">
        <f aca="false">IFERROR(INDEX(分录回款!$F:$F,MATCH($L1223,分录回款!$L:$L,0)),"")</f>
        <v/>
      </c>
      <c r="F1223" s="68" t="str">
        <f aca="false">IFERROR(INDEX(分录回款!$H:$H,MATCH($L1223,分录回款!$L:$L,0)),"")</f>
        <v/>
      </c>
      <c r="G1223" s="69" t="str">
        <f aca="false">IFERROR(INDEX(分录回款!$I:$I,MATCH($L1223,分录回款!$L:$L,0)),"")</f>
        <v/>
      </c>
      <c r="H1223" s="23"/>
      <c r="I1223" s="70"/>
      <c r="L1223" s="71" t="n">
        <f aca="false">IF(助手回款!$R$83="",-1,助手回款!$R$83*100+(助手回款!$S$83-1)*6+3)</f>
        <v>-1</v>
      </c>
    </row>
    <row r="1224" customFormat="false" ht="23.25" hidden="false" customHeight="true" outlineLevel="0" collapsed="false">
      <c r="B1224" s="67" t="str">
        <f aca="false">""</f>
        <v/>
      </c>
      <c r="C1224" s="67"/>
      <c r="D1224" s="23" t="str">
        <f aca="false">IFERROR(INDEX(分录回款!$E:$E,MATCH($L1224,分录回款!$L:$L,0)),"")</f>
        <v/>
      </c>
      <c r="E1224" s="23" t="str">
        <f aca="false">IFERROR(INDEX(分录回款!$F:$F,MATCH($L1224,分录回款!$L:$L,0)),"")</f>
        <v/>
      </c>
      <c r="F1224" s="68" t="str">
        <f aca="false">IFERROR(INDEX(分录回款!$H:$H,MATCH($L1224,分录回款!$L:$L,0)),"")</f>
        <v/>
      </c>
      <c r="G1224" s="69" t="str">
        <f aca="false">IFERROR(INDEX(分录回款!$I:$I,MATCH($L1224,分录回款!$L:$L,0)),"")</f>
        <v/>
      </c>
      <c r="H1224" s="23"/>
      <c r="I1224" s="70"/>
      <c r="L1224" s="71" t="n">
        <f aca="false">IF(助手回款!$R$83="",-1,助手回款!$R$83*100+(助手回款!$S$83-1)*6+4)</f>
        <v>-1</v>
      </c>
    </row>
    <row r="1225" customFormat="false" ht="23.25" hidden="false" customHeight="true" outlineLevel="0" collapsed="false">
      <c r="B1225" s="67" t="str">
        <f aca="false">""</f>
        <v/>
      </c>
      <c r="C1225" s="67"/>
      <c r="D1225" s="23" t="str">
        <f aca="false">IFERROR(INDEX(分录回款!$E:$E,MATCH($L1225,分录回款!$L:$L,0)),"")</f>
        <v/>
      </c>
      <c r="E1225" s="23" t="str">
        <f aca="false">IFERROR(INDEX(分录回款!$F:$F,MATCH($L1225,分录回款!$L:$L,0)),"")</f>
        <v/>
      </c>
      <c r="F1225" s="68" t="str">
        <f aca="false">IFERROR(INDEX(分录回款!$H:$H,MATCH($L1225,分录回款!$L:$L,0)),"")</f>
        <v/>
      </c>
      <c r="G1225" s="69" t="str">
        <f aca="false">IFERROR(INDEX(分录回款!$I:$I,MATCH($L1225,分录回款!$L:$L,0)),"")</f>
        <v/>
      </c>
      <c r="H1225" s="23"/>
      <c r="I1225" s="70"/>
      <c r="L1225" s="71" t="n">
        <f aca="false">IF(助手回款!$R$83="",-1,助手回款!$R$83*100+(助手回款!$S$83-1)*6+5)</f>
        <v>-1</v>
      </c>
    </row>
    <row r="1226" customFormat="false" ht="23.25" hidden="false" customHeight="true" outlineLevel="0" collapsed="false">
      <c r="B1226" s="67" t="str">
        <f aca="false">""</f>
        <v/>
      </c>
      <c r="C1226" s="67"/>
      <c r="D1226" s="23" t="str">
        <f aca="false">IFERROR(INDEX(分录回款!$E:$E,MATCH($L1226,分录回款!$L:$L,0)),"")</f>
        <v/>
      </c>
      <c r="E1226" s="23" t="str">
        <f aca="false">IFERROR(INDEX(分录回款!$F:$F,MATCH($L1226,分录回款!$L:$L,0)),"")</f>
        <v/>
      </c>
      <c r="F1226" s="68" t="str">
        <f aca="false">IFERROR(INDEX(分录回款!$H:$H,MATCH($L1226,分录回款!$L:$L,0)),"")</f>
        <v/>
      </c>
      <c r="G1226" s="69" t="str">
        <f aca="false">IFERROR(INDEX(分录回款!$I:$I,MATCH($L1226,分录回款!$L:$L,0)),"")</f>
        <v/>
      </c>
      <c r="H1226" s="23"/>
      <c r="I1226" s="70"/>
      <c r="L1226" s="71" t="n">
        <f aca="false">IF(助手回款!$R$83="",-1,助手回款!$R$83*100+(助手回款!$S$83-1)*6+6)</f>
        <v>-1</v>
      </c>
    </row>
    <row r="1227" customFormat="false" ht="23.25" hidden="false" customHeight="true" outlineLevel="0" collapsed="false">
      <c r="B1227" s="72" t="str">
        <f aca="false">IF(助手回款!$T$83=1,"合计：","")</f>
        <v/>
      </c>
      <c r="C1227" s="73" t="str">
        <f aca="false">IF(助手回款!$T$83=1,$F1227,"")</f>
        <v/>
      </c>
      <c r="D1227" s="74"/>
      <c r="E1227" s="74"/>
      <c r="F1227" s="75" t="str">
        <f aca="false">IF(助手回款!$T$83=1,INDEX(助手回款!$N$2:$N$66,助手回款!$R$83),"")</f>
        <v/>
      </c>
      <c r="G1227" s="76" t="str">
        <f aca="false">IF(助手回款!$T$83=1,INDEX(助手回款!$O$2:$O$66,助手回款!$R$83),"")</f>
        <v/>
      </c>
      <c r="H1227" s="74"/>
      <c r="I1227" s="77"/>
    </row>
    <row r="1228" customFormat="false" ht="6" hidden="false" customHeight="true" outlineLevel="0" collapsed="false"/>
    <row r="1229" customFormat="false" ht="13.5" hidden="false" customHeight="false" outlineLevel="0" collapsed="false">
      <c r="B1229" s="78" t="str">
        <f aca="false">IF(助手回款!$R$83&lt;&gt;"","会计主管：","")</f>
        <v/>
      </c>
      <c r="D1229" s="78" t="str">
        <f aca="false">IF(助手回款!$R$83&lt;&gt;"","会计：","")</f>
        <v/>
      </c>
      <c r="E1229" s="78" t="str">
        <f aca="false">IF(助手回款!$R$83&lt;&gt;"","出纳：","")</f>
        <v/>
      </c>
      <c r="F1229" s="78" t="str">
        <f aca="false">IF(助手回款!$R$83&lt;&gt;"","复核：","")</f>
        <v/>
      </c>
      <c r="G1229" s="78" t="str">
        <f aca="false">IF(助手回款!$R$83&lt;&gt;"","制单：","")</f>
        <v/>
      </c>
    </row>
    <row r="1230" customFormat="false" ht="3" hidden="false" customHeight="true" outlineLevel="0" collapsed="false"/>
    <row r="1231" customFormat="false" ht="19.5" hidden="false" customHeight="true" outlineLevel="0" collapsed="false">
      <c r="B1231" s="53" t="str">
        <f aca="false">IF(助手回款!$R$84&lt;&gt;"","记  账  凭  证","")</f>
        <v/>
      </c>
      <c r="C1231" s="53"/>
      <c r="D1231" s="53"/>
      <c r="E1231" s="53"/>
      <c r="F1231" s="53"/>
      <c r="G1231" s="53"/>
      <c r="H1231" s="53"/>
      <c r="I1231" s="53"/>
    </row>
    <row r="1232" customFormat="false" ht="3" hidden="false" customHeight="true" outlineLevel="0" collapsed="false"/>
    <row r="1233" customFormat="false" ht="15" hidden="false" customHeight="true" outlineLevel="0" collapsed="false">
      <c r="C1233" s="56" t="str">
        <f aca="false">IF(助手回款!$R$84&lt;&gt;"",INDEX(助手回款!$B$2:$B$66,助手回款!$R$84),"")</f>
        <v/>
      </c>
      <c r="D1233" s="57" t="str">
        <f aca="false">IF(助手回款!$R$84&lt;&gt;"",参数!$B$2,"")</f>
        <v/>
      </c>
      <c r="E1233" s="57"/>
      <c r="F1233" s="58" t="str">
        <f aca="false">IF(助手回款!$R$84&lt;&gt;"",INDEX(助手回款!$C$2:$C$66,助手回款!$R$84)&amp;"  字第 "&amp;IF(参数!$B$9="是",INDEX(助手回款!$P$2:$P$66,助手回款!$R$84),"　　　　")&amp;" 号"&amp;IF(INDEX(助手回款!$L$2:$L$66,助手回款!$R$84)&gt;1,"  (共"&amp;INDEX(助手回款!$L$2:$L$66,助手回款!$R$84)&amp;"页 第"&amp;助手回款!$S$84&amp;"页)",""),"")</f>
        <v/>
      </c>
      <c r="G1233" s="58"/>
      <c r="H1233" s="58"/>
      <c r="I1233" s="58"/>
      <c r="M1233" s="79" t="str">
        <f aca="false">IF(助手回款!$R$84="","",助手回款!$Q$84)</f>
        <v/>
      </c>
      <c r="N1233" s="80" t="str">
        <f aca="false">IF(助手回款!$R$84="","",INDEX(助手回款!$P$2:$P$66,助手回款!$R$84))</f>
        <v/>
      </c>
      <c r="O1233" s="55" t="str">
        <f aca="false">IF(助手回款!$R$84="","",INDEX(助手回款!$C$2:$C$66,助手回款!$R$84)&amp;"  字第 "&amp;INDEX(助手回款!$P$2:$P$66,助手回款!$R$84)&amp;" 号"&amp;IF(INDEX(助手回款!$L$2:$L$66,助手回款!$R$84)&gt;1,"  (共"&amp;INDEX(助手回款!$L$2:$L$66,助手回款!$R$84)&amp;"页 第"&amp;助手回款!$S$84&amp;"页)",""))</f>
        <v/>
      </c>
    </row>
    <row r="1234" customFormat="false" ht="12.75" hidden="false" customHeight="true" outlineLevel="0" collapsed="false">
      <c r="B1234" s="61" t="str">
        <f aca="false">IF(助手回款!$R$84&lt;&gt;"","摘　　要","")</f>
        <v/>
      </c>
      <c r="C1234" s="61"/>
      <c r="D1234" s="62" t="str">
        <f aca="false">IF(助手回款!$R$84&lt;&gt;"","科　　　　目","")</f>
        <v/>
      </c>
      <c r="E1234" s="62"/>
      <c r="F1234" s="61" t="str">
        <f aca="false">IF(助手回款!$R$84&lt;&gt;"","借 方 金 额","")</f>
        <v/>
      </c>
      <c r="G1234" s="62" t="str">
        <f aca="false">IF(助手回款!$R$84&lt;&gt;"","贷 方 金 额","")</f>
        <v/>
      </c>
      <c r="H1234" s="63" t="str">
        <f aca="false">IF(助手回款!$R$84&lt;&gt;"","√","")</f>
        <v/>
      </c>
      <c r="I1234" s="64" t="str">
        <f aca="false">IF(助手回款!$R$84&lt;&gt;"","附单据  张","")</f>
        <v/>
      </c>
    </row>
    <row r="1235" customFormat="false" ht="12.75" hidden="false" customHeight="true" outlineLevel="0" collapsed="false">
      <c r="B1235" s="61"/>
      <c r="C1235" s="61"/>
      <c r="D1235" s="23" t="str">
        <f aca="false">IF(助手回款!$R$84&lt;&gt;"","总 账 科 目","")</f>
        <v/>
      </c>
      <c r="E1235" s="23" t="str">
        <f aca="false">IF(助手回款!$R$84&lt;&gt;"","明 细 科 目","")</f>
        <v/>
      </c>
      <c r="F1235" s="65"/>
      <c r="G1235" s="66"/>
      <c r="H1235" s="63"/>
      <c r="I1235" s="64"/>
    </row>
    <row r="1236" customFormat="false" ht="23.25" hidden="false" customHeight="true" outlineLevel="0" collapsed="false">
      <c r="B1236" s="67" t="str">
        <f aca="false">IFERROR(INDEX(分录回款!$M:$M,MATCH($L1236,分录回款!$L:$L,0)),"")</f>
        <v/>
      </c>
      <c r="C1236" s="67"/>
      <c r="D1236" s="23" t="str">
        <f aca="false">IFERROR(INDEX(分录回款!$E:$E,MATCH($L1236,分录回款!$L:$L,0)),"")</f>
        <v/>
      </c>
      <c r="E1236" s="23" t="str">
        <f aca="false">IFERROR(INDEX(分录回款!$F:$F,MATCH($L1236,分录回款!$L:$L,0)),"")</f>
        <v/>
      </c>
      <c r="F1236" s="68" t="str">
        <f aca="false">IFERROR(INDEX(分录回款!$H:$H,MATCH($L1236,分录回款!$L:$L,0)),"")</f>
        <v/>
      </c>
      <c r="G1236" s="69" t="str">
        <f aca="false">IFERROR(INDEX(分录回款!$I:$I,MATCH($L1236,分录回款!$L:$L,0)),"")</f>
        <v/>
      </c>
      <c r="H1236" s="23"/>
      <c r="I1236" s="70"/>
      <c r="L1236" s="71" t="n">
        <f aca="false">IF(助手回款!$R$84="",-1,助手回款!$R$84*100+(助手回款!$S$84-1)*6+1)</f>
        <v>-1</v>
      </c>
    </row>
    <row r="1237" customFormat="false" ht="23.25" hidden="false" customHeight="true" outlineLevel="0" collapsed="false">
      <c r="B1237" s="67" t="str">
        <f aca="false">""</f>
        <v/>
      </c>
      <c r="C1237" s="67"/>
      <c r="D1237" s="23" t="str">
        <f aca="false">IFERROR(INDEX(分录回款!$E:$E,MATCH($L1237,分录回款!$L:$L,0)),"")</f>
        <v/>
      </c>
      <c r="E1237" s="23" t="str">
        <f aca="false">IFERROR(INDEX(分录回款!$F:$F,MATCH($L1237,分录回款!$L:$L,0)),"")</f>
        <v/>
      </c>
      <c r="F1237" s="68" t="str">
        <f aca="false">IFERROR(INDEX(分录回款!$H:$H,MATCH($L1237,分录回款!$L:$L,0)),"")</f>
        <v/>
      </c>
      <c r="G1237" s="69" t="str">
        <f aca="false">IFERROR(INDEX(分录回款!$I:$I,MATCH($L1237,分录回款!$L:$L,0)),"")</f>
        <v/>
      </c>
      <c r="H1237" s="23"/>
      <c r="I1237" s="70"/>
      <c r="L1237" s="71" t="n">
        <f aca="false">IF(助手回款!$R$84="",-1,助手回款!$R$84*100+(助手回款!$S$84-1)*6+2)</f>
        <v>-1</v>
      </c>
    </row>
    <row r="1238" customFormat="false" ht="23.25" hidden="false" customHeight="true" outlineLevel="0" collapsed="false">
      <c r="B1238" s="67" t="str">
        <f aca="false">""</f>
        <v/>
      </c>
      <c r="C1238" s="67"/>
      <c r="D1238" s="23" t="str">
        <f aca="false">IFERROR(INDEX(分录回款!$E:$E,MATCH($L1238,分录回款!$L:$L,0)),"")</f>
        <v/>
      </c>
      <c r="E1238" s="23" t="str">
        <f aca="false">IFERROR(INDEX(分录回款!$F:$F,MATCH($L1238,分录回款!$L:$L,0)),"")</f>
        <v/>
      </c>
      <c r="F1238" s="68" t="str">
        <f aca="false">IFERROR(INDEX(分录回款!$H:$H,MATCH($L1238,分录回款!$L:$L,0)),"")</f>
        <v/>
      </c>
      <c r="G1238" s="69" t="str">
        <f aca="false">IFERROR(INDEX(分录回款!$I:$I,MATCH($L1238,分录回款!$L:$L,0)),"")</f>
        <v/>
      </c>
      <c r="H1238" s="23"/>
      <c r="I1238" s="70"/>
      <c r="L1238" s="71" t="n">
        <f aca="false">IF(助手回款!$R$84="",-1,助手回款!$R$84*100+(助手回款!$S$84-1)*6+3)</f>
        <v>-1</v>
      </c>
    </row>
    <row r="1239" customFormat="false" ht="23.25" hidden="false" customHeight="true" outlineLevel="0" collapsed="false">
      <c r="B1239" s="67" t="str">
        <f aca="false">""</f>
        <v/>
      </c>
      <c r="C1239" s="67"/>
      <c r="D1239" s="23" t="str">
        <f aca="false">IFERROR(INDEX(分录回款!$E:$E,MATCH($L1239,分录回款!$L:$L,0)),"")</f>
        <v/>
      </c>
      <c r="E1239" s="23" t="str">
        <f aca="false">IFERROR(INDEX(分录回款!$F:$F,MATCH($L1239,分录回款!$L:$L,0)),"")</f>
        <v/>
      </c>
      <c r="F1239" s="68" t="str">
        <f aca="false">IFERROR(INDEX(分录回款!$H:$H,MATCH($L1239,分录回款!$L:$L,0)),"")</f>
        <v/>
      </c>
      <c r="G1239" s="69" t="str">
        <f aca="false">IFERROR(INDEX(分录回款!$I:$I,MATCH($L1239,分录回款!$L:$L,0)),"")</f>
        <v/>
      </c>
      <c r="H1239" s="23"/>
      <c r="I1239" s="70"/>
      <c r="L1239" s="71" t="n">
        <f aca="false">IF(助手回款!$R$84="",-1,助手回款!$R$84*100+(助手回款!$S$84-1)*6+4)</f>
        <v>-1</v>
      </c>
    </row>
    <row r="1240" customFormat="false" ht="23.25" hidden="false" customHeight="true" outlineLevel="0" collapsed="false">
      <c r="B1240" s="67" t="str">
        <f aca="false">""</f>
        <v/>
      </c>
      <c r="C1240" s="67"/>
      <c r="D1240" s="23" t="str">
        <f aca="false">IFERROR(INDEX(分录回款!$E:$E,MATCH($L1240,分录回款!$L:$L,0)),"")</f>
        <v/>
      </c>
      <c r="E1240" s="23" t="str">
        <f aca="false">IFERROR(INDEX(分录回款!$F:$F,MATCH($L1240,分录回款!$L:$L,0)),"")</f>
        <v/>
      </c>
      <c r="F1240" s="68" t="str">
        <f aca="false">IFERROR(INDEX(分录回款!$H:$H,MATCH($L1240,分录回款!$L:$L,0)),"")</f>
        <v/>
      </c>
      <c r="G1240" s="69" t="str">
        <f aca="false">IFERROR(INDEX(分录回款!$I:$I,MATCH($L1240,分录回款!$L:$L,0)),"")</f>
        <v/>
      </c>
      <c r="H1240" s="23"/>
      <c r="I1240" s="70"/>
      <c r="L1240" s="71" t="n">
        <f aca="false">IF(助手回款!$R$84="",-1,助手回款!$R$84*100+(助手回款!$S$84-1)*6+5)</f>
        <v>-1</v>
      </c>
    </row>
    <row r="1241" customFormat="false" ht="23.25" hidden="false" customHeight="true" outlineLevel="0" collapsed="false">
      <c r="B1241" s="67" t="str">
        <f aca="false">""</f>
        <v/>
      </c>
      <c r="C1241" s="67"/>
      <c r="D1241" s="23" t="str">
        <f aca="false">IFERROR(INDEX(分录回款!$E:$E,MATCH($L1241,分录回款!$L:$L,0)),"")</f>
        <v/>
      </c>
      <c r="E1241" s="23" t="str">
        <f aca="false">IFERROR(INDEX(分录回款!$F:$F,MATCH($L1241,分录回款!$L:$L,0)),"")</f>
        <v/>
      </c>
      <c r="F1241" s="68" t="str">
        <f aca="false">IFERROR(INDEX(分录回款!$H:$H,MATCH($L1241,分录回款!$L:$L,0)),"")</f>
        <v/>
      </c>
      <c r="G1241" s="69" t="str">
        <f aca="false">IFERROR(INDEX(分录回款!$I:$I,MATCH($L1241,分录回款!$L:$L,0)),"")</f>
        <v/>
      </c>
      <c r="H1241" s="23"/>
      <c r="I1241" s="70"/>
      <c r="L1241" s="71" t="n">
        <f aca="false">IF(助手回款!$R$84="",-1,助手回款!$R$84*100+(助手回款!$S$84-1)*6+6)</f>
        <v>-1</v>
      </c>
    </row>
    <row r="1242" customFormat="false" ht="23.25" hidden="false" customHeight="true" outlineLevel="0" collapsed="false">
      <c r="B1242" s="72" t="str">
        <f aca="false">IF(助手回款!$T$84=1,"合计：","")</f>
        <v/>
      </c>
      <c r="C1242" s="73" t="str">
        <f aca="false">IF(助手回款!$T$84=1,$F1242,"")</f>
        <v/>
      </c>
      <c r="D1242" s="74"/>
      <c r="E1242" s="74"/>
      <c r="F1242" s="75" t="str">
        <f aca="false">IF(助手回款!$T$84=1,INDEX(助手回款!$N$2:$N$66,助手回款!$R$84),"")</f>
        <v/>
      </c>
      <c r="G1242" s="76" t="str">
        <f aca="false">IF(助手回款!$T$84=1,INDEX(助手回款!$O$2:$O$66,助手回款!$R$84),"")</f>
        <v/>
      </c>
      <c r="H1242" s="74"/>
      <c r="I1242" s="77"/>
    </row>
    <row r="1243" customFormat="false" ht="6" hidden="false" customHeight="true" outlineLevel="0" collapsed="false"/>
    <row r="1244" customFormat="false" ht="13.5" hidden="false" customHeight="false" outlineLevel="0" collapsed="false">
      <c r="B1244" s="78" t="str">
        <f aca="false">IF(助手回款!$R$84&lt;&gt;"","会计主管：","")</f>
        <v/>
      </c>
      <c r="D1244" s="78" t="str">
        <f aca="false">IF(助手回款!$R$84&lt;&gt;"","会计：","")</f>
        <v/>
      </c>
      <c r="E1244" s="78" t="str">
        <f aca="false">IF(助手回款!$R$84&lt;&gt;"","出纳：","")</f>
        <v/>
      </c>
      <c r="F1244" s="78" t="str">
        <f aca="false">IF(助手回款!$R$84&lt;&gt;"","复核：","")</f>
        <v/>
      </c>
      <c r="G1244" s="78" t="str">
        <f aca="false">IF(助手回款!$R$84&lt;&gt;"","制单：","")</f>
        <v/>
      </c>
    </row>
    <row r="1245" customFormat="false" ht="3" hidden="false" customHeight="true" outlineLevel="0" collapsed="false"/>
    <row r="1246" customFormat="false" ht="19.5" hidden="false" customHeight="true" outlineLevel="0" collapsed="false">
      <c r="B1246" s="53" t="str">
        <f aca="false">IF(助手回款!$R$85&lt;&gt;"","记  账  凭  证","")</f>
        <v/>
      </c>
      <c r="C1246" s="53"/>
      <c r="D1246" s="53"/>
      <c r="E1246" s="53"/>
      <c r="F1246" s="53"/>
      <c r="G1246" s="53"/>
      <c r="H1246" s="53"/>
      <c r="I1246" s="53"/>
    </row>
    <row r="1247" customFormat="false" ht="3" hidden="false" customHeight="true" outlineLevel="0" collapsed="false"/>
    <row r="1248" customFormat="false" ht="15" hidden="false" customHeight="true" outlineLevel="0" collapsed="false">
      <c r="C1248" s="56" t="str">
        <f aca="false">IF(助手回款!$R$85&lt;&gt;"",INDEX(助手回款!$B$2:$B$66,助手回款!$R$85),"")</f>
        <v/>
      </c>
      <c r="D1248" s="57" t="str">
        <f aca="false">IF(助手回款!$R$85&lt;&gt;"",参数!$B$2,"")</f>
        <v/>
      </c>
      <c r="E1248" s="57"/>
      <c r="F1248" s="58" t="str">
        <f aca="false">IF(助手回款!$R$85&lt;&gt;"",INDEX(助手回款!$C$2:$C$66,助手回款!$R$85)&amp;"  字第 "&amp;IF(参数!$B$9="是",INDEX(助手回款!$P$2:$P$66,助手回款!$R$85),"　　　　")&amp;" 号"&amp;IF(INDEX(助手回款!$L$2:$L$66,助手回款!$R$85)&gt;1,"  (共"&amp;INDEX(助手回款!$L$2:$L$66,助手回款!$R$85)&amp;"页 第"&amp;助手回款!$S$85&amp;"页)",""),"")</f>
        <v/>
      </c>
      <c r="G1248" s="58"/>
      <c r="H1248" s="58"/>
      <c r="I1248" s="58"/>
      <c r="M1248" s="79" t="str">
        <f aca="false">IF(助手回款!$R$85="","",助手回款!$Q$85)</f>
        <v/>
      </c>
      <c r="N1248" s="80" t="str">
        <f aca="false">IF(助手回款!$R$85="","",INDEX(助手回款!$P$2:$P$66,助手回款!$R$85))</f>
        <v/>
      </c>
      <c r="O1248" s="55" t="str">
        <f aca="false">IF(助手回款!$R$85="","",INDEX(助手回款!$C$2:$C$66,助手回款!$R$85)&amp;"  字第 "&amp;INDEX(助手回款!$P$2:$P$66,助手回款!$R$85)&amp;" 号"&amp;IF(INDEX(助手回款!$L$2:$L$66,助手回款!$R$85)&gt;1,"  (共"&amp;INDEX(助手回款!$L$2:$L$66,助手回款!$R$85)&amp;"页 第"&amp;助手回款!$S$85&amp;"页)",""))</f>
        <v/>
      </c>
    </row>
    <row r="1249" customFormat="false" ht="12.75" hidden="false" customHeight="true" outlineLevel="0" collapsed="false">
      <c r="B1249" s="61" t="str">
        <f aca="false">IF(助手回款!$R$85&lt;&gt;"","摘　　要","")</f>
        <v/>
      </c>
      <c r="C1249" s="61"/>
      <c r="D1249" s="62" t="str">
        <f aca="false">IF(助手回款!$R$85&lt;&gt;"","科　　　　目","")</f>
        <v/>
      </c>
      <c r="E1249" s="62"/>
      <c r="F1249" s="61" t="str">
        <f aca="false">IF(助手回款!$R$85&lt;&gt;"","借 方 金 额","")</f>
        <v/>
      </c>
      <c r="G1249" s="62" t="str">
        <f aca="false">IF(助手回款!$R$85&lt;&gt;"","贷 方 金 额","")</f>
        <v/>
      </c>
      <c r="H1249" s="63" t="str">
        <f aca="false">IF(助手回款!$R$85&lt;&gt;"","√","")</f>
        <v/>
      </c>
      <c r="I1249" s="64" t="str">
        <f aca="false">IF(助手回款!$R$85&lt;&gt;"","附单据  张","")</f>
        <v/>
      </c>
    </row>
    <row r="1250" customFormat="false" ht="12.75" hidden="false" customHeight="true" outlineLevel="0" collapsed="false">
      <c r="B1250" s="61"/>
      <c r="C1250" s="61"/>
      <c r="D1250" s="23" t="str">
        <f aca="false">IF(助手回款!$R$85&lt;&gt;"","总 账 科 目","")</f>
        <v/>
      </c>
      <c r="E1250" s="23" t="str">
        <f aca="false">IF(助手回款!$R$85&lt;&gt;"","明 细 科 目","")</f>
        <v/>
      </c>
      <c r="F1250" s="65"/>
      <c r="G1250" s="66"/>
      <c r="H1250" s="63"/>
      <c r="I1250" s="64"/>
    </row>
    <row r="1251" customFormat="false" ht="23.25" hidden="false" customHeight="true" outlineLevel="0" collapsed="false">
      <c r="B1251" s="67" t="str">
        <f aca="false">IFERROR(INDEX(分录回款!$M:$M,MATCH($L1251,分录回款!$L:$L,0)),"")</f>
        <v/>
      </c>
      <c r="C1251" s="67"/>
      <c r="D1251" s="23" t="str">
        <f aca="false">IFERROR(INDEX(分录回款!$E:$E,MATCH($L1251,分录回款!$L:$L,0)),"")</f>
        <v/>
      </c>
      <c r="E1251" s="23" t="str">
        <f aca="false">IFERROR(INDEX(分录回款!$F:$F,MATCH($L1251,分录回款!$L:$L,0)),"")</f>
        <v/>
      </c>
      <c r="F1251" s="68" t="str">
        <f aca="false">IFERROR(INDEX(分录回款!$H:$H,MATCH($L1251,分录回款!$L:$L,0)),"")</f>
        <v/>
      </c>
      <c r="G1251" s="69" t="str">
        <f aca="false">IFERROR(INDEX(分录回款!$I:$I,MATCH($L1251,分录回款!$L:$L,0)),"")</f>
        <v/>
      </c>
      <c r="H1251" s="23"/>
      <c r="I1251" s="70"/>
      <c r="L1251" s="71" t="n">
        <f aca="false">IF(助手回款!$R$85="",-1,助手回款!$R$85*100+(助手回款!$S$85-1)*6+1)</f>
        <v>-1</v>
      </c>
    </row>
    <row r="1252" customFormat="false" ht="23.25" hidden="false" customHeight="true" outlineLevel="0" collapsed="false">
      <c r="B1252" s="67" t="str">
        <f aca="false">""</f>
        <v/>
      </c>
      <c r="C1252" s="67"/>
      <c r="D1252" s="23" t="str">
        <f aca="false">IFERROR(INDEX(分录回款!$E:$E,MATCH($L1252,分录回款!$L:$L,0)),"")</f>
        <v/>
      </c>
      <c r="E1252" s="23" t="str">
        <f aca="false">IFERROR(INDEX(分录回款!$F:$F,MATCH($L1252,分录回款!$L:$L,0)),"")</f>
        <v/>
      </c>
      <c r="F1252" s="68" t="str">
        <f aca="false">IFERROR(INDEX(分录回款!$H:$H,MATCH($L1252,分录回款!$L:$L,0)),"")</f>
        <v/>
      </c>
      <c r="G1252" s="69" t="str">
        <f aca="false">IFERROR(INDEX(分录回款!$I:$I,MATCH($L1252,分录回款!$L:$L,0)),"")</f>
        <v/>
      </c>
      <c r="H1252" s="23"/>
      <c r="I1252" s="70"/>
      <c r="L1252" s="71" t="n">
        <f aca="false">IF(助手回款!$R$85="",-1,助手回款!$R$85*100+(助手回款!$S$85-1)*6+2)</f>
        <v>-1</v>
      </c>
    </row>
    <row r="1253" customFormat="false" ht="23.25" hidden="false" customHeight="true" outlineLevel="0" collapsed="false">
      <c r="B1253" s="67" t="str">
        <f aca="false">""</f>
        <v/>
      </c>
      <c r="C1253" s="67"/>
      <c r="D1253" s="23" t="str">
        <f aca="false">IFERROR(INDEX(分录回款!$E:$E,MATCH($L1253,分录回款!$L:$L,0)),"")</f>
        <v/>
      </c>
      <c r="E1253" s="23" t="str">
        <f aca="false">IFERROR(INDEX(分录回款!$F:$F,MATCH($L1253,分录回款!$L:$L,0)),"")</f>
        <v/>
      </c>
      <c r="F1253" s="68" t="str">
        <f aca="false">IFERROR(INDEX(分录回款!$H:$H,MATCH($L1253,分录回款!$L:$L,0)),"")</f>
        <v/>
      </c>
      <c r="G1253" s="69" t="str">
        <f aca="false">IFERROR(INDEX(分录回款!$I:$I,MATCH($L1253,分录回款!$L:$L,0)),"")</f>
        <v/>
      </c>
      <c r="H1253" s="23"/>
      <c r="I1253" s="70"/>
      <c r="L1253" s="71" t="n">
        <f aca="false">IF(助手回款!$R$85="",-1,助手回款!$R$85*100+(助手回款!$S$85-1)*6+3)</f>
        <v>-1</v>
      </c>
    </row>
    <row r="1254" customFormat="false" ht="23.25" hidden="false" customHeight="true" outlineLevel="0" collapsed="false">
      <c r="B1254" s="67" t="str">
        <f aca="false">""</f>
        <v/>
      </c>
      <c r="C1254" s="67"/>
      <c r="D1254" s="23" t="str">
        <f aca="false">IFERROR(INDEX(分录回款!$E:$E,MATCH($L1254,分录回款!$L:$L,0)),"")</f>
        <v/>
      </c>
      <c r="E1254" s="23" t="str">
        <f aca="false">IFERROR(INDEX(分录回款!$F:$F,MATCH($L1254,分录回款!$L:$L,0)),"")</f>
        <v/>
      </c>
      <c r="F1254" s="68" t="str">
        <f aca="false">IFERROR(INDEX(分录回款!$H:$H,MATCH($L1254,分录回款!$L:$L,0)),"")</f>
        <v/>
      </c>
      <c r="G1254" s="69" t="str">
        <f aca="false">IFERROR(INDEX(分录回款!$I:$I,MATCH($L1254,分录回款!$L:$L,0)),"")</f>
        <v/>
      </c>
      <c r="H1254" s="23"/>
      <c r="I1254" s="70"/>
      <c r="L1254" s="71" t="n">
        <f aca="false">IF(助手回款!$R$85="",-1,助手回款!$R$85*100+(助手回款!$S$85-1)*6+4)</f>
        <v>-1</v>
      </c>
    </row>
    <row r="1255" customFormat="false" ht="23.25" hidden="false" customHeight="true" outlineLevel="0" collapsed="false">
      <c r="B1255" s="67" t="str">
        <f aca="false">""</f>
        <v/>
      </c>
      <c r="C1255" s="67"/>
      <c r="D1255" s="23" t="str">
        <f aca="false">IFERROR(INDEX(分录回款!$E:$E,MATCH($L1255,分录回款!$L:$L,0)),"")</f>
        <v/>
      </c>
      <c r="E1255" s="23" t="str">
        <f aca="false">IFERROR(INDEX(分录回款!$F:$F,MATCH($L1255,分录回款!$L:$L,0)),"")</f>
        <v/>
      </c>
      <c r="F1255" s="68" t="str">
        <f aca="false">IFERROR(INDEX(分录回款!$H:$H,MATCH($L1255,分录回款!$L:$L,0)),"")</f>
        <v/>
      </c>
      <c r="G1255" s="69" t="str">
        <f aca="false">IFERROR(INDEX(分录回款!$I:$I,MATCH($L1255,分录回款!$L:$L,0)),"")</f>
        <v/>
      </c>
      <c r="H1255" s="23"/>
      <c r="I1255" s="70"/>
      <c r="L1255" s="71" t="n">
        <f aca="false">IF(助手回款!$R$85="",-1,助手回款!$R$85*100+(助手回款!$S$85-1)*6+5)</f>
        <v>-1</v>
      </c>
    </row>
    <row r="1256" customFormat="false" ht="23.25" hidden="false" customHeight="true" outlineLevel="0" collapsed="false">
      <c r="B1256" s="67" t="str">
        <f aca="false">""</f>
        <v/>
      </c>
      <c r="C1256" s="67"/>
      <c r="D1256" s="23" t="str">
        <f aca="false">IFERROR(INDEX(分录回款!$E:$E,MATCH($L1256,分录回款!$L:$L,0)),"")</f>
        <v/>
      </c>
      <c r="E1256" s="23" t="str">
        <f aca="false">IFERROR(INDEX(分录回款!$F:$F,MATCH($L1256,分录回款!$L:$L,0)),"")</f>
        <v/>
      </c>
      <c r="F1256" s="68" t="str">
        <f aca="false">IFERROR(INDEX(分录回款!$H:$H,MATCH($L1256,分录回款!$L:$L,0)),"")</f>
        <v/>
      </c>
      <c r="G1256" s="69" t="str">
        <f aca="false">IFERROR(INDEX(分录回款!$I:$I,MATCH($L1256,分录回款!$L:$L,0)),"")</f>
        <v/>
      </c>
      <c r="H1256" s="23"/>
      <c r="I1256" s="70"/>
      <c r="L1256" s="71" t="n">
        <f aca="false">IF(助手回款!$R$85="",-1,助手回款!$R$85*100+(助手回款!$S$85-1)*6+6)</f>
        <v>-1</v>
      </c>
    </row>
    <row r="1257" customFormat="false" ht="23.25" hidden="false" customHeight="true" outlineLevel="0" collapsed="false">
      <c r="B1257" s="72" t="str">
        <f aca="false">IF(助手回款!$T$85=1,"合计：","")</f>
        <v/>
      </c>
      <c r="C1257" s="73" t="str">
        <f aca="false">IF(助手回款!$T$85=1,$F1257,"")</f>
        <v/>
      </c>
      <c r="D1257" s="74"/>
      <c r="E1257" s="74"/>
      <c r="F1257" s="75" t="str">
        <f aca="false">IF(助手回款!$T$85=1,INDEX(助手回款!$N$2:$N$66,助手回款!$R$85),"")</f>
        <v/>
      </c>
      <c r="G1257" s="76" t="str">
        <f aca="false">IF(助手回款!$T$85=1,INDEX(助手回款!$O$2:$O$66,助手回款!$R$85),"")</f>
        <v/>
      </c>
      <c r="H1257" s="74"/>
      <c r="I1257" s="77"/>
    </row>
    <row r="1258" customFormat="false" ht="6" hidden="false" customHeight="true" outlineLevel="0" collapsed="false"/>
    <row r="1259" customFormat="false" ht="13.5" hidden="false" customHeight="false" outlineLevel="0" collapsed="false">
      <c r="B1259" s="78" t="str">
        <f aca="false">IF(助手回款!$R$85&lt;&gt;"","会计主管：","")</f>
        <v/>
      </c>
      <c r="D1259" s="78" t="str">
        <f aca="false">IF(助手回款!$R$85&lt;&gt;"","会计：","")</f>
        <v/>
      </c>
      <c r="E1259" s="78" t="str">
        <f aca="false">IF(助手回款!$R$85&lt;&gt;"","出纳：","")</f>
        <v/>
      </c>
      <c r="F1259" s="78" t="str">
        <f aca="false">IF(助手回款!$R$85&lt;&gt;"","复核：","")</f>
        <v/>
      </c>
      <c r="G1259" s="78" t="str">
        <f aca="false">IF(助手回款!$R$85&lt;&gt;"","制单：","")</f>
        <v/>
      </c>
    </row>
    <row r="1260" customFormat="false" ht="3" hidden="false" customHeight="true" outlineLevel="0" collapsed="false"/>
    <row r="1261" customFormat="false" ht="19.5" hidden="false" customHeight="true" outlineLevel="0" collapsed="false">
      <c r="B1261" s="53" t="str">
        <f aca="false">IF(助手回款!$R$86&lt;&gt;"","记  账  凭  证","")</f>
        <v/>
      </c>
      <c r="C1261" s="53"/>
      <c r="D1261" s="53"/>
      <c r="E1261" s="53"/>
      <c r="F1261" s="53"/>
      <c r="G1261" s="53"/>
      <c r="H1261" s="53"/>
      <c r="I1261" s="53"/>
    </row>
    <row r="1262" customFormat="false" ht="3" hidden="false" customHeight="true" outlineLevel="0" collapsed="false"/>
    <row r="1263" customFormat="false" ht="15" hidden="false" customHeight="true" outlineLevel="0" collapsed="false">
      <c r="C1263" s="56" t="str">
        <f aca="false">IF(助手回款!$R$86&lt;&gt;"",INDEX(助手回款!$B$2:$B$66,助手回款!$R$86),"")</f>
        <v/>
      </c>
      <c r="D1263" s="57" t="str">
        <f aca="false">IF(助手回款!$R$86&lt;&gt;"",参数!$B$2,"")</f>
        <v/>
      </c>
      <c r="E1263" s="57"/>
      <c r="F1263" s="58" t="str">
        <f aca="false">IF(助手回款!$R$86&lt;&gt;"",INDEX(助手回款!$C$2:$C$66,助手回款!$R$86)&amp;"  字第 "&amp;IF(参数!$B$9="是",INDEX(助手回款!$P$2:$P$66,助手回款!$R$86),"　　　　")&amp;" 号"&amp;IF(INDEX(助手回款!$L$2:$L$66,助手回款!$R$86)&gt;1,"  (共"&amp;INDEX(助手回款!$L$2:$L$66,助手回款!$R$86)&amp;"页 第"&amp;助手回款!$S$86&amp;"页)",""),"")</f>
        <v/>
      </c>
      <c r="G1263" s="58"/>
      <c r="H1263" s="58"/>
      <c r="I1263" s="58"/>
      <c r="M1263" s="79" t="str">
        <f aca="false">IF(助手回款!$R$86="","",助手回款!$Q$86)</f>
        <v/>
      </c>
      <c r="N1263" s="80" t="str">
        <f aca="false">IF(助手回款!$R$86="","",INDEX(助手回款!$P$2:$P$66,助手回款!$R$86))</f>
        <v/>
      </c>
      <c r="O1263" s="55" t="str">
        <f aca="false">IF(助手回款!$R$86="","",INDEX(助手回款!$C$2:$C$66,助手回款!$R$86)&amp;"  字第 "&amp;INDEX(助手回款!$P$2:$P$66,助手回款!$R$86)&amp;" 号"&amp;IF(INDEX(助手回款!$L$2:$L$66,助手回款!$R$86)&gt;1,"  (共"&amp;INDEX(助手回款!$L$2:$L$66,助手回款!$R$86)&amp;"页 第"&amp;助手回款!$S$86&amp;"页)",""))</f>
        <v/>
      </c>
    </row>
    <row r="1264" customFormat="false" ht="12.75" hidden="false" customHeight="true" outlineLevel="0" collapsed="false">
      <c r="B1264" s="61" t="str">
        <f aca="false">IF(助手回款!$R$86&lt;&gt;"","摘　　要","")</f>
        <v/>
      </c>
      <c r="C1264" s="61"/>
      <c r="D1264" s="62" t="str">
        <f aca="false">IF(助手回款!$R$86&lt;&gt;"","科　　　　目","")</f>
        <v/>
      </c>
      <c r="E1264" s="62"/>
      <c r="F1264" s="61" t="str">
        <f aca="false">IF(助手回款!$R$86&lt;&gt;"","借 方 金 额","")</f>
        <v/>
      </c>
      <c r="G1264" s="62" t="str">
        <f aca="false">IF(助手回款!$R$86&lt;&gt;"","贷 方 金 额","")</f>
        <v/>
      </c>
      <c r="H1264" s="63" t="str">
        <f aca="false">IF(助手回款!$R$86&lt;&gt;"","√","")</f>
        <v/>
      </c>
      <c r="I1264" s="64" t="str">
        <f aca="false">IF(助手回款!$R$86&lt;&gt;"","附单据  张","")</f>
        <v/>
      </c>
    </row>
    <row r="1265" customFormat="false" ht="12.75" hidden="false" customHeight="true" outlineLevel="0" collapsed="false">
      <c r="B1265" s="61"/>
      <c r="C1265" s="61"/>
      <c r="D1265" s="23" t="str">
        <f aca="false">IF(助手回款!$R$86&lt;&gt;"","总 账 科 目","")</f>
        <v/>
      </c>
      <c r="E1265" s="23" t="str">
        <f aca="false">IF(助手回款!$R$86&lt;&gt;"","明 细 科 目","")</f>
        <v/>
      </c>
      <c r="F1265" s="65"/>
      <c r="G1265" s="66"/>
      <c r="H1265" s="63"/>
      <c r="I1265" s="64"/>
    </row>
    <row r="1266" customFormat="false" ht="23.25" hidden="false" customHeight="true" outlineLevel="0" collapsed="false">
      <c r="B1266" s="67" t="str">
        <f aca="false">IFERROR(INDEX(分录回款!$M:$M,MATCH($L1266,分录回款!$L:$L,0)),"")</f>
        <v/>
      </c>
      <c r="C1266" s="67"/>
      <c r="D1266" s="23" t="str">
        <f aca="false">IFERROR(INDEX(分录回款!$E:$E,MATCH($L1266,分录回款!$L:$L,0)),"")</f>
        <v/>
      </c>
      <c r="E1266" s="23" t="str">
        <f aca="false">IFERROR(INDEX(分录回款!$F:$F,MATCH($L1266,分录回款!$L:$L,0)),"")</f>
        <v/>
      </c>
      <c r="F1266" s="68" t="str">
        <f aca="false">IFERROR(INDEX(分录回款!$H:$H,MATCH($L1266,分录回款!$L:$L,0)),"")</f>
        <v/>
      </c>
      <c r="G1266" s="69" t="str">
        <f aca="false">IFERROR(INDEX(分录回款!$I:$I,MATCH($L1266,分录回款!$L:$L,0)),"")</f>
        <v/>
      </c>
      <c r="H1266" s="23"/>
      <c r="I1266" s="70"/>
      <c r="L1266" s="71" t="n">
        <f aca="false">IF(助手回款!$R$86="",-1,助手回款!$R$86*100+(助手回款!$S$86-1)*6+1)</f>
        <v>-1</v>
      </c>
    </row>
    <row r="1267" customFormat="false" ht="23.25" hidden="false" customHeight="true" outlineLevel="0" collapsed="false">
      <c r="B1267" s="67" t="str">
        <f aca="false">""</f>
        <v/>
      </c>
      <c r="C1267" s="67"/>
      <c r="D1267" s="23" t="str">
        <f aca="false">IFERROR(INDEX(分录回款!$E:$E,MATCH($L1267,分录回款!$L:$L,0)),"")</f>
        <v/>
      </c>
      <c r="E1267" s="23" t="str">
        <f aca="false">IFERROR(INDEX(分录回款!$F:$F,MATCH($L1267,分录回款!$L:$L,0)),"")</f>
        <v/>
      </c>
      <c r="F1267" s="68" t="str">
        <f aca="false">IFERROR(INDEX(分录回款!$H:$H,MATCH($L1267,分录回款!$L:$L,0)),"")</f>
        <v/>
      </c>
      <c r="G1267" s="69" t="str">
        <f aca="false">IFERROR(INDEX(分录回款!$I:$I,MATCH($L1267,分录回款!$L:$L,0)),"")</f>
        <v/>
      </c>
      <c r="H1267" s="23"/>
      <c r="I1267" s="70"/>
      <c r="L1267" s="71" t="n">
        <f aca="false">IF(助手回款!$R$86="",-1,助手回款!$R$86*100+(助手回款!$S$86-1)*6+2)</f>
        <v>-1</v>
      </c>
    </row>
    <row r="1268" customFormat="false" ht="23.25" hidden="false" customHeight="true" outlineLevel="0" collapsed="false">
      <c r="B1268" s="67" t="str">
        <f aca="false">""</f>
        <v/>
      </c>
      <c r="C1268" s="67"/>
      <c r="D1268" s="23" t="str">
        <f aca="false">IFERROR(INDEX(分录回款!$E:$E,MATCH($L1268,分录回款!$L:$L,0)),"")</f>
        <v/>
      </c>
      <c r="E1268" s="23" t="str">
        <f aca="false">IFERROR(INDEX(分录回款!$F:$F,MATCH($L1268,分录回款!$L:$L,0)),"")</f>
        <v/>
      </c>
      <c r="F1268" s="68" t="str">
        <f aca="false">IFERROR(INDEX(分录回款!$H:$H,MATCH($L1268,分录回款!$L:$L,0)),"")</f>
        <v/>
      </c>
      <c r="G1268" s="69" t="str">
        <f aca="false">IFERROR(INDEX(分录回款!$I:$I,MATCH($L1268,分录回款!$L:$L,0)),"")</f>
        <v/>
      </c>
      <c r="H1268" s="23"/>
      <c r="I1268" s="70"/>
      <c r="L1268" s="71" t="n">
        <f aca="false">IF(助手回款!$R$86="",-1,助手回款!$R$86*100+(助手回款!$S$86-1)*6+3)</f>
        <v>-1</v>
      </c>
    </row>
    <row r="1269" customFormat="false" ht="23.25" hidden="false" customHeight="true" outlineLevel="0" collapsed="false">
      <c r="B1269" s="67" t="str">
        <f aca="false">""</f>
        <v/>
      </c>
      <c r="C1269" s="67"/>
      <c r="D1269" s="23" t="str">
        <f aca="false">IFERROR(INDEX(分录回款!$E:$E,MATCH($L1269,分录回款!$L:$L,0)),"")</f>
        <v/>
      </c>
      <c r="E1269" s="23" t="str">
        <f aca="false">IFERROR(INDEX(分录回款!$F:$F,MATCH($L1269,分录回款!$L:$L,0)),"")</f>
        <v/>
      </c>
      <c r="F1269" s="68" t="str">
        <f aca="false">IFERROR(INDEX(分录回款!$H:$H,MATCH($L1269,分录回款!$L:$L,0)),"")</f>
        <v/>
      </c>
      <c r="G1269" s="69" t="str">
        <f aca="false">IFERROR(INDEX(分录回款!$I:$I,MATCH($L1269,分录回款!$L:$L,0)),"")</f>
        <v/>
      </c>
      <c r="H1269" s="23"/>
      <c r="I1269" s="70"/>
      <c r="L1269" s="71" t="n">
        <f aca="false">IF(助手回款!$R$86="",-1,助手回款!$R$86*100+(助手回款!$S$86-1)*6+4)</f>
        <v>-1</v>
      </c>
    </row>
    <row r="1270" customFormat="false" ht="23.25" hidden="false" customHeight="true" outlineLevel="0" collapsed="false">
      <c r="B1270" s="67" t="str">
        <f aca="false">""</f>
        <v/>
      </c>
      <c r="C1270" s="67"/>
      <c r="D1270" s="23" t="str">
        <f aca="false">IFERROR(INDEX(分录回款!$E:$E,MATCH($L1270,分录回款!$L:$L,0)),"")</f>
        <v/>
      </c>
      <c r="E1270" s="23" t="str">
        <f aca="false">IFERROR(INDEX(分录回款!$F:$F,MATCH($L1270,分录回款!$L:$L,0)),"")</f>
        <v/>
      </c>
      <c r="F1270" s="68" t="str">
        <f aca="false">IFERROR(INDEX(分录回款!$H:$H,MATCH($L1270,分录回款!$L:$L,0)),"")</f>
        <v/>
      </c>
      <c r="G1270" s="69" t="str">
        <f aca="false">IFERROR(INDEX(分录回款!$I:$I,MATCH($L1270,分录回款!$L:$L,0)),"")</f>
        <v/>
      </c>
      <c r="H1270" s="23"/>
      <c r="I1270" s="70"/>
      <c r="L1270" s="71" t="n">
        <f aca="false">IF(助手回款!$R$86="",-1,助手回款!$R$86*100+(助手回款!$S$86-1)*6+5)</f>
        <v>-1</v>
      </c>
    </row>
    <row r="1271" customFormat="false" ht="23.25" hidden="false" customHeight="true" outlineLevel="0" collapsed="false">
      <c r="B1271" s="67" t="str">
        <f aca="false">""</f>
        <v/>
      </c>
      <c r="C1271" s="67"/>
      <c r="D1271" s="23" t="str">
        <f aca="false">IFERROR(INDEX(分录回款!$E:$E,MATCH($L1271,分录回款!$L:$L,0)),"")</f>
        <v/>
      </c>
      <c r="E1271" s="23" t="str">
        <f aca="false">IFERROR(INDEX(分录回款!$F:$F,MATCH($L1271,分录回款!$L:$L,0)),"")</f>
        <v/>
      </c>
      <c r="F1271" s="68" t="str">
        <f aca="false">IFERROR(INDEX(分录回款!$H:$H,MATCH($L1271,分录回款!$L:$L,0)),"")</f>
        <v/>
      </c>
      <c r="G1271" s="69" t="str">
        <f aca="false">IFERROR(INDEX(分录回款!$I:$I,MATCH($L1271,分录回款!$L:$L,0)),"")</f>
        <v/>
      </c>
      <c r="H1271" s="23"/>
      <c r="I1271" s="70"/>
      <c r="L1271" s="71" t="n">
        <f aca="false">IF(助手回款!$R$86="",-1,助手回款!$R$86*100+(助手回款!$S$86-1)*6+6)</f>
        <v>-1</v>
      </c>
    </row>
    <row r="1272" customFormat="false" ht="23.25" hidden="false" customHeight="true" outlineLevel="0" collapsed="false">
      <c r="B1272" s="72" t="str">
        <f aca="false">IF(助手回款!$T$86=1,"合计：","")</f>
        <v/>
      </c>
      <c r="C1272" s="73" t="str">
        <f aca="false">IF(助手回款!$T$86=1,$F1272,"")</f>
        <v/>
      </c>
      <c r="D1272" s="74"/>
      <c r="E1272" s="74"/>
      <c r="F1272" s="75" t="str">
        <f aca="false">IF(助手回款!$T$86=1,INDEX(助手回款!$N$2:$N$66,助手回款!$R$86),"")</f>
        <v/>
      </c>
      <c r="G1272" s="76" t="str">
        <f aca="false">IF(助手回款!$T$86=1,INDEX(助手回款!$O$2:$O$66,助手回款!$R$86),"")</f>
        <v/>
      </c>
      <c r="H1272" s="74"/>
      <c r="I1272" s="77"/>
    </row>
    <row r="1273" customFormat="false" ht="6" hidden="false" customHeight="true" outlineLevel="0" collapsed="false"/>
    <row r="1274" customFormat="false" ht="13.5" hidden="false" customHeight="false" outlineLevel="0" collapsed="false">
      <c r="B1274" s="78" t="str">
        <f aca="false">IF(助手回款!$R$86&lt;&gt;"","会计主管：","")</f>
        <v/>
      </c>
      <c r="D1274" s="78" t="str">
        <f aca="false">IF(助手回款!$R$86&lt;&gt;"","会计：","")</f>
        <v/>
      </c>
      <c r="E1274" s="78" t="str">
        <f aca="false">IF(助手回款!$R$86&lt;&gt;"","出纳：","")</f>
        <v/>
      </c>
      <c r="F1274" s="78" t="str">
        <f aca="false">IF(助手回款!$R$86&lt;&gt;"","复核：","")</f>
        <v/>
      </c>
      <c r="G1274" s="78" t="str">
        <f aca="false">IF(助手回款!$R$86&lt;&gt;"","制单：","")</f>
        <v/>
      </c>
    </row>
    <row r="1275" customFormat="false" ht="3" hidden="false" customHeight="true" outlineLevel="0" collapsed="false"/>
    <row r="1276" customFormat="false" ht="19.5" hidden="false" customHeight="true" outlineLevel="0" collapsed="false">
      <c r="B1276" s="53" t="str">
        <f aca="false">IF(助手回款!$R$87&lt;&gt;"","记  账  凭  证","")</f>
        <v/>
      </c>
      <c r="C1276" s="53"/>
      <c r="D1276" s="53"/>
      <c r="E1276" s="53"/>
      <c r="F1276" s="53"/>
      <c r="G1276" s="53"/>
      <c r="H1276" s="53"/>
      <c r="I1276" s="53"/>
    </row>
    <row r="1277" customFormat="false" ht="3" hidden="false" customHeight="true" outlineLevel="0" collapsed="false"/>
    <row r="1278" customFormat="false" ht="15" hidden="false" customHeight="true" outlineLevel="0" collapsed="false">
      <c r="C1278" s="56" t="str">
        <f aca="false">IF(助手回款!$R$87&lt;&gt;"",INDEX(助手回款!$B$2:$B$66,助手回款!$R$87),"")</f>
        <v/>
      </c>
      <c r="D1278" s="57" t="str">
        <f aca="false">IF(助手回款!$R$87&lt;&gt;"",参数!$B$2,"")</f>
        <v/>
      </c>
      <c r="E1278" s="57"/>
      <c r="F1278" s="58" t="str">
        <f aca="false">IF(助手回款!$R$87&lt;&gt;"",INDEX(助手回款!$C$2:$C$66,助手回款!$R$87)&amp;"  字第 "&amp;IF(参数!$B$9="是",INDEX(助手回款!$P$2:$P$66,助手回款!$R$87),"　　　　")&amp;" 号"&amp;IF(INDEX(助手回款!$L$2:$L$66,助手回款!$R$87)&gt;1,"  (共"&amp;INDEX(助手回款!$L$2:$L$66,助手回款!$R$87)&amp;"页 第"&amp;助手回款!$S$87&amp;"页)",""),"")</f>
        <v/>
      </c>
      <c r="G1278" s="58"/>
      <c r="H1278" s="58"/>
      <c r="I1278" s="58"/>
      <c r="M1278" s="79" t="str">
        <f aca="false">IF(助手回款!$R$87="","",助手回款!$Q$87)</f>
        <v/>
      </c>
      <c r="N1278" s="80" t="str">
        <f aca="false">IF(助手回款!$R$87="","",INDEX(助手回款!$P$2:$P$66,助手回款!$R$87))</f>
        <v/>
      </c>
      <c r="O1278" s="55" t="str">
        <f aca="false">IF(助手回款!$R$87="","",INDEX(助手回款!$C$2:$C$66,助手回款!$R$87)&amp;"  字第 "&amp;INDEX(助手回款!$P$2:$P$66,助手回款!$R$87)&amp;" 号"&amp;IF(INDEX(助手回款!$L$2:$L$66,助手回款!$R$87)&gt;1,"  (共"&amp;INDEX(助手回款!$L$2:$L$66,助手回款!$R$87)&amp;"页 第"&amp;助手回款!$S$87&amp;"页)",""))</f>
        <v/>
      </c>
    </row>
    <row r="1279" customFormat="false" ht="12.75" hidden="false" customHeight="true" outlineLevel="0" collapsed="false">
      <c r="B1279" s="61" t="str">
        <f aca="false">IF(助手回款!$R$87&lt;&gt;"","摘　　要","")</f>
        <v/>
      </c>
      <c r="C1279" s="61"/>
      <c r="D1279" s="62" t="str">
        <f aca="false">IF(助手回款!$R$87&lt;&gt;"","科　　　　目","")</f>
        <v/>
      </c>
      <c r="E1279" s="62"/>
      <c r="F1279" s="61" t="str">
        <f aca="false">IF(助手回款!$R$87&lt;&gt;"","借 方 金 额","")</f>
        <v/>
      </c>
      <c r="G1279" s="62" t="str">
        <f aca="false">IF(助手回款!$R$87&lt;&gt;"","贷 方 金 额","")</f>
        <v/>
      </c>
      <c r="H1279" s="63" t="str">
        <f aca="false">IF(助手回款!$R$87&lt;&gt;"","√","")</f>
        <v/>
      </c>
      <c r="I1279" s="64" t="str">
        <f aca="false">IF(助手回款!$R$87&lt;&gt;"","附单据  张","")</f>
        <v/>
      </c>
    </row>
    <row r="1280" customFormat="false" ht="12.75" hidden="false" customHeight="true" outlineLevel="0" collapsed="false">
      <c r="B1280" s="61"/>
      <c r="C1280" s="61"/>
      <c r="D1280" s="23" t="str">
        <f aca="false">IF(助手回款!$R$87&lt;&gt;"","总 账 科 目","")</f>
        <v/>
      </c>
      <c r="E1280" s="23" t="str">
        <f aca="false">IF(助手回款!$R$87&lt;&gt;"","明 细 科 目","")</f>
        <v/>
      </c>
      <c r="F1280" s="65"/>
      <c r="G1280" s="66"/>
      <c r="H1280" s="63"/>
      <c r="I1280" s="64"/>
    </row>
    <row r="1281" customFormat="false" ht="23.25" hidden="false" customHeight="true" outlineLevel="0" collapsed="false">
      <c r="B1281" s="67" t="str">
        <f aca="false">IFERROR(INDEX(分录回款!$M:$M,MATCH($L1281,分录回款!$L:$L,0)),"")</f>
        <v/>
      </c>
      <c r="C1281" s="67"/>
      <c r="D1281" s="23" t="str">
        <f aca="false">IFERROR(INDEX(分录回款!$E:$E,MATCH($L1281,分录回款!$L:$L,0)),"")</f>
        <v/>
      </c>
      <c r="E1281" s="23" t="str">
        <f aca="false">IFERROR(INDEX(分录回款!$F:$F,MATCH($L1281,分录回款!$L:$L,0)),"")</f>
        <v/>
      </c>
      <c r="F1281" s="68" t="str">
        <f aca="false">IFERROR(INDEX(分录回款!$H:$H,MATCH($L1281,分录回款!$L:$L,0)),"")</f>
        <v/>
      </c>
      <c r="G1281" s="69" t="str">
        <f aca="false">IFERROR(INDEX(分录回款!$I:$I,MATCH($L1281,分录回款!$L:$L,0)),"")</f>
        <v/>
      </c>
      <c r="H1281" s="23"/>
      <c r="I1281" s="70"/>
      <c r="L1281" s="71" t="n">
        <f aca="false">IF(助手回款!$R$87="",-1,助手回款!$R$87*100+(助手回款!$S$87-1)*6+1)</f>
        <v>-1</v>
      </c>
    </row>
    <row r="1282" customFormat="false" ht="23.25" hidden="false" customHeight="true" outlineLevel="0" collapsed="false">
      <c r="B1282" s="67" t="str">
        <f aca="false">""</f>
        <v/>
      </c>
      <c r="C1282" s="67"/>
      <c r="D1282" s="23" t="str">
        <f aca="false">IFERROR(INDEX(分录回款!$E:$E,MATCH($L1282,分录回款!$L:$L,0)),"")</f>
        <v/>
      </c>
      <c r="E1282" s="23" t="str">
        <f aca="false">IFERROR(INDEX(分录回款!$F:$F,MATCH($L1282,分录回款!$L:$L,0)),"")</f>
        <v/>
      </c>
      <c r="F1282" s="68" t="str">
        <f aca="false">IFERROR(INDEX(分录回款!$H:$H,MATCH($L1282,分录回款!$L:$L,0)),"")</f>
        <v/>
      </c>
      <c r="G1282" s="69" t="str">
        <f aca="false">IFERROR(INDEX(分录回款!$I:$I,MATCH($L1282,分录回款!$L:$L,0)),"")</f>
        <v/>
      </c>
      <c r="H1282" s="23"/>
      <c r="I1282" s="70"/>
      <c r="L1282" s="71" t="n">
        <f aca="false">IF(助手回款!$R$87="",-1,助手回款!$R$87*100+(助手回款!$S$87-1)*6+2)</f>
        <v>-1</v>
      </c>
    </row>
    <row r="1283" customFormat="false" ht="23.25" hidden="false" customHeight="true" outlineLevel="0" collapsed="false">
      <c r="B1283" s="67" t="str">
        <f aca="false">""</f>
        <v/>
      </c>
      <c r="C1283" s="67"/>
      <c r="D1283" s="23" t="str">
        <f aca="false">IFERROR(INDEX(分录回款!$E:$E,MATCH($L1283,分录回款!$L:$L,0)),"")</f>
        <v/>
      </c>
      <c r="E1283" s="23" t="str">
        <f aca="false">IFERROR(INDEX(分录回款!$F:$F,MATCH($L1283,分录回款!$L:$L,0)),"")</f>
        <v/>
      </c>
      <c r="F1283" s="68" t="str">
        <f aca="false">IFERROR(INDEX(分录回款!$H:$H,MATCH($L1283,分录回款!$L:$L,0)),"")</f>
        <v/>
      </c>
      <c r="G1283" s="69" t="str">
        <f aca="false">IFERROR(INDEX(分录回款!$I:$I,MATCH($L1283,分录回款!$L:$L,0)),"")</f>
        <v/>
      </c>
      <c r="H1283" s="23"/>
      <c r="I1283" s="70"/>
      <c r="L1283" s="71" t="n">
        <f aca="false">IF(助手回款!$R$87="",-1,助手回款!$R$87*100+(助手回款!$S$87-1)*6+3)</f>
        <v>-1</v>
      </c>
    </row>
    <row r="1284" customFormat="false" ht="23.25" hidden="false" customHeight="true" outlineLevel="0" collapsed="false">
      <c r="B1284" s="67" t="str">
        <f aca="false">""</f>
        <v/>
      </c>
      <c r="C1284" s="67"/>
      <c r="D1284" s="23" t="str">
        <f aca="false">IFERROR(INDEX(分录回款!$E:$E,MATCH($L1284,分录回款!$L:$L,0)),"")</f>
        <v/>
      </c>
      <c r="E1284" s="23" t="str">
        <f aca="false">IFERROR(INDEX(分录回款!$F:$F,MATCH($L1284,分录回款!$L:$L,0)),"")</f>
        <v/>
      </c>
      <c r="F1284" s="68" t="str">
        <f aca="false">IFERROR(INDEX(分录回款!$H:$H,MATCH($L1284,分录回款!$L:$L,0)),"")</f>
        <v/>
      </c>
      <c r="G1284" s="69" t="str">
        <f aca="false">IFERROR(INDEX(分录回款!$I:$I,MATCH($L1284,分录回款!$L:$L,0)),"")</f>
        <v/>
      </c>
      <c r="H1284" s="23"/>
      <c r="I1284" s="70"/>
      <c r="L1284" s="71" t="n">
        <f aca="false">IF(助手回款!$R$87="",-1,助手回款!$R$87*100+(助手回款!$S$87-1)*6+4)</f>
        <v>-1</v>
      </c>
    </row>
    <row r="1285" customFormat="false" ht="23.25" hidden="false" customHeight="true" outlineLevel="0" collapsed="false">
      <c r="B1285" s="67" t="str">
        <f aca="false">""</f>
        <v/>
      </c>
      <c r="C1285" s="67"/>
      <c r="D1285" s="23" t="str">
        <f aca="false">IFERROR(INDEX(分录回款!$E:$E,MATCH($L1285,分录回款!$L:$L,0)),"")</f>
        <v/>
      </c>
      <c r="E1285" s="23" t="str">
        <f aca="false">IFERROR(INDEX(分录回款!$F:$F,MATCH($L1285,分录回款!$L:$L,0)),"")</f>
        <v/>
      </c>
      <c r="F1285" s="68" t="str">
        <f aca="false">IFERROR(INDEX(分录回款!$H:$H,MATCH($L1285,分录回款!$L:$L,0)),"")</f>
        <v/>
      </c>
      <c r="G1285" s="69" t="str">
        <f aca="false">IFERROR(INDEX(分录回款!$I:$I,MATCH($L1285,分录回款!$L:$L,0)),"")</f>
        <v/>
      </c>
      <c r="H1285" s="23"/>
      <c r="I1285" s="70"/>
      <c r="L1285" s="71" t="n">
        <f aca="false">IF(助手回款!$R$87="",-1,助手回款!$R$87*100+(助手回款!$S$87-1)*6+5)</f>
        <v>-1</v>
      </c>
    </row>
    <row r="1286" customFormat="false" ht="23.25" hidden="false" customHeight="true" outlineLevel="0" collapsed="false">
      <c r="B1286" s="67" t="str">
        <f aca="false">""</f>
        <v/>
      </c>
      <c r="C1286" s="67"/>
      <c r="D1286" s="23" t="str">
        <f aca="false">IFERROR(INDEX(分录回款!$E:$E,MATCH($L1286,分录回款!$L:$L,0)),"")</f>
        <v/>
      </c>
      <c r="E1286" s="23" t="str">
        <f aca="false">IFERROR(INDEX(分录回款!$F:$F,MATCH($L1286,分录回款!$L:$L,0)),"")</f>
        <v/>
      </c>
      <c r="F1286" s="68" t="str">
        <f aca="false">IFERROR(INDEX(分录回款!$H:$H,MATCH($L1286,分录回款!$L:$L,0)),"")</f>
        <v/>
      </c>
      <c r="G1286" s="69" t="str">
        <f aca="false">IFERROR(INDEX(分录回款!$I:$I,MATCH($L1286,分录回款!$L:$L,0)),"")</f>
        <v/>
      </c>
      <c r="H1286" s="23"/>
      <c r="I1286" s="70"/>
      <c r="L1286" s="71" t="n">
        <f aca="false">IF(助手回款!$R$87="",-1,助手回款!$R$87*100+(助手回款!$S$87-1)*6+6)</f>
        <v>-1</v>
      </c>
    </row>
    <row r="1287" customFormat="false" ht="23.25" hidden="false" customHeight="true" outlineLevel="0" collapsed="false">
      <c r="B1287" s="72" t="str">
        <f aca="false">IF(助手回款!$T$87=1,"合计：","")</f>
        <v/>
      </c>
      <c r="C1287" s="73" t="str">
        <f aca="false">IF(助手回款!$T$87=1,$F1287,"")</f>
        <v/>
      </c>
      <c r="D1287" s="74"/>
      <c r="E1287" s="74"/>
      <c r="F1287" s="75" t="str">
        <f aca="false">IF(助手回款!$T$87=1,INDEX(助手回款!$N$2:$N$66,助手回款!$R$87),"")</f>
        <v/>
      </c>
      <c r="G1287" s="76" t="str">
        <f aca="false">IF(助手回款!$T$87=1,INDEX(助手回款!$O$2:$O$66,助手回款!$R$87),"")</f>
        <v/>
      </c>
      <c r="H1287" s="74"/>
      <c r="I1287" s="77"/>
    </row>
    <row r="1288" customFormat="false" ht="6" hidden="false" customHeight="true" outlineLevel="0" collapsed="false"/>
    <row r="1289" customFormat="false" ht="13.5" hidden="false" customHeight="false" outlineLevel="0" collapsed="false">
      <c r="B1289" s="78" t="str">
        <f aca="false">IF(助手回款!$R$87&lt;&gt;"","会计主管：","")</f>
        <v/>
      </c>
      <c r="D1289" s="78" t="str">
        <f aca="false">IF(助手回款!$R$87&lt;&gt;"","会计：","")</f>
        <v/>
      </c>
      <c r="E1289" s="78" t="str">
        <f aca="false">IF(助手回款!$R$87&lt;&gt;"","出纳：","")</f>
        <v/>
      </c>
      <c r="F1289" s="78" t="str">
        <f aca="false">IF(助手回款!$R$87&lt;&gt;"","复核：","")</f>
        <v/>
      </c>
      <c r="G1289" s="78" t="str">
        <f aca="false">IF(助手回款!$R$87&lt;&gt;"","制单：","")</f>
        <v/>
      </c>
    </row>
    <row r="1290" customFormat="false" ht="3" hidden="false" customHeight="true" outlineLevel="0" collapsed="false"/>
    <row r="1291" customFormat="false" ht="19.5" hidden="false" customHeight="true" outlineLevel="0" collapsed="false">
      <c r="B1291" s="53" t="str">
        <f aca="false">IF(助手回款!$R$88&lt;&gt;"","记  账  凭  证","")</f>
        <v/>
      </c>
      <c r="C1291" s="53"/>
      <c r="D1291" s="53"/>
      <c r="E1291" s="53"/>
      <c r="F1291" s="53"/>
      <c r="G1291" s="53"/>
      <c r="H1291" s="53"/>
      <c r="I1291" s="53"/>
    </row>
    <row r="1292" customFormat="false" ht="3" hidden="false" customHeight="true" outlineLevel="0" collapsed="false"/>
    <row r="1293" customFormat="false" ht="15" hidden="false" customHeight="true" outlineLevel="0" collapsed="false">
      <c r="C1293" s="56" t="str">
        <f aca="false">IF(助手回款!$R$88&lt;&gt;"",INDEX(助手回款!$B$2:$B$66,助手回款!$R$88),"")</f>
        <v/>
      </c>
      <c r="D1293" s="57" t="str">
        <f aca="false">IF(助手回款!$R$88&lt;&gt;"",参数!$B$2,"")</f>
        <v/>
      </c>
      <c r="E1293" s="57"/>
      <c r="F1293" s="58" t="str">
        <f aca="false">IF(助手回款!$R$88&lt;&gt;"",INDEX(助手回款!$C$2:$C$66,助手回款!$R$88)&amp;"  字第 "&amp;IF(参数!$B$9="是",INDEX(助手回款!$P$2:$P$66,助手回款!$R$88),"　　　　")&amp;" 号"&amp;IF(INDEX(助手回款!$L$2:$L$66,助手回款!$R$88)&gt;1,"  (共"&amp;INDEX(助手回款!$L$2:$L$66,助手回款!$R$88)&amp;"页 第"&amp;助手回款!$S$88&amp;"页)",""),"")</f>
        <v/>
      </c>
      <c r="G1293" s="58"/>
      <c r="H1293" s="58"/>
      <c r="I1293" s="58"/>
      <c r="M1293" s="79" t="str">
        <f aca="false">IF(助手回款!$R$88="","",助手回款!$Q$88)</f>
        <v/>
      </c>
      <c r="N1293" s="80" t="str">
        <f aca="false">IF(助手回款!$R$88="","",INDEX(助手回款!$P$2:$P$66,助手回款!$R$88))</f>
        <v/>
      </c>
      <c r="O1293" s="55" t="str">
        <f aca="false">IF(助手回款!$R$88="","",INDEX(助手回款!$C$2:$C$66,助手回款!$R$88)&amp;"  字第 "&amp;INDEX(助手回款!$P$2:$P$66,助手回款!$R$88)&amp;" 号"&amp;IF(INDEX(助手回款!$L$2:$L$66,助手回款!$R$88)&gt;1,"  (共"&amp;INDEX(助手回款!$L$2:$L$66,助手回款!$R$88)&amp;"页 第"&amp;助手回款!$S$88&amp;"页)",""))</f>
        <v/>
      </c>
    </row>
    <row r="1294" customFormat="false" ht="12.75" hidden="false" customHeight="true" outlineLevel="0" collapsed="false">
      <c r="B1294" s="61" t="str">
        <f aca="false">IF(助手回款!$R$88&lt;&gt;"","摘　　要","")</f>
        <v/>
      </c>
      <c r="C1294" s="61"/>
      <c r="D1294" s="62" t="str">
        <f aca="false">IF(助手回款!$R$88&lt;&gt;"","科　　　　目","")</f>
        <v/>
      </c>
      <c r="E1294" s="62"/>
      <c r="F1294" s="61" t="str">
        <f aca="false">IF(助手回款!$R$88&lt;&gt;"","借 方 金 额","")</f>
        <v/>
      </c>
      <c r="G1294" s="62" t="str">
        <f aca="false">IF(助手回款!$R$88&lt;&gt;"","贷 方 金 额","")</f>
        <v/>
      </c>
      <c r="H1294" s="63" t="str">
        <f aca="false">IF(助手回款!$R$88&lt;&gt;"","√","")</f>
        <v/>
      </c>
      <c r="I1294" s="64" t="str">
        <f aca="false">IF(助手回款!$R$88&lt;&gt;"","附单据  张","")</f>
        <v/>
      </c>
    </row>
    <row r="1295" customFormat="false" ht="12.75" hidden="false" customHeight="true" outlineLevel="0" collapsed="false">
      <c r="B1295" s="61"/>
      <c r="C1295" s="61"/>
      <c r="D1295" s="23" t="str">
        <f aca="false">IF(助手回款!$R$88&lt;&gt;"","总 账 科 目","")</f>
        <v/>
      </c>
      <c r="E1295" s="23" t="str">
        <f aca="false">IF(助手回款!$R$88&lt;&gt;"","明 细 科 目","")</f>
        <v/>
      </c>
      <c r="F1295" s="65"/>
      <c r="G1295" s="66"/>
      <c r="H1295" s="63"/>
      <c r="I1295" s="64"/>
    </row>
    <row r="1296" customFormat="false" ht="23.25" hidden="false" customHeight="true" outlineLevel="0" collapsed="false">
      <c r="B1296" s="67" t="str">
        <f aca="false">IFERROR(INDEX(分录回款!$M:$M,MATCH($L1296,分录回款!$L:$L,0)),"")</f>
        <v/>
      </c>
      <c r="C1296" s="67"/>
      <c r="D1296" s="23" t="str">
        <f aca="false">IFERROR(INDEX(分录回款!$E:$E,MATCH($L1296,分录回款!$L:$L,0)),"")</f>
        <v/>
      </c>
      <c r="E1296" s="23" t="str">
        <f aca="false">IFERROR(INDEX(分录回款!$F:$F,MATCH($L1296,分录回款!$L:$L,0)),"")</f>
        <v/>
      </c>
      <c r="F1296" s="68" t="str">
        <f aca="false">IFERROR(INDEX(分录回款!$H:$H,MATCH($L1296,分录回款!$L:$L,0)),"")</f>
        <v/>
      </c>
      <c r="G1296" s="69" t="str">
        <f aca="false">IFERROR(INDEX(分录回款!$I:$I,MATCH($L1296,分录回款!$L:$L,0)),"")</f>
        <v/>
      </c>
      <c r="H1296" s="23"/>
      <c r="I1296" s="70"/>
      <c r="L1296" s="71" t="n">
        <f aca="false">IF(助手回款!$R$88="",-1,助手回款!$R$88*100+(助手回款!$S$88-1)*6+1)</f>
        <v>-1</v>
      </c>
    </row>
    <row r="1297" customFormat="false" ht="23.25" hidden="false" customHeight="true" outlineLevel="0" collapsed="false">
      <c r="B1297" s="67" t="str">
        <f aca="false">""</f>
        <v/>
      </c>
      <c r="C1297" s="67"/>
      <c r="D1297" s="23" t="str">
        <f aca="false">IFERROR(INDEX(分录回款!$E:$E,MATCH($L1297,分录回款!$L:$L,0)),"")</f>
        <v/>
      </c>
      <c r="E1297" s="23" t="str">
        <f aca="false">IFERROR(INDEX(分录回款!$F:$F,MATCH($L1297,分录回款!$L:$L,0)),"")</f>
        <v/>
      </c>
      <c r="F1297" s="68" t="str">
        <f aca="false">IFERROR(INDEX(分录回款!$H:$H,MATCH($L1297,分录回款!$L:$L,0)),"")</f>
        <v/>
      </c>
      <c r="G1297" s="69" t="str">
        <f aca="false">IFERROR(INDEX(分录回款!$I:$I,MATCH($L1297,分录回款!$L:$L,0)),"")</f>
        <v/>
      </c>
      <c r="H1297" s="23"/>
      <c r="I1297" s="70"/>
      <c r="L1297" s="71" t="n">
        <f aca="false">IF(助手回款!$R$88="",-1,助手回款!$R$88*100+(助手回款!$S$88-1)*6+2)</f>
        <v>-1</v>
      </c>
    </row>
    <row r="1298" customFormat="false" ht="23.25" hidden="false" customHeight="true" outlineLevel="0" collapsed="false">
      <c r="B1298" s="67" t="str">
        <f aca="false">""</f>
        <v/>
      </c>
      <c r="C1298" s="67"/>
      <c r="D1298" s="23" t="str">
        <f aca="false">IFERROR(INDEX(分录回款!$E:$E,MATCH($L1298,分录回款!$L:$L,0)),"")</f>
        <v/>
      </c>
      <c r="E1298" s="23" t="str">
        <f aca="false">IFERROR(INDEX(分录回款!$F:$F,MATCH($L1298,分录回款!$L:$L,0)),"")</f>
        <v/>
      </c>
      <c r="F1298" s="68" t="str">
        <f aca="false">IFERROR(INDEX(分录回款!$H:$H,MATCH($L1298,分录回款!$L:$L,0)),"")</f>
        <v/>
      </c>
      <c r="G1298" s="69" t="str">
        <f aca="false">IFERROR(INDEX(分录回款!$I:$I,MATCH($L1298,分录回款!$L:$L,0)),"")</f>
        <v/>
      </c>
      <c r="H1298" s="23"/>
      <c r="I1298" s="70"/>
      <c r="L1298" s="71" t="n">
        <f aca="false">IF(助手回款!$R$88="",-1,助手回款!$R$88*100+(助手回款!$S$88-1)*6+3)</f>
        <v>-1</v>
      </c>
    </row>
    <row r="1299" customFormat="false" ht="23.25" hidden="false" customHeight="true" outlineLevel="0" collapsed="false">
      <c r="B1299" s="67" t="str">
        <f aca="false">""</f>
        <v/>
      </c>
      <c r="C1299" s="67"/>
      <c r="D1299" s="23" t="str">
        <f aca="false">IFERROR(INDEX(分录回款!$E:$E,MATCH($L1299,分录回款!$L:$L,0)),"")</f>
        <v/>
      </c>
      <c r="E1299" s="23" t="str">
        <f aca="false">IFERROR(INDEX(分录回款!$F:$F,MATCH($L1299,分录回款!$L:$L,0)),"")</f>
        <v/>
      </c>
      <c r="F1299" s="68" t="str">
        <f aca="false">IFERROR(INDEX(分录回款!$H:$H,MATCH($L1299,分录回款!$L:$L,0)),"")</f>
        <v/>
      </c>
      <c r="G1299" s="69" t="str">
        <f aca="false">IFERROR(INDEX(分录回款!$I:$I,MATCH($L1299,分录回款!$L:$L,0)),"")</f>
        <v/>
      </c>
      <c r="H1299" s="23"/>
      <c r="I1299" s="70"/>
      <c r="L1299" s="71" t="n">
        <f aca="false">IF(助手回款!$R$88="",-1,助手回款!$R$88*100+(助手回款!$S$88-1)*6+4)</f>
        <v>-1</v>
      </c>
    </row>
    <row r="1300" customFormat="false" ht="23.25" hidden="false" customHeight="true" outlineLevel="0" collapsed="false">
      <c r="B1300" s="67" t="str">
        <f aca="false">""</f>
        <v/>
      </c>
      <c r="C1300" s="67"/>
      <c r="D1300" s="23" t="str">
        <f aca="false">IFERROR(INDEX(分录回款!$E:$E,MATCH($L1300,分录回款!$L:$L,0)),"")</f>
        <v/>
      </c>
      <c r="E1300" s="23" t="str">
        <f aca="false">IFERROR(INDEX(分录回款!$F:$F,MATCH($L1300,分录回款!$L:$L,0)),"")</f>
        <v/>
      </c>
      <c r="F1300" s="68" t="str">
        <f aca="false">IFERROR(INDEX(分录回款!$H:$H,MATCH($L1300,分录回款!$L:$L,0)),"")</f>
        <v/>
      </c>
      <c r="G1300" s="69" t="str">
        <f aca="false">IFERROR(INDEX(分录回款!$I:$I,MATCH($L1300,分录回款!$L:$L,0)),"")</f>
        <v/>
      </c>
      <c r="H1300" s="23"/>
      <c r="I1300" s="70"/>
      <c r="L1300" s="71" t="n">
        <f aca="false">IF(助手回款!$R$88="",-1,助手回款!$R$88*100+(助手回款!$S$88-1)*6+5)</f>
        <v>-1</v>
      </c>
    </row>
    <row r="1301" customFormat="false" ht="23.25" hidden="false" customHeight="true" outlineLevel="0" collapsed="false">
      <c r="B1301" s="67" t="str">
        <f aca="false">""</f>
        <v/>
      </c>
      <c r="C1301" s="67"/>
      <c r="D1301" s="23" t="str">
        <f aca="false">IFERROR(INDEX(分录回款!$E:$E,MATCH($L1301,分录回款!$L:$L,0)),"")</f>
        <v/>
      </c>
      <c r="E1301" s="23" t="str">
        <f aca="false">IFERROR(INDEX(分录回款!$F:$F,MATCH($L1301,分录回款!$L:$L,0)),"")</f>
        <v/>
      </c>
      <c r="F1301" s="68" t="str">
        <f aca="false">IFERROR(INDEX(分录回款!$H:$H,MATCH($L1301,分录回款!$L:$L,0)),"")</f>
        <v/>
      </c>
      <c r="G1301" s="69" t="str">
        <f aca="false">IFERROR(INDEX(分录回款!$I:$I,MATCH($L1301,分录回款!$L:$L,0)),"")</f>
        <v/>
      </c>
      <c r="H1301" s="23"/>
      <c r="I1301" s="70"/>
      <c r="L1301" s="71" t="n">
        <f aca="false">IF(助手回款!$R$88="",-1,助手回款!$R$88*100+(助手回款!$S$88-1)*6+6)</f>
        <v>-1</v>
      </c>
    </row>
    <row r="1302" customFormat="false" ht="23.25" hidden="false" customHeight="true" outlineLevel="0" collapsed="false">
      <c r="B1302" s="72" t="str">
        <f aca="false">IF(助手回款!$T$88=1,"合计：","")</f>
        <v/>
      </c>
      <c r="C1302" s="73" t="str">
        <f aca="false">IF(助手回款!$T$88=1,$F1302,"")</f>
        <v/>
      </c>
      <c r="D1302" s="74"/>
      <c r="E1302" s="74"/>
      <c r="F1302" s="75" t="str">
        <f aca="false">IF(助手回款!$T$88=1,INDEX(助手回款!$N$2:$N$66,助手回款!$R$88),"")</f>
        <v/>
      </c>
      <c r="G1302" s="76" t="str">
        <f aca="false">IF(助手回款!$T$88=1,INDEX(助手回款!$O$2:$O$66,助手回款!$R$88),"")</f>
        <v/>
      </c>
      <c r="H1302" s="74"/>
      <c r="I1302" s="77"/>
    </row>
    <row r="1303" customFormat="false" ht="6" hidden="false" customHeight="true" outlineLevel="0" collapsed="false"/>
    <row r="1304" customFormat="false" ht="13.5" hidden="false" customHeight="false" outlineLevel="0" collapsed="false">
      <c r="B1304" s="78" t="str">
        <f aca="false">IF(助手回款!$R$88&lt;&gt;"","会计主管：","")</f>
        <v/>
      </c>
      <c r="D1304" s="78" t="str">
        <f aca="false">IF(助手回款!$R$88&lt;&gt;"","会计：","")</f>
        <v/>
      </c>
      <c r="E1304" s="78" t="str">
        <f aca="false">IF(助手回款!$R$88&lt;&gt;"","出纳：","")</f>
        <v/>
      </c>
      <c r="F1304" s="78" t="str">
        <f aca="false">IF(助手回款!$R$88&lt;&gt;"","复核：","")</f>
        <v/>
      </c>
      <c r="G1304" s="78" t="str">
        <f aca="false">IF(助手回款!$R$88&lt;&gt;"","制单：","")</f>
        <v/>
      </c>
    </row>
    <row r="1305" customFormat="false" ht="3" hidden="false" customHeight="true" outlineLevel="0" collapsed="false"/>
    <row r="1306" customFormat="false" ht="19.5" hidden="false" customHeight="true" outlineLevel="0" collapsed="false">
      <c r="B1306" s="53" t="str">
        <f aca="false">IF(助手回款!$R$89&lt;&gt;"","记  账  凭  证","")</f>
        <v/>
      </c>
      <c r="C1306" s="53"/>
      <c r="D1306" s="53"/>
      <c r="E1306" s="53"/>
      <c r="F1306" s="53"/>
      <c r="G1306" s="53"/>
      <c r="H1306" s="53"/>
      <c r="I1306" s="53"/>
    </row>
    <row r="1307" customFormat="false" ht="3" hidden="false" customHeight="true" outlineLevel="0" collapsed="false"/>
    <row r="1308" customFormat="false" ht="15" hidden="false" customHeight="true" outlineLevel="0" collapsed="false">
      <c r="C1308" s="56" t="str">
        <f aca="false">IF(助手回款!$R$89&lt;&gt;"",INDEX(助手回款!$B$2:$B$66,助手回款!$R$89),"")</f>
        <v/>
      </c>
      <c r="D1308" s="57" t="str">
        <f aca="false">IF(助手回款!$R$89&lt;&gt;"",参数!$B$2,"")</f>
        <v/>
      </c>
      <c r="E1308" s="57"/>
      <c r="F1308" s="58" t="str">
        <f aca="false">IF(助手回款!$R$89&lt;&gt;"",INDEX(助手回款!$C$2:$C$66,助手回款!$R$89)&amp;"  字第 "&amp;IF(参数!$B$9="是",INDEX(助手回款!$P$2:$P$66,助手回款!$R$89),"　　　　")&amp;" 号"&amp;IF(INDEX(助手回款!$L$2:$L$66,助手回款!$R$89)&gt;1,"  (共"&amp;INDEX(助手回款!$L$2:$L$66,助手回款!$R$89)&amp;"页 第"&amp;助手回款!$S$89&amp;"页)",""),"")</f>
        <v/>
      </c>
      <c r="G1308" s="58"/>
      <c r="H1308" s="58"/>
      <c r="I1308" s="58"/>
      <c r="M1308" s="79" t="str">
        <f aca="false">IF(助手回款!$R$89="","",助手回款!$Q$89)</f>
        <v/>
      </c>
      <c r="N1308" s="80" t="str">
        <f aca="false">IF(助手回款!$R$89="","",INDEX(助手回款!$P$2:$P$66,助手回款!$R$89))</f>
        <v/>
      </c>
      <c r="O1308" s="55" t="str">
        <f aca="false">IF(助手回款!$R$89="","",INDEX(助手回款!$C$2:$C$66,助手回款!$R$89)&amp;"  字第 "&amp;INDEX(助手回款!$P$2:$P$66,助手回款!$R$89)&amp;" 号"&amp;IF(INDEX(助手回款!$L$2:$L$66,助手回款!$R$89)&gt;1,"  (共"&amp;INDEX(助手回款!$L$2:$L$66,助手回款!$R$89)&amp;"页 第"&amp;助手回款!$S$89&amp;"页)",""))</f>
        <v/>
      </c>
    </row>
    <row r="1309" customFormat="false" ht="12.75" hidden="false" customHeight="true" outlineLevel="0" collapsed="false">
      <c r="B1309" s="61" t="str">
        <f aca="false">IF(助手回款!$R$89&lt;&gt;"","摘　　要","")</f>
        <v/>
      </c>
      <c r="C1309" s="61"/>
      <c r="D1309" s="62" t="str">
        <f aca="false">IF(助手回款!$R$89&lt;&gt;"","科　　　　目","")</f>
        <v/>
      </c>
      <c r="E1309" s="62"/>
      <c r="F1309" s="61" t="str">
        <f aca="false">IF(助手回款!$R$89&lt;&gt;"","借 方 金 额","")</f>
        <v/>
      </c>
      <c r="G1309" s="62" t="str">
        <f aca="false">IF(助手回款!$R$89&lt;&gt;"","贷 方 金 额","")</f>
        <v/>
      </c>
      <c r="H1309" s="63" t="str">
        <f aca="false">IF(助手回款!$R$89&lt;&gt;"","√","")</f>
        <v/>
      </c>
      <c r="I1309" s="64" t="str">
        <f aca="false">IF(助手回款!$R$89&lt;&gt;"","附单据  张","")</f>
        <v/>
      </c>
    </row>
    <row r="1310" customFormat="false" ht="12.75" hidden="false" customHeight="true" outlineLevel="0" collapsed="false">
      <c r="B1310" s="61"/>
      <c r="C1310" s="61"/>
      <c r="D1310" s="23" t="str">
        <f aca="false">IF(助手回款!$R$89&lt;&gt;"","总 账 科 目","")</f>
        <v/>
      </c>
      <c r="E1310" s="23" t="str">
        <f aca="false">IF(助手回款!$R$89&lt;&gt;"","明 细 科 目","")</f>
        <v/>
      </c>
      <c r="F1310" s="65"/>
      <c r="G1310" s="66"/>
      <c r="H1310" s="63"/>
      <c r="I1310" s="64"/>
    </row>
    <row r="1311" customFormat="false" ht="23.25" hidden="false" customHeight="true" outlineLevel="0" collapsed="false">
      <c r="B1311" s="67" t="str">
        <f aca="false">IFERROR(INDEX(分录回款!$M:$M,MATCH($L1311,分录回款!$L:$L,0)),"")</f>
        <v/>
      </c>
      <c r="C1311" s="67"/>
      <c r="D1311" s="23" t="str">
        <f aca="false">IFERROR(INDEX(分录回款!$E:$E,MATCH($L1311,分录回款!$L:$L,0)),"")</f>
        <v/>
      </c>
      <c r="E1311" s="23" t="str">
        <f aca="false">IFERROR(INDEX(分录回款!$F:$F,MATCH($L1311,分录回款!$L:$L,0)),"")</f>
        <v/>
      </c>
      <c r="F1311" s="68" t="str">
        <f aca="false">IFERROR(INDEX(分录回款!$H:$H,MATCH($L1311,分录回款!$L:$L,0)),"")</f>
        <v/>
      </c>
      <c r="G1311" s="69" t="str">
        <f aca="false">IFERROR(INDEX(分录回款!$I:$I,MATCH($L1311,分录回款!$L:$L,0)),"")</f>
        <v/>
      </c>
      <c r="H1311" s="23"/>
      <c r="I1311" s="70"/>
      <c r="L1311" s="71" t="n">
        <f aca="false">IF(助手回款!$R$89="",-1,助手回款!$R$89*100+(助手回款!$S$89-1)*6+1)</f>
        <v>-1</v>
      </c>
    </row>
    <row r="1312" customFormat="false" ht="23.25" hidden="false" customHeight="true" outlineLevel="0" collapsed="false">
      <c r="B1312" s="67" t="str">
        <f aca="false">""</f>
        <v/>
      </c>
      <c r="C1312" s="67"/>
      <c r="D1312" s="23" t="str">
        <f aca="false">IFERROR(INDEX(分录回款!$E:$E,MATCH($L1312,分录回款!$L:$L,0)),"")</f>
        <v/>
      </c>
      <c r="E1312" s="23" t="str">
        <f aca="false">IFERROR(INDEX(分录回款!$F:$F,MATCH($L1312,分录回款!$L:$L,0)),"")</f>
        <v/>
      </c>
      <c r="F1312" s="68" t="str">
        <f aca="false">IFERROR(INDEX(分录回款!$H:$H,MATCH($L1312,分录回款!$L:$L,0)),"")</f>
        <v/>
      </c>
      <c r="G1312" s="69" t="str">
        <f aca="false">IFERROR(INDEX(分录回款!$I:$I,MATCH($L1312,分录回款!$L:$L,0)),"")</f>
        <v/>
      </c>
      <c r="H1312" s="23"/>
      <c r="I1312" s="70"/>
      <c r="L1312" s="71" t="n">
        <f aca="false">IF(助手回款!$R$89="",-1,助手回款!$R$89*100+(助手回款!$S$89-1)*6+2)</f>
        <v>-1</v>
      </c>
    </row>
    <row r="1313" customFormat="false" ht="23.25" hidden="false" customHeight="true" outlineLevel="0" collapsed="false">
      <c r="B1313" s="67" t="str">
        <f aca="false">""</f>
        <v/>
      </c>
      <c r="C1313" s="67"/>
      <c r="D1313" s="23" t="str">
        <f aca="false">IFERROR(INDEX(分录回款!$E:$E,MATCH($L1313,分录回款!$L:$L,0)),"")</f>
        <v/>
      </c>
      <c r="E1313" s="23" t="str">
        <f aca="false">IFERROR(INDEX(分录回款!$F:$F,MATCH($L1313,分录回款!$L:$L,0)),"")</f>
        <v/>
      </c>
      <c r="F1313" s="68" t="str">
        <f aca="false">IFERROR(INDEX(分录回款!$H:$H,MATCH($L1313,分录回款!$L:$L,0)),"")</f>
        <v/>
      </c>
      <c r="G1313" s="69" t="str">
        <f aca="false">IFERROR(INDEX(分录回款!$I:$I,MATCH($L1313,分录回款!$L:$L,0)),"")</f>
        <v/>
      </c>
      <c r="H1313" s="23"/>
      <c r="I1313" s="70"/>
      <c r="L1313" s="71" t="n">
        <f aca="false">IF(助手回款!$R$89="",-1,助手回款!$R$89*100+(助手回款!$S$89-1)*6+3)</f>
        <v>-1</v>
      </c>
    </row>
    <row r="1314" customFormat="false" ht="23.25" hidden="false" customHeight="true" outlineLevel="0" collapsed="false">
      <c r="B1314" s="67" t="str">
        <f aca="false">""</f>
        <v/>
      </c>
      <c r="C1314" s="67"/>
      <c r="D1314" s="23" t="str">
        <f aca="false">IFERROR(INDEX(分录回款!$E:$E,MATCH($L1314,分录回款!$L:$L,0)),"")</f>
        <v/>
      </c>
      <c r="E1314" s="23" t="str">
        <f aca="false">IFERROR(INDEX(分录回款!$F:$F,MATCH($L1314,分录回款!$L:$L,0)),"")</f>
        <v/>
      </c>
      <c r="F1314" s="68" t="str">
        <f aca="false">IFERROR(INDEX(分录回款!$H:$H,MATCH($L1314,分录回款!$L:$L,0)),"")</f>
        <v/>
      </c>
      <c r="G1314" s="69" t="str">
        <f aca="false">IFERROR(INDEX(分录回款!$I:$I,MATCH($L1314,分录回款!$L:$L,0)),"")</f>
        <v/>
      </c>
      <c r="H1314" s="23"/>
      <c r="I1314" s="70"/>
      <c r="L1314" s="71" t="n">
        <f aca="false">IF(助手回款!$R$89="",-1,助手回款!$R$89*100+(助手回款!$S$89-1)*6+4)</f>
        <v>-1</v>
      </c>
    </row>
    <row r="1315" customFormat="false" ht="23.25" hidden="false" customHeight="true" outlineLevel="0" collapsed="false">
      <c r="B1315" s="67" t="str">
        <f aca="false">""</f>
        <v/>
      </c>
      <c r="C1315" s="67"/>
      <c r="D1315" s="23" t="str">
        <f aca="false">IFERROR(INDEX(分录回款!$E:$E,MATCH($L1315,分录回款!$L:$L,0)),"")</f>
        <v/>
      </c>
      <c r="E1315" s="23" t="str">
        <f aca="false">IFERROR(INDEX(分录回款!$F:$F,MATCH($L1315,分录回款!$L:$L,0)),"")</f>
        <v/>
      </c>
      <c r="F1315" s="68" t="str">
        <f aca="false">IFERROR(INDEX(分录回款!$H:$H,MATCH($L1315,分录回款!$L:$L,0)),"")</f>
        <v/>
      </c>
      <c r="G1315" s="69" t="str">
        <f aca="false">IFERROR(INDEX(分录回款!$I:$I,MATCH($L1315,分录回款!$L:$L,0)),"")</f>
        <v/>
      </c>
      <c r="H1315" s="23"/>
      <c r="I1315" s="70"/>
      <c r="L1315" s="71" t="n">
        <f aca="false">IF(助手回款!$R$89="",-1,助手回款!$R$89*100+(助手回款!$S$89-1)*6+5)</f>
        <v>-1</v>
      </c>
    </row>
    <row r="1316" customFormat="false" ht="23.25" hidden="false" customHeight="true" outlineLevel="0" collapsed="false">
      <c r="B1316" s="67" t="str">
        <f aca="false">""</f>
        <v/>
      </c>
      <c r="C1316" s="67"/>
      <c r="D1316" s="23" t="str">
        <f aca="false">IFERROR(INDEX(分录回款!$E:$E,MATCH($L1316,分录回款!$L:$L,0)),"")</f>
        <v/>
      </c>
      <c r="E1316" s="23" t="str">
        <f aca="false">IFERROR(INDEX(分录回款!$F:$F,MATCH($L1316,分录回款!$L:$L,0)),"")</f>
        <v/>
      </c>
      <c r="F1316" s="68" t="str">
        <f aca="false">IFERROR(INDEX(分录回款!$H:$H,MATCH($L1316,分录回款!$L:$L,0)),"")</f>
        <v/>
      </c>
      <c r="G1316" s="69" t="str">
        <f aca="false">IFERROR(INDEX(分录回款!$I:$I,MATCH($L1316,分录回款!$L:$L,0)),"")</f>
        <v/>
      </c>
      <c r="H1316" s="23"/>
      <c r="I1316" s="70"/>
      <c r="L1316" s="71" t="n">
        <f aca="false">IF(助手回款!$R$89="",-1,助手回款!$R$89*100+(助手回款!$S$89-1)*6+6)</f>
        <v>-1</v>
      </c>
    </row>
    <row r="1317" customFormat="false" ht="23.25" hidden="false" customHeight="true" outlineLevel="0" collapsed="false">
      <c r="B1317" s="72" t="str">
        <f aca="false">IF(助手回款!$T$89=1,"合计：","")</f>
        <v/>
      </c>
      <c r="C1317" s="73" t="str">
        <f aca="false">IF(助手回款!$T$89=1,$F1317,"")</f>
        <v/>
      </c>
      <c r="D1317" s="74"/>
      <c r="E1317" s="74"/>
      <c r="F1317" s="75" t="str">
        <f aca="false">IF(助手回款!$T$89=1,INDEX(助手回款!$N$2:$N$66,助手回款!$R$89),"")</f>
        <v/>
      </c>
      <c r="G1317" s="76" t="str">
        <f aca="false">IF(助手回款!$T$89=1,INDEX(助手回款!$O$2:$O$66,助手回款!$R$89),"")</f>
        <v/>
      </c>
      <c r="H1317" s="74"/>
      <c r="I1317" s="77"/>
    </row>
    <row r="1318" customFormat="false" ht="6" hidden="false" customHeight="true" outlineLevel="0" collapsed="false"/>
    <row r="1319" customFormat="false" ht="13.5" hidden="false" customHeight="false" outlineLevel="0" collapsed="false">
      <c r="B1319" s="78" t="str">
        <f aca="false">IF(助手回款!$R$89&lt;&gt;"","会计主管：","")</f>
        <v/>
      </c>
      <c r="D1319" s="78" t="str">
        <f aca="false">IF(助手回款!$R$89&lt;&gt;"","会计：","")</f>
        <v/>
      </c>
      <c r="E1319" s="78" t="str">
        <f aca="false">IF(助手回款!$R$89&lt;&gt;"","出纳：","")</f>
        <v/>
      </c>
      <c r="F1319" s="78" t="str">
        <f aca="false">IF(助手回款!$R$89&lt;&gt;"","复核：","")</f>
        <v/>
      </c>
      <c r="G1319" s="78" t="str">
        <f aca="false">IF(助手回款!$R$89&lt;&gt;"","制单：","")</f>
        <v/>
      </c>
    </row>
    <row r="1320" customFormat="false" ht="3" hidden="false" customHeight="true" outlineLevel="0" collapsed="false"/>
    <row r="1321" customFormat="false" ht="19.5" hidden="false" customHeight="true" outlineLevel="0" collapsed="false">
      <c r="B1321" s="53" t="str">
        <f aca="false">IF(助手回款!$R$90&lt;&gt;"","记  账  凭  证","")</f>
        <v/>
      </c>
      <c r="C1321" s="53"/>
      <c r="D1321" s="53"/>
      <c r="E1321" s="53"/>
      <c r="F1321" s="53"/>
      <c r="G1321" s="53"/>
      <c r="H1321" s="53"/>
      <c r="I1321" s="53"/>
    </row>
    <row r="1322" customFormat="false" ht="3" hidden="false" customHeight="true" outlineLevel="0" collapsed="false"/>
    <row r="1323" customFormat="false" ht="15" hidden="false" customHeight="true" outlineLevel="0" collapsed="false">
      <c r="C1323" s="56" t="str">
        <f aca="false">IF(助手回款!$R$90&lt;&gt;"",INDEX(助手回款!$B$2:$B$66,助手回款!$R$90),"")</f>
        <v/>
      </c>
      <c r="D1323" s="57" t="str">
        <f aca="false">IF(助手回款!$R$90&lt;&gt;"",参数!$B$2,"")</f>
        <v/>
      </c>
      <c r="E1323" s="57"/>
      <c r="F1323" s="58" t="str">
        <f aca="false">IF(助手回款!$R$90&lt;&gt;"",INDEX(助手回款!$C$2:$C$66,助手回款!$R$90)&amp;"  字第 "&amp;IF(参数!$B$9="是",INDEX(助手回款!$P$2:$P$66,助手回款!$R$90),"　　　　")&amp;" 号"&amp;IF(INDEX(助手回款!$L$2:$L$66,助手回款!$R$90)&gt;1,"  (共"&amp;INDEX(助手回款!$L$2:$L$66,助手回款!$R$90)&amp;"页 第"&amp;助手回款!$S$90&amp;"页)",""),"")</f>
        <v/>
      </c>
      <c r="G1323" s="58"/>
      <c r="H1323" s="58"/>
      <c r="I1323" s="58"/>
      <c r="M1323" s="79" t="str">
        <f aca="false">IF(助手回款!$R$90="","",助手回款!$Q$90)</f>
        <v/>
      </c>
      <c r="N1323" s="80" t="str">
        <f aca="false">IF(助手回款!$R$90="","",INDEX(助手回款!$P$2:$P$66,助手回款!$R$90))</f>
        <v/>
      </c>
      <c r="O1323" s="55" t="str">
        <f aca="false">IF(助手回款!$R$90="","",INDEX(助手回款!$C$2:$C$66,助手回款!$R$90)&amp;"  字第 "&amp;INDEX(助手回款!$P$2:$P$66,助手回款!$R$90)&amp;" 号"&amp;IF(INDEX(助手回款!$L$2:$L$66,助手回款!$R$90)&gt;1,"  (共"&amp;INDEX(助手回款!$L$2:$L$66,助手回款!$R$90)&amp;"页 第"&amp;助手回款!$S$90&amp;"页)",""))</f>
        <v/>
      </c>
    </row>
    <row r="1324" customFormat="false" ht="12.75" hidden="false" customHeight="true" outlineLevel="0" collapsed="false">
      <c r="B1324" s="61" t="str">
        <f aca="false">IF(助手回款!$R$90&lt;&gt;"","摘　　要","")</f>
        <v/>
      </c>
      <c r="C1324" s="61"/>
      <c r="D1324" s="62" t="str">
        <f aca="false">IF(助手回款!$R$90&lt;&gt;"","科　　　　目","")</f>
        <v/>
      </c>
      <c r="E1324" s="62"/>
      <c r="F1324" s="61" t="str">
        <f aca="false">IF(助手回款!$R$90&lt;&gt;"","借 方 金 额","")</f>
        <v/>
      </c>
      <c r="G1324" s="62" t="str">
        <f aca="false">IF(助手回款!$R$90&lt;&gt;"","贷 方 金 额","")</f>
        <v/>
      </c>
      <c r="H1324" s="63" t="str">
        <f aca="false">IF(助手回款!$R$90&lt;&gt;"","√","")</f>
        <v/>
      </c>
      <c r="I1324" s="64" t="str">
        <f aca="false">IF(助手回款!$R$90&lt;&gt;"","附单据  张","")</f>
        <v/>
      </c>
    </row>
    <row r="1325" customFormat="false" ht="12.75" hidden="false" customHeight="true" outlineLevel="0" collapsed="false">
      <c r="B1325" s="61"/>
      <c r="C1325" s="61"/>
      <c r="D1325" s="23" t="str">
        <f aca="false">IF(助手回款!$R$90&lt;&gt;"","总 账 科 目","")</f>
        <v/>
      </c>
      <c r="E1325" s="23" t="str">
        <f aca="false">IF(助手回款!$R$90&lt;&gt;"","明 细 科 目","")</f>
        <v/>
      </c>
      <c r="F1325" s="65"/>
      <c r="G1325" s="66"/>
      <c r="H1325" s="63"/>
      <c r="I1325" s="64"/>
    </row>
    <row r="1326" customFormat="false" ht="23.25" hidden="false" customHeight="true" outlineLevel="0" collapsed="false">
      <c r="B1326" s="67" t="str">
        <f aca="false">IFERROR(INDEX(分录回款!$M:$M,MATCH($L1326,分录回款!$L:$L,0)),"")</f>
        <v/>
      </c>
      <c r="C1326" s="67"/>
      <c r="D1326" s="23" t="str">
        <f aca="false">IFERROR(INDEX(分录回款!$E:$E,MATCH($L1326,分录回款!$L:$L,0)),"")</f>
        <v/>
      </c>
      <c r="E1326" s="23" t="str">
        <f aca="false">IFERROR(INDEX(分录回款!$F:$F,MATCH($L1326,分录回款!$L:$L,0)),"")</f>
        <v/>
      </c>
      <c r="F1326" s="68" t="str">
        <f aca="false">IFERROR(INDEX(分录回款!$H:$H,MATCH($L1326,分录回款!$L:$L,0)),"")</f>
        <v/>
      </c>
      <c r="G1326" s="69" t="str">
        <f aca="false">IFERROR(INDEX(分录回款!$I:$I,MATCH($L1326,分录回款!$L:$L,0)),"")</f>
        <v/>
      </c>
      <c r="H1326" s="23"/>
      <c r="I1326" s="70"/>
      <c r="L1326" s="71" t="n">
        <f aca="false">IF(助手回款!$R$90="",-1,助手回款!$R$90*100+(助手回款!$S$90-1)*6+1)</f>
        <v>-1</v>
      </c>
    </row>
    <row r="1327" customFormat="false" ht="23.25" hidden="false" customHeight="true" outlineLevel="0" collapsed="false">
      <c r="B1327" s="67" t="str">
        <f aca="false">""</f>
        <v/>
      </c>
      <c r="C1327" s="67"/>
      <c r="D1327" s="23" t="str">
        <f aca="false">IFERROR(INDEX(分录回款!$E:$E,MATCH($L1327,分录回款!$L:$L,0)),"")</f>
        <v/>
      </c>
      <c r="E1327" s="23" t="str">
        <f aca="false">IFERROR(INDEX(分录回款!$F:$F,MATCH($L1327,分录回款!$L:$L,0)),"")</f>
        <v/>
      </c>
      <c r="F1327" s="68" t="str">
        <f aca="false">IFERROR(INDEX(分录回款!$H:$H,MATCH($L1327,分录回款!$L:$L,0)),"")</f>
        <v/>
      </c>
      <c r="G1327" s="69" t="str">
        <f aca="false">IFERROR(INDEX(分录回款!$I:$I,MATCH($L1327,分录回款!$L:$L,0)),"")</f>
        <v/>
      </c>
      <c r="H1327" s="23"/>
      <c r="I1327" s="70"/>
      <c r="L1327" s="71" t="n">
        <f aca="false">IF(助手回款!$R$90="",-1,助手回款!$R$90*100+(助手回款!$S$90-1)*6+2)</f>
        <v>-1</v>
      </c>
    </row>
    <row r="1328" customFormat="false" ht="23.25" hidden="false" customHeight="true" outlineLevel="0" collapsed="false">
      <c r="B1328" s="67" t="str">
        <f aca="false">""</f>
        <v/>
      </c>
      <c r="C1328" s="67"/>
      <c r="D1328" s="23" t="str">
        <f aca="false">IFERROR(INDEX(分录回款!$E:$E,MATCH($L1328,分录回款!$L:$L,0)),"")</f>
        <v/>
      </c>
      <c r="E1328" s="23" t="str">
        <f aca="false">IFERROR(INDEX(分录回款!$F:$F,MATCH($L1328,分录回款!$L:$L,0)),"")</f>
        <v/>
      </c>
      <c r="F1328" s="68" t="str">
        <f aca="false">IFERROR(INDEX(分录回款!$H:$H,MATCH($L1328,分录回款!$L:$L,0)),"")</f>
        <v/>
      </c>
      <c r="G1328" s="69" t="str">
        <f aca="false">IFERROR(INDEX(分录回款!$I:$I,MATCH($L1328,分录回款!$L:$L,0)),"")</f>
        <v/>
      </c>
      <c r="H1328" s="23"/>
      <c r="I1328" s="70"/>
      <c r="L1328" s="71" t="n">
        <f aca="false">IF(助手回款!$R$90="",-1,助手回款!$R$90*100+(助手回款!$S$90-1)*6+3)</f>
        <v>-1</v>
      </c>
    </row>
    <row r="1329" customFormat="false" ht="23.25" hidden="false" customHeight="true" outlineLevel="0" collapsed="false">
      <c r="B1329" s="67" t="str">
        <f aca="false">""</f>
        <v/>
      </c>
      <c r="C1329" s="67"/>
      <c r="D1329" s="23" t="str">
        <f aca="false">IFERROR(INDEX(分录回款!$E:$E,MATCH($L1329,分录回款!$L:$L,0)),"")</f>
        <v/>
      </c>
      <c r="E1329" s="23" t="str">
        <f aca="false">IFERROR(INDEX(分录回款!$F:$F,MATCH($L1329,分录回款!$L:$L,0)),"")</f>
        <v/>
      </c>
      <c r="F1329" s="68" t="str">
        <f aca="false">IFERROR(INDEX(分录回款!$H:$H,MATCH($L1329,分录回款!$L:$L,0)),"")</f>
        <v/>
      </c>
      <c r="G1329" s="69" t="str">
        <f aca="false">IFERROR(INDEX(分录回款!$I:$I,MATCH($L1329,分录回款!$L:$L,0)),"")</f>
        <v/>
      </c>
      <c r="H1329" s="23"/>
      <c r="I1329" s="70"/>
      <c r="L1329" s="71" t="n">
        <f aca="false">IF(助手回款!$R$90="",-1,助手回款!$R$90*100+(助手回款!$S$90-1)*6+4)</f>
        <v>-1</v>
      </c>
    </row>
    <row r="1330" customFormat="false" ht="23.25" hidden="false" customHeight="true" outlineLevel="0" collapsed="false">
      <c r="B1330" s="67" t="str">
        <f aca="false">""</f>
        <v/>
      </c>
      <c r="C1330" s="67"/>
      <c r="D1330" s="23" t="str">
        <f aca="false">IFERROR(INDEX(分录回款!$E:$E,MATCH($L1330,分录回款!$L:$L,0)),"")</f>
        <v/>
      </c>
      <c r="E1330" s="23" t="str">
        <f aca="false">IFERROR(INDEX(分录回款!$F:$F,MATCH($L1330,分录回款!$L:$L,0)),"")</f>
        <v/>
      </c>
      <c r="F1330" s="68" t="str">
        <f aca="false">IFERROR(INDEX(分录回款!$H:$H,MATCH($L1330,分录回款!$L:$L,0)),"")</f>
        <v/>
      </c>
      <c r="G1330" s="69" t="str">
        <f aca="false">IFERROR(INDEX(分录回款!$I:$I,MATCH($L1330,分录回款!$L:$L,0)),"")</f>
        <v/>
      </c>
      <c r="H1330" s="23"/>
      <c r="I1330" s="70"/>
      <c r="L1330" s="71" t="n">
        <f aca="false">IF(助手回款!$R$90="",-1,助手回款!$R$90*100+(助手回款!$S$90-1)*6+5)</f>
        <v>-1</v>
      </c>
    </row>
    <row r="1331" customFormat="false" ht="23.25" hidden="false" customHeight="true" outlineLevel="0" collapsed="false">
      <c r="B1331" s="67" t="str">
        <f aca="false">""</f>
        <v/>
      </c>
      <c r="C1331" s="67"/>
      <c r="D1331" s="23" t="str">
        <f aca="false">IFERROR(INDEX(分录回款!$E:$E,MATCH($L1331,分录回款!$L:$L,0)),"")</f>
        <v/>
      </c>
      <c r="E1331" s="23" t="str">
        <f aca="false">IFERROR(INDEX(分录回款!$F:$F,MATCH($L1331,分录回款!$L:$L,0)),"")</f>
        <v/>
      </c>
      <c r="F1331" s="68" t="str">
        <f aca="false">IFERROR(INDEX(分录回款!$H:$H,MATCH($L1331,分录回款!$L:$L,0)),"")</f>
        <v/>
      </c>
      <c r="G1331" s="69" t="str">
        <f aca="false">IFERROR(INDEX(分录回款!$I:$I,MATCH($L1331,分录回款!$L:$L,0)),"")</f>
        <v/>
      </c>
      <c r="H1331" s="23"/>
      <c r="I1331" s="70"/>
      <c r="L1331" s="71" t="n">
        <f aca="false">IF(助手回款!$R$90="",-1,助手回款!$R$90*100+(助手回款!$S$90-1)*6+6)</f>
        <v>-1</v>
      </c>
    </row>
    <row r="1332" customFormat="false" ht="23.25" hidden="false" customHeight="true" outlineLevel="0" collapsed="false">
      <c r="B1332" s="72" t="str">
        <f aca="false">IF(助手回款!$T$90=1,"合计：","")</f>
        <v/>
      </c>
      <c r="C1332" s="73" t="str">
        <f aca="false">IF(助手回款!$T$90=1,$F1332,"")</f>
        <v/>
      </c>
      <c r="D1332" s="74"/>
      <c r="E1332" s="74"/>
      <c r="F1332" s="75" t="str">
        <f aca="false">IF(助手回款!$T$90=1,INDEX(助手回款!$N$2:$N$66,助手回款!$R$90),"")</f>
        <v/>
      </c>
      <c r="G1332" s="76" t="str">
        <f aca="false">IF(助手回款!$T$90=1,INDEX(助手回款!$O$2:$O$66,助手回款!$R$90),"")</f>
        <v/>
      </c>
      <c r="H1332" s="74"/>
      <c r="I1332" s="77"/>
    </row>
    <row r="1333" customFormat="false" ht="6" hidden="false" customHeight="true" outlineLevel="0" collapsed="false"/>
    <row r="1334" customFormat="false" ht="13.5" hidden="false" customHeight="false" outlineLevel="0" collapsed="false">
      <c r="B1334" s="78" t="str">
        <f aca="false">IF(助手回款!$R$90&lt;&gt;"","会计主管：","")</f>
        <v/>
      </c>
      <c r="D1334" s="78" t="str">
        <f aca="false">IF(助手回款!$R$90&lt;&gt;"","会计：","")</f>
        <v/>
      </c>
      <c r="E1334" s="78" t="str">
        <f aca="false">IF(助手回款!$R$90&lt;&gt;"","出纳：","")</f>
        <v/>
      </c>
      <c r="F1334" s="78" t="str">
        <f aca="false">IF(助手回款!$R$90&lt;&gt;"","复核：","")</f>
        <v/>
      </c>
      <c r="G1334" s="78" t="str">
        <f aca="false">IF(助手回款!$R$90&lt;&gt;"","制单：","")</f>
        <v/>
      </c>
    </row>
    <row r="1335" customFormat="false" ht="3" hidden="false" customHeight="true" outlineLevel="0" collapsed="false"/>
    <row r="1336" customFormat="false" ht="19.5" hidden="false" customHeight="true" outlineLevel="0" collapsed="false">
      <c r="B1336" s="53" t="str">
        <f aca="false">IF(助手回款!$R$91&lt;&gt;"","记  账  凭  证","")</f>
        <v/>
      </c>
      <c r="C1336" s="53"/>
      <c r="D1336" s="53"/>
      <c r="E1336" s="53"/>
      <c r="F1336" s="53"/>
      <c r="G1336" s="53"/>
      <c r="H1336" s="53"/>
      <c r="I1336" s="53"/>
    </row>
    <row r="1337" customFormat="false" ht="3" hidden="false" customHeight="true" outlineLevel="0" collapsed="false"/>
    <row r="1338" customFormat="false" ht="15" hidden="false" customHeight="true" outlineLevel="0" collapsed="false">
      <c r="C1338" s="56" t="str">
        <f aca="false">IF(助手回款!$R$91&lt;&gt;"",INDEX(助手回款!$B$2:$B$66,助手回款!$R$91),"")</f>
        <v/>
      </c>
      <c r="D1338" s="57" t="str">
        <f aca="false">IF(助手回款!$R$91&lt;&gt;"",参数!$B$2,"")</f>
        <v/>
      </c>
      <c r="E1338" s="57"/>
      <c r="F1338" s="58" t="str">
        <f aca="false">IF(助手回款!$R$91&lt;&gt;"",INDEX(助手回款!$C$2:$C$66,助手回款!$R$91)&amp;"  字第 "&amp;IF(参数!$B$9="是",INDEX(助手回款!$P$2:$P$66,助手回款!$R$91),"　　　　")&amp;" 号"&amp;IF(INDEX(助手回款!$L$2:$L$66,助手回款!$R$91)&gt;1,"  (共"&amp;INDEX(助手回款!$L$2:$L$66,助手回款!$R$91)&amp;"页 第"&amp;助手回款!$S$91&amp;"页)",""),"")</f>
        <v/>
      </c>
      <c r="G1338" s="58"/>
      <c r="H1338" s="58"/>
      <c r="I1338" s="58"/>
      <c r="M1338" s="79" t="str">
        <f aca="false">IF(助手回款!$R$91="","",助手回款!$Q$91)</f>
        <v/>
      </c>
      <c r="N1338" s="80" t="str">
        <f aca="false">IF(助手回款!$R$91="","",INDEX(助手回款!$P$2:$P$66,助手回款!$R$91))</f>
        <v/>
      </c>
      <c r="O1338" s="55" t="str">
        <f aca="false">IF(助手回款!$R$91="","",INDEX(助手回款!$C$2:$C$66,助手回款!$R$91)&amp;"  字第 "&amp;INDEX(助手回款!$P$2:$P$66,助手回款!$R$91)&amp;" 号"&amp;IF(INDEX(助手回款!$L$2:$L$66,助手回款!$R$91)&gt;1,"  (共"&amp;INDEX(助手回款!$L$2:$L$66,助手回款!$R$91)&amp;"页 第"&amp;助手回款!$S$91&amp;"页)",""))</f>
        <v/>
      </c>
    </row>
    <row r="1339" customFormat="false" ht="12.75" hidden="false" customHeight="true" outlineLevel="0" collapsed="false">
      <c r="B1339" s="61" t="str">
        <f aca="false">IF(助手回款!$R$91&lt;&gt;"","摘　　要","")</f>
        <v/>
      </c>
      <c r="C1339" s="61"/>
      <c r="D1339" s="62" t="str">
        <f aca="false">IF(助手回款!$R$91&lt;&gt;"","科　　　　目","")</f>
        <v/>
      </c>
      <c r="E1339" s="62"/>
      <c r="F1339" s="61" t="str">
        <f aca="false">IF(助手回款!$R$91&lt;&gt;"","借 方 金 额","")</f>
        <v/>
      </c>
      <c r="G1339" s="62" t="str">
        <f aca="false">IF(助手回款!$R$91&lt;&gt;"","贷 方 金 额","")</f>
        <v/>
      </c>
      <c r="H1339" s="63" t="str">
        <f aca="false">IF(助手回款!$R$91&lt;&gt;"","√","")</f>
        <v/>
      </c>
      <c r="I1339" s="64" t="str">
        <f aca="false">IF(助手回款!$R$91&lt;&gt;"","附单据  张","")</f>
        <v/>
      </c>
    </row>
    <row r="1340" customFormat="false" ht="12.75" hidden="false" customHeight="true" outlineLevel="0" collapsed="false">
      <c r="B1340" s="61"/>
      <c r="C1340" s="61"/>
      <c r="D1340" s="23" t="str">
        <f aca="false">IF(助手回款!$R$91&lt;&gt;"","总 账 科 目","")</f>
        <v/>
      </c>
      <c r="E1340" s="23" t="str">
        <f aca="false">IF(助手回款!$R$91&lt;&gt;"","明 细 科 目","")</f>
        <v/>
      </c>
      <c r="F1340" s="65"/>
      <c r="G1340" s="66"/>
      <c r="H1340" s="63"/>
      <c r="I1340" s="64"/>
    </row>
    <row r="1341" customFormat="false" ht="23.25" hidden="false" customHeight="true" outlineLevel="0" collapsed="false">
      <c r="B1341" s="67" t="str">
        <f aca="false">IFERROR(INDEX(分录回款!$M:$M,MATCH($L1341,分录回款!$L:$L,0)),"")</f>
        <v/>
      </c>
      <c r="C1341" s="67"/>
      <c r="D1341" s="23" t="str">
        <f aca="false">IFERROR(INDEX(分录回款!$E:$E,MATCH($L1341,分录回款!$L:$L,0)),"")</f>
        <v/>
      </c>
      <c r="E1341" s="23" t="str">
        <f aca="false">IFERROR(INDEX(分录回款!$F:$F,MATCH($L1341,分录回款!$L:$L,0)),"")</f>
        <v/>
      </c>
      <c r="F1341" s="68" t="str">
        <f aca="false">IFERROR(INDEX(分录回款!$H:$H,MATCH($L1341,分录回款!$L:$L,0)),"")</f>
        <v/>
      </c>
      <c r="G1341" s="69" t="str">
        <f aca="false">IFERROR(INDEX(分录回款!$I:$I,MATCH($L1341,分录回款!$L:$L,0)),"")</f>
        <v/>
      </c>
      <c r="H1341" s="23"/>
      <c r="I1341" s="70"/>
      <c r="L1341" s="71" t="n">
        <f aca="false">IF(助手回款!$R$91="",-1,助手回款!$R$91*100+(助手回款!$S$91-1)*6+1)</f>
        <v>-1</v>
      </c>
    </row>
    <row r="1342" customFormat="false" ht="23.25" hidden="false" customHeight="true" outlineLevel="0" collapsed="false">
      <c r="B1342" s="67" t="str">
        <f aca="false">""</f>
        <v/>
      </c>
      <c r="C1342" s="67"/>
      <c r="D1342" s="23" t="str">
        <f aca="false">IFERROR(INDEX(分录回款!$E:$E,MATCH($L1342,分录回款!$L:$L,0)),"")</f>
        <v/>
      </c>
      <c r="E1342" s="23" t="str">
        <f aca="false">IFERROR(INDEX(分录回款!$F:$F,MATCH($L1342,分录回款!$L:$L,0)),"")</f>
        <v/>
      </c>
      <c r="F1342" s="68" t="str">
        <f aca="false">IFERROR(INDEX(分录回款!$H:$H,MATCH($L1342,分录回款!$L:$L,0)),"")</f>
        <v/>
      </c>
      <c r="G1342" s="69" t="str">
        <f aca="false">IFERROR(INDEX(分录回款!$I:$I,MATCH($L1342,分录回款!$L:$L,0)),"")</f>
        <v/>
      </c>
      <c r="H1342" s="23"/>
      <c r="I1342" s="70"/>
      <c r="L1342" s="71" t="n">
        <f aca="false">IF(助手回款!$R$91="",-1,助手回款!$R$91*100+(助手回款!$S$91-1)*6+2)</f>
        <v>-1</v>
      </c>
    </row>
    <row r="1343" customFormat="false" ht="23.25" hidden="false" customHeight="true" outlineLevel="0" collapsed="false">
      <c r="B1343" s="67" t="str">
        <f aca="false">""</f>
        <v/>
      </c>
      <c r="C1343" s="67"/>
      <c r="D1343" s="23" t="str">
        <f aca="false">IFERROR(INDEX(分录回款!$E:$E,MATCH($L1343,分录回款!$L:$L,0)),"")</f>
        <v/>
      </c>
      <c r="E1343" s="23" t="str">
        <f aca="false">IFERROR(INDEX(分录回款!$F:$F,MATCH($L1343,分录回款!$L:$L,0)),"")</f>
        <v/>
      </c>
      <c r="F1343" s="68" t="str">
        <f aca="false">IFERROR(INDEX(分录回款!$H:$H,MATCH($L1343,分录回款!$L:$L,0)),"")</f>
        <v/>
      </c>
      <c r="G1343" s="69" t="str">
        <f aca="false">IFERROR(INDEX(分录回款!$I:$I,MATCH($L1343,分录回款!$L:$L,0)),"")</f>
        <v/>
      </c>
      <c r="H1343" s="23"/>
      <c r="I1343" s="70"/>
      <c r="L1343" s="71" t="n">
        <f aca="false">IF(助手回款!$R$91="",-1,助手回款!$R$91*100+(助手回款!$S$91-1)*6+3)</f>
        <v>-1</v>
      </c>
    </row>
    <row r="1344" customFormat="false" ht="23.25" hidden="false" customHeight="true" outlineLevel="0" collapsed="false">
      <c r="B1344" s="67" t="str">
        <f aca="false">""</f>
        <v/>
      </c>
      <c r="C1344" s="67"/>
      <c r="D1344" s="23" t="str">
        <f aca="false">IFERROR(INDEX(分录回款!$E:$E,MATCH($L1344,分录回款!$L:$L,0)),"")</f>
        <v/>
      </c>
      <c r="E1344" s="23" t="str">
        <f aca="false">IFERROR(INDEX(分录回款!$F:$F,MATCH($L1344,分录回款!$L:$L,0)),"")</f>
        <v/>
      </c>
      <c r="F1344" s="68" t="str">
        <f aca="false">IFERROR(INDEX(分录回款!$H:$H,MATCH($L1344,分录回款!$L:$L,0)),"")</f>
        <v/>
      </c>
      <c r="G1344" s="69" t="str">
        <f aca="false">IFERROR(INDEX(分录回款!$I:$I,MATCH($L1344,分录回款!$L:$L,0)),"")</f>
        <v/>
      </c>
      <c r="H1344" s="23"/>
      <c r="I1344" s="70"/>
      <c r="L1344" s="71" t="n">
        <f aca="false">IF(助手回款!$R$91="",-1,助手回款!$R$91*100+(助手回款!$S$91-1)*6+4)</f>
        <v>-1</v>
      </c>
    </row>
    <row r="1345" customFormat="false" ht="23.25" hidden="false" customHeight="true" outlineLevel="0" collapsed="false">
      <c r="B1345" s="67" t="str">
        <f aca="false">""</f>
        <v/>
      </c>
      <c r="C1345" s="67"/>
      <c r="D1345" s="23" t="str">
        <f aca="false">IFERROR(INDEX(分录回款!$E:$E,MATCH($L1345,分录回款!$L:$L,0)),"")</f>
        <v/>
      </c>
      <c r="E1345" s="23" t="str">
        <f aca="false">IFERROR(INDEX(分录回款!$F:$F,MATCH($L1345,分录回款!$L:$L,0)),"")</f>
        <v/>
      </c>
      <c r="F1345" s="68" t="str">
        <f aca="false">IFERROR(INDEX(分录回款!$H:$H,MATCH($L1345,分录回款!$L:$L,0)),"")</f>
        <v/>
      </c>
      <c r="G1345" s="69" t="str">
        <f aca="false">IFERROR(INDEX(分录回款!$I:$I,MATCH($L1345,分录回款!$L:$L,0)),"")</f>
        <v/>
      </c>
      <c r="H1345" s="23"/>
      <c r="I1345" s="70"/>
      <c r="L1345" s="71" t="n">
        <f aca="false">IF(助手回款!$R$91="",-1,助手回款!$R$91*100+(助手回款!$S$91-1)*6+5)</f>
        <v>-1</v>
      </c>
    </row>
    <row r="1346" customFormat="false" ht="23.25" hidden="false" customHeight="true" outlineLevel="0" collapsed="false">
      <c r="B1346" s="67" t="str">
        <f aca="false">""</f>
        <v/>
      </c>
      <c r="C1346" s="67"/>
      <c r="D1346" s="23" t="str">
        <f aca="false">IFERROR(INDEX(分录回款!$E:$E,MATCH($L1346,分录回款!$L:$L,0)),"")</f>
        <v/>
      </c>
      <c r="E1346" s="23" t="str">
        <f aca="false">IFERROR(INDEX(分录回款!$F:$F,MATCH($L1346,分录回款!$L:$L,0)),"")</f>
        <v/>
      </c>
      <c r="F1346" s="68" t="str">
        <f aca="false">IFERROR(INDEX(分录回款!$H:$H,MATCH($L1346,分录回款!$L:$L,0)),"")</f>
        <v/>
      </c>
      <c r="G1346" s="69" t="str">
        <f aca="false">IFERROR(INDEX(分录回款!$I:$I,MATCH($L1346,分录回款!$L:$L,0)),"")</f>
        <v/>
      </c>
      <c r="H1346" s="23"/>
      <c r="I1346" s="70"/>
      <c r="L1346" s="71" t="n">
        <f aca="false">IF(助手回款!$R$91="",-1,助手回款!$R$91*100+(助手回款!$S$91-1)*6+6)</f>
        <v>-1</v>
      </c>
    </row>
    <row r="1347" customFormat="false" ht="23.25" hidden="false" customHeight="true" outlineLevel="0" collapsed="false">
      <c r="B1347" s="72" t="str">
        <f aca="false">IF(助手回款!$T$91=1,"合计：","")</f>
        <v/>
      </c>
      <c r="C1347" s="73" t="str">
        <f aca="false">IF(助手回款!$T$91=1,$F1347,"")</f>
        <v/>
      </c>
      <c r="D1347" s="74"/>
      <c r="E1347" s="74"/>
      <c r="F1347" s="75" t="str">
        <f aca="false">IF(助手回款!$T$91=1,INDEX(助手回款!$N$2:$N$66,助手回款!$R$91),"")</f>
        <v/>
      </c>
      <c r="G1347" s="76" t="str">
        <f aca="false">IF(助手回款!$T$91=1,INDEX(助手回款!$O$2:$O$66,助手回款!$R$91),"")</f>
        <v/>
      </c>
      <c r="H1347" s="74"/>
      <c r="I1347" s="77"/>
    </row>
    <row r="1348" customFormat="false" ht="6" hidden="false" customHeight="true" outlineLevel="0" collapsed="false"/>
    <row r="1349" customFormat="false" ht="13.5" hidden="false" customHeight="false" outlineLevel="0" collapsed="false">
      <c r="B1349" s="78" t="str">
        <f aca="false">IF(助手回款!$R$91&lt;&gt;"","会计主管：","")</f>
        <v/>
      </c>
      <c r="D1349" s="78" t="str">
        <f aca="false">IF(助手回款!$R$91&lt;&gt;"","会计：","")</f>
        <v/>
      </c>
      <c r="E1349" s="78" t="str">
        <f aca="false">IF(助手回款!$R$91&lt;&gt;"","出纳：","")</f>
        <v/>
      </c>
      <c r="F1349" s="78" t="str">
        <f aca="false">IF(助手回款!$R$91&lt;&gt;"","复核：","")</f>
        <v/>
      </c>
      <c r="G1349" s="78" t="str">
        <f aca="false">IF(助手回款!$R$91&lt;&gt;"","制单：","")</f>
        <v/>
      </c>
    </row>
    <row r="1350" customFormat="false" ht="3" hidden="false" customHeight="true" outlineLevel="0" collapsed="false"/>
    <row r="1351" customFormat="false" ht="19.5" hidden="false" customHeight="true" outlineLevel="0" collapsed="false">
      <c r="B1351" s="53" t="str">
        <f aca="false">IF(助手回款!$R$92&lt;&gt;"","记  账  凭  证","")</f>
        <v/>
      </c>
      <c r="C1351" s="53"/>
      <c r="D1351" s="53"/>
      <c r="E1351" s="53"/>
      <c r="F1351" s="53"/>
      <c r="G1351" s="53"/>
      <c r="H1351" s="53"/>
      <c r="I1351" s="53"/>
    </row>
    <row r="1352" customFormat="false" ht="3" hidden="false" customHeight="true" outlineLevel="0" collapsed="false"/>
    <row r="1353" customFormat="false" ht="15" hidden="false" customHeight="true" outlineLevel="0" collapsed="false">
      <c r="C1353" s="56" t="str">
        <f aca="false">IF(助手回款!$R$92&lt;&gt;"",INDEX(助手回款!$B$2:$B$66,助手回款!$R$92),"")</f>
        <v/>
      </c>
      <c r="D1353" s="57" t="str">
        <f aca="false">IF(助手回款!$R$92&lt;&gt;"",参数!$B$2,"")</f>
        <v/>
      </c>
      <c r="E1353" s="57"/>
      <c r="F1353" s="58" t="str">
        <f aca="false">IF(助手回款!$R$92&lt;&gt;"",INDEX(助手回款!$C$2:$C$66,助手回款!$R$92)&amp;"  字第 "&amp;IF(参数!$B$9="是",INDEX(助手回款!$P$2:$P$66,助手回款!$R$92),"　　　　")&amp;" 号"&amp;IF(INDEX(助手回款!$L$2:$L$66,助手回款!$R$92)&gt;1,"  (共"&amp;INDEX(助手回款!$L$2:$L$66,助手回款!$R$92)&amp;"页 第"&amp;助手回款!$S$92&amp;"页)",""),"")</f>
        <v/>
      </c>
      <c r="G1353" s="58"/>
      <c r="H1353" s="58"/>
      <c r="I1353" s="58"/>
      <c r="M1353" s="79" t="str">
        <f aca="false">IF(助手回款!$R$92="","",助手回款!$Q$92)</f>
        <v/>
      </c>
      <c r="N1353" s="80" t="str">
        <f aca="false">IF(助手回款!$R$92="","",INDEX(助手回款!$P$2:$P$66,助手回款!$R$92))</f>
        <v/>
      </c>
      <c r="O1353" s="55" t="str">
        <f aca="false">IF(助手回款!$R$92="","",INDEX(助手回款!$C$2:$C$66,助手回款!$R$92)&amp;"  字第 "&amp;INDEX(助手回款!$P$2:$P$66,助手回款!$R$92)&amp;" 号"&amp;IF(INDEX(助手回款!$L$2:$L$66,助手回款!$R$92)&gt;1,"  (共"&amp;INDEX(助手回款!$L$2:$L$66,助手回款!$R$92)&amp;"页 第"&amp;助手回款!$S$92&amp;"页)",""))</f>
        <v/>
      </c>
    </row>
    <row r="1354" customFormat="false" ht="12.75" hidden="false" customHeight="true" outlineLevel="0" collapsed="false">
      <c r="B1354" s="61" t="str">
        <f aca="false">IF(助手回款!$R$92&lt;&gt;"","摘　　要","")</f>
        <v/>
      </c>
      <c r="C1354" s="61"/>
      <c r="D1354" s="62" t="str">
        <f aca="false">IF(助手回款!$R$92&lt;&gt;"","科　　　　目","")</f>
        <v/>
      </c>
      <c r="E1354" s="62"/>
      <c r="F1354" s="61" t="str">
        <f aca="false">IF(助手回款!$R$92&lt;&gt;"","借 方 金 额","")</f>
        <v/>
      </c>
      <c r="G1354" s="62" t="str">
        <f aca="false">IF(助手回款!$R$92&lt;&gt;"","贷 方 金 额","")</f>
        <v/>
      </c>
      <c r="H1354" s="63" t="str">
        <f aca="false">IF(助手回款!$R$92&lt;&gt;"","√","")</f>
        <v/>
      </c>
      <c r="I1354" s="64" t="str">
        <f aca="false">IF(助手回款!$R$92&lt;&gt;"","附单据  张","")</f>
        <v/>
      </c>
    </row>
    <row r="1355" customFormat="false" ht="12.75" hidden="false" customHeight="true" outlineLevel="0" collapsed="false">
      <c r="B1355" s="61"/>
      <c r="C1355" s="61"/>
      <c r="D1355" s="23" t="str">
        <f aca="false">IF(助手回款!$R$92&lt;&gt;"","总 账 科 目","")</f>
        <v/>
      </c>
      <c r="E1355" s="23" t="str">
        <f aca="false">IF(助手回款!$R$92&lt;&gt;"","明 细 科 目","")</f>
        <v/>
      </c>
      <c r="F1355" s="65"/>
      <c r="G1355" s="66"/>
      <c r="H1355" s="63"/>
      <c r="I1355" s="64"/>
    </row>
    <row r="1356" customFormat="false" ht="23.25" hidden="false" customHeight="true" outlineLevel="0" collapsed="false">
      <c r="B1356" s="67" t="str">
        <f aca="false">IFERROR(INDEX(分录回款!$M:$M,MATCH($L1356,分录回款!$L:$L,0)),"")</f>
        <v/>
      </c>
      <c r="C1356" s="67"/>
      <c r="D1356" s="23" t="str">
        <f aca="false">IFERROR(INDEX(分录回款!$E:$E,MATCH($L1356,分录回款!$L:$L,0)),"")</f>
        <v/>
      </c>
      <c r="E1356" s="23" t="str">
        <f aca="false">IFERROR(INDEX(分录回款!$F:$F,MATCH($L1356,分录回款!$L:$L,0)),"")</f>
        <v/>
      </c>
      <c r="F1356" s="68" t="str">
        <f aca="false">IFERROR(INDEX(分录回款!$H:$H,MATCH($L1356,分录回款!$L:$L,0)),"")</f>
        <v/>
      </c>
      <c r="G1356" s="69" t="str">
        <f aca="false">IFERROR(INDEX(分录回款!$I:$I,MATCH($L1356,分录回款!$L:$L,0)),"")</f>
        <v/>
      </c>
      <c r="H1356" s="23"/>
      <c r="I1356" s="70"/>
      <c r="L1356" s="71" t="n">
        <f aca="false">IF(助手回款!$R$92="",-1,助手回款!$R$92*100+(助手回款!$S$92-1)*6+1)</f>
        <v>-1</v>
      </c>
    </row>
    <row r="1357" customFormat="false" ht="23.25" hidden="false" customHeight="true" outlineLevel="0" collapsed="false">
      <c r="B1357" s="67" t="str">
        <f aca="false">""</f>
        <v/>
      </c>
      <c r="C1357" s="67"/>
      <c r="D1357" s="23" t="str">
        <f aca="false">IFERROR(INDEX(分录回款!$E:$E,MATCH($L1357,分录回款!$L:$L,0)),"")</f>
        <v/>
      </c>
      <c r="E1357" s="23" t="str">
        <f aca="false">IFERROR(INDEX(分录回款!$F:$F,MATCH($L1357,分录回款!$L:$L,0)),"")</f>
        <v/>
      </c>
      <c r="F1357" s="68" t="str">
        <f aca="false">IFERROR(INDEX(分录回款!$H:$H,MATCH($L1357,分录回款!$L:$L,0)),"")</f>
        <v/>
      </c>
      <c r="G1357" s="69" t="str">
        <f aca="false">IFERROR(INDEX(分录回款!$I:$I,MATCH($L1357,分录回款!$L:$L,0)),"")</f>
        <v/>
      </c>
      <c r="H1357" s="23"/>
      <c r="I1357" s="70"/>
      <c r="L1357" s="71" t="n">
        <f aca="false">IF(助手回款!$R$92="",-1,助手回款!$R$92*100+(助手回款!$S$92-1)*6+2)</f>
        <v>-1</v>
      </c>
    </row>
    <row r="1358" customFormat="false" ht="23.25" hidden="false" customHeight="true" outlineLevel="0" collapsed="false">
      <c r="B1358" s="67" t="str">
        <f aca="false">""</f>
        <v/>
      </c>
      <c r="C1358" s="67"/>
      <c r="D1358" s="23" t="str">
        <f aca="false">IFERROR(INDEX(分录回款!$E:$E,MATCH($L1358,分录回款!$L:$L,0)),"")</f>
        <v/>
      </c>
      <c r="E1358" s="23" t="str">
        <f aca="false">IFERROR(INDEX(分录回款!$F:$F,MATCH($L1358,分录回款!$L:$L,0)),"")</f>
        <v/>
      </c>
      <c r="F1358" s="68" t="str">
        <f aca="false">IFERROR(INDEX(分录回款!$H:$H,MATCH($L1358,分录回款!$L:$L,0)),"")</f>
        <v/>
      </c>
      <c r="G1358" s="69" t="str">
        <f aca="false">IFERROR(INDEX(分录回款!$I:$I,MATCH($L1358,分录回款!$L:$L,0)),"")</f>
        <v/>
      </c>
      <c r="H1358" s="23"/>
      <c r="I1358" s="70"/>
      <c r="L1358" s="71" t="n">
        <f aca="false">IF(助手回款!$R$92="",-1,助手回款!$R$92*100+(助手回款!$S$92-1)*6+3)</f>
        <v>-1</v>
      </c>
    </row>
    <row r="1359" customFormat="false" ht="23.25" hidden="false" customHeight="true" outlineLevel="0" collapsed="false">
      <c r="B1359" s="67" t="str">
        <f aca="false">""</f>
        <v/>
      </c>
      <c r="C1359" s="67"/>
      <c r="D1359" s="23" t="str">
        <f aca="false">IFERROR(INDEX(分录回款!$E:$E,MATCH($L1359,分录回款!$L:$L,0)),"")</f>
        <v/>
      </c>
      <c r="E1359" s="23" t="str">
        <f aca="false">IFERROR(INDEX(分录回款!$F:$F,MATCH($L1359,分录回款!$L:$L,0)),"")</f>
        <v/>
      </c>
      <c r="F1359" s="68" t="str">
        <f aca="false">IFERROR(INDEX(分录回款!$H:$H,MATCH($L1359,分录回款!$L:$L,0)),"")</f>
        <v/>
      </c>
      <c r="G1359" s="69" t="str">
        <f aca="false">IFERROR(INDEX(分录回款!$I:$I,MATCH($L1359,分录回款!$L:$L,0)),"")</f>
        <v/>
      </c>
      <c r="H1359" s="23"/>
      <c r="I1359" s="70"/>
      <c r="L1359" s="71" t="n">
        <f aca="false">IF(助手回款!$R$92="",-1,助手回款!$R$92*100+(助手回款!$S$92-1)*6+4)</f>
        <v>-1</v>
      </c>
    </row>
    <row r="1360" customFormat="false" ht="23.25" hidden="false" customHeight="true" outlineLevel="0" collapsed="false">
      <c r="B1360" s="67" t="str">
        <f aca="false">""</f>
        <v/>
      </c>
      <c r="C1360" s="67"/>
      <c r="D1360" s="23" t="str">
        <f aca="false">IFERROR(INDEX(分录回款!$E:$E,MATCH($L1360,分录回款!$L:$L,0)),"")</f>
        <v/>
      </c>
      <c r="E1360" s="23" t="str">
        <f aca="false">IFERROR(INDEX(分录回款!$F:$F,MATCH($L1360,分录回款!$L:$L,0)),"")</f>
        <v/>
      </c>
      <c r="F1360" s="68" t="str">
        <f aca="false">IFERROR(INDEX(分录回款!$H:$H,MATCH($L1360,分录回款!$L:$L,0)),"")</f>
        <v/>
      </c>
      <c r="G1360" s="69" t="str">
        <f aca="false">IFERROR(INDEX(分录回款!$I:$I,MATCH($L1360,分录回款!$L:$L,0)),"")</f>
        <v/>
      </c>
      <c r="H1360" s="23"/>
      <c r="I1360" s="70"/>
      <c r="L1360" s="71" t="n">
        <f aca="false">IF(助手回款!$R$92="",-1,助手回款!$R$92*100+(助手回款!$S$92-1)*6+5)</f>
        <v>-1</v>
      </c>
    </row>
    <row r="1361" customFormat="false" ht="23.25" hidden="false" customHeight="true" outlineLevel="0" collapsed="false">
      <c r="B1361" s="67" t="str">
        <f aca="false">""</f>
        <v/>
      </c>
      <c r="C1361" s="67"/>
      <c r="D1361" s="23" t="str">
        <f aca="false">IFERROR(INDEX(分录回款!$E:$E,MATCH($L1361,分录回款!$L:$L,0)),"")</f>
        <v/>
      </c>
      <c r="E1361" s="23" t="str">
        <f aca="false">IFERROR(INDEX(分录回款!$F:$F,MATCH($L1361,分录回款!$L:$L,0)),"")</f>
        <v/>
      </c>
      <c r="F1361" s="68" t="str">
        <f aca="false">IFERROR(INDEX(分录回款!$H:$H,MATCH($L1361,分录回款!$L:$L,0)),"")</f>
        <v/>
      </c>
      <c r="G1361" s="69" t="str">
        <f aca="false">IFERROR(INDEX(分录回款!$I:$I,MATCH($L1361,分录回款!$L:$L,0)),"")</f>
        <v/>
      </c>
      <c r="H1361" s="23"/>
      <c r="I1361" s="70"/>
      <c r="L1361" s="71" t="n">
        <f aca="false">IF(助手回款!$R$92="",-1,助手回款!$R$92*100+(助手回款!$S$92-1)*6+6)</f>
        <v>-1</v>
      </c>
    </row>
    <row r="1362" customFormat="false" ht="23.25" hidden="false" customHeight="true" outlineLevel="0" collapsed="false">
      <c r="B1362" s="72" t="str">
        <f aca="false">IF(助手回款!$T$92=1,"合计：","")</f>
        <v/>
      </c>
      <c r="C1362" s="73" t="str">
        <f aca="false">IF(助手回款!$T$92=1,$F1362,"")</f>
        <v/>
      </c>
      <c r="D1362" s="74"/>
      <c r="E1362" s="74"/>
      <c r="F1362" s="75" t="str">
        <f aca="false">IF(助手回款!$T$92=1,INDEX(助手回款!$N$2:$N$66,助手回款!$R$92),"")</f>
        <v/>
      </c>
      <c r="G1362" s="76" t="str">
        <f aca="false">IF(助手回款!$T$92=1,INDEX(助手回款!$O$2:$O$66,助手回款!$R$92),"")</f>
        <v/>
      </c>
      <c r="H1362" s="74"/>
      <c r="I1362" s="77"/>
    </row>
    <row r="1363" customFormat="false" ht="6" hidden="false" customHeight="true" outlineLevel="0" collapsed="false"/>
    <row r="1364" customFormat="false" ht="13.5" hidden="false" customHeight="false" outlineLevel="0" collapsed="false">
      <c r="B1364" s="78" t="str">
        <f aca="false">IF(助手回款!$R$92&lt;&gt;"","会计主管：","")</f>
        <v/>
      </c>
      <c r="D1364" s="78" t="str">
        <f aca="false">IF(助手回款!$R$92&lt;&gt;"","会计：","")</f>
        <v/>
      </c>
      <c r="E1364" s="78" t="str">
        <f aca="false">IF(助手回款!$R$92&lt;&gt;"","出纳：","")</f>
        <v/>
      </c>
      <c r="F1364" s="78" t="str">
        <f aca="false">IF(助手回款!$R$92&lt;&gt;"","复核：","")</f>
        <v/>
      </c>
      <c r="G1364" s="78" t="str">
        <f aca="false">IF(助手回款!$R$92&lt;&gt;"","制单：","")</f>
        <v/>
      </c>
    </row>
    <row r="1365" customFormat="false" ht="3" hidden="false" customHeight="true" outlineLevel="0" collapsed="false"/>
    <row r="1366" customFormat="false" ht="19.5" hidden="false" customHeight="true" outlineLevel="0" collapsed="false">
      <c r="B1366" s="53" t="str">
        <f aca="false">IF(助手回款!$R$93&lt;&gt;"","记  账  凭  证","")</f>
        <v/>
      </c>
      <c r="C1366" s="53"/>
      <c r="D1366" s="53"/>
      <c r="E1366" s="53"/>
      <c r="F1366" s="53"/>
      <c r="G1366" s="53"/>
      <c r="H1366" s="53"/>
      <c r="I1366" s="53"/>
    </row>
    <row r="1367" customFormat="false" ht="3" hidden="false" customHeight="true" outlineLevel="0" collapsed="false"/>
    <row r="1368" customFormat="false" ht="15" hidden="false" customHeight="true" outlineLevel="0" collapsed="false">
      <c r="C1368" s="56" t="str">
        <f aca="false">IF(助手回款!$R$93&lt;&gt;"",INDEX(助手回款!$B$2:$B$66,助手回款!$R$93),"")</f>
        <v/>
      </c>
      <c r="D1368" s="57" t="str">
        <f aca="false">IF(助手回款!$R$93&lt;&gt;"",参数!$B$2,"")</f>
        <v/>
      </c>
      <c r="E1368" s="57"/>
      <c r="F1368" s="58" t="str">
        <f aca="false">IF(助手回款!$R$93&lt;&gt;"",INDEX(助手回款!$C$2:$C$66,助手回款!$R$93)&amp;"  字第 "&amp;IF(参数!$B$9="是",INDEX(助手回款!$P$2:$P$66,助手回款!$R$93),"　　　　")&amp;" 号"&amp;IF(INDEX(助手回款!$L$2:$L$66,助手回款!$R$93)&gt;1,"  (共"&amp;INDEX(助手回款!$L$2:$L$66,助手回款!$R$93)&amp;"页 第"&amp;助手回款!$S$93&amp;"页)",""),"")</f>
        <v/>
      </c>
      <c r="G1368" s="58"/>
      <c r="H1368" s="58"/>
      <c r="I1368" s="58"/>
      <c r="M1368" s="79" t="str">
        <f aca="false">IF(助手回款!$R$93="","",助手回款!$Q$93)</f>
        <v/>
      </c>
      <c r="N1368" s="80" t="str">
        <f aca="false">IF(助手回款!$R$93="","",INDEX(助手回款!$P$2:$P$66,助手回款!$R$93))</f>
        <v/>
      </c>
      <c r="O1368" s="55" t="str">
        <f aca="false">IF(助手回款!$R$93="","",INDEX(助手回款!$C$2:$C$66,助手回款!$R$93)&amp;"  字第 "&amp;INDEX(助手回款!$P$2:$P$66,助手回款!$R$93)&amp;" 号"&amp;IF(INDEX(助手回款!$L$2:$L$66,助手回款!$R$93)&gt;1,"  (共"&amp;INDEX(助手回款!$L$2:$L$66,助手回款!$R$93)&amp;"页 第"&amp;助手回款!$S$93&amp;"页)",""))</f>
        <v/>
      </c>
    </row>
    <row r="1369" customFormat="false" ht="12.75" hidden="false" customHeight="true" outlineLevel="0" collapsed="false">
      <c r="B1369" s="61" t="str">
        <f aca="false">IF(助手回款!$R$93&lt;&gt;"","摘　　要","")</f>
        <v/>
      </c>
      <c r="C1369" s="61"/>
      <c r="D1369" s="62" t="str">
        <f aca="false">IF(助手回款!$R$93&lt;&gt;"","科　　　　目","")</f>
        <v/>
      </c>
      <c r="E1369" s="62"/>
      <c r="F1369" s="61" t="str">
        <f aca="false">IF(助手回款!$R$93&lt;&gt;"","借 方 金 额","")</f>
        <v/>
      </c>
      <c r="G1369" s="62" t="str">
        <f aca="false">IF(助手回款!$R$93&lt;&gt;"","贷 方 金 额","")</f>
        <v/>
      </c>
      <c r="H1369" s="63" t="str">
        <f aca="false">IF(助手回款!$R$93&lt;&gt;"","√","")</f>
        <v/>
      </c>
      <c r="I1369" s="64" t="str">
        <f aca="false">IF(助手回款!$R$93&lt;&gt;"","附单据  张","")</f>
        <v/>
      </c>
    </row>
    <row r="1370" customFormat="false" ht="12.75" hidden="false" customHeight="true" outlineLevel="0" collapsed="false">
      <c r="B1370" s="61"/>
      <c r="C1370" s="61"/>
      <c r="D1370" s="23" t="str">
        <f aca="false">IF(助手回款!$R$93&lt;&gt;"","总 账 科 目","")</f>
        <v/>
      </c>
      <c r="E1370" s="23" t="str">
        <f aca="false">IF(助手回款!$R$93&lt;&gt;"","明 细 科 目","")</f>
        <v/>
      </c>
      <c r="F1370" s="65"/>
      <c r="G1370" s="66"/>
      <c r="H1370" s="63"/>
      <c r="I1370" s="64"/>
    </row>
    <row r="1371" customFormat="false" ht="23.25" hidden="false" customHeight="true" outlineLevel="0" collapsed="false">
      <c r="B1371" s="67" t="str">
        <f aca="false">IFERROR(INDEX(分录回款!$M:$M,MATCH($L1371,分录回款!$L:$L,0)),"")</f>
        <v/>
      </c>
      <c r="C1371" s="67"/>
      <c r="D1371" s="23" t="str">
        <f aca="false">IFERROR(INDEX(分录回款!$E:$E,MATCH($L1371,分录回款!$L:$L,0)),"")</f>
        <v/>
      </c>
      <c r="E1371" s="23" t="str">
        <f aca="false">IFERROR(INDEX(分录回款!$F:$F,MATCH($L1371,分录回款!$L:$L,0)),"")</f>
        <v/>
      </c>
      <c r="F1371" s="68" t="str">
        <f aca="false">IFERROR(INDEX(分录回款!$H:$H,MATCH($L1371,分录回款!$L:$L,0)),"")</f>
        <v/>
      </c>
      <c r="G1371" s="69" t="str">
        <f aca="false">IFERROR(INDEX(分录回款!$I:$I,MATCH($L1371,分录回款!$L:$L,0)),"")</f>
        <v/>
      </c>
      <c r="H1371" s="23"/>
      <c r="I1371" s="70"/>
      <c r="L1371" s="71" t="n">
        <f aca="false">IF(助手回款!$R$93="",-1,助手回款!$R$93*100+(助手回款!$S$93-1)*6+1)</f>
        <v>-1</v>
      </c>
    </row>
    <row r="1372" customFormat="false" ht="23.25" hidden="false" customHeight="true" outlineLevel="0" collapsed="false">
      <c r="B1372" s="67" t="str">
        <f aca="false">""</f>
        <v/>
      </c>
      <c r="C1372" s="67"/>
      <c r="D1372" s="23" t="str">
        <f aca="false">IFERROR(INDEX(分录回款!$E:$E,MATCH($L1372,分录回款!$L:$L,0)),"")</f>
        <v/>
      </c>
      <c r="E1372" s="23" t="str">
        <f aca="false">IFERROR(INDEX(分录回款!$F:$F,MATCH($L1372,分录回款!$L:$L,0)),"")</f>
        <v/>
      </c>
      <c r="F1372" s="68" t="str">
        <f aca="false">IFERROR(INDEX(分录回款!$H:$H,MATCH($L1372,分录回款!$L:$L,0)),"")</f>
        <v/>
      </c>
      <c r="G1372" s="69" t="str">
        <f aca="false">IFERROR(INDEX(分录回款!$I:$I,MATCH($L1372,分录回款!$L:$L,0)),"")</f>
        <v/>
      </c>
      <c r="H1372" s="23"/>
      <c r="I1372" s="70"/>
      <c r="L1372" s="71" t="n">
        <f aca="false">IF(助手回款!$R$93="",-1,助手回款!$R$93*100+(助手回款!$S$93-1)*6+2)</f>
        <v>-1</v>
      </c>
    </row>
    <row r="1373" customFormat="false" ht="23.25" hidden="false" customHeight="true" outlineLevel="0" collapsed="false">
      <c r="B1373" s="67" t="str">
        <f aca="false">""</f>
        <v/>
      </c>
      <c r="C1373" s="67"/>
      <c r="D1373" s="23" t="str">
        <f aca="false">IFERROR(INDEX(分录回款!$E:$E,MATCH($L1373,分录回款!$L:$L,0)),"")</f>
        <v/>
      </c>
      <c r="E1373" s="23" t="str">
        <f aca="false">IFERROR(INDEX(分录回款!$F:$F,MATCH($L1373,分录回款!$L:$L,0)),"")</f>
        <v/>
      </c>
      <c r="F1373" s="68" t="str">
        <f aca="false">IFERROR(INDEX(分录回款!$H:$H,MATCH($L1373,分录回款!$L:$L,0)),"")</f>
        <v/>
      </c>
      <c r="G1373" s="69" t="str">
        <f aca="false">IFERROR(INDEX(分录回款!$I:$I,MATCH($L1373,分录回款!$L:$L,0)),"")</f>
        <v/>
      </c>
      <c r="H1373" s="23"/>
      <c r="I1373" s="70"/>
      <c r="L1373" s="71" t="n">
        <f aca="false">IF(助手回款!$R$93="",-1,助手回款!$R$93*100+(助手回款!$S$93-1)*6+3)</f>
        <v>-1</v>
      </c>
    </row>
    <row r="1374" customFormat="false" ht="23.25" hidden="false" customHeight="true" outlineLevel="0" collapsed="false">
      <c r="B1374" s="67" t="str">
        <f aca="false">""</f>
        <v/>
      </c>
      <c r="C1374" s="67"/>
      <c r="D1374" s="23" t="str">
        <f aca="false">IFERROR(INDEX(分录回款!$E:$E,MATCH($L1374,分录回款!$L:$L,0)),"")</f>
        <v/>
      </c>
      <c r="E1374" s="23" t="str">
        <f aca="false">IFERROR(INDEX(分录回款!$F:$F,MATCH($L1374,分录回款!$L:$L,0)),"")</f>
        <v/>
      </c>
      <c r="F1374" s="68" t="str">
        <f aca="false">IFERROR(INDEX(分录回款!$H:$H,MATCH($L1374,分录回款!$L:$L,0)),"")</f>
        <v/>
      </c>
      <c r="G1374" s="69" t="str">
        <f aca="false">IFERROR(INDEX(分录回款!$I:$I,MATCH($L1374,分录回款!$L:$L,0)),"")</f>
        <v/>
      </c>
      <c r="H1374" s="23"/>
      <c r="I1374" s="70"/>
      <c r="L1374" s="71" t="n">
        <f aca="false">IF(助手回款!$R$93="",-1,助手回款!$R$93*100+(助手回款!$S$93-1)*6+4)</f>
        <v>-1</v>
      </c>
    </row>
    <row r="1375" customFormat="false" ht="23.25" hidden="false" customHeight="true" outlineLevel="0" collapsed="false">
      <c r="B1375" s="67" t="str">
        <f aca="false">""</f>
        <v/>
      </c>
      <c r="C1375" s="67"/>
      <c r="D1375" s="23" t="str">
        <f aca="false">IFERROR(INDEX(分录回款!$E:$E,MATCH($L1375,分录回款!$L:$L,0)),"")</f>
        <v/>
      </c>
      <c r="E1375" s="23" t="str">
        <f aca="false">IFERROR(INDEX(分录回款!$F:$F,MATCH($L1375,分录回款!$L:$L,0)),"")</f>
        <v/>
      </c>
      <c r="F1375" s="68" t="str">
        <f aca="false">IFERROR(INDEX(分录回款!$H:$H,MATCH($L1375,分录回款!$L:$L,0)),"")</f>
        <v/>
      </c>
      <c r="G1375" s="69" t="str">
        <f aca="false">IFERROR(INDEX(分录回款!$I:$I,MATCH($L1375,分录回款!$L:$L,0)),"")</f>
        <v/>
      </c>
      <c r="H1375" s="23"/>
      <c r="I1375" s="70"/>
      <c r="L1375" s="71" t="n">
        <f aca="false">IF(助手回款!$R$93="",-1,助手回款!$R$93*100+(助手回款!$S$93-1)*6+5)</f>
        <v>-1</v>
      </c>
    </row>
    <row r="1376" customFormat="false" ht="23.25" hidden="false" customHeight="true" outlineLevel="0" collapsed="false">
      <c r="B1376" s="67" t="str">
        <f aca="false">""</f>
        <v/>
      </c>
      <c r="C1376" s="67"/>
      <c r="D1376" s="23" t="str">
        <f aca="false">IFERROR(INDEX(分录回款!$E:$E,MATCH($L1376,分录回款!$L:$L,0)),"")</f>
        <v/>
      </c>
      <c r="E1376" s="23" t="str">
        <f aca="false">IFERROR(INDEX(分录回款!$F:$F,MATCH($L1376,分录回款!$L:$L,0)),"")</f>
        <v/>
      </c>
      <c r="F1376" s="68" t="str">
        <f aca="false">IFERROR(INDEX(分录回款!$H:$H,MATCH($L1376,分录回款!$L:$L,0)),"")</f>
        <v/>
      </c>
      <c r="G1376" s="69" t="str">
        <f aca="false">IFERROR(INDEX(分录回款!$I:$I,MATCH($L1376,分录回款!$L:$L,0)),"")</f>
        <v/>
      </c>
      <c r="H1376" s="23"/>
      <c r="I1376" s="70"/>
      <c r="L1376" s="71" t="n">
        <f aca="false">IF(助手回款!$R$93="",-1,助手回款!$R$93*100+(助手回款!$S$93-1)*6+6)</f>
        <v>-1</v>
      </c>
    </row>
    <row r="1377" customFormat="false" ht="23.25" hidden="false" customHeight="true" outlineLevel="0" collapsed="false">
      <c r="B1377" s="72" t="str">
        <f aca="false">IF(助手回款!$T$93=1,"合计：","")</f>
        <v/>
      </c>
      <c r="C1377" s="73" t="str">
        <f aca="false">IF(助手回款!$T$93=1,$F1377,"")</f>
        <v/>
      </c>
      <c r="D1377" s="74"/>
      <c r="E1377" s="74"/>
      <c r="F1377" s="75" t="str">
        <f aca="false">IF(助手回款!$T$93=1,INDEX(助手回款!$N$2:$N$66,助手回款!$R$93),"")</f>
        <v/>
      </c>
      <c r="G1377" s="76" t="str">
        <f aca="false">IF(助手回款!$T$93=1,INDEX(助手回款!$O$2:$O$66,助手回款!$R$93),"")</f>
        <v/>
      </c>
      <c r="H1377" s="74"/>
      <c r="I1377" s="77"/>
    </row>
    <row r="1378" customFormat="false" ht="6" hidden="false" customHeight="true" outlineLevel="0" collapsed="false"/>
    <row r="1379" customFormat="false" ht="13.5" hidden="false" customHeight="false" outlineLevel="0" collapsed="false">
      <c r="B1379" s="78" t="str">
        <f aca="false">IF(助手回款!$R$93&lt;&gt;"","会计主管：","")</f>
        <v/>
      </c>
      <c r="D1379" s="78" t="str">
        <f aca="false">IF(助手回款!$R$93&lt;&gt;"","会计：","")</f>
        <v/>
      </c>
      <c r="E1379" s="78" t="str">
        <f aca="false">IF(助手回款!$R$93&lt;&gt;"","出纳：","")</f>
        <v/>
      </c>
      <c r="F1379" s="78" t="str">
        <f aca="false">IF(助手回款!$R$93&lt;&gt;"","复核：","")</f>
        <v/>
      </c>
      <c r="G1379" s="78" t="str">
        <f aca="false">IF(助手回款!$R$93&lt;&gt;"","制单：","")</f>
        <v/>
      </c>
    </row>
    <row r="1380" customFormat="false" ht="3" hidden="false" customHeight="true" outlineLevel="0" collapsed="false"/>
    <row r="1381" customFormat="false" ht="19.5" hidden="false" customHeight="true" outlineLevel="0" collapsed="false">
      <c r="B1381" s="53" t="str">
        <f aca="false">IF(助手回款!$R$94&lt;&gt;"","记  账  凭  证","")</f>
        <v/>
      </c>
      <c r="C1381" s="53"/>
      <c r="D1381" s="53"/>
      <c r="E1381" s="53"/>
      <c r="F1381" s="53"/>
      <c r="G1381" s="53"/>
      <c r="H1381" s="53"/>
      <c r="I1381" s="53"/>
    </row>
    <row r="1382" customFormat="false" ht="3" hidden="false" customHeight="true" outlineLevel="0" collapsed="false"/>
    <row r="1383" customFormat="false" ht="15" hidden="false" customHeight="true" outlineLevel="0" collapsed="false">
      <c r="C1383" s="56" t="str">
        <f aca="false">IF(助手回款!$R$94&lt;&gt;"",INDEX(助手回款!$B$2:$B$66,助手回款!$R$94),"")</f>
        <v/>
      </c>
      <c r="D1383" s="57" t="str">
        <f aca="false">IF(助手回款!$R$94&lt;&gt;"",参数!$B$2,"")</f>
        <v/>
      </c>
      <c r="E1383" s="57"/>
      <c r="F1383" s="58" t="str">
        <f aca="false">IF(助手回款!$R$94&lt;&gt;"",INDEX(助手回款!$C$2:$C$66,助手回款!$R$94)&amp;"  字第 "&amp;IF(参数!$B$9="是",INDEX(助手回款!$P$2:$P$66,助手回款!$R$94),"　　　　")&amp;" 号"&amp;IF(INDEX(助手回款!$L$2:$L$66,助手回款!$R$94)&gt;1,"  (共"&amp;INDEX(助手回款!$L$2:$L$66,助手回款!$R$94)&amp;"页 第"&amp;助手回款!$S$94&amp;"页)",""),"")</f>
        <v/>
      </c>
      <c r="G1383" s="58"/>
      <c r="H1383" s="58"/>
      <c r="I1383" s="58"/>
      <c r="M1383" s="79" t="str">
        <f aca="false">IF(助手回款!$R$94="","",助手回款!$Q$94)</f>
        <v/>
      </c>
      <c r="N1383" s="80" t="str">
        <f aca="false">IF(助手回款!$R$94="","",INDEX(助手回款!$P$2:$P$66,助手回款!$R$94))</f>
        <v/>
      </c>
      <c r="O1383" s="55" t="str">
        <f aca="false">IF(助手回款!$R$94="","",INDEX(助手回款!$C$2:$C$66,助手回款!$R$94)&amp;"  字第 "&amp;INDEX(助手回款!$P$2:$P$66,助手回款!$R$94)&amp;" 号"&amp;IF(INDEX(助手回款!$L$2:$L$66,助手回款!$R$94)&gt;1,"  (共"&amp;INDEX(助手回款!$L$2:$L$66,助手回款!$R$94)&amp;"页 第"&amp;助手回款!$S$94&amp;"页)",""))</f>
        <v/>
      </c>
    </row>
    <row r="1384" customFormat="false" ht="12.75" hidden="false" customHeight="true" outlineLevel="0" collapsed="false">
      <c r="B1384" s="61" t="str">
        <f aca="false">IF(助手回款!$R$94&lt;&gt;"","摘　　要","")</f>
        <v/>
      </c>
      <c r="C1384" s="61"/>
      <c r="D1384" s="62" t="str">
        <f aca="false">IF(助手回款!$R$94&lt;&gt;"","科　　　　目","")</f>
        <v/>
      </c>
      <c r="E1384" s="62"/>
      <c r="F1384" s="61" t="str">
        <f aca="false">IF(助手回款!$R$94&lt;&gt;"","借 方 金 额","")</f>
        <v/>
      </c>
      <c r="G1384" s="62" t="str">
        <f aca="false">IF(助手回款!$R$94&lt;&gt;"","贷 方 金 额","")</f>
        <v/>
      </c>
      <c r="H1384" s="63" t="str">
        <f aca="false">IF(助手回款!$R$94&lt;&gt;"","√","")</f>
        <v/>
      </c>
      <c r="I1384" s="64" t="str">
        <f aca="false">IF(助手回款!$R$94&lt;&gt;"","附单据  张","")</f>
        <v/>
      </c>
    </row>
    <row r="1385" customFormat="false" ht="12.75" hidden="false" customHeight="true" outlineLevel="0" collapsed="false">
      <c r="B1385" s="61"/>
      <c r="C1385" s="61"/>
      <c r="D1385" s="23" t="str">
        <f aca="false">IF(助手回款!$R$94&lt;&gt;"","总 账 科 目","")</f>
        <v/>
      </c>
      <c r="E1385" s="23" t="str">
        <f aca="false">IF(助手回款!$R$94&lt;&gt;"","明 细 科 目","")</f>
        <v/>
      </c>
      <c r="F1385" s="65"/>
      <c r="G1385" s="66"/>
      <c r="H1385" s="63"/>
      <c r="I1385" s="64"/>
    </row>
    <row r="1386" customFormat="false" ht="23.25" hidden="false" customHeight="true" outlineLevel="0" collapsed="false">
      <c r="B1386" s="67" t="str">
        <f aca="false">IFERROR(INDEX(分录回款!$M:$M,MATCH($L1386,分录回款!$L:$L,0)),"")</f>
        <v/>
      </c>
      <c r="C1386" s="67"/>
      <c r="D1386" s="23" t="str">
        <f aca="false">IFERROR(INDEX(分录回款!$E:$E,MATCH($L1386,分录回款!$L:$L,0)),"")</f>
        <v/>
      </c>
      <c r="E1386" s="23" t="str">
        <f aca="false">IFERROR(INDEX(分录回款!$F:$F,MATCH($L1386,分录回款!$L:$L,0)),"")</f>
        <v/>
      </c>
      <c r="F1386" s="68" t="str">
        <f aca="false">IFERROR(INDEX(分录回款!$H:$H,MATCH($L1386,分录回款!$L:$L,0)),"")</f>
        <v/>
      </c>
      <c r="G1386" s="69" t="str">
        <f aca="false">IFERROR(INDEX(分录回款!$I:$I,MATCH($L1386,分录回款!$L:$L,0)),"")</f>
        <v/>
      </c>
      <c r="H1386" s="23"/>
      <c r="I1386" s="70"/>
      <c r="L1386" s="71" t="n">
        <f aca="false">IF(助手回款!$R$94="",-1,助手回款!$R$94*100+(助手回款!$S$94-1)*6+1)</f>
        <v>-1</v>
      </c>
    </row>
    <row r="1387" customFormat="false" ht="23.25" hidden="false" customHeight="true" outlineLevel="0" collapsed="false">
      <c r="B1387" s="67" t="str">
        <f aca="false">""</f>
        <v/>
      </c>
      <c r="C1387" s="67"/>
      <c r="D1387" s="23" t="str">
        <f aca="false">IFERROR(INDEX(分录回款!$E:$E,MATCH($L1387,分录回款!$L:$L,0)),"")</f>
        <v/>
      </c>
      <c r="E1387" s="23" t="str">
        <f aca="false">IFERROR(INDEX(分录回款!$F:$F,MATCH($L1387,分录回款!$L:$L,0)),"")</f>
        <v/>
      </c>
      <c r="F1387" s="68" t="str">
        <f aca="false">IFERROR(INDEX(分录回款!$H:$H,MATCH($L1387,分录回款!$L:$L,0)),"")</f>
        <v/>
      </c>
      <c r="G1387" s="69" t="str">
        <f aca="false">IFERROR(INDEX(分录回款!$I:$I,MATCH($L1387,分录回款!$L:$L,0)),"")</f>
        <v/>
      </c>
      <c r="H1387" s="23"/>
      <c r="I1387" s="70"/>
      <c r="L1387" s="71" t="n">
        <f aca="false">IF(助手回款!$R$94="",-1,助手回款!$R$94*100+(助手回款!$S$94-1)*6+2)</f>
        <v>-1</v>
      </c>
    </row>
    <row r="1388" customFormat="false" ht="23.25" hidden="false" customHeight="true" outlineLevel="0" collapsed="false">
      <c r="B1388" s="67" t="str">
        <f aca="false">""</f>
        <v/>
      </c>
      <c r="C1388" s="67"/>
      <c r="D1388" s="23" t="str">
        <f aca="false">IFERROR(INDEX(分录回款!$E:$E,MATCH($L1388,分录回款!$L:$L,0)),"")</f>
        <v/>
      </c>
      <c r="E1388" s="23" t="str">
        <f aca="false">IFERROR(INDEX(分录回款!$F:$F,MATCH($L1388,分录回款!$L:$L,0)),"")</f>
        <v/>
      </c>
      <c r="F1388" s="68" t="str">
        <f aca="false">IFERROR(INDEX(分录回款!$H:$H,MATCH($L1388,分录回款!$L:$L,0)),"")</f>
        <v/>
      </c>
      <c r="G1388" s="69" t="str">
        <f aca="false">IFERROR(INDEX(分录回款!$I:$I,MATCH($L1388,分录回款!$L:$L,0)),"")</f>
        <v/>
      </c>
      <c r="H1388" s="23"/>
      <c r="I1388" s="70"/>
      <c r="L1388" s="71" t="n">
        <f aca="false">IF(助手回款!$R$94="",-1,助手回款!$R$94*100+(助手回款!$S$94-1)*6+3)</f>
        <v>-1</v>
      </c>
    </row>
    <row r="1389" customFormat="false" ht="23.25" hidden="false" customHeight="true" outlineLevel="0" collapsed="false">
      <c r="B1389" s="67" t="str">
        <f aca="false">""</f>
        <v/>
      </c>
      <c r="C1389" s="67"/>
      <c r="D1389" s="23" t="str">
        <f aca="false">IFERROR(INDEX(分录回款!$E:$E,MATCH($L1389,分录回款!$L:$L,0)),"")</f>
        <v/>
      </c>
      <c r="E1389" s="23" t="str">
        <f aca="false">IFERROR(INDEX(分录回款!$F:$F,MATCH($L1389,分录回款!$L:$L,0)),"")</f>
        <v/>
      </c>
      <c r="F1389" s="68" t="str">
        <f aca="false">IFERROR(INDEX(分录回款!$H:$H,MATCH($L1389,分录回款!$L:$L,0)),"")</f>
        <v/>
      </c>
      <c r="G1389" s="69" t="str">
        <f aca="false">IFERROR(INDEX(分录回款!$I:$I,MATCH($L1389,分录回款!$L:$L,0)),"")</f>
        <v/>
      </c>
      <c r="H1389" s="23"/>
      <c r="I1389" s="70"/>
      <c r="L1389" s="71" t="n">
        <f aca="false">IF(助手回款!$R$94="",-1,助手回款!$R$94*100+(助手回款!$S$94-1)*6+4)</f>
        <v>-1</v>
      </c>
    </row>
    <row r="1390" customFormat="false" ht="23.25" hidden="false" customHeight="true" outlineLevel="0" collapsed="false">
      <c r="B1390" s="67" t="str">
        <f aca="false">""</f>
        <v/>
      </c>
      <c r="C1390" s="67"/>
      <c r="D1390" s="23" t="str">
        <f aca="false">IFERROR(INDEX(分录回款!$E:$E,MATCH($L1390,分录回款!$L:$L,0)),"")</f>
        <v/>
      </c>
      <c r="E1390" s="23" t="str">
        <f aca="false">IFERROR(INDEX(分录回款!$F:$F,MATCH($L1390,分录回款!$L:$L,0)),"")</f>
        <v/>
      </c>
      <c r="F1390" s="68" t="str">
        <f aca="false">IFERROR(INDEX(分录回款!$H:$H,MATCH($L1390,分录回款!$L:$L,0)),"")</f>
        <v/>
      </c>
      <c r="G1390" s="69" t="str">
        <f aca="false">IFERROR(INDEX(分录回款!$I:$I,MATCH($L1390,分录回款!$L:$L,0)),"")</f>
        <v/>
      </c>
      <c r="H1390" s="23"/>
      <c r="I1390" s="70"/>
      <c r="L1390" s="71" t="n">
        <f aca="false">IF(助手回款!$R$94="",-1,助手回款!$R$94*100+(助手回款!$S$94-1)*6+5)</f>
        <v>-1</v>
      </c>
    </row>
    <row r="1391" customFormat="false" ht="23.25" hidden="false" customHeight="true" outlineLevel="0" collapsed="false">
      <c r="B1391" s="67" t="str">
        <f aca="false">""</f>
        <v/>
      </c>
      <c r="C1391" s="67"/>
      <c r="D1391" s="23" t="str">
        <f aca="false">IFERROR(INDEX(分录回款!$E:$E,MATCH($L1391,分录回款!$L:$L,0)),"")</f>
        <v/>
      </c>
      <c r="E1391" s="23" t="str">
        <f aca="false">IFERROR(INDEX(分录回款!$F:$F,MATCH($L1391,分录回款!$L:$L,0)),"")</f>
        <v/>
      </c>
      <c r="F1391" s="68" t="str">
        <f aca="false">IFERROR(INDEX(分录回款!$H:$H,MATCH($L1391,分录回款!$L:$L,0)),"")</f>
        <v/>
      </c>
      <c r="G1391" s="69" t="str">
        <f aca="false">IFERROR(INDEX(分录回款!$I:$I,MATCH($L1391,分录回款!$L:$L,0)),"")</f>
        <v/>
      </c>
      <c r="H1391" s="23"/>
      <c r="I1391" s="70"/>
      <c r="L1391" s="71" t="n">
        <f aca="false">IF(助手回款!$R$94="",-1,助手回款!$R$94*100+(助手回款!$S$94-1)*6+6)</f>
        <v>-1</v>
      </c>
    </row>
    <row r="1392" customFormat="false" ht="23.25" hidden="false" customHeight="true" outlineLevel="0" collapsed="false">
      <c r="B1392" s="72" t="str">
        <f aca="false">IF(助手回款!$T$94=1,"合计：","")</f>
        <v/>
      </c>
      <c r="C1392" s="73" t="str">
        <f aca="false">IF(助手回款!$T$94=1,$F1392,"")</f>
        <v/>
      </c>
      <c r="D1392" s="74"/>
      <c r="E1392" s="74"/>
      <c r="F1392" s="75" t="str">
        <f aca="false">IF(助手回款!$T$94=1,INDEX(助手回款!$N$2:$N$66,助手回款!$R$94),"")</f>
        <v/>
      </c>
      <c r="G1392" s="76" t="str">
        <f aca="false">IF(助手回款!$T$94=1,INDEX(助手回款!$O$2:$O$66,助手回款!$R$94),"")</f>
        <v/>
      </c>
      <c r="H1392" s="74"/>
      <c r="I1392" s="77"/>
    </row>
    <row r="1393" customFormat="false" ht="6" hidden="false" customHeight="true" outlineLevel="0" collapsed="false"/>
    <row r="1394" customFormat="false" ht="13.5" hidden="false" customHeight="false" outlineLevel="0" collapsed="false">
      <c r="B1394" s="78" t="str">
        <f aca="false">IF(助手回款!$R$94&lt;&gt;"","会计主管：","")</f>
        <v/>
      </c>
      <c r="D1394" s="78" t="str">
        <f aca="false">IF(助手回款!$R$94&lt;&gt;"","会计：","")</f>
        <v/>
      </c>
      <c r="E1394" s="78" t="str">
        <f aca="false">IF(助手回款!$R$94&lt;&gt;"","出纳：","")</f>
        <v/>
      </c>
      <c r="F1394" s="78" t="str">
        <f aca="false">IF(助手回款!$R$94&lt;&gt;"","复核：","")</f>
        <v/>
      </c>
      <c r="G1394" s="78" t="str">
        <f aca="false">IF(助手回款!$R$94&lt;&gt;"","制单：","")</f>
        <v/>
      </c>
    </row>
    <row r="1395" customFormat="false" ht="3" hidden="false" customHeight="true" outlineLevel="0" collapsed="false"/>
    <row r="1396" customFormat="false" ht="19.5" hidden="false" customHeight="true" outlineLevel="0" collapsed="false">
      <c r="B1396" s="53" t="str">
        <f aca="false">IF(助手回款!$R$95&lt;&gt;"","记  账  凭  证","")</f>
        <v/>
      </c>
      <c r="C1396" s="53"/>
      <c r="D1396" s="53"/>
      <c r="E1396" s="53"/>
      <c r="F1396" s="53"/>
      <c r="G1396" s="53"/>
      <c r="H1396" s="53"/>
      <c r="I1396" s="53"/>
    </row>
    <row r="1397" customFormat="false" ht="3" hidden="false" customHeight="true" outlineLevel="0" collapsed="false"/>
    <row r="1398" customFormat="false" ht="15" hidden="false" customHeight="true" outlineLevel="0" collapsed="false">
      <c r="C1398" s="56" t="str">
        <f aca="false">IF(助手回款!$R$95&lt;&gt;"",INDEX(助手回款!$B$2:$B$66,助手回款!$R$95),"")</f>
        <v/>
      </c>
      <c r="D1398" s="57" t="str">
        <f aca="false">IF(助手回款!$R$95&lt;&gt;"",参数!$B$2,"")</f>
        <v/>
      </c>
      <c r="E1398" s="57"/>
      <c r="F1398" s="58" t="str">
        <f aca="false">IF(助手回款!$R$95&lt;&gt;"",INDEX(助手回款!$C$2:$C$66,助手回款!$R$95)&amp;"  字第 "&amp;IF(参数!$B$9="是",INDEX(助手回款!$P$2:$P$66,助手回款!$R$95),"　　　　")&amp;" 号"&amp;IF(INDEX(助手回款!$L$2:$L$66,助手回款!$R$95)&gt;1,"  (共"&amp;INDEX(助手回款!$L$2:$L$66,助手回款!$R$95)&amp;"页 第"&amp;助手回款!$S$95&amp;"页)",""),"")</f>
        <v/>
      </c>
      <c r="G1398" s="58"/>
      <c r="H1398" s="58"/>
      <c r="I1398" s="58"/>
      <c r="M1398" s="79" t="str">
        <f aca="false">IF(助手回款!$R$95="","",助手回款!$Q$95)</f>
        <v/>
      </c>
      <c r="N1398" s="80" t="str">
        <f aca="false">IF(助手回款!$R$95="","",INDEX(助手回款!$P$2:$P$66,助手回款!$R$95))</f>
        <v/>
      </c>
      <c r="O1398" s="55" t="str">
        <f aca="false">IF(助手回款!$R$95="","",INDEX(助手回款!$C$2:$C$66,助手回款!$R$95)&amp;"  字第 "&amp;INDEX(助手回款!$P$2:$P$66,助手回款!$R$95)&amp;" 号"&amp;IF(INDEX(助手回款!$L$2:$L$66,助手回款!$R$95)&gt;1,"  (共"&amp;INDEX(助手回款!$L$2:$L$66,助手回款!$R$95)&amp;"页 第"&amp;助手回款!$S$95&amp;"页)",""))</f>
        <v/>
      </c>
    </row>
    <row r="1399" customFormat="false" ht="12.75" hidden="false" customHeight="true" outlineLevel="0" collapsed="false">
      <c r="B1399" s="61" t="str">
        <f aca="false">IF(助手回款!$R$95&lt;&gt;"","摘　　要","")</f>
        <v/>
      </c>
      <c r="C1399" s="61"/>
      <c r="D1399" s="62" t="str">
        <f aca="false">IF(助手回款!$R$95&lt;&gt;"","科　　　　目","")</f>
        <v/>
      </c>
      <c r="E1399" s="62"/>
      <c r="F1399" s="61" t="str">
        <f aca="false">IF(助手回款!$R$95&lt;&gt;"","借 方 金 额","")</f>
        <v/>
      </c>
      <c r="G1399" s="62" t="str">
        <f aca="false">IF(助手回款!$R$95&lt;&gt;"","贷 方 金 额","")</f>
        <v/>
      </c>
      <c r="H1399" s="63" t="str">
        <f aca="false">IF(助手回款!$R$95&lt;&gt;"","√","")</f>
        <v/>
      </c>
      <c r="I1399" s="64" t="str">
        <f aca="false">IF(助手回款!$R$95&lt;&gt;"","附单据  张","")</f>
        <v/>
      </c>
    </row>
    <row r="1400" customFormat="false" ht="12.75" hidden="false" customHeight="true" outlineLevel="0" collapsed="false">
      <c r="B1400" s="61"/>
      <c r="C1400" s="61"/>
      <c r="D1400" s="23" t="str">
        <f aca="false">IF(助手回款!$R$95&lt;&gt;"","总 账 科 目","")</f>
        <v/>
      </c>
      <c r="E1400" s="23" t="str">
        <f aca="false">IF(助手回款!$R$95&lt;&gt;"","明 细 科 目","")</f>
        <v/>
      </c>
      <c r="F1400" s="65"/>
      <c r="G1400" s="66"/>
      <c r="H1400" s="63"/>
      <c r="I1400" s="64"/>
    </row>
    <row r="1401" customFormat="false" ht="23.25" hidden="false" customHeight="true" outlineLevel="0" collapsed="false">
      <c r="B1401" s="67" t="str">
        <f aca="false">IFERROR(INDEX(分录回款!$M:$M,MATCH($L1401,分录回款!$L:$L,0)),"")</f>
        <v/>
      </c>
      <c r="C1401" s="67"/>
      <c r="D1401" s="23" t="str">
        <f aca="false">IFERROR(INDEX(分录回款!$E:$E,MATCH($L1401,分录回款!$L:$L,0)),"")</f>
        <v/>
      </c>
      <c r="E1401" s="23" t="str">
        <f aca="false">IFERROR(INDEX(分录回款!$F:$F,MATCH($L1401,分录回款!$L:$L,0)),"")</f>
        <v/>
      </c>
      <c r="F1401" s="68" t="str">
        <f aca="false">IFERROR(INDEX(分录回款!$H:$H,MATCH($L1401,分录回款!$L:$L,0)),"")</f>
        <v/>
      </c>
      <c r="G1401" s="69" t="str">
        <f aca="false">IFERROR(INDEX(分录回款!$I:$I,MATCH($L1401,分录回款!$L:$L,0)),"")</f>
        <v/>
      </c>
      <c r="H1401" s="23"/>
      <c r="I1401" s="70"/>
      <c r="L1401" s="71" t="n">
        <f aca="false">IF(助手回款!$R$95="",-1,助手回款!$R$95*100+(助手回款!$S$95-1)*6+1)</f>
        <v>-1</v>
      </c>
    </row>
    <row r="1402" customFormat="false" ht="23.25" hidden="false" customHeight="true" outlineLevel="0" collapsed="false">
      <c r="B1402" s="67" t="str">
        <f aca="false">""</f>
        <v/>
      </c>
      <c r="C1402" s="67"/>
      <c r="D1402" s="23" t="str">
        <f aca="false">IFERROR(INDEX(分录回款!$E:$E,MATCH($L1402,分录回款!$L:$L,0)),"")</f>
        <v/>
      </c>
      <c r="E1402" s="23" t="str">
        <f aca="false">IFERROR(INDEX(分录回款!$F:$F,MATCH($L1402,分录回款!$L:$L,0)),"")</f>
        <v/>
      </c>
      <c r="F1402" s="68" t="str">
        <f aca="false">IFERROR(INDEX(分录回款!$H:$H,MATCH($L1402,分录回款!$L:$L,0)),"")</f>
        <v/>
      </c>
      <c r="G1402" s="69" t="str">
        <f aca="false">IFERROR(INDEX(分录回款!$I:$I,MATCH($L1402,分录回款!$L:$L,0)),"")</f>
        <v/>
      </c>
      <c r="H1402" s="23"/>
      <c r="I1402" s="70"/>
      <c r="L1402" s="71" t="n">
        <f aca="false">IF(助手回款!$R$95="",-1,助手回款!$R$95*100+(助手回款!$S$95-1)*6+2)</f>
        <v>-1</v>
      </c>
    </row>
    <row r="1403" customFormat="false" ht="23.25" hidden="false" customHeight="true" outlineLevel="0" collapsed="false">
      <c r="B1403" s="67" t="str">
        <f aca="false">""</f>
        <v/>
      </c>
      <c r="C1403" s="67"/>
      <c r="D1403" s="23" t="str">
        <f aca="false">IFERROR(INDEX(分录回款!$E:$E,MATCH($L1403,分录回款!$L:$L,0)),"")</f>
        <v/>
      </c>
      <c r="E1403" s="23" t="str">
        <f aca="false">IFERROR(INDEX(分录回款!$F:$F,MATCH($L1403,分录回款!$L:$L,0)),"")</f>
        <v/>
      </c>
      <c r="F1403" s="68" t="str">
        <f aca="false">IFERROR(INDEX(分录回款!$H:$H,MATCH($L1403,分录回款!$L:$L,0)),"")</f>
        <v/>
      </c>
      <c r="G1403" s="69" t="str">
        <f aca="false">IFERROR(INDEX(分录回款!$I:$I,MATCH($L1403,分录回款!$L:$L,0)),"")</f>
        <v/>
      </c>
      <c r="H1403" s="23"/>
      <c r="I1403" s="70"/>
      <c r="L1403" s="71" t="n">
        <f aca="false">IF(助手回款!$R$95="",-1,助手回款!$R$95*100+(助手回款!$S$95-1)*6+3)</f>
        <v>-1</v>
      </c>
    </row>
    <row r="1404" customFormat="false" ht="23.25" hidden="false" customHeight="true" outlineLevel="0" collapsed="false">
      <c r="B1404" s="67" t="str">
        <f aca="false">""</f>
        <v/>
      </c>
      <c r="C1404" s="67"/>
      <c r="D1404" s="23" t="str">
        <f aca="false">IFERROR(INDEX(分录回款!$E:$E,MATCH($L1404,分录回款!$L:$L,0)),"")</f>
        <v/>
      </c>
      <c r="E1404" s="23" t="str">
        <f aca="false">IFERROR(INDEX(分录回款!$F:$F,MATCH($L1404,分录回款!$L:$L,0)),"")</f>
        <v/>
      </c>
      <c r="F1404" s="68" t="str">
        <f aca="false">IFERROR(INDEX(分录回款!$H:$H,MATCH($L1404,分录回款!$L:$L,0)),"")</f>
        <v/>
      </c>
      <c r="G1404" s="69" t="str">
        <f aca="false">IFERROR(INDEX(分录回款!$I:$I,MATCH($L1404,分录回款!$L:$L,0)),"")</f>
        <v/>
      </c>
      <c r="H1404" s="23"/>
      <c r="I1404" s="70"/>
      <c r="L1404" s="71" t="n">
        <f aca="false">IF(助手回款!$R$95="",-1,助手回款!$R$95*100+(助手回款!$S$95-1)*6+4)</f>
        <v>-1</v>
      </c>
    </row>
    <row r="1405" customFormat="false" ht="23.25" hidden="false" customHeight="true" outlineLevel="0" collapsed="false">
      <c r="B1405" s="67" t="str">
        <f aca="false">""</f>
        <v/>
      </c>
      <c r="C1405" s="67"/>
      <c r="D1405" s="23" t="str">
        <f aca="false">IFERROR(INDEX(分录回款!$E:$E,MATCH($L1405,分录回款!$L:$L,0)),"")</f>
        <v/>
      </c>
      <c r="E1405" s="23" t="str">
        <f aca="false">IFERROR(INDEX(分录回款!$F:$F,MATCH($L1405,分录回款!$L:$L,0)),"")</f>
        <v/>
      </c>
      <c r="F1405" s="68" t="str">
        <f aca="false">IFERROR(INDEX(分录回款!$H:$H,MATCH($L1405,分录回款!$L:$L,0)),"")</f>
        <v/>
      </c>
      <c r="G1405" s="69" t="str">
        <f aca="false">IFERROR(INDEX(分录回款!$I:$I,MATCH($L1405,分录回款!$L:$L,0)),"")</f>
        <v/>
      </c>
      <c r="H1405" s="23"/>
      <c r="I1405" s="70"/>
      <c r="L1405" s="71" t="n">
        <f aca="false">IF(助手回款!$R$95="",-1,助手回款!$R$95*100+(助手回款!$S$95-1)*6+5)</f>
        <v>-1</v>
      </c>
    </row>
    <row r="1406" customFormat="false" ht="23.25" hidden="false" customHeight="true" outlineLevel="0" collapsed="false">
      <c r="B1406" s="67" t="str">
        <f aca="false">""</f>
        <v/>
      </c>
      <c r="C1406" s="67"/>
      <c r="D1406" s="23" t="str">
        <f aca="false">IFERROR(INDEX(分录回款!$E:$E,MATCH($L1406,分录回款!$L:$L,0)),"")</f>
        <v/>
      </c>
      <c r="E1406" s="23" t="str">
        <f aca="false">IFERROR(INDEX(分录回款!$F:$F,MATCH($L1406,分录回款!$L:$L,0)),"")</f>
        <v/>
      </c>
      <c r="F1406" s="68" t="str">
        <f aca="false">IFERROR(INDEX(分录回款!$H:$H,MATCH($L1406,分录回款!$L:$L,0)),"")</f>
        <v/>
      </c>
      <c r="G1406" s="69" t="str">
        <f aca="false">IFERROR(INDEX(分录回款!$I:$I,MATCH($L1406,分录回款!$L:$L,0)),"")</f>
        <v/>
      </c>
      <c r="H1406" s="23"/>
      <c r="I1406" s="70"/>
      <c r="L1406" s="71" t="n">
        <f aca="false">IF(助手回款!$R$95="",-1,助手回款!$R$95*100+(助手回款!$S$95-1)*6+6)</f>
        <v>-1</v>
      </c>
    </row>
    <row r="1407" customFormat="false" ht="23.25" hidden="false" customHeight="true" outlineLevel="0" collapsed="false">
      <c r="B1407" s="72" t="str">
        <f aca="false">IF(助手回款!$T$95=1,"合计：","")</f>
        <v/>
      </c>
      <c r="C1407" s="73" t="str">
        <f aca="false">IF(助手回款!$T$95=1,$F1407,"")</f>
        <v/>
      </c>
      <c r="D1407" s="74"/>
      <c r="E1407" s="74"/>
      <c r="F1407" s="75" t="str">
        <f aca="false">IF(助手回款!$T$95=1,INDEX(助手回款!$N$2:$N$66,助手回款!$R$95),"")</f>
        <v/>
      </c>
      <c r="G1407" s="76" t="str">
        <f aca="false">IF(助手回款!$T$95=1,INDEX(助手回款!$O$2:$O$66,助手回款!$R$95),"")</f>
        <v/>
      </c>
      <c r="H1407" s="74"/>
      <c r="I1407" s="77"/>
    </row>
    <row r="1408" customFormat="false" ht="6" hidden="false" customHeight="true" outlineLevel="0" collapsed="false"/>
    <row r="1409" customFormat="false" ht="13.5" hidden="false" customHeight="false" outlineLevel="0" collapsed="false">
      <c r="B1409" s="78" t="str">
        <f aca="false">IF(助手回款!$R$95&lt;&gt;"","会计主管：","")</f>
        <v/>
      </c>
      <c r="D1409" s="78" t="str">
        <f aca="false">IF(助手回款!$R$95&lt;&gt;"","会计：","")</f>
        <v/>
      </c>
      <c r="E1409" s="78" t="str">
        <f aca="false">IF(助手回款!$R$95&lt;&gt;"","出纳：","")</f>
        <v/>
      </c>
      <c r="F1409" s="78" t="str">
        <f aca="false">IF(助手回款!$R$95&lt;&gt;"","复核：","")</f>
        <v/>
      </c>
      <c r="G1409" s="78" t="str">
        <f aca="false">IF(助手回款!$R$95&lt;&gt;"","制单：","")</f>
        <v/>
      </c>
    </row>
    <row r="1410" customFormat="false" ht="3" hidden="false" customHeight="true" outlineLevel="0" collapsed="false"/>
    <row r="1411" customFormat="false" ht="19.5" hidden="false" customHeight="true" outlineLevel="0" collapsed="false">
      <c r="B1411" s="53" t="str">
        <f aca="false">IF(助手回款!$R$96&lt;&gt;"","记  账  凭  证","")</f>
        <v/>
      </c>
      <c r="C1411" s="53"/>
      <c r="D1411" s="53"/>
      <c r="E1411" s="53"/>
      <c r="F1411" s="53"/>
      <c r="G1411" s="53"/>
      <c r="H1411" s="53"/>
      <c r="I1411" s="53"/>
    </row>
    <row r="1412" customFormat="false" ht="3" hidden="false" customHeight="true" outlineLevel="0" collapsed="false"/>
    <row r="1413" customFormat="false" ht="15" hidden="false" customHeight="true" outlineLevel="0" collapsed="false">
      <c r="C1413" s="56" t="str">
        <f aca="false">IF(助手回款!$R$96&lt;&gt;"",INDEX(助手回款!$B$2:$B$66,助手回款!$R$96),"")</f>
        <v/>
      </c>
      <c r="D1413" s="57" t="str">
        <f aca="false">IF(助手回款!$R$96&lt;&gt;"",参数!$B$2,"")</f>
        <v/>
      </c>
      <c r="E1413" s="57"/>
      <c r="F1413" s="58" t="str">
        <f aca="false">IF(助手回款!$R$96&lt;&gt;"",INDEX(助手回款!$C$2:$C$66,助手回款!$R$96)&amp;"  字第 "&amp;IF(参数!$B$9="是",INDEX(助手回款!$P$2:$P$66,助手回款!$R$96),"　　　　")&amp;" 号"&amp;IF(INDEX(助手回款!$L$2:$L$66,助手回款!$R$96)&gt;1,"  (共"&amp;INDEX(助手回款!$L$2:$L$66,助手回款!$R$96)&amp;"页 第"&amp;助手回款!$S$96&amp;"页)",""),"")</f>
        <v/>
      </c>
      <c r="G1413" s="58"/>
      <c r="H1413" s="58"/>
      <c r="I1413" s="58"/>
      <c r="M1413" s="79" t="str">
        <f aca="false">IF(助手回款!$R$96="","",助手回款!$Q$96)</f>
        <v/>
      </c>
      <c r="N1413" s="80" t="str">
        <f aca="false">IF(助手回款!$R$96="","",INDEX(助手回款!$P$2:$P$66,助手回款!$R$96))</f>
        <v/>
      </c>
      <c r="O1413" s="55" t="str">
        <f aca="false">IF(助手回款!$R$96="","",INDEX(助手回款!$C$2:$C$66,助手回款!$R$96)&amp;"  字第 "&amp;INDEX(助手回款!$P$2:$P$66,助手回款!$R$96)&amp;" 号"&amp;IF(INDEX(助手回款!$L$2:$L$66,助手回款!$R$96)&gt;1,"  (共"&amp;INDEX(助手回款!$L$2:$L$66,助手回款!$R$96)&amp;"页 第"&amp;助手回款!$S$96&amp;"页)",""))</f>
        <v/>
      </c>
    </row>
    <row r="1414" customFormat="false" ht="12.75" hidden="false" customHeight="true" outlineLevel="0" collapsed="false">
      <c r="B1414" s="61" t="str">
        <f aca="false">IF(助手回款!$R$96&lt;&gt;"","摘　　要","")</f>
        <v/>
      </c>
      <c r="C1414" s="61"/>
      <c r="D1414" s="62" t="str">
        <f aca="false">IF(助手回款!$R$96&lt;&gt;"","科　　　　目","")</f>
        <v/>
      </c>
      <c r="E1414" s="62"/>
      <c r="F1414" s="61" t="str">
        <f aca="false">IF(助手回款!$R$96&lt;&gt;"","借 方 金 额","")</f>
        <v/>
      </c>
      <c r="G1414" s="62" t="str">
        <f aca="false">IF(助手回款!$R$96&lt;&gt;"","贷 方 金 额","")</f>
        <v/>
      </c>
      <c r="H1414" s="63" t="str">
        <f aca="false">IF(助手回款!$R$96&lt;&gt;"","√","")</f>
        <v/>
      </c>
      <c r="I1414" s="64" t="str">
        <f aca="false">IF(助手回款!$R$96&lt;&gt;"","附单据  张","")</f>
        <v/>
      </c>
    </row>
    <row r="1415" customFormat="false" ht="12.75" hidden="false" customHeight="true" outlineLevel="0" collapsed="false">
      <c r="B1415" s="61"/>
      <c r="C1415" s="61"/>
      <c r="D1415" s="23" t="str">
        <f aca="false">IF(助手回款!$R$96&lt;&gt;"","总 账 科 目","")</f>
        <v/>
      </c>
      <c r="E1415" s="23" t="str">
        <f aca="false">IF(助手回款!$R$96&lt;&gt;"","明 细 科 目","")</f>
        <v/>
      </c>
      <c r="F1415" s="65"/>
      <c r="G1415" s="66"/>
      <c r="H1415" s="63"/>
      <c r="I1415" s="64"/>
    </row>
    <row r="1416" customFormat="false" ht="23.25" hidden="false" customHeight="true" outlineLevel="0" collapsed="false">
      <c r="B1416" s="67" t="str">
        <f aca="false">IFERROR(INDEX(分录回款!$M:$M,MATCH($L1416,分录回款!$L:$L,0)),"")</f>
        <v/>
      </c>
      <c r="C1416" s="67"/>
      <c r="D1416" s="23" t="str">
        <f aca="false">IFERROR(INDEX(分录回款!$E:$E,MATCH($L1416,分录回款!$L:$L,0)),"")</f>
        <v/>
      </c>
      <c r="E1416" s="23" t="str">
        <f aca="false">IFERROR(INDEX(分录回款!$F:$F,MATCH($L1416,分录回款!$L:$L,0)),"")</f>
        <v/>
      </c>
      <c r="F1416" s="68" t="str">
        <f aca="false">IFERROR(INDEX(分录回款!$H:$H,MATCH($L1416,分录回款!$L:$L,0)),"")</f>
        <v/>
      </c>
      <c r="G1416" s="69" t="str">
        <f aca="false">IFERROR(INDEX(分录回款!$I:$I,MATCH($L1416,分录回款!$L:$L,0)),"")</f>
        <v/>
      </c>
      <c r="H1416" s="23"/>
      <c r="I1416" s="70"/>
      <c r="L1416" s="71" t="n">
        <f aca="false">IF(助手回款!$R$96="",-1,助手回款!$R$96*100+(助手回款!$S$96-1)*6+1)</f>
        <v>-1</v>
      </c>
    </row>
    <row r="1417" customFormat="false" ht="23.25" hidden="false" customHeight="true" outlineLevel="0" collapsed="false">
      <c r="B1417" s="67" t="str">
        <f aca="false">""</f>
        <v/>
      </c>
      <c r="C1417" s="67"/>
      <c r="D1417" s="23" t="str">
        <f aca="false">IFERROR(INDEX(分录回款!$E:$E,MATCH($L1417,分录回款!$L:$L,0)),"")</f>
        <v/>
      </c>
      <c r="E1417" s="23" t="str">
        <f aca="false">IFERROR(INDEX(分录回款!$F:$F,MATCH($L1417,分录回款!$L:$L,0)),"")</f>
        <v/>
      </c>
      <c r="F1417" s="68" t="str">
        <f aca="false">IFERROR(INDEX(分录回款!$H:$H,MATCH($L1417,分录回款!$L:$L,0)),"")</f>
        <v/>
      </c>
      <c r="G1417" s="69" t="str">
        <f aca="false">IFERROR(INDEX(分录回款!$I:$I,MATCH($L1417,分录回款!$L:$L,0)),"")</f>
        <v/>
      </c>
      <c r="H1417" s="23"/>
      <c r="I1417" s="70"/>
      <c r="L1417" s="71" t="n">
        <f aca="false">IF(助手回款!$R$96="",-1,助手回款!$R$96*100+(助手回款!$S$96-1)*6+2)</f>
        <v>-1</v>
      </c>
    </row>
    <row r="1418" customFormat="false" ht="23.25" hidden="false" customHeight="true" outlineLevel="0" collapsed="false">
      <c r="B1418" s="67" t="str">
        <f aca="false">""</f>
        <v/>
      </c>
      <c r="C1418" s="67"/>
      <c r="D1418" s="23" t="str">
        <f aca="false">IFERROR(INDEX(分录回款!$E:$E,MATCH($L1418,分录回款!$L:$L,0)),"")</f>
        <v/>
      </c>
      <c r="E1418" s="23" t="str">
        <f aca="false">IFERROR(INDEX(分录回款!$F:$F,MATCH($L1418,分录回款!$L:$L,0)),"")</f>
        <v/>
      </c>
      <c r="F1418" s="68" t="str">
        <f aca="false">IFERROR(INDEX(分录回款!$H:$H,MATCH($L1418,分录回款!$L:$L,0)),"")</f>
        <v/>
      </c>
      <c r="G1418" s="69" t="str">
        <f aca="false">IFERROR(INDEX(分录回款!$I:$I,MATCH($L1418,分录回款!$L:$L,0)),"")</f>
        <v/>
      </c>
      <c r="H1418" s="23"/>
      <c r="I1418" s="70"/>
      <c r="L1418" s="71" t="n">
        <f aca="false">IF(助手回款!$R$96="",-1,助手回款!$R$96*100+(助手回款!$S$96-1)*6+3)</f>
        <v>-1</v>
      </c>
    </row>
    <row r="1419" customFormat="false" ht="23.25" hidden="false" customHeight="true" outlineLevel="0" collapsed="false">
      <c r="B1419" s="67" t="str">
        <f aca="false">""</f>
        <v/>
      </c>
      <c r="C1419" s="67"/>
      <c r="D1419" s="23" t="str">
        <f aca="false">IFERROR(INDEX(分录回款!$E:$E,MATCH($L1419,分录回款!$L:$L,0)),"")</f>
        <v/>
      </c>
      <c r="E1419" s="23" t="str">
        <f aca="false">IFERROR(INDEX(分录回款!$F:$F,MATCH($L1419,分录回款!$L:$L,0)),"")</f>
        <v/>
      </c>
      <c r="F1419" s="68" t="str">
        <f aca="false">IFERROR(INDEX(分录回款!$H:$H,MATCH($L1419,分录回款!$L:$L,0)),"")</f>
        <v/>
      </c>
      <c r="G1419" s="69" t="str">
        <f aca="false">IFERROR(INDEX(分录回款!$I:$I,MATCH($L1419,分录回款!$L:$L,0)),"")</f>
        <v/>
      </c>
      <c r="H1419" s="23"/>
      <c r="I1419" s="70"/>
      <c r="L1419" s="71" t="n">
        <f aca="false">IF(助手回款!$R$96="",-1,助手回款!$R$96*100+(助手回款!$S$96-1)*6+4)</f>
        <v>-1</v>
      </c>
    </row>
    <row r="1420" customFormat="false" ht="23.25" hidden="false" customHeight="true" outlineLevel="0" collapsed="false">
      <c r="B1420" s="67" t="str">
        <f aca="false">""</f>
        <v/>
      </c>
      <c r="C1420" s="67"/>
      <c r="D1420" s="23" t="str">
        <f aca="false">IFERROR(INDEX(分录回款!$E:$E,MATCH($L1420,分录回款!$L:$L,0)),"")</f>
        <v/>
      </c>
      <c r="E1420" s="23" t="str">
        <f aca="false">IFERROR(INDEX(分录回款!$F:$F,MATCH($L1420,分录回款!$L:$L,0)),"")</f>
        <v/>
      </c>
      <c r="F1420" s="68" t="str">
        <f aca="false">IFERROR(INDEX(分录回款!$H:$H,MATCH($L1420,分录回款!$L:$L,0)),"")</f>
        <v/>
      </c>
      <c r="G1420" s="69" t="str">
        <f aca="false">IFERROR(INDEX(分录回款!$I:$I,MATCH($L1420,分录回款!$L:$L,0)),"")</f>
        <v/>
      </c>
      <c r="H1420" s="23"/>
      <c r="I1420" s="70"/>
      <c r="L1420" s="71" t="n">
        <f aca="false">IF(助手回款!$R$96="",-1,助手回款!$R$96*100+(助手回款!$S$96-1)*6+5)</f>
        <v>-1</v>
      </c>
    </row>
    <row r="1421" customFormat="false" ht="23.25" hidden="false" customHeight="true" outlineLevel="0" collapsed="false">
      <c r="B1421" s="67" t="str">
        <f aca="false">""</f>
        <v/>
      </c>
      <c r="C1421" s="67"/>
      <c r="D1421" s="23" t="str">
        <f aca="false">IFERROR(INDEX(分录回款!$E:$E,MATCH($L1421,分录回款!$L:$L,0)),"")</f>
        <v/>
      </c>
      <c r="E1421" s="23" t="str">
        <f aca="false">IFERROR(INDEX(分录回款!$F:$F,MATCH($L1421,分录回款!$L:$L,0)),"")</f>
        <v/>
      </c>
      <c r="F1421" s="68" t="str">
        <f aca="false">IFERROR(INDEX(分录回款!$H:$H,MATCH($L1421,分录回款!$L:$L,0)),"")</f>
        <v/>
      </c>
      <c r="G1421" s="69" t="str">
        <f aca="false">IFERROR(INDEX(分录回款!$I:$I,MATCH($L1421,分录回款!$L:$L,0)),"")</f>
        <v/>
      </c>
      <c r="H1421" s="23"/>
      <c r="I1421" s="70"/>
      <c r="L1421" s="71" t="n">
        <f aca="false">IF(助手回款!$R$96="",-1,助手回款!$R$96*100+(助手回款!$S$96-1)*6+6)</f>
        <v>-1</v>
      </c>
    </row>
    <row r="1422" customFormat="false" ht="23.25" hidden="false" customHeight="true" outlineLevel="0" collapsed="false">
      <c r="B1422" s="72" t="str">
        <f aca="false">IF(助手回款!$T$96=1,"合计：","")</f>
        <v/>
      </c>
      <c r="C1422" s="73" t="str">
        <f aca="false">IF(助手回款!$T$96=1,$F1422,"")</f>
        <v/>
      </c>
      <c r="D1422" s="74"/>
      <c r="E1422" s="74"/>
      <c r="F1422" s="75" t="str">
        <f aca="false">IF(助手回款!$T$96=1,INDEX(助手回款!$N$2:$N$66,助手回款!$R$96),"")</f>
        <v/>
      </c>
      <c r="G1422" s="76" t="str">
        <f aca="false">IF(助手回款!$T$96=1,INDEX(助手回款!$O$2:$O$66,助手回款!$R$96),"")</f>
        <v/>
      </c>
      <c r="H1422" s="74"/>
      <c r="I1422" s="77"/>
    </row>
    <row r="1423" customFormat="false" ht="6" hidden="false" customHeight="true" outlineLevel="0" collapsed="false"/>
    <row r="1424" customFormat="false" ht="13.5" hidden="false" customHeight="false" outlineLevel="0" collapsed="false">
      <c r="B1424" s="78" t="str">
        <f aca="false">IF(助手回款!$R$96&lt;&gt;"","会计主管：","")</f>
        <v/>
      </c>
      <c r="D1424" s="78" t="str">
        <f aca="false">IF(助手回款!$R$96&lt;&gt;"","会计：","")</f>
        <v/>
      </c>
      <c r="E1424" s="78" t="str">
        <f aca="false">IF(助手回款!$R$96&lt;&gt;"","出纳：","")</f>
        <v/>
      </c>
      <c r="F1424" s="78" t="str">
        <f aca="false">IF(助手回款!$R$96&lt;&gt;"","复核：","")</f>
        <v/>
      </c>
      <c r="G1424" s="78" t="str">
        <f aca="false">IF(助手回款!$R$96&lt;&gt;"","制单：","")</f>
        <v/>
      </c>
    </row>
    <row r="1425" customFormat="false" ht="3" hidden="false" customHeight="true" outlineLevel="0" collapsed="false"/>
    <row r="1426" customFormat="false" ht="19.5" hidden="false" customHeight="true" outlineLevel="0" collapsed="false">
      <c r="B1426" s="53" t="str">
        <f aca="false">IF(助手回款!$R$97&lt;&gt;"","记  账  凭  证","")</f>
        <v/>
      </c>
      <c r="C1426" s="53"/>
      <c r="D1426" s="53"/>
      <c r="E1426" s="53"/>
      <c r="F1426" s="53"/>
      <c r="G1426" s="53"/>
      <c r="H1426" s="53"/>
      <c r="I1426" s="53"/>
    </row>
    <row r="1427" customFormat="false" ht="3" hidden="false" customHeight="true" outlineLevel="0" collapsed="false"/>
    <row r="1428" customFormat="false" ht="15" hidden="false" customHeight="true" outlineLevel="0" collapsed="false">
      <c r="C1428" s="56" t="str">
        <f aca="false">IF(助手回款!$R$97&lt;&gt;"",INDEX(助手回款!$B$2:$B$66,助手回款!$R$97),"")</f>
        <v/>
      </c>
      <c r="D1428" s="57" t="str">
        <f aca="false">IF(助手回款!$R$97&lt;&gt;"",参数!$B$2,"")</f>
        <v/>
      </c>
      <c r="E1428" s="57"/>
      <c r="F1428" s="58" t="str">
        <f aca="false">IF(助手回款!$R$97&lt;&gt;"",INDEX(助手回款!$C$2:$C$66,助手回款!$R$97)&amp;"  字第 "&amp;IF(参数!$B$9="是",INDEX(助手回款!$P$2:$P$66,助手回款!$R$97),"　　　　")&amp;" 号"&amp;IF(INDEX(助手回款!$L$2:$L$66,助手回款!$R$97)&gt;1,"  (共"&amp;INDEX(助手回款!$L$2:$L$66,助手回款!$R$97)&amp;"页 第"&amp;助手回款!$S$97&amp;"页)",""),"")</f>
        <v/>
      </c>
      <c r="G1428" s="58"/>
      <c r="H1428" s="58"/>
      <c r="I1428" s="58"/>
      <c r="M1428" s="79" t="str">
        <f aca="false">IF(助手回款!$R$97="","",助手回款!$Q$97)</f>
        <v/>
      </c>
      <c r="N1428" s="80" t="str">
        <f aca="false">IF(助手回款!$R$97="","",INDEX(助手回款!$P$2:$P$66,助手回款!$R$97))</f>
        <v/>
      </c>
      <c r="O1428" s="55" t="str">
        <f aca="false">IF(助手回款!$R$97="","",INDEX(助手回款!$C$2:$C$66,助手回款!$R$97)&amp;"  字第 "&amp;INDEX(助手回款!$P$2:$P$66,助手回款!$R$97)&amp;" 号"&amp;IF(INDEX(助手回款!$L$2:$L$66,助手回款!$R$97)&gt;1,"  (共"&amp;INDEX(助手回款!$L$2:$L$66,助手回款!$R$97)&amp;"页 第"&amp;助手回款!$S$97&amp;"页)",""))</f>
        <v/>
      </c>
    </row>
    <row r="1429" customFormat="false" ht="12.75" hidden="false" customHeight="true" outlineLevel="0" collapsed="false">
      <c r="B1429" s="61" t="str">
        <f aca="false">IF(助手回款!$R$97&lt;&gt;"","摘　　要","")</f>
        <v/>
      </c>
      <c r="C1429" s="61"/>
      <c r="D1429" s="62" t="str">
        <f aca="false">IF(助手回款!$R$97&lt;&gt;"","科　　　　目","")</f>
        <v/>
      </c>
      <c r="E1429" s="62"/>
      <c r="F1429" s="61" t="str">
        <f aca="false">IF(助手回款!$R$97&lt;&gt;"","借 方 金 额","")</f>
        <v/>
      </c>
      <c r="G1429" s="62" t="str">
        <f aca="false">IF(助手回款!$R$97&lt;&gt;"","贷 方 金 额","")</f>
        <v/>
      </c>
      <c r="H1429" s="63" t="str">
        <f aca="false">IF(助手回款!$R$97&lt;&gt;"","√","")</f>
        <v/>
      </c>
      <c r="I1429" s="64" t="str">
        <f aca="false">IF(助手回款!$R$97&lt;&gt;"","附单据  张","")</f>
        <v/>
      </c>
    </row>
    <row r="1430" customFormat="false" ht="12.75" hidden="false" customHeight="true" outlineLevel="0" collapsed="false">
      <c r="B1430" s="61"/>
      <c r="C1430" s="61"/>
      <c r="D1430" s="23" t="str">
        <f aca="false">IF(助手回款!$R$97&lt;&gt;"","总 账 科 目","")</f>
        <v/>
      </c>
      <c r="E1430" s="23" t="str">
        <f aca="false">IF(助手回款!$R$97&lt;&gt;"","明 细 科 目","")</f>
        <v/>
      </c>
      <c r="F1430" s="65"/>
      <c r="G1430" s="66"/>
      <c r="H1430" s="63"/>
      <c r="I1430" s="64"/>
    </row>
    <row r="1431" customFormat="false" ht="23.25" hidden="false" customHeight="true" outlineLevel="0" collapsed="false">
      <c r="B1431" s="67" t="str">
        <f aca="false">IFERROR(INDEX(分录回款!$M:$M,MATCH($L1431,分录回款!$L:$L,0)),"")</f>
        <v/>
      </c>
      <c r="C1431" s="67"/>
      <c r="D1431" s="23" t="str">
        <f aca="false">IFERROR(INDEX(分录回款!$E:$E,MATCH($L1431,分录回款!$L:$L,0)),"")</f>
        <v/>
      </c>
      <c r="E1431" s="23" t="str">
        <f aca="false">IFERROR(INDEX(分录回款!$F:$F,MATCH($L1431,分录回款!$L:$L,0)),"")</f>
        <v/>
      </c>
      <c r="F1431" s="68" t="str">
        <f aca="false">IFERROR(INDEX(分录回款!$H:$H,MATCH($L1431,分录回款!$L:$L,0)),"")</f>
        <v/>
      </c>
      <c r="G1431" s="69" t="str">
        <f aca="false">IFERROR(INDEX(分录回款!$I:$I,MATCH($L1431,分录回款!$L:$L,0)),"")</f>
        <v/>
      </c>
      <c r="H1431" s="23"/>
      <c r="I1431" s="70"/>
      <c r="L1431" s="71" t="n">
        <f aca="false">IF(助手回款!$R$97="",-1,助手回款!$R$97*100+(助手回款!$S$97-1)*6+1)</f>
        <v>-1</v>
      </c>
    </row>
    <row r="1432" customFormat="false" ht="23.25" hidden="false" customHeight="true" outlineLevel="0" collapsed="false">
      <c r="B1432" s="67" t="str">
        <f aca="false">""</f>
        <v/>
      </c>
      <c r="C1432" s="67"/>
      <c r="D1432" s="23" t="str">
        <f aca="false">IFERROR(INDEX(分录回款!$E:$E,MATCH($L1432,分录回款!$L:$L,0)),"")</f>
        <v/>
      </c>
      <c r="E1432" s="23" t="str">
        <f aca="false">IFERROR(INDEX(分录回款!$F:$F,MATCH($L1432,分录回款!$L:$L,0)),"")</f>
        <v/>
      </c>
      <c r="F1432" s="68" t="str">
        <f aca="false">IFERROR(INDEX(分录回款!$H:$H,MATCH($L1432,分录回款!$L:$L,0)),"")</f>
        <v/>
      </c>
      <c r="G1432" s="69" t="str">
        <f aca="false">IFERROR(INDEX(分录回款!$I:$I,MATCH($L1432,分录回款!$L:$L,0)),"")</f>
        <v/>
      </c>
      <c r="H1432" s="23"/>
      <c r="I1432" s="70"/>
      <c r="L1432" s="71" t="n">
        <f aca="false">IF(助手回款!$R$97="",-1,助手回款!$R$97*100+(助手回款!$S$97-1)*6+2)</f>
        <v>-1</v>
      </c>
    </row>
    <row r="1433" customFormat="false" ht="23.25" hidden="false" customHeight="true" outlineLevel="0" collapsed="false">
      <c r="B1433" s="67" t="str">
        <f aca="false">""</f>
        <v/>
      </c>
      <c r="C1433" s="67"/>
      <c r="D1433" s="23" t="str">
        <f aca="false">IFERROR(INDEX(分录回款!$E:$E,MATCH($L1433,分录回款!$L:$L,0)),"")</f>
        <v/>
      </c>
      <c r="E1433" s="23" t="str">
        <f aca="false">IFERROR(INDEX(分录回款!$F:$F,MATCH($L1433,分录回款!$L:$L,0)),"")</f>
        <v/>
      </c>
      <c r="F1433" s="68" t="str">
        <f aca="false">IFERROR(INDEX(分录回款!$H:$H,MATCH($L1433,分录回款!$L:$L,0)),"")</f>
        <v/>
      </c>
      <c r="G1433" s="69" t="str">
        <f aca="false">IFERROR(INDEX(分录回款!$I:$I,MATCH($L1433,分录回款!$L:$L,0)),"")</f>
        <v/>
      </c>
      <c r="H1433" s="23"/>
      <c r="I1433" s="70"/>
      <c r="L1433" s="71" t="n">
        <f aca="false">IF(助手回款!$R$97="",-1,助手回款!$R$97*100+(助手回款!$S$97-1)*6+3)</f>
        <v>-1</v>
      </c>
    </row>
    <row r="1434" customFormat="false" ht="23.25" hidden="false" customHeight="true" outlineLevel="0" collapsed="false">
      <c r="B1434" s="67" t="str">
        <f aca="false">""</f>
        <v/>
      </c>
      <c r="C1434" s="67"/>
      <c r="D1434" s="23" t="str">
        <f aca="false">IFERROR(INDEX(分录回款!$E:$E,MATCH($L1434,分录回款!$L:$L,0)),"")</f>
        <v/>
      </c>
      <c r="E1434" s="23" t="str">
        <f aca="false">IFERROR(INDEX(分录回款!$F:$F,MATCH($L1434,分录回款!$L:$L,0)),"")</f>
        <v/>
      </c>
      <c r="F1434" s="68" t="str">
        <f aca="false">IFERROR(INDEX(分录回款!$H:$H,MATCH($L1434,分录回款!$L:$L,0)),"")</f>
        <v/>
      </c>
      <c r="G1434" s="69" t="str">
        <f aca="false">IFERROR(INDEX(分录回款!$I:$I,MATCH($L1434,分录回款!$L:$L,0)),"")</f>
        <v/>
      </c>
      <c r="H1434" s="23"/>
      <c r="I1434" s="70"/>
      <c r="L1434" s="71" t="n">
        <f aca="false">IF(助手回款!$R$97="",-1,助手回款!$R$97*100+(助手回款!$S$97-1)*6+4)</f>
        <v>-1</v>
      </c>
    </row>
    <row r="1435" customFormat="false" ht="23.25" hidden="false" customHeight="true" outlineLevel="0" collapsed="false">
      <c r="B1435" s="67" t="str">
        <f aca="false">""</f>
        <v/>
      </c>
      <c r="C1435" s="67"/>
      <c r="D1435" s="23" t="str">
        <f aca="false">IFERROR(INDEX(分录回款!$E:$E,MATCH($L1435,分录回款!$L:$L,0)),"")</f>
        <v/>
      </c>
      <c r="E1435" s="23" t="str">
        <f aca="false">IFERROR(INDEX(分录回款!$F:$F,MATCH($L1435,分录回款!$L:$L,0)),"")</f>
        <v/>
      </c>
      <c r="F1435" s="68" t="str">
        <f aca="false">IFERROR(INDEX(分录回款!$H:$H,MATCH($L1435,分录回款!$L:$L,0)),"")</f>
        <v/>
      </c>
      <c r="G1435" s="69" t="str">
        <f aca="false">IFERROR(INDEX(分录回款!$I:$I,MATCH($L1435,分录回款!$L:$L,0)),"")</f>
        <v/>
      </c>
      <c r="H1435" s="23"/>
      <c r="I1435" s="70"/>
      <c r="L1435" s="71" t="n">
        <f aca="false">IF(助手回款!$R$97="",-1,助手回款!$R$97*100+(助手回款!$S$97-1)*6+5)</f>
        <v>-1</v>
      </c>
    </row>
    <row r="1436" customFormat="false" ht="23.25" hidden="false" customHeight="true" outlineLevel="0" collapsed="false">
      <c r="B1436" s="67" t="str">
        <f aca="false">""</f>
        <v/>
      </c>
      <c r="C1436" s="67"/>
      <c r="D1436" s="23" t="str">
        <f aca="false">IFERROR(INDEX(分录回款!$E:$E,MATCH($L1436,分录回款!$L:$L,0)),"")</f>
        <v/>
      </c>
      <c r="E1436" s="23" t="str">
        <f aca="false">IFERROR(INDEX(分录回款!$F:$F,MATCH($L1436,分录回款!$L:$L,0)),"")</f>
        <v/>
      </c>
      <c r="F1436" s="68" t="str">
        <f aca="false">IFERROR(INDEX(分录回款!$H:$H,MATCH($L1436,分录回款!$L:$L,0)),"")</f>
        <v/>
      </c>
      <c r="G1436" s="69" t="str">
        <f aca="false">IFERROR(INDEX(分录回款!$I:$I,MATCH($L1436,分录回款!$L:$L,0)),"")</f>
        <v/>
      </c>
      <c r="H1436" s="23"/>
      <c r="I1436" s="70"/>
      <c r="L1436" s="71" t="n">
        <f aca="false">IF(助手回款!$R$97="",-1,助手回款!$R$97*100+(助手回款!$S$97-1)*6+6)</f>
        <v>-1</v>
      </c>
    </row>
    <row r="1437" customFormat="false" ht="23.25" hidden="false" customHeight="true" outlineLevel="0" collapsed="false">
      <c r="B1437" s="72" t="str">
        <f aca="false">IF(助手回款!$T$97=1,"合计：","")</f>
        <v/>
      </c>
      <c r="C1437" s="73" t="str">
        <f aca="false">IF(助手回款!$T$97=1,$F1437,"")</f>
        <v/>
      </c>
      <c r="D1437" s="74"/>
      <c r="E1437" s="74"/>
      <c r="F1437" s="75" t="str">
        <f aca="false">IF(助手回款!$T$97=1,INDEX(助手回款!$N$2:$N$66,助手回款!$R$97),"")</f>
        <v/>
      </c>
      <c r="G1437" s="76" t="str">
        <f aca="false">IF(助手回款!$T$97=1,INDEX(助手回款!$O$2:$O$66,助手回款!$R$97),"")</f>
        <v/>
      </c>
      <c r="H1437" s="74"/>
      <c r="I1437" s="77"/>
    </row>
    <row r="1438" customFormat="false" ht="6" hidden="false" customHeight="true" outlineLevel="0" collapsed="false"/>
    <row r="1439" customFormat="false" ht="13.5" hidden="false" customHeight="false" outlineLevel="0" collapsed="false">
      <c r="B1439" s="78" t="str">
        <f aca="false">IF(助手回款!$R$97&lt;&gt;"","会计主管：","")</f>
        <v/>
      </c>
      <c r="D1439" s="78" t="str">
        <f aca="false">IF(助手回款!$R$97&lt;&gt;"","会计：","")</f>
        <v/>
      </c>
      <c r="E1439" s="78" t="str">
        <f aca="false">IF(助手回款!$R$97&lt;&gt;"","出纳：","")</f>
        <v/>
      </c>
      <c r="F1439" s="78" t="str">
        <f aca="false">IF(助手回款!$R$97&lt;&gt;"","复核：","")</f>
        <v/>
      </c>
      <c r="G1439" s="78" t="str">
        <f aca="false">IF(助手回款!$R$97&lt;&gt;"","制单：","")</f>
        <v/>
      </c>
    </row>
    <row r="1440" customFormat="false" ht="3" hidden="false" customHeight="true" outlineLevel="0" collapsed="false"/>
    <row r="1441" customFormat="false" ht="19.5" hidden="false" customHeight="true" outlineLevel="0" collapsed="false">
      <c r="B1441" s="53" t="str">
        <f aca="false">IF(助手回款!$R$98&lt;&gt;"","记  账  凭  证","")</f>
        <v/>
      </c>
      <c r="C1441" s="53"/>
      <c r="D1441" s="53"/>
      <c r="E1441" s="53"/>
      <c r="F1441" s="53"/>
      <c r="G1441" s="53"/>
      <c r="H1441" s="53"/>
      <c r="I1441" s="53"/>
    </row>
    <row r="1442" customFormat="false" ht="3" hidden="false" customHeight="true" outlineLevel="0" collapsed="false"/>
    <row r="1443" customFormat="false" ht="15" hidden="false" customHeight="true" outlineLevel="0" collapsed="false">
      <c r="C1443" s="56" t="str">
        <f aca="false">IF(助手回款!$R$98&lt;&gt;"",INDEX(助手回款!$B$2:$B$66,助手回款!$R$98),"")</f>
        <v/>
      </c>
      <c r="D1443" s="57" t="str">
        <f aca="false">IF(助手回款!$R$98&lt;&gt;"",参数!$B$2,"")</f>
        <v/>
      </c>
      <c r="E1443" s="57"/>
      <c r="F1443" s="58" t="str">
        <f aca="false">IF(助手回款!$R$98&lt;&gt;"",INDEX(助手回款!$C$2:$C$66,助手回款!$R$98)&amp;"  字第 "&amp;IF(参数!$B$9="是",INDEX(助手回款!$P$2:$P$66,助手回款!$R$98),"　　　　")&amp;" 号"&amp;IF(INDEX(助手回款!$L$2:$L$66,助手回款!$R$98)&gt;1,"  (共"&amp;INDEX(助手回款!$L$2:$L$66,助手回款!$R$98)&amp;"页 第"&amp;助手回款!$S$98&amp;"页)",""),"")</f>
        <v/>
      </c>
      <c r="G1443" s="58"/>
      <c r="H1443" s="58"/>
      <c r="I1443" s="58"/>
      <c r="M1443" s="79" t="str">
        <f aca="false">IF(助手回款!$R$98="","",助手回款!$Q$98)</f>
        <v/>
      </c>
      <c r="N1443" s="80" t="str">
        <f aca="false">IF(助手回款!$R$98="","",INDEX(助手回款!$P$2:$P$66,助手回款!$R$98))</f>
        <v/>
      </c>
      <c r="O1443" s="55" t="str">
        <f aca="false">IF(助手回款!$R$98="","",INDEX(助手回款!$C$2:$C$66,助手回款!$R$98)&amp;"  字第 "&amp;INDEX(助手回款!$P$2:$P$66,助手回款!$R$98)&amp;" 号"&amp;IF(INDEX(助手回款!$L$2:$L$66,助手回款!$R$98)&gt;1,"  (共"&amp;INDEX(助手回款!$L$2:$L$66,助手回款!$R$98)&amp;"页 第"&amp;助手回款!$S$98&amp;"页)",""))</f>
        <v/>
      </c>
    </row>
    <row r="1444" customFormat="false" ht="12.75" hidden="false" customHeight="true" outlineLevel="0" collapsed="false">
      <c r="B1444" s="61" t="str">
        <f aca="false">IF(助手回款!$R$98&lt;&gt;"","摘　　要","")</f>
        <v/>
      </c>
      <c r="C1444" s="61"/>
      <c r="D1444" s="62" t="str">
        <f aca="false">IF(助手回款!$R$98&lt;&gt;"","科　　　　目","")</f>
        <v/>
      </c>
      <c r="E1444" s="62"/>
      <c r="F1444" s="61" t="str">
        <f aca="false">IF(助手回款!$R$98&lt;&gt;"","借 方 金 额","")</f>
        <v/>
      </c>
      <c r="G1444" s="62" t="str">
        <f aca="false">IF(助手回款!$R$98&lt;&gt;"","贷 方 金 额","")</f>
        <v/>
      </c>
      <c r="H1444" s="63" t="str">
        <f aca="false">IF(助手回款!$R$98&lt;&gt;"","√","")</f>
        <v/>
      </c>
      <c r="I1444" s="64" t="str">
        <f aca="false">IF(助手回款!$R$98&lt;&gt;"","附单据  张","")</f>
        <v/>
      </c>
    </row>
    <row r="1445" customFormat="false" ht="12.75" hidden="false" customHeight="true" outlineLevel="0" collapsed="false">
      <c r="B1445" s="61"/>
      <c r="C1445" s="61"/>
      <c r="D1445" s="23" t="str">
        <f aca="false">IF(助手回款!$R$98&lt;&gt;"","总 账 科 目","")</f>
        <v/>
      </c>
      <c r="E1445" s="23" t="str">
        <f aca="false">IF(助手回款!$R$98&lt;&gt;"","明 细 科 目","")</f>
        <v/>
      </c>
      <c r="F1445" s="65"/>
      <c r="G1445" s="66"/>
      <c r="H1445" s="63"/>
      <c r="I1445" s="64"/>
    </row>
    <row r="1446" customFormat="false" ht="23.25" hidden="false" customHeight="true" outlineLevel="0" collapsed="false">
      <c r="B1446" s="67" t="str">
        <f aca="false">IFERROR(INDEX(分录回款!$M:$M,MATCH($L1446,分录回款!$L:$L,0)),"")</f>
        <v/>
      </c>
      <c r="C1446" s="67"/>
      <c r="D1446" s="23" t="str">
        <f aca="false">IFERROR(INDEX(分录回款!$E:$E,MATCH($L1446,分录回款!$L:$L,0)),"")</f>
        <v/>
      </c>
      <c r="E1446" s="23" t="str">
        <f aca="false">IFERROR(INDEX(分录回款!$F:$F,MATCH($L1446,分录回款!$L:$L,0)),"")</f>
        <v/>
      </c>
      <c r="F1446" s="68" t="str">
        <f aca="false">IFERROR(INDEX(分录回款!$H:$H,MATCH($L1446,分录回款!$L:$L,0)),"")</f>
        <v/>
      </c>
      <c r="G1446" s="69" t="str">
        <f aca="false">IFERROR(INDEX(分录回款!$I:$I,MATCH($L1446,分录回款!$L:$L,0)),"")</f>
        <v/>
      </c>
      <c r="H1446" s="23"/>
      <c r="I1446" s="70"/>
      <c r="L1446" s="71" t="n">
        <f aca="false">IF(助手回款!$R$98="",-1,助手回款!$R$98*100+(助手回款!$S$98-1)*6+1)</f>
        <v>-1</v>
      </c>
    </row>
    <row r="1447" customFormat="false" ht="23.25" hidden="false" customHeight="true" outlineLevel="0" collapsed="false">
      <c r="B1447" s="67" t="str">
        <f aca="false">""</f>
        <v/>
      </c>
      <c r="C1447" s="67"/>
      <c r="D1447" s="23" t="str">
        <f aca="false">IFERROR(INDEX(分录回款!$E:$E,MATCH($L1447,分录回款!$L:$L,0)),"")</f>
        <v/>
      </c>
      <c r="E1447" s="23" t="str">
        <f aca="false">IFERROR(INDEX(分录回款!$F:$F,MATCH($L1447,分录回款!$L:$L,0)),"")</f>
        <v/>
      </c>
      <c r="F1447" s="68" t="str">
        <f aca="false">IFERROR(INDEX(分录回款!$H:$H,MATCH($L1447,分录回款!$L:$L,0)),"")</f>
        <v/>
      </c>
      <c r="G1447" s="69" t="str">
        <f aca="false">IFERROR(INDEX(分录回款!$I:$I,MATCH($L1447,分录回款!$L:$L,0)),"")</f>
        <v/>
      </c>
      <c r="H1447" s="23"/>
      <c r="I1447" s="70"/>
      <c r="L1447" s="71" t="n">
        <f aca="false">IF(助手回款!$R$98="",-1,助手回款!$R$98*100+(助手回款!$S$98-1)*6+2)</f>
        <v>-1</v>
      </c>
    </row>
    <row r="1448" customFormat="false" ht="23.25" hidden="false" customHeight="true" outlineLevel="0" collapsed="false">
      <c r="B1448" s="67" t="str">
        <f aca="false">""</f>
        <v/>
      </c>
      <c r="C1448" s="67"/>
      <c r="D1448" s="23" t="str">
        <f aca="false">IFERROR(INDEX(分录回款!$E:$E,MATCH($L1448,分录回款!$L:$L,0)),"")</f>
        <v/>
      </c>
      <c r="E1448" s="23" t="str">
        <f aca="false">IFERROR(INDEX(分录回款!$F:$F,MATCH($L1448,分录回款!$L:$L,0)),"")</f>
        <v/>
      </c>
      <c r="F1448" s="68" t="str">
        <f aca="false">IFERROR(INDEX(分录回款!$H:$H,MATCH($L1448,分录回款!$L:$L,0)),"")</f>
        <v/>
      </c>
      <c r="G1448" s="69" t="str">
        <f aca="false">IFERROR(INDEX(分录回款!$I:$I,MATCH($L1448,分录回款!$L:$L,0)),"")</f>
        <v/>
      </c>
      <c r="H1448" s="23"/>
      <c r="I1448" s="70"/>
      <c r="L1448" s="71" t="n">
        <f aca="false">IF(助手回款!$R$98="",-1,助手回款!$R$98*100+(助手回款!$S$98-1)*6+3)</f>
        <v>-1</v>
      </c>
    </row>
    <row r="1449" customFormat="false" ht="23.25" hidden="false" customHeight="true" outlineLevel="0" collapsed="false">
      <c r="B1449" s="67" t="str">
        <f aca="false">""</f>
        <v/>
      </c>
      <c r="C1449" s="67"/>
      <c r="D1449" s="23" t="str">
        <f aca="false">IFERROR(INDEX(分录回款!$E:$E,MATCH($L1449,分录回款!$L:$L,0)),"")</f>
        <v/>
      </c>
      <c r="E1449" s="23" t="str">
        <f aca="false">IFERROR(INDEX(分录回款!$F:$F,MATCH($L1449,分录回款!$L:$L,0)),"")</f>
        <v/>
      </c>
      <c r="F1449" s="68" t="str">
        <f aca="false">IFERROR(INDEX(分录回款!$H:$H,MATCH($L1449,分录回款!$L:$L,0)),"")</f>
        <v/>
      </c>
      <c r="G1449" s="69" t="str">
        <f aca="false">IFERROR(INDEX(分录回款!$I:$I,MATCH($L1449,分录回款!$L:$L,0)),"")</f>
        <v/>
      </c>
      <c r="H1449" s="23"/>
      <c r="I1449" s="70"/>
      <c r="L1449" s="71" t="n">
        <f aca="false">IF(助手回款!$R$98="",-1,助手回款!$R$98*100+(助手回款!$S$98-1)*6+4)</f>
        <v>-1</v>
      </c>
    </row>
    <row r="1450" customFormat="false" ht="23.25" hidden="false" customHeight="true" outlineLevel="0" collapsed="false">
      <c r="B1450" s="67" t="str">
        <f aca="false">""</f>
        <v/>
      </c>
      <c r="C1450" s="67"/>
      <c r="D1450" s="23" t="str">
        <f aca="false">IFERROR(INDEX(分录回款!$E:$E,MATCH($L1450,分录回款!$L:$L,0)),"")</f>
        <v/>
      </c>
      <c r="E1450" s="23" t="str">
        <f aca="false">IFERROR(INDEX(分录回款!$F:$F,MATCH($L1450,分录回款!$L:$L,0)),"")</f>
        <v/>
      </c>
      <c r="F1450" s="68" t="str">
        <f aca="false">IFERROR(INDEX(分录回款!$H:$H,MATCH($L1450,分录回款!$L:$L,0)),"")</f>
        <v/>
      </c>
      <c r="G1450" s="69" t="str">
        <f aca="false">IFERROR(INDEX(分录回款!$I:$I,MATCH($L1450,分录回款!$L:$L,0)),"")</f>
        <v/>
      </c>
      <c r="H1450" s="23"/>
      <c r="I1450" s="70"/>
      <c r="L1450" s="71" t="n">
        <f aca="false">IF(助手回款!$R$98="",-1,助手回款!$R$98*100+(助手回款!$S$98-1)*6+5)</f>
        <v>-1</v>
      </c>
    </row>
    <row r="1451" customFormat="false" ht="23.25" hidden="false" customHeight="true" outlineLevel="0" collapsed="false">
      <c r="B1451" s="67" t="str">
        <f aca="false">""</f>
        <v/>
      </c>
      <c r="C1451" s="67"/>
      <c r="D1451" s="23" t="str">
        <f aca="false">IFERROR(INDEX(分录回款!$E:$E,MATCH($L1451,分录回款!$L:$L,0)),"")</f>
        <v/>
      </c>
      <c r="E1451" s="23" t="str">
        <f aca="false">IFERROR(INDEX(分录回款!$F:$F,MATCH($L1451,分录回款!$L:$L,0)),"")</f>
        <v/>
      </c>
      <c r="F1451" s="68" t="str">
        <f aca="false">IFERROR(INDEX(分录回款!$H:$H,MATCH($L1451,分录回款!$L:$L,0)),"")</f>
        <v/>
      </c>
      <c r="G1451" s="69" t="str">
        <f aca="false">IFERROR(INDEX(分录回款!$I:$I,MATCH($L1451,分录回款!$L:$L,0)),"")</f>
        <v/>
      </c>
      <c r="H1451" s="23"/>
      <c r="I1451" s="70"/>
      <c r="L1451" s="71" t="n">
        <f aca="false">IF(助手回款!$R$98="",-1,助手回款!$R$98*100+(助手回款!$S$98-1)*6+6)</f>
        <v>-1</v>
      </c>
    </row>
    <row r="1452" customFormat="false" ht="23.25" hidden="false" customHeight="true" outlineLevel="0" collapsed="false">
      <c r="B1452" s="72" t="str">
        <f aca="false">IF(助手回款!$T$98=1,"合计：","")</f>
        <v/>
      </c>
      <c r="C1452" s="73" t="str">
        <f aca="false">IF(助手回款!$T$98=1,$F1452,"")</f>
        <v/>
      </c>
      <c r="D1452" s="74"/>
      <c r="E1452" s="74"/>
      <c r="F1452" s="75" t="str">
        <f aca="false">IF(助手回款!$T$98=1,INDEX(助手回款!$N$2:$N$66,助手回款!$R$98),"")</f>
        <v/>
      </c>
      <c r="G1452" s="76" t="str">
        <f aca="false">IF(助手回款!$T$98=1,INDEX(助手回款!$O$2:$O$66,助手回款!$R$98),"")</f>
        <v/>
      </c>
      <c r="H1452" s="74"/>
      <c r="I1452" s="77"/>
    </row>
    <row r="1453" customFormat="false" ht="6" hidden="false" customHeight="true" outlineLevel="0" collapsed="false"/>
    <row r="1454" customFormat="false" ht="13.5" hidden="false" customHeight="false" outlineLevel="0" collapsed="false">
      <c r="B1454" s="78" t="str">
        <f aca="false">IF(助手回款!$R$98&lt;&gt;"","会计主管：","")</f>
        <v/>
      </c>
      <c r="D1454" s="78" t="str">
        <f aca="false">IF(助手回款!$R$98&lt;&gt;"","会计：","")</f>
        <v/>
      </c>
      <c r="E1454" s="78" t="str">
        <f aca="false">IF(助手回款!$R$98&lt;&gt;"","出纳：","")</f>
        <v/>
      </c>
      <c r="F1454" s="78" t="str">
        <f aca="false">IF(助手回款!$R$98&lt;&gt;"","复核：","")</f>
        <v/>
      </c>
      <c r="G1454" s="78" t="str">
        <f aca="false">IF(助手回款!$R$98&lt;&gt;"","制单：","")</f>
        <v/>
      </c>
    </row>
    <row r="1455" customFormat="false" ht="3" hidden="false" customHeight="true" outlineLevel="0" collapsed="false"/>
    <row r="1456" customFormat="false" ht="19.5" hidden="false" customHeight="true" outlineLevel="0" collapsed="false">
      <c r="B1456" s="53" t="str">
        <f aca="false">IF(助手回款!$R$99&lt;&gt;"","记  账  凭  证","")</f>
        <v/>
      </c>
      <c r="C1456" s="53"/>
      <c r="D1456" s="53"/>
      <c r="E1456" s="53"/>
      <c r="F1456" s="53"/>
      <c r="G1456" s="53"/>
      <c r="H1456" s="53"/>
      <c r="I1456" s="53"/>
    </row>
    <row r="1457" customFormat="false" ht="3" hidden="false" customHeight="true" outlineLevel="0" collapsed="false"/>
    <row r="1458" customFormat="false" ht="15" hidden="false" customHeight="true" outlineLevel="0" collapsed="false">
      <c r="C1458" s="56" t="str">
        <f aca="false">IF(助手回款!$R$99&lt;&gt;"",INDEX(助手回款!$B$2:$B$66,助手回款!$R$99),"")</f>
        <v/>
      </c>
      <c r="D1458" s="57" t="str">
        <f aca="false">IF(助手回款!$R$99&lt;&gt;"",参数!$B$2,"")</f>
        <v/>
      </c>
      <c r="E1458" s="57"/>
      <c r="F1458" s="58" t="str">
        <f aca="false">IF(助手回款!$R$99&lt;&gt;"",INDEX(助手回款!$C$2:$C$66,助手回款!$R$99)&amp;"  字第 "&amp;IF(参数!$B$9="是",INDEX(助手回款!$P$2:$P$66,助手回款!$R$99),"　　　　")&amp;" 号"&amp;IF(INDEX(助手回款!$L$2:$L$66,助手回款!$R$99)&gt;1,"  (共"&amp;INDEX(助手回款!$L$2:$L$66,助手回款!$R$99)&amp;"页 第"&amp;助手回款!$S$99&amp;"页)",""),"")</f>
        <v/>
      </c>
      <c r="G1458" s="58"/>
      <c r="H1458" s="58"/>
      <c r="I1458" s="58"/>
      <c r="M1458" s="79" t="str">
        <f aca="false">IF(助手回款!$R$99="","",助手回款!$Q$99)</f>
        <v/>
      </c>
      <c r="N1458" s="80" t="str">
        <f aca="false">IF(助手回款!$R$99="","",INDEX(助手回款!$P$2:$P$66,助手回款!$R$99))</f>
        <v/>
      </c>
      <c r="O1458" s="55" t="str">
        <f aca="false">IF(助手回款!$R$99="","",INDEX(助手回款!$C$2:$C$66,助手回款!$R$99)&amp;"  字第 "&amp;INDEX(助手回款!$P$2:$P$66,助手回款!$R$99)&amp;" 号"&amp;IF(INDEX(助手回款!$L$2:$L$66,助手回款!$R$99)&gt;1,"  (共"&amp;INDEX(助手回款!$L$2:$L$66,助手回款!$R$99)&amp;"页 第"&amp;助手回款!$S$99&amp;"页)",""))</f>
        <v/>
      </c>
    </row>
    <row r="1459" customFormat="false" ht="12.75" hidden="false" customHeight="true" outlineLevel="0" collapsed="false">
      <c r="B1459" s="61" t="str">
        <f aca="false">IF(助手回款!$R$99&lt;&gt;"","摘　　要","")</f>
        <v/>
      </c>
      <c r="C1459" s="61"/>
      <c r="D1459" s="62" t="str">
        <f aca="false">IF(助手回款!$R$99&lt;&gt;"","科　　　　目","")</f>
        <v/>
      </c>
      <c r="E1459" s="62"/>
      <c r="F1459" s="61" t="str">
        <f aca="false">IF(助手回款!$R$99&lt;&gt;"","借 方 金 额","")</f>
        <v/>
      </c>
      <c r="G1459" s="62" t="str">
        <f aca="false">IF(助手回款!$R$99&lt;&gt;"","贷 方 金 额","")</f>
        <v/>
      </c>
      <c r="H1459" s="63" t="str">
        <f aca="false">IF(助手回款!$R$99&lt;&gt;"","√","")</f>
        <v/>
      </c>
      <c r="I1459" s="64" t="str">
        <f aca="false">IF(助手回款!$R$99&lt;&gt;"","附单据  张","")</f>
        <v/>
      </c>
    </row>
    <row r="1460" customFormat="false" ht="12.75" hidden="false" customHeight="true" outlineLevel="0" collapsed="false">
      <c r="B1460" s="61"/>
      <c r="C1460" s="61"/>
      <c r="D1460" s="23" t="str">
        <f aca="false">IF(助手回款!$R$99&lt;&gt;"","总 账 科 目","")</f>
        <v/>
      </c>
      <c r="E1460" s="23" t="str">
        <f aca="false">IF(助手回款!$R$99&lt;&gt;"","明 细 科 目","")</f>
        <v/>
      </c>
      <c r="F1460" s="65"/>
      <c r="G1460" s="66"/>
      <c r="H1460" s="63"/>
      <c r="I1460" s="64"/>
    </row>
    <row r="1461" customFormat="false" ht="23.25" hidden="false" customHeight="true" outlineLevel="0" collapsed="false">
      <c r="B1461" s="67" t="str">
        <f aca="false">IFERROR(INDEX(分录回款!$M:$M,MATCH($L1461,分录回款!$L:$L,0)),"")</f>
        <v/>
      </c>
      <c r="C1461" s="67"/>
      <c r="D1461" s="23" t="str">
        <f aca="false">IFERROR(INDEX(分录回款!$E:$E,MATCH($L1461,分录回款!$L:$L,0)),"")</f>
        <v/>
      </c>
      <c r="E1461" s="23" t="str">
        <f aca="false">IFERROR(INDEX(分录回款!$F:$F,MATCH($L1461,分录回款!$L:$L,0)),"")</f>
        <v/>
      </c>
      <c r="F1461" s="68" t="str">
        <f aca="false">IFERROR(INDEX(分录回款!$H:$H,MATCH($L1461,分录回款!$L:$L,0)),"")</f>
        <v/>
      </c>
      <c r="G1461" s="69" t="str">
        <f aca="false">IFERROR(INDEX(分录回款!$I:$I,MATCH($L1461,分录回款!$L:$L,0)),"")</f>
        <v/>
      </c>
      <c r="H1461" s="23"/>
      <c r="I1461" s="70"/>
      <c r="L1461" s="71" t="n">
        <f aca="false">IF(助手回款!$R$99="",-1,助手回款!$R$99*100+(助手回款!$S$99-1)*6+1)</f>
        <v>-1</v>
      </c>
    </row>
    <row r="1462" customFormat="false" ht="23.25" hidden="false" customHeight="true" outlineLevel="0" collapsed="false">
      <c r="B1462" s="67" t="str">
        <f aca="false">""</f>
        <v/>
      </c>
      <c r="C1462" s="67"/>
      <c r="D1462" s="23" t="str">
        <f aca="false">IFERROR(INDEX(分录回款!$E:$E,MATCH($L1462,分录回款!$L:$L,0)),"")</f>
        <v/>
      </c>
      <c r="E1462" s="23" t="str">
        <f aca="false">IFERROR(INDEX(分录回款!$F:$F,MATCH($L1462,分录回款!$L:$L,0)),"")</f>
        <v/>
      </c>
      <c r="F1462" s="68" t="str">
        <f aca="false">IFERROR(INDEX(分录回款!$H:$H,MATCH($L1462,分录回款!$L:$L,0)),"")</f>
        <v/>
      </c>
      <c r="G1462" s="69" t="str">
        <f aca="false">IFERROR(INDEX(分录回款!$I:$I,MATCH($L1462,分录回款!$L:$L,0)),"")</f>
        <v/>
      </c>
      <c r="H1462" s="23"/>
      <c r="I1462" s="70"/>
      <c r="L1462" s="71" t="n">
        <f aca="false">IF(助手回款!$R$99="",-1,助手回款!$R$99*100+(助手回款!$S$99-1)*6+2)</f>
        <v>-1</v>
      </c>
    </row>
    <row r="1463" customFormat="false" ht="23.25" hidden="false" customHeight="true" outlineLevel="0" collapsed="false">
      <c r="B1463" s="67" t="str">
        <f aca="false">""</f>
        <v/>
      </c>
      <c r="C1463" s="67"/>
      <c r="D1463" s="23" t="str">
        <f aca="false">IFERROR(INDEX(分录回款!$E:$E,MATCH($L1463,分录回款!$L:$L,0)),"")</f>
        <v/>
      </c>
      <c r="E1463" s="23" t="str">
        <f aca="false">IFERROR(INDEX(分录回款!$F:$F,MATCH($L1463,分录回款!$L:$L,0)),"")</f>
        <v/>
      </c>
      <c r="F1463" s="68" t="str">
        <f aca="false">IFERROR(INDEX(分录回款!$H:$H,MATCH($L1463,分录回款!$L:$L,0)),"")</f>
        <v/>
      </c>
      <c r="G1463" s="69" t="str">
        <f aca="false">IFERROR(INDEX(分录回款!$I:$I,MATCH($L1463,分录回款!$L:$L,0)),"")</f>
        <v/>
      </c>
      <c r="H1463" s="23"/>
      <c r="I1463" s="70"/>
      <c r="L1463" s="71" t="n">
        <f aca="false">IF(助手回款!$R$99="",-1,助手回款!$R$99*100+(助手回款!$S$99-1)*6+3)</f>
        <v>-1</v>
      </c>
    </row>
    <row r="1464" customFormat="false" ht="23.25" hidden="false" customHeight="true" outlineLevel="0" collapsed="false">
      <c r="B1464" s="67" t="str">
        <f aca="false">""</f>
        <v/>
      </c>
      <c r="C1464" s="67"/>
      <c r="D1464" s="23" t="str">
        <f aca="false">IFERROR(INDEX(分录回款!$E:$E,MATCH($L1464,分录回款!$L:$L,0)),"")</f>
        <v/>
      </c>
      <c r="E1464" s="23" t="str">
        <f aca="false">IFERROR(INDEX(分录回款!$F:$F,MATCH($L1464,分录回款!$L:$L,0)),"")</f>
        <v/>
      </c>
      <c r="F1464" s="68" t="str">
        <f aca="false">IFERROR(INDEX(分录回款!$H:$H,MATCH($L1464,分录回款!$L:$L,0)),"")</f>
        <v/>
      </c>
      <c r="G1464" s="69" t="str">
        <f aca="false">IFERROR(INDEX(分录回款!$I:$I,MATCH($L1464,分录回款!$L:$L,0)),"")</f>
        <v/>
      </c>
      <c r="H1464" s="23"/>
      <c r="I1464" s="70"/>
      <c r="L1464" s="71" t="n">
        <f aca="false">IF(助手回款!$R$99="",-1,助手回款!$R$99*100+(助手回款!$S$99-1)*6+4)</f>
        <v>-1</v>
      </c>
    </row>
    <row r="1465" customFormat="false" ht="23.25" hidden="false" customHeight="true" outlineLevel="0" collapsed="false">
      <c r="B1465" s="67" t="str">
        <f aca="false">""</f>
        <v/>
      </c>
      <c r="C1465" s="67"/>
      <c r="D1465" s="23" t="str">
        <f aca="false">IFERROR(INDEX(分录回款!$E:$E,MATCH($L1465,分录回款!$L:$L,0)),"")</f>
        <v/>
      </c>
      <c r="E1465" s="23" t="str">
        <f aca="false">IFERROR(INDEX(分录回款!$F:$F,MATCH($L1465,分录回款!$L:$L,0)),"")</f>
        <v/>
      </c>
      <c r="F1465" s="68" t="str">
        <f aca="false">IFERROR(INDEX(分录回款!$H:$H,MATCH($L1465,分录回款!$L:$L,0)),"")</f>
        <v/>
      </c>
      <c r="G1465" s="69" t="str">
        <f aca="false">IFERROR(INDEX(分录回款!$I:$I,MATCH($L1465,分录回款!$L:$L,0)),"")</f>
        <v/>
      </c>
      <c r="H1465" s="23"/>
      <c r="I1465" s="70"/>
      <c r="L1465" s="71" t="n">
        <f aca="false">IF(助手回款!$R$99="",-1,助手回款!$R$99*100+(助手回款!$S$99-1)*6+5)</f>
        <v>-1</v>
      </c>
    </row>
    <row r="1466" customFormat="false" ht="23.25" hidden="false" customHeight="true" outlineLevel="0" collapsed="false">
      <c r="B1466" s="67" t="str">
        <f aca="false">""</f>
        <v/>
      </c>
      <c r="C1466" s="67"/>
      <c r="D1466" s="23" t="str">
        <f aca="false">IFERROR(INDEX(分录回款!$E:$E,MATCH($L1466,分录回款!$L:$L,0)),"")</f>
        <v/>
      </c>
      <c r="E1466" s="23" t="str">
        <f aca="false">IFERROR(INDEX(分录回款!$F:$F,MATCH($L1466,分录回款!$L:$L,0)),"")</f>
        <v/>
      </c>
      <c r="F1466" s="68" t="str">
        <f aca="false">IFERROR(INDEX(分录回款!$H:$H,MATCH($L1466,分录回款!$L:$L,0)),"")</f>
        <v/>
      </c>
      <c r="G1466" s="69" t="str">
        <f aca="false">IFERROR(INDEX(分录回款!$I:$I,MATCH($L1466,分录回款!$L:$L,0)),"")</f>
        <v/>
      </c>
      <c r="H1466" s="23"/>
      <c r="I1466" s="70"/>
      <c r="L1466" s="71" t="n">
        <f aca="false">IF(助手回款!$R$99="",-1,助手回款!$R$99*100+(助手回款!$S$99-1)*6+6)</f>
        <v>-1</v>
      </c>
    </row>
    <row r="1467" customFormat="false" ht="23.25" hidden="false" customHeight="true" outlineLevel="0" collapsed="false">
      <c r="B1467" s="72" t="str">
        <f aca="false">IF(助手回款!$T$99=1,"合计：","")</f>
        <v/>
      </c>
      <c r="C1467" s="73" t="str">
        <f aca="false">IF(助手回款!$T$99=1,$F1467,"")</f>
        <v/>
      </c>
      <c r="D1467" s="74"/>
      <c r="E1467" s="74"/>
      <c r="F1467" s="75" t="str">
        <f aca="false">IF(助手回款!$T$99=1,INDEX(助手回款!$N$2:$N$66,助手回款!$R$99),"")</f>
        <v/>
      </c>
      <c r="G1467" s="76" t="str">
        <f aca="false">IF(助手回款!$T$99=1,INDEX(助手回款!$O$2:$O$66,助手回款!$R$99),"")</f>
        <v/>
      </c>
      <c r="H1467" s="74"/>
      <c r="I1467" s="77"/>
    </row>
    <row r="1468" customFormat="false" ht="6" hidden="false" customHeight="true" outlineLevel="0" collapsed="false"/>
    <row r="1469" customFormat="false" ht="13.5" hidden="false" customHeight="false" outlineLevel="0" collapsed="false">
      <c r="B1469" s="78" t="str">
        <f aca="false">IF(助手回款!$R$99&lt;&gt;"","会计主管：","")</f>
        <v/>
      </c>
      <c r="D1469" s="78" t="str">
        <f aca="false">IF(助手回款!$R$99&lt;&gt;"","会计：","")</f>
        <v/>
      </c>
      <c r="E1469" s="78" t="str">
        <f aca="false">IF(助手回款!$R$99&lt;&gt;"","出纳：","")</f>
        <v/>
      </c>
      <c r="F1469" s="78" t="str">
        <f aca="false">IF(助手回款!$R$99&lt;&gt;"","复核：","")</f>
        <v/>
      </c>
      <c r="G1469" s="78" t="str">
        <f aca="false">IF(助手回款!$R$99&lt;&gt;"","制单：","")</f>
        <v/>
      </c>
    </row>
    <row r="1470" customFormat="false" ht="3" hidden="false" customHeight="true" outlineLevel="0" collapsed="false"/>
    <row r="1471" customFormat="false" ht="19.5" hidden="false" customHeight="true" outlineLevel="0" collapsed="false">
      <c r="B1471" s="53" t="str">
        <f aca="false">IF(助手回款!$R$100&lt;&gt;"","记  账  凭  证","")</f>
        <v/>
      </c>
      <c r="C1471" s="53"/>
      <c r="D1471" s="53"/>
      <c r="E1471" s="53"/>
      <c r="F1471" s="53"/>
      <c r="G1471" s="53"/>
      <c r="H1471" s="53"/>
      <c r="I1471" s="53"/>
    </row>
    <row r="1472" customFormat="false" ht="3" hidden="false" customHeight="true" outlineLevel="0" collapsed="false"/>
    <row r="1473" customFormat="false" ht="15" hidden="false" customHeight="true" outlineLevel="0" collapsed="false">
      <c r="C1473" s="56" t="str">
        <f aca="false">IF(助手回款!$R$100&lt;&gt;"",INDEX(助手回款!$B$2:$B$66,助手回款!$R$100),"")</f>
        <v/>
      </c>
      <c r="D1473" s="57" t="str">
        <f aca="false">IF(助手回款!$R$100&lt;&gt;"",参数!$B$2,"")</f>
        <v/>
      </c>
      <c r="E1473" s="57"/>
      <c r="F1473" s="58" t="str">
        <f aca="false">IF(助手回款!$R$100&lt;&gt;"",INDEX(助手回款!$C$2:$C$66,助手回款!$R$100)&amp;"  字第 "&amp;IF(参数!$B$9="是",INDEX(助手回款!$P$2:$P$66,助手回款!$R$100),"　　　　")&amp;" 号"&amp;IF(INDEX(助手回款!$L$2:$L$66,助手回款!$R$100)&gt;1,"  (共"&amp;INDEX(助手回款!$L$2:$L$66,助手回款!$R$100)&amp;"页 第"&amp;助手回款!$S$100&amp;"页)",""),"")</f>
        <v/>
      </c>
      <c r="G1473" s="58"/>
      <c r="H1473" s="58"/>
      <c r="I1473" s="58"/>
      <c r="M1473" s="79" t="str">
        <f aca="false">IF(助手回款!$R$100="","",助手回款!$Q$100)</f>
        <v/>
      </c>
      <c r="N1473" s="80" t="str">
        <f aca="false">IF(助手回款!$R$100="","",INDEX(助手回款!$P$2:$P$66,助手回款!$R$100))</f>
        <v/>
      </c>
      <c r="O1473" s="55" t="str">
        <f aca="false">IF(助手回款!$R$100="","",INDEX(助手回款!$C$2:$C$66,助手回款!$R$100)&amp;"  字第 "&amp;INDEX(助手回款!$P$2:$P$66,助手回款!$R$100)&amp;" 号"&amp;IF(INDEX(助手回款!$L$2:$L$66,助手回款!$R$100)&gt;1,"  (共"&amp;INDEX(助手回款!$L$2:$L$66,助手回款!$R$100)&amp;"页 第"&amp;助手回款!$S$100&amp;"页)",""))</f>
        <v/>
      </c>
    </row>
    <row r="1474" customFormat="false" ht="12.75" hidden="false" customHeight="true" outlineLevel="0" collapsed="false">
      <c r="B1474" s="61" t="str">
        <f aca="false">IF(助手回款!$R$100&lt;&gt;"","摘　　要","")</f>
        <v/>
      </c>
      <c r="C1474" s="61"/>
      <c r="D1474" s="62" t="str">
        <f aca="false">IF(助手回款!$R$100&lt;&gt;"","科　　　　目","")</f>
        <v/>
      </c>
      <c r="E1474" s="62"/>
      <c r="F1474" s="61" t="str">
        <f aca="false">IF(助手回款!$R$100&lt;&gt;"","借 方 金 额","")</f>
        <v/>
      </c>
      <c r="G1474" s="62" t="str">
        <f aca="false">IF(助手回款!$R$100&lt;&gt;"","贷 方 金 额","")</f>
        <v/>
      </c>
      <c r="H1474" s="63" t="str">
        <f aca="false">IF(助手回款!$R$100&lt;&gt;"","√","")</f>
        <v/>
      </c>
      <c r="I1474" s="64" t="str">
        <f aca="false">IF(助手回款!$R$100&lt;&gt;"","附单据  张","")</f>
        <v/>
      </c>
    </row>
    <row r="1475" customFormat="false" ht="12.75" hidden="false" customHeight="true" outlineLevel="0" collapsed="false">
      <c r="B1475" s="61"/>
      <c r="C1475" s="61"/>
      <c r="D1475" s="23" t="str">
        <f aca="false">IF(助手回款!$R$100&lt;&gt;"","总 账 科 目","")</f>
        <v/>
      </c>
      <c r="E1475" s="23" t="str">
        <f aca="false">IF(助手回款!$R$100&lt;&gt;"","明 细 科 目","")</f>
        <v/>
      </c>
      <c r="F1475" s="65"/>
      <c r="G1475" s="66"/>
      <c r="H1475" s="63"/>
      <c r="I1475" s="64"/>
    </row>
    <row r="1476" customFormat="false" ht="23.25" hidden="false" customHeight="true" outlineLevel="0" collapsed="false">
      <c r="B1476" s="67" t="str">
        <f aca="false">IFERROR(INDEX(分录回款!$M:$M,MATCH($L1476,分录回款!$L:$L,0)),"")</f>
        <v/>
      </c>
      <c r="C1476" s="67"/>
      <c r="D1476" s="23" t="str">
        <f aca="false">IFERROR(INDEX(分录回款!$E:$E,MATCH($L1476,分录回款!$L:$L,0)),"")</f>
        <v/>
      </c>
      <c r="E1476" s="23" t="str">
        <f aca="false">IFERROR(INDEX(分录回款!$F:$F,MATCH($L1476,分录回款!$L:$L,0)),"")</f>
        <v/>
      </c>
      <c r="F1476" s="68" t="str">
        <f aca="false">IFERROR(INDEX(分录回款!$H:$H,MATCH($L1476,分录回款!$L:$L,0)),"")</f>
        <v/>
      </c>
      <c r="G1476" s="69" t="str">
        <f aca="false">IFERROR(INDEX(分录回款!$I:$I,MATCH($L1476,分录回款!$L:$L,0)),"")</f>
        <v/>
      </c>
      <c r="H1476" s="23"/>
      <c r="I1476" s="70"/>
      <c r="L1476" s="71" t="n">
        <f aca="false">IF(助手回款!$R$100="",-1,助手回款!$R$100*100+(助手回款!$S$100-1)*6+1)</f>
        <v>-1</v>
      </c>
    </row>
    <row r="1477" customFormat="false" ht="23.25" hidden="false" customHeight="true" outlineLevel="0" collapsed="false">
      <c r="B1477" s="67" t="str">
        <f aca="false">""</f>
        <v/>
      </c>
      <c r="C1477" s="67"/>
      <c r="D1477" s="23" t="str">
        <f aca="false">IFERROR(INDEX(分录回款!$E:$E,MATCH($L1477,分录回款!$L:$L,0)),"")</f>
        <v/>
      </c>
      <c r="E1477" s="23" t="str">
        <f aca="false">IFERROR(INDEX(分录回款!$F:$F,MATCH($L1477,分录回款!$L:$L,0)),"")</f>
        <v/>
      </c>
      <c r="F1477" s="68" t="str">
        <f aca="false">IFERROR(INDEX(分录回款!$H:$H,MATCH($L1477,分录回款!$L:$L,0)),"")</f>
        <v/>
      </c>
      <c r="G1477" s="69" t="str">
        <f aca="false">IFERROR(INDEX(分录回款!$I:$I,MATCH($L1477,分录回款!$L:$L,0)),"")</f>
        <v/>
      </c>
      <c r="H1477" s="23"/>
      <c r="I1477" s="70"/>
      <c r="L1477" s="71" t="n">
        <f aca="false">IF(助手回款!$R$100="",-1,助手回款!$R$100*100+(助手回款!$S$100-1)*6+2)</f>
        <v>-1</v>
      </c>
    </row>
    <row r="1478" customFormat="false" ht="23.25" hidden="false" customHeight="true" outlineLevel="0" collapsed="false">
      <c r="B1478" s="67" t="str">
        <f aca="false">""</f>
        <v/>
      </c>
      <c r="C1478" s="67"/>
      <c r="D1478" s="23" t="str">
        <f aca="false">IFERROR(INDEX(分录回款!$E:$E,MATCH($L1478,分录回款!$L:$L,0)),"")</f>
        <v/>
      </c>
      <c r="E1478" s="23" t="str">
        <f aca="false">IFERROR(INDEX(分录回款!$F:$F,MATCH($L1478,分录回款!$L:$L,0)),"")</f>
        <v/>
      </c>
      <c r="F1478" s="68" t="str">
        <f aca="false">IFERROR(INDEX(分录回款!$H:$H,MATCH($L1478,分录回款!$L:$L,0)),"")</f>
        <v/>
      </c>
      <c r="G1478" s="69" t="str">
        <f aca="false">IFERROR(INDEX(分录回款!$I:$I,MATCH($L1478,分录回款!$L:$L,0)),"")</f>
        <v/>
      </c>
      <c r="H1478" s="23"/>
      <c r="I1478" s="70"/>
      <c r="L1478" s="71" t="n">
        <f aca="false">IF(助手回款!$R$100="",-1,助手回款!$R$100*100+(助手回款!$S$100-1)*6+3)</f>
        <v>-1</v>
      </c>
    </row>
    <row r="1479" customFormat="false" ht="23.25" hidden="false" customHeight="true" outlineLevel="0" collapsed="false">
      <c r="B1479" s="67" t="str">
        <f aca="false">""</f>
        <v/>
      </c>
      <c r="C1479" s="67"/>
      <c r="D1479" s="23" t="str">
        <f aca="false">IFERROR(INDEX(分录回款!$E:$E,MATCH($L1479,分录回款!$L:$L,0)),"")</f>
        <v/>
      </c>
      <c r="E1479" s="23" t="str">
        <f aca="false">IFERROR(INDEX(分录回款!$F:$F,MATCH($L1479,分录回款!$L:$L,0)),"")</f>
        <v/>
      </c>
      <c r="F1479" s="68" t="str">
        <f aca="false">IFERROR(INDEX(分录回款!$H:$H,MATCH($L1479,分录回款!$L:$L,0)),"")</f>
        <v/>
      </c>
      <c r="G1479" s="69" t="str">
        <f aca="false">IFERROR(INDEX(分录回款!$I:$I,MATCH($L1479,分录回款!$L:$L,0)),"")</f>
        <v/>
      </c>
      <c r="H1479" s="23"/>
      <c r="I1479" s="70"/>
      <c r="L1479" s="71" t="n">
        <f aca="false">IF(助手回款!$R$100="",-1,助手回款!$R$100*100+(助手回款!$S$100-1)*6+4)</f>
        <v>-1</v>
      </c>
    </row>
    <row r="1480" customFormat="false" ht="23.25" hidden="false" customHeight="true" outlineLevel="0" collapsed="false">
      <c r="B1480" s="67" t="str">
        <f aca="false">""</f>
        <v/>
      </c>
      <c r="C1480" s="67"/>
      <c r="D1480" s="23" t="str">
        <f aca="false">IFERROR(INDEX(分录回款!$E:$E,MATCH($L1480,分录回款!$L:$L,0)),"")</f>
        <v/>
      </c>
      <c r="E1480" s="23" t="str">
        <f aca="false">IFERROR(INDEX(分录回款!$F:$F,MATCH($L1480,分录回款!$L:$L,0)),"")</f>
        <v/>
      </c>
      <c r="F1480" s="68" t="str">
        <f aca="false">IFERROR(INDEX(分录回款!$H:$H,MATCH($L1480,分录回款!$L:$L,0)),"")</f>
        <v/>
      </c>
      <c r="G1480" s="69" t="str">
        <f aca="false">IFERROR(INDEX(分录回款!$I:$I,MATCH($L1480,分录回款!$L:$L,0)),"")</f>
        <v/>
      </c>
      <c r="H1480" s="23"/>
      <c r="I1480" s="70"/>
      <c r="L1480" s="71" t="n">
        <f aca="false">IF(助手回款!$R$100="",-1,助手回款!$R$100*100+(助手回款!$S$100-1)*6+5)</f>
        <v>-1</v>
      </c>
    </row>
    <row r="1481" customFormat="false" ht="23.25" hidden="false" customHeight="true" outlineLevel="0" collapsed="false">
      <c r="B1481" s="67" t="str">
        <f aca="false">""</f>
        <v/>
      </c>
      <c r="C1481" s="67"/>
      <c r="D1481" s="23" t="str">
        <f aca="false">IFERROR(INDEX(分录回款!$E:$E,MATCH($L1481,分录回款!$L:$L,0)),"")</f>
        <v/>
      </c>
      <c r="E1481" s="23" t="str">
        <f aca="false">IFERROR(INDEX(分录回款!$F:$F,MATCH($L1481,分录回款!$L:$L,0)),"")</f>
        <v/>
      </c>
      <c r="F1481" s="68" t="str">
        <f aca="false">IFERROR(INDEX(分录回款!$H:$H,MATCH($L1481,分录回款!$L:$L,0)),"")</f>
        <v/>
      </c>
      <c r="G1481" s="69" t="str">
        <f aca="false">IFERROR(INDEX(分录回款!$I:$I,MATCH($L1481,分录回款!$L:$L,0)),"")</f>
        <v/>
      </c>
      <c r="H1481" s="23"/>
      <c r="I1481" s="70"/>
      <c r="L1481" s="71" t="n">
        <f aca="false">IF(助手回款!$R$100="",-1,助手回款!$R$100*100+(助手回款!$S$100-1)*6+6)</f>
        <v>-1</v>
      </c>
    </row>
    <row r="1482" customFormat="false" ht="23.25" hidden="false" customHeight="true" outlineLevel="0" collapsed="false">
      <c r="B1482" s="72" t="str">
        <f aca="false">IF(助手回款!$T$100=1,"合计：","")</f>
        <v/>
      </c>
      <c r="C1482" s="73" t="str">
        <f aca="false">IF(助手回款!$T$100=1,$F1482,"")</f>
        <v/>
      </c>
      <c r="D1482" s="74"/>
      <c r="E1482" s="74"/>
      <c r="F1482" s="75" t="str">
        <f aca="false">IF(助手回款!$T$100=1,INDEX(助手回款!$N$2:$N$66,助手回款!$R$100),"")</f>
        <v/>
      </c>
      <c r="G1482" s="76" t="str">
        <f aca="false">IF(助手回款!$T$100=1,INDEX(助手回款!$O$2:$O$66,助手回款!$R$100),"")</f>
        <v/>
      </c>
      <c r="H1482" s="74"/>
      <c r="I1482" s="77"/>
    </row>
    <row r="1483" customFormat="false" ht="6" hidden="false" customHeight="true" outlineLevel="0" collapsed="false"/>
    <row r="1484" customFormat="false" ht="13.5" hidden="false" customHeight="false" outlineLevel="0" collapsed="false">
      <c r="B1484" s="78" t="str">
        <f aca="false">IF(助手回款!$R$100&lt;&gt;"","会计主管：","")</f>
        <v/>
      </c>
      <c r="D1484" s="78" t="str">
        <f aca="false">IF(助手回款!$R$100&lt;&gt;"","会计：","")</f>
        <v/>
      </c>
      <c r="E1484" s="78" t="str">
        <f aca="false">IF(助手回款!$R$100&lt;&gt;"","出纳：","")</f>
        <v/>
      </c>
      <c r="F1484" s="78" t="str">
        <f aca="false">IF(助手回款!$R$100&lt;&gt;"","复核：","")</f>
        <v/>
      </c>
      <c r="G1484" s="78" t="str">
        <f aca="false">IF(助手回款!$R$100&lt;&gt;"","制单：","")</f>
        <v/>
      </c>
    </row>
    <row r="1485" customFormat="false" ht="3" hidden="false" customHeight="true" outlineLevel="0" collapsed="false"/>
    <row r="1486" customFormat="false" ht="19.5" hidden="false" customHeight="true" outlineLevel="0" collapsed="false">
      <c r="B1486" s="53" t="str">
        <f aca="false">IF(助手回款!$R$101&lt;&gt;"","记  账  凭  证","")</f>
        <v/>
      </c>
      <c r="C1486" s="53"/>
      <c r="D1486" s="53"/>
      <c r="E1486" s="53"/>
      <c r="F1486" s="53"/>
      <c r="G1486" s="53"/>
      <c r="H1486" s="53"/>
      <c r="I1486" s="53"/>
    </row>
    <row r="1487" customFormat="false" ht="3" hidden="false" customHeight="true" outlineLevel="0" collapsed="false"/>
    <row r="1488" customFormat="false" ht="15" hidden="false" customHeight="true" outlineLevel="0" collapsed="false">
      <c r="C1488" s="56" t="str">
        <f aca="false">IF(助手回款!$R$101&lt;&gt;"",INDEX(助手回款!$B$2:$B$66,助手回款!$R$101),"")</f>
        <v/>
      </c>
      <c r="D1488" s="57" t="str">
        <f aca="false">IF(助手回款!$R$101&lt;&gt;"",参数!$B$2,"")</f>
        <v/>
      </c>
      <c r="E1488" s="57"/>
      <c r="F1488" s="58" t="str">
        <f aca="false">IF(助手回款!$R$101&lt;&gt;"",INDEX(助手回款!$C$2:$C$66,助手回款!$R$101)&amp;"  字第 "&amp;IF(参数!$B$9="是",INDEX(助手回款!$P$2:$P$66,助手回款!$R$101),"　　　　")&amp;" 号"&amp;IF(INDEX(助手回款!$L$2:$L$66,助手回款!$R$101)&gt;1,"  (共"&amp;INDEX(助手回款!$L$2:$L$66,助手回款!$R$101)&amp;"页 第"&amp;助手回款!$S$101&amp;"页)",""),"")</f>
        <v/>
      </c>
      <c r="G1488" s="58"/>
      <c r="H1488" s="58"/>
      <c r="I1488" s="58"/>
      <c r="M1488" s="79" t="str">
        <f aca="false">IF(助手回款!$R$101="","",助手回款!$Q$101)</f>
        <v/>
      </c>
      <c r="N1488" s="80" t="str">
        <f aca="false">IF(助手回款!$R$101="","",INDEX(助手回款!$P$2:$P$66,助手回款!$R$101))</f>
        <v/>
      </c>
      <c r="O1488" s="55" t="str">
        <f aca="false">IF(助手回款!$R$101="","",INDEX(助手回款!$C$2:$C$66,助手回款!$R$101)&amp;"  字第 "&amp;INDEX(助手回款!$P$2:$P$66,助手回款!$R$101)&amp;" 号"&amp;IF(INDEX(助手回款!$L$2:$L$66,助手回款!$R$101)&gt;1,"  (共"&amp;INDEX(助手回款!$L$2:$L$66,助手回款!$R$101)&amp;"页 第"&amp;助手回款!$S$101&amp;"页)",""))</f>
        <v/>
      </c>
    </row>
    <row r="1489" customFormat="false" ht="12.75" hidden="false" customHeight="true" outlineLevel="0" collapsed="false">
      <c r="B1489" s="61" t="str">
        <f aca="false">IF(助手回款!$R$101&lt;&gt;"","摘　　要","")</f>
        <v/>
      </c>
      <c r="C1489" s="61"/>
      <c r="D1489" s="62" t="str">
        <f aca="false">IF(助手回款!$R$101&lt;&gt;"","科　　　　目","")</f>
        <v/>
      </c>
      <c r="E1489" s="62"/>
      <c r="F1489" s="61" t="str">
        <f aca="false">IF(助手回款!$R$101&lt;&gt;"","借 方 金 额","")</f>
        <v/>
      </c>
      <c r="G1489" s="62" t="str">
        <f aca="false">IF(助手回款!$R$101&lt;&gt;"","贷 方 金 额","")</f>
        <v/>
      </c>
      <c r="H1489" s="63" t="str">
        <f aca="false">IF(助手回款!$R$101&lt;&gt;"","√","")</f>
        <v/>
      </c>
      <c r="I1489" s="64" t="str">
        <f aca="false">IF(助手回款!$R$101&lt;&gt;"","附单据  张","")</f>
        <v/>
      </c>
    </row>
    <row r="1490" customFormat="false" ht="12.75" hidden="false" customHeight="true" outlineLevel="0" collapsed="false">
      <c r="B1490" s="61"/>
      <c r="C1490" s="61"/>
      <c r="D1490" s="23" t="str">
        <f aca="false">IF(助手回款!$R$101&lt;&gt;"","总 账 科 目","")</f>
        <v/>
      </c>
      <c r="E1490" s="23" t="str">
        <f aca="false">IF(助手回款!$R$101&lt;&gt;"","明 细 科 目","")</f>
        <v/>
      </c>
      <c r="F1490" s="65"/>
      <c r="G1490" s="66"/>
      <c r="H1490" s="63"/>
      <c r="I1490" s="64"/>
    </row>
    <row r="1491" customFormat="false" ht="23.25" hidden="false" customHeight="true" outlineLevel="0" collapsed="false">
      <c r="B1491" s="67" t="str">
        <f aca="false">IFERROR(INDEX(分录回款!$M:$M,MATCH($L1491,分录回款!$L:$L,0)),"")</f>
        <v/>
      </c>
      <c r="C1491" s="67"/>
      <c r="D1491" s="23" t="str">
        <f aca="false">IFERROR(INDEX(分录回款!$E:$E,MATCH($L1491,分录回款!$L:$L,0)),"")</f>
        <v/>
      </c>
      <c r="E1491" s="23" t="str">
        <f aca="false">IFERROR(INDEX(分录回款!$F:$F,MATCH($L1491,分录回款!$L:$L,0)),"")</f>
        <v/>
      </c>
      <c r="F1491" s="68" t="str">
        <f aca="false">IFERROR(INDEX(分录回款!$H:$H,MATCH($L1491,分录回款!$L:$L,0)),"")</f>
        <v/>
      </c>
      <c r="G1491" s="69" t="str">
        <f aca="false">IFERROR(INDEX(分录回款!$I:$I,MATCH($L1491,分录回款!$L:$L,0)),"")</f>
        <v/>
      </c>
      <c r="H1491" s="23"/>
      <c r="I1491" s="70"/>
      <c r="L1491" s="71" t="n">
        <f aca="false">IF(助手回款!$R$101="",-1,助手回款!$R$101*100+(助手回款!$S$101-1)*6+1)</f>
        <v>-1</v>
      </c>
    </row>
    <row r="1492" customFormat="false" ht="23.25" hidden="false" customHeight="true" outlineLevel="0" collapsed="false">
      <c r="B1492" s="67" t="str">
        <f aca="false">""</f>
        <v/>
      </c>
      <c r="C1492" s="67"/>
      <c r="D1492" s="23" t="str">
        <f aca="false">IFERROR(INDEX(分录回款!$E:$E,MATCH($L1492,分录回款!$L:$L,0)),"")</f>
        <v/>
      </c>
      <c r="E1492" s="23" t="str">
        <f aca="false">IFERROR(INDEX(分录回款!$F:$F,MATCH($L1492,分录回款!$L:$L,0)),"")</f>
        <v/>
      </c>
      <c r="F1492" s="68" t="str">
        <f aca="false">IFERROR(INDEX(分录回款!$H:$H,MATCH($L1492,分录回款!$L:$L,0)),"")</f>
        <v/>
      </c>
      <c r="G1492" s="69" t="str">
        <f aca="false">IFERROR(INDEX(分录回款!$I:$I,MATCH($L1492,分录回款!$L:$L,0)),"")</f>
        <v/>
      </c>
      <c r="H1492" s="23"/>
      <c r="I1492" s="70"/>
      <c r="L1492" s="71" t="n">
        <f aca="false">IF(助手回款!$R$101="",-1,助手回款!$R$101*100+(助手回款!$S$101-1)*6+2)</f>
        <v>-1</v>
      </c>
    </row>
    <row r="1493" customFormat="false" ht="23.25" hidden="false" customHeight="true" outlineLevel="0" collapsed="false">
      <c r="B1493" s="67" t="str">
        <f aca="false">""</f>
        <v/>
      </c>
      <c r="C1493" s="67"/>
      <c r="D1493" s="23" t="str">
        <f aca="false">IFERROR(INDEX(分录回款!$E:$E,MATCH($L1493,分录回款!$L:$L,0)),"")</f>
        <v/>
      </c>
      <c r="E1493" s="23" t="str">
        <f aca="false">IFERROR(INDEX(分录回款!$F:$F,MATCH($L1493,分录回款!$L:$L,0)),"")</f>
        <v/>
      </c>
      <c r="F1493" s="68" t="str">
        <f aca="false">IFERROR(INDEX(分录回款!$H:$H,MATCH($L1493,分录回款!$L:$L,0)),"")</f>
        <v/>
      </c>
      <c r="G1493" s="69" t="str">
        <f aca="false">IFERROR(INDEX(分录回款!$I:$I,MATCH($L1493,分录回款!$L:$L,0)),"")</f>
        <v/>
      </c>
      <c r="H1493" s="23"/>
      <c r="I1493" s="70"/>
      <c r="L1493" s="71" t="n">
        <f aca="false">IF(助手回款!$R$101="",-1,助手回款!$R$101*100+(助手回款!$S$101-1)*6+3)</f>
        <v>-1</v>
      </c>
    </row>
    <row r="1494" customFormat="false" ht="23.25" hidden="false" customHeight="true" outlineLevel="0" collapsed="false">
      <c r="B1494" s="67" t="str">
        <f aca="false">""</f>
        <v/>
      </c>
      <c r="C1494" s="67"/>
      <c r="D1494" s="23" t="str">
        <f aca="false">IFERROR(INDEX(分录回款!$E:$E,MATCH($L1494,分录回款!$L:$L,0)),"")</f>
        <v/>
      </c>
      <c r="E1494" s="23" t="str">
        <f aca="false">IFERROR(INDEX(分录回款!$F:$F,MATCH($L1494,分录回款!$L:$L,0)),"")</f>
        <v/>
      </c>
      <c r="F1494" s="68" t="str">
        <f aca="false">IFERROR(INDEX(分录回款!$H:$H,MATCH($L1494,分录回款!$L:$L,0)),"")</f>
        <v/>
      </c>
      <c r="G1494" s="69" t="str">
        <f aca="false">IFERROR(INDEX(分录回款!$I:$I,MATCH($L1494,分录回款!$L:$L,0)),"")</f>
        <v/>
      </c>
      <c r="H1494" s="23"/>
      <c r="I1494" s="70"/>
      <c r="L1494" s="71" t="n">
        <f aca="false">IF(助手回款!$R$101="",-1,助手回款!$R$101*100+(助手回款!$S$101-1)*6+4)</f>
        <v>-1</v>
      </c>
    </row>
    <row r="1495" customFormat="false" ht="23.25" hidden="false" customHeight="true" outlineLevel="0" collapsed="false">
      <c r="B1495" s="67" t="str">
        <f aca="false">""</f>
        <v/>
      </c>
      <c r="C1495" s="67"/>
      <c r="D1495" s="23" t="str">
        <f aca="false">IFERROR(INDEX(分录回款!$E:$E,MATCH($L1495,分录回款!$L:$L,0)),"")</f>
        <v/>
      </c>
      <c r="E1495" s="23" t="str">
        <f aca="false">IFERROR(INDEX(分录回款!$F:$F,MATCH($L1495,分录回款!$L:$L,0)),"")</f>
        <v/>
      </c>
      <c r="F1495" s="68" t="str">
        <f aca="false">IFERROR(INDEX(分录回款!$H:$H,MATCH($L1495,分录回款!$L:$L,0)),"")</f>
        <v/>
      </c>
      <c r="G1495" s="69" t="str">
        <f aca="false">IFERROR(INDEX(分录回款!$I:$I,MATCH($L1495,分录回款!$L:$L,0)),"")</f>
        <v/>
      </c>
      <c r="H1495" s="23"/>
      <c r="I1495" s="70"/>
      <c r="L1495" s="71" t="n">
        <f aca="false">IF(助手回款!$R$101="",-1,助手回款!$R$101*100+(助手回款!$S$101-1)*6+5)</f>
        <v>-1</v>
      </c>
    </row>
    <row r="1496" customFormat="false" ht="23.25" hidden="false" customHeight="true" outlineLevel="0" collapsed="false">
      <c r="B1496" s="67" t="str">
        <f aca="false">""</f>
        <v/>
      </c>
      <c r="C1496" s="67"/>
      <c r="D1496" s="23" t="str">
        <f aca="false">IFERROR(INDEX(分录回款!$E:$E,MATCH($L1496,分录回款!$L:$L,0)),"")</f>
        <v/>
      </c>
      <c r="E1496" s="23" t="str">
        <f aca="false">IFERROR(INDEX(分录回款!$F:$F,MATCH($L1496,分录回款!$L:$L,0)),"")</f>
        <v/>
      </c>
      <c r="F1496" s="68" t="str">
        <f aca="false">IFERROR(INDEX(分录回款!$H:$H,MATCH($L1496,分录回款!$L:$L,0)),"")</f>
        <v/>
      </c>
      <c r="G1496" s="69" t="str">
        <f aca="false">IFERROR(INDEX(分录回款!$I:$I,MATCH($L1496,分录回款!$L:$L,0)),"")</f>
        <v/>
      </c>
      <c r="H1496" s="23"/>
      <c r="I1496" s="70"/>
      <c r="L1496" s="71" t="n">
        <f aca="false">IF(助手回款!$R$101="",-1,助手回款!$R$101*100+(助手回款!$S$101-1)*6+6)</f>
        <v>-1</v>
      </c>
    </row>
    <row r="1497" customFormat="false" ht="23.25" hidden="false" customHeight="true" outlineLevel="0" collapsed="false">
      <c r="B1497" s="72" t="str">
        <f aca="false">IF(助手回款!$T$101=1,"合计：","")</f>
        <v/>
      </c>
      <c r="C1497" s="73" t="str">
        <f aca="false">IF(助手回款!$T$101=1,$F1497,"")</f>
        <v/>
      </c>
      <c r="D1497" s="74"/>
      <c r="E1497" s="74"/>
      <c r="F1497" s="75" t="str">
        <f aca="false">IF(助手回款!$T$101=1,INDEX(助手回款!$N$2:$N$66,助手回款!$R$101),"")</f>
        <v/>
      </c>
      <c r="G1497" s="76" t="str">
        <f aca="false">IF(助手回款!$T$101=1,INDEX(助手回款!$O$2:$O$66,助手回款!$R$101),"")</f>
        <v/>
      </c>
      <c r="H1497" s="74"/>
      <c r="I1497" s="77"/>
    </row>
    <row r="1498" customFormat="false" ht="6" hidden="false" customHeight="true" outlineLevel="0" collapsed="false"/>
    <row r="1499" customFormat="false" ht="13.5" hidden="false" customHeight="false" outlineLevel="0" collapsed="false">
      <c r="B1499" s="78" t="str">
        <f aca="false">IF(助手回款!$R$101&lt;&gt;"","会计主管：","")</f>
        <v/>
      </c>
      <c r="D1499" s="78" t="str">
        <f aca="false">IF(助手回款!$R$101&lt;&gt;"","会计：","")</f>
        <v/>
      </c>
      <c r="E1499" s="78" t="str">
        <f aca="false">IF(助手回款!$R$101&lt;&gt;"","出纳：","")</f>
        <v/>
      </c>
      <c r="F1499" s="78" t="str">
        <f aca="false">IF(助手回款!$R$101&lt;&gt;"","复核：","")</f>
        <v/>
      </c>
      <c r="G1499" s="78" t="str">
        <f aca="false">IF(助手回款!$R$101&lt;&gt;"","制单：","")</f>
        <v/>
      </c>
    </row>
    <row r="1500" customFormat="false" ht="3" hidden="false" customHeight="true" outlineLevel="0" collapsed="false"/>
    <row r="1501" customFormat="false" ht="19.5" hidden="false" customHeight="true" outlineLevel="0" collapsed="false">
      <c r="B1501" s="53" t="str">
        <f aca="false">IF(助手回款!$R$102&lt;&gt;"","记  账  凭  证","")</f>
        <v/>
      </c>
      <c r="C1501" s="53"/>
      <c r="D1501" s="53"/>
      <c r="E1501" s="53"/>
      <c r="F1501" s="53"/>
      <c r="G1501" s="53"/>
      <c r="H1501" s="53"/>
      <c r="I1501" s="53"/>
    </row>
    <row r="1502" customFormat="false" ht="3" hidden="false" customHeight="true" outlineLevel="0" collapsed="false"/>
    <row r="1503" customFormat="false" ht="15" hidden="false" customHeight="true" outlineLevel="0" collapsed="false">
      <c r="C1503" s="56" t="str">
        <f aca="false">IF(助手回款!$R$102&lt;&gt;"",INDEX(助手回款!$B$2:$B$66,助手回款!$R$102),"")</f>
        <v/>
      </c>
      <c r="D1503" s="57" t="str">
        <f aca="false">IF(助手回款!$R$102&lt;&gt;"",参数!$B$2,"")</f>
        <v/>
      </c>
      <c r="E1503" s="57"/>
      <c r="F1503" s="58" t="str">
        <f aca="false">IF(助手回款!$R$102&lt;&gt;"",INDEX(助手回款!$C$2:$C$66,助手回款!$R$102)&amp;"  字第 "&amp;IF(参数!$B$9="是",INDEX(助手回款!$P$2:$P$66,助手回款!$R$102),"　　　　")&amp;" 号"&amp;IF(INDEX(助手回款!$L$2:$L$66,助手回款!$R$102)&gt;1,"  (共"&amp;INDEX(助手回款!$L$2:$L$66,助手回款!$R$102)&amp;"页 第"&amp;助手回款!$S$102&amp;"页)",""),"")</f>
        <v/>
      </c>
      <c r="G1503" s="58"/>
      <c r="H1503" s="58"/>
      <c r="I1503" s="58"/>
      <c r="M1503" s="79" t="str">
        <f aca="false">IF(助手回款!$R$102="","",助手回款!$Q$102)</f>
        <v/>
      </c>
      <c r="N1503" s="80" t="str">
        <f aca="false">IF(助手回款!$R$102="","",INDEX(助手回款!$P$2:$P$66,助手回款!$R$102))</f>
        <v/>
      </c>
      <c r="O1503" s="55" t="str">
        <f aca="false">IF(助手回款!$R$102="","",INDEX(助手回款!$C$2:$C$66,助手回款!$R$102)&amp;"  字第 "&amp;INDEX(助手回款!$P$2:$P$66,助手回款!$R$102)&amp;" 号"&amp;IF(INDEX(助手回款!$L$2:$L$66,助手回款!$R$102)&gt;1,"  (共"&amp;INDEX(助手回款!$L$2:$L$66,助手回款!$R$102)&amp;"页 第"&amp;助手回款!$S$102&amp;"页)",""))</f>
        <v/>
      </c>
    </row>
    <row r="1504" customFormat="false" ht="12.75" hidden="false" customHeight="true" outlineLevel="0" collapsed="false">
      <c r="B1504" s="61" t="str">
        <f aca="false">IF(助手回款!$R$102&lt;&gt;"","摘　　要","")</f>
        <v/>
      </c>
      <c r="C1504" s="61"/>
      <c r="D1504" s="62" t="str">
        <f aca="false">IF(助手回款!$R$102&lt;&gt;"","科　　　　目","")</f>
        <v/>
      </c>
      <c r="E1504" s="62"/>
      <c r="F1504" s="61" t="str">
        <f aca="false">IF(助手回款!$R$102&lt;&gt;"","借 方 金 额","")</f>
        <v/>
      </c>
      <c r="G1504" s="62" t="str">
        <f aca="false">IF(助手回款!$R$102&lt;&gt;"","贷 方 金 额","")</f>
        <v/>
      </c>
      <c r="H1504" s="63" t="str">
        <f aca="false">IF(助手回款!$R$102&lt;&gt;"","√","")</f>
        <v/>
      </c>
      <c r="I1504" s="64" t="str">
        <f aca="false">IF(助手回款!$R$102&lt;&gt;"","附单据  张","")</f>
        <v/>
      </c>
    </row>
    <row r="1505" customFormat="false" ht="12.75" hidden="false" customHeight="true" outlineLevel="0" collapsed="false">
      <c r="B1505" s="61"/>
      <c r="C1505" s="61"/>
      <c r="D1505" s="23" t="str">
        <f aca="false">IF(助手回款!$R$102&lt;&gt;"","总 账 科 目","")</f>
        <v/>
      </c>
      <c r="E1505" s="23" t="str">
        <f aca="false">IF(助手回款!$R$102&lt;&gt;"","明 细 科 目","")</f>
        <v/>
      </c>
      <c r="F1505" s="65"/>
      <c r="G1505" s="66"/>
      <c r="H1505" s="63"/>
      <c r="I1505" s="64"/>
    </row>
    <row r="1506" customFormat="false" ht="23.25" hidden="false" customHeight="true" outlineLevel="0" collapsed="false">
      <c r="B1506" s="67" t="str">
        <f aca="false">IFERROR(INDEX(分录回款!$M:$M,MATCH($L1506,分录回款!$L:$L,0)),"")</f>
        <v/>
      </c>
      <c r="C1506" s="67"/>
      <c r="D1506" s="23" t="str">
        <f aca="false">IFERROR(INDEX(分录回款!$E:$E,MATCH($L1506,分录回款!$L:$L,0)),"")</f>
        <v/>
      </c>
      <c r="E1506" s="23" t="str">
        <f aca="false">IFERROR(INDEX(分录回款!$F:$F,MATCH($L1506,分录回款!$L:$L,0)),"")</f>
        <v/>
      </c>
      <c r="F1506" s="68" t="str">
        <f aca="false">IFERROR(INDEX(分录回款!$H:$H,MATCH($L1506,分录回款!$L:$L,0)),"")</f>
        <v/>
      </c>
      <c r="G1506" s="69" t="str">
        <f aca="false">IFERROR(INDEX(分录回款!$I:$I,MATCH($L1506,分录回款!$L:$L,0)),"")</f>
        <v/>
      </c>
      <c r="H1506" s="23"/>
      <c r="I1506" s="70"/>
      <c r="L1506" s="71" t="n">
        <f aca="false">IF(助手回款!$R$102="",-1,助手回款!$R$102*100+(助手回款!$S$102-1)*6+1)</f>
        <v>-1</v>
      </c>
    </row>
    <row r="1507" customFormat="false" ht="23.25" hidden="false" customHeight="true" outlineLevel="0" collapsed="false">
      <c r="B1507" s="67" t="str">
        <f aca="false">""</f>
        <v/>
      </c>
      <c r="C1507" s="67"/>
      <c r="D1507" s="23" t="str">
        <f aca="false">IFERROR(INDEX(分录回款!$E:$E,MATCH($L1507,分录回款!$L:$L,0)),"")</f>
        <v/>
      </c>
      <c r="E1507" s="23" t="str">
        <f aca="false">IFERROR(INDEX(分录回款!$F:$F,MATCH($L1507,分录回款!$L:$L,0)),"")</f>
        <v/>
      </c>
      <c r="F1507" s="68" t="str">
        <f aca="false">IFERROR(INDEX(分录回款!$H:$H,MATCH($L1507,分录回款!$L:$L,0)),"")</f>
        <v/>
      </c>
      <c r="G1507" s="69" t="str">
        <f aca="false">IFERROR(INDEX(分录回款!$I:$I,MATCH($L1507,分录回款!$L:$L,0)),"")</f>
        <v/>
      </c>
      <c r="H1507" s="23"/>
      <c r="I1507" s="70"/>
      <c r="L1507" s="71" t="n">
        <f aca="false">IF(助手回款!$R$102="",-1,助手回款!$R$102*100+(助手回款!$S$102-1)*6+2)</f>
        <v>-1</v>
      </c>
    </row>
    <row r="1508" customFormat="false" ht="23.25" hidden="false" customHeight="true" outlineLevel="0" collapsed="false">
      <c r="B1508" s="67" t="str">
        <f aca="false">""</f>
        <v/>
      </c>
      <c r="C1508" s="67"/>
      <c r="D1508" s="23" t="str">
        <f aca="false">IFERROR(INDEX(分录回款!$E:$E,MATCH($L1508,分录回款!$L:$L,0)),"")</f>
        <v/>
      </c>
      <c r="E1508" s="23" t="str">
        <f aca="false">IFERROR(INDEX(分录回款!$F:$F,MATCH($L1508,分录回款!$L:$L,0)),"")</f>
        <v/>
      </c>
      <c r="F1508" s="68" t="str">
        <f aca="false">IFERROR(INDEX(分录回款!$H:$H,MATCH($L1508,分录回款!$L:$L,0)),"")</f>
        <v/>
      </c>
      <c r="G1508" s="69" t="str">
        <f aca="false">IFERROR(INDEX(分录回款!$I:$I,MATCH($L1508,分录回款!$L:$L,0)),"")</f>
        <v/>
      </c>
      <c r="H1508" s="23"/>
      <c r="I1508" s="70"/>
      <c r="L1508" s="71" t="n">
        <f aca="false">IF(助手回款!$R$102="",-1,助手回款!$R$102*100+(助手回款!$S$102-1)*6+3)</f>
        <v>-1</v>
      </c>
    </row>
    <row r="1509" customFormat="false" ht="23.25" hidden="false" customHeight="true" outlineLevel="0" collapsed="false">
      <c r="B1509" s="67" t="str">
        <f aca="false">""</f>
        <v/>
      </c>
      <c r="C1509" s="67"/>
      <c r="D1509" s="23" t="str">
        <f aca="false">IFERROR(INDEX(分录回款!$E:$E,MATCH($L1509,分录回款!$L:$L,0)),"")</f>
        <v/>
      </c>
      <c r="E1509" s="23" t="str">
        <f aca="false">IFERROR(INDEX(分录回款!$F:$F,MATCH($L1509,分录回款!$L:$L,0)),"")</f>
        <v/>
      </c>
      <c r="F1509" s="68" t="str">
        <f aca="false">IFERROR(INDEX(分录回款!$H:$H,MATCH($L1509,分录回款!$L:$L,0)),"")</f>
        <v/>
      </c>
      <c r="G1509" s="69" t="str">
        <f aca="false">IFERROR(INDEX(分录回款!$I:$I,MATCH($L1509,分录回款!$L:$L,0)),"")</f>
        <v/>
      </c>
      <c r="H1509" s="23"/>
      <c r="I1509" s="70"/>
      <c r="L1509" s="71" t="n">
        <f aca="false">IF(助手回款!$R$102="",-1,助手回款!$R$102*100+(助手回款!$S$102-1)*6+4)</f>
        <v>-1</v>
      </c>
    </row>
    <row r="1510" customFormat="false" ht="23.25" hidden="false" customHeight="true" outlineLevel="0" collapsed="false">
      <c r="B1510" s="67" t="str">
        <f aca="false">""</f>
        <v/>
      </c>
      <c r="C1510" s="67"/>
      <c r="D1510" s="23" t="str">
        <f aca="false">IFERROR(INDEX(分录回款!$E:$E,MATCH($L1510,分录回款!$L:$L,0)),"")</f>
        <v/>
      </c>
      <c r="E1510" s="23" t="str">
        <f aca="false">IFERROR(INDEX(分录回款!$F:$F,MATCH($L1510,分录回款!$L:$L,0)),"")</f>
        <v/>
      </c>
      <c r="F1510" s="68" t="str">
        <f aca="false">IFERROR(INDEX(分录回款!$H:$H,MATCH($L1510,分录回款!$L:$L,0)),"")</f>
        <v/>
      </c>
      <c r="G1510" s="69" t="str">
        <f aca="false">IFERROR(INDEX(分录回款!$I:$I,MATCH($L1510,分录回款!$L:$L,0)),"")</f>
        <v/>
      </c>
      <c r="H1510" s="23"/>
      <c r="I1510" s="70"/>
      <c r="L1510" s="71" t="n">
        <f aca="false">IF(助手回款!$R$102="",-1,助手回款!$R$102*100+(助手回款!$S$102-1)*6+5)</f>
        <v>-1</v>
      </c>
    </row>
    <row r="1511" customFormat="false" ht="23.25" hidden="false" customHeight="true" outlineLevel="0" collapsed="false">
      <c r="B1511" s="67" t="str">
        <f aca="false">""</f>
        <v/>
      </c>
      <c r="C1511" s="67"/>
      <c r="D1511" s="23" t="str">
        <f aca="false">IFERROR(INDEX(分录回款!$E:$E,MATCH($L1511,分录回款!$L:$L,0)),"")</f>
        <v/>
      </c>
      <c r="E1511" s="23" t="str">
        <f aca="false">IFERROR(INDEX(分录回款!$F:$F,MATCH($L1511,分录回款!$L:$L,0)),"")</f>
        <v/>
      </c>
      <c r="F1511" s="68" t="str">
        <f aca="false">IFERROR(INDEX(分录回款!$H:$H,MATCH($L1511,分录回款!$L:$L,0)),"")</f>
        <v/>
      </c>
      <c r="G1511" s="69" t="str">
        <f aca="false">IFERROR(INDEX(分录回款!$I:$I,MATCH($L1511,分录回款!$L:$L,0)),"")</f>
        <v/>
      </c>
      <c r="H1511" s="23"/>
      <c r="I1511" s="70"/>
      <c r="L1511" s="71" t="n">
        <f aca="false">IF(助手回款!$R$102="",-1,助手回款!$R$102*100+(助手回款!$S$102-1)*6+6)</f>
        <v>-1</v>
      </c>
    </row>
    <row r="1512" customFormat="false" ht="23.25" hidden="false" customHeight="true" outlineLevel="0" collapsed="false">
      <c r="B1512" s="72" t="str">
        <f aca="false">IF(助手回款!$T$102=1,"合计：","")</f>
        <v/>
      </c>
      <c r="C1512" s="73" t="str">
        <f aca="false">IF(助手回款!$T$102=1,$F1512,"")</f>
        <v/>
      </c>
      <c r="D1512" s="74"/>
      <c r="E1512" s="74"/>
      <c r="F1512" s="75" t="str">
        <f aca="false">IF(助手回款!$T$102=1,INDEX(助手回款!$N$2:$N$66,助手回款!$R$102),"")</f>
        <v/>
      </c>
      <c r="G1512" s="76" t="str">
        <f aca="false">IF(助手回款!$T$102=1,INDEX(助手回款!$O$2:$O$66,助手回款!$R$102),"")</f>
        <v/>
      </c>
      <c r="H1512" s="74"/>
      <c r="I1512" s="77"/>
    </row>
    <row r="1513" customFormat="false" ht="6" hidden="false" customHeight="true" outlineLevel="0" collapsed="false"/>
    <row r="1514" customFormat="false" ht="13.5" hidden="false" customHeight="false" outlineLevel="0" collapsed="false">
      <c r="B1514" s="78" t="str">
        <f aca="false">IF(助手回款!$R$102&lt;&gt;"","会计主管：","")</f>
        <v/>
      </c>
      <c r="D1514" s="78" t="str">
        <f aca="false">IF(助手回款!$R$102&lt;&gt;"","会计：","")</f>
        <v/>
      </c>
      <c r="E1514" s="78" t="str">
        <f aca="false">IF(助手回款!$R$102&lt;&gt;"","出纳：","")</f>
        <v/>
      </c>
      <c r="F1514" s="78" t="str">
        <f aca="false">IF(助手回款!$R$102&lt;&gt;"","复核：","")</f>
        <v/>
      </c>
      <c r="G1514" s="78" t="str">
        <f aca="false">IF(助手回款!$R$102&lt;&gt;"","制单：","")</f>
        <v/>
      </c>
    </row>
    <row r="1515" customFormat="false" ht="3" hidden="false" customHeight="true" outlineLevel="0" collapsed="false"/>
    <row r="1516" customFormat="false" ht="19.5" hidden="false" customHeight="true" outlineLevel="0" collapsed="false">
      <c r="B1516" s="53" t="str">
        <f aca="false">IF(助手回款!$R$103&lt;&gt;"","记  账  凭  证","")</f>
        <v/>
      </c>
      <c r="C1516" s="53"/>
      <c r="D1516" s="53"/>
      <c r="E1516" s="53"/>
      <c r="F1516" s="53"/>
      <c r="G1516" s="53"/>
      <c r="H1516" s="53"/>
      <c r="I1516" s="53"/>
    </row>
    <row r="1517" customFormat="false" ht="3" hidden="false" customHeight="true" outlineLevel="0" collapsed="false"/>
    <row r="1518" customFormat="false" ht="15" hidden="false" customHeight="true" outlineLevel="0" collapsed="false">
      <c r="C1518" s="56" t="str">
        <f aca="false">IF(助手回款!$R$103&lt;&gt;"",INDEX(助手回款!$B$2:$B$66,助手回款!$R$103),"")</f>
        <v/>
      </c>
      <c r="D1518" s="57" t="str">
        <f aca="false">IF(助手回款!$R$103&lt;&gt;"",参数!$B$2,"")</f>
        <v/>
      </c>
      <c r="E1518" s="57"/>
      <c r="F1518" s="58" t="str">
        <f aca="false">IF(助手回款!$R$103&lt;&gt;"",INDEX(助手回款!$C$2:$C$66,助手回款!$R$103)&amp;"  字第 "&amp;IF(参数!$B$9="是",INDEX(助手回款!$P$2:$P$66,助手回款!$R$103),"　　　　")&amp;" 号"&amp;IF(INDEX(助手回款!$L$2:$L$66,助手回款!$R$103)&gt;1,"  (共"&amp;INDEX(助手回款!$L$2:$L$66,助手回款!$R$103)&amp;"页 第"&amp;助手回款!$S$103&amp;"页)",""),"")</f>
        <v/>
      </c>
      <c r="G1518" s="58"/>
      <c r="H1518" s="58"/>
      <c r="I1518" s="58"/>
      <c r="M1518" s="79" t="str">
        <f aca="false">IF(助手回款!$R$103="","",助手回款!$Q$103)</f>
        <v/>
      </c>
      <c r="N1518" s="80" t="str">
        <f aca="false">IF(助手回款!$R$103="","",INDEX(助手回款!$P$2:$P$66,助手回款!$R$103))</f>
        <v/>
      </c>
      <c r="O1518" s="55" t="str">
        <f aca="false">IF(助手回款!$R$103="","",INDEX(助手回款!$C$2:$C$66,助手回款!$R$103)&amp;"  字第 "&amp;INDEX(助手回款!$P$2:$P$66,助手回款!$R$103)&amp;" 号"&amp;IF(INDEX(助手回款!$L$2:$L$66,助手回款!$R$103)&gt;1,"  (共"&amp;INDEX(助手回款!$L$2:$L$66,助手回款!$R$103)&amp;"页 第"&amp;助手回款!$S$103&amp;"页)",""))</f>
        <v/>
      </c>
    </row>
    <row r="1519" customFormat="false" ht="12.75" hidden="false" customHeight="true" outlineLevel="0" collapsed="false">
      <c r="B1519" s="61" t="str">
        <f aca="false">IF(助手回款!$R$103&lt;&gt;"","摘　　要","")</f>
        <v/>
      </c>
      <c r="C1519" s="61"/>
      <c r="D1519" s="62" t="str">
        <f aca="false">IF(助手回款!$R$103&lt;&gt;"","科　　　　目","")</f>
        <v/>
      </c>
      <c r="E1519" s="62"/>
      <c r="F1519" s="61" t="str">
        <f aca="false">IF(助手回款!$R$103&lt;&gt;"","借 方 金 额","")</f>
        <v/>
      </c>
      <c r="G1519" s="62" t="str">
        <f aca="false">IF(助手回款!$R$103&lt;&gt;"","贷 方 金 额","")</f>
        <v/>
      </c>
      <c r="H1519" s="63" t="str">
        <f aca="false">IF(助手回款!$R$103&lt;&gt;"","√","")</f>
        <v/>
      </c>
      <c r="I1519" s="64" t="str">
        <f aca="false">IF(助手回款!$R$103&lt;&gt;"","附单据  张","")</f>
        <v/>
      </c>
    </row>
    <row r="1520" customFormat="false" ht="12.75" hidden="false" customHeight="true" outlineLevel="0" collapsed="false">
      <c r="B1520" s="61"/>
      <c r="C1520" s="61"/>
      <c r="D1520" s="23" t="str">
        <f aca="false">IF(助手回款!$R$103&lt;&gt;"","总 账 科 目","")</f>
        <v/>
      </c>
      <c r="E1520" s="23" t="str">
        <f aca="false">IF(助手回款!$R$103&lt;&gt;"","明 细 科 目","")</f>
        <v/>
      </c>
      <c r="F1520" s="65"/>
      <c r="G1520" s="66"/>
      <c r="H1520" s="63"/>
      <c r="I1520" s="64"/>
    </row>
    <row r="1521" customFormat="false" ht="23.25" hidden="false" customHeight="true" outlineLevel="0" collapsed="false">
      <c r="B1521" s="67" t="str">
        <f aca="false">IFERROR(INDEX(分录回款!$M:$M,MATCH($L1521,分录回款!$L:$L,0)),"")</f>
        <v/>
      </c>
      <c r="C1521" s="67"/>
      <c r="D1521" s="23" t="str">
        <f aca="false">IFERROR(INDEX(分录回款!$E:$E,MATCH($L1521,分录回款!$L:$L,0)),"")</f>
        <v/>
      </c>
      <c r="E1521" s="23" t="str">
        <f aca="false">IFERROR(INDEX(分录回款!$F:$F,MATCH($L1521,分录回款!$L:$L,0)),"")</f>
        <v/>
      </c>
      <c r="F1521" s="68" t="str">
        <f aca="false">IFERROR(INDEX(分录回款!$H:$H,MATCH($L1521,分录回款!$L:$L,0)),"")</f>
        <v/>
      </c>
      <c r="G1521" s="69" t="str">
        <f aca="false">IFERROR(INDEX(分录回款!$I:$I,MATCH($L1521,分录回款!$L:$L,0)),"")</f>
        <v/>
      </c>
      <c r="H1521" s="23"/>
      <c r="I1521" s="70"/>
      <c r="L1521" s="71" t="n">
        <f aca="false">IF(助手回款!$R$103="",-1,助手回款!$R$103*100+(助手回款!$S$103-1)*6+1)</f>
        <v>-1</v>
      </c>
    </row>
    <row r="1522" customFormat="false" ht="23.25" hidden="false" customHeight="true" outlineLevel="0" collapsed="false">
      <c r="B1522" s="67" t="str">
        <f aca="false">""</f>
        <v/>
      </c>
      <c r="C1522" s="67"/>
      <c r="D1522" s="23" t="str">
        <f aca="false">IFERROR(INDEX(分录回款!$E:$E,MATCH($L1522,分录回款!$L:$L,0)),"")</f>
        <v/>
      </c>
      <c r="E1522" s="23" t="str">
        <f aca="false">IFERROR(INDEX(分录回款!$F:$F,MATCH($L1522,分录回款!$L:$L,0)),"")</f>
        <v/>
      </c>
      <c r="F1522" s="68" t="str">
        <f aca="false">IFERROR(INDEX(分录回款!$H:$H,MATCH($L1522,分录回款!$L:$L,0)),"")</f>
        <v/>
      </c>
      <c r="G1522" s="69" t="str">
        <f aca="false">IFERROR(INDEX(分录回款!$I:$I,MATCH($L1522,分录回款!$L:$L,0)),"")</f>
        <v/>
      </c>
      <c r="H1522" s="23"/>
      <c r="I1522" s="70"/>
      <c r="L1522" s="71" t="n">
        <f aca="false">IF(助手回款!$R$103="",-1,助手回款!$R$103*100+(助手回款!$S$103-1)*6+2)</f>
        <v>-1</v>
      </c>
    </row>
    <row r="1523" customFormat="false" ht="23.25" hidden="false" customHeight="true" outlineLevel="0" collapsed="false">
      <c r="B1523" s="67" t="str">
        <f aca="false">""</f>
        <v/>
      </c>
      <c r="C1523" s="67"/>
      <c r="D1523" s="23" t="str">
        <f aca="false">IFERROR(INDEX(分录回款!$E:$E,MATCH($L1523,分录回款!$L:$L,0)),"")</f>
        <v/>
      </c>
      <c r="E1523" s="23" t="str">
        <f aca="false">IFERROR(INDEX(分录回款!$F:$F,MATCH($L1523,分录回款!$L:$L,0)),"")</f>
        <v/>
      </c>
      <c r="F1523" s="68" t="str">
        <f aca="false">IFERROR(INDEX(分录回款!$H:$H,MATCH($L1523,分录回款!$L:$L,0)),"")</f>
        <v/>
      </c>
      <c r="G1523" s="69" t="str">
        <f aca="false">IFERROR(INDEX(分录回款!$I:$I,MATCH($L1523,分录回款!$L:$L,0)),"")</f>
        <v/>
      </c>
      <c r="H1523" s="23"/>
      <c r="I1523" s="70"/>
      <c r="L1523" s="71" t="n">
        <f aca="false">IF(助手回款!$R$103="",-1,助手回款!$R$103*100+(助手回款!$S$103-1)*6+3)</f>
        <v>-1</v>
      </c>
    </row>
    <row r="1524" customFormat="false" ht="23.25" hidden="false" customHeight="true" outlineLevel="0" collapsed="false">
      <c r="B1524" s="67" t="str">
        <f aca="false">""</f>
        <v/>
      </c>
      <c r="C1524" s="67"/>
      <c r="D1524" s="23" t="str">
        <f aca="false">IFERROR(INDEX(分录回款!$E:$E,MATCH($L1524,分录回款!$L:$L,0)),"")</f>
        <v/>
      </c>
      <c r="E1524" s="23" t="str">
        <f aca="false">IFERROR(INDEX(分录回款!$F:$F,MATCH($L1524,分录回款!$L:$L,0)),"")</f>
        <v/>
      </c>
      <c r="F1524" s="68" t="str">
        <f aca="false">IFERROR(INDEX(分录回款!$H:$H,MATCH($L1524,分录回款!$L:$L,0)),"")</f>
        <v/>
      </c>
      <c r="G1524" s="69" t="str">
        <f aca="false">IFERROR(INDEX(分录回款!$I:$I,MATCH($L1524,分录回款!$L:$L,0)),"")</f>
        <v/>
      </c>
      <c r="H1524" s="23"/>
      <c r="I1524" s="70"/>
      <c r="L1524" s="71" t="n">
        <f aca="false">IF(助手回款!$R$103="",-1,助手回款!$R$103*100+(助手回款!$S$103-1)*6+4)</f>
        <v>-1</v>
      </c>
    </row>
    <row r="1525" customFormat="false" ht="23.25" hidden="false" customHeight="true" outlineLevel="0" collapsed="false">
      <c r="B1525" s="67" t="str">
        <f aca="false">""</f>
        <v/>
      </c>
      <c r="C1525" s="67"/>
      <c r="D1525" s="23" t="str">
        <f aca="false">IFERROR(INDEX(分录回款!$E:$E,MATCH($L1525,分录回款!$L:$L,0)),"")</f>
        <v/>
      </c>
      <c r="E1525" s="23" t="str">
        <f aca="false">IFERROR(INDEX(分录回款!$F:$F,MATCH($L1525,分录回款!$L:$L,0)),"")</f>
        <v/>
      </c>
      <c r="F1525" s="68" t="str">
        <f aca="false">IFERROR(INDEX(分录回款!$H:$H,MATCH($L1525,分录回款!$L:$L,0)),"")</f>
        <v/>
      </c>
      <c r="G1525" s="69" t="str">
        <f aca="false">IFERROR(INDEX(分录回款!$I:$I,MATCH($L1525,分录回款!$L:$L,0)),"")</f>
        <v/>
      </c>
      <c r="H1525" s="23"/>
      <c r="I1525" s="70"/>
      <c r="L1525" s="71" t="n">
        <f aca="false">IF(助手回款!$R$103="",-1,助手回款!$R$103*100+(助手回款!$S$103-1)*6+5)</f>
        <v>-1</v>
      </c>
    </row>
    <row r="1526" customFormat="false" ht="23.25" hidden="false" customHeight="true" outlineLevel="0" collapsed="false">
      <c r="B1526" s="67" t="str">
        <f aca="false">""</f>
        <v/>
      </c>
      <c r="C1526" s="67"/>
      <c r="D1526" s="23" t="str">
        <f aca="false">IFERROR(INDEX(分录回款!$E:$E,MATCH($L1526,分录回款!$L:$L,0)),"")</f>
        <v/>
      </c>
      <c r="E1526" s="23" t="str">
        <f aca="false">IFERROR(INDEX(分录回款!$F:$F,MATCH($L1526,分录回款!$L:$L,0)),"")</f>
        <v/>
      </c>
      <c r="F1526" s="68" t="str">
        <f aca="false">IFERROR(INDEX(分录回款!$H:$H,MATCH($L1526,分录回款!$L:$L,0)),"")</f>
        <v/>
      </c>
      <c r="G1526" s="69" t="str">
        <f aca="false">IFERROR(INDEX(分录回款!$I:$I,MATCH($L1526,分录回款!$L:$L,0)),"")</f>
        <v/>
      </c>
      <c r="H1526" s="23"/>
      <c r="I1526" s="70"/>
      <c r="L1526" s="71" t="n">
        <f aca="false">IF(助手回款!$R$103="",-1,助手回款!$R$103*100+(助手回款!$S$103-1)*6+6)</f>
        <v>-1</v>
      </c>
    </row>
    <row r="1527" customFormat="false" ht="23.25" hidden="false" customHeight="true" outlineLevel="0" collapsed="false">
      <c r="B1527" s="72" t="str">
        <f aca="false">IF(助手回款!$T$103=1,"合计：","")</f>
        <v/>
      </c>
      <c r="C1527" s="73" t="str">
        <f aca="false">IF(助手回款!$T$103=1,$F1527,"")</f>
        <v/>
      </c>
      <c r="D1527" s="74"/>
      <c r="E1527" s="74"/>
      <c r="F1527" s="75" t="str">
        <f aca="false">IF(助手回款!$T$103=1,INDEX(助手回款!$N$2:$N$66,助手回款!$R$103),"")</f>
        <v/>
      </c>
      <c r="G1527" s="76" t="str">
        <f aca="false">IF(助手回款!$T$103=1,INDEX(助手回款!$O$2:$O$66,助手回款!$R$103),"")</f>
        <v/>
      </c>
      <c r="H1527" s="74"/>
      <c r="I1527" s="77"/>
    </row>
    <row r="1528" customFormat="false" ht="6" hidden="false" customHeight="true" outlineLevel="0" collapsed="false"/>
    <row r="1529" customFormat="false" ht="13.5" hidden="false" customHeight="false" outlineLevel="0" collapsed="false">
      <c r="B1529" s="78" t="str">
        <f aca="false">IF(助手回款!$R$103&lt;&gt;"","会计主管：","")</f>
        <v/>
      </c>
      <c r="D1529" s="78" t="str">
        <f aca="false">IF(助手回款!$R$103&lt;&gt;"","会计：","")</f>
        <v/>
      </c>
      <c r="E1529" s="78" t="str">
        <f aca="false">IF(助手回款!$R$103&lt;&gt;"","出纳：","")</f>
        <v/>
      </c>
      <c r="F1529" s="78" t="str">
        <f aca="false">IF(助手回款!$R$103&lt;&gt;"","复核：","")</f>
        <v/>
      </c>
      <c r="G1529" s="78" t="str">
        <f aca="false">IF(助手回款!$R$103&lt;&gt;"","制单：","")</f>
        <v/>
      </c>
    </row>
    <row r="1530" customFormat="false" ht="3" hidden="false" customHeight="true" outlineLevel="0" collapsed="false"/>
    <row r="1531" customFormat="false" ht="19.5" hidden="false" customHeight="true" outlineLevel="0" collapsed="false">
      <c r="B1531" s="53" t="str">
        <f aca="false">IF(助手回款!$R$104&lt;&gt;"","记  账  凭  证","")</f>
        <v/>
      </c>
      <c r="C1531" s="53"/>
      <c r="D1531" s="53"/>
      <c r="E1531" s="53"/>
      <c r="F1531" s="53"/>
      <c r="G1531" s="53"/>
      <c r="H1531" s="53"/>
      <c r="I1531" s="53"/>
    </row>
    <row r="1532" customFormat="false" ht="3" hidden="false" customHeight="true" outlineLevel="0" collapsed="false"/>
    <row r="1533" customFormat="false" ht="15" hidden="false" customHeight="true" outlineLevel="0" collapsed="false">
      <c r="C1533" s="56" t="str">
        <f aca="false">IF(助手回款!$R$104&lt;&gt;"",INDEX(助手回款!$B$2:$B$66,助手回款!$R$104),"")</f>
        <v/>
      </c>
      <c r="D1533" s="57" t="str">
        <f aca="false">IF(助手回款!$R$104&lt;&gt;"",参数!$B$2,"")</f>
        <v/>
      </c>
      <c r="E1533" s="57"/>
      <c r="F1533" s="58" t="str">
        <f aca="false">IF(助手回款!$R$104&lt;&gt;"",INDEX(助手回款!$C$2:$C$66,助手回款!$R$104)&amp;"  字第 "&amp;IF(参数!$B$9="是",INDEX(助手回款!$P$2:$P$66,助手回款!$R$104),"　　　　")&amp;" 号"&amp;IF(INDEX(助手回款!$L$2:$L$66,助手回款!$R$104)&gt;1,"  (共"&amp;INDEX(助手回款!$L$2:$L$66,助手回款!$R$104)&amp;"页 第"&amp;助手回款!$S$104&amp;"页)",""),"")</f>
        <v/>
      </c>
      <c r="G1533" s="58"/>
      <c r="H1533" s="58"/>
      <c r="I1533" s="58"/>
      <c r="M1533" s="79" t="str">
        <f aca="false">IF(助手回款!$R$104="","",助手回款!$Q$104)</f>
        <v/>
      </c>
      <c r="N1533" s="80" t="str">
        <f aca="false">IF(助手回款!$R$104="","",INDEX(助手回款!$P$2:$P$66,助手回款!$R$104))</f>
        <v/>
      </c>
      <c r="O1533" s="55" t="str">
        <f aca="false">IF(助手回款!$R$104="","",INDEX(助手回款!$C$2:$C$66,助手回款!$R$104)&amp;"  字第 "&amp;INDEX(助手回款!$P$2:$P$66,助手回款!$R$104)&amp;" 号"&amp;IF(INDEX(助手回款!$L$2:$L$66,助手回款!$R$104)&gt;1,"  (共"&amp;INDEX(助手回款!$L$2:$L$66,助手回款!$R$104)&amp;"页 第"&amp;助手回款!$S$104&amp;"页)",""))</f>
        <v/>
      </c>
    </row>
    <row r="1534" customFormat="false" ht="12.75" hidden="false" customHeight="true" outlineLevel="0" collapsed="false">
      <c r="B1534" s="61" t="str">
        <f aca="false">IF(助手回款!$R$104&lt;&gt;"","摘　　要","")</f>
        <v/>
      </c>
      <c r="C1534" s="61"/>
      <c r="D1534" s="62" t="str">
        <f aca="false">IF(助手回款!$R$104&lt;&gt;"","科　　　　目","")</f>
        <v/>
      </c>
      <c r="E1534" s="62"/>
      <c r="F1534" s="61" t="str">
        <f aca="false">IF(助手回款!$R$104&lt;&gt;"","借 方 金 额","")</f>
        <v/>
      </c>
      <c r="G1534" s="62" t="str">
        <f aca="false">IF(助手回款!$R$104&lt;&gt;"","贷 方 金 额","")</f>
        <v/>
      </c>
      <c r="H1534" s="63" t="str">
        <f aca="false">IF(助手回款!$R$104&lt;&gt;"","√","")</f>
        <v/>
      </c>
      <c r="I1534" s="64" t="str">
        <f aca="false">IF(助手回款!$R$104&lt;&gt;"","附单据  张","")</f>
        <v/>
      </c>
    </row>
    <row r="1535" customFormat="false" ht="12.75" hidden="false" customHeight="true" outlineLevel="0" collapsed="false">
      <c r="B1535" s="61"/>
      <c r="C1535" s="61"/>
      <c r="D1535" s="23" t="str">
        <f aca="false">IF(助手回款!$R$104&lt;&gt;"","总 账 科 目","")</f>
        <v/>
      </c>
      <c r="E1535" s="23" t="str">
        <f aca="false">IF(助手回款!$R$104&lt;&gt;"","明 细 科 目","")</f>
        <v/>
      </c>
      <c r="F1535" s="65"/>
      <c r="G1535" s="66"/>
      <c r="H1535" s="63"/>
      <c r="I1535" s="64"/>
    </row>
    <row r="1536" customFormat="false" ht="23.25" hidden="false" customHeight="true" outlineLevel="0" collapsed="false">
      <c r="B1536" s="67" t="str">
        <f aca="false">IFERROR(INDEX(分录回款!$M:$M,MATCH($L1536,分录回款!$L:$L,0)),"")</f>
        <v/>
      </c>
      <c r="C1536" s="67"/>
      <c r="D1536" s="23" t="str">
        <f aca="false">IFERROR(INDEX(分录回款!$E:$E,MATCH($L1536,分录回款!$L:$L,0)),"")</f>
        <v/>
      </c>
      <c r="E1536" s="23" t="str">
        <f aca="false">IFERROR(INDEX(分录回款!$F:$F,MATCH($L1536,分录回款!$L:$L,0)),"")</f>
        <v/>
      </c>
      <c r="F1536" s="68" t="str">
        <f aca="false">IFERROR(INDEX(分录回款!$H:$H,MATCH($L1536,分录回款!$L:$L,0)),"")</f>
        <v/>
      </c>
      <c r="G1536" s="69" t="str">
        <f aca="false">IFERROR(INDEX(分录回款!$I:$I,MATCH($L1536,分录回款!$L:$L,0)),"")</f>
        <v/>
      </c>
      <c r="H1536" s="23"/>
      <c r="I1536" s="70"/>
      <c r="L1536" s="71" t="n">
        <f aca="false">IF(助手回款!$R$104="",-1,助手回款!$R$104*100+(助手回款!$S$104-1)*6+1)</f>
        <v>-1</v>
      </c>
    </row>
    <row r="1537" customFormat="false" ht="23.25" hidden="false" customHeight="true" outlineLevel="0" collapsed="false">
      <c r="B1537" s="67" t="str">
        <f aca="false">""</f>
        <v/>
      </c>
      <c r="C1537" s="67"/>
      <c r="D1537" s="23" t="str">
        <f aca="false">IFERROR(INDEX(分录回款!$E:$E,MATCH($L1537,分录回款!$L:$L,0)),"")</f>
        <v/>
      </c>
      <c r="E1537" s="23" t="str">
        <f aca="false">IFERROR(INDEX(分录回款!$F:$F,MATCH($L1537,分录回款!$L:$L,0)),"")</f>
        <v/>
      </c>
      <c r="F1537" s="68" t="str">
        <f aca="false">IFERROR(INDEX(分录回款!$H:$H,MATCH($L1537,分录回款!$L:$L,0)),"")</f>
        <v/>
      </c>
      <c r="G1537" s="69" t="str">
        <f aca="false">IFERROR(INDEX(分录回款!$I:$I,MATCH($L1537,分录回款!$L:$L,0)),"")</f>
        <v/>
      </c>
      <c r="H1537" s="23"/>
      <c r="I1537" s="70"/>
      <c r="L1537" s="71" t="n">
        <f aca="false">IF(助手回款!$R$104="",-1,助手回款!$R$104*100+(助手回款!$S$104-1)*6+2)</f>
        <v>-1</v>
      </c>
    </row>
    <row r="1538" customFormat="false" ht="23.25" hidden="false" customHeight="true" outlineLevel="0" collapsed="false">
      <c r="B1538" s="67" t="str">
        <f aca="false">""</f>
        <v/>
      </c>
      <c r="C1538" s="67"/>
      <c r="D1538" s="23" t="str">
        <f aca="false">IFERROR(INDEX(分录回款!$E:$E,MATCH($L1538,分录回款!$L:$L,0)),"")</f>
        <v/>
      </c>
      <c r="E1538" s="23" t="str">
        <f aca="false">IFERROR(INDEX(分录回款!$F:$F,MATCH($L1538,分录回款!$L:$L,0)),"")</f>
        <v/>
      </c>
      <c r="F1538" s="68" t="str">
        <f aca="false">IFERROR(INDEX(分录回款!$H:$H,MATCH($L1538,分录回款!$L:$L,0)),"")</f>
        <v/>
      </c>
      <c r="G1538" s="69" t="str">
        <f aca="false">IFERROR(INDEX(分录回款!$I:$I,MATCH($L1538,分录回款!$L:$L,0)),"")</f>
        <v/>
      </c>
      <c r="H1538" s="23"/>
      <c r="I1538" s="70"/>
      <c r="L1538" s="71" t="n">
        <f aca="false">IF(助手回款!$R$104="",-1,助手回款!$R$104*100+(助手回款!$S$104-1)*6+3)</f>
        <v>-1</v>
      </c>
    </row>
    <row r="1539" customFormat="false" ht="23.25" hidden="false" customHeight="true" outlineLevel="0" collapsed="false">
      <c r="B1539" s="67" t="str">
        <f aca="false">""</f>
        <v/>
      </c>
      <c r="C1539" s="67"/>
      <c r="D1539" s="23" t="str">
        <f aca="false">IFERROR(INDEX(分录回款!$E:$E,MATCH($L1539,分录回款!$L:$L,0)),"")</f>
        <v/>
      </c>
      <c r="E1539" s="23" t="str">
        <f aca="false">IFERROR(INDEX(分录回款!$F:$F,MATCH($L1539,分录回款!$L:$L,0)),"")</f>
        <v/>
      </c>
      <c r="F1539" s="68" t="str">
        <f aca="false">IFERROR(INDEX(分录回款!$H:$H,MATCH($L1539,分录回款!$L:$L,0)),"")</f>
        <v/>
      </c>
      <c r="G1539" s="69" t="str">
        <f aca="false">IFERROR(INDEX(分录回款!$I:$I,MATCH($L1539,分录回款!$L:$L,0)),"")</f>
        <v/>
      </c>
      <c r="H1539" s="23"/>
      <c r="I1539" s="70"/>
      <c r="L1539" s="71" t="n">
        <f aca="false">IF(助手回款!$R$104="",-1,助手回款!$R$104*100+(助手回款!$S$104-1)*6+4)</f>
        <v>-1</v>
      </c>
    </row>
    <row r="1540" customFormat="false" ht="23.25" hidden="false" customHeight="true" outlineLevel="0" collapsed="false">
      <c r="B1540" s="67" t="str">
        <f aca="false">""</f>
        <v/>
      </c>
      <c r="C1540" s="67"/>
      <c r="D1540" s="23" t="str">
        <f aca="false">IFERROR(INDEX(分录回款!$E:$E,MATCH($L1540,分录回款!$L:$L,0)),"")</f>
        <v/>
      </c>
      <c r="E1540" s="23" t="str">
        <f aca="false">IFERROR(INDEX(分录回款!$F:$F,MATCH($L1540,分录回款!$L:$L,0)),"")</f>
        <v/>
      </c>
      <c r="F1540" s="68" t="str">
        <f aca="false">IFERROR(INDEX(分录回款!$H:$H,MATCH($L1540,分录回款!$L:$L,0)),"")</f>
        <v/>
      </c>
      <c r="G1540" s="69" t="str">
        <f aca="false">IFERROR(INDEX(分录回款!$I:$I,MATCH($L1540,分录回款!$L:$L,0)),"")</f>
        <v/>
      </c>
      <c r="H1540" s="23"/>
      <c r="I1540" s="70"/>
      <c r="L1540" s="71" t="n">
        <f aca="false">IF(助手回款!$R$104="",-1,助手回款!$R$104*100+(助手回款!$S$104-1)*6+5)</f>
        <v>-1</v>
      </c>
    </row>
    <row r="1541" customFormat="false" ht="23.25" hidden="false" customHeight="true" outlineLevel="0" collapsed="false">
      <c r="B1541" s="67" t="str">
        <f aca="false">""</f>
        <v/>
      </c>
      <c r="C1541" s="67"/>
      <c r="D1541" s="23" t="str">
        <f aca="false">IFERROR(INDEX(分录回款!$E:$E,MATCH($L1541,分录回款!$L:$L,0)),"")</f>
        <v/>
      </c>
      <c r="E1541" s="23" t="str">
        <f aca="false">IFERROR(INDEX(分录回款!$F:$F,MATCH($L1541,分录回款!$L:$L,0)),"")</f>
        <v/>
      </c>
      <c r="F1541" s="68" t="str">
        <f aca="false">IFERROR(INDEX(分录回款!$H:$H,MATCH($L1541,分录回款!$L:$L,0)),"")</f>
        <v/>
      </c>
      <c r="G1541" s="69" t="str">
        <f aca="false">IFERROR(INDEX(分录回款!$I:$I,MATCH($L1541,分录回款!$L:$L,0)),"")</f>
        <v/>
      </c>
      <c r="H1541" s="23"/>
      <c r="I1541" s="70"/>
      <c r="L1541" s="71" t="n">
        <f aca="false">IF(助手回款!$R$104="",-1,助手回款!$R$104*100+(助手回款!$S$104-1)*6+6)</f>
        <v>-1</v>
      </c>
    </row>
    <row r="1542" customFormat="false" ht="23.25" hidden="false" customHeight="true" outlineLevel="0" collapsed="false">
      <c r="B1542" s="72" t="str">
        <f aca="false">IF(助手回款!$T$104=1,"合计：","")</f>
        <v/>
      </c>
      <c r="C1542" s="73" t="str">
        <f aca="false">IF(助手回款!$T$104=1,$F1542,"")</f>
        <v/>
      </c>
      <c r="D1542" s="74"/>
      <c r="E1542" s="74"/>
      <c r="F1542" s="75" t="str">
        <f aca="false">IF(助手回款!$T$104=1,INDEX(助手回款!$N$2:$N$66,助手回款!$R$104),"")</f>
        <v/>
      </c>
      <c r="G1542" s="76" t="str">
        <f aca="false">IF(助手回款!$T$104=1,INDEX(助手回款!$O$2:$O$66,助手回款!$R$104),"")</f>
        <v/>
      </c>
      <c r="H1542" s="74"/>
      <c r="I1542" s="77"/>
    </row>
    <row r="1543" customFormat="false" ht="6" hidden="false" customHeight="true" outlineLevel="0" collapsed="false"/>
    <row r="1544" customFormat="false" ht="13.5" hidden="false" customHeight="false" outlineLevel="0" collapsed="false">
      <c r="B1544" s="78" t="str">
        <f aca="false">IF(助手回款!$R$104&lt;&gt;"","会计主管：","")</f>
        <v/>
      </c>
      <c r="D1544" s="78" t="str">
        <f aca="false">IF(助手回款!$R$104&lt;&gt;"","会计：","")</f>
        <v/>
      </c>
      <c r="E1544" s="78" t="str">
        <f aca="false">IF(助手回款!$R$104&lt;&gt;"","出纳：","")</f>
        <v/>
      </c>
      <c r="F1544" s="78" t="str">
        <f aca="false">IF(助手回款!$R$104&lt;&gt;"","复核：","")</f>
        <v/>
      </c>
      <c r="G1544" s="78" t="str">
        <f aca="false">IF(助手回款!$R$104&lt;&gt;"","制单：","")</f>
        <v/>
      </c>
    </row>
    <row r="1545" customFormat="false" ht="3" hidden="false" customHeight="true" outlineLevel="0" collapsed="false"/>
    <row r="1546" customFormat="false" ht="19.5" hidden="false" customHeight="true" outlineLevel="0" collapsed="false">
      <c r="B1546" s="53" t="str">
        <f aca="false">IF(助手回款!$R$105&lt;&gt;"","记  账  凭  证","")</f>
        <v/>
      </c>
      <c r="C1546" s="53"/>
      <c r="D1546" s="53"/>
      <c r="E1546" s="53"/>
      <c r="F1546" s="53"/>
      <c r="G1546" s="53"/>
      <c r="H1546" s="53"/>
      <c r="I1546" s="53"/>
    </row>
    <row r="1547" customFormat="false" ht="3" hidden="false" customHeight="true" outlineLevel="0" collapsed="false"/>
    <row r="1548" customFormat="false" ht="15" hidden="false" customHeight="true" outlineLevel="0" collapsed="false">
      <c r="C1548" s="56" t="str">
        <f aca="false">IF(助手回款!$R$105&lt;&gt;"",INDEX(助手回款!$B$2:$B$66,助手回款!$R$105),"")</f>
        <v/>
      </c>
      <c r="D1548" s="57" t="str">
        <f aca="false">IF(助手回款!$R$105&lt;&gt;"",参数!$B$2,"")</f>
        <v/>
      </c>
      <c r="E1548" s="57"/>
      <c r="F1548" s="58" t="str">
        <f aca="false">IF(助手回款!$R$105&lt;&gt;"",INDEX(助手回款!$C$2:$C$66,助手回款!$R$105)&amp;"  字第 "&amp;IF(参数!$B$9="是",INDEX(助手回款!$P$2:$P$66,助手回款!$R$105),"　　　　")&amp;" 号"&amp;IF(INDEX(助手回款!$L$2:$L$66,助手回款!$R$105)&gt;1,"  (共"&amp;INDEX(助手回款!$L$2:$L$66,助手回款!$R$105)&amp;"页 第"&amp;助手回款!$S$105&amp;"页)",""),"")</f>
        <v/>
      </c>
      <c r="G1548" s="58"/>
      <c r="H1548" s="58"/>
      <c r="I1548" s="58"/>
      <c r="M1548" s="79" t="str">
        <f aca="false">IF(助手回款!$R$105="","",助手回款!$Q$105)</f>
        <v/>
      </c>
      <c r="N1548" s="80" t="str">
        <f aca="false">IF(助手回款!$R$105="","",INDEX(助手回款!$P$2:$P$66,助手回款!$R$105))</f>
        <v/>
      </c>
      <c r="O1548" s="55" t="str">
        <f aca="false">IF(助手回款!$R$105="","",INDEX(助手回款!$C$2:$C$66,助手回款!$R$105)&amp;"  字第 "&amp;INDEX(助手回款!$P$2:$P$66,助手回款!$R$105)&amp;" 号"&amp;IF(INDEX(助手回款!$L$2:$L$66,助手回款!$R$105)&gt;1,"  (共"&amp;INDEX(助手回款!$L$2:$L$66,助手回款!$R$105)&amp;"页 第"&amp;助手回款!$S$105&amp;"页)",""))</f>
        <v/>
      </c>
    </row>
    <row r="1549" customFormat="false" ht="12.75" hidden="false" customHeight="true" outlineLevel="0" collapsed="false">
      <c r="B1549" s="61" t="str">
        <f aca="false">IF(助手回款!$R$105&lt;&gt;"","摘　　要","")</f>
        <v/>
      </c>
      <c r="C1549" s="61"/>
      <c r="D1549" s="62" t="str">
        <f aca="false">IF(助手回款!$R$105&lt;&gt;"","科　　　　目","")</f>
        <v/>
      </c>
      <c r="E1549" s="62"/>
      <c r="F1549" s="61" t="str">
        <f aca="false">IF(助手回款!$R$105&lt;&gt;"","借 方 金 额","")</f>
        <v/>
      </c>
      <c r="G1549" s="62" t="str">
        <f aca="false">IF(助手回款!$R$105&lt;&gt;"","贷 方 金 额","")</f>
        <v/>
      </c>
      <c r="H1549" s="63" t="str">
        <f aca="false">IF(助手回款!$R$105&lt;&gt;"","√","")</f>
        <v/>
      </c>
      <c r="I1549" s="64" t="str">
        <f aca="false">IF(助手回款!$R$105&lt;&gt;"","附单据  张","")</f>
        <v/>
      </c>
    </row>
    <row r="1550" customFormat="false" ht="12.75" hidden="false" customHeight="true" outlineLevel="0" collapsed="false">
      <c r="B1550" s="61"/>
      <c r="C1550" s="61"/>
      <c r="D1550" s="23" t="str">
        <f aca="false">IF(助手回款!$R$105&lt;&gt;"","总 账 科 目","")</f>
        <v/>
      </c>
      <c r="E1550" s="23" t="str">
        <f aca="false">IF(助手回款!$R$105&lt;&gt;"","明 细 科 目","")</f>
        <v/>
      </c>
      <c r="F1550" s="65"/>
      <c r="G1550" s="66"/>
      <c r="H1550" s="63"/>
      <c r="I1550" s="64"/>
    </row>
    <row r="1551" customFormat="false" ht="23.25" hidden="false" customHeight="true" outlineLevel="0" collapsed="false">
      <c r="B1551" s="67" t="str">
        <f aca="false">IFERROR(INDEX(分录回款!$M:$M,MATCH($L1551,分录回款!$L:$L,0)),"")</f>
        <v/>
      </c>
      <c r="C1551" s="67"/>
      <c r="D1551" s="23" t="str">
        <f aca="false">IFERROR(INDEX(分录回款!$E:$E,MATCH($L1551,分录回款!$L:$L,0)),"")</f>
        <v/>
      </c>
      <c r="E1551" s="23" t="str">
        <f aca="false">IFERROR(INDEX(分录回款!$F:$F,MATCH($L1551,分录回款!$L:$L,0)),"")</f>
        <v/>
      </c>
      <c r="F1551" s="68" t="str">
        <f aca="false">IFERROR(INDEX(分录回款!$H:$H,MATCH($L1551,分录回款!$L:$L,0)),"")</f>
        <v/>
      </c>
      <c r="G1551" s="69" t="str">
        <f aca="false">IFERROR(INDEX(分录回款!$I:$I,MATCH($L1551,分录回款!$L:$L,0)),"")</f>
        <v/>
      </c>
      <c r="H1551" s="23"/>
      <c r="I1551" s="70"/>
      <c r="L1551" s="71" t="n">
        <f aca="false">IF(助手回款!$R$105="",-1,助手回款!$R$105*100+(助手回款!$S$105-1)*6+1)</f>
        <v>-1</v>
      </c>
    </row>
    <row r="1552" customFormat="false" ht="23.25" hidden="false" customHeight="true" outlineLevel="0" collapsed="false">
      <c r="B1552" s="67" t="str">
        <f aca="false">""</f>
        <v/>
      </c>
      <c r="C1552" s="67"/>
      <c r="D1552" s="23" t="str">
        <f aca="false">IFERROR(INDEX(分录回款!$E:$E,MATCH($L1552,分录回款!$L:$L,0)),"")</f>
        <v/>
      </c>
      <c r="E1552" s="23" t="str">
        <f aca="false">IFERROR(INDEX(分录回款!$F:$F,MATCH($L1552,分录回款!$L:$L,0)),"")</f>
        <v/>
      </c>
      <c r="F1552" s="68" t="str">
        <f aca="false">IFERROR(INDEX(分录回款!$H:$H,MATCH($L1552,分录回款!$L:$L,0)),"")</f>
        <v/>
      </c>
      <c r="G1552" s="69" t="str">
        <f aca="false">IFERROR(INDEX(分录回款!$I:$I,MATCH($L1552,分录回款!$L:$L,0)),"")</f>
        <v/>
      </c>
      <c r="H1552" s="23"/>
      <c r="I1552" s="70"/>
      <c r="L1552" s="71" t="n">
        <f aca="false">IF(助手回款!$R$105="",-1,助手回款!$R$105*100+(助手回款!$S$105-1)*6+2)</f>
        <v>-1</v>
      </c>
    </row>
    <row r="1553" customFormat="false" ht="23.25" hidden="false" customHeight="true" outlineLevel="0" collapsed="false">
      <c r="B1553" s="67" t="str">
        <f aca="false">""</f>
        <v/>
      </c>
      <c r="C1553" s="67"/>
      <c r="D1553" s="23" t="str">
        <f aca="false">IFERROR(INDEX(分录回款!$E:$E,MATCH($L1553,分录回款!$L:$L,0)),"")</f>
        <v/>
      </c>
      <c r="E1553" s="23" t="str">
        <f aca="false">IFERROR(INDEX(分录回款!$F:$F,MATCH($L1553,分录回款!$L:$L,0)),"")</f>
        <v/>
      </c>
      <c r="F1553" s="68" t="str">
        <f aca="false">IFERROR(INDEX(分录回款!$H:$H,MATCH($L1553,分录回款!$L:$L,0)),"")</f>
        <v/>
      </c>
      <c r="G1553" s="69" t="str">
        <f aca="false">IFERROR(INDEX(分录回款!$I:$I,MATCH($L1553,分录回款!$L:$L,0)),"")</f>
        <v/>
      </c>
      <c r="H1553" s="23"/>
      <c r="I1553" s="70"/>
      <c r="L1553" s="71" t="n">
        <f aca="false">IF(助手回款!$R$105="",-1,助手回款!$R$105*100+(助手回款!$S$105-1)*6+3)</f>
        <v>-1</v>
      </c>
    </row>
    <row r="1554" customFormat="false" ht="23.25" hidden="false" customHeight="true" outlineLevel="0" collapsed="false">
      <c r="B1554" s="67" t="str">
        <f aca="false">""</f>
        <v/>
      </c>
      <c r="C1554" s="67"/>
      <c r="D1554" s="23" t="str">
        <f aca="false">IFERROR(INDEX(分录回款!$E:$E,MATCH($L1554,分录回款!$L:$L,0)),"")</f>
        <v/>
      </c>
      <c r="E1554" s="23" t="str">
        <f aca="false">IFERROR(INDEX(分录回款!$F:$F,MATCH($L1554,分录回款!$L:$L,0)),"")</f>
        <v/>
      </c>
      <c r="F1554" s="68" t="str">
        <f aca="false">IFERROR(INDEX(分录回款!$H:$H,MATCH($L1554,分录回款!$L:$L,0)),"")</f>
        <v/>
      </c>
      <c r="G1554" s="69" t="str">
        <f aca="false">IFERROR(INDEX(分录回款!$I:$I,MATCH($L1554,分录回款!$L:$L,0)),"")</f>
        <v/>
      </c>
      <c r="H1554" s="23"/>
      <c r="I1554" s="70"/>
      <c r="L1554" s="71" t="n">
        <f aca="false">IF(助手回款!$R$105="",-1,助手回款!$R$105*100+(助手回款!$S$105-1)*6+4)</f>
        <v>-1</v>
      </c>
    </row>
    <row r="1555" customFormat="false" ht="23.25" hidden="false" customHeight="true" outlineLevel="0" collapsed="false">
      <c r="B1555" s="67" t="str">
        <f aca="false">""</f>
        <v/>
      </c>
      <c r="C1555" s="67"/>
      <c r="D1555" s="23" t="str">
        <f aca="false">IFERROR(INDEX(分录回款!$E:$E,MATCH($L1555,分录回款!$L:$L,0)),"")</f>
        <v/>
      </c>
      <c r="E1555" s="23" t="str">
        <f aca="false">IFERROR(INDEX(分录回款!$F:$F,MATCH($L1555,分录回款!$L:$L,0)),"")</f>
        <v/>
      </c>
      <c r="F1555" s="68" t="str">
        <f aca="false">IFERROR(INDEX(分录回款!$H:$H,MATCH($L1555,分录回款!$L:$L,0)),"")</f>
        <v/>
      </c>
      <c r="G1555" s="69" t="str">
        <f aca="false">IFERROR(INDEX(分录回款!$I:$I,MATCH($L1555,分录回款!$L:$L,0)),"")</f>
        <v/>
      </c>
      <c r="H1555" s="23"/>
      <c r="I1555" s="70"/>
      <c r="L1555" s="71" t="n">
        <f aca="false">IF(助手回款!$R$105="",-1,助手回款!$R$105*100+(助手回款!$S$105-1)*6+5)</f>
        <v>-1</v>
      </c>
    </row>
    <row r="1556" customFormat="false" ht="23.25" hidden="false" customHeight="true" outlineLevel="0" collapsed="false">
      <c r="B1556" s="67" t="str">
        <f aca="false">""</f>
        <v/>
      </c>
      <c r="C1556" s="67"/>
      <c r="D1556" s="23" t="str">
        <f aca="false">IFERROR(INDEX(分录回款!$E:$E,MATCH($L1556,分录回款!$L:$L,0)),"")</f>
        <v/>
      </c>
      <c r="E1556" s="23" t="str">
        <f aca="false">IFERROR(INDEX(分录回款!$F:$F,MATCH($L1556,分录回款!$L:$L,0)),"")</f>
        <v/>
      </c>
      <c r="F1556" s="68" t="str">
        <f aca="false">IFERROR(INDEX(分录回款!$H:$H,MATCH($L1556,分录回款!$L:$L,0)),"")</f>
        <v/>
      </c>
      <c r="G1556" s="69" t="str">
        <f aca="false">IFERROR(INDEX(分录回款!$I:$I,MATCH($L1556,分录回款!$L:$L,0)),"")</f>
        <v/>
      </c>
      <c r="H1556" s="23"/>
      <c r="I1556" s="70"/>
      <c r="L1556" s="71" t="n">
        <f aca="false">IF(助手回款!$R$105="",-1,助手回款!$R$105*100+(助手回款!$S$105-1)*6+6)</f>
        <v>-1</v>
      </c>
    </row>
    <row r="1557" customFormat="false" ht="23.25" hidden="false" customHeight="true" outlineLevel="0" collapsed="false">
      <c r="B1557" s="72" t="str">
        <f aca="false">IF(助手回款!$T$105=1,"合计：","")</f>
        <v/>
      </c>
      <c r="C1557" s="73" t="str">
        <f aca="false">IF(助手回款!$T$105=1,$F1557,"")</f>
        <v/>
      </c>
      <c r="D1557" s="74"/>
      <c r="E1557" s="74"/>
      <c r="F1557" s="75" t="str">
        <f aca="false">IF(助手回款!$T$105=1,INDEX(助手回款!$N$2:$N$66,助手回款!$R$105),"")</f>
        <v/>
      </c>
      <c r="G1557" s="76" t="str">
        <f aca="false">IF(助手回款!$T$105=1,INDEX(助手回款!$O$2:$O$66,助手回款!$R$105),"")</f>
        <v/>
      </c>
      <c r="H1557" s="74"/>
      <c r="I1557" s="77"/>
    </row>
    <row r="1558" customFormat="false" ht="6" hidden="false" customHeight="true" outlineLevel="0" collapsed="false"/>
    <row r="1559" customFormat="false" ht="13.5" hidden="false" customHeight="false" outlineLevel="0" collapsed="false">
      <c r="B1559" s="78" t="str">
        <f aca="false">IF(助手回款!$R$105&lt;&gt;"","会计主管：","")</f>
        <v/>
      </c>
      <c r="D1559" s="78" t="str">
        <f aca="false">IF(助手回款!$R$105&lt;&gt;"","会计：","")</f>
        <v/>
      </c>
      <c r="E1559" s="78" t="str">
        <f aca="false">IF(助手回款!$R$105&lt;&gt;"","出纳：","")</f>
        <v/>
      </c>
      <c r="F1559" s="78" t="str">
        <f aca="false">IF(助手回款!$R$105&lt;&gt;"","复核：","")</f>
        <v/>
      </c>
      <c r="G1559" s="78" t="str">
        <f aca="false">IF(助手回款!$R$105&lt;&gt;"","制单：","")</f>
        <v/>
      </c>
    </row>
    <row r="1560" customFormat="false" ht="3" hidden="false" customHeight="true" outlineLevel="0" collapsed="false"/>
    <row r="1561" customFormat="false" ht="19.5" hidden="false" customHeight="true" outlineLevel="0" collapsed="false">
      <c r="B1561" s="53" t="str">
        <f aca="false">IF(助手回款!$R$106&lt;&gt;"","记  账  凭  证","")</f>
        <v/>
      </c>
      <c r="C1561" s="53"/>
      <c r="D1561" s="53"/>
      <c r="E1561" s="53"/>
      <c r="F1561" s="53"/>
      <c r="G1561" s="53"/>
      <c r="H1561" s="53"/>
      <c r="I1561" s="53"/>
    </row>
    <row r="1562" customFormat="false" ht="3" hidden="false" customHeight="true" outlineLevel="0" collapsed="false"/>
    <row r="1563" customFormat="false" ht="15" hidden="false" customHeight="true" outlineLevel="0" collapsed="false">
      <c r="C1563" s="56" t="str">
        <f aca="false">IF(助手回款!$R$106&lt;&gt;"",INDEX(助手回款!$B$2:$B$66,助手回款!$R$106),"")</f>
        <v/>
      </c>
      <c r="D1563" s="57" t="str">
        <f aca="false">IF(助手回款!$R$106&lt;&gt;"",参数!$B$2,"")</f>
        <v/>
      </c>
      <c r="E1563" s="57"/>
      <c r="F1563" s="58" t="str">
        <f aca="false">IF(助手回款!$R$106&lt;&gt;"",INDEX(助手回款!$C$2:$C$66,助手回款!$R$106)&amp;"  字第 "&amp;IF(参数!$B$9="是",INDEX(助手回款!$P$2:$P$66,助手回款!$R$106),"　　　　")&amp;" 号"&amp;IF(INDEX(助手回款!$L$2:$L$66,助手回款!$R$106)&gt;1,"  (共"&amp;INDEX(助手回款!$L$2:$L$66,助手回款!$R$106)&amp;"页 第"&amp;助手回款!$S$106&amp;"页)",""),"")</f>
        <v/>
      </c>
      <c r="G1563" s="58"/>
      <c r="H1563" s="58"/>
      <c r="I1563" s="58"/>
      <c r="M1563" s="79" t="str">
        <f aca="false">IF(助手回款!$R$106="","",助手回款!$Q$106)</f>
        <v/>
      </c>
      <c r="N1563" s="80" t="str">
        <f aca="false">IF(助手回款!$R$106="","",INDEX(助手回款!$P$2:$P$66,助手回款!$R$106))</f>
        <v/>
      </c>
      <c r="O1563" s="55" t="str">
        <f aca="false">IF(助手回款!$R$106="","",INDEX(助手回款!$C$2:$C$66,助手回款!$R$106)&amp;"  字第 "&amp;INDEX(助手回款!$P$2:$P$66,助手回款!$R$106)&amp;" 号"&amp;IF(INDEX(助手回款!$L$2:$L$66,助手回款!$R$106)&gt;1,"  (共"&amp;INDEX(助手回款!$L$2:$L$66,助手回款!$R$106)&amp;"页 第"&amp;助手回款!$S$106&amp;"页)",""))</f>
        <v/>
      </c>
    </row>
    <row r="1564" customFormat="false" ht="12.75" hidden="false" customHeight="true" outlineLevel="0" collapsed="false">
      <c r="B1564" s="61" t="str">
        <f aca="false">IF(助手回款!$R$106&lt;&gt;"","摘　　要","")</f>
        <v/>
      </c>
      <c r="C1564" s="61"/>
      <c r="D1564" s="62" t="str">
        <f aca="false">IF(助手回款!$R$106&lt;&gt;"","科　　　　目","")</f>
        <v/>
      </c>
      <c r="E1564" s="62"/>
      <c r="F1564" s="61" t="str">
        <f aca="false">IF(助手回款!$R$106&lt;&gt;"","借 方 金 额","")</f>
        <v/>
      </c>
      <c r="G1564" s="62" t="str">
        <f aca="false">IF(助手回款!$R$106&lt;&gt;"","贷 方 金 额","")</f>
        <v/>
      </c>
      <c r="H1564" s="63" t="str">
        <f aca="false">IF(助手回款!$R$106&lt;&gt;"","√","")</f>
        <v/>
      </c>
      <c r="I1564" s="64" t="str">
        <f aca="false">IF(助手回款!$R$106&lt;&gt;"","附单据  张","")</f>
        <v/>
      </c>
    </row>
    <row r="1565" customFormat="false" ht="12.75" hidden="false" customHeight="true" outlineLevel="0" collapsed="false">
      <c r="B1565" s="61"/>
      <c r="C1565" s="61"/>
      <c r="D1565" s="23" t="str">
        <f aca="false">IF(助手回款!$R$106&lt;&gt;"","总 账 科 目","")</f>
        <v/>
      </c>
      <c r="E1565" s="23" t="str">
        <f aca="false">IF(助手回款!$R$106&lt;&gt;"","明 细 科 目","")</f>
        <v/>
      </c>
      <c r="F1565" s="65"/>
      <c r="G1565" s="66"/>
      <c r="H1565" s="63"/>
      <c r="I1565" s="64"/>
    </row>
    <row r="1566" customFormat="false" ht="23.25" hidden="false" customHeight="true" outlineLevel="0" collapsed="false">
      <c r="B1566" s="67" t="str">
        <f aca="false">IFERROR(INDEX(分录回款!$M:$M,MATCH($L1566,分录回款!$L:$L,0)),"")</f>
        <v/>
      </c>
      <c r="C1566" s="67"/>
      <c r="D1566" s="23" t="str">
        <f aca="false">IFERROR(INDEX(分录回款!$E:$E,MATCH($L1566,分录回款!$L:$L,0)),"")</f>
        <v/>
      </c>
      <c r="E1566" s="23" t="str">
        <f aca="false">IFERROR(INDEX(分录回款!$F:$F,MATCH($L1566,分录回款!$L:$L,0)),"")</f>
        <v/>
      </c>
      <c r="F1566" s="68" t="str">
        <f aca="false">IFERROR(INDEX(分录回款!$H:$H,MATCH($L1566,分录回款!$L:$L,0)),"")</f>
        <v/>
      </c>
      <c r="G1566" s="69" t="str">
        <f aca="false">IFERROR(INDEX(分录回款!$I:$I,MATCH($L1566,分录回款!$L:$L,0)),"")</f>
        <v/>
      </c>
      <c r="H1566" s="23"/>
      <c r="I1566" s="70"/>
      <c r="L1566" s="71" t="n">
        <f aca="false">IF(助手回款!$R$106="",-1,助手回款!$R$106*100+(助手回款!$S$106-1)*6+1)</f>
        <v>-1</v>
      </c>
    </row>
    <row r="1567" customFormat="false" ht="23.25" hidden="false" customHeight="true" outlineLevel="0" collapsed="false">
      <c r="B1567" s="67" t="str">
        <f aca="false">""</f>
        <v/>
      </c>
      <c r="C1567" s="67"/>
      <c r="D1567" s="23" t="str">
        <f aca="false">IFERROR(INDEX(分录回款!$E:$E,MATCH($L1567,分录回款!$L:$L,0)),"")</f>
        <v/>
      </c>
      <c r="E1567" s="23" t="str">
        <f aca="false">IFERROR(INDEX(分录回款!$F:$F,MATCH($L1567,分录回款!$L:$L,0)),"")</f>
        <v/>
      </c>
      <c r="F1567" s="68" t="str">
        <f aca="false">IFERROR(INDEX(分录回款!$H:$H,MATCH($L1567,分录回款!$L:$L,0)),"")</f>
        <v/>
      </c>
      <c r="G1567" s="69" t="str">
        <f aca="false">IFERROR(INDEX(分录回款!$I:$I,MATCH($L1567,分录回款!$L:$L,0)),"")</f>
        <v/>
      </c>
      <c r="H1567" s="23"/>
      <c r="I1567" s="70"/>
      <c r="L1567" s="71" t="n">
        <f aca="false">IF(助手回款!$R$106="",-1,助手回款!$R$106*100+(助手回款!$S$106-1)*6+2)</f>
        <v>-1</v>
      </c>
    </row>
    <row r="1568" customFormat="false" ht="23.25" hidden="false" customHeight="true" outlineLevel="0" collapsed="false">
      <c r="B1568" s="67" t="str">
        <f aca="false">""</f>
        <v/>
      </c>
      <c r="C1568" s="67"/>
      <c r="D1568" s="23" t="str">
        <f aca="false">IFERROR(INDEX(分录回款!$E:$E,MATCH($L1568,分录回款!$L:$L,0)),"")</f>
        <v/>
      </c>
      <c r="E1568" s="23" t="str">
        <f aca="false">IFERROR(INDEX(分录回款!$F:$F,MATCH($L1568,分录回款!$L:$L,0)),"")</f>
        <v/>
      </c>
      <c r="F1568" s="68" t="str">
        <f aca="false">IFERROR(INDEX(分录回款!$H:$H,MATCH($L1568,分录回款!$L:$L,0)),"")</f>
        <v/>
      </c>
      <c r="G1568" s="69" t="str">
        <f aca="false">IFERROR(INDEX(分录回款!$I:$I,MATCH($L1568,分录回款!$L:$L,0)),"")</f>
        <v/>
      </c>
      <c r="H1568" s="23"/>
      <c r="I1568" s="70"/>
      <c r="L1568" s="71" t="n">
        <f aca="false">IF(助手回款!$R$106="",-1,助手回款!$R$106*100+(助手回款!$S$106-1)*6+3)</f>
        <v>-1</v>
      </c>
    </row>
    <row r="1569" customFormat="false" ht="23.25" hidden="false" customHeight="true" outlineLevel="0" collapsed="false">
      <c r="B1569" s="67" t="str">
        <f aca="false">""</f>
        <v/>
      </c>
      <c r="C1569" s="67"/>
      <c r="D1569" s="23" t="str">
        <f aca="false">IFERROR(INDEX(分录回款!$E:$E,MATCH($L1569,分录回款!$L:$L,0)),"")</f>
        <v/>
      </c>
      <c r="E1569" s="23" t="str">
        <f aca="false">IFERROR(INDEX(分录回款!$F:$F,MATCH($L1569,分录回款!$L:$L,0)),"")</f>
        <v/>
      </c>
      <c r="F1569" s="68" t="str">
        <f aca="false">IFERROR(INDEX(分录回款!$H:$H,MATCH($L1569,分录回款!$L:$L,0)),"")</f>
        <v/>
      </c>
      <c r="G1569" s="69" t="str">
        <f aca="false">IFERROR(INDEX(分录回款!$I:$I,MATCH($L1569,分录回款!$L:$L,0)),"")</f>
        <v/>
      </c>
      <c r="H1569" s="23"/>
      <c r="I1569" s="70"/>
      <c r="L1569" s="71" t="n">
        <f aca="false">IF(助手回款!$R$106="",-1,助手回款!$R$106*100+(助手回款!$S$106-1)*6+4)</f>
        <v>-1</v>
      </c>
    </row>
    <row r="1570" customFormat="false" ht="23.25" hidden="false" customHeight="true" outlineLevel="0" collapsed="false">
      <c r="B1570" s="67" t="str">
        <f aca="false">""</f>
        <v/>
      </c>
      <c r="C1570" s="67"/>
      <c r="D1570" s="23" t="str">
        <f aca="false">IFERROR(INDEX(分录回款!$E:$E,MATCH($L1570,分录回款!$L:$L,0)),"")</f>
        <v/>
      </c>
      <c r="E1570" s="23" t="str">
        <f aca="false">IFERROR(INDEX(分录回款!$F:$F,MATCH($L1570,分录回款!$L:$L,0)),"")</f>
        <v/>
      </c>
      <c r="F1570" s="68" t="str">
        <f aca="false">IFERROR(INDEX(分录回款!$H:$H,MATCH($L1570,分录回款!$L:$L,0)),"")</f>
        <v/>
      </c>
      <c r="G1570" s="69" t="str">
        <f aca="false">IFERROR(INDEX(分录回款!$I:$I,MATCH($L1570,分录回款!$L:$L,0)),"")</f>
        <v/>
      </c>
      <c r="H1570" s="23"/>
      <c r="I1570" s="70"/>
      <c r="L1570" s="71" t="n">
        <f aca="false">IF(助手回款!$R$106="",-1,助手回款!$R$106*100+(助手回款!$S$106-1)*6+5)</f>
        <v>-1</v>
      </c>
    </row>
    <row r="1571" customFormat="false" ht="23.25" hidden="false" customHeight="true" outlineLevel="0" collapsed="false">
      <c r="B1571" s="67" t="str">
        <f aca="false">""</f>
        <v/>
      </c>
      <c r="C1571" s="67"/>
      <c r="D1571" s="23" t="str">
        <f aca="false">IFERROR(INDEX(分录回款!$E:$E,MATCH($L1571,分录回款!$L:$L,0)),"")</f>
        <v/>
      </c>
      <c r="E1571" s="23" t="str">
        <f aca="false">IFERROR(INDEX(分录回款!$F:$F,MATCH($L1571,分录回款!$L:$L,0)),"")</f>
        <v/>
      </c>
      <c r="F1571" s="68" t="str">
        <f aca="false">IFERROR(INDEX(分录回款!$H:$H,MATCH($L1571,分录回款!$L:$L,0)),"")</f>
        <v/>
      </c>
      <c r="G1571" s="69" t="str">
        <f aca="false">IFERROR(INDEX(分录回款!$I:$I,MATCH($L1571,分录回款!$L:$L,0)),"")</f>
        <v/>
      </c>
      <c r="H1571" s="23"/>
      <c r="I1571" s="70"/>
      <c r="L1571" s="71" t="n">
        <f aca="false">IF(助手回款!$R$106="",-1,助手回款!$R$106*100+(助手回款!$S$106-1)*6+6)</f>
        <v>-1</v>
      </c>
    </row>
    <row r="1572" customFormat="false" ht="23.25" hidden="false" customHeight="true" outlineLevel="0" collapsed="false">
      <c r="B1572" s="72" t="str">
        <f aca="false">IF(助手回款!$T$106=1,"合计：","")</f>
        <v/>
      </c>
      <c r="C1572" s="73" t="str">
        <f aca="false">IF(助手回款!$T$106=1,$F1572,"")</f>
        <v/>
      </c>
      <c r="D1572" s="74"/>
      <c r="E1572" s="74"/>
      <c r="F1572" s="75" t="str">
        <f aca="false">IF(助手回款!$T$106=1,INDEX(助手回款!$N$2:$N$66,助手回款!$R$106),"")</f>
        <v/>
      </c>
      <c r="G1572" s="76" t="str">
        <f aca="false">IF(助手回款!$T$106=1,INDEX(助手回款!$O$2:$O$66,助手回款!$R$106),"")</f>
        <v/>
      </c>
      <c r="H1572" s="74"/>
      <c r="I1572" s="77"/>
    </row>
    <row r="1573" customFormat="false" ht="6" hidden="false" customHeight="true" outlineLevel="0" collapsed="false"/>
    <row r="1574" customFormat="false" ht="13.5" hidden="false" customHeight="false" outlineLevel="0" collapsed="false">
      <c r="B1574" s="78" t="str">
        <f aca="false">IF(助手回款!$R$106&lt;&gt;"","会计主管：","")</f>
        <v/>
      </c>
      <c r="D1574" s="78" t="str">
        <f aca="false">IF(助手回款!$R$106&lt;&gt;"","会计：","")</f>
        <v/>
      </c>
      <c r="E1574" s="78" t="str">
        <f aca="false">IF(助手回款!$R$106&lt;&gt;"","出纳：","")</f>
        <v/>
      </c>
      <c r="F1574" s="78" t="str">
        <f aca="false">IF(助手回款!$R$106&lt;&gt;"","复核：","")</f>
        <v/>
      </c>
      <c r="G1574" s="78" t="str">
        <f aca="false">IF(助手回款!$R$106&lt;&gt;"","制单：","")</f>
        <v/>
      </c>
    </row>
    <row r="1575" customFormat="false" ht="3" hidden="false" customHeight="true" outlineLevel="0" collapsed="false"/>
    <row r="1576" customFormat="false" ht="19.5" hidden="false" customHeight="true" outlineLevel="0" collapsed="false">
      <c r="B1576" s="53" t="str">
        <f aca="false">IF(助手回款!$R$107&lt;&gt;"","记  账  凭  证","")</f>
        <v/>
      </c>
      <c r="C1576" s="53"/>
      <c r="D1576" s="53"/>
      <c r="E1576" s="53"/>
      <c r="F1576" s="53"/>
      <c r="G1576" s="53"/>
      <c r="H1576" s="53"/>
      <c r="I1576" s="53"/>
    </row>
    <row r="1577" customFormat="false" ht="3" hidden="false" customHeight="true" outlineLevel="0" collapsed="false"/>
    <row r="1578" customFormat="false" ht="15" hidden="false" customHeight="true" outlineLevel="0" collapsed="false">
      <c r="C1578" s="56" t="str">
        <f aca="false">IF(助手回款!$R$107&lt;&gt;"",INDEX(助手回款!$B$2:$B$66,助手回款!$R$107),"")</f>
        <v/>
      </c>
      <c r="D1578" s="57" t="str">
        <f aca="false">IF(助手回款!$R$107&lt;&gt;"",参数!$B$2,"")</f>
        <v/>
      </c>
      <c r="E1578" s="57"/>
      <c r="F1578" s="58" t="str">
        <f aca="false">IF(助手回款!$R$107&lt;&gt;"",INDEX(助手回款!$C$2:$C$66,助手回款!$R$107)&amp;"  字第 "&amp;IF(参数!$B$9="是",INDEX(助手回款!$P$2:$P$66,助手回款!$R$107),"　　　　")&amp;" 号"&amp;IF(INDEX(助手回款!$L$2:$L$66,助手回款!$R$107)&gt;1,"  (共"&amp;INDEX(助手回款!$L$2:$L$66,助手回款!$R$107)&amp;"页 第"&amp;助手回款!$S$107&amp;"页)",""),"")</f>
        <v/>
      </c>
      <c r="G1578" s="58"/>
      <c r="H1578" s="58"/>
      <c r="I1578" s="58"/>
      <c r="M1578" s="79" t="str">
        <f aca="false">IF(助手回款!$R$107="","",助手回款!$Q$107)</f>
        <v/>
      </c>
      <c r="N1578" s="80" t="str">
        <f aca="false">IF(助手回款!$R$107="","",INDEX(助手回款!$P$2:$P$66,助手回款!$R$107))</f>
        <v/>
      </c>
      <c r="O1578" s="55" t="str">
        <f aca="false">IF(助手回款!$R$107="","",INDEX(助手回款!$C$2:$C$66,助手回款!$R$107)&amp;"  字第 "&amp;INDEX(助手回款!$P$2:$P$66,助手回款!$R$107)&amp;" 号"&amp;IF(INDEX(助手回款!$L$2:$L$66,助手回款!$R$107)&gt;1,"  (共"&amp;INDEX(助手回款!$L$2:$L$66,助手回款!$R$107)&amp;"页 第"&amp;助手回款!$S$107&amp;"页)",""))</f>
        <v/>
      </c>
    </row>
    <row r="1579" customFormat="false" ht="12.75" hidden="false" customHeight="true" outlineLevel="0" collapsed="false">
      <c r="B1579" s="61" t="str">
        <f aca="false">IF(助手回款!$R$107&lt;&gt;"","摘　　要","")</f>
        <v/>
      </c>
      <c r="C1579" s="61"/>
      <c r="D1579" s="62" t="str">
        <f aca="false">IF(助手回款!$R$107&lt;&gt;"","科　　　　目","")</f>
        <v/>
      </c>
      <c r="E1579" s="62"/>
      <c r="F1579" s="61" t="str">
        <f aca="false">IF(助手回款!$R$107&lt;&gt;"","借 方 金 额","")</f>
        <v/>
      </c>
      <c r="G1579" s="62" t="str">
        <f aca="false">IF(助手回款!$R$107&lt;&gt;"","贷 方 金 额","")</f>
        <v/>
      </c>
      <c r="H1579" s="63" t="str">
        <f aca="false">IF(助手回款!$R$107&lt;&gt;"","√","")</f>
        <v/>
      </c>
      <c r="I1579" s="64" t="str">
        <f aca="false">IF(助手回款!$R$107&lt;&gt;"","附单据  张","")</f>
        <v/>
      </c>
    </row>
    <row r="1580" customFormat="false" ht="12.75" hidden="false" customHeight="true" outlineLevel="0" collapsed="false">
      <c r="B1580" s="61"/>
      <c r="C1580" s="61"/>
      <c r="D1580" s="23" t="str">
        <f aca="false">IF(助手回款!$R$107&lt;&gt;"","总 账 科 目","")</f>
        <v/>
      </c>
      <c r="E1580" s="23" t="str">
        <f aca="false">IF(助手回款!$R$107&lt;&gt;"","明 细 科 目","")</f>
        <v/>
      </c>
      <c r="F1580" s="65"/>
      <c r="G1580" s="66"/>
      <c r="H1580" s="63"/>
      <c r="I1580" s="64"/>
    </row>
    <row r="1581" customFormat="false" ht="23.25" hidden="false" customHeight="true" outlineLevel="0" collapsed="false">
      <c r="B1581" s="67" t="str">
        <f aca="false">IFERROR(INDEX(分录回款!$M:$M,MATCH($L1581,分录回款!$L:$L,0)),"")</f>
        <v/>
      </c>
      <c r="C1581" s="67"/>
      <c r="D1581" s="23" t="str">
        <f aca="false">IFERROR(INDEX(分录回款!$E:$E,MATCH($L1581,分录回款!$L:$L,0)),"")</f>
        <v/>
      </c>
      <c r="E1581" s="23" t="str">
        <f aca="false">IFERROR(INDEX(分录回款!$F:$F,MATCH($L1581,分录回款!$L:$L,0)),"")</f>
        <v/>
      </c>
      <c r="F1581" s="68" t="str">
        <f aca="false">IFERROR(INDEX(分录回款!$H:$H,MATCH($L1581,分录回款!$L:$L,0)),"")</f>
        <v/>
      </c>
      <c r="G1581" s="69" t="str">
        <f aca="false">IFERROR(INDEX(分录回款!$I:$I,MATCH($L1581,分录回款!$L:$L,0)),"")</f>
        <v/>
      </c>
      <c r="H1581" s="23"/>
      <c r="I1581" s="70"/>
      <c r="L1581" s="71" t="n">
        <f aca="false">IF(助手回款!$R$107="",-1,助手回款!$R$107*100+(助手回款!$S$107-1)*6+1)</f>
        <v>-1</v>
      </c>
    </row>
    <row r="1582" customFormat="false" ht="23.25" hidden="false" customHeight="true" outlineLevel="0" collapsed="false">
      <c r="B1582" s="67" t="str">
        <f aca="false">""</f>
        <v/>
      </c>
      <c r="C1582" s="67"/>
      <c r="D1582" s="23" t="str">
        <f aca="false">IFERROR(INDEX(分录回款!$E:$E,MATCH($L1582,分录回款!$L:$L,0)),"")</f>
        <v/>
      </c>
      <c r="E1582" s="23" t="str">
        <f aca="false">IFERROR(INDEX(分录回款!$F:$F,MATCH($L1582,分录回款!$L:$L,0)),"")</f>
        <v/>
      </c>
      <c r="F1582" s="68" t="str">
        <f aca="false">IFERROR(INDEX(分录回款!$H:$H,MATCH($L1582,分录回款!$L:$L,0)),"")</f>
        <v/>
      </c>
      <c r="G1582" s="69" t="str">
        <f aca="false">IFERROR(INDEX(分录回款!$I:$I,MATCH($L1582,分录回款!$L:$L,0)),"")</f>
        <v/>
      </c>
      <c r="H1582" s="23"/>
      <c r="I1582" s="70"/>
      <c r="L1582" s="71" t="n">
        <f aca="false">IF(助手回款!$R$107="",-1,助手回款!$R$107*100+(助手回款!$S$107-1)*6+2)</f>
        <v>-1</v>
      </c>
    </row>
    <row r="1583" customFormat="false" ht="23.25" hidden="false" customHeight="true" outlineLevel="0" collapsed="false">
      <c r="B1583" s="67" t="str">
        <f aca="false">""</f>
        <v/>
      </c>
      <c r="C1583" s="67"/>
      <c r="D1583" s="23" t="str">
        <f aca="false">IFERROR(INDEX(分录回款!$E:$E,MATCH($L1583,分录回款!$L:$L,0)),"")</f>
        <v/>
      </c>
      <c r="E1583" s="23" t="str">
        <f aca="false">IFERROR(INDEX(分录回款!$F:$F,MATCH($L1583,分录回款!$L:$L,0)),"")</f>
        <v/>
      </c>
      <c r="F1583" s="68" t="str">
        <f aca="false">IFERROR(INDEX(分录回款!$H:$H,MATCH($L1583,分录回款!$L:$L,0)),"")</f>
        <v/>
      </c>
      <c r="G1583" s="69" t="str">
        <f aca="false">IFERROR(INDEX(分录回款!$I:$I,MATCH($L1583,分录回款!$L:$L,0)),"")</f>
        <v/>
      </c>
      <c r="H1583" s="23"/>
      <c r="I1583" s="70"/>
      <c r="L1583" s="71" t="n">
        <f aca="false">IF(助手回款!$R$107="",-1,助手回款!$R$107*100+(助手回款!$S$107-1)*6+3)</f>
        <v>-1</v>
      </c>
    </row>
    <row r="1584" customFormat="false" ht="23.25" hidden="false" customHeight="true" outlineLevel="0" collapsed="false">
      <c r="B1584" s="67" t="str">
        <f aca="false">""</f>
        <v/>
      </c>
      <c r="C1584" s="67"/>
      <c r="D1584" s="23" t="str">
        <f aca="false">IFERROR(INDEX(分录回款!$E:$E,MATCH($L1584,分录回款!$L:$L,0)),"")</f>
        <v/>
      </c>
      <c r="E1584" s="23" t="str">
        <f aca="false">IFERROR(INDEX(分录回款!$F:$F,MATCH($L1584,分录回款!$L:$L,0)),"")</f>
        <v/>
      </c>
      <c r="F1584" s="68" t="str">
        <f aca="false">IFERROR(INDEX(分录回款!$H:$H,MATCH($L1584,分录回款!$L:$L,0)),"")</f>
        <v/>
      </c>
      <c r="G1584" s="69" t="str">
        <f aca="false">IFERROR(INDEX(分录回款!$I:$I,MATCH($L1584,分录回款!$L:$L,0)),"")</f>
        <v/>
      </c>
      <c r="H1584" s="23"/>
      <c r="I1584" s="70"/>
      <c r="L1584" s="71" t="n">
        <f aca="false">IF(助手回款!$R$107="",-1,助手回款!$R$107*100+(助手回款!$S$107-1)*6+4)</f>
        <v>-1</v>
      </c>
    </row>
    <row r="1585" customFormat="false" ht="23.25" hidden="false" customHeight="true" outlineLevel="0" collapsed="false">
      <c r="B1585" s="67" t="str">
        <f aca="false">""</f>
        <v/>
      </c>
      <c r="C1585" s="67"/>
      <c r="D1585" s="23" t="str">
        <f aca="false">IFERROR(INDEX(分录回款!$E:$E,MATCH($L1585,分录回款!$L:$L,0)),"")</f>
        <v/>
      </c>
      <c r="E1585" s="23" t="str">
        <f aca="false">IFERROR(INDEX(分录回款!$F:$F,MATCH($L1585,分录回款!$L:$L,0)),"")</f>
        <v/>
      </c>
      <c r="F1585" s="68" t="str">
        <f aca="false">IFERROR(INDEX(分录回款!$H:$H,MATCH($L1585,分录回款!$L:$L,0)),"")</f>
        <v/>
      </c>
      <c r="G1585" s="69" t="str">
        <f aca="false">IFERROR(INDEX(分录回款!$I:$I,MATCH($L1585,分录回款!$L:$L,0)),"")</f>
        <v/>
      </c>
      <c r="H1585" s="23"/>
      <c r="I1585" s="70"/>
      <c r="L1585" s="71" t="n">
        <f aca="false">IF(助手回款!$R$107="",-1,助手回款!$R$107*100+(助手回款!$S$107-1)*6+5)</f>
        <v>-1</v>
      </c>
    </row>
    <row r="1586" customFormat="false" ht="23.25" hidden="false" customHeight="true" outlineLevel="0" collapsed="false">
      <c r="B1586" s="67" t="str">
        <f aca="false">""</f>
        <v/>
      </c>
      <c r="C1586" s="67"/>
      <c r="D1586" s="23" t="str">
        <f aca="false">IFERROR(INDEX(分录回款!$E:$E,MATCH($L1586,分录回款!$L:$L,0)),"")</f>
        <v/>
      </c>
      <c r="E1586" s="23" t="str">
        <f aca="false">IFERROR(INDEX(分录回款!$F:$F,MATCH($L1586,分录回款!$L:$L,0)),"")</f>
        <v/>
      </c>
      <c r="F1586" s="68" t="str">
        <f aca="false">IFERROR(INDEX(分录回款!$H:$H,MATCH($L1586,分录回款!$L:$L,0)),"")</f>
        <v/>
      </c>
      <c r="G1586" s="69" t="str">
        <f aca="false">IFERROR(INDEX(分录回款!$I:$I,MATCH($L1586,分录回款!$L:$L,0)),"")</f>
        <v/>
      </c>
      <c r="H1586" s="23"/>
      <c r="I1586" s="70"/>
      <c r="L1586" s="71" t="n">
        <f aca="false">IF(助手回款!$R$107="",-1,助手回款!$R$107*100+(助手回款!$S$107-1)*6+6)</f>
        <v>-1</v>
      </c>
    </row>
    <row r="1587" customFormat="false" ht="23.25" hidden="false" customHeight="true" outlineLevel="0" collapsed="false">
      <c r="B1587" s="72" t="str">
        <f aca="false">IF(助手回款!$T$107=1,"合计：","")</f>
        <v/>
      </c>
      <c r="C1587" s="73" t="str">
        <f aca="false">IF(助手回款!$T$107=1,$F1587,"")</f>
        <v/>
      </c>
      <c r="D1587" s="74"/>
      <c r="E1587" s="74"/>
      <c r="F1587" s="75" t="str">
        <f aca="false">IF(助手回款!$T$107=1,INDEX(助手回款!$N$2:$N$66,助手回款!$R$107),"")</f>
        <v/>
      </c>
      <c r="G1587" s="76" t="str">
        <f aca="false">IF(助手回款!$T$107=1,INDEX(助手回款!$O$2:$O$66,助手回款!$R$107),"")</f>
        <v/>
      </c>
      <c r="H1587" s="74"/>
      <c r="I1587" s="77"/>
    </row>
    <row r="1588" customFormat="false" ht="6" hidden="false" customHeight="true" outlineLevel="0" collapsed="false"/>
    <row r="1589" customFormat="false" ht="13.5" hidden="false" customHeight="false" outlineLevel="0" collapsed="false">
      <c r="B1589" s="78" t="str">
        <f aca="false">IF(助手回款!$R$107&lt;&gt;"","会计主管：","")</f>
        <v/>
      </c>
      <c r="D1589" s="78" t="str">
        <f aca="false">IF(助手回款!$R$107&lt;&gt;"","会计：","")</f>
        <v/>
      </c>
      <c r="E1589" s="78" t="str">
        <f aca="false">IF(助手回款!$R$107&lt;&gt;"","出纳：","")</f>
        <v/>
      </c>
      <c r="F1589" s="78" t="str">
        <f aca="false">IF(助手回款!$R$107&lt;&gt;"","复核：","")</f>
        <v/>
      </c>
      <c r="G1589" s="78" t="str">
        <f aca="false">IF(助手回款!$R$107&lt;&gt;"","制单：","")</f>
        <v/>
      </c>
    </row>
    <row r="1590" customFormat="false" ht="3" hidden="false" customHeight="true" outlineLevel="0" collapsed="false"/>
    <row r="1591" customFormat="false" ht="19.5" hidden="false" customHeight="true" outlineLevel="0" collapsed="false">
      <c r="B1591" s="53" t="str">
        <f aca="false">IF(助手回款!$R$108&lt;&gt;"","记  账  凭  证","")</f>
        <v/>
      </c>
      <c r="C1591" s="53"/>
      <c r="D1591" s="53"/>
      <c r="E1591" s="53"/>
      <c r="F1591" s="53"/>
      <c r="G1591" s="53"/>
      <c r="H1591" s="53"/>
      <c r="I1591" s="53"/>
    </row>
    <row r="1592" customFormat="false" ht="3" hidden="false" customHeight="true" outlineLevel="0" collapsed="false"/>
    <row r="1593" customFormat="false" ht="15" hidden="false" customHeight="true" outlineLevel="0" collapsed="false">
      <c r="C1593" s="56" t="str">
        <f aca="false">IF(助手回款!$R$108&lt;&gt;"",INDEX(助手回款!$B$2:$B$66,助手回款!$R$108),"")</f>
        <v/>
      </c>
      <c r="D1593" s="57" t="str">
        <f aca="false">IF(助手回款!$R$108&lt;&gt;"",参数!$B$2,"")</f>
        <v/>
      </c>
      <c r="E1593" s="57"/>
      <c r="F1593" s="58" t="str">
        <f aca="false">IF(助手回款!$R$108&lt;&gt;"",INDEX(助手回款!$C$2:$C$66,助手回款!$R$108)&amp;"  字第 "&amp;IF(参数!$B$9="是",INDEX(助手回款!$P$2:$P$66,助手回款!$R$108),"　　　　")&amp;" 号"&amp;IF(INDEX(助手回款!$L$2:$L$66,助手回款!$R$108)&gt;1,"  (共"&amp;INDEX(助手回款!$L$2:$L$66,助手回款!$R$108)&amp;"页 第"&amp;助手回款!$S$108&amp;"页)",""),"")</f>
        <v/>
      </c>
      <c r="G1593" s="58"/>
      <c r="H1593" s="58"/>
      <c r="I1593" s="58"/>
      <c r="M1593" s="79" t="str">
        <f aca="false">IF(助手回款!$R$108="","",助手回款!$Q$108)</f>
        <v/>
      </c>
      <c r="N1593" s="80" t="str">
        <f aca="false">IF(助手回款!$R$108="","",INDEX(助手回款!$P$2:$P$66,助手回款!$R$108))</f>
        <v/>
      </c>
      <c r="O1593" s="55" t="str">
        <f aca="false">IF(助手回款!$R$108="","",INDEX(助手回款!$C$2:$C$66,助手回款!$R$108)&amp;"  字第 "&amp;INDEX(助手回款!$P$2:$P$66,助手回款!$R$108)&amp;" 号"&amp;IF(INDEX(助手回款!$L$2:$L$66,助手回款!$R$108)&gt;1,"  (共"&amp;INDEX(助手回款!$L$2:$L$66,助手回款!$R$108)&amp;"页 第"&amp;助手回款!$S$108&amp;"页)",""))</f>
        <v/>
      </c>
    </row>
    <row r="1594" customFormat="false" ht="12.75" hidden="false" customHeight="true" outlineLevel="0" collapsed="false">
      <c r="B1594" s="61" t="str">
        <f aca="false">IF(助手回款!$R$108&lt;&gt;"","摘　　要","")</f>
        <v/>
      </c>
      <c r="C1594" s="61"/>
      <c r="D1594" s="62" t="str">
        <f aca="false">IF(助手回款!$R$108&lt;&gt;"","科　　　　目","")</f>
        <v/>
      </c>
      <c r="E1594" s="62"/>
      <c r="F1594" s="61" t="str">
        <f aca="false">IF(助手回款!$R$108&lt;&gt;"","借 方 金 额","")</f>
        <v/>
      </c>
      <c r="G1594" s="62" t="str">
        <f aca="false">IF(助手回款!$R$108&lt;&gt;"","贷 方 金 额","")</f>
        <v/>
      </c>
      <c r="H1594" s="63" t="str">
        <f aca="false">IF(助手回款!$R$108&lt;&gt;"","√","")</f>
        <v/>
      </c>
      <c r="I1594" s="64" t="str">
        <f aca="false">IF(助手回款!$R$108&lt;&gt;"","附单据  张","")</f>
        <v/>
      </c>
    </row>
    <row r="1595" customFormat="false" ht="12.75" hidden="false" customHeight="true" outlineLevel="0" collapsed="false">
      <c r="B1595" s="61"/>
      <c r="C1595" s="61"/>
      <c r="D1595" s="23" t="str">
        <f aca="false">IF(助手回款!$R$108&lt;&gt;"","总 账 科 目","")</f>
        <v/>
      </c>
      <c r="E1595" s="23" t="str">
        <f aca="false">IF(助手回款!$R$108&lt;&gt;"","明 细 科 目","")</f>
        <v/>
      </c>
      <c r="F1595" s="65"/>
      <c r="G1595" s="66"/>
      <c r="H1595" s="63"/>
      <c r="I1595" s="64"/>
    </row>
    <row r="1596" customFormat="false" ht="23.25" hidden="false" customHeight="true" outlineLevel="0" collapsed="false">
      <c r="B1596" s="67" t="str">
        <f aca="false">IFERROR(INDEX(分录回款!$M:$M,MATCH($L1596,分录回款!$L:$L,0)),"")</f>
        <v/>
      </c>
      <c r="C1596" s="67"/>
      <c r="D1596" s="23" t="str">
        <f aca="false">IFERROR(INDEX(分录回款!$E:$E,MATCH($L1596,分录回款!$L:$L,0)),"")</f>
        <v/>
      </c>
      <c r="E1596" s="23" t="str">
        <f aca="false">IFERROR(INDEX(分录回款!$F:$F,MATCH($L1596,分录回款!$L:$L,0)),"")</f>
        <v/>
      </c>
      <c r="F1596" s="68" t="str">
        <f aca="false">IFERROR(INDEX(分录回款!$H:$H,MATCH($L1596,分录回款!$L:$L,0)),"")</f>
        <v/>
      </c>
      <c r="G1596" s="69" t="str">
        <f aca="false">IFERROR(INDEX(分录回款!$I:$I,MATCH($L1596,分录回款!$L:$L,0)),"")</f>
        <v/>
      </c>
      <c r="H1596" s="23"/>
      <c r="I1596" s="70"/>
      <c r="L1596" s="71" t="n">
        <f aca="false">IF(助手回款!$R$108="",-1,助手回款!$R$108*100+(助手回款!$S$108-1)*6+1)</f>
        <v>-1</v>
      </c>
    </row>
    <row r="1597" customFormat="false" ht="23.25" hidden="false" customHeight="true" outlineLevel="0" collapsed="false">
      <c r="B1597" s="67" t="str">
        <f aca="false">""</f>
        <v/>
      </c>
      <c r="C1597" s="67"/>
      <c r="D1597" s="23" t="str">
        <f aca="false">IFERROR(INDEX(分录回款!$E:$E,MATCH($L1597,分录回款!$L:$L,0)),"")</f>
        <v/>
      </c>
      <c r="E1597" s="23" t="str">
        <f aca="false">IFERROR(INDEX(分录回款!$F:$F,MATCH($L1597,分录回款!$L:$L,0)),"")</f>
        <v/>
      </c>
      <c r="F1597" s="68" t="str">
        <f aca="false">IFERROR(INDEX(分录回款!$H:$H,MATCH($L1597,分录回款!$L:$L,0)),"")</f>
        <v/>
      </c>
      <c r="G1597" s="69" t="str">
        <f aca="false">IFERROR(INDEX(分录回款!$I:$I,MATCH($L1597,分录回款!$L:$L,0)),"")</f>
        <v/>
      </c>
      <c r="H1597" s="23"/>
      <c r="I1597" s="70"/>
      <c r="L1597" s="71" t="n">
        <f aca="false">IF(助手回款!$R$108="",-1,助手回款!$R$108*100+(助手回款!$S$108-1)*6+2)</f>
        <v>-1</v>
      </c>
    </row>
    <row r="1598" customFormat="false" ht="23.25" hidden="false" customHeight="true" outlineLevel="0" collapsed="false">
      <c r="B1598" s="67" t="str">
        <f aca="false">""</f>
        <v/>
      </c>
      <c r="C1598" s="67"/>
      <c r="D1598" s="23" t="str">
        <f aca="false">IFERROR(INDEX(分录回款!$E:$E,MATCH($L1598,分录回款!$L:$L,0)),"")</f>
        <v/>
      </c>
      <c r="E1598" s="23" t="str">
        <f aca="false">IFERROR(INDEX(分录回款!$F:$F,MATCH($L1598,分录回款!$L:$L,0)),"")</f>
        <v/>
      </c>
      <c r="F1598" s="68" t="str">
        <f aca="false">IFERROR(INDEX(分录回款!$H:$H,MATCH($L1598,分录回款!$L:$L,0)),"")</f>
        <v/>
      </c>
      <c r="G1598" s="69" t="str">
        <f aca="false">IFERROR(INDEX(分录回款!$I:$I,MATCH($L1598,分录回款!$L:$L,0)),"")</f>
        <v/>
      </c>
      <c r="H1598" s="23"/>
      <c r="I1598" s="70"/>
      <c r="L1598" s="71" t="n">
        <f aca="false">IF(助手回款!$R$108="",-1,助手回款!$R$108*100+(助手回款!$S$108-1)*6+3)</f>
        <v>-1</v>
      </c>
    </row>
    <row r="1599" customFormat="false" ht="23.25" hidden="false" customHeight="true" outlineLevel="0" collapsed="false">
      <c r="B1599" s="67" t="str">
        <f aca="false">""</f>
        <v/>
      </c>
      <c r="C1599" s="67"/>
      <c r="D1599" s="23" t="str">
        <f aca="false">IFERROR(INDEX(分录回款!$E:$E,MATCH($L1599,分录回款!$L:$L,0)),"")</f>
        <v/>
      </c>
      <c r="E1599" s="23" t="str">
        <f aca="false">IFERROR(INDEX(分录回款!$F:$F,MATCH($L1599,分录回款!$L:$L,0)),"")</f>
        <v/>
      </c>
      <c r="F1599" s="68" t="str">
        <f aca="false">IFERROR(INDEX(分录回款!$H:$H,MATCH($L1599,分录回款!$L:$L,0)),"")</f>
        <v/>
      </c>
      <c r="G1599" s="69" t="str">
        <f aca="false">IFERROR(INDEX(分录回款!$I:$I,MATCH($L1599,分录回款!$L:$L,0)),"")</f>
        <v/>
      </c>
      <c r="H1599" s="23"/>
      <c r="I1599" s="70"/>
      <c r="L1599" s="71" t="n">
        <f aca="false">IF(助手回款!$R$108="",-1,助手回款!$R$108*100+(助手回款!$S$108-1)*6+4)</f>
        <v>-1</v>
      </c>
    </row>
    <row r="1600" customFormat="false" ht="23.25" hidden="false" customHeight="true" outlineLevel="0" collapsed="false">
      <c r="B1600" s="67" t="str">
        <f aca="false">""</f>
        <v/>
      </c>
      <c r="C1600" s="67"/>
      <c r="D1600" s="23" t="str">
        <f aca="false">IFERROR(INDEX(分录回款!$E:$E,MATCH($L1600,分录回款!$L:$L,0)),"")</f>
        <v/>
      </c>
      <c r="E1600" s="23" t="str">
        <f aca="false">IFERROR(INDEX(分录回款!$F:$F,MATCH($L1600,分录回款!$L:$L,0)),"")</f>
        <v/>
      </c>
      <c r="F1600" s="68" t="str">
        <f aca="false">IFERROR(INDEX(分录回款!$H:$H,MATCH($L1600,分录回款!$L:$L,0)),"")</f>
        <v/>
      </c>
      <c r="G1600" s="69" t="str">
        <f aca="false">IFERROR(INDEX(分录回款!$I:$I,MATCH($L1600,分录回款!$L:$L,0)),"")</f>
        <v/>
      </c>
      <c r="H1600" s="23"/>
      <c r="I1600" s="70"/>
      <c r="L1600" s="71" t="n">
        <f aca="false">IF(助手回款!$R$108="",-1,助手回款!$R$108*100+(助手回款!$S$108-1)*6+5)</f>
        <v>-1</v>
      </c>
    </row>
    <row r="1601" customFormat="false" ht="23.25" hidden="false" customHeight="true" outlineLevel="0" collapsed="false">
      <c r="B1601" s="67" t="str">
        <f aca="false">""</f>
        <v/>
      </c>
      <c r="C1601" s="67"/>
      <c r="D1601" s="23" t="str">
        <f aca="false">IFERROR(INDEX(分录回款!$E:$E,MATCH($L1601,分录回款!$L:$L,0)),"")</f>
        <v/>
      </c>
      <c r="E1601" s="23" t="str">
        <f aca="false">IFERROR(INDEX(分录回款!$F:$F,MATCH($L1601,分录回款!$L:$L,0)),"")</f>
        <v/>
      </c>
      <c r="F1601" s="68" t="str">
        <f aca="false">IFERROR(INDEX(分录回款!$H:$H,MATCH($L1601,分录回款!$L:$L,0)),"")</f>
        <v/>
      </c>
      <c r="G1601" s="69" t="str">
        <f aca="false">IFERROR(INDEX(分录回款!$I:$I,MATCH($L1601,分录回款!$L:$L,0)),"")</f>
        <v/>
      </c>
      <c r="H1601" s="23"/>
      <c r="I1601" s="70"/>
      <c r="L1601" s="71" t="n">
        <f aca="false">IF(助手回款!$R$108="",-1,助手回款!$R$108*100+(助手回款!$S$108-1)*6+6)</f>
        <v>-1</v>
      </c>
    </row>
    <row r="1602" customFormat="false" ht="23.25" hidden="false" customHeight="true" outlineLevel="0" collapsed="false">
      <c r="B1602" s="72" t="str">
        <f aca="false">IF(助手回款!$T$108=1,"合计：","")</f>
        <v/>
      </c>
      <c r="C1602" s="73" t="str">
        <f aca="false">IF(助手回款!$T$108=1,$F1602,"")</f>
        <v/>
      </c>
      <c r="D1602" s="74"/>
      <c r="E1602" s="74"/>
      <c r="F1602" s="75" t="str">
        <f aca="false">IF(助手回款!$T$108=1,INDEX(助手回款!$N$2:$N$66,助手回款!$R$108),"")</f>
        <v/>
      </c>
      <c r="G1602" s="76" t="str">
        <f aca="false">IF(助手回款!$T$108=1,INDEX(助手回款!$O$2:$O$66,助手回款!$R$108),"")</f>
        <v/>
      </c>
      <c r="H1602" s="74"/>
      <c r="I1602" s="77"/>
    </row>
    <row r="1603" customFormat="false" ht="6" hidden="false" customHeight="true" outlineLevel="0" collapsed="false"/>
    <row r="1604" customFormat="false" ht="13.5" hidden="false" customHeight="false" outlineLevel="0" collapsed="false">
      <c r="B1604" s="78" t="str">
        <f aca="false">IF(助手回款!$R$108&lt;&gt;"","会计主管：","")</f>
        <v/>
      </c>
      <c r="D1604" s="78" t="str">
        <f aca="false">IF(助手回款!$R$108&lt;&gt;"","会计：","")</f>
        <v/>
      </c>
      <c r="E1604" s="78" t="str">
        <f aca="false">IF(助手回款!$R$108&lt;&gt;"","出纳：","")</f>
        <v/>
      </c>
      <c r="F1604" s="78" t="str">
        <f aca="false">IF(助手回款!$R$108&lt;&gt;"","复核：","")</f>
        <v/>
      </c>
      <c r="G1604" s="78" t="str">
        <f aca="false">IF(助手回款!$R$108&lt;&gt;"","制单：","")</f>
        <v/>
      </c>
    </row>
    <row r="1605" customFormat="false" ht="3" hidden="false" customHeight="true" outlineLevel="0" collapsed="false"/>
    <row r="1606" customFormat="false" ht="19.5" hidden="false" customHeight="true" outlineLevel="0" collapsed="false">
      <c r="B1606" s="53" t="str">
        <f aca="false">IF(助手回款!$R$109&lt;&gt;"","记  账  凭  证","")</f>
        <v/>
      </c>
      <c r="C1606" s="53"/>
      <c r="D1606" s="53"/>
      <c r="E1606" s="53"/>
      <c r="F1606" s="53"/>
      <c r="G1606" s="53"/>
      <c r="H1606" s="53"/>
      <c r="I1606" s="53"/>
    </row>
    <row r="1607" customFormat="false" ht="3" hidden="false" customHeight="true" outlineLevel="0" collapsed="false"/>
    <row r="1608" customFormat="false" ht="15" hidden="false" customHeight="true" outlineLevel="0" collapsed="false">
      <c r="C1608" s="56" t="str">
        <f aca="false">IF(助手回款!$R$109&lt;&gt;"",INDEX(助手回款!$B$2:$B$66,助手回款!$R$109),"")</f>
        <v/>
      </c>
      <c r="D1608" s="57" t="str">
        <f aca="false">IF(助手回款!$R$109&lt;&gt;"",参数!$B$2,"")</f>
        <v/>
      </c>
      <c r="E1608" s="57"/>
      <c r="F1608" s="58" t="str">
        <f aca="false">IF(助手回款!$R$109&lt;&gt;"",INDEX(助手回款!$C$2:$C$66,助手回款!$R$109)&amp;"  字第 "&amp;IF(参数!$B$9="是",INDEX(助手回款!$P$2:$P$66,助手回款!$R$109),"　　　　")&amp;" 号"&amp;IF(INDEX(助手回款!$L$2:$L$66,助手回款!$R$109)&gt;1,"  (共"&amp;INDEX(助手回款!$L$2:$L$66,助手回款!$R$109)&amp;"页 第"&amp;助手回款!$S$109&amp;"页)",""),"")</f>
        <v/>
      </c>
      <c r="G1608" s="58"/>
      <c r="H1608" s="58"/>
      <c r="I1608" s="58"/>
      <c r="M1608" s="79" t="str">
        <f aca="false">IF(助手回款!$R$109="","",助手回款!$Q$109)</f>
        <v/>
      </c>
      <c r="N1608" s="80" t="str">
        <f aca="false">IF(助手回款!$R$109="","",INDEX(助手回款!$P$2:$P$66,助手回款!$R$109))</f>
        <v/>
      </c>
      <c r="O1608" s="55" t="str">
        <f aca="false">IF(助手回款!$R$109="","",INDEX(助手回款!$C$2:$C$66,助手回款!$R$109)&amp;"  字第 "&amp;INDEX(助手回款!$P$2:$P$66,助手回款!$R$109)&amp;" 号"&amp;IF(INDEX(助手回款!$L$2:$L$66,助手回款!$R$109)&gt;1,"  (共"&amp;INDEX(助手回款!$L$2:$L$66,助手回款!$R$109)&amp;"页 第"&amp;助手回款!$S$109&amp;"页)",""))</f>
        <v/>
      </c>
    </row>
    <row r="1609" customFormat="false" ht="12.75" hidden="false" customHeight="true" outlineLevel="0" collapsed="false">
      <c r="B1609" s="61" t="str">
        <f aca="false">IF(助手回款!$R$109&lt;&gt;"","摘　　要","")</f>
        <v/>
      </c>
      <c r="C1609" s="61"/>
      <c r="D1609" s="62" t="str">
        <f aca="false">IF(助手回款!$R$109&lt;&gt;"","科　　　　目","")</f>
        <v/>
      </c>
      <c r="E1609" s="62"/>
      <c r="F1609" s="61" t="str">
        <f aca="false">IF(助手回款!$R$109&lt;&gt;"","借 方 金 额","")</f>
        <v/>
      </c>
      <c r="G1609" s="62" t="str">
        <f aca="false">IF(助手回款!$R$109&lt;&gt;"","贷 方 金 额","")</f>
        <v/>
      </c>
      <c r="H1609" s="63" t="str">
        <f aca="false">IF(助手回款!$R$109&lt;&gt;"","√","")</f>
        <v/>
      </c>
      <c r="I1609" s="64" t="str">
        <f aca="false">IF(助手回款!$R$109&lt;&gt;"","附单据  张","")</f>
        <v/>
      </c>
    </row>
    <row r="1610" customFormat="false" ht="12.75" hidden="false" customHeight="true" outlineLevel="0" collapsed="false">
      <c r="B1610" s="61"/>
      <c r="C1610" s="61"/>
      <c r="D1610" s="23" t="str">
        <f aca="false">IF(助手回款!$R$109&lt;&gt;"","总 账 科 目","")</f>
        <v/>
      </c>
      <c r="E1610" s="23" t="str">
        <f aca="false">IF(助手回款!$R$109&lt;&gt;"","明 细 科 目","")</f>
        <v/>
      </c>
      <c r="F1610" s="65"/>
      <c r="G1610" s="66"/>
      <c r="H1610" s="63"/>
      <c r="I1610" s="64"/>
    </row>
    <row r="1611" customFormat="false" ht="23.25" hidden="false" customHeight="true" outlineLevel="0" collapsed="false">
      <c r="B1611" s="67" t="str">
        <f aca="false">IFERROR(INDEX(分录回款!$M:$M,MATCH($L1611,分录回款!$L:$L,0)),"")</f>
        <v/>
      </c>
      <c r="C1611" s="67"/>
      <c r="D1611" s="23" t="str">
        <f aca="false">IFERROR(INDEX(分录回款!$E:$E,MATCH($L1611,分录回款!$L:$L,0)),"")</f>
        <v/>
      </c>
      <c r="E1611" s="23" t="str">
        <f aca="false">IFERROR(INDEX(分录回款!$F:$F,MATCH($L1611,分录回款!$L:$L,0)),"")</f>
        <v/>
      </c>
      <c r="F1611" s="68" t="str">
        <f aca="false">IFERROR(INDEX(分录回款!$H:$H,MATCH($L1611,分录回款!$L:$L,0)),"")</f>
        <v/>
      </c>
      <c r="G1611" s="69" t="str">
        <f aca="false">IFERROR(INDEX(分录回款!$I:$I,MATCH($L1611,分录回款!$L:$L,0)),"")</f>
        <v/>
      </c>
      <c r="H1611" s="23"/>
      <c r="I1611" s="70"/>
      <c r="L1611" s="71" t="n">
        <f aca="false">IF(助手回款!$R$109="",-1,助手回款!$R$109*100+(助手回款!$S$109-1)*6+1)</f>
        <v>-1</v>
      </c>
    </row>
    <row r="1612" customFormat="false" ht="23.25" hidden="false" customHeight="true" outlineLevel="0" collapsed="false">
      <c r="B1612" s="67" t="str">
        <f aca="false">""</f>
        <v/>
      </c>
      <c r="C1612" s="67"/>
      <c r="D1612" s="23" t="str">
        <f aca="false">IFERROR(INDEX(分录回款!$E:$E,MATCH($L1612,分录回款!$L:$L,0)),"")</f>
        <v/>
      </c>
      <c r="E1612" s="23" t="str">
        <f aca="false">IFERROR(INDEX(分录回款!$F:$F,MATCH($L1612,分录回款!$L:$L,0)),"")</f>
        <v/>
      </c>
      <c r="F1612" s="68" t="str">
        <f aca="false">IFERROR(INDEX(分录回款!$H:$H,MATCH($L1612,分录回款!$L:$L,0)),"")</f>
        <v/>
      </c>
      <c r="G1612" s="69" t="str">
        <f aca="false">IFERROR(INDEX(分录回款!$I:$I,MATCH($L1612,分录回款!$L:$L,0)),"")</f>
        <v/>
      </c>
      <c r="H1612" s="23"/>
      <c r="I1612" s="70"/>
      <c r="L1612" s="71" t="n">
        <f aca="false">IF(助手回款!$R$109="",-1,助手回款!$R$109*100+(助手回款!$S$109-1)*6+2)</f>
        <v>-1</v>
      </c>
    </row>
    <row r="1613" customFormat="false" ht="23.25" hidden="false" customHeight="true" outlineLevel="0" collapsed="false">
      <c r="B1613" s="67" t="str">
        <f aca="false">""</f>
        <v/>
      </c>
      <c r="C1613" s="67"/>
      <c r="D1613" s="23" t="str">
        <f aca="false">IFERROR(INDEX(分录回款!$E:$E,MATCH($L1613,分录回款!$L:$L,0)),"")</f>
        <v/>
      </c>
      <c r="E1613" s="23" t="str">
        <f aca="false">IFERROR(INDEX(分录回款!$F:$F,MATCH($L1613,分录回款!$L:$L,0)),"")</f>
        <v/>
      </c>
      <c r="F1613" s="68" t="str">
        <f aca="false">IFERROR(INDEX(分录回款!$H:$H,MATCH($L1613,分录回款!$L:$L,0)),"")</f>
        <v/>
      </c>
      <c r="G1613" s="69" t="str">
        <f aca="false">IFERROR(INDEX(分录回款!$I:$I,MATCH($L1613,分录回款!$L:$L,0)),"")</f>
        <v/>
      </c>
      <c r="H1613" s="23"/>
      <c r="I1613" s="70"/>
      <c r="L1613" s="71" t="n">
        <f aca="false">IF(助手回款!$R$109="",-1,助手回款!$R$109*100+(助手回款!$S$109-1)*6+3)</f>
        <v>-1</v>
      </c>
    </row>
    <row r="1614" customFormat="false" ht="23.25" hidden="false" customHeight="true" outlineLevel="0" collapsed="false">
      <c r="B1614" s="67" t="str">
        <f aca="false">""</f>
        <v/>
      </c>
      <c r="C1614" s="67"/>
      <c r="D1614" s="23" t="str">
        <f aca="false">IFERROR(INDEX(分录回款!$E:$E,MATCH($L1614,分录回款!$L:$L,0)),"")</f>
        <v/>
      </c>
      <c r="E1614" s="23" t="str">
        <f aca="false">IFERROR(INDEX(分录回款!$F:$F,MATCH($L1614,分录回款!$L:$L,0)),"")</f>
        <v/>
      </c>
      <c r="F1614" s="68" t="str">
        <f aca="false">IFERROR(INDEX(分录回款!$H:$H,MATCH($L1614,分录回款!$L:$L,0)),"")</f>
        <v/>
      </c>
      <c r="G1614" s="69" t="str">
        <f aca="false">IFERROR(INDEX(分录回款!$I:$I,MATCH($L1614,分录回款!$L:$L,0)),"")</f>
        <v/>
      </c>
      <c r="H1614" s="23"/>
      <c r="I1614" s="70"/>
      <c r="L1614" s="71" t="n">
        <f aca="false">IF(助手回款!$R$109="",-1,助手回款!$R$109*100+(助手回款!$S$109-1)*6+4)</f>
        <v>-1</v>
      </c>
    </row>
    <row r="1615" customFormat="false" ht="23.25" hidden="false" customHeight="true" outlineLevel="0" collapsed="false">
      <c r="B1615" s="67" t="str">
        <f aca="false">""</f>
        <v/>
      </c>
      <c r="C1615" s="67"/>
      <c r="D1615" s="23" t="str">
        <f aca="false">IFERROR(INDEX(分录回款!$E:$E,MATCH($L1615,分录回款!$L:$L,0)),"")</f>
        <v/>
      </c>
      <c r="E1615" s="23" t="str">
        <f aca="false">IFERROR(INDEX(分录回款!$F:$F,MATCH($L1615,分录回款!$L:$L,0)),"")</f>
        <v/>
      </c>
      <c r="F1615" s="68" t="str">
        <f aca="false">IFERROR(INDEX(分录回款!$H:$H,MATCH($L1615,分录回款!$L:$L,0)),"")</f>
        <v/>
      </c>
      <c r="G1615" s="69" t="str">
        <f aca="false">IFERROR(INDEX(分录回款!$I:$I,MATCH($L1615,分录回款!$L:$L,0)),"")</f>
        <v/>
      </c>
      <c r="H1615" s="23"/>
      <c r="I1615" s="70"/>
      <c r="L1615" s="71" t="n">
        <f aca="false">IF(助手回款!$R$109="",-1,助手回款!$R$109*100+(助手回款!$S$109-1)*6+5)</f>
        <v>-1</v>
      </c>
    </row>
    <row r="1616" customFormat="false" ht="23.25" hidden="false" customHeight="true" outlineLevel="0" collapsed="false">
      <c r="B1616" s="67" t="str">
        <f aca="false">""</f>
        <v/>
      </c>
      <c r="C1616" s="67"/>
      <c r="D1616" s="23" t="str">
        <f aca="false">IFERROR(INDEX(分录回款!$E:$E,MATCH($L1616,分录回款!$L:$L,0)),"")</f>
        <v/>
      </c>
      <c r="E1616" s="23" t="str">
        <f aca="false">IFERROR(INDEX(分录回款!$F:$F,MATCH($L1616,分录回款!$L:$L,0)),"")</f>
        <v/>
      </c>
      <c r="F1616" s="68" t="str">
        <f aca="false">IFERROR(INDEX(分录回款!$H:$H,MATCH($L1616,分录回款!$L:$L,0)),"")</f>
        <v/>
      </c>
      <c r="G1616" s="69" t="str">
        <f aca="false">IFERROR(INDEX(分录回款!$I:$I,MATCH($L1616,分录回款!$L:$L,0)),"")</f>
        <v/>
      </c>
      <c r="H1616" s="23"/>
      <c r="I1616" s="70"/>
      <c r="L1616" s="71" t="n">
        <f aca="false">IF(助手回款!$R$109="",-1,助手回款!$R$109*100+(助手回款!$S$109-1)*6+6)</f>
        <v>-1</v>
      </c>
    </row>
    <row r="1617" customFormat="false" ht="23.25" hidden="false" customHeight="true" outlineLevel="0" collapsed="false">
      <c r="B1617" s="72" t="str">
        <f aca="false">IF(助手回款!$T$109=1,"合计：","")</f>
        <v/>
      </c>
      <c r="C1617" s="73" t="str">
        <f aca="false">IF(助手回款!$T$109=1,$F1617,"")</f>
        <v/>
      </c>
      <c r="D1617" s="74"/>
      <c r="E1617" s="74"/>
      <c r="F1617" s="75" t="str">
        <f aca="false">IF(助手回款!$T$109=1,INDEX(助手回款!$N$2:$N$66,助手回款!$R$109),"")</f>
        <v/>
      </c>
      <c r="G1617" s="76" t="str">
        <f aca="false">IF(助手回款!$T$109=1,INDEX(助手回款!$O$2:$O$66,助手回款!$R$109),"")</f>
        <v/>
      </c>
      <c r="H1617" s="74"/>
      <c r="I1617" s="77"/>
    </row>
    <row r="1618" customFormat="false" ht="6" hidden="false" customHeight="true" outlineLevel="0" collapsed="false"/>
    <row r="1619" customFormat="false" ht="13.5" hidden="false" customHeight="false" outlineLevel="0" collapsed="false">
      <c r="B1619" s="78" t="str">
        <f aca="false">IF(助手回款!$R$109&lt;&gt;"","会计主管：","")</f>
        <v/>
      </c>
      <c r="D1619" s="78" t="str">
        <f aca="false">IF(助手回款!$R$109&lt;&gt;"","会计：","")</f>
        <v/>
      </c>
      <c r="E1619" s="78" t="str">
        <f aca="false">IF(助手回款!$R$109&lt;&gt;"","出纳：","")</f>
        <v/>
      </c>
      <c r="F1619" s="78" t="str">
        <f aca="false">IF(助手回款!$R$109&lt;&gt;"","复核：","")</f>
        <v/>
      </c>
      <c r="G1619" s="78" t="str">
        <f aca="false">IF(助手回款!$R$109&lt;&gt;"","制单：","")</f>
        <v/>
      </c>
    </row>
    <row r="1620" customFormat="false" ht="3" hidden="false" customHeight="true" outlineLevel="0" collapsed="false"/>
    <row r="1621" customFormat="false" ht="19.5" hidden="false" customHeight="true" outlineLevel="0" collapsed="false">
      <c r="B1621" s="53" t="str">
        <f aca="false">IF(助手回款!$R$110&lt;&gt;"","记  账  凭  证","")</f>
        <v/>
      </c>
      <c r="C1621" s="53"/>
      <c r="D1621" s="53"/>
      <c r="E1621" s="53"/>
      <c r="F1621" s="53"/>
      <c r="G1621" s="53"/>
      <c r="H1621" s="53"/>
      <c r="I1621" s="53"/>
    </row>
    <row r="1622" customFormat="false" ht="3" hidden="false" customHeight="true" outlineLevel="0" collapsed="false"/>
    <row r="1623" customFormat="false" ht="15" hidden="false" customHeight="true" outlineLevel="0" collapsed="false">
      <c r="C1623" s="56" t="str">
        <f aca="false">IF(助手回款!$R$110&lt;&gt;"",INDEX(助手回款!$B$2:$B$66,助手回款!$R$110),"")</f>
        <v/>
      </c>
      <c r="D1623" s="57" t="str">
        <f aca="false">IF(助手回款!$R$110&lt;&gt;"",参数!$B$2,"")</f>
        <v/>
      </c>
      <c r="E1623" s="57"/>
      <c r="F1623" s="58" t="str">
        <f aca="false">IF(助手回款!$R$110&lt;&gt;"",INDEX(助手回款!$C$2:$C$66,助手回款!$R$110)&amp;"  字第 "&amp;IF(参数!$B$9="是",INDEX(助手回款!$P$2:$P$66,助手回款!$R$110),"　　　　")&amp;" 号"&amp;IF(INDEX(助手回款!$L$2:$L$66,助手回款!$R$110)&gt;1,"  (共"&amp;INDEX(助手回款!$L$2:$L$66,助手回款!$R$110)&amp;"页 第"&amp;助手回款!$S$110&amp;"页)",""),"")</f>
        <v/>
      </c>
      <c r="G1623" s="58"/>
      <c r="H1623" s="58"/>
      <c r="I1623" s="58"/>
      <c r="M1623" s="79" t="str">
        <f aca="false">IF(助手回款!$R$110="","",助手回款!$Q$110)</f>
        <v/>
      </c>
      <c r="N1623" s="80" t="str">
        <f aca="false">IF(助手回款!$R$110="","",INDEX(助手回款!$P$2:$P$66,助手回款!$R$110))</f>
        <v/>
      </c>
      <c r="O1623" s="55" t="str">
        <f aca="false">IF(助手回款!$R$110="","",INDEX(助手回款!$C$2:$C$66,助手回款!$R$110)&amp;"  字第 "&amp;INDEX(助手回款!$P$2:$P$66,助手回款!$R$110)&amp;" 号"&amp;IF(INDEX(助手回款!$L$2:$L$66,助手回款!$R$110)&gt;1,"  (共"&amp;INDEX(助手回款!$L$2:$L$66,助手回款!$R$110)&amp;"页 第"&amp;助手回款!$S$110&amp;"页)",""))</f>
        <v/>
      </c>
    </row>
    <row r="1624" customFormat="false" ht="12.75" hidden="false" customHeight="true" outlineLevel="0" collapsed="false">
      <c r="B1624" s="61" t="str">
        <f aca="false">IF(助手回款!$R$110&lt;&gt;"","摘　　要","")</f>
        <v/>
      </c>
      <c r="C1624" s="61"/>
      <c r="D1624" s="62" t="str">
        <f aca="false">IF(助手回款!$R$110&lt;&gt;"","科　　　　目","")</f>
        <v/>
      </c>
      <c r="E1624" s="62"/>
      <c r="F1624" s="61" t="str">
        <f aca="false">IF(助手回款!$R$110&lt;&gt;"","借 方 金 额","")</f>
        <v/>
      </c>
      <c r="G1624" s="62" t="str">
        <f aca="false">IF(助手回款!$R$110&lt;&gt;"","贷 方 金 额","")</f>
        <v/>
      </c>
      <c r="H1624" s="63" t="str">
        <f aca="false">IF(助手回款!$R$110&lt;&gt;"","√","")</f>
        <v/>
      </c>
      <c r="I1624" s="64" t="str">
        <f aca="false">IF(助手回款!$R$110&lt;&gt;"","附单据  张","")</f>
        <v/>
      </c>
    </row>
    <row r="1625" customFormat="false" ht="12.75" hidden="false" customHeight="true" outlineLevel="0" collapsed="false">
      <c r="B1625" s="61"/>
      <c r="C1625" s="61"/>
      <c r="D1625" s="23" t="str">
        <f aca="false">IF(助手回款!$R$110&lt;&gt;"","总 账 科 目","")</f>
        <v/>
      </c>
      <c r="E1625" s="23" t="str">
        <f aca="false">IF(助手回款!$R$110&lt;&gt;"","明 细 科 目","")</f>
        <v/>
      </c>
      <c r="F1625" s="65"/>
      <c r="G1625" s="66"/>
      <c r="H1625" s="63"/>
      <c r="I1625" s="64"/>
    </row>
    <row r="1626" customFormat="false" ht="23.25" hidden="false" customHeight="true" outlineLevel="0" collapsed="false">
      <c r="B1626" s="67" t="str">
        <f aca="false">IFERROR(INDEX(分录回款!$M:$M,MATCH($L1626,分录回款!$L:$L,0)),"")</f>
        <v/>
      </c>
      <c r="C1626" s="67"/>
      <c r="D1626" s="23" t="str">
        <f aca="false">IFERROR(INDEX(分录回款!$E:$E,MATCH($L1626,分录回款!$L:$L,0)),"")</f>
        <v/>
      </c>
      <c r="E1626" s="23" t="str">
        <f aca="false">IFERROR(INDEX(分录回款!$F:$F,MATCH($L1626,分录回款!$L:$L,0)),"")</f>
        <v/>
      </c>
      <c r="F1626" s="68" t="str">
        <f aca="false">IFERROR(INDEX(分录回款!$H:$H,MATCH($L1626,分录回款!$L:$L,0)),"")</f>
        <v/>
      </c>
      <c r="G1626" s="69" t="str">
        <f aca="false">IFERROR(INDEX(分录回款!$I:$I,MATCH($L1626,分录回款!$L:$L,0)),"")</f>
        <v/>
      </c>
      <c r="H1626" s="23"/>
      <c r="I1626" s="70"/>
      <c r="L1626" s="71" t="n">
        <f aca="false">IF(助手回款!$R$110="",-1,助手回款!$R$110*100+(助手回款!$S$110-1)*6+1)</f>
        <v>-1</v>
      </c>
    </row>
    <row r="1627" customFormat="false" ht="23.25" hidden="false" customHeight="true" outlineLevel="0" collapsed="false">
      <c r="B1627" s="67" t="str">
        <f aca="false">""</f>
        <v/>
      </c>
      <c r="C1627" s="67"/>
      <c r="D1627" s="23" t="str">
        <f aca="false">IFERROR(INDEX(分录回款!$E:$E,MATCH($L1627,分录回款!$L:$L,0)),"")</f>
        <v/>
      </c>
      <c r="E1627" s="23" t="str">
        <f aca="false">IFERROR(INDEX(分录回款!$F:$F,MATCH($L1627,分录回款!$L:$L,0)),"")</f>
        <v/>
      </c>
      <c r="F1627" s="68" t="str">
        <f aca="false">IFERROR(INDEX(分录回款!$H:$H,MATCH($L1627,分录回款!$L:$L,0)),"")</f>
        <v/>
      </c>
      <c r="G1627" s="69" t="str">
        <f aca="false">IFERROR(INDEX(分录回款!$I:$I,MATCH($L1627,分录回款!$L:$L,0)),"")</f>
        <v/>
      </c>
      <c r="H1627" s="23"/>
      <c r="I1627" s="70"/>
      <c r="L1627" s="71" t="n">
        <f aca="false">IF(助手回款!$R$110="",-1,助手回款!$R$110*100+(助手回款!$S$110-1)*6+2)</f>
        <v>-1</v>
      </c>
    </row>
    <row r="1628" customFormat="false" ht="23.25" hidden="false" customHeight="true" outlineLevel="0" collapsed="false">
      <c r="B1628" s="67" t="str">
        <f aca="false">""</f>
        <v/>
      </c>
      <c r="C1628" s="67"/>
      <c r="D1628" s="23" t="str">
        <f aca="false">IFERROR(INDEX(分录回款!$E:$E,MATCH($L1628,分录回款!$L:$L,0)),"")</f>
        <v/>
      </c>
      <c r="E1628" s="23" t="str">
        <f aca="false">IFERROR(INDEX(分录回款!$F:$F,MATCH($L1628,分录回款!$L:$L,0)),"")</f>
        <v/>
      </c>
      <c r="F1628" s="68" t="str">
        <f aca="false">IFERROR(INDEX(分录回款!$H:$H,MATCH($L1628,分录回款!$L:$L,0)),"")</f>
        <v/>
      </c>
      <c r="G1628" s="69" t="str">
        <f aca="false">IFERROR(INDEX(分录回款!$I:$I,MATCH($L1628,分录回款!$L:$L,0)),"")</f>
        <v/>
      </c>
      <c r="H1628" s="23"/>
      <c r="I1628" s="70"/>
      <c r="L1628" s="71" t="n">
        <f aca="false">IF(助手回款!$R$110="",-1,助手回款!$R$110*100+(助手回款!$S$110-1)*6+3)</f>
        <v>-1</v>
      </c>
    </row>
    <row r="1629" customFormat="false" ht="23.25" hidden="false" customHeight="true" outlineLevel="0" collapsed="false">
      <c r="B1629" s="67" t="str">
        <f aca="false">""</f>
        <v/>
      </c>
      <c r="C1629" s="67"/>
      <c r="D1629" s="23" t="str">
        <f aca="false">IFERROR(INDEX(分录回款!$E:$E,MATCH($L1629,分录回款!$L:$L,0)),"")</f>
        <v/>
      </c>
      <c r="E1629" s="23" t="str">
        <f aca="false">IFERROR(INDEX(分录回款!$F:$F,MATCH($L1629,分录回款!$L:$L,0)),"")</f>
        <v/>
      </c>
      <c r="F1629" s="68" t="str">
        <f aca="false">IFERROR(INDEX(分录回款!$H:$H,MATCH($L1629,分录回款!$L:$L,0)),"")</f>
        <v/>
      </c>
      <c r="G1629" s="69" t="str">
        <f aca="false">IFERROR(INDEX(分录回款!$I:$I,MATCH($L1629,分录回款!$L:$L,0)),"")</f>
        <v/>
      </c>
      <c r="H1629" s="23"/>
      <c r="I1629" s="70"/>
      <c r="L1629" s="71" t="n">
        <f aca="false">IF(助手回款!$R$110="",-1,助手回款!$R$110*100+(助手回款!$S$110-1)*6+4)</f>
        <v>-1</v>
      </c>
    </row>
    <row r="1630" customFormat="false" ht="23.25" hidden="false" customHeight="true" outlineLevel="0" collapsed="false">
      <c r="B1630" s="67" t="str">
        <f aca="false">""</f>
        <v/>
      </c>
      <c r="C1630" s="67"/>
      <c r="D1630" s="23" t="str">
        <f aca="false">IFERROR(INDEX(分录回款!$E:$E,MATCH($L1630,分录回款!$L:$L,0)),"")</f>
        <v/>
      </c>
      <c r="E1630" s="23" t="str">
        <f aca="false">IFERROR(INDEX(分录回款!$F:$F,MATCH($L1630,分录回款!$L:$L,0)),"")</f>
        <v/>
      </c>
      <c r="F1630" s="68" t="str">
        <f aca="false">IFERROR(INDEX(分录回款!$H:$H,MATCH($L1630,分录回款!$L:$L,0)),"")</f>
        <v/>
      </c>
      <c r="G1630" s="69" t="str">
        <f aca="false">IFERROR(INDEX(分录回款!$I:$I,MATCH($L1630,分录回款!$L:$L,0)),"")</f>
        <v/>
      </c>
      <c r="H1630" s="23"/>
      <c r="I1630" s="70"/>
      <c r="L1630" s="71" t="n">
        <f aca="false">IF(助手回款!$R$110="",-1,助手回款!$R$110*100+(助手回款!$S$110-1)*6+5)</f>
        <v>-1</v>
      </c>
    </row>
    <row r="1631" customFormat="false" ht="23.25" hidden="false" customHeight="true" outlineLevel="0" collapsed="false">
      <c r="B1631" s="67" t="str">
        <f aca="false">""</f>
        <v/>
      </c>
      <c r="C1631" s="67"/>
      <c r="D1631" s="23" t="str">
        <f aca="false">IFERROR(INDEX(分录回款!$E:$E,MATCH($L1631,分录回款!$L:$L,0)),"")</f>
        <v/>
      </c>
      <c r="E1631" s="23" t="str">
        <f aca="false">IFERROR(INDEX(分录回款!$F:$F,MATCH($L1631,分录回款!$L:$L,0)),"")</f>
        <v/>
      </c>
      <c r="F1631" s="68" t="str">
        <f aca="false">IFERROR(INDEX(分录回款!$H:$H,MATCH($L1631,分录回款!$L:$L,0)),"")</f>
        <v/>
      </c>
      <c r="G1631" s="69" t="str">
        <f aca="false">IFERROR(INDEX(分录回款!$I:$I,MATCH($L1631,分录回款!$L:$L,0)),"")</f>
        <v/>
      </c>
      <c r="H1631" s="23"/>
      <c r="I1631" s="70"/>
      <c r="L1631" s="71" t="n">
        <f aca="false">IF(助手回款!$R$110="",-1,助手回款!$R$110*100+(助手回款!$S$110-1)*6+6)</f>
        <v>-1</v>
      </c>
    </row>
    <row r="1632" customFormat="false" ht="23.25" hidden="false" customHeight="true" outlineLevel="0" collapsed="false">
      <c r="B1632" s="72" t="str">
        <f aca="false">IF(助手回款!$T$110=1,"合计：","")</f>
        <v/>
      </c>
      <c r="C1632" s="73" t="str">
        <f aca="false">IF(助手回款!$T$110=1,$F1632,"")</f>
        <v/>
      </c>
      <c r="D1632" s="74"/>
      <c r="E1632" s="74"/>
      <c r="F1632" s="75" t="str">
        <f aca="false">IF(助手回款!$T$110=1,INDEX(助手回款!$N$2:$N$66,助手回款!$R$110),"")</f>
        <v/>
      </c>
      <c r="G1632" s="76" t="str">
        <f aca="false">IF(助手回款!$T$110=1,INDEX(助手回款!$O$2:$O$66,助手回款!$R$110),"")</f>
        <v/>
      </c>
      <c r="H1632" s="74"/>
      <c r="I1632" s="77"/>
    </row>
    <row r="1633" customFormat="false" ht="6" hidden="false" customHeight="true" outlineLevel="0" collapsed="false"/>
    <row r="1634" customFormat="false" ht="13.5" hidden="false" customHeight="false" outlineLevel="0" collapsed="false">
      <c r="B1634" s="78" t="str">
        <f aca="false">IF(助手回款!$R$110&lt;&gt;"","会计主管：","")</f>
        <v/>
      </c>
      <c r="D1634" s="78" t="str">
        <f aca="false">IF(助手回款!$R$110&lt;&gt;"","会计：","")</f>
        <v/>
      </c>
      <c r="E1634" s="78" t="str">
        <f aca="false">IF(助手回款!$R$110&lt;&gt;"","出纳：","")</f>
        <v/>
      </c>
      <c r="F1634" s="78" t="str">
        <f aca="false">IF(助手回款!$R$110&lt;&gt;"","复核：","")</f>
        <v/>
      </c>
      <c r="G1634" s="78" t="str">
        <f aca="false">IF(助手回款!$R$110&lt;&gt;"","制单：","")</f>
        <v/>
      </c>
    </row>
    <row r="1635" customFormat="false" ht="3" hidden="false" customHeight="true" outlineLevel="0" collapsed="false"/>
    <row r="1636" customFormat="false" ht="19.5" hidden="false" customHeight="true" outlineLevel="0" collapsed="false">
      <c r="B1636" s="53" t="str">
        <f aca="false">IF(助手回款!$R$111&lt;&gt;"","记  账  凭  证","")</f>
        <v/>
      </c>
      <c r="C1636" s="53"/>
      <c r="D1636" s="53"/>
      <c r="E1636" s="53"/>
      <c r="F1636" s="53"/>
      <c r="G1636" s="53"/>
      <c r="H1636" s="53"/>
      <c r="I1636" s="53"/>
    </row>
    <row r="1637" customFormat="false" ht="3" hidden="false" customHeight="true" outlineLevel="0" collapsed="false"/>
    <row r="1638" customFormat="false" ht="15" hidden="false" customHeight="true" outlineLevel="0" collapsed="false">
      <c r="C1638" s="56" t="str">
        <f aca="false">IF(助手回款!$R$111&lt;&gt;"",INDEX(助手回款!$B$2:$B$66,助手回款!$R$111),"")</f>
        <v/>
      </c>
      <c r="D1638" s="57" t="str">
        <f aca="false">IF(助手回款!$R$111&lt;&gt;"",参数!$B$2,"")</f>
        <v/>
      </c>
      <c r="E1638" s="57"/>
      <c r="F1638" s="58" t="str">
        <f aca="false">IF(助手回款!$R$111&lt;&gt;"",INDEX(助手回款!$C$2:$C$66,助手回款!$R$111)&amp;"  字第 "&amp;IF(参数!$B$9="是",INDEX(助手回款!$P$2:$P$66,助手回款!$R$111),"　　　　")&amp;" 号"&amp;IF(INDEX(助手回款!$L$2:$L$66,助手回款!$R$111)&gt;1,"  (共"&amp;INDEX(助手回款!$L$2:$L$66,助手回款!$R$111)&amp;"页 第"&amp;助手回款!$S$111&amp;"页)",""),"")</f>
        <v/>
      </c>
      <c r="G1638" s="58"/>
      <c r="H1638" s="58"/>
      <c r="I1638" s="58"/>
      <c r="M1638" s="79" t="str">
        <f aca="false">IF(助手回款!$R$111="","",助手回款!$Q$111)</f>
        <v/>
      </c>
      <c r="N1638" s="80" t="str">
        <f aca="false">IF(助手回款!$R$111="","",INDEX(助手回款!$P$2:$P$66,助手回款!$R$111))</f>
        <v/>
      </c>
      <c r="O1638" s="55" t="str">
        <f aca="false">IF(助手回款!$R$111="","",INDEX(助手回款!$C$2:$C$66,助手回款!$R$111)&amp;"  字第 "&amp;INDEX(助手回款!$P$2:$P$66,助手回款!$R$111)&amp;" 号"&amp;IF(INDEX(助手回款!$L$2:$L$66,助手回款!$R$111)&gt;1,"  (共"&amp;INDEX(助手回款!$L$2:$L$66,助手回款!$R$111)&amp;"页 第"&amp;助手回款!$S$111&amp;"页)",""))</f>
        <v/>
      </c>
    </row>
    <row r="1639" customFormat="false" ht="12.75" hidden="false" customHeight="true" outlineLevel="0" collapsed="false">
      <c r="B1639" s="61" t="str">
        <f aca="false">IF(助手回款!$R$111&lt;&gt;"","摘　　要","")</f>
        <v/>
      </c>
      <c r="C1639" s="61"/>
      <c r="D1639" s="62" t="str">
        <f aca="false">IF(助手回款!$R$111&lt;&gt;"","科　　　　目","")</f>
        <v/>
      </c>
      <c r="E1639" s="62"/>
      <c r="F1639" s="61" t="str">
        <f aca="false">IF(助手回款!$R$111&lt;&gt;"","借 方 金 额","")</f>
        <v/>
      </c>
      <c r="G1639" s="62" t="str">
        <f aca="false">IF(助手回款!$R$111&lt;&gt;"","贷 方 金 额","")</f>
        <v/>
      </c>
      <c r="H1639" s="63" t="str">
        <f aca="false">IF(助手回款!$R$111&lt;&gt;"","√","")</f>
        <v/>
      </c>
      <c r="I1639" s="64" t="str">
        <f aca="false">IF(助手回款!$R$111&lt;&gt;"","附单据  张","")</f>
        <v/>
      </c>
    </row>
    <row r="1640" customFormat="false" ht="12.75" hidden="false" customHeight="true" outlineLevel="0" collapsed="false">
      <c r="B1640" s="61"/>
      <c r="C1640" s="61"/>
      <c r="D1640" s="23" t="str">
        <f aca="false">IF(助手回款!$R$111&lt;&gt;"","总 账 科 目","")</f>
        <v/>
      </c>
      <c r="E1640" s="23" t="str">
        <f aca="false">IF(助手回款!$R$111&lt;&gt;"","明 细 科 目","")</f>
        <v/>
      </c>
      <c r="F1640" s="65"/>
      <c r="G1640" s="66"/>
      <c r="H1640" s="63"/>
      <c r="I1640" s="64"/>
    </row>
    <row r="1641" customFormat="false" ht="23.25" hidden="false" customHeight="true" outlineLevel="0" collapsed="false">
      <c r="B1641" s="67" t="str">
        <f aca="false">IFERROR(INDEX(分录回款!$M:$M,MATCH($L1641,分录回款!$L:$L,0)),"")</f>
        <v/>
      </c>
      <c r="C1641" s="67"/>
      <c r="D1641" s="23" t="str">
        <f aca="false">IFERROR(INDEX(分录回款!$E:$E,MATCH($L1641,分录回款!$L:$L,0)),"")</f>
        <v/>
      </c>
      <c r="E1641" s="23" t="str">
        <f aca="false">IFERROR(INDEX(分录回款!$F:$F,MATCH($L1641,分录回款!$L:$L,0)),"")</f>
        <v/>
      </c>
      <c r="F1641" s="68" t="str">
        <f aca="false">IFERROR(INDEX(分录回款!$H:$H,MATCH($L1641,分录回款!$L:$L,0)),"")</f>
        <v/>
      </c>
      <c r="G1641" s="69" t="str">
        <f aca="false">IFERROR(INDEX(分录回款!$I:$I,MATCH($L1641,分录回款!$L:$L,0)),"")</f>
        <v/>
      </c>
      <c r="H1641" s="23"/>
      <c r="I1641" s="70"/>
      <c r="L1641" s="71" t="n">
        <f aca="false">IF(助手回款!$R$111="",-1,助手回款!$R$111*100+(助手回款!$S$111-1)*6+1)</f>
        <v>-1</v>
      </c>
    </row>
    <row r="1642" customFormat="false" ht="23.25" hidden="false" customHeight="true" outlineLevel="0" collapsed="false">
      <c r="B1642" s="67" t="str">
        <f aca="false">""</f>
        <v/>
      </c>
      <c r="C1642" s="67"/>
      <c r="D1642" s="23" t="str">
        <f aca="false">IFERROR(INDEX(分录回款!$E:$E,MATCH($L1642,分录回款!$L:$L,0)),"")</f>
        <v/>
      </c>
      <c r="E1642" s="23" t="str">
        <f aca="false">IFERROR(INDEX(分录回款!$F:$F,MATCH($L1642,分录回款!$L:$L,0)),"")</f>
        <v/>
      </c>
      <c r="F1642" s="68" t="str">
        <f aca="false">IFERROR(INDEX(分录回款!$H:$H,MATCH($L1642,分录回款!$L:$L,0)),"")</f>
        <v/>
      </c>
      <c r="G1642" s="69" t="str">
        <f aca="false">IFERROR(INDEX(分录回款!$I:$I,MATCH($L1642,分录回款!$L:$L,0)),"")</f>
        <v/>
      </c>
      <c r="H1642" s="23"/>
      <c r="I1642" s="70"/>
      <c r="L1642" s="71" t="n">
        <f aca="false">IF(助手回款!$R$111="",-1,助手回款!$R$111*100+(助手回款!$S$111-1)*6+2)</f>
        <v>-1</v>
      </c>
    </row>
    <row r="1643" customFormat="false" ht="23.25" hidden="false" customHeight="true" outlineLevel="0" collapsed="false">
      <c r="B1643" s="67" t="str">
        <f aca="false">""</f>
        <v/>
      </c>
      <c r="C1643" s="67"/>
      <c r="D1643" s="23" t="str">
        <f aca="false">IFERROR(INDEX(分录回款!$E:$E,MATCH($L1643,分录回款!$L:$L,0)),"")</f>
        <v/>
      </c>
      <c r="E1643" s="23" t="str">
        <f aca="false">IFERROR(INDEX(分录回款!$F:$F,MATCH($L1643,分录回款!$L:$L,0)),"")</f>
        <v/>
      </c>
      <c r="F1643" s="68" t="str">
        <f aca="false">IFERROR(INDEX(分录回款!$H:$H,MATCH($L1643,分录回款!$L:$L,0)),"")</f>
        <v/>
      </c>
      <c r="G1643" s="69" t="str">
        <f aca="false">IFERROR(INDEX(分录回款!$I:$I,MATCH($L1643,分录回款!$L:$L,0)),"")</f>
        <v/>
      </c>
      <c r="H1643" s="23"/>
      <c r="I1643" s="70"/>
      <c r="L1643" s="71" t="n">
        <f aca="false">IF(助手回款!$R$111="",-1,助手回款!$R$111*100+(助手回款!$S$111-1)*6+3)</f>
        <v>-1</v>
      </c>
    </row>
    <row r="1644" customFormat="false" ht="23.25" hidden="false" customHeight="true" outlineLevel="0" collapsed="false">
      <c r="B1644" s="67" t="str">
        <f aca="false">""</f>
        <v/>
      </c>
      <c r="C1644" s="67"/>
      <c r="D1644" s="23" t="str">
        <f aca="false">IFERROR(INDEX(分录回款!$E:$E,MATCH($L1644,分录回款!$L:$L,0)),"")</f>
        <v/>
      </c>
      <c r="E1644" s="23" t="str">
        <f aca="false">IFERROR(INDEX(分录回款!$F:$F,MATCH($L1644,分录回款!$L:$L,0)),"")</f>
        <v/>
      </c>
      <c r="F1644" s="68" t="str">
        <f aca="false">IFERROR(INDEX(分录回款!$H:$H,MATCH($L1644,分录回款!$L:$L,0)),"")</f>
        <v/>
      </c>
      <c r="G1644" s="69" t="str">
        <f aca="false">IFERROR(INDEX(分录回款!$I:$I,MATCH($L1644,分录回款!$L:$L,0)),"")</f>
        <v/>
      </c>
      <c r="H1644" s="23"/>
      <c r="I1644" s="70"/>
      <c r="L1644" s="71" t="n">
        <f aca="false">IF(助手回款!$R$111="",-1,助手回款!$R$111*100+(助手回款!$S$111-1)*6+4)</f>
        <v>-1</v>
      </c>
    </row>
    <row r="1645" customFormat="false" ht="23.25" hidden="false" customHeight="true" outlineLevel="0" collapsed="false">
      <c r="B1645" s="67" t="str">
        <f aca="false">""</f>
        <v/>
      </c>
      <c r="C1645" s="67"/>
      <c r="D1645" s="23" t="str">
        <f aca="false">IFERROR(INDEX(分录回款!$E:$E,MATCH($L1645,分录回款!$L:$L,0)),"")</f>
        <v/>
      </c>
      <c r="E1645" s="23" t="str">
        <f aca="false">IFERROR(INDEX(分录回款!$F:$F,MATCH($L1645,分录回款!$L:$L,0)),"")</f>
        <v/>
      </c>
      <c r="F1645" s="68" t="str">
        <f aca="false">IFERROR(INDEX(分录回款!$H:$H,MATCH($L1645,分录回款!$L:$L,0)),"")</f>
        <v/>
      </c>
      <c r="G1645" s="69" t="str">
        <f aca="false">IFERROR(INDEX(分录回款!$I:$I,MATCH($L1645,分录回款!$L:$L,0)),"")</f>
        <v/>
      </c>
      <c r="H1645" s="23"/>
      <c r="I1645" s="70"/>
      <c r="L1645" s="71" t="n">
        <f aca="false">IF(助手回款!$R$111="",-1,助手回款!$R$111*100+(助手回款!$S$111-1)*6+5)</f>
        <v>-1</v>
      </c>
    </row>
    <row r="1646" customFormat="false" ht="23.25" hidden="false" customHeight="true" outlineLevel="0" collapsed="false">
      <c r="B1646" s="67" t="str">
        <f aca="false">""</f>
        <v/>
      </c>
      <c r="C1646" s="67"/>
      <c r="D1646" s="23" t="str">
        <f aca="false">IFERROR(INDEX(分录回款!$E:$E,MATCH($L1646,分录回款!$L:$L,0)),"")</f>
        <v/>
      </c>
      <c r="E1646" s="23" t="str">
        <f aca="false">IFERROR(INDEX(分录回款!$F:$F,MATCH($L1646,分录回款!$L:$L,0)),"")</f>
        <v/>
      </c>
      <c r="F1646" s="68" t="str">
        <f aca="false">IFERROR(INDEX(分录回款!$H:$H,MATCH($L1646,分录回款!$L:$L,0)),"")</f>
        <v/>
      </c>
      <c r="G1646" s="69" t="str">
        <f aca="false">IFERROR(INDEX(分录回款!$I:$I,MATCH($L1646,分录回款!$L:$L,0)),"")</f>
        <v/>
      </c>
      <c r="H1646" s="23"/>
      <c r="I1646" s="70"/>
      <c r="L1646" s="71" t="n">
        <f aca="false">IF(助手回款!$R$111="",-1,助手回款!$R$111*100+(助手回款!$S$111-1)*6+6)</f>
        <v>-1</v>
      </c>
    </row>
    <row r="1647" customFormat="false" ht="23.25" hidden="false" customHeight="true" outlineLevel="0" collapsed="false">
      <c r="B1647" s="72" t="str">
        <f aca="false">IF(助手回款!$T$111=1,"合计：","")</f>
        <v/>
      </c>
      <c r="C1647" s="73" t="str">
        <f aca="false">IF(助手回款!$T$111=1,$F1647,"")</f>
        <v/>
      </c>
      <c r="D1647" s="74"/>
      <c r="E1647" s="74"/>
      <c r="F1647" s="75" t="str">
        <f aca="false">IF(助手回款!$T$111=1,INDEX(助手回款!$N$2:$N$66,助手回款!$R$111),"")</f>
        <v/>
      </c>
      <c r="G1647" s="76" t="str">
        <f aca="false">IF(助手回款!$T$111=1,INDEX(助手回款!$O$2:$O$66,助手回款!$R$111),"")</f>
        <v/>
      </c>
      <c r="H1647" s="74"/>
      <c r="I1647" s="77"/>
    </row>
    <row r="1648" customFormat="false" ht="6" hidden="false" customHeight="true" outlineLevel="0" collapsed="false"/>
    <row r="1649" customFormat="false" ht="13.5" hidden="false" customHeight="false" outlineLevel="0" collapsed="false">
      <c r="B1649" s="78" t="str">
        <f aca="false">IF(助手回款!$R$111&lt;&gt;"","会计主管：","")</f>
        <v/>
      </c>
      <c r="D1649" s="78" t="str">
        <f aca="false">IF(助手回款!$R$111&lt;&gt;"","会计：","")</f>
        <v/>
      </c>
      <c r="E1649" s="78" t="str">
        <f aca="false">IF(助手回款!$R$111&lt;&gt;"","出纳：","")</f>
        <v/>
      </c>
      <c r="F1649" s="78" t="str">
        <f aca="false">IF(助手回款!$R$111&lt;&gt;"","复核：","")</f>
        <v/>
      </c>
      <c r="G1649" s="78" t="str">
        <f aca="false">IF(助手回款!$R$111&lt;&gt;"","制单：","")</f>
        <v/>
      </c>
    </row>
    <row r="1650" customFormat="false" ht="3" hidden="false" customHeight="true" outlineLevel="0" collapsed="false"/>
    <row r="1651" customFormat="false" ht="19.5" hidden="false" customHeight="true" outlineLevel="0" collapsed="false">
      <c r="B1651" s="53" t="str">
        <f aca="false">IF(助手回款!$R$112&lt;&gt;"","记  账  凭  证","")</f>
        <v/>
      </c>
      <c r="C1651" s="53"/>
      <c r="D1651" s="53"/>
      <c r="E1651" s="53"/>
      <c r="F1651" s="53"/>
      <c r="G1651" s="53"/>
      <c r="H1651" s="53"/>
      <c r="I1651" s="53"/>
    </row>
    <row r="1652" customFormat="false" ht="3" hidden="false" customHeight="true" outlineLevel="0" collapsed="false"/>
    <row r="1653" customFormat="false" ht="15" hidden="false" customHeight="true" outlineLevel="0" collapsed="false">
      <c r="C1653" s="56" t="str">
        <f aca="false">IF(助手回款!$R$112&lt;&gt;"",INDEX(助手回款!$B$2:$B$66,助手回款!$R$112),"")</f>
        <v/>
      </c>
      <c r="D1653" s="57" t="str">
        <f aca="false">IF(助手回款!$R$112&lt;&gt;"",参数!$B$2,"")</f>
        <v/>
      </c>
      <c r="E1653" s="57"/>
      <c r="F1653" s="58" t="str">
        <f aca="false">IF(助手回款!$R$112&lt;&gt;"",INDEX(助手回款!$C$2:$C$66,助手回款!$R$112)&amp;"  字第 "&amp;IF(参数!$B$9="是",INDEX(助手回款!$P$2:$P$66,助手回款!$R$112),"　　　　")&amp;" 号"&amp;IF(INDEX(助手回款!$L$2:$L$66,助手回款!$R$112)&gt;1,"  (共"&amp;INDEX(助手回款!$L$2:$L$66,助手回款!$R$112)&amp;"页 第"&amp;助手回款!$S$112&amp;"页)",""),"")</f>
        <v/>
      </c>
      <c r="G1653" s="58"/>
      <c r="H1653" s="58"/>
      <c r="I1653" s="58"/>
      <c r="M1653" s="79" t="str">
        <f aca="false">IF(助手回款!$R$112="","",助手回款!$Q$112)</f>
        <v/>
      </c>
      <c r="N1653" s="80" t="str">
        <f aca="false">IF(助手回款!$R$112="","",INDEX(助手回款!$P$2:$P$66,助手回款!$R$112))</f>
        <v/>
      </c>
      <c r="O1653" s="55" t="str">
        <f aca="false">IF(助手回款!$R$112="","",INDEX(助手回款!$C$2:$C$66,助手回款!$R$112)&amp;"  字第 "&amp;INDEX(助手回款!$P$2:$P$66,助手回款!$R$112)&amp;" 号"&amp;IF(INDEX(助手回款!$L$2:$L$66,助手回款!$R$112)&gt;1,"  (共"&amp;INDEX(助手回款!$L$2:$L$66,助手回款!$R$112)&amp;"页 第"&amp;助手回款!$S$112&amp;"页)",""))</f>
        <v/>
      </c>
    </row>
    <row r="1654" customFormat="false" ht="12.75" hidden="false" customHeight="true" outlineLevel="0" collapsed="false">
      <c r="B1654" s="61" t="str">
        <f aca="false">IF(助手回款!$R$112&lt;&gt;"","摘　　要","")</f>
        <v/>
      </c>
      <c r="C1654" s="61"/>
      <c r="D1654" s="62" t="str">
        <f aca="false">IF(助手回款!$R$112&lt;&gt;"","科　　　　目","")</f>
        <v/>
      </c>
      <c r="E1654" s="62"/>
      <c r="F1654" s="61" t="str">
        <f aca="false">IF(助手回款!$R$112&lt;&gt;"","借 方 金 额","")</f>
        <v/>
      </c>
      <c r="G1654" s="62" t="str">
        <f aca="false">IF(助手回款!$R$112&lt;&gt;"","贷 方 金 额","")</f>
        <v/>
      </c>
      <c r="H1654" s="63" t="str">
        <f aca="false">IF(助手回款!$R$112&lt;&gt;"","√","")</f>
        <v/>
      </c>
      <c r="I1654" s="64" t="str">
        <f aca="false">IF(助手回款!$R$112&lt;&gt;"","附单据  张","")</f>
        <v/>
      </c>
    </row>
    <row r="1655" customFormat="false" ht="12.75" hidden="false" customHeight="true" outlineLevel="0" collapsed="false">
      <c r="B1655" s="61"/>
      <c r="C1655" s="61"/>
      <c r="D1655" s="23" t="str">
        <f aca="false">IF(助手回款!$R$112&lt;&gt;"","总 账 科 目","")</f>
        <v/>
      </c>
      <c r="E1655" s="23" t="str">
        <f aca="false">IF(助手回款!$R$112&lt;&gt;"","明 细 科 目","")</f>
        <v/>
      </c>
      <c r="F1655" s="65"/>
      <c r="G1655" s="66"/>
      <c r="H1655" s="63"/>
      <c r="I1655" s="64"/>
    </row>
    <row r="1656" customFormat="false" ht="23.25" hidden="false" customHeight="true" outlineLevel="0" collapsed="false">
      <c r="B1656" s="67" t="str">
        <f aca="false">IFERROR(INDEX(分录回款!$M:$M,MATCH($L1656,分录回款!$L:$L,0)),"")</f>
        <v/>
      </c>
      <c r="C1656" s="67"/>
      <c r="D1656" s="23" t="str">
        <f aca="false">IFERROR(INDEX(分录回款!$E:$E,MATCH($L1656,分录回款!$L:$L,0)),"")</f>
        <v/>
      </c>
      <c r="E1656" s="23" t="str">
        <f aca="false">IFERROR(INDEX(分录回款!$F:$F,MATCH($L1656,分录回款!$L:$L,0)),"")</f>
        <v/>
      </c>
      <c r="F1656" s="68" t="str">
        <f aca="false">IFERROR(INDEX(分录回款!$H:$H,MATCH($L1656,分录回款!$L:$L,0)),"")</f>
        <v/>
      </c>
      <c r="G1656" s="69" t="str">
        <f aca="false">IFERROR(INDEX(分录回款!$I:$I,MATCH($L1656,分录回款!$L:$L,0)),"")</f>
        <v/>
      </c>
      <c r="H1656" s="23"/>
      <c r="I1656" s="70"/>
      <c r="L1656" s="71" t="n">
        <f aca="false">IF(助手回款!$R$112="",-1,助手回款!$R$112*100+(助手回款!$S$112-1)*6+1)</f>
        <v>-1</v>
      </c>
    </row>
    <row r="1657" customFormat="false" ht="23.25" hidden="false" customHeight="true" outlineLevel="0" collapsed="false">
      <c r="B1657" s="67" t="str">
        <f aca="false">""</f>
        <v/>
      </c>
      <c r="C1657" s="67"/>
      <c r="D1657" s="23" t="str">
        <f aca="false">IFERROR(INDEX(分录回款!$E:$E,MATCH($L1657,分录回款!$L:$L,0)),"")</f>
        <v/>
      </c>
      <c r="E1657" s="23" t="str">
        <f aca="false">IFERROR(INDEX(分录回款!$F:$F,MATCH($L1657,分录回款!$L:$L,0)),"")</f>
        <v/>
      </c>
      <c r="F1657" s="68" t="str">
        <f aca="false">IFERROR(INDEX(分录回款!$H:$H,MATCH($L1657,分录回款!$L:$L,0)),"")</f>
        <v/>
      </c>
      <c r="G1657" s="69" t="str">
        <f aca="false">IFERROR(INDEX(分录回款!$I:$I,MATCH($L1657,分录回款!$L:$L,0)),"")</f>
        <v/>
      </c>
      <c r="H1657" s="23"/>
      <c r="I1657" s="70"/>
      <c r="L1657" s="71" t="n">
        <f aca="false">IF(助手回款!$R$112="",-1,助手回款!$R$112*100+(助手回款!$S$112-1)*6+2)</f>
        <v>-1</v>
      </c>
    </row>
    <row r="1658" customFormat="false" ht="23.25" hidden="false" customHeight="true" outlineLevel="0" collapsed="false">
      <c r="B1658" s="67" t="str">
        <f aca="false">""</f>
        <v/>
      </c>
      <c r="C1658" s="67"/>
      <c r="D1658" s="23" t="str">
        <f aca="false">IFERROR(INDEX(分录回款!$E:$E,MATCH($L1658,分录回款!$L:$L,0)),"")</f>
        <v/>
      </c>
      <c r="E1658" s="23" t="str">
        <f aca="false">IFERROR(INDEX(分录回款!$F:$F,MATCH($L1658,分录回款!$L:$L,0)),"")</f>
        <v/>
      </c>
      <c r="F1658" s="68" t="str">
        <f aca="false">IFERROR(INDEX(分录回款!$H:$H,MATCH($L1658,分录回款!$L:$L,0)),"")</f>
        <v/>
      </c>
      <c r="G1658" s="69" t="str">
        <f aca="false">IFERROR(INDEX(分录回款!$I:$I,MATCH($L1658,分录回款!$L:$L,0)),"")</f>
        <v/>
      </c>
      <c r="H1658" s="23"/>
      <c r="I1658" s="70"/>
      <c r="L1658" s="71" t="n">
        <f aca="false">IF(助手回款!$R$112="",-1,助手回款!$R$112*100+(助手回款!$S$112-1)*6+3)</f>
        <v>-1</v>
      </c>
    </row>
    <row r="1659" customFormat="false" ht="23.25" hidden="false" customHeight="true" outlineLevel="0" collapsed="false">
      <c r="B1659" s="67" t="str">
        <f aca="false">""</f>
        <v/>
      </c>
      <c r="C1659" s="67"/>
      <c r="D1659" s="23" t="str">
        <f aca="false">IFERROR(INDEX(分录回款!$E:$E,MATCH($L1659,分录回款!$L:$L,0)),"")</f>
        <v/>
      </c>
      <c r="E1659" s="23" t="str">
        <f aca="false">IFERROR(INDEX(分录回款!$F:$F,MATCH($L1659,分录回款!$L:$L,0)),"")</f>
        <v/>
      </c>
      <c r="F1659" s="68" t="str">
        <f aca="false">IFERROR(INDEX(分录回款!$H:$H,MATCH($L1659,分录回款!$L:$L,0)),"")</f>
        <v/>
      </c>
      <c r="G1659" s="69" t="str">
        <f aca="false">IFERROR(INDEX(分录回款!$I:$I,MATCH($L1659,分录回款!$L:$L,0)),"")</f>
        <v/>
      </c>
      <c r="H1659" s="23"/>
      <c r="I1659" s="70"/>
      <c r="L1659" s="71" t="n">
        <f aca="false">IF(助手回款!$R$112="",-1,助手回款!$R$112*100+(助手回款!$S$112-1)*6+4)</f>
        <v>-1</v>
      </c>
    </row>
    <row r="1660" customFormat="false" ht="23.25" hidden="false" customHeight="true" outlineLevel="0" collapsed="false">
      <c r="B1660" s="67" t="str">
        <f aca="false">""</f>
        <v/>
      </c>
      <c r="C1660" s="67"/>
      <c r="D1660" s="23" t="str">
        <f aca="false">IFERROR(INDEX(分录回款!$E:$E,MATCH($L1660,分录回款!$L:$L,0)),"")</f>
        <v/>
      </c>
      <c r="E1660" s="23" t="str">
        <f aca="false">IFERROR(INDEX(分录回款!$F:$F,MATCH($L1660,分录回款!$L:$L,0)),"")</f>
        <v/>
      </c>
      <c r="F1660" s="68" t="str">
        <f aca="false">IFERROR(INDEX(分录回款!$H:$H,MATCH($L1660,分录回款!$L:$L,0)),"")</f>
        <v/>
      </c>
      <c r="G1660" s="69" t="str">
        <f aca="false">IFERROR(INDEX(分录回款!$I:$I,MATCH($L1660,分录回款!$L:$L,0)),"")</f>
        <v/>
      </c>
      <c r="H1660" s="23"/>
      <c r="I1660" s="70"/>
      <c r="L1660" s="71" t="n">
        <f aca="false">IF(助手回款!$R$112="",-1,助手回款!$R$112*100+(助手回款!$S$112-1)*6+5)</f>
        <v>-1</v>
      </c>
    </row>
    <row r="1661" customFormat="false" ht="23.25" hidden="false" customHeight="true" outlineLevel="0" collapsed="false">
      <c r="B1661" s="67" t="str">
        <f aca="false">""</f>
        <v/>
      </c>
      <c r="C1661" s="67"/>
      <c r="D1661" s="23" t="str">
        <f aca="false">IFERROR(INDEX(分录回款!$E:$E,MATCH($L1661,分录回款!$L:$L,0)),"")</f>
        <v/>
      </c>
      <c r="E1661" s="23" t="str">
        <f aca="false">IFERROR(INDEX(分录回款!$F:$F,MATCH($L1661,分录回款!$L:$L,0)),"")</f>
        <v/>
      </c>
      <c r="F1661" s="68" t="str">
        <f aca="false">IFERROR(INDEX(分录回款!$H:$H,MATCH($L1661,分录回款!$L:$L,0)),"")</f>
        <v/>
      </c>
      <c r="G1661" s="69" t="str">
        <f aca="false">IFERROR(INDEX(分录回款!$I:$I,MATCH($L1661,分录回款!$L:$L,0)),"")</f>
        <v/>
      </c>
      <c r="H1661" s="23"/>
      <c r="I1661" s="70"/>
      <c r="L1661" s="71" t="n">
        <f aca="false">IF(助手回款!$R$112="",-1,助手回款!$R$112*100+(助手回款!$S$112-1)*6+6)</f>
        <v>-1</v>
      </c>
    </row>
    <row r="1662" customFormat="false" ht="23.25" hidden="false" customHeight="true" outlineLevel="0" collapsed="false">
      <c r="B1662" s="72" t="str">
        <f aca="false">IF(助手回款!$T$112=1,"合计：","")</f>
        <v/>
      </c>
      <c r="C1662" s="73" t="str">
        <f aca="false">IF(助手回款!$T$112=1,$F1662,"")</f>
        <v/>
      </c>
      <c r="D1662" s="74"/>
      <c r="E1662" s="74"/>
      <c r="F1662" s="75" t="str">
        <f aca="false">IF(助手回款!$T$112=1,INDEX(助手回款!$N$2:$N$66,助手回款!$R$112),"")</f>
        <v/>
      </c>
      <c r="G1662" s="76" t="str">
        <f aca="false">IF(助手回款!$T$112=1,INDEX(助手回款!$O$2:$O$66,助手回款!$R$112),"")</f>
        <v/>
      </c>
      <c r="H1662" s="74"/>
      <c r="I1662" s="77"/>
    </row>
    <row r="1663" customFormat="false" ht="6" hidden="false" customHeight="true" outlineLevel="0" collapsed="false"/>
    <row r="1664" customFormat="false" ht="13.5" hidden="false" customHeight="false" outlineLevel="0" collapsed="false">
      <c r="B1664" s="78" t="str">
        <f aca="false">IF(助手回款!$R$112&lt;&gt;"","会计主管：","")</f>
        <v/>
      </c>
      <c r="D1664" s="78" t="str">
        <f aca="false">IF(助手回款!$R$112&lt;&gt;"","会计：","")</f>
        <v/>
      </c>
      <c r="E1664" s="78" t="str">
        <f aca="false">IF(助手回款!$R$112&lt;&gt;"","出纳：","")</f>
        <v/>
      </c>
      <c r="F1664" s="78" t="str">
        <f aca="false">IF(助手回款!$R$112&lt;&gt;"","复核：","")</f>
        <v/>
      </c>
      <c r="G1664" s="78" t="str">
        <f aca="false">IF(助手回款!$R$112&lt;&gt;"","制单：","")</f>
        <v/>
      </c>
    </row>
    <row r="1665" customFormat="false" ht="3" hidden="false" customHeight="true" outlineLevel="0" collapsed="false"/>
    <row r="1666" customFormat="false" ht="19.5" hidden="false" customHeight="true" outlineLevel="0" collapsed="false">
      <c r="B1666" s="53" t="str">
        <f aca="false">IF(助手回款!$R$113&lt;&gt;"","记  账  凭  证","")</f>
        <v/>
      </c>
      <c r="C1666" s="53"/>
      <c r="D1666" s="53"/>
      <c r="E1666" s="53"/>
      <c r="F1666" s="53"/>
      <c r="G1666" s="53"/>
      <c r="H1666" s="53"/>
      <c r="I1666" s="53"/>
    </row>
    <row r="1667" customFormat="false" ht="3" hidden="false" customHeight="true" outlineLevel="0" collapsed="false"/>
    <row r="1668" customFormat="false" ht="15" hidden="false" customHeight="true" outlineLevel="0" collapsed="false">
      <c r="C1668" s="56" t="str">
        <f aca="false">IF(助手回款!$R$113&lt;&gt;"",INDEX(助手回款!$B$2:$B$66,助手回款!$R$113),"")</f>
        <v/>
      </c>
      <c r="D1668" s="57" t="str">
        <f aca="false">IF(助手回款!$R$113&lt;&gt;"",参数!$B$2,"")</f>
        <v/>
      </c>
      <c r="E1668" s="57"/>
      <c r="F1668" s="58" t="str">
        <f aca="false">IF(助手回款!$R$113&lt;&gt;"",INDEX(助手回款!$C$2:$C$66,助手回款!$R$113)&amp;"  字第 "&amp;IF(参数!$B$9="是",INDEX(助手回款!$P$2:$P$66,助手回款!$R$113),"　　　　")&amp;" 号"&amp;IF(INDEX(助手回款!$L$2:$L$66,助手回款!$R$113)&gt;1,"  (共"&amp;INDEX(助手回款!$L$2:$L$66,助手回款!$R$113)&amp;"页 第"&amp;助手回款!$S$113&amp;"页)",""),"")</f>
        <v/>
      </c>
      <c r="G1668" s="58"/>
      <c r="H1668" s="58"/>
      <c r="I1668" s="58"/>
      <c r="M1668" s="79" t="str">
        <f aca="false">IF(助手回款!$R$113="","",助手回款!$Q$113)</f>
        <v/>
      </c>
      <c r="N1668" s="80" t="str">
        <f aca="false">IF(助手回款!$R$113="","",INDEX(助手回款!$P$2:$P$66,助手回款!$R$113))</f>
        <v/>
      </c>
      <c r="O1668" s="55" t="str">
        <f aca="false">IF(助手回款!$R$113="","",INDEX(助手回款!$C$2:$C$66,助手回款!$R$113)&amp;"  字第 "&amp;INDEX(助手回款!$P$2:$P$66,助手回款!$R$113)&amp;" 号"&amp;IF(INDEX(助手回款!$L$2:$L$66,助手回款!$R$113)&gt;1,"  (共"&amp;INDEX(助手回款!$L$2:$L$66,助手回款!$R$113)&amp;"页 第"&amp;助手回款!$S$113&amp;"页)",""))</f>
        <v/>
      </c>
    </row>
    <row r="1669" customFormat="false" ht="12.75" hidden="false" customHeight="true" outlineLevel="0" collapsed="false">
      <c r="B1669" s="61" t="str">
        <f aca="false">IF(助手回款!$R$113&lt;&gt;"","摘　　要","")</f>
        <v/>
      </c>
      <c r="C1669" s="61"/>
      <c r="D1669" s="62" t="str">
        <f aca="false">IF(助手回款!$R$113&lt;&gt;"","科　　　　目","")</f>
        <v/>
      </c>
      <c r="E1669" s="62"/>
      <c r="F1669" s="61" t="str">
        <f aca="false">IF(助手回款!$R$113&lt;&gt;"","借 方 金 额","")</f>
        <v/>
      </c>
      <c r="G1669" s="62" t="str">
        <f aca="false">IF(助手回款!$R$113&lt;&gt;"","贷 方 金 额","")</f>
        <v/>
      </c>
      <c r="H1669" s="63" t="str">
        <f aca="false">IF(助手回款!$R$113&lt;&gt;"","√","")</f>
        <v/>
      </c>
      <c r="I1669" s="64" t="str">
        <f aca="false">IF(助手回款!$R$113&lt;&gt;"","附单据  张","")</f>
        <v/>
      </c>
    </row>
    <row r="1670" customFormat="false" ht="12.75" hidden="false" customHeight="true" outlineLevel="0" collapsed="false">
      <c r="B1670" s="61"/>
      <c r="C1670" s="61"/>
      <c r="D1670" s="23" t="str">
        <f aca="false">IF(助手回款!$R$113&lt;&gt;"","总 账 科 目","")</f>
        <v/>
      </c>
      <c r="E1670" s="23" t="str">
        <f aca="false">IF(助手回款!$R$113&lt;&gt;"","明 细 科 目","")</f>
        <v/>
      </c>
      <c r="F1670" s="65"/>
      <c r="G1670" s="66"/>
      <c r="H1670" s="63"/>
      <c r="I1670" s="64"/>
    </row>
    <row r="1671" customFormat="false" ht="23.25" hidden="false" customHeight="true" outlineLevel="0" collapsed="false">
      <c r="B1671" s="67" t="str">
        <f aca="false">IFERROR(INDEX(分录回款!$M:$M,MATCH($L1671,分录回款!$L:$L,0)),"")</f>
        <v/>
      </c>
      <c r="C1671" s="67"/>
      <c r="D1671" s="23" t="str">
        <f aca="false">IFERROR(INDEX(分录回款!$E:$E,MATCH($L1671,分录回款!$L:$L,0)),"")</f>
        <v/>
      </c>
      <c r="E1671" s="23" t="str">
        <f aca="false">IFERROR(INDEX(分录回款!$F:$F,MATCH($L1671,分录回款!$L:$L,0)),"")</f>
        <v/>
      </c>
      <c r="F1671" s="68" t="str">
        <f aca="false">IFERROR(INDEX(分录回款!$H:$H,MATCH($L1671,分录回款!$L:$L,0)),"")</f>
        <v/>
      </c>
      <c r="G1671" s="69" t="str">
        <f aca="false">IFERROR(INDEX(分录回款!$I:$I,MATCH($L1671,分录回款!$L:$L,0)),"")</f>
        <v/>
      </c>
      <c r="H1671" s="23"/>
      <c r="I1671" s="70"/>
      <c r="L1671" s="71" t="n">
        <f aca="false">IF(助手回款!$R$113="",-1,助手回款!$R$113*100+(助手回款!$S$113-1)*6+1)</f>
        <v>-1</v>
      </c>
    </row>
    <row r="1672" customFormat="false" ht="23.25" hidden="false" customHeight="true" outlineLevel="0" collapsed="false">
      <c r="B1672" s="67" t="str">
        <f aca="false">""</f>
        <v/>
      </c>
      <c r="C1672" s="67"/>
      <c r="D1672" s="23" t="str">
        <f aca="false">IFERROR(INDEX(分录回款!$E:$E,MATCH($L1672,分录回款!$L:$L,0)),"")</f>
        <v/>
      </c>
      <c r="E1672" s="23" t="str">
        <f aca="false">IFERROR(INDEX(分录回款!$F:$F,MATCH($L1672,分录回款!$L:$L,0)),"")</f>
        <v/>
      </c>
      <c r="F1672" s="68" t="str">
        <f aca="false">IFERROR(INDEX(分录回款!$H:$H,MATCH($L1672,分录回款!$L:$L,0)),"")</f>
        <v/>
      </c>
      <c r="G1672" s="69" t="str">
        <f aca="false">IFERROR(INDEX(分录回款!$I:$I,MATCH($L1672,分录回款!$L:$L,0)),"")</f>
        <v/>
      </c>
      <c r="H1672" s="23"/>
      <c r="I1672" s="70"/>
      <c r="L1672" s="71" t="n">
        <f aca="false">IF(助手回款!$R$113="",-1,助手回款!$R$113*100+(助手回款!$S$113-1)*6+2)</f>
        <v>-1</v>
      </c>
    </row>
    <row r="1673" customFormat="false" ht="23.25" hidden="false" customHeight="true" outlineLevel="0" collapsed="false">
      <c r="B1673" s="67" t="str">
        <f aca="false">""</f>
        <v/>
      </c>
      <c r="C1673" s="67"/>
      <c r="D1673" s="23" t="str">
        <f aca="false">IFERROR(INDEX(分录回款!$E:$E,MATCH($L1673,分录回款!$L:$L,0)),"")</f>
        <v/>
      </c>
      <c r="E1673" s="23" t="str">
        <f aca="false">IFERROR(INDEX(分录回款!$F:$F,MATCH($L1673,分录回款!$L:$L,0)),"")</f>
        <v/>
      </c>
      <c r="F1673" s="68" t="str">
        <f aca="false">IFERROR(INDEX(分录回款!$H:$H,MATCH($L1673,分录回款!$L:$L,0)),"")</f>
        <v/>
      </c>
      <c r="G1673" s="69" t="str">
        <f aca="false">IFERROR(INDEX(分录回款!$I:$I,MATCH($L1673,分录回款!$L:$L,0)),"")</f>
        <v/>
      </c>
      <c r="H1673" s="23"/>
      <c r="I1673" s="70"/>
      <c r="L1673" s="71" t="n">
        <f aca="false">IF(助手回款!$R$113="",-1,助手回款!$R$113*100+(助手回款!$S$113-1)*6+3)</f>
        <v>-1</v>
      </c>
    </row>
    <row r="1674" customFormat="false" ht="23.25" hidden="false" customHeight="true" outlineLevel="0" collapsed="false">
      <c r="B1674" s="67" t="str">
        <f aca="false">""</f>
        <v/>
      </c>
      <c r="C1674" s="67"/>
      <c r="D1674" s="23" t="str">
        <f aca="false">IFERROR(INDEX(分录回款!$E:$E,MATCH($L1674,分录回款!$L:$L,0)),"")</f>
        <v/>
      </c>
      <c r="E1674" s="23" t="str">
        <f aca="false">IFERROR(INDEX(分录回款!$F:$F,MATCH($L1674,分录回款!$L:$L,0)),"")</f>
        <v/>
      </c>
      <c r="F1674" s="68" t="str">
        <f aca="false">IFERROR(INDEX(分录回款!$H:$H,MATCH($L1674,分录回款!$L:$L,0)),"")</f>
        <v/>
      </c>
      <c r="G1674" s="69" t="str">
        <f aca="false">IFERROR(INDEX(分录回款!$I:$I,MATCH($L1674,分录回款!$L:$L,0)),"")</f>
        <v/>
      </c>
      <c r="H1674" s="23"/>
      <c r="I1674" s="70"/>
      <c r="L1674" s="71" t="n">
        <f aca="false">IF(助手回款!$R$113="",-1,助手回款!$R$113*100+(助手回款!$S$113-1)*6+4)</f>
        <v>-1</v>
      </c>
    </row>
    <row r="1675" customFormat="false" ht="23.25" hidden="false" customHeight="true" outlineLevel="0" collapsed="false">
      <c r="B1675" s="67" t="str">
        <f aca="false">""</f>
        <v/>
      </c>
      <c r="C1675" s="67"/>
      <c r="D1675" s="23" t="str">
        <f aca="false">IFERROR(INDEX(分录回款!$E:$E,MATCH($L1675,分录回款!$L:$L,0)),"")</f>
        <v/>
      </c>
      <c r="E1675" s="23" t="str">
        <f aca="false">IFERROR(INDEX(分录回款!$F:$F,MATCH($L1675,分录回款!$L:$L,0)),"")</f>
        <v/>
      </c>
      <c r="F1675" s="68" t="str">
        <f aca="false">IFERROR(INDEX(分录回款!$H:$H,MATCH($L1675,分录回款!$L:$L,0)),"")</f>
        <v/>
      </c>
      <c r="G1675" s="69" t="str">
        <f aca="false">IFERROR(INDEX(分录回款!$I:$I,MATCH($L1675,分录回款!$L:$L,0)),"")</f>
        <v/>
      </c>
      <c r="H1675" s="23"/>
      <c r="I1675" s="70"/>
      <c r="L1675" s="71" t="n">
        <f aca="false">IF(助手回款!$R$113="",-1,助手回款!$R$113*100+(助手回款!$S$113-1)*6+5)</f>
        <v>-1</v>
      </c>
    </row>
    <row r="1676" customFormat="false" ht="23.25" hidden="false" customHeight="true" outlineLevel="0" collapsed="false">
      <c r="B1676" s="67" t="str">
        <f aca="false">""</f>
        <v/>
      </c>
      <c r="C1676" s="67"/>
      <c r="D1676" s="23" t="str">
        <f aca="false">IFERROR(INDEX(分录回款!$E:$E,MATCH($L1676,分录回款!$L:$L,0)),"")</f>
        <v/>
      </c>
      <c r="E1676" s="23" t="str">
        <f aca="false">IFERROR(INDEX(分录回款!$F:$F,MATCH($L1676,分录回款!$L:$L,0)),"")</f>
        <v/>
      </c>
      <c r="F1676" s="68" t="str">
        <f aca="false">IFERROR(INDEX(分录回款!$H:$H,MATCH($L1676,分录回款!$L:$L,0)),"")</f>
        <v/>
      </c>
      <c r="G1676" s="69" t="str">
        <f aca="false">IFERROR(INDEX(分录回款!$I:$I,MATCH($L1676,分录回款!$L:$L,0)),"")</f>
        <v/>
      </c>
      <c r="H1676" s="23"/>
      <c r="I1676" s="70"/>
      <c r="L1676" s="71" t="n">
        <f aca="false">IF(助手回款!$R$113="",-1,助手回款!$R$113*100+(助手回款!$S$113-1)*6+6)</f>
        <v>-1</v>
      </c>
    </row>
    <row r="1677" customFormat="false" ht="23.25" hidden="false" customHeight="true" outlineLevel="0" collapsed="false">
      <c r="B1677" s="72" t="str">
        <f aca="false">IF(助手回款!$T$113=1,"合计：","")</f>
        <v/>
      </c>
      <c r="C1677" s="73" t="str">
        <f aca="false">IF(助手回款!$T$113=1,$F1677,"")</f>
        <v/>
      </c>
      <c r="D1677" s="74"/>
      <c r="E1677" s="74"/>
      <c r="F1677" s="75" t="str">
        <f aca="false">IF(助手回款!$T$113=1,INDEX(助手回款!$N$2:$N$66,助手回款!$R$113),"")</f>
        <v/>
      </c>
      <c r="G1677" s="76" t="str">
        <f aca="false">IF(助手回款!$T$113=1,INDEX(助手回款!$O$2:$O$66,助手回款!$R$113),"")</f>
        <v/>
      </c>
      <c r="H1677" s="74"/>
      <c r="I1677" s="77"/>
    </row>
    <row r="1678" customFormat="false" ht="6" hidden="false" customHeight="true" outlineLevel="0" collapsed="false"/>
    <row r="1679" customFormat="false" ht="13.5" hidden="false" customHeight="false" outlineLevel="0" collapsed="false">
      <c r="B1679" s="78" t="str">
        <f aca="false">IF(助手回款!$R$113&lt;&gt;"","会计主管：","")</f>
        <v/>
      </c>
      <c r="D1679" s="78" t="str">
        <f aca="false">IF(助手回款!$R$113&lt;&gt;"","会计：","")</f>
        <v/>
      </c>
      <c r="E1679" s="78" t="str">
        <f aca="false">IF(助手回款!$R$113&lt;&gt;"","出纳：","")</f>
        <v/>
      </c>
      <c r="F1679" s="78" t="str">
        <f aca="false">IF(助手回款!$R$113&lt;&gt;"","复核：","")</f>
        <v/>
      </c>
      <c r="G1679" s="78" t="str">
        <f aca="false">IF(助手回款!$R$113&lt;&gt;"","制单：","")</f>
        <v/>
      </c>
    </row>
    <row r="1680" customFormat="false" ht="3" hidden="false" customHeight="true" outlineLevel="0" collapsed="false"/>
    <row r="1681" customFormat="false" ht="19.5" hidden="false" customHeight="true" outlineLevel="0" collapsed="false">
      <c r="B1681" s="53" t="str">
        <f aca="false">IF(助手回款!$R$114&lt;&gt;"","记  账  凭  证","")</f>
        <v/>
      </c>
      <c r="C1681" s="53"/>
      <c r="D1681" s="53"/>
      <c r="E1681" s="53"/>
      <c r="F1681" s="53"/>
      <c r="G1681" s="53"/>
      <c r="H1681" s="53"/>
      <c r="I1681" s="53"/>
    </row>
    <row r="1682" customFormat="false" ht="3" hidden="false" customHeight="true" outlineLevel="0" collapsed="false"/>
    <row r="1683" customFormat="false" ht="15" hidden="false" customHeight="true" outlineLevel="0" collapsed="false">
      <c r="C1683" s="56" t="str">
        <f aca="false">IF(助手回款!$R$114&lt;&gt;"",INDEX(助手回款!$B$2:$B$66,助手回款!$R$114),"")</f>
        <v/>
      </c>
      <c r="D1683" s="57" t="str">
        <f aca="false">IF(助手回款!$R$114&lt;&gt;"",参数!$B$2,"")</f>
        <v/>
      </c>
      <c r="E1683" s="57"/>
      <c r="F1683" s="58" t="str">
        <f aca="false">IF(助手回款!$R$114&lt;&gt;"",INDEX(助手回款!$C$2:$C$66,助手回款!$R$114)&amp;"  字第 "&amp;IF(参数!$B$9="是",INDEX(助手回款!$P$2:$P$66,助手回款!$R$114),"　　　　")&amp;" 号"&amp;IF(INDEX(助手回款!$L$2:$L$66,助手回款!$R$114)&gt;1,"  (共"&amp;INDEX(助手回款!$L$2:$L$66,助手回款!$R$114)&amp;"页 第"&amp;助手回款!$S$114&amp;"页)",""),"")</f>
        <v/>
      </c>
      <c r="G1683" s="58"/>
      <c r="H1683" s="58"/>
      <c r="I1683" s="58"/>
      <c r="M1683" s="79" t="str">
        <f aca="false">IF(助手回款!$R$114="","",助手回款!$Q$114)</f>
        <v/>
      </c>
      <c r="N1683" s="80" t="str">
        <f aca="false">IF(助手回款!$R$114="","",INDEX(助手回款!$P$2:$P$66,助手回款!$R$114))</f>
        <v/>
      </c>
      <c r="O1683" s="55" t="str">
        <f aca="false">IF(助手回款!$R$114="","",INDEX(助手回款!$C$2:$C$66,助手回款!$R$114)&amp;"  字第 "&amp;INDEX(助手回款!$P$2:$P$66,助手回款!$R$114)&amp;" 号"&amp;IF(INDEX(助手回款!$L$2:$L$66,助手回款!$R$114)&gt;1,"  (共"&amp;INDEX(助手回款!$L$2:$L$66,助手回款!$R$114)&amp;"页 第"&amp;助手回款!$S$114&amp;"页)",""))</f>
        <v/>
      </c>
    </row>
    <row r="1684" customFormat="false" ht="12.75" hidden="false" customHeight="true" outlineLevel="0" collapsed="false">
      <c r="B1684" s="61" t="str">
        <f aca="false">IF(助手回款!$R$114&lt;&gt;"","摘　　要","")</f>
        <v/>
      </c>
      <c r="C1684" s="61"/>
      <c r="D1684" s="62" t="str">
        <f aca="false">IF(助手回款!$R$114&lt;&gt;"","科　　　　目","")</f>
        <v/>
      </c>
      <c r="E1684" s="62"/>
      <c r="F1684" s="61" t="str">
        <f aca="false">IF(助手回款!$R$114&lt;&gt;"","借 方 金 额","")</f>
        <v/>
      </c>
      <c r="G1684" s="62" t="str">
        <f aca="false">IF(助手回款!$R$114&lt;&gt;"","贷 方 金 额","")</f>
        <v/>
      </c>
      <c r="H1684" s="63" t="str">
        <f aca="false">IF(助手回款!$R$114&lt;&gt;"","√","")</f>
        <v/>
      </c>
      <c r="I1684" s="64" t="str">
        <f aca="false">IF(助手回款!$R$114&lt;&gt;"","附单据  张","")</f>
        <v/>
      </c>
    </row>
    <row r="1685" customFormat="false" ht="12.75" hidden="false" customHeight="true" outlineLevel="0" collapsed="false">
      <c r="B1685" s="61"/>
      <c r="C1685" s="61"/>
      <c r="D1685" s="23" t="str">
        <f aca="false">IF(助手回款!$R$114&lt;&gt;"","总 账 科 目","")</f>
        <v/>
      </c>
      <c r="E1685" s="23" t="str">
        <f aca="false">IF(助手回款!$R$114&lt;&gt;"","明 细 科 目","")</f>
        <v/>
      </c>
      <c r="F1685" s="65"/>
      <c r="G1685" s="66"/>
      <c r="H1685" s="63"/>
      <c r="I1685" s="64"/>
    </row>
    <row r="1686" customFormat="false" ht="23.25" hidden="false" customHeight="true" outlineLevel="0" collapsed="false">
      <c r="B1686" s="67" t="str">
        <f aca="false">IFERROR(INDEX(分录回款!$M:$M,MATCH($L1686,分录回款!$L:$L,0)),"")</f>
        <v/>
      </c>
      <c r="C1686" s="67"/>
      <c r="D1686" s="23" t="str">
        <f aca="false">IFERROR(INDEX(分录回款!$E:$E,MATCH($L1686,分录回款!$L:$L,0)),"")</f>
        <v/>
      </c>
      <c r="E1686" s="23" t="str">
        <f aca="false">IFERROR(INDEX(分录回款!$F:$F,MATCH($L1686,分录回款!$L:$L,0)),"")</f>
        <v/>
      </c>
      <c r="F1686" s="68" t="str">
        <f aca="false">IFERROR(INDEX(分录回款!$H:$H,MATCH($L1686,分录回款!$L:$L,0)),"")</f>
        <v/>
      </c>
      <c r="G1686" s="69" t="str">
        <f aca="false">IFERROR(INDEX(分录回款!$I:$I,MATCH($L1686,分录回款!$L:$L,0)),"")</f>
        <v/>
      </c>
      <c r="H1686" s="23"/>
      <c r="I1686" s="70"/>
      <c r="L1686" s="71" t="n">
        <f aca="false">IF(助手回款!$R$114="",-1,助手回款!$R$114*100+(助手回款!$S$114-1)*6+1)</f>
        <v>-1</v>
      </c>
    </row>
    <row r="1687" customFormat="false" ht="23.25" hidden="false" customHeight="true" outlineLevel="0" collapsed="false">
      <c r="B1687" s="67" t="str">
        <f aca="false">""</f>
        <v/>
      </c>
      <c r="C1687" s="67"/>
      <c r="D1687" s="23" t="str">
        <f aca="false">IFERROR(INDEX(分录回款!$E:$E,MATCH($L1687,分录回款!$L:$L,0)),"")</f>
        <v/>
      </c>
      <c r="E1687" s="23" t="str">
        <f aca="false">IFERROR(INDEX(分录回款!$F:$F,MATCH($L1687,分录回款!$L:$L,0)),"")</f>
        <v/>
      </c>
      <c r="F1687" s="68" t="str">
        <f aca="false">IFERROR(INDEX(分录回款!$H:$H,MATCH($L1687,分录回款!$L:$L,0)),"")</f>
        <v/>
      </c>
      <c r="G1687" s="69" t="str">
        <f aca="false">IFERROR(INDEX(分录回款!$I:$I,MATCH($L1687,分录回款!$L:$L,0)),"")</f>
        <v/>
      </c>
      <c r="H1687" s="23"/>
      <c r="I1687" s="70"/>
      <c r="L1687" s="71" t="n">
        <f aca="false">IF(助手回款!$R$114="",-1,助手回款!$R$114*100+(助手回款!$S$114-1)*6+2)</f>
        <v>-1</v>
      </c>
    </row>
    <row r="1688" customFormat="false" ht="23.25" hidden="false" customHeight="true" outlineLevel="0" collapsed="false">
      <c r="B1688" s="67" t="str">
        <f aca="false">""</f>
        <v/>
      </c>
      <c r="C1688" s="67"/>
      <c r="D1688" s="23" t="str">
        <f aca="false">IFERROR(INDEX(分录回款!$E:$E,MATCH($L1688,分录回款!$L:$L,0)),"")</f>
        <v/>
      </c>
      <c r="E1688" s="23" t="str">
        <f aca="false">IFERROR(INDEX(分录回款!$F:$F,MATCH($L1688,分录回款!$L:$L,0)),"")</f>
        <v/>
      </c>
      <c r="F1688" s="68" t="str">
        <f aca="false">IFERROR(INDEX(分录回款!$H:$H,MATCH($L1688,分录回款!$L:$L,0)),"")</f>
        <v/>
      </c>
      <c r="G1688" s="69" t="str">
        <f aca="false">IFERROR(INDEX(分录回款!$I:$I,MATCH($L1688,分录回款!$L:$L,0)),"")</f>
        <v/>
      </c>
      <c r="H1688" s="23"/>
      <c r="I1688" s="70"/>
      <c r="L1688" s="71" t="n">
        <f aca="false">IF(助手回款!$R$114="",-1,助手回款!$R$114*100+(助手回款!$S$114-1)*6+3)</f>
        <v>-1</v>
      </c>
    </row>
    <row r="1689" customFormat="false" ht="23.25" hidden="false" customHeight="true" outlineLevel="0" collapsed="false">
      <c r="B1689" s="67" t="str">
        <f aca="false">""</f>
        <v/>
      </c>
      <c r="C1689" s="67"/>
      <c r="D1689" s="23" t="str">
        <f aca="false">IFERROR(INDEX(分录回款!$E:$E,MATCH($L1689,分录回款!$L:$L,0)),"")</f>
        <v/>
      </c>
      <c r="E1689" s="23" t="str">
        <f aca="false">IFERROR(INDEX(分录回款!$F:$F,MATCH($L1689,分录回款!$L:$L,0)),"")</f>
        <v/>
      </c>
      <c r="F1689" s="68" t="str">
        <f aca="false">IFERROR(INDEX(分录回款!$H:$H,MATCH($L1689,分录回款!$L:$L,0)),"")</f>
        <v/>
      </c>
      <c r="G1689" s="69" t="str">
        <f aca="false">IFERROR(INDEX(分录回款!$I:$I,MATCH($L1689,分录回款!$L:$L,0)),"")</f>
        <v/>
      </c>
      <c r="H1689" s="23"/>
      <c r="I1689" s="70"/>
      <c r="L1689" s="71" t="n">
        <f aca="false">IF(助手回款!$R$114="",-1,助手回款!$R$114*100+(助手回款!$S$114-1)*6+4)</f>
        <v>-1</v>
      </c>
    </row>
    <row r="1690" customFormat="false" ht="23.25" hidden="false" customHeight="true" outlineLevel="0" collapsed="false">
      <c r="B1690" s="67" t="str">
        <f aca="false">""</f>
        <v/>
      </c>
      <c r="C1690" s="67"/>
      <c r="D1690" s="23" t="str">
        <f aca="false">IFERROR(INDEX(分录回款!$E:$E,MATCH($L1690,分录回款!$L:$L,0)),"")</f>
        <v/>
      </c>
      <c r="E1690" s="23" t="str">
        <f aca="false">IFERROR(INDEX(分录回款!$F:$F,MATCH($L1690,分录回款!$L:$L,0)),"")</f>
        <v/>
      </c>
      <c r="F1690" s="68" t="str">
        <f aca="false">IFERROR(INDEX(分录回款!$H:$H,MATCH($L1690,分录回款!$L:$L,0)),"")</f>
        <v/>
      </c>
      <c r="G1690" s="69" t="str">
        <f aca="false">IFERROR(INDEX(分录回款!$I:$I,MATCH($L1690,分录回款!$L:$L,0)),"")</f>
        <v/>
      </c>
      <c r="H1690" s="23"/>
      <c r="I1690" s="70"/>
      <c r="L1690" s="71" t="n">
        <f aca="false">IF(助手回款!$R$114="",-1,助手回款!$R$114*100+(助手回款!$S$114-1)*6+5)</f>
        <v>-1</v>
      </c>
    </row>
    <row r="1691" customFormat="false" ht="23.25" hidden="false" customHeight="true" outlineLevel="0" collapsed="false">
      <c r="B1691" s="67" t="str">
        <f aca="false">""</f>
        <v/>
      </c>
      <c r="C1691" s="67"/>
      <c r="D1691" s="23" t="str">
        <f aca="false">IFERROR(INDEX(分录回款!$E:$E,MATCH($L1691,分录回款!$L:$L,0)),"")</f>
        <v/>
      </c>
      <c r="E1691" s="23" t="str">
        <f aca="false">IFERROR(INDEX(分录回款!$F:$F,MATCH($L1691,分录回款!$L:$L,0)),"")</f>
        <v/>
      </c>
      <c r="F1691" s="68" t="str">
        <f aca="false">IFERROR(INDEX(分录回款!$H:$H,MATCH($L1691,分录回款!$L:$L,0)),"")</f>
        <v/>
      </c>
      <c r="G1691" s="69" t="str">
        <f aca="false">IFERROR(INDEX(分录回款!$I:$I,MATCH($L1691,分录回款!$L:$L,0)),"")</f>
        <v/>
      </c>
      <c r="H1691" s="23"/>
      <c r="I1691" s="70"/>
      <c r="L1691" s="71" t="n">
        <f aca="false">IF(助手回款!$R$114="",-1,助手回款!$R$114*100+(助手回款!$S$114-1)*6+6)</f>
        <v>-1</v>
      </c>
    </row>
    <row r="1692" customFormat="false" ht="23.25" hidden="false" customHeight="true" outlineLevel="0" collapsed="false">
      <c r="B1692" s="72" t="str">
        <f aca="false">IF(助手回款!$T$114=1,"合计：","")</f>
        <v/>
      </c>
      <c r="C1692" s="73" t="str">
        <f aca="false">IF(助手回款!$T$114=1,$F1692,"")</f>
        <v/>
      </c>
      <c r="D1692" s="74"/>
      <c r="E1692" s="74"/>
      <c r="F1692" s="75" t="str">
        <f aca="false">IF(助手回款!$T$114=1,INDEX(助手回款!$N$2:$N$66,助手回款!$R$114),"")</f>
        <v/>
      </c>
      <c r="G1692" s="76" t="str">
        <f aca="false">IF(助手回款!$T$114=1,INDEX(助手回款!$O$2:$O$66,助手回款!$R$114),"")</f>
        <v/>
      </c>
      <c r="H1692" s="74"/>
      <c r="I1692" s="77"/>
    </row>
    <row r="1693" customFormat="false" ht="6" hidden="false" customHeight="true" outlineLevel="0" collapsed="false"/>
    <row r="1694" customFormat="false" ht="13.5" hidden="false" customHeight="false" outlineLevel="0" collapsed="false">
      <c r="B1694" s="78" t="str">
        <f aca="false">IF(助手回款!$R$114&lt;&gt;"","会计主管：","")</f>
        <v/>
      </c>
      <c r="D1694" s="78" t="str">
        <f aca="false">IF(助手回款!$R$114&lt;&gt;"","会计：","")</f>
        <v/>
      </c>
      <c r="E1694" s="78" t="str">
        <f aca="false">IF(助手回款!$R$114&lt;&gt;"","出纳：","")</f>
        <v/>
      </c>
      <c r="F1694" s="78" t="str">
        <f aca="false">IF(助手回款!$R$114&lt;&gt;"","复核：","")</f>
        <v/>
      </c>
      <c r="G1694" s="78" t="str">
        <f aca="false">IF(助手回款!$R$114&lt;&gt;"","制单：","")</f>
        <v/>
      </c>
    </row>
    <row r="1695" customFormat="false" ht="3" hidden="false" customHeight="true" outlineLevel="0" collapsed="false"/>
    <row r="1696" customFormat="false" ht="19.5" hidden="false" customHeight="true" outlineLevel="0" collapsed="false">
      <c r="B1696" s="53" t="str">
        <f aca="false">IF(助手回款!$R$115&lt;&gt;"","记  账  凭  证","")</f>
        <v/>
      </c>
      <c r="C1696" s="53"/>
      <c r="D1696" s="53"/>
      <c r="E1696" s="53"/>
      <c r="F1696" s="53"/>
      <c r="G1696" s="53"/>
      <c r="H1696" s="53"/>
      <c r="I1696" s="53"/>
    </row>
    <row r="1697" customFormat="false" ht="3" hidden="false" customHeight="true" outlineLevel="0" collapsed="false"/>
    <row r="1698" customFormat="false" ht="15" hidden="false" customHeight="true" outlineLevel="0" collapsed="false">
      <c r="C1698" s="56" t="str">
        <f aca="false">IF(助手回款!$R$115&lt;&gt;"",INDEX(助手回款!$B$2:$B$66,助手回款!$R$115),"")</f>
        <v/>
      </c>
      <c r="D1698" s="57" t="str">
        <f aca="false">IF(助手回款!$R$115&lt;&gt;"",参数!$B$2,"")</f>
        <v/>
      </c>
      <c r="E1698" s="57"/>
      <c r="F1698" s="58" t="str">
        <f aca="false">IF(助手回款!$R$115&lt;&gt;"",INDEX(助手回款!$C$2:$C$66,助手回款!$R$115)&amp;"  字第 "&amp;IF(参数!$B$9="是",INDEX(助手回款!$P$2:$P$66,助手回款!$R$115),"　　　　")&amp;" 号"&amp;IF(INDEX(助手回款!$L$2:$L$66,助手回款!$R$115)&gt;1,"  (共"&amp;INDEX(助手回款!$L$2:$L$66,助手回款!$R$115)&amp;"页 第"&amp;助手回款!$S$115&amp;"页)",""),"")</f>
        <v/>
      </c>
      <c r="G1698" s="58"/>
      <c r="H1698" s="58"/>
      <c r="I1698" s="58"/>
      <c r="M1698" s="79" t="str">
        <f aca="false">IF(助手回款!$R$115="","",助手回款!$Q$115)</f>
        <v/>
      </c>
      <c r="N1698" s="80" t="str">
        <f aca="false">IF(助手回款!$R$115="","",INDEX(助手回款!$P$2:$P$66,助手回款!$R$115))</f>
        <v/>
      </c>
      <c r="O1698" s="55" t="str">
        <f aca="false">IF(助手回款!$R$115="","",INDEX(助手回款!$C$2:$C$66,助手回款!$R$115)&amp;"  字第 "&amp;INDEX(助手回款!$P$2:$P$66,助手回款!$R$115)&amp;" 号"&amp;IF(INDEX(助手回款!$L$2:$L$66,助手回款!$R$115)&gt;1,"  (共"&amp;INDEX(助手回款!$L$2:$L$66,助手回款!$R$115)&amp;"页 第"&amp;助手回款!$S$115&amp;"页)",""))</f>
        <v/>
      </c>
    </row>
    <row r="1699" customFormat="false" ht="12.75" hidden="false" customHeight="true" outlineLevel="0" collapsed="false">
      <c r="B1699" s="61" t="str">
        <f aca="false">IF(助手回款!$R$115&lt;&gt;"","摘　　要","")</f>
        <v/>
      </c>
      <c r="C1699" s="61"/>
      <c r="D1699" s="62" t="str">
        <f aca="false">IF(助手回款!$R$115&lt;&gt;"","科　　　　目","")</f>
        <v/>
      </c>
      <c r="E1699" s="62"/>
      <c r="F1699" s="61" t="str">
        <f aca="false">IF(助手回款!$R$115&lt;&gt;"","借 方 金 额","")</f>
        <v/>
      </c>
      <c r="G1699" s="62" t="str">
        <f aca="false">IF(助手回款!$R$115&lt;&gt;"","贷 方 金 额","")</f>
        <v/>
      </c>
      <c r="H1699" s="63" t="str">
        <f aca="false">IF(助手回款!$R$115&lt;&gt;"","√","")</f>
        <v/>
      </c>
      <c r="I1699" s="64" t="str">
        <f aca="false">IF(助手回款!$R$115&lt;&gt;"","附单据  张","")</f>
        <v/>
      </c>
    </row>
    <row r="1700" customFormat="false" ht="12.75" hidden="false" customHeight="true" outlineLevel="0" collapsed="false">
      <c r="B1700" s="61"/>
      <c r="C1700" s="61"/>
      <c r="D1700" s="23" t="str">
        <f aca="false">IF(助手回款!$R$115&lt;&gt;"","总 账 科 目","")</f>
        <v/>
      </c>
      <c r="E1700" s="23" t="str">
        <f aca="false">IF(助手回款!$R$115&lt;&gt;"","明 细 科 目","")</f>
        <v/>
      </c>
      <c r="F1700" s="65"/>
      <c r="G1700" s="66"/>
      <c r="H1700" s="63"/>
      <c r="I1700" s="64"/>
    </row>
    <row r="1701" customFormat="false" ht="23.25" hidden="false" customHeight="true" outlineLevel="0" collapsed="false">
      <c r="B1701" s="67" t="str">
        <f aca="false">IFERROR(INDEX(分录回款!$M:$M,MATCH($L1701,分录回款!$L:$L,0)),"")</f>
        <v/>
      </c>
      <c r="C1701" s="67"/>
      <c r="D1701" s="23" t="str">
        <f aca="false">IFERROR(INDEX(分录回款!$E:$E,MATCH($L1701,分录回款!$L:$L,0)),"")</f>
        <v/>
      </c>
      <c r="E1701" s="23" t="str">
        <f aca="false">IFERROR(INDEX(分录回款!$F:$F,MATCH($L1701,分录回款!$L:$L,0)),"")</f>
        <v/>
      </c>
      <c r="F1701" s="68" t="str">
        <f aca="false">IFERROR(INDEX(分录回款!$H:$H,MATCH($L1701,分录回款!$L:$L,0)),"")</f>
        <v/>
      </c>
      <c r="G1701" s="69" t="str">
        <f aca="false">IFERROR(INDEX(分录回款!$I:$I,MATCH($L1701,分录回款!$L:$L,0)),"")</f>
        <v/>
      </c>
      <c r="H1701" s="23"/>
      <c r="I1701" s="70"/>
      <c r="L1701" s="71" t="n">
        <f aca="false">IF(助手回款!$R$115="",-1,助手回款!$R$115*100+(助手回款!$S$115-1)*6+1)</f>
        <v>-1</v>
      </c>
    </row>
    <row r="1702" customFormat="false" ht="23.25" hidden="false" customHeight="true" outlineLevel="0" collapsed="false">
      <c r="B1702" s="67" t="str">
        <f aca="false">""</f>
        <v/>
      </c>
      <c r="C1702" s="67"/>
      <c r="D1702" s="23" t="str">
        <f aca="false">IFERROR(INDEX(分录回款!$E:$E,MATCH($L1702,分录回款!$L:$L,0)),"")</f>
        <v/>
      </c>
      <c r="E1702" s="23" t="str">
        <f aca="false">IFERROR(INDEX(分录回款!$F:$F,MATCH($L1702,分录回款!$L:$L,0)),"")</f>
        <v/>
      </c>
      <c r="F1702" s="68" t="str">
        <f aca="false">IFERROR(INDEX(分录回款!$H:$H,MATCH($L1702,分录回款!$L:$L,0)),"")</f>
        <v/>
      </c>
      <c r="G1702" s="69" t="str">
        <f aca="false">IFERROR(INDEX(分录回款!$I:$I,MATCH($L1702,分录回款!$L:$L,0)),"")</f>
        <v/>
      </c>
      <c r="H1702" s="23"/>
      <c r="I1702" s="70"/>
      <c r="L1702" s="71" t="n">
        <f aca="false">IF(助手回款!$R$115="",-1,助手回款!$R$115*100+(助手回款!$S$115-1)*6+2)</f>
        <v>-1</v>
      </c>
    </row>
    <row r="1703" customFormat="false" ht="23.25" hidden="false" customHeight="true" outlineLevel="0" collapsed="false">
      <c r="B1703" s="67" t="str">
        <f aca="false">""</f>
        <v/>
      </c>
      <c r="C1703" s="67"/>
      <c r="D1703" s="23" t="str">
        <f aca="false">IFERROR(INDEX(分录回款!$E:$E,MATCH($L1703,分录回款!$L:$L,0)),"")</f>
        <v/>
      </c>
      <c r="E1703" s="23" t="str">
        <f aca="false">IFERROR(INDEX(分录回款!$F:$F,MATCH($L1703,分录回款!$L:$L,0)),"")</f>
        <v/>
      </c>
      <c r="F1703" s="68" t="str">
        <f aca="false">IFERROR(INDEX(分录回款!$H:$H,MATCH($L1703,分录回款!$L:$L,0)),"")</f>
        <v/>
      </c>
      <c r="G1703" s="69" t="str">
        <f aca="false">IFERROR(INDEX(分录回款!$I:$I,MATCH($L1703,分录回款!$L:$L,0)),"")</f>
        <v/>
      </c>
      <c r="H1703" s="23"/>
      <c r="I1703" s="70"/>
      <c r="L1703" s="71" t="n">
        <f aca="false">IF(助手回款!$R$115="",-1,助手回款!$R$115*100+(助手回款!$S$115-1)*6+3)</f>
        <v>-1</v>
      </c>
    </row>
    <row r="1704" customFormat="false" ht="23.25" hidden="false" customHeight="true" outlineLevel="0" collapsed="false">
      <c r="B1704" s="67" t="str">
        <f aca="false">""</f>
        <v/>
      </c>
      <c r="C1704" s="67"/>
      <c r="D1704" s="23" t="str">
        <f aca="false">IFERROR(INDEX(分录回款!$E:$E,MATCH($L1704,分录回款!$L:$L,0)),"")</f>
        <v/>
      </c>
      <c r="E1704" s="23" t="str">
        <f aca="false">IFERROR(INDEX(分录回款!$F:$F,MATCH($L1704,分录回款!$L:$L,0)),"")</f>
        <v/>
      </c>
      <c r="F1704" s="68" t="str">
        <f aca="false">IFERROR(INDEX(分录回款!$H:$H,MATCH($L1704,分录回款!$L:$L,0)),"")</f>
        <v/>
      </c>
      <c r="G1704" s="69" t="str">
        <f aca="false">IFERROR(INDEX(分录回款!$I:$I,MATCH($L1704,分录回款!$L:$L,0)),"")</f>
        <v/>
      </c>
      <c r="H1704" s="23"/>
      <c r="I1704" s="70"/>
      <c r="L1704" s="71" t="n">
        <f aca="false">IF(助手回款!$R$115="",-1,助手回款!$R$115*100+(助手回款!$S$115-1)*6+4)</f>
        <v>-1</v>
      </c>
    </row>
    <row r="1705" customFormat="false" ht="23.25" hidden="false" customHeight="true" outlineLevel="0" collapsed="false">
      <c r="B1705" s="67" t="str">
        <f aca="false">""</f>
        <v/>
      </c>
      <c r="C1705" s="67"/>
      <c r="D1705" s="23" t="str">
        <f aca="false">IFERROR(INDEX(分录回款!$E:$E,MATCH($L1705,分录回款!$L:$L,0)),"")</f>
        <v/>
      </c>
      <c r="E1705" s="23" t="str">
        <f aca="false">IFERROR(INDEX(分录回款!$F:$F,MATCH($L1705,分录回款!$L:$L,0)),"")</f>
        <v/>
      </c>
      <c r="F1705" s="68" t="str">
        <f aca="false">IFERROR(INDEX(分录回款!$H:$H,MATCH($L1705,分录回款!$L:$L,0)),"")</f>
        <v/>
      </c>
      <c r="G1705" s="69" t="str">
        <f aca="false">IFERROR(INDEX(分录回款!$I:$I,MATCH($L1705,分录回款!$L:$L,0)),"")</f>
        <v/>
      </c>
      <c r="H1705" s="23"/>
      <c r="I1705" s="70"/>
      <c r="L1705" s="71" t="n">
        <f aca="false">IF(助手回款!$R$115="",-1,助手回款!$R$115*100+(助手回款!$S$115-1)*6+5)</f>
        <v>-1</v>
      </c>
    </row>
    <row r="1706" customFormat="false" ht="23.25" hidden="false" customHeight="true" outlineLevel="0" collapsed="false">
      <c r="B1706" s="67" t="str">
        <f aca="false">""</f>
        <v/>
      </c>
      <c r="C1706" s="67"/>
      <c r="D1706" s="23" t="str">
        <f aca="false">IFERROR(INDEX(分录回款!$E:$E,MATCH($L1706,分录回款!$L:$L,0)),"")</f>
        <v/>
      </c>
      <c r="E1706" s="23" t="str">
        <f aca="false">IFERROR(INDEX(分录回款!$F:$F,MATCH($L1706,分录回款!$L:$L,0)),"")</f>
        <v/>
      </c>
      <c r="F1706" s="68" t="str">
        <f aca="false">IFERROR(INDEX(分录回款!$H:$H,MATCH($L1706,分录回款!$L:$L,0)),"")</f>
        <v/>
      </c>
      <c r="G1706" s="69" t="str">
        <f aca="false">IFERROR(INDEX(分录回款!$I:$I,MATCH($L1706,分录回款!$L:$L,0)),"")</f>
        <v/>
      </c>
      <c r="H1706" s="23"/>
      <c r="I1706" s="70"/>
      <c r="L1706" s="71" t="n">
        <f aca="false">IF(助手回款!$R$115="",-1,助手回款!$R$115*100+(助手回款!$S$115-1)*6+6)</f>
        <v>-1</v>
      </c>
    </row>
    <row r="1707" customFormat="false" ht="23.25" hidden="false" customHeight="true" outlineLevel="0" collapsed="false">
      <c r="B1707" s="72" t="str">
        <f aca="false">IF(助手回款!$T$115=1,"合计：","")</f>
        <v/>
      </c>
      <c r="C1707" s="73" t="str">
        <f aca="false">IF(助手回款!$T$115=1,$F1707,"")</f>
        <v/>
      </c>
      <c r="D1707" s="74"/>
      <c r="E1707" s="74"/>
      <c r="F1707" s="75" t="str">
        <f aca="false">IF(助手回款!$T$115=1,INDEX(助手回款!$N$2:$N$66,助手回款!$R$115),"")</f>
        <v/>
      </c>
      <c r="G1707" s="76" t="str">
        <f aca="false">IF(助手回款!$T$115=1,INDEX(助手回款!$O$2:$O$66,助手回款!$R$115),"")</f>
        <v/>
      </c>
      <c r="H1707" s="74"/>
      <c r="I1707" s="77"/>
    </row>
    <row r="1708" customFormat="false" ht="6" hidden="false" customHeight="true" outlineLevel="0" collapsed="false"/>
    <row r="1709" customFormat="false" ht="13.5" hidden="false" customHeight="false" outlineLevel="0" collapsed="false">
      <c r="B1709" s="78" t="str">
        <f aca="false">IF(助手回款!$R$115&lt;&gt;"","会计主管：","")</f>
        <v/>
      </c>
      <c r="D1709" s="78" t="str">
        <f aca="false">IF(助手回款!$R$115&lt;&gt;"","会计：","")</f>
        <v/>
      </c>
      <c r="E1709" s="78" t="str">
        <f aca="false">IF(助手回款!$R$115&lt;&gt;"","出纳：","")</f>
        <v/>
      </c>
      <c r="F1709" s="78" t="str">
        <f aca="false">IF(助手回款!$R$115&lt;&gt;"","复核：","")</f>
        <v/>
      </c>
      <c r="G1709" s="78" t="str">
        <f aca="false">IF(助手回款!$R$115&lt;&gt;"","制单：","")</f>
        <v/>
      </c>
    </row>
    <row r="1710" customFormat="false" ht="3" hidden="false" customHeight="true" outlineLevel="0" collapsed="false"/>
    <row r="1711" customFormat="false" ht="19.5" hidden="false" customHeight="true" outlineLevel="0" collapsed="false">
      <c r="B1711" s="53" t="str">
        <f aca="false">IF(助手回款!$R$116&lt;&gt;"","记  账  凭  证","")</f>
        <v/>
      </c>
      <c r="C1711" s="53"/>
      <c r="D1711" s="53"/>
      <c r="E1711" s="53"/>
      <c r="F1711" s="53"/>
      <c r="G1711" s="53"/>
      <c r="H1711" s="53"/>
      <c r="I1711" s="53"/>
    </row>
    <row r="1712" customFormat="false" ht="3" hidden="false" customHeight="true" outlineLevel="0" collapsed="false"/>
    <row r="1713" customFormat="false" ht="15" hidden="false" customHeight="true" outlineLevel="0" collapsed="false">
      <c r="C1713" s="56" t="str">
        <f aca="false">IF(助手回款!$R$116&lt;&gt;"",INDEX(助手回款!$B$2:$B$66,助手回款!$R$116),"")</f>
        <v/>
      </c>
      <c r="D1713" s="57" t="str">
        <f aca="false">IF(助手回款!$R$116&lt;&gt;"",参数!$B$2,"")</f>
        <v/>
      </c>
      <c r="E1713" s="57"/>
      <c r="F1713" s="58" t="str">
        <f aca="false">IF(助手回款!$R$116&lt;&gt;"",INDEX(助手回款!$C$2:$C$66,助手回款!$R$116)&amp;"  字第 "&amp;IF(参数!$B$9="是",INDEX(助手回款!$P$2:$P$66,助手回款!$R$116),"　　　　")&amp;" 号"&amp;IF(INDEX(助手回款!$L$2:$L$66,助手回款!$R$116)&gt;1,"  (共"&amp;INDEX(助手回款!$L$2:$L$66,助手回款!$R$116)&amp;"页 第"&amp;助手回款!$S$116&amp;"页)",""),"")</f>
        <v/>
      </c>
      <c r="G1713" s="58"/>
      <c r="H1713" s="58"/>
      <c r="I1713" s="58"/>
      <c r="M1713" s="79" t="str">
        <f aca="false">IF(助手回款!$R$116="","",助手回款!$Q$116)</f>
        <v/>
      </c>
      <c r="N1713" s="80" t="str">
        <f aca="false">IF(助手回款!$R$116="","",INDEX(助手回款!$P$2:$P$66,助手回款!$R$116))</f>
        <v/>
      </c>
      <c r="O1713" s="55" t="str">
        <f aca="false">IF(助手回款!$R$116="","",INDEX(助手回款!$C$2:$C$66,助手回款!$R$116)&amp;"  字第 "&amp;INDEX(助手回款!$P$2:$P$66,助手回款!$R$116)&amp;" 号"&amp;IF(INDEX(助手回款!$L$2:$L$66,助手回款!$R$116)&gt;1,"  (共"&amp;INDEX(助手回款!$L$2:$L$66,助手回款!$R$116)&amp;"页 第"&amp;助手回款!$S$116&amp;"页)",""))</f>
        <v/>
      </c>
    </row>
    <row r="1714" customFormat="false" ht="12.75" hidden="false" customHeight="true" outlineLevel="0" collapsed="false">
      <c r="B1714" s="61" t="str">
        <f aca="false">IF(助手回款!$R$116&lt;&gt;"","摘　　要","")</f>
        <v/>
      </c>
      <c r="C1714" s="61"/>
      <c r="D1714" s="62" t="str">
        <f aca="false">IF(助手回款!$R$116&lt;&gt;"","科　　　　目","")</f>
        <v/>
      </c>
      <c r="E1714" s="62"/>
      <c r="F1714" s="61" t="str">
        <f aca="false">IF(助手回款!$R$116&lt;&gt;"","借 方 金 额","")</f>
        <v/>
      </c>
      <c r="G1714" s="62" t="str">
        <f aca="false">IF(助手回款!$R$116&lt;&gt;"","贷 方 金 额","")</f>
        <v/>
      </c>
      <c r="H1714" s="63" t="str">
        <f aca="false">IF(助手回款!$R$116&lt;&gt;"","√","")</f>
        <v/>
      </c>
      <c r="I1714" s="64" t="str">
        <f aca="false">IF(助手回款!$R$116&lt;&gt;"","附单据  张","")</f>
        <v/>
      </c>
    </row>
    <row r="1715" customFormat="false" ht="12.75" hidden="false" customHeight="true" outlineLevel="0" collapsed="false">
      <c r="B1715" s="61"/>
      <c r="C1715" s="61"/>
      <c r="D1715" s="23" t="str">
        <f aca="false">IF(助手回款!$R$116&lt;&gt;"","总 账 科 目","")</f>
        <v/>
      </c>
      <c r="E1715" s="23" t="str">
        <f aca="false">IF(助手回款!$R$116&lt;&gt;"","明 细 科 目","")</f>
        <v/>
      </c>
      <c r="F1715" s="65"/>
      <c r="G1715" s="66"/>
      <c r="H1715" s="63"/>
      <c r="I1715" s="64"/>
    </row>
    <row r="1716" customFormat="false" ht="23.25" hidden="false" customHeight="true" outlineLevel="0" collapsed="false">
      <c r="B1716" s="67" t="str">
        <f aca="false">IFERROR(INDEX(分录回款!$M:$M,MATCH($L1716,分录回款!$L:$L,0)),"")</f>
        <v/>
      </c>
      <c r="C1716" s="67"/>
      <c r="D1716" s="23" t="str">
        <f aca="false">IFERROR(INDEX(分录回款!$E:$E,MATCH($L1716,分录回款!$L:$L,0)),"")</f>
        <v/>
      </c>
      <c r="E1716" s="23" t="str">
        <f aca="false">IFERROR(INDEX(分录回款!$F:$F,MATCH($L1716,分录回款!$L:$L,0)),"")</f>
        <v/>
      </c>
      <c r="F1716" s="68" t="str">
        <f aca="false">IFERROR(INDEX(分录回款!$H:$H,MATCH($L1716,分录回款!$L:$L,0)),"")</f>
        <v/>
      </c>
      <c r="G1716" s="69" t="str">
        <f aca="false">IFERROR(INDEX(分录回款!$I:$I,MATCH($L1716,分录回款!$L:$L,0)),"")</f>
        <v/>
      </c>
      <c r="H1716" s="23"/>
      <c r="I1716" s="70"/>
      <c r="L1716" s="71" t="n">
        <f aca="false">IF(助手回款!$R$116="",-1,助手回款!$R$116*100+(助手回款!$S$116-1)*6+1)</f>
        <v>-1</v>
      </c>
    </row>
    <row r="1717" customFormat="false" ht="23.25" hidden="false" customHeight="true" outlineLevel="0" collapsed="false">
      <c r="B1717" s="67" t="str">
        <f aca="false">""</f>
        <v/>
      </c>
      <c r="C1717" s="67"/>
      <c r="D1717" s="23" t="str">
        <f aca="false">IFERROR(INDEX(分录回款!$E:$E,MATCH($L1717,分录回款!$L:$L,0)),"")</f>
        <v/>
      </c>
      <c r="E1717" s="23" t="str">
        <f aca="false">IFERROR(INDEX(分录回款!$F:$F,MATCH($L1717,分录回款!$L:$L,0)),"")</f>
        <v/>
      </c>
      <c r="F1717" s="68" t="str">
        <f aca="false">IFERROR(INDEX(分录回款!$H:$H,MATCH($L1717,分录回款!$L:$L,0)),"")</f>
        <v/>
      </c>
      <c r="G1717" s="69" t="str">
        <f aca="false">IFERROR(INDEX(分录回款!$I:$I,MATCH($L1717,分录回款!$L:$L,0)),"")</f>
        <v/>
      </c>
      <c r="H1717" s="23"/>
      <c r="I1717" s="70"/>
      <c r="L1717" s="71" t="n">
        <f aca="false">IF(助手回款!$R$116="",-1,助手回款!$R$116*100+(助手回款!$S$116-1)*6+2)</f>
        <v>-1</v>
      </c>
    </row>
    <row r="1718" customFormat="false" ht="23.25" hidden="false" customHeight="true" outlineLevel="0" collapsed="false">
      <c r="B1718" s="67" t="str">
        <f aca="false">""</f>
        <v/>
      </c>
      <c r="C1718" s="67"/>
      <c r="D1718" s="23" t="str">
        <f aca="false">IFERROR(INDEX(分录回款!$E:$E,MATCH($L1718,分录回款!$L:$L,0)),"")</f>
        <v/>
      </c>
      <c r="E1718" s="23" t="str">
        <f aca="false">IFERROR(INDEX(分录回款!$F:$F,MATCH($L1718,分录回款!$L:$L,0)),"")</f>
        <v/>
      </c>
      <c r="F1718" s="68" t="str">
        <f aca="false">IFERROR(INDEX(分录回款!$H:$H,MATCH($L1718,分录回款!$L:$L,0)),"")</f>
        <v/>
      </c>
      <c r="G1718" s="69" t="str">
        <f aca="false">IFERROR(INDEX(分录回款!$I:$I,MATCH($L1718,分录回款!$L:$L,0)),"")</f>
        <v/>
      </c>
      <c r="H1718" s="23"/>
      <c r="I1718" s="70"/>
      <c r="L1718" s="71" t="n">
        <f aca="false">IF(助手回款!$R$116="",-1,助手回款!$R$116*100+(助手回款!$S$116-1)*6+3)</f>
        <v>-1</v>
      </c>
    </row>
    <row r="1719" customFormat="false" ht="23.25" hidden="false" customHeight="true" outlineLevel="0" collapsed="false">
      <c r="B1719" s="67" t="str">
        <f aca="false">""</f>
        <v/>
      </c>
      <c r="C1719" s="67"/>
      <c r="D1719" s="23" t="str">
        <f aca="false">IFERROR(INDEX(分录回款!$E:$E,MATCH($L1719,分录回款!$L:$L,0)),"")</f>
        <v/>
      </c>
      <c r="E1719" s="23" t="str">
        <f aca="false">IFERROR(INDEX(分录回款!$F:$F,MATCH($L1719,分录回款!$L:$L,0)),"")</f>
        <v/>
      </c>
      <c r="F1719" s="68" t="str">
        <f aca="false">IFERROR(INDEX(分录回款!$H:$H,MATCH($L1719,分录回款!$L:$L,0)),"")</f>
        <v/>
      </c>
      <c r="G1719" s="69" t="str">
        <f aca="false">IFERROR(INDEX(分录回款!$I:$I,MATCH($L1719,分录回款!$L:$L,0)),"")</f>
        <v/>
      </c>
      <c r="H1719" s="23"/>
      <c r="I1719" s="70"/>
      <c r="L1719" s="71" t="n">
        <f aca="false">IF(助手回款!$R$116="",-1,助手回款!$R$116*100+(助手回款!$S$116-1)*6+4)</f>
        <v>-1</v>
      </c>
    </row>
    <row r="1720" customFormat="false" ht="23.25" hidden="false" customHeight="true" outlineLevel="0" collapsed="false">
      <c r="B1720" s="67" t="str">
        <f aca="false">""</f>
        <v/>
      </c>
      <c r="C1720" s="67"/>
      <c r="D1720" s="23" t="str">
        <f aca="false">IFERROR(INDEX(分录回款!$E:$E,MATCH($L1720,分录回款!$L:$L,0)),"")</f>
        <v/>
      </c>
      <c r="E1720" s="23" t="str">
        <f aca="false">IFERROR(INDEX(分录回款!$F:$F,MATCH($L1720,分录回款!$L:$L,0)),"")</f>
        <v/>
      </c>
      <c r="F1720" s="68" t="str">
        <f aca="false">IFERROR(INDEX(分录回款!$H:$H,MATCH($L1720,分录回款!$L:$L,0)),"")</f>
        <v/>
      </c>
      <c r="G1720" s="69" t="str">
        <f aca="false">IFERROR(INDEX(分录回款!$I:$I,MATCH($L1720,分录回款!$L:$L,0)),"")</f>
        <v/>
      </c>
      <c r="H1720" s="23"/>
      <c r="I1720" s="70"/>
      <c r="L1720" s="71" t="n">
        <f aca="false">IF(助手回款!$R$116="",-1,助手回款!$R$116*100+(助手回款!$S$116-1)*6+5)</f>
        <v>-1</v>
      </c>
    </row>
    <row r="1721" customFormat="false" ht="23.25" hidden="false" customHeight="true" outlineLevel="0" collapsed="false">
      <c r="B1721" s="67" t="str">
        <f aca="false">""</f>
        <v/>
      </c>
      <c r="C1721" s="67"/>
      <c r="D1721" s="23" t="str">
        <f aca="false">IFERROR(INDEX(分录回款!$E:$E,MATCH($L1721,分录回款!$L:$L,0)),"")</f>
        <v/>
      </c>
      <c r="E1721" s="23" t="str">
        <f aca="false">IFERROR(INDEX(分录回款!$F:$F,MATCH($L1721,分录回款!$L:$L,0)),"")</f>
        <v/>
      </c>
      <c r="F1721" s="68" t="str">
        <f aca="false">IFERROR(INDEX(分录回款!$H:$H,MATCH($L1721,分录回款!$L:$L,0)),"")</f>
        <v/>
      </c>
      <c r="G1721" s="69" t="str">
        <f aca="false">IFERROR(INDEX(分录回款!$I:$I,MATCH($L1721,分录回款!$L:$L,0)),"")</f>
        <v/>
      </c>
      <c r="H1721" s="23"/>
      <c r="I1721" s="70"/>
      <c r="L1721" s="71" t="n">
        <f aca="false">IF(助手回款!$R$116="",-1,助手回款!$R$116*100+(助手回款!$S$116-1)*6+6)</f>
        <v>-1</v>
      </c>
    </row>
    <row r="1722" customFormat="false" ht="23.25" hidden="false" customHeight="true" outlineLevel="0" collapsed="false">
      <c r="B1722" s="72" t="str">
        <f aca="false">IF(助手回款!$T$116=1,"合计：","")</f>
        <v/>
      </c>
      <c r="C1722" s="73" t="str">
        <f aca="false">IF(助手回款!$T$116=1,$F1722,"")</f>
        <v/>
      </c>
      <c r="D1722" s="74"/>
      <c r="E1722" s="74"/>
      <c r="F1722" s="75" t="str">
        <f aca="false">IF(助手回款!$T$116=1,INDEX(助手回款!$N$2:$N$66,助手回款!$R$116),"")</f>
        <v/>
      </c>
      <c r="G1722" s="76" t="str">
        <f aca="false">IF(助手回款!$T$116=1,INDEX(助手回款!$O$2:$O$66,助手回款!$R$116),"")</f>
        <v/>
      </c>
      <c r="H1722" s="74"/>
      <c r="I1722" s="77"/>
    </row>
    <row r="1723" customFormat="false" ht="6" hidden="false" customHeight="true" outlineLevel="0" collapsed="false"/>
    <row r="1724" customFormat="false" ht="13.5" hidden="false" customHeight="false" outlineLevel="0" collapsed="false">
      <c r="B1724" s="78" t="str">
        <f aca="false">IF(助手回款!$R$116&lt;&gt;"","会计主管：","")</f>
        <v/>
      </c>
      <c r="D1724" s="78" t="str">
        <f aca="false">IF(助手回款!$R$116&lt;&gt;"","会计：","")</f>
        <v/>
      </c>
      <c r="E1724" s="78" t="str">
        <f aca="false">IF(助手回款!$R$116&lt;&gt;"","出纳：","")</f>
        <v/>
      </c>
      <c r="F1724" s="78" t="str">
        <f aca="false">IF(助手回款!$R$116&lt;&gt;"","复核：","")</f>
        <v/>
      </c>
      <c r="G1724" s="78" t="str">
        <f aca="false">IF(助手回款!$R$116&lt;&gt;"","制单：","")</f>
        <v/>
      </c>
    </row>
    <row r="1725" customFormat="false" ht="3" hidden="false" customHeight="true" outlineLevel="0" collapsed="false"/>
    <row r="1726" customFormat="false" ht="19.5" hidden="false" customHeight="true" outlineLevel="0" collapsed="false">
      <c r="B1726" s="53" t="str">
        <f aca="false">IF(助手回款!$R$117&lt;&gt;"","记  账  凭  证","")</f>
        <v/>
      </c>
      <c r="C1726" s="53"/>
      <c r="D1726" s="53"/>
      <c r="E1726" s="53"/>
      <c r="F1726" s="53"/>
      <c r="G1726" s="53"/>
      <c r="H1726" s="53"/>
      <c r="I1726" s="53"/>
    </row>
    <row r="1727" customFormat="false" ht="3" hidden="false" customHeight="true" outlineLevel="0" collapsed="false"/>
    <row r="1728" customFormat="false" ht="15" hidden="false" customHeight="true" outlineLevel="0" collapsed="false">
      <c r="C1728" s="56" t="str">
        <f aca="false">IF(助手回款!$R$117&lt;&gt;"",INDEX(助手回款!$B$2:$B$66,助手回款!$R$117),"")</f>
        <v/>
      </c>
      <c r="D1728" s="57" t="str">
        <f aca="false">IF(助手回款!$R$117&lt;&gt;"",参数!$B$2,"")</f>
        <v/>
      </c>
      <c r="E1728" s="57"/>
      <c r="F1728" s="58" t="str">
        <f aca="false">IF(助手回款!$R$117&lt;&gt;"",INDEX(助手回款!$C$2:$C$66,助手回款!$R$117)&amp;"  字第 "&amp;IF(参数!$B$9="是",INDEX(助手回款!$P$2:$P$66,助手回款!$R$117),"　　　　")&amp;" 号"&amp;IF(INDEX(助手回款!$L$2:$L$66,助手回款!$R$117)&gt;1,"  (共"&amp;INDEX(助手回款!$L$2:$L$66,助手回款!$R$117)&amp;"页 第"&amp;助手回款!$S$117&amp;"页)",""),"")</f>
        <v/>
      </c>
      <c r="G1728" s="58"/>
      <c r="H1728" s="58"/>
      <c r="I1728" s="58"/>
      <c r="M1728" s="79" t="str">
        <f aca="false">IF(助手回款!$R$117="","",助手回款!$Q$117)</f>
        <v/>
      </c>
      <c r="N1728" s="80" t="str">
        <f aca="false">IF(助手回款!$R$117="","",INDEX(助手回款!$P$2:$P$66,助手回款!$R$117))</f>
        <v/>
      </c>
      <c r="O1728" s="55" t="str">
        <f aca="false">IF(助手回款!$R$117="","",INDEX(助手回款!$C$2:$C$66,助手回款!$R$117)&amp;"  字第 "&amp;INDEX(助手回款!$P$2:$P$66,助手回款!$R$117)&amp;" 号"&amp;IF(INDEX(助手回款!$L$2:$L$66,助手回款!$R$117)&gt;1,"  (共"&amp;INDEX(助手回款!$L$2:$L$66,助手回款!$R$117)&amp;"页 第"&amp;助手回款!$S$117&amp;"页)",""))</f>
        <v/>
      </c>
    </row>
    <row r="1729" customFormat="false" ht="12.75" hidden="false" customHeight="true" outlineLevel="0" collapsed="false">
      <c r="B1729" s="61" t="str">
        <f aca="false">IF(助手回款!$R$117&lt;&gt;"","摘　　要","")</f>
        <v/>
      </c>
      <c r="C1729" s="61"/>
      <c r="D1729" s="62" t="str">
        <f aca="false">IF(助手回款!$R$117&lt;&gt;"","科　　　　目","")</f>
        <v/>
      </c>
      <c r="E1729" s="62"/>
      <c r="F1729" s="61" t="str">
        <f aca="false">IF(助手回款!$R$117&lt;&gt;"","借 方 金 额","")</f>
        <v/>
      </c>
      <c r="G1729" s="62" t="str">
        <f aca="false">IF(助手回款!$R$117&lt;&gt;"","贷 方 金 额","")</f>
        <v/>
      </c>
      <c r="H1729" s="63" t="str">
        <f aca="false">IF(助手回款!$R$117&lt;&gt;"","√","")</f>
        <v/>
      </c>
      <c r="I1729" s="64" t="str">
        <f aca="false">IF(助手回款!$R$117&lt;&gt;"","附单据  张","")</f>
        <v/>
      </c>
    </row>
    <row r="1730" customFormat="false" ht="12.75" hidden="false" customHeight="true" outlineLevel="0" collapsed="false">
      <c r="B1730" s="61"/>
      <c r="C1730" s="61"/>
      <c r="D1730" s="23" t="str">
        <f aca="false">IF(助手回款!$R$117&lt;&gt;"","总 账 科 目","")</f>
        <v/>
      </c>
      <c r="E1730" s="23" t="str">
        <f aca="false">IF(助手回款!$R$117&lt;&gt;"","明 细 科 目","")</f>
        <v/>
      </c>
      <c r="F1730" s="65"/>
      <c r="G1730" s="66"/>
      <c r="H1730" s="63"/>
      <c r="I1730" s="64"/>
    </row>
    <row r="1731" customFormat="false" ht="23.25" hidden="false" customHeight="true" outlineLevel="0" collapsed="false">
      <c r="B1731" s="67" t="str">
        <f aca="false">IFERROR(INDEX(分录回款!$M:$M,MATCH($L1731,分录回款!$L:$L,0)),"")</f>
        <v/>
      </c>
      <c r="C1731" s="67"/>
      <c r="D1731" s="23" t="str">
        <f aca="false">IFERROR(INDEX(分录回款!$E:$E,MATCH($L1731,分录回款!$L:$L,0)),"")</f>
        <v/>
      </c>
      <c r="E1731" s="23" t="str">
        <f aca="false">IFERROR(INDEX(分录回款!$F:$F,MATCH($L1731,分录回款!$L:$L,0)),"")</f>
        <v/>
      </c>
      <c r="F1731" s="68" t="str">
        <f aca="false">IFERROR(INDEX(分录回款!$H:$H,MATCH($L1731,分录回款!$L:$L,0)),"")</f>
        <v/>
      </c>
      <c r="G1731" s="69" t="str">
        <f aca="false">IFERROR(INDEX(分录回款!$I:$I,MATCH($L1731,分录回款!$L:$L,0)),"")</f>
        <v/>
      </c>
      <c r="H1731" s="23"/>
      <c r="I1731" s="70"/>
      <c r="L1731" s="71" t="n">
        <f aca="false">IF(助手回款!$R$117="",-1,助手回款!$R$117*100+(助手回款!$S$117-1)*6+1)</f>
        <v>-1</v>
      </c>
    </row>
    <row r="1732" customFormat="false" ht="23.25" hidden="false" customHeight="true" outlineLevel="0" collapsed="false">
      <c r="B1732" s="67" t="str">
        <f aca="false">""</f>
        <v/>
      </c>
      <c r="C1732" s="67"/>
      <c r="D1732" s="23" t="str">
        <f aca="false">IFERROR(INDEX(分录回款!$E:$E,MATCH($L1732,分录回款!$L:$L,0)),"")</f>
        <v/>
      </c>
      <c r="E1732" s="23" t="str">
        <f aca="false">IFERROR(INDEX(分录回款!$F:$F,MATCH($L1732,分录回款!$L:$L,0)),"")</f>
        <v/>
      </c>
      <c r="F1732" s="68" t="str">
        <f aca="false">IFERROR(INDEX(分录回款!$H:$H,MATCH($L1732,分录回款!$L:$L,0)),"")</f>
        <v/>
      </c>
      <c r="G1732" s="69" t="str">
        <f aca="false">IFERROR(INDEX(分录回款!$I:$I,MATCH($L1732,分录回款!$L:$L,0)),"")</f>
        <v/>
      </c>
      <c r="H1732" s="23"/>
      <c r="I1732" s="70"/>
      <c r="L1732" s="71" t="n">
        <f aca="false">IF(助手回款!$R$117="",-1,助手回款!$R$117*100+(助手回款!$S$117-1)*6+2)</f>
        <v>-1</v>
      </c>
    </row>
    <row r="1733" customFormat="false" ht="23.25" hidden="false" customHeight="true" outlineLevel="0" collapsed="false">
      <c r="B1733" s="67" t="str">
        <f aca="false">""</f>
        <v/>
      </c>
      <c r="C1733" s="67"/>
      <c r="D1733" s="23" t="str">
        <f aca="false">IFERROR(INDEX(分录回款!$E:$E,MATCH($L1733,分录回款!$L:$L,0)),"")</f>
        <v/>
      </c>
      <c r="E1733" s="23" t="str">
        <f aca="false">IFERROR(INDEX(分录回款!$F:$F,MATCH($L1733,分录回款!$L:$L,0)),"")</f>
        <v/>
      </c>
      <c r="F1733" s="68" t="str">
        <f aca="false">IFERROR(INDEX(分录回款!$H:$H,MATCH($L1733,分录回款!$L:$L,0)),"")</f>
        <v/>
      </c>
      <c r="G1733" s="69" t="str">
        <f aca="false">IFERROR(INDEX(分录回款!$I:$I,MATCH($L1733,分录回款!$L:$L,0)),"")</f>
        <v/>
      </c>
      <c r="H1733" s="23"/>
      <c r="I1733" s="70"/>
      <c r="L1733" s="71" t="n">
        <f aca="false">IF(助手回款!$R$117="",-1,助手回款!$R$117*100+(助手回款!$S$117-1)*6+3)</f>
        <v>-1</v>
      </c>
    </row>
    <row r="1734" customFormat="false" ht="23.25" hidden="false" customHeight="true" outlineLevel="0" collapsed="false">
      <c r="B1734" s="67" t="str">
        <f aca="false">""</f>
        <v/>
      </c>
      <c r="C1734" s="67"/>
      <c r="D1734" s="23" t="str">
        <f aca="false">IFERROR(INDEX(分录回款!$E:$E,MATCH($L1734,分录回款!$L:$L,0)),"")</f>
        <v/>
      </c>
      <c r="E1734" s="23" t="str">
        <f aca="false">IFERROR(INDEX(分录回款!$F:$F,MATCH($L1734,分录回款!$L:$L,0)),"")</f>
        <v/>
      </c>
      <c r="F1734" s="68" t="str">
        <f aca="false">IFERROR(INDEX(分录回款!$H:$H,MATCH($L1734,分录回款!$L:$L,0)),"")</f>
        <v/>
      </c>
      <c r="G1734" s="69" t="str">
        <f aca="false">IFERROR(INDEX(分录回款!$I:$I,MATCH($L1734,分录回款!$L:$L,0)),"")</f>
        <v/>
      </c>
      <c r="H1734" s="23"/>
      <c r="I1734" s="70"/>
      <c r="L1734" s="71" t="n">
        <f aca="false">IF(助手回款!$R$117="",-1,助手回款!$R$117*100+(助手回款!$S$117-1)*6+4)</f>
        <v>-1</v>
      </c>
    </row>
    <row r="1735" customFormat="false" ht="23.25" hidden="false" customHeight="true" outlineLevel="0" collapsed="false">
      <c r="B1735" s="67" t="str">
        <f aca="false">""</f>
        <v/>
      </c>
      <c r="C1735" s="67"/>
      <c r="D1735" s="23" t="str">
        <f aca="false">IFERROR(INDEX(分录回款!$E:$E,MATCH($L1735,分录回款!$L:$L,0)),"")</f>
        <v/>
      </c>
      <c r="E1735" s="23" t="str">
        <f aca="false">IFERROR(INDEX(分录回款!$F:$F,MATCH($L1735,分录回款!$L:$L,0)),"")</f>
        <v/>
      </c>
      <c r="F1735" s="68" t="str">
        <f aca="false">IFERROR(INDEX(分录回款!$H:$H,MATCH($L1735,分录回款!$L:$L,0)),"")</f>
        <v/>
      </c>
      <c r="G1735" s="69" t="str">
        <f aca="false">IFERROR(INDEX(分录回款!$I:$I,MATCH($L1735,分录回款!$L:$L,0)),"")</f>
        <v/>
      </c>
      <c r="H1735" s="23"/>
      <c r="I1735" s="70"/>
      <c r="L1735" s="71" t="n">
        <f aca="false">IF(助手回款!$R$117="",-1,助手回款!$R$117*100+(助手回款!$S$117-1)*6+5)</f>
        <v>-1</v>
      </c>
    </row>
    <row r="1736" customFormat="false" ht="23.25" hidden="false" customHeight="true" outlineLevel="0" collapsed="false">
      <c r="B1736" s="67" t="str">
        <f aca="false">""</f>
        <v/>
      </c>
      <c r="C1736" s="67"/>
      <c r="D1736" s="23" t="str">
        <f aca="false">IFERROR(INDEX(分录回款!$E:$E,MATCH($L1736,分录回款!$L:$L,0)),"")</f>
        <v/>
      </c>
      <c r="E1736" s="23" t="str">
        <f aca="false">IFERROR(INDEX(分录回款!$F:$F,MATCH($L1736,分录回款!$L:$L,0)),"")</f>
        <v/>
      </c>
      <c r="F1736" s="68" t="str">
        <f aca="false">IFERROR(INDEX(分录回款!$H:$H,MATCH($L1736,分录回款!$L:$L,0)),"")</f>
        <v/>
      </c>
      <c r="G1736" s="69" t="str">
        <f aca="false">IFERROR(INDEX(分录回款!$I:$I,MATCH($L1736,分录回款!$L:$L,0)),"")</f>
        <v/>
      </c>
      <c r="H1736" s="23"/>
      <c r="I1736" s="70"/>
      <c r="L1736" s="71" t="n">
        <f aca="false">IF(助手回款!$R$117="",-1,助手回款!$R$117*100+(助手回款!$S$117-1)*6+6)</f>
        <v>-1</v>
      </c>
    </row>
    <row r="1737" customFormat="false" ht="23.25" hidden="false" customHeight="true" outlineLevel="0" collapsed="false">
      <c r="B1737" s="72" t="str">
        <f aca="false">IF(助手回款!$T$117=1,"合计：","")</f>
        <v/>
      </c>
      <c r="C1737" s="73" t="str">
        <f aca="false">IF(助手回款!$T$117=1,$F1737,"")</f>
        <v/>
      </c>
      <c r="D1737" s="74"/>
      <c r="E1737" s="74"/>
      <c r="F1737" s="75" t="str">
        <f aca="false">IF(助手回款!$T$117=1,INDEX(助手回款!$N$2:$N$66,助手回款!$R$117),"")</f>
        <v/>
      </c>
      <c r="G1737" s="76" t="str">
        <f aca="false">IF(助手回款!$T$117=1,INDEX(助手回款!$O$2:$O$66,助手回款!$R$117),"")</f>
        <v/>
      </c>
      <c r="H1737" s="74"/>
      <c r="I1737" s="77"/>
    </row>
    <row r="1738" customFormat="false" ht="6" hidden="false" customHeight="true" outlineLevel="0" collapsed="false"/>
    <row r="1739" customFormat="false" ht="13.5" hidden="false" customHeight="false" outlineLevel="0" collapsed="false">
      <c r="B1739" s="78" t="str">
        <f aca="false">IF(助手回款!$R$117&lt;&gt;"","会计主管：","")</f>
        <v/>
      </c>
      <c r="D1739" s="78" t="str">
        <f aca="false">IF(助手回款!$R$117&lt;&gt;"","会计：","")</f>
        <v/>
      </c>
      <c r="E1739" s="78" t="str">
        <f aca="false">IF(助手回款!$R$117&lt;&gt;"","出纳：","")</f>
        <v/>
      </c>
      <c r="F1739" s="78" t="str">
        <f aca="false">IF(助手回款!$R$117&lt;&gt;"","复核：","")</f>
        <v/>
      </c>
      <c r="G1739" s="78" t="str">
        <f aca="false">IF(助手回款!$R$117&lt;&gt;"","制单：","")</f>
        <v/>
      </c>
    </row>
    <row r="1740" customFormat="false" ht="3" hidden="false" customHeight="true" outlineLevel="0" collapsed="false"/>
    <row r="1741" customFormat="false" ht="19.5" hidden="false" customHeight="true" outlineLevel="0" collapsed="false">
      <c r="B1741" s="53" t="str">
        <f aca="false">IF(助手回款!$R$118&lt;&gt;"","记  账  凭  证","")</f>
        <v/>
      </c>
      <c r="C1741" s="53"/>
      <c r="D1741" s="53"/>
      <c r="E1741" s="53"/>
      <c r="F1741" s="53"/>
      <c r="G1741" s="53"/>
      <c r="H1741" s="53"/>
      <c r="I1741" s="53"/>
    </row>
    <row r="1742" customFormat="false" ht="3" hidden="false" customHeight="true" outlineLevel="0" collapsed="false"/>
    <row r="1743" customFormat="false" ht="15" hidden="false" customHeight="true" outlineLevel="0" collapsed="false">
      <c r="C1743" s="56" t="str">
        <f aca="false">IF(助手回款!$R$118&lt;&gt;"",INDEX(助手回款!$B$2:$B$66,助手回款!$R$118),"")</f>
        <v/>
      </c>
      <c r="D1743" s="57" t="str">
        <f aca="false">IF(助手回款!$R$118&lt;&gt;"",参数!$B$2,"")</f>
        <v/>
      </c>
      <c r="E1743" s="57"/>
      <c r="F1743" s="58" t="str">
        <f aca="false">IF(助手回款!$R$118&lt;&gt;"",INDEX(助手回款!$C$2:$C$66,助手回款!$R$118)&amp;"  字第 "&amp;IF(参数!$B$9="是",INDEX(助手回款!$P$2:$P$66,助手回款!$R$118),"　　　　")&amp;" 号"&amp;IF(INDEX(助手回款!$L$2:$L$66,助手回款!$R$118)&gt;1,"  (共"&amp;INDEX(助手回款!$L$2:$L$66,助手回款!$R$118)&amp;"页 第"&amp;助手回款!$S$118&amp;"页)",""),"")</f>
        <v/>
      </c>
      <c r="G1743" s="58"/>
      <c r="H1743" s="58"/>
      <c r="I1743" s="58"/>
      <c r="M1743" s="79" t="str">
        <f aca="false">IF(助手回款!$R$118="","",助手回款!$Q$118)</f>
        <v/>
      </c>
      <c r="N1743" s="80" t="str">
        <f aca="false">IF(助手回款!$R$118="","",INDEX(助手回款!$P$2:$P$66,助手回款!$R$118))</f>
        <v/>
      </c>
      <c r="O1743" s="55" t="str">
        <f aca="false">IF(助手回款!$R$118="","",INDEX(助手回款!$C$2:$C$66,助手回款!$R$118)&amp;"  字第 "&amp;INDEX(助手回款!$P$2:$P$66,助手回款!$R$118)&amp;" 号"&amp;IF(INDEX(助手回款!$L$2:$L$66,助手回款!$R$118)&gt;1,"  (共"&amp;INDEX(助手回款!$L$2:$L$66,助手回款!$R$118)&amp;"页 第"&amp;助手回款!$S$118&amp;"页)",""))</f>
        <v/>
      </c>
    </row>
    <row r="1744" customFormat="false" ht="12.75" hidden="false" customHeight="true" outlineLevel="0" collapsed="false">
      <c r="B1744" s="61" t="str">
        <f aca="false">IF(助手回款!$R$118&lt;&gt;"","摘　　要","")</f>
        <v/>
      </c>
      <c r="C1744" s="61"/>
      <c r="D1744" s="62" t="str">
        <f aca="false">IF(助手回款!$R$118&lt;&gt;"","科　　　　目","")</f>
        <v/>
      </c>
      <c r="E1744" s="62"/>
      <c r="F1744" s="61" t="str">
        <f aca="false">IF(助手回款!$R$118&lt;&gt;"","借 方 金 额","")</f>
        <v/>
      </c>
      <c r="G1744" s="62" t="str">
        <f aca="false">IF(助手回款!$R$118&lt;&gt;"","贷 方 金 额","")</f>
        <v/>
      </c>
      <c r="H1744" s="63" t="str">
        <f aca="false">IF(助手回款!$R$118&lt;&gt;"","√","")</f>
        <v/>
      </c>
      <c r="I1744" s="64" t="str">
        <f aca="false">IF(助手回款!$R$118&lt;&gt;"","附单据  张","")</f>
        <v/>
      </c>
    </row>
    <row r="1745" customFormat="false" ht="12.75" hidden="false" customHeight="true" outlineLevel="0" collapsed="false">
      <c r="B1745" s="61"/>
      <c r="C1745" s="61"/>
      <c r="D1745" s="23" t="str">
        <f aca="false">IF(助手回款!$R$118&lt;&gt;"","总 账 科 目","")</f>
        <v/>
      </c>
      <c r="E1745" s="23" t="str">
        <f aca="false">IF(助手回款!$R$118&lt;&gt;"","明 细 科 目","")</f>
        <v/>
      </c>
      <c r="F1745" s="65"/>
      <c r="G1745" s="66"/>
      <c r="H1745" s="63"/>
      <c r="I1745" s="64"/>
    </row>
    <row r="1746" customFormat="false" ht="23.25" hidden="false" customHeight="true" outlineLevel="0" collapsed="false">
      <c r="B1746" s="67" t="str">
        <f aca="false">IFERROR(INDEX(分录回款!$M:$M,MATCH($L1746,分录回款!$L:$L,0)),"")</f>
        <v/>
      </c>
      <c r="C1746" s="67"/>
      <c r="D1746" s="23" t="str">
        <f aca="false">IFERROR(INDEX(分录回款!$E:$E,MATCH($L1746,分录回款!$L:$L,0)),"")</f>
        <v/>
      </c>
      <c r="E1746" s="23" t="str">
        <f aca="false">IFERROR(INDEX(分录回款!$F:$F,MATCH($L1746,分录回款!$L:$L,0)),"")</f>
        <v/>
      </c>
      <c r="F1746" s="68" t="str">
        <f aca="false">IFERROR(INDEX(分录回款!$H:$H,MATCH($L1746,分录回款!$L:$L,0)),"")</f>
        <v/>
      </c>
      <c r="G1746" s="69" t="str">
        <f aca="false">IFERROR(INDEX(分录回款!$I:$I,MATCH($L1746,分录回款!$L:$L,0)),"")</f>
        <v/>
      </c>
      <c r="H1746" s="23"/>
      <c r="I1746" s="70"/>
      <c r="L1746" s="71" t="n">
        <f aca="false">IF(助手回款!$R$118="",-1,助手回款!$R$118*100+(助手回款!$S$118-1)*6+1)</f>
        <v>-1</v>
      </c>
    </row>
    <row r="1747" customFormat="false" ht="23.25" hidden="false" customHeight="true" outlineLevel="0" collapsed="false">
      <c r="B1747" s="67" t="str">
        <f aca="false">""</f>
        <v/>
      </c>
      <c r="C1747" s="67"/>
      <c r="D1747" s="23" t="str">
        <f aca="false">IFERROR(INDEX(分录回款!$E:$E,MATCH($L1747,分录回款!$L:$L,0)),"")</f>
        <v/>
      </c>
      <c r="E1747" s="23" t="str">
        <f aca="false">IFERROR(INDEX(分录回款!$F:$F,MATCH($L1747,分录回款!$L:$L,0)),"")</f>
        <v/>
      </c>
      <c r="F1747" s="68" t="str">
        <f aca="false">IFERROR(INDEX(分录回款!$H:$H,MATCH($L1747,分录回款!$L:$L,0)),"")</f>
        <v/>
      </c>
      <c r="G1747" s="69" t="str">
        <f aca="false">IFERROR(INDEX(分录回款!$I:$I,MATCH($L1747,分录回款!$L:$L,0)),"")</f>
        <v/>
      </c>
      <c r="H1747" s="23"/>
      <c r="I1747" s="70"/>
      <c r="L1747" s="71" t="n">
        <f aca="false">IF(助手回款!$R$118="",-1,助手回款!$R$118*100+(助手回款!$S$118-1)*6+2)</f>
        <v>-1</v>
      </c>
    </row>
    <row r="1748" customFormat="false" ht="23.25" hidden="false" customHeight="true" outlineLevel="0" collapsed="false">
      <c r="B1748" s="67" t="str">
        <f aca="false">""</f>
        <v/>
      </c>
      <c r="C1748" s="67"/>
      <c r="D1748" s="23" t="str">
        <f aca="false">IFERROR(INDEX(分录回款!$E:$E,MATCH($L1748,分录回款!$L:$L,0)),"")</f>
        <v/>
      </c>
      <c r="E1748" s="23" t="str">
        <f aca="false">IFERROR(INDEX(分录回款!$F:$F,MATCH($L1748,分录回款!$L:$L,0)),"")</f>
        <v/>
      </c>
      <c r="F1748" s="68" t="str">
        <f aca="false">IFERROR(INDEX(分录回款!$H:$H,MATCH($L1748,分录回款!$L:$L,0)),"")</f>
        <v/>
      </c>
      <c r="G1748" s="69" t="str">
        <f aca="false">IFERROR(INDEX(分录回款!$I:$I,MATCH($L1748,分录回款!$L:$L,0)),"")</f>
        <v/>
      </c>
      <c r="H1748" s="23"/>
      <c r="I1748" s="70"/>
      <c r="L1748" s="71" t="n">
        <f aca="false">IF(助手回款!$R$118="",-1,助手回款!$R$118*100+(助手回款!$S$118-1)*6+3)</f>
        <v>-1</v>
      </c>
    </row>
    <row r="1749" customFormat="false" ht="23.25" hidden="false" customHeight="true" outlineLevel="0" collapsed="false">
      <c r="B1749" s="67" t="str">
        <f aca="false">""</f>
        <v/>
      </c>
      <c r="C1749" s="67"/>
      <c r="D1749" s="23" t="str">
        <f aca="false">IFERROR(INDEX(分录回款!$E:$E,MATCH($L1749,分录回款!$L:$L,0)),"")</f>
        <v/>
      </c>
      <c r="E1749" s="23" t="str">
        <f aca="false">IFERROR(INDEX(分录回款!$F:$F,MATCH($L1749,分录回款!$L:$L,0)),"")</f>
        <v/>
      </c>
      <c r="F1749" s="68" t="str">
        <f aca="false">IFERROR(INDEX(分录回款!$H:$H,MATCH($L1749,分录回款!$L:$L,0)),"")</f>
        <v/>
      </c>
      <c r="G1749" s="69" t="str">
        <f aca="false">IFERROR(INDEX(分录回款!$I:$I,MATCH($L1749,分录回款!$L:$L,0)),"")</f>
        <v/>
      </c>
      <c r="H1749" s="23"/>
      <c r="I1749" s="70"/>
      <c r="L1749" s="71" t="n">
        <f aca="false">IF(助手回款!$R$118="",-1,助手回款!$R$118*100+(助手回款!$S$118-1)*6+4)</f>
        <v>-1</v>
      </c>
    </row>
    <row r="1750" customFormat="false" ht="23.25" hidden="false" customHeight="true" outlineLevel="0" collapsed="false">
      <c r="B1750" s="67" t="str">
        <f aca="false">""</f>
        <v/>
      </c>
      <c r="C1750" s="67"/>
      <c r="D1750" s="23" t="str">
        <f aca="false">IFERROR(INDEX(分录回款!$E:$E,MATCH($L1750,分录回款!$L:$L,0)),"")</f>
        <v/>
      </c>
      <c r="E1750" s="23" t="str">
        <f aca="false">IFERROR(INDEX(分录回款!$F:$F,MATCH($L1750,分录回款!$L:$L,0)),"")</f>
        <v/>
      </c>
      <c r="F1750" s="68" t="str">
        <f aca="false">IFERROR(INDEX(分录回款!$H:$H,MATCH($L1750,分录回款!$L:$L,0)),"")</f>
        <v/>
      </c>
      <c r="G1750" s="69" t="str">
        <f aca="false">IFERROR(INDEX(分录回款!$I:$I,MATCH($L1750,分录回款!$L:$L,0)),"")</f>
        <v/>
      </c>
      <c r="H1750" s="23"/>
      <c r="I1750" s="70"/>
      <c r="L1750" s="71" t="n">
        <f aca="false">IF(助手回款!$R$118="",-1,助手回款!$R$118*100+(助手回款!$S$118-1)*6+5)</f>
        <v>-1</v>
      </c>
    </row>
    <row r="1751" customFormat="false" ht="23.25" hidden="false" customHeight="true" outlineLevel="0" collapsed="false">
      <c r="B1751" s="67" t="str">
        <f aca="false">""</f>
        <v/>
      </c>
      <c r="C1751" s="67"/>
      <c r="D1751" s="23" t="str">
        <f aca="false">IFERROR(INDEX(分录回款!$E:$E,MATCH($L1751,分录回款!$L:$L,0)),"")</f>
        <v/>
      </c>
      <c r="E1751" s="23" t="str">
        <f aca="false">IFERROR(INDEX(分录回款!$F:$F,MATCH($L1751,分录回款!$L:$L,0)),"")</f>
        <v/>
      </c>
      <c r="F1751" s="68" t="str">
        <f aca="false">IFERROR(INDEX(分录回款!$H:$H,MATCH($L1751,分录回款!$L:$L,0)),"")</f>
        <v/>
      </c>
      <c r="G1751" s="69" t="str">
        <f aca="false">IFERROR(INDEX(分录回款!$I:$I,MATCH($L1751,分录回款!$L:$L,0)),"")</f>
        <v/>
      </c>
      <c r="H1751" s="23"/>
      <c r="I1751" s="70"/>
      <c r="L1751" s="71" t="n">
        <f aca="false">IF(助手回款!$R$118="",-1,助手回款!$R$118*100+(助手回款!$S$118-1)*6+6)</f>
        <v>-1</v>
      </c>
    </row>
    <row r="1752" customFormat="false" ht="23.25" hidden="false" customHeight="true" outlineLevel="0" collapsed="false">
      <c r="B1752" s="72" t="str">
        <f aca="false">IF(助手回款!$T$118=1,"合计：","")</f>
        <v/>
      </c>
      <c r="C1752" s="73" t="str">
        <f aca="false">IF(助手回款!$T$118=1,$F1752,"")</f>
        <v/>
      </c>
      <c r="D1752" s="74"/>
      <c r="E1752" s="74"/>
      <c r="F1752" s="75" t="str">
        <f aca="false">IF(助手回款!$T$118=1,INDEX(助手回款!$N$2:$N$66,助手回款!$R$118),"")</f>
        <v/>
      </c>
      <c r="G1752" s="76" t="str">
        <f aca="false">IF(助手回款!$T$118=1,INDEX(助手回款!$O$2:$O$66,助手回款!$R$118),"")</f>
        <v/>
      </c>
      <c r="H1752" s="74"/>
      <c r="I1752" s="77"/>
    </row>
    <row r="1753" customFormat="false" ht="6" hidden="false" customHeight="true" outlineLevel="0" collapsed="false"/>
    <row r="1754" customFormat="false" ht="13.5" hidden="false" customHeight="false" outlineLevel="0" collapsed="false">
      <c r="B1754" s="78" t="str">
        <f aca="false">IF(助手回款!$R$118&lt;&gt;"","会计主管：","")</f>
        <v/>
      </c>
      <c r="D1754" s="78" t="str">
        <f aca="false">IF(助手回款!$R$118&lt;&gt;"","会计：","")</f>
        <v/>
      </c>
      <c r="E1754" s="78" t="str">
        <f aca="false">IF(助手回款!$R$118&lt;&gt;"","出纳：","")</f>
        <v/>
      </c>
      <c r="F1754" s="78" t="str">
        <f aca="false">IF(助手回款!$R$118&lt;&gt;"","复核：","")</f>
        <v/>
      </c>
      <c r="G1754" s="78" t="str">
        <f aca="false">IF(助手回款!$R$118&lt;&gt;"","制单：","")</f>
        <v/>
      </c>
    </row>
    <row r="1755" customFormat="false" ht="3" hidden="false" customHeight="true" outlineLevel="0" collapsed="false"/>
    <row r="1756" customFormat="false" ht="19.5" hidden="false" customHeight="true" outlineLevel="0" collapsed="false">
      <c r="B1756" s="53" t="str">
        <f aca="false">IF(助手回款!$R$119&lt;&gt;"","记  账  凭  证","")</f>
        <v/>
      </c>
      <c r="C1756" s="53"/>
      <c r="D1756" s="53"/>
      <c r="E1756" s="53"/>
      <c r="F1756" s="53"/>
      <c r="G1756" s="53"/>
      <c r="H1756" s="53"/>
      <c r="I1756" s="53"/>
    </row>
    <row r="1757" customFormat="false" ht="3" hidden="false" customHeight="true" outlineLevel="0" collapsed="false"/>
    <row r="1758" customFormat="false" ht="15" hidden="false" customHeight="true" outlineLevel="0" collapsed="false">
      <c r="C1758" s="56" t="str">
        <f aca="false">IF(助手回款!$R$119&lt;&gt;"",INDEX(助手回款!$B$2:$B$66,助手回款!$R$119),"")</f>
        <v/>
      </c>
      <c r="D1758" s="57" t="str">
        <f aca="false">IF(助手回款!$R$119&lt;&gt;"",参数!$B$2,"")</f>
        <v/>
      </c>
      <c r="E1758" s="57"/>
      <c r="F1758" s="58" t="str">
        <f aca="false">IF(助手回款!$R$119&lt;&gt;"",INDEX(助手回款!$C$2:$C$66,助手回款!$R$119)&amp;"  字第 "&amp;IF(参数!$B$9="是",INDEX(助手回款!$P$2:$P$66,助手回款!$R$119),"　　　　")&amp;" 号"&amp;IF(INDEX(助手回款!$L$2:$L$66,助手回款!$R$119)&gt;1,"  (共"&amp;INDEX(助手回款!$L$2:$L$66,助手回款!$R$119)&amp;"页 第"&amp;助手回款!$S$119&amp;"页)",""),"")</f>
        <v/>
      </c>
      <c r="G1758" s="58"/>
      <c r="H1758" s="58"/>
      <c r="I1758" s="58"/>
      <c r="M1758" s="79" t="str">
        <f aca="false">IF(助手回款!$R$119="","",助手回款!$Q$119)</f>
        <v/>
      </c>
      <c r="N1758" s="80" t="str">
        <f aca="false">IF(助手回款!$R$119="","",INDEX(助手回款!$P$2:$P$66,助手回款!$R$119))</f>
        <v/>
      </c>
      <c r="O1758" s="55" t="str">
        <f aca="false">IF(助手回款!$R$119="","",INDEX(助手回款!$C$2:$C$66,助手回款!$R$119)&amp;"  字第 "&amp;INDEX(助手回款!$P$2:$P$66,助手回款!$R$119)&amp;" 号"&amp;IF(INDEX(助手回款!$L$2:$L$66,助手回款!$R$119)&gt;1,"  (共"&amp;INDEX(助手回款!$L$2:$L$66,助手回款!$R$119)&amp;"页 第"&amp;助手回款!$S$119&amp;"页)",""))</f>
        <v/>
      </c>
    </row>
    <row r="1759" customFormat="false" ht="12.75" hidden="false" customHeight="true" outlineLevel="0" collapsed="false">
      <c r="B1759" s="61" t="str">
        <f aca="false">IF(助手回款!$R$119&lt;&gt;"","摘　　要","")</f>
        <v/>
      </c>
      <c r="C1759" s="61"/>
      <c r="D1759" s="62" t="str">
        <f aca="false">IF(助手回款!$R$119&lt;&gt;"","科　　　　目","")</f>
        <v/>
      </c>
      <c r="E1759" s="62"/>
      <c r="F1759" s="61" t="str">
        <f aca="false">IF(助手回款!$R$119&lt;&gt;"","借 方 金 额","")</f>
        <v/>
      </c>
      <c r="G1759" s="62" t="str">
        <f aca="false">IF(助手回款!$R$119&lt;&gt;"","贷 方 金 额","")</f>
        <v/>
      </c>
      <c r="H1759" s="63" t="str">
        <f aca="false">IF(助手回款!$R$119&lt;&gt;"","√","")</f>
        <v/>
      </c>
      <c r="I1759" s="64" t="str">
        <f aca="false">IF(助手回款!$R$119&lt;&gt;"","附单据  张","")</f>
        <v/>
      </c>
    </row>
    <row r="1760" customFormat="false" ht="12.75" hidden="false" customHeight="true" outlineLevel="0" collapsed="false">
      <c r="B1760" s="61"/>
      <c r="C1760" s="61"/>
      <c r="D1760" s="23" t="str">
        <f aca="false">IF(助手回款!$R$119&lt;&gt;"","总 账 科 目","")</f>
        <v/>
      </c>
      <c r="E1760" s="23" t="str">
        <f aca="false">IF(助手回款!$R$119&lt;&gt;"","明 细 科 目","")</f>
        <v/>
      </c>
      <c r="F1760" s="65"/>
      <c r="G1760" s="66"/>
      <c r="H1760" s="63"/>
      <c r="I1760" s="64"/>
    </row>
    <row r="1761" customFormat="false" ht="23.25" hidden="false" customHeight="true" outlineLevel="0" collapsed="false">
      <c r="B1761" s="67" t="str">
        <f aca="false">IFERROR(INDEX(分录回款!$M:$M,MATCH($L1761,分录回款!$L:$L,0)),"")</f>
        <v/>
      </c>
      <c r="C1761" s="67"/>
      <c r="D1761" s="23" t="str">
        <f aca="false">IFERROR(INDEX(分录回款!$E:$E,MATCH($L1761,分录回款!$L:$L,0)),"")</f>
        <v/>
      </c>
      <c r="E1761" s="23" t="str">
        <f aca="false">IFERROR(INDEX(分录回款!$F:$F,MATCH($L1761,分录回款!$L:$L,0)),"")</f>
        <v/>
      </c>
      <c r="F1761" s="68" t="str">
        <f aca="false">IFERROR(INDEX(分录回款!$H:$H,MATCH($L1761,分录回款!$L:$L,0)),"")</f>
        <v/>
      </c>
      <c r="G1761" s="69" t="str">
        <f aca="false">IFERROR(INDEX(分录回款!$I:$I,MATCH($L1761,分录回款!$L:$L,0)),"")</f>
        <v/>
      </c>
      <c r="H1761" s="23"/>
      <c r="I1761" s="70"/>
      <c r="L1761" s="71" t="n">
        <f aca="false">IF(助手回款!$R$119="",-1,助手回款!$R$119*100+(助手回款!$S$119-1)*6+1)</f>
        <v>-1</v>
      </c>
    </row>
    <row r="1762" customFormat="false" ht="23.25" hidden="false" customHeight="true" outlineLevel="0" collapsed="false">
      <c r="B1762" s="67" t="str">
        <f aca="false">""</f>
        <v/>
      </c>
      <c r="C1762" s="67"/>
      <c r="D1762" s="23" t="str">
        <f aca="false">IFERROR(INDEX(分录回款!$E:$E,MATCH($L1762,分录回款!$L:$L,0)),"")</f>
        <v/>
      </c>
      <c r="E1762" s="23" t="str">
        <f aca="false">IFERROR(INDEX(分录回款!$F:$F,MATCH($L1762,分录回款!$L:$L,0)),"")</f>
        <v/>
      </c>
      <c r="F1762" s="68" t="str">
        <f aca="false">IFERROR(INDEX(分录回款!$H:$H,MATCH($L1762,分录回款!$L:$L,0)),"")</f>
        <v/>
      </c>
      <c r="G1762" s="69" t="str">
        <f aca="false">IFERROR(INDEX(分录回款!$I:$I,MATCH($L1762,分录回款!$L:$L,0)),"")</f>
        <v/>
      </c>
      <c r="H1762" s="23"/>
      <c r="I1762" s="70"/>
      <c r="L1762" s="71" t="n">
        <f aca="false">IF(助手回款!$R$119="",-1,助手回款!$R$119*100+(助手回款!$S$119-1)*6+2)</f>
        <v>-1</v>
      </c>
    </row>
    <row r="1763" customFormat="false" ht="23.25" hidden="false" customHeight="true" outlineLevel="0" collapsed="false">
      <c r="B1763" s="67" t="str">
        <f aca="false">""</f>
        <v/>
      </c>
      <c r="C1763" s="67"/>
      <c r="D1763" s="23" t="str">
        <f aca="false">IFERROR(INDEX(分录回款!$E:$E,MATCH($L1763,分录回款!$L:$L,0)),"")</f>
        <v/>
      </c>
      <c r="E1763" s="23" t="str">
        <f aca="false">IFERROR(INDEX(分录回款!$F:$F,MATCH($L1763,分录回款!$L:$L,0)),"")</f>
        <v/>
      </c>
      <c r="F1763" s="68" t="str">
        <f aca="false">IFERROR(INDEX(分录回款!$H:$H,MATCH($L1763,分录回款!$L:$L,0)),"")</f>
        <v/>
      </c>
      <c r="G1763" s="69" t="str">
        <f aca="false">IFERROR(INDEX(分录回款!$I:$I,MATCH($L1763,分录回款!$L:$L,0)),"")</f>
        <v/>
      </c>
      <c r="H1763" s="23"/>
      <c r="I1763" s="70"/>
      <c r="L1763" s="71" t="n">
        <f aca="false">IF(助手回款!$R$119="",-1,助手回款!$R$119*100+(助手回款!$S$119-1)*6+3)</f>
        <v>-1</v>
      </c>
    </row>
    <row r="1764" customFormat="false" ht="23.25" hidden="false" customHeight="true" outlineLevel="0" collapsed="false">
      <c r="B1764" s="67" t="str">
        <f aca="false">""</f>
        <v/>
      </c>
      <c r="C1764" s="67"/>
      <c r="D1764" s="23" t="str">
        <f aca="false">IFERROR(INDEX(分录回款!$E:$E,MATCH($L1764,分录回款!$L:$L,0)),"")</f>
        <v/>
      </c>
      <c r="E1764" s="23" t="str">
        <f aca="false">IFERROR(INDEX(分录回款!$F:$F,MATCH($L1764,分录回款!$L:$L,0)),"")</f>
        <v/>
      </c>
      <c r="F1764" s="68" t="str">
        <f aca="false">IFERROR(INDEX(分录回款!$H:$H,MATCH($L1764,分录回款!$L:$L,0)),"")</f>
        <v/>
      </c>
      <c r="G1764" s="69" t="str">
        <f aca="false">IFERROR(INDEX(分录回款!$I:$I,MATCH($L1764,分录回款!$L:$L,0)),"")</f>
        <v/>
      </c>
      <c r="H1764" s="23"/>
      <c r="I1764" s="70"/>
      <c r="L1764" s="71" t="n">
        <f aca="false">IF(助手回款!$R$119="",-1,助手回款!$R$119*100+(助手回款!$S$119-1)*6+4)</f>
        <v>-1</v>
      </c>
    </row>
    <row r="1765" customFormat="false" ht="23.25" hidden="false" customHeight="true" outlineLevel="0" collapsed="false">
      <c r="B1765" s="67" t="str">
        <f aca="false">""</f>
        <v/>
      </c>
      <c r="C1765" s="67"/>
      <c r="D1765" s="23" t="str">
        <f aca="false">IFERROR(INDEX(分录回款!$E:$E,MATCH($L1765,分录回款!$L:$L,0)),"")</f>
        <v/>
      </c>
      <c r="E1765" s="23" t="str">
        <f aca="false">IFERROR(INDEX(分录回款!$F:$F,MATCH($L1765,分录回款!$L:$L,0)),"")</f>
        <v/>
      </c>
      <c r="F1765" s="68" t="str">
        <f aca="false">IFERROR(INDEX(分录回款!$H:$H,MATCH($L1765,分录回款!$L:$L,0)),"")</f>
        <v/>
      </c>
      <c r="G1765" s="69" t="str">
        <f aca="false">IFERROR(INDEX(分录回款!$I:$I,MATCH($L1765,分录回款!$L:$L,0)),"")</f>
        <v/>
      </c>
      <c r="H1765" s="23"/>
      <c r="I1765" s="70"/>
      <c r="L1765" s="71" t="n">
        <f aca="false">IF(助手回款!$R$119="",-1,助手回款!$R$119*100+(助手回款!$S$119-1)*6+5)</f>
        <v>-1</v>
      </c>
    </row>
    <row r="1766" customFormat="false" ht="23.25" hidden="false" customHeight="true" outlineLevel="0" collapsed="false">
      <c r="B1766" s="67" t="str">
        <f aca="false">""</f>
        <v/>
      </c>
      <c r="C1766" s="67"/>
      <c r="D1766" s="23" t="str">
        <f aca="false">IFERROR(INDEX(分录回款!$E:$E,MATCH($L1766,分录回款!$L:$L,0)),"")</f>
        <v/>
      </c>
      <c r="E1766" s="23" t="str">
        <f aca="false">IFERROR(INDEX(分录回款!$F:$F,MATCH($L1766,分录回款!$L:$L,0)),"")</f>
        <v/>
      </c>
      <c r="F1766" s="68" t="str">
        <f aca="false">IFERROR(INDEX(分录回款!$H:$H,MATCH($L1766,分录回款!$L:$L,0)),"")</f>
        <v/>
      </c>
      <c r="G1766" s="69" t="str">
        <f aca="false">IFERROR(INDEX(分录回款!$I:$I,MATCH($L1766,分录回款!$L:$L,0)),"")</f>
        <v/>
      </c>
      <c r="H1766" s="23"/>
      <c r="I1766" s="70"/>
      <c r="L1766" s="71" t="n">
        <f aca="false">IF(助手回款!$R$119="",-1,助手回款!$R$119*100+(助手回款!$S$119-1)*6+6)</f>
        <v>-1</v>
      </c>
    </row>
    <row r="1767" customFormat="false" ht="23.25" hidden="false" customHeight="true" outlineLevel="0" collapsed="false">
      <c r="B1767" s="72" t="str">
        <f aca="false">IF(助手回款!$T$119=1,"合计：","")</f>
        <v/>
      </c>
      <c r="C1767" s="73" t="str">
        <f aca="false">IF(助手回款!$T$119=1,$F1767,"")</f>
        <v/>
      </c>
      <c r="D1767" s="74"/>
      <c r="E1767" s="74"/>
      <c r="F1767" s="75" t="str">
        <f aca="false">IF(助手回款!$T$119=1,INDEX(助手回款!$N$2:$N$66,助手回款!$R$119),"")</f>
        <v/>
      </c>
      <c r="G1767" s="76" t="str">
        <f aca="false">IF(助手回款!$T$119=1,INDEX(助手回款!$O$2:$O$66,助手回款!$R$119),"")</f>
        <v/>
      </c>
      <c r="H1767" s="74"/>
      <c r="I1767" s="77"/>
    </row>
    <row r="1768" customFormat="false" ht="6" hidden="false" customHeight="true" outlineLevel="0" collapsed="false"/>
    <row r="1769" customFormat="false" ht="13.5" hidden="false" customHeight="false" outlineLevel="0" collapsed="false">
      <c r="B1769" s="78" t="str">
        <f aca="false">IF(助手回款!$R$119&lt;&gt;"","会计主管：","")</f>
        <v/>
      </c>
      <c r="D1769" s="78" t="str">
        <f aca="false">IF(助手回款!$R$119&lt;&gt;"","会计：","")</f>
        <v/>
      </c>
      <c r="E1769" s="78" t="str">
        <f aca="false">IF(助手回款!$R$119&lt;&gt;"","出纳：","")</f>
        <v/>
      </c>
      <c r="F1769" s="78" t="str">
        <f aca="false">IF(助手回款!$R$119&lt;&gt;"","复核：","")</f>
        <v/>
      </c>
      <c r="G1769" s="78" t="str">
        <f aca="false">IF(助手回款!$R$119&lt;&gt;"","制单：","")</f>
        <v/>
      </c>
    </row>
    <row r="1770" customFormat="false" ht="3" hidden="false" customHeight="true" outlineLevel="0" collapsed="false"/>
    <row r="1771" customFormat="false" ht="19.5" hidden="false" customHeight="true" outlineLevel="0" collapsed="false">
      <c r="B1771" s="53" t="str">
        <f aca="false">IF(助手回款!$R$120&lt;&gt;"","记  账  凭  证","")</f>
        <v/>
      </c>
      <c r="C1771" s="53"/>
      <c r="D1771" s="53"/>
      <c r="E1771" s="53"/>
      <c r="F1771" s="53"/>
      <c r="G1771" s="53"/>
      <c r="H1771" s="53"/>
      <c r="I1771" s="53"/>
    </row>
    <row r="1772" customFormat="false" ht="3" hidden="false" customHeight="true" outlineLevel="0" collapsed="false"/>
    <row r="1773" customFormat="false" ht="15" hidden="false" customHeight="true" outlineLevel="0" collapsed="false">
      <c r="C1773" s="56" t="str">
        <f aca="false">IF(助手回款!$R$120&lt;&gt;"",INDEX(助手回款!$B$2:$B$66,助手回款!$R$120),"")</f>
        <v/>
      </c>
      <c r="D1773" s="57" t="str">
        <f aca="false">IF(助手回款!$R$120&lt;&gt;"",参数!$B$2,"")</f>
        <v/>
      </c>
      <c r="E1773" s="57"/>
      <c r="F1773" s="58" t="str">
        <f aca="false">IF(助手回款!$R$120&lt;&gt;"",INDEX(助手回款!$C$2:$C$66,助手回款!$R$120)&amp;"  字第 "&amp;IF(参数!$B$9="是",INDEX(助手回款!$P$2:$P$66,助手回款!$R$120),"　　　　")&amp;" 号"&amp;IF(INDEX(助手回款!$L$2:$L$66,助手回款!$R$120)&gt;1,"  (共"&amp;INDEX(助手回款!$L$2:$L$66,助手回款!$R$120)&amp;"页 第"&amp;助手回款!$S$120&amp;"页)",""),"")</f>
        <v/>
      </c>
      <c r="G1773" s="58"/>
      <c r="H1773" s="58"/>
      <c r="I1773" s="58"/>
      <c r="M1773" s="79" t="str">
        <f aca="false">IF(助手回款!$R$120="","",助手回款!$Q$120)</f>
        <v/>
      </c>
      <c r="N1773" s="80" t="str">
        <f aca="false">IF(助手回款!$R$120="","",INDEX(助手回款!$P$2:$P$66,助手回款!$R$120))</f>
        <v/>
      </c>
      <c r="O1773" s="55" t="str">
        <f aca="false">IF(助手回款!$R$120="","",INDEX(助手回款!$C$2:$C$66,助手回款!$R$120)&amp;"  字第 "&amp;INDEX(助手回款!$P$2:$P$66,助手回款!$R$120)&amp;" 号"&amp;IF(INDEX(助手回款!$L$2:$L$66,助手回款!$R$120)&gt;1,"  (共"&amp;INDEX(助手回款!$L$2:$L$66,助手回款!$R$120)&amp;"页 第"&amp;助手回款!$S$120&amp;"页)",""))</f>
        <v/>
      </c>
    </row>
    <row r="1774" customFormat="false" ht="12.75" hidden="false" customHeight="true" outlineLevel="0" collapsed="false">
      <c r="B1774" s="61" t="str">
        <f aca="false">IF(助手回款!$R$120&lt;&gt;"","摘　　要","")</f>
        <v/>
      </c>
      <c r="C1774" s="61"/>
      <c r="D1774" s="62" t="str">
        <f aca="false">IF(助手回款!$R$120&lt;&gt;"","科　　　　目","")</f>
        <v/>
      </c>
      <c r="E1774" s="62"/>
      <c r="F1774" s="61" t="str">
        <f aca="false">IF(助手回款!$R$120&lt;&gt;"","借 方 金 额","")</f>
        <v/>
      </c>
      <c r="G1774" s="62" t="str">
        <f aca="false">IF(助手回款!$R$120&lt;&gt;"","贷 方 金 额","")</f>
        <v/>
      </c>
      <c r="H1774" s="63" t="str">
        <f aca="false">IF(助手回款!$R$120&lt;&gt;"","√","")</f>
        <v/>
      </c>
      <c r="I1774" s="64" t="str">
        <f aca="false">IF(助手回款!$R$120&lt;&gt;"","附单据  张","")</f>
        <v/>
      </c>
    </row>
    <row r="1775" customFormat="false" ht="12.75" hidden="false" customHeight="true" outlineLevel="0" collapsed="false">
      <c r="B1775" s="61"/>
      <c r="C1775" s="61"/>
      <c r="D1775" s="23" t="str">
        <f aca="false">IF(助手回款!$R$120&lt;&gt;"","总 账 科 目","")</f>
        <v/>
      </c>
      <c r="E1775" s="23" t="str">
        <f aca="false">IF(助手回款!$R$120&lt;&gt;"","明 细 科 目","")</f>
        <v/>
      </c>
      <c r="F1775" s="65"/>
      <c r="G1775" s="66"/>
      <c r="H1775" s="63"/>
      <c r="I1775" s="64"/>
    </row>
    <row r="1776" customFormat="false" ht="23.25" hidden="false" customHeight="true" outlineLevel="0" collapsed="false">
      <c r="B1776" s="67" t="str">
        <f aca="false">IFERROR(INDEX(分录回款!$M:$M,MATCH($L1776,分录回款!$L:$L,0)),"")</f>
        <v/>
      </c>
      <c r="C1776" s="67"/>
      <c r="D1776" s="23" t="str">
        <f aca="false">IFERROR(INDEX(分录回款!$E:$E,MATCH($L1776,分录回款!$L:$L,0)),"")</f>
        <v/>
      </c>
      <c r="E1776" s="23" t="str">
        <f aca="false">IFERROR(INDEX(分录回款!$F:$F,MATCH($L1776,分录回款!$L:$L,0)),"")</f>
        <v/>
      </c>
      <c r="F1776" s="68" t="str">
        <f aca="false">IFERROR(INDEX(分录回款!$H:$H,MATCH($L1776,分录回款!$L:$L,0)),"")</f>
        <v/>
      </c>
      <c r="G1776" s="69" t="str">
        <f aca="false">IFERROR(INDEX(分录回款!$I:$I,MATCH($L1776,分录回款!$L:$L,0)),"")</f>
        <v/>
      </c>
      <c r="H1776" s="23"/>
      <c r="I1776" s="70"/>
      <c r="L1776" s="71" t="n">
        <f aca="false">IF(助手回款!$R$120="",-1,助手回款!$R$120*100+(助手回款!$S$120-1)*6+1)</f>
        <v>-1</v>
      </c>
    </row>
    <row r="1777" customFormat="false" ht="23.25" hidden="false" customHeight="true" outlineLevel="0" collapsed="false">
      <c r="B1777" s="67" t="str">
        <f aca="false">""</f>
        <v/>
      </c>
      <c r="C1777" s="67"/>
      <c r="D1777" s="23" t="str">
        <f aca="false">IFERROR(INDEX(分录回款!$E:$E,MATCH($L1777,分录回款!$L:$L,0)),"")</f>
        <v/>
      </c>
      <c r="E1777" s="23" t="str">
        <f aca="false">IFERROR(INDEX(分录回款!$F:$F,MATCH($L1777,分录回款!$L:$L,0)),"")</f>
        <v/>
      </c>
      <c r="F1777" s="68" t="str">
        <f aca="false">IFERROR(INDEX(分录回款!$H:$H,MATCH($L1777,分录回款!$L:$L,0)),"")</f>
        <v/>
      </c>
      <c r="G1777" s="69" t="str">
        <f aca="false">IFERROR(INDEX(分录回款!$I:$I,MATCH($L1777,分录回款!$L:$L,0)),"")</f>
        <v/>
      </c>
      <c r="H1777" s="23"/>
      <c r="I1777" s="70"/>
      <c r="L1777" s="71" t="n">
        <f aca="false">IF(助手回款!$R$120="",-1,助手回款!$R$120*100+(助手回款!$S$120-1)*6+2)</f>
        <v>-1</v>
      </c>
    </row>
    <row r="1778" customFormat="false" ht="23.25" hidden="false" customHeight="true" outlineLevel="0" collapsed="false">
      <c r="B1778" s="67" t="str">
        <f aca="false">""</f>
        <v/>
      </c>
      <c r="C1778" s="67"/>
      <c r="D1778" s="23" t="str">
        <f aca="false">IFERROR(INDEX(分录回款!$E:$E,MATCH($L1778,分录回款!$L:$L,0)),"")</f>
        <v/>
      </c>
      <c r="E1778" s="23" t="str">
        <f aca="false">IFERROR(INDEX(分录回款!$F:$F,MATCH($L1778,分录回款!$L:$L,0)),"")</f>
        <v/>
      </c>
      <c r="F1778" s="68" t="str">
        <f aca="false">IFERROR(INDEX(分录回款!$H:$H,MATCH($L1778,分录回款!$L:$L,0)),"")</f>
        <v/>
      </c>
      <c r="G1778" s="69" t="str">
        <f aca="false">IFERROR(INDEX(分录回款!$I:$I,MATCH($L1778,分录回款!$L:$L,0)),"")</f>
        <v/>
      </c>
      <c r="H1778" s="23"/>
      <c r="I1778" s="70"/>
      <c r="L1778" s="71" t="n">
        <f aca="false">IF(助手回款!$R$120="",-1,助手回款!$R$120*100+(助手回款!$S$120-1)*6+3)</f>
        <v>-1</v>
      </c>
    </row>
    <row r="1779" customFormat="false" ht="23.25" hidden="false" customHeight="true" outlineLevel="0" collapsed="false">
      <c r="B1779" s="67" t="str">
        <f aca="false">""</f>
        <v/>
      </c>
      <c r="C1779" s="67"/>
      <c r="D1779" s="23" t="str">
        <f aca="false">IFERROR(INDEX(分录回款!$E:$E,MATCH($L1779,分录回款!$L:$L,0)),"")</f>
        <v/>
      </c>
      <c r="E1779" s="23" t="str">
        <f aca="false">IFERROR(INDEX(分录回款!$F:$F,MATCH($L1779,分录回款!$L:$L,0)),"")</f>
        <v/>
      </c>
      <c r="F1779" s="68" t="str">
        <f aca="false">IFERROR(INDEX(分录回款!$H:$H,MATCH($L1779,分录回款!$L:$L,0)),"")</f>
        <v/>
      </c>
      <c r="G1779" s="69" t="str">
        <f aca="false">IFERROR(INDEX(分录回款!$I:$I,MATCH($L1779,分录回款!$L:$L,0)),"")</f>
        <v/>
      </c>
      <c r="H1779" s="23"/>
      <c r="I1779" s="70"/>
      <c r="L1779" s="71" t="n">
        <f aca="false">IF(助手回款!$R$120="",-1,助手回款!$R$120*100+(助手回款!$S$120-1)*6+4)</f>
        <v>-1</v>
      </c>
    </row>
    <row r="1780" customFormat="false" ht="23.25" hidden="false" customHeight="true" outlineLevel="0" collapsed="false">
      <c r="B1780" s="67" t="str">
        <f aca="false">""</f>
        <v/>
      </c>
      <c r="C1780" s="67"/>
      <c r="D1780" s="23" t="str">
        <f aca="false">IFERROR(INDEX(分录回款!$E:$E,MATCH($L1780,分录回款!$L:$L,0)),"")</f>
        <v/>
      </c>
      <c r="E1780" s="23" t="str">
        <f aca="false">IFERROR(INDEX(分录回款!$F:$F,MATCH($L1780,分录回款!$L:$L,0)),"")</f>
        <v/>
      </c>
      <c r="F1780" s="68" t="str">
        <f aca="false">IFERROR(INDEX(分录回款!$H:$H,MATCH($L1780,分录回款!$L:$L,0)),"")</f>
        <v/>
      </c>
      <c r="G1780" s="69" t="str">
        <f aca="false">IFERROR(INDEX(分录回款!$I:$I,MATCH($L1780,分录回款!$L:$L,0)),"")</f>
        <v/>
      </c>
      <c r="H1780" s="23"/>
      <c r="I1780" s="70"/>
      <c r="L1780" s="71" t="n">
        <f aca="false">IF(助手回款!$R$120="",-1,助手回款!$R$120*100+(助手回款!$S$120-1)*6+5)</f>
        <v>-1</v>
      </c>
    </row>
    <row r="1781" customFormat="false" ht="23.25" hidden="false" customHeight="true" outlineLevel="0" collapsed="false">
      <c r="B1781" s="67" t="str">
        <f aca="false">""</f>
        <v/>
      </c>
      <c r="C1781" s="67"/>
      <c r="D1781" s="23" t="str">
        <f aca="false">IFERROR(INDEX(分录回款!$E:$E,MATCH($L1781,分录回款!$L:$L,0)),"")</f>
        <v/>
      </c>
      <c r="E1781" s="23" t="str">
        <f aca="false">IFERROR(INDEX(分录回款!$F:$F,MATCH($L1781,分录回款!$L:$L,0)),"")</f>
        <v/>
      </c>
      <c r="F1781" s="68" t="str">
        <f aca="false">IFERROR(INDEX(分录回款!$H:$H,MATCH($L1781,分录回款!$L:$L,0)),"")</f>
        <v/>
      </c>
      <c r="G1781" s="69" t="str">
        <f aca="false">IFERROR(INDEX(分录回款!$I:$I,MATCH($L1781,分录回款!$L:$L,0)),"")</f>
        <v/>
      </c>
      <c r="H1781" s="23"/>
      <c r="I1781" s="70"/>
      <c r="L1781" s="71" t="n">
        <f aca="false">IF(助手回款!$R$120="",-1,助手回款!$R$120*100+(助手回款!$S$120-1)*6+6)</f>
        <v>-1</v>
      </c>
    </row>
    <row r="1782" customFormat="false" ht="23.25" hidden="false" customHeight="true" outlineLevel="0" collapsed="false">
      <c r="B1782" s="72" t="str">
        <f aca="false">IF(助手回款!$T$120=1,"合计：","")</f>
        <v/>
      </c>
      <c r="C1782" s="73" t="str">
        <f aca="false">IF(助手回款!$T$120=1,$F1782,"")</f>
        <v/>
      </c>
      <c r="D1782" s="74"/>
      <c r="E1782" s="74"/>
      <c r="F1782" s="75" t="str">
        <f aca="false">IF(助手回款!$T$120=1,INDEX(助手回款!$N$2:$N$66,助手回款!$R$120),"")</f>
        <v/>
      </c>
      <c r="G1782" s="76" t="str">
        <f aca="false">IF(助手回款!$T$120=1,INDEX(助手回款!$O$2:$O$66,助手回款!$R$120),"")</f>
        <v/>
      </c>
      <c r="H1782" s="74"/>
      <c r="I1782" s="77"/>
    </row>
    <row r="1783" customFormat="false" ht="6" hidden="false" customHeight="true" outlineLevel="0" collapsed="false"/>
    <row r="1784" customFormat="false" ht="13.5" hidden="false" customHeight="false" outlineLevel="0" collapsed="false">
      <c r="B1784" s="78" t="str">
        <f aca="false">IF(助手回款!$R$120&lt;&gt;"","会计主管：","")</f>
        <v/>
      </c>
      <c r="D1784" s="78" t="str">
        <f aca="false">IF(助手回款!$R$120&lt;&gt;"","会计：","")</f>
        <v/>
      </c>
      <c r="E1784" s="78" t="str">
        <f aca="false">IF(助手回款!$R$120&lt;&gt;"","出纳：","")</f>
        <v/>
      </c>
      <c r="F1784" s="78" t="str">
        <f aca="false">IF(助手回款!$R$120&lt;&gt;"","复核：","")</f>
        <v/>
      </c>
      <c r="G1784" s="78" t="str">
        <f aca="false">IF(助手回款!$R$120&lt;&gt;"","制单：","")</f>
        <v/>
      </c>
    </row>
    <row r="1785" customFormat="false" ht="3" hidden="false" customHeight="true" outlineLevel="0" collapsed="false"/>
    <row r="1786" customFormat="false" ht="19.5" hidden="false" customHeight="true" outlineLevel="0" collapsed="false">
      <c r="B1786" s="53" t="str">
        <f aca="false">IF(助手回款!$R$121&lt;&gt;"","记  账  凭  证","")</f>
        <v/>
      </c>
      <c r="C1786" s="53"/>
      <c r="D1786" s="53"/>
      <c r="E1786" s="53"/>
      <c r="F1786" s="53"/>
      <c r="G1786" s="53"/>
      <c r="H1786" s="53"/>
      <c r="I1786" s="53"/>
    </row>
    <row r="1787" customFormat="false" ht="3" hidden="false" customHeight="true" outlineLevel="0" collapsed="false"/>
    <row r="1788" customFormat="false" ht="15" hidden="false" customHeight="true" outlineLevel="0" collapsed="false">
      <c r="C1788" s="56" t="str">
        <f aca="false">IF(助手回款!$R$121&lt;&gt;"",INDEX(助手回款!$B$2:$B$66,助手回款!$R$121),"")</f>
        <v/>
      </c>
      <c r="D1788" s="57" t="str">
        <f aca="false">IF(助手回款!$R$121&lt;&gt;"",参数!$B$2,"")</f>
        <v/>
      </c>
      <c r="E1788" s="57"/>
      <c r="F1788" s="58" t="str">
        <f aca="false">IF(助手回款!$R$121&lt;&gt;"",INDEX(助手回款!$C$2:$C$66,助手回款!$R$121)&amp;"  字第 "&amp;IF(参数!$B$9="是",INDEX(助手回款!$P$2:$P$66,助手回款!$R$121),"　　　　")&amp;" 号"&amp;IF(INDEX(助手回款!$L$2:$L$66,助手回款!$R$121)&gt;1,"  (共"&amp;INDEX(助手回款!$L$2:$L$66,助手回款!$R$121)&amp;"页 第"&amp;助手回款!$S$121&amp;"页)",""),"")</f>
        <v/>
      </c>
      <c r="G1788" s="58"/>
      <c r="H1788" s="58"/>
      <c r="I1788" s="58"/>
      <c r="M1788" s="79" t="str">
        <f aca="false">IF(助手回款!$R$121="","",助手回款!$Q$121)</f>
        <v/>
      </c>
      <c r="N1788" s="80" t="str">
        <f aca="false">IF(助手回款!$R$121="","",INDEX(助手回款!$P$2:$P$66,助手回款!$R$121))</f>
        <v/>
      </c>
      <c r="O1788" s="55" t="str">
        <f aca="false">IF(助手回款!$R$121="","",INDEX(助手回款!$C$2:$C$66,助手回款!$R$121)&amp;"  字第 "&amp;INDEX(助手回款!$P$2:$P$66,助手回款!$R$121)&amp;" 号"&amp;IF(INDEX(助手回款!$L$2:$L$66,助手回款!$R$121)&gt;1,"  (共"&amp;INDEX(助手回款!$L$2:$L$66,助手回款!$R$121)&amp;"页 第"&amp;助手回款!$S$121&amp;"页)",""))</f>
        <v/>
      </c>
    </row>
    <row r="1789" customFormat="false" ht="12.75" hidden="false" customHeight="true" outlineLevel="0" collapsed="false">
      <c r="B1789" s="61" t="str">
        <f aca="false">IF(助手回款!$R$121&lt;&gt;"","摘　　要","")</f>
        <v/>
      </c>
      <c r="C1789" s="61"/>
      <c r="D1789" s="62" t="str">
        <f aca="false">IF(助手回款!$R$121&lt;&gt;"","科　　　　目","")</f>
        <v/>
      </c>
      <c r="E1789" s="62"/>
      <c r="F1789" s="61" t="str">
        <f aca="false">IF(助手回款!$R$121&lt;&gt;"","借 方 金 额","")</f>
        <v/>
      </c>
      <c r="G1789" s="62" t="str">
        <f aca="false">IF(助手回款!$R$121&lt;&gt;"","贷 方 金 额","")</f>
        <v/>
      </c>
      <c r="H1789" s="63" t="str">
        <f aca="false">IF(助手回款!$R$121&lt;&gt;"","√","")</f>
        <v/>
      </c>
      <c r="I1789" s="64" t="str">
        <f aca="false">IF(助手回款!$R$121&lt;&gt;"","附单据  张","")</f>
        <v/>
      </c>
    </row>
    <row r="1790" customFormat="false" ht="12.75" hidden="false" customHeight="true" outlineLevel="0" collapsed="false">
      <c r="B1790" s="61"/>
      <c r="C1790" s="61"/>
      <c r="D1790" s="23" t="str">
        <f aca="false">IF(助手回款!$R$121&lt;&gt;"","总 账 科 目","")</f>
        <v/>
      </c>
      <c r="E1790" s="23" t="str">
        <f aca="false">IF(助手回款!$R$121&lt;&gt;"","明 细 科 目","")</f>
        <v/>
      </c>
      <c r="F1790" s="65"/>
      <c r="G1790" s="66"/>
      <c r="H1790" s="63"/>
      <c r="I1790" s="64"/>
    </row>
    <row r="1791" customFormat="false" ht="23.25" hidden="false" customHeight="true" outlineLevel="0" collapsed="false">
      <c r="B1791" s="67" t="str">
        <f aca="false">IFERROR(INDEX(分录回款!$M:$M,MATCH($L1791,分录回款!$L:$L,0)),"")</f>
        <v/>
      </c>
      <c r="C1791" s="67"/>
      <c r="D1791" s="23" t="str">
        <f aca="false">IFERROR(INDEX(分录回款!$E:$E,MATCH($L1791,分录回款!$L:$L,0)),"")</f>
        <v/>
      </c>
      <c r="E1791" s="23" t="str">
        <f aca="false">IFERROR(INDEX(分录回款!$F:$F,MATCH($L1791,分录回款!$L:$L,0)),"")</f>
        <v/>
      </c>
      <c r="F1791" s="68" t="str">
        <f aca="false">IFERROR(INDEX(分录回款!$H:$H,MATCH($L1791,分录回款!$L:$L,0)),"")</f>
        <v/>
      </c>
      <c r="G1791" s="69" t="str">
        <f aca="false">IFERROR(INDEX(分录回款!$I:$I,MATCH($L1791,分录回款!$L:$L,0)),"")</f>
        <v/>
      </c>
      <c r="H1791" s="23"/>
      <c r="I1791" s="70"/>
      <c r="L1791" s="71" t="n">
        <f aca="false">IF(助手回款!$R$121="",-1,助手回款!$R$121*100+(助手回款!$S$121-1)*6+1)</f>
        <v>-1</v>
      </c>
    </row>
    <row r="1792" customFormat="false" ht="23.25" hidden="false" customHeight="true" outlineLevel="0" collapsed="false">
      <c r="B1792" s="67" t="str">
        <f aca="false">""</f>
        <v/>
      </c>
      <c r="C1792" s="67"/>
      <c r="D1792" s="23" t="str">
        <f aca="false">IFERROR(INDEX(分录回款!$E:$E,MATCH($L1792,分录回款!$L:$L,0)),"")</f>
        <v/>
      </c>
      <c r="E1792" s="23" t="str">
        <f aca="false">IFERROR(INDEX(分录回款!$F:$F,MATCH($L1792,分录回款!$L:$L,0)),"")</f>
        <v/>
      </c>
      <c r="F1792" s="68" t="str">
        <f aca="false">IFERROR(INDEX(分录回款!$H:$H,MATCH($L1792,分录回款!$L:$L,0)),"")</f>
        <v/>
      </c>
      <c r="G1792" s="69" t="str">
        <f aca="false">IFERROR(INDEX(分录回款!$I:$I,MATCH($L1792,分录回款!$L:$L,0)),"")</f>
        <v/>
      </c>
      <c r="H1792" s="23"/>
      <c r="I1792" s="70"/>
      <c r="L1792" s="71" t="n">
        <f aca="false">IF(助手回款!$R$121="",-1,助手回款!$R$121*100+(助手回款!$S$121-1)*6+2)</f>
        <v>-1</v>
      </c>
    </row>
    <row r="1793" customFormat="false" ht="23.25" hidden="false" customHeight="true" outlineLevel="0" collapsed="false">
      <c r="B1793" s="67" t="str">
        <f aca="false">""</f>
        <v/>
      </c>
      <c r="C1793" s="67"/>
      <c r="D1793" s="23" t="str">
        <f aca="false">IFERROR(INDEX(分录回款!$E:$E,MATCH($L1793,分录回款!$L:$L,0)),"")</f>
        <v/>
      </c>
      <c r="E1793" s="23" t="str">
        <f aca="false">IFERROR(INDEX(分录回款!$F:$F,MATCH($L1793,分录回款!$L:$L,0)),"")</f>
        <v/>
      </c>
      <c r="F1793" s="68" t="str">
        <f aca="false">IFERROR(INDEX(分录回款!$H:$H,MATCH($L1793,分录回款!$L:$L,0)),"")</f>
        <v/>
      </c>
      <c r="G1793" s="69" t="str">
        <f aca="false">IFERROR(INDEX(分录回款!$I:$I,MATCH($L1793,分录回款!$L:$L,0)),"")</f>
        <v/>
      </c>
      <c r="H1793" s="23"/>
      <c r="I1793" s="70"/>
      <c r="L1793" s="71" t="n">
        <f aca="false">IF(助手回款!$R$121="",-1,助手回款!$R$121*100+(助手回款!$S$121-1)*6+3)</f>
        <v>-1</v>
      </c>
    </row>
    <row r="1794" customFormat="false" ht="23.25" hidden="false" customHeight="true" outlineLevel="0" collapsed="false">
      <c r="B1794" s="67" t="str">
        <f aca="false">""</f>
        <v/>
      </c>
      <c r="C1794" s="67"/>
      <c r="D1794" s="23" t="str">
        <f aca="false">IFERROR(INDEX(分录回款!$E:$E,MATCH($L1794,分录回款!$L:$L,0)),"")</f>
        <v/>
      </c>
      <c r="E1794" s="23" t="str">
        <f aca="false">IFERROR(INDEX(分录回款!$F:$F,MATCH($L1794,分录回款!$L:$L,0)),"")</f>
        <v/>
      </c>
      <c r="F1794" s="68" t="str">
        <f aca="false">IFERROR(INDEX(分录回款!$H:$H,MATCH($L1794,分录回款!$L:$L,0)),"")</f>
        <v/>
      </c>
      <c r="G1794" s="69" t="str">
        <f aca="false">IFERROR(INDEX(分录回款!$I:$I,MATCH($L1794,分录回款!$L:$L,0)),"")</f>
        <v/>
      </c>
      <c r="H1794" s="23"/>
      <c r="I1794" s="70"/>
      <c r="L1794" s="71" t="n">
        <f aca="false">IF(助手回款!$R$121="",-1,助手回款!$R$121*100+(助手回款!$S$121-1)*6+4)</f>
        <v>-1</v>
      </c>
    </row>
    <row r="1795" customFormat="false" ht="23.25" hidden="false" customHeight="true" outlineLevel="0" collapsed="false">
      <c r="B1795" s="67" t="str">
        <f aca="false">""</f>
        <v/>
      </c>
      <c r="C1795" s="67"/>
      <c r="D1795" s="23" t="str">
        <f aca="false">IFERROR(INDEX(分录回款!$E:$E,MATCH($L1795,分录回款!$L:$L,0)),"")</f>
        <v/>
      </c>
      <c r="E1795" s="23" t="str">
        <f aca="false">IFERROR(INDEX(分录回款!$F:$F,MATCH($L1795,分录回款!$L:$L,0)),"")</f>
        <v/>
      </c>
      <c r="F1795" s="68" t="str">
        <f aca="false">IFERROR(INDEX(分录回款!$H:$H,MATCH($L1795,分录回款!$L:$L,0)),"")</f>
        <v/>
      </c>
      <c r="G1795" s="69" t="str">
        <f aca="false">IFERROR(INDEX(分录回款!$I:$I,MATCH($L1795,分录回款!$L:$L,0)),"")</f>
        <v/>
      </c>
      <c r="H1795" s="23"/>
      <c r="I1795" s="70"/>
      <c r="L1795" s="71" t="n">
        <f aca="false">IF(助手回款!$R$121="",-1,助手回款!$R$121*100+(助手回款!$S$121-1)*6+5)</f>
        <v>-1</v>
      </c>
    </row>
    <row r="1796" customFormat="false" ht="23.25" hidden="false" customHeight="true" outlineLevel="0" collapsed="false">
      <c r="B1796" s="67" t="str">
        <f aca="false">""</f>
        <v/>
      </c>
      <c r="C1796" s="67"/>
      <c r="D1796" s="23" t="str">
        <f aca="false">IFERROR(INDEX(分录回款!$E:$E,MATCH($L1796,分录回款!$L:$L,0)),"")</f>
        <v/>
      </c>
      <c r="E1796" s="23" t="str">
        <f aca="false">IFERROR(INDEX(分录回款!$F:$F,MATCH($L1796,分录回款!$L:$L,0)),"")</f>
        <v/>
      </c>
      <c r="F1796" s="68" t="str">
        <f aca="false">IFERROR(INDEX(分录回款!$H:$H,MATCH($L1796,分录回款!$L:$L,0)),"")</f>
        <v/>
      </c>
      <c r="G1796" s="69" t="str">
        <f aca="false">IFERROR(INDEX(分录回款!$I:$I,MATCH($L1796,分录回款!$L:$L,0)),"")</f>
        <v/>
      </c>
      <c r="H1796" s="23"/>
      <c r="I1796" s="70"/>
      <c r="L1796" s="71" t="n">
        <f aca="false">IF(助手回款!$R$121="",-1,助手回款!$R$121*100+(助手回款!$S$121-1)*6+6)</f>
        <v>-1</v>
      </c>
    </row>
    <row r="1797" customFormat="false" ht="23.25" hidden="false" customHeight="true" outlineLevel="0" collapsed="false">
      <c r="B1797" s="72" t="str">
        <f aca="false">IF(助手回款!$T$121=1,"合计：","")</f>
        <v/>
      </c>
      <c r="C1797" s="73" t="str">
        <f aca="false">IF(助手回款!$T$121=1,$F1797,"")</f>
        <v/>
      </c>
      <c r="D1797" s="74"/>
      <c r="E1797" s="74"/>
      <c r="F1797" s="75" t="str">
        <f aca="false">IF(助手回款!$T$121=1,INDEX(助手回款!$N$2:$N$66,助手回款!$R$121),"")</f>
        <v/>
      </c>
      <c r="G1797" s="76" t="str">
        <f aca="false">IF(助手回款!$T$121=1,INDEX(助手回款!$O$2:$O$66,助手回款!$R$121),"")</f>
        <v/>
      </c>
      <c r="H1797" s="74"/>
      <c r="I1797" s="77"/>
    </row>
    <row r="1798" customFormat="false" ht="6" hidden="false" customHeight="true" outlineLevel="0" collapsed="false"/>
    <row r="1799" customFormat="false" ht="13.5" hidden="false" customHeight="false" outlineLevel="0" collapsed="false">
      <c r="B1799" s="78" t="str">
        <f aca="false">IF(助手回款!$R$121&lt;&gt;"","会计主管：","")</f>
        <v/>
      </c>
      <c r="D1799" s="78" t="str">
        <f aca="false">IF(助手回款!$R$121&lt;&gt;"","会计：","")</f>
        <v/>
      </c>
      <c r="E1799" s="78" t="str">
        <f aca="false">IF(助手回款!$R$121&lt;&gt;"","出纳：","")</f>
        <v/>
      </c>
      <c r="F1799" s="78" t="str">
        <f aca="false">IF(助手回款!$R$121&lt;&gt;"","复核：","")</f>
        <v/>
      </c>
      <c r="G1799" s="78" t="str">
        <f aca="false">IF(助手回款!$R$121&lt;&gt;"","制单：","")</f>
        <v/>
      </c>
    </row>
    <row r="1800" customFormat="false" ht="3" hidden="false" customHeight="true" outlineLevel="0" collapsed="false"/>
    <row r="1801" customFormat="false" ht="19.5" hidden="false" customHeight="true" outlineLevel="0" collapsed="false">
      <c r="B1801" s="53" t="str">
        <f aca="false">IF(助手回款!$R$122&lt;&gt;"","记  账  凭  证","")</f>
        <v/>
      </c>
      <c r="C1801" s="53"/>
      <c r="D1801" s="53"/>
      <c r="E1801" s="53"/>
      <c r="F1801" s="53"/>
      <c r="G1801" s="53"/>
      <c r="H1801" s="53"/>
      <c r="I1801" s="53"/>
    </row>
    <row r="1802" customFormat="false" ht="3" hidden="false" customHeight="true" outlineLevel="0" collapsed="false"/>
    <row r="1803" customFormat="false" ht="15" hidden="false" customHeight="true" outlineLevel="0" collapsed="false">
      <c r="C1803" s="56" t="str">
        <f aca="false">IF(助手回款!$R$122&lt;&gt;"",INDEX(助手回款!$B$2:$B$66,助手回款!$R$122),"")</f>
        <v/>
      </c>
      <c r="D1803" s="57" t="str">
        <f aca="false">IF(助手回款!$R$122&lt;&gt;"",参数!$B$2,"")</f>
        <v/>
      </c>
      <c r="E1803" s="57"/>
      <c r="F1803" s="58" t="str">
        <f aca="false">IF(助手回款!$R$122&lt;&gt;"",INDEX(助手回款!$C$2:$C$66,助手回款!$R$122)&amp;"  字第 "&amp;IF(参数!$B$9="是",INDEX(助手回款!$P$2:$P$66,助手回款!$R$122),"　　　　")&amp;" 号"&amp;IF(INDEX(助手回款!$L$2:$L$66,助手回款!$R$122)&gt;1,"  (共"&amp;INDEX(助手回款!$L$2:$L$66,助手回款!$R$122)&amp;"页 第"&amp;助手回款!$S$122&amp;"页)",""),"")</f>
        <v/>
      </c>
      <c r="G1803" s="58"/>
      <c r="H1803" s="58"/>
      <c r="I1803" s="58"/>
      <c r="M1803" s="79" t="str">
        <f aca="false">IF(助手回款!$R$122="","",助手回款!$Q$122)</f>
        <v/>
      </c>
      <c r="N1803" s="80" t="str">
        <f aca="false">IF(助手回款!$R$122="","",INDEX(助手回款!$P$2:$P$66,助手回款!$R$122))</f>
        <v/>
      </c>
      <c r="O1803" s="55" t="str">
        <f aca="false">IF(助手回款!$R$122="","",INDEX(助手回款!$C$2:$C$66,助手回款!$R$122)&amp;"  字第 "&amp;INDEX(助手回款!$P$2:$P$66,助手回款!$R$122)&amp;" 号"&amp;IF(INDEX(助手回款!$L$2:$L$66,助手回款!$R$122)&gt;1,"  (共"&amp;INDEX(助手回款!$L$2:$L$66,助手回款!$R$122)&amp;"页 第"&amp;助手回款!$S$122&amp;"页)",""))</f>
        <v/>
      </c>
    </row>
    <row r="1804" customFormat="false" ht="12.75" hidden="false" customHeight="true" outlineLevel="0" collapsed="false">
      <c r="B1804" s="61" t="str">
        <f aca="false">IF(助手回款!$R$122&lt;&gt;"","摘　　要","")</f>
        <v/>
      </c>
      <c r="C1804" s="61"/>
      <c r="D1804" s="62" t="str">
        <f aca="false">IF(助手回款!$R$122&lt;&gt;"","科　　　　目","")</f>
        <v/>
      </c>
      <c r="E1804" s="62"/>
      <c r="F1804" s="61" t="str">
        <f aca="false">IF(助手回款!$R$122&lt;&gt;"","借 方 金 额","")</f>
        <v/>
      </c>
      <c r="G1804" s="62" t="str">
        <f aca="false">IF(助手回款!$R$122&lt;&gt;"","贷 方 金 额","")</f>
        <v/>
      </c>
      <c r="H1804" s="63" t="str">
        <f aca="false">IF(助手回款!$R$122&lt;&gt;"","√","")</f>
        <v/>
      </c>
      <c r="I1804" s="64" t="str">
        <f aca="false">IF(助手回款!$R$122&lt;&gt;"","附单据  张","")</f>
        <v/>
      </c>
    </row>
    <row r="1805" customFormat="false" ht="12.75" hidden="false" customHeight="true" outlineLevel="0" collapsed="false">
      <c r="B1805" s="61"/>
      <c r="C1805" s="61"/>
      <c r="D1805" s="23" t="str">
        <f aca="false">IF(助手回款!$R$122&lt;&gt;"","总 账 科 目","")</f>
        <v/>
      </c>
      <c r="E1805" s="23" t="str">
        <f aca="false">IF(助手回款!$R$122&lt;&gt;"","明 细 科 目","")</f>
        <v/>
      </c>
      <c r="F1805" s="65"/>
      <c r="G1805" s="66"/>
      <c r="H1805" s="63"/>
      <c r="I1805" s="64"/>
    </row>
    <row r="1806" customFormat="false" ht="23.25" hidden="false" customHeight="true" outlineLevel="0" collapsed="false">
      <c r="B1806" s="67" t="str">
        <f aca="false">IFERROR(INDEX(分录回款!$M:$M,MATCH($L1806,分录回款!$L:$L,0)),"")</f>
        <v/>
      </c>
      <c r="C1806" s="67"/>
      <c r="D1806" s="23" t="str">
        <f aca="false">IFERROR(INDEX(分录回款!$E:$E,MATCH($L1806,分录回款!$L:$L,0)),"")</f>
        <v/>
      </c>
      <c r="E1806" s="23" t="str">
        <f aca="false">IFERROR(INDEX(分录回款!$F:$F,MATCH($L1806,分录回款!$L:$L,0)),"")</f>
        <v/>
      </c>
      <c r="F1806" s="68" t="str">
        <f aca="false">IFERROR(INDEX(分录回款!$H:$H,MATCH($L1806,分录回款!$L:$L,0)),"")</f>
        <v/>
      </c>
      <c r="G1806" s="69" t="str">
        <f aca="false">IFERROR(INDEX(分录回款!$I:$I,MATCH($L1806,分录回款!$L:$L,0)),"")</f>
        <v/>
      </c>
      <c r="H1806" s="23"/>
      <c r="I1806" s="70"/>
      <c r="L1806" s="71" t="n">
        <f aca="false">IF(助手回款!$R$122="",-1,助手回款!$R$122*100+(助手回款!$S$122-1)*6+1)</f>
        <v>-1</v>
      </c>
    </row>
    <row r="1807" customFormat="false" ht="23.25" hidden="false" customHeight="true" outlineLevel="0" collapsed="false">
      <c r="B1807" s="67" t="str">
        <f aca="false">""</f>
        <v/>
      </c>
      <c r="C1807" s="67"/>
      <c r="D1807" s="23" t="str">
        <f aca="false">IFERROR(INDEX(分录回款!$E:$E,MATCH($L1807,分录回款!$L:$L,0)),"")</f>
        <v/>
      </c>
      <c r="E1807" s="23" t="str">
        <f aca="false">IFERROR(INDEX(分录回款!$F:$F,MATCH($L1807,分录回款!$L:$L,0)),"")</f>
        <v/>
      </c>
      <c r="F1807" s="68" t="str">
        <f aca="false">IFERROR(INDEX(分录回款!$H:$H,MATCH($L1807,分录回款!$L:$L,0)),"")</f>
        <v/>
      </c>
      <c r="G1807" s="69" t="str">
        <f aca="false">IFERROR(INDEX(分录回款!$I:$I,MATCH($L1807,分录回款!$L:$L,0)),"")</f>
        <v/>
      </c>
      <c r="H1807" s="23"/>
      <c r="I1807" s="70"/>
      <c r="L1807" s="71" t="n">
        <f aca="false">IF(助手回款!$R$122="",-1,助手回款!$R$122*100+(助手回款!$S$122-1)*6+2)</f>
        <v>-1</v>
      </c>
    </row>
    <row r="1808" customFormat="false" ht="23.25" hidden="false" customHeight="true" outlineLevel="0" collapsed="false">
      <c r="B1808" s="67" t="str">
        <f aca="false">""</f>
        <v/>
      </c>
      <c r="C1808" s="67"/>
      <c r="D1808" s="23" t="str">
        <f aca="false">IFERROR(INDEX(分录回款!$E:$E,MATCH($L1808,分录回款!$L:$L,0)),"")</f>
        <v/>
      </c>
      <c r="E1808" s="23" t="str">
        <f aca="false">IFERROR(INDEX(分录回款!$F:$F,MATCH($L1808,分录回款!$L:$L,0)),"")</f>
        <v/>
      </c>
      <c r="F1808" s="68" t="str">
        <f aca="false">IFERROR(INDEX(分录回款!$H:$H,MATCH($L1808,分录回款!$L:$L,0)),"")</f>
        <v/>
      </c>
      <c r="G1808" s="69" t="str">
        <f aca="false">IFERROR(INDEX(分录回款!$I:$I,MATCH($L1808,分录回款!$L:$L,0)),"")</f>
        <v/>
      </c>
      <c r="H1808" s="23"/>
      <c r="I1808" s="70"/>
      <c r="L1808" s="71" t="n">
        <f aca="false">IF(助手回款!$R$122="",-1,助手回款!$R$122*100+(助手回款!$S$122-1)*6+3)</f>
        <v>-1</v>
      </c>
    </row>
    <row r="1809" customFormat="false" ht="23.25" hidden="false" customHeight="true" outlineLevel="0" collapsed="false">
      <c r="B1809" s="67" t="str">
        <f aca="false">""</f>
        <v/>
      </c>
      <c r="C1809" s="67"/>
      <c r="D1809" s="23" t="str">
        <f aca="false">IFERROR(INDEX(分录回款!$E:$E,MATCH($L1809,分录回款!$L:$L,0)),"")</f>
        <v/>
      </c>
      <c r="E1809" s="23" t="str">
        <f aca="false">IFERROR(INDEX(分录回款!$F:$F,MATCH($L1809,分录回款!$L:$L,0)),"")</f>
        <v/>
      </c>
      <c r="F1809" s="68" t="str">
        <f aca="false">IFERROR(INDEX(分录回款!$H:$H,MATCH($L1809,分录回款!$L:$L,0)),"")</f>
        <v/>
      </c>
      <c r="G1809" s="69" t="str">
        <f aca="false">IFERROR(INDEX(分录回款!$I:$I,MATCH($L1809,分录回款!$L:$L,0)),"")</f>
        <v/>
      </c>
      <c r="H1809" s="23"/>
      <c r="I1809" s="70"/>
      <c r="L1809" s="71" t="n">
        <f aca="false">IF(助手回款!$R$122="",-1,助手回款!$R$122*100+(助手回款!$S$122-1)*6+4)</f>
        <v>-1</v>
      </c>
    </row>
    <row r="1810" customFormat="false" ht="23.25" hidden="false" customHeight="true" outlineLevel="0" collapsed="false">
      <c r="B1810" s="67" t="str">
        <f aca="false">""</f>
        <v/>
      </c>
      <c r="C1810" s="67"/>
      <c r="D1810" s="23" t="str">
        <f aca="false">IFERROR(INDEX(分录回款!$E:$E,MATCH($L1810,分录回款!$L:$L,0)),"")</f>
        <v/>
      </c>
      <c r="E1810" s="23" t="str">
        <f aca="false">IFERROR(INDEX(分录回款!$F:$F,MATCH($L1810,分录回款!$L:$L,0)),"")</f>
        <v/>
      </c>
      <c r="F1810" s="68" t="str">
        <f aca="false">IFERROR(INDEX(分录回款!$H:$H,MATCH($L1810,分录回款!$L:$L,0)),"")</f>
        <v/>
      </c>
      <c r="G1810" s="69" t="str">
        <f aca="false">IFERROR(INDEX(分录回款!$I:$I,MATCH($L1810,分录回款!$L:$L,0)),"")</f>
        <v/>
      </c>
      <c r="H1810" s="23"/>
      <c r="I1810" s="70"/>
      <c r="L1810" s="71" t="n">
        <f aca="false">IF(助手回款!$R$122="",-1,助手回款!$R$122*100+(助手回款!$S$122-1)*6+5)</f>
        <v>-1</v>
      </c>
    </row>
    <row r="1811" customFormat="false" ht="23.25" hidden="false" customHeight="true" outlineLevel="0" collapsed="false">
      <c r="B1811" s="67" t="str">
        <f aca="false">""</f>
        <v/>
      </c>
      <c r="C1811" s="67"/>
      <c r="D1811" s="23" t="str">
        <f aca="false">IFERROR(INDEX(分录回款!$E:$E,MATCH($L1811,分录回款!$L:$L,0)),"")</f>
        <v/>
      </c>
      <c r="E1811" s="23" t="str">
        <f aca="false">IFERROR(INDEX(分录回款!$F:$F,MATCH($L1811,分录回款!$L:$L,0)),"")</f>
        <v/>
      </c>
      <c r="F1811" s="68" t="str">
        <f aca="false">IFERROR(INDEX(分录回款!$H:$H,MATCH($L1811,分录回款!$L:$L,0)),"")</f>
        <v/>
      </c>
      <c r="G1811" s="69" t="str">
        <f aca="false">IFERROR(INDEX(分录回款!$I:$I,MATCH($L1811,分录回款!$L:$L,0)),"")</f>
        <v/>
      </c>
      <c r="H1811" s="23"/>
      <c r="I1811" s="70"/>
      <c r="L1811" s="71" t="n">
        <f aca="false">IF(助手回款!$R$122="",-1,助手回款!$R$122*100+(助手回款!$S$122-1)*6+6)</f>
        <v>-1</v>
      </c>
    </row>
    <row r="1812" customFormat="false" ht="23.25" hidden="false" customHeight="true" outlineLevel="0" collapsed="false">
      <c r="B1812" s="72" t="str">
        <f aca="false">IF(助手回款!$T$122=1,"合计：","")</f>
        <v/>
      </c>
      <c r="C1812" s="73" t="str">
        <f aca="false">IF(助手回款!$T$122=1,$F1812,"")</f>
        <v/>
      </c>
      <c r="D1812" s="74"/>
      <c r="E1812" s="74"/>
      <c r="F1812" s="75" t="str">
        <f aca="false">IF(助手回款!$T$122=1,INDEX(助手回款!$N$2:$N$66,助手回款!$R$122),"")</f>
        <v/>
      </c>
      <c r="G1812" s="76" t="str">
        <f aca="false">IF(助手回款!$T$122=1,INDEX(助手回款!$O$2:$O$66,助手回款!$R$122),"")</f>
        <v/>
      </c>
      <c r="H1812" s="74"/>
      <c r="I1812" s="77"/>
    </row>
    <row r="1813" customFormat="false" ht="6" hidden="false" customHeight="true" outlineLevel="0" collapsed="false"/>
    <row r="1814" customFormat="false" ht="13.5" hidden="false" customHeight="false" outlineLevel="0" collapsed="false">
      <c r="B1814" s="78" t="str">
        <f aca="false">IF(助手回款!$R$122&lt;&gt;"","会计主管：","")</f>
        <v/>
      </c>
      <c r="D1814" s="78" t="str">
        <f aca="false">IF(助手回款!$R$122&lt;&gt;"","会计：","")</f>
        <v/>
      </c>
      <c r="E1814" s="78" t="str">
        <f aca="false">IF(助手回款!$R$122&lt;&gt;"","出纳：","")</f>
        <v/>
      </c>
      <c r="F1814" s="78" t="str">
        <f aca="false">IF(助手回款!$R$122&lt;&gt;"","复核：","")</f>
        <v/>
      </c>
      <c r="G1814" s="78" t="str">
        <f aca="false">IF(助手回款!$R$122&lt;&gt;"","制单：","")</f>
        <v/>
      </c>
    </row>
    <row r="1815" customFormat="false" ht="3" hidden="false" customHeight="true" outlineLevel="0" collapsed="false"/>
    <row r="1816" customFormat="false" ht="19.5" hidden="false" customHeight="true" outlineLevel="0" collapsed="false">
      <c r="B1816" s="53" t="str">
        <f aca="false">IF(助手回款!$R$123&lt;&gt;"","记  账  凭  证","")</f>
        <v/>
      </c>
      <c r="C1816" s="53"/>
      <c r="D1816" s="53"/>
      <c r="E1816" s="53"/>
      <c r="F1816" s="53"/>
      <c r="G1816" s="53"/>
      <c r="H1816" s="53"/>
      <c r="I1816" s="53"/>
    </row>
    <row r="1817" customFormat="false" ht="3" hidden="false" customHeight="true" outlineLevel="0" collapsed="false"/>
    <row r="1818" customFormat="false" ht="15" hidden="false" customHeight="true" outlineLevel="0" collapsed="false">
      <c r="C1818" s="56" t="str">
        <f aca="false">IF(助手回款!$R$123&lt;&gt;"",INDEX(助手回款!$B$2:$B$66,助手回款!$R$123),"")</f>
        <v/>
      </c>
      <c r="D1818" s="57" t="str">
        <f aca="false">IF(助手回款!$R$123&lt;&gt;"",参数!$B$2,"")</f>
        <v/>
      </c>
      <c r="E1818" s="57"/>
      <c r="F1818" s="58" t="str">
        <f aca="false">IF(助手回款!$R$123&lt;&gt;"",INDEX(助手回款!$C$2:$C$66,助手回款!$R$123)&amp;"  字第 "&amp;IF(参数!$B$9="是",INDEX(助手回款!$P$2:$P$66,助手回款!$R$123),"　　　　")&amp;" 号"&amp;IF(INDEX(助手回款!$L$2:$L$66,助手回款!$R$123)&gt;1,"  (共"&amp;INDEX(助手回款!$L$2:$L$66,助手回款!$R$123)&amp;"页 第"&amp;助手回款!$S$123&amp;"页)",""),"")</f>
        <v/>
      </c>
      <c r="G1818" s="58"/>
      <c r="H1818" s="58"/>
      <c r="I1818" s="58"/>
      <c r="M1818" s="79" t="str">
        <f aca="false">IF(助手回款!$R$123="","",助手回款!$Q$123)</f>
        <v/>
      </c>
      <c r="N1818" s="80" t="str">
        <f aca="false">IF(助手回款!$R$123="","",INDEX(助手回款!$P$2:$P$66,助手回款!$R$123))</f>
        <v/>
      </c>
      <c r="O1818" s="55" t="str">
        <f aca="false">IF(助手回款!$R$123="","",INDEX(助手回款!$C$2:$C$66,助手回款!$R$123)&amp;"  字第 "&amp;INDEX(助手回款!$P$2:$P$66,助手回款!$R$123)&amp;" 号"&amp;IF(INDEX(助手回款!$L$2:$L$66,助手回款!$R$123)&gt;1,"  (共"&amp;INDEX(助手回款!$L$2:$L$66,助手回款!$R$123)&amp;"页 第"&amp;助手回款!$S$123&amp;"页)",""))</f>
        <v/>
      </c>
    </row>
    <row r="1819" customFormat="false" ht="12.75" hidden="false" customHeight="true" outlineLevel="0" collapsed="false">
      <c r="B1819" s="61" t="str">
        <f aca="false">IF(助手回款!$R$123&lt;&gt;"","摘　　要","")</f>
        <v/>
      </c>
      <c r="C1819" s="61"/>
      <c r="D1819" s="62" t="str">
        <f aca="false">IF(助手回款!$R$123&lt;&gt;"","科　　　　目","")</f>
        <v/>
      </c>
      <c r="E1819" s="62"/>
      <c r="F1819" s="61" t="str">
        <f aca="false">IF(助手回款!$R$123&lt;&gt;"","借 方 金 额","")</f>
        <v/>
      </c>
      <c r="G1819" s="62" t="str">
        <f aca="false">IF(助手回款!$R$123&lt;&gt;"","贷 方 金 额","")</f>
        <v/>
      </c>
      <c r="H1819" s="63" t="str">
        <f aca="false">IF(助手回款!$R$123&lt;&gt;"","√","")</f>
        <v/>
      </c>
      <c r="I1819" s="64" t="str">
        <f aca="false">IF(助手回款!$R$123&lt;&gt;"","附单据  张","")</f>
        <v/>
      </c>
    </row>
    <row r="1820" customFormat="false" ht="12.75" hidden="false" customHeight="true" outlineLevel="0" collapsed="false">
      <c r="B1820" s="61"/>
      <c r="C1820" s="61"/>
      <c r="D1820" s="23" t="str">
        <f aca="false">IF(助手回款!$R$123&lt;&gt;"","总 账 科 目","")</f>
        <v/>
      </c>
      <c r="E1820" s="23" t="str">
        <f aca="false">IF(助手回款!$R$123&lt;&gt;"","明 细 科 目","")</f>
        <v/>
      </c>
      <c r="F1820" s="65"/>
      <c r="G1820" s="66"/>
      <c r="H1820" s="63"/>
      <c r="I1820" s="64"/>
    </row>
    <row r="1821" customFormat="false" ht="23.25" hidden="false" customHeight="true" outlineLevel="0" collapsed="false">
      <c r="B1821" s="67" t="str">
        <f aca="false">IFERROR(INDEX(分录回款!$M:$M,MATCH($L1821,分录回款!$L:$L,0)),"")</f>
        <v/>
      </c>
      <c r="C1821" s="67"/>
      <c r="D1821" s="23" t="str">
        <f aca="false">IFERROR(INDEX(分录回款!$E:$E,MATCH($L1821,分录回款!$L:$L,0)),"")</f>
        <v/>
      </c>
      <c r="E1821" s="23" t="str">
        <f aca="false">IFERROR(INDEX(分录回款!$F:$F,MATCH($L1821,分录回款!$L:$L,0)),"")</f>
        <v/>
      </c>
      <c r="F1821" s="68" t="str">
        <f aca="false">IFERROR(INDEX(分录回款!$H:$H,MATCH($L1821,分录回款!$L:$L,0)),"")</f>
        <v/>
      </c>
      <c r="G1821" s="69" t="str">
        <f aca="false">IFERROR(INDEX(分录回款!$I:$I,MATCH($L1821,分录回款!$L:$L,0)),"")</f>
        <v/>
      </c>
      <c r="H1821" s="23"/>
      <c r="I1821" s="70"/>
      <c r="L1821" s="71" t="n">
        <f aca="false">IF(助手回款!$R$123="",-1,助手回款!$R$123*100+(助手回款!$S$123-1)*6+1)</f>
        <v>-1</v>
      </c>
    </row>
    <row r="1822" customFormat="false" ht="23.25" hidden="false" customHeight="true" outlineLevel="0" collapsed="false">
      <c r="B1822" s="67" t="str">
        <f aca="false">""</f>
        <v/>
      </c>
      <c r="C1822" s="67"/>
      <c r="D1822" s="23" t="str">
        <f aca="false">IFERROR(INDEX(分录回款!$E:$E,MATCH($L1822,分录回款!$L:$L,0)),"")</f>
        <v/>
      </c>
      <c r="E1822" s="23" t="str">
        <f aca="false">IFERROR(INDEX(分录回款!$F:$F,MATCH($L1822,分录回款!$L:$L,0)),"")</f>
        <v/>
      </c>
      <c r="F1822" s="68" t="str">
        <f aca="false">IFERROR(INDEX(分录回款!$H:$H,MATCH($L1822,分录回款!$L:$L,0)),"")</f>
        <v/>
      </c>
      <c r="G1822" s="69" t="str">
        <f aca="false">IFERROR(INDEX(分录回款!$I:$I,MATCH($L1822,分录回款!$L:$L,0)),"")</f>
        <v/>
      </c>
      <c r="H1822" s="23"/>
      <c r="I1822" s="70"/>
      <c r="L1822" s="71" t="n">
        <f aca="false">IF(助手回款!$R$123="",-1,助手回款!$R$123*100+(助手回款!$S$123-1)*6+2)</f>
        <v>-1</v>
      </c>
    </row>
    <row r="1823" customFormat="false" ht="23.25" hidden="false" customHeight="true" outlineLevel="0" collapsed="false">
      <c r="B1823" s="67" t="str">
        <f aca="false">""</f>
        <v/>
      </c>
      <c r="C1823" s="67"/>
      <c r="D1823" s="23" t="str">
        <f aca="false">IFERROR(INDEX(分录回款!$E:$E,MATCH($L1823,分录回款!$L:$L,0)),"")</f>
        <v/>
      </c>
      <c r="E1823" s="23" t="str">
        <f aca="false">IFERROR(INDEX(分录回款!$F:$F,MATCH($L1823,分录回款!$L:$L,0)),"")</f>
        <v/>
      </c>
      <c r="F1823" s="68" t="str">
        <f aca="false">IFERROR(INDEX(分录回款!$H:$H,MATCH($L1823,分录回款!$L:$L,0)),"")</f>
        <v/>
      </c>
      <c r="G1823" s="69" t="str">
        <f aca="false">IFERROR(INDEX(分录回款!$I:$I,MATCH($L1823,分录回款!$L:$L,0)),"")</f>
        <v/>
      </c>
      <c r="H1823" s="23"/>
      <c r="I1823" s="70"/>
      <c r="L1823" s="71" t="n">
        <f aca="false">IF(助手回款!$R$123="",-1,助手回款!$R$123*100+(助手回款!$S$123-1)*6+3)</f>
        <v>-1</v>
      </c>
    </row>
    <row r="1824" customFormat="false" ht="23.25" hidden="false" customHeight="true" outlineLevel="0" collapsed="false">
      <c r="B1824" s="67" t="str">
        <f aca="false">""</f>
        <v/>
      </c>
      <c r="C1824" s="67"/>
      <c r="D1824" s="23" t="str">
        <f aca="false">IFERROR(INDEX(分录回款!$E:$E,MATCH($L1824,分录回款!$L:$L,0)),"")</f>
        <v/>
      </c>
      <c r="E1824" s="23" t="str">
        <f aca="false">IFERROR(INDEX(分录回款!$F:$F,MATCH($L1824,分录回款!$L:$L,0)),"")</f>
        <v/>
      </c>
      <c r="F1824" s="68" t="str">
        <f aca="false">IFERROR(INDEX(分录回款!$H:$H,MATCH($L1824,分录回款!$L:$L,0)),"")</f>
        <v/>
      </c>
      <c r="G1824" s="69" t="str">
        <f aca="false">IFERROR(INDEX(分录回款!$I:$I,MATCH($L1824,分录回款!$L:$L,0)),"")</f>
        <v/>
      </c>
      <c r="H1824" s="23"/>
      <c r="I1824" s="70"/>
      <c r="L1824" s="71" t="n">
        <f aca="false">IF(助手回款!$R$123="",-1,助手回款!$R$123*100+(助手回款!$S$123-1)*6+4)</f>
        <v>-1</v>
      </c>
    </row>
    <row r="1825" customFormat="false" ht="23.25" hidden="false" customHeight="true" outlineLevel="0" collapsed="false">
      <c r="B1825" s="67" t="str">
        <f aca="false">""</f>
        <v/>
      </c>
      <c r="C1825" s="67"/>
      <c r="D1825" s="23" t="str">
        <f aca="false">IFERROR(INDEX(分录回款!$E:$E,MATCH($L1825,分录回款!$L:$L,0)),"")</f>
        <v/>
      </c>
      <c r="E1825" s="23" t="str">
        <f aca="false">IFERROR(INDEX(分录回款!$F:$F,MATCH($L1825,分录回款!$L:$L,0)),"")</f>
        <v/>
      </c>
      <c r="F1825" s="68" t="str">
        <f aca="false">IFERROR(INDEX(分录回款!$H:$H,MATCH($L1825,分录回款!$L:$L,0)),"")</f>
        <v/>
      </c>
      <c r="G1825" s="69" t="str">
        <f aca="false">IFERROR(INDEX(分录回款!$I:$I,MATCH($L1825,分录回款!$L:$L,0)),"")</f>
        <v/>
      </c>
      <c r="H1825" s="23"/>
      <c r="I1825" s="70"/>
      <c r="L1825" s="71" t="n">
        <f aca="false">IF(助手回款!$R$123="",-1,助手回款!$R$123*100+(助手回款!$S$123-1)*6+5)</f>
        <v>-1</v>
      </c>
    </row>
    <row r="1826" customFormat="false" ht="23.25" hidden="false" customHeight="true" outlineLevel="0" collapsed="false">
      <c r="B1826" s="67" t="str">
        <f aca="false">""</f>
        <v/>
      </c>
      <c r="C1826" s="67"/>
      <c r="D1826" s="23" t="str">
        <f aca="false">IFERROR(INDEX(分录回款!$E:$E,MATCH($L1826,分录回款!$L:$L,0)),"")</f>
        <v/>
      </c>
      <c r="E1826" s="23" t="str">
        <f aca="false">IFERROR(INDEX(分录回款!$F:$F,MATCH($L1826,分录回款!$L:$L,0)),"")</f>
        <v/>
      </c>
      <c r="F1826" s="68" t="str">
        <f aca="false">IFERROR(INDEX(分录回款!$H:$H,MATCH($L1826,分录回款!$L:$L,0)),"")</f>
        <v/>
      </c>
      <c r="G1826" s="69" t="str">
        <f aca="false">IFERROR(INDEX(分录回款!$I:$I,MATCH($L1826,分录回款!$L:$L,0)),"")</f>
        <v/>
      </c>
      <c r="H1826" s="23"/>
      <c r="I1826" s="70"/>
      <c r="L1826" s="71" t="n">
        <f aca="false">IF(助手回款!$R$123="",-1,助手回款!$R$123*100+(助手回款!$S$123-1)*6+6)</f>
        <v>-1</v>
      </c>
    </row>
    <row r="1827" customFormat="false" ht="23.25" hidden="false" customHeight="true" outlineLevel="0" collapsed="false">
      <c r="B1827" s="72" t="str">
        <f aca="false">IF(助手回款!$T$123=1,"合计：","")</f>
        <v/>
      </c>
      <c r="C1827" s="73" t="str">
        <f aca="false">IF(助手回款!$T$123=1,$F1827,"")</f>
        <v/>
      </c>
      <c r="D1827" s="74"/>
      <c r="E1827" s="74"/>
      <c r="F1827" s="75" t="str">
        <f aca="false">IF(助手回款!$T$123=1,INDEX(助手回款!$N$2:$N$66,助手回款!$R$123),"")</f>
        <v/>
      </c>
      <c r="G1827" s="76" t="str">
        <f aca="false">IF(助手回款!$T$123=1,INDEX(助手回款!$O$2:$O$66,助手回款!$R$123),"")</f>
        <v/>
      </c>
      <c r="H1827" s="74"/>
      <c r="I1827" s="77"/>
    </row>
    <row r="1828" customFormat="false" ht="6" hidden="false" customHeight="true" outlineLevel="0" collapsed="false"/>
    <row r="1829" customFormat="false" ht="13.5" hidden="false" customHeight="false" outlineLevel="0" collapsed="false">
      <c r="B1829" s="78" t="str">
        <f aca="false">IF(助手回款!$R$123&lt;&gt;"","会计主管：","")</f>
        <v/>
      </c>
      <c r="D1829" s="78" t="str">
        <f aca="false">IF(助手回款!$R$123&lt;&gt;"","会计：","")</f>
        <v/>
      </c>
      <c r="E1829" s="78" t="str">
        <f aca="false">IF(助手回款!$R$123&lt;&gt;"","出纳：","")</f>
        <v/>
      </c>
      <c r="F1829" s="78" t="str">
        <f aca="false">IF(助手回款!$R$123&lt;&gt;"","复核：","")</f>
        <v/>
      </c>
      <c r="G1829" s="78" t="str">
        <f aca="false">IF(助手回款!$R$123&lt;&gt;"","制单：","")</f>
        <v/>
      </c>
    </row>
    <row r="1830" customFormat="false" ht="3" hidden="false" customHeight="true" outlineLevel="0" collapsed="false"/>
    <row r="1831" customFormat="false" ht="19.5" hidden="false" customHeight="true" outlineLevel="0" collapsed="false">
      <c r="B1831" s="53" t="str">
        <f aca="false">IF(助手回款!$R$124&lt;&gt;"","记  账  凭  证","")</f>
        <v/>
      </c>
      <c r="C1831" s="53"/>
      <c r="D1831" s="53"/>
      <c r="E1831" s="53"/>
      <c r="F1831" s="53"/>
      <c r="G1831" s="53"/>
      <c r="H1831" s="53"/>
      <c r="I1831" s="53"/>
    </row>
    <row r="1832" customFormat="false" ht="3" hidden="false" customHeight="true" outlineLevel="0" collapsed="false"/>
    <row r="1833" customFormat="false" ht="15" hidden="false" customHeight="true" outlineLevel="0" collapsed="false">
      <c r="C1833" s="56" t="str">
        <f aca="false">IF(助手回款!$R$124&lt;&gt;"",INDEX(助手回款!$B$2:$B$66,助手回款!$R$124),"")</f>
        <v/>
      </c>
      <c r="D1833" s="57" t="str">
        <f aca="false">IF(助手回款!$R$124&lt;&gt;"",参数!$B$2,"")</f>
        <v/>
      </c>
      <c r="E1833" s="57"/>
      <c r="F1833" s="58" t="str">
        <f aca="false">IF(助手回款!$R$124&lt;&gt;"",INDEX(助手回款!$C$2:$C$66,助手回款!$R$124)&amp;"  字第 "&amp;IF(参数!$B$9="是",INDEX(助手回款!$P$2:$P$66,助手回款!$R$124),"　　　　")&amp;" 号"&amp;IF(INDEX(助手回款!$L$2:$L$66,助手回款!$R$124)&gt;1,"  (共"&amp;INDEX(助手回款!$L$2:$L$66,助手回款!$R$124)&amp;"页 第"&amp;助手回款!$S$124&amp;"页)",""),"")</f>
        <v/>
      </c>
      <c r="G1833" s="58"/>
      <c r="H1833" s="58"/>
      <c r="I1833" s="58"/>
      <c r="M1833" s="79" t="str">
        <f aca="false">IF(助手回款!$R$124="","",助手回款!$Q$124)</f>
        <v/>
      </c>
      <c r="N1833" s="80" t="str">
        <f aca="false">IF(助手回款!$R$124="","",INDEX(助手回款!$P$2:$P$66,助手回款!$R$124))</f>
        <v/>
      </c>
      <c r="O1833" s="55" t="str">
        <f aca="false">IF(助手回款!$R$124="","",INDEX(助手回款!$C$2:$C$66,助手回款!$R$124)&amp;"  字第 "&amp;INDEX(助手回款!$P$2:$P$66,助手回款!$R$124)&amp;" 号"&amp;IF(INDEX(助手回款!$L$2:$L$66,助手回款!$R$124)&gt;1,"  (共"&amp;INDEX(助手回款!$L$2:$L$66,助手回款!$R$124)&amp;"页 第"&amp;助手回款!$S$124&amp;"页)",""))</f>
        <v/>
      </c>
    </row>
    <row r="1834" customFormat="false" ht="12.75" hidden="false" customHeight="true" outlineLevel="0" collapsed="false">
      <c r="B1834" s="61" t="str">
        <f aca="false">IF(助手回款!$R$124&lt;&gt;"","摘　　要","")</f>
        <v/>
      </c>
      <c r="C1834" s="61"/>
      <c r="D1834" s="62" t="str">
        <f aca="false">IF(助手回款!$R$124&lt;&gt;"","科　　　　目","")</f>
        <v/>
      </c>
      <c r="E1834" s="62"/>
      <c r="F1834" s="61" t="str">
        <f aca="false">IF(助手回款!$R$124&lt;&gt;"","借 方 金 额","")</f>
        <v/>
      </c>
      <c r="G1834" s="62" t="str">
        <f aca="false">IF(助手回款!$R$124&lt;&gt;"","贷 方 金 额","")</f>
        <v/>
      </c>
      <c r="H1834" s="63" t="str">
        <f aca="false">IF(助手回款!$R$124&lt;&gt;"","√","")</f>
        <v/>
      </c>
      <c r="I1834" s="64" t="str">
        <f aca="false">IF(助手回款!$R$124&lt;&gt;"","附单据  张","")</f>
        <v/>
      </c>
    </row>
    <row r="1835" customFormat="false" ht="12.75" hidden="false" customHeight="true" outlineLevel="0" collapsed="false">
      <c r="B1835" s="61"/>
      <c r="C1835" s="61"/>
      <c r="D1835" s="23" t="str">
        <f aca="false">IF(助手回款!$R$124&lt;&gt;"","总 账 科 目","")</f>
        <v/>
      </c>
      <c r="E1835" s="23" t="str">
        <f aca="false">IF(助手回款!$R$124&lt;&gt;"","明 细 科 目","")</f>
        <v/>
      </c>
      <c r="F1835" s="65"/>
      <c r="G1835" s="66"/>
      <c r="H1835" s="63"/>
      <c r="I1835" s="64"/>
    </row>
    <row r="1836" customFormat="false" ht="23.25" hidden="false" customHeight="true" outlineLevel="0" collapsed="false">
      <c r="B1836" s="67" t="str">
        <f aca="false">IFERROR(INDEX(分录回款!$M:$M,MATCH($L1836,分录回款!$L:$L,0)),"")</f>
        <v/>
      </c>
      <c r="C1836" s="67"/>
      <c r="D1836" s="23" t="str">
        <f aca="false">IFERROR(INDEX(分录回款!$E:$E,MATCH($L1836,分录回款!$L:$L,0)),"")</f>
        <v/>
      </c>
      <c r="E1836" s="23" t="str">
        <f aca="false">IFERROR(INDEX(分录回款!$F:$F,MATCH($L1836,分录回款!$L:$L,0)),"")</f>
        <v/>
      </c>
      <c r="F1836" s="68" t="str">
        <f aca="false">IFERROR(INDEX(分录回款!$H:$H,MATCH($L1836,分录回款!$L:$L,0)),"")</f>
        <v/>
      </c>
      <c r="G1836" s="69" t="str">
        <f aca="false">IFERROR(INDEX(分录回款!$I:$I,MATCH($L1836,分录回款!$L:$L,0)),"")</f>
        <v/>
      </c>
      <c r="H1836" s="23"/>
      <c r="I1836" s="70"/>
      <c r="L1836" s="71" t="n">
        <f aca="false">IF(助手回款!$R$124="",-1,助手回款!$R$124*100+(助手回款!$S$124-1)*6+1)</f>
        <v>-1</v>
      </c>
    </row>
    <row r="1837" customFormat="false" ht="23.25" hidden="false" customHeight="true" outlineLevel="0" collapsed="false">
      <c r="B1837" s="67" t="str">
        <f aca="false">""</f>
        <v/>
      </c>
      <c r="C1837" s="67"/>
      <c r="D1837" s="23" t="str">
        <f aca="false">IFERROR(INDEX(分录回款!$E:$E,MATCH($L1837,分录回款!$L:$L,0)),"")</f>
        <v/>
      </c>
      <c r="E1837" s="23" t="str">
        <f aca="false">IFERROR(INDEX(分录回款!$F:$F,MATCH($L1837,分录回款!$L:$L,0)),"")</f>
        <v/>
      </c>
      <c r="F1837" s="68" t="str">
        <f aca="false">IFERROR(INDEX(分录回款!$H:$H,MATCH($L1837,分录回款!$L:$L,0)),"")</f>
        <v/>
      </c>
      <c r="G1837" s="69" t="str">
        <f aca="false">IFERROR(INDEX(分录回款!$I:$I,MATCH($L1837,分录回款!$L:$L,0)),"")</f>
        <v/>
      </c>
      <c r="H1837" s="23"/>
      <c r="I1837" s="70"/>
      <c r="L1837" s="71" t="n">
        <f aca="false">IF(助手回款!$R$124="",-1,助手回款!$R$124*100+(助手回款!$S$124-1)*6+2)</f>
        <v>-1</v>
      </c>
    </row>
    <row r="1838" customFormat="false" ht="23.25" hidden="false" customHeight="true" outlineLevel="0" collapsed="false">
      <c r="B1838" s="67" t="str">
        <f aca="false">""</f>
        <v/>
      </c>
      <c r="C1838" s="67"/>
      <c r="D1838" s="23" t="str">
        <f aca="false">IFERROR(INDEX(分录回款!$E:$E,MATCH($L1838,分录回款!$L:$L,0)),"")</f>
        <v/>
      </c>
      <c r="E1838" s="23" t="str">
        <f aca="false">IFERROR(INDEX(分录回款!$F:$F,MATCH($L1838,分录回款!$L:$L,0)),"")</f>
        <v/>
      </c>
      <c r="F1838" s="68" t="str">
        <f aca="false">IFERROR(INDEX(分录回款!$H:$H,MATCH($L1838,分录回款!$L:$L,0)),"")</f>
        <v/>
      </c>
      <c r="G1838" s="69" t="str">
        <f aca="false">IFERROR(INDEX(分录回款!$I:$I,MATCH($L1838,分录回款!$L:$L,0)),"")</f>
        <v/>
      </c>
      <c r="H1838" s="23"/>
      <c r="I1838" s="70"/>
      <c r="L1838" s="71" t="n">
        <f aca="false">IF(助手回款!$R$124="",-1,助手回款!$R$124*100+(助手回款!$S$124-1)*6+3)</f>
        <v>-1</v>
      </c>
    </row>
    <row r="1839" customFormat="false" ht="23.25" hidden="false" customHeight="true" outlineLevel="0" collapsed="false">
      <c r="B1839" s="67" t="str">
        <f aca="false">""</f>
        <v/>
      </c>
      <c r="C1839" s="67"/>
      <c r="D1839" s="23" t="str">
        <f aca="false">IFERROR(INDEX(分录回款!$E:$E,MATCH($L1839,分录回款!$L:$L,0)),"")</f>
        <v/>
      </c>
      <c r="E1839" s="23" t="str">
        <f aca="false">IFERROR(INDEX(分录回款!$F:$F,MATCH($L1839,分录回款!$L:$L,0)),"")</f>
        <v/>
      </c>
      <c r="F1839" s="68" t="str">
        <f aca="false">IFERROR(INDEX(分录回款!$H:$H,MATCH($L1839,分录回款!$L:$L,0)),"")</f>
        <v/>
      </c>
      <c r="G1839" s="69" t="str">
        <f aca="false">IFERROR(INDEX(分录回款!$I:$I,MATCH($L1839,分录回款!$L:$L,0)),"")</f>
        <v/>
      </c>
      <c r="H1839" s="23"/>
      <c r="I1839" s="70"/>
      <c r="L1839" s="71" t="n">
        <f aca="false">IF(助手回款!$R$124="",-1,助手回款!$R$124*100+(助手回款!$S$124-1)*6+4)</f>
        <v>-1</v>
      </c>
    </row>
    <row r="1840" customFormat="false" ht="23.25" hidden="false" customHeight="true" outlineLevel="0" collapsed="false">
      <c r="B1840" s="67" t="str">
        <f aca="false">""</f>
        <v/>
      </c>
      <c r="C1840" s="67"/>
      <c r="D1840" s="23" t="str">
        <f aca="false">IFERROR(INDEX(分录回款!$E:$E,MATCH($L1840,分录回款!$L:$L,0)),"")</f>
        <v/>
      </c>
      <c r="E1840" s="23" t="str">
        <f aca="false">IFERROR(INDEX(分录回款!$F:$F,MATCH($L1840,分录回款!$L:$L,0)),"")</f>
        <v/>
      </c>
      <c r="F1840" s="68" t="str">
        <f aca="false">IFERROR(INDEX(分录回款!$H:$H,MATCH($L1840,分录回款!$L:$L,0)),"")</f>
        <v/>
      </c>
      <c r="G1840" s="69" t="str">
        <f aca="false">IFERROR(INDEX(分录回款!$I:$I,MATCH($L1840,分录回款!$L:$L,0)),"")</f>
        <v/>
      </c>
      <c r="H1840" s="23"/>
      <c r="I1840" s="70"/>
      <c r="L1840" s="71" t="n">
        <f aca="false">IF(助手回款!$R$124="",-1,助手回款!$R$124*100+(助手回款!$S$124-1)*6+5)</f>
        <v>-1</v>
      </c>
    </row>
    <row r="1841" customFormat="false" ht="23.25" hidden="false" customHeight="true" outlineLevel="0" collapsed="false">
      <c r="B1841" s="67" t="str">
        <f aca="false">""</f>
        <v/>
      </c>
      <c r="C1841" s="67"/>
      <c r="D1841" s="23" t="str">
        <f aca="false">IFERROR(INDEX(分录回款!$E:$E,MATCH($L1841,分录回款!$L:$L,0)),"")</f>
        <v/>
      </c>
      <c r="E1841" s="23" t="str">
        <f aca="false">IFERROR(INDEX(分录回款!$F:$F,MATCH($L1841,分录回款!$L:$L,0)),"")</f>
        <v/>
      </c>
      <c r="F1841" s="68" t="str">
        <f aca="false">IFERROR(INDEX(分录回款!$H:$H,MATCH($L1841,分录回款!$L:$L,0)),"")</f>
        <v/>
      </c>
      <c r="G1841" s="69" t="str">
        <f aca="false">IFERROR(INDEX(分录回款!$I:$I,MATCH($L1841,分录回款!$L:$L,0)),"")</f>
        <v/>
      </c>
      <c r="H1841" s="23"/>
      <c r="I1841" s="70"/>
      <c r="L1841" s="71" t="n">
        <f aca="false">IF(助手回款!$R$124="",-1,助手回款!$R$124*100+(助手回款!$S$124-1)*6+6)</f>
        <v>-1</v>
      </c>
    </row>
    <row r="1842" customFormat="false" ht="23.25" hidden="false" customHeight="true" outlineLevel="0" collapsed="false">
      <c r="B1842" s="72" t="str">
        <f aca="false">IF(助手回款!$T$124=1,"合计：","")</f>
        <v/>
      </c>
      <c r="C1842" s="73" t="str">
        <f aca="false">IF(助手回款!$T$124=1,$F1842,"")</f>
        <v/>
      </c>
      <c r="D1842" s="74"/>
      <c r="E1842" s="74"/>
      <c r="F1842" s="75" t="str">
        <f aca="false">IF(助手回款!$T$124=1,INDEX(助手回款!$N$2:$N$66,助手回款!$R$124),"")</f>
        <v/>
      </c>
      <c r="G1842" s="76" t="str">
        <f aca="false">IF(助手回款!$T$124=1,INDEX(助手回款!$O$2:$O$66,助手回款!$R$124),"")</f>
        <v/>
      </c>
      <c r="H1842" s="74"/>
      <c r="I1842" s="77"/>
    </row>
    <row r="1843" customFormat="false" ht="6" hidden="false" customHeight="true" outlineLevel="0" collapsed="false"/>
    <row r="1844" customFormat="false" ht="13.5" hidden="false" customHeight="false" outlineLevel="0" collapsed="false">
      <c r="B1844" s="78" t="str">
        <f aca="false">IF(助手回款!$R$124&lt;&gt;"","会计主管：","")</f>
        <v/>
      </c>
      <c r="D1844" s="78" t="str">
        <f aca="false">IF(助手回款!$R$124&lt;&gt;"","会计：","")</f>
        <v/>
      </c>
      <c r="E1844" s="78" t="str">
        <f aca="false">IF(助手回款!$R$124&lt;&gt;"","出纳：","")</f>
        <v/>
      </c>
      <c r="F1844" s="78" t="str">
        <f aca="false">IF(助手回款!$R$124&lt;&gt;"","复核：","")</f>
        <v/>
      </c>
      <c r="G1844" s="78" t="str">
        <f aca="false">IF(助手回款!$R$124&lt;&gt;"","制单：","")</f>
        <v/>
      </c>
    </row>
    <row r="1845" customFormat="false" ht="3" hidden="false" customHeight="true" outlineLevel="0" collapsed="false"/>
    <row r="1846" customFormat="false" ht="19.5" hidden="false" customHeight="true" outlineLevel="0" collapsed="false">
      <c r="B1846" s="53" t="str">
        <f aca="false">IF(助手回款!$R$125&lt;&gt;"","记  账  凭  证","")</f>
        <v/>
      </c>
      <c r="C1846" s="53"/>
      <c r="D1846" s="53"/>
      <c r="E1846" s="53"/>
      <c r="F1846" s="53"/>
      <c r="G1846" s="53"/>
      <c r="H1846" s="53"/>
      <c r="I1846" s="53"/>
    </row>
    <row r="1847" customFormat="false" ht="3" hidden="false" customHeight="true" outlineLevel="0" collapsed="false"/>
    <row r="1848" customFormat="false" ht="15" hidden="false" customHeight="true" outlineLevel="0" collapsed="false">
      <c r="C1848" s="56" t="str">
        <f aca="false">IF(助手回款!$R$125&lt;&gt;"",INDEX(助手回款!$B$2:$B$66,助手回款!$R$125),"")</f>
        <v/>
      </c>
      <c r="D1848" s="57" t="str">
        <f aca="false">IF(助手回款!$R$125&lt;&gt;"",参数!$B$2,"")</f>
        <v/>
      </c>
      <c r="E1848" s="57"/>
      <c r="F1848" s="58" t="str">
        <f aca="false">IF(助手回款!$R$125&lt;&gt;"",INDEX(助手回款!$C$2:$C$66,助手回款!$R$125)&amp;"  字第 "&amp;IF(参数!$B$9="是",INDEX(助手回款!$P$2:$P$66,助手回款!$R$125),"　　　　")&amp;" 号"&amp;IF(INDEX(助手回款!$L$2:$L$66,助手回款!$R$125)&gt;1,"  (共"&amp;INDEX(助手回款!$L$2:$L$66,助手回款!$R$125)&amp;"页 第"&amp;助手回款!$S$125&amp;"页)",""),"")</f>
        <v/>
      </c>
      <c r="G1848" s="58"/>
      <c r="H1848" s="58"/>
      <c r="I1848" s="58"/>
      <c r="M1848" s="79" t="str">
        <f aca="false">IF(助手回款!$R$125="","",助手回款!$Q$125)</f>
        <v/>
      </c>
      <c r="N1848" s="80" t="str">
        <f aca="false">IF(助手回款!$R$125="","",INDEX(助手回款!$P$2:$P$66,助手回款!$R$125))</f>
        <v/>
      </c>
      <c r="O1848" s="55" t="str">
        <f aca="false">IF(助手回款!$R$125="","",INDEX(助手回款!$C$2:$C$66,助手回款!$R$125)&amp;"  字第 "&amp;INDEX(助手回款!$P$2:$P$66,助手回款!$R$125)&amp;" 号"&amp;IF(INDEX(助手回款!$L$2:$L$66,助手回款!$R$125)&gt;1,"  (共"&amp;INDEX(助手回款!$L$2:$L$66,助手回款!$R$125)&amp;"页 第"&amp;助手回款!$S$125&amp;"页)",""))</f>
        <v/>
      </c>
    </row>
    <row r="1849" customFormat="false" ht="12.75" hidden="false" customHeight="true" outlineLevel="0" collapsed="false">
      <c r="B1849" s="61" t="str">
        <f aca="false">IF(助手回款!$R$125&lt;&gt;"","摘　　要","")</f>
        <v/>
      </c>
      <c r="C1849" s="61"/>
      <c r="D1849" s="62" t="str">
        <f aca="false">IF(助手回款!$R$125&lt;&gt;"","科　　　　目","")</f>
        <v/>
      </c>
      <c r="E1849" s="62"/>
      <c r="F1849" s="61" t="str">
        <f aca="false">IF(助手回款!$R$125&lt;&gt;"","借 方 金 额","")</f>
        <v/>
      </c>
      <c r="G1849" s="62" t="str">
        <f aca="false">IF(助手回款!$R$125&lt;&gt;"","贷 方 金 额","")</f>
        <v/>
      </c>
      <c r="H1849" s="63" t="str">
        <f aca="false">IF(助手回款!$R$125&lt;&gt;"","√","")</f>
        <v/>
      </c>
      <c r="I1849" s="64" t="str">
        <f aca="false">IF(助手回款!$R$125&lt;&gt;"","附单据  张","")</f>
        <v/>
      </c>
    </row>
    <row r="1850" customFormat="false" ht="12.75" hidden="false" customHeight="true" outlineLevel="0" collapsed="false">
      <c r="B1850" s="61"/>
      <c r="C1850" s="61"/>
      <c r="D1850" s="23" t="str">
        <f aca="false">IF(助手回款!$R$125&lt;&gt;"","总 账 科 目","")</f>
        <v/>
      </c>
      <c r="E1850" s="23" t="str">
        <f aca="false">IF(助手回款!$R$125&lt;&gt;"","明 细 科 目","")</f>
        <v/>
      </c>
      <c r="F1850" s="65"/>
      <c r="G1850" s="66"/>
      <c r="H1850" s="63"/>
      <c r="I1850" s="64"/>
    </row>
    <row r="1851" customFormat="false" ht="23.25" hidden="false" customHeight="true" outlineLevel="0" collapsed="false">
      <c r="B1851" s="67" t="str">
        <f aca="false">IFERROR(INDEX(分录回款!$M:$M,MATCH($L1851,分录回款!$L:$L,0)),"")</f>
        <v/>
      </c>
      <c r="C1851" s="67"/>
      <c r="D1851" s="23" t="str">
        <f aca="false">IFERROR(INDEX(分录回款!$E:$E,MATCH($L1851,分录回款!$L:$L,0)),"")</f>
        <v/>
      </c>
      <c r="E1851" s="23" t="str">
        <f aca="false">IFERROR(INDEX(分录回款!$F:$F,MATCH($L1851,分录回款!$L:$L,0)),"")</f>
        <v/>
      </c>
      <c r="F1851" s="68" t="str">
        <f aca="false">IFERROR(INDEX(分录回款!$H:$H,MATCH($L1851,分录回款!$L:$L,0)),"")</f>
        <v/>
      </c>
      <c r="G1851" s="69" t="str">
        <f aca="false">IFERROR(INDEX(分录回款!$I:$I,MATCH($L1851,分录回款!$L:$L,0)),"")</f>
        <v/>
      </c>
      <c r="H1851" s="23"/>
      <c r="I1851" s="70"/>
      <c r="L1851" s="71" t="n">
        <f aca="false">IF(助手回款!$R$125="",-1,助手回款!$R$125*100+(助手回款!$S$125-1)*6+1)</f>
        <v>-1</v>
      </c>
    </row>
    <row r="1852" customFormat="false" ht="23.25" hidden="false" customHeight="true" outlineLevel="0" collapsed="false">
      <c r="B1852" s="67" t="str">
        <f aca="false">""</f>
        <v/>
      </c>
      <c r="C1852" s="67"/>
      <c r="D1852" s="23" t="str">
        <f aca="false">IFERROR(INDEX(分录回款!$E:$E,MATCH($L1852,分录回款!$L:$L,0)),"")</f>
        <v/>
      </c>
      <c r="E1852" s="23" t="str">
        <f aca="false">IFERROR(INDEX(分录回款!$F:$F,MATCH($L1852,分录回款!$L:$L,0)),"")</f>
        <v/>
      </c>
      <c r="F1852" s="68" t="str">
        <f aca="false">IFERROR(INDEX(分录回款!$H:$H,MATCH($L1852,分录回款!$L:$L,0)),"")</f>
        <v/>
      </c>
      <c r="G1852" s="69" t="str">
        <f aca="false">IFERROR(INDEX(分录回款!$I:$I,MATCH($L1852,分录回款!$L:$L,0)),"")</f>
        <v/>
      </c>
      <c r="H1852" s="23"/>
      <c r="I1852" s="70"/>
      <c r="L1852" s="71" t="n">
        <f aca="false">IF(助手回款!$R$125="",-1,助手回款!$R$125*100+(助手回款!$S$125-1)*6+2)</f>
        <v>-1</v>
      </c>
    </row>
    <row r="1853" customFormat="false" ht="23.25" hidden="false" customHeight="true" outlineLevel="0" collapsed="false">
      <c r="B1853" s="67" t="str">
        <f aca="false">""</f>
        <v/>
      </c>
      <c r="C1853" s="67"/>
      <c r="D1853" s="23" t="str">
        <f aca="false">IFERROR(INDEX(分录回款!$E:$E,MATCH($L1853,分录回款!$L:$L,0)),"")</f>
        <v/>
      </c>
      <c r="E1853" s="23" t="str">
        <f aca="false">IFERROR(INDEX(分录回款!$F:$F,MATCH($L1853,分录回款!$L:$L,0)),"")</f>
        <v/>
      </c>
      <c r="F1853" s="68" t="str">
        <f aca="false">IFERROR(INDEX(分录回款!$H:$H,MATCH($L1853,分录回款!$L:$L,0)),"")</f>
        <v/>
      </c>
      <c r="G1853" s="69" t="str">
        <f aca="false">IFERROR(INDEX(分录回款!$I:$I,MATCH($L1853,分录回款!$L:$L,0)),"")</f>
        <v/>
      </c>
      <c r="H1853" s="23"/>
      <c r="I1853" s="70"/>
      <c r="L1853" s="71" t="n">
        <f aca="false">IF(助手回款!$R$125="",-1,助手回款!$R$125*100+(助手回款!$S$125-1)*6+3)</f>
        <v>-1</v>
      </c>
    </row>
    <row r="1854" customFormat="false" ht="23.25" hidden="false" customHeight="true" outlineLevel="0" collapsed="false">
      <c r="B1854" s="67" t="str">
        <f aca="false">""</f>
        <v/>
      </c>
      <c r="C1854" s="67"/>
      <c r="D1854" s="23" t="str">
        <f aca="false">IFERROR(INDEX(分录回款!$E:$E,MATCH($L1854,分录回款!$L:$L,0)),"")</f>
        <v/>
      </c>
      <c r="E1854" s="23" t="str">
        <f aca="false">IFERROR(INDEX(分录回款!$F:$F,MATCH($L1854,分录回款!$L:$L,0)),"")</f>
        <v/>
      </c>
      <c r="F1854" s="68" t="str">
        <f aca="false">IFERROR(INDEX(分录回款!$H:$H,MATCH($L1854,分录回款!$L:$L,0)),"")</f>
        <v/>
      </c>
      <c r="G1854" s="69" t="str">
        <f aca="false">IFERROR(INDEX(分录回款!$I:$I,MATCH($L1854,分录回款!$L:$L,0)),"")</f>
        <v/>
      </c>
      <c r="H1854" s="23"/>
      <c r="I1854" s="70"/>
      <c r="L1854" s="71" t="n">
        <f aca="false">IF(助手回款!$R$125="",-1,助手回款!$R$125*100+(助手回款!$S$125-1)*6+4)</f>
        <v>-1</v>
      </c>
    </row>
    <row r="1855" customFormat="false" ht="23.25" hidden="false" customHeight="true" outlineLevel="0" collapsed="false">
      <c r="B1855" s="67" t="str">
        <f aca="false">""</f>
        <v/>
      </c>
      <c r="C1855" s="67"/>
      <c r="D1855" s="23" t="str">
        <f aca="false">IFERROR(INDEX(分录回款!$E:$E,MATCH($L1855,分录回款!$L:$L,0)),"")</f>
        <v/>
      </c>
      <c r="E1855" s="23" t="str">
        <f aca="false">IFERROR(INDEX(分录回款!$F:$F,MATCH($L1855,分录回款!$L:$L,0)),"")</f>
        <v/>
      </c>
      <c r="F1855" s="68" t="str">
        <f aca="false">IFERROR(INDEX(分录回款!$H:$H,MATCH($L1855,分录回款!$L:$L,0)),"")</f>
        <v/>
      </c>
      <c r="G1855" s="69" t="str">
        <f aca="false">IFERROR(INDEX(分录回款!$I:$I,MATCH($L1855,分录回款!$L:$L,0)),"")</f>
        <v/>
      </c>
      <c r="H1855" s="23"/>
      <c r="I1855" s="70"/>
      <c r="L1855" s="71" t="n">
        <f aca="false">IF(助手回款!$R$125="",-1,助手回款!$R$125*100+(助手回款!$S$125-1)*6+5)</f>
        <v>-1</v>
      </c>
    </row>
    <row r="1856" customFormat="false" ht="23.25" hidden="false" customHeight="true" outlineLevel="0" collapsed="false">
      <c r="B1856" s="67" t="str">
        <f aca="false">""</f>
        <v/>
      </c>
      <c r="C1856" s="67"/>
      <c r="D1856" s="23" t="str">
        <f aca="false">IFERROR(INDEX(分录回款!$E:$E,MATCH($L1856,分录回款!$L:$L,0)),"")</f>
        <v/>
      </c>
      <c r="E1856" s="23" t="str">
        <f aca="false">IFERROR(INDEX(分录回款!$F:$F,MATCH($L1856,分录回款!$L:$L,0)),"")</f>
        <v/>
      </c>
      <c r="F1856" s="68" t="str">
        <f aca="false">IFERROR(INDEX(分录回款!$H:$H,MATCH($L1856,分录回款!$L:$L,0)),"")</f>
        <v/>
      </c>
      <c r="G1856" s="69" t="str">
        <f aca="false">IFERROR(INDEX(分录回款!$I:$I,MATCH($L1856,分录回款!$L:$L,0)),"")</f>
        <v/>
      </c>
      <c r="H1856" s="23"/>
      <c r="I1856" s="70"/>
      <c r="L1856" s="71" t="n">
        <f aca="false">IF(助手回款!$R$125="",-1,助手回款!$R$125*100+(助手回款!$S$125-1)*6+6)</f>
        <v>-1</v>
      </c>
    </row>
    <row r="1857" customFormat="false" ht="23.25" hidden="false" customHeight="true" outlineLevel="0" collapsed="false">
      <c r="B1857" s="72" t="str">
        <f aca="false">IF(助手回款!$T$125=1,"合计：","")</f>
        <v/>
      </c>
      <c r="C1857" s="73" t="str">
        <f aca="false">IF(助手回款!$T$125=1,$F1857,"")</f>
        <v/>
      </c>
      <c r="D1857" s="74"/>
      <c r="E1857" s="74"/>
      <c r="F1857" s="75" t="str">
        <f aca="false">IF(助手回款!$T$125=1,INDEX(助手回款!$N$2:$N$66,助手回款!$R$125),"")</f>
        <v/>
      </c>
      <c r="G1857" s="76" t="str">
        <f aca="false">IF(助手回款!$T$125=1,INDEX(助手回款!$O$2:$O$66,助手回款!$R$125),"")</f>
        <v/>
      </c>
      <c r="H1857" s="74"/>
      <c r="I1857" s="77"/>
    </row>
    <row r="1858" customFormat="false" ht="6" hidden="false" customHeight="true" outlineLevel="0" collapsed="false"/>
    <row r="1859" customFormat="false" ht="13.5" hidden="false" customHeight="false" outlineLevel="0" collapsed="false">
      <c r="B1859" s="78" t="str">
        <f aca="false">IF(助手回款!$R$125&lt;&gt;"","会计主管：","")</f>
        <v/>
      </c>
      <c r="D1859" s="78" t="str">
        <f aca="false">IF(助手回款!$R$125&lt;&gt;"","会计：","")</f>
        <v/>
      </c>
      <c r="E1859" s="78" t="str">
        <f aca="false">IF(助手回款!$R$125&lt;&gt;"","出纳：","")</f>
        <v/>
      </c>
      <c r="F1859" s="78" t="str">
        <f aca="false">IF(助手回款!$R$125&lt;&gt;"","复核：","")</f>
        <v/>
      </c>
      <c r="G1859" s="78" t="str">
        <f aca="false">IF(助手回款!$R$125&lt;&gt;"","制单：","")</f>
        <v/>
      </c>
    </row>
    <row r="1860" customFormat="false" ht="3" hidden="false" customHeight="true" outlineLevel="0" collapsed="false"/>
    <row r="1861" customFormat="false" ht="19.5" hidden="false" customHeight="true" outlineLevel="0" collapsed="false">
      <c r="B1861" s="53" t="str">
        <f aca="false">IF(助手回款!$R$126&lt;&gt;"","记  账  凭  证","")</f>
        <v/>
      </c>
      <c r="C1861" s="53"/>
      <c r="D1861" s="53"/>
      <c r="E1861" s="53"/>
      <c r="F1861" s="53"/>
      <c r="G1861" s="53"/>
      <c r="H1861" s="53"/>
      <c r="I1861" s="53"/>
    </row>
    <row r="1862" customFormat="false" ht="3" hidden="false" customHeight="true" outlineLevel="0" collapsed="false"/>
    <row r="1863" customFormat="false" ht="15" hidden="false" customHeight="true" outlineLevel="0" collapsed="false">
      <c r="C1863" s="56" t="str">
        <f aca="false">IF(助手回款!$R$126&lt;&gt;"",INDEX(助手回款!$B$2:$B$66,助手回款!$R$126),"")</f>
        <v/>
      </c>
      <c r="D1863" s="57" t="str">
        <f aca="false">IF(助手回款!$R$126&lt;&gt;"",参数!$B$2,"")</f>
        <v/>
      </c>
      <c r="E1863" s="57"/>
      <c r="F1863" s="58" t="str">
        <f aca="false">IF(助手回款!$R$126&lt;&gt;"",INDEX(助手回款!$C$2:$C$66,助手回款!$R$126)&amp;"  字第 "&amp;IF(参数!$B$9="是",INDEX(助手回款!$P$2:$P$66,助手回款!$R$126),"　　　　")&amp;" 号"&amp;IF(INDEX(助手回款!$L$2:$L$66,助手回款!$R$126)&gt;1,"  (共"&amp;INDEX(助手回款!$L$2:$L$66,助手回款!$R$126)&amp;"页 第"&amp;助手回款!$S$126&amp;"页)",""),"")</f>
        <v/>
      </c>
      <c r="G1863" s="58"/>
      <c r="H1863" s="58"/>
      <c r="I1863" s="58"/>
      <c r="M1863" s="79" t="str">
        <f aca="false">IF(助手回款!$R$126="","",助手回款!$Q$126)</f>
        <v/>
      </c>
      <c r="N1863" s="80" t="str">
        <f aca="false">IF(助手回款!$R$126="","",INDEX(助手回款!$P$2:$P$66,助手回款!$R$126))</f>
        <v/>
      </c>
      <c r="O1863" s="55" t="str">
        <f aca="false">IF(助手回款!$R$126="","",INDEX(助手回款!$C$2:$C$66,助手回款!$R$126)&amp;"  字第 "&amp;INDEX(助手回款!$P$2:$P$66,助手回款!$R$126)&amp;" 号"&amp;IF(INDEX(助手回款!$L$2:$L$66,助手回款!$R$126)&gt;1,"  (共"&amp;INDEX(助手回款!$L$2:$L$66,助手回款!$R$126)&amp;"页 第"&amp;助手回款!$S$126&amp;"页)",""))</f>
        <v/>
      </c>
    </row>
    <row r="1864" customFormat="false" ht="12.75" hidden="false" customHeight="true" outlineLevel="0" collapsed="false">
      <c r="B1864" s="61" t="str">
        <f aca="false">IF(助手回款!$R$126&lt;&gt;"","摘　　要","")</f>
        <v/>
      </c>
      <c r="C1864" s="61"/>
      <c r="D1864" s="62" t="str">
        <f aca="false">IF(助手回款!$R$126&lt;&gt;"","科　　　　目","")</f>
        <v/>
      </c>
      <c r="E1864" s="62"/>
      <c r="F1864" s="61" t="str">
        <f aca="false">IF(助手回款!$R$126&lt;&gt;"","借 方 金 额","")</f>
        <v/>
      </c>
      <c r="G1864" s="62" t="str">
        <f aca="false">IF(助手回款!$R$126&lt;&gt;"","贷 方 金 额","")</f>
        <v/>
      </c>
      <c r="H1864" s="63" t="str">
        <f aca="false">IF(助手回款!$R$126&lt;&gt;"","√","")</f>
        <v/>
      </c>
      <c r="I1864" s="64" t="str">
        <f aca="false">IF(助手回款!$R$126&lt;&gt;"","附单据  张","")</f>
        <v/>
      </c>
    </row>
    <row r="1865" customFormat="false" ht="12.75" hidden="false" customHeight="true" outlineLevel="0" collapsed="false">
      <c r="B1865" s="61"/>
      <c r="C1865" s="61"/>
      <c r="D1865" s="23" t="str">
        <f aca="false">IF(助手回款!$R$126&lt;&gt;"","总 账 科 目","")</f>
        <v/>
      </c>
      <c r="E1865" s="23" t="str">
        <f aca="false">IF(助手回款!$R$126&lt;&gt;"","明 细 科 目","")</f>
        <v/>
      </c>
      <c r="F1865" s="65"/>
      <c r="G1865" s="66"/>
      <c r="H1865" s="63"/>
      <c r="I1865" s="64"/>
    </row>
    <row r="1866" customFormat="false" ht="23.25" hidden="false" customHeight="true" outlineLevel="0" collapsed="false">
      <c r="B1866" s="67" t="str">
        <f aca="false">IFERROR(INDEX(分录回款!$M:$M,MATCH($L1866,分录回款!$L:$L,0)),"")</f>
        <v/>
      </c>
      <c r="C1866" s="67"/>
      <c r="D1866" s="23" t="str">
        <f aca="false">IFERROR(INDEX(分录回款!$E:$E,MATCH($L1866,分录回款!$L:$L,0)),"")</f>
        <v/>
      </c>
      <c r="E1866" s="23" t="str">
        <f aca="false">IFERROR(INDEX(分录回款!$F:$F,MATCH($L1866,分录回款!$L:$L,0)),"")</f>
        <v/>
      </c>
      <c r="F1866" s="68" t="str">
        <f aca="false">IFERROR(INDEX(分录回款!$H:$H,MATCH($L1866,分录回款!$L:$L,0)),"")</f>
        <v/>
      </c>
      <c r="G1866" s="69" t="str">
        <f aca="false">IFERROR(INDEX(分录回款!$I:$I,MATCH($L1866,分录回款!$L:$L,0)),"")</f>
        <v/>
      </c>
      <c r="H1866" s="23"/>
      <c r="I1866" s="70"/>
      <c r="L1866" s="71" t="n">
        <f aca="false">IF(助手回款!$R$126="",-1,助手回款!$R$126*100+(助手回款!$S$126-1)*6+1)</f>
        <v>-1</v>
      </c>
    </row>
    <row r="1867" customFormat="false" ht="23.25" hidden="false" customHeight="true" outlineLevel="0" collapsed="false">
      <c r="B1867" s="67" t="str">
        <f aca="false">""</f>
        <v/>
      </c>
      <c r="C1867" s="67"/>
      <c r="D1867" s="23" t="str">
        <f aca="false">IFERROR(INDEX(分录回款!$E:$E,MATCH($L1867,分录回款!$L:$L,0)),"")</f>
        <v/>
      </c>
      <c r="E1867" s="23" t="str">
        <f aca="false">IFERROR(INDEX(分录回款!$F:$F,MATCH($L1867,分录回款!$L:$L,0)),"")</f>
        <v/>
      </c>
      <c r="F1867" s="68" t="str">
        <f aca="false">IFERROR(INDEX(分录回款!$H:$H,MATCH($L1867,分录回款!$L:$L,0)),"")</f>
        <v/>
      </c>
      <c r="G1867" s="69" t="str">
        <f aca="false">IFERROR(INDEX(分录回款!$I:$I,MATCH($L1867,分录回款!$L:$L,0)),"")</f>
        <v/>
      </c>
      <c r="H1867" s="23"/>
      <c r="I1867" s="70"/>
      <c r="L1867" s="71" t="n">
        <f aca="false">IF(助手回款!$R$126="",-1,助手回款!$R$126*100+(助手回款!$S$126-1)*6+2)</f>
        <v>-1</v>
      </c>
    </row>
    <row r="1868" customFormat="false" ht="23.25" hidden="false" customHeight="true" outlineLevel="0" collapsed="false">
      <c r="B1868" s="67" t="str">
        <f aca="false">""</f>
        <v/>
      </c>
      <c r="C1868" s="67"/>
      <c r="D1868" s="23" t="str">
        <f aca="false">IFERROR(INDEX(分录回款!$E:$E,MATCH($L1868,分录回款!$L:$L,0)),"")</f>
        <v/>
      </c>
      <c r="E1868" s="23" t="str">
        <f aca="false">IFERROR(INDEX(分录回款!$F:$F,MATCH($L1868,分录回款!$L:$L,0)),"")</f>
        <v/>
      </c>
      <c r="F1868" s="68" t="str">
        <f aca="false">IFERROR(INDEX(分录回款!$H:$H,MATCH($L1868,分录回款!$L:$L,0)),"")</f>
        <v/>
      </c>
      <c r="G1868" s="69" t="str">
        <f aca="false">IFERROR(INDEX(分录回款!$I:$I,MATCH($L1868,分录回款!$L:$L,0)),"")</f>
        <v/>
      </c>
      <c r="H1868" s="23"/>
      <c r="I1868" s="70"/>
      <c r="L1868" s="71" t="n">
        <f aca="false">IF(助手回款!$R$126="",-1,助手回款!$R$126*100+(助手回款!$S$126-1)*6+3)</f>
        <v>-1</v>
      </c>
    </row>
    <row r="1869" customFormat="false" ht="23.25" hidden="false" customHeight="true" outlineLevel="0" collapsed="false">
      <c r="B1869" s="67" t="str">
        <f aca="false">""</f>
        <v/>
      </c>
      <c r="C1869" s="67"/>
      <c r="D1869" s="23" t="str">
        <f aca="false">IFERROR(INDEX(分录回款!$E:$E,MATCH($L1869,分录回款!$L:$L,0)),"")</f>
        <v/>
      </c>
      <c r="E1869" s="23" t="str">
        <f aca="false">IFERROR(INDEX(分录回款!$F:$F,MATCH($L1869,分录回款!$L:$L,0)),"")</f>
        <v/>
      </c>
      <c r="F1869" s="68" t="str">
        <f aca="false">IFERROR(INDEX(分录回款!$H:$H,MATCH($L1869,分录回款!$L:$L,0)),"")</f>
        <v/>
      </c>
      <c r="G1869" s="69" t="str">
        <f aca="false">IFERROR(INDEX(分录回款!$I:$I,MATCH($L1869,分录回款!$L:$L,0)),"")</f>
        <v/>
      </c>
      <c r="H1869" s="23"/>
      <c r="I1869" s="70"/>
      <c r="L1869" s="71" t="n">
        <f aca="false">IF(助手回款!$R$126="",-1,助手回款!$R$126*100+(助手回款!$S$126-1)*6+4)</f>
        <v>-1</v>
      </c>
    </row>
    <row r="1870" customFormat="false" ht="23.25" hidden="false" customHeight="true" outlineLevel="0" collapsed="false">
      <c r="B1870" s="67" t="str">
        <f aca="false">""</f>
        <v/>
      </c>
      <c r="C1870" s="67"/>
      <c r="D1870" s="23" t="str">
        <f aca="false">IFERROR(INDEX(分录回款!$E:$E,MATCH($L1870,分录回款!$L:$L,0)),"")</f>
        <v/>
      </c>
      <c r="E1870" s="23" t="str">
        <f aca="false">IFERROR(INDEX(分录回款!$F:$F,MATCH($L1870,分录回款!$L:$L,0)),"")</f>
        <v/>
      </c>
      <c r="F1870" s="68" t="str">
        <f aca="false">IFERROR(INDEX(分录回款!$H:$H,MATCH($L1870,分录回款!$L:$L,0)),"")</f>
        <v/>
      </c>
      <c r="G1870" s="69" t="str">
        <f aca="false">IFERROR(INDEX(分录回款!$I:$I,MATCH($L1870,分录回款!$L:$L,0)),"")</f>
        <v/>
      </c>
      <c r="H1870" s="23"/>
      <c r="I1870" s="70"/>
      <c r="L1870" s="71" t="n">
        <f aca="false">IF(助手回款!$R$126="",-1,助手回款!$R$126*100+(助手回款!$S$126-1)*6+5)</f>
        <v>-1</v>
      </c>
    </row>
    <row r="1871" customFormat="false" ht="23.25" hidden="false" customHeight="true" outlineLevel="0" collapsed="false">
      <c r="B1871" s="67" t="str">
        <f aca="false">""</f>
        <v/>
      </c>
      <c r="C1871" s="67"/>
      <c r="D1871" s="23" t="str">
        <f aca="false">IFERROR(INDEX(分录回款!$E:$E,MATCH($L1871,分录回款!$L:$L,0)),"")</f>
        <v/>
      </c>
      <c r="E1871" s="23" t="str">
        <f aca="false">IFERROR(INDEX(分录回款!$F:$F,MATCH($L1871,分录回款!$L:$L,0)),"")</f>
        <v/>
      </c>
      <c r="F1871" s="68" t="str">
        <f aca="false">IFERROR(INDEX(分录回款!$H:$H,MATCH($L1871,分录回款!$L:$L,0)),"")</f>
        <v/>
      </c>
      <c r="G1871" s="69" t="str">
        <f aca="false">IFERROR(INDEX(分录回款!$I:$I,MATCH($L1871,分录回款!$L:$L,0)),"")</f>
        <v/>
      </c>
      <c r="H1871" s="23"/>
      <c r="I1871" s="70"/>
      <c r="L1871" s="71" t="n">
        <f aca="false">IF(助手回款!$R$126="",-1,助手回款!$R$126*100+(助手回款!$S$126-1)*6+6)</f>
        <v>-1</v>
      </c>
    </row>
    <row r="1872" customFormat="false" ht="23.25" hidden="false" customHeight="true" outlineLevel="0" collapsed="false">
      <c r="B1872" s="72" t="str">
        <f aca="false">IF(助手回款!$T$126=1,"合计：","")</f>
        <v/>
      </c>
      <c r="C1872" s="73" t="str">
        <f aca="false">IF(助手回款!$T$126=1,$F1872,"")</f>
        <v/>
      </c>
      <c r="D1872" s="74"/>
      <c r="E1872" s="74"/>
      <c r="F1872" s="75" t="str">
        <f aca="false">IF(助手回款!$T$126=1,INDEX(助手回款!$N$2:$N$66,助手回款!$R$126),"")</f>
        <v/>
      </c>
      <c r="G1872" s="76" t="str">
        <f aca="false">IF(助手回款!$T$126=1,INDEX(助手回款!$O$2:$O$66,助手回款!$R$126),"")</f>
        <v/>
      </c>
      <c r="H1872" s="74"/>
      <c r="I1872" s="77"/>
    </row>
    <row r="1873" customFormat="false" ht="6" hidden="false" customHeight="true" outlineLevel="0" collapsed="false"/>
    <row r="1874" customFormat="false" ht="13.5" hidden="false" customHeight="false" outlineLevel="0" collapsed="false">
      <c r="B1874" s="78" t="str">
        <f aca="false">IF(助手回款!$R$126&lt;&gt;"","会计主管：","")</f>
        <v/>
      </c>
      <c r="D1874" s="78" t="str">
        <f aca="false">IF(助手回款!$R$126&lt;&gt;"","会计：","")</f>
        <v/>
      </c>
      <c r="E1874" s="78" t="str">
        <f aca="false">IF(助手回款!$R$126&lt;&gt;"","出纳：","")</f>
        <v/>
      </c>
      <c r="F1874" s="78" t="str">
        <f aca="false">IF(助手回款!$R$126&lt;&gt;"","复核：","")</f>
        <v/>
      </c>
      <c r="G1874" s="78" t="str">
        <f aca="false">IF(助手回款!$R$126&lt;&gt;"","制单：","")</f>
        <v/>
      </c>
    </row>
    <row r="1875" customFormat="false" ht="3" hidden="false" customHeight="true" outlineLevel="0" collapsed="false"/>
    <row r="1876" customFormat="false" ht="19.5" hidden="false" customHeight="true" outlineLevel="0" collapsed="false">
      <c r="B1876" s="53" t="str">
        <f aca="false">IF(助手回款!$R$127&lt;&gt;"","记  账  凭  证","")</f>
        <v/>
      </c>
      <c r="C1876" s="53"/>
      <c r="D1876" s="53"/>
      <c r="E1876" s="53"/>
      <c r="F1876" s="53"/>
      <c r="G1876" s="53"/>
      <c r="H1876" s="53"/>
      <c r="I1876" s="53"/>
    </row>
    <row r="1877" customFormat="false" ht="3" hidden="false" customHeight="true" outlineLevel="0" collapsed="false"/>
    <row r="1878" customFormat="false" ht="15" hidden="false" customHeight="true" outlineLevel="0" collapsed="false">
      <c r="C1878" s="56" t="str">
        <f aca="false">IF(助手回款!$R$127&lt;&gt;"",INDEX(助手回款!$B$2:$B$66,助手回款!$R$127),"")</f>
        <v/>
      </c>
      <c r="D1878" s="57" t="str">
        <f aca="false">IF(助手回款!$R$127&lt;&gt;"",参数!$B$2,"")</f>
        <v/>
      </c>
      <c r="E1878" s="57"/>
      <c r="F1878" s="58" t="str">
        <f aca="false">IF(助手回款!$R$127&lt;&gt;"",INDEX(助手回款!$C$2:$C$66,助手回款!$R$127)&amp;"  字第 "&amp;IF(参数!$B$9="是",INDEX(助手回款!$P$2:$P$66,助手回款!$R$127),"　　　　")&amp;" 号"&amp;IF(INDEX(助手回款!$L$2:$L$66,助手回款!$R$127)&gt;1,"  (共"&amp;INDEX(助手回款!$L$2:$L$66,助手回款!$R$127)&amp;"页 第"&amp;助手回款!$S$127&amp;"页)",""),"")</f>
        <v/>
      </c>
      <c r="G1878" s="58"/>
      <c r="H1878" s="58"/>
      <c r="I1878" s="58"/>
      <c r="M1878" s="79" t="str">
        <f aca="false">IF(助手回款!$R$127="","",助手回款!$Q$127)</f>
        <v/>
      </c>
      <c r="N1878" s="80" t="str">
        <f aca="false">IF(助手回款!$R$127="","",INDEX(助手回款!$P$2:$P$66,助手回款!$R$127))</f>
        <v/>
      </c>
      <c r="O1878" s="55" t="str">
        <f aca="false">IF(助手回款!$R$127="","",INDEX(助手回款!$C$2:$C$66,助手回款!$R$127)&amp;"  字第 "&amp;INDEX(助手回款!$P$2:$P$66,助手回款!$R$127)&amp;" 号"&amp;IF(INDEX(助手回款!$L$2:$L$66,助手回款!$R$127)&gt;1,"  (共"&amp;INDEX(助手回款!$L$2:$L$66,助手回款!$R$127)&amp;"页 第"&amp;助手回款!$S$127&amp;"页)",""))</f>
        <v/>
      </c>
    </row>
    <row r="1879" customFormat="false" ht="12.75" hidden="false" customHeight="true" outlineLevel="0" collapsed="false">
      <c r="B1879" s="61" t="str">
        <f aca="false">IF(助手回款!$R$127&lt;&gt;"","摘　　要","")</f>
        <v/>
      </c>
      <c r="C1879" s="61"/>
      <c r="D1879" s="62" t="str">
        <f aca="false">IF(助手回款!$R$127&lt;&gt;"","科　　　　目","")</f>
        <v/>
      </c>
      <c r="E1879" s="62"/>
      <c r="F1879" s="61" t="str">
        <f aca="false">IF(助手回款!$R$127&lt;&gt;"","借 方 金 额","")</f>
        <v/>
      </c>
      <c r="G1879" s="62" t="str">
        <f aca="false">IF(助手回款!$R$127&lt;&gt;"","贷 方 金 额","")</f>
        <v/>
      </c>
      <c r="H1879" s="63" t="str">
        <f aca="false">IF(助手回款!$R$127&lt;&gt;"","√","")</f>
        <v/>
      </c>
      <c r="I1879" s="64" t="str">
        <f aca="false">IF(助手回款!$R$127&lt;&gt;"","附单据  张","")</f>
        <v/>
      </c>
    </row>
    <row r="1880" customFormat="false" ht="12.75" hidden="false" customHeight="true" outlineLevel="0" collapsed="false">
      <c r="B1880" s="61"/>
      <c r="C1880" s="61"/>
      <c r="D1880" s="23" t="str">
        <f aca="false">IF(助手回款!$R$127&lt;&gt;"","总 账 科 目","")</f>
        <v/>
      </c>
      <c r="E1880" s="23" t="str">
        <f aca="false">IF(助手回款!$R$127&lt;&gt;"","明 细 科 目","")</f>
        <v/>
      </c>
      <c r="F1880" s="65"/>
      <c r="G1880" s="66"/>
      <c r="H1880" s="63"/>
      <c r="I1880" s="64"/>
    </row>
    <row r="1881" customFormat="false" ht="23.25" hidden="false" customHeight="true" outlineLevel="0" collapsed="false">
      <c r="B1881" s="67" t="str">
        <f aca="false">IFERROR(INDEX(分录回款!$M:$M,MATCH($L1881,分录回款!$L:$L,0)),"")</f>
        <v/>
      </c>
      <c r="C1881" s="67"/>
      <c r="D1881" s="23" t="str">
        <f aca="false">IFERROR(INDEX(分录回款!$E:$E,MATCH($L1881,分录回款!$L:$L,0)),"")</f>
        <v/>
      </c>
      <c r="E1881" s="23" t="str">
        <f aca="false">IFERROR(INDEX(分录回款!$F:$F,MATCH($L1881,分录回款!$L:$L,0)),"")</f>
        <v/>
      </c>
      <c r="F1881" s="68" t="str">
        <f aca="false">IFERROR(INDEX(分录回款!$H:$H,MATCH($L1881,分录回款!$L:$L,0)),"")</f>
        <v/>
      </c>
      <c r="G1881" s="69" t="str">
        <f aca="false">IFERROR(INDEX(分录回款!$I:$I,MATCH($L1881,分录回款!$L:$L,0)),"")</f>
        <v/>
      </c>
      <c r="H1881" s="23"/>
      <c r="I1881" s="70"/>
      <c r="L1881" s="71" t="n">
        <f aca="false">IF(助手回款!$R$127="",-1,助手回款!$R$127*100+(助手回款!$S$127-1)*6+1)</f>
        <v>-1</v>
      </c>
    </row>
    <row r="1882" customFormat="false" ht="23.25" hidden="false" customHeight="true" outlineLevel="0" collapsed="false">
      <c r="B1882" s="67" t="str">
        <f aca="false">""</f>
        <v/>
      </c>
      <c r="C1882" s="67"/>
      <c r="D1882" s="23" t="str">
        <f aca="false">IFERROR(INDEX(分录回款!$E:$E,MATCH($L1882,分录回款!$L:$L,0)),"")</f>
        <v/>
      </c>
      <c r="E1882" s="23" t="str">
        <f aca="false">IFERROR(INDEX(分录回款!$F:$F,MATCH($L1882,分录回款!$L:$L,0)),"")</f>
        <v/>
      </c>
      <c r="F1882" s="68" t="str">
        <f aca="false">IFERROR(INDEX(分录回款!$H:$H,MATCH($L1882,分录回款!$L:$L,0)),"")</f>
        <v/>
      </c>
      <c r="G1882" s="69" t="str">
        <f aca="false">IFERROR(INDEX(分录回款!$I:$I,MATCH($L1882,分录回款!$L:$L,0)),"")</f>
        <v/>
      </c>
      <c r="H1882" s="23"/>
      <c r="I1882" s="70"/>
      <c r="L1882" s="71" t="n">
        <f aca="false">IF(助手回款!$R$127="",-1,助手回款!$R$127*100+(助手回款!$S$127-1)*6+2)</f>
        <v>-1</v>
      </c>
    </row>
    <row r="1883" customFormat="false" ht="23.25" hidden="false" customHeight="true" outlineLevel="0" collapsed="false">
      <c r="B1883" s="67" t="str">
        <f aca="false">""</f>
        <v/>
      </c>
      <c r="C1883" s="67"/>
      <c r="D1883" s="23" t="str">
        <f aca="false">IFERROR(INDEX(分录回款!$E:$E,MATCH($L1883,分录回款!$L:$L,0)),"")</f>
        <v/>
      </c>
      <c r="E1883" s="23" t="str">
        <f aca="false">IFERROR(INDEX(分录回款!$F:$F,MATCH($L1883,分录回款!$L:$L,0)),"")</f>
        <v/>
      </c>
      <c r="F1883" s="68" t="str">
        <f aca="false">IFERROR(INDEX(分录回款!$H:$H,MATCH($L1883,分录回款!$L:$L,0)),"")</f>
        <v/>
      </c>
      <c r="G1883" s="69" t="str">
        <f aca="false">IFERROR(INDEX(分录回款!$I:$I,MATCH($L1883,分录回款!$L:$L,0)),"")</f>
        <v/>
      </c>
      <c r="H1883" s="23"/>
      <c r="I1883" s="70"/>
      <c r="L1883" s="71" t="n">
        <f aca="false">IF(助手回款!$R$127="",-1,助手回款!$R$127*100+(助手回款!$S$127-1)*6+3)</f>
        <v>-1</v>
      </c>
    </row>
    <row r="1884" customFormat="false" ht="23.25" hidden="false" customHeight="true" outlineLevel="0" collapsed="false">
      <c r="B1884" s="67" t="str">
        <f aca="false">""</f>
        <v/>
      </c>
      <c r="C1884" s="67"/>
      <c r="D1884" s="23" t="str">
        <f aca="false">IFERROR(INDEX(分录回款!$E:$E,MATCH($L1884,分录回款!$L:$L,0)),"")</f>
        <v/>
      </c>
      <c r="E1884" s="23" t="str">
        <f aca="false">IFERROR(INDEX(分录回款!$F:$F,MATCH($L1884,分录回款!$L:$L,0)),"")</f>
        <v/>
      </c>
      <c r="F1884" s="68" t="str">
        <f aca="false">IFERROR(INDEX(分录回款!$H:$H,MATCH($L1884,分录回款!$L:$L,0)),"")</f>
        <v/>
      </c>
      <c r="G1884" s="69" t="str">
        <f aca="false">IFERROR(INDEX(分录回款!$I:$I,MATCH($L1884,分录回款!$L:$L,0)),"")</f>
        <v/>
      </c>
      <c r="H1884" s="23"/>
      <c r="I1884" s="70"/>
      <c r="L1884" s="71" t="n">
        <f aca="false">IF(助手回款!$R$127="",-1,助手回款!$R$127*100+(助手回款!$S$127-1)*6+4)</f>
        <v>-1</v>
      </c>
    </row>
    <row r="1885" customFormat="false" ht="23.25" hidden="false" customHeight="true" outlineLevel="0" collapsed="false">
      <c r="B1885" s="67" t="str">
        <f aca="false">""</f>
        <v/>
      </c>
      <c r="C1885" s="67"/>
      <c r="D1885" s="23" t="str">
        <f aca="false">IFERROR(INDEX(分录回款!$E:$E,MATCH($L1885,分录回款!$L:$L,0)),"")</f>
        <v/>
      </c>
      <c r="E1885" s="23" t="str">
        <f aca="false">IFERROR(INDEX(分录回款!$F:$F,MATCH($L1885,分录回款!$L:$L,0)),"")</f>
        <v/>
      </c>
      <c r="F1885" s="68" t="str">
        <f aca="false">IFERROR(INDEX(分录回款!$H:$H,MATCH($L1885,分录回款!$L:$L,0)),"")</f>
        <v/>
      </c>
      <c r="G1885" s="69" t="str">
        <f aca="false">IFERROR(INDEX(分录回款!$I:$I,MATCH($L1885,分录回款!$L:$L,0)),"")</f>
        <v/>
      </c>
      <c r="H1885" s="23"/>
      <c r="I1885" s="70"/>
      <c r="L1885" s="71" t="n">
        <f aca="false">IF(助手回款!$R$127="",-1,助手回款!$R$127*100+(助手回款!$S$127-1)*6+5)</f>
        <v>-1</v>
      </c>
    </row>
    <row r="1886" customFormat="false" ht="23.25" hidden="false" customHeight="true" outlineLevel="0" collapsed="false">
      <c r="B1886" s="67" t="str">
        <f aca="false">""</f>
        <v/>
      </c>
      <c r="C1886" s="67"/>
      <c r="D1886" s="23" t="str">
        <f aca="false">IFERROR(INDEX(分录回款!$E:$E,MATCH($L1886,分录回款!$L:$L,0)),"")</f>
        <v/>
      </c>
      <c r="E1886" s="23" t="str">
        <f aca="false">IFERROR(INDEX(分录回款!$F:$F,MATCH($L1886,分录回款!$L:$L,0)),"")</f>
        <v/>
      </c>
      <c r="F1886" s="68" t="str">
        <f aca="false">IFERROR(INDEX(分录回款!$H:$H,MATCH($L1886,分录回款!$L:$L,0)),"")</f>
        <v/>
      </c>
      <c r="G1886" s="69" t="str">
        <f aca="false">IFERROR(INDEX(分录回款!$I:$I,MATCH($L1886,分录回款!$L:$L,0)),"")</f>
        <v/>
      </c>
      <c r="H1886" s="23"/>
      <c r="I1886" s="70"/>
      <c r="L1886" s="71" t="n">
        <f aca="false">IF(助手回款!$R$127="",-1,助手回款!$R$127*100+(助手回款!$S$127-1)*6+6)</f>
        <v>-1</v>
      </c>
    </row>
    <row r="1887" customFormat="false" ht="23.25" hidden="false" customHeight="true" outlineLevel="0" collapsed="false">
      <c r="B1887" s="72" t="str">
        <f aca="false">IF(助手回款!$T$127=1,"合计：","")</f>
        <v/>
      </c>
      <c r="C1887" s="73" t="str">
        <f aca="false">IF(助手回款!$T$127=1,$F1887,"")</f>
        <v/>
      </c>
      <c r="D1887" s="74"/>
      <c r="E1887" s="74"/>
      <c r="F1887" s="75" t="str">
        <f aca="false">IF(助手回款!$T$127=1,INDEX(助手回款!$N$2:$N$66,助手回款!$R$127),"")</f>
        <v/>
      </c>
      <c r="G1887" s="76" t="str">
        <f aca="false">IF(助手回款!$T$127=1,INDEX(助手回款!$O$2:$O$66,助手回款!$R$127),"")</f>
        <v/>
      </c>
      <c r="H1887" s="74"/>
      <c r="I1887" s="77"/>
    </row>
    <row r="1888" customFormat="false" ht="6" hidden="false" customHeight="true" outlineLevel="0" collapsed="false"/>
    <row r="1889" customFormat="false" ht="13.5" hidden="false" customHeight="false" outlineLevel="0" collapsed="false">
      <c r="B1889" s="78" t="str">
        <f aca="false">IF(助手回款!$R$127&lt;&gt;"","会计主管：","")</f>
        <v/>
      </c>
      <c r="D1889" s="78" t="str">
        <f aca="false">IF(助手回款!$R$127&lt;&gt;"","会计：","")</f>
        <v/>
      </c>
      <c r="E1889" s="78" t="str">
        <f aca="false">IF(助手回款!$R$127&lt;&gt;"","出纳：","")</f>
        <v/>
      </c>
      <c r="F1889" s="78" t="str">
        <f aca="false">IF(助手回款!$R$127&lt;&gt;"","复核：","")</f>
        <v/>
      </c>
      <c r="G1889" s="78" t="str">
        <f aca="false">IF(助手回款!$R$127&lt;&gt;"","制单：","")</f>
        <v/>
      </c>
    </row>
    <row r="1890" customFormat="false" ht="3" hidden="false" customHeight="true" outlineLevel="0" collapsed="false"/>
    <row r="1891" customFormat="false" ht="19.5" hidden="false" customHeight="true" outlineLevel="0" collapsed="false">
      <c r="B1891" s="53" t="str">
        <f aca="false">IF(助手回款!$R$128&lt;&gt;"","记  账  凭  证","")</f>
        <v/>
      </c>
      <c r="C1891" s="53"/>
      <c r="D1891" s="53"/>
      <c r="E1891" s="53"/>
      <c r="F1891" s="53"/>
      <c r="G1891" s="53"/>
      <c r="H1891" s="53"/>
      <c r="I1891" s="53"/>
    </row>
    <row r="1892" customFormat="false" ht="3" hidden="false" customHeight="true" outlineLevel="0" collapsed="false"/>
    <row r="1893" customFormat="false" ht="15" hidden="false" customHeight="true" outlineLevel="0" collapsed="false">
      <c r="C1893" s="56" t="str">
        <f aca="false">IF(助手回款!$R$128&lt;&gt;"",INDEX(助手回款!$B$2:$B$66,助手回款!$R$128),"")</f>
        <v/>
      </c>
      <c r="D1893" s="57" t="str">
        <f aca="false">IF(助手回款!$R$128&lt;&gt;"",参数!$B$2,"")</f>
        <v/>
      </c>
      <c r="E1893" s="57"/>
      <c r="F1893" s="58" t="str">
        <f aca="false">IF(助手回款!$R$128&lt;&gt;"",INDEX(助手回款!$C$2:$C$66,助手回款!$R$128)&amp;"  字第 "&amp;IF(参数!$B$9="是",INDEX(助手回款!$P$2:$P$66,助手回款!$R$128),"　　　　")&amp;" 号"&amp;IF(INDEX(助手回款!$L$2:$L$66,助手回款!$R$128)&gt;1,"  (共"&amp;INDEX(助手回款!$L$2:$L$66,助手回款!$R$128)&amp;"页 第"&amp;助手回款!$S$128&amp;"页)",""),"")</f>
        <v/>
      </c>
      <c r="G1893" s="58"/>
      <c r="H1893" s="58"/>
      <c r="I1893" s="58"/>
      <c r="M1893" s="79" t="str">
        <f aca="false">IF(助手回款!$R$128="","",助手回款!$Q$128)</f>
        <v/>
      </c>
      <c r="N1893" s="80" t="str">
        <f aca="false">IF(助手回款!$R$128="","",INDEX(助手回款!$P$2:$P$66,助手回款!$R$128))</f>
        <v/>
      </c>
      <c r="O1893" s="55" t="str">
        <f aca="false">IF(助手回款!$R$128="","",INDEX(助手回款!$C$2:$C$66,助手回款!$R$128)&amp;"  字第 "&amp;INDEX(助手回款!$P$2:$P$66,助手回款!$R$128)&amp;" 号"&amp;IF(INDEX(助手回款!$L$2:$L$66,助手回款!$R$128)&gt;1,"  (共"&amp;INDEX(助手回款!$L$2:$L$66,助手回款!$R$128)&amp;"页 第"&amp;助手回款!$S$128&amp;"页)",""))</f>
        <v/>
      </c>
    </row>
    <row r="1894" customFormat="false" ht="12.75" hidden="false" customHeight="true" outlineLevel="0" collapsed="false">
      <c r="B1894" s="61" t="str">
        <f aca="false">IF(助手回款!$R$128&lt;&gt;"","摘　　要","")</f>
        <v/>
      </c>
      <c r="C1894" s="61"/>
      <c r="D1894" s="62" t="str">
        <f aca="false">IF(助手回款!$R$128&lt;&gt;"","科　　　　目","")</f>
        <v/>
      </c>
      <c r="E1894" s="62"/>
      <c r="F1894" s="61" t="str">
        <f aca="false">IF(助手回款!$R$128&lt;&gt;"","借 方 金 额","")</f>
        <v/>
      </c>
      <c r="G1894" s="62" t="str">
        <f aca="false">IF(助手回款!$R$128&lt;&gt;"","贷 方 金 额","")</f>
        <v/>
      </c>
      <c r="H1894" s="63" t="str">
        <f aca="false">IF(助手回款!$R$128&lt;&gt;"","√","")</f>
        <v/>
      </c>
      <c r="I1894" s="64" t="str">
        <f aca="false">IF(助手回款!$R$128&lt;&gt;"","附单据  张","")</f>
        <v/>
      </c>
    </row>
    <row r="1895" customFormat="false" ht="12.75" hidden="false" customHeight="true" outlineLevel="0" collapsed="false">
      <c r="B1895" s="61"/>
      <c r="C1895" s="61"/>
      <c r="D1895" s="23" t="str">
        <f aca="false">IF(助手回款!$R$128&lt;&gt;"","总 账 科 目","")</f>
        <v/>
      </c>
      <c r="E1895" s="23" t="str">
        <f aca="false">IF(助手回款!$R$128&lt;&gt;"","明 细 科 目","")</f>
        <v/>
      </c>
      <c r="F1895" s="65"/>
      <c r="G1895" s="66"/>
      <c r="H1895" s="63"/>
      <c r="I1895" s="64"/>
    </row>
    <row r="1896" customFormat="false" ht="23.25" hidden="false" customHeight="true" outlineLevel="0" collapsed="false">
      <c r="B1896" s="67" t="str">
        <f aca="false">IFERROR(INDEX(分录回款!$M:$M,MATCH($L1896,分录回款!$L:$L,0)),"")</f>
        <v/>
      </c>
      <c r="C1896" s="67"/>
      <c r="D1896" s="23" t="str">
        <f aca="false">IFERROR(INDEX(分录回款!$E:$E,MATCH($L1896,分录回款!$L:$L,0)),"")</f>
        <v/>
      </c>
      <c r="E1896" s="23" t="str">
        <f aca="false">IFERROR(INDEX(分录回款!$F:$F,MATCH($L1896,分录回款!$L:$L,0)),"")</f>
        <v/>
      </c>
      <c r="F1896" s="68" t="str">
        <f aca="false">IFERROR(INDEX(分录回款!$H:$H,MATCH($L1896,分录回款!$L:$L,0)),"")</f>
        <v/>
      </c>
      <c r="G1896" s="69" t="str">
        <f aca="false">IFERROR(INDEX(分录回款!$I:$I,MATCH($L1896,分录回款!$L:$L,0)),"")</f>
        <v/>
      </c>
      <c r="H1896" s="23"/>
      <c r="I1896" s="70"/>
      <c r="L1896" s="71" t="n">
        <f aca="false">IF(助手回款!$R$128="",-1,助手回款!$R$128*100+(助手回款!$S$128-1)*6+1)</f>
        <v>-1</v>
      </c>
    </row>
    <row r="1897" customFormat="false" ht="23.25" hidden="false" customHeight="true" outlineLevel="0" collapsed="false">
      <c r="B1897" s="67" t="str">
        <f aca="false">""</f>
        <v/>
      </c>
      <c r="C1897" s="67"/>
      <c r="D1897" s="23" t="str">
        <f aca="false">IFERROR(INDEX(分录回款!$E:$E,MATCH($L1897,分录回款!$L:$L,0)),"")</f>
        <v/>
      </c>
      <c r="E1897" s="23" t="str">
        <f aca="false">IFERROR(INDEX(分录回款!$F:$F,MATCH($L1897,分录回款!$L:$L,0)),"")</f>
        <v/>
      </c>
      <c r="F1897" s="68" t="str">
        <f aca="false">IFERROR(INDEX(分录回款!$H:$H,MATCH($L1897,分录回款!$L:$L,0)),"")</f>
        <v/>
      </c>
      <c r="G1897" s="69" t="str">
        <f aca="false">IFERROR(INDEX(分录回款!$I:$I,MATCH($L1897,分录回款!$L:$L,0)),"")</f>
        <v/>
      </c>
      <c r="H1897" s="23"/>
      <c r="I1897" s="70"/>
      <c r="L1897" s="71" t="n">
        <f aca="false">IF(助手回款!$R$128="",-1,助手回款!$R$128*100+(助手回款!$S$128-1)*6+2)</f>
        <v>-1</v>
      </c>
    </row>
    <row r="1898" customFormat="false" ht="23.25" hidden="false" customHeight="true" outlineLevel="0" collapsed="false">
      <c r="B1898" s="67" t="str">
        <f aca="false">""</f>
        <v/>
      </c>
      <c r="C1898" s="67"/>
      <c r="D1898" s="23" t="str">
        <f aca="false">IFERROR(INDEX(分录回款!$E:$E,MATCH($L1898,分录回款!$L:$L,0)),"")</f>
        <v/>
      </c>
      <c r="E1898" s="23" t="str">
        <f aca="false">IFERROR(INDEX(分录回款!$F:$F,MATCH($L1898,分录回款!$L:$L,0)),"")</f>
        <v/>
      </c>
      <c r="F1898" s="68" t="str">
        <f aca="false">IFERROR(INDEX(分录回款!$H:$H,MATCH($L1898,分录回款!$L:$L,0)),"")</f>
        <v/>
      </c>
      <c r="G1898" s="69" t="str">
        <f aca="false">IFERROR(INDEX(分录回款!$I:$I,MATCH($L1898,分录回款!$L:$L,0)),"")</f>
        <v/>
      </c>
      <c r="H1898" s="23"/>
      <c r="I1898" s="70"/>
      <c r="L1898" s="71" t="n">
        <f aca="false">IF(助手回款!$R$128="",-1,助手回款!$R$128*100+(助手回款!$S$128-1)*6+3)</f>
        <v>-1</v>
      </c>
    </row>
    <row r="1899" customFormat="false" ht="23.25" hidden="false" customHeight="true" outlineLevel="0" collapsed="false">
      <c r="B1899" s="67" t="str">
        <f aca="false">""</f>
        <v/>
      </c>
      <c r="C1899" s="67"/>
      <c r="D1899" s="23" t="str">
        <f aca="false">IFERROR(INDEX(分录回款!$E:$E,MATCH($L1899,分录回款!$L:$L,0)),"")</f>
        <v/>
      </c>
      <c r="E1899" s="23" t="str">
        <f aca="false">IFERROR(INDEX(分录回款!$F:$F,MATCH($L1899,分录回款!$L:$L,0)),"")</f>
        <v/>
      </c>
      <c r="F1899" s="68" t="str">
        <f aca="false">IFERROR(INDEX(分录回款!$H:$H,MATCH($L1899,分录回款!$L:$L,0)),"")</f>
        <v/>
      </c>
      <c r="G1899" s="69" t="str">
        <f aca="false">IFERROR(INDEX(分录回款!$I:$I,MATCH($L1899,分录回款!$L:$L,0)),"")</f>
        <v/>
      </c>
      <c r="H1899" s="23"/>
      <c r="I1899" s="70"/>
      <c r="L1899" s="71" t="n">
        <f aca="false">IF(助手回款!$R$128="",-1,助手回款!$R$128*100+(助手回款!$S$128-1)*6+4)</f>
        <v>-1</v>
      </c>
    </row>
    <row r="1900" customFormat="false" ht="23.25" hidden="false" customHeight="true" outlineLevel="0" collapsed="false">
      <c r="B1900" s="67" t="str">
        <f aca="false">""</f>
        <v/>
      </c>
      <c r="C1900" s="67"/>
      <c r="D1900" s="23" t="str">
        <f aca="false">IFERROR(INDEX(分录回款!$E:$E,MATCH($L1900,分录回款!$L:$L,0)),"")</f>
        <v/>
      </c>
      <c r="E1900" s="23" t="str">
        <f aca="false">IFERROR(INDEX(分录回款!$F:$F,MATCH($L1900,分录回款!$L:$L,0)),"")</f>
        <v/>
      </c>
      <c r="F1900" s="68" t="str">
        <f aca="false">IFERROR(INDEX(分录回款!$H:$H,MATCH($L1900,分录回款!$L:$L,0)),"")</f>
        <v/>
      </c>
      <c r="G1900" s="69" t="str">
        <f aca="false">IFERROR(INDEX(分录回款!$I:$I,MATCH($L1900,分录回款!$L:$L,0)),"")</f>
        <v/>
      </c>
      <c r="H1900" s="23"/>
      <c r="I1900" s="70"/>
      <c r="L1900" s="71" t="n">
        <f aca="false">IF(助手回款!$R$128="",-1,助手回款!$R$128*100+(助手回款!$S$128-1)*6+5)</f>
        <v>-1</v>
      </c>
    </row>
    <row r="1901" customFormat="false" ht="23.25" hidden="false" customHeight="true" outlineLevel="0" collapsed="false">
      <c r="B1901" s="67" t="str">
        <f aca="false">""</f>
        <v/>
      </c>
      <c r="C1901" s="67"/>
      <c r="D1901" s="23" t="str">
        <f aca="false">IFERROR(INDEX(分录回款!$E:$E,MATCH($L1901,分录回款!$L:$L,0)),"")</f>
        <v/>
      </c>
      <c r="E1901" s="23" t="str">
        <f aca="false">IFERROR(INDEX(分录回款!$F:$F,MATCH($L1901,分录回款!$L:$L,0)),"")</f>
        <v/>
      </c>
      <c r="F1901" s="68" t="str">
        <f aca="false">IFERROR(INDEX(分录回款!$H:$H,MATCH($L1901,分录回款!$L:$L,0)),"")</f>
        <v/>
      </c>
      <c r="G1901" s="69" t="str">
        <f aca="false">IFERROR(INDEX(分录回款!$I:$I,MATCH($L1901,分录回款!$L:$L,0)),"")</f>
        <v/>
      </c>
      <c r="H1901" s="23"/>
      <c r="I1901" s="70"/>
      <c r="L1901" s="71" t="n">
        <f aca="false">IF(助手回款!$R$128="",-1,助手回款!$R$128*100+(助手回款!$S$128-1)*6+6)</f>
        <v>-1</v>
      </c>
    </row>
    <row r="1902" customFormat="false" ht="23.25" hidden="false" customHeight="true" outlineLevel="0" collapsed="false">
      <c r="B1902" s="72" t="str">
        <f aca="false">IF(助手回款!$T$128=1,"合计：","")</f>
        <v/>
      </c>
      <c r="C1902" s="73" t="str">
        <f aca="false">IF(助手回款!$T$128=1,$F1902,"")</f>
        <v/>
      </c>
      <c r="D1902" s="74"/>
      <c r="E1902" s="74"/>
      <c r="F1902" s="75" t="str">
        <f aca="false">IF(助手回款!$T$128=1,INDEX(助手回款!$N$2:$N$66,助手回款!$R$128),"")</f>
        <v/>
      </c>
      <c r="G1902" s="76" t="str">
        <f aca="false">IF(助手回款!$T$128=1,INDEX(助手回款!$O$2:$O$66,助手回款!$R$128),"")</f>
        <v/>
      </c>
      <c r="H1902" s="74"/>
      <c r="I1902" s="77"/>
    </row>
    <row r="1903" customFormat="false" ht="6" hidden="false" customHeight="true" outlineLevel="0" collapsed="false"/>
    <row r="1904" customFormat="false" ht="13.5" hidden="false" customHeight="false" outlineLevel="0" collapsed="false">
      <c r="B1904" s="78" t="str">
        <f aca="false">IF(助手回款!$R$128&lt;&gt;"","会计主管：","")</f>
        <v/>
      </c>
      <c r="D1904" s="78" t="str">
        <f aca="false">IF(助手回款!$R$128&lt;&gt;"","会计：","")</f>
        <v/>
      </c>
      <c r="E1904" s="78" t="str">
        <f aca="false">IF(助手回款!$R$128&lt;&gt;"","出纳：","")</f>
        <v/>
      </c>
      <c r="F1904" s="78" t="str">
        <f aca="false">IF(助手回款!$R$128&lt;&gt;"","复核：","")</f>
        <v/>
      </c>
      <c r="G1904" s="78" t="str">
        <f aca="false">IF(助手回款!$R$128&lt;&gt;"","制单：","")</f>
        <v/>
      </c>
    </row>
    <row r="1905" customFormat="false" ht="3" hidden="false" customHeight="true" outlineLevel="0" collapsed="false"/>
    <row r="1906" customFormat="false" ht="19.5" hidden="false" customHeight="true" outlineLevel="0" collapsed="false">
      <c r="B1906" s="53" t="str">
        <f aca="false">IF(助手回款!$R$129&lt;&gt;"","记  账  凭  证","")</f>
        <v/>
      </c>
      <c r="C1906" s="53"/>
      <c r="D1906" s="53"/>
      <c r="E1906" s="53"/>
      <c r="F1906" s="53"/>
      <c r="G1906" s="53"/>
      <c r="H1906" s="53"/>
      <c r="I1906" s="53"/>
    </row>
    <row r="1907" customFormat="false" ht="3" hidden="false" customHeight="true" outlineLevel="0" collapsed="false"/>
    <row r="1908" customFormat="false" ht="15" hidden="false" customHeight="true" outlineLevel="0" collapsed="false">
      <c r="C1908" s="56" t="str">
        <f aca="false">IF(助手回款!$R$129&lt;&gt;"",INDEX(助手回款!$B$2:$B$66,助手回款!$R$129),"")</f>
        <v/>
      </c>
      <c r="D1908" s="57" t="str">
        <f aca="false">IF(助手回款!$R$129&lt;&gt;"",参数!$B$2,"")</f>
        <v/>
      </c>
      <c r="E1908" s="57"/>
      <c r="F1908" s="58" t="str">
        <f aca="false">IF(助手回款!$R$129&lt;&gt;"",INDEX(助手回款!$C$2:$C$66,助手回款!$R$129)&amp;"  字第 "&amp;IF(参数!$B$9="是",INDEX(助手回款!$P$2:$P$66,助手回款!$R$129),"　　　　")&amp;" 号"&amp;IF(INDEX(助手回款!$L$2:$L$66,助手回款!$R$129)&gt;1,"  (共"&amp;INDEX(助手回款!$L$2:$L$66,助手回款!$R$129)&amp;"页 第"&amp;助手回款!$S$129&amp;"页)",""),"")</f>
        <v/>
      </c>
      <c r="G1908" s="58"/>
      <c r="H1908" s="58"/>
      <c r="I1908" s="58"/>
      <c r="M1908" s="79" t="str">
        <f aca="false">IF(助手回款!$R$129="","",助手回款!$Q$129)</f>
        <v/>
      </c>
      <c r="N1908" s="80" t="str">
        <f aca="false">IF(助手回款!$R$129="","",INDEX(助手回款!$P$2:$P$66,助手回款!$R$129))</f>
        <v/>
      </c>
      <c r="O1908" s="55" t="str">
        <f aca="false">IF(助手回款!$R$129="","",INDEX(助手回款!$C$2:$C$66,助手回款!$R$129)&amp;"  字第 "&amp;INDEX(助手回款!$P$2:$P$66,助手回款!$R$129)&amp;" 号"&amp;IF(INDEX(助手回款!$L$2:$L$66,助手回款!$R$129)&gt;1,"  (共"&amp;INDEX(助手回款!$L$2:$L$66,助手回款!$R$129)&amp;"页 第"&amp;助手回款!$S$129&amp;"页)",""))</f>
        <v/>
      </c>
    </row>
    <row r="1909" customFormat="false" ht="12.75" hidden="false" customHeight="true" outlineLevel="0" collapsed="false">
      <c r="B1909" s="61" t="str">
        <f aca="false">IF(助手回款!$R$129&lt;&gt;"","摘　　要","")</f>
        <v/>
      </c>
      <c r="C1909" s="61"/>
      <c r="D1909" s="62" t="str">
        <f aca="false">IF(助手回款!$R$129&lt;&gt;"","科　　　　目","")</f>
        <v/>
      </c>
      <c r="E1909" s="62"/>
      <c r="F1909" s="61" t="str">
        <f aca="false">IF(助手回款!$R$129&lt;&gt;"","借 方 金 额","")</f>
        <v/>
      </c>
      <c r="G1909" s="62" t="str">
        <f aca="false">IF(助手回款!$R$129&lt;&gt;"","贷 方 金 额","")</f>
        <v/>
      </c>
      <c r="H1909" s="63" t="str">
        <f aca="false">IF(助手回款!$R$129&lt;&gt;"","√","")</f>
        <v/>
      </c>
      <c r="I1909" s="64" t="str">
        <f aca="false">IF(助手回款!$R$129&lt;&gt;"","附单据  张","")</f>
        <v/>
      </c>
    </row>
    <row r="1910" customFormat="false" ht="12.75" hidden="false" customHeight="true" outlineLevel="0" collapsed="false">
      <c r="B1910" s="61"/>
      <c r="C1910" s="61"/>
      <c r="D1910" s="23" t="str">
        <f aca="false">IF(助手回款!$R$129&lt;&gt;"","总 账 科 目","")</f>
        <v/>
      </c>
      <c r="E1910" s="23" t="str">
        <f aca="false">IF(助手回款!$R$129&lt;&gt;"","明 细 科 目","")</f>
        <v/>
      </c>
      <c r="F1910" s="65"/>
      <c r="G1910" s="66"/>
      <c r="H1910" s="63"/>
      <c r="I1910" s="64"/>
    </row>
    <row r="1911" customFormat="false" ht="23.25" hidden="false" customHeight="true" outlineLevel="0" collapsed="false">
      <c r="B1911" s="67" t="str">
        <f aca="false">IFERROR(INDEX(分录回款!$M:$M,MATCH($L1911,分录回款!$L:$L,0)),"")</f>
        <v/>
      </c>
      <c r="C1911" s="67"/>
      <c r="D1911" s="23" t="str">
        <f aca="false">IFERROR(INDEX(分录回款!$E:$E,MATCH($L1911,分录回款!$L:$L,0)),"")</f>
        <v/>
      </c>
      <c r="E1911" s="23" t="str">
        <f aca="false">IFERROR(INDEX(分录回款!$F:$F,MATCH($L1911,分录回款!$L:$L,0)),"")</f>
        <v/>
      </c>
      <c r="F1911" s="68" t="str">
        <f aca="false">IFERROR(INDEX(分录回款!$H:$H,MATCH($L1911,分录回款!$L:$L,0)),"")</f>
        <v/>
      </c>
      <c r="G1911" s="69" t="str">
        <f aca="false">IFERROR(INDEX(分录回款!$I:$I,MATCH($L1911,分录回款!$L:$L,0)),"")</f>
        <v/>
      </c>
      <c r="H1911" s="23"/>
      <c r="I1911" s="70"/>
      <c r="L1911" s="71" t="n">
        <f aca="false">IF(助手回款!$R$129="",-1,助手回款!$R$129*100+(助手回款!$S$129-1)*6+1)</f>
        <v>-1</v>
      </c>
    </row>
    <row r="1912" customFormat="false" ht="23.25" hidden="false" customHeight="true" outlineLevel="0" collapsed="false">
      <c r="B1912" s="67" t="str">
        <f aca="false">""</f>
        <v/>
      </c>
      <c r="C1912" s="67"/>
      <c r="D1912" s="23" t="str">
        <f aca="false">IFERROR(INDEX(分录回款!$E:$E,MATCH($L1912,分录回款!$L:$L,0)),"")</f>
        <v/>
      </c>
      <c r="E1912" s="23" t="str">
        <f aca="false">IFERROR(INDEX(分录回款!$F:$F,MATCH($L1912,分录回款!$L:$L,0)),"")</f>
        <v/>
      </c>
      <c r="F1912" s="68" t="str">
        <f aca="false">IFERROR(INDEX(分录回款!$H:$H,MATCH($L1912,分录回款!$L:$L,0)),"")</f>
        <v/>
      </c>
      <c r="G1912" s="69" t="str">
        <f aca="false">IFERROR(INDEX(分录回款!$I:$I,MATCH($L1912,分录回款!$L:$L,0)),"")</f>
        <v/>
      </c>
      <c r="H1912" s="23"/>
      <c r="I1912" s="70"/>
      <c r="L1912" s="71" t="n">
        <f aca="false">IF(助手回款!$R$129="",-1,助手回款!$R$129*100+(助手回款!$S$129-1)*6+2)</f>
        <v>-1</v>
      </c>
    </row>
    <row r="1913" customFormat="false" ht="23.25" hidden="false" customHeight="true" outlineLevel="0" collapsed="false">
      <c r="B1913" s="67" t="str">
        <f aca="false">""</f>
        <v/>
      </c>
      <c r="C1913" s="67"/>
      <c r="D1913" s="23" t="str">
        <f aca="false">IFERROR(INDEX(分录回款!$E:$E,MATCH($L1913,分录回款!$L:$L,0)),"")</f>
        <v/>
      </c>
      <c r="E1913" s="23" t="str">
        <f aca="false">IFERROR(INDEX(分录回款!$F:$F,MATCH($L1913,分录回款!$L:$L,0)),"")</f>
        <v/>
      </c>
      <c r="F1913" s="68" t="str">
        <f aca="false">IFERROR(INDEX(分录回款!$H:$H,MATCH($L1913,分录回款!$L:$L,0)),"")</f>
        <v/>
      </c>
      <c r="G1913" s="69" t="str">
        <f aca="false">IFERROR(INDEX(分录回款!$I:$I,MATCH($L1913,分录回款!$L:$L,0)),"")</f>
        <v/>
      </c>
      <c r="H1913" s="23"/>
      <c r="I1913" s="70"/>
      <c r="L1913" s="71" t="n">
        <f aca="false">IF(助手回款!$R$129="",-1,助手回款!$R$129*100+(助手回款!$S$129-1)*6+3)</f>
        <v>-1</v>
      </c>
    </row>
    <row r="1914" customFormat="false" ht="23.25" hidden="false" customHeight="true" outlineLevel="0" collapsed="false">
      <c r="B1914" s="67" t="str">
        <f aca="false">""</f>
        <v/>
      </c>
      <c r="C1914" s="67"/>
      <c r="D1914" s="23" t="str">
        <f aca="false">IFERROR(INDEX(分录回款!$E:$E,MATCH($L1914,分录回款!$L:$L,0)),"")</f>
        <v/>
      </c>
      <c r="E1914" s="23" t="str">
        <f aca="false">IFERROR(INDEX(分录回款!$F:$F,MATCH($L1914,分录回款!$L:$L,0)),"")</f>
        <v/>
      </c>
      <c r="F1914" s="68" t="str">
        <f aca="false">IFERROR(INDEX(分录回款!$H:$H,MATCH($L1914,分录回款!$L:$L,0)),"")</f>
        <v/>
      </c>
      <c r="G1914" s="69" t="str">
        <f aca="false">IFERROR(INDEX(分录回款!$I:$I,MATCH($L1914,分录回款!$L:$L,0)),"")</f>
        <v/>
      </c>
      <c r="H1914" s="23"/>
      <c r="I1914" s="70"/>
      <c r="L1914" s="71" t="n">
        <f aca="false">IF(助手回款!$R$129="",-1,助手回款!$R$129*100+(助手回款!$S$129-1)*6+4)</f>
        <v>-1</v>
      </c>
    </row>
    <row r="1915" customFormat="false" ht="23.25" hidden="false" customHeight="true" outlineLevel="0" collapsed="false">
      <c r="B1915" s="67" t="str">
        <f aca="false">""</f>
        <v/>
      </c>
      <c r="C1915" s="67"/>
      <c r="D1915" s="23" t="str">
        <f aca="false">IFERROR(INDEX(分录回款!$E:$E,MATCH($L1915,分录回款!$L:$L,0)),"")</f>
        <v/>
      </c>
      <c r="E1915" s="23" t="str">
        <f aca="false">IFERROR(INDEX(分录回款!$F:$F,MATCH($L1915,分录回款!$L:$L,0)),"")</f>
        <v/>
      </c>
      <c r="F1915" s="68" t="str">
        <f aca="false">IFERROR(INDEX(分录回款!$H:$H,MATCH($L1915,分录回款!$L:$L,0)),"")</f>
        <v/>
      </c>
      <c r="G1915" s="69" t="str">
        <f aca="false">IFERROR(INDEX(分录回款!$I:$I,MATCH($L1915,分录回款!$L:$L,0)),"")</f>
        <v/>
      </c>
      <c r="H1915" s="23"/>
      <c r="I1915" s="70"/>
      <c r="L1915" s="71" t="n">
        <f aca="false">IF(助手回款!$R$129="",-1,助手回款!$R$129*100+(助手回款!$S$129-1)*6+5)</f>
        <v>-1</v>
      </c>
    </row>
    <row r="1916" customFormat="false" ht="23.25" hidden="false" customHeight="true" outlineLevel="0" collapsed="false">
      <c r="B1916" s="67" t="str">
        <f aca="false">""</f>
        <v/>
      </c>
      <c r="C1916" s="67"/>
      <c r="D1916" s="23" t="str">
        <f aca="false">IFERROR(INDEX(分录回款!$E:$E,MATCH($L1916,分录回款!$L:$L,0)),"")</f>
        <v/>
      </c>
      <c r="E1916" s="23" t="str">
        <f aca="false">IFERROR(INDEX(分录回款!$F:$F,MATCH($L1916,分录回款!$L:$L,0)),"")</f>
        <v/>
      </c>
      <c r="F1916" s="68" t="str">
        <f aca="false">IFERROR(INDEX(分录回款!$H:$H,MATCH($L1916,分录回款!$L:$L,0)),"")</f>
        <v/>
      </c>
      <c r="G1916" s="69" t="str">
        <f aca="false">IFERROR(INDEX(分录回款!$I:$I,MATCH($L1916,分录回款!$L:$L,0)),"")</f>
        <v/>
      </c>
      <c r="H1916" s="23"/>
      <c r="I1916" s="70"/>
      <c r="L1916" s="71" t="n">
        <f aca="false">IF(助手回款!$R$129="",-1,助手回款!$R$129*100+(助手回款!$S$129-1)*6+6)</f>
        <v>-1</v>
      </c>
    </row>
    <row r="1917" customFormat="false" ht="23.25" hidden="false" customHeight="true" outlineLevel="0" collapsed="false">
      <c r="B1917" s="72" t="str">
        <f aca="false">IF(助手回款!$T$129=1,"合计：","")</f>
        <v/>
      </c>
      <c r="C1917" s="73" t="str">
        <f aca="false">IF(助手回款!$T$129=1,$F1917,"")</f>
        <v/>
      </c>
      <c r="D1917" s="74"/>
      <c r="E1917" s="74"/>
      <c r="F1917" s="75" t="str">
        <f aca="false">IF(助手回款!$T$129=1,INDEX(助手回款!$N$2:$N$66,助手回款!$R$129),"")</f>
        <v/>
      </c>
      <c r="G1917" s="76" t="str">
        <f aca="false">IF(助手回款!$T$129=1,INDEX(助手回款!$O$2:$O$66,助手回款!$R$129),"")</f>
        <v/>
      </c>
      <c r="H1917" s="74"/>
      <c r="I1917" s="77"/>
    </row>
    <row r="1918" customFormat="false" ht="6" hidden="false" customHeight="true" outlineLevel="0" collapsed="false"/>
    <row r="1919" customFormat="false" ht="13.5" hidden="false" customHeight="false" outlineLevel="0" collapsed="false">
      <c r="B1919" s="78" t="str">
        <f aca="false">IF(助手回款!$R$129&lt;&gt;"","会计主管：","")</f>
        <v/>
      </c>
      <c r="D1919" s="78" t="str">
        <f aca="false">IF(助手回款!$R$129&lt;&gt;"","会计：","")</f>
        <v/>
      </c>
      <c r="E1919" s="78" t="str">
        <f aca="false">IF(助手回款!$R$129&lt;&gt;"","出纳：","")</f>
        <v/>
      </c>
      <c r="F1919" s="78" t="str">
        <f aca="false">IF(助手回款!$R$129&lt;&gt;"","复核：","")</f>
        <v/>
      </c>
      <c r="G1919" s="78" t="str">
        <f aca="false">IF(助手回款!$R$129&lt;&gt;"","制单：","")</f>
        <v/>
      </c>
    </row>
    <row r="1920" customFormat="false" ht="3" hidden="false" customHeight="true" outlineLevel="0" collapsed="false"/>
    <row r="1921" customFormat="false" ht="19.5" hidden="false" customHeight="true" outlineLevel="0" collapsed="false">
      <c r="B1921" s="53" t="str">
        <f aca="false">IF(助手回款!$R$130&lt;&gt;"","记  账  凭  证","")</f>
        <v/>
      </c>
      <c r="C1921" s="53"/>
      <c r="D1921" s="53"/>
      <c r="E1921" s="53"/>
      <c r="F1921" s="53"/>
      <c r="G1921" s="53"/>
      <c r="H1921" s="53"/>
      <c r="I1921" s="53"/>
    </row>
    <row r="1922" customFormat="false" ht="3" hidden="false" customHeight="true" outlineLevel="0" collapsed="false"/>
    <row r="1923" customFormat="false" ht="15" hidden="false" customHeight="true" outlineLevel="0" collapsed="false">
      <c r="C1923" s="56" t="str">
        <f aca="false">IF(助手回款!$R$130&lt;&gt;"",INDEX(助手回款!$B$2:$B$66,助手回款!$R$130),"")</f>
        <v/>
      </c>
      <c r="D1923" s="57" t="str">
        <f aca="false">IF(助手回款!$R$130&lt;&gt;"",参数!$B$2,"")</f>
        <v/>
      </c>
      <c r="E1923" s="57"/>
      <c r="F1923" s="58" t="str">
        <f aca="false">IF(助手回款!$R$130&lt;&gt;"",INDEX(助手回款!$C$2:$C$66,助手回款!$R$130)&amp;"  字第 "&amp;IF(参数!$B$9="是",INDEX(助手回款!$P$2:$P$66,助手回款!$R$130),"　　　　")&amp;" 号"&amp;IF(INDEX(助手回款!$L$2:$L$66,助手回款!$R$130)&gt;1,"  (共"&amp;INDEX(助手回款!$L$2:$L$66,助手回款!$R$130)&amp;"页 第"&amp;助手回款!$S$130&amp;"页)",""),"")</f>
        <v/>
      </c>
      <c r="G1923" s="58"/>
      <c r="H1923" s="58"/>
      <c r="I1923" s="58"/>
      <c r="M1923" s="79" t="str">
        <f aca="false">IF(助手回款!$R$130="","",助手回款!$Q$130)</f>
        <v/>
      </c>
      <c r="N1923" s="80" t="str">
        <f aca="false">IF(助手回款!$R$130="","",INDEX(助手回款!$P$2:$P$66,助手回款!$R$130))</f>
        <v/>
      </c>
      <c r="O1923" s="55" t="str">
        <f aca="false">IF(助手回款!$R$130="","",INDEX(助手回款!$C$2:$C$66,助手回款!$R$130)&amp;"  字第 "&amp;INDEX(助手回款!$P$2:$P$66,助手回款!$R$130)&amp;" 号"&amp;IF(INDEX(助手回款!$L$2:$L$66,助手回款!$R$130)&gt;1,"  (共"&amp;INDEX(助手回款!$L$2:$L$66,助手回款!$R$130)&amp;"页 第"&amp;助手回款!$S$130&amp;"页)",""))</f>
        <v/>
      </c>
    </row>
    <row r="1924" customFormat="false" ht="12.75" hidden="false" customHeight="true" outlineLevel="0" collapsed="false">
      <c r="B1924" s="61" t="str">
        <f aca="false">IF(助手回款!$R$130&lt;&gt;"","摘　　要","")</f>
        <v/>
      </c>
      <c r="C1924" s="61"/>
      <c r="D1924" s="62" t="str">
        <f aca="false">IF(助手回款!$R$130&lt;&gt;"","科　　　　目","")</f>
        <v/>
      </c>
      <c r="E1924" s="62"/>
      <c r="F1924" s="61" t="str">
        <f aca="false">IF(助手回款!$R$130&lt;&gt;"","借 方 金 额","")</f>
        <v/>
      </c>
      <c r="G1924" s="62" t="str">
        <f aca="false">IF(助手回款!$R$130&lt;&gt;"","贷 方 金 额","")</f>
        <v/>
      </c>
      <c r="H1924" s="63" t="str">
        <f aca="false">IF(助手回款!$R$130&lt;&gt;"","√","")</f>
        <v/>
      </c>
      <c r="I1924" s="64" t="str">
        <f aca="false">IF(助手回款!$R$130&lt;&gt;"","附单据  张","")</f>
        <v/>
      </c>
    </row>
    <row r="1925" customFormat="false" ht="12.75" hidden="false" customHeight="true" outlineLevel="0" collapsed="false">
      <c r="B1925" s="61"/>
      <c r="C1925" s="61"/>
      <c r="D1925" s="23" t="str">
        <f aca="false">IF(助手回款!$R$130&lt;&gt;"","总 账 科 目","")</f>
        <v/>
      </c>
      <c r="E1925" s="23" t="str">
        <f aca="false">IF(助手回款!$R$130&lt;&gt;"","明 细 科 目","")</f>
        <v/>
      </c>
      <c r="F1925" s="65"/>
      <c r="G1925" s="66"/>
      <c r="H1925" s="63"/>
      <c r="I1925" s="64"/>
    </row>
    <row r="1926" customFormat="false" ht="23.25" hidden="false" customHeight="true" outlineLevel="0" collapsed="false">
      <c r="B1926" s="67" t="str">
        <f aca="false">IFERROR(INDEX(分录回款!$M:$M,MATCH($L1926,分录回款!$L:$L,0)),"")</f>
        <v/>
      </c>
      <c r="C1926" s="67"/>
      <c r="D1926" s="23" t="str">
        <f aca="false">IFERROR(INDEX(分录回款!$E:$E,MATCH($L1926,分录回款!$L:$L,0)),"")</f>
        <v/>
      </c>
      <c r="E1926" s="23" t="str">
        <f aca="false">IFERROR(INDEX(分录回款!$F:$F,MATCH($L1926,分录回款!$L:$L,0)),"")</f>
        <v/>
      </c>
      <c r="F1926" s="68" t="str">
        <f aca="false">IFERROR(INDEX(分录回款!$H:$H,MATCH($L1926,分录回款!$L:$L,0)),"")</f>
        <v/>
      </c>
      <c r="G1926" s="69" t="str">
        <f aca="false">IFERROR(INDEX(分录回款!$I:$I,MATCH($L1926,分录回款!$L:$L,0)),"")</f>
        <v/>
      </c>
      <c r="H1926" s="23"/>
      <c r="I1926" s="70"/>
      <c r="L1926" s="71" t="n">
        <f aca="false">IF(助手回款!$R$130="",-1,助手回款!$R$130*100+(助手回款!$S$130-1)*6+1)</f>
        <v>-1</v>
      </c>
    </row>
    <row r="1927" customFormat="false" ht="23.25" hidden="false" customHeight="true" outlineLevel="0" collapsed="false">
      <c r="B1927" s="67" t="str">
        <f aca="false">""</f>
        <v/>
      </c>
      <c r="C1927" s="67"/>
      <c r="D1927" s="23" t="str">
        <f aca="false">IFERROR(INDEX(分录回款!$E:$E,MATCH($L1927,分录回款!$L:$L,0)),"")</f>
        <v/>
      </c>
      <c r="E1927" s="23" t="str">
        <f aca="false">IFERROR(INDEX(分录回款!$F:$F,MATCH($L1927,分录回款!$L:$L,0)),"")</f>
        <v/>
      </c>
      <c r="F1927" s="68" t="str">
        <f aca="false">IFERROR(INDEX(分录回款!$H:$H,MATCH($L1927,分录回款!$L:$L,0)),"")</f>
        <v/>
      </c>
      <c r="G1927" s="69" t="str">
        <f aca="false">IFERROR(INDEX(分录回款!$I:$I,MATCH($L1927,分录回款!$L:$L,0)),"")</f>
        <v/>
      </c>
      <c r="H1927" s="23"/>
      <c r="I1927" s="70"/>
      <c r="L1927" s="71" t="n">
        <f aca="false">IF(助手回款!$R$130="",-1,助手回款!$R$130*100+(助手回款!$S$130-1)*6+2)</f>
        <v>-1</v>
      </c>
    </row>
    <row r="1928" customFormat="false" ht="23.25" hidden="false" customHeight="true" outlineLevel="0" collapsed="false">
      <c r="B1928" s="67" t="str">
        <f aca="false">""</f>
        <v/>
      </c>
      <c r="C1928" s="67"/>
      <c r="D1928" s="23" t="str">
        <f aca="false">IFERROR(INDEX(分录回款!$E:$E,MATCH($L1928,分录回款!$L:$L,0)),"")</f>
        <v/>
      </c>
      <c r="E1928" s="23" t="str">
        <f aca="false">IFERROR(INDEX(分录回款!$F:$F,MATCH($L1928,分录回款!$L:$L,0)),"")</f>
        <v/>
      </c>
      <c r="F1928" s="68" t="str">
        <f aca="false">IFERROR(INDEX(分录回款!$H:$H,MATCH($L1928,分录回款!$L:$L,0)),"")</f>
        <v/>
      </c>
      <c r="G1928" s="69" t="str">
        <f aca="false">IFERROR(INDEX(分录回款!$I:$I,MATCH($L1928,分录回款!$L:$L,0)),"")</f>
        <v/>
      </c>
      <c r="H1928" s="23"/>
      <c r="I1928" s="70"/>
      <c r="L1928" s="71" t="n">
        <f aca="false">IF(助手回款!$R$130="",-1,助手回款!$R$130*100+(助手回款!$S$130-1)*6+3)</f>
        <v>-1</v>
      </c>
    </row>
    <row r="1929" customFormat="false" ht="23.25" hidden="false" customHeight="true" outlineLevel="0" collapsed="false">
      <c r="B1929" s="67" t="str">
        <f aca="false">""</f>
        <v/>
      </c>
      <c r="C1929" s="67"/>
      <c r="D1929" s="23" t="str">
        <f aca="false">IFERROR(INDEX(分录回款!$E:$E,MATCH($L1929,分录回款!$L:$L,0)),"")</f>
        <v/>
      </c>
      <c r="E1929" s="23" t="str">
        <f aca="false">IFERROR(INDEX(分录回款!$F:$F,MATCH($L1929,分录回款!$L:$L,0)),"")</f>
        <v/>
      </c>
      <c r="F1929" s="68" t="str">
        <f aca="false">IFERROR(INDEX(分录回款!$H:$H,MATCH($L1929,分录回款!$L:$L,0)),"")</f>
        <v/>
      </c>
      <c r="G1929" s="69" t="str">
        <f aca="false">IFERROR(INDEX(分录回款!$I:$I,MATCH($L1929,分录回款!$L:$L,0)),"")</f>
        <v/>
      </c>
      <c r="H1929" s="23"/>
      <c r="I1929" s="70"/>
      <c r="L1929" s="71" t="n">
        <f aca="false">IF(助手回款!$R$130="",-1,助手回款!$R$130*100+(助手回款!$S$130-1)*6+4)</f>
        <v>-1</v>
      </c>
    </row>
    <row r="1930" customFormat="false" ht="23.25" hidden="false" customHeight="true" outlineLevel="0" collapsed="false">
      <c r="B1930" s="67" t="str">
        <f aca="false">""</f>
        <v/>
      </c>
      <c r="C1930" s="67"/>
      <c r="D1930" s="23" t="str">
        <f aca="false">IFERROR(INDEX(分录回款!$E:$E,MATCH($L1930,分录回款!$L:$L,0)),"")</f>
        <v/>
      </c>
      <c r="E1930" s="23" t="str">
        <f aca="false">IFERROR(INDEX(分录回款!$F:$F,MATCH($L1930,分录回款!$L:$L,0)),"")</f>
        <v/>
      </c>
      <c r="F1930" s="68" t="str">
        <f aca="false">IFERROR(INDEX(分录回款!$H:$H,MATCH($L1930,分录回款!$L:$L,0)),"")</f>
        <v/>
      </c>
      <c r="G1930" s="69" t="str">
        <f aca="false">IFERROR(INDEX(分录回款!$I:$I,MATCH($L1930,分录回款!$L:$L,0)),"")</f>
        <v/>
      </c>
      <c r="H1930" s="23"/>
      <c r="I1930" s="70"/>
      <c r="L1930" s="71" t="n">
        <f aca="false">IF(助手回款!$R$130="",-1,助手回款!$R$130*100+(助手回款!$S$130-1)*6+5)</f>
        <v>-1</v>
      </c>
    </row>
    <row r="1931" customFormat="false" ht="23.25" hidden="false" customHeight="true" outlineLevel="0" collapsed="false">
      <c r="B1931" s="67" t="str">
        <f aca="false">""</f>
        <v/>
      </c>
      <c r="C1931" s="67"/>
      <c r="D1931" s="23" t="str">
        <f aca="false">IFERROR(INDEX(分录回款!$E:$E,MATCH($L1931,分录回款!$L:$L,0)),"")</f>
        <v/>
      </c>
      <c r="E1931" s="23" t="str">
        <f aca="false">IFERROR(INDEX(分录回款!$F:$F,MATCH($L1931,分录回款!$L:$L,0)),"")</f>
        <v/>
      </c>
      <c r="F1931" s="68" t="str">
        <f aca="false">IFERROR(INDEX(分录回款!$H:$H,MATCH($L1931,分录回款!$L:$L,0)),"")</f>
        <v/>
      </c>
      <c r="G1931" s="69" t="str">
        <f aca="false">IFERROR(INDEX(分录回款!$I:$I,MATCH($L1931,分录回款!$L:$L,0)),"")</f>
        <v/>
      </c>
      <c r="H1931" s="23"/>
      <c r="I1931" s="70"/>
      <c r="L1931" s="71" t="n">
        <f aca="false">IF(助手回款!$R$130="",-1,助手回款!$R$130*100+(助手回款!$S$130-1)*6+6)</f>
        <v>-1</v>
      </c>
    </row>
    <row r="1932" customFormat="false" ht="23.25" hidden="false" customHeight="true" outlineLevel="0" collapsed="false">
      <c r="B1932" s="72" t="str">
        <f aca="false">IF(助手回款!$T$130=1,"合计：","")</f>
        <v/>
      </c>
      <c r="C1932" s="73" t="str">
        <f aca="false">IF(助手回款!$T$130=1,$F1932,"")</f>
        <v/>
      </c>
      <c r="D1932" s="74"/>
      <c r="E1932" s="74"/>
      <c r="F1932" s="75" t="str">
        <f aca="false">IF(助手回款!$T$130=1,INDEX(助手回款!$N$2:$N$66,助手回款!$R$130),"")</f>
        <v/>
      </c>
      <c r="G1932" s="76" t="str">
        <f aca="false">IF(助手回款!$T$130=1,INDEX(助手回款!$O$2:$O$66,助手回款!$R$130),"")</f>
        <v/>
      </c>
      <c r="H1932" s="74"/>
      <c r="I1932" s="77"/>
    </row>
    <row r="1933" customFormat="false" ht="6" hidden="false" customHeight="true" outlineLevel="0" collapsed="false"/>
    <row r="1934" customFormat="false" ht="13.5" hidden="false" customHeight="false" outlineLevel="0" collapsed="false">
      <c r="B1934" s="78" t="str">
        <f aca="false">IF(助手回款!$R$130&lt;&gt;"","会计主管：","")</f>
        <v/>
      </c>
      <c r="D1934" s="78" t="str">
        <f aca="false">IF(助手回款!$R$130&lt;&gt;"","会计：","")</f>
        <v/>
      </c>
      <c r="E1934" s="78" t="str">
        <f aca="false">IF(助手回款!$R$130&lt;&gt;"","出纳：","")</f>
        <v/>
      </c>
      <c r="F1934" s="78" t="str">
        <f aca="false">IF(助手回款!$R$130&lt;&gt;"","复核：","")</f>
        <v/>
      </c>
      <c r="G1934" s="78" t="str">
        <f aca="false">IF(助手回款!$R$130&lt;&gt;"","制单：","")</f>
        <v/>
      </c>
    </row>
    <row r="1935" customFormat="false" ht="3" hidden="false" customHeight="true" outlineLevel="0" collapsed="false"/>
    <row r="1936" customFormat="false" ht="19.5" hidden="false" customHeight="true" outlineLevel="0" collapsed="false">
      <c r="B1936" s="53" t="str">
        <f aca="false">IF(助手回款!$R$131&lt;&gt;"","记  账  凭  证","")</f>
        <v/>
      </c>
      <c r="C1936" s="53"/>
      <c r="D1936" s="53"/>
      <c r="E1936" s="53"/>
      <c r="F1936" s="53"/>
      <c r="G1936" s="53"/>
      <c r="H1936" s="53"/>
      <c r="I1936" s="53"/>
    </row>
    <row r="1937" customFormat="false" ht="3" hidden="false" customHeight="true" outlineLevel="0" collapsed="false"/>
    <row r="1938" customFormat="false" ht="15" hidden="false" customHeight="true" outlineLevel="0" collapsed="false">
      <c r="C1938" s="56" t="str">
        <f aca="false">IF(助手回款!$R$131&lt;&gt;"",INDEX(助手回款!$B$2:$B$66,助手回款!$R$131),"")</f>
        <v/>
      </c>
      <c r="D1938" s="57" t="str">
        <f aca="false">IF(助手回款!$R$131&lt;&gt;"",参数!$B$2,"")</f>
        <v/>
      </c>
      <c r="E1938" s="57"/>
      <c r="F1938" s="58" t="str">
        <f aca="false">IF(助手回款!$R$131&lt;&gt;"",INDEX(助手回款!$C$2:$C$66,助手回款!$R$131)&amp;"  字第 "&amp;IF(参数!$B$9="是",INDEX(助手回款!$P$2:$P$66,助手回款!$R$131),"　　　　")&amp;" 号"&amp;IF(INDEX(助手回款!$L$2:$L$66,助手回款!$R$131)&gt;1,"  (共"&amp;INDEX(助手回款!$L$2:$L$66,助手回款!$R$131)&amp;"页 第"&amp;助手回款!$S$131&amp;"页)",""),"")</f>
        <v/>
      </c>
      <c r="G1938" s="58"/>
      <c r="H1938" s="58"/>
      <c r="I1938" s="58"/>
      <c r="M1938" s="79" t="str">
        <f aca="false">IF(助手回款!$R$131="","",助手回款!$Q$131)</f>
        <v/>
      </c>
      <c r="N1938" s="80" t="str">
        <f aca="false">IF(助手回款!$R$131="","",INDEX(助手回款!$P$2:$P$66,助手回款!$R$131))</f>
        <v/>
      </c>
      <c r="O1938" s="55" t="str">
        <f aca="false">IF(助手回款!$R$131="","",INDEX(助手回款!$C$2:$C$66,助手回款!$R$131)&amp;"  字第 "&amp;INDEX(助手回款!$P$2:$P$66,助手回款!$R$131)&amp;" 号"&amp;IF(INDEX(助手回款!$L$2:$L$66,助手回款!$R$131)&gt;1,"  (共"&amp;INDEX(助手回款!$L$2:$L$66,助手回款!$R$131)&amp;"页 第"&amp;助手回款!$S$131&amp;"页)",""))</f>
        <v/>
      </c>
    </row>
    <row r="1939" customFormat="false" ht="12.75" hidden="false" customHeight="true" outlineLevel="0" collapsed="false">
      <c r="B1939" s="61" t="str">
        <f aca="false">IF(助手回款!$R$131&lt;&gt;"","摘　　要","")</f>
        <v/>
      </c>
      <c r="C1939" s="61"/>
      <c r="D1939" s="62" t="str">
        <f aca="false">IF(助手回款!$R$131&lt;&gt;"","科　　　　目","")</f>
        <v/>
      </c>
      <c r="E1939" s="62"/>
      <c r="F1939" s="61" t="str">
        <f aca="false">IF(助手回款!$R$131&lt;&gt;"","借 方 金 额","")</f>
        <v/>
      </c>
      <c r="G1939" s="62" t="str">
        <f aca="false">IF(助手回款!$R$131&lt;&gt;"","贷 方 金 额","")</f>
        <v/>
      </c>
      <c r="H1939" s="63" t="str">
        <f aca="false">IF(助手回款!$R$131&lt;&gt;"","√","")</f>
        <v/>
      </c>
      <c r="I1939" s="64" t="str">
        <f aca="false">IF(助手回款!$R$131&lt;&gt;"","附单据  张","")</f>
        <v/>
      </c>
    </row>
    <row r="1940" customFormat="false" ht="12.75" hidden="false" customHeight="true" outlineLevel="0" collapsed="false">
      <c r="B1940" s="61"/>
      <c r="C1940" s="61"/>
      <c r="D1940" s="23" t="str">
        <f aca="false">IF(助手回款!$R$131&lt;&gt;"","总 账 科 目","")</f>
        <v/>
      </c>
      <c r="E1940" s="23" t="str">
        <f aca="false">IF(助手回款!$R$131&lt;&gt;"","明 细 科 目","")</f>
        <v/>
      </c>
      <c r="F1940" s="65"/>
      <c r="G1940" s="66"/>
      <c r="H1940" s="63"/>
      <c r="I1940" s="64"/>
    </row>
    <row r="1941" customFormat="false" ht="23.25" hidden="false" customHeight="true" outlineLevel="0" collapsed="false">
      <c r="B1941" s="67" t="str">
        <f aca="false">IFERROR(INDEX(分录回款!$M:$M,MATCH($L1941,分录回款!$L:$L,0)),"")</f>
        <v/>
      </c>
      <c r="C1941" s="67"/>
      <c r="D1941" s="23" t="str">
        <f aca="false">IFERROR(INDEX(分录回款!$E:$E,MATCH($L1941,分录回款!$L:$L,0)),"")</f>
        <v/>
      </c>
      <c r="E1941" s="23" t="str">
        <f aca="false">IFERROR(INDEX(分录回款!$F:$F,MATCH($L1941,分录回款!$L:$L,0)),"")</f>
        <v/>
      </c>
      <c r="F1941" s="68" t="str">
        <f aca="false">IFERROR(INDEX(分录回款!$H:$H,MATCH($L1941,分录回款!$L:$L,0)),"")</f>
        <v/>
      </c>
      <c r="G1941" s="69" t="str">
        <f aca="false">IFERROR(INDEX(分录回款!$I:$I,MATCH($L1941,分录回款!$L:$L,0)),"")</f>
        <v/>
      </c>
      <c r="H1941" s="23"/>
      <c r="I1941" s="70"/>
      <c r="L1941" s="71" t="n">
        <f aca="false">IF(助手回款!$R$131="",-1,助手回款!$R$131*100+(助手回款!$S$131-1)*6+1)</f>
        <v>-1</v>
      </c>
    </row>
    <row r="1942" customFormat="false" ht="23.25" hidden="false" customHeight="true" outlineLevel="0" collapsed="false">
      <c r="B1942" s="67" t="str">
        <f aca="false">""</f>
        <v/>
      </c>
      <c r="C1942" s="67"/>
      <c r="D1942" s="23" t="str">
        <f aca="false">IFERROR(INDEX(分录回款!$E:$E,MATCH($L1942,分录回款!$L:$L,0)),"")</f>
        <v/>
      </c>
      <c r="E1942" s="23" t="str">
        <f aca="false">IFERROR(INDEX(分录回款!$F:$F,MATCH($L1942,分录回款!$L:$L,0)),"")</f>
        <v/>
      </c>
      <c r="F1942" s="68" t="str">
        <f aca="false">IFERROR(INDEX(分录回款!$H:$H,MATCH($L1942,分录回款!$L:$L,0)),"")</f>
        <v/>
      </c>
      <c r="G1942" s="69" t="str">
        <f aca="false">IFERROR(INDEX(分录回款!$I:$I,MATCH($L1942,分录回款!$L:$L,0)),"")</f>
        <v/>
      </c>
      <c r="H1942" s="23"/>
      <c r="I1942" s="70"/>
      <c r="L1942" s="71" t="n">
        <f aca="false">IF(助手回款!$R$131="",-1,助手回款!$R$131*100+(助手回款!$S$131-1)*6+2)</f>
        <v>-1</v>
      </c>
    </row>
    <row r="1943" customFormat="false" ht="23.25" hidden="false" customHeight="true" outlineLevel="0" collapsed="false">
      <c r="B1943" s="67" t="str">
        <f aca="false">""</f>
        <v/>
      </c>
      <c r="C1943" s="67"/>
      <c r="D1943" s="23" t="str">
        <f aca="false">IFERROR(INDEX(分录回款!$E:$E,MATCH($L1943,分录回款!$L:$L,0)),"")</f>
        <v/>
      </c>
      <c r="E1943" s="23" t="str">
        <f aca="false">IFERROR(INDEX(分录回款!$F:$F,MATCH($L1943,分录回款!$L:$L,0)),"")</f>
        <v/>
      </c>
      <c r="F1943" s="68" t="str">
        <f aca="false">IFERROR(INDEX(分录回款!$H:$H,MATCH($L1943,分录回款!$L:$L,0)),"")</f>
        <v/>
      </c>
      <c r="G1943" s="69" t="str">
        <f aca="false">IFERROR(INDEX(分录回款!$I:$I,MATCH($L1943,分录回款!$L:$L,0)),"")</f>
        <v/>
      </c>
      <c r="H1943" s="23"/>
      <c r="I1943" s="70"/>
      <c r="L1943" s="71" t="n">
        <f aca="false">IF(助手回款!$R$131="",-1,助手回款!$R$131*100+(助手回款!$S$131-1)*6+3)</f>
        <v>-1</v>
      </c>
    </row>
    <row r="1944" customFormat="false" ht="23.25" hidden="false" customHeight="true" outlineLevel="0" collapsed="false">
      <c r="B1944" s="67" t="str">
        <f aca="false">""</f>
        <v/>
      </c>
      <c r="C1944" s="67"/>
      <c r="D1944" s="23" t="str">
        <f aca="false">IFERROR(INDEX(分录回款!$E:$E,MATCH($L1944,分录回款!$L:$L,0)),"")</f>
        <v/>
      </c>
      <c r="E1944" s="23" t="str">
        <f aca="false">IFERROR(INDEX(分录回款!$F:$F,MATCH($L1944,分录回款!$L:$L,0)),"")</f>
        <v/>
      </c>
      <c r="F1944" s="68" t="str">
        <f aca="false">IFERROR(INDEX(分录回款!$H:$H,MATCH($L1944,分录回款!$L:$L,0)),"")</f>
        <v/>
      </c>
      <c r="G1944" s="69" t="str">
        <f aca="false">IFERROR(INDEX(分录回款!$I:$I,MATCH($L1944,分录回款!$L:$L,0)),"")</f>
        <v/>
      </c>
      <c r="H1944" s="23"/>
      <c r="I1944" s="70"/>
      <c r="L1944" s="71" t="n">
        <f aca="false">IF(助手回款!$R$131="",-1,助手回款!$R$131*100+(助手回款!$S$131-1)*6+4)</f>
        <v>-1</v>
      </c>
    </row>
    <row r="1945" customFormat="false" ht="23.25" hidden="false" customHeight="true" outlineLevel="0" collapsed="false">
      <c r="B1945" s="67" t="str">
        <f aca="false">""</f>
        <v/>
      </c>
      <c r="C1945" s="67"/>
      <c r="D1945" s="23" t="str">
        <f aca="false">IFERROR(INDEX(分录回款!$E:$E,MATCH($L1945,分录回款!$L:$L,0)),"")</f>
        <v/>
      </c>
      <c r="E1945" s="23" t="str">
        <f aca="false">IFERROR(INDEX(分录回款!$F:$F,MATCH($L1945,分录回款!$L:$L,0)),"")</f>
        <v/>
      </c>
      <c r="F1945" s="68" t="str">
        <f aca="false">IFERROR(INDEX(分录回款!$H:$H,MATCH($L1945,分录回款!$L:$L,0)),"")</f>
        <v/>
      </c>
      <c r="G1945" s="69" t="str">
        <f aca="false">IFERROR(INDEX(分录回款!$I:$I,MATCH($L1945,分录回款!$L:$L,0)),"")</f>
        <v/>
      </c>
      <c r="H1945" s="23"/>
      <c r="I1945" s="70"/>
      <c r="L1945" s="71" t="n">
        <f aca="false">IF(助手回款!$R$131="",-1,助手回款!$R$131*100+(助手回款!$S$131-1)*6+5)</f>
        <v>-1</v>
      </c>
    </row>
    <row r="1946" customFormat="false" ht="23.25" hidden="false" customHeight="true" outlineLevel="0" collapsed="false">
      <c r="B1946" s="67" t="str">
        <f aca="false">""</f>
        <v/>
      </c>
      <c r="C1946" s="67"/>
      <c r="D1946" s="23" t="str">
        <f aca="false">IFERROR(INDEX(分录回款!$E:$E,MATCH($L1946,分录回款!$L:$L,0)),"")</f>
        <v/>
      </c>
      <c r="E1946" s="23" t="str">
        <f aca="false">IFERROR(INDEX(分录回款!$F:$F,MATCH($L1946,分录回款!$L:$L,0)),"")</f>
        <v/>
      </c>
      <c r="F1946" s="68" t="str">
        <f aca="false">IFERROR(INDEX(分录回款!$H:$H,MATCH($L1946,分录回款!$L:$L,0)),"")</f>
        <v/>
      </c>
      <c r="G1946" s="69" t="str">
        <f aca="false">IFERROR(INDEX(分录回款!$I:$I,MATCH($L1946,分录回款!$L:$L,0)),"")</f>
        <v/>
      </c>
      <c r="H1946" s="23"/>
      <c r="I1946" s="70"/>
      <c r="L1946" s="71" t="n">
        <f aca="false">IF(助手回款!$R$131="",-1,助手回款!$R$131*100+(助手回款!$S$131-1)*6+6)</f>
        <v>-1</v>
      </c>
    </row>
    <row r="1947" customFormat="false" ht="23.25" hidden="false" customHeight="true" outlineLevel="0" collapsed="false">
      <c r="B1947" s="72" t="str">
        <f aca="false">IF(助手回款!$T$131=1,"合计：","")</f>
        <v/>
      </c>
      <c r="C1947" s="73" t="str">
        <f aca="false">IF(助手回款!$T$131=1,$F1947,"")</f>
        <v/>
      </c>
      <c r="D1947" s="74"/>
      <c r="E1947" s="74"/>
      <c r="F1947" s="75" t="str">
        <f aca="false">IF(助手回款!$T$131=1,INDEX(助手回款!$N$2:$N$66,助手回款!$R$131),"")</f>
        <v/>
      </c>
      <c r="G1947" s="76" t="str">
        <f aca="false">IF(助手回款!$T$131=1,INDEX(助手回款!$O$2:$O$66,助手回款!$R$131),"")</f>
        <v/>
      </c>
      <c r="H1947" s="74"/>
      <c r="I1947" s="77"/>
    </row>
    <row r="1948" customFormat="false" ht="6" hidden="false" customHeight="true" outlineLevel="0" collapsed="false"/>
    <row r="1949" customFormat="false" ht="13.5" hidden="false" customHeight="false" outlineLevel="0" collapsed="false">
      <c r="B1949" s="78" t="str">
        <f aca="false">IF(助手回款!$R$131&lt;&gt;"","会计主管：","")</f>
        <v/>
      </c>
      <c r="D1949" s="78" t="str">
        <f aca="false">IF(助手回款!$R$131&lt;&gt;"","会计：","")</f>
        <v/>
      </c>
      <c r="E1949" s="78" t="str">
        <f aca="false">IF(助手回款!$R$131&lt;&gt;"","出纳：","")</f>
        <v/>
      </c>
      <c r="F1949" s="78" t="str">
        <f aca="false">IF(助手回款!$R$131&lt;&gt;"","复核：","")</f>
        <v/>
      </c>
      <c r="G1949" s="78" t="str">
        <f aca="false">IF(助手回款!$R$131&lt;&gt;"","制单：","")</f>
        <v/>
      </c>
    </row>
    <row r="1950" customFormat="false" ht="3" hidden="false" customHeight="true" outlineLevel="0" collapsed="false"/>
    <row r="1951" customFormat="false" ht="19.5" hidden="false" customHeight="true" outlineLevel="0" collapsed="false">
      <c r="B1951" s="53" t="str">
        <f aca="false">IF(助手回款!$R$132&lt;&gt;"","记  账  凭  证","")</f>
        <v/>
      </c>
      <c r="C1951" s="53"/>
      <c r="D1951" s="53"/>
      <c r="E1951" s="53"/>
      <c r="F1951" s="53"/>
      <c r="G1951" s="53"/>
      <c r="H1951" s="53"/>
      <c r="I1951" s="53"/>
    </row>
    <row r="1952" customFormat="false" ht="3" hidden="false" customHeight="true" outlineLevel="0" collapsed="false"/>
    <row r="1953" customFormat="false" ht="15" hidden="false" customHeight="true" outlineLevel="0" collapsed="false">
      <c r="C1953" s="56" t="str">
        <f aca="false">IF(助手回款!$R$132&lt;&gt;"",INDEX(助手回款!$B$2:$B$66,助手回款!$R$132),"")</f>
        <v/>
      </c>
      <c r="D1953" s="57" t="str">
        <f aca="false">IF(助手回款!$R$132&lt;&gt;"",参数!$B$2,"")</f>
        <v/>
      </c>
      <c r="E1953" s="57"/>
      <c r="F1953" s="58" t="str">
        <f aca="false">IF(助手回款!$R$132&lt;&gt;"",INDEX(助手回款!$C$2:$C$66,助手回款!$R$132)&amp;"  字第 "&amp;IF(参数!$B$9="是",INDEX(助手回款!$P$2:$P$66,助手回款!$R$132),"　　　　")&amp;" 号"&amp;IF(INDEX(助手回款!$L$2:$L$66,助手回款!$R$132)&gt;1,"  (共"&amp;INDEX(助手回款!$L$2:$L$66,助手回款!$R$132)&amp;"页 第"&amp;助手回款!$S$132&amp;"页)",""),"")</f>
        <v/>
      </c>
      <c r="G1953" s="58"/>
      <c r="H1953" s="58"/>
      <c r="I1953" s="58"/>
      <c r="M1953" s="79" t="str">
        <f aca="false">IF(助手回款!$R$132="","",助手回款!$Q$132)</f>
        <v/>
      </c>
      <c r="N1953" s="80" t="str">
        <f aca="false">IF(助手回款!$R$132="","",INDEX(助手回款!$P$2:$P$66,助手回款!$R$132))</f>
        <v/>
      </c>
      <c r="O1953" s="55" t="str">
        <f aca="false">IF(助手回款!$R$132="","",INDEX(助手回款!$C$2:$C$66,助手回款!$R$132)&amp;"  字第 "&amp;INDEX(助手回款!$P$2:$P$66,助手回款!$R$132)&amp;" 号"&amp;IF(INDEX(助手回款!$L$2:$L$66,助手回款!$R$132)&gt;1,"  (共"&amp;INDEX(助手回款!$L$2:$L$66,助手回款!$R$132)&amp;"页 第"&amp;助手回款!$S$132&amp;"页)",""))</f>
        <v/>
      </c>
    </row>
    <row r="1954" customFormat="false" ht="12.75" hidden="false" customHeight="true" outlineLevel="0" collapsed="false">
      <c r="B1954" s="61" t="str">
        <f aca="false">IF(助手回款!$R$132&lt;&gt;"","摘　　要","")</f>
        <v/>
      </c>
      <c r="C1954" s="61"/>
      <c r="D1954" s="62" t="str">
        <f aca="false">IF(助手回款!$R$132&lt;&gt;"","科　　　　目","")</f>
        <v/>
      </c>
      <c r="E1954" s="62"/>
      <c r="F1954" s="61" t="str">
        <f aca="false">IF(助手回款!$R$132&lt;&gt;"","借 方 金 额","")</f>
        <v/>
      </c>
      <c r="G1954" s="62" t="str">
        <f aca="false">IF(助手回款!$R$132&lt;&gt;"","贷 方 金 额","")</f>
        <v/>
      </c>
      <c r="H1954" s="63" t="str">
        <f aca="false">IF(助手回款!$R$132&lt;&gt;"","√","")</f>
        <v/>
      </c>
      <c r="I1954" s="64" t="str">
        <f aca="false">IF(助手回款!$R$132&lt;&gt;"","附单据  张","")</f>
        <v/>
      </c>
    </row>
    <row r="1955" customFormat="false" ht="12.75" hidden="false" customHeight="true" outlineLevel="0" collapsed="false">
      <c r="B1955" s="61"/>
      <c r="C1955" s="61"/>
      <c r="D1955" s="23" t="str">
        <f aca="false">IF(助手回款!$R$132&lt;&gt;"","总 账 科 目","")</f>
        <v/>
      </c>
      <c r="E1955" s="23" t="str">
        <f aca="false">IF(助手回款!$R$132&lt;&gt;"","明 细 科 目","")</f>
        <v/>
      </c>
      <c r="F1955" s="65"/>
      <c r="G1955" s="66"/>
      <c r="H1955" s="63"/>
      <c r="I1955" s="64"/>
    </row>
    <row r="1956" customFormat="false" ht="23.25" hidden="false" customHeight="true" outlineLevel="0" collapsed="false">
      <c r="B1956" s="67" t="str">
        <f aca="false">IFERROR(INDEX(分录回款!$M:$M,MATCH($L1956,分录回款!$L:$L,0)),"")</f>
        <v/>
      </c>
      <c r="C1956" s="67"/>
      <c r="D1956" s="23" t="str">
        <f aca="false">IFERROR(INDEX(分录回款!$E:$E,MATCH($L1956,分录回款!$L:$L,0)),"")</f>
        <v/>
      </c>
      <c r="E1956" s="23" t="str">
        <f aca="false">IFERROR(INDEX(分录回款!$F:$F,MATCH($L1956,分录回款!$L:$L,0)),"")</f>
        <v/>
      </c>
      <c r="F1956" s="68" t="str">
        <f aca="false">IFERROR(INDEX(分录回款!$H:$H,MATCH($L1956,分录回款!$L:$L,0)),"")</f>
        <v/>
      </c>
      <c r="G1956" s="69" t="str">
        <f aca="false">IFERROR(INDEX(分录回款!$I:$I,MATCH($L1956,分录回款!$L:$L,0)),"")</f>
        <v/>
      </c>
      <c r="H1956" s="23"/>
      <c r="I1956" s="70"/>
      <c r="L1956" s="71" t="n">
        <f aca="false">IF(助手回款!$R$132="",-1,助手回款!$R$132*100+(助手回款!$S$132-1)*6+1)</f>
        <v>-1</v>
      </c>
    </row>
    <row r="1957" customFormat="false" ht="23.25" hidden="false" customHeight="true" outlineLevel="0" collapsed="false">
      <c r="B1957" s="67" t="str">
        <f aca="false">""</f>
        <v/>
      </c>
      <c r="C1957" s="67"/>
      <c r="D1957" s="23" t="str">
        <f aca="false">IFERROR(INDEX(分录回款!$E:$E,MATCH($L1957,分录回款!$L:$L,0)),"")</f>
        <v/>
      </c>
      <c r="E1957" s="23" t="str">
        <f aca="false">IFERROR(INDEX(分录回款!$F:$F,MATCH($L1957,分录回款!$L:$L,0)),"")</f>
        <v/>
      </c>
      <c r="F1957" s="68" t="str">
        <f aca="false">IFERROR(INDEX(分录回款!$H:$H,MATCH($L1957,分录回款!$L:$L,0)),"")</f>
        <v/>
      </c>
      <c r="G1957" s="69" t="str">
        <f aca="false">IFERROR(INDEX(分录回款!$I:$I,MATCH($L1957,分录回款!$L:$L,0)),"")</f>
        <v/>
      </c>
      <c r="H1957" s="23"/>
      <c r="I1957" s="70"/>
      <c r="L1957" s="71" t="n">
        <f aca="false">IF(助手回款!$R$132="",-1,助手回款!$R$132*100+(助手回款!$S$132-1)*6+2)</f>
        <v>-1</v>
      </c>
    </row>
    <row r="1958" customFormat="false" ht="23.25" hidden="false" customHeight="true" outlineLevel="0" collapsed="false">
      <c r="B1958" s="67" t="str">
        <f aca="false">""</f>
        <v/>
      </c>
      <c r="C1958" s="67"/>
      <c r="D1958" s="23" t="str">
        <f aca="false">IFERROR(INDEX(分录回款!$E:$E,MATCH($L1958,分录回款!$L:$L,0)),"")</f>
        <v/>
      </c>
      <c r="E1958" s="23" t="str">
        <f aca="false">IFERROR(INDEX(分录回款!$F:$F,MATCH($L1958,分录回款!$L:$L,0)),"")</f>
        <v/>
      </c>
      <c r="F1958" s="68" t="str">
        <f aca="false">IFERROR(INDEX(分录回款!$H:$H,MATCH($L1958,分录回款!$L:$L,0)),"")</f>
        <v/>
      </c>
      <c r="G1958" s="69" t="str">
        <f aca="false">IFERROR(INDEX(分录回款!$I:$I,MATCH($L1958,分录回款!$L:$L,0)),"")</f>
        <v/>
      </c>
      <c r="H1958" s="23"/>
      <c r="I1958" s="70"/>
      <c r="L1958" s="71" t="n">
        <f aca="false">IF(助手回款!$R$132="",-1,助手回款!$R$132*100+(助手回款!$S$132-1)*6+3)</f>
        <v>-1</v>
      </c>
    </row>
    <row r="1959" customFormat="false" ht="23.25" hidden="false" customHeight="true" outlineLevel="0" collapsed="false">
      <c r="B1959" s="67" t="str">
        <f aca="false">""</f>
        <v/>
      </c>
      <c r="C1959" s="67"/>
      <c r="D1959" s="23" t="str">
        <f aca="false">IFERROR(INDEX(分录回款!$E:$E,MATCH($L1959,分录回款!$L:$L,0)),"")</f>
        <v/>
      </c>
      <c r="E1959" s="23" t="str">
        <f aca="false">IFERROR(INDEX(分录回款!$F:$F,MATCH($L1959,分录回款!$L:$L,0)),"")</f>
        <v/>
      </c>
      <c r="F1959" s="68" t="str">
        <f aca="false">IFERROR(INDEX(分录回款!$H:$H,MATCH($L1959,分录回款!$L:$L,0)),"")</f>
        <v/>
      </c>
      <c r="G1959" s="69" t="str">
        <f aca="false">IFERROR(INDEX(分录回款!$I:$I,MATCH($L1959,分录回款!$L:$L,0)),"")</f>
        <v/>
      </c>
      <c r="H1959" s="23"/>
      <c r="I1959" s="70"/>
      <c r="L1959" s="71" t="n">
        <f aca="false">IF(助手回款!$R$132="",-1,助手回款!$R$132*100+(助手回款!$S$132-1)*6+4)</f>
        <v>-1</v>
      </c>
    </row>
    <row r="1960" customFormat="false" ht="23.25" hidden="false" customHeight="true" outlineLevel="0" collapsed="false">
      <c r="B1960" s="67" t="str">
        <f aca="false">""</f>
        <v/>
      </c>
      <c r="C1960" s="67"/>
      <c r="D1960" s="23" t="str">
        <f aca="false">IFERROR(INDEX(分录回款!$E:$E,MATCH($L1960,分录回款!$L:$L,0)),"")</f>
        <v/>
      </c>
      <c r="E1960" s="23" t="str">
        <f aca="false">IFERROR(INDEX(分录回款!$F:$F,MATCH($L1960,分录回款!$L:$L,0)),"")</f>
        <v/>
      </c>
      <c r="F1960" s="68" t="str">
        <f aca="false">IFERROR(INDEX(分录回款!$H:$H,MATCH($L1960,分录回款!$L:$L,0)),"")</f>
        <v/>
      </c>
      <c r="G1960" s="69" t="str">
        <f aca="false">IFERROR(INDEX(分录回款!$I:$I,MATCH($L1960,分录回款!$L:$L,0)),"")</f>
        <v/>
      </c>
      <c r="H1960" s="23"/>
      <c r="I1960" s="70"/>
      <c r="L1960" s="71" t="n">
        <f aca="false">IF(助手回款!$R$132="",-1,助手回款!$R$132*100+(助手回款!$S$132-1)*6+5)</f>
        <v>-1</v>
      </c>
    </row>
    <row r="1961" customFormat="false" ht="23.25" hidden="false" customHeight="true" outlineLevel="0" collapsed="false">
      <c r="B1961" s="67" t="str">
        <f aca="false">""</f>
        <v/>
      </c>
      <c r="C1961" s="67"/>
      <c r="D1961" s="23" t="str">
        <f aca="false">IFERROR(INDEX(分录回款!$E:$E,MATCH($L1961,分录回款!$L:$L,0)),"")</f>
        <v/>
      </c>
      <c r="E1961" s="23" t="str">
        <f aca="false">IFERROR(INDEX(分录回款!$F:$F,MATCH($L1961,分录回款!$L:$L,0)),"")</f>
        <v/>
      </c>
      <c r="F1961" s="68" t="str">
        <f aca="false">IFERROR(INDEX(分录回款!$H:$H,MATCH($L1961,分录回款!$L:$L,0)),"")</f>
        <v/>
      </c>
      <c r="G1961" s="69" t="str">
        <f aca="false">IFERROR(INDEX(分录回款!$I:$I,MATCH($L1961,分录回款!$L:$L,0)),"")</f>
        <v/>
      </c>
      <c r="H1961" s="23"/>
      <c r="I1961" s="70"/>
      <c r="L1961" s="71" t="n">
        <f aca="false">IF(助手回款!$R$132="",-1,助手回款!$R$132*100+(助手回款!$S$132-1)*6+6)</f>
        <v>-1</v>
      </c>
    </row>
    <row r="1962" customFormat="false" ht="23.25" hidden="false" customHeight="true" outlineLevel="0" collapsed="false">
      <c r="B1962" s="72" t="str">
        <f aca="false">IF(助手回款!$T$132=1,"合计：","")</f>
        <v/>
      </c>
      <c r="C1962" s="73" t="str">
        <f aca="false">IF(助手回款!$T$132=1,$F1962,"")</f>
        <v/>
      </c>
      <c r="D1962" s="74"/>
      <c r="E1962" s="74"/>
      <c r="F1962" s="75" t="str">
        <f aca="false">IF(助手回款!$T$132=1,INDEX(助手回款!$N$2:$N$66,助手回款!$R$132),"")</f>
        <v/>
      </c>
      <c r="G1962" s="76" t="str">
        <f aca="false">IF(助手回款!$T$132=1,INDEX(助手回款!$O$2:$O$66,助手回款!$R$132),"")</f>
        <v/>
      </c>
      <c r="H1962" s="74"/>
      <c r="I1962" s="77"/>
    </row>
    <row r="1963" customFormat="false" ht="6" hidden="false" customHeight="true" outlineLevel="0" collapsed="false"/>
    <row r="1964" customFormat="false" ht="13.5" hidden="false" customHeight="false" outlineLevel="0" collapsed="false">
      <c r="B1964" s="78" t="str">
        <f aca="false">IF(助手回款!$R$132&lt;&gt;"","会计主管：","")</f>
        <v/>
      </c>
      <c r="D1964" s="78" t="str">
        <f aca="false">IF(助手回款!$R$132&lt;&gt;"","会计：","")</f>
        <v/>
      </c>
      <c r="E1964" s="78" t="str">
        <f aca="false">IF(助手回款!$R$132&lt;&gt;"","出纳：","")</f>
        <v/>
      </c>
      <c r="F1964" s="78" t="str">
        <f aca="false">IF(助手回款!$R$132&lt;&gt;"","复核：","")</f>
        <v/>
      </c>
      <c r="G1964" s="78" t="str">
        <f aca="false">IF(助手回款!$R$132&lt;&gt;"","制单：","")</f>
        <v/>
      </c>
    </row>
    <row r="1965" customFormat="false" ht="3" hidden="false" customHeight="true" outlineLevel="0" collapsed="false"/>
    <row r="1966" customFormat="false" ht="19.5" hidden="false" customHeight="true" outlineLevel="0" collapsed="false">
      <c r="B1966" s="53" t="str">
        <f aca="false">IF(助手回款!$R$133&lt;&gt;"","记  账  凭  证","")</f>
        <v/>
      </c>
      <c r="C1966" s="53"/>
      <c r="D1966" s="53"/>
      <c r="E1966" s="53"/>
      <c r="F1966" s="53"/>
      <c r="G1966" s="53"/>
      <c r="H1966" s="53"/>
      <c r="I1966" s="53"/>
    </row>
    <row r="1967" customFormat="false" ht="3" hidden="false" customHeight="true" outlineLevel="0" collapsed="false"/>
    <row r="1968" customFormat="false" ht="15" hidden="false" customHeight="true" outlineLevel="0" collapsed="false">
      <c r="C1968" s="56" t="str">
        <f aca="false">IF(助手回款!$R$133&lt;&gt;"",INDEX(助手回款!$B$2:$B$66,助手回款!$R$133),"")</f>
        <v/>
      </c>
      <c r="D1968" s="57" t="str">
        <f aca="false">IF(助手回款!$R$133&lt;&gt;"",参数!$B$2,"")</f>
        <v/>
      </c>
      <c r="E1968" s="57"/>
      <c r="F1968" s="58" t="str">
        <f aca="false">IF(助手回款!$R$133&lt;&gt;"",INDEX(助手回款!$C$2:$C$66,助手回款!$R$133)&amp;"  字第 "&amp;IF(参数!$B$9="是",INDEX(助手回款!$P$2:$P$66,助手回款!$R$133),"　　　　")&amp;" 号"&amp;IF(INDEX(助手回款!$L$2:$L$66,助手回款!$R$133)&gt;1,"  (共"&amp;INDEX(助手回款!$L$2:$L$66,助手回款!$R$133)&amp;"页 第"&amp;助手回款!$S$133&amp;"页)",""),"")</f>
        <v/>
      </c>
      <c r="G1968" s="58"/>
      <c r="H1968" s="58"/>
      <c r="I1968" s="58"/>
      <c r="M1968" s="79" t="str">
        <f aca="false">IF(助手回款!$R$133="","",助手回款!$Q$133)</f>
        <v/>
      </c>
      <c r="N1968" s="80" t="str">
        <f aca="false">IF(助手回款!$R$133="","",INDEX(助手回款!$P$2:$P$66,助手回款!$R$133))</f>
        <v/>
      </c>
      <c r="O1968" s="55" t="str">
        <f aca="false">IF(助手回款!$R$133="","",INDEX(助手回款!$C$2:$C$66,助手回款!$R$133)&amp;"  字第 "&amp;INDEX(助手回款!$P$2:$P$66,助手回款!$R$133)&amp;" 号"&amp;IF(INDEX(助手回款!$L$2:$L$66,助手回款!$R$133)&gt;1,"  (共"&amp;INDEX(助手回款!$L$2:$L$66,助手回款!$R$133)&amp;"页 第"&amp;助手回款!$S$133&amp;"页)",""))</f>
        <v/>
      </c>
    </row>
    <row r="1969" customFormat="false" ht="12.75" hidden="false" customHeight="true" outlineLevel="0" collapsed="false">
      <c r="B1969" s="61" t="str">
        <f aca="false">IF(助手回款!$R$133&lt;&gt;"","摘　　要","")</f>
        <v/>
      </c>
      <c r="C1969" s="61"/>
      <c r="D1969" s="62" t="str">
        <f aca="false">IF(助手回款!$R$133&lt;&gt;"","科　　　　目","")</f>
        <v/>
      </c>
      <c r="E1969" s="62"/>
      <c r="F1969" s="61" t="str">
        <f aca="false">IF(助手回款!$R$133&lt;&gt;"","借 方 金 额","")</f>
        <v/>
      </c>
      <c r="G1969" s="62" t="str">
        <f aca="false">IF(助手回款!$R$133&lt;&gt;"","贷 方 金 额","")</f>
        <v/>
      </c>
      <c r="H1969" s="63" t="str">
        <f aca="false">IF(助手回款!$R$133&lt;&gt;"","√","")</f>
        <v/>
      </c>
      <c r="I1969" s="64" t="str">
        <f aca="false">IF(助手回款!$R$133&lt;&gt;"","附单据  张","")</f>
        <v/>
      </c>
    </row>
    <row r="1970" customFormat="false" ht="12.75" hidden="false" customHeight="true" outlineLevel="0" collapsed="false">
      <c r="B1970" s="61"/>
      <c r="C1970" s="61"/>
      <c r="D1970" s="23" t="str">
        <f aca="false">IF(助手回款!$R$133&lt;&gt;"","总 账 科 目","")</f>
        <v/>
      </c>
      <c r="E1970" s="23" t="str">
        <f aca="false">IF(助手回款!$R$133&lt;&gt;"","明 细 科 目","")</f>
        <v/>
      </c>
      <c r="F1970" s="65"/>
      <c r="G1970" s="66"/>
      <c r="H1970" s="63"/>
      <c r="I1970" s="64"/>
    </row>
    <row r="1971" customFormat="false" ht="23.25" hidden="false" customHeight="true" outlineLevel="0" collapsed="false">
      <c r="B1971" s="67" t="str">
        <f aca="false">IFERROR(INDEX(分录回款!$M:$M,MATCH($L1971,分录回款!$L:$L,0)),"")</f>
        <v/>
      </c>
      <c r="C1971" s="67"/>
      <c r="D1971" s="23" t="str">
        <f aca="false">IFERROR(INDEX(分录回款!$E:$E,MATCH($L1971,分录回款!$L:$L,0)),"")</f>
        <v/>
      </c>
      <c r="E1971" s="23" t="str">
        <f aca="false">IFERROR(INDEX(分录回款!$F:$F,MATCH($L1971,分录回款!$L:$L,0)),"")</f>
        <v/>
      </c>
      <c r="F1971" s="68" t="str">
        <f aca="false">IFERROR(INDEX(分录回款!$H:$H,MATCH($L1971,分录回款!$L:$L,0)),"")</f>
        <v/>
      </c>
      <c r="G1971" s="69" t="str">
        <f aca="false">IFERROR(INDEX(分录回款!$I:$I,MATCH($L1971,分录回款!$L:$L,0)),"")</f>
        <v/>
      </c>
      <c r="H1971" s="23"/>
      <c r="I1971" s="70"/>
      <c r="L1971" s="71" t="n">
        <f aca="false">IF(助手回款!$R$133="",-1,助手回款!$R$133*100+(助手回款!$S$133-1)*6+1)</f>
        <v>-1</v>
      </c>
    </row>
    <row r="1972" customFormat="false" ht="23.25" hidden="false" customHeight="true" outlineLevel="0" collapsed="false">
      <c r="B1972" s="67" t="str">
        <f aca="false">""</f>
        <v/>
      </c>
      <c r="C1972" s="67"/>
      <c r="D1972" s="23" t="str">
        <f aca="false">IFERROR(INDEX(分录回款!$E:$E,MATCH($L1972,分录回款!$L:$L,0)),"")</f>
        <v/>
      </c>
      <c r="E1972" s="23" t="str">
        <f aca="false">IFERROR(INDEX(分录回款!$F:$F,MATCH($L1972,分录回款!$L:$L,0)),"")</f>
        <v/>
      </c>
      <c r="F1972" s="68" t="str">
        <f aca="false">IFERROR(INDEX(分录回款!$H:$H,MATCH($L1972,分录回款!$L:$L,0)),"")</f>
        <v/>
      </c>
      <c r="G1972" s="69" t="str">
        <f aca="false">IFERROR(INDEX(分录回款!$I:$I,MATCH($L1972,分录回款!$L:$L,0)),"")</f>
        <v/>
      </c>
      <c r="H1972" s="23"/>
      <c r="I1972" s="70"/>
      <c r="L1972" s="71" t="n">
        <f aca="false">IF(助手回款!$R$133="",-1,助手回款!$R$133*100+(助手回款!$S$133-1)*6+2)</f>
        <v>-1</v>
      </c>
    </row>
    <row r="1973" customFormat="false" ht="23.25" hidden="false" customHeight="true" outlineLevel="0" collapsed="false">
      <c r="B1973" s="67" t="str">
        <f aca="false">""</f>
        <v/>
      </c>
      <c r="C1973" s="67"/>
      <c r="D1973" s="23" t="str">
        <f aca="false">IFERROR(INDEX(分录回款!$E:$E,MATCH($L1973,分录回款!$L:$L,0)),"")</f>
        <v/>
      </c>
      <c r="E1973" s="23" t="str">
        <f aca="false">IFERROR(INDEX(分录回款!$F:$F,MATCH($L1973,分录回款!$L:$L,0)),"")</f>
        <v/>
      </c>
      <c r="F1973" s="68" t="str">
        <f aca="false">IFERROR(INDEX(分录回款!$H:$H,MATCH($L1973,分录回款!$L:$L,0)),"")</f>
        <v/>
      </c>
      <c r="G1973" s="69" t="str">
        <f aca="false">IFERROR(INDEX(分录回款!$I:$I,MATCH($L1973,分录回款!$L:$L,0)),"")</f>
        <v/>
      </c>
      <c r="H1973" s="23"/>
      <c r="I1973" s="70"/>
      <c r="L1973" s="71" t="n">
        <f aca="false">IF(助手回款!$R$133="",-1,助手回款!$R$133*100+(助手回款!$S$133-1)*6+3)</f>
        <v>-1</v>
      </c>
    </row>
    <row r="1974" customFormat="false" ht="23.25" hidden="false" customHeight="true" outlineLevel="0" collapsed="false">
      <c r="B1974" s="67" t="str">
        <f aca="false">""</f>
        <v/>
      </c>
      <c r="C1974" s="67"/>
      <c r="D1974" s="23" t="str">
        <f aca="false">IFERROR(INDEX(分录回款!$E:$E,MATCH($L1974,分录回款!$L:$L,0)),"")</f>
        <v/>
      </c>
      <c r="E1974" s="23" t="str">
        <f aca="false">IFERROR(INDEX(分录回款!$F:$F,MATCH($L1974,分录回款!$L:$L,0)),"")</f>
        <v/>
      </c>
      <c r="F1974" s="68" t="str">
        <f aca="false">IFERROR(INDEX(分录回款!$H:$H,MATCH($L1974,分录回款!$L:$L,0)),"")</f>
        <v/>
      </c>
      <c r="G1974" s="69" t="str">
        <f aca="false">IFERROR(INDEX(分录回款!$I:$I,MATCH($L1974,分录回款!$L:$L,0)),"")</f>
        <v/>
      </c>
      <c r="H1974" s="23"/>
      <c r="I1974" s="70"/>
      <c r="L1974" s="71" t="n">
        <f aca="false">IF(助手回款!$R$133="",-1,助手回款!$R$133*100+(助手回款!$S$133-1)*6+4)</f>
        <v>-1</v>
      </c>
    </row>
    <row r="1975" customFormat="false" ht="23.25" hidden="false" customHeight="true" outlineLevel="0" collapsed="false">
      <c r="B1975" s="67" t="str">
        <f aca="false">""</f>
        <v/>
      </c>
      <c r="C1975" s="67"/>
      <c r="D1975" s="23" t="str">
        <f aca="false">IFERROR(INDEX(分录回款!$E:$E,MATCH($L1975,分录回款!$L:$L,0)),"")</f>
        <v/>
      </c>
      <c r="E1975" s="23" t="str">
        <f aca="false">IFERROR(INDEX(分录回款!$F:$F,MATCH($L1975,分录回款!$L:$L,0)),"")</f>
        <v/>
      </c>
      <c r="F1975" s="68" t="str">
        <f aca="false">IFERROR(INDEX(分录回款!$H:$H,MATCH($L1975,分录回款!$L:$L,0)),"")</f>
        <v/>
      </c>
      <c r="G1975" s="69" t="str">
        <f aca="false">IFERROR(INDEX(分录回款!$I:$I,MATCH($L1975,分录回款!$L:$L,0)),"")</f>
        <v/>
      </c>
      <c r="H1975" s="23"/>
      <c r="I1975" s="70"/>
      <c r="L1975" s="71" t="n">
        <f aca="false">IF(助手回款!$R$133="",-1,助手回款!$R$133*100+(助手回款!$S$133-1)*6+5)</f>
        <v>-1</v>
      </c>
    </row>
    <row r="1976" customFormat="false" ht="23.25" hidden="false" customHeight="true" outlineLevel="0" collapsed="false">
      <c r="B1976" s="67" t="str">
        <f aca="false">""</f>
        <v/>
      </c>
      <c r="C1976" s="67"/>
      <c r="D1976" s="23" t="str">
        <f aca="false">IFERROR(INDEX(分录回款!$E:$E,MATCH($L1976,分录回款!$L:$L,0)),"")</f>
        <v/>
      </c>
      <c r="E1976" s="23" t="str">
        <f aca="false">IFERROR(INDEX(分录回款!$F:$F,MATCH($L1976,分录回款!$L:$L,0)),"")</f>
        <v/>
      </c>
      <c r="F1976" s="68" t="str">
        <f aca="false">IFERROR(INDEX(分录回款!$H:$H,MATCH($L1976,分录回款!$L:$L,0)),"")</f>
        <v/>
      </c>
      <c r="G1976" s="69" t="str">
        <f aca="false">IFERROR(INDEX(分录回款!$I:$I,MATCH($L1976,分录回款!$L:$L,0)),"")</f>
        <v/>
      </c>
      <c r="H1976" s="23"/>
      <c r="I1976" s="70"/>
      <c r="L1976" s="71" t="n">
        <f aca="false">IF(助手回款!$R$133="",-1,助手回款!$R$133*100+(助手回款!$S$133-1)*6+6)</f>
        <v>-1</v>
      </c>
    </row>
    <row r="1977" customFormat="false" ht="23.25" hidden="false" customHeight="true" outlineLevel="0" collapsed="false">
      <c r="B1977" s="72" t="str">
        <f aca="false">IF(助手回款!$T$133=1,"合计：","")</f>
        <v/>
      </c>
      <c r="C1977" s="73" t="str">
        <f aca="false">IF(助手回款!$T$133=1,$F1977,"")</f>
        <v/>
      </c>
      <c r="D1977" s="74"/>
      <c r="E1977" s="74"/>
      <c r="F1977" s="75" t="str">
        <f aca="false">IF(助手回款!$T$133=1,INDEX(助手回款!$N$2:$N$66,助手回款!$R$133),"")</f>
        <v/>
      </c>
      <c r="G1977" s="76" t="str">
        <f aca="false">IF(助手回款!$T$133=1,INDEX(助手回款!$O$2:$O$66,助手回款!$R$133),"")</f>
        <v/>
      </c>
      <c r="H1977" s="74"/>
      <c r="I1977" s="77"/>
    </row>
    <row r="1978" customFormat="false" ht="6" hidden="false" customHeight="true" outlineLevel="0" collapsed="false"/>
    <row r="1979" customFormat="false" ht="13.5" hidden="false" customHeight="false" outlineLevel="0" collapsed="false">
      <c r="B1979" s="78" t="str">
        <f aca="false">IF(助手回款!$R$133&lt;&gt;"","会计主管：","")</f>
        <v/>
      </c>
      <c r="D1979" s="78" t="str">
        <f aca="false">IF(助手回款!$R$133&lt;&gt;"","会计：","")</f>
        <v/>
      </c>
      <c r="E1979" s="78" t="str">
        <f aca="false">IF(助手回款!$R$133&lt;&gt;"","出纳：","")</f>
        <v/>
      </c>
      <c r="F1979" s="78" t="str">
        <f aca="false">IF(助手回款!$R$133&lt;&gt;"","复核：","")</f>
        <v/>
      </c>
      <c r="G1979" s="78" t="str">
        <f aca="false">IF(助手回款!$R$133&lt;&gt;"","制单：","")</f>
        <v/>
      </c>
    </row>
    <row r="1980" customFormat="false" ht="3" hidden="false" customHeight="true" outlineLevel="0" collapsed="false"/>
    <row r="1981" customFormat="false" ht="19.5" hidden="false" customHeight="true" outlineLevel="0" collapsed="false">
      <c r="B1981" s="53" t="str">
        <f aca="false">IF(助手回款!$R$134&lt;&gt;"","记  账  凭  证","")</f>
        <v/>
      </c>
      <c r="C1981" s="53"/>
      <c r="D1981" s="53"/>
      <c r="E1981" s="53"/>
      <c r="F1981" s="53"/>
      <c r="G1981" s="53"/>
      <c r="H1981" s="53"/>
      <c r="I1981" s="53"/>
    </row>
    <row r="1982" customFormat="false" ht="3" hidden="false" customHeight="true" outlineLevel="0" collapsed="false"/>
    <row r="1983" customFormat="false" ht="15" hidden="false" customHeight="true" outlineLevel="0" collapsed="false">
      <c r="C1983" s="56" t="str">
        <f aca="false">IF(助手回款!$R$134&lt;&gt;"",INDEX(助手回款!$B$2:$B$66,助手回款!$R$134),"")</f>
        <v/>
      </c>
      <c r="D1983" s="57" t="str">
        <f aca="false">IF(助手回款!$R$134&lt;&gt;"",参数!$B$2,"")</f>
        <v/>
      </c>
      <c r="E1983" s="57"/>
      <c r="F1983" s="58" t="str">
        <f aca="false">IF(助手回款!$R$134&lt;&gt;"",INDEX(助手回款!$C$2:$C$66,助手回款!$R$134)&amp;"  字第 "&amp;IF(参数!$B$9="是",INDEX(助手回款!$P$2:$P$66,助手回款!$R$134),"　　　　")&amp;" 号"&amp;IF(INDEX(助手回款!$L$2:$L$66,助手回款!$R$134)&gt;1,"  (共"&amp;INDEX(助手回款!$L$2:$L$66,助手回款!$R$134)&amp;"页 第"&amp;助手回款!$S$134&amp;"页)",""),"")</f>
        <v/>
      </c>
      <c r="G1983" s="58"/>
      <c r="H1983" s="58"/>
      <c r="I1983" s="58"/>
      <c r="M1983" s="79" t="str">
        <f aca="false">IF(助手回款!$R$134="","",助手回款!$Q$134)</f>
        <v/>
      </c>
      <c r="N1983" s="80" t="str">
        <f aca="false">IF(助手回款!$R$134="","",INDEX(助手回款!$P$2:$P$66,助手回款!$R$134))</f>
        <v/>
      </c>
      <c r="O1983" s="55" t="str">
        <f aca="false">IF(助手回款!$R$134="","",INDEX(助手回款!$C$2:$C$66,助手回款!$R$134)&amp;"  字第 "&amp;INDEX(助手回款!$P$2:$P$66,助手回款!$R$134)&amp;" 号"&amp;IF(INDEX(助手回款!$L$2:$L$66,助手回款!$R$134)&gt;1,"  (共"&amp;INDEX(助手回款!$L$2:$L$66,助手回款!$R$134)&amp;"页 第"&amp;助手回款!$S$134&amp;"页)",""))</f>
        <v/>
      </c>
    </row>
    <row r="1984" customFormat="false" ht="12.75" hidden="false" customHeight="true" outlineLevel="0" collapsed="false">
      <c r="B1984" s="61" t="str">
        <f aca="false">IF(助手回款!$R$134&lt;&gt;"","摘　　要","")</f>
        <v/>
      </c>
      <c r="C1984" s="61"/>
      <c r="D1984" s="62" t="str">
        <f aca="false">IF(助手回款!$R$134&lt;&gt;"","科　　　　目","")</f>
        <v/>
      </c>
      <c r="E1984" s="62"/>
      <c r="F1984" s="61" t="str">
        <f aca="false">IF(助手回款!$R$134&lt;&gt;"","借 方 金 额","")</f>
        <v/>
      </c>
      <c r="G1984" s="62" t="str">
        <f aca="false">IF(助手回款!$R$134&lt;&gt;"","贷 方 金 额","")</f>
        <v/>
      </c>
      <c r="H1984" s="63" t="str">
        <f aca="false">IF(助手回款!$R$134&lt;&gt;"","√","")</f>
        <v/>
      </c>
      <c r="I1984" s="64" t="str">
        <f aca="false">IF(助手回款!$R$134&lt;&gt;"","附单据  张","")</f>
        <v/>
      </c>
    </row>
    <row r="1985" customFormat="false" ht="12.75" hidden="false" customHeight="true" outlineLevel="0" collapsed="false">
      <c r="B1985" s="61"/>
      <c r="C1985" s="61"/>
      <c r="D1985" s="23" t="str">
        <f aca="false">IF(助手回款!$R$134&lt;&gt;"","总 账 科 目","")</f>
        <v/>
      </c>
      <c r="E1985" s="23" t="str">
        <f aca="false">IF(助手回款!$R$134&lt;&gt;"","明 细 科 目","")</f>
        <v/>
      </c>
      <c r="F1985" s="65"/>
      <c r="G1985" s="66"/>
      <c r="H1985" s="63"/>
      <c r="I1985" s="64"/>
    </row>
    <row r="1986" customFormat="false" ht="23.25" hidden="false" customHeight="true" outlineLevel="0" collapsed="false">
      <c r="B1986" s="67" t="str">
        <f aca="false">IFERROR(INDEX(分录回款!$M:$M,MATCH($L1986,分录回款!$L:$L,0)),"")</f>
        <v/>
      </c>
      <c r="C1986" s="67"/>
      <c r="D1986" s="23" t="str">
        <f aca="false">IFERROR(INDEX(分录回款!$E:$E,MATCH($L1986,分录回款!$L:$L,0)),"")</f>
        <v/>
      </c>
      <c r="E1986" s="23" t="str">
        <f aca="false">IFERROR(INDEX(分录回款!$F:$F,MATCH($L1986,分录回款!$L:$L,0)),"")</f>
        <v/>
      </c>
      <c r="F1986" s="68" t="str">
        <f aca="false">IFERROR(INDEX(分录回款!$H:$H,MATCH($L1986,分录回款!$L:$L,0)),"")</f>
        <v/>
      </c>
      <c r="G1986" s="69" t="str">
        <f aca="false">IFERROR(INDEX(分录回款!$I:$I,MATCH($L1986,分录回款!$L:$L,0)),"")</f>
        <v/>
      </c>
      <c r="H1986" s="23"/>
      <c r="I1986" s="70"/>
      <c r="L1986" s="71" t="n">
        <f aca="false">IF(助手回款!$R$134="",-1,助手回款!$R$134*100+(助手回款!$S$134-1)*6+1)</f>
        <v>-1</v>
      </c>
    </row>
    <row r="1987" customFormat="false" ht="23.25" hidden="false" customHeight="true" outlineLevel="0" collapsed="false">
      <c r="B1987" s="67" t="str">
        <f aca="false">""</f>
        <v/>
      </c>
      <c r="C1987" s="67"/>
      <c r="D1987" s="23" t="str">
        <f aca="false">IFERROR(INDEX(分录回款!$E:$E,MATCH($L1987,分录回款!$L:$L,0)),"")</f>
        <v/>
      </c>
      <c r="E1987" s="23" t="str">
        <f aca="false">IFERROR(INDEX(分录回款!$F:$F,MATCH($L1987,分录回款!$L:$L,0)),"")</f>
        <v/>
      </c>
      <c r="F1987" s="68" t="str">
        <f aca="false">IFERROR(INDEX(分录回款!$H:$H,MATCH($L1987,分录回款!$L:$L,0)),"")</f>
        <v/>
      </c>
      <c r="G1987" s="69" t="str">
        <f aca="false">IFERROR(INDEX(分录回款!$I:$I,MATCH($L1987,分录回款!$L:$L,0)),"")</f>
        <v/>
      </c>
      <c r="H1987" s="23"/>
      <c r="I1987" s="70"/>
      <c r="L1987" s="71" t="n">
        <f aca="false">IF(助手回款!$R$134="",-1,助手回款!$R$134*100+(助手回款!$S$134-1)*6+2)</f>
        <v>-1</v>
      </c>
    </row>
    <row r="1988" customFormat="false" ht="23.25" hidden="false" customHeight="true" outlineLevel="0" collapsed="false">
      <c r="B1988" s="67" t="str">
        <f aca="false">""</f>
        <v/>
      </c>
      <c r="C1988" s="67"/>
      <c r="D1988" s="23" t="str">
        <f aca="false">IFERROR(INDEX(分录回款!$E:$E,MATCH($L1988,分录回款!$L:$L,0)),"")</f>
        <v/>
      </c>
      <c r="E1988" s="23" t="str">
        <f aca="false">IFERROR(INDEX(分录回款!$F:$F,MATCH($L1988,分录回款!$L:$L,0)),"")</f>
        <v/>
      </c>
      <c r="F1988" s="68" t="str">
        <f aca="false">IFERROR(INDEX(分录回款!$H:$H,MATCH($L1988,分录回款!$L:$L,0)),"")</f>
        <v/>
      </c>
      <c r="G1988" s="69" t="str">
        <f aca="false">IFERROR(INDEX(分录回款!$I:$I,MATCH($L1988,分录回款!$L:$L,0)),"")</f>
        <v/>
      </c>
      <c r="H1988" s="23"/>
      <c r="I1988" s="70"/>
      <c r="L1988" s="71" t="n">
        <f aca="false">IF(助手回款!$R$134="",-1,助手回款!$R$134*100+(助手回款!$S$134-1)*6+3)</f>
        <v>-1</v>
      </c>
    </row>
    <row r="1989" customFormat="false" ht="23.25" hidden="false" customHeight="true" outlineLevel="0" collapsed="false">
      <c r="B1989" s="67" t="str">
        <f aca="false">""</f>
        <v/>
      </c>
      <c r="C1989" s="67"/>
      <c r="D1989" s="23" t="str">
        <f aca="false">IFERROR(INDEX(分录回款!$E:$E,MATCH($L1989,分录回款!$L:$L,0)),"")</f>
        <v/>
      </c>
      <c r="E1989" s="23" t="str">
        <f aca="false">IFERROR(INDEX(分录回款!$F:$F,MATCH($L1989,分录回款!$L:$L,0)),"")</f>
        <v/>
      </c>
      <c r="F1989" s="68" t="str">
        <f aca="false">IFERROR(INDEX(分录回款!$H:$H,MATCH($L1989,分录回款!$L:$L,0)),"")</f>
        <v/>
      </c>
      <c r="G1989" s="69" t="str">
        <f aca="false">IFERROR(INDEX(分录回款!$I:$I,MATCH($L1989,分录回款!$L:$L,0)),"")</f>
        <v/>
      </c>
      <c r="H1989" s="23"/>
      <c r="I1989" s="70"/>
      <c r="L1989" s="71" t="n">
        <f aca="false">IF(助手回款!$R$134="",-1,助手回款!$R$134*100+(助手回款!$S$134-1)*6+4)</f>
        <v>-1</v>
      </c>
    </row>
    <row r="1990" customFormat="false" ht="23.25" hidden="false" customHeight="true" outlineLevel="0" collapsed="false">
      <c r="B1990" s="67" t="str">
        <f aca="false">""</f>
        <v/>
      </c>
      <c r="C1990" s="67"/>
      <c r="D1990" s="23" t="str">
        <f aca="false">IFERROR(INDEX(分录回款!$E:$E,MATCH($L1990,分录回款!$L:$L,0)),"")</f>
        <v/>
      </c>
      <c r="E1990" s="23" t="str">
        <f aca="false">IFERROR(INDEX(分录回款!$F:$F,MATCH($L1990,分录回款!$L:$L,0)),"")</f>
        <v/>
      </c>
      <c r="F1990" s="68" t="str">
        <f aca="false">IFERROR(INDEX(分录回款!$H:$H,MATCH($L1990,分录回款!$L:$L,0)),"")</f>
        <v/>
      </c>
      <c r="G1990" s="69" t="str">
        <f aca="false">IFERROR(INDEX(分录回款!$I:$I,MATCH($L1990,分录回款!$L:$L,0)),"")</f>
        <v/>
      </c>
      <c r="H1990" s="23"/>
      <c r="I1990" s="70"/>
      <c r="L1990" s="71" t="n">
        <f aca="false">IF(助手回款!$R$134="",-1,助手回款!$R$134*100+(助手回款!$S$134-1)*6+5)</f>
        <v>-1</v>
      </c>
    </row>
    <row r="1991" customFormat="false" ht="23.25" hidden="false" customHeight="true" outlineLevel="0" collapsed="false">
      <c r="B1991" s="67" t="str">
        <f aca="false">""</f>
        <v/>
      </c>
      <c r="C1991" s="67"/>
      <c r="D1991" s="23" t="str">
        <f aca="false">IFERROR(INDEX(分录回款!$E:$E,MATCH($L1991,分录回款!$L:$L,0)),"")</f>
        <v/>
      </c>
      <c r="E1991" s="23" t="str">
        <f aca="false">IFERROR(INDEX(分录回款!$F:$F,MATCH($L1991,分录回款!$L:$L,0)),"")</f>
        <v/>
      </c>
      <c r="F1991" s="68" t="str">
        <f aca="false">IFERROR(INDEX(分录回款!$H:$H,MATCH($L1991,分录回款!$L:$L,0)),"")</f>
        <v/>
      </c>
      <c r="G1991" s="69" t="str">
        <f aca="false">IFERROR(INDEX(分录回款!$I:$I,MATCH($L1991,分录回款!$L:$L,0)),"")</f>
        <v/>
      </c>
      <c r="H1991" s="23"/>
      <c r="I1991" s="70"/>
      <c r="L1991" s="71" t="n">
        <f aca="false">IF(助手回款!$R$134="",-1,助手回款!$R$134*100+(助手回款!$S$134-1)*6+6)</f>
        <v>-1</v>
      </c>
    </row>
    <row r="1992" customFormat="false" ht="23.25" hidden="false" customHeight="true" outlineLevel="0" collapsed="false">
      <c r="B1992" s="72" t="str">
        <f aca="false">IF(助手回款!$T$134=1,"合计：","")</f>
        <v/>
      </c>
      <c r="C1992" s="73" t="str">
        <f aca="false">IF(助手回款!$T$134=1,$F1992,"")</f>
        <v/>
      </c>
      <c r="D1992" s="74"/>
      <c r="E1992" s="74"/>
      <c r="F1992" s="75" t="str">
        <f aca="false">IF(助手回款!$T$134=1,INDEX(助手回款!$N$2:$N$66,助手回款!$R$134),"")</f>
        <v/>
      </c>
      <c r="G1992" s="76" t="str">
        <f aca="false">IF(助手回款!$T$134=1,INDEX(助手回款!$O$2:$O$66,助手回款!$R$134),"")</f>
        <v/>
      </c>
      <c r="H1992" s="74"/>
      <c r="I1992" s="77"/>
    </row>
    <row r="1993" customFormat="false" ht="6" hidden="false" customHeight="true" outlineLevel="0" collapsed="false"/>
    <row r="1994" customFormat="false" ht="13.5" hidden="false" customHeight="false" outlineLevel="0" collapsed="false">
      <c r="B1994" s="78" t="str">
        <f aca="false">IF(助手回款!$R$134&lt;&gt;"","会计主管：","")</f>
        <v/>
      </c>
      <c r="D1994" s="78" t="str">
        <f aca="false">IF(助手回款!$R$134&lt;&gt;"","会计：","")</f>
        <v/>
      </c>
      <c r="E1994" s="78" t="str">
        <f aca="false">IF(助手回款!$R$134&lt;&gt;"","出纳：","")</f>
        <v/>
      </c>
      <c r="F1994" s="78" t="str">
        <f aca="false">IF(助手回款!$R$134&lt;&gt;"","复核：","")</f>
        <v/>
      </c>
      <c r="G1994" s="78" t="str">
        <f aca="false">IF(助手回款!$R$134&lt;&gt;"","制单：","")</f>
        <v/>
      </c>
    </row>
    <row r="1995" customFormat="false" ht="3" hidden="false" customHeight="true" outlineLevel="0" collapsed="false"/>
    <row r="1996" customFormat="false" ht="19.5" hidden="false" customHeight="true" outlineLevel="0" collapsed="false">
      <c r="B1996" s="53" t="str">
        <f aca="false">IF(助手回款!$R$135&lt;&gt;"","记  账  凭  证","")</f>
        <v/>
      </c>
      <c r="C1996" s="53"/>
      <c r="D1996" s="53"/>
      <c r="E1996" s="53"/>
      <c r="F1996" s="53"/>
      <c r="G1996" s="53"/>
      <c r="H1996" s="53"/>
      <c r="I1996" s="53"/>
    </row>
    <row r="1997" customFormat="false" ht="3" hidden="false" customHeight="true" outlineLevel="0" collapsed="false"/>
    <row r="1998" customFormat="false" ht="15" hidden="false" customHeight="true" outlineLevel="0" collapsed="false">
      <c r="C1998" s="56" t="str">
        <f aca="false">IF(助手回款!$R$135&lt;&gt;"",INDEX(助手回款!$B$2:$B$66,助手回款!$R$135),"")</f>
        <v/>
      </c>
      <c r="D1998" s="57" t="str">
        <f aca="false">IF(助手回款!$R$135&lt;&gt;"",参数!$B$2,"")</f>
        <v/>
      </c>
      <c r="E1998" s="57"/>
      <c r="F1998" s="58" t="str">
        <f aca="false">IF(助手回款!$R$135&lt;&gt;"",INDEX(助手回款!$C$2:$C$66,助手回款!$R$135)&amp;"  字第 "&amp;IF(参数!$B$9="是",INDEX(助手回款!$P$2:$P$66,助手回款!$R$135),"　　　　")&amp;" 号"&amp;IF(INDEX(助手回款!$L$2:$L$66,助手回款!$R$135)&gt;1,"  (共"&amp;INDEX(助手回款!$L$2:$L$66,助手回款!$R$135)&amp;"页 第"&amp;助手回款!$S$135&amp;"页)",""),"")</f>
        <v/>
      </c>
      <c r="G1998" s="58"/>
      <c r="H1998" s="58"/>
      <c r="I1998" s="58"/>
      <c r="M1998" s="79" t="str">
        <f aca="false">IF(助手回款!$R$135="","",助手回款!$Q$135)</f>
        <v/>
      </c>
      <c r="N1998" s="80" t="str">
        <f aca="false">IF(助手回款!$R$135="","",INDEX(助手回款!$P$2:$P$66,助手回款!$R$135))</f>
        <v/>
      </c>
      <c r="O1998" s="55" t="str">
        <f aca="false">IF(助手回款!$R$135="","",INDEX(助手回款!$C$2:$C$66,助手回款!$R$135)&amp;"  字第 "&amp;INDEX(助手回款!$P$2:$P$66,助手回款!$R$135)&amp;" 号"&amp;IF(INDEX(助手回款!$L$2:$L$66,助手回款!$R$135)&gt;1,"  (共"&amp;INDEX(助手回款!$L$2:$L$66,助手回款!$R$135)&amp;"页 第"&amp;助手回款!$S$135&amp;"页)",""))</f>
        <v/>
      </c>
    </row>
    <row r="1999" customFormat="false" ht="12.75" hidden="false" customHeight="true" outlineLevel="0" collapsed="false">
      <c r="B1999" s="61" t="str">
        <f aca="false">IF(助手回款!$R$135&lt;&gt;"","摘　　要","")</f>
        <v/>
      </c>
      <c r="C1999" s="61"/>
      <c r="D1999" s="62" t="str">
        <f aca="false">IF(助手回款!$R$135&lt;&gt;"","科　　　　目","")</f>
        <v/>
      </c>
      <c r="E1999" s="62"/>
      <c r="F1999" s="61" t="str">
        <f aca="false">IF(助手回款!$R$135&lt;&gt;"","借 方 金 额","")</f>
        <v/>
      </c>
      <c r="G1999" s="62" t="str">
        <f aca="false">IF(助手回款!$R$135&lt;&gt;"","贷 方 金 额","")</f>
        <v/>
      </c>
      <c r="H1999" s="63" t="str">
        <f aca="false">IF(助手回款!$R$135&lt;&gt;"","√","")</f>
        <v/>
      </c>
      <c r="I1999" s="64" t="str">
        <f aca="false">IF(助手回款!$R$135&lt;&gt;"","附单据  张","")</f>
        <v/>
      </c>
    </row>
    <row r="2000" customFormat="false" ht="12.75" hidden="false" customHeight="true" outlineLevel="0" collapsed="false">
      <c r="B2000" s="61"/>
      <c r="C2000" s="61"/>
      <c r="D2000" s="23" t="str">
        <f aca="false">IF(助手回款!$R$135&lt;&gt;"","总 账 科 目","")</f>
        <v/>
      </c>
      <c r="E2000" s="23" t="str">
        <f aca="false">IF(助手回款!$R$135&lt;&gt;"","明 细 科 目","")</f>
        <v/>
      </c>
      <c r="F2000" s="65"/>
      <c r="G2000" s="66"/>
      <c r="H2000" s="63"/>
      <c r="I2000" s="64"/>
    </row>
    <row r="2001" customFormat="false" ht="23.25" hidden="false" customHeight="true" outlineLevel="0" collapsed="false">
      <c r="B2001" s="67" t="str">
        <f aca="false">IFERROR(INDEX(分录回款!$M:$M,MATCH($L2001,分录回款!$L:$L,0)),"")</f>
        <v/>
      </c>
      <c r="C2001" s="67"/>
      <c r="D2001" s="23" t="str">
        <f aca="false">IFERROR(INDEX(分录回款!$E:$E,MATCH($L2001,分录回款!$L:$L,0)),"")</f>
        <v/>
      </c>
      <c r="E2001" s="23" t="str">
        <f aca="false">IFERROR(INDEX(分录回款!$F:$F,MATCH($L2001,分录回款!$L:$L,0)),"")</f>
        <v/>
      </c>
      <c r="F2001" s="68" t="str">
        <f aca="false">IFERROR(INDEX(分录回款!$H:$H,MATCH($L2001,分录回款!$L:$L,0)),"")</f>
        <v/>
      </c>
      <c r="G2001" s="69" t="str">
        <f aca="false">IFERROR(INDEX(分录回款!$I:$I,MATCH($L2001,分录回款!$L:$L,0)),"")</f>
        <v/>
      </c>
      <c r="H2001" s="23"/>
      <c r="I2001" s="70"/>
      <c r="L2001" s="71" t="n">
        <f aca="false">IF(助手回款!$R$135="",-1,助手回款!$R$135*100+(助手回款!$S$135-1)*6+1)</f>
        <v>-1</v>
      </c>
    </row>
    <row r="2002" customFormat="false" ht="23.25" hidden="false" customHeight="true" outlineLevel="0" collapsed="false">
      <c r="B2002" s="67" t="str">
        <f aca="false">""</f>
        <v/>
      </c>
      <c r="C2002" s="67"/>
      <c r="D2002" s="23" t="str">
        <f aca="false">IFERROR(INDEX(分录回款!$E:$E,MATCH($L2002,分录回款!$L:$L,0)),"")</f>
        <v/>
      </c>
      <c r="E2002" s="23" t="str">
        <f aca="false">IFERROR(INDEX(分录回款!$F:$F,MATCH($L2002,分录回款!$L:$L,0)),"")</f>
        <v/>
      </c>
      <c r="F2002" s="68" t="str">
        <f aca="false">IFERROR(INDEX(分录回款!$H:$H,MATCH($L2002,分录回款!$L:$L,0)),"")</f>
        <v/>
      </c>
      <c r="G2002" s="69" t="str">
        <f aca="false">IFERROR(INDEX(分录回款!$I:$I,MATCH($L2002,分录回款!$L:$L,0)),"")</f>
        <v/>
      </c>
      <c r="H2002" s="23"/>
      <c r="I2002" s="70"/>
      <c r="L2002" s="71" t="n">
        <f aca="false">IF(助手回款!$R$135="",-1,助手回款!$R$135*100+(助手回款!$S$135-1)*6+2)</f>
        <v>-1</v>
      </c>
    </row>
    <row r="2003" customFormat="false" ht="23.25" hidden="false" customHeight="true" outlineLevel="0" collapsed="false">
      <c r="B2003" s="67" t="str">
        <f aca="false">""</f>
        <v/>
      </c>
      <c r="C2003" s="67"/>
      <c r="D2003" s="23" t="str">
        <f aca="false">IFERROR(INDEX(分录回款!$E:$E,MATCH($L2003,分录回款!$L:$L,0)),"")</f>
        <v/>
      </c>
      <c r="E2003" s="23" t="str">
        <f aca="false">IFERROR(INDEX(分录回款!$F:$F,MATCH($L2003,分录回款!$L:$L,0)),"")</f>
        <v/>
      </c>
      <c r="F2003" s="68" t="str">
        <f aca="false">IFERROR(INDEX(分录回款!$H:$H,MATCH($L2003,分录回款!$L:$L,0)),"")</f>
        <v/>
      </c>
      <c r="G2003" s="69" t="str">
        <f aca="false">IFERROR(INDEX(分录回款!$I:$I,MATCH($L2003,分录回款!$L:$L,0)),"")</f>
        <v/>
      </c>
      <c r="H2003" s="23"/>
      <c r="I2003" s="70"/>
      <c r="L2003" s="71" t="n">
        <f aca="false">IF(助手回款!$R$135="",-1,助手回款!$R$135*100+(助手回款!$S$135-1)*6+3)</f>
        <v>-1</v>
      </c>
    </row>
    <row r="2004" customFormat="false" ht="23.25" hidden="false" customHeight="true" outlineLevel="0" collapsed="false">
      <c r="B2004" s="67" t="str">
        <f aca="false">""</f>
        <v/>
      </c>
      <c r="C2004" s="67"/>
      <c r="D2004" s="23" t="str">
        <f aca="false">IFERROR(INDEX(分录回款!$E:$E,MATCH($L2004,分录回款!$L:$L,0)),"")</f>
        <v/>
      </c>
      <c r="E2004" s="23" t="str">
        <f aca="false">IFERROR(INDEX(分录回款!$F:$F,MATCH($L2004,分录回款!$L:$L,0)),"")</f>
        <v/>
      </c>
      <c r="F2004" s="68" t="str">
        <f aca="false">IFERROR(INDEX(分录回款!$H:$H,MATCH($L2004,分录回款!$L:$L,0)),"")</f>
        <v/>
      </c>
      <c r="G2004" s="69" t="str">
        <f aca="false">IFERROR(INDEX(分录回款!$I:$I,MATCH($L2004,分录回款!$L:$L,0)),"")</f>
        <v/>
      </c>
      <c r="H2004" s="23"/>
      <c r="I2004" s="70"/>
      <c r="L2004" s="71" t="n">
        <f aca="false">IF(助手回款!$R$135="",-1,助手回款!$R$135*100+(助手回款!$S$135-1)*6+4)</f>
        <v>-1</v>
      </c>
    </row>
    <row r="2005" customFormat="false" ht="23.25" hidden="false" customHeight="true" outlineLevel="0" collapsed="false">
      <c r="B2005" s="67" t="str">
        <f aca="false">""</f>
        <v/>
      </c>
      <c r="C2005" s="67"/>
      <c r="D2005" s="23" t="str">
        <f aca="false">IFERROR(INDEX(分录回款!$E:$E,MATCH($L2005,分录回款!$L:$L,0)),"")</f>
        <v/>
      </c>
      <c r="E2005" s="23" t="str">
        <f aca="false">IFERROR(INDEX(分录回款!$F:$F,MATCH($L2005,分录回款!$L:$L,0)),"")</f>
        <v/>
      </c>
      <c r="F2005" s="68" t="str">
        <f aca="false">IFERROR(INDEX(分录回款!$H:$H,MATCH($L2005,分录回款!$L:$L,0)),"")</f>
        <v/>
      </c>
      <c r="G2005" s="69" t="str">
        <f aca="false">IFERROR(INDEX(分录回款!$I:$I,MATCH($L2005,分录回款!$L:$L,0)),"")</f>
        <v/>
      </c>
      <c r="H2005" s="23"/>
      <c r="I2005" s="70"/>
      <c r="L2005" s="71" t="n">
        <f aca="false">IF(助手回款!$R$135="",-1,助手回款!$R$135*100+(助手回款!$S$135-1)*6+5)</f>
        <v>-1</v>
      </c>
    </row>
    <row r="2006" customFormat="false" ht="23.25" hidden="false" customHeight="true" outlineLevel="0" collapsed="false">
      <c r="B2006" s="67" t="str">
        <f aca="false">""</f>
        <v/>
      </c>
      <c r="C2006" s="67"/>
      <c r="D2006" s="23" t="str">
        <f aca="false">IFERROR(INDEX(分录回款!$E:$E,MATCH($L2006,分录回款!$L:$L,0)),"")</f>
        <v/>
      </c>
      <c r="E2006" s="23" t="str">
        <f aca="false">IFERROR(INDEX(分录回款!$F:$F,MATCH($L2006,分录回款!$L:$L,0)),"")</f>
        <v/>
      </c>
      <c r="F2006" s="68" t="str">
        <f aca="false">IFERROR(INDEX(分录回款!$H:$H,MATCH($L2006,分录回款!$L:$L,0)),"")</f>
        <v/>
      </c>
      <c r="G2006" s="69" t="str">
        <f aca="false">IFERROR(INDEX(分录回款!$I:$I,MATCH($L2006,分录回款!$L:$L,0)),"")</f>
        <v/>
      </c>
      <c r="H2006" s="23"/>
      <c r="I2006" s="70"/>
      <c r="L2006" s="71" t="n">
        <f aca="false">IF(助手回款!$R$135="",-1,助手回款!$R$135*100+(助手回款!$S$135-1)*6+6)</f>
        <v>-1</v>
      </c>
    </row>
    <row r="2007" customFormat="false" ht="23.25" hidden="false" customHeight="true" outlineLevel="0" collapsed="false">
      <c r="B2007" s="72" t="str">
        <f aca="false">IF(助手回款!$T$135=1,"合计：","")</f>
        <v/>
      </c>
      <c r="C2007" s="73" t="str">
        <f aca="false">IF(助手回款!$T$135=1,$F2007,"")</f>
        <v/>
      </c>
      <c r="D2007" s="74"/>
      <c r="E2007" s="74"/>
      <c r="F2007" s="75" t="str">
        <f aca="false">IF(助手回款!$T$135=1,INDEX(助手回款!$N$2:$N$66,助手回款!$R$135),"")</f>
        <v/>
      </c>
      <c r="G2007" s="76" t="str">
        <f aca="false">IF(助手回款!$T$135=1,INDEX(助手回款!$O$2:$O$66,助手回款!$R$135),"")</f>
        <v/>
      </c>
      <c r="H2007" s="74"/>
      <c r="I2007" s="77"/>
    </row>
    <row r="2008" customFormat="false" ht="6" hidden="false" customHeight="true" outlineLevel="0" collapsed="false"/>
    <row r="2009" customFormat="false" ht="13.5" hidden="false" customHeight="false" outlineLevel="0" collapsed="false">
      <c r="B2009" s="78" t="str">
        <f aca="false">IF(助手回款!$R$135&lt;&gt;"","会计主管：","")</f>
        <v/>
      </c>
      <c r="D2009" s="78" t="str">
        <f aca="false">IF(助手回款!$R$135&lt;&gt;"","会计：","")</f>
        <v/>
      </c>
      <c r="E2009" s="78" t="str">
        <f aca="false">IF(助手回款!$R$135&lt;&gt;"","出纳：","")</f>
        <v/>
      </c>
      <c r="F2009" s="78" t="str">
        <f aca="false">IF(助手回款!$R$135&lt;&gt;"","复核：","")</f>
        <v/>
      </c>
      <c r="G2009" s="78" t="str">
        <f aca="false">IF(助手回款!$R$135&lt;&gt;"","制单：","")</f>
        <v/>
      </c>
    </row>
    <row r="2010" customFormat="false" ht="3" hidden="false" customHeight="true" outlineLevel="0" collapsed="false"/>
    <row r="2011" customFormat="false" ht="19.5" hidden="false" customHeight="true" outlineLevel="0" collapsed="false">
      <c r="B2011" s="53" t="str">
        <f aca="false">IF(助手回款!$R$136&lt;&gt;"","记  账  凭  证","")</f>
        <v/>
      </c>
      <c r="C2011" s="53"/>
      <c r="D2011" s="53"/>
      <c r="E2011" s="53"/>
      <c r="F2011" s="53"/>
      <c r="G2011" s="53"/>
      <c r="H2011" s="53"/>
      <c r="I2011" s="53"/>
    </row>
    <row r="2012" customFormat="false" ht="3" hidden="false" customHeight="true" outlineLevel="0" collapsed="false"/>
    <row r="2013" customFormat="false" ht="15" hidden="false" customHeight="true" outlineLevel="0" collapsed="false">
      <c r="C2013" s="56" t="str">
        <f aca="false">IF(助手回款!$R$136&lt;&gt;"",INDEX(助手回款!$B$2:$B$66,助手回款!$R$136),"")</f>
        <v/>
      </c>
      <c r="D2013" s="57" t="str">
        <f aca="false">IF(助手回款!$R$136&lt;&gt;"",参数!$B$2,"")</f>
        <v/>
      </c>
      <c r="E2013" s="57"/>
      <c r="F2013" s="58" t="str">
        <f aca="false">IF(助手回款!$R$136&lt;&gt;"",INDEX(助手回款!$C$2:$C$66,助手回款!$R$136)&amp;"  字第 "&amp;IF(参数!$B$9="是",INDEX(助手回款!$P$2:$P$66,助手回款!$R$136),"　　　　")&amp;" 号"&amp;IF(INDEX(助手回款!$L$2:$L$66,助手回款!$R$136)&gt;1,"  (共"&amp;INDEX(助手回款!$L$2:$L$66,助手回款!$R$136)&amp;"页 第"&amp;助手回款!$S$136&amp;"页)",""),"")</f>
        <v/>
      </c>
      <c r="G2013" s="58"/>
      <c r="H2013" s="58"/>
      <c r="I2013" s="58"/>
      <c r="M2013" s="79" t="str">
        <f aca="false">IF(助手回款!$R$136="","",助手回款!$Q$136)</f>
        <v/>
      </c>
      <c r="N2013" s="80" t="str">
        <f aca="false">IF(助手回款!$R$136="","",INDEX(助手回款!$P$2:$P$66,助手回款!$R$136))</f>
        <v/>
      </c>
      <c r="O2013" s="55" t="str">
        <f aca="false">IF(助手回款!$R$136="","",INDEX(助手回款!$C$2:$C$66,助手回款!$R$136)&amp;"  字第 "&amp;INDEX(助手回款!$P$2:$P$66,助手回款!$R$136)&amp;" 号"&amp;IF(INDEX(助手回款!$L$2:$L$66,助手回款!$R$136)&gt;1,"  (共"&amp;INDEX(助手回款!$L$2:$L$66,助手回款!$R$136)&amp;"页 第"&amp;助手回款!$S$136&amp;"页)",""))</f>
        <v/>
      </c>
    </row>
    <row r="2014" customFormat="false" ht="12.75" hidden="false" customHeight="true" outlineLevel="0" collapsed="false">
      <c r="B2014" s="61" t="str">
        <f aca="false">IF(助手回款!$R$136&lt;&gt;"","摘　　要","")</f>
        <v/>
      </c>
      <c r="C2014" s="61"/>
      <c r="D2014" s="62" t="str">
        <f aca="false">IF(助手回款!$R$136&lt;&gt;"","科　　　　目","")</f>
        <v/>
      </c>
      <c r="E2014" s="62"/>
      <c r="F2014" s="61" t="str">
        <f aca="false">IF(助手回款!$R$136&lt;&gt;"","借 方 金 额","")</f>
        <v/>
      </c>
      <c r="G2014" s="62" t="str">
        <f aca="false">IF(助手回款!$R$136&lt;&gt;"","贷 方 金 额","")</f>
        <v/>
      </c>
      <c r="H2014" s="63" t="str">
        <f aca="false">IF(助手回款!$R$136&lt;&gt;"","√","")</f>
        <v/>
      </c>
      <c r="I2014" s="64" t="str">
        <f aca="false">IF(助手回款!$R$136&lt;&gt;"","附单据  张","")</f>
        <v/>
      </c>
    </row>
    <row r="2015" customFormat="false" ht="12.75" hidden="false" customHeight="true" outlineLevel="0" collapsed="false">
      <c r="B2015" s="61"/>
      <c r="C2015" s="61"/>
      <c r="D2015" s="23" t="str">
        <f aca="false">IF(助手回款!$R$136&lt;&gt;"","总 账 科 目","")</f>
        <v/>
      </c>
      <c r="E2015" s="23" t="str">
        <f aca="false">IF(助手回款!$R$136&lt;&gt;"","明 细 科 目","")</f>
        <v/>
      </c>
      <c r="F2015" s="65"/>
      <c r="G2015" s="66"/>
      <c r="H2015" s="63"/>
      <c r="I2015" s="64"/>
    </row>
    <row r="2016" customFormat="false" ht="23.25" hidden="false" customHeight="true" outlineLevel="0" collapsed="false">
      <c r="B2016" s="67" t="str">
        <f aca="false">IFERROR(INDEX(分录回款!$M:$M,MATCH($L2016,分录回款!$L:$L,0)),"")</f>
        <v/>
      </c>
      <c r="C2016" s="67"/>
      <c r="D2016" s="23" t="str">
        <f aca="false">IFERROR(INDEX(分录回款!$E:$E,MATCH($L2016,分录回款!$L:$L,0)),"")</f>
        <v/>
      </c>
      <c r="E2016" s="23" t="str">
        <f aca="false">IFERROR(INDEX(分录回款!$F:$F,MATCH($L2016,分录回款!$L:$L,0)),"")</f>
        <v/>
      </c>
      <c r="F2016" s="68" t="str">
        <f aca="false">IFERROR(INDEX(分录回款!$H:$H,MATCH($L2016,分录回款!$L:$L,0)),"")</f>
        <v/>
      </c>
      <c r="G2016" s="69" t="str">
        <f aca="false">IFERROR(INDEX(分录回款!$I:$I,MATCH($L2016,分录回款!$L:$L,0)),"")</f>
        <v/>
      </c>
      <c r="H2016" s="23"/>
      <c r="I2016" s="70"/>
      <c r="L2016" s="71" t="n">
        <f aca="false">IF(助手回款!$R$136="",-1,助手回款!$R$136*100+(助手回款!$S$136-1)*6+1)</f>
        <v>-1</v>
      </c>
    </row>
    <row r="2017" customFormat="false" ht="23.25" hidden="false" customHeight="true" outlineLevel="0" collapsed="false">
      <c r="B2017" s="67" t="str">
        <f aca="false">""</f>
        <v/>
      </c>
      <c r="C2017" s="67"/>
      <c r="D2017" s="23" t="str">
        <f aca="false">IFERROR(INDEX(分录回款!$E:$E,MATCH($L2017,分录回款!$L:$L,0)),"")</f>
        <v/>
      </c>
      <c r="E2017" s="23" t="str">
        <f aca="false">IFERROR(INDEX(分录回款!$F:$F,MATCH($L2017,分录回款!$L:$L,0)),"")</f>
        <v/>
      </c>
      <c r="F2017" s="68" t="str">
        <f aca="false">IFERROR(INDEX(分录回款!$H:$H,MATCH($L2017,分录回款!$L:$L,0)),"")</f>
        <v/>
      </c>
      <c r="G2017" s="69" t="str">
        <f aca="false">IFERROR(INDEX(分录回款!$I:$I,MATCH($L2017,分录回款!$L:$L,0)),"")</f>
        <v/>
      </c>
      <c r="H2017" s="23"/>
      <c r="I2017" s="70"/>
      <c r="L2017" s="71" t="n">
        <f aca="false">IF(助手回款!$R$136="",-1,助手回款!$R$136*100+(助手回款!$S$136-1)*6+2)</f>
        <v>-1</v>
      </c>
    </row>
    <row r="2018" customFormat="false" ht="23.25" hidden="false" customHeight="true" outlineLevel="0" collapsed="false">
      <c r="B2018" s="67" t="str">
        <f aca="false">""</f>
        <v/>
      </c>
      <c r="C2018" s="67"/>
      <c r="D2018" s="23" t="str">
        <f aca="false">IFERROR(INDEX(分录回款!$E:$E,MATCH($L2018,分录回款!$L:$L,0)),"")</f>
        <v/>
      </c>
      <c r="E2018" s="23" t="str">
        <f aca="false">IFERROR(INDEX(分录回款!$F:$F,MATCH($L2018,分录回款!$L:$L,0)),"")</f>
        <v/>
      </c>
      <c r="F2018" s="68" t="str">
        <f aca="false">IFERROR(INDEX(分录回款!$H:$H,MATCH($L2018,分录回款!$L:$L,0)),"")</f>
        <v/>
      </c>
      <c r="G2018" s="69" t="str">
        <f aca="false">IFERROR(INDEX(分录回款!$I:$I,MATCH($L2018,分录回款!$L:$L,0)),"")</f>
        <v/>
      </c>
      <c r="H2018" s="23"/>
      <c r="I2018" s="70"/>
      <c r="L2018" s="71" t="n">
        <f aca="false">IF(助手回款!$R$136="",-1,助手回款!$R$136*100+(助手回款!$S$136-1)*6+3)</f>
        <v>-1</v>
      </c>
    </row>
    <row r="2019" customFormat="false" ht="23.25" hidden="false" customHeight="true" outlineLevel="0" collapsed="false">
      <c r="B2019" s="67" t="str">
        <f aca="false">""</f>
        <v/>
      </c>
      <c r="C2019" s="67"/>
      <c r="D2019" s="23" t="str">
        <f aca="false">IFERROR(INDEX(分录回款!$E:$E,MATCH($L2019,分录回款!$L:$L,0)),"")</f>
        <v/>
      </c>
      <c r="E2019" s="23" t="str">
        <f aca="false">IFERROR(INDEX(分录回款!$F:$F,MATCH($L2019,分录回款!$L:$L,0)),"")</f>
        <v/>
      </c>
      <c r="F2019" s="68" t="str">
        <f aca="false">IFERROR(INDEX(分录回款!$H:$H,MATCH($L2019,分录回款!$L:$L,0)),"")</f>
        <v/>
      </c>
      <c r="G2019" s="69" t="str">
        <f aca="false">IFERROR(INDEX(分录回款!$I:$I,MATCH($L2019,分录回款!$L:$L,0)),"")</f>
        <v/>
      </c>
      <c r="H2019" s="23"/>
      <c r="I2019" s="70"/>
      <c r="L2019" s="71" t="n">
        <f aca="false">IF(助手回款!$R$136="",-1,助手回款!$R$136*100+(助手回款!$S$136-1)*6+4)</f>
        <v>-1</v>
      </c>
    </row>
    <row r="2020" customFormat="false" ht="23.25" hidden="false" customHeight="true" outlineLevel="0" collapsed="false">
      <c r="B2020" s="67" t="str">
        <f aca="false">""</f>
        <v/>
      </c>
      <c r="C2020" s="67"/>
      <c r="D2020" s="23" t="str">
        <f aca="false">IFERROR(INDEX(分录回款!$E:$E,MATCH($L2020,分录回款!$L:$L,0)),"")</f>
        <v/>
      </c>
      <c r="E2020" s="23" t="str">
        <f aca="false">IFERROR(INDEX(分录回款!$F:$F,MATCH($L2020,分录回款!$L:$L,0)),"")</f>
        <v/>
      </c>
      <c r="F2020" s="68" t="str">
        <f aca="false">IFERROR(INDEX(分录回款!$H:$H,MATCH($L2020,分录回款!$L:$L,0)),"")</f>
        <v/>
      </c>
      <c r="G2020" s="69" t="str">
        <f aca="false">IFERROR(INDEX(分录回款!$I:$I,MATCH($L2020,分录回款!$L:$L,0)),"")</f>
        <v/>
      </c>
      <c r="H2020" s="23"/>
      <c r="I2020" s="70"/>
      <c r="L2020" s="71" t="n">
        <f aca="false">IF(助手回款!$R$136="",-1,助手回款!$R$136*100+(助手回款!$S$136-1)*6+5)</f>
        <v>-1</v>
      </c>
    </row>
    <row r="2021" customFormat="false" ht="23.25" hidden="false" customHeight="true" outlineLevel="0" collapsed="false">
      <c r="B2021" s="67" t="str">
        <f aca="false">""</f>
        <v/>
      </c>
      <c r="C2021" s="67"/>
      <c r="D2021" s="23" t="str">
        <f aca="false">IFERROR(INDEX(分录回款!$E:$E,MATCH($L2021,分录回款!$L:$L,0)),"")</f>
        <v/>
      </c>
      <c r="E2021" s="23" t="str">
        <f aca="false">IFERROR(INDEX(分录回款!$F:$F,MATCH($L2021,分录回款!$L:$L,0)),"")</f>
        <v/>
      </c>
      <c r="F2021" s="68" t="str">
        <f aca="false">IFERROR(INDEX(分录回款!$H:$H,MATCH($L2021,分录回款!$L:$L,0)),"")</f>
        <v/>
      </c>
      <c r="G2021" s="69" t="str">
        <f aca="false">IFERROR(INDEX(分录回款!$I:$I,MATCH($L2021,分录回款!$L:$L,0)),"")</f>
        <v/>
      </c>
      <c r="H2021" s="23"/>
      <c r="I2021" s="70"/>
      <c r="L2021" s="71" t="n">
        <f aca="false">IF(助手回款!$R$136="",-1,助手回款!$R$136*100+(助手回款!$S$136-1)*6+6)</f>
        <v>-1</v>
      </c>
    </row>
    <row r="2022" customFormat="false" ht="23.25" hidden="false" customHeight="true" outlineLevel="0" collapsed="false">
      <c r="B2022" s="72" t="str">
        <f aca="false">IF(助手回款!$T$136=1,"合计：","")</f>
        <v/>
      </c>
      <c r="C2022" s="73" t="str">
        <f aca="false">IF(助手回款!$T$136=1,$F2022,"")</f>
        <v/>
      </c>
      <c r="D2022" s="74"/>
      <c r="E2022" s="74"/>
      <c r="F2022" s="75" t="str">
        <f aca="false">IF(助手回款!$T$136=1,INDEX(助手回款!$N$2:$N$66,助手回款!$R$136),"")</f>
        <v/>
      </c>
      <c r="G2022" s="76" t="str">
        <f aca="false">IF(助手回款!$T$136=1,INDEX(助手回款!$O$2:$O$66,助手回款!$R$136),"")</f>
        <v/>
      </c>
      <c r="H2022" s="74"/>
      <c r="I2022" s="77"/>
    </row>
    <row r="2023" customFormat="false" ht="6" hidden="false" customHeight="true" outlineLevel="0" collapsed="false"/>
    <row r="2024" customFormat="false" ht="13.5" hidden="false" customHeight="false" outlineLevel="0" collapsed="false">
      <c r="B2024" s="78" t="str">
        <f aca="false">IF(助手回款!$R$136&lt;&gt;"","会计主管：","")</f>
        <v/>
      </c>
      <c r="D2024" s="78" t="str">
        <f aca="false">IF(助手回款!$R$136&lt;&gt;"","会计：","")</f>
        <v/>
      </c>
      <c r="E2024" s="78" t="str">
        <f aca="false">IF(助手回款!$R$136&lt;&gt;"","出纳：","")</f>
        <v/>
      </c>
      <c r="F2024" s="78" t="str">
        <f aca="false">IF(助手回款!$R$136&lt;&gt;"","复核：","")</f>
        <v/>
      </c>
      <c r="G2024" s="78" t="str">
        <f aca="false">IF(助手回款!$R$136&lt;&gt;"","制单：","")</f>
        <v/>
      </c>
    </row>
    <row r="2025" customFormat="false" ht="3" hidden="false" customHeight="true" outlineLevel="0" collapsed="false"/>
    <row r="2026" customFormat="false" ht="19.5" hidden="false" customHeight="true" outlineLevel="0" collapsed="false">
      <c r="B2026" s="53" t="str">
        <f aca="false">IF(助手回款!$R$137&lt;&gt;"","记  账  凭  证","")</f>
        <v/>
      </c>
      <c r="C2026" s="53"/>
      <c r="D2026" s="53"/>
      <c r="E2026" s="53"/>
      <c r="F2026" s="53"/>
      <c r="G2026" s="53"/>
      <c r="H2026" s="53"/>
      <c r="I2026" s="53"/>
    </row>
    <row r="2027" customFormat="false" ht="3" hidden="false" customHeight="true" outlineLevel="0" collapsed="false"/>
    <row r="2028" customFormat="false" ht="15" hidden="false" customHeight="true" outlineLevel="0" collapsed="false">
      <c r="C2028" s="56" t="str">
        <f aca="false">IF(助手回款!$R$137&lt;&gt;"",INDEX(助手回款!$B$2:$B$66,助手回款!$R$137),"")</f>
        <v/>
      </c>
      <c r="D2028" s="57" t="str">
        <f aca="false">IF(助手回款!$R$137&lt;&gt;"",参数!$B$2,"")</f>
        <v/>
      </c>
      <c r="E2028" s="57"/>
      <c r="F2028" s="58" t="str">
        <f aca="false">IF(助手回款!$R$137&lt;&gt;"",INDEX(助手回款!$C$2:$C$66,助手回款!$R$137)&amp;"  字第 "&amp;IF(参数!$B$9="是",INDEX(助手回款!$P$2:$P$66,助手回款!$R$137),"　　　　")&amp;" 号"&amp;IF(INDEX(助手回款!$L$2:$L$66,助手回款!$R$137)&gt;1,"  (共"&amp;INDEX(助手回款!$L$2:$L$66,助手回款!$R$137)&amp;"页 第"&amp;助手回款!$S$137&amp;"页)",""),"")</f>
        <v/>
      </c>
      <c r="G2028" s="58"/>
      <c r="H2028" s="58"/>
      <c r="I2028" s="58"/>
      <c r="M2028" s="79" t="str">
        <f aca="false">IF(助手回款!$R$137="","",助手回款!$Q$137)</f>
        <v/>
      </c>
      <c r="N2028" s="80" t="str">
        <f aca="false">IF(助手回款!$R$137="","",INDEX(助手回款!$P$2:$P$66,助手回款!$R$137))</f>
        <v/>
      </c>
      <c r="O2028" s="55" t="str">
        <f aca="false">IF(助手回款!$R$137="","",INDEX(助手回款!$C$2:$C$66,助手回款!$R$137)&amp;"  字第 "&amp;INDEX(助手回款!$P$2:$P$66,助手回款!$R$137)&amp;" 号"&amp;IF(INDEX(助手回款!$L$2:$L$66,助手回款!$R$137)&gt;1,"  (共"&amp;INDEX(助手回款!$L$2:$L$66,助手回款!$R$137)&amp;"页 第"&amp;助手回款!$S$137&amp;"页)",""))</f>
        <v/>
      </c>
    </row>
    <row r="2029" customFormat="false" ht="12.75" hidden="false" customHeight="true" outlineLevel="0" collapsed="false">
      <c r="B2029" s="61" t="str">
        <f aca="false">IF(助手回款!$R$137&lt;&gt;"","摘　　要","")</f>
        <v/>
      </c>
      <c r="C2029" s="61"/>
      <c r="D2029" s="62" t="str">
        <f aca="false">IF(助手回款!$R$137&lt;&gt;"","科　　　　目","")</f>
        <v/>
      </c>
      <c r="E2029" s="62"/>
      <c r="F2029" s="61" t="str">
        <f aca="false">IF(助手回款!$R$137&lt;&gt;"","借 方 金 额","")</f>
        <v/>
      </c>
      <c r="G2029" s="62" t="str">
        <f aca="false">IF(助手回款!$R$137&lt;&gt;"","贷 方 金 额","")</f>
        <v/>
      </c>
      <c r="H2029" s="63" t="str">
        <f aca="false">IF(助手回款!$R$137&lt;&gt;"","√","")</f>
        <v/>
      </c>
      <c r="I2029" s="64" t="str">
        <f aca="false">IF(助手回款!$R$137&lt;&gt;"","附单据  张","")</f>
        <v/>
      </c>
    </row>
    <row r="2030" customFormat="false" ht="12.75" hidden="false" customHeight="true" outlineLevel="0" collapsed="false">
      <c r="B2030" s="61"/>
      <c r="C2030" s="61"/>
      <c r="D2030" s="23" t="str">
        <f aca="false">IF(助手回款!$R$137&lt;&gt;"","总 账 科 目","")</f>
        <v/>
      </c>
      <c r="E2030" s="23" t="str">
        <f aca="false">IF(助手回款!$R$137&lt;&gt;"","明 细 科 目","")</f>
        <v/>
      </c>
      <c r="F2030" s="65"/>
      <c r="G2030" s="66"/>
      <c r="H2030" s="63"/>
      <c r="I2030" s="64"/>
    </row>
    <row r="2031" customFormat="false" ht="23.25" hidden="false" customHeight="true" outlineLevel="0" collapsed="false">
      <c r="B2031" s="67" t="str">
        <f aca="false">IFERROR(INDEX(分录回款!$M:$M,MATCH($L2031,分录回款!$L:$L,0)),"")</f>
        <v/>
      </c>
      <c r="C2031" s="67"/>
      <c r="D2031" s="23" t="str">
        <f aca="false">IFERROR(INDEX(分录回款!$E:$E,MATCH($L2031,分录回款!$L:$L,0)),"")</f>
        <v/>
      </c>
      <c r="E2031" s="23" t="str">
        <f aca="false">IFERROR(INDEX(分录回款!$F:$F,MATCH($L2031,分录回款!$L:$L,0)),"")</f>
        <v/>
      </c>
      <c r="F2031" s="68" t="str">
        <f aca="false">IFERROR(INDEX(分录回款!$H:$H,MATCH($L2031,分录回款!$L:$L,0)),"")</f>
        <v/>
      </c>
      <c r="G2031" s="69" t="str">
        <f aca="false">IFERROR(INDEX(分录回款!$I:$I,MATCH($L2031,分录回款!$L:$L,0)),"")</f>
        <v/>
      </c>
      <c r="H2031" s="23"/>
      <c r="I2031" s="70"/>
      <c r="L2031" s="71" t="n">
        <f aca="false">IF(助手回款!$R$137="",-1,助手回款!$R$137*100+(助手回款!$S$137-1)*6+1)</f>
        <v>-1</v>
      </c>
    </row>
    <row r="2032" customFormat="false" ht="23.25" hidden="false" customHeight="true" outlineLevel="0" collapsed="false">
      <c r="B2032" s="67" t="str">
        <f aca="false">""</f>
        <v/>
      </c>
      <c r="C2032" s="67"/>
      <c r="D2032" s="23" t="str">
        <f aca="false">IFERROR(INDEX(分录回款!$E:$E,MATCH($L2032,分录回款!$L:$L,0)),"")</f>
        <v/>
      </c>
      <c r="E2032" s="23" t="str">
        <f aca="false">IFERROR(INDEX(分录回款!$F:$F,MATCH($L2032,分录回款!$L:$L,0)),"")</f>
        <v/>
      </c>
      <c r="F2032" s="68" t="str">
        <f aca="false">IFERROR(INDEX(分录回款!$H:$H,MATCH($L2032,分录回款!$L:$L,0)),"")</f>
        <v/>
      </c>
      <c r="G2032" s="69" t="str">
        <f aca="false">IFERROR(INDEX(分录回款!$I:$I,MATCH($L2032,分录回款!$L:$L,0)),"")</f>
        <v/>
      </c>
      <c r="H2032" s="23"/>
      <c r="I2032" s="70"/>
      <c r="L2032" s="71" t="n">
        <f aca="false">IF(助手回款!$R$137="",-1,助手回款!$R$137*100+(助手回款!$S$137-1)*6+2)</f>
        <v>-1</v>
      </c>
    </row>
    <row r="2033" customFormat="false" ht="23.25" hidden="false" customHeight="true" outlineLevel="0" collapsed="false">
      <c r="B2033" s="67" t="str">
        <f aca="false">""</f>
        <v/>
      </c>
      <c r="C2033" s="67"/>
      <c r="D2033" s="23" t="str">
        <f aca="false">IFERROR(INDEX(分录回款!$E:$E,MATCH($L2033,分录回款!$L:$L,0)),"")</f>
        <v/>
      </c>
      <c r="E2033" s="23" t="str">
        <f aca="false">IFERROR(INDEX(分录回款!$F:$F,MATCH($L2033,分录回款!$L:$L,0)),"")</f>
        <v/>
      </c>
      <c r="F2033" s="68" t="str">
        <f aca="false">IFERROR(INDEX(分录回款!$H:$H,MATCH($L2033,分录回款!$L:$L,0)),"")</f>
        <v/>
      </c>
      <c r="G2033" s="69" t="str">
        <f aca="false">IFERROR(INDEX(分录回款!$I:$I,MATCH($L2033,分录回款!$L:$L,0)),"")</f>
        <v/>
      </c>
      <c r="H2033" s="23"/>
      <c r="I2033" s="70"/>
      <c r="L2033" s="71" t="n">
        <f aca="false">IF(助手回款!$R$137="",-1,助手回款!$R$137*100+(助手回款!$S$137-1)*6+3)</f>
        <v>-1</v>
      </c>
    </row>
    <row r="2034" customFormat="false" ht="23.25" hidden="false" customHeight="true" outlineLevel="0" collapsed="false">
      <c r="B2034" s="67" t="str">
        <f aca="false">""</f>
        <v/>
      </c>
      <c r="C2034" s="67"/>
      <c r="D2034" s="23" t="str">
        <f aca="false">IFERROR(INDEX(分录回款!$E:$E,MATCH($L2034,分录回款!$L:$L,0)),"")</f>
        <v/>
      </c>
      <c r="E2034" s="23" t="str">
        <f aca="false">IFERROR(INDEX(分录回款!$F:$F,MATCH($L2034,分录回款!$L:$L,0)),"")</f>
        <v/>
      </c>
      <c r="F2034" s="68" t="str">
        <f aca="false">IFERROR(INDEX(分录回款!$H:$H,MATCH($L2034,分录回款!$L:$L,0)),"")</f>
        <v/>
      </c>
      <c r="G2034" s="69" t="str">
        <f aca="false">IFERROR(INDEX(分录回款!$I:$I,MATCH($L2034,分录回款!$L:$L,0)),"")</f>
        <v/>
      </c>
      <c r="H2034" s="23"/>
      <c r="I2034" s="70"/>
      <c r="L2034" s="71" t="n">
        <f aca="false">IF(助手回款!$R$137="",-1,助手回款!$R$137*100+(助手回款!$S$137-1)*6+4)</f>
        <v>-1</v>
      </c>
    </row>
    <row r="2035" customFormat="false" ht="23.25" hidden="false" customHeight="true" outlineLevel="0" collapsed="false">
      <c r="B2035" s="67" t="str">
        <f aca="false">""</f>
        <v/>
      </c>
      <c r="C2035" s="67"/>
      <c r="D2035" s="23" t="str">
        <f aca="false">IFERROR(INDEX(分录回款!$E:$E,MATCH($L2035,分录回款!$L:$L,0)),"")</f>
        <v/>
      </c>
      <c r="E2035" s="23" t="str">
        <f aca="false">IFERROR(INDEX(分录回款!$F:$F,MATCH($L2035,分录回款!$L:$L,0)),"")</f>
        <v/>
      </c>
      <c r="F2035" s="68" t="str">
        <f aca="false">IFERROR(INDEX(分录回款!$H:$H,MATCH($L2035,分录回款!$L:$L,0)),"")</f>
        <v/>
      </c>
      <c r="G2035" s="69" t="str">
        <f aca="false">IFERROR(INDEX(分录回款!$I:$I,MATCH($L2035,分录回款!$L:$L,0)),"")</f>
        <v/>
      </c>
      <c r="H2035" s="23"/>
      <c r="I2035" s="70"/>
      <c r="L2035" s="71" t="n">
        <f aca="false">IF(助手回款!$R$137="",-1,助手回款!$R$137*100+(助手回款!$S$137-1)*6+5)</f>
        <v>-1</v>
      </c>
    </row>
    <row r="2036" customFormat="false" ht="23.25" hidden="false" customHeight="true" outlineLevel="0" collapsed="false">
      <c r="B2036" s="67" t="str">
        <f aca="false">""</f>
        <v/>
      </c>
      <c r="C2036" s="67"/>
      <c r="D2036" s="23" t="str">
        <f aca="false">IFERROR(INDEX(分录回款!$E:$E,MATCH($L2036,分录回款!$L:$L,0)),"")</f>
        <v/>
      </c>
      <c r="E2036" s="23" t="str">
        <f aca="false">IFERROR(INDEX(分录回款!$F:$F,MATCH($L2036,分录回款!$L:$L,0)),"")</f>
        <v/>
      </c>
      <c r="F2036" s="68" t="str">
        <f aca="false">IFERROR(INDEX(分录回款!$H:$H,MATCH($L2036,分录回款!$L:$L,0)),"")</f>
        <v/>
      </c>
      <c r="G2036" s="69" t="str">
        <f aca="false">IFERROR(INDEX(分录回款!$I:$I,MATCH($L2036,分录回款!$L:$L,0)),"")</f>
        <v/>
      </c>
      <c r="H2036" s="23"/>
      <c r="I2036" s="70"/>
      <c r="L2036" s="71" t="n">
        <f aca="false">IF(助手回款!$R$137="",-1,助手回款!$R$137*100+(助手回款!$S$137-1)*6+6)</f>
        <v>-1</v>
      </c>
    </row>
    <row r="2037" customFormat="false" ht="23.25" hidden="false" customHeight="true" outlineLevel="0" collapsed="false">
      <c r="B2037" s="72" t="str">
        <f aca="false">IF(助手回款!$T$137=1,"合计：","")</f>
        <v/>
      </c>
      <c r="C2037" s="73" t="str">
        <f aca="false">IF(助手回款!$T$137=1,$F2037,"")</f>
        <v/>
      </c>
      <c r="D2037" s="74"/>
      <c r="E2037" s="74"/>
      <c r="F2037" s="75" t="str">
        <f aca="false">IF(助手回款!$T$137=1,INDEX(助手回款!$N$2:$N$66,助手回款!$R$137),"")</f>
        <v/>
      </c>
      <c r="G2037" s="76" t="str">
        <f aca="false">IF(助手回款!$T$137=1,INDEX(助手回款!$O$2:$O$66,助手回款!$R$137),"")</f>
        <v/>
      </c>
      <c r="H2037" s="74"/>
      <c r="I2037" s="77"/>
    </row>
    <row r="2038" customFormat="false" ht="6" hidden="false" customHeight="true" outlineLevel="0" collapsed="false"/>
    <row r="2039" customFormat="false" ht="13.5" hidden="false" customHeight="false" outlineLevel="0" collapsed="false">
      <c r="B2039" s="78" t="str">
        <f aca="false">IF(助手回款!$R$137&lt;&gt;"","会计主管：","")</f>
        <v/>
      </c>
      <c r="D2039" s="78" t="str">
        <f aca="false">IF(助手回款!$R$137&lt;&gt;"","会计：","")</f>
        <v/>
      </c>
      <c r="E2039" s="78" t="str">
        <f aca="false">IF(助手回款!$R$137&lt;&gt;"","出纳：","")</f>
        <v/>
      </c>
      <c r="F2039" s="78" t="str">
        <f aca="false">IF(助手回款!$R$137&lt;&gt;"","复核：","")</f>
        <v/>
      </c>
      <c r="G2039" s="78" t="str">
        <f aca="false">IF(助手回款!$R$137&lt;&gt;"","制单：","")</f>
        <v/>
      </c>
    </row>
    <row r="2040" customFormat="false" ht="3" hidden="false" customHeight="true" outlineLevel="0" collapsed="false"/>
    <row r="2041" customFormat="false" ht="19.5" hidden="false" customHeight="true" outlineLevel="0" collapsed="false">
      <c r="B2041" s="53" t="str">
        <f aca="false">IF(助手回款!$R$138&lt;&gt;"","记  账  凭  证","")</f>
        <v/>
      </c>
      <c r="C2041" s="53"/>
      <c r="D2041" s="53"/>
      <c r="E2041" s="53"/>
      <c r="F2041" s="53"/>
      <c r="G2041" s="53"/>
      <c r="H2041" s="53"/>
      <c r="I2041" s="53"/>
    </row>
    <row r="2042" customFormat="false" ht="3" hidden="false" customHeight="true" outlineLevel="0" collapsed="false"/>
    <row r="2043" customFormat="false" ht="15" hidden="false" customHeight="true" outlineLevel="0" collapsed="false">
      <c r="C2043" s="56" t="str">
        <f aca="false">IF(助手回款!$R$138&lt;&gt;"",INDEX(助手回款!$B$2:$B$66,助手回款!$R$138),"")</f>
        <v/>
      </c>
      <c r="D2043" s="57" t="str">
        <f aca="false">IF(助手回款!$R$138&lt;&gt;"",参数!$B$2,"")</f>
        <v/>
      </c>
      <c r="E2043" s="57"/>
      <c r="F2043" s="58" t="str">
        <f aca="false">IF(助手回款!$R$138&lt;&gt;"",INDEX(助手回款!$C$2:$C$66,助手回款!$R$138)&amp;"  字第 "&amp;IF(参数!$B$9="是",INDEX(助手回款!$P$2:$P$66,助手回款!$R$138),"　　　　")&amp;" 号"&amp;IF(INDEX(助手回款!$L$2:$L$66,助手回款!$R$138)&gt;1,"  (共"&amp;INDEX(助手回款!$L$2:$L$66,助手回款!$R$138)&amp;"页 第"&amp;助手回款!$S$138&amp;"页)",""),"")</f>
        <v/>
      </c>
      <c r="G2043" s="58"/>
      <c r="H2043" s="58"/>
      <c r="I2043" s="58"/>
      <c r="M2043" s="79" t="str">
        <f aca="false">IF(助手回款!$R$138="","",助手回款!$Q$138)</f>
        <v/>
      </c>
      <c r="N2043" s="80" t="str">
        <f aca="false">IF(助手回款!$R$138="","",INDEX(助手回款!$P$2:$P$66,助手回款!$R$138))</f>
        <v/>
      </c>
      <c r="O2043" s="55" t="str">
        <f aca="false">IF(助手回款!$R$138="","",INDEX(助手回款!$C$2:$C$66,助手回款!$R$138)&amp;"  字第 "&amp;INDEX(助手回款!$P$2:$P$66,助手回款!$R$138)&amp;" 号"&amp;IF(INDEX(助手回款!$L$2:$L$66,助手回款!$R$138)&gt;1,"  (共"&amp;INDEX(助手回款!$L$2:$L$66,助手回款!$R$138)&amp;"页 第"&amp;助手回款!$S$138&amp;"页)",""))</f>
        <v/>
      </c>
    </row>
    <row r="2044" customFormat="false" ht="12.75" hidden="false" customHeight="true" outlineLevel="0" collapsed="false">
      <c r="B2044" s="61" t="str">
        <f aca="false">IF(助手回款!$R$138&lt;&gt;"","摘　　要","")</f>
        <v/>
      </c>
      <c r="C2044" s="61"/>
      <c r="D2044" s="62" t="str">
        <f aca="false">IF(助手回款!$R$138&lt;&gt;"","科　　　　目","")</f>
        <v/>
      </c>
      <c r="E2044" s="62"/>
      <c r="F2044" s="61" t="str">
        <f aca="false">IF(助手回款!$R$138&lt;&gt;"","借 方 金 额","")</f>
        <v/>
      </c>
      <c r="G2044" s="62" t="str">
        <f aca="false">IF(助手回款!$R$138&lt;&gt;"","贷 方 金 额","")</f>
        <v/>
      </c>
      <c r="H2044" s="63" t="str">
        <f aca="false">IF(助手回款!$R$138&lt;&gt;"","√","")</f>
        <v/>
      </c>
      <c r="I2044" s="64" t="str">
        <f aca="false">IF(助手回款!$R$138&lt;&gt;"","附单据  张","")</f>
        <v/>
      </c>
    </row>
    <row r="2045" customFormat="false" ht="12.75" hidden="false" customHeight="true" outlineLevel="0" collapsed="false">
      <c r="B2045" s="61"/>
      <c r="C2045" s="61"/>
      <c r="D2045" s="23" t="str">
        <f aca="false">IF(助手回款!$R$138&lt;&gt;"","总 账 科 目","")</f>
        <v/>
      </c>
      <c r="E2045" s="23" t="str">
        <f aca="false">IF(助手回款!$R$138&lt;&gt;"","明 细 科 目","")</f>
        <v/>
      </c>
      <c r="F2045" s="65"/>
      <c r="G2045" s="66"/>
      <c r="H2045" s="63"/>
      <c r="I2045" s="64"/>
    </row>
    <row r="2046" customFormat="false" ht="23.25" hidden="false" customHeight="true" outlineLevel="0" collapsed="false">
      <c r="B2046" s="67" t="str">
        <f aca="false">IFERROR(INDEX(分录回款!$M:$M,MATCH($L2046,分录回款!$L:$L,0)),"")</f>
        <v/>
      </c>
      <c r="C2046" s="67"/>
      <c r="D2046" s="23" t="str">
        <f aca="false">IFERROR(INDEX(分录回款!$E:$E,MATCH($L2046,分录回款!$L:$L,0)),"")</f>
        <v/>
      </c>
      <c r="E2046" s="23" t="str">
        <f aca="false">IFERROR(INDEX(分录回款!$F:$F,MATCH($L2046,分录回款!$L:$L,0)),"")</f>
        <v/>
      </c>
      <c r="F2046" s="68" t="str">
        <f aca="false">IFERROR(INDEX(分录回款!$H:$H,MATCH($L2046,分录回款!$L:$L,0)),"")</f>
        <v/>
      </c>
      <c r="G2046" s="69" t="str">
        <f aca="false">IFERROR(INDEX(分录回款!$I:$I,MATCH($L2046,分录回款!$L:$L,0)),"")</f>
        <v/>
      </c>
      <c r="H2046" s="23"/>
      <c r="I2046" s="70"/>
      <c r="L2046" s="71" t="n">
        <f aca="false">IF(助手回款!$R$138="",-1,助手回款!$R$138*100+(助手回款!$S$138-1)*6+1)</f>
        <v>-1</v>
      </c>
    </row>
    <row r="2047" customFormat="false" ht="23.25" hidden="false" customHeight="true" outlineLevel="0" collapsed="false">
      <c r="B2047" s="67" t="str">
        <f aca="false">""</f>
        <v/>
      </c>
      <c r="C2047" s="67"/>
      <c r="D2047" s="23" t="str">
        <f aca="false">IFERROR(INDEX(分录回款!$E:$E,MATCH($L2047,分录回款!$L:$L,0)),"")</f>
        <v/>
      </c>
      <c r="E2047" s="23" t="str">
        <f aca="false">IFERROR(INDEX(分录回款!$F:$F,MATCH($L2047,分录回款!$L:$L,0)),"")</f>
        <v/>
      </c>
      <c r="F2047" s="68" t="str">
        <f aca="false">IFERROR(INDEX(分录回款!$H:$H,MATCH($L2047,分录回款!$L:$L,0)),"")</f>
        <v/>
      </c>
      <c r="G2047" s="69" t="str">
        <f aca="false">IFERROR(INDEX(分录回款!$I:$I,MATCH($L2047,分录回款!$L:$L,0)),"")</f>
        <v/>
      </c>
      <c r="H2047" s="23"/>
      <c r="I2047" s="70"/>
      <c r="L2047" s="71" t="n">
        <f aca="false">IF(助手回款!$R$138="",-1,助手回款!$R$138*100+(助手回款!$S$138-1)*6+2)</f>
        <v>-1</v>
      </c>
    </row>
    <row r="2048" customFormat="false" ht="23.25" hidden="false" customHeight="true" outlineLevel="0" collapsed="false">
      <c r="B2048" s="67" t="str">
        <f aca="false">""</f>
        <v/>
      </c>
      <c r="C2048" s="67"/>
      <c r="D2048" s="23" t="str">
        <f aca="false">IFERROR(INDEX(分录回款!$E:$E,MATCH($L2048,分录回款!$L:$L,0)),"")</f>
        <v/>
      </c>
      <c r="E2048" s="23" t="str">
        <f aca="false">IFERROR(INDEX(分录回款!$F:$F,MATCH($L2048,分录回款!$L:$L,0)),"")</f>
        <v/>
      </c>
      <c r="F2048" s="68" t="str">
        <f aca="false">IFERROR(INDEX(分录回款!$H:$H,MATCH($L2048,分录回款!$L:$L,0)),"")</f>
        <v/>
      </c>
      <c r="G2048" s="69" t="str">
        <f aca="false">IFERROR(INDEX(分录回款!$I:$I,MATCH($L2048,分录回款!$L:$L,0)),"")</f>
        <v/>
      </c>
      <c r="H2048" s="23"/>
      <c r="I2048" s="70"/>
      <c r="L2048" s="71" t="n">
        <f aca="false">IF(助手回款!$R$138="",-1,助手回款!$R$138*100+(助手回款!$S$138-1)*6+3)</f>
        <v>-1</v>
      </c>
    </row>
    <row r="2049" customFormat="false" ht="23.25" hidden="false" customHeight="true" outlineLevel="0" collapsed="false">
      <c r="B2049" s="67" t="str">
        <f aca="false">""</f>
        <v/>
      </c>
      <c r="C2049" s="67"/>
      <c r="D2049" s="23" t="str">
        <f aca="false">IFERROR(INDEX(分录回款!$E:$E,MATCH($L2049,分录回款!$L:$L,0)),"")</f>
        <v/>
      </c>
      <c r="E2049" s="23" t="str">
        <f aca="false">IFERROR(INDEX(分录回款!$F:$F,MATCH($L2049,分录回款!$L:$L,0)),"")</f>
        <v/>
      </c>
      <c r="F2049" s="68" t="str">
        <f aca="false">IFERROR(INDEX(分录回款!$H:$H,MATCH($L2049,分录回款!$L:$L,0)),"")</f>
        <v/>
      </c>
      <c r="G2049" s="69" t="str">
        <f aca="false">IFERROR(INDEX(分录回款!$I:$I,MATCH($L2049,分录回款!$L:$L,0)),"")</f>
        <v/>
      </c>
      <c r="H2049" s="23"/>
      <c r="I2049" s="70"/>
      <c r="L2049" s="71" t="n">
        <f aca="false">IF(助手回款!$R$138="",-1,助手回款!$R$138*100+(助手回款!$S$138-1)*6+4)</f>
        <v>-1</v>
      </c>
    </row>
    <row r="2050" customFormat="false" ht="23.25" hidden="false" customHeight="true" outlineLevel="0" collapsed="false">
      <c r="B2050" s="67" t="str">
        <f aca="false">""</f>
        <v/>
      </c>
      <c r="C2050" s="67"/>
      <c r="D2050" s="23" t="str">
        <f aca="false">IFERROR(INDEX(分录回款!$E:$E,MATCH($L2050,分录回款!$L:$L,0)),"")</f>
        <v/>
      </c>
      <c r="E2050" s="23" t="str">
        <f aca="false">IFERROR(INDEX(分录回款!$F:$F,MATCH($L2050,分录回款!$L:$L,0)),"")</f>
        <v/>
      </c>
      <c r="F2050" s="68" t="str">
        <f aca="false">IFERROR(INDEX(分录回款!$H:$H,MATCH($L2050,分录回款!$L:$L,0)),"")</f>
        <v/>
      </c>
      <c r="G2050" s="69" t="str">
        <f aca="false">IFERROR(INDEX(分录回款!$I:$I,MATCH($L2050,分录回款!$L:$L,0)),"")</f>
        <v/>
      </c>
      <c r="H2050" s="23"/>
      <c r="I2050" s="70"/>
      <c r="L2050" s="71" t="n">
        <f aca="false">IF(助手回款!$R$138="",-1,助手回款!$R$138*100+(助手回款!$S$138-1)*6+5)</f>
        <v>-1</v>
      </c>
    </row>
    <row r="2051" customFormat="false" ht="23.25" hidden="false" customHeight="true" outlineLevel="0" collapsed="false">
      <c r="B2051" s="67" t="str">
        <f aca="false">""</f>
        <v/>
      </c>
      <c r="C2051" s="67"/>
      <c r="D2051" s="23" t="str">
        <f aca="false">IFERROR(INDEX(分录回款!$E:$E,MATCH($L2051,分录回款!$L:$L,0)),"")</f>
        <v/>
      </c>
      <c r="E2051" s="23" t="str">
        <f aca="false">IFERROR(INDEX(分录回款!$F:$F,MATCH($L2051,分录回款!$L:$L,0)),"")</f>
        <v/>
      </c>
      <c r="F2051" s="68" t="str">
        <f aca="false">IFERROR(INDEX(分录回款!$H:$H,MATCH($L2051,分录回款!$L:$L,0)),"")</f>
        <v/>
      </c>
      <c r="G2051" s="69" t="str">
        <f aca="false">IFERROR(INDEX(分录回款!$I:$I,MATCH($L2051,分录回款!$L:$L,0)),"")</f>
        <v/>
      </c>
      <c r="H2051" s="23"/>
      <c r="I2051" s="70"/>
      <c r="L2051" s="71" t="n">
        <f aca="false">IF(助手回款!$R$138="",-1,助手回款!$R$138*100+(助手回款!$S$138-1)*6+6)</f>
        <v>-1</v>
      </c>
    </row>
    <row r="2052" customFormat="false" ht="23.25" hidden="false" customHeight="true" outlineLevel="0" collapsed="false">
      <c r="B2052" s="72" t="str">
        <f aca="false">IF(助手回款!$T$138=1,"合计：","")</f>
        <v/>
      </c>
      <c r="C2052" s="73" t="str">
        <f aca="false">IF(助手回款!$T$138=1,$F2052,"")</f>
        <v/>
      </c>
      <c r="D2052" s="74"/>
      <c r="E2052" s="74"/>
      <c r="F2052" s="75" t="str">
        <f aca="false">IF(助手回款!$T$138=1,INDEX(助手回款!$N$2:$N$66,助手回款!$R$138),"")</f>
        <v/>
      </c>
      <c r="G2052" s="76" t="str">
        <f aca="false">IF(助手回款!$T$138=1,INDEX(助手回款!$O$2:$O$66,助手回款!$R$138),"")</f>
        <v/>
      </c>
      <c r="H2052" s="74"/>
      <c r="I2052" s="77"/>
    </row>
    <row r="2053" customFormat="false" ht="6" hidden="false" customHeight="true" outlineLevel="0" collapsed="false"/>
    <row r="2054" customFormat="false" ht="13.5" hidden="false" customHeight="false" outlineLevel="0" collapsed="false">
      <c r="B2054" s="78" t="str">
        <f aca="false">IF(助手回款!$R$138&lt;&gt;"","会计主管：","")</f>
        <v/>
      </c>
      <c r="D2054" s="78" t="str">
        <f aca="false">IF(助手回款!$R$138&lt;&gt;"","会计：","")</f>
        <v/>
      </c>
      <c r="E2054" s="78" t="str">
        <f aca="false">IF(助手回款!$R$138&lt;&gt;"","出纳：","")</f>
        <v/>
      </c>
      <c r="F2054" s="78" t="str">
        <f aca="false">IF(助手回款!$R$138&lt;&gt;"","复核：","")</f>
        <v/>
      </c>
      <c r="G2054" s="78" t="str">
        <f aca="false">IF(助手回款!$R$138&lt;&gt;"","制单：","")</f>
        <v/>
      </c>
    </row>
    <row r="2055" customFormat="false" ht="3" hidden="false" customHeight="true" outlineLevel="0" collapsed="false"/>
    <row r="2056" customFormat="false" ht="19.5" hidden="false" customHeight="true" outlineLevel="0" collapsed="false">
      <c r="B2056" s="53" t="str">
        <f aca="false">IF(助手回款!$R$139&lt;&gt;"","记  账  凭  证","")</f>
        <v/>
      </c>
      <c r="C2056" s="53"/>
      <c r="D2056" s="53"/>
      <c r="E2056" s="53"/>
      <c r="F2056" s="53"/>
      <c r="G2056" s="53"/>
      <c r="H2056" s="53"/>
      <c r="I2056" s="53"/>
    </row>
    <row r="2057" customFormat="false" ht="3" hidden="false" customHeight="true" outlineLevel="0" collapsed="false"/>
    <row r="2058" customFormat="false" ht="15" hidden="false" customHeight="true" outlineLevel="0" collapsed="false">
      <c r="C2058" s="56" t="str">
        <f aca="false">IF(助手回款!$R$139&lt;&gt;"",INDEX(助手回款!$B$2:$B$66,助手回款!$R$139),"")</f>
        <v/>
      </c>
      <c r="D2058" s="57" t="str">
        <f aca="false">IF(助手回款!$R$139&lt;&gt;"",参数!$B$2,"")</f>
        <v/>
      </c>
      <c r="E2058" s="57"/>
      <c r="F2058" s="58" t="str">
        <f aca="false">IF(助手回款!$R$139&lt;&gt;"",INDEX(助手回款!$C$2:$C$66,助手回款!$R$139)&amp;"  字第 "&amp;IF(参数!$B$9="是",INDEX(助手回款!$P$2:$P$66,助手回款!$R$139),"　　　　")&amp;" 号"&amp;IF(INDEX(助手回款!$L$2:$L$66,助手回款!$R$139)&gt;1,"  (共"&amp;INDEX(助手回款!$L$2:$L$66,助手回款!$R$139)&amp;"页 第"&amp;助手回款!$S$139&amp;"页)",""),"")</f>
        <v/>
      </c>
      <c r="G2058" s="58"/>
      <c r="H2058" s="58"/>
      <c r="I2058" s="58"/>
      <c r="M2058" s="79" t="str">
        <f aca="false">IF(助手回款!$R$139="","",助手回款!$Q$139)</f>
        <v/>
      </c>
      <c r="N2058" s="80" t="str">
        <f aca="false">IF(助手回款!$R$139="","",INDEX(助手回款!$P$2:$P$66,助手回款!$R$139))</f>
        <v/>
      </c>
      <c r="O2058" s="55" t="str">
        <f aca="false">IF(助手回款!$R$139="","",INDEX(助手回款!$C$2:$C$66,助手回款!$R$139)&amp;"  字第 "&amp;INDEX(助手回款!$P$2:$P$66,助手回款!$R$139)&amp;" 号"&amp;IF(INDEX(助手回款!$L$2:$L$66,助手回款!$R$139)&gt;1,"  (共"&amp;INDEX(助手回款!$L$2:$L$66,助手回款!$R$139)&amp;"页 第"&amp;助手回款!$S$139&amp;"页)",""))</f>
        <v/>
      </c>
    </row>
    <row r="2059" customFormat="false" ht="12.75" hidden="false" customHeight="true" outlineLevel="0" collapsed="false">
      <c r="B2059" s="61" t="str">
        <f aca="false">IF(助手回款!$R$139&lt;&gt;"","摘　　要","")</f>
        <v/>
      </c>
      <c r="C2059" s="61"/>
      <c r="D2059" s="62" t="str">
        <f aca="false">IF(助手回款!$R$139&lt;&gt;"","科　　　　目","")</f>
        <v/>
      </c>
      <c r="E2059" s="62"/>
      <c r="F2059" s="61" t="str">
        <f aca="false">IF(助手回款!$R$139&lt;&gt;"","借 方 金 额","")</f>
        <v/>
      </c>
      <c r="G2059" s="62" t="str">
        <f aca="false">IF(助手回款!$R$139&lt;&gt;"","贷 方 金 额","")</f>
        <v/>
      </c>
      <c r="H2059" s="63" t="str">
        <f aca="false">IF(助手回款!$R$139&lt;&gt;"","√","")</f>
        <v/>
      </c>
      <c r="I2059" s="64" t="str">
        <f aca="false">IF(助手回款!$R$139&lt;&gt;"","附单据  张","")</f>
        <v/>
      </c>
    </row>
    <row r="2060" customFormat="false" ht="12.75" hidden="false" customHeight="true" outlineLevel="0" collapsed="false">
      <c r="B2060" s="61"/>
      <c r="C2060" s="61"/>
      <c r="D2060" s="23" t="str">
        <f aca="false">IF(助手回款!$R$139&lt;&gt;"","总 账 科 目","")</f>
        <v/>
      </c>
      <c r="E2060" s="23" t="str">
        <f aca="false">IF(助手回款!$R$139&lt;&gt;"","明 细 科 目","")</f>
        <v/>
      </c>
      <c r="F2060" s="65"/>
      <c r="G2060" s="66"/>
      <c r="H2060" s="63"/>
      <c r="I2060" s="64"/>
    </row>
    <row r="2061" customFormat="false" ht="23.25" hidden="false" customHeight="true" outlineLevel="0" collapsed="false">
      <c r="B2061" s="67" t="str">
        <f aca="false">IFERROR(INDEX(分录回款!$M:$M,MATCH($L2061,分录回款!$L:$L,0)),"")</f>
        <v/>
      </c>
      <c r="C2061" s="67"/>
      <c r="D2061" s="23" t="str">
        <f aca="false">IFERROR(INDEX(分录回款!$E:$E,MATCH($L2061,分录回款!$L:$L,0)),"")</f>
        <v/>
      </c>
      <c r="E2061" s="23" t="str">
        <f aca="false">IFERROR(INDEX(分录回款!$F:$F,MATCH($L2061,分录回款!$L:$L,0)),"")</f>
        <v/>
      </c>
      <c r="F2061" s="68" t="str">
        <f aca="false">IFERROR(INDEX(分录回款!$H:$H,MATCH($L2061,分录回款!$L:$L,0)),"")</f>
        <v/>
      </c>
      <c r="G2061" s="69" t="str">
        <f aca="false">IFERROR(INDEX(分录回款!$I:$I,MATCH($L2061,分录回款!$L:$L,0)),"")</f>
        <v/>
      </c>
      <c r="H2061" s="23"/>
      <c r="I2061" s="70"/>
      <c r="L2061" s="71" t="n">
        <f aca="false">IF(助手回款!$R$139="",-1,助手回款!$R$139*100+(助手回款!$S$139-1)*6+1)</f>
        <v>-1</v>
      </c>
    </row>
    <row r="2062" customFormat="false" ht="23.25" hidden="false" customHeight="true" outlineLevel="0" collapsed="false">
      <c r="B2062" s="67" t="str">
        <f aca="false">""</f>
        <v/>
      </c>
      <c r="C2062" s="67"/>
      <c r="D2062" s="23" t="str">
        <f aca="false">IFERROR(INDEX(分录回款!$E:$E,MATCH($L2062,分录回款!$L:$L,0)),"")</f>
        <v/>
      </c>
      <c r="E2062" s="23" t="str">
        <f aca="false">IFERROR(INDEX(分录回款!$F:$F,MATCH($L2062,分录回款!$L:$L,0)),"")</f>
        <v/>
      </c>
      <c r="F2062" s="68" t="str">
        <f aca="false">IFERROR(INDEX(分录回款!$H:$H,MATCH($L2062,分录回款!$L:$L,0)),"")</f>
        <v/>
      </c>
      <c r="G2062" s="69" t="str">
        <f aca="false">IFERROR(INDEX(分录回款!$I:$I,MATCH($L2062,分录回款!$L:$L,0)),"")</f>
        <v/>
      </c>
      <c r="H2062" s="23"/>
      <c r="I2062" s="70"/>
      <c r="L2062" s="71" t="n">
        <f aca="false">IF(助手回款!$R$139="",-1,助手回款!$R$139*100+(助手回款!$S$139-1)*6+2)</f>
        <v>-1</v>
      </c>
    </row>
    <row r="2063" customFormat="false" ht="23.25" hidden="false" customHeight="true" outlineLevel="0" collapsed="false">
      <c r="B2063" s="67" t="str">
        <f aca="false">""</f>
        <v/>
      </c>
      <c r="C2063" s="67"/>
      <c r="D2063" s="23" t="str">
        <f aca="false">IFERROR(INDEX(分录回款!$E:$E,MATCH($L2063,分录回款!$L:$L,0)),"")</f>
        <v/>
      </c>
      <c r="E2063" s="23" t="str">
        <f aca="false">IFERROR(INDEX(分录回款!$F:$F,MATCH($L2063,分录回款!$L:$L,0)),"")</f>
        <v/>
      </c>
      <c r="F2063" s="68" t="str">
        <f aca="false">IFERROR(INDEX(分录回款!$H:$H,MATCH($L2063,分录回款!$L:$L,0)),"")</f>
        <v/>
      </c>
      <c r="G2063" s="69" t="str">
        <f aca="false">IFERROR(INDEX(分录回款!$I:$I,MATCH($L2063,分录回款!$L:$L,0)),"")</f>
        <v/>
      </c>
      <c r="H2063" s="23"/>
      <c r="I2063" s="70"/>
      <c r="L2063" s="71" t="n">
        <f aca="false">IF(助手回款!$R$139="",-1,助手回款!$R$139*100+(助手回款!$S$139-1)*6+3)</f>
        <v>-1</v>
      </c>
    </row>
    <row r="2064" customFormat="false" ht="23.25" hidden="false" customHeight="true" outlineLevel="0" collapsed="false">
      <c r="B2064" s="67" t="str">
        <f aca="false">""</f>
        <v/>
      </c>
      <c r="C2064" s="67"/>
      <c r="D2064" s="23" t="str">
        <f aca="false">IFERROR(INDEX(分录回款!$E:$E,MATCH($L2064,分录回款!$L:$L,0)),"")</f>
        <v/>
      </c>
      <c r="E2064" s="23" t="str">
        <f aca="false">IFERROR(INDEX(分录回款!$F:$F,MATCH($L2064,分录回款!$L:$L,0)),"")</f>
        <v/>
      </c>
      <c r="F2064" s="68" t="str">
        <f aca="false">IFERROR(INDEX(分录回款!$H:$H,MATCH($L2064,分录回款!$L:$L,0)),"")</f>
        <v/>
      </c>
      <c r="G2064" s="69" t="str">
        <f aca="false">IFERROR(INDEX(分录回款!$I:$I,MATCH($L2064,分录回款!$L:$L,0)),"")</f>
        <v/>
      </c>
      <c r="H2064" s="23"/>
      <c r="I2064" s="70"/>
      <c r="L2064" s="71" t="n">
        <f aca="false">IF(助手回款!$R$139="",-1,助手回款!$R$139*100+(助手回款!$S$139-1)*6+4)</f>
        <v>-1</v>
      </c>
    </row>
    <row r="2065" customFormat="false" ht="23.25" hidden="false" customHeight="true" outlineLevel="0" collapsed="false">
      <c r="B2065" s="67" t="str">
        <f aca="false">""</f>
        <v/>
      </c>
      <c r="C2065" s="67"/>
      <c r="D2065" s="23" t="str">
        <f aca="false">IFERROR(INDEX(分录回款!$E:$E,MATCH($L2065,分录回款!$L:$L,0)),"")</f>
        <v/>
      </c>
      <c r="E2065" s="23" t="str">
        <f aca="false">IFERROR(INDEX(分录回款!$F:$F,MATCH($L2065,分录回款!$L:$L,0)),"")</f>
        <v/>
      </c>
      <c r="F2065" s="68" t="str">
        <f aca="false">IFERROR(INDEX(分录回款!$H:$H,MATCH($L2065,分录回款!$L:$L,0)),"")</f>
        <v/>
      </c>
      <c r="G2065" s="69" t="str">
        <f aca="false">IFERROR(INDEX(分录回款!$I:$I,MATCH($L2065,分录回款!$L:$L,0)),"")</f>
        <v/>
      </c>
      <c r="H2065" s="23"/>
      <c r="I2065" s="70"/>
      <c r="L2065" s="71" t="n">
        <f aca="false">IF(助手回款!$R$139="",-1,助手回款!$R$139*100+(助手回款!$S$139-1)*6+5)</f>
        <v>-1</v>
      </c>
    </row>
    <row r="2066" customFormat="false" ht="23.25" hidden="false" customHeight="true" outlineLevel="0" collapsed="false">
      <c r="B2066" s="67" t="str">
        <f aca="false">""</f>
        <v/>
      </c>
      <c r="C2066" s="67"/>
      <c r="D2066" s="23" t="str">
        <f aca="false">IFERROR(INDEX(分录回款!$E:$E,MATCH($L2066,分录回款!$L:$L,0)),"")</f>
        <v/>
      </c>
      <c r="E2066" s="23" t="str">
        <f aca="false">IFERROR(INDEX(分录回款!$F:$F,MATCH($L2066,分录回款!$L:$L,0)),"")</f>
        <v/>
      </c>
      <c r="F2066" s="68" t="str">
        <f aca="false">IFERROR(INDEX(分录回款!$H:$H,MATCH($L2066,分录回款!$L:$L,0)),"")</f>
        <v/>
      </c>
      <c r="G2066" s="69" t="str">
        <f aca="false">IFERROR(INDEX(分录回款!$I:$I,MATCH($L2066,分录回款!$L:$L,0)),"")</f>
        <v/>
      </c>
      <c r="H2066" s="23"/>
      <c r="I2066" s="70"/>
      <c r="L2066" s="71" t="n">
        <f aca="false">IF(助手回款!$R$139="",-1,助手回款!$R$139*100+(助手回款!$S$139-1)*6+6)</f>
        <v>-1</v>
      </c>
    </row>
    <row r="2067" customFormat="false" ht="23.25" hidden="false" customHeight="true" outlineLevel="0" collapsed="false">
      <c r="B2067" s="72" t="str">
        <f aca="false">IF(助手回款!$T$139=1,"合计：","")</f>
        <v/>
      </c>
      <c r="C2067" s="73" t="str">
        <f aca="false">IF(助手回款!$T$139=1,$F2067,"")</f>
        <v/>
      </c>
      <c r="D2067" s="74"/>
      <c r="E2067" s="74"/>
      <c r="F2067" s="75" t="str">
        <f aca="false">IF(助手回款!$T$139=1,INDEX(助手回款!$N$2:$N$66,助手回款!$R$139),"")</f>
        <v/>
      </c>
      <c r="G2067" s="76" t="str">
        <f aca="false">IF(助手回款!$T$139=1,INDEX(助手回款!$O$2:$O$66,助手回款!$R$139),"")</f>
        <v/>
      </c>
      <c r="H2067" s="74"/>
      <c r="I2067" s="77"/>
    </row>
    <row r="2068" customFormat="false" ht="6" hidden="false" customHeight="true" outlineLevel="0" collapsed="false"/>
    <row r="2069" customFormat="false" ht="13.5" hidden="false" customHeight="false" outlineLevel="0" collapsed="false">
      <c r="B2069" s="78" t="str">
        <f aca="false">IF(助手回款!$R$139&lt;&gt;"","会计主管：","")</f>
        <v/>
      </c>
      <c r="D2069" s="78" t="str">
        <f aca="false">IF(助手回款!$R$139&lt;&gt;"","会计：","")</f>
        <v/>
      </c>
      <c r="E2069" s="78" t="str">
        <f aca="false">IF(助手回款!$R$139&lt;&gt;"","出纳：","")</f>
        <v/>
      </c>
      <c r="F2069" s="78" t="str">
        <f aca="false">IF(助手回款!$R$139&lt;&gt;"","复核：","")</f>
        <v/>
      </c>
      <c r="G2069" s="78" t="str">
        <f aca="false">IF(助手回款!$R$139&lt;&gt;"","制单：","")</f>
        <v/>
      </c>
    </row>
    <row r="2070" customFormat="false" ht="3" hidden="false" customHeight="true" outlineLevel="0" collapsed="false"/>
    <row r="2071" customFormat="false" ht="19.5" hidden="false" customHeight="true" outlineLevel="0" collapsed="false">
      <c r="B2071" s="53" t="str">
        <f aca="false">IF(助手回款!$R$140&lt;&gt;"","记  账  凭  证","")</f>
        <v/>
      </c>
      <c r="C2071" s="53"/>
      <c r="D2071" s="53"/>
      <c r="E2071" s="53"/>
      <c r="F2071" s="53"/>
      <c r="G2071" s="53"/>
      <c r="H2071" s="53"/>
      <c r="I2071" s="53"/>
    </row>
    <row r="2072" customFormat="false" ht="3" hidden="false" customHeight="true" outlineLevel="0" collapsed="false"/>
    <row r="2073" customFormat="false" ht="15" hidden="false" customHeight="true" outlineLevel="0" collapsed="false">
      <c r="C2073" s="56" t="str">
        <f aca="false">IF(助手回款!$R$140&lt;&gt;"",INDEX(助手回款!$B$2:$B$66,助手回款!$R$140),"")</f>
        <v/>
      </c>
      <c r="D2073" s="57" t="str">
        <f aca="false">IF(助手回款!$R$140&lt;&gt;"",参数!$B$2,"")</f>
        <v/>
      </c>
      <c r="E2073" s="57"/>
      <c r="F2073" s="58" t="str">
        <f aca="false">IF(助手回款!$R$140&lt;&gt;"",INDEX(助手回款!$C$2:$C$66,助手回款!$R$140)&amp;"  字第 "&amp;IF(参数!$B$9="是",INDEX(助手回款!$P$2:$P$66,助手回款!$R$140),"　　　　")&amp;" 号"&amp;IF(INDEX(助手回款!$L$2:$L$66,助手回款!$R$140)&gt;1,"  (共"&amp;INDEX(助手回款!$L$2:$L$66,助手回款!$R$140)&amp;"页 第"&amp;助手回款!$S$140&amp;"页)",""),"")</f>
        <v/>
      </c>
      <c r="G2073" s="58"/>
      <c r="H2073" s="58"/>
      <c r="I2073" s="58"/>
      <c r="M2073" s="79" t="str">
        <f aca="false">IF(助手回款!$R$140="","",助手回款!$Q$140)</f>
        <v/>
      </c>
      <c r="N2073" s="80" t="str">
        <f aca="false">IF(助手回款!$R$140="","",INDEX(助手回款!$P$2:$P$66,助手回款!$R$140))</f>
        <v/>
      </c>
      <c r="O2073" s="55" t="str">
        <f aca="false">IF(助手回款!$R$140="","",INDEX(助手回款!$C$2:$C$66,助手回款!$R$140)&amp;"  字第 "&amp;INDEX(助手回款!$P$2:$P$66,助手回款!$R$140)&amp;" 号"&amp;IF(INDEX(助手回款!$L$2:$L$66,助手回款!$R$140)&gt;1,"  (共"&amp;INDEX(助手回款!$L$2:$L$66,助手回款!$R$140)&amp;"页 第"&amp;助手回款!$S$140&amp;"页)",""))</f>
        <v/>
      </c>
    </row>
    <row r="2074" customFormat="false" ht="12.75" hidden="false" customHeight="true" outlineLevel="0" collapsed="false">
      <c r="B2074" s="61" t="str">
        <f aca="false">IF(助手回款!$R$140&lt;&gt;"","摘　　要","")</f>
        <v/>
      </c>
      <c r="C2074" s="61"/>
      <c r="D2074" s="62" t="str">
        <f aca="false">IF(助手回款!$R$140&lt;&gt;"","科　　　　目","")</f>
        <v/>
      </c>
      <c r="E2074" s="62"/>
      <c r="F2074" s="61" t="str">
        <f aca="false">IF(助手回款!$R$140&lt;&gt;"","借 方 金 额","")</f>
        <v/>
      </c>
      <c r="G2074" s="62" t="str">
        <f aca="false">IF(助手回款!$R$140&lt;&gt;"","贷 方 金 额","")</f>
        <v/>
      </c>
      <c r="H2074" s="63" t="str">
        <f aca="false">IF(助手回款!$R$140&lt;&gt;"","√","")</f>
        <v/>
      </c>
      <c r="I2074" s="64" t="str">
        <f aca="false">IF(助手回款!$R$140&lt;&gt;"","附单据  张","")</f>
        <v/>
      </c>
    </row>
    <row r="2075" customFormat="false" ht="12.75" hidden="false" customHeight="true" outlineLevel="0" collapsed="false">
      <c r="B2075" s="61"/>
      <c r="C2075" s="61"/>
      <c r="D2075" s="23" t="str">
        <f aca="false">IF(助手回款!$R$140&lt;&gt;"","总 账 科 目","")</f>
        <v/>
      </c>
      <c r="E2075" s="23" t="str">
        <f aca="false">IF(助手回款!$R$140&lt;&gt;"","明 细 科 目","")</f>
        <v/>
      </c>
      <c r="F2075" s="65"/>
      <c r="G2075" s="66"/>
      <c r="H2075" s="63"/>
      <c r="I2075" s="64"/>
    </row>
    <row r="2076" customFormat="false" ht="23.25" hidden="false" customHeight="true" outlineLevel="0" collapsed="false">
      <c r="B2076" s="67" t="str">
        <f aca="false">IFERROR(INDEX(分录回款!$M:$M,MATCH($L2076,分录回款!$L:$L,0)),"")</f>
        <v/>
      </c>
      <c r="C2076" s="67"/>
      <c r="D2076" s="23" t="str">
        <f aca="false">IFERROR(INDEX(分录回款!$E:$E,MATCH($L2076,分录回款!$L:$L,0)),"")</f>
        <v/>
      </c>
      <c r="E2076" s="23" t="str">
        <f aca="false">IFERROR(INDEX(分录回款!$F:$F,MATCH($L2076,分录回款!$L:$L,0)),"")</f>
        <v/>
      </c>
      <c r="F2076" s="68" t="str">
        <f aca="false">IFERROR(INDEX(分录回款!$H:$H,MATCH($L2076,分录回款!$L:$L,0)),"")</f>
        <v/>
      </c>
      <c r="G2076" s="69" t="str">
        <f aca="false">IFERROR(INDEX(分录回款!$I:$I,MATCH($L2076,分录回款!$L:$L,0)),"")</f>
        <v/>
      </c>
      <c r="H2076" s="23"/>
      <c r="I2076" s="70"/>
      <c r="L2076" s="71" t="n">
        <f aca="false">IF(助手回款!$R$140="",-1,助手回款!$R$140*100+(助手回款!$S$140-1)*6+1)</f>
        <v>-1</v>
      </c>
    </row>
    <row r="2077" customFormat="false" ht="23.25" hidden="false" customHeight="true" outlineLevel="0" collapsed="false">
      <c r="B2077" s="67" t="str">
        <f aca="false">""</f>
        <v/>
      </c>
      <c r="C2077" s="67"/>
      <c r="D2077" s="23" t="str">
        <f aca="false">IFERROR(INDEX(分录回款!$E:$E,MATCH($L2077,分录回款!$L:$L,0)),"")</f>
        <v/>
      </c>
      <c r="E2077" s="23" t="str">
        <f aca="false">IFERROR(INDEX(分录回款!$F:$F,MATCH($L2077,分录回款!$L:$L,0)),"")</f>
        <v/>
      </c>
      <c r="F2077" s="68" t="str">
        <f aca="false">IFERROR(INDEX(分录回款!$H:$H,MATCH($L2077,分录回款!$L:$L,0)),"")</f>
        <v/>
      </c>
      <c r="G2077" s="69" t="str">
        <f aca="false">IFERROR(INDEX(分录回款!$I:$I,MATCH($L2077,分录回款!$L:$L,0)),"")</f>
        <v/>
      </c>
      <c r="H2077" s="23"/>
      <c r="I2077" s="70"/>
      <c r="L2077" s="71" t="n">
        <f aca="false">IF(助手回款!$R$140="",-1,助手回款!$R$140*100+(助手回款!$S$140-1)*6+2)</f>
        <v>-1</v>
      </c>
    </row>
    <row r="2078" customFormat="false" ht="23.25" hidden="false" customHeight="true" outlineLevel="0" collapsed="false">
      <c r="B2078" s="67" t="str">
        <f aca="false">""</f>
        <v/>
      </c>
      <c r="C2078" s="67"/>
      <c r="D2078" s="23" t="str">
        <f aca="false">IFERROR(INDEX(分录回款!$E:$E,MATCH($L2078,分录回款!$L:$L,0)),"")</f>
        <v/>
      </c>
      <c r="E2078" s="23" t="str">
        <f aca="false">IFERROR(INDEX(分录回款!$F:$F,MATCH($L2078,分录回款!$L:$L,0)),"")</f>
        <v/>
      </c>
      <c r="F2078" s="68" t="str">
        <f aca="false">IFERROR(INDEX(分录回款!$H:$H,MATCH($L2078,分录回款!$L:$L,0)),"")</f>
        <v/>
      </c>
      <c r="G2078" s="69" t="str">
        <f aca="false">IFERROR(INDEX(分录回款!$I:$I,MATCH($L2078,分录回款!$L:$L,0)),"")</f>
        <v/>
      </c>
      <c r="H2078" s="23"/>
      <c r="I2078" s="70"/>
      <c r="L2078" s="71" t="n">
        <f aca="false">IF(助手回款!$R$140="",-1,助手回款!$R$140*100+(助手回款!$S$140-1)*6+3)</f>
        <v>-1</v>
      </c>
    </row>
    <row r="2079" customFormat="false" ht="23.25" hidden="false" customHeight="true" outlineLevel="0" collapsed="false">
      <c r="B2079" s="67" t="str">
        <f aca="false">""</f>
        <v/>
      </c>
      <c r="C2079" s="67"/>
      <c r="D2079" s="23" t="str">
        <f aca="false">IFERROR(INDEX(分录回款!$E:$E,MATCH($L2079,分录回款!$L:$L,0)),"")</f>
        <v/>
      </c>
      <c r="E2079" s="23" t="str">
        <f aca="false">IFERROR(INDEX(分录回款!$F:$F,MATCH($L2079,分录回款!$L:$L,0)),"")</f>
        <v/>
      </c>
      <c r="F2079" s="68" t="str">
        <f aca="false">IFERROR(INDEX(分录回款!$H:$H,MATCH($L2079,分录回款!$L:$L,0)),"")</f>
        <v/>
      </c>
      <c r="G2079" s="69" t="str">
        <f aca="false">IFERROR(INDEX(分录回款!$I:$I,MATCH($L2079,分录回款!$L:$L,0)),"")</f>
        <v/>
      </c>
      <c r="H2079" s="23"/>
      <c r="I2079" s="70"/>
      <c r="L2079" s="71" t="n">
        <f aca="false">IF(助手回款!$R$140="",-1,助手回款!$R$140*100+(助手回款!$S$140-1)*6+4)</f>
        <v>-1</v>
      </c>
    </row>
    <row r="2080" customFormat="false" ht="23.25" hidden="false" customHeight="true" outlineLevel="0" collapsed="false">
      <c r="B2080" s="67" t="str">
        <f aca="false">""</f>
        <v/>
      </c>
      <c r="C2080" s="67"/>
      <c r="D2080" s="23" t="str">
        <f aca="false">IFERROR(INDEX(分录回款!$E:$E,MATCH($L2080,分录回款!$L:$L,0)),"")</f>
        <v/>
      </c>
      <c r="E2080" s="23" t="str">
        <f aca="false">IFERROR(INDEX(分录回款!$F:$F,MATCH($L2080,分录回款!$L:$L,0)),"")</f>
        <v/>
      </c>
      <c r="F2080" s="68" t="str">
        <f aca="false">IFERROR(INDEX(分录回款!$H:$H,MATCH($L2080,分录回款!$L:$L,0)),"")</f>
        <v/>
      </c>
      <c r="G2080" s="69" t="str">
        <f aca="false">IFERROR(INDEX(分录回款!$I:$I,MATCH($L2080,分录回款!$L:$L,0)),"")</f>
        <v/>
      </c>
      <c r="H2080" s="23"/>
      <c r="I2080" s="70"/>
      <c r="L2080" s="71" t="n">
        <f aca="false">IF(助手回款!$R$140="",-1,助手回款!$R$140*100+(助手回款!$S$140-1)*6+5)</f>
        <v>-1</v>
      </c>
    </row>
    <row r="2081" customFormat="false" ht="23.25" hidden="false" customHeight="true" outlineLevel="0" collapsed="false">
      <c r="B2081" s="67" t="str">
        <f aca="false">""</f>
        <v/>
      </c>
      <c r="C2081" s="67"/>
      <c r="D2081" s="23" t="str">
        <f aca="false">IFERROR(INDEX(分录回款!$E:$E,MATCH($L2081,分录回款!$L:$L,0)),"")</f>
        <v/>
      </c>
      <c r="E2081" s="23" t="str">
        <f aca="false">IFERROR(INDEX(分录回款!$F:$F,MATCH($L2081,分录回款!$L:$L,0)),"")</f>
        <v/>
      </c>
      <c r="F2081" s="68" t="str">
        <f aca="false">IFERROR(INDEX(分录回款!$H:$H,MATCH($L2081,分录回款!$L:$L,0)),"")</f>
        <v/>
      </c>
      <c r="G2081" s="69" t="str">
        <f aca="false">IFERROR(INDEX(分录回款!$I:$I,MATCH($L2081,分录回款!$L:$L,0)),"")</f>
        <v/>
      </c>
      <c r="H2081" s="23"/>
      <c r="I2081" s="70"/>
      <c r="L2081" s="71" t="n">
        <f aca="false">IF(助手回款!$R$140="",-1,助手回款!$R$140*100+(助手回款!$S$140-1)*6+6)</f>
        <v>-1</v>
      </c>
    </row>
    <row r="2082" customFormat="false" ht="23.25" hidden="false" customHeight="true" outlineLevel="0" collapsed="false">
      <c r="B2082" s="72" t="str">
        <f aca="false">IF(助手回款!$T$140=1,"合计：","")</f>
        <v/>
      </c>
      <c r="C2082" s="73" t="str">
        <f aca="false">IF(助手回款!$T$140=1,$F2082,"")</f>
        <v/>
      </c>
      <c r="D2082" s="74"/>
      <c r="E2082" s="74"/>
      <c r="F2082" s="75" t="str">
        <f aca="false">IF(助手回款!$T$140=1,INDEX(助手回款!$N$2:$N$66,助手回款!$R$140),"")</f>
        <v/>
      </c>
      <c r="G2082" s="76" t="str">
        <f aca="false">IF(助手回款!$T$140=1,INDEX(助手回款!$O$2:$O$66,助手回款!$R$140),"")</f>
        <v/>
      </c>
      <c r="H2082" s="74"/>
      <c r="I2082" s="77"/>
    </row>
    <row r="2083" customFormat="false" ht="6" hidden="false" customHeight="true" outlineLevel="0" collapsed="false"/>
    <row r="2084" customFormat="false" ht="13.5" hidden="false" customHeight="false" outlineLevel="0" collapsed="false">
      <c r="B2084" s="78" t="str">
        <f aca="false">IF(助手回款!$R$140&lt;&gt;"","会计主管：","")</f>
        <v/>
      </c>
      <c r="D2084" s="78" t="str">
        <f aca="false">IF(助手回款!$R$140&lt;&gt;"","会计：","")</f>
        <v/>
      </c>
      <c r="E2084" s="78" t="str">
        <f aca="false">IF(助手回款!$R$140&lt;&gt;"","出纳：","")</f>
        <v/>
      </c>
      <c r="F2084" s="78" t="str">
        <f aca="false">IF(助手回款!$R$140&lt;&gt;"","复核：","")</f>
        <v/>
      </c>
      <c r="G2084" s="78" t="str">
        <f aca="false">IF(助手回款!$R$140&lt;&gt;"","制单：","")</f>
        <v/>
      </c>
    </row>
    <row r="2085" customFormat="false" ht="3" hidden="false" customHeight="true" outlineLevel="0" collapsed="false"/>
    <row r="2086" customFormat="false" ht="19.5" hidden="false" customHeight="true" outlineLevel="0" collapsed="false">
      <c r="B2086" s="53" t="str">
        <f aca="false">IF(助手回款!$R$141&lt;&gt;"","记  账  凭  证","")</f>
        <v/>
      </c>
      <c r="C2086" s="53"/>
      <c r="D2086" s="53"/>
      <c r="E2086" s="53"/>
      <c r="F2086" s="53"/>
      <c r="G2086" s="53"/>
      <c r="H2086" s="53"/>
      <c r="I2086" s="53"/>
    </row>
    <row r="2087" customFormat="false" ht="3" hidden="false" customHeight="true" outlineLevel="0" collapsed="false"/>
    <row r="2088" customFormat="false" ht="15" hidden="false" customHeight="true" outlineLevel="0" collapsed="false">
      <c r="C2088" s="56" t="str">
        <f aca="false">IF(助手回款!$R$141&lt;&gt;"",INDEX(助手回款!$B$2:$B$66,助手回款!$R$141),"")</f>
        <v/>
      </c>
      <c r="D2088" s="57" t="str">
        <f aca="false">IF(助手回款!$R$141&lt;&gt;"",参数!$B$2,"")</f>
        <v/>
      </c>
      <c r="E2088" s="57"/>
      <c r="F2088" s="58" t="str">
        <f aca="false">IF(助手回款!$R$141&lt;&gt;"",INDEX(助手回款!$C$2:$C$66,助手回款!$R$141)&amp;"  字第 "&amp;IF(参数!$B$9="是",INDEX(助手回款!$P$2:$P$66,助手回款!$R$141),"　　　　")&amp;" 号"&amp;IF(INDEX(助手回款!$L$2:$L$66,助手回款!$R$141)&gt;1,"  (共"&amp;INDEX(助手回款!$L$2:$L$66,助手回款!$R$141)&amp;"页 第"&amp;助手回款!$S$141&amp;"页)",""),"")</f>
        <v/>
      </c>
      <c r="G2088" s="58"/>
      <c r="H2088" s="58"/>
      <c r="I2088" s="58"/>
      <c r="M2088" s="79" t="str">
        <f aca="false">IF(助手回款!$R$141="","",助手回款!$Q$141)</f>
        <v/>
      </c>
      <c r="N2088" s="80" t="str">
        <f aca="false">IF(助手回款!$R$141="","",INDEX(助手回款!$P$2:$P$66,助手回款!$R$141))</f>
        <v/>
      </c>
      <c r="O2088" s="55" t="str">
        <f aca="false">IF(助手回款!$R$141="","",INDEX(助手回款!$C$2:$C$66,助手回款!$R$141)&amp;"  字第 "&amp;INDEX(助手回款!$P$2:$P$66,助手回款!$R$141)&amp;" 号"&amp;IF(INDEX(助手回款!$L$2:$L$66,助手回款!$R$141)&gt;1,"  (共"&amp;INDEX(助手回款!$L$2:$L$66,助手回款!$R$141)&amp;"页 第"&amp;助手回款!$S$141&amp;"页)",""))</f>
        <v/>
      </c>
    </row>
    <row r="2089" customFormat="false" ht="12.75" hidden="false" customHeight="true" outlineLevel="0" collapsed="false">
      <c r="B2089" s="61" t="str">
        <f aca="false">IF(助手回款!$R$141&lt;&gt;"","摘　　要","")</f>
        <v/>
      </c>
      <c r="C2089" s="61"/>
      <c r="D2089" s="62" t="str">
        <f aca="false">IF(助手回款!$R$141&lt;&gt;"","科　　　　目","")</f>
        <v/>
      </c>
      <c r="E2089" s="62"/>
      <c r="F2089" s="61" t="str">
        <f aca="false">IF(助手回款!$R$141&lt;&gt;"","借 方 金 额","")</f>
        <v/>
      </c>
      <c r="G2089" s="62" t="str">
        <f aca="false">IF(助手回款!$R$141&lt;&gt;"","贷 方 金 额","")</f>
        <v/>
      </c>
      <c r="H2089" s="63" t="str">
        <f aca="false">IF(助手回款!$R$141&lt;&gt;"","√","")</f>
        <v/>
      </c>
      <c r="I2089" s="64" t="str">
        <f aca="false">IF(助手回款!$R$141&lt;&gt;"","附单据  张","")</f>
        <v/>
      </c>
    </row>
    <row r="2090" customFormat="false" ht="12.75" hidden="false" customHeight="true" outlineLevel="0" collapsed="false">
      <c r="B2090" s="61"/>
      <c r="C2090" s="61"/>
      <c r="D2090" s="23" t="str">
        <f aca="false">IF(助手回款!$R$141&lt;&gt;"","总 账 科 目","")</f>
        <v/>
      </c>
      <c r="E2090" s="23" t="str">
        <f aca="false">IF(助手回款!$R$141&lt;&gt;"","明 细 科 目","")</f>
        <v/>
      </c>
      <c r="F2090" s="65"/>
      <c r="G2090" s="66"/>
      <c r="H2090" s="63"/>
      <c r="I2090" s="64"/>
    </row>
    <row r="2091" customFormat="false" ht="23.25" hidden="false" customHeight="true" outlineLevel="0" collapsed="false">
      <c r="B2091" s="67" t="str">
        <f aca="false">IFERROR(INDEX(分录回款!$M:$M,MATCH($L2091,分录回款!$L:$L,0)),"")</f>
        <v/>
      </c>
      <c r="C2091" s="67"/>
      <c r="D2091" s="23" t="str">
        <f aca="false">IFERROR(INDEX(分录回款!$E:$E,MATCH($L2091,分录回款!$L:$L,0)),"")</f>
        <v/>
      </c>
      <c r="E2091" s="23" t="str">
        <f aca="false">IFERROR(INDEX(分录回款!$F:$F,MATCH($L2091,分录回款!$L:$L,0)),"")</f>
        <v/>
      </c>
      <c r="F2091" s="68" t="str">
        <f aca="false">IFERROR(INDEX(分录回款!$H:$H,MATCH($L2091,分录回款!$L:$L,0)),"")</f>
        <v/>
      </c>
      <c r="G2091" s="69" t="str">
        <f aca="false">IFERROR(INDEX(分录回款!$I:$I,MATCH($L2091,分录回款!$L:$L,0)),"")</f>
        <v/>
      </c>
      <c r="H2091" s="23"/>
      <c r="I2091" s="70"/>
      <c r="L2091" s="71" t="n">
        <f aca="false">IF(助手回款!$R$141="",-1,助手回款!$R$141*100+(助手回款!$S$141-1)*6+1)</f>
        <v>-1</v>
      </c>
    </row>
    <row r="2092" customFormat="false" ht="23.25" hidden="false" customHeight="true" outlineLevel="0" collapsed="false">
      <c r="B2092" s="67" t="str">
        <f aca="false">""</f>
        <v/>
      </c>
      <c r="C2092" s="67"/>
      <c r="D2092" s="23" t="str">
        <f aca="false">IFERROR(INDEX(分录回款!$E:$E,MATCH($L2092,分录回款!$L:$L,0)),"")</f>
        <v/>
      </c>
      <c r="E2092" s="23" t="str">
        <f aca="false">IFERROR(INDEX(分录回款!$F:$F,MATCH($L2092,分录回款!$L:$L,0)),"")</f>
        <v/>
      </c>
      <c r="F2092" s="68" t="str">
        <f aca="false">IFERROR(INDEX(分录回款!$H:$H,MATCH($L2092,分录回款!$L:$L,0)),"")</f>
        <v/>
      </c>
      <c r="G2092" s="69" t="str">
        <f aca="false">IFERROR(INDEX(分录回款!$I:$I,MATCH($L2092,分录回款!$L:$L,0)),"")</f>
        <v/>
      </c>
      <c r="H2092" s="23"/>
      <c r="I2092" s="70"/>
      <c r="L2092" s="71" t="n">
        <f aca="false">IF(助手回款!$R$141="",-1,助手回款!$R$141*100+(助手回款!$S$141-1)*6+2)</f>
        <v>-1</v>
      </c>
    </row>
    <row r="2093" customFormat="false" ht="23.25" hidden="false" customHeight="true" outlineLevel="0" collapsed="false">
      <c r="B2093" s="67" t="str">
        <f aca="false">""</f>
        <v/>
      </c>
      <c r="C2093" s="67"/>
      <c r="D2093" s="23" t="str">
        <f aca="false">IFERROR(INDEX(分录回款!$E:$E,MATCH($L2093,分录回款!$L:$L,0)),"")</f>
        <v/>
      </c>
      <c r="E2093" s="23" t="str">
        <f aca="false">IFERROR(INDEX(分录回款!$F:$F,MATCH($L2093,分录回款!$L:$L,0)),"")</f>
        <v/>
      </c>
      <c r="F2093" s="68" t="str">
        <f aca="false">IFERROR(INDEX(分录回款!$H:$H,MATCH($L2093,分录回款!$L:$L,0)),"")</f>
        <v/>
      </c>
      <c r="G2093" s="69" t="str">
        <f aca="false">IFERROR(INDEX(分录回款!$I:$I,MATCH($L2093,分录回款!$L:$L,0)),"")</f>
        <v/>
      </c>
      <c r="H2093" s="23"/>
      <c r="I2093" s="70"/>
      <c r="L2093" s="71" t="n">
        <f aca="false">IF(助手回款!$R$141="",-1,助手回款!$R$141*100+(助手回款!$S$141-1)*6+3)</f>
        <v>-1</v>
      </c>
    </row>
    <row r="2094" customFormat="false" ht="23.25" hidden="false" customHeight="true" outlineLevel="0" collapsed="false">
      <c r="B2094" s="67" t="str">
        <f aca="false">""</f>
        <v/>
      </c>
      <c r="C2094" s="67"/>
      <c r="D2094" s="23" t="str">
        <f aca="false">IFERROR(INDEX(分录回款!$E:$E,MATCH($L2094,分录回款!$L:$L,0)),"")</f>
        <v/>
      </c>
      <c r="E2094" s="23" t="str">
        <f aca="false">IFERROR(INDEX(分录回款!$F:$F,MATCH($L2094,分录回款!$L:$L,0)),"")</f>
        <v/>
      </c>
      <c r="F2094" s="68" t="str">
        <f aca="false">IFERROR(INDEX(分录回款!$H:$H,MATCH($L2094,分录回款!$L:$L,0)),"")</f>
        <v/>
      </c>
      <c r="G2094" s="69" t="str">
        <f aca="false">IFERROR(INDEX(分录回款!$I:$I,MATCH($L2094,分录回款!$L:$L,0)),"")</f>
        <v/>
      </c>
      <c r="H2094" s="23"/>
      <c r="I2094" s="70"/>
      <c r="L2094" s="71" t="n">
        <f aca="false">IF(助手回款!$R$141="",-1,助手回款!$R$141*100+(助手回款!$S$141-1)*6+4)</f>
        <v>-1</v>
      </c>
    </row>
    <row r="2095" customFormat="false" ht="23.25" hidden="false" customHeight="true" outlineLevel="0" collapsed="false">
      <c r="B2095" s="67" t="str">
        <f aca="false">""</f>
        <v/>
      </c>
      <c r="C2095" s="67"/>
      <c r="D2095" s="23" t="str">
        <f aca="false">IFERROR(INDEX(分录回款!$E:$E,MATCH($L2095,分录回款!$L:$L,0)),"")</f>
        <v/>
      </c>
      <c r="E2095" s="23" t="str">
        <f aca="false">IFERROR(INDEX(分录回款!$F:$F,MATCH($L2095,分录回款!$L:$L,0)),"")</f>
        <v/>
      </c>
      <c r="F2095" s="68" t="str">
        <f aca="false">IFERROR(INDEX(分录回款!$H:$H,MATCH($L2095,分录回款!$L:$L,0)),"")</f>
        <v/>
      </c>
      <c r="G2095" s="69" t="str">
        <f aca="false">IFERROR(INDEX(分录回款!$I:$I,MATCH($L2095,分录回款!$L:$L,0)),"")</f>
        <v/>
      </c>
      <c r="H2095" s="23"/>
      <c r="I2095" s="70"/>
      <c r="L2095" s="71" t="n">
        <f aca="false">IF(助手回款!$R$141="",-1,助手回款!$R$141*100+(助手回款!$S$141-1)*6+5)</f>
        <v>-1</v>
      </c>
    </row>
    <row r="2096" customFormat="false" ht="23.25" hidden="false" customHeight="true" outlineLevel="0" collapsed="false">
      <c r="B2096" s="67" t="str">
        <f aca="false">""</f>
        <v/>
      </c>
      <c r="C2096" s="67"/>
      <c r="D2096" s="23" t="str">
        <f aca="false">IFERROR(INDEX(分录回款!$E:$E,MATCH($L2096,分录回款!$L:$L,0)),"")</f>
        <v/>
      </c>
      <c r="E2096" s="23" t="str">
        <f aca="false">IFERROR(INDEX(分录回款!$F:$F,MATCH($L2096,分录回款!$L:$L,0)),"")</f>
        <v/>
      </c>
      <c r="F2096" s="68" t="str">
        <f aca="false">IFERROR(INDEX(分录回款!$H:$H,MATCH($L2096,分录回款!$L:$L,0)),"")</f>
        <v/>
      </c>
      <c r="G2096" s="69" t="str">
        <f aca="false">IFERROR(INDEX(分录回款!$I:$I,MATCH($L2096,分录回款!$L:$L,0)),"")</f>
        <v/>
      </c>
      <c r="H2096" s="23"/>
      <c r="I2096" s="70"/>
      <c r="L2096" s="71" t="n">
        <f aca="false">IF(助手回款!$R$141="",-1,助手回款!$R$141*100+(助手回款!$S$141-1)*6+6)</f>
        <v>-1</v>
      </c>
    </row>
    <row r="2097" customFormat="false" ht="23.25" hidden="false" customHeight="true" outlineLevel="0" collapsed="false">
      <c r="B2097" s="72" t="str">
        <f aca="false">IF(助手回款!$T$141=1,"合计：","")</f>
        <v/>
      </c>
      <c r="C2097" s="73" t="str">
        <f aca="false">IF(助手回款!$T$141=1,$F2097,"")</f>
        <v/>
      </c>
      <c r="D2097" s="74"/>
      <c r="E2097" s="74"/>
      <c r="F2097" s="75" t="str">
        <f aca="false">IF(助手回款!$T$141=1,INDEX(助手回款!$N$2:$N$66,助手回款!$R$141),"")</f>
        <v/>
      </c>
      <c r="G2097" s="76" t="str">
        <f aca="false">IF(助手回款!$T$141=1,INDEX(助手回款!$O$2:$O$66,助手回款!$R$141),"")</f>
        <v/>
      </c>
      <c r="H2097" s="74"/>
      <c r="I2097" s="77"/>
    </row>
    <row r="2098" customFormat="false" ht="6" hidden="false" customHeight="true" outlineLevel="0" collapsed="false"/>
    <row r="2099" customFormat="false" ht="13.5" hidden="false" customHeight="false" outlineLevel="0" collapsed="false">
      <c r="B2099" s="78" t="str">
        <f aca="false">IF(助手回款!$R$141&lt;&gt;"","会计主管：","")</f>
        <v/>
      </c>
      <c r="D2099" s="78" t="str">
        <f aca="false">IF(助手回款!$R$141&lt;&gt;"","会计：","")</f>
        <v/>
      </c>
      <c r="E2099" s="78" t="str">
        <f aca="false">IF(助手回款!$R$141&lt;&gt;"","出纳：","")</f>
        <v/>
      </c>
      <c r="F2099" s="78" t="str">
        <f aca="false">IF(助手回款!$R$141&lt;&gt;"","复核：","")</f>
        <v/>
      </c>
      <c r="G2099" s="78" t="str">
        <f aca="false">IF(助手回款!$R$141&lt;&gt;"","制单：","")</f>
        <v/>
      </c>
    </row>
    <row r="2100" customFormat="false" ht="3" hidden="false" customHeight="true" outlineLevel="0" collapsed="false"/>
    <row r="2101" customFormat="false" ht="19.5" hidden="false" customHeight="true" outlineLevel="0" collapsed="false">
      <c r="B2101" s="53" t="str">
        <f aca="false">IF(助手回款!$R$142&lt;&gt;"","记  账  凭  证","")</f>
        <v/>
      </c>
      <c r="C2101" s="53"/>
      <c r="D2101" s="53"/>
      <c r="E2101" s="53"/>
      <c r="F2101" s="53"/>
      <c r="G2101" s="53"/>
      <c r="H2101" s="53"/>
      <c r="I2101" s="53"/>
    </row>
    <row r="2102" customFormat="false" ht="3" hidden="false" customHeight="true" outlineLevel="0" collapsed="false"/>
    <row r="2103" customFormat="false" ht="15" hidden="false" customHeight="true" outlineLevel="0" collapsed="false">
      <c r="C2103" s="56" t="str">
        <f aca="false">IF(助手回款!$R$142&lt;&gt;"",INDEX(助手回款!$B$2:$B$66,助手回款!$R$142),"")</f>
        <v/>
      </c>
      <c r="D2103" s="57" t="str">
        <f aca="false">IF(助手回款!$R$142&lt;&gt;"",参数!$B$2,"")</f>
        <v/>
      </c>
      <c r="E2103" s="57"/>
      <c r="F2103" s="58" t="str">
        <f aca="false">IF(助手回款!$R$142&lt;&gt;"",INDEX(助手回款!$C$2:$C$66,助手回款!$R$142)&amp;"  字第 "&amp;IF(参数!$B$9="是",INDEX(助手回款!$P$2:$P$66,助手回款!$R$142),"　　　　")&amp;" 号"&amp;IF(INDEX(助手回款!$L$2:$L$66,助手回款!$R$142)&gt;1,"  (共"&amp;INDEX(助手回款!$L$2:$L$66,助手回款!$R$142)&amp;"页 第"&amp;助手回款!$S$142&amp;"页)",""),"")</f>
        <v/>
      </c>
      <c r="G2103" s="58"/>
      <c r="H2103" s="58"/>
      <c r="I2103" s="58"/>
      <c r="M2103" s="79" t="str">
        <f aca="false">IF(助手回款!$R$142="","",助手回款!$Q$142)</f>
        <v/>
      </c>
      <c r="N2103" s="80" t="str">
        <f aca="false">IF(助手回款!$R$142="","",INDEX(助手回款!$P$2:$P$66,助手回款!$R$142))</f>
        <v/>
      </c>
      <c r="O2103" s="55" t="str">
        <f aca="false">IF(助手回款!$R$142="","",INDEX(助手回款!$C$2:$C$66,助手回款!$R$142)&amp;"  字第 "&amp;INDEX(助手回款!$P$2:$P$66,助手回款!$R$142)&amp;" 号"&amp;IF(INDEX(助手回款!$L$2:$L$66,助手回款!$R$142)&gt;1,"  (共"&amp;INDEX(助手回款!$L$2:$L$66,助手回款!$R$142)&amp;"页 第"&amp;助手回款!$S$142&amp;"页)",""))</f>
        <v/>
      </c>
    </row>
    <row r="2104" customFormat="false" ht="12.75" hidden="false" customHeight="true" outlineLevel="0" collapsed="false">
      <c r="B2104" s="61" t="str">
        <f aca="false">IF(助手回款!$R$142&lt;&gt;"","摘　　要","")</f>
        <v/>
      </c>
      <c r="C2104" s="61"/>
      <c r="D2104" s="62" t="str">
        <f aca="false">IF(助手回款!$R$142&lt;&gt;"","科　　　　目","")</f>
        <v/>
      </c>
      <c r="E2104" s="62"/>
      <c r="F2104" s="61" t="str">
        <f aca="false">IF(助手回款!$R$142&lt;&gt;"","借 方 金 额","")</f>
        <v/>
      </c>
      <c r="G2104" s="62" t="str">
        <f aca="false">IF(助手回款!$R$142&lt;&gt;"","贷 方 金 额","")</f>
        <v/>
      </c>
      <c r="H2104" s="63" t="str">
        <f aca="false">IF(助手回款!$R$142&lt;&gt;"","√","")</f>
        <v/>
      </c>
      <c r="I2104" s="64" t="str">
        <f aca="false">IF(助手回款!$R$142&lt;&gt;"","附单据  张","")</f>
        <v/>
      </c>
    </row>
    <row r="2105" customFormat="false" ht="12.75" hidden="false" customHeight="true" outlineLevel="0" collapsed="false">
      <c r="B2105" s="61"/>
      <c r="C2105" s="61"/>
      <c r="D2105" s="23" t="str">
        <f aca="false">IF(助手回款!$R$142&lt;&gt;"","总 账 科 目","")</f>
        <v/>
      </c>
      <c r="E2105" s="23" t="str">
        <f aca="false">IF(助手回款!$R$142&lt;&gt;"","明 细 科 目","")</f>
        <v/>
      </c>
      <c r="F2105" s="65"/>
      <c r="G2105" s="66"/>
      <c r="H2105" s="63"/>
      <c r="I2105" s="64"/>
    </row>
    <row r="2106" customFormat="false" ht="23.25" hidden="false" customHeight="true" outlineLevel="0" collapsed="false">
      <c r="B2106" s="67" t="str">
        <f aca="false">IFERROR(INDEX(分录回款!$M:$M,MATCH($L2106,分录回款!$L:$L,0)),"")</f>
        <v/>
      </c>
      <c r="C2106" s="67"/>
      <c r="D2106" s="23" t="str">
        <f aca="false">IFERROR(INDEX(分录回款!$E:$E,MATCH($L2106,分录回款!$L:$L,0)),"")</f>
        <v/>
      </c>
      <c r="E2106" s="23" t="str">
        <f aca="false">IFERROR(INDEX(分录回款!$F:$F,MATCH($L2106,分录回款!$L:$L,0)),"")</f>
        <v/>
      </c>
      <c r="F2106" s="68" t="str">
        <f aca="false">IFERROR(INDEX(分录回款!$H:$H,MATCH($L2106,分录回款!$L:$L,0)),"")</f>
        <v/>
      </c>
      <c r="G2106" s="69" t="str">
        <f aca="false">IFERROR(INDEX(分录回款!$I:$I,MATCH($L2106,分录回款!$L:$L,0)),"")</f>
        <v/>
      </c>
      <c r="H2106" s="23"/>
      <c r="I2106" s="70"/>
      <c r="L2106" s="71" t="n">
        <f aca="false">IF(助手回款!$R$142="",-1,助手回款!$R$142*100+(助手回款!$S$142-1)*6+1)</f>
        <v>-1</v>
      </c>
    </row>
    <row r="2107" customFormat="false" ht="23.25" hidden="false" customHeight="true" outlineLevel="0" collapsed="false">
      <c r="B2107" s="67" t="str">
        <f aca="false">""</f>
        <v/>
      </c>
      <c r="C2107" s="67"/>
      <c r="D2107" s="23" t="str">
        <f aca="false">IFERROR(INDEX(分录回款!$E:$E,MATCH($L2107,分录回款!$L:$L,0)),"")</f>
        <v/>
      </c>
      <c r="E2107" s="23" t="str">
        <f aca="false">IFERROR(INDEX(分录回款!$F:$F,MATCH($L2107,分录回款!$L:$L,0)),"")</f>
        <v/>
      </c>
      <c r="F2107" s="68" t="str">
        <f aca="false">IFERROR(INDEX(分录回款!$H:$H,MATCH($L2107,分录回款!$L:$L,0)),"")</f>
        <v/>
      </c>
      <c r="G2107" s="69" t="str">
        <f aca="false">IFERROR(INDEX(分录回款!$I:$I,MATCH($L2107,分录回款!$L:$L,0)),"")</f>
        <v/>
      </c>
      <c r="H2107" s="23"/>
      <c r="I2107" s="70"/>
      <c r="L2107" s="71" t="n">
        <f aca="false">IF(助手回款!$R$142="",-1,助手回款!$R$142*100+(助手回款!$S$142-1)*6+2)</f>
        <v>-1</v>
      </c>
    </row>
    <row r="2108" customFormat="false" ht="23.25" hidden="false" customHeight="true" outlineLevel="0" collapsed="false">
      <c r="B2108" s="67" t="str">
        <f aca="false">""</f>
        <v/>
      </c>
      <c r="C2108" s="67"/>
      <c r="D2108" s="23" t="str">
        <f aca="false">IFERROR(INDEX(分录回款!$E:$E,MATCH($L2108,分录回款!$L:$L,0)),"")</f>
        <v/>
      </c>
      <c r="E2108" s="23" t="str">
        <f aca="false">IFERROR(INDEX(分录回款!$F:$F,MATCH($L2108,分录回款!$L:$L,0)),"")</f>
        <v/>
      </c>
      <c r="F2108" s="68" t="str">
        <f aca="false">IFERROR(INDEX(分录回款!$H:$H,MATCH($L2108,分录回款!$L:$L,0)),"")</f>
        <v/>
      </c>
      <c r="G2108" s="69" t="str">
        <f aca="false">IFERROR(INDEX(分录回款!$I:$I,MATCH($L2108,分录回款!$L:$L,0)),"")</f>
        <v/>
      </c>
      <c r="H2108" s="23"/>
      <c r="I2108" s="70"/>
      <c r="L2108" s="71" t="n">
        <f aca="false">IF(助手回款!$R$142="",-1,助手回款!$R$142*100+(助手回款!$S$142-1)*6+3)</f>
        <v>-1</v>
      </c>
    </row>
    <row r="2109" customFormat="false" ht="23.25" hidden="false" customHeight="true" outlineLevel="0" collapsed="false">
      <c r="B2109" s="67" t="str">
        <f aca="false">""</f>
        <v/>
      </c>
      <c r="C2109" s="67"/>
      <c r="D2109" s="23" t="str">
        <f aca="false">IFERROR(INDEX(分录回款!$E:$E,MATCH($L2109,分录回款!$L:$L,0)),"")</f>
        <v/>
      </c>
      <c r="E2109" s="23" t="str">
        <f aca="false">IFERROR(INDEX(分录回款!$F:$F,MATCH($L2109,分录回款!$L:$L,0)),"")</f>
        <v/>
      </c>
      <c r="F2109" s="68" t="str">
        <f aca="false">IFERROR(INDEX(分录回款!$H:$H,MATCH($L2109,分录回款!$L:$L,0)),"")</f>
        <v/>
      </c>
      <c r="G2109" s="69" t="str">
        <f aca="false">IFERROR(INDEX(分录回款!$I:$I,MATCH($L2109,分录回款!$L:$L,0)),"")</f>
        <v/>
      </c>
      <c r="H2109" s="23"/>
      <c r="I2109" s="70"/>
      <c r="L2109" s="71" t="n">
        <f aca="false">IF(助手回款!$R$142="",-1,助手回款!$R$142*100+(助手回款!$S$142-1)*6+4)</f>
        <v>-1</v>
      </c>
    </row>
    <row r="2110" customFormat="false" ht="23.25" hidden="false" customHeight="true" outlineLevel="0" collapsed="false">
      <c r="B2110" s="67" t="str">
        <f aca="false">""</f>
        <v/>
      </c>
      <c r="C2110" s="67"/>
      <c r="D2110" s="23" t="str">
        <f aca="false">IFERROR(INDEX(分录回款!$E:$E,MATCH($L2110,分录回款!$L:$L,0)),"")</f>
        <v/>
      </c>
      <c r="E2110" s="23" t="str">
        <f aca="false">IFERROR(INDEX(分录回款!$F:$F,MATCH($L2110,分录回款!$L:$L,0)),"")</f>
        <v/>
      </c>
      <c r="F2110" s="68" t="str">
        <f aca="false">IFERROR(INDEX(分录回款!$H:$H,MATCH($L2110,分录回款!$L:$L,0)),"")</f>
        <v/>
      </c>
      <c r="G2110" s="69" t="str">
        <f aca="false">IFERROR(INDEX(分录回款!$I:$I,MATCH($L2110,分录回款!$L:$L,0)),"")</f>
        <v/>
      </c>
      <c r="H2110" s="23"/>
      <c r="I2110" s="70"/>
      <c r="L2110" s="71" t="n">
        <f aca="false">IF(助手回款!$R$142="",-1,助手回款!$R$142*100+(助手回款!$S$142-1)*6+5)</f>
        <v>-1</v>
      </c>
    </row>
    <row r="2111" customFormat="false" ht="23.25" hidden="false" customHeight="true" outlineLevel="0" collapsed="false">
      <c r="B2111" s="67" t="str">
        <f aca="false">""</f>
        <v/>
      </c>
      <c r="C2111" s="67"/>
      <c r="D2111" s="23" t="str">
        <f aca="false">IFERROR(INDEX(分录回款!$E:$E,MATCH($L2111,分录回款!$L:$L,0)),"")</f>
        <v/>
      </c>
      <c r="E2111" s="23" t="str">
        <f aca="false">IFERROR(INDEX(分录回款!$F:$F,MATCH($L2111,分录回款!$L:$L,0)),"")</f>
        <v/>
      </c>
      <c r="F2111" s="68" t="str">
        <f aca="false">IFERROR(INDEX(分录回款!$H:$H,MATCH($L2111,分录回款!$L:$L,0)),"")</f>
        <v/>
      </c>
      <c r="G2111" s="69" t="str">
        <f aca="false">IFERROR(INDEX(分录回款!$I:$I,MATCH($L2111,分录回款!$L:$L,0)),"")</f>
        <v/>
      </c>
      <c r="H2111" s="23"/>
      <c r="I2111" s="70"/>
      <c r="L2111" s="71" t="n">
        <f aca="false">IF(助手回款!$R$142="",-1,助手回款!$R$142*100+(助手回款!$S$142-1)*6+6)</f>
        <v>-1</v>
      </c>
    </row>
    <row r="2112" customFormat="false" ht="23.25" hidden="false" customHeight="true" outlineLevel="0" collapsed="false">
      <c r="B2112" s="72" t="str">
        <f aca="false">IF(助手回款!$T$142=1,"合计：","")</f>
        <v/>
      </c>
      <c r="C2112" s="73" t="str">
        <f aca="false">IF(助手回款!$T$142=1,$F2112,"")</f>
        <v/>
      </c>
      <c r="D2112" s="74"/>
      <c r="E2112" s="74"/>
      <c r="F2112" s="75" t="str">
        <f aca="false">IF(助手回款!$T$142=1,INDEX(助手回款!$N$2:$N$66,助手回款!$R$142),"")</f>
        <v/>
      </c>
      <c r="G2112" s="76" t="str">
        <f aca="false">IF(助手回款!$T$142=1,INDEX(助手回款!$O$2:$O$66,助手回款!$R$142),"")</f>
        <v/>
      </c>
      <c r="H2112" s="74"/>
      <c r="I2112" s="77"/>
    </row>
    <row r="2113" customFormat="false" ht="6" hidden="false" customHeight="true" outlineLevel="0" collapsed="false"/>
    <row r="2114" customFormat="false" ht="13.5" hidden="false" customHeight="false" outlineLevel="0" collapsed="false">
      <c r="B2114" s="78" t="str">
        <f aca="false">IF(助手回款!$R$142&lt;&gt;"","会计主管：","")</f>
        <v/>
      </c>
      <c r="D2114" s="78" t="str">
        <f aca="false">IF(助手回款!$R$142&lt;&gt;"","会计：","")</f>
        <v/>
      </c>
      <c r="E2114" s="78" t="str">
        <f aca="false">IF(助手回款!$R$142&lt;&gt;"","出纳：","")</f>
        <v/>
      </c>
      <c r="F2114" s="78" t="str">
        <f aca="false">IF(助手回款!$R$142&lt;&gt;"","复核：","")</f>
        <v/>
      </c>
      <c r="G2114" s="78" t="str">
        <f aca="false">IF(助手回款!$R$142&lt;&gt;"","制单：","")</f>
        <v/>
      </c>
    </row>
    <row r="2115" customFormat="false" ht="3" hidden="false" customHeight="true" outlineLevel="0" collapsed="false"/>
    <row r="2116" customFormat="false" ht="19.5" hidden="false" customHeight="true" outlineLevel="0" collapsed="false">
      <c r="B2116" s="53" t="str">
        <f aca="false">IF(助手回款!$R$143&lt;&gt;"","记  账  凭  证","")</f>
        <v/>
      </c>
      <c r="C2116" s="53"/>
      <c r="D2116" s="53"/>
      <c r="E2116" s="53"/>
      <c r="F2116" s="53"/>
      <c r="G2116" s="53"/>
      <c r="H2116" s="53"/>
      <c r="I2116" s="53"/>
    </row>
    <row r="2117" customFormat="false" ht="3" hidden="false" customHeight="true" outlineLevel="0" collapsed="false"/>
    <row r="2118" customFormat="false" ht="15" hidden="false" customHeight="true" outlineLevel="0" collapsed="false">
      <c r="C2118" s="56" t="str">
        <f aca="false">IF(助手回款!$R$143&lt;&gt;"",INDEX(助手回款!$B$2:$B$66,助手回款!$R$143),"")</f>
        <v/>
      </c>
      <c r="D2118" s="57" t="str">
        <f aca="false">IF(助手回款!$R$143&lt;&gt;"",参数!$B$2,"")</f>
        <v/>
      </c>
      <c r="E2118" s="57"/>
      <c r="F2118" s="58" t="str">
        <f aca="false">IF(助手回款!$R$143&lt;&gt;"",INDEX(助手回款!$C$2:$C$66,助手回款!$R$143)&amp;"  字第 "&amp;IF(参数!$B$9="是",INDEX(助手回款!$P$2:$P$66,助手回款!$R$143),"　　　　")&amp;" 号"&amp;IF(INDEX(助手回款!$L$2:$L$66,助手回款!$R$143)&gt;1,"  (共"&amp;INDEX(助手回款!$L$2:$L$66,助手回款!$R$143)&amp;"页 第"&amp;助手回款!$S$143&amp;"页)",""),"")</f>
        <v/>
      </c>
      <c r="G2118" s="58"/>
      <c r="H2118" s="58"/>
      <c r="I2118" s="58"/>
      <c r="M2118" s="79" t="str">
        <f aca="false">IF(助手回款!$R$143="","",助手回款!$Q$143)</f>
        <v/>
      </c>
      <c r="N2118" s="80" t="str">
        <f aca="false">IF(助手回款!$R$143="","",INDEX(助手回款!$P$2:$P$66,助手回款!$R$143))</f>
        <v/>
      </c>
      <c r="O2118" s="55" t="str">
        <f aca="false">IF(助手回款!$R$143="","",INDEX(助手回款!$C$2:$C$66,助手回款!$R$143)&amp;"  字第 "&amp;INDEX(助手回款!$P$2:$P$66,助手回款!$R$143)&amp;" 号"&amp;IF(INDEX(助手回款!$L$2:$L$66,助手回款!$R$143)&gt;1,"  (共"&amp;INDEX(助手回款!$L$2:$L$66,助手回款!$R$143)&amp;"页 第"&amp;助手回款!$S$143&amp;"页)",""))</f>
        <v/>
      </c>
    </row>
    <row r="2119" customFormat="false" ht="12.75" hidden="false" customHeight="true" outlineLevel="0" collapsed="false">
      <c r="B2119" s="61" t="str">
        <f aca="false">IF(助手回款!$R$143&lt;&gt;"","摘　　要","")</f>
        <v/>
      </c>
      <c r="C2119" s="61"/>
      <c r="D2119" s="62" t="str">
        <f aca="false">IF(助手回款!$R$143&lt;&gt;"","科　　　　目","")</f>
        <v/>
      </c>
      <c r="E2119" s="62"/>
      <c r="F2119" s="61" t="str">
        <f aca="false">IF(助手回款!$R$143&lt;&gt;"","借 方 金 额","")</f>
        <v/>
      </c>
      <c r="G2119" s="62" t="str">
        <f aca="false">IF(助手回款!$R$143&lt;&gt;"","贷 方 金 额","")</f>
        <v/>
      </c>
      <c r="H2119" s="63" t="str">
        <f aca="false">IF(助手回款!$R$143&lt;&gt;"","√","")</f>
        <v/>
      </c>
      <c r="I2119" s="64" t="str">
        <f aca="false">IF(助手回款!$R$143&lt;&gt;"","附单据  张","")</f>
        <v/>
      </c>
    </row>
    <row r="2120" customFormat="false" ht="12.75" hidden="false" customHeight="true" outlineLevel="0" collapsed="false">
      <c r="B2120" s="61"/>
      <c r="C2120" s="61"/>
      <c r="D2120" s="23" t="str">
        <f aca="false">IF(助手回款!$R$143&lt;&gt;"","总 账 科 目","")</f>
        <v/>
      </c>
      <c r="E2120" s="23" t="str">
        <f aca="false">IF(助手回款!$R$143&lt;&gt;"","明 细 科 目","")</f>
        <v/>
      </c>
      <c r="F2120" s="65"/>
      <c r="G2120" s="66"/>
      <c r="H2120" s="63"/>
      <c r="I2120" s="64"/>
    </row>
    <row r="2121" customFormat="false" ht="23.25" hidden="false" customHeight="true" outlineLevel="0" collapsed="false">
      <c r="B2121" s="67" t="str">
        <f aca="false">IFERROR(INDEX(分录回款!$M:$M,MATCH($L2121,分录回款!$L:$L,0)),"")</f>
        <v/>
      </c>
      <c r="C2121" s="67"/>
      <c r="D2121" s="23" t="str">
        <f aca="false">IFERROR(INDEX(分录回款!$E:$E,MATCH($L2121,分录回款!$L:$L,0)),"")</f>
        <v/>
      </c>
      <c r="E2121" s="23" t="str">
        <f aca="false">IFERROR(INDEX(分录回款!$F:$F,MATCH($L2121,分录回款!$L:$L,0)),"")</f>
        <v/>
      </c>
      <c r="F2121" s="68" t="str">
        <f aca="false">IFERROR(INDEX(分录回款!$H:$H,MATCH($L2121,分录回款!$L:$L,0)),"")</f>
        <v/>
      </c>
      <c r="G2121" s="69" t="str">
        <f aca="false">IFERROR(INDEX(分录回款!$I:$I,MATCH($L2121,分录回款!$L:$L,0)),"")</f>
        <v/>
      </c>
      <c r="H2121" s="23"/>
      <c r="I2121" s="70"/>
      <c r="L2121" s="71" t="n">
        <f aca="false">IF(助手回款!$R$143="",-1,助手回款!$R$143*100+(助手回款!$S$143-1)*6+1)</f>
        <v>-1</v>
      </c>
    </row>
    <row r="2122" customFormat="false" ht="23.25" hidden="false" customHeight="true" outlineLevel="0" collapsed="false">
      <c r="B2122" s="67" t="str">
        <f aca="false">""</f>
        <v/>
      </c>
      <c r="C2122" s="67"/>
      <c r="D2122" s="23" t="str">
        <f aca="false">IFERROR(INDEX(分录回款!$E:$E,MATCH($L2122,分录回款!$L:$L,0)),"")</f>
        <v/>
      </c>
      <c r="E2122" s="23" t="str">
        <f aca="false">IFERROR(INDEX(分录回款!$F:$F,MATCH($L2122,分录回款!$L:$L,0)),"")</f>
        <v/>
      </c>
      <c r="F2122" s="68" t="str">
        <f aca="false">IFERROR(INDEX(分录回款!$H:$H,MATCH($L2122,分录回款!$L:$L,0)),"")</f>
        <v/>
      </c>
      <c r="G2122" s="69" t="str">
        <f aca="false">IFERROR(INDEX(分录回款!$I:$I,MATCH($L2122,分录回款!$L:$L,0)),"")</f>
        <v/>
      </c>
      <c r="H2122" s="23"/>
      <c r="I2122" s="70"/>
      <c r="L2122" s="71" t="n">
        <f aca="false">IF(助手回款!$R$143="",-1,助手回款!$R$143*100+(助手回款!$S$143-1)*6+2)</f>
        <v>-1</v>
      </c>
    </row>
    <row r="2123" customFormat="false" ht="23.25" hidden="false" customHeight="true" outlineLevel="0" collapsed="false">
      <c r="B2123" s="67" t="str">
        <f aca="false">""</f>
        <v/>
      </c>
      <c r="C2123" s="67"/>
      <c r="D2123" s="23" t="str">
        <f aca="false">IFERROR(INDEX(分录回款!$E:$E,MATCH($L2123,分录回款!$L:$L,0)),"")</f>
        <v/>
      </c>
      <c r="E2123" s="23" t="str">
        <f aca="false">IFERROR(INDEX(分录回款!$F:$F,MATCH($L2123,分录回款!$L:$L,0)),"")</f>
        <v/>
      </c>
      <c r="F2123" s="68" t="str">
        <f aca="false">IFERROR(INDEX(分录回款!$H:$H,MATCH($L2123,分录回款!$L:$L,0)),"")</f>
        <v/>
      </c>
      <c r="G2123" s="69" t="str">
        <f aca="false">IFERROR(INDEX(分录回款!$I:$I,MATCH($L2123,分录回款!$L:$L,0)),"")</f>
        <v/>
      </c>
      <c r="H2123" s="23"/>
      <c r="I2123" s="70"/>
      <c r="L2123" s="71" t="n">
        <f aca="false">IF(助手回款!$R$143="",-1,助手回款!$R$143*100+(助手回款!$S$143-1)*6+3)</f>
        <v>-1</v>
      </c>
    </row>
    <row r="2124" customFormat="false" ht="23.25" hidden="false" customHeight="true" outlineLevel="0" collapsed="false">
      <c r="B2124" s="67" t="str">
        <f aca="false">""</f>
        <v/>
      </c>
      <c r="C2124" s="67"/>
      <c r="D2124" s="23" t="str">
        <f aca="false">IFERROR(INDEX(分录回款!$E:$E,MATCH($L2124,分录回款!$L:$L,0)),"")</f>
        <v/>
      </c>
      <c r="E2124" s="23" t="str">
        <f aca="false">IFERROR(INDEX(分录回款!$F:$F,MATCH($L2124,分录回款!$L:$L,0)),"")</f>
        <v/>
      </c>
      <c r="F2124" s="68" t="str">
        <f aca="false">IFERROR(INDEX(分录回款!$H:$H,MATCH($L2124,分录回款!$L:$L,0)),"")</f>
        <v/>
      </c>
      <c r="G2124" s="69" t="str">
        <f aca="false">IFERROR(INDEX(分录回款!$I:$I,MATCH($L2124,分录回款!$L:$L,0)),"")</f>
        <v/>
      </c>
      <c r="H2124" s="23"/>
      <c r="I2124" s="70"/>
      <c r="L2124" s="71" t="n">
        <f aca="false">IF(助手回款!$R$143="",-1,助手回款!$R$143*100+(助手回款!$S$143-1)*6+4)</f>
        <v>-1</v>
      </c>
    </row>
    <row r="2125" customFormat="false" ht="23.25" hidden="false" customHeight="true" outlineLevel="0" collapsed="false">
      <c r="B2125" s="67" t="str">
        <f aca="false">""</f>
        <v/>
      </c>
      <c r="C2125" s="67"/>
      <c r="D2125" s="23" t="str">
        <f aca="false">IFERROR(INDEX(分录回款!$E:$E,MATCH($L2125,分录回款!$L:$L,0)),"")</f>
        <v/>
      </c>
      <c r="E2125" s="23" t="str">
        <f aca="false">IFERROR(INDEX(分录回款!$F:$F,MATCH($L2125,分录回款!$L:$L,0)),"")</f>
        <v/>
      </c>
      <c r="F2125" s="68" t="str">
        <f aca="false">IFERROR(INDEX(分录回款!$H:$H,MATCH($L2125,分录回款!$L:$L,0)),"")</f>
        <v/>
      </c>
      <c r="G2125" s="69" t="str">
        <f aca="false">IFERROR(INDEX(分录回款!$I:$I,MATCH($L2125,分录回款!$L:$L,0)),"")</f>
        <v/>
      </c>
      <c r="H2125" s="23"/>
      <c r="I2125" s="70"/>
      <c r="L2125" s="71" t="n">
        <f aca="false">IF(助手回款!$R$143="",-1,助手回款!$R$143*100+(助手回款!$S$143-1)*6+5)</f>
        <v>-1</v>
      </c>
    </row>
    <row r="2126" customFormat="false" ht="23.25" hidden="false" customHeight="true" outlineLevel="0" collapsed="false">
      <c r="B2126" s="67" t="str">
        <f aca="false">""</f>
        <v/>
      </c>
      <c r="C2126" s="67"/>
      <c r="D2126" s="23" t="str">
        <f aca="false">IFERROR(INDEX(分录回款!$E:$E,MATCH($L2126,分录回款!$L:$L,0)),"")</f>
        <v/>
      </c>
      <c r="E2126" s="23" t="str">
        <f aca="false">IFERROR(INDEX(分录回款!$F:$F,MATCH($L2126,分录回款!$L:$L,0)),"")</f>
        <v/>
      </c>
      <c r="F2126" s="68" t="str">
        <f aca="false">IFERROR(INDEX(分录回款!$H:$H,MATCH($L2126,分录回款!$L:$L,0)),"")</f>
        <v/>
      </c>
      <c r="G2126" s="69" t="str">
        <f aca="false">IFERROR(INDEX(分录回款!$I:$I,MATCH($L2126,分录回款!$L:$L,0)),"")</f>
        <v/>
      </c>
      <c r="H2126" s="23"/>
      <c r="I2126" s="70"/>
      <c r="L2126" s="71" t="n">
        <f aca="false">IF(助手回款!$R$143="",-1,助手回款!$R$143*100+(助手回款!$S$143-1)*6+6)</f>
        <v>-1</v>
      </c>
    </row>
    <row r="2127" customFormat="false" ht="23.25" hidden="false" customHeight="true" outlineLevel="0" collapsed="false">
      <c r="B2127" s="72" t="str">
        <f aca="false">IF(助手回款!$T$143=1,"合计：","")</f>
        <v/>
      </c>
      <c r="C2127" s="73" t="str">
        <f aca="false">IF(助手回款!$T$143=1,$F2127,"")</f>
        <v/>
      </c>
      <c r="D2127" s="74"/>
      <c r="E2127" s="74"/>
      <c r="F2127" s="75" t="str">
        <f aca="false">IF(助手回款!$T$143=1,INDEX(助手回款!$N$2:$N$66,助手回款!$R$143),"")</f>
        <v/>
      </c>
      <c r="G2127" s="76" t="str">
        <f aca="false">IF(助手回款!$T$143=1,INDEX(助手回款!$O$2:$O$66,助手回款!$R$143),"")</f>
        <v/>
      </c>
      <c r="H2127" s="74"/>
      <c r="I2127" s="77"/>
    </row>
    <row r="2128" customFormat="false" ht="6" hidden="false" customHeight="true" outlineLevel="0" collapsed="false"/>
    <row r="2129" customFormat="false" ht="13.5" hidden="false" customHeight="false" outlineLevel="0" collapsed="false">
      <c r="B2129" s="78" t="str">
        <f aca="false">IF(助手回款!$R$143&lt;&gt;"","会计主管：","")</f>
        <v/>
      </c>
      <c r="D2129" s="78" t="str">
        <f aca="false">IF(助手回款!$R$143&lt;&gt;"","会计：","")</f>
        <v/>
      </c>
      <c r="E2129" s="78" t="str">
        <f aca="false">IF(助手回款!$R$143&lt;&gt;"","出纳：","")</f>
        <v/>
      </c>
      <c r="F2129" s="78" t="str">
        <f aca="false">IF(助手回款!$R$143&lt;&gt;"","复核：","")</f>
        <v/>
      </c>
      <c r="G2129" s="78" t="str">
        <f aca="false">IF(助手回款!$R$143&lt;&gt;"","制单：","")</f>
        <v/>
      </c>
    </row>
    <row r="2130" customFormat="false" ht="3" hidden="false" customHeight="true" outlineLevel="0" collapsed="false"/>
    <row r="2131" customFormat="false" ht="19.5" hidden="false" customHeight="true" outlineLevel="0" collapsed="false">
      <c r="B2131" s="53" t="str">
        <f aca="false">IF(助手回款!$R$144&lt;&gt;"","记  账  凭  证","")</f>
        <v/>
      </c>
      <c r="C2131" s="53"/>
      <c r="D2131" s="53"/>
      <c r="E2131" s="53"/>
      <c r="F2131" s="53"/>
      <c r="G2131" s="53"/>
      <c r="H2131" s="53"/>
      <c r="I2131" s="53"/>
    </row>
    <row r="2132" customFormat="false" ht="3" hidden="false" customHeight="true" outlineLevel="0" collapsed="false"/>
    <row r="2133" customFormat="false" ht="15" hidden="false" customHeight="true" outlineLevel="0" collapsed="false">
      <c r="C2133" s="56" t="str">
        <f aca="false">IF(助手回款!$R$144&lt;&gt;"",INDEX(助手回款!$B$2:$B$66,助手回款!$R$144),"")</f>
        <v/>
      </c>
      <c r="D2133" s="57" t="str">
        <f aca="false">IF(助手回款!$R$144&lt;&gt;"",参数!$B$2,"")</f>
        <v/>
      </c>
      <c r="E2133" s="57"/>
      <c r="F2133" s="58" t="str">
        <f aca="false">IF(助手回款!$R$144&lt;&gt;"",INDEX(助手回款!$C$2:$C$66,助手回款!$R$144)&amp;"  字第 "&amp;IF(参数!$B$9="是",INDEX(助手回款!$P$2:$P$66,助手回款!$R$144),"　　　　")&amp;" 号"&amp;IF(INDEX(助手回款!$L$2:$L$66,助手回款!$R$144)&gt;1,"  (共"&amp;INDEX(助手回款!$L$2:$L$66,助手回款!$R$144)&amp;"页 第"&amp;助手回款!$S$144&amp;"页)",""),"")</f>
        <v/>
      </c>
      <c r="G2133" s="58"/>
      <c r="H2133" s="58"/>
      <c r="I2133" s="58"/>
      <c r="M2133" s="79" t="str">
        <f aca="false">IF(助手回款!$R$144="","",助手回款!$Q$144)</f>
        <v/>
      </c>
      <c r="N2133" s="80" t="str">
        <f aca="false">IF(助手回款!$R$144="","",INDEX(助手回款!$P$2:$P$66,助手回款!$R$144))</f>
        <v/>
      </c>
      <c r="O2133" s="55" t="str">
        <f aca="false">IF(助手回款!$R$144="","",INDEX(助手回款!$C$2:$C$66,助手回款!$R$144)&amp;"  字第 "&amp;INDEX(助手回款!$P$2:$P$66,助手回款!$R$144)&amp;" 号"&amp;IF(INDEX(助手回款!$L$2:$L$66,助手回款!$R$144)&gt;1,"  (共"&amp;INDEX(助手回款!$L$2:$L$66,助手回款!$R$144)&amp;"页 第"&amp;助手回款!$S$144&amp;"页)",""))</f>
        <v/>
      </c>
    </row>
    <row r="2134" customFormat="false" ht="12.75" hidden="false" customHeight="true" outlineLevel="0" collapsed="false">
      <c r="B2134" s="61" t="str">
        <f aca="false">IF(助手回款!$R$144&lt;&gt;"","摘　　要","")</f>
        <v/>
      </c>
      <c r="C2134" s="61"/>
      <c r="D2134" s="62" t="str">
        <f aca="false">IF(助手回款!$R$144&lt;&gt;"","科　　　　目","")</f>
        <v/>
      </c>
      <c r="E2134" s="62"/>
      <c r="F2134" s="61" t="str">
        <f aca="false">IF(助手回款!$R$144&lt;&gt;"","借 方 金 额","")</f>
        <v/>
      </c>
      <c r="G2134" s="62" t="str">
        <f aca="false">IF(助手回款!$R$144&lt;&gt;"","贷 方 金 额","")</f>
        <v/>
      </c>
      <c r="H2134" s="63" t="str">
        <f aca="false">IF(助手回款!$R$144&lt;&gt;"","√","")</f>
        <v/>
      </c>
      <c r="I2134" s="64" t="str">
        <f aca="false">IF(助手回款!$R$144&lt;&gt;"","附单据  张","")</f>
        <v/>
      </c>
    </row>
    <row r="2135" customFormat="false" ht="12.75" hidden="false" customHeight="true" outlineLevel="0" collapsed="false">
      <c r="B2135" s="61"/>
      <c r="C2135" s="61"/>
      <c r="D2135" s="23" t="str">
        <f aca="false">IF(助手回款!$R$144&lt;&gt;"","总 账 科 目","")</f>
        <v/>
      </c>
      <c r="E2135" s="23" t="str">
        <f aca="false">IF(助手回款!$R$144&lt;&gt;"","明 细 科 目","")</f>
        <v/>
      </c>
      <c r="F2135" s="65"/>
      <c r="G2135" s="66"/>
      <c r="H2135" s="63"/>
      <c r="I2135" s="64"/>
    </row>
    <row r="2136" customFormat="false" ht="23.25" hidden="false" customHeight="true" outlineLevel="0" collapsed="false">
      <c r="B2136" s="67" t="str">
        <f aca="false">IFERROR(INDEX(分录回款!$M:$M,MATCH($L2136,分录回款!$L:$L,0)),"")</f>
        <v/>
      </c>
      <c r="C2136" s="67"/>
      <c r="D2136" s="23" t="str">
        <f aca="false">IFERROR(INDEX(分录回款!$E:$E,MATCH($L2136,分录回款!$L:$L,0)),"")</f>
        <v/>
      </c>
      <c r="E2136" s="23" t="str">
        <f aca="false">IFERROR(INDEX(分录回款!$F:$F,MATCH($L2136,分录回款!$L:$L,0)),"")</f>
        <v/>
      </c>
      <c r="F2136" s="68" t="str">
        <f aca="false">IFERROR(INDEX(分录回款!$H:$H,MATCH($L2136,分录回款!$L:$L,0)),"")</f>
        <v/>
      </c>
      <c r="G2136" s="69" t="str">
        <f aca="false">IFERROR(INDEX(分录回款!$I:$I,MATCH($L2136,分录回款!$L:$L,0)),"")</f>
        <v/>
      </c>
      <c r="H2136" s="23"/>
      <c r="I2136" s="70"/>
      <c r="L2136" s="71" t="n">
        <f aca="false">IF(助手回款!$R$144="",-1,助手回款!$R$144*100+(助手回款!$S$144-1)*6+1)</f>
        <v>-1</v>
      </c>
    </row>
    <row r="2137" customFormat="false" ht="23.25" hidden="false" customHeight="true" outlineLevel="0" collapsed="false">
      <c r="B2137" s="67" t="str">
        <f aca="false">""</f>
        <v/>
      </c>
      <c r="C2137" s="67"/>
      <c r="D2137" s="23" t="str">
        <f aca="false">IFERROR(INDEX(分录回款!$E:$E,MATCH($L2137,分录回款!$L:$L,0)),"")</f>
        <v/>
      </c>
      <c r="E2137" s="23" t="str">
        <f aca="false">IFERROR(INDEX(分录回款!$F:$F,MATCH($L2137,分录回款!$L:$L,0)),"")</f>
        <v/>
      </c>
      <c r="F2137" s="68" t="str">
        <f aca="false">IFERROR(INDEX(分录回款!$H:$H,MATCH($L2137,分录回款!$L:$L,0)),"")</f>
        <v/>
      </c>
      <c r="G2137" s="69" t="str">
        <f aca="false">IFERROR(INDEX(分录回款!$I:$I,MATCH($L2137,分录回款!$L:$L,0)),"")</f>
        <v/>
      </c>
      <c r="H2137" s="23"/>
      <c r="I2137" s="70"/>
      <c r="L2137" s="71" t="n">
        <f aca="false">IF(助手回款!$R$144="",-1,助手回款!$R$144*100+(助手回款!$S$144-1)*6+2)</f>
        <v>-1</v>
      </c>
    </row>
    <row r="2138" customFormat="false" ht="23.25" hidden="false" customHeight="true" outlineLevel="0" collapsed="false">
      <c r="B2138" s="67" t="str">
        <f aca="false">""</f>
        <v/>
      </c>
      <c r="C2138" s="67"/>
      <c r="D2138" s="23" t="str">
        <f aca="false">IFERROR(INDEX(分录回款!$E:$E,MATCH($L2138,分录回款!$L:$L,0)),"")</f>
        <v/>
      </c>
      <c r="E2138" s="23" t="str">
        <f aca="false">IFERROR(INDEX(分录回款!$F:$F,MATCH($L2138,分录回款!$L:$L,0)),"")</f>
        <v/>
      </c>
      <c r="F2138" s="68" t="str">
        <f aca="false">IFERROR(INDEX(分录回款!$H:$H,MATCH($L2138,分录回款!$L:$L,0)),"")</f>
        <v/>
      </c>
      <c r="G2138" s="69" t="str">
        <f aca="false">IFERROR(INDEX(分录回款!$I:$I,MATCH($L2138,分录回款!$L:$L,0)),"")</f>
        <v/>
      </c>
      <c r="H2138" s="23"/>
      <c r="I2138" s="70"/>
      <c r="L2138" s="71" t="n">
        <f aca="false">IF(助手回款!$R$144="",-1,助手回款!$R$144*100+(助手回款!$S$144-1)*6+3)</f>
        <v>-1</v>
      </c>
    </row>
    <row r="2139" customFormat="false" ht="23.25" hidden="false" customHeight="true" outlineLevel="0" collapsed="false">
      <c r="B2139" s="67" t="str">
        <f aca="false">""</f>
        <v/>
      </c>
      <c r="C2139" s="67"/>
      <c r="D2139" s="23" t="str">
        <f aca="false">IFERROR(INDEX(分录回款!$E:$E,MATCH($L2139,分录回款!$L:$L,0)),"")</f>
        <v/>
      </c>
      <c r="E2139" s="23" t="str">
        <f aca="false">IFERROR(INDEX(分录回款!$F:$F,MATCH($L2139,分录回款!$L:$L,0)),"")</f>
        <v/>
      </c>
      <c r="F2139" s="68" t="str">
        <f aca="false">IFERROR(INDEX(分录回款!$H:$H,MATCH($L2139,分录回款!$L:$L,0)),"")</f>
        <v/>
      </c>
      <c r="G2139" s="69" t="str">
        <f aca="false">IFERROR(INDEX(分录回款!$I:$I,MATCH($L2139,分录回款!$L:$L,0)),"")</f>
        <v/>
      </c>
      <c r="H2139" s="23"/>
      <c r="I2139" s="70"/>
      <c r="L2139" s="71" t="n">
        <f aca="false">IF(助手回款!$R$144="",-1,助手回款!$R$144*100+(助手回款!$S$144-1)*6+4)</f>
        <v>-1</v>
      </c>
    </row>
    <row r="2140" customFormat="false" ht="23.25" hidden="false" customHeight="true" outlineLevel="0" collapsed="false">
      <c r="B2140" s="67" t="str">
        <f aca="false">""</f>
        <v/>
      </c>
      <c r="C2140" s="67"/>
      <c r="D2140" s="23" t="str">
        <f aca="false">IFERROR(INDEX(分录回款!$E:$E,MATCH($L2140,分录回款!$L:$L,0)),"")</f>
        <v/>
      </c>
      <c r="E2140" s="23" t="str">
        <f aca="false">IFERROR(INDEX(分录回款!$F:$F,MATCH($L2140,分录回款!$L:$L,0)),"")</f>
        <v/>
      </c>
      <c r="F2140" s="68" t="str">
        <f aca="false">IFERROR(INDEX(分录回款!$H:$H,MATCH($L2140,分录回款!$L:$L,0)),"")</f>
        <v/>
      </c>
      <c r="G2140" s="69" t="str">
        <f aca="false">IFERROR(INDEX(分录回款!$I:$I,MATCH($L2140,分录回款!$L:$L,0)),"")</f>
        <v/>
      </c>
      <c r="H2140" s="23"/>
      <c r="I2140" s="70"/>
      <c r="L2140" s="71" t="n">
        <f aca="false">IF(助手回款!$R$144="",-1,助手回款!$R$144*100+(助手回款!$S$144-1)*6+5)</f>
        <v>-1</v>
      </c>
    </row>
    <row r="2141" customFormat="false" ht="23.25" hidden="false" customHeight="true" outlineLevel="0" collapsed="false">
      <c r="B2141" s="67" t="str">
        <f aca="false">""</f>
        <v/>
      </c>
      <c r="C2141" s="67"/>
      <c r="D2141" s="23" t="str">
        <f aca="false">IFERROR(INDEX(分录回款!$E:$E,MATCH($L2141,分录回款!$L:$L,0)),"")</f>
        <v/>
      </c>
      <c r="E2141" s="23" t="str">
        <f aca="false">IFERROR(INDEX(分录回款!$F:$F,MATCH($L2141,分录回款!$L:$L,0)),"")</f>
        <v/>
      </c>
      <c r="F2141" s="68" t="str">
        <f aca="false">IFERROR(INDEX(分录回款!$H:$H,MATCH($L2141,分录回款!$L:$L,0)),"")</f>
        <v/>
      </c>
      <c r="G2141" s="69" t="str">
        <f aca="false">IFERROR(INDEX(分录回款!$I:$I,MATCH($L2141,分录回款!$L:$L,0)),"")</f>
        <v/>
      </c>
      <c r="H2141" s="23"/>
      <c r="I2141" s="70"/>
      <c r="L2141" s="71" t="n">
        <f aca="false">IF(助手回款!$R$144="",-1,助手回款!$R$144*100+(助手回款!$S$144-1)*6+6)</f>
        <v>-1</v>
      </c>
    </row>
    <row r="2142" customFormat="false" ht="23.25" hidden="false" customHeight="true" outlineLevel="0" collapsed="false">
      <c r="B2142" s="72" t="str">
        <f aca="false">IF(助手回款!$T$144=1,"合计：","")</f>
        <v/>
      </c>
      <c r="C2142" s="73" t="str">
        <f aca="false">IF(助手回款!$T$144=1,$F2142,"")</f>
        <v/>
      </c>
      <c r="D2142" s="74"/>
      <c r="E2142" s="74"/>
      <c r="F2142" s="75" t="str">
        <f aca="false">IF(助手回款!$T$144=1,INDEX(助手回款!$N$2:$N$66,助手回款!$R$144),"")</f>
        <v/>
      </c>
      <c r="G2142" s="76" t="str">
        <f aca="false">IF(助手回款!$T$144=1,INDEX(助手回款!$O$2:$O$66,助手回款!$R$144),"")</f>
        <v/>
      </c>
      <c r="H2142" s="74"/>
      <c r="I2142" s="77"/>
    </row>
    <row r="2143" customFormat="false" ht="6" hidden="false" customHeight="true" outlineLevel="0" collapsed="false"/>
    <row r="2144" customFormat="false" ht="13.5" hidden="false" customHeight="false" outlineLevel="0" collapsed="false">
      <c r="B2144" s="78" t="str">
        <f aca="false">IF(助手回款!$R$144&lt;&gt;"","会计主管：","")</f>
        <v/>
      </c>
      <c r="D2144" s="78" t="str">
        <f aca="false">IF(助手回款!$R$144&lt;&gt;"","会计：","")</f>
        <v/>
      </c>
      <c r="E2144" s="78" t="str">
        <f aca="false">IF(助手回款!$R$144&lt;&gt;"","出纳：","")</f>
        <v/>
      </c>
      <c r="F2144" s="78" t="str">
        <f aca="false">IF(助手回款!$R$144&lt;&gt;"","复核：","")</f>
        <v/>
      </c>
      <c r="G2144" s="78" t="str">
        <f aca="false">IF(助手回款!$R$144&lt;&gt;"","制单：","")</f>
        <v/>
      </c>
    </row>
    <row r="2145" customFormat="false" ht="3" hidden="false" customHeight="true" outlineLevel="0" collapsed="false"/>
    <row r="2146" customFormat="false" ht="19.5" hidden="false" customHeight="true" outlineLevel="0" collapsed="false">
      <c r="B2146" s="53" t="str">
        <f aca="false">IF(助手回款!$R$145&lt;&gt;"","记  账  凭  证","")</f>
        <v/>
      </c>
      <c r="C2146" s="53"/>
      <c r="D2146" s="53"/>
      <c r="E2146" s="53"/>
      <c r="F2146" s="53"/>
      <c r="G2146" s="53"/>
      <c r="H2146" s="53"/>
      <c r="I2146" s="53"/>
    </row>
    <row r="2147" customFormat="false" ht="3" hidden="false" customHeight="true" outlineLevel="0" collapsed="false"/>
    <row r="2148" customFormat="false" ht="15" hidden="false" customHeight="true" outlineLevel="0" collapsed="false">
      <c r="C2148" s="56" t="str">
        <f aca="false">IF(助手回款!$R$145&lt;&gt;"",INDEX(助手回款!$B$2:$B$66,助手回款!$R$145),"")</f>
        <v/>
      </c>
      <c r="D2148" s="57" t="str">
        <f aca="false">IF(助手回款!$R$145&lt;&gt;"",参数!$B$2,"")</f>
        <v/>
      </c>
      <c r="E2148" s="57"/>
      <c r="F2148" s="58" t="str">
        <f aca="false">IF(助手回款!$R$145&lt;&gt;"",INDEX(助手回款!$C$2:$C$66,助手回款!$R$145)&amp;"  字第 "&amp;IF(参数!$B$9="是",INDEX(助手回款!$P$2:$P$66,助手回款!$R$145),"　　　　")&amp;" 号"&amp;IF(INDEX(助手回款!$L$2:$L$66,助手回款!$R$145)&gt;1,"  (共"&amp;INDEX(助手回款!$L$2:$L$66,助手回款!$R$145)&amp;"页 第"&amp;助手回款!$S$145&amp;"页)",""),"")</f>
        <v/>
      </c>
      <c r="G2148" s="58"/>
      <c r="H2148" s="58"/>
      <c r="I2148" s="58"/>
      <c r="M2148" s="79" t="str">
        <f aca="false">IF(助手回款!$R$145="","",助手回款!$Q$145)</f>
        <v/>
      </c>
      <c r="N2148" s="80" t="str">
        <f aca="false">IF(助手回款!$R$145="","",INDEX(助手回款!$P$2:$P$66,助手回款!$R$145))</f>
        <v/>
      </c>
      <c r="O2148" s="55" t="str">
        <f aca="false">IF(助手回款!$R$145="","",INDEX(助手回款!$C$2:$C$66,助手回款!$R$145)&amp;"  字第 "&amp;INDEX(助手回款!$P$2:$P$66,助手回款!$R$145)&amp;" 号"&amp;IF(INDEX(助手回款!$L$2:$L$66,助手回款!$R$145)&gt;1,"  (共"&amp;INDEX(助手回款!$L$2:$L$66,助手回款!$R$145)&amp;"页 第"&amp;助手回款!$S$145&amp;"页)",""))</f>
        <v/>
      </c>
    </row>
    <row r="2149" customFormat="false" ht="12.75" hidden="false" customHeight="true" outlineLevel="0" collapsed="false">
      <c r="B2149" s="61" t="str">
        <f aca="false">IF(助手回款!$R$145&lt;&gt;"","摘　　要","")</f>
        <v/>
      </c>
      <c r="C2149" s="61"/>
      <c r="D2149" s="62" t="str">
        <f aca="false">IF(助手回款!$R$145&lt;&gt;"","科　　　　目","")</f>
        <v/>
      </c>
      <c r="E2149" s="62"/>
      <c r="F2149" s="61" t="str">
        <f aca="false">IF(助手回款!$R$145&lt;&gt;"","借 方 金 额","")</f>
        <v/>
      </c>
      <c r="G2149" s="62" t="str">
        <f aca="false">IF(助手回款!$R$145&lt;&gt;"","贷 方 金 额","")</f>
        <v/>
      </c>
      <c r="H2149" s="63" t="str">
        <f aca="false">IF(助手回款!$R$145&lt;&gt;"","√","")</f>
        <v/>
      </c>
      <c r="I2149" s="64" t="str">
        <f aca="false">IF(助手回款!$R$145&lt;&gt;"","附单据  张","")</f>
        <v/>
      </c>
    </row>
    <row r="2150" customFormat="false" ht="12.75" hidden="false" customHeight="true" outlineLevel="0" collapsed="false">
      <c r="B2150" s="61"/>
      <c r="C2150" s="61"/>
      <c r="D2150" s="23" t="str">
        <f aca="false">IF(助手回款!$R$145&lt;&gt;"","总 账 科 目","")</f>
        <v/>
      </c>
      <c r="E2150" s="23" t="str">
        <f aca="false">IF(助手回款!$R$145&lt;&gt;"","明 细 科 目","")</f>
        <v/>
      </c>
      <c r="F2150" s="65"/>
      <c r="G2150" s="66"/>
      <c r="H2150" s="63"/>
      <c r="I2150" s="64"/>
    </row>
    <row r="2151" customFormat="false" ht="23.25" hidden="false" customHeight="true" outlineLevel="0" collapsed="false">
      <c r="B2151" s="67" t="str">
        <f aca="false">IFERROR(INDEX(分录回款!$M:$M,MATCH($L2151,分录回款!$L:$L,0)),"")</f>
        <v/>
      </c>
      <c r="C2151" s="67"/>
      <c r="D2151" s="23" t="str">
        <f aca="false">IFERROR(INDEX(分录回款!$E:$E,MATCH($L2151,分录回款!$L:$L,0)),"")</f>
        <v/>
      </c>
      <c r="E2151" s="23" t="str">
        <f aca="false">IFERROR(INDEX(分录回款!$F:$F,MATCH($L2151,分录回款!$L:$L,0)),"")</f>
        <v/>
      </c>
      <c r="F2151" s="68" t="str">
        <f aca="false">IFERROR(INDEX(分录回款!$H:$H,MATCH($L2151,分录回款!$L:$L,0)),"")</f>
        <v/>
      </c>
      <c r="G2151" s="69" t="str">
        <f aca="false">IFERROR(INDEX(分录回款!$I:$I,MATCH($L2151,分录回款!$L:$L,0)),"")</f>
        <v/>
      </c>
      <c r="H2151" s="23"/>
      <c r="I2151" s="70"/>
      <c r="L2151" s="71" t="n">
        <f aca="false">IF(助手回款!$R$145="",-1,助手回款!$R$145*100+(助手回款!$S$145-1)*6+1)</f>
        <v>-1</v>
      </c>
    </row>
    <row r="2152" customFormat="false" ht="23.25" hidden="false" customHeight="true" outlineLevel="0" collapsed="false">
      <c r="B2152" s="67" t="str">
        <f aca="false">""</f>
        <v/>
      </c>
      <c r="C2152" s="67"/>
      <c r="D2152" s="23" t="str">
        <f aca="false">IFERROR(INDEX(分录回款!$E:$E,MATCH($L2152,分录回款!$L:$L,0)),"")</f>
        <v/>
      </c>
      <c r="E2152" s="23" t="str">
        <f aca="false">IFERROR(INDEX(分录回款!$F:$F,MATCH($L2152,分录回款!$L:$L,0)),"")</f>
        <v/>
      </c>
      <c r="F2152" s="68" t="str">
        <f aca="false">IFERROR(INDEX(分录回款!$H:$H,MATCH($L2152,分录回款!$L:$L,0)),"")</f>
        <v/>
      </c>
      <c r="G2152" s="69" t="str">
        <f aca="false">IFERROR(INDEX(分录回款!$I:$I,MATCH($L2152,分录回款!$L:$L,0)),"")</f>
        <v/>
      </c>
      <c r="H2152" s="23"/>
      <c r="I2152" s="70"/>
      <c r="L2152" s="71" t="n">
        <f aca="false">IF(助手回款!$R$145="",-1,助手回款!$R$145*100+(助手回款!$S$145-1)*6+2)</f>
        <v>-1</v>
      </c>
    </row>
    <row r="2153" customFormat="false" ht="23.25" hidden="false" customHeight="true" outlineLevel="0" collapsed="false">
      <c r="B2153" s="67" t="str">
        <f aca="false">""</f>
        <v/>
      </c>
      <c r="C2153" s="67"/>
      <c r="D2153" s="23" t="str">
        <f aca="false">IFERROR(INDEX(分录回款!$E:$E,MATCH($L2153,分录回款!$L:$L,0)),"")</f>
        <v/>
      </c>
      <c r="E2153" s="23" t="str">
        <f aca="false">IFERROR(INDEX(分录回款!$F:$F,MATCH($L2153,分录回款!$L:$L,0)),"")</f>
        <v/>
      </c>
      <c r="F2153" s="68" t="str">
        <f aca="false">IFERROR(INDEX(分录回款!$H:$H,MATCH($L2153,分录回款!$L:$L,0)),"")</f>
        <v/>
      </c>
      <c r="G2153" s="69" t="str">
        <f aca="false">IFERROR(INDEX(分录回款!$I:$I,MATCH($L2153,分录回款!$L:$L,0)),"")</f>
        <v/>
      </c>
      <c r="H2153" s="23"/>
      <c r="I2153" s="70"/>
      <c r="L2153" s="71" t="n">
        <f aca="false">IF(助手回款!$R$145="",-1,助手回款!$R$145*100+(助手回款!$S$145-1)*6+3)</f>
        <v>-1</v>
      </c>
    </row>
    <row r="2154" customFormat="false" ht="23.25" hidden="false" customHeight="true" outlineLevel="0" collapsed="false">
      <c r="B2154" s="67" t="str">
        <f aca="false">""</f>
        <v/>
      </c>
      <c r="C2154" s="67"/>
      <c r="D2154" s="23" t="str">
        <f aca="false">IFERROR(INDEX(分录回款!$E:$E,MATCH($L2154,分录回款!$L:$L,0)),"")</f>
        <v/>
      </c>
      <c r="E2154" s="23" t="str">
        <f aca="false">IFERROR(INDEX(分录回款!$F:$F,MATCH($L2154,分录回款!$L:$L,0)),"")</f>
        <v/>
      </c>
      <c r="F2154" s="68" t="str">
        <f aca="false">IFERROR(INDEX(分录回款!$H:$H,MATCH($L2154,分录回款!$L:$L,0)),"")</f>
        <v/>
      </c>
      <c r="G2154" s="69" t="str">
        <f aca="false">IFERROR(INDEX(分录回款!$I:$I,MATCH($L2154,分录回款!$L:$L,0)),"")</f>
        <v/>
      </c>
      <c r="H2154" s="23"/>
      <c r="I2154" s="70"/>
      <c r="L2154" s="71" t="n">
        <f aca="false">IF(助手回款!$R$145="",-1,助手回款!$R$145*100+(助手回款!$S$145-1)*6+4)</f>
        <v>-1</v>
      </c>
    </row>
    <row r="2155" customFormat="false" ht="23.25" hidden="false" customHeight="true" outlineLevel="0" collapsed="false">
      <c r="B2155" s="67" t="str">
        <f aca="false">""</f>
        <v/>
      </c>
      <c r="C2155" s="67"/>
      <c r="D2155" s="23" t="str">
        <f aca="false">IFERROR(INDEX(分录回款!$E:$E,MATCH($L2155,分录回款!$L:$L,0)),"")</f>
        <v/>
      </c>
      <c r="E2155" s="23" t="str">
        <f aca="false">IFERROR(INDEX(分录回款!$F:$F,MATCH($L2155,分录回款!$L:$L,0)),"")</f>
        <v/>
      </c>
      <c r="F2155" s="68" t="str">
        <f aca="false">IFERROR(INDEX(分录回款!$H:$H,MATCH($L2155,分录回款!$L:$L,0)),"")</f>
        <v/>
      </c>
      <c r="G2155" s="69" t="str">
        <f aca="false">IFERROR(INDEX(分录回款!$I:$I,MATCH($L2155,分录回款!$L:$L,0)),"")</f>
        <v/>
      </c>
      <c r="H2155" s="23"/>
      <c r="I2155" s="70"/>
      <c r="L2155" s="71" t="n">
        <f aca="false">IF(助手回款!$R$145="",-1,助手回款!$R$145*100+(助手回款!$S$145-1)*6+5)</f>
        <v>-1</v>
      </c>
    </row>
    <row r="2156" customFormat="false" ht="23.25" hidden="false" customHeight="true" outlineLevel="0" collapsed="false">
      <c r="B2156" s="67" t="str">
        <f aca="false">""</f>
        <v/>
      </c>
      <c r="C2156" s="67"/>
      <c r="D2156" s="23" t="str">
        <f aca="false">IFERROR(INDEX(分录回款!$E:$E,MATCH($L2156,分录回款!$L:$L,0)),"")</f>
        <v/>
      </c>
      <c r="E2156" s="23" t="str">
        <f aca="false">IFERROR(INDEX(分录回款!$F:$F,MATCH($L2156,分录回款!$L:$L,0)),"")</f>
        <v/>
      </c>
      <c r="F2156" s="68" t="str">
        <f aca="false">IFERROR(INDEX(分录回款!$H:$H,MATCH($L2156,分录回款!$L:$L,0)),"")</f>
        <v/>
      </c>
      <c r="G2156" s="69" t="str">
        <f aca="false">IFERROR(INDEX(分录回款!$I:$I,MATCH($L2156,分录回款!$L:$L,0)),"")</f>
        <v/>
      </c>
      <c r="H2156" s="23"/>
      <c r="I2156" s="70"/>
      <c r="L2156" s="71" t="n">
        <f aca="false">IF(助手回款!$R$145="",-1,助手回款!$R$145*100+(助手回款!$S$145-1)*6+6)</f>
        <v>-1</v>
      </c>
    </row>
    <row r="2157" customFormat="false" ht="23.25" hidden="false" customHeight="true" outlineLevel="0" collapsed="false">
      <c r="B2157" s="72" t="str">
        <f aca="false">IF(助手回款!$T$145=1,"合计：","")</f>
        <v/>
      </c>
      <c r="C2157" s="73" t="str">
        <f aca="false">IF(助手回款!$T$145=1,$F2157,"")</f>
        <v/>
      </c>
      <c r="D2157" s="74"/>
      <c r="E2157" s="74"/>
      <c r="F2157" s="75" t="str">
        <f aca="false">IF(助手回款!$T$145=1,INDEX(助手回款!$N$2:$N$66,助手回款!$R$145),"")</f>
        <v/>
      </c>
      <c r="G2157" s="76" t="str">
        <f aca="false">IF(助手回款!$T$145=1,INDEX(助手回款!$O$2:$O$66,助手回款!$R$145),"")</f>
        <v/>
      </c>
      <c r="H2157" s="74"/>
      <c r="I2157" s="77"/>
    </row>
    <row r="2158" customFormat="false" ht="6" hidden="false" customHeight="true" outlineLevel="0" collapsed="false"/>
    <row r="2159" customFormat="false" ht="13.5" hidden="false" customHeight="false" outlineLevel="0" collapsed="false">
      <c r="B2159" s="78" t="str">
        <f aca="false">IF(助手回款!$R$145&lt;&gt;"","会计主管：","")</f>
        <v/>
      </c>
      <c r="D2159" s="78" t="str">
        <f aca="false">IF(助手回款!$R$145&lt;&gt;"","会计：","")</f>
        <v/>
      </c>
      <c r="E2159" s="78" t="str">
        <f aca="false">IF(助手回款!$R$145&lt;&gt;"","出纳：","")</f>
        <v/>
      </c>
      <c r="F2159" s="78" t="str">
        <f aca="false">IF(助手回款!$R$145&lt;&gt;"","复核：","")</f>
        <v/>
      </c>
      <c r="G2159" s="78" t="str">
        <f aca="false">IF(助手回款!$R$145&lt;&gt;"","制单：","")</f>
        <v/>
      </c>
    </row>
    <row r="2160" customFormat="false" ht="3" hidden="false" customHeight="true" outlineLevel="0" collapsed="false"/>
    <row r="2161" customFormat="false" ht="19.5" hidden="false" customHeight="true" outlineLevel="0" collapsed="false">
      <c r="B2161" s="53" t="str">
        <f aca="false">IF(助手回款!$R$146&lt;&gt;"","记  账  凭  证","")</f>
        <v/>
      </c>
      <c r="C2161" s="53"/>
      <c r="D2161" s="53"/>
      <c r="E2161" s="53"/>
      <c r="F2161" s="53"/>
      <c r="G2161" s="53"/>
      <c r="H2161" s="53"/>
      <c r="I2161" s="53"/>
    </row>
    <row r="2162" customFormat="false" ht="3" hidden="false" customHeight="true" outlineLevel="0" collapsed="false"/>
    <row r="2163" customFormat="false" ht="15" hidden="false" customHeight="true" outlineLevel="0" collapsed="false">
      <c r="C2163" s="56" t="str">
        <f aca="false">IF(助手回款!$R$146&lt;&gt;"",INDEX(助手回款!$B$2:$B$66,助手回款!$R$146),"")</f>
        <v/>
      </c>
      <c r="D2163" s="57" t="str">
        <f aca="false">IF(助手回款!$R$146&lt;&gt;"",参数!$B$2,"")</f>
        <v/>
      </c>
      <c r="E2163" s="57"/>
      <c r="F2163" s="58" t="str">
        <f aca="false">IF(助手回款!$R$146&lt;&gt;"",INDEX(助手回款!$C$2:$C$66,助手回款!$R$146)&amp;"  字第 "&amp;IF(参数!$B$9="是",INDEX(助手回款!$P$2:$P$66,助手回款!$R$146),"　　　　")&amp;" 号"&amp;IF(INDEX(助手回款!$L$2:$L$66,助手回款!$R$146)&gt;1,"  (共"&amp;INDEX(助手回款!$L$2:$L$66,助手回款!$R$146)&amp;"页 第"&amp;助手回款!$S$146&amp;"页)",""),"")</f>
        <v/>
      </c>
      <c r="G2163" s="58"/>
      <c r="H2163" s="58"/>
      <c r="I2163" s="58"/>
      <c r="M2163" s="79" t="str">
        <f aca="false">IF(助手回款!$R$146="","",助手回款!$Q$146)</f>
        <v/>
      </c>
      <c r="N2163" s="80" t="str">
        <f aca="false">IF(助手回款!$R$146="","",INDEX(助手回款!$P$2:$P$66,助手回款!$R$146))</f>
        <v/>
      </c>
      <c r="O2163" s="55" t="str">
        <f aca="false">IF(助手回款!$R$146="","",INDEX(助手回款!$C$2:$C$66,助手回款!$R$146)&amp;"  字第 "&amp;INDEX(助手回款!$P$2:$P$66,助手回款!$R$146)&amp;" 号"&amp;IF(INDEX(助手回款!$L$2:$L$66,助手回款!$R$146)&gt;1,"  (共"&amp;INDEX(助手回款!$L$2:$L$66,助手回款!$R$146)&amp;"页 第"&amp;助手回款!$S$146&amp;"页)",""))</f>
        <v/>
      </c>
    </row>
    <row r="2164" customFormat="false" ht="12.75" hidden="false" customHeight="true" outlineLevel="0" collapsed="false">
      <c r="B2164" s="61" t="str">
        <f aca="false">IF(助手回款!$R$146&lt;&gt;"","摘　　要","")</f>
        <v/>
      </c>
      <c r="C2164" s="61"/>
      <c r="D2164" s="62" t="str">
        <f aca="false">IF(助手回款!$R$146&lt;&gt;"","科　　　　目","")</f>
        <v/>
      </c>
      <c r="E2164" s="62"/>
      <c r="F2164" s="61" t="str">
        <f aca="false">IF(助手回款!$R$146&lt;&gt;"","借 方 金 额","")</f>
        <v/>
      </c>
      <c r="G2164" s="62" t="str">
        <f aca="false">IF(助手回款!$R$146&lt;&gt;"","贷 方 金 额","")</f>
        <v/>
      </c>
      <c r="H2164" s="63" t="str">
        <f aca="false">IF(助手回款!$R$146&lt;&gt;"","√","")</f>
        <v/>
      </c>
      <c r="I2164" s="64" t="str">
        <f aca="false">IF(助手回款!$R$146&lt;&gt;"","附单据  张","")</f>
        <v/>
      </c>
    </row>
    <row r="2165" customFormat="false" ht="12.75" hidden="false" customHeight="true" outlineLevel="0" collapsed="false">
      <c r="B2165" s="61"/>
      <c r="C2165" s="61"/>
      <c r="D2165" s="23" t="str">
        <f aca="false">IF(助手回款!$R$146&lt;&gt;"","总 账 科 目","")</f>
        <v/>
      </c>
      <c r="E2165" s="23" t="str">
        <f aca="false">IF(助手回款!$R$146&lt;&gt;"","明 细 科 目","")</f>
        <v/>
      </c>
      <c r="F2165" s="65"/>
      <c r="G2165" s="66"/>
      <c r="H2165" s="63"/>
      <c r="I2165" s="64"/>
    </row>
    <row r="2166" customFormat="false" ht="23.25" hidden="false" customHeight="true" outlineLevel="0" collapsed="false">
      <c r="B2166" s="67" t="str">
        <f aca="false">IFERROR(INDEX(分录回款!$M:$M,MATCH($L2166,分录回款!$L:$L,0)),"")</f>
        <v/>
      </c>
      <c r="C2166" s="67"/>
      <c r="D2166" s="23" t="str">
        <f aca="false">IFERROR(INDEX(分录回款!$E:$E,MATCH($L2166,分录回款!$L:$L,0)),"")</f>
        <v/>
      </c>
      <c r="E2166" s="23" t="str">
        <f aca="false">IFERROR(INDEX(分录回款!$F:$F,MATCH($L2166,分录回款!$L:$L,0)),"")</f>
        <v/>
      </c>
      <c r="F2166" s="68" t="str">
        <f aca="false">IFERROR(INDEX(分录回款!$H:$H,MATCH($L2166,分录回款!$L:$L,0)),"")</f>
        <v/>
      </c>
      <c r="G2166" s="69" t="str">
        <f aca="false">IFERROR(INDEX(分录回款!$I:$I,MATCH($L2166,分录回款!$L:$L,0)),"")</f>
        <v/>
      </c>
      <c r="H2166" s="23"/>
      <c r="I2166" s="70"/>
      <c r="L2166" s="71" t="n">
        <f aca="false">IF(助手回款!$R$146="",-1,助手回款!$R$146*100+(助手回款!$S$146-1)*6+1)</f>
        <v>-1</v>
      </c>
    </row>
    <row r="2167" customFormat="false" ht="23.25" hidden="false" customHeight="true" outlineLevel="0" collapsed="false">
      <c r="B2167" s="67" t="str">
        <f aca="false">""</f>
        <v/>
      </c>
      <c r="C2167" s="67"/>
      <c r="D2167" s="23" t="str">
        <f aca="false">IFERROR(INDEX(分录回款!$E:$E,MATCH($L2167,分录回款!$L:$L,0)),"")</f>
        <v/>
      </c>
      <c r="E2167" s="23" t="str">
        <f aca="false">IFERROR(INDEX(分录回款!$F:$F,MATCH($L2167,分录回款!$L:$L,0)),"")</f>
        <v/>
      </c>
      <c r="F2167" s="68" t="str">
        <f aca="false">IFERROR(INDEX(分录回款!$H:$H,MATCH($L2167,分录回款!$L:$L,0)),"")</f>
        <v/>
      </c>
      <c r="G2167" s="69" t="str">
        <f aca="false">IFERROR(INDEX(分录回款!$I:$I,MATCH($L2167,分录回款!$L:$L,0)),"")</f>
        <v/>
      </c>
      <c r="H2167" s="23"/>
      <c r="I2167" s="70"/>
      <c r="L2167" s="71" t="n">
        <f aca="false">IF(助手回款!$R$146="",-1,助手回款!$R$146*100+(助手回款!$S$146-1)*6+2)</f>
        <v>-1</v>
      </c>
    </row>
    <row r="2168" customFormat="false" ht="23.25" hidden="false" customHeight="true" outlineLevel="0" collapsed="false">
      <c r="B2168" s="67" t="str">
        <f aca="false">""</f>
        <v/>
      </c>
      <c r="C2168" s="67"/>
      <c r="D2168" s="23" t="str">
        <f aca="false">IFERROR(INDEX(分录回款!$E:$E,MATCH($L2168,分录回款!$L:$L,0)),"")</f>
        <v/>
      </c>
      <c r="E2168" s="23" t="str">
        <f aca="false">IFERROR(INDEX(分录回款!$F:$F,MATCH($L2168,分录回款!$L:$L,0)),"")</f>
        <v/>
      </c>
      <c r="F2168" s="68" t="str">
        <f aca="false">IFERROR(INDEX(分录回款!$H:$H,MATCH($L2168,分录回款!$L:$L,0)),"")</f>
        <v/>
      </c>
      <c r="G2168" s="69" t="str">
        <f aca="false">IFERROR(INDEX(分录回款!$I:$I,MATCH($L2168,分录回款!$L:$L,0)),"")</f>
        <v/>
      </c>
      <c r="H2168" s="23"/>
      <c r="I2168" s="70"/>
      <c r="L2168" s="71" t="n">
        <f aca="false">IF(助手回款!$R$146="",-1,助手回款!$R$146*100+(助手回款!$S$146-1)*6+3)</f>
        <v>-1</v>
      </c>
    </row>
    <row r="2169" customFormat="false" ht="23.25" hidden="false" customHeight="true" outlineLevel="0" collapsed="false">
      <c r="B2169" s="67" t="str">
        <f aca="false">""</f>
        <v/>
      </c>
      <c r="C2169" s="67"/>
      <c r="D2169" s="23" t="str">
        <f aca="false">IFERROR(INDEX(分录回款!$E:$E,MATCH($L2169,分录回款!$L:$L,0)),"")</f>
        <v/>
      </c>
      <c r="E2169" s="23" t="str">
        <f aca="false">IFERROR(INDEX(分录回款!$F:$F,MATCH($L2169,分录回款!$L:$L,0)),"")</f>
        <v/>
      </c>
      <c r="F2169" s="68" t="str">
        <f aca="false">IFERROR(INDEX(分录回款!$H:$H,MATCH($L2169,分录回款!$L:$L,0)),"")</f>
        <v/>
      </c>
      <c r="G2169" s="69" t="str">
        <f aca="false">IFERROR(INDEX(分录回款!$I:$I,MATCH($L2169,分录回款!$L:$L,0)),"")</f>
        <v/>
      </c>
      <c r="H2169" s="23"/>
      <c r="I2169" s="70"/>
      <c r="L2169" s="71" t="n">
        <f aca="false">IF(助手回款!$R$146="",-1,助手回款!$R$146*100+(助手回款!$S$146-1)*6+4)</f>
        <v>-1</v>
      </c>
    </row>
    <row r="2170" customFormat="false" ht="23.25" hidden="false" customHeight="true" outlineLevel="0" collapsed="false">
      <c r="B2170" s="67" t="str">
        <f aca="false">""</f>
        <v/>
      </c>
      <c r="C2170" s="67"/>
      <c r="D2170" s="23" t="str">
        <f aca="false">IFERROR(INDEX(分录回款!$E:$E,MATCH($L2170,分录回款!$L:$L,0)),"")</f>
        <v/>
      </c>
      <c r="E2170" s="23" t="str">
        <f aca="false">IFERROR(INDEX(分录回款!$F:$F,MATCH($L2170,分录回款!$L:$L,0)),"")</f>
        <v/>
      </c>
      <c r="F2170" s="68" t="str">
        <f aca="false">IFERROR(INDEX(分录回款!$H:$H,MATCH($L2170,分录回款!$L:$L,0)),"")</f>
        <v/>
      </c>
      <c r="G2170" s="69" t="str">
        <f aca="false">IFERROR(INDEX(分录回款!$I:$I,MATCH($L2170,分录回款!$L:$L,0)),"")</f>
        <v/>
      </c>
      <c r="H2170" s="23"/>
      <c r="I2170" s="70"/>
      <c r="L2170" s="71" t="n">
        <f aca="false">IF(助手回款!$R$146="",-1,助手回款!$R$146*100+(助手回款!$S$146-1)*6+5)</f>
        <v>-1</v>
      </c>
    </row>
    <row r="2171" customFormat="false" ht="23.25" hidden="false" customHeight="true" outlineLevel="0" collapsed="false">
      <c r="B2171" s="67" t="str">
        <f aca="false">""</f>
        <v/>
      </c>
      <c r="C2171" s="67"/>
      <c r="D2171" s="23" t="str">
        <f aca="false">IFERROR(INDEX(分录回款!$E:$E,MATCH($L2171,分录回款!$L:$L,0)),"")</f>
        <v/>
      </c>
      <c r="E2171" s="23" t="str">
        <f aca="false">IFERROR(INDEX(分录回款!$F:$F,MATCH($L2171,分录回款!$L:$L,0)),"")</f>
        <v/>
      </c>
      <c r="F2171" s="68" t="str">
        <f aca="false">IFERROR(INDEX(分录回款!$H:$H,MATCH($L2171,分录回款!$L:$L,0)),"")</f>
        <v/>
      </c>
      <c r="G2171" s="69" t="str">
        <f aca="false">IFERROR(INDEX(分录回款!$I:$I,MATCH($L2171,分录回款!$L:$L,0)),"")</f>
        <v/>
      </c>
      <c r="H2171" s="23"/>
      <c r="I2171" s="70"/>
      <c r="L2171" s="71" t="n">
        <f aca="false">IF(助手回款!$R$146="",-1,助手回款!$R$146*100+(助手回款!$S$146-1)*6+6)</f>
        <v>-1</v>
      </c>
    </row>
    <row r="2172" customFormat="false" ht="23.25" hidden="false" customHeight="true" outlineLevel="0" collapsed="false">
      <c r="B2172" s="72" t="str">
        <f aca="false">IF(助手回款!$T$146=1,"合计：","")</f>
        <v/>
      </c>
      <c r="C2172" s="73" t="str">
        <f aca="false">IF(助手回款!$T$146=1,$F2172,"")</f>
        <v/>
      </c>
      <c r="D2172" s="74"/>
      <c r="E2172" s="74"/>
      <c r="F2172" s="75" t="str">
        <f aca="false">IF(助手回款!$T$146=1,INDEX(助手回款!$N$2:$N$66,助手回款!$R$146),"")</f>
        <v/>
      </c>
      <c r="G2172" s="76" t="str">
        <f aca="false">IF(助手回款!$T$146=1,INDEX(助手回款!$O$2:$O$66,助手回款!$R$146),"")</f>
        <v/>
      </c>
      <c r="H2172" s="74"/>
      <c r="I2172" s="77"/>
    </row>
    <row r="2173" customFormat="false" ht="6" hidden="false" customHeight="true" outlineLevel="0" collapsed="false"/>
    <row r="2174" customFormat="false" ht="13.5" hidden="false" customHeight="false" outlineLevel="0" collapsed="false">
      <c r="B2174" s="78" t="str">
        <f aca="false">IF(助手回款!$R$146&lt;&gt;"","会计主管：","")</f>
        <v/>
      </c>
      <c r="D2174" s="78" t="str">
        <f aca="false">IF(助手回款!$R$146&lt;&gt;"","会计：","")</f>
        <v/>
      </c>
      <c r="E2174" s="78" t="str">
        <f aca="false">IF(助手回款!$R$146&lt;&gt;"","出纳：","")</f>
        <v/>
      </c>
      <c r="F2174" s="78" t="str">
        <f aca="false">IF(助手回款!$R$146&lt;&gt;"","复核：","")</f>
        <v/>
      </c>
      <c r="G2174" s="78" t="str">
        <f aca="false">IF(助手回款!$R$146&lt;&gt;"","制单：","")</f>
        <v/>
      </c>
    </row>
    <row r="2175" customFormat="false" ht="3" hidden="false" customHeight="true" outlineLevel="0" collapsed="false"/>
    <row r="2176" customFormat="false" ht="19.5" hidden="false" customHeight="true" outlineLevel="0" collapsed="false">
      <c r="B2176" s="53" t="str">
        <f aca="false">IF(助手回款!$R$147&lt;&gt;"","记  账  凭  证","")</f>
        <v/>
      </c>
      <c r="C2176" s="53"/>
      <c r="D2176" s="53"/>
      <c r="E2176" s="53"/>
      <c r="F2176" s="53"/>
      <c r="G2176" s="53"/>
      <c r="H2176" s="53"/>
      <c r="I2176" s="53"/>
    </row>
    <row r="2177" customFormat="false" ht="3" hidden="false" customHeight="true" outlineLevel="0" collapsed="false"/>
    <row r="2178" customFormat="false" ht="15" hidden="false" customHeight="true" outlineLevel="0" collapsed="false">
      <c r="C2178" s="56" t="str">
        <f aca="false">IF(助手回款!$R$147&lt;&gt;"",INDEX(助手回款!$B$2:$B$66,助手回款!$R$147),"")</f>
        <v/>
      </c>
      <c r="D2178" s="57" t="str">
        <f aca="false">IF(助手回款!$R$147&lt;&gt;"",参数!$B$2,"")</f>
        <v/>
      </c>
      <c r="E2178" s="57"/>
      <c r="F2178" s="58" t="str">
        <f aca="false">IF(助手回款!$R$147&lt;&gt;"",INDEX(助手回款!$C$2:$C$66,助手回款!$R$147)&amp;"  字第 "&amp;IF(参数!$B$9="是",INDEX(助手回款!$P$2:$P$66,助手回款!$R$147),"　　　　")&amp;" 号"&amp;IF(INDEX(助手回款!$L$2:$L$66,助手回款!$R$147)&gt;1,"  (共"&amp;INDEX(助手回款!$L$2:$L$66,助手回款!$R$147)&amp;"页 第"&amp;助手回款!$S$147&amp;"页)",""),"")</f>
        <v/>
      </c>
      <c r="G2178" s="58"/>
      <c r="H2178" s="58"/>
      <c r="I2178" s="58"/>
      <c r="M2178" s="79" t="str">
        <f aca="false">IF(助手回款!$R$147="","",助手回款!$Q$147)</f>
        <v/>
      </c>
      <c r="N2178" s="80" t="str">
        <f aca="false">IF(助手回款!$R$147="","",INDEX(助手回款!$P$2:$P$66,助手回款!$R$147))</f>
        <v/>
      </c>
      <c r="O2178" s="55" t="str">
        <f aca="false">IF(助手回款!$R$147="","",INDEX(助手回款!$C$2:$C$66,助手回款!$R$147)&amp;"  字第 "&amp;INDEX(助手回款!$P$2:$P$66,助手回款!$R$147)&amp;" 号"&amp;IF(INDEX(助手回款!$L$2:$L$66,助手回款!$R$147)&gt;1,"  (共"&amp;INDEX(助手回款!$L$2:$L$66,助手回款!$R$147)&amp;"页 第"&amp;助手回款!$S$147&amp;"页)",""))</f>
        <v/>
      </c>
    </row>
    <row r="2179" customFormat="false" ht="12.75" hidden="false" customHeight="true" outlineLevel="0" collapsed="false">
      <c r="B2179" s="61" t="str">
        <f aca="false">IF(助手回款!$R$147&lt;&gt;"","摘　　要","")</f>
        <v/>
      </c>
      <c r="C2179" s="61"/>
      <c r="D2179" s="62" t="str">
        <f aca="false">IF(助手回款!$R$147&lt;&gt;"","科　　　　目","")</f>
        <v/>
      </c>
      <c r="E2179" s="62"/>
      <c r="F2179" s="61" t="str">
        <f aca="false">IF(助手回款!$R$147&lt;&gt;"","借 方 金 额","")</f>
        <v/>
      </c>
      <c r="G2179" s="62" t="str">
        <f aca="false">IF(助手回款!$R$147&lt;&gt;"","贷 方 金 额","")</f>
        <v/>
      </c>
      <c r="H2179" s="63" t="str">
        <f aca="false">IF(助手回款!$R$147&lt;&gt;"","√","")</f>
        <v/>
      </c>
      <c r="I2179" s="64" t="str">
        <f aca="false">IF(助手回款!$R$147&lt;&gt;"","附单据  张","")</f>
        <v/>
      </c>
    </row>
    <row r="2180" customFormat="false" ht="12.75" hidden="false" customHeight="true" outlineLevel="0" collapsed="false">
      <c r="B2180" s="61"/>
      <c r="C2180" s="61"/>
      <c r="D2180" s="23" t="str">
        <f aca="false">IF(助手回款!$R$147&lt;&gt;"","总 账 科 目","")</f>
        <v/>
      </c>
      <c r="E2180" s="23" t="str">
        <f aca="false">IF(助手回款!$R$147&lt;&gt;"","明 细 科 目","")</f>
        <v/>
      </c>
      <c r="F2180" s="65"/>
      <c r="G2180" s="66"/>
      <c r="H2180" s="63"/>
      <c r="I2180" s="64"/>
    </row>
    <row r="2181" customFormat="false" ht="23.25" hidden="false" customHeight="true" outlineLevel="0" collapsed="false">
      <c r="B2181" s="67" t="str">
        <f aca="false">IFERROR(INDEX(分录回款!$M:$M,MATCH($L2181,分录回款!$L:$L,0)),"")</f>
        <v/>
      </c>
      <c r="C2181" s="67"/>
      <c r="D2181" s="23" t="str">
        <f aca="false">IFERROR(INDEX(分录回款!$E:$E,MATCH($L2181,分录回款!$L:$L,0)),"")</f>
        <v/>
      </c>
      <c r="E2181" s="23" t="str">
        <f aca="false">IFERROR(INDEX(分录回款!$F:$F,MATCH($L2181,分录回款!$L:$L,0)),"")</f>
        <v/>
      </c>
      <c r="F2181" s="68" t="str">
        <f aca="false">IFERROR(INDEX(分录回款!$H:$H,MATCH($L2181,分录回款!$L:$L,0)),"")</f>
        <v/>
      </c>
      <c r="G2181" s="69" t="str">
        <f aca="false">IFERROR(INDEX(分录回款!$I:$I,MATCH($L2181,分录回款!$L:$L,0)),"")</f>
        <v/>
      </c>
      <c r="H2181" s="23"/>
      <c r="I2181" s="70"/>
      <c r="L2181" s="71" t="n">
        <f aca="false">IF(助手回款!$R$147="",-1,助手回款!$R$147*100+(助手回款!$S$147-1)*6+1)</f>
        <v>-1</v>
      </c>
    </row>
    <row r="2182" customFormat="false" ht="23.25" hidden="false" customHeight="true" outlineLevel="0" collapsed="false">
      <c r="B2182" s="67" t="str">
        <f aca="false">""</f>
        <v/>
      </c>
      <c r="C2182" s="67"/>
      <c r="D2182" s="23" t="str">
        <f aca="false">IFERROR(INDEX(分录回款!$E:$E,MATCH($L2182,分录回款!$L:$L,0)),"")</f>
        <v/>
      </c>
      <c r="E2182" s="23" t="str">
        <f aca="false">IFERROR(INDEX(分录回款!$F:$F,MATCH($L2182,分录回款!$L:$L,0)),"")</f>
        <v/>
      </c>
      <c r="F2182" s="68" t="str">
        <f aca="false">IFERROR(INDEX(分录回款!$H:$H,MATCH($L2182,分录回款!$L:$L,0)),"")</f>
        <v/>
      </c>
      <c r="G2182" s="69" t="str">
        <f aca="false">IFERROR(INDEX(分录回款!$I:$I,MATCH($L2182,分录回款!$L:$L,0)),"")</f>
        <v/>
      </c>
      <c r="H2182" s="23"/>
      <c r="I2182" s="70"/>
      <c r="L2182" s="71" t="n">
        <f aca="false">IF(助手回款!$R$147="",-1,助手回款!$R$147*100+(助手回款!$S$147-1)*6+2)</f>
        <v>-1</v>
      </c>
    </row>
    <row r="2183" customFormat="false" ht="23.25" hidden="false" customHeight="true" outlineLevel="0" collapsed="false">
      <c r="B2183" s="67" t="str">
        <f aca="false">""</f>
        <v/>
      </c>
      <c r="C2183" s="67"/>
      <c r="D2183" s="23" t="str">
        <f aca="false">IFERROR(INDEX(分录回款!$E:$E,MATCH($L2183,分录回款!$L:$L,0)),"")</f>
        <v/>
      </c>
      <c r="E2183" s="23" t="str">
        <f aca="false">IFERROR(INDEX(分录回款!$F:$F,MATCH($L2183,分录回款!$L:$L,0)),"")</f>
        <v/>
      </c>
      <c r="F2183" s="68" t="str">
        <f aca="false">IFERROR(INDEX(分录回款!$H:$H,MATCH($L2183,分录回款!$L:$L,0)),"")</f>
        <v/>
      </c>
      <c r="G2183" s="69" t="str">
        <f aca="false">IFERROR(INDEX(分录回款!$I:$I,MATCH($L2183,分录回款!$L:$L,0)),"")</f>
        <v/>
      </c>
      <c r="H2183" s="23"/>
      <c r="I2183" s="70"/>
      <c r="L2183" s="71" t="n">
        <f aca="false">IF(助手回款!$R$147="",-1,助手回款!$R$147*100+(助手回款!$S$147-1)*6+3)</f>
        <v>-1</v>
      </c>
    </row>
    <row r="2184" customFormat="false" ht="23.25" hidden="false" customHeight="true" outlineLevel="0" collapsed="false">
      <c r="B2184" s="67" t="str">
        <f aca="false">""</f>
        <v/>
      </c>
      <c r="C2184" s="67"/>
      <c r="D2184" s="23" t="str">
        <f aca="false">IFERROR(INDEX(分录回款!$E:$E,MATCH($L2184,分录回款!$L:$L,0)),"")</f>
        <v/>
      </c>
      <c r="E2184" s="23" t="str">
        <f aca="false">IFERROR(INDEX(分录回款!$F:$F,MATCH($L2184,分录回款!$L:$L,0)),"")</f>
        <v/>
      </c>
      <c r="F2184" s="68" t="str">
        <f aca="false">IFERROR(INDEX(分录回款!$H:$H,MATCH($L2184,分录回款!$L:$L,0)),"")</f>
        <v/>
      </c>
      <c r="G2184" s="69" t="str">
        <f aca="false">IFERROR(INDEX(分录回款!$I:$I,MATCH($L2184,分录回款!$L:$L,0)),"")</f>
        <v/>
      </c>
      <c r="H2184" s="23"/>
      <c r="I2184" s="70"/>
      <c r="L2184" s="71" t="n">
        <f aca="false">IF(助手回款!$R$147="",-1,助手回款!$R$147*100+(助手回款!$S$147-1)*6+4)</f>
        <v>-1</v>
      </c>
    </row>
    <row r="2185" customFormat="false" ht="23.25" hidden="false" customHeight="true" outlineLevel="0" collapsed="false">
      <c r="B2185" s="67" t="str">
        <f aca="false">""</f>
        <v/>
      </c>
      <c r="C2185" s="67"/>
      <c r="D2185" s="23" t="str">
        <f aca="false">IFERROR(INDEX(分录回款!$E:$E,MATCH($L2185,分录回款!$L:$L,0)),"")</f>
        <v/>
      </c>
      <c r="E2185" s="23" t="str">
        <f aca="false">IFERROR(INDEX(分录回款!$F:$F,MATCH($L2185,分录回款!$L:$L,0)),"")</f>
        <v/>
      </c>
      <c r="F2185" s="68" t="str">
        <f aca="false">IFERROR(INDEX(分录回款!$H:$H,MATCH($L2185,分录回款!$L:$L,0)),"")</f>
        <v/>
      </c>
      <c r="G2185" s="69" t="str">
        <f aca="false">IFERROR(INDEX(分录回款!$I:$I,MATCH($L2185,分录回款!$L:$L,0)),"")</f>
        <v/>
      </c>
      <c r="H2185" s="23"/>
      <c r="I2185" s="70"/>
      <c r="L2185" s="71" t="n">
        <f aca="false">IF(助手回款!$R$147="",-1,助手回款!$R$147*100+(助手回款!$S$147-1)*6+5)</f>
        <v>-1</v>
      </c>
    </row>
    <row r="2186" customFormat="false" ht="23.25" hidden="false" customHeight="true" outlineLevel="0" collapsed="false">
      <c r="B2186" s="67" t="str">
        <f aca="false">""</f>
        <v/>
      </c>
      <c r="C2186" s="67"/>
      <c r="D2186" s="23" t="str">
        <f aca="false">IFERROR(INDEX(分录回款!$E:$E,MATCH($L2186,分录回款!$L:$L,0)),"")</f>
        <v/>
      </c>
      <c r="E2186" s="23" t="str">
        <f aca="false">IFERROR(INDEX(分录回款!$F:$F,MATCH($L2186,分录回款!$L:$L,0)),"")</f>
        <v/>
      </c>
      <c r="F2186" s="68" t="str">
        <f aca="false">IFERROR(INDEX(分录回款!$H:$H,MATCH($L2186,分录回款!$L:$L,0)),"")</f>
        <v/>
      </c>
      <c r="G2186" s="69" t="str">
        <f aca="false">IFERROR(INDEX(分录回款!$I:$I,MATCH($L2186,分录回款!$L:$L,0)),"")</f>
        <v/>
      </c>
      <c r="H2186" s="23"/>
      <c r="I2186" s="70"/>
      <c r="L2186" s="71" t="n">
        <f aca="false">IF(助手回款!$R$147="",-1,助手回款!$R$147*100+(助手回款!$S$147-1)*6+6)</f>
        <v>-1</v>
      </c>
    </row>
    <row r="2187" customFormat="false" ht="23.25" hidden="false" customHeight="true" outlineLevel="0" collapsed="false">
      <c r="B2187" s="72" t="str">
        <f aca="false">IF(助手回款!$T$147=1,"合计：","")</f>
        <v/>
      </c>
      <c r="C2187" s="73" t="str">
        <f aca="false">IF(助手回款!$T$147=1,$F2187,"")</f>
        <v/>
      </c>
      <c r="D2187" s="74"/>
      <c r="E2187" s="74"/>
      <c r="F2187" s="75" t="str">
        <f aca="false">IF(助手回款!$T$147=1,INDEX(助手回款!$N$2:$N$66,助手回款!$R$147),"")</f>
        <v/>
      </c>
      <c r="G2187" s="76" t="str">
        <f aca="false">IF(助手回款!$T$147=1,INDEX(助手回款!$O$2:$O$66,助手回款!$R$147),"")</f>
        <v/>
      </c>
      <c r="H2187" s="74"/>
      <c r="I2187" s="77"/>
    </row>
    <row r="2188" customFormat="false" ht="6" hidden="false" customHeight="true" outlineLevel="0" collapsed="false"/>
    <row r="2189" customFormat="false" ht="13.5" hidden="false" customHeight="false" outlineLevel="0" collapsed="false">
      <c r="B2189" s="78" t="str">
        <f aca="false">IF(助手回款!$R$147&lt;&gt;"","会计主管：","")</f>
        <v/>
      </c>
      <c r="D2189" s="78" t="str">
        <f aca="false">IF(助手回款!$R$147&lt;&gt;"","会计：","")</f>
        <v/>
      </c>
      <c r="E2189" s="78" t="str">
        <f aca="false">IF(助手回款!$R$147&lt;&gt;"","出纳：","")</f>
        <v/>
      </c>
      <c r="F2189" s="78" t="str">
        <f aca="false">IF(助手回款!$R$147&lt;&gt;"","复核：","")</f>
        <v/>
      </c>
      <c r="G2189" s="78" t="str">
        <f aca="false">IF(助手回款!$R$147&lt;&gt;"","制单：","")</f>
        <v/>
      </c>
    </row>
    <row r="2190" customFormat="false" ht="3" hidden="false" customHeight="true" outlineLevel="0" collapsed="false"/>
    <row r="2191" customFormat="false" ht="19.5" hidden="false" customHeight="true" outlineLevel="0" collapsed="false">
      <c r="B2191" s="53" t="str">
        <f aca="false">IF(助手回款!$R$148&lt;&gt;"","记  账  凭  证","")</f>
        <v/>
      </c>
      <c r="C2191" s="53"/>
      <c r="D2191" s="53"/>
      <c r="E2191" s="53"/>
      <c r="F2191" s="53"/>
      <c r="G2191" s="53"/>
      <c r="H2191" s="53"/>
      <c r="I2191" s="53"/>
    </row>
    <row r="2192" customFormat="false" ht="3" hidden="false" customHeight="true" outlineLevel="0" collapsed="false"/>
    <row r="2193" customFormat="false" ht="15" hidden="false" customHeight="true" outlineLevel="0" collapsed="false">
      <c r="C2193" s="56" t="str">
        <f aca="false">IF(助手回款!$R$148&lt;&gt;"",INDEX(助手回款!$B$2:$B$66,助手回款!$R$148),"")</f>
        <v/>
      </c>
      <c r="D2193" s="57" t="str">
        <f aca="false">IF(助手回款!$R$148&lt;&gt;"",参数!$B$2,"")</f>
        <v/>
      </c>
      <c r="E2193" s="57"/>
      <c r="F2193" s="58" t="str">
        <f aca="false">IF(助手回款!$R$148&lt;&gt;"",INDEX(助手回款!$C$2:$C$66,助手回款!$R$148)&amp;"  字第 "&amp;IF(参数!$B$9="是",INDEX(助手回款!$P$2:$P$66,助手回款!$R$148),"　　　　")&amp;" 号"&amp;IF(INDEX(助手回款!$L$2:$L$66,助手回款!$R$148)&gt;1,"  (共"&amp;INDEX(助手回款!$L$2:$L$66,助手回款!$R$148)&amp;"页 第"&amp;助手回款!$S$148&amp;"页)",""),"")</f>
        <v/>
      </c>
      <c r="G2193" s="58"/>
      <c r="H2193" s="58"/>
      <c r="I2193" s="58"/>
      <c r="M2193" s="79" t="str">
        <f aca="false">IF(助手回款!$R$148="","",助手回款!$Q$148)</f>
        <v/>
      </c>
      <c r="N2193" s="80" t="str">
        <f aca="false">IF(助手回款!$R$148="","",INDEX(助手回款!$P$2:$P$66,助手回款!$R$148))</f>
        <v/>
      </c>
      <c r="O2193" s="55" t="str">
        <f aca="false">IF(助手回款!$R$148="","",INDEX(助手回款!$C$2:$C$66,助手回款!$R$148)&amp;"  字第 "&amp;INDEX(助手回款!$P$2:$P$66,助手回款!$R$148)&amp;" 号"&amp;IF(INDEX(助手回款!$L$2:$L$66,助手回款!$R$148)&gt;1,"  (共"&amp;INDEX(助手回款!$L$2:$L$66,助手回款!$R$148)&amp;"页 第"&amp;助手回款!$S$148&amp;"页)",""))</f>
        <v/>
      </c>
    </row>
    <row r="2194" customFormat="false" ht="12.75" hidden="false" customHeight="true" outlineLevel="0" collapsed="false">
      <c r="B2194" s="61" t="str">
        <f aca="false">IF(助手回款!$R$148&lt;&gt;"","摘　　要","")</f>
        <v/>
      </c>
      <c r="C2194" s="61"/>
      <c r="D2194" s="62" t="str">
        <f aca="false">IF(助手回款!$R$148&lt;&gt;"","科　　　　目","")</f>
        <v/>
      </c>
      <c r="E2194" s="62"/>
      <c r="F2194" s="61" t="str">
        <f aca="false">IF(助手回款!$R$148&lt;&gt;"","借 方 金 额","")</f>
        <v/>
      </c>
      <c r="G2194" s="62" t="str">
        <f aca="false">IF(助手回款!$R$148&lt;&gt;"","贷 方 金 额","")</f>
        <v/>
      </c>
      <c r="H2194" s="63" t="str">
        <f aca="false">IF(助手回款!$R$148&lt;&gt;"","√","")</f>
        <v/>
      </c>
      <c r="I2194" s="64" t="str">
        <f aca="false">IF(助手回款!$R$148&lt;&gt;"","附单据  张","")</f>
        <v/>
      </c>
    </row>
    <row r="2195" customFormat="false" ht="12.75" hidden="false" customHeight="true" outlineLevel="0" collapsed="false">
      <c r="B2195" s="61"/>
      <c r="C2195" s="61"/>
      <c r="D2195" s="23" t="str">
        <f aca="false">IF(助手回款!$R$148&lt;&gt;"","总 账 科 目","")</f>
        <v/>
      </c>
      <c r="E2195" s="23" t="str">
        <f aca="false">IF(助手回款!$R$148&lt;&gt;"","明 细 科 目","")</f>
        <v/>
      </c>
      <c r="F2195" s="65"/>
      <c r="G2195" s="66"/>
      <c r="H2195" s="63"/>
      <c r="I2195" s="64"/>
    </row>
    <row r="2196" customFormat="false" ht="23.25" hidden="false" customHeight="true" outlineLevel="0" collapsed="false">
      <c r="B2196" s="67" t="str">
        <f aca="false">IFERROR(INDEX(分录回款!$M:$M,MATCH($L2196,分录回款!$L:$L,0)),"")</f>
        <v/>
      </c>
      <c r="C2196" s="67"/>
      <c r="D2196" s="23" t="str">
        <f aca="false">IFERROR(INDEX(分录回款!$E:$E,MATCH($L2196,分录回款!$L:$L,0)),"")</f>
        <v/>
      </c>
      <c r="E2196" s="23" t="str">
        <f aca="false">IFERROR(INDEX(分录回款!$F:$F,MATCH($L2196,分录回款!$L:$L,0)),"")</f>
        <v/>
      </c>
      <c r="F2196" s="68" t="str">
        <f aca="false">IFERROR(INDEX(分录回款!$H:$H,MATCH($L2196,分录回款!$L:$L,0)),"")</f>
        <v/>
      </c>
      <c r="G2196" s="69" t="str">
        <f aca="false">IFERROR(INDEX(分录回款!$I:$I,MATCH($L2196,分录回款!$L:$L,0)),"")</f>
        <v/>
      </c>
      <c r="H2196" s="23"/>
      <c r="I2196" s="70"/>
      <c r="L2196" s="71" t="n">
        <f aca="false">IF(助手回款!$R$148="",-1,助手回款!$R$148*100+(助手回款!$S$148-1)*6+1)</f>
        <v>-1</v>
      </c>
    </row>
    <row r="2197" customFormat="false" ht="23.25" hidden="false" customHeight="true" outlineLevel="0" collapsed="false">
      <c r="B2197" s="67" t="str">
        <f aca="false">""</f>
        <v/>
      </c>
      <c r="C2197" s="67"/>
      <c r="D2197" s="23" t="str">
        <f aca="false">IFERROR(INDEX(分录回款!$E:$E,MATCH($L2197,分录回款!$L:$L,0)),"")</f>
        <v/>
      </c>
      <c r="E2197" s="23" t="str">
        <f aca="false">IFERROR(INDEX(分录回款!$F:$F,MATCH($L2197,分录回款!$L:$L,0)),"")</f>
        <v/>
      </c>
      <c r="F2197" s="68" t="str">
        <f aca="false">IFERROR(INDEX(分录回款!$H:$H,MATCH($L2197,分录回款!$L:$L,0)),"")</f>
        <v/>
      </c>
      <c r="G2197" s="69" t="str">
        <f aca="false">IFERROR(INDEX(分录回款!$I:$I,MATCH($L2197,分录回款!$L:$L,0)),"")</f>
        <v/>
      </c>
      <c r="H2197" s="23"/>
      <c r="I2197" s="70"/>
      <c r="L2197" s="71" t="n">
        <f aca="false">IF(助手回款!$R$148="",-1,助手回款!$R$148*100+(助手回款!$S$148-1)*6+2)</f>
        <v>-1</v>
      </c>
    </row>
    <row r="2198" customFormat="false" ht="23.25" hidden="false" customHeight="true" outlineLevel="0" collapsed="false">
      <c r="B2198" s="67" t="str">
        <f aca="false">""</f>
        <v/>
      </c>
      <c r="C2198" s="67"/>
      <c r="D2198" s="23" t="str">
        <f aca="false">IFERROR(INDEX(分录回款!$E:$E,MATCH($L2198,分录回款!$L:$L,0)),"")</f>
        <v/>
      </c>
      <c r="E2198" s="23" t="str">
        <f aca="false">IFERROR(INDEX(分录回款!$F:$F,MATCH($L2198,分录回款!$L:$L,0)),"")</f>
        <v/>
      </c>
      <c r="F2198" s="68" t="str">
        <f aca="false">IFERROR(INDEX(分录回款!$H:$H,MATCH($L2198,分录回款!$L:$L,0)),"")</f>
        <v/>
      </c>
      <c r="G2198" s="69" t="str">
        <f aca="false">IFERROR(INDEX(分录回款!$I:$I,MATCH($L2198,分录回款!$L:$L,0)),"")</f>
        <v/>
      </c>
      <c r="H2198" s="23"/>
      <c r="I2198" s="70"/>
      <c r="L2198" s="71" t="n">
        <f aca="false">IF(助手回款!$R$148="",-1,助手回款!$R$148*100+(助手回款!$S$148-1)*6+3)</f>
        <v>-1</v>
      </c>
    </row>
    <row r="2199" customFormat="false" ht="23.25" hidden="false" customHeight="true" outlineLevel="0" collapsed="false">
      <c r="B2199" s="67" t="str">
        <f aca="false">""</f>
        <v/>
      </c>
      <c r="C2199" s="67"/>
      <c r="D2199" s="23" t="str">
        <f aca="false">IFERROR(INDEX(分录回款!$E:$E,MATCH($L2199,分录回款!$L:$L,0)),"")</f>
        <v/>
      </c>
      <c r="E2199" s="23" t="str">
        <f aca="false">IFERROR(INDEX(分录回款!$F:$F,MATCH($L2199,分录回款!$L:$L,0)),"")</f>
        <v/>
      </c>
      <c r="F2199" s="68" t="str">
        <f aca="false">IFERROR(INDEX(分录回款!$H:$H,MATCH($L2199,分录回款!$L:$L,0)),"")</f>
        <v/>
      </c>
      <c r="G2199" s="69" t="str">
        <f aca="false">IFERROR(INDEX(分录回款!$I:$I,MATCH($L2199,分录回款!$L:$L,0)),"")</f>
        <v/>
      </c>
      <c r="H2199" s="23"/>
      <c r="I2199" s="70"/>
      <c r="L2199" s="71" t="n">
        <f aca="false">IF(助手回款!$R$148="",-1,助手回款!$R$148*100+(助手回款!$S$148-1)*6+4)</f>
        <v>-1</v>
      </c>
    </row>
    <row r="2200" customFormat="false" ht="23.25" hidden="false" customHeight="true" outlineLevel="0" collapsed="false">
      <c r="B2200" s="67" t="str">
        <f aca="false">""</f>
        <v/>
      </c>
      <c r="C2200" s="67"/>
      <c r="D2200" s="23" t="str">
        <f aca="false">IFERROR(INDEX(分录回款!$E:$E,MATCH($L2200,分录回款!$L:$L,0)),"")</f>
        <v/>
      </c>
      <c r="E2200" s="23" t="str">
        <f aca="false">IFERROR(INDEX(分录回款!$F:$F,MATCH($L2200,分录回款!$L:$L,0)),"")</f>
        <v/>
      </c>
      <c r="F2200" s="68" t="str">
        <f aca="false">IFERROR(INDEX(分录回款!$H:$H,MATCH($L2200,分录回款!$L:$L,0)),"")</f>
        <v/>
      </c>
      <c r="G2200" s="69" t="str">
        <f aca="false">IFERROR(INDEX(分录回款!$I:$I,MATCH($L2200,分录回款!$L:$L,0)),"")</f>
        <v/>
      </c>
      <c r="H2200" s="23"/>
      <c r="I2200" s="70"/>
      <c r="L2200" s="71" t="n">
        <f aca="false">IF(助手回款!$R$148="",-1,助手回款!$R$148*100+(助手回款!$S$148-1)*6+5)</f>
        <v>-1</v>
      </c>
    </row>
    <row r="2201" customFormat="false" ht="23.25" hidden="false" customHeight="true" outlineLevel="0" collapsed="false">
      <c r="B2201" s="67" t="str">
        <f aca="false">""</f>
        <v/>
      </c>
      <c r="C2201" s="67"/>
      <c r="D2201" s="23" t="str">
        <f aca="false">IFERROR(INDEX(分录回款!$E:$E,MATCH($L2201,分录回款!$L:$L,0)),"")</f>
        <v/>
      </c>
      <c r="E2201" s="23" t="str">
        <f aca="false">IFERROR(INDEX(分录回款!$F:$F,MATCH($L2201,分录回款!$L:$L,0)),"")</f>
        <v/>
      </c>
      <c r="F2201" s="68" t="str">
        <f aca="false">IFERROR(INDEX(分录回款!$H:$H,MATCH($L2201,分录回款!$L:$L,0)),"")</f>
        <v/>
      </c>
      <c r="G2201" s="69" t="str">
        <f aca="false">IFERROR(INDEX(分录回款!$I:$I,MATCH($L2201,分录回款!$L:$L,0)),"")</f>
        <v/>
      </c>
      <c r="H2201" s="23"/>
      <c r="I2201" s="70"/>
      <c r="L2201" s="71" t="n">
        <f aca="false">IF(助手回款!$R$148="",-1,助手回款!$R$148*100+(助手回款!$S$148-1)*6+6)</f>
        <v>-1</v>
      </c>
    </row>
    <row r="2202" customFormat="false" ht="23.25" hidden="false" customHeight="true" outlineLevel="0" collapsed="false">
      <c r="B2202" s="72" t="str">
        <f aca="false">IF(助手回款!$T$148=1,"合计：","")</f>
        <v/>
      </c>
      <c r="C2202" s="73" t="str">
        <f aca="false">IF(助手回款!$T$148=1,$F2202,"")</f>
        <v/>
      </c>
      <c r="D2202" s="74"/>
      <c r="E2202" s="74"/>
      <c r="F2202" s="75" t="str">
        <f aca="false">IF(助手回款!$T$148=1,INDEX(助手回款!$N$2:$N$66,助手回款!$R$148),"")</f>
        <v/>
      </c>
      <c r="G2202" s="76" t="str">
        <f aca="false">IF(助手回款!$T$148=1,INDEX(助手回款!$O$2:$O$66,助手回款!$R$148),"")</f>
        <v/>
      </c>
      <c r="H2202" s="74"/>
      <c r="I2202" s="77"/>
    </row>
    <row r="2203" customFormat="false" ht="6" hidden="false" customHeight="true" outlineLevel="0" collapsed="false"/>
    <row r="2204" customFormat="false" ht="13.5" hidden="false" customHeight="false" outlineLevel="0" collapsed="false">
      <c r="B2204" s="78" t="str">
        <f aca="false">IF(助手回款!$R$148&lt;&gt;"","会计主管：","")</f>
        <v/>
      </c>
      <c r="D2204" s="78" t="str">
        <f aca="false">IF(助手回款!$R$148&lt;&gt;"","会计：","")</f>
        <v/>
      </c>
      <c r="E2204" s="78" t="str">
        <f aca="false">IF(助手回款!$R$148&lt;&gt;"","出纳：","")</f>
        <v/>
      </c>
      <c r="F2204" s="78" t="str">
        <f aca="false">IF(助手回款!$R$148&lt;&gt;"","复核：","")</f>
        <v/>
      </c>
      <c r="G2204" s="78" t="str">
        <f aca="false">IF(助手回款!$R$148&lt;&gt;"","制单：","")</f>
        <v/>
      </c>
    </row>
    <row r="2205" customFormat="false" ht="3" hidden="false" customHeight="true" outlineLevel="0" collapsed="false"/>
    <row r="2206" customFormat="false" ht="19.5" hidden="false" customHeight="true" outlineLevel="0" collapsed="false">
      <c r="B2206" s="53" t="str">
        <f aca="false">IF(助手回款!$R$149&lt;&gt;"","记  账  凭  证","")</f>
        <v/>
      </c>
      <c r="C2206" s="53"/>
      <c r="D2206" s="53"/>
      <c r="E2206" s="53"/>
      <c r="F2206" s="53"/>
      <c r="G2206" s="53"/>
      <c r="H2206" s="53"/>
      <c r="I2206" s="53"/>
    </row>
    <row r="2207" customFormat="false" ht="3" hidden="false" customHeight="true" outlineLevel="0" collapsed="false"/>
    <row r="2208" customFormat="false" ht="15" hidden="false" customHeight="true" outlineLevel="0" collapsed="false">
      <c r="C2208" s="56" t="str">
        <f aca="false">IF(助手回款!$R$149&lt;&gt;"",INDEX(助手回款!$B$2:$B$66,助手回款!$R$149),"")</f>
        <v/>
      </c>
      <c r="D2208" s="57" t="str">
        <f aca="false">IF(助手回款!$R$149&lt;&gt;"",参数!$B$2,"")</f>
        <v/>
      </c>
      <c r="E2208" s="57"/>
      <c r="F2208" s="58" t="str">
        <f aca="false">IF(助手回款!$R$149&lt;&gt;"",INDEX(助手回款!$C$2:$C$66,助手回款!$R$149)&amp;"  字第 "&amp;IF(参数!$B$9="是",INDEX(助手回款!$P$2:$P$66,助手回款!$R$149),"　　　　")&amp;" 号"&amp;IF(INDEX(助手回款!$L$2:$L$66,助手回款!$R$149)&gt;1,"  (共"&amp;INDEX(助手回款!$L$2:$L$66,助手回款!$R$149)&amp;"页 第"&amp;助手回款!$S$149&amp;"页)",""),"")</f>
        <v/>
      </c>
      <c r="G2208" s="58"/>
      <c r="H2208" s="58"/>
      <c r="I2208" s="58"/>
      <c r="M2208" s="79" t="str">
        <f aca="false">IF(助手回款!$R$149="","",助手回款!$Q$149)</f>
        <v/>
      </c>
      <c r="N2208" s="80" t="str">
        <f aca="false">IF(助手回款!$R$149="","",INDEX(助手回款!$P$2:$P$66,助手回款!$R$149))</f>
        <v/>
      </c>
      <c r="O2208" s="55" t="str">
        <f aca="false">IF(助手回款!$R$149="","",INDEX(助手回款!$C$2:$C$66,助手回款!$R$149)&amp;"  字第 "&amp;INDEX(助手回款!$P$2:$P$66,助手回款!$R$149)&amp;" 号"&amp;IF(INDEX(助手回款!$L$2:$L$66,助手回款!$R$149)&gt;1,"  (共"&amp;INDEX(助手回款!$L$2:$L$66,助手回款!$R$149)&amp;"页 第"&amp;助手回款!$S$149&amp;"页)",""))</f>
        <v/>
      </c>
    </row>
    <row r="2209" customFormat="false" ht="12.75" hidden="false" customHeight="true" outlineLevel="0" collapsed="false">
      <c r="B2209" s="61" t="str">
        <f aca="false">IF(助手回款!$R$149&lt;&gt;"","摘　　要","")</f>
        <v/>
      </c>
      <c r="C2209" s="61"/>
      <c r="D2209" s="62" t="str">
        <f aca="false">IF(助手回款!$R$149&lt;&gt;"","科　　　　目","")</f>
        <v/>
      </c>
      <c r="E2209" s="62"/>
      <c r="F2209" s="61" t="str">
        <f aca="false">IF(助手回款!$R$149&lt;&gt;"","借 方 金 额","")</f>
        <v/>
      </c>
      <c r="G2209" s="62" t="str">
        <f aca="false">IF(助手回款!$R$149&lt;&gt;"","贷 方 金 额","")</f>
        <v/>
      </c>
      <c r="H2209" s="63" t="str">
        <f aca="false">IF(助手回款!$R$149&lt;&gt;"","√","")</f>
        <v/>
      </c>
      <c r="I2209" s="64" t="str">
        <f aca="false">IF(助手回款!$R$149&lt;&gt;"","附单据  张","")</f>
        <v/>
      </c>
    </row>
    <row r="2210" customFormat="false" ht="12.75" hidden="false" customHeight="true" outlineLevel="0" collapsed="false">
      <c r="B2210" s="61"/>
      <c r="C2210" s="61"/>
      <c r="D2210" s="23" t="str">
        <f aca="false">IF(助手回款!$R$149&lt;&gt;"","总 账 科 目","")</f>
        <v/>
      </c>
      <c r="E2210" s="23" t="str">
        <f aca="false">IF(助手回款!$R$149&lt;&gt;"","明 细 科 目","")</f>
        <v/>
      </c>
      <c r="F2210" s="65"/>
      <c r="G2210" s="66"/>
      <c r="H2210" s="63"/>
      <c r="I2210" s="64"/>
    </row>
    <row r="2211" customFormat="false" ht="23.25" hidden="false" customHeight="true" outlineLevel="0" collapsed="false">
      <c r="B2211" s="67" t="str">
        <f aca="false">IFERROR(INDEX(分录回款!$M:$M,MATCH($L2211,分录回款!$L:$L,0)),"")</f>
        <v/>
      </c>
      <c r="C2211" s="67"/>
      <c r="D2211" s="23" t="str">
        <f aca="false">IFERROR(INDEX(分录回款!$E:$E,MATCH($L2211,分录回款!$L:$L,0)),"")</f>
        <v/>
      </c>
      <c r="E2211" s="23" t="str">
        <f aca="false">IFERROR(INDEX(分录回款!$F:$F,MATCH($L2211,分录回款!$L:$L,0)),"")</f>
        <v/>
      </c>
      <c r="F2211" s="68" t="str">
        <f aca="false">IFERROR(INDEX(分录回款!$H:$H,MATCH($L2211,分录回款!$L:$L,0)),"")</f>
        <v/>
      </c>
      <c r="G2211" s="69" t="str">
        <f aca="false">IFERROR(INDEX(分录回款!$I:$I,MATCH($L2211,分录回款!$L:$L,0)),"")</f>
        <v/>
      </c>
      <c r="H2211" s="23"/>
      <c r="I2211" s="70"/>
      <c r="L2211" s="71" t="n">
        <f aca="false">IF(助手回款!$R$149="",-1,助手回款!$R$149*100+(助手回款!$S$149-1)*6+1)</f>
        <v>-1</v>
      </c>
    </row>
    <row r="2212" customFormat="false" ht="23.25" hidden="false" customHeight="true" outlineLevel="0" collapsed="false">
      <c r="B2212" s="67" t="str">
        <f aca="false">""</f>
        <v/>
      </c>
      <c r="C2212" s="67"/>
      <c r="D2212" s="23" t="str">
        <f aca="false">IFERROR(INDEX(分录回款!$E:$E,MATCH($L2212,分录回款!$L:$L,0)),"")</f>
        <v/>
      </c>
      <c r="E2212" s="23" t="str">
        <f aca="false">IFERROR(INDEX(分录回款!$F:$F,MATCH($L2212,分录回款!$L:$L,0)),"")</f>
        <v/>
      </c>
      <c r="F2212" s="68" t="str">
        <f aca="false">IFERROR(INDEX(分录回款!$H:$H,MATCH($L2212,分录回款!$L:$L,0)),"")</f>
        <v/>
      </c>
      <c r="G2212" s="69" t="str">
        <f aca="false">IFERROR(INDEX(分录回款!$I:$I,MATCH($L2212,分录回款!$L:$L,0)),"")</f>
        <v/>
      </c>
      <c r="H2212" s="23"/>
      <c r="I2212" s="70"/>
      <c r="L2212" s="71" t="n">
        <f aca="false">IF(助手回款!$R$149="",-1,助手回款!$R$149*100+(助手回款!$S$149-1)*6+2)</f>
        <v>-1</v>
      </c>
    </row>
    <row r="2213" customFormat="false" ht="23.25" hidden="false" customHeight="true" outlineLevel="0" collapsed="false">
      <c r="B2213" s="67" t="str">
        <f aca="false">""</f>
        <v/>
      </c>
      <c r="C2213" s="67"/>
      <c r="D2213" s="23" t="str">
        <f aca="false">IFERROR(INDEX(分录回款!$E:$E,MATCH($L2213,分录回款!$L:$L,0)),"")</f>
        <v/>
      </c>
      <c r="E2213" s="23" t="str">
        <f aca="false">IFERROR(INDEX(分录回款!$F:$F,MATCH($L2213,分录回款!$L:$L,0)),"")</f>
        <v/>
      </c>
      <c r="F2213" s="68" t="str">
        <f aca="false">IFERROR(INDEX(分录回款!$H:$H,MATCH($L2213,分录回款!$L:$L,0)),"")</f>
        <v/>
      </c>
      <c r="G2213" s="69" t="str">
        <f aca="false">IFERROR(INDEX(分录回款!$I:$I,MATCH($L2213,分录回款!$L:$L,0)),"")</f>
        <v/>
      </c>
      <c r="H2213" s="23"/>
      <c r="I2213" s="70"/>
      <c r="L2213" s="71" t="n">
        <f aca="false">IF(助手回款!$R$149="",-1,助手回款!$R$149*100+(助手回款!$S$149-1)*6+3)</f>
        <v>-1</v>
      </c>
    </row>
    <row r="2214" customFormat="false" ht="23.25" hidden="false" customHeight="true" outlineLevel="0" collapsed="false">
      <c r="B2214" s="67" t="str">
        <f aca="false">""</f>
        <v/>
      </c>
      <c r="C2214" s="67"/>
      <c r="D2214" s="23" t="str">
        <f aca="false">IFERROR(INDEX(分录回款!$E:$E,MATCH($L2214,分录回款!$L:$L,0)),"")</f>
        <v/>
      </c>
      <c r="E2214" s="23" t="str">
        <f aca="false">IFERROR(INDEX(分录回款!$F:$F,MATCH($L2214,分录回款!$L:$L,0)),"")</f>
        <v/>
      </c>
      <c r="F2214" s="68" t="str">
        <f aca="false">IFERROR(INDEX(分录回款!$H:$H,MATCH($L2214,分录回款!$L:$L,0)),"")</f>
        <v/>
      </c>
      <c r="G2214" s="69" t="str">
        <f aca="false">IFERROR(INDEX(分录回款!$I:$I,MATCH($L2214,分录回款!$L:$L,0)),"")</f>
        <v/>
      </c>
      <c r="H2214" s="23"/>
      <c r="I2214" s="70"/>
      <c r="L2214" s="71" t="n">
        <f aca="false">IF(助手回款!$R$149="",-1,助手回款!$R$149*100+(助手回款!$S$149-1)*6+4)</f>
        <v>-1</v>
      </c>
    </row>
    <row r="2215" customFormat="false" ht="23.25" hidden="false" customHeight="true" outlineLevel="0" collapsed="false">
      <c r="B2215" s="67" t="str">
        <f aca="false">""</f>
        <v/>
      </c>
      <c r="C2215" s="67"/>
      <c r="D2215" s="23" t="str">
        <f aca="false">IFERROR(INDEX(分录回款!$E:$E,MATCH($L2215,分录回款!$L:$L,0)),"")</f>
        <v/>
      </c>
      <c r="E2215" s="23" t="str">
        <f aca="false">IFERROR(INDEX(分录回款!$F:$F,MATCH($L2215,分录回款!$L:$L,0)),"")</f>
        <v/>
      </c>
      <c r="F2215" s="68" t="str">
        <f aca="false">IFERROR(INDEX(分录回款!$H:$H,MATCH($L2215,分录回款!$L:$L,0)),"")</f>
        <v/>
      </c>
      <c r="G2215" s="69" t="str">
        <f aca="false">IFERROR(INDEX(分录回款!$I:$I,MATCH($L2215,分录回款!$L:$L,0)),"")</f>
        <v/>
      </c>
      <c r="H2215" s="23"/>
      <c r="I2215" s="70"/>
      <c r="L2215" s="71" t="n">
        <f aca="false">IF(助手回款!$R$149="",-1,助手回款!$R$149*100+(助手回款!$S$149-1)*6+5)</f>
        <v>-1</v>
      </c>
    </row>
    <row r="2216" customFormat="false" ht="23.25" hidden="false" customHeight="true" outlineLevel="0" collapsed="false">
      <c r="B2216" s="67" t="str">
        <f aca="false">""</f>
        <v/>
      </c>
      <c r="C2216" s="67"/>
      <c r="D2216" s="23" t="str">
        <f aca="false">IFERROR(INDEX(分录回款!$E:$E,MATCH($L2216,分录回款!$L:$L,0)),"")</f>
        <v/>
      </c>
      <c r="E2216" s="23" t="str">
        <f aca="false">IFERROR(INDEX(分录回款!$F:$F,MATCH($L2216,分录回款!$L:$L,0)),"")</f>
        <v/>
      </c>
      <c r="F2216" s="68" t="str">
        <f aca="false">IFERROR(INDEX(分录回款!$H:$H,MATCH($L2216,分录回款!$L:$L,0)),"")</f>
        <v/>
      </c>
      <c r="G2216" s="69" t="str">
        <f aca="false">IFERROR(INDEX(分录回款!$I:$I,MATCH($L2216,分录回款!$L:$L,0)),"")</f>
        <v/>
      </c>
      <c r="H2216" s="23"/>
      <c r="I2216" s="70"/>
      <c r="L2216" s="71" t="n">
        <f aca="false">IF(助手回款!$R$149="",-1,助手回款!$R$149*100+(助手回款!$S$149-1)*6+6)</f>
        <v>-1</v>
      </c>
    </row>
    <row r="2217" customFormat="false" ht="23.25" hidden="false" customHeight="true" outlineLevel="0" collapsed="false">
      <c r="B2217" s="72" t="str">
        <f aca="false">IF(助手回款!$T$149=1,"合计：","")</f>
        <v/>
      </c>
      <c r="C2217" s="73" t="str">
        <f aca="false">IF(助手回款!$T$149=1,$F2217,"")</f>
        <v/>
      </c>
      <c r="D2217" s="74"/>
      <c r="E2217" s="74"/>
      <c r="F2217" s="75" t="str">
        <f aca="false">IF(助手回款!$T$149=1,INDEX(助手回款!$N$2:$N$66,助手回款!$R$149),"")</f>
        <v/>
      </c>
      <c r="G2217" s="76" t="str">
        <f aca="false">IF(助手回款!$T$149=1,INDEX(助手回款!$O$2:$O$66,助手回款!$R$149),"")</f>
        <v/>
      </c>
      <c r="H2217" s="74"/>
      <c r="I2217" s="77"/>
    </row>
    <row r="2218" customFormat="false" ht="6" hidden="false" customHeight="true" outlineLevel="0" collapsed="false"/>
    <row r="2219" customFormat="false" ht="13.5" hidden="false" customHeight="false" outlineLevel="0" collapsed="false">
      <c r="B2219" s="78" t="str">
        <f aca="false">IF(助手回款!$R$149&lt;&gt;"","会计主管：","")</f>
        <v/>
      </c>
      <c r="D2219" s="78" t="str">
        <f aca="false">IF(助手回款!$R$149&lt;&gt;"","会计：","")</f>
        <v/>
      </c>
      <c r="E2219" s="78" t="str">
        <f aca="false">IF(助手回款!$R$149&lt;&gt;"","出纳：","")</f>
        <v/>
      </c>
      <c r="F2219" s="78" t="str">
        <f aca="false">IF(助手回款!$R$149&lt;&gt;"","复核：","")</f>
        <v/>
      </c>
      <c r="G2219" s="78" t="str">
        <f aca="false">IF(助手回款!$R$149&lt;&gt;"","制单：","")</f>
        <v/>
      </c>
    </row>
    <row r="2220" customFormat="false" ht="3" hidden="false" customHeight="true" outlineLevel="0" collapsed="false"/>
    <row r="2221" customFormat="false" ht="19.5" hidden="false" customHeight="true" outlineLevel="0" collapsed="false">
      <c r="B2221" s="53" t="str">
        <f aca="false">IF(助手回款!$R$150&lt;&gt;"","记  账  凭  证","")</f>
        <v/>
      </c>
      <c r="C2221" s="53"/>
      <c r="D2221" s="53"/>
      <c r="E2221" s="53"/>
      <c r="F2221" s="53"/>
      <c r="G2221" s="53"/>
      <c r="H2221" s="53"/>
      <c r="I2221" s="53"/>
    </row>
    <row r="2222" customFormat="false" ht="3" hidden="false" customHeight="true" outlineLevel="0" collapsed="false"/>
    <row r="2223" customFormat="false" ht="15" hidden="false" customHeight="true" outlineLevel="0" collapsed="false">
      <c r="C2223" s="56" t="str">
        <f aca="false">IF(助手回款!$R$150&lt;&gt;"",INDEX(助手回款!$B$2:$B$66,助手回款!$R$150),"")</f>
        <v/>
      </c>
      <c r="D2223" s="57" t="str">
        <f aca="false">IF(助手回款!$R$150&lt;&gt;"",参数!$B$2,"")</f>
        <v/>
      </c>
      <c r="E2223" s="57"/>
      <c r="F2223" s="58" t="str">
        <f aca="false">IF(助手回款!$R$150&lt;&gt;"",INDEX(助手回款!$C$2:$C$66,助手回款!$R$150)&amp;"  字第 "&amp;IF(参数!$B$9="是",INDEX(助手回款!$P$2:$P$66,助手回款!$R$150),"　　　　")&amp;" 号"&amp;IF(INDEX(助手回款!$L$2:$L$66,助手回款!$R$150)&gt;1,"  (共"&amp;INDEX(助手回款!$L$2:$L$66,助手回款!$R$150)&amp;"页 第"&amp;助手回款!$S$150&amp;"页)",""),"")</f>
        <v/>
      </c>
      <c r="G2223" s="58"/>
      <c r="H2223" s="58"/>
      <c r="I2223" s="58"/>
      <c r="M2223" s="79" t="str">
        <f aca="false">IF(助手回款!$R$150="","",助手回款!$Q$150)</f>
        <v/>
      </c>
      <c r="N2223" s="80" t="str">
        <f aca="false">IF(助手回款!$R$150="","",INDEX(助手回款!$P$2:$P$66,助手回款!$R$150))</f>
        <v/>
      </c>
      <c r="O2223" s="55" t="str">
        <f aca="false">IF(助手回款!$R$150="","",INDEX(助手回款!$C$2:$C$66,助手回款!$R$150)&amp;"  字第 "&amp;INDEX(助手回款!$P$2:$P$66,助手回款!$R$150)&amp;" 号"&amp;IF(INDEX(助手回款!$L$2:$L$66,助手回款!$R$150)&gt;1,"  (共"&amp;INDEX(助手回款!$L$2:$L$66,助手回款!$R$150)&amp;"页 第"&amp;助手回款!$S$150&amp;"页)",""))</f>
        <v/>
      </c>
    </row>
    <row r="2224" customFormat="false" ht="12.75" hidden="false" customHeight="true" outlineLevel="0" collapsed="false">
      <c r="B2224" s="61" t="str">
        <f aca="false">IF(助手回款!$R$150&lt;&gt;"","摘　　要","")</f>
        <v/>
      </c>
      <c r="C2224" s="61"/>
      <c r="D2224" s="62" t="str">
        <f aca="false">IF(助手回款!$R$150&lt;&gt;"","科　　　　目","")</f>
        <v/>
      </c>
      <c r="E2224" s="62"/>
      <c r="F2224" s="61" t="str">
        <f aca="false">IF(助手回款!$R$150&lt;&gt;"","借 方 金 额","")</f>
        <v/>
      </c>
      <c r="G2224" s="62" t="str">
        <f aca="false">IF(助手回款!$R$150&lt;&gt;"","贷 方 金 额","")</f>
        <v/>
      </c>
      <c r="H2224" s="63" t="str">
        <f aca="false">IF(助手回款!$R$150&lt;&gt;"","√","")</f>
        <v/>
      </c>
      <c r="I2224" s="64" t="str">
        <f aca="false">IF(助手回款!$R$150&lt;&gt;"","附单据  张","")</f>
        <v/>
      </c>
    </row>
    <row r="2225" customFormat="false" ht="12.75" hidden="false" customHeight="true" outlineLevel="0" collapsed="false">
      <c r="B2225" s="61"/>
      <c r="C2225" s="61"/>
      <c r="D2225" s="23" t="str">
        <f aca="false">IF(助手回款!$R$150&lt;&gt;"","总 账 科 目","")</f>
        <v/>
      </c>
      <c r="E2225" s="23" t="str">
        <f aca="false">IF(助手回款!$R$150&lt;&gt;"","明 细 科 目","")</f>
        <v/>
      </c>
      <c r="F2225" s="65"/>
      <c r="G2225" s="66"/>
      <c r="H2225" s="63"/>
      <c r="I2225" s="64"/>
    </row>
    <row r="2226" customFormat="false" ht="23.25" hidden="false" customHeight="true" outlineLevel="0" collapsed="false">
      <c r="B2226" s="67" t="str">
        <f aca="false">IFERROR(INDEX(分录回款!$M:$M,MATCH($L2226,分录回款!$L:$L,0)),"")</f>
        <v/>
      </c>
      <c r="C2226" s="67"/>
      <c r="D2226" s="23" t="str">
        <f aca="false">IFERROR(INDEX(分录回款!$E:$E,MATCH($L2226,分录回款!$L:$L,0)),"")</f>
        <v/>
      </c>
      <c r="E2226" s="23" t="str">
        <f aca="false">IFERROR(INDEX(分录回款!$F:$F,MATCH($L2226,分录回款!$L:$L,0)),"")</f>
        <v/>
      </c>
      <c r="F2226" s="68" t="str">
        <f aca="false">IFERROR(INDEX(分录回款!$H:$H,MATCH($L2226,分录回款!$L:$L,0)),"")</f>
        <v/>
      </c>
      <c r="G2226" s="69" t="str">
        <f aca="false">IFERROR(INDEX(分录回款!$I:$I,MATCH($L2226,分录回款!$L:$L,0)),"")</f>
        <v/>
      </c>
      <c r="H2226" s="23"/>
      <c r="I2226" s="70"/>
      <c r="L2226" s="71" t="n">
        <f aca="false">IF(助手回款!$R$150="",-1,助手回款!$R$150*100+(助手回款!$S$150-1)*6+1)</f>
        <v>-1</v>
      </c>
    </row>
    <row r="2227" customFormat="false" ht="23.25" hidden="false" customHeight="true" outlineLevel="0" collapsed="false">
      <c r="B2227" s="67" t="str">
        <f aca="false">""</f>
        <v/>
      </c>
      <c r="C2227" s="67"/>
      <c r="D2227" s="23" t="str">
        <f aca="false">IFERROR(INDEX(分录回款!$E:$E,MATCH($L2227,分录回款!$L:$L,0)),"")</f>
        <v/>
      </c>
      <c r="E2227" s="23" t="str">
        <f aca="false">IFERROR(INDEX(分录回款!$F:$F,MATCH($L2227,分录回款!$L:$L,0)),"")</f>
        <v/>
      </c>
      <c r="F2227" s="68" t="str">
        <f aca="false">IFERROR(INDEX(分录回款!$H:$H,MATCH($L2227,分录回款!$L:$L,0)),"")</f>
        <v/>
      </c>
      <c r="G2227" s="69" t="str">
        <f aca="false">IFERROR(INDEX(分录回款!$I:$I,MATCH($L2227,分录回款!$L:$L,0)),"")</f>
        <v/>
      </c>
      <c r="H2227" s="23"/>
      <c r="I2227" s="70"/>
      <c r="L2227" s="71" t="n">
        <f aca="false">IF(助手回款!$R$150="",-1,助手回款!$R$150*100+(助手回款!$S$150-1)*6+2)</f>
        <v>-1</v>
      </c>
    </row>
    <row r="2228" customFormat="false" ht="23.25" hidden="false" customHeight="true" outlineLevel="0" collapsed="false">
      <c r="B2228" s="67" t="str">
        <f aca="false">""</f>
        <v/>
      </c>
      <c r="C2228" s="67"/>
      <c r="D2228" s="23" t="str">
        <f aca="false">IFERROR(INDEX(分录回款!$E:$E,MATCH($L2228,分录回款!$L:$L,0)),"")</f>
        <v/>
      </c>
      <c r="E2228" s="23" t="str">
        <f aca="false">IFERROR(INDEX(分录回款!$F:$F,MATCH($L2228,分录回款!$L:$L,0)),"")</f>
        <v/>
      </c>
      <c r="F2228" s="68" t="str">
        <f aca="false">IFERROR(INDEX(分录回款!$H:$H,MATCH($L2228,分录回款!$L:$L,0)),"")</f>
        <v/>
      </c>
      <c r="G2228" s="69" t="str">
        <f aca="false">IFERROR(INDEX(分录回款!$I:$I,MATCH($L2228,分录回款!$L:$L,0)),"")</f>
        <v/>
      </c>
      <c r="H2228" s="23"/>
      <c r="I2228" s="70"/>
      <c r="L2228" s="71" t="n">
        <f aca="false">IF(助手回款!$R$150="",-1,助手回款!$R$150*100+(助手回款!$S$150-1)*6+3)</f>
        <v>-1</v>
      </c>
    </row>
    <row r="2229" customFormat="false" ht="23.25" hidden="false" customHeight="true" outlineLevel="0" collapsed="false">
      <c r="B2229" s="67" t="str">
        <f aca="false">""</f>
        <v/>
      </c>
      <c r="C2229" s="67"/>
      <c r="D2229" s="23" t="str">
        <f aca="false">IFERROR(INDEX(分录回款!$E:$E,MATCH($L2229,分录回款!$L:$L,0)),"")</f>
        <v/>
      </c>
      <c r="E2229" s="23" t="str">
        <f aca="false">IFERROR(INDEX(分录回款!$F:$F,MATCH($L2229,分录回款!$L:$L,0)),"")</f>
        <v/>
      </c>
      <c r="F2229" s="68" t="str">
        <f aca="false">IFERROR(INDEX(分录回款!$H:$H,MATCH($L2229,分录回款!$L:$L,0)),"")</f>
        <v/>
      </c>
      <c r="G2229" s="69" t="str">
        <f aca="false">IFERROR(INDEX(分录回款!$I:$I,MATCH($L2229,分录回款!$L:$L,0)),"")</f>
        <v/>
      </c>
      <c r="H2229" s="23"/>
      <c r="I2229" s="70"/>
      <c r="L2229" s="71" t="n">
        <f aca="false">IF(助手回款!$R$150="",-1,助手回款!$R$150*100+(助手回款!$S$150-1)*6+4)</f>
        <v>-1</v>
      </c>
    </row>
    <row r="2230" customFormat="false" ht="23.25" hidden="false" customHeight="true" outlineLevel="0" collapsed="false">
      <c r="B2230" s="67" t="str">
        <f aca="false">""</f>
        <v/>
      </c>
      <c r="C2230" s="67"/>
      <c r="D2230" s="23" t="str">
        <f aca="false">IFERROR(INDEX(分录回款!$E:$E,MATCH($L2230,分录回款!$L:$L,0)),"")</f>
        <v/>
      </c>
      <c r="E2230" s="23" t="str">
        <f aca="false">IFERROR(INDEX(分录回款!$F:$F,MATCH($L2230,分录回款!$L:$L,0)),"")</f>
        <v/>
      </c>
      <c r="F2230" s="68" t="str">
        <f aca="false">IFERROR(INDEX(分录回款!$H:$H,MATCH($L2230,分录回款!$L:$L,0)),"")</f>
        <v/>
      </c>
      <c r="G2230" s="69" t="str">
        <f aca="false">IFERROR(INDEX(分录回款!$I:$I,MATCH($L2230,分录回款!$L:$L,0)),"")</f>
        <v/>
      </c>
      <c r="H2230" s="23"/>
      <c r="I2230" s="70"/>
      <c r="L2230" s="71" t="n">
        <f aca="false">IF(助手回款!$R$150="",-1,助手回款!$R$150*100+(助手回款!$S$150-1)*6+5)</f>
        <v>-1</v>
      </c>
    </row>
    <row r="2231" customFormat="false" ht="23.25" hidden="false" customHeight="true" outlineLevel="0" collapsed="false">
      <c r="B2231" s="67" t="str">
        <f aca="false">""</f>
        <v/>
      </c>
      <c r="C2231" s="67"/>
      <c r="D2231" s="23" t="str">
        <f aca="false">IFERROR(INDEX(分录回款!$E:$E,MATCH($L2231,分录回款!$L:$L,0)),"")</f>
        <v/>
      </c>
      <c r="E2231" s="23" t="str">
        <f aca="false">IFERROR(INDEX(分录回款!$F:$F,MATCH($L2231,分录回款!$L:$L,0)),"")</f>
        <v/>
      </c>
      <c r="F2231" s="68" t="str">
        <f aca="false">IFERROR(INDEX(分录回款!$H:$H,MATCH($L2231,分录回款!$L:$L,0)),"")</f>
        <v/>
      </c>
      <c r="G2231" s="69" t="str">
        <f aca="false">IFERROR(INDEX(分录回款!$I:$I,MATCH($L2231,分录回款!$L:$L,0)),"")</f>
        <v/>
      </c>
      <c r="H2231" s="23"/>
      <c r="I2231" s="70"/>
      <c r="L2231" s="71" t="n">
        <f aca="false">IF(助手回款!$R$150="",-1,助手回款!$R$150*100+(助手回款!$S$150-1)*6+6)</f>
        <v>-1</v>
      </c>
    </row>
    <row r="2232" customFormat="false" ht="23.25" hidden="false" customHeight="true" outlineLevel="0" collapsed="false">
      <c r="B2232" s="72" t="str">
        <f aca="false">IF(助手回款!$T$150=1,"合计：","")</f>
        <v/>
      </c>
      <c r="C2232" s="73" t="str">
        <f aca="false">IF(助手回款!$T$150=1,$F2232,"")</f>
        <v/>
      </c>
      <c r="D2232" s="74"/>
      <c r="E2232" s="74"/>
      <c r="F2232" s="75" t="str">
        <f aca="false">IF(助手回款!$T$150=1,INDEX(助手回款!$N$2:$N$66,助手回款!$R$150),"")</f>
        <v/>
      </c>
      <c r="G2232" s="76" t="str">
        <f aca="false">IF(助手回款!$T$150=1,INDEX(助手回款!$O$2:$O$66,助手回款!$R$150),"")</f>
        <v/>
      </c>
      <c r="H2232" s="74"/>
      <c r="I2232" s="77"/>
    </row>
    <row r="2233" customFormat="false" ht="6" hidden="false" customHeight="true" outlineLevel="0" collapsed="false"/>
    <row r="2234" customFormat="false" ht="13.5" hidden="false" customHeight="false" outlineLevel="0" collapsed="false">
      <c r="B2234" s="78" t="str">
        <f aca="false">IF(助手回款!$R$150&lt;&gt;"","会计主管：","")</f>
        <v/>
      </c>
      <c r="D2234" s="78" t="str">
        <f aca="false">IF(助手回款!$R$150&lt;&gt;"","会计：","")</f>
        <v/>
      </c>
      <c r="E2234" s="78" t="str">
        <f aca="false">IF(助手回款!$R$150&lt;&gt;"","出纳：","")</f>
        <v/>
      </c>
      <c r="F2234" s="78" t="str">
        <f aca="false">IF(助手回款!$R$150&lt;&gt;"","复核：","")</f>
        <v/>
      </c>
      <c r="G2234" s="78" t="str">
        <f aca="false">IF(助手回款!$R$150&lt;&gt;"","制单：","")</f>
        <v/>
      </c>
    </row>
    <row r="2235" customFormat="false" ht="3" hidden="false" customHeight="true" outlineLevel="0" collapsed="false"/>
    <row r="2236" customFormat="false" ht="19.5" hidden="false" customHeight="true" outlineLevel="0" collapsed="false">
      <c r="B2236" s="53" t="str">
        <f aca="false">IF(助手回款!$R$151&lt;&gt;"","记  账  凭  证","")</f>
        <v/>
      </c>
      <c r="C2236" s="53"/>
      <c r="D2236" s="53"/>
      <c r="E2236" s="53"/>
      <c r="F2236" s="53"/>
      <c r="G2236" s="53"/>
      <c r="H2236" s="53"/>
      <c r="I2236" s="53"/>
    </row>
    <row r="2237" customFormat="false" ht="3" hidden="false" customHeight="true" outlineLevel="0" collapsed="false"/>
    <row r="2238" customFormat="false" ht="15" hidden="false" customHeight="true" outlineLevel="0" collapsed="false">
      <c r="C2238" s="56" t="str">
        <f aca="false">IF(助手回款!$R$151&lt;&gt;"",INDEX(助手回款!$B$2:$B$66,助手回款!$R$151),"")</f>
        <v/>
      </c>
      <c r="D2238" s="57" t="str">
        <f aca="false">IF(助手回款!$R$151&lt;&gt;"",参数!$B$2,"")</f>
        <v/>
      </c>
      <c r="E2238" s="57"/>
      <c r="F2238" s="58" t="str">
        <f aca="false">IF(助手回款!$R$151&lt;&gt;"",INDEX(助手回款!$C$2:$C$66,助手回款!$R$151)&amp;"  字第 "&amp;IF(参数!$B$9="是",INDEX(助手回款!$P$2:$P$66,助手回款!$R$151),"　　　　")&amp;" 号"&amp;IF(INDEX(助手回款!$L$2:$L$66,助手回款!$R$151)&gt;1,"  (共"&amp;INDEX(助手回款!$L$2:$L$66,助手回款!$R$151)&amp;"页 第"&amp;助手回款!$S$151&amp;"页)",""),"")</f>
        <v/>
      </c>
      <c r="G2238" s="58"/>
      <c r="H2238" s="58"/>
      <c r="I2238" s="58"/>
      <c r="M2238" s="79" t="str">
        <f aca="false">IF(助手回款!$R$151="","",助手回款!$Q$151)</f>
        <v/>
      </c>
      <c r="N2238" s="80" t="str">
        <f aca="false">IF(助手回款!$R$151="","",INDEX(助手回款!$P$2:$P$66,助手回款!$R$151))</f>
        <v/>
      </c>
      <c r="O2238" s="55" t="str">
        <f aca="false">IF(助手回款!$R$151="","",INDEX(助手回款!$C$2:$C$66,助手回款!$R$151)&amp;"  字第 "&amp;INDEX(助手回款!$P$2:$P$66,助手回款!$R$151)&amp;" 号"&amp;IF(INDEX(助手回款!$L$2:$L$66,助手回款!$R$151)&gt;1,"  (共"&amp;INDEX(助手回款!$L$2:$L$66,助手回款!$R$151)&amp;"页 第"&amp;助手回款!$S$151&amp;"页)",""))</f>
        <v/>
      </c>
    </row>
    <row r="2239" customFormat="false" ht="12.75" hidden="false" customHeight="true" outlineLevel="0" collapsed="false">
      <c r="B2239" s="61" t="str">
        <f aca="false">IF(助手回款!$R$151&lt;&gt;"","摘　　要","")</f>
        <v/>
      </c>
      <c r="C2239" s="61"/>
      <c r="D2239" s="62" t="str">
        <f aca="false">IF(助手回款!$R$151&lt;&gt;"","科　　　　目","")</f>
        <v/>
      </c>
      <c r="E2239" s="62"/>
      <c r="F2239" s="61" t="str">
        <f aca="false">IF(助手回款!$R$151&lt;&gt;"","借 方 金 额","")</f>
        <v/>
      </c>
      <c r="G2239" s="62" t="str">
        <f aca="false">IF(助手回款!$R$151&lt;&gt;"","贷 方 金 额","")</f>
        <v/>
      </c>
      <c r="H2239" s="63" t="str">
        <f aca="false">IF(助手回款!$R$151&lt;&gt;"","√","")</f>
        <v/>
      </c>
      <c r="I2239" s="64" t="str">
        <f aca="false">IF(助手回款!$R$151&lt;&gt;"","附单据  张","")</f>
        <v/>
      </c>
    </row>
    <row r="2240" customFormat="false" ht="12.75" hidden="false" customHeight="true" outlineLevel="0" collapsed="false">
      <c r="B2240" s="61"/>
      <c r="C2240" s="61"/>
      <c r="D2240" s="23" t="str">
        <f aca="false">IF(助手回款!$R$151&lt;&gt;"","总 账 科 目","")</f>
        <v/>
      </c>
      <c r="E2240" s="23" t="str">
        <f aca="false">IF(助手回款!$R$151&lt;&gt;"","明 细 科 目","")</f>
        <v/>
      </c>
      <c r="F2240" s="65"/>
      <c r="G2240" s="66"/>
      <c r="H2240" s="63"/>
      <c r="I2240" s="64"/>
    </row>
    <row r="2241" customFormat="false" ht="23.25" hidden="false" customHeight="true" outlineLevel="0" collapsed="false">
      <c r="B2241" s="67" t="str">
        <f aca="false">IFERROR(INDEX(分录回款!$M:$M,MATCH($L2241,分录回款!$L:$L,0)),"")</f>
        <v/>
      </c>
      <c r="C2241" s="67"/>
      <c r="D2241" s="23" t="str">
        <f aca="false">IFERROR(INDEX(分录回款!$E:$E,MATCH($L2241,分录回款!$L:$L,0)),"")</f>
        <v/>
      </c>
      <c r="E2241" s="23" t="str">
        <f aca="false">IFERROR(INDEX(分录回款!$F:$F,MATCH($L2241,分录回款!$L:$L,0)),"")</f>
        <v/>
      </c>
      <c r="F2241" s="68" t="str">
        <f aca="false">IFERROR(INDEX(分录回款!$H:$H,MATCH($L2241,分录回款!$L:$L,0)),"")</f>
        <v/>
      </c>
      <c r="G2241" s="69" t="str">
        <f aca="false">IFERROR(INDEX(分录回款!$I:$I,MATCH($L2241,分录回款!$L:$L,0)),"")</f>
        <v/>
      </c>
      <c r="H2241" s="23"/>
      <c r="I2241" s="70"/>
      <c r="L2241" s="71" t="n">
        <f aca="false">IF(助手回款!$R$151="",-1,助手回款!$R$151*100+(助手回款!$S$151-1)*6+1)</f>
        <v>-1</v>
      </c>
    </row>
    <row r="2242" customFormat="false" ht="23.25" hidden="false" customHeight="true" outlineLevel="0" collapsed="false">
      <c r="B2242" s="67" t="str">
        <f aca="false">""</f>
        <v/>
      </c>
      <c r="C2242" s="67"/>
      <c r="D2242" s="23" t="str">
        <f aca="false">IFERROR(INDEX(分录回款!$E:$E,MATCH($L2242,分录回款!$L:$L,0)),"")</f>
        <v/>
      </c>
      <c r="E2242" s="23" t="str">
        <f aca="false">IFERROR(INDEX(分录回款!$F:$F,MATCH($L2242,分录回款!$L:$L,0)),"")</f>
        <v/>
      </c>
      <c r="F2242" s="68" t="str">
        <f aca="false">IFERROR(INDEX(分录回款!$H:$H,MATCH($L2242,分录回款!$L:$L,0)),"")</f>
        <v/>
      </c>
      <c r="G2242" s="69" t="str">
        <f aca="false">IFERROR(INDEX(分录回款!$I:$I,MATCH($L2242,分录回款!$L:$L,0)),"")</f>
        <v/>
      </c>
      <c r="H2242" s="23"/>
      <c r="I2242" s="70"/>
      <c r="L2242" s="71" t="n">
        <f aca="false">IF(助手回款!$R$151="",-1,助手回款!$R$151*100+(助手回款!$S$151-1)*6+2)</f>
        <v>-1</v>
      </c>
    </row>
    <row r="2243" customFormat="false" ht="23.25" hidden="false" customHeight="true" outlineLevel="0" collapsed="false">
      <c r="B2243" s="67" t="str">
        <f aca="false">""</f>
        <v/>
      </c>
      <c r="C2243" s="67"/>
      <c r="D2243" s="23" t="str">
        <f aca="false">IFERROR(INDEX(分录回款!$E:$E,MATCH($L2243,分录回款!$L:$L,0)),"")</f>
        <v/>
      </c>
      <c r="E2243" s="23" t="str">
        <f aca="false">IFERROR(INDEX(分录回款!$F:$F,MATCH($L2243,分录回款!$L:$L,0)),"")</f>
        <v/>
      </c>
      <c r="F2243" s="68" t="str">
        <f aca="false">IFERROR(INDEX(分录回款!$H:$H,MATCH($L2243,分录回款!$L:$L,0)),"")</f>
        <v/>
      </c>
      <c r="G2243" s="69" t="str">
        <f aca="false">IFERROR(INDEX(分录回款!$I:$I,MATCH($L2243,分录回款!$L:$L,0)),"")</f>
        <v/>
      </c>
      <c r="H2243" s="23"/>
      <c r="I2243" s="70"/>
      <c r="L2243" s="71" t="n">
        <f aca="false">IF(助手回款!$R$151="",-1,助手回款!$R$151*100+(助手回款!$S$151-1)*6+3)</f>
        <v>-1</v>
      </c>
    </row>
    <row r="2244" customFormat="false" ht="23.25" hidden="false" customHeight="true" outlineLevel="0" collapsed="false">
      <c r="B2244" s="67" t="str">
        <f aca="false">""</f>
        <v/>
      </c>
      <c r="C2244" s="67"/>
      <c r="D2244" s="23" t="str">
        <f aca="false">IFERROR(INDEX(分录回款!$E:$E,MATCH($L2244,分录回款!$L:$L,0)),"")</f>
        <v/>
      </c>
      <c r="E2244" s="23" t="str">
        <f aca="false">IFERROR(INDEX(分录回款!$F:$F,MATCH($L2244,分录回款!$L:$L,0)),"")</f>
        <v/>
      </c>
      <c r="F2244" s="68" t="str">
        <f aca="false">IFERROR(INDEX(分录回款!$H:$H,MATCH($L2244,分录回款!$L:$L,0)),"")</f>
        <v/>
      </c>
      <c r="G2244" s="69" t="str">
        <f aca="false">IFERROR(INDEX(分录回款!$I:$I,MATCH($L2244,分录回款!$L:$L,0)),"")</f>
        <v/>
      </c>
      <c r="H2244" s="23"/>
      <c r="I2244" s="70"/>
      <c r="L2244" s="71" t="n">
        <f aca="false">IF(助手回款!$R$151="",-1,助手回款!$R$151*100+(助手回款!$S$151-1)*6+4)</f>
        <v>-1</v>
      </c>
    </row>
    <row r="2245" customFormat="false" ht="23.25" hidden="false" customHeight="true" outlineLevel="0" collapsed="false">
      <c r="B2245" s="67" t="str">
        <f aca="false">""</f>
        <v/>
      </c>
      <c r="C2245" s="67"/>
      <c r="D2245" s="23" t="str">
        <f aca="false">IFERROR(INDEX(分录回款!$E:$E,MATCH($L2245,分录回款!$L:$L,0)),"")</f>
        <v/>
      </c>
      <c r="E2245" s="23" t="str">
        <f aca="false">IFERROR(INDEX(分录回款!$F:$F,MATCH($L2245,分录回款!$L:$L,0)),"")</f>
        <v/>
      </c>
      <c r="F2245" s="68" t="str">
        <f aca="false">IFERROR(INDEX(分录回款!$H:$H,MATCH($L2245,分录回款!$L:$L,0)),"")</f>
        <v/>
      </c>
      <c r="G2245" s="69" t="str">
        <f aca="false">IFERROR(INDEX(分录回款!$I:$I,MATCH($L2245,分录回款!$L:$L,0)),"")</f>
        <v/>
      </c>
      <c r="H2245" s="23"/>
      <c r="I2245" s="70"/>
      <c r="L2245" s="71" t="n">
        <f aca="false">IF(助手回款!$R$151="",-1,助手回款!$R$151*100+(助手回款!$S$151-1)*6+5)</f>
        <v>-1</v>
      </c>
    </row>
    <row r="2246" customFormat="false" ht="23.25" hidden="false" customHeight="true" outlineLevel="0" collapsed="false">
      <c r="B2246" s="67" t="str">
        <f aca="false">""</f>
        <v/>
      </c>
      <c r="C2246" s="67"/>
      <c r="D2246" s="23" t="str">
        <f aca="false">IFERROR(INDEX(分录回款!$E:$E,MATCH($L2246,分录回款!$L:$L,0)),"")</f>
        <v/>
      </c>
      <c r="E2246" s="23" t="str">
        <f aca="false">IFERROR(INDEX(分录回款!$F:$F,MATCH($L2246,分录回款!$L:$L,0)),"")</f>
        <v/>
      </c>
      <c r="F2246" s="68" t="str">
        <f aca="false">IFERROR(INDEX(分录回款!$H:$H,MATCH($L2246,分录回款!$L:$L,0)),"")</f>
        <v/>
      </c>
      <c r="G2246" s="69" t="str">
        <f aca="false">IFERROR(INDEX(分录回款!$I:$I,MATCH($L2246,分录回款!$L:$L,0)),"")</f>
        <v/>
      </c>
      <c r="H2246" s="23"/>
      <c r="I2246" s="70"/>
      <c r="L2246" s="71" t="n">
        <f aca="false">IF(助手回款!$R$151="",-1,助手回款!$R$151*100+(助手回款!$S$151-1)*6+6)</f>
        <v>-1</v>
      </c>
    </row>
    <row r="2247" customFormat="false" ht="23.25" hidden="false" customHeight="true" outlineLevel="0" collapsed="false">
      <c r="B2247" s="72" t="str">
        <f aca="false">IF(助手回款!$T$151=1,"合计：","")</f>
        <v/>
      </c>
      <c r="C2247" s="73" t="str">
        <f aca="false">IF(助手回款!$T$151=1,$F2247,"")</f>
        <v/>
      </c>
      <c r="D2247" s="74"/>
      <c r="E2247" s="74"/>
      <c r="F2247" s="75" t="str">
        <f aca="false">IF(助手回款!$T$151=1,INDEX(助手回款!$N$2:$N$66,助手回款!$R$151),"")</f>
        <v/>
      </c>
      <c r="G2247" s="76" t="str">
        <f aca="false">IF(助手回款!$T$151=1,INDEX(助手回款!$O$2:$O$66,助手回款!$R$151),"")</f>
        <v/>
      </c>
      <c r="H2247" s="74"/>
      <c r="I2247" s="77"/>
    </row>
    <row r="2248" customFormat="false" ht="6" hidden="false" customHeight="true" outlineLevel="0" collapsed="false"/>
    <row r="2249" customFormat="false" ht="13.5" hidden="false" customHeight="false" outlineLevel="0" collapsed="false">
      <c r="B2249" s="78" t="str">
        <f aca="false">IF(助手回款!$R$151&lt;&gt;"","会计主管：","")</f>
        <v/>
      </c>
      <c r="D2249" s="78" t="str">
        <f aca="false">IF(助手回款!$R$151&lt;&gt;"","会计：","")</f>
        <v/>
      </c>
      <c r="E2249" s="78" t="str">
        <f aca="false">IF(助手回款!$R$151&lt;&gt;"","出纳：","")</f>
        <v/>
      </c>
      <c r="F2249" s="78" t="str">
        <f aca="false">IF(助手回款!$R$151&lt;&gt;"","复核：","")</f>
        <v/>
      </c>
      <c r="G2249" s="78" t="str">
        <f aca="false">IF(助手回款!$R$151&lt;&gt;"","制单：","")</f>
        <v/>
      </c>
    </row>
    <row r="2250" customFormat="false" ht="3" hidden="false" customHeight="true" outlineLevel="0" collapsed="false"/>
    <row r="2251" customFormat="false" ht="19.5" hidden="false" customHeight="true" outlineLevel="0" collapsed="false">
      <c r="B2251" s="53" t="str">
        <f aca="false">IF(助手回款!$R$152&lt;&gt;"","记  账  凭  证","")</f>
        <v/>
      </c>
      <c r="C2251" s="53"/>
      <c r="D2251" s="53"/>
      <c r="E2251" s="53"/>
      <c r="F2251" s="53"/>
      <c r="G2251" s="53"/>
      <c r="H2251" s="53"/>
      <c r="I2251" s="53"/>
    </row>
    <row r="2252" customFormat="false" ht="3" hidden="false" customHeight="true" outlineLevel="0" collapsed="false"/>
    <row r="2253" customFormat="false" ht="15" hidden="false" customHeight="true" outlineLevel="0" collapsed="false">
      <c r="C2253" s="56" t="str">
        <f aca="false">IF(助手回款!$R$152&lt;&gt;"",INDEX(助手回款!$B$2:$B$66,助手回款!$R$152),"")</f>
        <v/>
      </c>
      <c r="D2253" s="57" t="str">
        <f aca="false">IF(助手回款!$R$152&lt;&gt;"",参数!$B$2,"")</f>
        <v/>
      </c>
      <c r="E2253" s="57"/>
      <c r="F2253" s="58" t="str">
        <f aca="false">IF(助手回款!$R$152&lt;&gt;"",INDEX(助手回款!$C$2:$C$66,助手回款!$R$152)&amp;"  字第 "&amp;IF(参数!$B$9="是",INDEX(助手回款!$P$2:$P$66,助手回款!$R$152),"　　　　")&amp;" 号"&amp;IF(INDEX(助手回款!$L$2:$L$66,助手回款!$R$152)&gt;1,"  (共"&amp;INDEX(助手回款!$L$2:$L$66,助手回款!$R$152)&amp;"页 第"&amp;助手回款!$S$152&amp;"页)",""),"")</f>
        <v/>
      </c>
      <c r="G2253" s="58"/>
      <c r="H2253" s="58"/>
      <c r="I2253" s="58"/>
      <c r="M2253" s="79" t="str">
        <f aca="false">IF(助手回款!$R$152="","",助手回款!$Q$152)</f>
        <v/>
      </c>
      <c r="N2253" s="80" t="str">
        <f aca="false">IF(助手回款!$R$152="","",INDEX(助手回款!$P$2:$P$66,助手回款!$R$152))</f>
        <v/>
      </c>
      <c r="O2253" s="55" t="str">
        <f aca="false">IF(助手回款!$R$152="","",INDEX(助手回款!$C$2:$C$66,助手回款!$R$152)&amp;"  字第 "&amp;INDEX(助手回款!$P$2:$P$66,助手回款!$R$152)&amp;" 号"&amp;IF(INDEX(助手回款!$L$2:$L$66,助手回款!$R$152)&gt;1,"  (共"&amp;INDEX(助手回款!$L$2:$L$66,助手回款!$R$152)&amp;"页 第"&amp;助手回款!$S$152&amp;"页)",""))</f>
        <v/>
      </c>
    </row>
    <row r="2254" customFormat="false" ht="12.75" hidden="false" customHeight="true" outlineLevel="0" collapsed="false">
      <c r="B2254" s="61" t="str">
        <f aca="false">IF(助手回款!$R$152&lt;&gt;"","摘　　要","")</f>
        <v/>
      </c>
      <c r="C2254" s="61"/>
      <c r="D2254" s="62" t="str">
        <f aca="false">IF(助手回款!$R$152&lt;&gt;"","科　　　　目","")</f>
        <v/>
      </c>
      <c r="E2254" s="62"/>
      <c r="F2254" s="61" t="str">
        <f aca="false">IF(助手回款!$R$152&lt;&gt;"","借 方 金 额","")</f>
        <v/>
      </c>
      <c r="G2254" s="62" t="str">
        <f aca="false">IF(助手回款!$R$152&lt;&gt;"","贷 方 金 额","")</f>
        <v/>
      </c>
      <c r="H2254" s="63" t="str">
        <f aca="false">IF(助手回款!$R$152&lt;&gt;"","√","")</f>
        <v/>
      </c>
      <c r="I2254" s="64" t="str">
        <f aca="false">IF(助手回款!$R$152&lt;&gt;"","附单据  张","")</f>
        <v/>
      </c>
    </row>
    <row r="2255" customFormat="false" ht="12.75" hidden="false" customHeight="true" outlineLevel="0" collapsed="false">
      <c r="B2255" s="61"/>
      <c r="C2255" s="61"/>
      <c r="D2255" s="23" t="str">
        <f aca="false">IF(助手回款!$R$152&lt;&gt;"","总 账 科 目","")</f>
        <v/>
      </c>
      <c r="E2255" s="23" t="str">
        <f aca="false">IF(助手回款!$R$152&lt;&gt;"","明 细 科 目","")</f>
        <v/>
      </c>
      <c r="F2255" s="65"/>
      <c r="G2255" s="66"/>
      <c r="H2255" s="63"/>
      <c r="I2255" s="64"/>
    </row>
    <row r="2256" customFormat="false" ht="23.25" hidden="false" customHeight="true" outlineLevel="0" collapsed="false">
      <c r="B2256" s="67" t="str">
        <f aca="false">IFERROR(INDEX(分录回款!$M:$M,MATCH($L2256,分录回款!$L:$L,0)),"")</f>
        <v/>
      </c>
      <c r="C2256" s="67"/>
      <c r="D2256" s="23" t="str">
        <f aca="false">IFERROR(INDEX(分录回款!$E:$E,MATCH($L2256,分录回款!$L:$L,0)),"")</f>
        <v/>
      </c>
      <c r="E2256" s="23" t="str">
        <f aca="false">IFERROR(INDEX(分录回款!$F:$F,MATCH($L2256,分录回款!$L:$L,0)),"")</f>
        <v/>
      </c>
      <c r="F2256" s="68" t="str">
        <f aca="false">IFERROR(INDEX(分录回款!$H:$H,MATCH($L2256,分录回款!$L:$L,0)),"")</f>
        <v/>
      </c>
      <c r="G2256" s="69" t="str">
        <f aca="false">IFERROR(INDEX(分录回款!$I:$I,MATCH($L2256,分录回款!$L:$L,0)),"")</f>
        <v/>
      </c>
      <c r="H2256" s="23"/>
      <c r="I2256" s="70"/>
      <c r="L2256" s="71" t="n">
        <f aca="false">IF(助手回款!$R$152="",-1,助手回款!$R$152*100+(助手回款!$S$152-1)*6+1)</f>
        <v>-1</v>
      </c>
    </row>
    <row r="2257" customFormat="false" ht="23.25" hidden="false" customHeight="true" outlineLevel="0" collapsed="false">
      <c r="B2257" s="67" t="str">
        <f aca="false">""</f>
        <v/>
      </c>
      <c r="C2257" s="67"/>
      <c r="D2257" s="23" t="str">
        <f aca="false">IFERROR(INDEX(分录回款!$E:$E,MATCH($L2257,分录回款!$L:$L,0)),"")</f>
        <v/>
      </c>
      <c r="E2257" s="23" t="str">
        <f aca="false">IFERROR(INDEX(分录回款!$F:$F,MATCH($L2257,分录回款!$L:$L,0)),"")</f>
        <v/>
      </c>
      <c r="F2257" s="68" t="str">
        <f aca="false">IFERROR(INDEX(分录回款!$H:$H,MATCH($L2257,分录回款!$L:$L,0)),"")</f>
        <v/>
      </c>
      <c r="G2257" s="69" t="str">
        <f aca="false">IFERROR(INDEX(分录回款!$I:$I,MATCH($L2257,分录回款!$L:$L,0)),"")</f>
        <v/>
      </c>
      <c r="H2257" s="23"/>
      <c r="I2257" s="70"/>
      <c r="L2257" s="71" t="n">
        <f aca="false">IF(助手回款!$R$152="",-1,助手回款!$R$152*100+(助手回款!$S$152-1)*6+2)</f>
        <v>-1</v>
      </c>
    </row>
    <row r="2258" customFormat="false" ht="23.25" hidden="false" customHeight="true" outlineLevel="0" collapsed="false">
      <c r="B2258" s="67" t="str">
        <f aca="false">""</f>
        <v/>
      </c>
      <c r="C2258" s="67"/>
      <c r="D2258" s="23" t="str">
        <f aca="false">IFERROR(INDEX(分录回款!$E:$E,MATCH($L2258,分录回款!$L:$L,0)),"")</f>
        <v/>
      </c>
      <c r="E2258" s="23" t="str">
        <f aca="false">IFERROR(INDEX(分录回款!$F:$F,MATCH($L2258,分录回款!$L:$L,0)),"")</f>
        <v/>
      </c>
      <c r="F2258" s="68" t="str">
        <f aca="false">IFERROR(INDEX(分录回款!$H:$H,MATCH($L2258,分录回款!$L:$L,0)),"")</f>
        <v/>
      </c>
      <c r="G2258" s="69" t="str">
        <f aca="false">IFERROR(INDEX(分录回款!$I:$I,MATCH($L2258,分录回款!$L:$L,0)),"")</f>
        <v/>
      </c>
      <c r="H2258" s="23"/>
      <c r="I2258" s="70"/>
      <c r="L2258" s="71" t="n">
        <f aca="false">IF(助手回款!$R$152="",-1,助手回款!$R$152*100+(助手回款!$S$152-1)*6+3)</f>
        <v>-1</v>
      </c>
    </row>
    <row r="2259" customFormat="false" ht="23.25" hidden="false" customHeight="true" outlineLevel="0" collapsed="false">
      <c r="B2259" s="67" t="str">
        <f aca="false">""</f>
        <v/>
      </c>
      <c r="C2259" s="67"/>
      <c r="D2259" s="23" t="str">
        <f aca="false">IFERROR(INDEX(分录回款!$E:$E,MATCH($L2259,分录回款!$L:$L,0)),"")</f>
        <v/>
      </c>
      <c r="E2259" s="23" t="str">
        <f aca="false">IFERROR(INDEX(分录回款!$F:$F,MATCH($L2259,分录回款!$L:$L,0)),"")</f>
        <v/>
      </c>
      <c r="F2259" s="68" t="str">
        <f aca="false">IFERROR(INDEX(分录回款!$H:$H,MATCH($L2259,分录回款!$L:$L,0)),"")</f>
        <v/>
      </c>
      <c r="G2259" s="69" t="str">
        <f aca="false">IFERROR(INDEX(分录回款!$I:$I,MATCH($L2259,分录回款!$L:$L,0)),"")</f>
        <v/>
      </c>
      <c r="H2259" s="23"/>
      <c r="I2259" s="70"/>
      <c r="L2259" s="71" t="n">
        <f aca="false">IF(助手回款!$R$152="",-1,助手回款!$R$152*100+(助手回款!$S$152-1)*6+4)</f>
        <v>-1</v>
      </c>
    </row>
    <row r="2260" customFormat="false" ht="23.25" hidden="false" customHeight="true" outlineLevel="0" collapsed="false">
      <c r="B2260" s="67" t="str">
        <f aca="false">""</f>
        <v/>
      </c>
      <c r="C2260" s="67"/>
      <c r="D2260" s="23" t="str">
        <f aca="false">IFERROR(INDEX(分录回款!$E:$E,MATCH($L2260,分录回款!$L:$L,0)),"")</f>
        <v/>
      </c>
      <c r="E2260" s="23" t="str">
        <f aca="false">IFERROR(INDEX(分录回款!$F:$F,MATCH($L2260,分录回款!$L:$L,0)),"")</f>
        <v/>
      </c>
      <c r="F2260" s="68" t="str">
        <f aca="false">IFERROR(INDEX(分录回款!$H:$H,MATCH($L2260,分录回款!$L:$L,0)),"")</f>
        <v/>
      </c>
      <c r="G2260" s="69" t="str">
        <f aca="false">IFERROR(INDEX(分录回款!$I:$I,MATCH($L2260,分录回款!$L:$L,0)),"")</f>
        <v/>
      </c>
      <c r="H2260" s="23"/>
      <c r="I2260" s="70"/>
      <c r="L2260" s="71" t="n">
        <f aca="false">IF(助手回款!$R$152="",-1,助手回款!$R$152*100+(助手回款!$S$152-1)*6+5)</f>
        <v>-1</v>
      </c>
    </row>
    <row r="2261" customFormat="false" ht="23.25" hidden="false" customHeight="true" outlineLevel="0" collapsed="false">
      <c r="B2261" s="67" t="str">
        <f aca="false">""</f>
        <v/>
      </c>
      <c r="C2261" s="67"/>
      <c r="D2261" s="23" t="str">
        <f aca="false">IFERROR(INDEX(分录回款!$E:$E,MATCH($L2261,分录回款!$L:$L,0)),"")</f>
        <v/>
      </c>
      <c r="E2261" s="23" t="str">
        <f aca="false">IFERROR(INDEX(分录回款!$F:$F,MATCH($L2261,分录回款!$L:$L,0)),"")</f>
        <v/>
      </c>
      <c r="F2261" s="68" t="str">
        <f aca="false">IFERROR(INDEX(分录回款!$H:$H,MATCH($L2261,分录回款!$L:$L,0)),"")</f>
        <v/>
      </c>
      <c r="G2261" s="69" t="str">
        <f aca="false">IFERROR(INDEX(分录回款!$I:$I,MATCH($L2261,分录回款!$L:$L,0)),"")</f>
        <v/>
      </c>
      <c r="H2261" s="23"/>
      <c r="I2261" s="70"/>
      <c r="L2261" s="71" t="n">
        <f aca="false">IF(助手回款!$R$152="",-1,助手回款!$R$152*100+(助手回款!$S$152-1)*6+6)</f>
        <v>-1</v>
      </c>
    </row>
    <row r="2262" customFormat="false" ht="23.25" hidden="false" customHeight="true" outlineLevel="0" collapsed="false">
      <c r="B2262" s="72" t="str">
        <f aca="false">IF(助手回款!$T$152=1,"合计：","")</f>
        <v/>
      </c>
      <c r="C2262" s="73" t="str">
        <f aca="false">IF(助手回款!$T$152=1,$F2262,"")</f>
        <v/>
      </c>
      <c r="D2262" s="74"/>
      <c r="E2262" s="74"/>
      <c r="F2262" s="75" t="str">
        <f aca="false">IF(助手回款!$T$152=1,INDEX(助手回款!$N$2:$N$66,助手回款!$R$152),"")</f>
        <v/>
      </c>
      <c r="G2262" s="76" t="str">
        <f aca="false">IF(助手回款!$T$152=1,INDEX(助手回款!$O$2:$O$66,助手回款!$R$152),"")</f>
        <v/>
      </c>
      <c r="H2262" s="74"/>
      <c r="I2262" s="77"/>
    </row>
    <row r="2263" customFormat="false" ht="6" hidden="false" customHeight="true" outlineLevel="0" collapsed="false"/>
    <row r="2264" customFormat="false" ht="13.5" hidden="false" customHeight="false" outlineLevel="0" collapsed="false">
      <c r="B2264" s="78" t="str">
        <f aca="false">IF(助手回款!$R$152&lt;&gt;"","会计主管：","")</f>
        <v/>
      </c>
      <c r="D2264" s="78" t="str">
        <f aca="false">IF(助手回款!$R$152&lt;&gt;"","会计：","")</f>
        <v/>
      </c>
      <c r="E2264" s="78" t="str">
        <f aca="false">IF(助手回款!$R$152&lt;&gt;"","出纳：","")</f>
        <v/>
      </c>
      <c r="F2264" s="78" t="str">
        <f aca="false">IF(助手回款!$R$152&lt;&gt;"","复核：","")</f>
        <v/>
      </c>
      <c r="G2264" s="78" t="str">
        <f aca="false">IF(助手回款!$R$152&lt;&gt;"","制单：","")</f>
        <v/>
      </c>
    </row>
    <row r="2265" customFormat="false" ht="3" hidden="false" customHeight="true" outlineLevel="0" collapsed="false"/>
    <row r="2266" customFormat="false" ht="19.5" hidden="false" customHeight="true" outlineLevel="0" collapsed="false">
      <c r="B2266" s="53" t="str">
        <f aca="false">IF(助手回款!$R$153&lt;&gt;"","记  账  凭  证","")</f>
        <v/>
      </c>
      <c r="C2266" s="53"/>
      <c r="D2266" s="53"/>
      <c r="E2266" s="53"/>
      <c r="F2266" s="53"/>
      <c r="G2266" s="53"/>
      <c r="H2266" s="53"/>
      <c r="I2266" s="53"/>
    </row>
    <row r="2267" customFormat="false" ht="3" hidden="false" customHeight="true" outlineLevel="0" collapsed="false"/>
    <row r="2268" customFormat="false" ht="15" hidden="false" customHeight="true" outlineLevel="0" collapsed="false">
      <c r="C2268" s="56" t="str">
        <f aca="false">IF(助手回款!$R$153&lt;&gt;"",INDEX(助手回款!$B$2:$B$66,助手回款!$R$153),"")</f>
        <v/>
      </c>
      <c r="D2268" s="57" t="str">
        <f aca="false">IF(助手回款!$R$153&lt;&gt;"",参数!$B$2,"")</f>
        <v/>
      </c>
      <c r="E2268" s="57"/>
      <c r="F2268" s="58" t="str">
        <f aca="false">IF(助手回款!$R$153&lt;&gt;"",INDEX(助手回款!$C$2:$C$66,助手回款!$R$153)&amp;"  字第 "&amp;IF(参数!$B$9="是",INDEX(助手回款!$P$2:$P$66,助手回款!$R$153),"　　　　")&amp;" 号"&amp;IF(INDEX(助手回款!$L$2:$L$66,助手回款!$R$153)&gt;1,"  (共"&amp;INDEX(助手回款!$L$2:$L$66,助手回款!$R$153)&amp;"页 第"&amp;助手回款!$S$153&amp;"页)",""),"")</f>
        <v/>
      </c>
      <c r="G2268" s="58"/>
      <c r="H2268" s="58"/>
      <c r="I2268" s="58"/>
      <c r="M2268" s="79" t="str">
        <f aca="false">IF(助手回款!$R$153="","",助手回款!$Q$153)</f>
        <v/>
      </c>
      <c r="N2268" s="80" t="str">
        <f aca="false">IF(助手回款!$R$153="","",INDEX(助手回款!$P$2:$P$66,助手回款!$R$153))</f>
        <v/>
      </c>
      <c r="O2268" s="55" t="str">
        <f aca="false">IF(助手回款!$R$153="","",INDEX(助手回款!$C$2:$C$66,助手回款!$R$153)&amp;"  字第 "&amp;INDEX(助手回款!$P$2:$P$66,助手回款!$R$153)&amp;" 号"&amp;IF(INDEX(助手回款!$L$2:$L$66,助手回款!$R$153)&gt;1,"  (共"&amp;INDEX(助手回款!$L$2:$L$66,助手回款!$R$153)&amp;"页 第"&amp;助手回款!$S$153&amp;"页)",""))</f>
        <v/>
      </c>
    </row>
    <row r="2269" customFormat="false" ht="12.75" hidden="false" customHeight="true" outlineLevel="0" collapsed="false">
      <c r="B2269" s="61" t="str">
        <f aca="false">IF(助手回款!$R$153&lt;&gt;"","摘　　要","")</f>
        <v/>
      </c>
      <c r="C2269" s="61"/>
      <c r="D2269" s="62" t="str">
        <f aca="false">IF(助手回款!$R$153&lt;&gt;"","科　　　　目","")</f>
        <v/>
      </c>
      <c r="E2269" s="62"/>
      <c r="F2269" s="61" t="str">
        <f aca="false">IF(助手回款!$R$153&lt;&gt;"","借 方 金 额","")</f>
        <v/>
      </c>
      <c r="G2269" s="62" t="str">
        <f aca="false">IF(助手回款!$R$153&lt;&gt;"","贷 方 金 额","")</f>
        <v/>
      </c>
      <c r="H2269" s="63" t="str">
        <f aca="false">IF(助手回款!$R$153&lt;&gt;"","√","")</f>
        <v/>
      </c>
      <c r="I2269" s="64" t="str">
        <f aca="false">IF(助手回款!$R$153&lt;&gt;"","附单据  张","")</f>
        <v/>
      </c>
    </row>
    <row r="2270" customFormat="false" ht="12.75" hidden="false" customHeight="true" outlineLevel="0" collapsed="false">
      <c r="B2270" s="61"/>
      <c r="C2270" s="61"/>
      <c r="D2270" s="23" t="str">
        <f aca="false">IF(助手回款!$R$153&lt;&gt;"","总 账 科 目","")</f>
        <v/>
      </c>
      <c r="E2270" s="23" t="str">
        <f aca="false">IF(助手回款!$R$153&lt;&gt;"","明 细 科 目","")</f>
        <v/>
      </c>
      <c r="F2270" s="65"/>
      <c r="G2270" s="66"/>
      <c r="H2270" s="63"/>
      <c r="I2270" s="64"/>
    </row>
    <row r="2271" customFormat="false" ht="23.25" hidden="false" customHeight="true" outlineLevel="0" collapsed="false">
      <c r="B2271" s="67" t="str">
        <f aca="false">IFERROR(INDEX(分录回款!$M:$M,MATCH($L2271,分录回款!$L:$L,0)),"")</f>
        <v/>
      </c>
      <c r="C2271" s="67"/>
      <c r="D2271" s="23" t="str">
        <f aca="false">IFERROR(INDEX(分录回款!$E:$E,MATCH($L2271,分录回款!$L:$L,0)),"")</f>
        <v/>
      </c>
      <c r="E2271" s="23" t="str">
        <f aca="false">IFERROR(INDEX(分录回款!$F:$F,MATCH($L2271,分录回款!$L:$L,0)),"")</f>
        <v/>
      </c>
      <c r="F2271" s="68" t="str">
        <f aca="false">IFERROR(INDEX(分录回款!$H:$H,MATCH($L2271,分录回款!$L:$L,0)),"")</f>
        <v/>
      </c>
      <c r="G2271" s="69" t="str">
        <f aca="false">IFERROR(INDEX(分录回款!$I:$I,MATCH($L2271,分录回款!$L:$L,0)),"")</f>
        <v/>
      </c>
      <c r="H2271" s="23"/>
      <c r="I2271" s="70"/>
      <c r="L2271" s="71" t="n">
        <f aca="false">IF(助手回款!$R$153="",-1,助手回款!$R$153*100+(助手回款!$S$153-1)*6+1)</f>
        <v>-1</v>
      </c>
    </row>
    <row r="2272" customFormat="false" ht="23.25" hidden="false" customHeight="true" outlineLevel="0" collapsed="false">
      <c r="B2272" s="67" t="str">
        <f aca="false">""</f>
        <v/>
      </c>
      <c r="C2272" s="67"/>
      <c r="D2272" s="23" t="str">
        <f aca="false">IFERROR(INDEX(分录回款!$E:$E,MATCH($L2272,分录回款!$L:$L,0)),"")</f>
        <v/>
      </c>
      <c r="E2272" s="23" t="str">
        <f aca="false">IFERROR(INDEX(分录回款!$F:$F,MATCH($L2272,分录回款!$L:$L,0)),"")</f>
        <v/>
      </c>
      <c r="F2272" s="68" t="str">
        <f aca="false">IFERROR(INDEX(分录回款!$H:$H,MATCH($L2272,分录回款!$L:$L,0)),"")</f>
        <v/>
      </c>
      <c r="G2272" s="69" t="str">
        <f aca="false">IFERROR(INDEX(分录回款!$I:$I,MATCH($L2272,分录回款!$L:$L,0)),"")</f>
        <v/>
      </c>
      <c r="H2272" s="23"/>
      <c r="I2272" s="70"/>
      <c r="L2272" s="71" t="n">
        <f aca="false">IF(助手回款!$R$153="",-1,助手回款!$R$153*100+(助手回款!$S$153-1)*6+2)</f>
        <v>-1</v>
      </c>
    </row>
    <row r="2273" customFormat="false" ht="23.25" hidden="false" customHeight="true" outlineLevel="0" collapsed="false">
      <c r="B2273" s="67" t="str">
        <f aca="false">""</f>
        <v/>
      </c>
      <c r="C2273" s="67"/>
      <c r="D2273" s="23" t="str">
        <f aca="false">IFERROR(INDEX(分录回款!$E:$E,MATCH($L2273,分录回款!$L:$L,0)),"")</f>
        <v/>
      </c>
      <c r="E2273" s="23" t="str">
        <f aca="false">IFERROR(INDEX(分录回款!$F:$F,MATCH($L2273,分录回款!$L:$L,0)),"")</f>
        <v/>
      </c>
      <c r="F2273" s="68" t="str">
        <f aca="false">IFERROR(INDEX(分录回款!$H:$H,MATCH($L2273,分录回款!$L:$L,0)),"")</f>
        <v/>
      </c>
      <c r="G2273" s="69" t="str">
        <f aca="false">IFERROR(INDEX(分录回款!$I:$I,MATCH($L2273,分录回款!$L:$L,0)),"")</f>
        <v/>
      </c>
      <c r="H2273" s="23"/>
      <c r="I2273" s="70"/>
      <c r="L2273" s="71" t="n">
        <f aca="false">IF(助手回款!$R$153="",-1,助手回款!$R$153*100+(助手回款!$S$153-1)*6+3)</f>
        <v>-1</v>
      </c>
    </row>
    <row r="2274" customFormat="false" ht="23.25" hidden="false" customHeight="true" outlineLevel="0" collapsed="false">
      <c r="B2274" s="67" t="str">
        <f aca="false">""</f>
        <v/>
      </c>
      <c r="C2274" s="67"/>
      <c r="D2274" s="23" t="str">
        <f aca="false">IFERROR(INDEX(分录回款!$E:$E,MATCH($L2274,分录回款!$L:$L,0)),"")</f>
        <v/>
      </c>
      <c r="E2274" s="23" t="str">
        <f aca="false">IFERROR(INDEX(分录回款!$F:$F,MATCH($L2274,分录回款!$L:$L,0)),"")</f>
        <v/>
      </c>
      <c r="F2274" s="68" t="str">
        <f aca="false">IFERROR(INDEX(分录回款!$H:$H,MATCH($L2274,分录回款!$L:$L,0)),"")</f>
        <v/>
      </c>
      <c r="G2274" s="69" t="str">
        <f aca="false">IFERROR(INDEX(分录回款!$I:$I,MATCH($L2274,分录回款!$L:$L,0)),"")</f>
        <v/>
      </c>
      <c r="H2274" s="23"/>
      <c r="I2274" s="70"/>
      <c r="L2274" s="71" t="n">
        <f aca="false">IF(助手回款!$R$153="",-1,助手回款!$R$153*100+(助手回款!$S$153-1)*6+4)</f>
        <v>-1</v>
      </c>
    </row>
    <row r="2275" customFormat="false" ht="23.25" hidden="false" customHeight="true" outlineLevel="0" collapsed="false">
      <c r="B2275" s="67" t="str">
        <f aca="false">""</f>
        <v/>
      </c>
      <c r="C2275" s="67"/>
      <c r="D2275" s="23" t="str">
        <f aca="false">IFERROR(INDEX(分录回款!$E:$E,MATCH($L2275,分录回款!$L:$L,0)),"")</f>
        <v/>
      </c>
      <c r="E2275" s="23" t="str">
        <f aca="false">IFERROR(INDEX(分录回款!$F:$F,MATCH($L2275,分录回款!$L:$L,0)),"")</f>
        <v/>
      </c>
      <c r="F2275" s="68" t="str">
        <f aca="false">IFERROR(INDEX(分录回款!$H:$H,MATCH($L2275,分录回款!$L:$L,0)),"")</f>
        <v/>
      </c>
      <c r="G2275" s="69" t="str">
        <f aca="false">IFERROR(INDEX(分录回款!$I:$I,MATCH($L2275,分录回款!$L:$L,0)),"")</f>
        <v/>
      </c>
      <c r="H2275" s="23"/>
      <c r="I2275" s="70"/>
      <c r="L2275" s="71" t="n">
        <f aca="false">IF(助手回款!$R$153="",-1,助手回款!$R$153*100+(助手回款!$S$153-1)*6+5)</f>
        <v>-1</v>
      </c>
    </row>
    <row r="2276" customFormat="false" ht="23.25" hidden="false" customHeight="true" outlineLevel="0" collapsed="false">
      <c r="B2276" s="67" t="str">
        <f aca="false">""</f>
        <v/>
      </c>
      <c r="C2276" s="67"/>
      <c r="D2276" s="23" t="str">
        <f aca="false">IFERROR(INDEX(分录回款!$E:$E,MATCH($L2276,分录回款!$L:$L,0)),"")</f>
        <v/>
      </c>
      <c r="E2276" s="23" t="str">
        <f aca="false">IFERROR(INDEX(分录回款!$F:$F,MATCH($L2276,分录回款!$L:$L,0)),"")</f>
        <v/>
      </c>
      <c r="F2276" s="68" t="str">
        <f aca="false">IFERROR(INDEX(分录回款!$H:$H,MATCH($L2276,分录回款!$L:$L,0)),"")</f>
        <v/>
      </c>
      <c r="G2276" s="69" t="str">
        <f aca="false">IFERROR(INDEX(分录回款!$I:$I,MATCH($L2276,分录回款!$L:$L,0)),"")</f>
        <v/>
      </c>
      <c r="H2276" s="23"/>
      <c r="I2276" s="70"/>
      <c r="L2276" s="71" t="n">
        <f aca="false">IF(助手回款!$R$153="",-1,助手回款!$R$153*100+(助手回款!$S$153-1)*6+6)</f>
        <v>-1</v>
      </c>
    </row>
    <row r="2277" customFormat="false" ht="23.25" hidden="false" customHeight="true" outlineLevel="0" collapsed="false">
      <c r="B2277" s="72" t="str">
        <f aca="false">IF(助手回款!$T$153=1,"合计：","")</f>
        <v/>
      </c>
      <c r="C2277" s="73" t="str">
        <f aca="false">IF(助手回款!$T$153=1,$F2277,"")</f>
        <v/>
      </c>
      <c r="D2277" s="74"/>
      <c r="E2277" s="74"/>
      <c r="F2277" s="75" t="str">
        <f aca="false">IF(助手回款!$T$153=1,INDEX(助手回款!$N$2:$N$66,助手回款!$R$153),"")</f>
        <v/>
      </c>
      <c r="G2277" s="76" t="str">
        <f aca="false">IF(助手回款!$T$153=1,INDEX(助手回款!$O$2:$O$66,助手回款!$R$153),"")</f>
        <v/>
      </c>
      <c r="H2277" s="74"/>
      <c r="I2277" s="77"/>
    </row>
    <row r="2278" customFormat="false" ht="6" hidden="false" customHeight="true" outlineLevel="0" collapsed="false"/>
    <row r="2279" customFormat="false" ht="13.5" hidden="false" customHeight="false" outlineLevel="0" collapsed="false">
      <c r="B2279" s="78" t="str">
        <f aca="false">IF(助手回款!$R$153&lt;&gt;"","会计主管：","")</f>
        <v/>
      </c>
      <c r="D2279" s="78" t="str">
        <f aca="false">IF(助手回款!$R$153&lt;&gt;"","会计：","")</f>
        <v/>
      </c>
      <c r="E2279" s="78" t="str">
        <f aca="false">IF(助手回款!$R$153&lt;&gt;"","出纳：","")</f>
        <v/>
      </c>
      <c r="F2279" s="78" t="str">
        <f aca="false">IF(助手回款!$R$153&lt;&gt;"","复核：","")</f>
        <v/>
      </c>
      <c r="G2279" s="78" t="str">
        <f aca="false">IF(助手回款!$R$153&lt;&gt;"","制单：","")</f>
        <v/>
      </c>
    </row>
    <row r="2280" customFormat="false" ht="3" hidden="false" customHeight="true" outlineLevel="0" collapsed="false"/>
    <row r="2281" customFormat="false" ht="19.5" hidden="false" customHeight="true" outlineLevel="0" collapsed="false">
      <c r="B2281" s="53" t="str">
        <f aca="false">IF(助手回款!$R$154&lt;&gt;"","记  账  凭  证","")</f>
        <v/>
      </c>
      <c r="C2281" s="53"/>
      <c r="D2281" s="53"/>
      <c r="E2281" s="53"/>
      <c r="F2281" s="53"/>
      <c r="G2281" s="53"/>
      <c r="H2281" s="53"/>
      <c r="I2281" s="53"/>
    </row>
    <row r="2282" customFormat="false" ht="3" hidden="false" customHeight="true" outlineLevel="0" collapsed="false"/>
    <row r="2283" customFormat="false" ht="15" hidden="false" customHeight="true" outlineLevel="0" collapsed="false">
      <c r="C2283" s="56" t="str">
        <f aca="false">IF(助手回款!$R$154&lt;&gt;"",INDEX(助手回款!$B$2:$B$66,助手回款!$R$154),"")</f>
        <v/>
      </c>
      <c r="D2283" s="57" t="str">
        <f aca="false">IF(助手回款!$R$154&lt;&gt;"",参数!$B$2,"")</f>
        <v/>
      </c>
      <c r="E2283" s="57"/>
      <c r="F2283" s="58" t="str">
        <f aca="false">IF(助手回款!$R$154&lt;&gt;"",INDEX(助手回款!$C$2:$C$66,助手回款!$R$154)&amp;"  字第 "&amp;IF(参数!$B$9="是",INDEX(助手回款!$P$2:$P$66,助手回款!$R$154),"　　　　")&amp;" 号"&amp;IF(INDEX(助手回款!$L$2:$L$66,助手回款!$R$154)&gt;1,"  (共"&amp;INDEX(助手回款!$L$2:$L$66,助手回款!$R$154)&amp;"页 第"&amp;助手回款!$S$154&amp;"页)",""),"")</f>
        <v/>
      </c>
      <c r="G2283" s="58"/>
      <c r="H2283" s="58"/>
      <c r="I2283" s="58"/>
      <c r="M2283" s="79" t="str">
        <f aca="false">IF(助手回款!$R$154="","",助手回款!$Q$154)</f>
        <v/>
      </c>
      <c r="N2283" s="80" t="str">
        <f aca="false">IF(助手回款!$R$154="","",INDEX(助手回款!$P$2:$P$66,助手回款!$R$154))</f>
        <v/>
      </c>
      <c r="O2283" s="55" t="str">
        <f aca="false">IF(助手回款!$R$154="","",INDEX(助手回款!$C$2:$C$66,助手回款!$R$154)&amp;"  字第 "&amp;INDEX(助手回款!$P$2:$P$66,助手回款!$R$154)&amp;" 号"&amp;IF(INDEX(助手回款!$L$2:$L$66,助手回款!$R$154)&gt;1,"  (共"&amp;INDEX(助手回款!$L$2:$L$66,助手回款!$R$154)&amp;"页 第"&amp;助手回款!$S$154&amp;"页)",""))</f>
        <v/>
      </c>
    </row>
    <row r="2284" customFormat="false" ht="12.75" hidden="false" customHeight="true" outlineLevel="0" collapsed="false">
      <c r="B2284" s="61" t="str">
        <f aca="false">IF(助手回款!$R$154&lt;&gt;"","摘　　要","")</f>
        <v/>
      </c>
      <c r="C2284" s="61"/>
      <c r="D2284" s="62" t="str">
        <f aca="false">IF(助手回款!$R$154&lt;&gt;"","科　　　　目","")</f>
        <v/>
      </c>
      <c r="E2284" s="62"/>
      <c r="F2284" s="61" t="str">
        <f aca="false">IF(助手回款!$R$154&lt;&gt;"","借 方 金 额","")</f>
        <v/>
      </c>
      <c r="G2284" s="62" t="str">
        <f aca="false">IF(助手回款!$R$154&lt;&gt;"","贷 方 金 额","")</f>
        <v/>
      </c>
      <c r="H2284" s="63" t="str">
        <f aca="false">IF(助手回款!$R$154&lt;&gt;"","√","")</f>
        <v/>
      </c>
      <c r="I2284" s="64" t="str">
        <f aca="false">IF(助手回款!$R$154&lt;&gt;"","附单据  张","")</f>
        <v/>
      </c>
    </row>
    <row r="2285" customFormat="false" ht="12.75" hidden="false" customHeight="true" outlineLevel="0" collapsed="false">
      <c r="B2285" s="61"/>
      <c r="C2285" s="61"/>
      <c r="D2285" s="23" t="str">
        <f aca="false">IF(助手回款!$R$154&lt;&gt;"","总 账 科 目","")</f>
        <v/>
      </c>
      <c r="E2285" s="23" t="str">
        <f aca="false">IF(助手回款!$R$154&lt;&gt;"","明 细 科 目","")</f>
        <v/>
      </c>
      <c r="F2285" s="65"/>
      <c r="G2285" s="66"/>
      <c r="H2285" s="63"/>
      <c r="I2285" s="64"/>
    </row>
    <row r="2286" customFormat="false" ht="23.25" hidden="false" customHeight="true" outlineLevel="0" collapsed="false">
      <c r="B2286" s="67" t="str">
        <f aca="false">IFERROR(INDEX(分录回款!$M:$M,MATCH($L2286,分录回款!$L:$L,0)),"")</f>
        <v/>
      </c>
      <c r="C2286" s="67"/>
      <c r="D2286" s="23" t="str">
        <f aca="false">IFERROR(INDEX(分录回款!$E:$E,MATCH($L2286,分录回款!$L:$L,0)),"")</f>
        <v/>
      </c>
      <c r="E2286" s="23" t="str">
        <f aca="false">IFERROR(INDEX(分录回款!$F:$F,MATCH($L2286,分录回款!$L:$L,0)),"")</f>
        <v/>
      </c>
      <c r="F2286" s="68" t="str">
        <f aca="false">IFERROR(INDEX(分录回款!$H:$H,MATCH($L2286,分录回款!$L:$L,0)),"")</f>
        <v/>
      </c>
      <c r="G2286" s="69" t="str">
        <f aca="false">IFERROR(INDEX(分录回款!$I:$I,MATCH($L2286,分录回款!$L:$L,0)),"")</f>
        <v/>
      </c>
      <c r="H2286" s="23"/>
      <c r="I2286" s="70"/>
      <c r="L2286" s="71" t="n">
        <f aca="false">IF(助手回款!$R$154="",-1,助手回款!$R$154*100+(助手回款!$S$154-1)*6+1)</f>
        <v>-1</v>
      </c>
    </row>
    <row r="2287" customFormat="false" ht="23.25" hidden="false" customHeight="true" outlineLevel="0" collapsed="false">
      <c r="B2287" s="67" t="str">
        <f aca="false">""</f>
        <v/>
      </c>
      <c r="C2287" s="67"/>
      <c r="D2287" s="23" t="str">
        <f aca="false">IFERROR(INDEX(分录回款!$E:$E,MATCH($L2287,分录回款!$L:$L,0)),"")</f>
        <v/>
      </c>
      <c r="E2287" s="23" t="str">
        <f aca="false">IFERROR(INDEX(分录回款!$F:$F,MATCH($L2287,分录回款!$L:$L,0)),"")</f>
        <v/>
      </c>
      <c r="F2287" s="68" t="str">
        <f aca="false">IFERROR(INDEX(分录回款!$H:$H,MATCH($L2287,分录回款!$L:$L,0)),"")</f>
        <v/>
      </c>
      <c r="G2287" s="69" t="str">
        <f aca="false">IFERROR(INDEX(分录回款!$I:$I,MATCH($L2287,分录回款!$L:$L,0)),"")</f>
        <v/>
      </c>
      <c r="H2287" s="23"/>
      <c r="I2287" s="70"/>
      <c r="L2287" s="71" t="n">
        <f aca="false">IF(助手回款!$R$154="",-1,助手回款!$R$154*100+(助手回款!$S$154-1)*6+2)</f>
        <v>-1</v>
      </c>
    </row>
    <row r="2288" customFormat="false" ht="23.25" hidden="false" customHeight="true" outlineLevel="0" collapsed="false">
      <c r="B2288" s="67" t="str">
        <f aca="false">""</f>
        <v/>
      </c>
      <c r="C2288" s="67"/>
      <c r="D2288" s="23" t="str">
        <f aca="false">IFERROR(INDEX(分录回款!$E:$E,MATCH($L2288,分录回款!$L:$L,0)),"")</f>
        <v/>
      </c>
      <c r="E2288" s="23" t="str">
        <f aca="false">IFERROR(INDEX(分录回款!$F:$F,MATCH($L2288,分录回款!$L:$L,0)),"")</f>
        <v/>
      </c>
      <c r="F2288" s="68" t="str">
        <f aca="false">IFERROR(INDEX(分录回款!$H:$H,MATCH($L2288,分录回款!$L:$L,0)),"")</f>
        <v/>
      </c>
      <c r="G2288" s="69" t="str">
        <f aca="false">IFERROR(INDEX(分录回款!$I:$I,MATCH($L2288,分录回款!$L:$L,0)),"")</f>
        <v/>
      </c>
      <c r="H2288" s="23"/>
      <c r="I2288" s="70"/>
      <c r="L2288" s="71" t="n">
        <f aca="false">IF(助手回款!$R$154="",-1,助手回款!$R$154*100+(助手回款!$S$154-1)*6+3)</f>
        <v>-1</v>
      </c>
    </row>
    <row r="2289" customFormat="false" ht="23.25" hidden="false" customHeight="true" outlineLevel="0" collapsed="false">
      <c r="B2289" s="67" t="str">
        <f aca="false">""</f>
        <v/>
      </c>
      <c r="C2289" s="67"/>
      <c r="D2289" s="23" t="str">
        <f aca="false">IFERROR(INDEX(分录回款!$E:$E,MATCH($L2289,分录回款!$L:$L,0)),"")</f>
        <v/>
      </c>
      <c r="E2289" s="23" t="str">
        <f aca="false">IFERROR(INDEX(分录回款!$F:$F,MATCH($L2289,分录回款!$L:$L,0)),"")</f>
        <v/>
      </c>
      <c r="F2289" s="68" t="str">
        <f aca="false">IFERROR(INDEX(分录回款!$H:$H,MATCH($L2289,分录回款!$L:$L,0)),"")</f>
        <v/>
      </c>
      <c r="G2289" s="69" t="str">
        <f aca="false">IFERROR(INDEX(分录回款!$I:$I,MATCH($L2289,分录回款!$L:$L,0)),"")</f>
        <v/>
      </c>
      <c r="H2289" s="23"/>
      <c r="I2289" s="70"/>
      <c r="L2289" s="71" t="n">
        <f aca="false">IF(助手回款!$R$154="",-1,助手回款!$R$154*100+(助手回款!$S$154-1)*6+4)</f>
        <v>-1</v>
      </c>
    </row>
    <row r="2290" customFormat="false" ht="23.25" hidden="false" customHeight="true" outlineLevel="0" collapsed="false">
      <c r="B2290" s="67" t="str">
        <f aca="false">""</f>
        <v/>
      </c>
      <c r="C2290" s="67"/>
      <c r="D2290" s="23" t="str">
        <f aca="false">IFERROR(INDEX(分录回款!$E:$E,MATCH($L2290,分录回款!$L:$L,0)),"")</f>
        <v/>
      </c>
      <c r="E2290" s="23" t="str">
        <f aca="false">IFERROR(INDEX(分录回款!$F:$F,MATCH($L2290,分录回款!$L:$L,0)),"")</f>
        <v/>
      </c>
      <c r="F2290" s="68" t="str">
        <f aca="false">IFERROR(INDEX(分录回款!$H:$H,MATCH($L2290,分录回款!$L:$L,0)),"")</f>
        <v/>
      </c>
      <c r="G2290" s="69" t="str">
        <f aca="false">IFERROR(INDEX(分录回款!$I:$I,MATCH($L2290,分录回款!$L:$L,0)),"")</f>
        <v/>
      </c>
      <c r="H2290" s="23"/>
      <c r="I2290" s="70"/>
      <c r="L2290" s="71" t="n">
        <f aca="false">IF(助手回款!$R$154="",-1,助手回款!$R$154*100+(助手回款!$S$154-1)*6+5)</f>
        <v>-1</v>
      </c>
    </row>
    <row r="2291" customFormat="false" ht="23.25" hidden="false" customHeight="true" outlineLevel="0" collapsed="false">
      <c r="B2291" s="67" t="str">
        <f aca="false">""</f>
        <v/>
      </c>
      <c r="C2291" s="67"/>
      <c r="D2291" s="23" t="str">
        <f aca="false">IFERROR(INDEX(分录回款!$E:$E,MATCH($L2291,分录回款!$L:$L,0)),"")</f>
        <v/>
      </c>
      <c r="E2291" s="23" t="str">
        <f aca="false">IFERROR(INDEX(分录回款!$F:$F,MATCH($L2291,分录回款!$L:$L,0)),"")</f>
        <v/>
      </c>
      <c r="F2291" s="68" t="str">
        <f aca="false">IFERROR(INDEX(分录回款!$H:$H,MATCH($L2291,分录回款!$L:$L,0)),"")</f>
        <v/>
      </c>
      <c r="G2291" s="69" t="str">
        <f aca="false">IFERROR(INDEX(分录回款!$I:$I,MATCH($L2291,分录回款!$L:$L,0)),"")</f>
        <v/>
      </c>
      <c r="H2291" s="23"/>
      <c r="I2291" s="70"/>
      <c r="L2291" s="71" t="n">
        <f aca="false">IF(助手回款!$R$154="",-1,助手回款!$R$154*100+(助手回款!$S$154-1)*6+6)</f>
        <v>-1</v>
      </c>
    </row>
    <row r="2292" customFormat="false" ht="23.25" hidden="false" customHeight="true" outlineLevel="0" collapsed="false">
      <c r="B2292" s="72" t="str">
        <f aca="false">IF(助手回款!$T$154=1,"合计：","")</f>
        <v/>
      </c>
      <c r="C2292" s="73" t="str">
        <f aca="false">IF(助手回款!$T$154=1,$F2292,"")</f>
        <v/>
      </c>
      <c r="D2292" s="74"/>
      <c r="E2292" s="74"/>
      <c r="F2292" s="75" t="str">
        <f aca="false">IF(助手回款!$T$154=1,INDEX(助手回款!$N$2:$N$66,助手回款!$R$154),"")</f>
        <v/>
      </c>
      <c r="G2292" s="76" t="str">
        <f aca="false">IF(助手回款!$T$154=1,INDEX(助手回款!$O$2:$O$66,助手回款!$R$154),"")</f>
        <v/>
      </c>
      <c r="H2292" s="74"/>
      <c r="I2292" s="77"/>
    </row>
    <row r="2293" customFormat="false" ht="6" hidden="false" customHeight="true" outlineLevel="0" collapsed="false"/>
    <row r="2294" customFormat="false" ht="13.5" hidden="false" customHeight="false" outlineLevel="0" collapsed="false">
      <c r="B2294" s="78" t="str">
        <f aca="false">IF(助手回款!$R$154&lt;&gt;"","会计主管：","")</f>
        <v/>
      </c>
      <c r="D2294" s="78" t="str">
        <f aca="false">IF(助手回款!$R$154&lt;&gt;"","会计：","")</f>
        <v/>
      </c>
      <c r="E2294" s="78" t="str">
        <f aca="false">IF(助手回款!$R$154&lt;&gt;"","出纳：","")</f>
        <v/>
      </c>
      <c r="F2294" s="78" t="str">
        <f aca="false">IF(助手回款!$R$154&lt;&gt;"","复核：","")</f>
        <v/>
      </c>
      <c r="G2294" s="78" t="str">
        <f aca="false">IF(助手回款!$R$154&lt;&gt;"","制单：","")</f>
        <v/>
      </c>
    </row>
    <row r="2295" customFormat="false" ht="3" hidden="false" customHeight="true" outlineLevel="0" collapsed="false"/>
    <row r="2296" customFormat="false" ht="19.5" hidden="false" customHeight="true" outlineLevel="0" collapsed="false">
      <c r="B2296" s="53" t="str">
        <f aca="false">IF(助手回款!$R$155&lt;&gt;"","记  账  凭  证","")</f>
        <v/>
      </c>
      <c r="C2296" s="53"/>
      <c r="D2296" s="53"/>
      <c r="E2296" s="53"/>
      <c r="F2296" s="53"/>
      <c r="G2296" s="53"/>
      <c r="H2296" s="53"/>
      <c r="I2296" s="53"/>
    </row>
    <row r="2297" customFormat="false" ht="3" hidden="false" customHeight="true" outlineLevel="0" collapsed="false"/>
    <row r="2298" customFormat="false" ht="15" hidden="false" customHeight="true" outlineLevel="0" collapsed="false">
      <c r="C2298" s="56" t="str">
        <f aca="false">IF(助手回款!$R$155&lt;&gt;"",INDEX(助手回款!$B$2:$B$66,助手回款!$R$155),"")</f>
        <v/>
      </c>
      <c r="D2298" s="57" t="str">
        <f aca="false">IF(助手回款!$R$155&lt;&gt;"",参数!$B$2,"")</f>
        <v/>
      </c>
      <c r="E2298" s="57"/>
      <c r="F2298" s="58" t="str">
        <f aca="false">IF(助手回款!$R$155&lt;&gt;"",INDEX(助手回款!$C$2:$C$66,助手回款!$R$155)&amp;"  字第 "&amp;IF(参数!$B$9="是",INDEX(助手回款!$P$2:$P$66,助手回款!$R$155),"　　　　")&amp;" 号"&amp;IF(INDEX(助手回款!$L$2:$L$66,助手回款!$R$155)&gt;1,"  (共"&amp;INDEX(助手回款!$L$2:$L$66,助手回款!$R$155)&amp;"页 第"&amp;助手回款!$S$155&amp;"页)",""),"")</f>
        <v/>
      </c>
      <c r="G2298" s="58"/>
      <c r="H2298" s="58"/>
      <c r="I2298" s="58"/>
      <c r="M2298" s="79" t="str">
        <f aca="false">IF(助手回款!$R$155="","",助手回款!$Q$155)</f>
        <v/>
      </c>
      <c r="N2298" s="80" t="str">
        <f aca="false">IF(助手回款!$R$155="","",INDEX(助手回款!$P$2:$P$66,助手回款!$R$155))</f>
        <v/>
      </c>
      <c r="O2298" s="55" t="str">
        <f aca="false">IF(助手回款!$R$155="","",INDEX(助手回款!$C$2:$C$66,助手回款!$R$155)&amp;"  字第 "&amp;INDEX(助手回款!$P$2:$P$66,助手回款!$R$155)&amp;" 号"&amp;IF(INDEX(助手回款!$L$2:$L$66,助手回款!$R$155)&gt;1,"  (共"&amp;INDEX(助手回款!$L$2:$L$66,助手回款!$R$155)&amp;"页 第"&amp;助手回款!$S$155&amp;"页)",""))</f>
        <v/>
      </c>
    </row>
    <row r="2299" customFormat="false" ht="12.75" hidden="false" customHeight="true" outlineLevel="0" collapsed="false">
      <c r="B2299" s="61" t="str">
        <f aca="false">IF(助手回款!$R$155&lt;&gt;"","摘　　要","")</f>
        <v/>
      </c>
      <c r="C2299" s="61"/>
      <c r="D2299" s="62" t="str">
        <f aca="false">IF(助手回款!$R$155&lt;&gt;"","科　　　　目","")</f>
        <v/>
      </c>
      <c r="E2299" s="62"/>
      <c r="F2299" s="61" t="str">
        <f aca="false">IF(助手回款!$R$155&lt;&gt;"","借 方 金 额","")</f>
        <v/>
      </c>
      <c r="G2299" s="62" t="str">
        <f aca="false">IF(助手回款!$R$155&lt;&gt;"","贷 方 金 额","")</f>
        <v/>
      </c>
      <c r="H2299" s="63" t="str">
        <f aca="false">IF(助手回款!$R$155&lt;&gt;"","√","")</f>
        <v/>
      </c>
      <c r="I2299" s="64" t="str">
        <f aca="false">IF(助手回款!$R$155&lt;&gt;"","附单据  张","")</f>
        <v/>
      </c>
    </row>
    <row r="2300" customFormat="false" ht="12.75" hidden="false" customHeight="true" outlineLevel="0" collapsed="false">
      <c r="B2300" s="61"/>
      <c r="C2300" s="61"/>
      <c r="D2300" s="23" t="str">
        <f aca="false">IF(助手回款!$R$155&lt;&gt;"","总 账 科 目","")</f>
        <v/>
      </c>
      <c r="E2300" s="23" t="str">
        <f aca="false">IF(助手回款!$R$155&lt;&gt;"","明 细 科 目","")</f>
        <v/>
      </c>
      <c r="F2300" s="65"/>
      <c r="G2300" s="66"/>
      <c r="H2300" s="63"/>
      <c r="I2300" s="64"/>
    </row>
    <row r="2301" customFormat="false" ht="23.25" hidden="false" customHeight="true" outlineLevel="0" collapsed="false">
      <c r="B2301" s="67" t="str">
        <f aca="false">IFERROR(INDEX(分录回款!$M:$M,MATCH($L2301,分录回款!$L:$L,0)),"")</f>
        <v/>
      </c>
      <c r="C2301" s="67"/>
      <c r="D2301" s="23" t="str">
        <f aca="false">IFERROR(INDEX(分录回款!$E:$E,MATCH($L2301,分录回款!$L:$L,0)),"")</f>
        <v/>
      </c>
      <c r="E2301" s="23" t="str">
        <f aca="false">IFERROR(INDEX(分录回款!$F:$F,MATCH($L2301,分录回款!$L:$L,0)),"")</f>
        <v/>
      </c>
      <c r="F2301" s="68" t="str">
        <f aca="false">IFERROR(INDEX(分录回款!$H:$H,MATCH($L2301,分录回款!$L:$L,0)),"")</f>
        <v/>
      </c>
      <c r="G2301" s="69" t="str">
        <f aca="false">IFERROR(INDEX(分录回款!$I:$I,MATCH($L2301,分录回款!$L:$L,0)),"")</f>
        <v/>
      </c>
      <c r="H2301" s="23"/>
      <c r="I2301" s="70"/>
      <c r="L2301" s="71" t="n">
        <f aca="false">IF(助手回款!$R$155="",-1,助手回款!$R$155*100+(助手回款!$S$155-1)*6+1)</f>
        <v>-1</v>
      </c>
    </row>
    <row r="2302" customFormat="false" ht="23.25" hidden="false" customHeight="true" outlineLevel="0" collapsed="false">
      <c r="B2302" s="67" t="str">
        <f aca="false">""</f>
        <v/>
      </c>
      <c r="C2302" s="67"/>
      <c r="D2302" s="23" t="str">
        <f aca="false">IFERROR(INDEX(分录回款!$E:$E,MATCH($L2302,分录回款!$L:$L,0)),"")</f>
        <v/>
      </c>
      <c r="E2302" s="23" t="str">
        <f aca="false">IFERROR(INDEX(分录回款!$F:$F,MATCH($L2302,分录回款!$L:$L,0)),"")</f>
        <v/>
      </c>
      <c r="F2302" s="68" t="str">
        <f aca="false">IFERROR(INDEX(分录回款!$H:$H,MATCH($L2302,分录回款!$L:$L,0)),"")</f>
        <v/>
      </c>
      <c r="G2302" s="69" t="str">
        <f aca="false">IFERROR(INDEX(分录回款!$I:$I,MATCH($L2302,分录回款!$L:$L,0)),"")</f>
        <v/>
      </c>
      <c r="H2302" s="23"/>
      <c r="I2302" s="70"/>
      <c r="L2302" s="71" t="n">
        <f aca="false">IF(助手回款!$R$155="",-1,助手回款!$R$155*100+(助手回款!$S$155-1)*6+2)</f>
        <v>-1</v>
      </c>
    </row>
    <row r="2303" customFormat="false" ht="23.25" hidden="false" customHeight="true" outlineLevel="0" collapsed="false">
      <c r="B2303" s="67" t="str">
        <f aca="false">""</f>
        <v/>
      </c>
      <c r="C2303" s="67"/>
      <c r="D2303" s="23" t="str">
        <f aca="false">IFERROR(INDEX(分录回款!$E:$E,MATCH($L2303,分录回款!$L:$L,0)),"")</f>
        <v/>
      </c>
      <c r="E2303" s="23" t="str">
        <f aca="false">IFERROR(INDEX(分录回款!$F:$F,MATCH($L2303,分录回款!$L:$L,0)),"")</f>
        <v/>
      </c>
      <c r="F2303" s="68" t="str">
        <f aca="false">IFERROR(INDEX(分录回款!$H:$H,MATCH($L2303,分录回款!$L:$L,0)),"")</f>
        <v/>
      </c>
      <c r="G2303" s="69" t="str">
        <f aca="false">IFERROR(INDEX(分录回款!$I:$I,MATCH($L2303,分录回款!$L:$L,0)),"")</f>
        <v/>
      </c>
      <c r="H2303" s="23"/>
      <c r="I2303" s="70"/>
      <c r="L2303" s="71" t="n">
        <f aca="false">IF(助手回款!$R$155="",-1,助手回款!$R$155*100+(助手回款!$S$155-1)*6+3)</f>
        <v>-1</v>
      </c>
    </row>
    <row r="2304" customFormat="false" ht="23.25" hidden="false" customHeight="true" outlineLevel="0" collapsed="false">
      <c r="B2304" s="67" t="str">
        <f aca="false">""</f>
        <v/>
      </c>
      <c r="C2304" s="67"/>
      <c r="D2304" s="23" t="str">
        <f aca="false">IFERROR(INDEX(分录回款!$E:$E,MATCH($L2304,分录回款!$L:$L,0)),"")</f>
        <v/>
      </c>
      <c r="E2304" s="23" t="str">
        <f aca="false">IFERROR(INDEX(分录回款!$F:$F,MATCH($L2304,分录回款!$L:$L,0)),"")</f>
        <v/>
      </c>
      <c r="F2304" s="68" t="str">
        <f aca="false">IFERROR(INDEX(分录回款!$H:$H,MATCH($L2304,分录回款!$L:$L,0)),"")</f>
        <v/>
      </c>
      <c r="G2304" s="69" t="str">
        <f aca="false">IFERROR(INDEX(分录回款!$I:$I,MATCH($L2304,分录回款!$L:$L,0)),"")</f>
        <v/>
      </c>
      <c r="H2304" s="23"/>
      <c r="I2304" s="70"/>
      <c r="L2304" s="71" t="n">
        <f aca="false">IF(助手回款!$R$155="",-1,助手回款!$R$155*100+(助手回款!$S$155-1)*6+4)</f>
        <v>-1</v>
      </c>
    </row>
    <row r="2305" customFormat="false" ht="23.25" hidden="false" customHeight="true" outlineLevel="0" collapsed="false">
      <c r="B2305" s="67" t="str">
        <f aca="false">""</f>
        <v/>
      </c>
      <c r="C2305" s="67"/>
      <c r="D2305" s="23" t="str">
        <f aca="false">IFERROR(INDEX(分录回款!$E:$E,MATCH($L2305,分录回款!$L:$L,0)),"")</f>
        <v/>
      </c>
      <c r="E2305" s="23" t="str">
        <f aca="false">IFERROR(INDEX(分录回款!$F:$F,MATCH($L2305,分录回款!$L:$L,0)),"")</f>
        <v/>
      </c>
      <c r="F2305" s="68" t="str">
        <f aca="false">IFERROR(INDEX(分录回款!$H:$H,MATCH($L2305,分录回款!$L:$L,0)),"")</f>
        <v/>
      </c>
      <c r="G2305" s="69" t="str">
        <f aca="false">IFERROR(INDEX(分录回款!$I:$I,MATCH($L2305,分录回款!$L:$L,0)),"")</f>
        <v/>
      </c>
      <c r="H2305" s="23"/>
      <c r="I2305" s="70"/>
      <c r="L2305" s="71" t="n">
        <f aca="false">IF(助手回款!$R$155="",-1,助手回款!$R$155*100+(助手回款!$S$155-1)*6+5)</f>
        <v>-1</v>
      </c>
    </row>
    <row r="2306" customFormat="false" ht="23.25" hidden="false" customHeight="true" outlineLevel="0" collapsed="false">
      <c r="B2306" s="67" t="str">
        <f aca="false">""</f>
        <v/>
      </c>
      <c r="C2306" s="67"/>
      <c r="D2306" s="23" t="str">
        <f aca="false">IFERROR(INDEX(分录回款!$E:$E,MATCH($L2306,分录回款!$L:$L,0)),"")</f>
        <v/>
      </c>
      <c r="E2306" s="23" t="str">
        <f aca="false">IFERROR(INDEX(分录回款!$F:$F,MATCH($L2306,分录回款!$L:$L,0)),"")</f>
        <v/>
      </c>
      <c r="F2306" s="68" t="str">
        <f aca="false">IFERROR(INDEX(分录回款!$H:$H,MATCH($L2306,分录回款!$L:$L,0)),"")</f>
        <v/>
      </c>
      <c r="G2306" s="69" t="str">
        <f aca="false">IFERROR(INDEX(分录回款!$I:$I,MATCH($L2306,分录回款!$L:$L,0)),"")</f>
        <v/>
      </c>
      <c r="H2306" s="23"/>
      <c r="I2306" s="70"/>
      <c r="L2306" s="71" t="n">
        <f aca="false">IF(助手回款!$R$155="",-1,助手回款!$R$155*100+(助手回款!$S$155-1)*6+6)</f>
        <v>-1</v>
      </c>
    </row>
    <row r="2307" customFormat="false" ht="23.25" hidden="false" customHeight="true" outlineLevel="0" collapsed="false">
      <c r="B2307" s="72" t="str">
        <f aca="false">IF(助手回款!$T$155=1,"合计：","")</f>
        <v/>
      </c>
      <c r="C2307" s="73" t="str">
        <f aca="false">IF(助手回款!$T$155=1,$F2307,"")</f>
        <v/>
      </c>
      <c r="D2307" s="74"/>
      <c r="E2307" s="74"/>
      <c r="F2307" s="75" t="str">
        <f aca="false">IF(助手回款!$T$155=1,INDEX(助手回款!$N$2:$N$66,助手回款!$R$155),"")</f>
        <v/>
      </c>
      <c r="G2307" s="76" t="str">
        <f aca="false">IF(助手回款!$T$155=1,INDEX(助手回款!$O$2:$O$66,助手回款!$R$155),"")</f>
        <v/>
      </c>
      <c r="H2307" s="74"/>
      <c r="I2307" s="77"/>
    </row>
    <row r="2308" customFormat="false" ht="6" hidden="false" customHeight="true" outlineLevel="0" collapsed="false"/>
    <row r="2309" customFormat="false" ht="13.5" hidden="false" customHeight="false" outlineLevel="0" collapsed="false">
      <c r="B2309" s="78" t="str">
        <f aca="false">IF(助手回款!$R$155&lt;&gt;"","会计主管：","")</f>
        <v/>
      </c>
      <c r="D2309" s="78" t="str">
        <f aca="false">IF(助手回款!$R$155&lt;&gt;"","会计：","")</f>
        <v/>
      </c>
      <c r="E2309" s="78" t="str">
        <f aca="false">IF(助手回款!$R$155&lt;&gt;"","出纳：","")</f>
        <v/>
      </c>
      <c r="F2309" s="78" t="str">
        <f aca="false">IF(助手回款!$R$155&lt;&gt;"","复核：","")</f>
        <v/>
      </c>
      <c r="G2309" s="78" t="str">
        <f aca="false">IF(助手回款!$R$155&lt;&gt;"","制单：","")</f>
        <v/>
      </c>
    </row>
    <row r="2310" customFormat="false" ht="3" hidden="false" customHeight="true" outlineLevel="0" collapsed="false"/>
    <row r="2311" customFormat="false" ht="19.5" hidden="false" customHeight="true" outlineLevel="0" collapsed="false">
      <c r="B2311" s="53" t="str">
        <f aca="false">IF(助手回款!$R$156&lt;&gt;"","记  账  凭  证","")</f>
        <v/>
      </c>
      <c r="C2311" s="53"/>
      <c r="D2311" s="53"/>
      <c r="E2311" s="53"/>
      <c r="F2311" s="53"/>
      <c r="G2311" s="53"/>
      <c r="H2311" s="53"/>
      <c r="I2311" s="53"/>
    </row>
    <row r="2312" customFormat="false" ht="3" hidden="false" customHeight="true" outlineLevel="0" collapsed="false"/>
    <row r="2313" customFormat="false" ht="15" hidden="false" customHeight="true" outlineLevel="0" collapsed="false">
      <c r="C2313" s="56" t="str">
        <f aca="false">IF(助手回款!$R$156&lt;&gt;"",INDEX(助手回款!$B$2:$B$66,助手回款!$R$156),"")</f>
        <v/>
      </c>
      <c r="D2313" s="57" t="str">
        <f aca="false">IF(助手回款!$R$156&lt;&gt;"",参数!$B$2,"")</f>
        <v/>
      </c>
      <c r="E2313" s="57"/>
      <c r="F2313" s="58" t="str">
        <f aca="false">IF(助手回款!$R$156&lt;&gt;"",INDEX(助手回款!$C$2:$C$66,助手回款!$R$156)&amp;"  字第 "&amp;IF(参数!$B$9="是",INDEX(助手回款!$P$2:$P$66,助手回款!$R$156),"　　　　")&amp;" 号"&amp;IF(INDEX(助手回款!$L$2:$L$66,助手回款!$R$156)&gt;1,"  (共"&amp;INDEX(助手回款!$L$2:$L$66,助手回款!$R$156)&amp;"页 第"&amp;助手回款!$S$156&amp;"页)",""),"")</f>
        <v/>
      </c>
      <c r="G2313" s="58"/>
      <c r="H2313" s="58"/>
      <c r="I2313" s="58"/>
      <c r="M2313" s="79" t="str">
        <f aca="false">IF(助手回款!$R$156="","",助手回款!$Q$156)</f>
        <v/>
      </c>
      <c r="N2313" s="80" t="str">
        <f aca="false">IF(助手回款!$R$156="","",INDEX(助手回款!$P$2:$P$66,助手回款!$R$156))</f>
        <v/>
      </c>
      <c r="O2313" s="55" t="str">
        <f aca="false">IF(助手回款!$R$156="","",INDEX(助手回款!$C$2:$C$66,助手回款!$R$156)&amp;"  字第 "&amp;INDEX(助手回款!$P$2:$P$66,助手回款!$R$156)&amp;" 号"&amp;IF(INDEX(助手回款!$L$2:$L$66,助手回款!$R$156)&gt;1,"  (共"&amp;INDEX(助手回款!$L$2:$L$66,助手回款!$R$156)&amp;"页 第"&amp;助手回款!$S$156&amp;"页)",""))</f>
        <v/>
      </c>
    </row>
    <row r="2314" customFormat="false" ht="12.75" hidden="false" customHeight="true" outlineLevel="0" collapsed="false">
      <c r="B2314" s="61" t="str">
        <f aca="false">IF(助手回款!$R$156&lt;&gt;"","摘　　要","")</f>
        <v/>
      </c>
      <c r="C2314" s="61"/>
      <c r="D2314" s="62" t="str">
        <f aca="false">IF(助手回款!$R$156&lt;&gt;"","科　　　　目","")</f>
        <v/>
      </c>
      <c r="E2314" s="62"/>
      <c r="F2314" s="61" t="str">
        <f aca="false">IF(助手回款!$R$156&lt;&gt;"","借 方 金 额","")</f>
        <v/>
      </c>
      <c r="G2314" s="62" t="str">
        <f aca="false">IF(助手回款!$R$156&lt;&gt;"","贷 方 金 额","")</f>
        <v/>
      </c>
      <c r="H2314" s="63" t="str">
        <f aca="false">IF(助手回款!$R$156&lt;&gt;"","√","")</f>
        <v/>
      </c>
      <c r="I2314" s="64" t="str">
        <f aca="false">IF(助手回款!$R$156&lt;&gt;"","附单据  张","")</f>
        <v/>
      </c>
    </row>
    <row r="2315" customFormat="false" ht="12.75" hidden="false" customHeight="true" outlineLevel="0" collapsed="false">
      <c r="B2315" s="61"/>
      <c r="C2315" s="61"/>
      <c r="D2315" s="23" t="str">
        <f aca="false">IF(助手回款!$R$156&lt;&gt;"","总 账 科 目","")</f>
        <v/>
      </c>
      <c r="E2315" s="23" t="str">
        <f aca="false">IF(助手回款!$R$156&lt;&gt;"","明 细 科 目","")</f>
        <v/>
      </c>
      <c r="F2315" s="65"/>
      <c r="G2315" s="66"/>
      <c r="H2315" s="63"/>
      <c r="I2315" s="64"/>
    </row>
    <row r="2316" customFormat="false" ht="23.25" hidden="false" customHeight="true" outlineLevel="0" collapsed="false">
      <c r="B2316" s="67" t="str">
        <f aca="false">IFERROR(INDEX(分录回款!$M:$M,MATCH($L2316,分录回款!$L:$L,0)),"")</f>
        <v/>
      </c>
      <c r="C2316" s="67"/>
      <c r="D2316" s="23" t="str">
        <f aca="false">IFERROR(INDEX(分录回款!$E:$E,MATCH($L2316,分录回款!$L:$L,0)),"")</f>
        <v/>
      </c>
      <c r="E2316" s="23" t="str">
        <f aca="false">IFERROR(INDEX(分录回款!$F:$F,MATCH($L2316,分录回款!$L:$L,0)),"")</f>
        <v/>
      </c>
      <c r="F2316" s="68" t="str">
        <f aca="false">IFERROR(INDEX(分录回款!$H:$H,MATCH($L2316,分录回款!$L:$L,0)),"")</f>
        <v/>
      </c>
      <c r="G2316" s="69" t="str">
        <f aca="false">IFERROR(INDEX(分录回款!$I:$I,MATCH($L2316,分录回款!$L:$L,0)),"")</f>
        <v/>
      </c>
      <c r="H2316" s="23"/>
      <c r="I2316" s="70"/>
      <c r="L2316" s="71" t="n">
        <f aca="false">IF(助手回款!$R$156="",-1,助手回款!$R$156*100+(助手回款!$S$156-1)*6+1)</f>
        <v>-1</v>
      </c>
    </row>
    <row r="2317" customFormat="false" ht="23.25" hidden="false" customHeight="true" outlineLevel="0" collapsed="false">
      <c r="B2317" s="67" t="str">
        <f aca="false">""</f>
        <v/>
      </c>
      <c r="C2317" s="67"/>
      <c r="D2317" s="23" t="str">
        <f aca="false">IFERROR(INDEX(分录回款!$E:$E,MATCH($L2317,分录回款!$L:$L,0)),"")</f>
        <v/>
      </c>
      <c r="E2317" s="23" t="str">
        <f aca="false">IFERROR(INDEX(分录回款!$F:$F,MATCH($L2317,分录回款!$L:$L,0)),"")</f>
        <v/>
      </c>
      <c r="F2317" s="68" t="str">
        <f aca="false">IFERROR(INDEX(分录回款!$H:$H,MATCH($L2317,分录回款!$L:$L,0)),"")</f>
        <v/>
      </c>
      <c r="G2317" s="69" t="str">
        <f aca="false">IFERROR(INDEX(分录回款!$I:$I,MATCH($L2317,分录回款!$L:$L,0)),"")</f>
        <v/>
      </c>
      <c r="H2317" s="23"/>
      <c r="I2317" s="70"/>
      <c r="L2317" s="71" t="n">
        <f aca="false">IF(助手回款!$R$156="",-1,助手回款!$R$156*100+(助手回款!$S$156-1)*6+2)</f>
        <v>-1</v>
      </c>
    </row>
    <row r="2318" customFormat="false" ht="23.25" hidden="false" customHeight="true" outlineLevel="0" collapsed="false">
      <c r="B2318" s="67" t="str">
        <f aca="false">""</f>
        <v/>
      </c>
      <c r="C2318" s="67"/>
      <c r="D2318" s="23" t="str">
        <f aca="false">IFERROR(INDEX(分录回款!$E:$E,MATCH($L2318,分录回款!$L:$L,0)),"")</f>
        <v/>
      </c>
      <c r="E2318" s="23" t="str">
        <f aca="false">IFERROR(INDEX(分录回款!$F:$F,MATCH($L2318,分录回款!$L:$L,0)),"")</f>
        <v/>
      </c>
      <c r="F2318" s="68" t="str">
        <f aca="false">IFERROR(INDEX(分录回款!$H:$H,MATCH($L2318,分录回款!$L:$L,0)),"")</f>
        <v/>
      </c>
      <c r="G2318" s="69" t="str">
        <f aca="false">IFERROR(INDEX(分录回款!$I:$I,MATCH($L2318,分录回款!$L:$L,0)),"")</f>
        <v/>
      </c>
      <c r="H2318" s="23"/>
      <c r="I2318" s="70"/>
      <c r="L2318" s="71" t="n">
        <f aca="false">IF(助手回款!$R$156="",-1,助手回款!$R$156*100+(助手回款!$S$156-1)*6+3)</f>
        <v>-1</v>
      </c>
    </row>
    <row r="2319" customFormat="false" ht="23.25" hidden="false" customHeight="true" outlineLevel="0" collapsed="false">
      <c r="B2319" s="67" t="str">
        <f aca="false">""</f>
        <v/>
      </c>
      <c r="C2319" s="67"/>
      <c r="D2319" s="23" t="str">
        <f aca="false">IFERROR(INDEX(分录回款!$E:$E,MATCH($L2319,分录回款!$L:$L,0)),"")</f>
        <v/>
      </c>
      <c r="E2319" s="23" t="str">
        <f aca="false">IFERROR(INDEX(分录回款!$F:$F,MATCH($L2319,分录回款!$L:$L,0)),"")</f>
        <v/>
      </c>
      <c r="F2319" s="68" t="str">
        <f aca="false">IFERROR(INDEX(分录回款!$H:$H,MATCH($L2319,分录回款!$L:$L,0)),"")</f>
        <v/>
      </c>
      <c r="G2319" s="69" t="str">
        <f aca="false">IFERROR(INDEX(分录回款!$I:$I,MATCH($L2319,分录回款!$L:$L,0)),"")</f>
        <v/>
      </c>
      <c r="H2319" s="23"/>
      <c r="I2319" s="70"/>
      <c r="L2319" s="71" t="n">
        <f aca="false">IF(助手回款!$R$156="",-1,助手回款!$R$156*100+(助手回款!$S$156-1)*6+4)</f>
        <v>-1</v>
      </c>
    </row>
    <row r="2320" customFormat="false" ht="23.25" hidden="false" customHeight="true" outlineLevel="0" collapsed="false">
      <c r="B2320" s="67" t="str">
        <f aca="false">""</f>
        <v/>
      </c>
      <c r="C2320" s="67"/>
      <c r="D2320" s="23" t="str">
        <f aca="false">IFERROR(INDEX(分录回款!$E:$E,MATCH($L2320,分录回款!$L:$L,0)),"")</f>
        <v/>
      </c>
      <c r="E2320" s="23" t="str">
        <f aca="false">IFERROR(INDEX(分录回款!$F:$F,MATCH($L2320,分录回款!$L:$L,0)),"")</f>
        <v/>
      </c>
      <c r="F2320" s="68" t="str">
        <f aca="false">IFERROR(INDEX(分录回款!$H:$H,MATCH($L2320,分录回款!$L:$L,0)),"")</f>
        <v/>
      </c>
      <c r="G2320" s="69" t="str">
        <f aca="false">IFERROR(INDEX(分录回款!$I:$I,MATCH($L2320,分录回款!$L:$L,0)),"")</f>
        <v/>
      </c>
      <c r="H2320" s="23"/>
      <c r="I2320" s="70"/>
      <c r="L2320" s="71" t="n">
        <f aca="false">IF(助手回款!$R$156="",-1,助手回款!$R$156*100+(助手回款!$S$156-1)*6+5)</f>
        <v>-1</v>
      </c>
    </row>
    <row r="2321" customFormat="false" ht="23.25" hidden="false" customHeight="true" outlineLevel="0" collapsed="false">
      <c r="B2321" s="67" t="str">
        <f aca="false">""</f>
        <v/>
      </c>
      <c r="C2321" s="67"/>
      <c r="D2321" s="23" t="str">
        <f aca="false">IFERROR(INDEX(分录回款!$E:$E,MATCH($L2321,分录回款!$L:$L,0)),"")</f>
        <v/>
      </c>
      <c r="E2321" s="23" t="str">
        <f aca="false">IFERROR(INDEX(分录回款!$F:$F,MATCH($L2321,分录回款!$L:$L,0)),"")</f>
        <v/>
      </c>
      <c r="F2321" s="68" t="str">
        <f aca="false">IFERROR(INDEX(分录回款!$H:$H,MATCH($L2321,分录回款!$L:$L,0)),"")</f>
        <v/>
      </c>
      <c r="G2321" s="69" t="str">
        <f aca="false">IFERROR(INDEX(分录回款!$I:$I,MATCH($L2321,分录回款!$L:$L,0)),"")</f>
        <v/>
      </c>
      <c r="H2321" s="23"/>
      <c r="I2321" s="70"/>
      <c r="L2321" s="71" t="n">
        <f aca="false">IF(助手回款!$R$156="",-1,助手回款!$R$156*100+(助手回款!$S$156-1)*6+6)</f>
        <v>-1</v>
      </c>
    </row>
    <row r="2322" customFormat="false" ht="23.25" hidden="false" customHeight="true" outlineLevel="0" collapsed="false">
      <c r="B2322" s="72" t="str">
        <f aca="false">IF(助手回款!$T$156=1,"合计：","")</f>
        <v/>
      </c>
      <c r="C2322" s="73" t="str">
        <f aca="false">IF(助手回款!$T$156=1,$F2322,"")</f>
        <v/>
      </c>
      <c r="D2322" s="74"/>
      <c r="E2322" s="74"/>
      <c r="F2322" s="75" t="str">
        <f aca="false">IF(助手回款!$T$156=1,INDEX(助手回款!$N$2:$N$66,助手回款!$R$156),"")</f>
        <v/>
      </c>
      <c r="G2322" s="76" t="str">
        <f aca="false">IF(助手回款!$T$156=1,INDEX(助手回款!$O$2:$O$66,助手回款!$R$156),"")</f>
        <v/>
      </c>
      <c r="H2322" s="74"/>
      <c r="I2322" s="77"/>
    </row>
    <row r="2323" customFormat="false" ht="6" hidden="false" customHeight="true" outlineLevel="0" collapsed="false"/>
    <row r="2324" customFormat="false" ht="13.5" hidden="false" customHeight="false" outlineLevel="0" collapsed="false">
      <c r="B2324" s="78" t="str">
        <f aca="false">IF(助手回款!$R$156&lt;&gt;"","会计主管：","")</f>
        <v/>
      </c>
      <c r="D2324" s="78" t="str">
        <f aca="false">IF(助手回款!$R$156&lt;&gt;"","会计：","")</f>
        <v/>
      </c>
      <c r="E2324" s="78" t="str">
        <f aca="false">IF(助手回款!$R$156&lt;&gt;"","出纳：","")</f>
        <v/>
      </c>
      <c r="F2324" s="78" t="str">
        <f aca="false">IF(助手回款!$R$156&lt;&gt;"","复核：","")</f>
        <v/>
      </c>
      <c r="G2324" s="78" t="str">
        <f aca="false">IF(助手回款!$R$156&lt;&gt;"","制单：","")</f>
        <v/>
      </c>
    </row>
    <row r="2325" customFormat="false" ht="3" hidden="false" customHeight="true" outlineLevel="0" collapsed="false"/>
    <row r="2326" customFormat="false" ht="19.5" hidden="false" customHeight="true" outlineLevel="0" collapsed="false">
      <c r="B2326" s="53" t="str">
        <f aca="false">IF(助手回款!$R$157&lt;&gt;"","记  账  凭  证","")</f>
        <v/>
      </c>
      <c r="C2326" s="53"/>
      <c r="D2326" s="53"/>
      <c r="E2326" s="53"/>
      <c r="F2326" s="53"/>
      <c r="G2326" s="53"/>
      <c r="H2326" s="53"/>
      <c r="I2326" s="53"/>
    </row>
    <row r="2327" customFormat="false" ht="3" hidden="false" customHeight="true" outlineLevel="0" collapsed="false"/>
    <row r="2328" customFormat="false" ht="15" hidden="false" customHeight="true" outlineLevel="0" collapsed="false">
      <c r="C2328" s="56" t="str">
        <f aca="false">IF(助手回款!$R$157&lt;&gt;"",INDEX(助手回款!$B$2:$B$66,助手回款!$R$157),"")</f>
        <v/>
      </c>
      <c r="D2328" s="57" t="str">
        <f aca="false">IF(助手回款!$R$157&lt;&gt;"",参数!$B$2,"")</f>
        <v/>
      </c>
      <c r="E2328" s="57"/>
      <c r="F2328" s="58" t="str">
        <f aca="false">IF(助手回款!$R$157&lt;&gt;"",INDEX(助手回款!$C$2:$C$66,助手回款!$R$157)&amp;"  字第 "&amp;IF(参数!$B$9="是",INDEX(助手回款!$P$2:$P$66,助手回款!$R$157),"　　　　")&amp;" 号"&amp;IF(INDEX(助手回款!$L$2:$L$66,助手回款!$R$157)&gt;1,"  (共"&amp;INDEX(助手回款!$L$2:$L$66,助手回款!$R$157)&amp;"页 第"&amp;助手回款!$S$157&amp;"页)",""),"")</f>
        <v/>
      </c>
      <c r="G2328" s="58"/>
      <c r="H2328" s="58"/>
      <c r="I2328" s="58"/>
      <c r="M2328" s="79" t="str">
        <f aca="false">IF(助手回款!$R$157="","",助手回款!$Q$157)</f>
        <v/>
      </c>
      <c r="N2328" s="80" t="str">
        <f aca="false">IF(助手回款!$R$157="","",INDEX(助手回款!$P$2:$P$66,助手回款!$R$157))</f>
        <v/>
      </c>
      <c r="O2328" s="55" t="str">
        <f aca="false">IF(助手回款!$R$157="","",INDEX(助手回款!$C$2:$C$66,助手回款!$R$157)&amp;"  字第 "&amp;INDEX(助手回款!$P$2:$P$66,助手回款!$R$157)&amp;" 号"&amp;IF(INDEX(助手回款!$L$2:$L$66,助手回款!$R$157)&gt;1,"  (共"&amp;INDEX(助手回款!$L$2:$L$66,助手回款!$R$157)&amp;"页 第"&amp;助手回款!$S$157&amp;"页)",""))</f>
        <v/>
      </c>
    </row>
    <row r="2329" customFormat="false" ht="12.75" hidden="false" customHeight="true" outlineLevel="0" collapsed="false">
      <c r="B2329" s="61" t="str">
        <f aca="false">IF(助手回款!$R$157&lt;&gt;"","摘　　要","")</f>
        <v/>
      </c>
      <c r="C2329" s="61"/>
      <c r="D2329" s="62" t="str">
        <f aca="false">IF(助手回款!$R$157&lt;&gt;"","科　　　　目","")</f>
        <v/>
      </c>
      <c r="E2329" s="62"/>
      <c r="F2329" s="61" t="str">
        <f aca="false">IF(助手回款!$R$157&lt;&gt;"","借 方 金 额","")</f>
        <v/>
      </c>
      <c r="G2329" s="62" t="str">
        <f aca="false">IF(助手回款!$R$157&lt;&gt;"","贷 方 金 额","")</f>
        <v/>
      </c>
      <c r="H2329" s="63" t="str">
        <f aca="false">IF(助手回款!$R$157&lt;&gt;"","√","")</f>
        <v/>
      </c>
      <c r="I2329" s="64" t="str">
        <f aca="false">IF(助手回款!$R$157&lt;&gt;"","附单据  张","")</f>
        <v/>
      </c>
    </row>
    <row r="2330" customFormat="false" ht="12.75" hidden="false" customHeight="true" outlineLevel="0" collapsed="false">
      <c r="B2330" s="61"/>
      <c r="C2330" s="61"/>
      <c r="D2330" s="23" t="str">
        <f aca="false">IF(助手回款!$R$157&lt;&gt;"","总 账 科 目","")</f>
        <v/>
      </c>
      <c r="E2330" s="23" t="str">
        <f aca="false">IF(助手回款!$R$157&lt;&gt;"","明 细 科 目","")</f>
        <v/>
      </c>
      <c r="F2330" s="65"/>
      <c r="G2330" s="66"/>
      <c r="H2330" s="63"/>
      <c r="I2330" s="64"/>
    </row>
    <row r="2331" customFormat="false" ht="23.25" hidden="false" customHeight="true" outlineLevel="0" collapsed="false">
      <c r="B2331" s="67" t="str">
        <f aca="false">IFERROR(INDEX(分录回款!$M:$M,MATCH($L2331,分录回款!$L:$L,0)),"")</f>
        <v/>
      </c>
      <c r="C2331" s="67"/>
      <c r="D2331" s="23" t="str">
        <f aca="false">IFERROR(INDEX(分录回款!$E:$E,MATCH($L2331,分录回款!$L:$L,0)),"")</f>
        <v/>
      </c>
      <c r="E2331" s="23" t="str">
        <f aca="false">IFERROR(INDEX(分录回款!$F:$F,MATCH($L2331,分录回款!$L:$L,0)),"")</f>
        <v/>
      </c>
      <c r="F2331" s="68" t="str">
        <f aca="false">IFERROR(INDEX(分录回款!$H:$H,MATCH($L2331,分录回款!$L:$L,0)),"")</f>
        <v/>
      </c>
      <c r="G2331" s="69" t="str">
        <f aca="false">IFERROR(INDEX(分录回款!$I:$I,MATCH($L2331,分录回款!$L:$L,0)),"")</f>
        <v/>
      </c>
      <c r="H2331" s="23"/>
      <c r="I2331" s="70"/>
      <c r="L2331" s="71" t="n">
        <f aca="false">IF(助手回款!$R$157="",-1,助手回款!$R$157*100+(助手回款!$S$157-1)*6+1)</f>
        <v>-1</v>
      </c>
    </row>
    <row r="2332" customFormat="false" ht="23.25" hidden="false" customHeight="true" outlineLevel="0" collapsed="false">
      <c r="B2332" s="67" t="str">
        <f aca="false">""</f>
        <v/>
      </c>
      <c r="C2332" s="67"/>
      <c r="D2332" s="23" t="str">
        <f aca="false">IFERROR(INDEX(分录回款!$E:$E,MATCH($L2332,分录回款!$L:$L,0)),"")</f>
        <v/>
      </c>
      <c r="E2332" s="23" t="str">
        <f aca="false">IFERROR(INDEX(分录回款!$F:$F,MATCH($L2332,分录回款!$L:$L,0)),"")</f>
        <v/>
      </c>
      <c r="F2332" s="68" t="str">
        <f aca="false">IFERROR(INDEX(分录回款!$H:$H,MATCH($L2332,分录回款!$L:$L,0)),"")</f>
        <v/>
      </c>
      <c r="G2332" s="69" t="str">
        <f aca="false">IFERROR(INDEX(分录回款!$I:$I,MATCH($L2332,分录回款!$L:$L,0)),"")</f>
        <v/>
      </c>
      <c r="H2332" s="23"/>
      <c r="I2332" s="70"/>
      <c r="L2332" s="71" t="n">
        <f aca="false">IF(助手回款!$R$157="",-1,助手回款!$R$157*100+(助手回款!$S$157-1)*6+2)</f>
        <v>-1</v>
      </c>
    </row>
    <row r="2333" customFormat="false" ht="23.25" hidden="false" customHeight="true" outlineLevel="0" collapsed="false">
      <c r="B2333" s="67" t="str">
        <f aca="false">""</f>
        <v/>
      </c>
      <c r="C2333" s="67"/>
      <c r="D2333" s="23" t="str">
        <f aca="false">IFERROR(INDEX(分录回款!$E:$E,MATCH($L2333,分录回款!$L:$L,0)),"")</f>
        <v/>
      </c>
      <c r="E2333" s="23" t="str">
        <f aca="false">IFERROR(INDEX(分录回款!$F:$F,MATCH($L2333,分录回款!$L:$L,0)),"")</f>
        <v/>
      </c>
      <c r="F2333" s="68" t="str">
        <f aca="false">IFERROR(INDEX(分录回款!$H:$H,MATCH($L2333,分录回款!$L:$L,0)),"")</f>
        <v/>
      </c>
      <c r="G2333" s="69" t="str">
        <f aca="false">IFERROR(INDEX(分录回款!$I:$I,MATCH($L2333,分录回款!$L:$L,0)),"")</f>
        <v/>
      </c>
      <c r="H2333" s="23"/>
      <c r="I2333" s="70"/>
      <c r="L2333" s="71" t="n">
        <f aca="false">IF(助手回款!$R$157="",-1,助手回款!$R$157*100+(助手回款!$S$157-1)*6+3)</f>
        <v>-1</v>
      </c>
    </row>
    <row r="2334" customFormat="false" ht="23.25" hidden="false" customHeight="true" outlineLevel="0" collapsed="false">
      <c r="B2334" s="67" t="str">
        <f aca="false">""</f>
        <v/>
      </c>
      <c r="C2334" s="67"/>
      <c r="D2334" s="23" t="str">
        <f aca="false">IFERROR(INDEX(分录回款!$E:$E,MATCH($L2334,分录回款!$L:$L,0)),"")</f>
        <v/>
      </c>
      <c r="E2334" s="23" t="str">
        <f aca="false">IFERROR(INDEX(分录回款!$F:$F,MATCH($L2334,分录回款!$L:$L,0)),"")</f>
        <v/>
      </c>
      <c r="F2334" s="68" t="str">
        <f aca="false">IFERROR(INDEX(分录回款!$H:$H,MATCH($L2334,分录回款!$L:$L,0)),"")</f>
        <v/>
      </c>
      <c r="G2334" s="69" t="str">
        <f aca="false">IFERROR(INDEX(分录回款!$I:$I,MATCH($L2334,分录回款!$L:$L,0)),"")</f>
        <v/>
      </c>
      <c r="H2334" s="23"/>
      <c r="I2334" s="70"/>
      <c r="L2334" s="71" t="n">
        <f aca="false">IF(助手回款!$R$157="",-1,助手回款!$R$157*100+(助手回款!$S$157-1)*6+4)</f>
        <v>-1</v>
      </c>
    </row>
    <row r="2335" customFormat="false" ht="23.25" hidden="false" customHeight="true" outlineLevel="0" collapsed="false">
      <c r="B2335" s="67" t="str">
        <f aca="false">""</f>
        <v/>
      </c>
      <c r="C2335" s="67"/>
      <c r="D2335" s="23" t="str">
        <f aca="false">IFERROR(INDEX(分录回款!$E:$E,MATCH($L2335,分录回款!$L:$L,0)),"")</f>
        <v/>
      </c>
      <c r="E2335" s="23" t="str">
        <f aca="false">IFERROR(INDEX(分录回款!$F:$F,MATCH($L2335,分录回款!$L:$L,0)),"")</f>
        <v/>
      </c>
      <c r="F2335" s="68" t="str">
        <f aca="false">IFERROR(INDEX(分录回款!$H:$H,MATCH($L2335,分录回款!$L:$L,0)),"")</f>
        <v/>
      </c>
      <c r="G2335" s="69" t="str">
        <f aca="false">IFERROR(INDEX(分录回款!$I:$I,MATCH($L2335,分录回款!$L:$L,0)),"")</f>
        <v/>
      </c>
      <c r="H2335" s="23"/>
      <c r="I2335" s="70"/>
      <c r="L2335" s="71" t="n">
        <f aca="false">IF(助手回款!$R$157="",-1,助手回款!$R$157*100+(助手回款!$S$157-1)*6+5)</f>
        <v>-1</v>
      </c>
    </row>
    <row r="2336" customFormat="false" ht="23.25" hidden="false" customHeight="true" outlineLevel="0" collapsed="false">
      <c r="B2336" s="67" t="str">
        <f aca="false">""</f>
        <v/>
      </c>
      <c r="C2336" s="67"/>
      <c r="D2336" s="23" t="str">
        <f aca="false">IFERROR(INDEX(分录回款!$E:$E,MATCH($L2336,分录回款!$L:$L,0)),"")</f>
        <v/>
      </c>
      <c r="E2336" s="23" t="str">
        <f aca="false">IFERROR(INDEX(分录回款!$F:$F,MATCH($L2336,分录回款!$L:$L,0)),"")</f>
        <v/>
      </c>
      <c r="F2336" s="68" t="str">
        <f aca="false">IFERROR(INDEX(分录回款!$H:$H,MATCH($L2336,分录回款!$L:$L,0)),"")</f>
        <v/>
      </c>
      <c r="G2336" s="69" t="str">
        <f aca="false">IFERROR(INDEX(分录回款!$I:$I,MATCH($L2336,分录回款!$L:$L,0)),"")</f>
        <v/>
      </c>
      <c r="H2336" s="23"/>
      <c r="I2336" s="70"/>
      <c r="L2336" s="71" t="n">
        <f aca="false">IF(助手回款!$R$157="",-1,助手回款!$R$157*100+(助手回款!$S$157-1)*6+6)</f>
        <v>-1</v>
      </c>
    </row>
    <row r="2337" customFormat="false" ht="23.25" hidden="false" customHeight="true" outlineLevel="0" collapsed="false">
      <c r="B2337" s="72" t="str">
        <f aca="false">IF(助手回款!$T$157=1,"合计：","")</f>
        <v/>
      </c>
      <c r="C2337" s="73" t="str">
        <f aca="false">IF(助手回款!$T$157=1,$F2337,"")</f>
        <v/>
      </c>
      <c r="D2337" s="74"/>
      <c r="E2337" s="74"/>
      <c r="F2337" s="75" t="str">
        <f aca="false">IF(助手回款!$T$157=1,INDEX(助手回款!$N$2:$N$66,助手回款!$R$157),"")</f>
        <v/>
      </c>
      <c r="G2337" s="76" t="str">
        <f aca="false">IF(助手回款!$T$157=1,INDEX(助手回款!$O$2:$O$66,助手回款!$R$157),"")</f>
        <v/>
      </c>
      <c r="H2337" s="74"/>
      <c r="I2337" s="77"/>
    </row>
    <row r="2338" customFormat="false" ht="6" hidden="false" customHeight="true" outlineLevel="0" collapsed="false"/>
    <row r="2339" customFormat="false" ht="13.5" hidden="false" customHeight="false" outlineLevel="0" collapsed="false">
      <c r="B2339" s="78" t="str">
        <f aca="false">IF(助手回款!$R$157&lt;&gt;"","会计主管：","")</f>
        <v/>
      </c>
      <c r="D2339" s="78" t="str">
        <f aca="false">IF(助手回款!$R$157&lt;&gt;"","会计：","")</f>
        <v/>
      </c>
      <c r="E2339" s="78" t="str">
        <f aca="false">IF(助手回款!$R$157&lt;&gt;"","出纳：","")</f>
        <v/>
      </c>
      <c r="F2339" s="78" t="str">
        <f aca="false">IF(助手回款!$R$157&lt;&gt;"","复核：","")</f>
        <v/>
      </c>
      <c r="G2339" s="78" t="str">
        <f aca="false">IF(助手回款!$R$157&lt;&gt;"","制单：","")</f>
        <v/>
      </c>
    </row>
    <row r="2340" customFormat="false" ht="3" hidden="false" customHeight="true" outlineLevel="0" collapsed="false"/>
    <row r="2341" customFormat="false" ht="19.5" hidden="false" customHeight="true" outlineLevel="0" collapsed="false">
      <c r="B2341" s="53" t="str">
        <f aca="false">IF(助手回款!$R$158&lt;&gt;"","记  账  凭  证","")</f>
        <v/>
      </c>
      <c r="C2341" s="53"/>
      <c r="D2341" s="53"/>
      <c r="E2341" s="53"/>
      <c r="F2341" s="53"/>
      <c r="G2341" s="53"/>
      <c r="H2341" s="53"/>
      <c r="I2341" s="53"/>
    </row>
    <row r="2342" customFormat="false" ht="3" hidden="false" customHeight="true" outlineLevel="0" collapsed="false"/>
    <row r="2343" customFormat="false" ht="15" hidden="false" customHeight="true" outlineLevel="0" collapsed="false">
      <c r="C2343" s="56" t="str">
        <f aca="false">IF(助手回款!$R$158&lt;&gt;"",INDEX(助手回款!$B$2:$B$66,助手回款!$R$158),"")</f>
        <v/>
      </c>
      <c r="D2343" s="57" t="str">
        <f aca="false">IF(助手回款!$R$158&lt;&gt;"",参数!$B$2,"")</f>
        <v/>
      </c>
      <c r="E2343" s="57"/>
      <c r="F2343" s="58" t="str">
        <f aca="false">IF(助手回款!$R$158&lt;&gt;"",INDEX(助手回款!$C$2:$C$66,助手回款!$R$158)&amp;"  字第 "&amp;IF(参数!$B$9="是",INDEX(助手回款!$P$2:$P$66,助手回款!$R$158),"　　　　")&amp;" 号"&amp;IF(INDEX(助手回款!$L$2:$L$66,助手回款!$R$158)&gt;1,"  (共"&amp;INDEX(助手回款!$L$2:$L$66,助手回款!$R$158)&amp;"页 第"&amp;助手回款!$S$158&amp;"页)",""),"")</f>
        <v/>
      </c>
      <c r="G2343" s="58"/>
      <c r="H2343" s="58"/>
      <c r="I2343" s="58"/>
      <c r="M2343" s="79" t="str">
        <f aca="false">IF(助手回款!$R$158="","",助手回款!$Q$158)</f>
        <v/>
      </c>
      <c r="N2343" s="80" t="str">
        <f aca="false">IF(助手回款!$R$158="","",INDEX(助手回款!$P$2:$P$66,助手回款!$R$158))</f>
        <v/>
      </c>
      <c r="O2343" s="55" t="str">
        <f aca="false">IF(助手回款!$R$158="","",INDEX(助手回款!$C$2:$C$66,助手回款!$R$158)&amp;"  字第 "&amp;INDEX(助手回款!$P$2:$P$66,助手回款!$R$158)&amp;" 号"&amp;IF(INDEX(助手回款!$L$2:$L$66,助手回款!$R$158)&gt;1,"  (共"&amp;INDEX(助手回款!$L$2:$L$66,助手回款!$R$158)&amp;"页 第"&amp;助手回款!$S$158&amp;"页)",""))</f>
        <v/>
      </c>
    </row>
    <row r="2344" customFormat="false" ht="12.75" hidden="false" customHeight="true" outlineLevel="0" collapsed="false">
      <c r="B2344" s="61" t="str">
        <f aca="false">IF(助手回款!$R$158&lt;&gt;"","摘　　要","")</f>
        <v/>
      </c>
      <c r="C2344" s="61"/>
      <c r="D2344" s="62" t="str">
        <f aca="false">IF(助手回款!$R$158&lt;&gt;"","科　　　　目","")</f>
        <v/>
      </c>
      <c r="E2344" s="62"/>
      <c r="F2344" s="61" t="str">
        <f aca="false">IF(助手回款!$R$158&lt;&gt;"","借 方 金 额","")</f>
        <v/>
      </c>
      <c r="G2344" s="62" t="str">
        <f aca="false">IF(助手回款!$R$158&lt;&gt;"","贷 方 金 额","")</f>
        <v/>
      </c>
      <c r="H2344" s="63" t="str">
        <f aca="false">IF(助手回款!$R$158&lt;&gt;"","√","")</f>
        <v/>
      </c>
      <c r="I2344" s="64" t="str">
        <f aca="false">IF(助手回款!$R$158&lt;&gt;"","附单据  张","")</f>
        <v/>
      </c>
    </row>
    <row r="2345" customFormat="false" ht="12.75" hidden="false" customHeight="true" outlineLevel="0" collapsed="false">
      <c r="B2345" s="61"/>
      <c r="C2345" s="61"/>
      <c r="D2345" s="23" t="str">
        <f aca="false">IF(助手回款!$R$158&lt;&gt;"","总 账 科 目","")</f>
        <v/>
      </c>
      <c r="E2345" s="23" t="str">
        <f aca="false">IF(助手回款!$R$158&lt;&gt;"","明 细 科 目","")</f>
        <v/>
      </c>
      <c r="F2345" s="65"/>
      <c r="G2345" s="66"/>
      <c r="H2345" s="63"/>
      <c r="I2345" s="64"/>
    </row>
    <row r="2346" customFormat="false" ht="23.25" hidden="false" customHeight="true" outlineLevel="0" collapsed="false">
      <c r="B2346" s="67" t="str">
        <f aca="false">IFERROR(INDEX(分录回款!$M:$M,MATCH($L2346,分录回款!$L:$L,0)),"")</f>
        <v/>
      </c>
      <c r="C2346" s="67"/>
      <c r="D2346" s="23" t="str">
        <f aca="false">IFERROR(INDEX(分录回款!$E:$E,MATCH($L2346,分录回款!$L:$L,0)),"")</f>
        <v/>
      </c>
      <c r="E2346" s="23" t="str">
        <f aca="false">IFERROR(INDEX(分录回款!$F:$F,MATCH($L2346,分录回款!$L:$L,0)),"")</f>
        <v/>
      </c>
      <c r="F2346" s="68" t="str">
        <f aca="false">IFERROR(INDEX(分录回款!$H:$H,MATCH($L2346,分录回款!$L:$L,0)),"")</f>
        <v/>
      </c>
      <c r="G2346" s="69" t="str">
        <f aca="false">IFERROR(INDEX(分录回款!$I:$I,MATCH($L2346,分录回款!$L:$L,0)),"")</f>
        <v/>
      </c>
      <c r="H2346" s="23"/>
      <c r="I2346" s="70"/>
      <c r="L2346" s="71" t="n">
        <f aca="false">IF(助手回款!$R$158="",-1,助手回款!$R$158*100+(助手回款!$S$158-1)*6+1)</f>
        <v>-1</v>
      </c>
    </row>
    <row r="2347" customFormat="false" ht="23.25" hidden="false" customHeight="true" outlineLevel="0" collapsed="false">
      <c r="B2347" s="67" t="str">
        <f aca="false">""</f>
        <v/>
      </c>
      <c r="C2347" s="67"/>
      <c r="D2347" s="23" t="str">
        <f aca="false">IFERROR(INDEX(分录回款!$E:$E,MATCH($L2347,分录回款!$L:$L,0)),"")</f>
        <v/>
      </c>
      <c r="E2347" s="23" t="str">
        <f aca="false">IFERROR(INDEX(分录回款!$F:$F,MATCH($L2347,分录回款!$L:$L,0)),"")</f>
        <v/>
      </c>
      <c r="F2347" s="68" t="str">
        <f aca="false">IFERROR(INDEX(分录回款!$H:$H,MATCH($L2347,分录回款!$L:$L,0)),"")</f>
        <v/>
      </c>
      <c r="G2347" s="69" t="str">
        <f aca="false">IFERROR(INDEX(分录回款!$I:$I,MATCH($L2347,分录回款!$L:$L,0)),"")</f>
        <v/>
      </c>
      <c r="H2347" s="23"/>
      <c r="I2347" s="70"/>
      <c r="L2347" s="71" t="n">
        <f aca="false">IF(助手回款!$R$158="",-1,助手回款!$R$158*100+(助手回款!$S$158-1)*6+2)</f>
        <v>-1</v>
      </c>
    </row>
    <row r="2348" customFormat="false" ht="23.25" hidden="false" customHeight="true" outlineLevel="0" collapsed="false">
      <c r="B2348" s="67" t="str">
        <f aca="false">""</f>
        <v/>
      </c>
      <c r="C2348" s="67"/>
      <c r="D2348" s="23" t="str">
        <f aca="false">IFERROR(INDEX(分录回款!$E:$E,MATCH($L2348,分录回款!$L:$L,0)),"")</f>
        <v/>
      </c>
      <c r="E2348" s="23" t="str">
        <f aca="false">IFERROR(INDEX(分录回款!$F:$F,MATCH($L2348,分录回款!$L:$L,0)),"")</f>
        <v/>
      </c>
      <c r="F2348" s="68" t="str">
        <f aca="false">IFERROR(INDEX(分录回款!$H:$H,MATCH($L2348,分录回款!$L:$L,0)),"")</f>
        <v/>
      </c>
      <c r="G2348" s="69" t="str">
        <f aca="false">IFERROR(INDEX(分录回款!$I:$I,MATCH($L2348,分录回款!$L:$L,0)),"")</f>
        <v/>
      </c>
      <c r="H2348" s="23"/>
      <c r="I2348" s="70"/>
      <c r="L2348" s="71" t="n">
        <f aca="false">IF(助手回款!$R$158="",-1,助手回款!$R$158*100+(助手回款!$S$158-1)*6+3)</f>
        <v>-1</v>
      </c>
    </row>
    <row r="2349" customFormat="false" ht="23.25" hidden="false" customHeight="true" outlineLevel="0" collapsed="false">
      <c r="B2349" s="67" t="str">
        <f aca="false">""</f>
        <v/>
      </c>
      <c r="C2349" s="67"/>
      <c r="D2349" s="23" t="str">
        <f aca="false">IFERROR(INDEX(分录回款!$E:$E,MATCH($L2349,分录回款!$L:$L,0)),"")</f>
        <v/>
      </c>
      <c r="E2349" s="23" t="str">
        <f aca="false">IFERROR(INDEX(分录回款!$F:$F,MATCH($L2349,分录回款!$L:$L,0)),"")</f>
        <v/>
      </c>
      <c r="F2349" s="68" t="str">
        <f aca="false">IFERROR(INDEX(分录回款!$H:$H,MATCH($L2349,分录回款!$L:$L,0)),"")</f>
        <v/>
      </c>
      <c r="G2349" s="69" t="str">
        <f aca="false">IFERROR(INDEX(分录回款!$I:$I,MATCH($L2349,分录回款!$L:$L,0)),"")</f>
        <v/>
      </c>
      <c r="H2349" s="23"/>
      <c r="I2349" s="70"/>
      <c r="L2349" s="71" t="n">
        <f aca="false">IF(助手回款!$R$158="",-1,助手回款!$R$158*100+(助手回款!$S$158-1)*6+4)</f>
        <v>-1</v>
      </c>
    </row>
    <row r="2350" customFormat="false" ht="23.25" hidden="false" customHeight="true" outlineLevel="0" collapsed="false">
      <c r="B2350" s="67" t="str">
        <f aca="false">""</f>
        <v/>
      </c>
      <c r="C2350" s="67"/>
      <c r="D2350" s="23" t="str">
        <f aca="false">IFERROR(INDEX(分录回款!$E:$E,MATCH($L2350,分录回款!$L:$L,0)),"")</f>
        <v/>
      </c>
      <c r="E2350" s="23" t="str">
        <f aca="false">IFERROR(INDEX(分录回款!$F:$F,MATCH($L2350,分录回款!$L:$L,0)),"")</f>
        <v/>
      </c>
      <c r="F2350" s="68" t="str">
        <f aca="false">IFERROR(INDEX(分录回款!$H:$H,MATCH($L2350,分录回款!$L:$L,0)),"")</f>
        <v/>
      </c>
      <c r="G2350" s="69" t="str">
        <f aca="false">IFERROR(INDEX(分录回款!$I:$I,MATCH($L2350,分录回款!$L:$L,0)),"")</f>
        <v/>
      </c>
      <c r="H2350" s="23"/>
      <c r="I2350" s="70"/>
      <c r="L2350" s="71" t="n">
        <f aca="false">IF(助手回款!$R$158="",-1,助手回款!$R$158*100+(助手回款!$S$158-1)*6+5)</f>
        <v>-1</v>
      </c>
    </row>
    <row r="2351" customFormat="false" ht="23.25" hidden="false" customHeight="true" outlineLevel="0" collapsed="false">
      <c r="B2351" s="67" t="str">
        <f aca="false">""</f>
        <v/>
      </c>
      <c r="C2351" s="67"/>
      <c r="D2351" s="23" t="str">
        <f aca="false">IFERROR(INDEX(分录回款!$E:$E,MATCH($L2351,分录回款!$L:$L,0)),"")</f>
        <v/>
      </c>
      <c r="E2351" s="23" t="str">
        <f aca="false">IFERROR(INDEX(分录回款!$F:$F,MATCH($L2351,分录回款!$L:$L,0)),"")</f>
        <v/>
      </c>
      <c r="F2351" s="68" t="str">
        <f aca="false">IFERROR(INDEX(分录回款!$H:$H,MATCH($L2351,分录回款!$L:$L,0)),"")</f>
        <v/>
      </c>
      <c r="G2351" s="69" t="str">
        <f aca="false">IFERROR(INDEX(分录回款!$I:$I,MATCH($L2351,分录回款!$L:$L,0)),"")</f>
        <v/>
      </c>
      <c r="H2351" s="23"/>
      <c r="I2351" s="70"/>
      <c r="L2351" s="71" t="n">
        <f aca="false">IF(助手回款!$R$158="",-1,助手回款!$R$158*100+(助手回款!$S$158-1)*6+6)</f>
        <v>-1</v>
      </c>
    </row>
    <row r="2352" customFormat="false" ht="23.25" hidden="false" customHeight="true" outlineLevel="0" collapsed="false">
      <c r="B2352" s="72" t="str">
        <f aca="false">IF(助手回款!$T$158=1,"合计：","")</f>
        <v/>
      </c>
      <c r="C2352" s="73" t="str">
        <f aca="false">IF(助手回款!$T$158=1,$F2352,"")</f>
        <v/>
      </c>
      <c r="D2352" s="74"/>
      <c r="E2352" s="74"/>
      <c r="F2352" s="75" t="str">
        <f aca="false">IF(助手回款!$T$158=1,INDEX(助手回款!$N$2:$N$66,助手回款!$R$158),"")</f>
        <v/>
      </c>
      <c r="G2352" s="76" t="str">
        <f aca="false">IF(助手回款!$T$158=1,INDEX(助手回款!$O$2:$O$66,助手回款!$R$158),"")</f>
        <v/>
      </c>
      <c r="H2352" s="74"/>
      <c r="I2352" s="77"/>
    </row>
    <row r="2353" customFormat="false" ht="6" hidden="false" customHeight="true" outlineLevel="0" collapsed="false"/>
    <row r="2354" customFormat="false" ht="13.5" hidden="false" customHeight="false" outlineLevel="0" collapsed="false">
      <c r="B2354" s="78" t="str">
        <f aca="false">IF(助手回款!$R$158&lt;&gt;"","会计主管：","")</f>
        <v/>
      </c>
      <c r="D2354" s="78" t="str">
        <f aca="false">IF(助手回款!$R$158&lt;&gt;"","会计：","")</f>
        <v/>
      </c>
      <c r="E2354" s="78" t="str">
        <f aca="false">IF(助手回款!$R$158&lt;&gt;"","出纳：","")</f>
        <v/>
      </c>
      <c r="F2354" s="78" t="str">
        <f aca="false">IF(助手回款!$R$158&lt;&gt;"","复核：","")</f>
        <v/>
      </c>
      <c r="G2354" s="78" t="str">
        <f aca="false">IF(助手回款!$R$158&lt;&gt;"","制单：","")</f>
        <v/>
      </c>
    </row>
    <row r="2355" customFormat="false" ht="3" hidden="false" customHeight="true" outlineLevel="0" collapsed="false"/>
    <row r="2356" customFormat="false" ht="19.5" hidden="false" customHeight="true" outlineLevel="0" collapsed="false">
      <c r="B2356" s="53" t="str">
        <f aca="false">IF(助手回款!$R$159&lt;&gt;"","记  账  凭  证","")</f>
        <v/>
      </c>
      <c r="C2356" s="53"/>
      <c r="D2356" s="53"/>
      <c r="E2356" s="53"/>
      <c r="F2356" s="53"/>
      <c r="G2356" s="53"/>
      <c r="H2356" s="53"/>
      <c r="I2356" s="53"/>
    </row>
    <row r="2357" customFormat="false" ht="3" hidden="false" customHeight="true" outlineLevel="0" collapsed="false"/>
    <row r="2358" customFormat="false" ht="15" hidden="false" customHeight="true" outlineLevel="0" collapsed="false">
      <c r="C2358" s="56" t="str">
        <f aca="false">IF(助手回款!$R$159&lt;&gt;"",INDEX(助手回款!$B$2:$B$66,助手回款!$R$159),"")</f>
        <v/>
      </c>
      <c r="D2358" s="57" t="str">
        <f aca="false">IF(助手回款!$R$159&lt;&gt;"",参数!$B$2,"")</f>
        <v/>
      </c>
      <c r="E2358" s="57"/>
      <c r="F2358" s="58" t="str">
        <f aca="false">IF(助手回款!$R$159&lt;&gt;"",INDEX(助手回款!$C$2:$C$66,助手回款!$R$159)&amp;"  字第 "&amp;IF(参数!$B$9="是",INDEX(助手回款!$P$2:$P$66,助手回款!$R$159),"　　　　")&amp;" 号"&amp;IF(INDEX(助手回款!$L$2:$L$66,助手回款!$R$159)&gt;1,"  (共"&amp;INDEX(助手回款!$L$2:$L$66,助手回款!$R$159)&amp;"页 第"&amp;助手回款!$S$159&amp;"页)",""),"")</f>
        <v/>
      </c>
      <c r="G2358" s="58"/>
      <c r="H2358" s="58"/>
      <c r="I2358" s="58"/>
      <c r="M2358" s="79" t="str">
        <f aca="false">IF(助手回款!$R$159="","",助手回款!$Q$159)</f>
        <v/>
      </c>
      <c r="N2358" s="80" t="str">
        <f aca="false">IF(助手回款!$R$159="","",INDEX(助手回款!$P$2:$P$66,助手回款!$R$159))</f>
        <v/>
      </c>
      <c r="O2358" s="55" t="str">
        <f aca="false">IF(助手回款!$R$159="","",INDEX(助手回款!$C$2:$C$66,助手回款!$R$159)&amp;"  字第 "&amp;INDEX(助手回款!$P$2:$P$66,助手回款!$R$159)&amp;" 号"&amp;IF(INDEX(助手回款!$L$2:$L$66,助手回款!$R$159)&gt;1,"  (共"&amp;INDEX(助手回款!$L$2:$L$66,助手回款!$R$159)&amp;"页 第"&amp;助手回款!$S$159&amp;"页)",""))</f>
        <v/>
      </c>
    </row>
    <row r="2359" customFormat="false" ht="12.75" hidden="false" customHeight="true" outlineLevel="0" collapsed="false">
      <c r="B2359" s="61" t="str">
        <f aca="false">IF(助手回款!$R$159&lt;&gt;"","摘　　要","")</f>
        <v/>
      </c>
      <c r="C2359" s="61"/>
      <c r="D2359" s="62" t="str">
        <f aca="false">IF(助手回款!$R$159&lt;&gt;"","科　　　　目","")</f>
        <v/>
      </c>
      <c r="E2359" s="62"/>
      <c r="F2359" s="61" t="str">
        <f aca="false">IF(助手回款!$R$159&lt;&gt;"","借 方 金 额","")</f>
        <v/>
      </c>
      <c r="G2359" s="62" t="str">
        <f aca="false">IF(助手回款!$R$159&lt;&gt;"","贷 方 金 额","")</f>
        <v/>
      </c>
      <c r="H2359" s="63" t="str">
        <f aca="false">IF(助手回款!$R$159&lt;&gt;"","√","")</f>
        <v/>
      </c>
      <c r="I2359" s="64" t="str">
        <f aca="false">IF(助手回款!$R$159&lt;&gt;"","附单据  张","")</f>
        <v/>
      </c>
    </row>
    <row r="2360" customFormat="false" ht="12.75" hidden="false" customHeight="true" outlineLevel="0" collapsed="false">
      <c r="B2360" s="61"/>
      <c r="C2360" s="61"/>
      <c r="D2360" s="23" t="str">
        <f aca="false">IF(助手回款!$R$159&lt;&gt;"","总 账 科 目","")</f>
        <v/>
      </c>
      <c r="E2360" s="23" t="str">
        <f aca="false">IF(助手回款!$R$159&lt;&gt;"","明 细 科 目","")</f>
        <v/>
      </c>
      <c r="F2360" s="65"/>
      <c r="G2360" s="66"/>
      <c r="H2360" s="63"/>
      <c r="I2360" s="64"/>
    </row>
    <row r="2361" customFormat="false" ht="23.25" hidden="false" customHeight="true" outlineLevel="0" collapsed="false">
      <c r="B2361" s="67" t="str">
        <f aca="false">IFERROR(INDEX(分录回款!$M:$M,MATCH($L2361,分录回款!$L:$L,0)),"")</f>
        <v/>
      </c>
      <c r="C2361" s="67"/>
      <c r="D2361" s="23" t="str">
        <f aca="false">IFERROR(INDEX(分录回款!$E:$E,MATCH($L2361,分录回款!$L:$L,0)),"")</f>
        <v/>
      </c>
      <c r="E2361" s="23" t="str">
        <f aca="false">IFERROR(INDEX(分录回款!$F:$F,MATCH($L2361,分录回款!$L:$L,0)),"")</f>
        <v/>
      </c>
      <c r="F2361" s="68" t="str">
        <f aca="false">IFERROR(INDEX(分录回款!$H:$H,MATCH($L2361,分录回款!$L:$L,0)),"")</f>
        <v/>
      </c>
      <c r="G2361" s="69" t="str">
        <f aca="false">IFERROR(INDEX(分录回款!$I:$I,MATCH($L2361,分录回款!$L:$L,0)),"")</f>
        <v/>
      </c>
      <c r="H2361" s="23"/>
      <c r="I2361" s="70"/>
      <c r="L2361" s="71" t="n">
        <f aca="false">IF(助手回款!$R$159="",-1,助手回款!$R$159*100+(助手回款!$S$159-1)*6+1)</f>
        <v>-1</v>
      </c>
    </row>
    <row r="2362" customFormat="false" ht="23.25" hidden="false" customHeight="true" outlineLevel="0" collapsed="false">
      <c r="B2362" s="67" t="str">
        <f aca="false">""</f>
        <v/>
      </c>
      <c r="C2362" s="67"/>
      <c r="D2362" s="23" t="str">
        <f aca="false">IFERROR(INDEX(分录回款!$E:$E,MATCH($L2362,分录回款!$L:$L,0)),"")</f>
        <v/>
      </c>
      <c r="E2362" s="23" t="str">
        <f aca="false">IFERROR(INDEX(分录回款!$F:$F,MATCH($L2362,分录回款!$L:$L,0)),"")</f>
        <v/>
      </c>
      <c r="F2362" s="68" t="str">
        <f aca="false">IFERROR(INDEX(分录回款!$H:$H,MATCH($L2362,分录回款!$L:$L,0)),"")</f>
        <v/>
      </c>
      <c r="G2362" s="69" t="str">
        <f aca="false">IFERROR(INDEX(分录回款!$I:$I,MATCH($L2362,分录回款!$L:$L,0)),"")</f>
        <v/>
      </c>
      <c r="H2362" s="23"/>
      <c r="I2362" s="70"/>
      <c r="L2362" s="71" t="n">
        <f aca="false">IF(助手回款!$R$159="",-1,助手回款!$R$159*100+(助手回款!$S$159-1)*6+2)</f>
        <v>-1</v>
      </c>
    </row>
    <row r="2363" customFormat="false" ht="23.25" hidden="false" customHeight="true" outlineLevel="0" collapsed="false">
      <c r="B2363" s="67" t="str">
        <f aca="false">""</f>
        <v/>
      </c>
      <c r="C2363" s="67"/>
      <c r="D2363" s="23" t="str">
        <f aca="false">IFERROR(INDEX(分录回款!$E:$E,MATCH($L2363,分录回款!$L:$L,0)),"")</f>
        <v/>
      </c>
      <c r="E2363" s="23" t="str">
        <f aca="false">IFERROR(INDEX(分录回款!$F:$F,MATCH($L2363,分录回款!$L:$L,0)),"")</f>
        <v/>
      </c>
      <c r="F2363" s="68" t="str">
        <f aca="false">IFERROR(INDEX(分录回款!$H:$H,MATCH($L2363,分录回款!$L:$L,0)),"")</f>
        <v/>
      </c>
      <c r="G2363" s="69" t="str">
        <f aca="false">IFERROR(INDEX(分录回款!$I:$I,MATCH($L2363,分录回款!$L:$L,0)),"")</f>
        <v/>
      </c>
      <c r="H2363" s="23"/>
      <c r="I2363" s="70"/>
      <c r="L2363" s="71" t="n">
        <f aca="false">IF(助手回款!$R$159="",-1,助手回款!$R$159*100+(助手回款!$S$159-1)*6+3)</f>
        <v>-1</v>
      </c>
    </row>
    <row r="2364" customFormat="false" ht="23.25" hidden="false" customHeight="true" outlineLevel="0" collapsed="false">
      <c r="B2364" s="67" t="str">
        <f aca="false">""</f>
        <v/>
      </c>
      <c r="C2364" s="67"/>
      <c r="D2364" s="23" t="str">
        <f aca="false">IFERROR(INDEX(分录回款!$E:$E,MATCH($L2364,分录回款!$L:$L,0)),"")</f>
        <v/>
      </c>
      <c r="E2364" s="23" t="str">
        <f aca="false">IFERROR(INDEX(分录回款!$F:$F,MATCH($L2364,分录回款!$L:$L,0)),"")</f>
        <v/>
      </c>
      <c r="F2364" s="68" t="str">
        <f aca="false">IFERROR(INDEX(分录回款!$H:$H,MATCH($L2364,分录回款!$L:$L,0)),"")</f>
        <v/>
      </c>
      <c r="G2364" s="69" t="str">
        <f aca="false">IFERROR(INDEX(分录回款!$I:$I,MATCH($L2364,分录回款!$L:$L,0)),"")</f>
        <v/>
      </c>
      <c r="H2364" s="23"/>
      <c r="I2364" s="70"/>
      <c r="L2364" s="71" t="n">
        <f aca="false">IF(助手回款!$R$159="",-1,助手回款!$R$159*100+(助手回款!$S$159-1)*6+4)</f>
        <v>-1</v>
      </c>
    </row>
    <row r="2365" customFormat="false" ht="23.25" hidden="false" customHeight="true" outlineLevel="0" collapsed="false">
      <c r="B2365" s="67" t="str">
        <f aca="false">""</f>
        <v/>
      </c>
      <c r="C2365" s="67"/>
      <c r="D2365" s="23" t="str">
        <f aca="false">IFERROR(INDEX(分录回款!$E:$E,MATCH($L2365,分录回款!$L:$L,0)),"")</f>
        <v/>
      </c>
      <c r="E2365" s="23" t="str">
        <f aca="false">IFERROR(INDEX(分录回款!$F:$F,MATCH($L2365,分录回款!$L:$L,0)),"")</f>
        <v/>
      </c>
      <c r="F2365" s="68" t="str">
        <f aca="false">IFERROR(INDEX(分录回款!$H:$H,MATCH($L2365,分录回款!$L:$L,0)),"")</f>
        <v/>
      </c>
      <c r="G2365" s="69" t="str">
        <f aca="false">IFERROR(INDEX(分录回款!$I:$I,MATCH($L2365,分录回款!$L:$L,0)),"")</f>
        <v/>
      </c>
      <c r="H2365" s="23"/>
      <c r="I2365" s="70"/>
      <c r="L2365" s="71" t="n">
        <f aca="false">IF(助手回款!$R$159="",-1,助手回款!$R$159*100+(助手回款!$S$159-1)*6+5)</f>
        <v>-1</v>
      </c>
    </row>
    <row r="2366" customFormat="false" ht="23.25" hidden="false" customHeight="true" outlineLevel="0" collapsed="false">
      <c r="B2366" s="67" t="str">
        <f aca="false">""</f>
        <v/>
      </c>
      <c r="C2366" s="67"/>
      <c r="D2366" s="23" t="str">
        <f aca="false">IFERROR(INDEX(分录回款!$E:$E,MATCH($L2366,分录回款!$L:$L,0)),"")</f>
        <v/>
      </c>
      <c r="E2366" s="23" t="str">
        <f aca="false">IFERROR(INDEX(分录回款!$F:$F,MATCH($L2366,分录回款!$L:$L,0)),"")</f>
        <v/>
      </c>
      <c r="F2366" s="68" t="str">
        <f aca="false">IFERROR(INDEX(分录回款!$H:$H,MATCH($L2366,分录回款!$L:$L,0)),"")</f>
        <v/>
      </c>
      <c r="G2366" s="69" t="str">
        <f aca="false">IFERROR(INDEX(分录回款!$I:$I,MATCH($L2366,分录回款!$L:$L,0)),"")</f>
        <v/>
      </c>
      <c r="H2366" s="23"/>
      <c r="I2366" s="70"/>
      <c r="L2366" s="71" t="n">
        <f aca="false">IF(助手回款!$R$159="",-1,助手回款!$R$159*100+(助手回款!$S$159-1)*6+6)</f>
        <v>-1</v>
      </c>
    </row>
    <row r="2367" customFormat="false" ht="23.25" hidden="false" customHeight="true" outlineLevel="0" collapsed="false">
      <c r="B2367" s="72" t="str">
        <f aca="false">IF(助手回款!$T$159=1,"合计：","")</f>
        <v/>
      </c>
      <c r="C2367" s="73" t="str">
        <f aca="false">IF(助手回款!$T$159=1,$F2367,"")</f>
        <v/>
      </c>
      <c r="D2367" s="74"/>
      <c r="E2367" s="74"/>
      <c r="F2367" s="75" t="str">
        <f aca="false">IF(助手回款!$T$159=1,INDEX(助手回款!$N$2:$N$66,助手回款!$R$159),"")</f>
        <v/>
      </c>
      <c r="G2367" s="76" t="str">
        <f aca="false">IF(助手回款!$T$159=1,INDEX(助手回款!$O$2:$O$66,助手回款!$R$159),"")</f>
        <v/>
      </c>
      <c r="H2367" s="74"/>
      <c r="I2367" s="77"/>
    </row>
    <row r="2368" customFormat="false" ht="6" hidden="false" customHeight="true" outlineLevel="0" collapsed="false"/>
    <row r="2369" customFormat="false" ht="13.5" hidden="false" customHeight="false" outlineLevel="0" collapsed="false">
      <c r="B2369" s="78" t="str">
        <f aca="false">IF(助手回款!$R$159&lt;&gt;"","会计主管：","")</f>
        <v/>
      </c>
      <c r="D2369" s="78" t="str">
        <f aca="false">IF(助手回款!$R$159&lt;&gt;"","会计：","")</f>
        <v/>
      </c>
      <c r="E2369" s="78" t="str">
        <f aca="false">IF(助手回款!$R$159&lt;&gt;"","出纳：","")</f>
        <v/>
      </c>
      <c r="F2369" s="78" t="str">
        <f aca="false">IF(助手回款!$R$159&lt;&gt;"","复核：","")</f>
        <v/>
      </c>
      <c r="G2369" s="78" t="str">
        <f aca="false">IF(助手回款!$R$159&lt;&gt;"","制单：","")</f>
        <v/>
      </c>
    </row>
    <row r="2370" customFormat="false" ht="3" hidden="false" customHeight="true" outlineLevel="0" collapsed="false"/>
    <row r="2371" customFormat="false" ht="19.5" hidden="false" customHeight="true" outlineLevel="0" collapsed="false">
      <c r="B2371" s="53" t="str">
        <f aca="false">IF(助手回款!$R$160&lt;&gt;"","记  账  凭  证","")</f>
        <v/>
      </c>
      <c r="C2371" s="53"/>
      <c r="D2371" s="53"/>
      <c r="E2371" s="53"/>
      <c r="F2371" s="53"/>
      <c r="G2371" s="53"/>
      <c r="H2371" s="53"/>
      <c r="I2371" s="53"/>
    </row>
    <row r="2372" customFormat="false" ht="3" hidden="false" customHeight="true" outlineLevel="0" collapsed="false"/>
    <row r="2373" customFormat="false" ht="15" hidden="false" customHeight="true" outlineLevel="0" collapsed="false">
      <c r="C2373" s="56" t="str">
        <f aca="false">IF(助手回款!$R$160&lt;&gt;"",INDEX(助手回款!$B$2:$B$66,助手回款!$R$160),"")</f>
        <v/>
      </c>
      <c r="D2373" s="57" t="str">
        <f aca="false">IF(助手回款!$R$160&lt;&gt;"",参数!$B$2,"")</f>
        <v/>
      </c>
      <c r="E2373" s="57"/>
      <c r="F2373" s="58" t="str">
        <f aca="false">IF(助手回款!$R$160&lt;&gt;"",INDEX(助手回款!$C$2:$C$66,助手回款!$R$160)&amp;"  字第 "&amp;IF(参数!$B$9="是",INDEX(助手回款!$P$2:$P$66,助手回款!$R$160),"　　　　")&amp;" 号"&amp;IF(INDEX(助手回款!$L$2:$L$66,助手回款!$R$160)&gt;1,"  (共"&amp;INDEX(助手回款!$L$2:$L$66,助手回款!$R$160)&amp;"页 第"&amp;助手回款!$S$160&amp;"页)",""),"")</f>
        <v/>
      </c>
      <c r="G2373" s="58"/>
      <c r="H2373" s="58"/>
      <c r="I2373" s="58"/>
      <c r="M2373" s="79" t="str">
        <f aca="false">IF(助手回款!$R$160="","",助手回款!$Q$160)</f>
        <v/>
      </c>
      <c r="N2373" s="80" t="str">
        <f aca="false">IF(助手回款!$R$160="","",INDEX(助手回款!$P$2:$P$66,助手回款!$R$160))</f>
        <v/>
      </c>
      <c r="O2373" s="55" t="str">
        <f aca="false">IF(助手回款!$R$160="","",INDEX(助手回款!$C$2:$C$66,助手回款!$R$160)&amp;"  字第 "&amp;INDEX(助手回款!$P$2:$P$66,助手回款!$R$160)&amp;" 号"&amp;IF(INDEX(助手回款!$L$2:$L$66,助手回款!$R$160)&gt;1,"  (共"&amp;INDEX(助手回款!$L$2:$L$66,助手回款!$R$160)&amp;"页 第"&amp;助手回款!$S$160&amp;"页)",""))</f>
        <v/>
      </c>
    </row>
    <row r="2374" customFormat="false" ht="12.75" hidden="false" customHeight="true" outlineLevel="0" collapsed="false">
      <c r="B2374" s="61" t="str">
        <f aca="false">IF(助手回款!$R$160&lt;&gt;"","摘　　要","")</f>
        <v/>
      </c>
      <c r="C2374" s="61"/>
      <c r="D2374" s="62" t="str">
        <f aca="false">IF(助手回款!$R$160&lt;&gt;"","科　　　　目","")</f>
        <v/>
      </c>
      <c r="E2374" s="62"/>
      <c r="F2374" s="61" t="str">
        <f aca="false">IF(助手回款!$R$160&lt;&gt;"","借 方 金 额","")</f>
        <v/>
      </c>
      <c r="G2374" s="62" t="str">
        <f aca="false">IF(助手回款!$R$160&lt;&gt;"","贷 方 金 额","")</f>
        <v/>
      </c>
      <c r="H2374" s="63" t="str">
        <f aca="false">IF(助手回款!$R$160&lt;&gt;"","√","")</f>
        <v/>
      </c>
      <c r="I2374" s="64" t="str">
        <f aca="false">IF(助手回款!$R$160&lt;&gt;"","附单据  张","")</f>
        <v/>
      </c>
    </row>
    <row r="2375" customFormat="false" ht="12.75" hidden="false" customHeight="true" outlineLevel="0" collapsed="false">
      <c r="B2375" s="61"/>
      <c r="C2375" s="61"/>
      <c r="D2375" s="23" t="str">
        <f aca="false">IF(助手回款!$R$160&lt;&gt;"","总 账 科 目","")</f>
        <v/>
      </c>
      <c r="E2375" s="23" t="str">
        <f aca="false">IF(助手回款!$R$160&lt;&gt;"","明 细 科 目","")</f>
        <v/>
      </c>
      <c r="F2375" s="65"/>
      <c r="G2375" s="66"/>
      <c r="H2375" s="63"/>
      <c r="I2375" s="64"/>
    </row>
    <row r="2376" customFormat="false" ht="23.25" hidden="false" customHeight="true" outlineLevel="0" collapsed="false">
      <c r="B2376" s="67" t="str">
        <f aca="false">IFERROR(INDEX(分录回款!$M:$M,MATCH($L2376,分录回款!$L:$L,0)),"")</f>
        <v/>
      </c>
      <c r="C2376" s="67"/>
      <c r="D2376" s="23" t="str">
        <f aca="false">IFERROR(INDEX(分录回款!$E:$E,MATCH($L2376,分录回款!$L:$L,0)),"")</f>
        <v/>
      </c>
      <c r="E2376" s="23" t="str">
        <f aca="false">IFERROR(INDEX(分录回款!$F:$F,MATCH($L2376,分录回款!$L:$L,0)),"")</f>
        <v/>
      </c>
      <c r="F2376" s="68" t="str">
        <f aca="false">IFERROR(INDEX(分录回款!$H:$H,MATCH($L2376,分录回款!$L:$L,0)),"")</f>
        <v/>
      </c>
      <c r="G2376" s="69" t="str">
        <f aca="false">IFERROR(INDEX(分录回款!$I:$I,MATCH($L2376,分录回款!$L:$L,0)),"")</f>
        <v/>
      </c>
      <c r="H2376" s="23"/>
      <c r="I2376" s="70"/>
      <c r="L2376" s="71" t="n">
        <f aca="false">IF(助手回款!$R$160="",-1,助手回款!$R$160*100+(助手回款!$S$160-1)*6+1)</f>
        <v>-1</v>
      </c>
    </row>
    <row r="2377" customFormat="false" ht="23.25" hidden="false" customHeight="true" outlineLevel="0" collapsed="false">
      <c r="B2377" s="67" t="str">
        <f aca="false">""</f>
        <v/>
      </c>
      <c r="C2377" s="67"/>
      <c r="D2377" s="23" t="str">
        <f aca="false">IFERROR(INDEX(分录回款!$E:$E,MATCH($L2377,分录回款!$L:$L,0)),"")</f>
        <v/>
      </c>
      <c r="E2377" s="23" t="str">
        <f aca="false">IFERROR(INDEX(分录回款!$F:$F,MATCH($L2377,分录回款!$L:$L,0)),"")</f>
        <v/>
      </c>
      <c r="F2377" s="68" t="str">
        <f aca="false">IFERROR(INDEX(分录回款!$H:$H,MATCH($L2377,分录回款!$L:$L,0)),"")</f>
        <v/>
      </c>
      <c r="G2377" s="69" t="str">
        <f aca="false">IFERROR(INDEX(分录回款!$I:$I,MATCH($L2377,分录回款!$L:$L,0)),"")</f>
        <v/>
      </c>
      <c r="H2377" s="23"/>
      <c r="I2377" s="70"/>
      <c r="L2377" s="71" t="n">
        <f aca="false">IF(助手回款!$R$160="",-1,助手回款!$R$160*100+(助手回款!$S$160-1)*6+2)</f>
        <v>-1</v>
      </c>
    </row>
    <row r="2378" customFormat="false" ht="23.25" hidden="false" customHeight="true" outlineLevel="0" collapsed="false">
      <c r="B2378" s="67" t="str">
        <f aca="false">""</f>
        <v/>
      </c>
      <c r="C2378" s="67"/>
      <c r="D2378" s="23" t="str">
        <f aca="false">IFERROR(INDEX(分录回款!$E:$E,MATCH($L2378,分录回款!$L:$L,0)),"")</f>
        <v/>
      </c>
      <c r="E2378" s="23" t="str">
        <f aca="false">IFERROR(INDEX(分录回款!$F:$F,MATCH($L2378,分录回款!$L:$L,0)),"")</f>
        <v/>
      </c>
      <c r="F2378" s="68" t="str">
        <f aca="false">IFERROR(INDEX(分录回款!$H:$H,MATCH($L2378,分录回款!$L:$L,0)),"")</f>
        <v/>
      </c>
      <c r="G2378" s="69" t="str">
        <f aca="false">IFERROR(INDEX(分录回款!$I:$I,MATCH($L2378,分录回款!$L:$L,0)),"")</f>
        <v/>
      </c>
      <c r="H2378" s="23"/>
      <c r="I2378" s="70"/>
      <c r="L2378" s="71" t="n">
        <f aca="false">IF(助手回款!$R$160="",-1,助手回款!$R$160*100+(助手回款!$S$160-1)*6+3)</f>
        <v>-1</v>
      </c>
    </row>
    <row r="2379" customFormat="false" ht="23.25" hidden="false" customHeight="true" outlineLevel="0" collapsed="false">
      <c r="B2379" s="67" t="str">
        <f aca="false">""</f>
        <v/>
      </c>
      <c r="C2379" s="67"/>
      <c r="D2379" s="23" t="str">
        <f aca="false">IFERROR(INDEX(分录回款!$E:$E,MATCH($L2379,分录回款!$L:$L,0)),"")</f>
        <v/>
      </c>
      <c r="E2379" s="23" t="str">
        <f aca="false">IFERROR(INDEX(分录回款!$F:$F,MATCH($L2379,分录回款!$L:$L,0)),"")</f>
        <v/>
      </c>
      <c r="F2379" s="68" t="str">
        <f aca="false">IFERROR(INDEX(分录回款!$H:$H,MATCH($L2379,分录回款!$L:$L,0)),"")</f>
        <v/>
      </c>
      <c r="G2379" s="69" t="str">
        <f aca="false">IFERROR(INDEX(分录回款!$I:$I,MATCH($L2379,分录回款!$L:$L,0)),"")</f>
        <v/>
      </c>
      <c r="H2379" s="23"/>
      <c r="I2379" s="70"/>
      <c r="L2379" s="71" t="n">
        <f aca="false">IF(助手回款!$R$160="",-1,助手回款!$R$160*100+(助手回款!$S$160-1)*6+4)</f>
        <v>-1</v>
      </c>
    </row>
    <row r="2380" customFormat="false" ht="23.25" hidden="false" customHeight="true" outlineLevel="0" collapsed="false">
      <c r="B2380" s="67" t="str">
        <f aca="false">""</f>
        <v/>
      </c>
      <c r="C2380" s="67"/>
      <c r="D2380" s="23" t="str">
        <f aca="false">IFERROR(INDEX(分录回款!$E:$E,MATCH($L2380,分录回款!$L:$L,0)),"")</f>
        <v/>
      </c>
      <c r="E2380" s="23" t="str">
        <f aca="false">IFERROR(INDEX(分录回款!$F:$F,MATCH($L2380,分录回款!$L:$L,0)),"")</f>
        <v/>
      </c>
      <c r="F2380" s="68" t="str">
        <f aca="false">IFERROR(INDEX(分录回款!$H:$H,MATCH($L2380,分录回款!$L:$L,0)),"")</f>
        <v/>
      </c>
      <c r="G2380" s="69" t="str">
        <f aca="false">IFERROR(INDEX(分录回款!$I:$I,MATCH($L2380,分录回款!$L:$L,0)),"")</f>
        <v/>
      </c>
      <c r="H2380" s="23"/>
      <c r="I2380" s="70"/>
      <c r="L2380" s="71" t="n">
        <f aca="false">IF(助手回款!$R$160="",-1,助手回款!$R$160*100+(助手回款!$S$160-1)*6+5)</f>
        <v>-1</v>
      </c>
    </row>
    <row r="2381" customFormat="false" ht="23.25" hidden="false" customHeight="true" outlineLevel="0" collapsed="false">
      <c r="B2381" s="67" t="str">
        <f aca="false">""</f>
        <v/>
      </c>
      <c r="C2381" s="67"/>
      <c r="D2381" s="23" t="str">
        <f aca="false">IFERROR(INDEX(分录回款!$E:$E,MATCH($L2381,分录回款!$L:$L,0)),"")</f>
        <v/>
      </c>
      <c r="E2381" s="23" t="str">
        <f aca="false">IFERROR(INDEX(分录回款!$F:$F,MATCH($L2381,分录回款!$L:$L,0)),"")</f>
        <v/>
      </c>
      <c r="F2381" s="68" t="str">
        <f aca="false">IFERROR(INDEX(分录回款!$H:$H,MATCH($L2381,分录回款!$L:$L,0)),"")</f>
        <v/>
      </c>
      <c r="G2381" s="69" t="str">
        <f aca="false">IFERROR(INDEX(分录回款!$I:$I,MATCH($L2381,分录回款!$L:$L,0)),"")</f>
        <v/>
      </c>
      <c r="H2381" s="23"/>
      <c r="I2381" s="70"/>
      <c r="L2381" s="71" t="n">
        <f aca="false">IF(助手回款!$R$160="",-1,助手回款!$R$160*100+(助手回款!$S$160-1)*6+6)</f>
        <v>-1</v>
      </c>
    </row>
    <row r="2382" customFormat="false" ht="23.25" hidden="false" customHeight="true" outlineLevel="0" collapsed="false">
      <c r="B2382" s="72" t="str">
        <f aca="false">IF(助手回款!$T$160=1,"合计：","")</f>
        <v/>
      </c>
      <c r="C2382" s="73" t="str">
        <f aca="false">IF(助手回款!$T$160=1,$F2382,"")</f>
        <v/>
      </c>
      <c r="D2382" s="74"/>
      <c r="E2382" s="74"/>
      <c r="F2382" s="75" t="str">
        <f aca="false">IF(助手回款!$T$160=1,INDEX(助手回款!$N$2:$N$66,助手回款!$R$160),"")</f>
        <v/>
      </c>
      <c r="G2382" s="76" t="str">
        <f aca="false">IF(助手回款!$T$160=1,INDEX(助手回款!$O$2:$O$66,助手回款!$R$160),"")</f>
        <v/>
      </c>
      <c r="H2382" s="74"/>
      <c r="I2382" s="77"/>
    </row>
    <row r="2383" customFormat="false" ht="6" hidden="false" customHeight="true" outlineLevel="0" collapsed="false"/>
    <row r="2384" customFormat="false" ht="13.5" hidden="false" customHeight="false" outlineLevel="0" collapsed="false">
      <c r="B2384" s="78" t="str">
        <f aca="false">IF(助手回款!$R$160&lt;&gt;"","会计主管：","")</f>
        <v/>
      </c>
      <c r="D2384" s="78" t="str">
        <f aca="false">IF(助手回款!$R$160&lt;&gt;"","会计：","")</f>
        <v/>
      </c>
      <c r="E2384" s="78" t="str">
        <f aca="false">IF(助手回款!$R$160&lt;&gt;"","出纳：","")</f>
        <v/>
      </c>
      <c r="F2384" s="78" t="str">
        <f aca="false">IF(助手回款!$R$160&lt;&gt;"","复核：","")</f>
        <v/>
      </c>
      <c r="G2384" s="78" t="str">
        <f aca="false">IF(助手回款!$R$160&lt;&gt;"","制单：","")</f>
        <v/>
      </c>
    </row>
    <row r="2385" customFormat="false" ht="3" hidden="false" customHeight="true" outlineLevel="0" collapsed="false"/>
    <row r="2386" customFormat="false" ht="19.5" hidden="false" customHeight="true" outlineLevel="0" collapsed="false">
      <c r="B2386" s="53" t="str">
        <f aca="false">IF(助手回款!$R$161&lt;&gt;"","记  账  凭  证","")</f>
        <v/>
      </c>
      <c r="C2386" s="53"/>
      <c r="D2386" s="53"/>
      <c r="E2386" s="53"/>
      <c r="F2386" s="53"/>
      <c r="G2386" s="53"/>
      <c r="H2386" s="53"/>
      <c r="I2386" s="53"/>
    </row>
    <row r="2387" customFormat="false" ht="3" hidden="false" customHeight="true" outlineLevel="0" collapsed="false"/>
    <row r="2388" customFormat="false" ht="15" hidden="false" customHeight="true" outlineLevel="0" collapsed="false">
      <c r="C2388" s="56" t="str">
        <f aca="false">IF(助手回款!$R$161&lt;&gt;"",INDEX(助手回款!$B$2:$B$66,助手回款!$R$161),"")</f>
        <v/>
      </c>
      <c r="D2388" s="57" t="str">
        <f aca="false">IF(助手回款!$R$161&lt;&gt;"",参数!$B$2,"")</f>
        <v/>
      </c>
      <c r="E2388" s="57"/>
      <c r="F2388" s="58" t="str">
        <f aca="false">IF(助手回款!$R$161&lt;&gt;"",INDEX(助手回款!$C$2:$C$66,助手回款!$R$161)&amp;"  字第 "&amp;IF(参数!$B$9="是",INDEX(助手回款!$P$2:$P$66,助手回款!$R$161),"　　　　")&amp;" 号"&amp;IF(INDEX(助手回款!$L$2:$L$66,助手回款!$R$161)&gt;1,"  (共"&amp;INDEX(助手回款!$L$2:$L$66,助手回款!$R$161)&amp;"页 第"&amp;助手回款!$S$161&amp;"页)",""),"")</f>
        <v/>
      </c>
      <c r="G2388" s="58"/>
      <c r="H2388" s="58"/>
      <c r="I2388" s="58"/>
      <c r="M2388" s="79" t="str">
        <f aca="false">IF(助手回款!$R$161="","",助手回款!$Q$161)</f>
        <v/>
      </c>
      <c r="N2388" s="80" t="str">
        <f aca="false">IF(助手回款!$R$161="","",INDEX(助手回款!$P$2:$P$66,助手回款!$R$161))</f>
        <v/>
      </c>
      <c r="O2388" s="55" t="str">
        <f aca="false">IF(助手回款!$R$161="","",INDEX(助手回款!$C$2:$C$66,助手回款!$R$161)&amp;"  字第 "&amp;INDEX(助手回款!$P$2:$P$66,助手回款!$R$161)&amp;" 号"&amp;IF(INDEX(助手回款!$L$2:$L$66,助手回款!$R$161)&gt;1,"  (共"&amp;INDEX(助手回款!$L$2:$L$66,助手回款!$R$161)&amp;"页 第"&amp;助手回款!$S$161&amp;"页)",""))</f>
        <v/>
      </c>
    </row>
    <row r="2389" customFormat="false" ht="12.75" hidden="false" customHeight="true" outlineLevel="0" collapsed="false">
      <c r="B2389" s="61" t="str">
        <f aca="false">IF(助手回款!$R$161&lt;&gt;"","摘　　要","")</f>
        <v/>
      </c>
      <c r="C2389" s="61"/>
      <c r="D2389" s="62" t="str">
        <f aca="false">IF(助手回款!$R$161&lt;&gt;"","科　　　　目","")</f>
        <v/>
      </c>
      <c r="E2389" s="62"/>
      <c r="F2389" s="61" t="str">
        <f aca="false">IF(助手回款!$R$161&lt;&gt;"","借 方 金 额","")</f>
        <v/>
      </c>
      <c r="G2389" s="62" t="str">
        <f aca="false">IF(助手回款!$R$161&lt;&gt;"","贷 方 金 额","")</f>
        <v/>
      </c>
      <c r="H2389" s="63" t="str">
        <f aca="false">IF(助手回款!$R$161&lt;&gt;"","√","")</f>
        <v/>
      </c>
      <c r="I2389" s="64" t="str">
        <f aca="false">IF(助手回款!$R$161&lt;&gt;"","附单据  张","")</f>
        <v/>
      </c>
    </row>
    <row r="2390" customFormat="false" ht="12.75" hidden="false" customHeight="true" outlineLevel="0" collapsed="false">
      <c r="B2390" s="61"/>
      <c r="C2390" s="61"/>
      <c r="D2390" s="23" t="str">
        <f aca="false">IF(助手回款!$R$161&lt;&gt;"","总 账 科 目","")</f>
        <v/>
      </c>
      <c r="E2390" s="23" t="str">
        <f aca="false">IF(助手回款!$R$161&lt;&gt;"","明 细 科 目","")</f>
        <v/>
      </c>
      <c r="F2390" s="65"/>
      <c r="G2390" s="66"/>
      <c r="H2390" s="63"/>
      <c r="I2390" s="64"/>
    </row>
    <row r="2391" customFormat="false" ht="23.25" hidden="false" customHeight="true" outlineLevel="0" collapsed="false">
      <c r="B2391" s="67" t="str">
        <f aca="false">IFERROR(INDEX(分录回款!$M:$M,MATCH($L2391,分录回款!$L:$L,0)),"")</f>
        <v/>
      </c>
      <c r="C2391" s="67"/>
      <c r="D2391" s="23" t="str">
        <f aca="false">IFERROR(INDEX(分录回款!$E:$E,MATCH($L2391,分录回款!$L:$L,0)),"")</f>
        <v/>
      </c>
      <c r="E2391" s="23" t="str">
        <f aca="false">IFERROR(INDEX(分录回款!$F:$F,MATCH($L2391,分录回款!$L:$L,0)),"")</f>
        <v/>
      </c>
      <c r="F2391" s="68" t="str">
        <f aca="false">IFERROR(INDEX(分录回款!$H:$H,MATCH($L2391,分录回款!$L:$L,0)),"")</f>
        <v/>
      </c>
      <c r="G2391" s="69" t="str">
        <f aca="false">IFERROR(INDEX(分录回款!$I:$I,MATCH($L2391,分录回款!$L:$L,0)),"")</f>
        <v/>
      </c>
      <c r="H2391" s="23"/>
      <c r="I2391" s="70"/>
      <c r="L2391" s="71" t="n">
        <f aca="false">IF(助手回款!$R$161="",-1,助手回款!$R$161*100+(助手回款!$S$161-1)*6+1)</f>
        <v>-1</v>
      </c>
    </row>
    <row r="2392" customFormat="false" ht="23.25" hidden="false" customHeight="true" outlineLevel="0" collapsed="false">
      <c r="B2392" s="67" t="str">
        <f aca="false">""</f>
        <v/>
      </c>
      <c r="C2392" s="67"/>
      <c r="D2392" s="23" t="str">
        <f aca="false">IFERROR(INDEX(分录回款!$E:$E,MATCH($L2392,分录回款!$L:$L,0)),"")</f>
        <v/>
      </c>
      <c r="E2392" s="23" t="str">
        <f aca="false">IFERROR(INDEX(分录回款!$F:$F,MATCH($L2392,分录回款!$L:$L,0)),"")</f>
        <v/>
      </c>
      <c r="F2392" s="68" t="str">
        <f aca="false">IFERROR(INDEX(分录回款!$H:$H,MATCH($L2392,分录回款!$L:$L,0)),"")</f>
        <v/>
      </c>
      <c r="G2392" s="69" t="str">
        <f aca="false">IFERROR(INDEX(分录回款!$I:$I,MATCH($L2392,分录回款!$L:$L,0)),"")</f>
        <v/>
      </c>
      <c r="H2392" s="23"/>
      <c r="I2392" s="70"/>
      <c r="L2392" s="71" t="n">
        <f aca="false">IF(助手回款!$R$161="",-1,助手回款!$R$161*100+(助手回款!$S$161-1)*6+2)</f>
        <v>-1</v>
      </c>
    </row>
    <row r="2393" customFormat="false" ht="23.25" hidden="false" customHeight="true" outlineLevel="0" collapsed="false">
      <c r="B2393" s="67" t="str">
        <f aca="false">""</f>
        <v/>
      </c>
      <c r="C2393" s="67"/>
      <c r="D2393" s="23" t="str">
        <f aca="false">IFERROR(INDEX(分录回款!$E:$E,MATCH($L2393,分录回款!$L:$L,0)),"")</f>
        <v/>
      </c>
      <c r="E2393" s="23" t="str">
        <f aca="false">IFERROR(INDEX(分录回款!$F:$F,MATCH($L2393,分录回款!$L:$L,0)),"")</f>
        <v/>
      </c>
      <c r="F2393" s="68" t="str">
        <f aca="false">IFERROR(INDEX(分录回款!$H:$H,MATCH($L2393,分录回款!$L:$L,0)),"")</f>
        <v/>
      </c>
      <c r="G2393" s="69" t="str">
        <f aca="false">IFERROR(INDEX(分录回款!$I:$I,MATCH($L2393,分录回款!$L:$L,0)),"")</f>
        <v/>
      </c>
      <c r="H2393" s="23"/>
      <c r="I2393" s="70"/>
      <c r="L2393" s="71" t="n">
        <f aca="false">IF(助手回款!$R$161="",-1,助手回款!$R$161*100+(助手回款!$S$161-1)*6+3)</f>
        <v>-1</v>
      </c>
    </row>
    <row r="2394" customFormat="false" ht="23.25" hidden="false" customHeight="true" outlineLevel="0" collapsed="false">
      <c r="B2394" s="67" t="str">
        <f aca="false">""</f>
        <v/>
      </c>
      <c r="C2394" s="67"/>
      <c r="D2394" s="23" t="str">
        <f aca="false">IFERROR(INDEX(分录回款!$E:$E,MATCH($L2394,分录回款!$L:$L,0)),"")</f>
        <v/>
      </c>
      <c r="E2394" s="23" t="str">
        <f aca="false">IFERROR(INDEX(分录回款!$F:$F,MATCH($L2394,分录回款!$L:$L,0)),"")</f>
        <v/>
      </c>
      <c r="F2394" s="68" t="str">
        <f aca="false">IFERROR(INDEX(分录回款!$H:$H,MATCH($L2394,分录回款!$L:$L,0)),"")</f>
        <v/>
      </c>
      <c r="G2394" s="69" t="str">
        <f aca="false">IFERROR(INDEX(分录回款!$I:$I,MATCH($L2394,分录回款!$L:$L,0)),"")</f>
        <v/>
      </c>
      <c r="H2394" s="23"/>
      <c r="I2394" s="70"/>
      <c r="L2394" s="71" t="n">
        <f aca="false">IF(助手回款!$R$161="",-1,助手回款!$R$161*100+(助手回款!$S$161-1)*6+4)</f>
        <v>-1</v>
      </c>
    </row>
    <row r="2395" customFormat="false" ht="23.25" hidden="false" customHeight="true" outlineLevel="0" collapsed="false">
      <c r="B2395" s="67" t="str">
        <f aca="false">""</f>
        <v/>
      </c>
      <c r="C2395" s="67"/>
      <c r="D2395" s="23" t="str">
        <f aca="false">IFERROR(INDEX(分录回款!$E:$E,MATCH($L2395,分录回款!$L:$L,0)),"")</f>
        <v/>
      </c>
      <c r="E2395" s="23" t="str">
        <f aca="false">IFERROR(INDEX(分录回款!$F:$F,MATCH($L2395,分录回款!$L:$L,0)),"")</f>
        <v/>
      </c>
      <c r="F2395" s="68" t="str">
        <f aca="false">IFERROR(INDEX(分录回款!$H:$H,MATCH($L2395,分录回款!$L:$L,0)),"")</f>
        <v/>
      </c>
      <c r="G2395" s="69" t="str">
        <f aca="false">IFERROR(INDEX(分录回款!$I:$I,MATCH($L2395,分录回款!$L:$L,0)),"")</f>
        <v/>
      </c>
      <c r="H2395" s="23"/>
      <c r="I2395" s="70"/>
      <c r="L2395" s="71" t="n">
        <f aca="false">IF(助手回款!$R$161="",-1,助手回款!$R$161*100+(助手回款!$S$161-1)*6+5)</f>
        <v>-1</v>
      </c>
    </row>
    <row r="2396" customFormat="false" ht="23.25" hidden="false" customHeight="true" outlineLevel="0" collapsed="false">
      <c r="B2396" s="67" t="str">
        <f aca="false">""</f>
        <v/>
      </c>
      <c r="C2396" s="67"/>
      <c r="D2396" s="23" t="str">
        <f aca="false">IFERROR(INDEX(分录回款!$E:$E,MATCH($L2396,分录回款!$L:$L,0)),"")</f>
        <v/>
      </c>
      <c r="E2396" s="23" t="str">
        <f aca="false">IFERROR(INDEX(分录回款!$F:$F,MATCH($L2396,分录回款!$L:$L,0)),"")</f>
        <v/>
      </c>
      <c r="F2396" s="68" t="str">
        <f aca="false">IFERROR(INDEX(分录回款!$H:$H,MATCH($L2396,分录回款!$L:$L,0)),"")</f>
        <v/>
      </c>
      <c r="G2396" s="69" t="str">
        <f aca="false">IFERROR(INDEX(分录回款!$I:$I,MATCH($L2396,分录回款!$L:$L,0)),"")</f>
        <v/>
      </c>
      <c r="H2396" s="23"/>
      <c r="I2396" s="70"/>
      <c r="L2396" s="71" t="n">
        <f aca="false">IF(助手回款!$R$161="",-1,助手回款!$R$161*100+(助手回款!$S$161-1)*6+6)</f>
        <v>-1</v>
      </c>
    </row>
    <row r="2397" customFormat="false" ht="23.25" hidden="false" customHeight="true" outlineLevel="0" collapsed="false">
      <c r="B2397" s="72" t="str">
        <f aca="false">IF(助手回款!$T$161=1,"合计：","")</f>
        <v/>
      </c>
      <c r="C2397" s="73" t="str">
        <f aca="false">IF(助手回款!$T$161=1,$F2397,"")</f>
        <v/>
      </c>
      <c r="D2397" s="74"/>
      <c r="E2397" s="74"/>
      <c r="F2397" s="75" t="str">
        <f aca="false">IF(助手回款!$T$161=1,INDEX(助手回款!$N$2:$N$66,助手回款!$R$161),"")</f>
        <v/>
      </c>
      <c r="G2397" s="76" t="str">
        <f aca="false">IF(助手回款!$T$161=1,INDEX(助手回款!$O$2:$O$66,助手回款!$R$161),"")</f>
        <v/>
      </c>
      <c r="H2397" s="74"/>
      <c r="I2397" s="77"/>
    </row>
    <row r="2398" customFormat="false" ht="6" hidden="false" customHeight="true" outlineLevel="0" collapsed="false"/>
    <row r="2399" customFormat="false" ht="13.5" hidden="false" customHeight="false" outlineLevel="0" collapsed="false">
      <c r="B2399" s="78" t="str">
        <f aca="false">IF(助手回款!$R$161&lt;&gt;"","会计主管：","")</f>
        <v/>
      </c>
      <c r="D2399" s="78" t="str">
        <f aca="false">IF(助手回款!$R$161&lt;&gt;"","会计：","")</f>
        <v/>
      </c>
      <c r="E2399" s="78" t="str">
        <f aca="false">IF(助手回款!$R$161&lt;&gt;"","出纳：","")</f>
        <v/>
      </c>
      <c r="F2399" s="78" t="str">
        <f aca="false">IF(助手回款!$R$161&lt;&gt;"","复核：","")</f>
        <v/>
      </c>
      <c r="G2399" s="78" t="str">
        <f aca="false">IF(助手回款!$R$161&lt;&gt;"","制单：","")</f>
        <v/>
      </c>
    </row>
    <row r="2400" customFormat="false" ht="3" hidden="false" customHeight="true" outlineLevel="0" collapsed="false"/>
    <row r="2401" customFormat="false" ht="19.5" hidden="false" customHeight="true" outlineLevel="0" collapsed="false">
      <c r="B2401" s="53" t="str">
        <f aca="false">IF(助手回款!$R$162&lt;&gt;"","记  账  凭  证","")</f>
        <v/>
      </c>
      <c r="C2401" s="53"/>
      <c r="D2401" s="53"/>
      <c r="E2401" s="53"/>
      <c r="F2401" s="53"/>
      <c r="G2401" s="53"/>
      <c r="H2401" s="53"/>
      <c r="I2401" s="53"/>
    </row>
    <row r="2402" customFormat="false" ht="3" hidden="false" customHeight="true" outlineLevel="0" collapsed="false"/>
    <row r="2403" customFormat="false" ht="15" hidden="false" customHeight="true" outlineLevel="0" collapsed="false">
      <c r="C2403" s="56" t="str">
        <f aca="false">IF(助手回款!$R$162&lt;&gt;"",INDEX(助手回款!$B$2:$B$66,助手回款!$R$162),"")</f>
        <v/>
      </c>
      <c r="D2403" s="57" t="str">
        <f aca="false">IF(助手回款!$R$162&lt;&gt;"",参数!$B$2,"")</f>
        <v/>
      </c>
      <c r="E2403" s="57"/>
      <c r="F2403" s="58" t="str">
        <f aca="false">IF(助手回款!$R$162&lt;&gt;"",INDEX(助手回款!$C$2:$C$66,助手回款!$R$162)&amp;"  字第 "&amp;IF(参数!$B$9="是",INDEX(助手回款!$P$2:$P$66,助手回款!$R$162),"　　　　")&amp;" 号"&amp;IF(INDEX(助手回款!$L$2:$L$66,助手回款!$R$162)&gt;1,"  (共"&amp;INDEX(助手回款!$L$2:$L$66,助手回款!$R$162)&amp;"页 第"&amp;助手回款!$S$162&amp;"页)",""),"")</f>
        <v/>
      </c>
      <c r="G2403" s="58"/>
      <c r="H2403" s="58"/>
      <c r="I2403" s="58"/>
      <c r="M2403" s="79" t="str">
        <f aca="false">IF(助手回款!$R$162="","",助手回款!$Q$162)</f>
        <v/>
      </c>
      <c r="N2403" s="80" t="str">
        <f aca="false">IF(助手回款!$R$162="","",INDEX(助手回款!$P$2:$P$66,助手回款!$R$162))</f>
        <v/>
      </c>
      <c r="O2403" s="55" t="str">
        <f aca="false">IF(助手回款!$R$162="","",INDEX(助手回款!$C$2:$C$66,助手回款!$R$162)&amp;"  字第 "&amp;INDEX(助手回款!$P$2:$P$66,助手回款!$R$162)&amp;" 号"&amp;IF(INDEX(助手回款!$L$2:$L$66,助手回款!$R$162)&gt;1,"  (共"&amp;INDEX(助手回款!$L$2:$L$66,助手回款!$R$162)&amp;"页 第"&amp;助手回款!$S$162&amp;"页)",""))</f>
        <v/>
      </c>
    </row>
    <row r="2404" customFormat="false" ht="12.75" hidden="false" customHeight="true" outlineLevel="0" collapsed="false">
      <c r="B2404" s="61" t="str">
        <f aca="false">IF(助手回款!$R$162&lt;&gt;"","摘　　要","")</f>
        <v/>
      </c>
      <c r="C2404" s="61"/>
      <c r="D2404" s="62" t="str">
        <f aca="false">IF(助手回款!$R$162&lt;&gt;"","科　　　　目","")</f>
        <v/>
      </c>
      <c r="E2404" s="62"/>
      <c r="F2404" s="61" t="str">
        <f aca="false">IF(助手回款!$R$162&lt;&gt;"","借 方 金 额","")</f>
        <v/>
      </c>
      <c r="G2404" s="62" t="str">
        <f aca="false">IF(助手回款!$R$162&lt;&gt;"","贷 方 金 额","")</f>
        <v/>
      </c>
      <c r="H2404" s="63" t="str">
        <f aca="false">IF(助手回款!$R$162&lt;&gt;"","√","")</f>
        <v/>
      </c>
      <c r="I2404" s="64" t="str">
        <f aca="false">IF(助手回款!$R$162&lt;&gt;"","附单据  张","")</f>
        <v/>
      </c>
    </row>
    <row r="2405" customFormat="false" ht="12.75" hidden="false" customHeight="true" outlineLevel="0" collapsed="false">
      <c r="B2405" s="61"/>
      <c r="C2405" s="61"/>
      <c r="D2405" s="23" t="str">
        <f aca="false">IF(助手回款!$R$162&lt;&gt;"","总 账 科 目","")</f>
        <v/>
      </c>
      <c r="E2405" s="23" t="str">
        <f aca="false">IF(助手回款!$R$162&lt;&gt;"","明 细 科 目","")</f>
        <v/>
      </c>
      <c r="F2405" s="65"/>
      <c r="G2405" s="66"/>
      <c r="H2405" s="63"/>
      <c r="I2405" s="64"/>
    </row>
    <row r="2406" customFormat="false" ht="23.25" hidden="false" customHeight="true" outlineLevel="0" collapsed="false">
      <c r="B2406" s="67" t="str">
        <f aca="false">IFERROR(INDEX(分录回款!$M:$M,MATCH($L2406,分录回款!$L:$L,0)),"")</f>
        <v/>
      </c>
      <c r="C2406" s="67"/>
      <c r="D2406" s="23" t="str">
        <f aca="false">IFERROR(INDEX(分录回款!$E:$E,MATCH($L2406,分录回款!$L:$L,0)),"")</f>
        <v/>
      </c>
      <c r="E2406" s="23" t="str">
        <f aca="false">IFERROR(INDEX(分录回款!$F:$F,MATCH($L2406,分录回款!$L:$L,0)),"")</f>
        <v/>
      </c>
      <c r="F2406" s="68" t="str">
        <f aca="false">IFERROR(INDEX(分录回款!$H:$H,MATCH($L2406,分录回款!$L:$L,0)),"")</f>
        <v/>
      </c>
      <c r="G2406" s="69" t="str">
        <f aca="false">IFERROR(INDEX(分录回款!$I:$I,MATCH($L2406,分录回款!$L:$L,0)),"")</f>
        <v/>
      </c>
      <c r="H2406" s="23"/>
      <c r="I2406" s="70"/>
      <c r="L2406" s="71" t="n">
        <f aca="false">IF(助手回款!$R$162="",-1,助手回款!$R$162*100+(助手回款!$S$162-1)*6+1)</f>
        <v>-1</v>
      </c>
    </row>
    <row r="2407" customFormat="false" ht="23.25" hidden="false" customHeight="true" outlineLevel="0" collapsed="false">
      <c r="B2407" s="67" t="str">
        <f aca="false">""</f>
        <v/>
      </c>
      <c r="C2407" s="67"/>
      <c r="D2407" s="23" t="str">
        <f aca="false">IFERROR(INDEX(分录回款!$E:$E,MATCH($L2407,分录回款!$L:$L,0)),"")</f>
        <v/>
      </c>
      <c r="E2407" s="23" t="str">
        <f aca="false">IFERROR(INDEX(分录回款!$F:$F,MATCH($L2407,分录回款!$L:$L,0)),"")</f>
        <v/>
      </c>
      <c r="F2407" s="68" t="str">
        <f aca="false">IFERROR(INDEX(分录回款!$H:$H,MATCH($L2407,分录回款!$L:$L,0)),"")</f>
        <v/>
      </c>
      <c r="G2407" s="69" t="str">
        <f aca="false">IFERROR(INDEX(分录回款!$I:$I,MATCH($L2407,分录回款!$L:$L,0)),"")</f>
        <v/>
      </c>
      <c r="H2407" s="23"/>
      <c r="I2407" s="70"/>
      <c r="L2407" s="71" t="n">
        <f aca="false">IF(助手回款!$R$162="",-1,助手回款!$R$162*100+(助手回款!$S$162-1)*6+2)</f>
        <v>-1</v>
      </c>
    </row>
    <row r="2408" customFormat="false" ht="23.25" hidden="false" customHeight="true" outlineLevel="0" collapsed="false">
      <c r="B2408" s="67" t="str">
        <f aca="false">""</f>
        <v/>
      </c>
      <c r="C2408" s="67"/>
      <c r="D2408" s="23" t="str">
        <f aca="false">IFERROR(INDEX(分录回款!$E:$E,MATCH($L2408,分录回款!$L:$L,0)),"")</f>
        <v/>
      </c>
      <c r="E2408" s="23" t="str">
        <f aca="false">IFERROR(INDEX(分录回款!$F:$F,MATCH($L2408,分录回款!$L:$L,0)),"")</f>
        <v/>
      </c>
      <c r="F2408" s="68" t="str">
        <f aca="false">IFERROR(INDEX(分录回款!$H:$H,MATCH($L2408,分录回款!$L:$L,0)),"")</f>
        <v/>
      </c>
      <c r="G2408" s="69" t="str">
        <f aca="false">IFERROR(INDEX(分录回款!$I:$I,MATCH($L2408,分录回款!$L:$L,0)),"")</f>
        <v/>
      </c>
      <c r="H2408" s="23"/>
      <c r="I2408" s="70"/>
      <c r="L2408" s="71" t="n">
        <f aca="false">IF(助手回款!$R$162="",-1,助手回款!$R$162*100+(助手回款!$S$162-1)*6+3)</f>
        <v>-1</v>
      </c>
    </row>
    <row r="2409" customFormat="false" ht="23.25" hidden="false" customHeight="true" outlineLevel="0" collapsed="false">
      <c r="B2409" s="67" t="str">
        <f aca="false">""</f>
        <v/>
      </c>
      <c r="C2409" s="67"/>
      <c r="D2409" s="23" t="str">
        <f aca="false">IFERROR(INDEX(分录回款!$E:$E,MATCH($L2409,分录回款!$L:$L,0)),"")</f>
        <v/>
      </c>
      <c r="E2409" s="23" t="str">
        <f aca="false">IFERROR(INDEX(分录回款!$F:$F,MATCH($L2409,分录回款!$L:$L,0)),"")</f>
        <v/>
      </c>
      <c r="F2409" s="68" t="str">
        <f aca="false">IFERROR(INDEX(分录回款!$H:$H,MATCH($L2409,分录回款!$L:$L,0)),"")</f>
        <v/>
      </c>
      <c r="G2409" s="69" t="str">
        <f aca="false">IFERROR(INDEX(分录回款!$I:$I,MATCH($L2409,分录回款!$L:$L,0)),"")</f>
        <v/>
      </c>
      <c r="H2409" s="23"/>
      <c r="I2409" s="70"/>
      <c r="L2409" s="71" t="n">
        <f aca="false">IF(助手回款!$R$162="",-1,助手回款!$R$162*100+(助手回款!$S$162-1)*6+4)</f>
        <v>-1</v>
      </c>
    </row>
    <row r="2410" customFormat="false" ht="23.25" hidden="false" customHeight="true" outlineLevel="0" collapsed="false">
      <c r="B2410" s="67" t="str">
        <f aca="false">""</f>
        <v/>
      </c>
      <c r="C2410" s="67"/>
      <c r="D2410" s="23" t="str">
        <f aca="false">IFERROR(INDEX(分录回款!$E:$E,MATCH($L2410,分录回款!$L:$L,0)),"")</f>
        <v/>
      </c>
      <c r="E2410" s="23" t="str">
        <f aca="false">IFERROR(INDEX(分录回款!$F:$F,MATCH($L2410,分录回款!$L:$L,0)),"")</f>
        <v/>
      </c>
      <c r="F2410" s="68" t="str">
        <f aca="false">IFERROR(INDEX(分录回款!$H:$H,MATCH($L2410,分录回款!$L:$L,0)),"")</f>
        <v/>
      </c>
      <c r="G2410" s="69" t="str">
        <f aca="false">IFERROR(INDEX(分录回款!$I:$I,MATCH($L2410,分录回款!$L:$L,0)),"")</f>
        <v/>
      </c>
      <c r="H2410" s="23"/>
      <c r="I2410" s="70"/>
      <c r="L2410" s="71" t="n">
        <f aca="false">IF(助手回款!$R$162="",-1,助手回款!$R$162*100+(助手回款!$S$162-1)*6+5)</f>
        <v>-1</v>
      </c>
    </row>
    <row r="2411" customFormat="false" ht="23.25" hidden="false" customHeight="true" outlineLevel="0" collapsed="false">
      <c r="B2411" s="67" t="str">
        <f aca="false">""</f>
        <v/>
      </c>
      <c r="C2411" s="67"/>
      <c r="D2411" s="23" t="str">
        <f aca="false">IFERROR(INDEX(分录回款!$E:$E,MATCH($L2411,分录回款!$L:$L,0)),"")</f>
        <v/>
      </c>
      <c r="E2411" s="23" t="str">
        <f aca="false">IFERROR(INDEX(分录回款!$F:$F,MATCH($L2411,分录回款!$L:$L,0)),"")</f>
        <v/>
      </c>
      <c r="F2411" s="68" t="str">
        <f aca="false">IFERROR(INDEX(分录回款!$H:$H,MATCH($L2411,分录回款!$L:$L,0)),"")</f>
        <v/>
      </c>
      <c r="G2411" s="69" t="str">
        <f aca="false">IFERROR(INDEX(分录回款!$I:$I,MATCH($L2411,分录回款!$L:$L,0)),"")</f>
        <v/>
      </c>
      <c r="H2411" s="23"/>
      <c r="I2411" s="70"/>
      <c r="L2411" s="71" t="n">
        <f aca="false">IF(助手回款!$R$162="",-1,助手回款!$R$162*100+(助手回款!$S$162-1)*6+6)</f>
        <v>-1</v>
      </c>
    </row>
    <row r="2412" customFormat="false" ht="23.25" hidden="false" customHeight="true" outlineLevel="0" collapsed="false">
      <c r="B2412" s="72" t="str">
        <f aca="false">IF(助手回款!$T$162=1,"合计：","")</f>
        <v/>
      </c>
      <c r="C2412" s="73" t="str">
        <f aca="false">IF(助手回款!$T$162=1,$F2412,"")</f>
        <v/>
      </c>
      <c r="D2412" s="74"/>
      <c r="E2412" s="74"/>
      <c r="F2412" s="75" t="str">
        <f aca="false">IF(助手回款!$T$162=1,INDEX(助手回款!$N$2:$N$66,助手回款!$R$162),"")</f>
        <v/>
      </c>
      <c r="G2412" s="76" t="str">
        <f aca="false">IF(助手回款!$T$162=1,INDEX(助手回款!$O$2:$O$66,助手回款!$R$162),"")</f>
        <v/>
      </c>
      <c r="H2412" s="74"/>
      <c r="I2412" s="77"/>
    </row>
    <row r="2413" customFormat="false" ht="6" hidden="false" customHeight="true" outlineLevel="0" collapsed="false"/>
    <row r="2414" customFormat="false" ht="13.5" hidden="false" customHeight="false" outlineLevel="0" collapsed="false">
      <c r="B2414" s="78" t="str">
        <f aca="false">IF(助手回款!$R$162&lt;&gt;"","会计主管：","")</f>
        <v/>
      </c>
      <c r="D2414" s="78" t="str">
        <f aca="false">IF(助手回款!$R$162&lt;&gt;"","会计：","")</f>
        <v/>
      </c>
      <c r="E2414" s="78" t="str">
        <f aca="false">IF(助手回款!$R$162&lt;&gt;"","出纳：","")</f>
        <v/>
      </c>
      <c r="F2414" s="78" t="str">
        <f aca="false">IF(助手回款!$R$162&lt;&gt;"","复核：","")</f>
        <v/>
      </c>
      <c r="G2414" s="78" t="str">
        <f aca="false">IF(助手回款!$R$162&lt;&gt;"","制单：","")</f>
        <v/>
      </c>
    </row>
    <row r="2415" customFormat="false" ht="3" hidden="false" customHeight="true" outlineLevel="0" collapsed="false"/>
    <row r="2416" customFormat="false" ht="19.5" hidden="false" customHeight="true" outlineLevel="0" collapsed="false">
      <c r="B2416" s="53" t="str">
        <f aca="false">IF(助手回款!$R$163&lt;&gt;"","记  账  凭  证","")</f>
        <v/>
      </c>
      <c r="C2416" s="53"/>
      <c r="D2416" s="53"/>
      <c r="E2416" s="53"/>
      <c r="F2416" s="53"/>
      <c r="G2416" s="53"/>
      <c r="H2416" s="53"/>
      <c r="I2416" s="53"/>
    </row>
    <row r="2417" customFormat="false" ht="3" hidden="false" customHeight="true" outlineLevel="0" collapsed="false"/>
    <row r="2418" customFormat="false" ht="15" hidden="false" customHeight="true" outlineLevel="0" collapsed="false">
      <c r="C2418" s="56" t="str">
        <f aca="false">IF(助手回款!$R$163&lt;&gt;"",INDEX(助手回款!$B$2:$B$66,助手回款!$R$163),"")</f>
        <v/>
      </c>
      <c r="D2418" s="57" t="str">
        <f aca="false">IF(助手回款!$R$163&lt;&gt;"",参数!$B$2,"")</f>
        <v/>
      </c>
      <c r="E2418" s="57"/>
      <c r="F2418" s="58" t="str">
        <f aca="false">IF(助手回款!$R$163&lt;&gt;"",INDEX(助手回款!$C$2:$C$66,助手回款!$R$163)&amp;"  字第 "&amp;IF(参数!$B$9="是",INDEX(助手回款!$P$2:$P$66,助手回款!$R$163),"　　　　")&amp;" 号"&amp;IF(INDEX(助手回款!$L$2:$L$66,助手回款!$R$163)&gt;1,"  (共"&amp;INDEX(助手回款!$L$2:$L$66,助手回款!$R$163)&amp;"页 第"&amp;助手回款!$S$163&amp;"页)",""),"")</f>
        <v/>
      </c>
      <c r="G2418" s="58"/>
      <c r="H2418" s="58"/>
      <c r="I2418" s="58"/>
      <c r="M2418" s="79" t="str">
        <f aca="false">IF(助手回款!$R$163="","",助手回款!$Q$163)</f>
        <v/>
      </c>
      <c r="N2418" s="80" t="str">
        <f aca="false">IF(助手回款!$R$163="","",INDEX(助手回款!$P$2:$P$66,助手回款!$R$163))</f>
        <v/>
      </c>
      <c r="O2418" s="55" t="str">
        <f aca="false">IF(助手回款!$R$163="","",INDEX(助手回款!$C$2:$C$66,助手回款!$R$163)&amp;"  字第 "&amp;INDEX(助手回款!$P$2:$P$66,助手回款!$R$163)&amp;" 号"&amp;IF(INDEX(助手回款!$L$2:$L$66,助手回款!$R$163)&gt;1,"  (共"&amp;INDEX(助手回款!$L$2:$L$66,助手回款!$R$163)&amp;"页 第"&amp;助手回款!$S$163&amp;"页)",""))</f>
        <v/>
      </c>
    </row>
    <row r="2419" customFormat="false" ht="12.75" hidden="false" customHeight="true" outlineLevel="0" collapsed="false">
      <c r="B2419" s="61" t="str">
        <f aca="false">IF(助手回款!$R$163&lt;&gt;"","摘　　要","")</f>
        <v/>
      </c>
      <c r="C2419" s="61"/>
      <c r="D2419" s="62" t="str">
        <f aca="false">IF(助手回款!$R$163&lt;&gt;"","科　　　　目","")</f>
        <v/>
      </c>
      <c r="E2419" s="62"/>
      <c r="F2419" s="61" t="str">
        <f aca="false">IF(助手回款!$R$163&lt;&gt;"","借 方 金 额","")</f>
        <v/>
      </c>
      <c r="G2419" s="62" t="str">
        <f aca="false">IF(助手回款!$R$163&lt;&gt;"","贷 方 金 额","")</f>
        <v/>
      </c>
      <c r="H2419" s="63" t="str">
        <f aca="false">IF(助手回款!$R$163&lt;&gt;"","√","")</f>
        <v/>
      </c>
      <c r="I2419" s="64" t="str">
        <f aca="false">IF(助手回款!$R$163&lt;&gt;"","附单据  张","")</f>
        <v/>
      </c>
    </row>
    <row r="2420" customFormat="false" ht="12.75" hidden="false" customHeight="true" outlineLevel="0" collapsed="false">
      <c r="B2420" s="61"/>
      <c r="C2420" s="61"/>
      <c r="D2420" s="23" t="str">
        <f aca="false">IF(助手回款!$R$163&lt;&gt;"","总 账 科 目","")</f>
        <v/>
      </c>
      <c r="E2420" s="23" t="str">
        <f aca="false">IF(助手回款!$R$163&lt;&gt;"","明 细 科 目","")</f>
        <v/>
      </c>
      <c r="F2420" s="65"/>
      <c r="G2420" s="66"/>
      <c r="H2420" s="63"/>
      <c r="I2420" s="64"/>
    </row>
    <row r="2421" customFormat="false" ht="23.25" hidden="false" customHeight="true" outlineLevel="0" collapsed="false">
      <c r="B2421" s="67" t="str">
        <f aca="false">IFERROR(INDEX(分录回款!$M:$M,MATCH($L2421,分录回款!$L:$L,0)),"")</f>
        <v/>
      </c>
      <c r="C2421" s="67"/>
      <c r="D2421" s="23" t="str">
        <f aca="false">IFERROR(INDEX(分录回款!$E:$E,MATCH($L2421,分录回款!$L:$L,0)),"")</f>
        <v/>
      </c>
      <c r="E2421" s="23" t="str">
        <f aca="false">IFERROR(INDEX(分录回款!$F:$F,MATCH($L2421,分录回款!$L:$L,0)),"")</f>
        <v/>
      </c>
      <c r="F2421" s="68" t="str">
        <f aca="false">IFERROR(INDEX(分录回款!$H:$H,MATCH($L2421,分录回款!$L:$L,0)),"")</f>
        <v/>
      </c>
      <c r="G2421" s="69" t="str">
        <f aca="false">IFERROR(INDEX(分录回款!$I:$I,MATCH($L2421,分录回款!$L:$L,0)),"")</f>
        <v/>
      </c>
      <c r="H2421" s="23"/>
      <c r="I2421" s="70"/>
      <c r="L2421" s="71" t="n">
        <f aca="false">IF(助手回款!$R$163="",-1,助手回款!$R$163*100+(助手回款!$S$163-1)*6+1)</f>
        <v>-1</v>
      </c>
    </row>
    <row r="2422" customFormat="false" ht="23.25" hidden="false" customHeight="true" outlineLevel="0" collapsed="false">
      <c r="B2422" s="67" t="str">
        <f aca="false">""</f>
        <v/>
      </c>
      <c r="C2422" s="67"/>
      <c r="D2422" s="23" t="str">
        <f aca="false">IFERROR(INDEX(分录回款!$E:$E,MATCH($L2422,分录回款!$L:$L,0)),"")</f>
        <v/>
      </c>
      <c r="E2422" s="23" t="str">
        <f aca="false">IFERROR(INDEX(分录回款!$F:$F,MATCH($L2422,分录回款!$L:$L,0)),"")</f>
        <v/>
      </c>
      <c r="F2422" s="68" t="str">
        <f aca="false">IFERROR(INDEX(分录回款!$H:$H,MATCH($L2422,分录回款!$L:$L,0)),"")</f>
        <v/>
      </c>
      <c r="G2422" s="69" t="str">
        <f aca="false">IFERROR(INDEX(分录回款!$I:$I,MATCH($L2422,分录回款!$L:$L,0)),"")</f>
        <v/>
      </c>
      <c r="H2422" s="23"/>
      <c r="I2422" s="70"/>
      <c r="L2422" s="71" t="n">
        <f aca="false">IF(助手回款!$R$163="",-1,助手回款!$R$163*100+(助手回款!$S$163-1)*6+2)</f>
        <v>-1</v>
      </c>
    </row>
    <row r="2423" customFormat="false" ht="23.25" hidden="false" customHeight="true" outlineLevel="0" collapsed="false">
      <c r="B2423" s="67" t="str">
        <f aca="false">""</f>
        <v/>
      </c>
      <c r="C2423" s="67"/>
      <c r="D2423" s="23" t="str">
        <f aca="false">IFERROR(INDEX(分录回款!$E:$E,MATCH($L2423,分录回款!$L:$L,0)),"")</f>
        <v/>
      </c>
      <c r="E2423" s="23" t="str">
        <f aca="false">IFERROR(INDEX(分录回款!$F:$F,MATCH($L2423,分录回款!$L:$L,0)),"")</f>
        <v/>
      </c>
      <c r="F2423" s="68" t="str">
        <f aca="false">IFERROR(INDEX(分录回款!$H:$H,MATCH($L2423,分录回款!$L:$L,0)),"")</f>
        <v/>
      </c>
      <c r="G2423" s="69" t="str">
        <f aca="false">IFERROR(INDEX(分录回款!$I:$I,MATCH($L2423,分录回款!$L:$L,0)),"")</f>
        <v/>
      </c>
      <c r="H2423" s="23"/>
      <c r="I2423" s="70"/>
      <c r="L2423" s="71" t="n">
        <f aca="false">IF(助手回款!$R$163="",-1,助手回款!$R$163*100+(助手回款!$S$163-1)*6+3)</f>
        <v>-1</v>
      </c>
    </row>
    <row r="2424" customFormat="false" ht="23.25" hidden="false" customHeight="true" outlineLevel="0" collapsed="false">
      <c r="B2424" s="67" t="str">
        <f aca="false">""</f>
        <v/>
      </c>
      <c r="C2424" s="67"/>
      <c r="D2424" s="23" t="str">
        <f aca="false">IFERROR(INDEX(分录回款!$E:$E,MATCH($L2424,分录回款!$L:$L,0)),"")</f>
        <v/>
      </c>
      <c r="E2424" s="23" t="str">
        <f aca="false">IFERROR(INDEX(分录回款!$F:$F,MATCH($L2424,分录回款!$L:$L,0)),"")</f>
        <v/>
      </c>
      <c r="F2424" s="68" t="str">
        <f aca="false">IFERROR(INDEX(分录回款!$H:$H,MATCH($L2424,分录回款!$L:$L,0)),"")</f>
        <v/>
      </c>
      <c r="G2424" s="69" t="str">
        <f aca="false">IFERROR(INDEX(分录回款!$I:$I,MATCH($L2424,分录回款!$L:$L,0)),"")</f>
        <v/>
      </c>
      <c r="H2424" s="23"/>
      <c r="I2424" s="70"/>
      <c r="L2424" s="71" t="n">
        <f aca="false">IF(助手回款!$R$163="",-1,助手回款!$R$163*100+(助手回款!$S$163-1)*6+4)</f>
        <v>-1</v>
      </c>
    </row>
    <row r="2425" customFormat="false" ht="23.25" hidden="false" customHeight="true" outlineLevel="0" collapsed="false">
      <c r="B2425" s="67" t="str">
        <f aca="false">""</f>
        <v/>
      </c>
      <c r="C2425" s="67"/>
      <c r="D2425" s="23" t="str">
        <f aca="false">IFERROR(INDEX(分录回款!$E:$E,MATCH($L2425,分录回款!$L:$L,0)),"")</f>
        <v/>
      </c>
      <c r="E2425" s="23" t="str">
        <f aca="false">IFERROR(INDEX(分录回款!$F:$F,MATCH($L2425,分录回款!$L:$L,0)),"")</f>
        <v/>
      </c>
      <c r="F2425" s="68" t="str">
        <f aca="false">IFERROR(INDEX(分录回款!$H:$H,MATCH($L2425,分录回款!$L:$L,0)),"")</f>
        <v/>
      </c>
      <c r="G2425" s="69" t="str">
        <f aca="false">IFERROR(INDEX(分录回款!$I:$I,MATCH($L2425,分录回款!$L:$L,0)),"")</f>
        <v/>
      </c>
      <c r="H2425" s="23"/>
      <c r="I2425" s="70"/>
      <c r="L2425" s="71" t="n">
        <f aca="false">IF(助手回款!$R$163="",-1,助手回款!$R$163*100+(助手回款!$S$163-1)*6+5)</f>
        <v>-1</v>
      </c>
    </row>
    <row r="2426" customFormat="false" ht="23.25" hidden="false" customHeight="true" outlineLevel="0" collapsed="false">
      <c r="B2426" s="67" t="str">
        <f aca="false">""</f>
        <v/>
      </c>
      <c r="C2426" s="67"/>
      <c r="D2426" s="23" t="str">
        <f aca="false">IFERROR(INDEX(分录回款!$E:$E,MATCH($L2426,分录回款!$L:$L,0)),"")</f>
        <v/>
      </c>
      <c r="E2426" s="23" t="str">
        <f aca="false">IFERROR(INDEX(分录回款!$F:$F,MATCH($L2426,分录回款!$L:$L,0)),"")</f>
        <v/>
      </c>
      <c r="F2426" s="68" t="str">
        <f aca="false">IFERROR(INDEX(分录回款!$H:$H,MATCH($L2426,分录回款!$L:$L,0)),"")</f>
        <v/>
      </c>
      <c r="G2426" s="69" t="str">
        <f aca="false">IFERROR(INDEX(分录回款!$I:$I,MATCH($L2426,分录回款!$L:$L,0)),"")</f>
        <v/>
      </c>
      <c r="H2426" s="23"/>
      <c r="I2426" s="70"/>
      <c r="L2426" s="71" t="n">
        <f aca="false">IF(助手回款!$R$163="",-1,助手回款!$R$163*100+(助手回款!$S$163-1)*6+6)</f>
        <v>-1</v>
      </c>
    </row>
    <row r="2427" customFormat="false" ht="23.25" hidden="false" customHeight="true" outlineLevel="0" collapsed="false">
      <c r="B2427" s="72" t="str">
        <f aca="false">IF(助手回款!$T$163=1,"合计：","")</f>
        <v/>
      </c>
      <c r="C2427" s="73" t="str">
        <f aca="false">IF(助手回款!$T$163=1,$F2427,"")</f>
        <v/>
      </c>
      <c r="D2427" s="74"/>
      <c r="E2427" s="74"/>
      <c r="F2427" s="75" t="str">
        <f aca="false">IF(助手回款!$T$163=1,INDEX(助手回款!$N$2:$N$66,助手回款!$R$163),"")</f>
        <v/>
      </c>
      <c r="G2427" s="76" t="str">
        <f aca="false">IF(助手回款!$T$163=1,INDEX(助手回款!$O$2:$O$66,助手回款!$R$163),"")</f>
        <v/>
      </c>
      <c r="H2427" s="74"/>
      <c r="I2427" s="77"/>
    </row>
    <row r="2428" customFormat="false" ht="6" hidden="false" customHeight="true" outlineLevel="0" collapsed="false"/>
    <row r="2429" customFormat="false" ht="13.5" hidden="false" customHeight="false" outlineLevel="0" collapsed="false">
      <c r="B2429" s="78" t="str">
        <f aca="false">IF(助手回款!$R$163&lt;&gt;"","会计主管：","")</f>
        <v/>
      </c>
      <c r="D2429" s="78" t="str">
        <f aca="false">IF(助手回款!$R$163&lt;&gt;"","会计：","")</f>
        <v/>
      </c>
      <c r="E2429" s="78" t="str">
        <f aca="false">IF(助手回款!$R$163&lt;&gt;"","出纳：","")</f>
        <v/>
      </c>
      <c r="F2429" s="78" t="str">
        <f aca="false">IF(助手回款!$R$163&lt;&gt;"","复核：","")</f>
        <v/>
      </c>
      <c r="G2429" s="78" t="str">
        <f aca="false">IF(助手回款!$R$163&lt;&gt;"","制单：","")</f>
        <v/>
      </c>
    </row>
    <row r="2430" customFormat="false" ht="3" hidden="false" customHeight="true" outlineLevel="0" collapsed="false"/>
    <row r="2431" customFormat="false" ht="19.5" hidden="false" customHeight="true" outlineLevel="0" collapsed="false">
      <c r="B2431" s="53" t="str">
        <f aca="false">IF(助手回款!$R$164&lt;&gt;"","记  账  凭  证","")</f>
        <v/>
      </c>
      <c r="C2431" s="53"/>
      <c r="D2431" s="53"/>
      <c r="E2431" s="53"/>
      <c r="F2431" s="53"/>
      <c r="G2431" s="53"/>
      <c r="H2431" s="53"/>
      <c r="I2431" s="53"/>
    </row>
    <row r="2432" customFormat="false" ht="3" hidden="false" customHeight="true" outlineLevel="0" collapsed="false"/>
    <row r="2433" customFormat="false" ht="15" hidden="false" customHeight="true" outlineLevel="0" collapsed="false">
      <c r="C2433" s="56" t="str">
        <f aca="false">IF(助手回款!$R$164&lt;&gt;"",INDEX(助手回款!$B$2:$B$66,助手回款!$R$164),"")</f>
        <v/>
      </c>
      <c r="D2433" s="57" t="str">
        <f aca="false">IF(助手回款!$R$164&lt;&gt;"",参数!$B$2,"")</f>
        <v/>
      </c>
      <c r="E2433" s="57"/>
      <c r="F2433" s="58" t="str">
        <f aca="false">IF(助手回款!$R$164&lt;&gt;"",INDEX(助手回款!$C$2:$C$66,助手回款!$R$164)&amp;"  字第 "&amp;IF(参数!$B$9="是",INDEX(助手回款!$P$2:$P$66,助手回款!$R$164),"　　　　")&amp;" 号"&amp;IF(INDEX(助手回款!$L$2:$L$66,助手回款!$R$164)&gt;1,"  (共"&amp;INDEX(助手回款!$L$2:$L$66,助手回款!$R$164)&amp;"页 第"&amp;助手回款!$S$164&amp;"页)",""),"")</f>
        <v/>
      </c>
      <c r="G2433" s="58"/>
      <c r="H2433" s="58"/>
      <c r="I2433" s="58"/>
      <c r="M2433" s="79" t="str">
        <f aca="false">IF(助手回款!$R$164="","",助手回款!$Q$164)</f>
        <v/>
      </c>
      <c r="N2433" s="80" t="str">
        <f aca="false">IF(助手回款!$R$164="","",INDEX(助手回款!$P$2:$P$66,助手回款!$R$164))</f>
        <v/>
      </c>
      <c r="O2433" s="55" t="str">
        <f aca="false">IF(助手回款!$R$164="","",INDEX(助手回款!$C$2:$C$66,助手回款!$R$164)&amp;"  字第 "&amp;INDEX(助手回款!$P$2:$P$66,助手回款!$R$164)&amp;" 号"&amp;IF(INDEX(助手回款!$L$2:$L$66,助手回款!$R$164)&gt;1,"  (共"&amp;INDEX(助手回款!$L$2:$L$66,助手回款!$R$164)&amp;"页 第"&amp;助手回款!$S$164&amp;"页)",""))</f>
        <v/>
      </c>
    </row>
    <row r="2434" customFormat="false" ht="12.75" hidden="false" customHeight="true" outlineLevel="0" collapsed="false">
      <c r="B2434" s="61" t="str">
        <f aca="false">IF(助手回款!$R$164&lt;&gt;"","摘　　要","")</f>
        <v/>
      </c>
      <c r="C2434" s="61"/>
      <c r="D2434" s="62" t="str">
        <f aca="false">IF(助手回款!$R$164&lt;&gt;"","科　　　　目","")</f>
        <v/>
      </c>
      <c r="E2434" s="62"/>
      <c r="F2434" s="61" t="str">
        <f aca="false">IF(助手回款!$R$164&lt;&gt;"","借 方 金 额","")</f>
        <v/>
      </c>
      <c r="G2434" s="62" t="str">
        <f aca="false">IF(助手回款!$R$164&lt;&gt;"","贷 方 金 额","")</f>
        <v/>
      </c>
      <c r="H2434" s="63" t="str">
        <f aca="false">IF(助手回款!$R$164&lt;&gt;"","√","")</f>
        <v/>
      </c>
      <c r="I2434" s="64" t="str">
        <f aca="false">IF(助手回款!$R$164&lt;&gt;"","附单据  张","")</f>
        <v/>
      </c>
    </row>
    <row r="2435" customFormat="false" ht="12.75" hidden="false" customHeight="true" outlineLevel="0" collapsed="false">
      <c r="B2435" s="61"/>
      <c r="C2435" s="61"/>
      <c r="D2435" s="23" t="str">
        <f aca="false">IF(助手回款!$R$164&lt;&gt;"","总 账 科 目","")</f>
        <v/>
      </c>
      <c r="E2435" s="23" t="str">
        <f aca="false">IF(助手回款!$R$164&lt;&gt;"","明 细 科 目","")</f>
        <v/>
      </c>
      <c r="F2435" s="65"/>
      <c r="G2435" s="66"/>
      <c r="H2435" s="63"/>
      <c r="I2435" s="64"/>
    </row>
    <row r="2436" customFormat="false" ht="23.25" hidden="false" customHeight="true" outlineLevel="0" collapsed="false">
      <c r="B2436" s="67" t="str">
        <f aca="false">IFERROR(INDEX(分录回款!$M:$M,MATCH($L2436,分录回款!$L:$L,0)),"")</f>
        <v/>
      </c>
      <c r="C2436" s="67"/>
      <c r="D2436" s="23" t="str">
        <f aca="false">IFERROR(INDEX(分录回款!$E:$E,MATCH($L2436,分录回款!$L:$L,0)),"")</f>
        <v/>
      </c>
      <c r="E2436" s="23" t="str">
        <f aca="false">IFERROR(INDEX(分录回款!$F:$F,MATCH($L2436,分录回款!$L:$L,0)),"")</f>
        <v/>
      </c>
      <c r="F2436" s="68" t="str">
        <f aca="false">IFERROR(INDEX(分录回款!$H:$H,MATCH($L2436,分录回款!$L:$L,0)),"")</f>
        <v/>
      </c>
      <c r="G2436" s="69" t="str">
        <f aca="false">IFERROR(INDEX(分录回款!$I:$I,MATCH($L2436,分录回款!$L:$L,0)),"")</f>
        <v/>
      </c>
      <c r="H2436" s="23"/>
      <c r="I2436" s="70"/>
      <c r="L2436" s="71" t="n">
        <f aca="false">IF(助手回款!$R$164="",-1,助手回款!$R$164*100+(助手回款!$S$164-1)*6+1)</f>
        <v>-1</v>
      </c>
    </row>
    <row r="2437" customFormat="false" ht="23.25" hidden="false" customHeight="true" outlineLevel="0" collapsed="false">
      <c r="B2437" s="67" t="str">
        <f aca="false">""</f>
        <v/>
      </c>
      <c r="C2437" s="67"/>
      <c r="D2437" s="23" t="str">
        <f aca="false">IFERROR(INDEX(分录回款!$E:$E,MATCH($L2437,分录回款!$L:$L,0)),"")</f>
        <v/>
      </c>
      <c r="E2437" s="23" t="str">
        <f aca="false">IFERROR(INDEX(分录回款!$F:$F,MATCH($L2437,分录回款!$L:$L,0)),"")</f>
        <v/>
      </c>
      <c r="F2437" s="68" t="str">
        <f aca="false">IFERROR(INDEX(分录回款!$H:$H,MATCH($L2437,分录回款!$L:$L,0)),"")</f>
        <v/>
      </c>
      <c r="G2437" s="69" t="str">
        <f aca="false">IFERROR(INDEX(分录回款!$I:$I,MATCH($L2437,分录回款!$L:$L,0)),"")</f>
        <v/>
      </c>
      <c r="H2437" s="23"/>
      <c r="I2437" s="70"/>
      <c r="L2437" s="71" t="n">
        <f aca="false">IF(助手回款!$R$164="",-1,助手回款!$R$164*100+(助手回款!$S$164-1)*6+2)</f>
        <v>-1</v>
      </c>
    </row>
    <row r="2438" customFormat="false" ht="23.25" hidden="false" customHeight="true" outlineLevel="0" collapsed="false">
      <c r="B2438" s="67" t="str">
        <f aca="false">""</f>
        <v/>
      </c>
      <c r="C2438" s="67"/>
      <c r="D2438" s="23" t="str">
        <f aca="false">IFERROR(INDEX(分录回款!$E:$E,MATCH($L2438,分录回款!$L:$L,0)),"")</f>
        <v/>
      </c>
      <c r="E2438" s="23" t="str">
        <f aca="false">IFERROR(INDEX(分录回款!$F:$F,MATCH($L2438,分录回款!$L:$L,0)),"")</f>
        <v/>
      </c>
      <c r="F2438" s="68" t="str">
        <f aca="false">IFERROR(INDEX(分录回款!$H:$H,MATCH($L2438,分录回款!$L:$L,0)),"")</f>
        <v/>
      </c>
      <c r="G2438" s="69" t="str">
        <f aca="false">IFERROR(INDEX(分录回款!$I:$I,MATCH($L2438,分录回款!$L:$L,0)),"")</f>
        <v/>
      </c>
      <c r="H2438" s="23"/>
      <c r="I2438" s="70"/>
      <c r="L2438" s="71" t="n">
        <f aca="false">IF(助手回款!$R$164="",-1,助手回款!$R$164*100+(助手回款!$S$164-1)*6+3)</f>
        <v>-1</v>
      </c>
    </row>
    <row r="2439" customFormat="false" ht="23.25" hidden="false" customHeight="true" outlineLevel="0" collapsed="false">
      <c r="B2439" s="67" t="str">
        <f aca="false">""</f>
        <v/>
      </c>
      <c r="C2439" s="67"/>
      <c r="D2439" s="23" t="str">
        <f aca="false">IFERROR(INDEX(分录回款!$E:$E,MATCH($L2439,分录回款!$L:$L,0)),"")</f>
        <v/>
      </c>
      <c r="E2439" s="23" t="str">
        <f aca="false">IFERROR(INDEX(分录回款!$F:$F,MATCH($L2439,分录回款!$L:$L,0)),"")</f>
        <v/>
      </c>
      <c r="F2439" s="68" t="str">
        <f aca="false">IFERROR(INDEX(分录回款!$H:$H,MATCH($L2439,分录回款!$L:$L,0)),"")</f>
        <v/>
      </c>
      <c r="G2439" s="69" t="str">
        <f aca="false">IFERROR(INDEX(分录回款!$I:$I,MATCH($L2439,分录回款!$L:$L,0)),"")</f>
        <v/>
      </c>
      <c r="H2439" s="23"/>
      <c r="I2439" s="70"/>
      <c r="L2439" s="71" t="n">
        <f aca="false">IF(助手回款!$R$164="",-1,助手回款!$R$164*100+(助手回款!$S$164-1)*6+4)</f>
        <v>-1</v>
      </c>
    </row>
    <row r="2440" customFormat="false" ht="23.25" hidden="false" customHeight="true" outlineLevel="0" collapsed="false">
      <c r="B2440" s="67" t="str">
        <f aca="false">""</f>
        <v/>
      </c>
      <c r="C2440" s="67"/>
      <c r="D2440" s="23" t="str">
        <f aca="false">IFERROR(INDEX(分录回款!$E:$E,MATCH($L2440,分录回款!$L:$L,0)),"")</f>
        <v/>
      </c>
      <c r="E2440" s="23" t="str">
        <f aca="false">IFERROR(INDEX(分录回款!$F:$F,MATCH($L2440,分录回款!$L:$L,0)),"")</f>
        <v/>
      </c>
      <c r="F2440" s="68" t="str">
        <f aca="false">IFERROR(INDEX(分录回款!$H:$H,MATCH($L2440,分录回款!$L:$L,0)),"")</f>
        <v/>
      </c>
      <c r="G2440" s="69" t="str">
        <f aca="false">IFERROR(INDEX(分录回款!$I:$I,MATCH($L2440,分录回款!$L:$L,0)),"")</f>
        <v/>
      </c>
      <c r="H2440" s="23"/>
      <c r="I2440" s="70"/>
      <c r="L2440" s="71" t="n">
        <f aca="false">IF(助手回款!$R$164="",-1,助手回款!$R$164*100+(助手回款!$S$164-1)*6+5)</f>
        <v>-1</v>
      </c>
    </row>
    <row r="2441" customFormat="false" ht="23.25" hidden="false" customHeight="true" outlineLevel="0" collapsed="false">
      <c r="B2441" s="67" t="str">
        <f aca="false">""</f>
        <v/>
      </c>
      <c r="C2441" s="67"/>
      <c r="D2441" s="23" t="str">
        <f aca="false">IFERROR(INDEX(分录回款!$E:$E,MATCH($L2441,分录回款!$L:$L,0)),"")</f>
        <v/>
      </c>
      <c r="E2441" s="23" t="str">
        <f aca="false">IFERROR(INDEX(分录回款!$F:$F,MATCH($L2441,分录回款!$L:$L,0)),"")</f>
        <v/>
      </c>
      <c r="F2441" s="68" t="str">
        <f aca="false">IFERROR(INDEX(分录回款!$H:$H,MATCH($L2441,分录回款!$L:$L,0)),"")</f>
        <v/>
      </c>
      <c r="G2441" s="69" t="str">
        <f aca="false">IFERROR(INDEX(分录回款!$I:$I,MATCH($L2441,分录回款!$L:$L,0)),"")</f>
        <v/>
      </c>
      <c r="H2441" s="23"/>
      <c r="I2441" s="70"/>
      <c r="L2441" s="71" t="n">
        <f aca="false">IF(助手回款!$R$164="",-1,助手回款!$R$164*100+(助手回款!$S$164-1)*6+6)</f>
        <v>-1</v>
      </c>
    </row>
    <row r="2442" customFormat="false" ht="23.25" hidden="false" customHeight="true" outlineLevel="0" collapsed="false">
      <c r="B2442" s="72" t="str">
        <f aca="false">IF(助手回款!$T$164=1,"合计：","")</f>
        <v/>
      </c>
      <c r="C2442" s="73" t="str">
        <f aca="false">IF(助手回款!$T$164=1,$F2442,"")</f>
        <v/>
      </c>
      <c r="D2442" s="74"/>
      <c r="E2442" s="74"/>
      <c r="F2442" s="75" t="str">
        <f aca="false">IF(助手回款!$T$164=1,INDEX(助手回款!$N$2:$N$66,助手回款!$R$164),"")</f>
        <v/>
      </c>
      <c r="G2442" s="76" t="str">
        <f aca="false">IF(助手回款!$T$164=1,INDEX(助手回款!$O$2:$O$66,助手回款!$R$164),"")</f>
        <v/>
      </c>
      <c r="H2442" s="74"/>
      <c r="I2442" s="77"/>
    </row>
    <row r="2443" customFormat="false" ht="6" hidden="false" customHeight="true" outlineLevel="0" collapsed="false"/>
    <row r="2444" customFormat="false" ht="13.5" hidden="false" customHeight="false" outlineLevel="0" collapsed="false">
      <c r="B2444" s="78" t="str">
        <f aca="false">IF(助手回款!$R$164&lt;&gt;"","会计主管：","")</f>
        <v/>
      </c>
      <c r="D2444" s="78" t="str">
        <f aca="false">IF(助手回款!$R$164&lt;&gt;"","会计：","")</f>
        <v/>
      </c>
      <c r="E2444" s="78" t="str">
        <f aca="false">IF(助手回款!$R$164&lt;&gt;"","出纳：","")</f>
        <v/>
      </c>
      <c r="F2444" s="78" t="str">
        <f aca="false">IF(助手回款!$R$164&lt;&gt;"","复核：","")</f>
        <v/>
      </c>
      <c r="G2444" s="78" t="str">
        <f aca="false">IF(助手回款!$R$164&lt;&gt;"","制单：","")</f>
        <v/>
      </c>
    </row>
    <row r="2445" customFormat="false" ht="3" hidden="false" customHeight="true" outlineLevel="0" collapsed="false"/>
    <row r="2446" customFormat="false" ht="19.5" hidden="false" customHeight="true" outlineLevel="0" collapsed="false">
      <c r="B2446" s="53" t="str">
        <f aca="false">IF(助手回款!$R$165&lt;&gt;"","记  账  凭  证","")</f>
        <v/>
      </c>
      <c r="C2446" s="53"/>
      <c r="D2446" s="53"/>
      <c r="E2446" s="53"/>
      <c r="F2446" s="53"/>
      <c r="G2446" s="53"/>
      <c r="H2446" s="53"/>
      <c r="I2446" s="53"/>
    </row>
    <row r="2447" customFormat="false" ht="3" hidden="false" customHeight="true" outlineLevel="0" collapsed="false"/>
    <row r="2448" customFormat="false" ht="15" hidden="false" customHeight="true" outlineLevel="0" collapsed="false">
      <c r="C2448" s="56" t="str">
        <f aca="false">IF(助手回款!$R$165&lt;&gt;"",INDEX(助手回款!$B$2:$B$66,助手回款!$R$165),"")</f>
        <v/>
      </c>
      <c r="D2448" s="57" t="str">
        <f aca="false">IF(助手回款!$R$165&lt;&gt;"",参数!$B$2,"")</f>
        <v/>
      </c>
      <c r="E2448" s="57"/>
      <c r="F2448" s="58" t="str">
        <f aca="false">IF(助手回款!$R$165&lt;&gt;"",INDEX(助手回款!$C$2:$C$66,助手回款!$R$165)&amp;"  字第 "&amp;IF(参数!$B$9="是",INDEX(助手回款!$P$2:$P$66,助手回款!$R$165),"　　　　")&amp;" 号"&amp;IF(INDEX(助手回款!$L$2:$L$66,助手回款!$R$165)&gt;1,"  (共"&amp;INDEX(助手回款!$L$2:$L$66,助手回款!$R$165)&amp;"页 第"&amp;助手回款!$S$165&amp;"页)",""),"")</f>
        <v/>
      </c>
      <c r="G2448" s="58"/>
      <c r="H2448" s="58"/>
      <c r="I2448" s="58"/>
      <c r="M2448" s="79" t="str">
        <f aca="false">IF(助手回款!$R$165="","",助手回款!$Q$165)</f>
        <v/>
      </c>
      <c r="N2448" s="80" t="str">
        <f aca="false">IF(助手回款!$R$165="","",INDEX(助手回款!$P$2:$P$66,助手回款!$R$165))</f>
        <v/>
      </c>
      <c r="O2448" s="55" t="str">
        <f aca="false">IF(助手回款!$R$165="","",INDEX(助手回款!$C$2:$C$66,助手回款!$R$165)&amp;"  字第 "&amp;INDEX(助手回款!$P$2:$P$66,助手回款!$R$165)&amp;" 号"&amp;IF(INDEX(助手回款!$L$2:$L$66,助手回款!$R$165)&gt;1,"  (共"&amp;INDEX(助手回款!$L$2:$L$66,助手回款!$R$165)&amp;"页 第"&amp;助手回款!$S$165&amp;"页)",""))</f>
        <v/>
      </c>
    </row>
    <row r="2449" customFormat="false" ht="12.75" hidden="false" customHeight="true" outlineLevel="0" collapsed="false">
      <c r="B2449" s="61" t="str">
        <f aca="false">IF(助手回款!$R$165&lt;&gt;"","摘　　要","")</f>
        <v/>
      </c>
      <c r="C2449" s="61"/>
      <c r="D2449" s="62" t="str">
        <f aca="false">IF(助手回款!$R$165&lt;&gt;"","科　　　　目","")</f>
        <v/>
      </c>
      <c r="E2449" s="62"/>
      <c r="F2449" s="61" t="str">
        <f aca="false">IF(助手回款!$R$165&lt;&gt;"","借 方 金 额","")</f>
        <v/>
      </c>
      <c r="G2449" s="62" t="str">
        <f aca="false">IF(助手回款!$R$165&lt;&gt;"","贷 方 金 额","")</f>
        <v/>
      </c>
      <c r="H2449" s="63" t="str">
        <f aca="false">IF(助手回款!$R$165&lt;&gt;"","√","")</f>
        <v/>
      </c>
      <c r="I2449" s="64" t="str">
        <f aca="false">IF(助手回款!$R$165&lt;&gt;"","附单据  张","")</f>
        <v/>
      </c>
    </row>
    <row r="2450" customFormat="false" ht="12.75" hidden="false" customHeight="true" outlineLevel="0" collapsed="false">
      <c r="B2450" s="61"/>
      <c r="C2450" s="61"/>
      <c r="D2450" s="23" t="str">
        <f aca="false">IF(助手回款!$R$165&lt;&gt;"","总 账 科 目","")</f>
        <v/>
      </c>
      <c r="E2450" s="23" t="str">
        <f aca="false">IF(助手回款!$R$165&lt;&gt;"","明 细 科 目","")</f>
        <v/>
      </c>
      <c r="F2450" s="65"/>
      <c r="G2450" s="66"/>
      <c r="H2450" s="63"/>
      <c r="I2450" s="64"/>
    </row>
    <row r="2451" customFormat="false" ht="23.25" hidden="false" customHeight="true" outlineLevel="0" collapsed="false">
      <c r="B2451" s="67" t="str">
        <f aca="false">IFERROR(INDEX(分录回款!$M:$M,MATCH($L2451,分录回款!$L:$L,0)),"")</f>
        <v/>
      </c>
      <c r="C2451" s="67"/>
      <c r="D2451" s="23" t="str">
        <f aca="false">IFERROR(INDEX(分录回款!$E:$E,MATCH($L2451,分录回款!$L:$L,0)),"")</f>
        <v/>
      </c>
      <c r="E2451" s="23" t="str">
        <f aca="false">IFERROR(INDEX(分录回款!$F:$F,MATCH($L2451,分录回款!$L:$L,0)),"")</f>
        <v/>
      </c>
      <c r="F2451" s="68" t="str">
        <f aca="false">IFERROR(INDEX(分录回款!$H:$H,MATCH($L2451,分录回款!$L:$L,0)),"")</f>
        <v/>
      </c>
      <c r="G2451" s="69" t="str">
        <f aca="false">IFERROR(INDEX(分录回款!$I:$I,MATCH($L2451,分录回款!$L:$L,0)),"")</f>
        <v/>
      </c>
      <c r="H2451" s="23"/>
      <c r="I2451" s="70"/>
      <c r="L2451" s="71" t="n">
        <f aca="false">IF(助手回款!$R$165="",-1,助手回款!$R$165*100+(助手回款!$S$165-1)*6+1)</f>
        <v>-1</v>
      </c>
    </row>
    <row r="2452" customFormat="false" ht="23.25" hidden="false" customHeight="true" outlineLevel="0" collapsed="false">
      <c r="B2452" s="67" t="str">
        <f aca="false">""</f>
        <v/>
      </c>
      <c r="C2452" s="67"/>
      <c r="D2452" s="23" t="str">
        <f aca="false">IFERROR(INDEX(分录回款!$E:$E,MATCH($L2452,分录回款!$L:$L,0)),"")</f>
        <v/>
      </c>
      <c r="E2452" s="23" t="str">
        <f aca="false">IFERROR(INDEX(分录回款!$F:$F,MATCH($L2452,分录回款!$L:$L,0)),"")</f>
        <v/>
      </c>
      <c r="F2452" s="68" t="str">
        <f aca="false">IFERROR(INDEX(分录回款!$H:$H,MATCH($L2452,分录回款!$L:$L,0)),"")</f>
        <v/>
      </c>
      <c r="G2452" s="69" t="str">
        <f aca="false">IFERROR(INDEX(分录回款!$I:$I,MATCH($L2452,分录回款!$L:$L,0)),"")</f>
        <v/>
      </c>
      <c r="H2452" s="23"/>
      <c r="I2452" s="70"/>
      <c r="L2452" s="71" t="n">
        <f aca="false">IF(助手回款!$R$165="",-1,助手回款!$R$165*100+(助手回款!$S$165-1)*6+2)</f>
        <v>-1</v>
      </c>
    </row>
    <row r="2453" customFormat="false" ht="23.25" hidden="false" customHeight="true" outlineLevel="0" collapsed="false">
      <c r="B2453" s="67" t="str">
        <f aca="false">""</f>
        <v/>
      </c>
      <c r="C2453" s="67"/>
      <c r="D2453" s="23" t="str">
        <f aca="false">IFERROR(INDEX(分录回款!$E:$E,MATCH($L2453,分录回款!$L:$L,0)),"")</f>
        <v/>
      </c>
      <c r="E2453" s="23" t="str">
        <f aca="false">IFERROR(INDEX(分录回款!$F:$F,MATCH($L2453,分录回款!$L:$L,0)),"")</f>
        <v/>
      </c>
      <c r="F2453" s="68" t="str">
        <f aca="false">IFERROR(INDEX(分录回款!$H:$H,MATCH($L2453,分录回款!$L:$L,0)),"")</f>
        <v/>
      </c>
      <c r="G2453" s="69" t="str">
        <f aca="false">IFERROR(INDEX(分录回款!$I:$I,MATCH($L2453,分录回款!$L:$L,0)),"")</f>
        <v/>
      </c>
      <c r="H2453" s="23"/>
      <c r="I2453" s="70"/>
      <c r="L2453" s="71" t="n">
        <f aca="false">IF(助手回款!$R$165="",-1,助手回款!$R$165*100+(助手回款!$S$165-1)*6+3)</f>
        <v>-1</v>
      </c>
    </row>
    <row r="2454" customFormat="false" ht="23.25" hidden="false" customHeight="true" outlineLevel="0" collapsed="false">
      <c r="B2454" s="67" t="str">
        <f aca="false">""</f>
        <v/>
      </c>
      <c r="C2454" s="67"/>
      <c r="D2454" s="23" t="str">
        <f aca="false">IFERROR(INDEX(分录回款!$E:$E,MATCH($L2454,分录回款!$L:$L,0)),"")</f>
        <v/>
      </c>
      <c r="E2454" s="23" t="str">
        <f aca="false">IFERROR(INDEX(分录回款!$F:$F,MATCH($L2454,分录回款!$L:$L,0)),"")</f>
        <v/>
      </c>
      <c r="F2454" s="68" t="str">
        <f aca="false">IFERROR(INDEX(分录回款!$H:$H,MATCH($L2454,分录回款!$L:$L,0)),"")</f>
        <v/>
      </c>
      <c r="G2454" s="69" t="str">
        <f aca="false">IFERROR(INDEX(分录回款!$I:$I,MATCH($L2454,分录回款!$L:$L,0)),"")</f>
        <v/>
      </c>
      <c r="H2454" s="23"/>
      <c r="I2454" s="70"/>
      <c r="L2454" s="71" t="n">
        <f aca="false">IF(助手回款!$R$165="",-1,助手回款!$R$165*100+(助手回款!$S$165-1)*6+4)</f>
        <v>-1</v>
      </c>
    </row>
    <row r="2455" customFormat="false" ht="23.25" hidden="false" customHeight="true" outlineLevel="0" collapsed="false">
      <c r="B2455" s="67" t="str">
        <f aca="false">""</f>
        <v/>
      </c>
      <c r="C2455" s="67"/>
      <c r="D2455" s="23" t="str">
        <f aca="false">IFERROR(INDEX(分录回款!$E:$E,MATCH($L2455,分录回款!$L:$L,0)),"")</f>
        <v/>
      </c>
      <c r="E2455" s="23" t="str">
        <f aca="false">IFERROR(INDEX(分录回款!$F:$F,MATCH($L2455,分录回款!$L:$L,0)),"")</f>
        <v/>
      </c>
      <c r="F2455" s="68" t="str">
        <f aca="false">IFERROR(INDEX(分录回款!$H:$H,MATCH($L2455,分录回款!$L:$L,0)),"")</f>
        <v/>
      </c>
      <c r="G2455" s="69" t="str">
        <f aca="false">IFERROR(INDEX(分录回款!$I:$I,MATCH($L2455,分录回款!$L:$L,0)),"")</f>
        <v/>
      </c>
      <c r="H2455" s="23"/>
      <c r="I2455" s="70"/>
      <c r="L2455" s="71" t="n">
        <f aca="false">IF(助手回款!$R$165="",-1,助手回款!$R$165*100+(助手回款!$S$165-1)*6+5)</f>
        <v>-1</v>
      </c>
    </row>
    <row r="2456" customFormat="false" ht="23.25" hidden="false" customHeight="true" outlineLevel="0" collapsed="false">
      <c r="B2456" s="67" t="str">
        <f aca="false">""</f>
        <v/>
      </c>
      <c r="C2456" s="67"/>
      <c r="D2456" s="23" t="str">
        <f aca="false">IFERROR(INDEX(分录回款!$E:$E,MATCH($L2456,分录回款!$L:$L,0)),"")</f>
        <v/>
      </c>
      <c r="E2456" s="23" t="str">
        <f aca="false">IFERROR(INDEX(分录回款!$F:$F,MATCH($L2456,分录回款!$L:$L,0)),"")</f>
        <v/>
      </c>
      <c r="F2456" s="68" t="str">
        <f aca="false">IFERROR(INDEX(分录回款!$H:$H,MATCH($L2456,分录回款!$L:$L,0)),"")</f>
        <v/>
      </c>
      <c r="G2456" s="69" t="str">
        <f aca="false">IFERROR(INDEX(分录回款!$I:$I,MATCH($L2456,分录回款!$L:$L,0)),"")</f>
        <v/>
      </c>
      <c r="H2456" s="23"/>
      <c r="I2456" s="70"/>
      <c r="L2456" s="71" t="n">
        <f aca="false">IF(助手回款!$R$165="",-1,助手回款!$R$165*100+(助手回款!$S$165-1)*6+6)</f>
        <v>-1</v>
      </c>
    </row>
    <row r="2457" customFormat="false" ht="23.25" hidden="false" customHeight="true" outlineLevel="0" collapsed="false">
      <c r="B2457" s="72" t="str">
        <f aca="false">IF(助手回款!$T$165=1,"合计：","")</f>
        <v/>
      </c>
      <c r="C2457" s="73" t="str">
        <f aca="false">IF(助手回款!$T$165=1,$F2457,"")</f>
        <v/>
      </c>
      <c r="D2457" s="74"/>
      <c r="E2457" s="74"/>
      <c r="F2457" s="75" t="str">
        <f aca="false">IF(助手回款!$T$165=1,INDEX(助手回款!$N$2:$N$66,助手回款!$R$165),"")</f>
        <v/>
      </c>
      <c r="G2457" s="76" t="str">
        <f aca="false">IF(助手回款!$T$165=1,INDEX(助手回款!$O$2:$O$66,助手回款!$R$165),"")</f>
        <v/>
      </c>
      <c r="H2457" s="74"/>
      <c r="I2457" s="77"/>
    </row>
    <row r="2458" customFormat="false" ht="6" hidden="false" customHeight="true" outlineLevel="0" collapsed="false"/>
    <row r="2459" customFormat="false" ht="13.5" hidden="false" customHeight="false" outlineLevel="0" collapsed="false">
      <c r="B2459" s="78" t="str">
        <f aca="false">IF(助手回款!$R$165&lt;&gt;"","会计主管：","")</f>
        <v/>
      </c>
      <c r="D2459" s="78" t="str">
        <f aca="false">IF(助手回款!$R$165&lt;&gt;"","会计：","")</f>
        <v/>
      </c>
      <c r="E2459" s="78" t="str">
        <f aca="false">IF(助手回款!$R$165&lt;&gt;"","出纳：","")</f>
        <v/>
      </c>
      <c r="F2459" s="78" t="str">
        <f aca="false">IF(助手回款!$R$165&lt;&gt;"","复核：","")</f>
        <v/>
      </c>
      <c r="G2459" s="78" t="str">
        <f aca="false">IF(助手回款!$R$165&lt;&gt;"","制单：","")</f>
        <v/>
      </c>
    </row>
    <row r="2460" customFormat="false" ht="3" hidden="false" customHeight="true" outlineLevel="0" collapsed="false"/>
    <row r="2461" customFormat="false" ht="19.5" hidden="false" customHeight="true" outlineLevel="0" collapsed="false">
      <c r="B2461" s="53" t="str">
        <f aca="false">IF(助手回款!$R$166&lt;&gt;"","记  账  凭  证","")</f>
        <v/>
      </c>
      <c r="C2461" s="53"/>
      <c r="D2461" s="53"/>
      <c r="E2461" s="53"/>
      <c r="F2461" s="53"/>
      <c r="G2461" s="53"/>
      <c r="H2461" s="53"/>
      <c r="I2461" s="53"/>
    </row>
    <row r="2462" customFormat="false" ht="3" hidden="false" customHeight="true" outlineLevel="0" collapsed="false"/>
    <row r="2463" customFormat="false" ht="15" hidden="false" customHeight="true" outlineLevel="0" collapsed="false">
      <c r="C2463" s="56" t="str">
        <f aca="false">IF(助手回款!$R$166&lt;&gt;"",INDEX(助手回款!$B$2:$B$66,助手回款!$R$166),"")</f>
        <v/>
      </c>
      <c r="D2463" s="57" t="str">
        <f aca="false">IF(助手回款!$R$166&lt;&gt;"",参数!$B$2,"")</f>
        <v/>
      </c>
      <c r="E2463" s="57"/>
      <c r="F2463" s="58" t="str">
        <f aca="false">IF(助手回款!$R$166&lt;&gt;"",INDEX(助手回款!$C$2:$C$66,助手回款!$R$166)&amp;"  字第 "&amp;IF(参数!$B$9="是",INDEX(助手回款!$P$2:$P$66,助手回款!$R$166),"　　　　")&amp;" 号"&amp;IF(INDEX(助手回款!$L$2:$L$66,助手回款!$R$166)&gt;1,"  (共"&amp;INDEX(助手回款!$L$2:$L$66,助手回款!$R$166)&amp;"页 第"&amp;助手回款!$S$166&amp;"页)",""),"")</f>
        <v/>
      </c>
      <c r="G2463" s="58"/>
      <c r="H2463" s="58"/>
      <c r="I2463" s="58"/>
      <c r="M2463" s="79" t="str">
        <f aca="false">IF(助手回款!$R$166="","",助手回款!$Q$166)</f>
        <v/>
      </c>
      <c r="N2463" s="80" t="str">
        <f aca="false">IF(助手回款!$R$166="","",INDEX(助手回款!$P$2:$P$66,助手回款!$R$166))</f>
        <v/>
      </c>
      <c r="O2463" s="55" t="str">
        <f aca="false">IF(助手回款!$R$166="","",INDEX(助手回款!$C$2:$C$66,助手回款!$R$166)&amp;"  字第 "&amp;INDEX(助手回款!$P$2:$P$66,助手回款!$R$166)&amp;" 号"&amp;IF(INDEX(助手回款!$L$2:$L$66,助手回款!$R$166)&gt;1,"  (共"&amp;INDEX(助手回款!$L$2:$L$66,助手回款!$R$166)&amp;"页 第"&amp;助手回款!$S$166&amp;"页)",""))</f>
        <v/>
      </c>
    </row>
    <row r="2464" customFormat="false" ht="12.75" hidden="false" customHeight="true" outlineLevel="0" collapsed="false">
      <c r="B2464" s="61" t="str">
        <f aca="false">IF(助手回款!$R$166&lt;&gt;"","摘　　要","")</f>
        <v/>
      </c>
      <c r="C2464" s="61"/>
      <c r="D2464" s="62" t="str">
        <f aca="false">IF(助手回款!$R$166&lt;&gt;"","科　　　　目","")</f>
        <v/>
      </c>
      <c r="E2464" s="62"/>
      <c r="F2464" s="61" t="str">
        <f aca="false">IF(助手回款!$R$166&lt;&gt;"","借 方 金 额","")</f>
        <v/>
      </c>
      <c r="G2464" s="62" t="str">
        <f aca="false">IF(助手回款!$R$166&lt;&gt;"","贷 方 金 额","")</f>
        <v/>
      </c>
      <c r="H2464" s="63" t="str">
        <f aca="false">IF(助手回款!$R$166&lt;&gt;"","√","")</f>
        <v/>
      </c>
      <c r="I2464" s="64" t="str">
        <f aca="false">IF(助手回款!$R$166&lt;&gt;"","附单据  张","")</f>
        <v/>
      </c>
    </row>
    <row r="2465" customFormat="false" ht="12.75" hidden="false" customHeight="true" outlineLevel="0" collapsed="false">
      <c r="B2465" s="61"/>
      <c r="C2465" s="61"/>
      <c r="D2465" s="23" t="str">
        <f aca="false">IF(助手回款!$R$166&lt;&gt;"","总 账 科 目","")</f>
        <v/>
      </c>
      <c r="E2465" s="23" t="str">
        <f aca="false">IF(助手回款!$R$166&lt;&gt;"","明 细 科 目","")</f>
        <v/>
      </c>
      <c r="F2465" s="65"/>
      <c r="G2465" s="66"/>
      <c r="H2465" s="63"/>
      <c r="I2465" s="64"/>
    </row>
    <row r="2466" customFormat="false" ht="23.25" hidden="false" customHeight="true" outlineLevel="0" collapsed="false">
      <c r="B2466" s="67" t="str">
        <f aca="false">IFERROR(INDEX(分录回款!$M:$M,MATCH($L2466,分录回款!$L:$L,0)),"")</f>
        <v/>
      </c>
      <c r="C2466" s="67"/>
      <c r="D2466" s="23" t="str">
        <f aca="false">IFERROR(INDEX(分录回款!$E:$E,MATCH($L2466,分录回款!$L:$L,0)),"")</f>
        <v/>
      </c>
      <c r="E2466" s="23" t="str">
        <f aca="false">IFERROR(INDEX(分录回款!$F:$F,MATCH($L2466,分录回款!$L:$L,0)),"")</f>
        <v/>
      </c>
      <c r="F2466" s="68" t="str">
        <f aca="false">IFERROR(INDEX(分录回款!$H:$H,MATCH($L2466,分录回款!$L:$L,0)),"")</f>
        <v/>
      </c>
      <c r="G2466" s="69" t="str">
        <f aca="false">IFERROR(INDEX(分录回款!$I:$I,MATCH($L2466,分录回款!$L:$L,0)),"")</f>
        <v/>
      </c>
      <c r="H2466" s="23"/>
      <c r="I2466" s="70"/>
      <c r="L2466" s="71" t="n">
        <f aca="false">IF(助手回款!$R$166="",-1,助手回款!$R$166*100+(助手回款!$S$166-1)*6+1)</f>
        <v>-1</v>
      </c>
    </row>
    <row r="2467" customFormat="false" ht="23.25" hidden="false" customHeight="true" outlineLevel="0" collapsed="false">
      <c r="B2467" s="67" t="str">
        <f aca="false">""</f>
        <v/>
      </c>
      <c r="C2467" s="67"/>
      <c r="D2467" s="23" t="str">
        <f aca="false">IFERROR(INDEX(分录回款!$E:$E,MATCH($L2467,分录回款!$L:$L,0)),"")</f>
        <v/>
      </c>
      <c r="E2467" s="23" t="str">
        <f aca="false">IFERROR(INDEX(分录回款!$F:$F,MATCH($L2467,分录回款!$L:$L,0)),"")</f>
        <v/>
      </c>
      <c r="F2467" s="68" t="str">
        <f aca="false">IFERROR(INDEX(分录回款!$H:$H,MATCH($L2467,分录回款!$L:$L,0)),"")</f>
        <v/>
      </c>
      <c r="G2467" s="69" t="str">
        <f aca="false">IFERROR(INDEX(分录回款!$I:$I,MATCH($L2467,分录回款!$L:$L,0)),"")</f>
        <v/>
      </c>
      <c r="H2467" s="23"/>
      <c r="I2467" s="70"/>
      <c r="L2467" s="71" t="n">
        <f aca="false">IF(助手回款!$R$166="",-1,助手回款!$R$166*100+(助手回款!$S$166-1)*6+2)</f>
        <v>-1</v>
      </c>
    </row>
    <row r="2468" customFormat="false" ht="23.25" hidden="false" customHeight="true" outlineLevel="0" collapsed="false">
      <c r="B2468" s="67" t="str">
        <f aca="false">""</f>
        <v/>
      </c>
      <c r="C2468" s="67"/>
      <c r="D2468" s="23" t="str">
        <f aca="false">IFERROR(INDEX(分录回款!$E:$E,MATCH($L2468,分录回款!$L:$L,0)),"")</f>
        <v/>
      </c>
      <c r="E2468" s="23" t="str">
        <f aca="false">IFERROR(INDEX(分录回款!$F:$F,MATCH($L2468,分录回款!$L:$L,0)),"")</f>
        <v/>
      </c>
      <c r="F2468" s="68" t="str">
        <f aca="false">IFERROR(INDEX(分录回款!$H:$H,MATCH($L2468,分录回款!$L:$L,0)),"")</f>
        <v/>
      </c>
      <c r="G2468" s="69" t="str">
        <f aca="false">IFERROR(INDEX(分录回款!$I:$I,MATCH($L2468,分录回款!$L:$L,0)),"")</f>
        <v/>
      </c>
      <c r="H2468" s="23"/>
      <c r="I2468" s="70"/>
      <c r="L2468" s="71" t="n">
        <f aca="false">IF(助手回款!$R$166="",-1,助手回款!$R$166*100+(助手回款!$S$166-1)*6+3)</f>
        <v>-1</v>
      </c>
    </row>
    <row r="2469" customFormat="false" ht="23.25" hidden="false" customHeight="true" outlineLevel="0" collapsed="false">
      <c r="B2469" s="67" t="str">
        <f aca="false">""</f>
        <v/>
      </c>
      <c r="C2469" s="67"/>
      <c r="D2469" s="23" t="str">
        <f aca="false">IFERROR(INDEX(分录回款!$E:$E,MATCH($L2469,分录回款!$L:$L,0)),"")</f>
        <v/>
      </c>
      <c r="E2469" s="23" t="str">
        <f aca="false">IFERROR(INDEX(分录回款!$F:$F,MATCH($L2469,分录回款!$L:$L,0)),"")</f>
        <v/>
      </c>
      <c r="F2469" s="68" t="str">
        <f aca="false">IFERROR(INDEX(分录回款!$H:$H,MATCH($L2469,分录回款!$L:$L,0)),"")</f>
        <v/>
      </c>
      <c r="G2469" s="69" t="str">
        <f aca="false">IFERROR(INDEX(分录回款!$I:$I,MATCH($L2469,分录回款!$L:$L,0)),"")</f>
        <v/>
      </c>
      <c r="H2469" s="23"/>
      <c r="I2469" s="70"/>
      <c r="L2469" s="71" t="n">
        <f aca="false">IF(助手回款!$R$166="",-1,助手回款!$R$166*100+(助手回款!$S$166-1)*6+4)</f>
        <v>-1</v>
      </c>
    </row>
    <row r="2470" customFormat="false" ht="23.25" hidden="false" customHeight="true" outlineLevel="0" collapsed="false">
      <c r="B2470" s="67" t="str">
        <f aca="false">""</f>
        <v/>
      </c>
      <c r="C2470" s="67"/>
      <c r="D2470" s="23" t="str">
        <f aca="false">IFERROR(INDEX(分录回款!$E:$E,MATCH($L2470,分录回款!$L:$L,0)),"")</f>
        <v/>
      </c>
      <c r="E2470" s="23" t="str">
        <f aca="false">IFERROR(INDEX(分录回款!$F:$F,MATCH($L2470,分录回款!$L:$L,0)),"")</f>
        <v/>
      </c>
      <c r="F2470" s="68" t="str">
        <f aca="false">IFERROR(INDEX(分录回款!$H:$H,MATCH($L2470,分录回款!$L:$L,0)),"")</f>
        <v/>
      </c>
      <c r="G2470" s="69" t="str">
        <f aca="false">IFERROR(INDEX(分录回款!$I:$I,MATCH($L2470,分录回款!$L:$L,0)),"")</f>
        <v/>
      </c>
      <c r="H2470" s="23"/>
      <c r="I2470" s="70"/>
      <c r="L2470" s="71" t="n">
        <f aca="false">IF(助手回款!$R$166="",-1,助手回款!$R$166*100+(助手回款!$S$166-1)*6+5)</f>
        <v>-1</v>
      </c>
    </row>
    <row r="2471" customFormat="false" ht="23.25" hidden="false" customHeight="true" outlineLevel="0" collapsed="false">
      <c r="B2471" s="67" t="str">
        <f aca="false">""</f>
        <v/>
      </c>
      <c r="C2471" s="67"/>
      <c r="D2471" s="23" t="str">
        <f aca="false">IFERROR(INDEX(分录回款!$E:$E,MATCH($L2471,分录回款!$L:$L,0)),"")</f>
        <v/>
      </c>
      <c r="E2471" s="23" t="str">
        <f aca="false">IFERROR(INDEX(分录回款!$F:$F,MATCH($L2471,分录回款!$L:$L,0)),"")</f>
        <v/>
      </c>
      <c r="F2471" s="68" t="str">
        <f aca="false">IFERROR(INDEX(分录回款!$H:$H,MATCH($L2471,分录回款!$L:$L,0)),"")</f>
        <v/>
      </c>
      <c r="G2471" s="69" t="str">
        <f aca="false">IFERROR(INDEX(分录回款!$I:$I,MATCH($L2471,分录回款!$L:$L,0)),"")</f>
        <v/>
      </c>
      <c r="H2471" s="23"/>
      <c r="I2471" s="70"/>
      <c r="L2471" s="71" t="n">
        <f aca="false">IF(助手回款!$R$166="",-1,助手回款!$R$166*100+(助手回款!$S$166-1)*6+6)</f>
        <v>-1</v>
      </c>
    </row>
    <row r="2472" customFormat="false" ht="23.25" hidden="false" customHeight="true" outlineLevel="0" collapsed="false">
      <c r="B2472" s="72" t="str">
        <f aca="false">IF(助手回款!$T$166=1,"合计：","")</f>
        <v/>
      </c>
      <c r="C2472" s="73" t="str">
        <f aca="false">IF(助手回款!$T$166=1,$F2472,"")</f>
        <v/>
      </c>
      <c r="D2472" s="74"/>
      <c r="E2472" s="74"/>
      <c r="F2472" s="75" t="str">
        <f aca="false">IF(助手回款!$T$166=1,INDEX(助手回款!$N$2:$N$66,助手回款!$R$166),"")</f>
        <v/>
      </c>
      <c r="G2472" s="76" t="str">
        <f aca="false">IF(助手回款!$T$166=1,INDEX(助手回款!$O$2:$O$66,助手回款!$R$166),"")</f>
        <v/>
      </c>
      <c r="H2472" s="74"/>
      <c r="I2472" s="77"/>
    </row>
    <row r="2473" customFormat="false" ht="6" hidden="false" customHeight="true" outlineLevel="0" collapsed="false"/>
    <row r="2474" customFormat="false" ht="13.5" hidden="false" customHeight="false" outlineLevel="0" collapsed="false">
      <c r="B2474" s="78" t="str">
        <f aca="false">IF(助手回款!$R$166&lt;&gt;"","会计主管：","")</f>
        <v/>
      </c>
      <c r="D2474" s="78" t="str">
        <f aca="false">IF(助手回款!$R$166&lt;&gt;"","会计：","")</f>
        <v/>
      </c>
      <c r="E2474" s="78" t="str">
        <f aca="false">IF(助手回款!$R$166&lt;&gt;"","出纳：","")</f>
        <v/>
      </c>
      <c r="F2474" s="78" t="str">
        <f aca="false">IF(助手回款!$R$166&lt;&gt;"","复核：","")</f>
        <v/>
      </c>
      <c r="G2474" s="78" t="str">
        <f aca="false">IF(助手回款!$R$166&lt;&gt;"","制单：","")</f>
        <v/>
      </c>
    </row>
    <row r="2475" customFormat="false" ht="3" hidden="false" customHeight="true" outlineLevel="0" collapsed="false"/>
    <row r="2476" customFormat="false" ht="19.5" hidden="false" customHeight="true" outlineLevel="0" collapsed="false">
      <c r="B2476" s="53" t="str">
        <f aca="false">IF(助手回款!$R$167&lt;&gt;"","记  账  凭  证","")</f>
        <v/>
      </c>
      <c r="C2476" s="53"/>
      <c r="D2476" s="53"/>
      <c r="E2476" s="53"/>
      <c r="F2476" s="53"/>
      <c r="G2476" s="53"/>
      <c r="H2476" s="53"/>
      <c r="I2476" s="53"/>
    </row>
    <row r="2477" customFormat="false" ht="3" hidden="false" customHeight="true" outlineLevel="0" collapsed="false"/>
    <row r="2478" customFormat="false" ht="15" hidden="false" customHeight="true" outlineLevel="0" collapsed="false">
      <c r="C2478" s="56" t="str">
        <f aca="false">IF(助手回款!$R$167&lt;&gt;"",INDEX(助手回款!$B$2:$B$66,助手回款!$R$167),"")</f>
        <v/>
      </c>
      <c r="D2478" s="57" t="str">
        <f aca="false">IF(助手回款!$R$167&lt;&gt;"",参数!$B$2,"")</f>
        <v/>
      </c>
      <c r="E2478" s="57"/>
      <c r="F2478" s="58" t="str">
        <f aca="false">IF(助手回款!$R$167&lt;&gt;"",INDEX(助手回款!$C$2:$C$66,助手回款!$R$167)&amp;"  字第 "&amp;IF(参数!$B$9="是",INDEX(助手回款!$P$2:$P$66,助手回款!$R$167),"　　　　")&amp;" 号"&amp;IF(INDEX(助手回款!$L$2:$L$66,助手回款!$R$167)&gt;1,"  (共"&amp;INDEX(助手回款!$L$2:$L$66,助手回款!$R$167)&amp;"页 第"&amp;助手回款!$S$167&amp;"页)",""),"")</f>
        <v/>
      </c>
      <c r="G2478" s="58"/>
      <c r="H2478" s="58"/>
      <c r="I2478" s="58"/>
      <c r="M2478" s="79" t="str">
        <f aca="false">IF(助手回款!$R$167="","",助手回款!$Q$167)</f>
        <v/>
      </c>
      <c r="N2478" s="80" t="str">
        <f aca="false">IF(助手回款!$R$167="","",INDEX(助手回款!$P$2:$P$66,助手回款!$R$167))</f>
        <v/>
      </c>
      <c r="O2478" s="55" t="str">
        <f aca="false">IF(助手回款!$R$167="","",INDEX(助手回款!$C$2:$C$66,助手回款!$R$167)&amp;"  字第 "&amp;INDEX(助手回款!$P$2:$P$66,助手回款!$R$167)&amp;" 号"&amp;IF(INDEX(助手回款!$L$2:$L$66,助手回款!$R$167)&gt;1,"  (共"&amp;INDEX(助手回款!$L$2:$L$66,助手回款!$R$167)&amp;"页 第"&amp;助手回款!$S$167&amp;"页)",""))</f>
        <v/>
      </c>
    </row>
    <row r="2479" customFormat="false" ht="12.75" hidden="false" customHeight="true" outlineLevel="0" collapsed="false">
      <c r="B2479" s="61" t="str">
        <f aca="false">IF(助手回款!$R$167&lt;&gt;"","摘　　要","")</f>
        <v/>
      </c>
      <c r="C2479" s="61"/>
      <c r="D2479" s="62" t="str">
        <f aca="false">IF(助手回款!$R$167&lt;&gt;"","科　　　　目","")</f>
        <v/>
      </c>
      <c r="E2479" s="62"/>
      <c r="F2479" s="61" t="str">
        <f aca="false">IF(助手回款!$R$167&lt;&gt;"","借 方 金 额","")</f>
        <v/>
      </c>
      <c r="G2479" s="62" t="str">
        <f aca="false">IF(助手回款!$R$167&lt;&gt;"","贷 方 金 额","")</f>
        <v/>
      </c>
      <c r="H2479" s="63" t="str">
        <f aca="false">IF(助手回款!$R$167&lt;&gt;"","√","")</f>
        <v/>
      </c>
      <c r="I2479" s="64" t="str">
        <f aca="false">IF(助手回款!$R$167&lt;&gt;"","附单据  张","")</f>
        <v/>
      </c>
    </row>
    <row r="2480" customFormat="false" ht="12.75" hidden="false" customHeight="true" outlineLevel="0" collapsed="false">
      <c r="B2480" s="61"/>
      <c r="C2480" s="61"/>
      <c r="D2480" s="23" t="str">
        <f aca="false">IF(助手回款!$R$167&lt;&gt;"","总 账 科 目","")</f>
        <v/>
      </c>
      <c r="E2480" s="23" t="str">
        <f aca="false">IF(助手回款!$R$167&lt;&gt;"","明 细 科 目","")</f>
        <v/>
      </c>
      <c r="F2480" s="65"/>
      <c r="G2480" s="66"/>
      <c r="H2480" s="63"/>
      <c r="I2480" s="64"/>
    </row>
    <row r="2481" customFormat="false" ht="23.25" hidden="false" customHeight="true" outlineLevel="0" collapsed="false">
      <c r="B2481" s="67" t="str">
        <f aca="false">IFERROR(INDEX(分录回款!$M:$M,MATCH($L2481,分录回款!$L:$L,0)),"")</f>
        <v/>
      </c>
      <c r="C2481" s="67"/>
      <c r="D2481" s="23" t="str">
        <f aca="false">IFERROR(INDEX(分录回款!$E:$E,MATCH($L2481,分录回款!$L:$L,0)),"")</f>
        <v/>
      </c>
      <c r="E2481" s="23" t="str">
        <f aca="false">IFERROR(INDEX(分录回款!$F:$F,MATCH($L2481,分录回款!$L:$L,0)),"")</f>
        <v/>
      </c>
      <c r="F2481" s="68" t="str">
        <f aca="false">IFERROR(INDEX(分录回款!$H:$H,MATCH($L2481,分录回款!$L:$L,0)),"")</f>
        <v/>
      </c>
      <c r="G2481" s="69" t="str">
        <f aca="false">IFERROR(INDEX(分录回款!$I:$I,MATCH($L2481,分录回款!$L:$L,0)),"")</f>
        <v/>
      </c>
      <c r="H2481" s="23"/>
      <c r="I2481" s="70"/>
      <c r="L2481" s="71" t="n">
        <f aca="false">IF(助手回款!$R$167="",-1,助手回款!$R$167*100+(助手回款!$S$167-1)*6+1)</f>
        <v>-1</v>
      </c>
    </row>
    <row r="2482" customFormat="false" ht="23.25" hidden="false" customHeight="true" outlineLevel="0" collapsed="false">
      <c r="B2482" s="67" t="str">
        <f aca="false">""</f>
        <v/>
      </c>
      <c r="C2482" s="67"/>
      <c r="D2482" s="23" t="str">
        <f aca="false">IFERROR(INDEX(分录回款!$E:$E,MATCH($L2482,分录回款!$L:$L,0)),"")</f>
        <v/>
      </c>
      <c r="E2482" s="23" t="str">
        <f aca="false">IFERROR(INDEX(分录回款!$F:$F,MATCH($L2482,分录回款!$L:$L,0)),"")</f>
        <v/>
      </c>
      <c r="F2482" s="68" t="str">
        <f aca="false">IFERROR(INDEX(分录回款!$H:$H,MATCH($L2482,分录回款!$L:$L,0)),"")</f>
        <v/>
      </c>
      <c r="G2482" s="69" t="str">
        <f aca="false">IFERROR(INDEX(分录回款!$I:$I,MATCH($L2482,分录回款!$L:$L,0)),"")</f>
        <v/>
      </c>
      <c r="H2482" s="23"/>
      <c r="I2482" s="70"/>
      <c r="L2482" s="71" t="n">
        <f aca="false">IF(助手回款!$R$167="",-1,助手回款!$R$167*100+(助手回款!$S$167-1)*6+2)</f>
        <v>-1</v>
      </c>
    </row>
    <row r="2483" customFormat="false" ht="23.25" hidden="false" customHeight="true" outlineLevel="0" collapsed="false">
      <c r="B2483" s="67" t="str">
        <f aca="false">""</f>
        <v/>
      </c>
      <c r="C2483" s="67"/>
      <c r="D2483" s="23" t="str">
        <f aca="false">IFERROR(INDEX(分录回款!$E:$E,MATCH($L2483,分录回款!$L:$L,0)),"")</f>
        <v/>
      </c>
      <c r="E2483" s="23" t="str">
        <f aca="false">IFERROR(INDEX(分录回款!$F:$F,MATCH($L2483,分录回款!$L:$L,0)),"")</f>
        <v/>
      </c>
      <c r="F2483" s="68" t="str">
        <f aca="false">IFERROR(INDEX(分录回款!$H:$H,MATCH($L2483,分录回款!$L:$L,0)),"")</f>
        <v/>
      </c>
      <c r="G2483" s="69" t="str">
        <f aca="false">IFERROR(INDEX(分录回款!$I:$I,MATCH($L2483,分录回款!$L:$L,0)),"")</f>
        <v/>
      </c>
      <c r="H2483" s="23"/>
      <c r="I2483" s="70"/>
      <c r="L2483" s="71" t="n">
        <f aca="false">IF(助手回款!$R$167="",-1,助手回款!$R$167*100+(助手回款!$S$167-1)*6+3)</f>
        <v>-1</v>
      </c>
    </row>
    <row r="2484" customFormat="false" ht="23.25" hidden="false" customHeight="true" outlineLevel="0" collapsed="false">
      <c r="B2484" s="67" t="str">
        <f aca="false">""</f>
        <v/>
      </c>
      <c r="C2484" s="67"/>
      <c r="D2484" s="23" t="str">
        <f aca="false">IFERROR(INDEX(分录回款!$E:$E,MATCH($L2484,分录回款!$L:$L,0)),"")</f>
        <v/>
      </c>
      <c r="E2484" s="23" t="str">
        <f aca="false">IFERROR(INDEX(分录回款!$F:$F,MATCH($L2484,分录回款!$L:$L,0)),"")</f>
        <v/>
      </c>
      <c r="F2484" s="68" t="str">
        <f aca="false">IFERROR(INDEX(分录回款!$H:$H,MATCH($L2484,分录回款!$L:$L,0)),"")</f>
        <v/>
      </c>
      <c r="G2484" s="69" t="str">
        <f aca="false">IFERROR(INDEX(分录回款!$I:$I,MATCH($L2484,分录回款!$L:$L,0)),"")</f>
        <v/>
      </c>
      <c r="H2484" s="23"/>
      <c r="I2484" s="70"/>
      <c r="L2484" s="71" t="n">
        <f aca="false">IF(助手回款!$R$167="",-1,助手回款!$R$167*100+(助手回款!$S$167-1)*6+4)</f>
        <v>-1</v>
      </c>
    </row>
    <row r="2485" customFormat="false" ht="23.25" hidden="false" customHeight="true" outlineLevel="0" collapsed="false">
      <c r="B2485" s="67" t="str">
        <f aca="false">""</f>
        <v/>
      </c>
      <c r="C2485" s="67"/>
      <c r="D2485" s="23" t="str">
        <f aca="false">IFERROR(INDEX(分录回款!$E:$E,MATCH($L2485,分录回款!$L:$L,0)),"")</f>
        <v/>
      </c>
      <c r="E2485" s="23" t="str">
        <f aca="false">IFERROR(INDEX(分录回款!$F:$F,MATCH($L2485,分录回款!$L:$L,0)),"")</f>
        <v/>
      </c>
      <c r="F2485" s="68" t="str">
        <f aca="false">IFERROR(INDEX(分录回款!$H:$H,MATCH($L2485,分录回款!$L:$L,0)),"")</f>
        <v/>
      </c>
      <c r="G2485" s="69" t="str">
        <f aca="false">IFERROR(INDEX(分录回款!$I:$I,MATCH($L2485,分录回款!$L:$L,0)),"")</f>
        <v/>
      </c>
      <c r="H2485" s="23"/>
      <c r="I2485" s="70"/>
      <c r="L2485" s="71" t="n">
        <f aca="false">IF(助手回款!$R$167="",-1,助手回款!$R$167*100+(助手回款!$S$167-1)*6+5)</f>
        <v>-1</v>
      </c>
    </row>
    <row r="2486" customFormat="false" ht="23.25" hidden="false" customHeight="true" outlineLevel="0" collapsed="false">
      <c r="B2486" s="67" t="str">
        <f aca="false">""</f>
        <v/>
      </c>
      <c r="C2486" s="67"/>
      <c r="D2486" s="23" t="str">
        <f aca="false">IFERROR(INDEX(分录回款!$E:$E,MATCH($L2486,分录回款!$L:$L,0)),"")</f>
        <v/>
      </c>
      <c r="E2486" s="23" t="str">
        <f aca="false">IFERROR(INDEX(分录回款!$F:$F,MATCH($L2486,分录回款!$L:$L,0)),"")</f>
        <v/>
      </c>
      <c r="F2486" s="68" t="str">
        <f aca="false">IFERROR(INDEX(分录回款!$H:$H,MATCH($L2486,分录回款!$L:$L,0)),"")</f>
        <v/>
      </c>
      <c r="G2486" s="69" t="str">
        <f aca="false">IFERROR(INDEX(分录回款!$I:$I,MATCH($L2486,分录回款!$L:$L,0)),"")</f>
        <v/>
      </c>
      <c r="H2486" s="23"/>
      <c r="I2486" s="70"/>
      <c r="L2486" s="71" t="n">
        <f aca="false">IF(助手回款!$R$167="",-1,助手回款!$R$167*100+(助手回款!$S$167-1)*6+6)</f>
        <v>-1</v>
      </c>
    </row>
    <row r="2487" customFormat="false" ht="23.25" hidden="false" customHeight="true" outlineLevel="0" collapsed="false">
      <c r="B2487" s="72" t="str">
        <f aca="false">IF(助手回款!$T$167=1,"合计：","")</f>
        <v/>
      </c>
      <c r="C2487" s="73" t="str">
        <f aca="false">IF(助手回款!$T$167=1,$F2487,"")</f>
        <v/>
      </c>
      <c r="D2487" s="74"/>
      <c r="E2487" s="74"/>
      <c r="F2487" s="75" t="str">
        <f aca="false">IF(助手回款!$T$167=1,INDEX(助手回款!$N$2:$N$66,助手回款!$R$167),"")</f>
        <v/>
      </c>
      <c r="G2487" s="76" t="str">
        <f aca="false">IF(助手回款!$T$167=1,INDEX(助手回款!$O$2:$O$66,助手回款!$R$167),"")</f>
        <v/>
      </c>
      <c r="H2487" s="74"/>
      <c r="I2487" s="77"/>
    </row>
    <row r="2488" customFormat="false" ht="6" hidden="false" customHeight="true" outlineLevel="0" collapsed="false"/>
    <row r="2489" customFormat="false" ht="13.5" hidden="false" customHeight="false" outlineLevel="0" collapsed="false">
      <c r="B2489" s="78" t="str">
        <f aca="false">IF(助手回款!$R$167&lt;&gt;"","会计主管：","")</f>
        <v/>
      </c>
      <c r="D2489" s="78" t="str">
        <f aca="false">IF(助手回款!$R$167&lt;&gt;"","会计：","")</f>
        <v/>
      </c>
      <c r="E2489" s="78" t="str">
        <f aca="false">IF(助手回款!$R$167&lt;&gt;"","出纳：","")</f>
        <v/>
      </c>
      <c r="F2489" s="78" t="str">
        <f aca="false">IF(助手回款!$R$167&lt;&gt;"","复核：","")</f>
        <v/>
      </c>
      <c r="G2489" s="78" t="str">
        <f aca="false">IF(助手回款!$R$167&lt;&gt;"","制单：","")</f>
        <v/>
      </c>
    </row>
    <row r="2490" customFormat="false" ht="3" hidden="false" customHeight="true" outlineLevel="0" collapsed="false"/>
    <row r="2491" customFormat="false" ht="19.5" hidden="false" customHeight="true" outlineLevel="0" collapsed="false">
      <c r="B2491" s="53" t="str">
        <f aca="false">IF(助手回款!$R$168&lt;&gt;"","记  账  凭  证","")</f>
        <v/>
      </c>
      <c r="C2491" s="53"/>
      <c r="D2491" s="53"/>
      <c r="E2491" s="53"/>
      <c r="F2491" s="53"/>
      <c r="G2491" s="53"/>
      <c r="H2491" s="53"/>
      <c r="I2491" s="53"/>
    </row>
    <row r="2492" customFormat="false" ht="3" hidden="false" customHeight="true" outlineLevel="0" collapsed="false"/>
    <row r="2493" customFormat="false" ht="15" hidden="false" customHeight="true" outlineLevel="0" collapsed="false">
      <c r="C2493" s="56" t="str">
        <f aca="false">IF(助手回款!$R$168&lt;&gt;"",INDEX(助手回款!$B$2:$B$66,助手回款!$R$168),"")</f>
        <v/>
      </c>
      <c r="D2493" s="57" t="str">
        <f aca="false">IF(助手回款!$R$168&lt;&gt;"",参数!$B$2,"")</f>
        <v/>
      </c>
      <c r="E2493" s="57"/>
      <c r="F2493" s="58" t="str">
        <f aca="false">IF(助手回款!$R$168&lt;&gt;"",INDEX(助手回款!$C$2:$C$66,助手回款!$R$168)&amp;"  字第 "&amp;IF(参数!$B$9="是",INDEX(助手回款!$P$2:$P$66,助手回款!$R$168),"　　　　")&amp;" 号"&amp;IF(INDEX(助手回款!$L$2:$L$66,助手回款!$R$168)&gt;1,"  (共"&amp;INDEX(助手回款!$L$2:$L$66,助手回款!$R$168)&amp;"页 第"&amp;助手回款!$S$168&amp;"页)",""),"")</f>
        <v/>
      </c>
      <c r="G2493" s="58"/>
      <c r="H2493" s="58"/>
      <c r="I2493" s="58"/>
      <c r="M2493" s="79" t="str">
        <f aca="false">IF(助手回款!$R$168="","",助手回款!$Q$168)</f>
        <v/>
      </c>
      <c r="N2493" s="80" t="str">
        <f aca="false">IF(助手回款!$R$168="","",INDEX(助手回款!$P$2:$P$66,助手回款!$R$168))</f>
        <v/>
      </c>
      <c r="O2493" s="55" t="str">
        <f aca="false">IF(助手回款!$R$168="","",INDEX(助手回款!$C$2:$C$66,助手回款!$R$168)&amp;"  字第 "&amp;INDEX(助手回款!$P$2:$P$66,助手回款!$R$168)&amp;" 号"&amp;IF(INDEX(助手回款!$L$2:$L$66,助手回款!$R$168)&gt;1,"  (共"&amp;INDEX(助手回款!$L$2:$L$66,助手回款!$R$168)&amp;"页 第"&amp;助手回款!$S$168&amp;"页)",""))</f>
        <v/>
      </c>
    </row>
    <row r="2494" customFormat="false" ht="12.75" hidden="false" customHeight="true" outlineLevel="0" collapsed="false">
      <c r="B2494" s="61" t="str">
        <f aca="false">IF(助手回款!$R$168&lt;&gt;"","摘　　要","")</f>
        <v/>
      </c>
      <c r="C2494" s="61"/>
      <c r="D2494" s="62" t="str">
        <f aca="false">IF(助手回款!$R$168&lt;&gt;"","科　　　　目","")</f>
        <v/>
      </c>
      <c r="E2494" s="62"/>
      <c r="F2494" s="61" t="str">
        <f aca="false">IF(助手回款!$R$168&lt;&gt;"","借 方 金 额","")</f>
        <v/>
      </c>
      <c r="G2494" s="62" t="str">
        <f aca="false">IF(助手回款!$R$168&lt;&gt;"","贷 方 金 额","")</f>
        <v/>
      </c>
      <c r="H2494" s="63" t="str">
        <f aca="false">IF(助手回款!$R$168&lt;&gt;"","√","")</f>
        <v/>
      </c>
      <c r="I2494" s="64" t="str">
        <f aca="false">IF(助手回款!$R$168&lt;&gt;"","附单据  张","")</f>
        <v/>
      </c>
    </row>
    <row r="2495" customFormat="false" ht="12.75" hidden="false" customHeight="true" outlineLevel="0" collapsed="false">
      <c r="B2495" s="61"/>
      <c r="C2495" s="61"/>
      <c r="D2495" s="23" t="str">
        <f aca="false">IF(助手回款!$R$168&lt;&gt;"","总 账 科 目","")</f>
        <v/>
      </c>
      <c r="E2495" s="23" t="str">
        <f aca="false">IF(助手回款!$R$168&lt;&gt;"","明 细 科 目","")</f>
        <v/>
      </c>
      <c r="F2495" s="65"/>
      <c r="G2495" s="66"/>
      <c r="H2495" s="63"/>
      <c r="I2495" s="64"/>
    </row>
    <row r="2496" customFormat="false" ht="23.25" hidden="false" customHeight="true" outlineLevel="0" collapsed="false">
      <c r="B2496" s="67" t="str">
        <f aca="false">IFERROR(INDEX(分录回款!$M:$M,MATCH($L2496,分录回款!$L:$L,0)),"")</f>
        <v/>
      </c>
      <c r="C2496" s="67"/>
      <c r="D2496" s="23" t="str">
        <f aca="false">IFERROR(INDEX(分录回款!$E:$E,MATCH($L2496,分录回款!$L:$L,0)),"")</f>
        <v/>
      </c>
      <c r="E2496" s="23" t="str">
        <f aca="false">IFERROR(INDEX(分录回款!$F:$F,MATCH($L2496,分录回款!$L:$L,0)),"")</f>
        <v/>
      </c>
      <c r="F2496" s="68" t="str">
        <f aca="false">IFERROR(INDEX(分录回款!$H:$H,MATCH($L2496,分录回款!$L:$L,0)),"")</f>
        <v/>
      </c>
      <c r="G2496" s="69" t="str">
        <f aca="false">IFERROR(INDEX(分录回款!$I:$I,MATCH($L2496,分录回款!$L:$L,0)),"")</f>
        <v/>
      </c>
      <c r="H2496" s="23"/>
      <c r="I2496" s="70"/>
      <c r="L2496" s="71" t="n">
        <f aca="false">IF(助手回款!$R$168="",-1,助手回款!$R$168*100+(助手回款!$S$168-1)*6+1)</f>
        <v>-1</v>
      </c>
    </row>
    <row r="2497" customFormat="false" ht="23.25" hidden="false" customHeight="true" outlineLevel="0" collapsed="false">
      <c r="B2497" s="67" t="str">
        <f aca="false">""</f>
        <v/>
      </c>
      <c r="C2497" s="67"/>
      <c r="D2497" s="23" t="str">
        <f aca="false">IFERROR(INDEX(分录回款!$E:$E,MATCH($L2497,分录回款!$L:$L,0)),"")</f>
        <v/>
      </c>
      <c r="E2497" s="23" t="str">
        <f aca="false">IFERROR(INDEX(分录回款!$F:$F,MATCH($L2497,分录回款!$L:$L,0)),"")</f>
        <v/>
      </c>
      <c r="F2497" s="68" t="str">
        <f aca="false">IFERROR(INDEX(分录回款!$H:$H,MATCH($L2497,分录回款!$L:$L,0)),"")</f>
        <v/>
      </c>
      <c r="G2497" s="69" t="str">
        <f aca="false">IFERROR(INDEX(分录回款!$I:$I,MATCH($L2497,分录回款!$L:$L,0)),"")</f>
        <v/>
      </c>
      <c r="H2497" s="23"/>
      <c r="I2497" s="70"/>
      <c r="L2497" s="71" t="n">
        <f aca="false">IF(助手回款!$R$168="",-1,助手回款!$R$168*100+(助手回款!$S$168-1)*6+2)</f>
        <v>-1</v>
      </c>
    </row>
    <row r="2498" customFormat="false" ht="23.25" hidden="false" customHeight="true" outlineLevel="0" collapsed="false">
      <c r="B2498" s="67" t="str">
        <f aca="false">""</f>
        <v/>
      </c>
      <c r="C2498" s="67"/>
      <c r="D2498" s="23" t="str">
        <f aca="false">IFERROR(INDEX(分录回款!$E:$E,MATCH($L2498,分录回款!$L:$L,0)),"")</f>
        <v/>
      </c>
      <c r="E2498" s="23" t="str">
        <f aca="false">IFERROR(INDEX(分录回款!$F:$F,MATCH($L2498,分录回款!$L:$L,0)),"")</f>
        <v/>
      </c>
      <c r="F2498" s="68" t="str">
        <f aca="false">IFERROR(INDEX(分录回款!$H:$H,MATCH($L2498,分录回款!$L:$L,0)),"")</f>
        <v/>
      </c>
      <c r="G2498" s="69" t="str">
        <f aca="false">IFERROR(INDEX(分录回款!$I:$I,MATCH($L2498,分录回款!$L:$L,0)),"")</f>
        <v/>
      </c>
      <c r="H2498" s="23"/>
      <c r="I2498" s="70"/>
      <c r="L2498" s="71" t="n">
        <f aca="false">IF(助手回款!$R$168="",-1,助手回款!$R$168*100+(助手回款!$S$168-1)*6+3)</f>
        <v>-1</v>
      </c>
    </row>
    <row r="2499" customFormat="false" ht="23.25" hidden="false" customHeight="true" outlineLevel="0" collapsed="false">
      <c r="B2499" s="67" t="str">
        <f aca="false">""</f>
        <v/>
      </c>
      <c r="C2499" s="67"/>
      <c r="D2499" s="23" t="str">
        <f aca="false">IFERROR(INDEX(分录回款!$E:$E,MATCH($L2499,分录回款!$L:$L,0)),"")</f>
        <v/>
      </c>
      <c r="E2499" s="23" t="str">
        <f aca="false">IFERROR(INDEX(分录回款!$F:$F,MATCH($L2499,分录回款!$L:$L,0)),"")</f>
        <v/>
      </c>
      <c r="F2499" s="68" t="str">
        <f aca="false">IFERROR(INDEX(分录回款!$H:$H,MATCH($L2499,分录回款!$L:$L,0)),"")</f>
        <v/>
      </c>
      <c r="G2499" s="69" t="str">
        <f aca="false">IFERROR(INDEX(分录回款!$I:$I,MATCH($L2499,分录回款!$L:$L,0)),"")</f>
        <v/>
      </c>
      <c r="H2499" s="23"/>
      <c r="I2499" s="70"/>
      <c r="L2499" s="71" t="n">
        <f aca="false">IF(助手回款!$R$168="",-1,助手回款!$R$168*100+(助手回款!$S$168-1)*6+4)</f>
        <v>-1</v>
      </c>
    </row>
    <row r="2500" customFormat="false" ht="23.25" hidden="false" customHeight="true" outlineLevel="0" collapsed="false">
      <c r="B2500" s="67" t="str">
        <f aca="false">""</f>
        <v/>
      </c>
      <c r="C2500" s="67"/>
      <c r="D2500" s="23" t="str">
        <f aca="false">IFERROR(INDEX(分录回款!$E:$E,MATCH($L2500,分录回款!$L:$L,0)),"")</f>
        <v/>
      </c>
      <c r="E2500" s="23" t="str">
        <f aca="false">IFERROR(INDEX(分录回款!$F:$F,MATCH($L2500,分录回款!$L:$L,0)),"")</f>
        <v/>
      </c>
      <c r="F2500" s="68" t="str">
        <f aca="false">IFERROR(INDEX(分录回款!$H:$H,MATCH($L2500,分录回款!$L:$L,0)),"")</f>
        <v/>
      </c>
      <c r="G2500" s="69" t="str">
        <f aca="false">IFERROR(INDEX(分录回款!$I:$I,MATCH($L2500,分录回款!$L:$L,0)),"")</f>
        <v/>
      </c>
      <c r="H2500" s="23"/>
      <c r="I2500" s="70"/>
      <c r="L2500" s="71" t="n">
        <f aca="false">IF(助手回款!$R$168="",-1,助手回款!$R$168*100+(助手回款!$S$168-1)*6+5)</f>
        <v>-1</v>
      </c>
    </row>
    <row r="2501" customFormat="false" ht="23.25" hidden="false" customHeight="true" outlineLevel="0" collapsed="false">
      <c r="B2501" s="67" t="str">
        <f aca="false">""</f>
        <v/>
      </c>
      <c r="C2501" s="67"/>
      <c r="D2501" s="23" t="str">
        <f aca="false">IFERROR(INDEX(分录回款!$E:$E,MATCH($L2501,分录回款!$L:$L,0)),"")</f>
        <v/>
      </c>
      <c r="E2501" s="23" t="str">
        <f aca="false">IFERROR(INDEX(分录回款!$F:$F,MATCH($L2501,分录回款!$L:$L,0)),"")</f>
        <v/>
      </c>
      <c r="F2501" s="68" t="str">
        <f aca="false">IFERROR(INDEX(分录回款!$H:$H,MATCH($L2501,分录回款!$L:$L,0)),"")</f>
        <v/>
      </c>
      <c r="G2501" s="69" t="str">
        <f aca="false">IFERROR(INDEX(分录回款!$I:$I,MATCH($L2501,分录回款!$L:$L,0)),"")</f>
        <v/>
      </c>
      <c r="H2501" s="23"/>
      <c r="I2501" s="70"/>
      <c r="L2501" s="71" t="n">
        <f aca="false">IF(助手回款!$R$168="",-1,助手回款!$R$168*100+(助手回款!$S$168-1)*6+6)</f>
        <v>-1</v>
      </c>
    </row>
    <row r="2502" customFormat="false" ht="23.25" hidden="false" customHeight="true" outlineLevel="0" collapsed="false">
      <c r="B2502" s="72" t="str">
        <f aca="false">IF(助手回款!$T$168=1,"合计：","")</f>
        <v/>
      </c>
      <c r="C2502" s="73" t="str">
        <f aca="false">IF(助手回款!$T$168=1,$F2502,"")</f>
        <v/>
      </c>
      <c r="D2502" s="74"/>
      <c r="E2502" s="74"/>
      <c r="F2502" s="75" t="str">
        <f aca="false">IF(助手回款!$T$168=1,INDEX(助手回款!$N$2:$N$66,助手回款!$R$168),"")</f>
        <v/>
      </c>
      <c r="G2502" s="76" t="str">
        <f aca="false">IF(助手回款!$T$168=1,INDEX(助手回款!$O$2:$O$66,助手回款!$R$168),"")</f>
        <v/>
      </c>
      <c r="H2502" s="74"/>
      <c r="I2502" s="77"/>
    </row>
    <row r="2503" customFormat="false" ht="6" hidden="false" customHeight="true" outlineLevel="0" collapsed="false"/>
    <row r="2504" customFormat="false" ht="13.5" hidden="false" customHeight="false" outlineLevel="0" collapsed="false">
      <c r="B2504" s="78" t="str">
        <f aca="false">IF(助手回款!$R$168&lt;&gt;"","会计主管：","")</f>
        <v/>
      </c>
      <c r="D2504" s="78" t="str">
        <f aca="false">IF(助手回款!$R$168&lt;&gt;"","会计：","")</f>
        <v/>
      </c>
      <c r="E2504" s="78" t="str">
        <f aca="false">IF(助手回款!$R$168&lt;&gt;"","出纳：","")</f>
        <v/>
      </c>
      <c r="F2504" s="78" t="str">
        <f aca="false">IF(助手回款!$R$168&lt;&gt;"","复核：","")</f>
        <v/>
      </c>
      <c r="G2504" s="78" t="str">
        <f aca="false">IF(助手回款!$R$168&lt;&gt;"","制单：","")</f>
        <v/>
      </c>
    </row>
    <row r="2505" customFormat="false" ht="3" hidden="false" customHeight="true" outlineLevel="0" collapsed="false"/>
    <row r="2506" customFormat="false" ht="19.5" hidden="false" customHeight="true" outlineLevel="0" collapsed="false">
      <c r="B2506" s="53" t="str">
        <f aca="false">IF(助手回款!$R$169&lt;&gt;"","记  账  凭  证","")</f>
        <v/>
      </c>
      <c r="C2506" s="53"/>
      <c r="D2506" s="53"/>
      <c r="E2506" s="53"/>
      <c r="F2506" s="53"/>
      <c r="G2506" s="53"/>
      <c r="H2506" s="53"/>
      <c r="I2506" s="53"/>
    </row>
    <row r="2507" customFormat="false" ht="3" hidden="false" customHeight="true" outlineLevel="0" collapsed="false"/>
    <row r="2508" customFormat="false" ht="15" hidden="false" customHeight="true" outlineLevel="0" collapsed="false">
      <c r="C2508" s="56" t="str">
        <f aca="false">IF(助手回款!$R$169&lt;&gt;"",INDEX(助手回款!$B$2:$B$66,助手回款!$R$169),"")</f>
        <v/>
      </c>
      <c r="D2508" s="57" t="str">
        <f aca="false">IF(助手回款!$R$169&lt;&gt;"",参数!$B$2,"")</f>
        <v/>
      </c>
      <c r="E2508" s="57"/>
      <c r="F2508" s="58" t="str">
        <f aca="false">IF(助手回款!$R$169&lt;&gt;"",INDEX(助手回款!$C$2:$C$66,助手回款!$R$169)&amp;"  字第 "&amp;IF(参数!$B$9="是",INDEX(助手回款!$P$2:$P$66,助手回款!$R$169),"　　　　")&amp;" 号"&amp;IF(INDEX(助手回款!$L$2:$L$66,助手回款!$R$169)&gt;1,"  (共"&amp;INDEX(助手回款!$L$2:$L$66,助手回款!$R$169)&amp;"页 第"&amp;助手回款!$S$169&amp;"页)",""),"")</f>
        <v/>
      </c>
      <c r="G2508" s="58"/>
      <c r="H2508" s="58"/>
      <c r="I2508" s="58"/>
      <c r="M2508" s="79" t="str">
        <f aca="false">IF(助手回款!$R$169="","",助手回款!$Q$169)</f>
        <v/>
      </c>
      <c r="N2508" s="80" t="str">
        <f aca="false">IF(助手回款!$R$169="","",INDEX(助手回款!$P$2:$P$66,助手回款!$R$169))</f>
        <v/>
      </c>
      <c r="O2508" s="55" t="str">
        <f aca="false">IF(助手回款!$R$169="","",INDEX(助手回款!$C$2:$C$66,助手回款!$R$169)&amp;"  字第 "&amp;INDEX(助手回款!$P$2:$P$66,助手回款!$R$169)&amp;" 号"&amp;IF(INDEX(助手回款!$L$2:$L$66,助手回款!$R$169)&gt;1,"  (共"&amp;INDEX(助手回款!$L$2:$L$66,助手回款!$R$169)&amp;"页 第"&amp;助手回款!$S$169&amp;"页)",""))</f>
        <v/>
      </c>
    </row>
    <row r="2509" customFormat="false" ht="12.75" hidden="false" customHeight="true" outlineLevel="0" collapsed="false">
      <c r="B2509" s="61" t="str">
        <f aca="false">IF(助手回款!$R$169&lt;&gt;"","摘　　要","")</f>
        <v/>
      </c>
      <c r="C2509" s="61"/>
      <c r="D2509" s="62" t="str">
        <f aca="false">IF(助手回款!$R$169&lt;&gt;"","科　　　　目","")</f>
        <v/>
      </c>
      <c r="E2509" s="62"/>
      <c r="F2509" s="61" t="str">
        <f aca="false">IF(助手回款!$R$169&lt;&gt;"","借 方 金 额","")</f>
        <v/>
      </c>
      <c r="G2509" s="62" t="str">
        <f aca="false">IF(助手回款!$R$169&lt;&gt;"","贷 方 金 额","")</f>
        <v/>
      </c>
      <c r="H2509" s="63" t="str">
        <f aca="false">IF(助手回款!$R$169&lt;&gt;"","√","")</f>
        <v/>
      </c>
      <c r="I2509" s="64" t="str">
        <f aca="false">IF(助手回款!$R$169&lt;&gt;"","附单据  张","")</f>
        <v/>
      </c>
    </row>
    <row r="2510" customFormat="false" ht="12.75" hidden="false" customHeight="true" outlineLevel="0" collapsed="false">
      <c r="B2510" s="61"/>
      <c r="C2510" s="61"/>
      <c r="D2510" s="23" t="str">
        <f aca="false">IF(助手回款!$R$169&lt;&gt;"","总 账 科 目","")</f>
        <v/>
      </c>
      <c r="E2510" s="23" t="str">
        <f aca="false">IF(助手回款!$R$169&lt;&gt;"","明 细 科 目","")</f>
        <v/>
      </c>
      <c r="F2510" s="65"/>
      <c r="G2510" s="66"/>
      <c r="H2510" s="63"/>
      <c r="I2510" s="64"/>
    </row>
    <row r="2511" customFormat="false" ht="23.25" hidden="false" customHeight="true" outlineLevel="0" collapsed="false">
      <c r="B2511" s="67" t="str">
        <f aca="false">IFERROR(INDEX(分录回款!$M:$M,MATCH($L2511,分录回款!$L:$L,0)),"")</f>
        <v/>
      </c>
      <c r="C2511" s="67"/>
      <c r="D2511" s="23" t="str">
        <f aca="false">IFERROR(INDEX(分录回款!$E:$E,MATCH($L2511,分录回款!$L:$L,0)),"")</f>
        <v/>
      </c>
      <c r="E2511" s="23" t="str">
        <f aca="false">IFERROR(INDEX(分录回款!$F:$F,MATCH($L2511,分录回款!$L:$L,0)),"")</f>
        <v/>
      </c>
      <c r="F2511" s="68" t="str">
        <f aca="false">IFERROR(INDEX(分录回款!$H:$H,MATCH($L2511,分录回款!$L:$L,0)),"")</f>
        <v/>
      </c>
      <c r="G2511" s="69" t="str">
        <f aca="false">IFERROR(INDEX(分录回款!$I:$I,MATCH($L2511,分录回款!$L:$L,0)),"")</f>
        <v/>
      </c>
      <c r="H2511" s="23"/>
      <c r="I2511" s="70"/>
      <c r="L2511" s="71" t="n">
        <f aca="false">IF(助手回款!$R$169="",-1,助手回款!$R$169*100+(助手回款!$S$169-1)*6+1)</f>
        <v>-1</v>
      </c>
    </row>
    <row r="2512" customFormat="false" ht="23.25" hidden="false" customHeight="true" outlineLevel="0" collapsed="false">
      <c r="B2512" s="67" t="str">
        <f aca="false">""</f>
        <v/>
      </c>
      <c r="C2512" s="67"/>
      <c r="D2512" s="23" t="str">
        <f aca="false">IFERROR(INDEX(分录回款!$E:$E,MATCH($L2512,分录回款!$L:$L,0)),"")</f>
        <v/>
      </c>
      <c r="E2512" s="23" t="str">
        <f aca="false">IFERROR(INDEX(分录回款!$F:$F,MATCH($L2512,分录回款!$L:$L,0)),"")</f>
        <v/>
      </c>
      <c r="F2512" s="68" t="str">
        <f aca="false">IFERROR(INDEX(分录回款!$H:$H,MATCH($L2512,分录回款!$L:$L,0)),"")</f>
        <v/>
      </c>
      <c r="G2512" s="69" t="str">
        <f aca="false">IFERROR(INDEX(分录回款!$I:$I,MATCH($L2512,分录回款!$L:$L,0)),"")</f>
        <v/>
      </c>
      <c r="H2512" s="23"/>
      <c r="I2512" s="70"/>
      <c r="L2512" s="71" t="n">
        <f aca="false">IF(助手回款!$R$169="",-1,助手回款!$R$169*100+(助手回款!$S$169-1)*6+2)</f>
        <v>-1</v>
      </c>
    </row>
    <row r="2513" customFormat="false" ht="23.25" hidden="false" customHeight="true" outlineLevel="0" collapsed="false">
      <c r="B2513" s="67" t="str">
        <f aca="false">""</f>
        <v/>
      </c>
      <c r="C2513" s="67"/>
      <c r="D2513" s="23" t="str">
        <f aca="false">IFERROR(INDEX(分录回款!$E:$E,MATCH($L2513,分录回款!$L:$L,0)),"")</f>
        <v/>
      </c>
      <c r="E2513" s="23" t="str">
        <f aca="false">IFERROR(INDEX(分录回款!$F:$F,MATCH($L2513,分录回款!$L:$L,0)),"")</f>
        <v/>
      </c>
      <c r="F2513" s="68" t="str">
        <f aca="false">IFERROR(INDEX(分录回款!$H:$H,MATCH($L2513,分录回款!$L:$L,0)),"")</f>
        <v/>
      </c>
      <c r="G2513" s="69" t="str">
        <f aca="false">IFERROR(INDEX(分录回款!$I:$I,MATCH($L2513,分录回款!$L:$L,0)),"")</f>
        <v/>
      </c>
      <c r="H2513" s="23"/>
      <c r="I2513" s="70"/>
      <c r="L2513" s="71" t="n">
        <f aca="false">IF(助手回款!$R$169="",-1,助手回款!$R$169*100+(助手回款!$S$169-1)*6+3)</f>
        <v>-1</v>
      </c>
    </row>
    <row r="2514" customFormat="false" ht="23.25" hidden="false" customHeight="true" outlineLevel="0" collapsed="false">
      <c r="B2514" s="67" t="str">
        <f aca="false">""</f>
        <v/>
      </c>
      <c r="C2514" s="67"/>
      <c r="D2514" s="23" t="str">
        <f aca="false">IFERROR(INDEX(分录回款!$E:$E,MATCH($L2514,分录回款!$L:$L,0)),"")</f>
        <v/>
      </c>
      <c r="E2514" s="23" t="str">
        <f aca="false">IFERROR(INDEX(分录回款!$F:$F,MATCH($L2514,分录回款!$L:$L,0)),"")</f>
        <v/>
      </c>
      <c r="F2514" s="68" t="str">
        <f aca="false">IFERROR(INDEX(分录回款!$H:$H,MATCH($L2514,分录回款!$L:$L,0)),"")</f>
        <v/>
      </c>
      <c r="G2514" s="69" t="str">
        <f aca="false">IFERROR(INDEX(分录回款!$I:$I,MATCH($L2514,分录回款!$L:$L,0)),"")</f>
        <v/>
      </c>
      <c r="H2514" s="23"/>
      <c r="I2514" s="70"/>
      <c r="L2514" s="71" t="n">
        <f aca="false">IF(助手回款!$R$169="",-1,助手回款!$R$169*100+(助手回款!$S$169-1)*6+4)</f>
        <v>-1</v>
      </c>
    </row>
    <row r="2515" customFormat="false" ht="23.25" hidden="false" customHeight="true" outlineLevel="0" collapsed="false">
      <c r="B2515" s="67" t="str">
        <f aca="false">""</f>
        <v/>
      </c>
      <c r="C2515" s="67"/>
      <c r="D2515" s="23" t="str">
        <f aca="false">IFERROR(INDEX(分录回款!$E:$E,MATCH($L2515,分录回款!$L:$L,0)),"")</f>
        <v/>
      </c>
      <c r="E2515" s="23" t="str">
        <f aca="false">IFERROR(INDEX(分录回款!$F:$F,MATCH($L2515,分录回款!$L:$L,0)),"")</f>
        <v/>
      </c>
      <c r="F2515" s="68" t="str">
        <f aca="false">IFERROR(INDEX(分录回款!$H:$H,MATCH($L2515,分录回款!$L:$L,0)),"")</f>
        <v/>
      </c>
      <c r="G2515" s="69" t="str">
        <f aca="false">IFERROR(INDEX(分录回款!$I:$I,MATCH($L2515,分录回款!$L:$L,0)),"")</f>
        <v/>
      </c>
      <c r="H2515" s="23"/>
      <c r="I2515" s="70"/>
      <c r="L2515" s="71" t="n">
        <f aca="false">IF(助手回款!$R$169="",-1,助手回款!$R$169*100+(助手回款!$S$169-1)*6+5)</f>
        <v>-1</v>
      </c>
    </row>
    <row r="2516" customFormat="false" ht="23.25" hidden="false" customHeight="true" outlineLevel="0" collapsed="false">
      <c r="B2516" s="67" t="str">
        <f aca="false">""</f>
        <v/>
      </c>
      <c r="C2516" s="67"/>
      <c r="D2516" s="23" t="str">
        <f aca="false">IFERROR(INDEX(分录回款!$E:$E,MATCH($L2516,分录回款!$L:$L,0)),"")</f>
        <v/>
      </c>
      <c r="E2516" s="23" t="str">
        <f aca="false">IFERROR(INDEX(分录回款!$F:$F,MATCH($L2516,分录回款!$L:$L,0)),"")</f>
        <v/>
      </c>
      <c r="F2516" s="68" t="str">
        <f aca="false">IFERROR(INDEX(分录回款!$H:$H,MATCH($L2516,分录回款!$L:$L,0)),"")</f>
        <v/>
      </c>
      <c r="G2516" s="69" t="str">
        <f aca="false">IFERROR(INDEX(分录回款!$I:$I,MATCH($L2516,分录回款!$L:$L,0)),"")</f>
        <v/>
      </c>
      <c r="H2516" s="23"/>
      <c r="I2516" s="70"/>
      <c r="L2516" s="71" t="n">
        <f aca="false">IF(助手回款!$R$169="",-1,助手回款!$R$169*100+(助手回款!$S$169-1)*6+6)</f>
        <v>-1</v>
      </c>
    </row>
    <row r="2517" customFormat="false" ht="23.25" hidden="false" customHeight="true" outlineLevel="0" collapsed="false">
      <c r="B2517" s="72" t="str">
        <f aca="false">IF(助手回款!$T$169=1,"合计：","")</f>
        <v/>
      </c>
      <c r="C2517" s="73" t="str">
        <f aca="false">IF(助手回款!$T$169=1,$F2517,"")</f>
        <v/>
      </c>
      <c r="D2517" s="74"/>
      <c r="E2517" s="74"/>
      <c r="F2517" s="75" t="str">
        <f aca="false">IF(助手回款!$T$169=1,INDEX(助手回款!$N$2:$N$66,助手回款!$R$169),"")</f>
        <v/>
      </c>
      <c r="G2517" s="76" t="str">
        <f aca="false">IF(助手回款!$T$169=1,INDEX(助手回款!$O$2:$O$66,助手回款!$R$169),"")</f>
        <v/>
      </c>
      <c r="H2517" s="74"/>
      <c r="I2517" s="77"/>
    </row>
    <row r="2518" customFormat="false" ht="6" hidden="false" customHeight="true" outlineLevel="0" collapsed="false"/>
    <row r="2519" customFormat="false" ht="13.5" hidden="false" customHeight="false" outlineLevel="0" collapsed="false">
      <c r="B2519" s="78" t="str">
        <f aca="false">IF(助手回款!$R$169&lt;&gt;"","会计主管：","")</f>
        <v/>
      </c>
      <c r="D2519" s="78" t="str">
        <f aca="false">IF(助手回款!$R$169&lt;&gt;"","会计：","")</f>
        <v/>
      </c>
      <c r="E2519" s="78" t="str">
        <f aca="false">IF(助手回款!$R$169&lt;&gt;"","出纳：","")</f>
        <v/>
      </c>
      <c r="F2519" s="78" t="str">
        <f aca="false">IF(助手回款!$R$169&lt;&gt;"","复核：","")</f>
        <v/>
      </c>
      <c r="G2519" s="78" t="str">
        <f aca="false">IF(助手回款!$R$169&lt;&gt;"","制单：","")</f>
        <v/>
      </c>
    </row>
    <row r="2520" customFormat="false" ht="3" hidden="false" customHeight="true" outlineLevel="0" collapsed="false"/>
    <row r="2521" customFormat="false" ht="19.5" hidden="false" customHeight="true" outlineLevel="0" collapsed="false">
      <c r="B2521" s="53" t="str">
        <f aca="false">IF(助手回款!$R$170&lt;&gt;"","记  账  凭  证","")</f>
        <v/>
      </c>
      <c r="C2521" s="53"/>
      <c r="D2521" s="53"/>
      <c r="E2521" s="53"/>
      <c r="F2521" s="53"/>
      <c r="G2521" s="53"/>
      <c r="H2521" s="53"/>
      <c r="I2521" s="53"/>
    </row>
    <row r="2522" customFormat="false" ht="3" hidden="false" customHeight="true" outlineLevel="0" collapsed="false"/>
    <row r="2523" customFormat="false" ht="15" hidden="false" customHeight="true" outlineLevel="0" collapsed="false">
      <c r="C2523" s="56" t="str">
        <f aca="false">IF(助手回款!$R$170&lt;&gt;"",INDEX(助手回款!$B$2:$B$66,助手回款!$R$170),"")</f>
        <v/>
      </c>
      <c r="D2523" s="57" t="str">
        <f aca="false">IF(助手回款!$R$170&lt;&gt;"",参数!$B$2,"")</f>
        <v/>
      </c>
      <c r="E2523" s="57"/>
      <c r="F2523" s="58" t="str">
        <f aca="false">IF(助手回款!$R$170&lt;&gt;"",INDEX(助手回款!$C$2:$C$66,助手回款!$R$170)&amp;"  字第 "&amp;IF(参数!$B$9="是",INDEX(助手回款!$P$2:$P$66,助手回款!$R$170),"　　　　")&amp;" 号"&amp;IF(INDEX(助手回款!$L$2:$L$66,助手回款!$R$170)&gt;1,"  (共"&amp;INDEX(助手回款!$L$2:$L$66,助手回款!$R$170)&amp;"页 第"&amp;助手回款!$S$170&amp;"页)",""),"")</f>
        <v/>
      </c>
      <c r="G2523" s="58"/>
      <c r="H2523" s="58"/>
      <c r="I2523" s="58"/>
      <c r="M2523" s="79" t="str">
        <f aca="false">IF(助手回款!$R$170="","",助手回款!$Q$170)</f>
        <v/>
      </c>
      <c r="N2523" s="80" t="str">
        <f aca="false">IF(助手回款!$R$170="","",INDEX(助手回款!$P$2:$P$66,助手回款!$R$170))</f>
        <v/>
      </c>
      <c r="O2523" s="55" t="str">
        <f aca="false">IF(助手回款!$R$170="","",INDEX(助手回款!$C$2:$C$66,助手回款!$R$170)&amp;"  字第 "&amp;INDEX(助手回款!$P$2:$P$66,助手回款!$R$170)&amp;" 号"&amp;IF(INDEX(助手回款!$L$2:$L$66,助手回款!$R$170)&gt;1,"  (共"&amp;INDEX(助手回款!$L$2:$L$66,助手回款!$R$170)&amp;"页 第"&amp;助手回款!$S$170&amp;"页)",""))</f>
        <v/>
      </c>
    </row>
    <row r="2524" customFormat="false" ht="12.75" hidden="false" customHeight="true" outlineLevel="0" collapsed="false">
      <c r="B2524" s="61" t="str">
        <f aca="false">IF(助手回款!$R$170&lt;&gt;"","摘　　要","")</f>
        <v/>
      </c>
      <c r="C2524" s="61"/>
      <c r="D2524" s="62" t="str">
        <f aca="false">IF(助手回款!$R$170&lt;&gt;"","科　　　　目","")</f>
        <v/>
      </c>
      <c r="E2524" s="62"/>
      <c r="F2524" s="61" t="str">
        <f aca="false">IF(助手回款!$R$170&lt;&gt;"","借 方 金 额","")</f>
        <v/>
      </c>
      <c r="G2524" s="62" t="str">
        <f aca="false">IF(助手回款!$R$170&lt;&gt;"","贷 方 金 额","")</f>
        <v/>
      </c>
      <c r="H2524" s="63" t="str">
        <f aca="false">IF(助手回款!$R$170&lt;&gt;"","√","")</f>
        <v/>
      </c>
      <c r="I2524" s="64" t="str">
        <f aca="false">IF(助手回款!$R$170&lt;&gt;"","附单据  张","")</f>
        <v/>
      </c>
    </row>
    <row r="2525" customFormat="false" ht="12.75" hidden="false" customHeight="true" outlineLevel="0" collapsed="false">
      <c r="B2525" s="61"/>
      <c r="C2525" s="61"/>
      <c r="D2525" s="23" t="str">
        <f aca="false">IF(助手回款!$R$170&lt;&gt;"","总 账 科 目","")</f>
        <v/>
      </c>
      <c r="E2525" s="23" t="str">
        <f aca="false">IF(助手回款!$R$170&lt;&gt;"","明 细 科 目","")</f>
        <v/>
      </c>
      <c r="F2525" s="65"/>
      <c r="G2525" s="66"/>
      <c r="H2525" s="63"/>
      <c r="I2525" s="64"/>
    </row>
    <row r="2526" customFormat="false" ht="23.25" hidden="false" customHeight="true" outlineLevel="0" collapsed="false">
      <c r="B2526" s="67" t="str">
        <f aca="false">IFERROR(INDEX(分录回款!$M:$M,MATCH($L2526,分录回款!$L:$L,0)),"")</f>
        <v/>
      </c>
      <c r="C2526" s="67"/>
      <c r="D2526" s="23" t="str">
        <f aca="false">IFERROR(INDEX(分录回款!$E:$E,MATCH($L2526,分录回款!$L:$L,0)),"")</f>
        <v/>
      </c>
      <c r="E2526" s="23" t="str">
        <f aca="false">IFERROR(INDEX(分录回款!$F:$F,MATCH($L2526,分录回款!$L:$L,0)),"")</f>
        <v/>
      </c>
      <c r="F2526" s="68" t="str">
        <f aca="false">IFERROR(INDEX(分录回款!$H:$H,MATCH($L2526,分录回款!$L:$L,0)),"")</f>
        <v/>
      </c>
      <c r="G2526" s="69" t="str">
        <f aca="false">IFERROR(INDEX(分录回款!$I:$I,MATCH($L2526,分录回款!$L:$L,0)),"")</f>
        <v/>
      </c>
      <c r="H2526" s="23"/>
      <c r="I2526" s="70"/>
      <c r="L2526" s="71" t="n">
        <f aca="false">IF(助手回款!$R$170="",-1,助手回款!$R$170*100+(助手回款!$S$170-1)*6+1)</f>
        <v>-1</v>
      </c>
    </row>
    <row r="2527" customFormat="false" ht="23.25" hidden="false" customHeight="true" outlineLevel="0" collapsed="false">
      <c r="B2527" s="67" t="str">
        <f aca="false">""</f>
        <v/>
      </c>
      <c r="C2527" s="67"/>
      <c r="D2527" s="23" t="str">
        <f aca="false">IFERROR(INDEX(分录回款!$E:$E,MATCH($L2527,分录回款!$L:$L,0)),"")</f>
        <v/>
      </c>
      <c r="E2527" s="23" t="str">
        <f aca="false">IFERROR(INDEX(分录回款!$F:$F,MATCH($L2527,分录回款!$L:$L,0)),"")</f>
        <v/>
      </c>
      <c r="F2527" s="68" t="str">
        <f aca="false">IFERROR(INDEX(分录回款!$H:$H,MATCH($L2527,分录回款!$L:$L,0)),"")</f>
        <v/>
      </c>
      <c r="G2527" s="69" t="str">
        <f aca="false">IFERROR(INDEX(分录回款!$I:$I,MATCH($L2527,分录回款!$L:$L,0)),"")</f>
        <v/>
      </c>
      <c r="H2527" s="23"/>
      <c r="I2527" s="70"/>
      <c r="L2527" s="71" t="n">
        <f aca="false">IF(助手回款!$R$170="",-1,助手回款!$R$170*100+(助手回款!$S$170-1)*6+2)</f>
        <v>-1</v>
      </c>
    </row>
    <row r="2528" customFormat="false" ht="23.25" hidden="false" customHeight="true" outlineLevel="0" collapsed="false">
      <c r="B2528" s="67" t="str">
        <f aca="false">""</f>
        <v/>
      </c>
      <c r="C2528" s="67"/>
      <c r="D2528" s="23" t="str">
        <f aca="false">IFERROR(INDEX(分录回款!$E:$E,MATCH($L2528,分录回款!$L:$L,0)),"")</f>
        <v/>
      </c>
      <c r="E2528" s="23" t="str">
        <f aca="false">IFERROR(INDEX(分录回款!$F:$F,MATCH($L2528,分录回款!$L:$L,0)),"")</f>
        <v/>
      </c>
      <c r="F2528" s="68" t="str">
        <f aca="false">IFERROR(INDEX(分录回款!$H:$H,MATCH($L2528,分录回款!$L:$L,0)),"")</f>
        <v/>
      </c>
      <c r="G2528" s="69" t="str">
        <f aca="false">IFERROR(INDEX(分录回款!$I:$I,MATCH($L2528,分录回款!$L:$L,0)),"")</f>
        <v/>
      </c>
      <c r="H2528" s="23"/>
      <c r="I2528" s="70"/>
      <c r="L2528" s="71" t="n">
        <f aca="false">IF(助手回款!$R$170="",-1,助手回款!$R$170*100+(助手回款!$S$170-1)*6+3)</f>
        <v>-1</v>
      </c>
    </row>
    <row r="2529" customFormat="false" ht="23.25" hidden="false" customHeight="true" outlineLevel="0" collapsed="false">
      <c r="B2529" s="67" t="str">
        <f aca="false">""</f>
        <v/>
      </c>
      <c r="C2529" s="67"/>
      <c r="D2529" s="23" t="str">
        <f aca="false">IFERROR(INDEX(分录回款!$E:$E,MATCH($L2529,分录回款!$L:$L,0)),"")</f>
        <v/>
      </c>
      <c r="E2529" s="23" t="str">
        <f aca="false">IFERROR(INDEX(分录回款!$F:$F,MATCH($L2529,分录回款!$L:$L,0)),"")</f>
        <v/>
      </c>
      <c r="F2529" s="68" t="str">
        <f aca="false">IFERROR(INDEX(分录回款!$H:$H,MATCH($L2529,分录回款!$L:$L,0)),"")</f>
        <v/>
      </c>
      <c r="G2529" s="69" t="str">
        <f aca="false">IFERROR(INDEX(分录回款!$I:$I,MATCH($L2529,分录回款!$L:$L,0)),"")</f>
        <v/>
      </c>
      <c r="H2529" s="23"/>
      <c r="I2529" s="70"/>
      <c r="L2529" s="71" t="n">
        <f aca="false">IF(助手回款!$R$170="",-1,助手回款!$R$170*100+(助手回款!$S$170-1)*6+4)</f>
        <v>-1</v>
      </c>
    </row>
    <row r="2530" customFormat="false" ht="23.25" hidden="false" customHeight="true" outlineLevel="0" collapsed="false">
      <c r="B2530" s="67" t="str">
        <f aca="false">""</f>
        <v/>
      </c>
      <c r="C2530" s="67"/>
      <c r="D2530" s="23" t="str">
        <f aca="false">IFERROR(INDEX(分录回款!$E:$E,MATCH($L2530,分录回款!$L:$L,0)),"")</f>
        <v/>
      </c>
      <c r="E2530" s="23" t="str">
        <f aca="false">IFERROR(INDEX(分录回款!$F:$F,MATCH($L2530,分录回款!$L:$L,0)),"")</f>
        <v/>
      </c>
      <c r="F2530" s="68" t="str">
        <f aca="false">IFERROR(INDEX(分录回款!$H:$H,MATCH($L2530,分录回款!$L:$L,0)),"")</f>
        <v/>
      </c>
      <c r="G2530" s="69" t="str">
        <f aca="false">IFERROR(INDEX(分录回款!$I:$I,MATCH($L2530,分录回款!$L:$L,0)),"")</f>
        <v/>
      </c>
      <c r="H2530" s="23"/>
      <c r="I2530" s="70"/>
      <c r="L2530" s="71" t="n">
        <f aca="false">IF(助手回款!$R$170="",-1,助手回款!$R$170*100+(助手回款!$S$170-1)*6+5)</f>
        <v>-1</v>
      </c>
    </row>
    <row r="2531" customFormat="false" ht="23.25" hidden="false" customHeight="true" outlineLevel="0" collapsed="false">
      <c r="B2531" s="67" t="str">
        <f aca="false">""</f>
        <v/>
      </c>
      <c r="C2531" s="67"/>
      <c r="D2531" s="23" t="str">
        <f aca="false">IFERROR(INDEX(分录回款!$E:$E,MATCH($L2531,分录回款!$L:$L,0)),"")</f>
        <v/>
      </c>
      <c r="E2531" s="23" t="str">
        <f aca="false">IFERROR(INDEX(分录回款!$F:$F,MATCH($L2531,分录回款!$L:$L,0)),"")</f>
        <v/>
      </c>
      <c r="F2531" s="68" t="str">
        <f aca="false">IFERROR(INDEX(分录回款!$H:$H,MATCH($L2531,分录回款!$L:$L,0)),"")</f>
        <v/>
      </c>
      <c r="G2531" s="69" t="str">
        <f aca="false">IFERROR(INDEX(分录回款!$I:$I,MATCH($L2531,分录回款!$L:$L,0)),"")</f>
        <v/>
      </c>
      <c r="H2531" s="23"/>
      <c r="I2531" s="70"/>
      <c r="L2531" s="71" t="n">
        <f aca="false">IF(助手回款!$R$170="",-1,助手回款!$R$170*100+(助手回款!$S$170-1)*6+6)</f>
        <v>-1</v>
      </c>
    </row>
    <row r="2532" customFormat="false" ht="23.25" hidden="false" customHeight="true" outlineLevel="0" collapsed="false">
      <c r="B2532" s="72" t="str">
        <f aca="false">IF(助手回款!$T$170=1,"合计：","")</f>
        <v/>
      </c>
      <c r="C2532" s="73" t="str">
        <f aca="false">IF(助手回款!$T$170=1,$F2532,"")</f>
        <v/>
      </c>
      <c r="D2532" s="74"/>
      <c r="E2532" s="74"/>
      <c r="F2532" s="75" t="str">
        <f aca="false">IF(助手回款!$T$170=1,INDEX(助手回款!$N$2:$N$66,助手回款!$R$170),"")</f>
        <v/>
      </c>
      <c r="G2532" s="76" t="str">
        <f aca="false">IF(助手回款!$T$170=1,INDEX(助手回款!$O$2:$O$66,助手回款!$R$170),"")</f>
        <v/>
      </c>
      <c r="H2532" s="74"/>
      <c r="I2532" s="77"/>
    </row>
    <row r="2533" customFormat="false" ht="6" hidden="false" customHeight="true" outlineLevel="0" collapsed="false"/>
    <row r="2534" customFormat="false" ht="13.5" hidden="false" customHeight="false" outlineLevel="0" collapsed="false">
      <c r="B2534" s="78" t="str">
        <f aca="false">IF(助手回款!$R$170&lt;&gt;"","会计主管：","")</f>
        <v/>
      </c>
      <c r="D2534" s="78" t="str">
        <f aca="false">IF(助手回款!$R$170&lt;&gt;"","会计：","")</f>
        <v/>
      </c>
      <c r="E2534" s="78" t="str">
        <f aca="false">IF(助手回款!$R$170&lt;&gt;"","出纳：","")</f>
        <v/>
      </c>
      <c r="F2534" s="78" t="str">
        <f aca="false">IF(助手回款!$R$170&lt;&gt;"","复核：","")</f>
        <v/>
      </c>
      <c r="G2534" s="78" t="str">
        <f aca="false">IF(助手回款!$R$170&lt;&gt;"","制单：","")</f>
        <v/>
      </c>
    </row>
    <row r="2535" customFormat="false" ht="3" hidden="false" customHeight="true" outlineLevel="0" collapsed="false"/>
    <row r="2536" customFormat="false" ht="19.5" hidden="false" customHeight="true" outlineLevel="0" collapsed="false">
      <c r="B2536" s="53" t="str">
        <f aca="false">IF(助手回款!$R$171&lt;&gt;"","记  账  凭  证","")</f>
        <v/>
      </c>
      <c r="C2536" s="53"/>
      <c r="D2536" s="53"/>
      <c r="E2536" s="53"/>
      <c r="F2536" s="53"/>
      <c r="G2536" s="53"/>
      <c r="H2536" s="53"/>
      <c r="I2536" s="53"/>
    </row>
    <row r="2537" customFormat="false" ht="3" hidden="false" customHeight="true" outlineLevel="0" collapsed="false"/>
    <row r="2538" customFormat="false" ht="15" hidden="false" customHeight="true" outlineLevel="0" collapsed="false">
      <c r="C2538" s="56" t="str">
        <f aca="false">IF(助手回款!$R$171&lt;&gt;"",INDEX(助手回款!$B$2:$B$66,助手回款!$R$171),"")</f>
        <v/>
      </c>
      <c r="D2538" s="57" t="str">
        <f aca="false">IF(助手回款!$R$171&lt;&gt;"",参数!$B$2,"")</f>
        <v/>
      </c>
      <c r="E2538" s="57"/>
      <c r="F2538" s="58" t="str">
        <f aca="false">IF(助手回款!$R$171&lt;&gt;"",INDEX(助手回款!$C$2:$C$66,助手回款!$R$171)&amp;"  字第 "&amp;IF(参数!$B$9="是",INDEX(助手回款!$P$2:$P$66,助手回款!$R$171),"　　　　")&amp;" 号"&amp;IF(INDEX(助手回款!$L$2:$L$66,助手回款!$R$171)&gt;1,"  (共"&amp;INDEX(助手回款!$L$2:$L$66,助手回款!$R$171)&amp;"页 第"&amp;助手回款!$S$171&amp;"页)",""),"")</f>
        <v/>
      </c>
      <c r="G2538" s="58"/>
      <c r="H2538" s="58"/>
      <c r="I2538" s="58"/>
      <c r="M2538" s="79" t="str">
        <f aca="false">IF(助手回款!$R$171="","",助手回款!$Q$171)</f>
        <v/>
      </c>
      <c r="N2538" s="80" t="str">
        <f aca="false">IF(助手回款!$R$171="","",INDEX(助手回款!$P$2:$P$66,助手回款!$R$171))</f>
        <v/>
      </c>
      <c r="O2538" s="55" t="str">
        <f aca="false">IF(助手回款!$R$171="","",INDEX(助手回款!$C$2:$C$66,助手回款!$R$171)&amp;"  字第 "&amp;INDEX(助手回款!$P$2:$P$66,助手回款!$R$171)&amp;" 号"&amp;IF(INDEX(助手回款!$L$2:$L$66,助手回款!$R$171)&gt;1,"  (共"&amp;INDEX(助手回款!$L$2:$L$66,助手回款!$R$171)&amp;"页 第"&amp;助手回款!$S$171&amp;"页)",""))</f>
        <v/>
      </c>
    </row>
    <row r="2539" customFormat="false" ht="12.75" hidden="false" customHeight="true" outlineLevel="0" collapsed="false">
      <c r="B2539" s="61" t="str">
        <f aca="false">IF(助手回款!$R$171&lt;&gt;"","摘　　要","")</f>
        <v/>
      </c>
      <c r="C2539" s="61"/>
      <c r="D2539" s="62" t="str">
        <f aca="false">IF(助手回款!$R$171&lt;&gt;"","科　　　　目","")</f>
        <v/>
      </c>
      <c r="E2539" s="62"/>
      <c r="F2539" s="61" t="str">
        <f aca="false">IF(助手回款!$R$171&lt;&gt;"","借 方 金 额","")</f>
        <v/>
      </c>
      <c r="G2539" s="62" t="str">
        <f aca="false">IF(助手回款!$R$171&lt;&gt;"","贷 方 金 额","")</f>
        <v/>
      </c>
      <c r="H2539" s="63" t="str">
        <f aca="false">IF(助手回款!$R$171&lt;&gt;"","√","")</f>
        <v/>
      </c>
      <c r="I2539" s="64" t="str">
        <f aca="false">IF(助手回款!$R$171&lt;&gt;"","附单据  张","")</f>
        <v/>
      </c>
    </row>
    <row r="2540" customFormat="false" ht="12.75" hidden="false" customHeight="true" outlineLevel="0" collapsed="false">
      <c r="B2540" s="61"/>
      <c r="C2540" s="61"/>
      <c r="D2540" s="23" t="str">
        <f aca="false">IF(助手回款!$R$171&lt;&gt;"","总 账 科 目","")</f>
        <v/>
      </c>
      <c r="E2540" s="23" t="str">
        <f aca="false">IF(助手回款!$R$171&lt;&gt;"","明 细 科 目","")</f>
        <v/>
      </c>
      <c r="F2540" s="65"/>
      <c r="G2540" s="66"/>
      <c r="H2540" s="63"/>
      <c r="I2540" s="64"/>
    </row>
    <row r="2541" customFormat="false" ht="23.25" hidden="false" customHeight="true" outlineLevel="0" collapsed="false">
      <c r="B2541" s="67" t="str">
        <f aca="false">IFERROR(INDEX(分录回款!$M:$M,MATCH($L2541,分录回款!$L:$L,0)),"")</f>
        <v/>
      </c>
      <c r="C2541" s="67"/>
      <c r="D2541" s="23" t="str">
        <f aca="false">IFERROR(INDEX(分录回款!$E:$E,MATCH($L2541,分录回款!$L:$L,0)),"")</f>
        <v/>
      </c>
      <c r="E2541" s="23" t="str">
        <f aca="false">IFERROR(INDEX(分录回款!$F:$F,MATCH($L2541,分录回款!$L:$L,0)),"")</f>
        <v/>
      </c>
      <c r="F2541" s="68" t="str">
        <f aca="false">IFERROR(INDEX(分录回款!$H:$H,MATCH($L2541,分录回款!$L:$L,0)),"")</f>
        <v/>
      </c>
      <c r="G2541" s="69" t="str">
        <f aca="false">IFERROR(INDEX(分录回款!$I:$I,MATCH($L2541,分录回款!$L:$L,0)),"")</f>
        <v/>
      </c>
      <c r="H2541" s="23"/>
      <c r="I2541" s="70"/>
      <c r="L2541" s="71" t="n">
        <f aca="false">IF(助手回款!$R$171="",-1,助手回款!$R$171*100+(助手回款!$S$171-1)*6+1)</f>
        <v>-1</v>
      </c>
    </row>
    <row r="2542" customFormat="false" ht="23.25" hidden="false" customHeight="true" outlineLevel="0" collapsed="false">
      <c r="B2542" s="67" t="str">
        <f aca="false">""</f>
        <v/>
      </c>
      <c r="C2542" s="67"/>
      <c r="D2542" s="23" t="str">
        <f aca="false">IFERROR(INDEX(分录回款!$E:$E,MATCH($L2542,分录回款!$L:$L,0)),"")</f>
        <v/>
      </c>
      <c r="E2542" s="23" t="str">
        <f aca="false">IFERROR(INDEX(分录回款!$F:$F,MATCH($L2542,分录回款!$L:$L,0)),"")</f>
        <v/>
      </c>
      <c r="F2542" s="68" t="str">
        <f aca="false">IFERROR(INDEX(分录回款!$H:$H,MATCH($L2542,分录回款!$L:$L,0)),"")</f>
        <v/>
      </c>
      <c r="G2542" s="69" t="str">
        <f aca="false">IFERROR(INDEX(分录回款!$I:$I,MATCH($L2542,分录回款!$L:$L,0)),"")</f>
        <v/>
      </c>
      <c r="H2542" s="23"/>
      <c r="I2542" s="70"/>
      <c r="L2542" s="71" t="n">
        <f aca="false">IF(助手回款!$R$171="",-1,助手回款!$R$171*100+(助手回款!$S$171-1)*6+2)</f>
        <v>-1</v>
      </c>
    </row>
    <row r="2543" customFormat="false" ht="23.25" hidden="false" customHeight="true" outlineLevel="0" collapsed="false">
      <c r="B2543" s="67" t="str">
        <f aca="false">""</f>
        <v/>
      </c>
      <c r="C2543" s="67"/>
      <c r="D2543" s="23" t="str">
        <f aca="false">IFERROR(INDEX(分录回款!$E:$E,MATCH($L2543,分录回款!$L:$L,0)),"")</f>
        <v/>
      </c>
      <c r="E2543" s="23" t="str">
        <f aca="false">IFERROR(INDEX(分录回款!$F:$F,MATCH($L2543,分录回款!$L:$L,0)),"")</f>
        <v/>
      </c>
      <c r="F2543" s="68" t="str">
        <f aca="false">IFERROR(INDEX(分录回款!$H:$H,MATCH($L2543,分录回款!$L:$L,0)),"")</f>
        <v/>
      </c>
      <c r="G2543" s="69" t="str">
        <f aca="false">IFERROR(INDEX(分录回款!$I:$I,MATCH($L2543,分录回款!$L:$L,0)),"")</f>
        <v/>
      </c>
      <c r="H2543" s="23"/>
      <c r="I2543" s="70"/>
      <c r="L2543" s="71" t="n">
        <f aca="false">IF(助手回款!$R$171="",-1,助手回款!$R$171*100+(助手回款!$S$171-1)*6+3)</f>
        <v>-1</v>
      </c>
    </row>
    <row r="2544" customFormat="false" ht="23.25" hidden="false" customHeight="true" outlineLevel="0" collapsed="false">
      <c r="B2544" s="67" t="str">
        <f aca="false">""</f>
        <v/>
      </c>
      <c r="C2544" s="67"/>
      <c r="D2544" s="23" t="str">
        <f aca="false">IFERROR(INDEX(分录回款!$E:$E,MATCH($L2544,分录回款!$L:$L,0)),"")</f>
        <v/>
      </c>
      <c r="E2544" s="23" t="str">
        <f aca="false">IFERROR(INDEX(分录回款!$F:$F,MATCH($L2544,分录回款!$L:$L,0)),"")</f>
        <v/>
      </c>
      <c r="F2544" s="68" t="str">
        <f aca="false">IFERROR(INDEX(分录回款!$H:$H,MATCH($L2544,分录回款!$L:$L,0)),"")</f>
        <v/>
      </c>
      <c r="G2544" s="69" t="str">
        <f aca="false">IFERROR(INDEX(分录回款!$I:$I,MATCH($L2544,分录回款!$L:$L,0)),"")</f>
        <v/>
      </c>
      <c r="H2544" s="23"/>
      <c r="I2544" s="70"/>
      <c r="L2544" s="71" t="n">
        <f aca="false">IF(助手回款!$R$171="",-1,助手回款!$R$171*100+(助手回款!$S$171-1)*6+4)</f>
        <v>-1</v>
      </c>
    </row>
    <row r="2545" customFormat="false" ht="23.25" hidden="false" customHeight="true" outlineLevel="0" collapsed="false">
      <c r="B2545" s="67" t="str">
        <f aca="false">""</f>
        <v/>
      </c>
      <c r="C2545" s="67"/>
      <c r="D2545" s="23" t="str">
        <f aca="false">IFERROR(INDEX(分录回款!$E:$E,MATCH($L2545,分录回款!$L:$L,0)),"")</f>
        <v/>
      </c>
      <c r="E2545" s="23" t="str">
        <f aca="false">IFERROR(INDEX(分录回款!$F:$F,MATCH($L2545,分录回款!$L:$L,0)),"")</f>
        <v/>
      </c>
      <c r="F2545" s="68" t="str">
        <f aca="false">IFERROR(INDEX(分录回款!$H:$H,MATCH($L2545,分录回款!$L:$L,0)),"")</f>
        <v/>
      </c>
      <c r="G2545" s="69" t="str">
        <f aca="false">IFERROR(INDEX(分录回款!$I:$I,MATCH($L2545,分录回款!$L:$L,0)),"")</f>
        <v/>
      </c>
      <c r="H2545" s="23"/>
      <c r="I2545" s="70"/>
      <c r="L2545" s="71" t="n">
        <f aca="false">IF(助手回款!$R$171="",-1,助手回款!$R$171*100+(助手回款!$S$171-1)*6+5)</f>
        <v>-1</v>
      </c>
    </row>
    <row r="2546" customFormat="false" ht="23.25" hidden="false" customHeight="true" outlineLevel="0" collapsed="false">
      <c r="B2546" s="67" t="str">
        <f aca="false">""</f>
        <v/>
      </c>
      <c r="C2546" s="67"/>
      <c r="D2546" s="23" t="str">
        <f aca="false">IFERROR(INDEX(分录回款!$E:$E,MATCH($L2546,分录回款!$L:$L,0)),"")</f>
        <v/>
      </c>
      <c r="E2546" s="23" t="str">
        <f aca="false">IFERROR(INDEX(分录回款!$F:$F,MATCH($L2546,分录回款!$L:$L,0)),"")</f>
        <v/>
      </c>
      <c r="F2546" s="68" t="str">
        <f aca="false">IFERROR(INDEX(分录回款!$H:$H,MATCH($L2546,分录回款!$L:$L,0)),"")</f>
        <v/>
      </c>
      <c r="G2546" s="69" t="str">
        <f aca="false">IFERROR(INDEX(分录回款!$I:$I,MATCH($L2546,分录回款!$L:$L,0)),"")</f>
        <v/>
      </c>
      <c r="H2546" s="23"/>
      <c r="I2546" s="70"/>
      <c r="L2546" s="71" t="n">
        <f aca="false">IF(助手回款!$R$171="",-1,助手回款!$R$171*100+(助手回款!$S$171-1)*6+6)</f>
        <v>-1</v>
      </c>
    </row>
    <row r="2547" customFormat="false" ht="23.25" hidden="false" customHeight="true" outlineLevel="0" collapsed="false">
      <c r="B2547" s="72" t="str">
        <f aca="false">IF(助手回款!$T$171=1,"合计：","")</f>
        <v/>
      </c>
      <c r="C2547" s="73" t="str">
        <f aca="false">IF(助手回款!$T$171=1,$F2547,"")</f>
        <v/>
      </c>
      <c r="D2547" s="74"/>
      <c r="E2547" s="74"/>
      <c r="F2547" s="75" t="str">
        <f aca="false">IF(助手回款!$T$171=1,INDEX(助手回款!$N$2:$N$66,助手回款!$R$171),"")</f>
        <v/>
      </c>
      <c r="G2547" s="76" t="str">
        <f aca="false">IF(助手回款!$T$171=1,INDEX(助手回款!$O$2:$O$66,助手回款!$R$171),"")</f>
        <v/>
      </c>
      <c r="H2547" s="74"/>
      <c r="I2547" s="77"/>
    </row>
    <row r="2548" customFormat="false" ht="6" hidden="false" customHeight="true" outlineLevel="0" collapsed="false"/>
    <row r="2549" customFormat="false" ht="13.5" hidden="false" customHeight="false" outlineLevel="0" collapsed="false">
      <c r="B2549" s="78" t="str">
        <f aca="false">IF(助手回款!$R$171&lt;&gt;"","会计主管：","")</f>
        <v/>
      </c>
      <c r="D2549" s="78" t="str">
        <f aca="false">IF(助手回款!$R$171&lt;&gt;"","会计：","")</f>
        <v/>
      </c>
      <c r="E2549" s="78" t="str">
        <f aca="false">IF(助手回款!$R$171&lt;&gt;"","出纳：","")</f>
        <v/>
      </c>
      <c r="F2549" s="78" t="str">
        <f aca="false">IF(助手回款!$R$171&lt;&gt;"","复核：","")</f>
        <v/>
      </c>
      <c r="G2549" s="78" t="str">
        <f aca="false">IF(助手回款!$R$171&lt;&gt;"","制单：","")</f>
        <v/>
      </c>
    </row>
    <row r="2550" customFormat="false" ht="3" hidden="false" customHeight="true" outlineLevel="0" collapsed="false"/>
    <row r="2551" customFormat="false" ht="19.5" hidden="false" customHeight="true" outlineLevel="0" collapsed="false">
      <c r="B2551" s="53" t="str">
        <f aca="false">IF(助手回款!$R$172&lt;&gt;"","记  账  凭  证","")</f>
        <v/>
      </c>
      <c r="C2551" s="53"/>
      <c r="D2551" s="53"/>
      <c r="E2551" s="53"/>
      <c r="F2551" s="53"/>
      <c r="G2551" s="53"/>
      <c r="H2551" s="53"/>
      <c r="I2551" s="53"/>
    </row>
    <row r="2552" customFormat="false" ht="3" hidden="false" customHeight="true" outlineLevel="0" collapsed="false"/>
    <row r="2553" customFormat="false" ht="15" hidden="false" customHeight="true" outlineLevel="0" collapsed="false">
      <c r="C2553" s="56" t="str">
        <f aca="false">IF(助手回款!$R$172&lt;&gt;"",INDEX(助手回款!$B$2:$B$66,助手回款!$R$172),"")</f>
        <v/>
      </c>
      <c r="D2553" s="57" t="str">
        <f aca="false">IF(助手回款!$R$172&lt;&gt;"",参数!$B$2,"")</f>
        <v/>
      </c>
      <c r="E2553" s="57"/>
      <c r="F2553" s="58" t="str">
        <f aca="false">IF(助手回款!$R$172&lt;&gt;"",INDEX(助手回款!$C$2:$C$66,助手回款!$R$172)&amp;"  字第 "&amp;IF(参数!$B$9="是",INDEX(助手回款!$P$2:$P$66,助手回款!$R$172),"　　　　")&amp;" 号"&amp;IF(INDEX(助手回款!$L$2:$L$66,助手回款!$R$172)&gt;1,"  (共"&amp;INDEX(助手回款!$L$2:$L$66,助手回款!$R$172)&amp;"页 第"&amp;助手回款!$S$172&amp;"页)",""),"")</f>
        <v/>
      </c>
      <c r="G2553" s="58"/>
      <c r="H2553" s="58"/>
      <c r="I2553" s="58"/>
      <c r="M2553" s="79" t="str">
        <f aca="false">IF(助手回款!$R$172="","",助手回款!$Q$172)</f>
        <v/>
      </c>
      <c r="N2553" s="80" t="str">
        <f aca="false">IF(助手回款!$R$172="","",INDEX(助手回款!$P$2:$P$66,助手回款!$R$172))</f>
        <v/>
      </c>
      <c r="O2553" s="55" t="str">
        <f aca="false">IF(助手回款!$R$172="","",INDEX(助手回款!$C$2:$C$66,助手回款!$R$172)&amp;"  字第 "&amp;INDEX(助手回款!$P$2:$P$66,助手回款!$R$172)&amp;" 号"&amp;IF(INDEX(助手回款!$L$2:$L$66,助手回款!$R$172)&gt;1,"  (共"&amp;INDEX(助手回款!$L$2:$L$66,助手回款!$R$172)&amp;"页 第"&amp;助手回款!$S$172&amp;"页)",""))</f>
        <v/>
      </c>
    </row>
    <row r="2554" customFormat="false" ht="12.75" hidden="false" customHeight="true" outlineLevel="0" collapsed="false">
      <c r="B2554" s="61" t="str">
        <f aca="false">IF(助手回款!$R$172&lt;&gt;"","摘　　要","")</f>
        <v/>
      </c>
      <c r="C2554" s="61"/>
      <c r="D2554" s="62" t="str">
        <f aca="false">IF(助手回款!$R$172&lt;&gt;"","科　　　　目","")</f>
        <v/>
      </c>
      <c r="E2554" s="62"/>
      <c r="F2554" s="61" t="str">
        <f aca="false">IF(助手回款!$R$172&lt;&gt;"","借 方 金 额","")</f>
        <v/>
      </c>
      <c r="G2554" s="62" t="str">
        <f aca="false">IF(助手回款!$R$172&lt;&gt;"","贷 方 金 额","")</f>
        <v/>
      </c>
      <c r="H2554" s="63" t="str">
        <f aca="false">IF(助手回款!$R$172&lt;&gt;"","√","")</f>
        <v/>
      </c>
      <c r="I2554" s="64" t="str">
        <f aca="false">IF(助手回款!$R$172&lt;&gt;"","附单据  张","")</f>
        <v/>
      </c>
    </row>
    <row r="2555" customFormat="false" ht="12.75" hidden="false" customHeight="true" outlineLevel="0" collapsed="false">
      <c r="B2555" s="61"/>
      <c r="C2555" s="61"/>
      <c r="D2555" s="23" t="str">
        <f aca="false">IF(助手回款!$R$172&lt;&gt;"","总 账 科 目","")</f>
        <v/>
      </c>
      <c r="E2555" s="23" t="str">
        <f aca="false">IF(助手回款!$R$172&lt;&gt;"","明 细 科 目","")</f>
        <v/>
      </c>
      <c r="F2555" s="65"/>
      <c r="G2555" s="66"/>
      <c r="H2555" s="63"/>
      <c r="I2555" s="64"/>
    </row>
    <row r="2556" customFormat="false" ht="23.25" hidden="false" customHeight="true" outlineLevel="0" collapsed="false">
      <c r="B2556" s="67" t="str">
        <f aca="false">IFERROR(INDEX(分录回款!$M:$M,MATCH($L2556,分录回款!$L:$L,0)),"")</f>
        <v/>
      </c>
      <c r="C2556" s="67"/>
      <c r="D2556" s="23" t="str">
        <f aca="false">IFERROR(INDEX(分录回款!$E:$E,MATCH($L2556,分录回款!$L:$L,0)),"")</f>
        <v/>
      </c>
      <c r="E2556" s="23" t="str">
        <f aca="false">IFERROR(INDEX(分录回款!$F:$F,MATCH($L2556,分录回款!$L:$L,0)),"")</f>
        <v/>
      </c>
      <c r="F2556" s="68" t="str">
        <f aca="false">IFERROR(INDEX(分录回款!$H:$H,MATCH($L2556,分录回款!$L:$L,0)),"")</f>
        <v/>
      </c>
      <c r="G2556" s="69" t="str">
        <f aca="false">IFERROR(INDEX(分录回款!$I:$I,MATCH($L2556,分录回款!$L:$L,0)),"")</f>
        <v/>
      </c>
      <c r="H2556" s="23"/>
      <c r="I2556" s="70"/>
      <c r="L2556" s="71" t="n">
        <f aca="false">IF(助手回款!$R$172="",-1,助手回款!$R$172*100+(助手回款!$S$172-1)*6+1)</f>
        <v>-1</v>
      </c>
    </row>
    <row r="2557" customFormat="false" ht="23.25" hidden="false" customHeight="true" outlineLevel="0" collapsed="false">
      <c r="B2557" s="67" t="str">
        <f aca="false">""</f>
        <v/>
      </c>
      <c r="C2557" s="67"/>
      <c r="D2557" s="23" t="str">
        <f aca="false">IFERROR(INDEX(分录回款!$E:$E,MATCH($L2557,分录回款!$L:$L,0)),"")</f>
        <v/>
      </c>
      <c r="E2557" s="23" t="str">
        <f aca="false">IFERROR(INDEX(分录回款!$F:$F,MATCH($L2557,分录回款!$L:$L,0)),"")</f>
        <v/>
      </c>
      <c r="F2557" s="68" t="str">
        <f aca="false">IFERROR(INDEX(分录回款!$H:$H,MATCH($L2557,分录回款!$L:$L,0)),"")</f>
        <v/>
      </c>
      <c r="G2557" s="69" t="str">
        <f aca="false">IFERROR(INDEX(分录回款!$I:$I,MATCH($L2557,分录回款!$L:$L,0)),"")</f>
        <v/>
      </c>
      <c r="H2557" s="23"/>
      <c r="I2557" s="70"/>
      <c r="L2557" s="71" t="n">
        <f aca="false">IF(助手回款!$R$172="",-1,助手回款!$R$172*100+(助手回款!$S$172-1)*6+2)</f>
        <v>-1</v>
      </c>
    </row>
    <row r="2558" customFormat="false" ht="23.25" hidden="false" customHeight="true" outlineLevel="0" collapsed="false">
      <c r="B2558" s="67" t="str">
        <f aca="false">""</f>
        <v/>
      </c>
      <c r="C2558" s="67"/>
      <c r="D2558" s="23" t="str">
        <f aca="false">IFERROR(INDEX(分录回款!$E:$E,MATCH($L2558,分录回款!$L:$L,0)),"")</f>
        <v/>
      </c>
      <c r="E2558" s="23" t="str">
        <f aca="false">IFERROR(INDEX(分录回款!$F:$F,MATCH($L2558,分录回款!$L:$L,0)),"")</f>
        <v/>
      </c>
      <c r="F2558" s="68" t="str">
        <f aca="false">IFERROR(INDEX(分录回款!$H:$H,MATCH($L2558,分录回款!$L:$L,0)),"")</f>
        <v/>
      </c>
      <c r="G2558" s="69" t="str">
        <f aca="false">IFERROR(INDEX(分录回款!$I:$I,MATCH($L2558,分录回款!$L:$L,0)),"")</f>
        <v/>
      </c>
      <c r="H2558" s="23"/>
      <c r="I2558" s="70"/>
      <c r="L2558" s="71" t="n">
        <f aca="false">IF(助手回款!$R$172="",-1,助手回款!$R$172*100+(助手回款!$S$172-1)*6+3)</f>
        <v>-1</v>
      </c>
    </row>
    <row r="2559" customFormat="false" ht="23.25" hidden="false" customHeight="true" outlineLevel="0" collapsed="false">
      <c r="B2559" s="67" t="str">
        <f aca="false">""</f>
        <v/>
      </c>
      <c r="C2559" s="67"/>
      <c r="D2559" s="23" t="str">
        <f aca="false">IFERROR(INDEX(分录回款!$E:$E,MATCH($L2559,分录回款!$L:$L,0)),"")</f>
        <v/>
      </c>
      <c r="E2559" s="23" t="str">
        <f aca="false">IFERROR(INDEX(分录回款!$F:$F,MATCH($L2559,分录回款!$L:$L,0)),"")</f>
        <v/>
      </c>
      <c r="F2559" s="68" t="str">
        <f aca="false">IFERROR(INDEX(分录回款!$H:$H,MATCH($L2559,分录回款!$L:$L,0)),"")</f>
        <v/>
      </c>
      <c r="G2559" s="69" t="str">
        <f aca="false">IFERROR(INDEX(分录回款!$I:$I,MATCH($L2559,分录回款!$L:$L,0)),"")</f>
        <v/>
      </c>
      <c r="H2559" s="23"/>
      <c r="I2559" s="70"/>
      <c r="L2559" s="71" t="n">
        <f aca="false">IF(助手回款!$R$172="",-1,助手回款!$R$172*100+(助手回款!$S$172-1)*6+4)</f>
        <v>-1</v>
      </c>
    </row>
    <row r="2560" customFormat="false" ht="23.25" hidden="false" customHeight="true" outlineLevel="0" collapsed="false">
      <c r="B2560" s="67" t="str">
        <f aca="false">""</f>
        <v/>
      </c>
      <c r="C2560" s="67"/>
      <c r="D2560" s="23" t="str">
        <f aca="false">IFERROR(INDEX(分录回款!$E:$E,MATCH($L2560,分录回款!$L:$L,0)),"")</f>
        <v/>
      </c>
      <c r="E2560" s="23" t="str">
        <f aca="false">IFERROR(INDEX(分录回款!$F:$F,MATCH($L2560,分录回款!$L:$L,0)),"")</f>
        <v/>
      </c>
      <c r="F2560" s="68" t="str">
        <f aca="false">IFERROR(INDEX(分录回款!$H:$H,MATCH($L2560,分录回款!$L:$L,0)),"")</f>
        <v/>
      </c>
      <c r="G2560" s="69" t="str">
        <f aca="false">IFERROR(INDEX(分录回款!$I:$I,MATCH($L2560,分录回款!$L:$L,0)),"")</f>
        <v/>
      </c>
      <c r="H2560" s="23"/>
      <c r="I2560" s="70"/>
      <c r="L2560" s="71" t="n">
        <f aca="false">IF(助手回款!$R$172="",-1,助手回款!$R$172*100+(助手回款!$S$172-1)*6+5)</f>
        <v>-1</v>
      </c>
    </row>
    <row r="2561" customFormat="false" ht="23.25" hidden="false" customHeight="true" outlineLevel="0" collapsed="false">
      <c r="B2561" s="67" t="str">
        <f aca="false">""</f>
        <v/>
      </c>
      <c r="C2561" s="67"/>
      <c r="D2561" s="23" t="str">
        <f aca="false">IFERROR(INDEX(分录回款!$E:$E,MATCH($L2561,分录回款!$L:$L,0)),"")</f>
        <v/>
      </c>
      <c r="E2561" s="23" t="str">
        <f aca="false">IFERROR(INDEX(分录回款!$F:$F,MATCH($L2561,分录回款!$L:$L,0)),"")</f>
        <v/>
      </c>
      <c r="F2561" s="68" t="str">
        <f aca="false">IFERROR(INDEX(分录回款!$H:$H,MATCH($L2561,分录回款!$L:$L,0)),"")</f>
        <v/>
      </c>
      <c r="G2561" s="69" t="str">
        <f aca="false">IFERROR(INDEX(分录回款!$I:$I,MATCH($L2561,分录回款!$L:$L,0)),"")</f>
        <v/>
      </c>
      <c r="H2561" s="23"/>
      <c r="I2561" s="70"/>
      <c r="L2561" s="71" t="n">
        <f aca="false">IF(助手回款!$R$172="",-1,助手回款!$R$172*100+(助手回款!$S$172-1)*6+6)</f>
        <v>-1</v>
      </c>
    </row>
    <row r="2562" customFormat="false" ht="23.25" hidden="false" customHeight="true" outlineLevel="0" collapsed="false">
      <c r="B2562" s="72" t="str">
        <f aca="false">IF(助手回款!$T$172=1,"合计：","")</f>
        <v/>
      </c>
      <c r="C2562" s="73" t="str">
        <f aca="false">IF(助手回款!$T$172=1,$F2562,"")</f>
        <v/>
      </c>
      <c r="D2562" s="74"/>
      <c r="E2562" s="74"/>
      <c r="F2562" s="75" t="str">
        <f aca="false">IF(助手回款!$T$172=1,INDEX(助手回款!$N$2:$N$66,助手回款!$R$172),"")</f>
        <v/>
      </c>
      <c r="G2562" s="76" t="str">
        <f aca="false">IF(助手回款!$T$172=1,INDEX(助手回款!$O$2:$O$66,助手回款!$R$172),"")</f>
        <v/>
      </c>
      <c r="H2562" s="74"/>
      <c r="I2562" s="77"/>
    </row>
    <row r="2563" customFormat="false" ht="6" hidden="false" customHeight="true" outlineLevel="0" collapsed="false"/>
    <row r="2564" customFormat="false" ht="13.5" hidden="false" customHeight="false" outlineLevel="0" collapsed="false">
      <c r="B2564" s="78" t="str">
        <f aca="false">IF(助手回款!$R$172&lt;&gt;"","会计主管：","")</f>
        <v/>
      </c>
      <c r="D2564" s="78" t="str">
        <f aca="false">IF(助手回款!$R$172&lt;&gt;"","会计：","")</f>
        <v/>
      </c>
      <c r="E2564" s="78" t="str">
        <f aca="false">IF(助手回款!$R$172&lt;&gt;"","出纳：","")</f>
        <v/>
      </c>
      <c r="F2564" s="78" t="str">
        <f aca="false">IF(助手回款!$R$172&lt;&gt;"","复核：","")</f>
        <v/>
      </c>
      <c r="G2564" s="78" t="str">
        <f aca="false">IF(助手回款!$R$172&lt;&gt;"","制单：","")</f>
        <v/>
      </c>
    </row>
    <row r="2565" customFormat="false" ht="3" hidden="false" customHeight="true" outlineLevel="0" collapsed="false"/>
    <row r="2566" customFormat="false" ht="19.5" hidden="false" customHeight="true" outlineLevel="0" collapsed="false">
      <c r="B2566" s="53" t="str">
        <f aca="false">IF(助手回款!$R$173&lt;&gt;"","记  账  凭  证","")</f>
        <v/>
      </c>
      <c r="C2566" s="53"/>
      <c r="D2566" s="53"/>
      <c r="E2566" s="53"/>
      <c r="F2566" s="53"/>
      <c r="G2566" s="53"/>
      <c r="H2566" s="53"/>
      <c r="I2566" s="53"/>
    </row>
    <row r="2567" customFormat="false" ht="3" hidden="false" customHeight="true" outlineLevel="0" collapsed="false"/>
    <row r="2568" customFormat="false" ht="15" hidden="false" customHeight="true" outlineLevel="0" collapsed="false">
      <c r="C2568" s="56" t="str">
        <f aca="false">IF(助手回款!$R$173&lt;&gt;"",INDEX(助手回款!$B$2:$B$66,助手回款!$R$173),"")</f>
        <v/>
      </c>
      <c r="D2568" s="57" t="str">
        <f aca="false">IF(助手回款!$R$173&lt;&gt;"",参数!$B$2,"")</f>
        <v/>
      </c>
      <c r="E2568" s="57"/>
      <c r="F2568" s="58" t="str">
        <f aca="false">IF(助手回款!$R$173&lt;&gt;"",INDEX(助手回款!$C$2:$C$66,助手回款!$R$173)&amp;"  字第 "&amp;IF(参数!$B$9="是",INDEX(助手回款!$P$2:$P$66,助手回款!$R$173),"　　　　")&amp;" 号"&amp;IF(INDEX(助手回款!$L$2:$L$66,助手回款!$R$173)&gt;1,"  (共"&amp;INDEX(助手回款!$L$2:$L$66,助手回款!$R$173)&amp;"页 第"&amp;助手回款!$S$173&amp;"页)",""),"")</f>
        <v/>
      </c>
      <c r="G2568" s="58"/>
      <c r="H2568" s="58"/>
      <c r="I2568" s="58"/>
      <c r="M2568" s="79" t="str">
        <f aca="false">IF(助手回款!$R$173="","",助手回款!$Q$173)</f>
        <v/>
      </c>
      <c r="N2568" s="80" t="str">
        <f aca="false">IF(助手回款!$R$173="","",INDEX(助手回款!$P$2:$P$66,助手回款!$R$173))</f>
        <v/>
      </c>
      <c r="O2568" s="55" t="str">
        <f aca="false">IF(助手回款!$R$173="","",INDEX(助手回款!$C$2:$C$66,助手回款!$R$173)&amp;"  字第 "&amp;INDEX(助手回款!$P$2:$P$66,助手回款!$R$173)&amp;" 号"&amp;IF(INDEX(助手回款!$L$2:$L$66,助手回款!$R$173)&gt;1,"  (共"&amp;INDEX(助手回款!$L$2:$L$66,助手回款!$R$173)&amp;"页 第"&amp;助手回款!$S$173&amp;"页)",""))</f>
        <v/>
      </c>
    </row>
    <row r="2569" customFormat="false" ht="12.75" hidden="false" customHeight="true" outlineLevel="0" collapsed="false">
      <c r="B2569" s="61" t="str">
        <f aca="false">IF(助手回款!$R$173&lt;&gt;"","摘　　要","")</f>
        <v/>
      </c>
      <c r="C2569" s="61"/>
      <c r="D2569" s="62" t="str">
        <f aca="false">IF(助手回款!$R$173&lt;&gt;"","科　　　　目","")</f>
        <v/>
      </c>
      <c r="E2569" s="62"/>
      <c r="F2569" s="61" t="str">
        <f aca="false">IF(助手回款!$R$173&lt;&gt;"","借 方 金 额","")</f>
        <v/>
      </c>
      <c r="G2569" s="62" t="str">
        <f aca="false">IF(助手回款!$R$173&lt;&gt;"","贷 方 金 额","")</f>
        <v/>
      </c>
      <c r="H2569" s="63" t="str">
        <f aca="false">IF(助手回款!$R$173&lt;&gt;"","√","")</f>
        <v/>
      </c>
      <c r="I2569" s="64" t="str">
        <f aca="false">IF(助手回款!$R$173&lt;&gt;"","附单据  张","")</f>
        <v/>
      </c>
    </row>
    <row r="2570" customFormat="false" ht="12.75" hidden="false" customHeight="true" outlineLevel="0" collapsed="false">
      <c r="B2570" s="61"/>
      <c r="C2570" s="61"/>
      <c r="D2570" s="23" t="str">
        <f aca="false">IF(助手回款!$R$173&lt;&gt;"","总 账 科 目","")</f>
        <v/>
      </c>
      <c r="E2570" s="23" t="str">
        <f aca="false">IF(助手回款!$R$173&lt;&gt;"","明 细 科 目","")</f>
        <v/>
      </c>
      <c r="F2570" s="65"/>
      <c r="G2570" s="66"/>
      <c r="H2570" s="63"/>
      <c r="I2570" s="64"/>
    </row>
    <row r="2571" customFormat="false" ht="23.25" hidden="false" customHeight="true" outlineLevel="0" collapsed="false">
      <c r="B2571" s="67" t="str">
        <f aca="false">IFERROR(INDEX(分录回款!$M:$M,MATCH($L2571,分录回款!$L:$L,0)),"")</f>
        <v/>
      </c>
      <c r="C2571" s="67"/>
      <c r="D2571" s="23" t="str">
        <f aca="false">IFERROR(INDEX(分录回款!$E:$E,MATCH($L2571,分录回款!$L:$L,0)),"")</f>
        <v/>
      </c>
      <c r="E2571" s="23" t="str">
        <f aca="false">IFERROR(INDEX(分录回款!$F:$F,MATCH($L2571,分录回款!$L:$L,0)),"")</f>
        <v/>
      </c>
      <c r="F2571" s="68" t="str">
        <f aca="false">IFERROR(INDEX(分录回款!$H:$H,MATCH($L2571,分录回款!$L:$L,0)),"")</f>
        <v/>
      </c>
      <c r="G2571" s="69" t="str">
        <f aca="false">IFERROR(INDEX(分录回款!$I:$I,MATCH($L2571,分录回款!$L:$L,0)),"")</f>
        <v/>
      </c>
      <c r="H2571" s="23"/>
      <c r="I2571" s="70"/>
      <c r="L2571" s="71" t="n">
        <f aca="false">IF(助手回款!$R$173="",-1,助手回款!$R$173*100+(助手回款!$S$173-1)*6+1)</f>
        <v>-1</v>
      </c>
    </row>
    <row r="2572" customFormat="false" ht="23.25" hidden="false" customHeight="true" outlineLevel="0" collapsed="false">
      <c r="B2572" s="67" t="str">
        <f aca="false">""</f>
        <v/>
      </c>
      <c r="C2572" s="67"/>
      <c r="D2572" s="23" t="str">
        <f aca="false">IFERROR(INDEX(分录回款!$E:$E,MATCH($L2572,分录回款!$L:$L,0)),"")</f>
        <v/>
      </c>
      <c r="E2572" s="23" t="str">
        <f aca="false">IFERROR(INDEX(分录回款!$F:$F,MATCH($L2572,分录回款!$L:$L,0)),"")</f>
        <v/>
      </c>
      <c r="F2572" s="68" t="str">
        <f aca="false">IFERROR(INDEX(分录回款!$H:$H,MATCH($L2572,分录回款!$L:$L,0)),"")</f>
        <v/>
      </c>
      <c r="G2572" s="69" t="str">
        <f aca="false">IFERROR(INDEX(分录回款!$I:$I,MATCH($L2572,分录回款!$L:$L,0)),"")</f>
        <v/>
      </c>
      <c r="H2572" s="23"/>
      <c r="I2572" s="70"/>
      <c r="L2572" s="71" t="n">
        <f aca="false">IF(助手回款!$R$173="",-1,助手回款!$R$173*100+(助手回款!$S$173-1)*6+2)</f>
        <v>-1</v>
      </c>
    </row>
    <row r="2573" customFormat="false" ht="23.25" hidden="false" customHeight="true" outlineLevel="0" collapsed="false">
      <c r="B2573" s="67" t="str">
        <f aca="false">""</f>
        <v/>
      </c>
      <c r="C2573" s="67"/>
      <c r="D2573" s="23" t="str">
        <f aca="false">IFERROR(INDEX(分录回款!$E:$E,MATCH($L2573,分录回款!$L:$L,0)),"")</f>
        <v/>
      </c>
      <c r="E2573" s="23" t="str">
        <f aca="false">IFERROR(INDEX(分录回款!$F:$F,MATCH($L2573,分录回款!$L:$L,0)),"")</f>
        <v/>
      </c>
      <c r="F2573" s="68" t="str">
        <f aca="false">IFERROR(INDEX(分录回款!$H:$H,MATCH($L2573,分录回款!$L:$L,0)),"")</f>
        <v/>
      </c>
      <c r="G2573" s="69" t="str">
        <f aca="false">IFERROR(INDEX(分录回款!$I:$I,MATCH($L2573,分录回款!$L:$L,0)),"")</f>
        <v/>
      </c>
      <c r="H2573" s="23"/>
      <c r="I2573" s="70"/>
      <c r="L2573" s="71" t="n">
        <f aca="false">IF(助手回款!$R$173="",-1,助手回款!$R$173*100+(助手回款!$S$173-1)*6+3)</f>
        <v>-1</v>
      </c>
    </row>
    <row r="2574" customFormat="false" ht="23.25" hidden="false" customHeight="true" outlineLevel="0" collapsed="false">
      <c r="B2574" s="67" t="str">
        <f aca="false">""</f>
        <v/>
      </c>
      <c r="C2574" s="67"/>
      <c r="D2574" s="23" t="str">
        <f aca="false">IFERROR(INDEX(分录回款!$E:$E,MATCH($L2574,分录回款!$L:$L,0)),"")</f>
        <v/>
      </c>
      <c r="E2574" s="23" t="str">
        <f aca="false">IFERROR(INDEX(分录回款!$F:$F,MATCH($L2574,分录回款!$L:$L,0)),"")</f>
        <v/>
      </c>
      <c r="F2574" s="68" t="str">
        <f aca="false">IFERROR(INDEX(分录回款!$H:$H,MATCH($L2574,分录回款!$L:$L,0)),"")</f>
        <v/>
      </c>
      <c r="G2574" s="69" t="str">
        <f aca="false">IFERROR(INDEX(分录回款!$I:$I,MATCH($L2574,分录回款!$L:$L,0)),"")</f>
        <v/>
      </c>
      <c r="H2574" s="23"/>
      <c r="I2574" s="70"/>
      <c r="L2574" s="71" t="n">
        <f aca="false">IF(助手回款!$R$173="",-1,助手回款!$R$173*100+(助手回款!$S$173-1)*6+4)</f>
        <v>-1</v>
      </c>
    </row>
    <row r="2575" customFormat="false" ht="23.25" hidden="false" customHeight="true" outlineLevel="0" collapsed="false">
      <c r="B2575" s="67" t="str">
        <f aca="false">""</f>
        <v/>
      </c>
      <c r="C2575" s="67"/>
      <c r="D2575" s="23" t="str">
        <f aca="false">IFERROR(INDEX(分录回款!$E:$E,MATCH($L2575,分录回款!$L:$L,0)),"")</f>
        <v/>
      </c>
      <c r="E2575" s="23" t="str">
        <f aca="false">IFERROR(INDEX(分录回款!$F:$F,MATCH($L2575,分录回款!$L:$L,0)),"")</f>
        <v/>
      </c>
      <c r="F2575" s="68" t="str">
        <f aca="false">IFERROR(INDEX(分录回款!$H:$H,MATCH($L2575,分录回款!$L:$L,0)),"")</f>
        <v/>
      </c>
      <c r="G2575" s="69" t="str">
        <f aca="false">IFERROR(INDEX(分录回款!$I:$I,MATCH($L2575,分录回款!$L:$L,0)),"")</f>
        <v/>
      </c>
      <c r="H2575" s="23"/>
      <c r="I2575" s="70"/>
      <c r="L2575" s="71" t="n">
        <f aca="false">IF(助手回款!$R$173="",-1,助手回款!$R$173*100+(助手回款!$S$173-1)*6+5)</f>
        <v>-1</v>
      </c>
    </row>
    <row r="2576" customFormat="false" ht="23.25" hidden="false" customHeight="true" outlineLevel="0" collapsed="false">
      <c r="B2576" s="67" t="str">
        <f aca="false">""</f>
        <v/>
      </c>
      <c r="C2576" s="67"/>
      <c r="D2576" s="23" t="str">
        <f aca="false">IFERROR(INDEX(分录回款!$E:$E,MATCH($L2576,分录回款!$L:$L,0)),"")</f>
        <v/>
      </c>
      <c r="E2576" s="23" t="str">
        <f aca="false">IFERROR(INDEX(分录回款!$F:$F,MATCH($L2576,分录回款!$L:$L,0)),"")</f>
        <v/>
      </c>
      <c r="F2576" s="68" t="str">
        <f aca="false">IFERROR(INDEX(分录回款!$H:$H,MATCH($L2576,分录回款!$L:$L,0)),"")</f>
        <v/>
      </c>
      <c r="G2576" s="69" t="str">
        <f aca="false">IFERROR(INDEX(分录回款!$I:$I,MATCH($L2576,分录回款!$L:$L,0)),"")</f>
        <v/>
      </c>
      <c r="H2576" s="23"/>
      <c r="I2576" s="70"/>
      <c r="L2576" s="71" t="n">
        <f aca="false">IF(助手回款!$R$173="",-1,助手回款!$R$173*100+(助手回款!$S$173-1)*6+6)</f>
        <v>-1</v>
      </c>
    </row>
    <row r="2577" customFormat="false" ht="23.25" hidden="false" customHeight="true" outlineLevel="0" collapsed="false">
      <c r="B2577" s="72" t="str">
        <f aca="false">IF(助手回款!$T$173=1,"合计：","")</f>
        <v/>
      </c>
      <c r="C2577" s="73" t="str">
        <f aca="false">IF(助手回款!$T$173=1,$F2577,"")</f>
        <v/>
      </c>
      <c r="D2577" s="74"/>
      <c r="E2577" s="74"/>
      <c r="F2577" s="75" t="str">
        <f aca="false">IF(助手回款!$T$173=1,INDEX(助手回款!$N$2:$N$66,助手回款!$R$173),"")</f>
        <v/>
      </c>
      <c r="G2577" s="76" t="str">
        <f aca="false">IF(助手回款!$T$173=1,INDEX(助手回款!$O$2:$O$66,助手回款!$R$173),"")</f>
        <v/>
      </c>
      <c r="H2577" s="74"/>
      <c r="I2577" s="77"/>
    </row>
    <row r="2578" customFormat="false" ht="6" hidden="false" customHeight="true" outlineLevel="0" collapsed="false"/>
    <row r="2579" customFormat="false" ht="13.5" hidden="false" customHeight="false" outlineLevel="0" collapsed="false">
      <c r="B2579" s="78" t="str">
        <f aca="false">IF(助手回款!$R$173&lt;&gt;"","会计主管：","")</f>
        <v/>
      </c>
      <c r="D2579" s="78" t="str">
        <f aca="false">IF(助手回款!$R$173&lt;&gt;"","会计：","")</f>
        <v/>
      </c>
      <c r="E2579" s="78" t="str">
        <f aca="false">IF(助手回款!$R$173&lt;&gt;"","出纳：","")</f>
        <v/>
      </c>
      <c r="F2579" s="78" t="str">
        <f aca="false">IF(助手回款!$R$173&lt;&gt;"","复核：","")</f>
        <v/>
      </c>
      <c r="G2579" s="78" t="str">
        <f aca="false">IF(助手回款!$R$173&lt;&gt;"","制单：","")</f>
        <v/>
      </c>
    </row>
    <row r="2580" customFormat="false" ht="3" hidden="false" customHeight="true" outlineLevel="0" collapsed="false"/>
    <row r="2581" customFormat="false" ht="19.5" hidden="false" customHeight="true" outlineLevel="0" collapsed="false">
      <c r="B2581" s="53" t="str">
        <f aca="false">IF(助手回款!$R$174&lt;&gt;"","记  账  凭  证","")</f>
        <v/>
      </c>
      <c r="C2581" s="53"/>
      <c r="D2581" s="53"/>
      <c r="E2581" s="53"/>
      <c r="F2581" s="53"/>
      <c r="G2581" s="53"/>
      <c r="H2581" s="53"/>
      <c r="I2581" s="53"/>
    </row>
    <row r="2582" customFormat="false" ht="3" hidden="false" customHeight="true" outlineLevel="0" collapsed="false"/>
    <row r="2583" customFormat="false" ht="15" hidden="false" customHeight="true" outlineLevel="0" collapsed="false">
      <c r="C2583" s="56" t="str">
        <f aca="false">IF(助手回款!$R$174&lt;&gt;"",INDEX(助手回款!$B$2:$B$66,助手回款!$R$174),"")</f>
        <v/>
      </c>
      <c r="D2583" s="57" t="str">
        <f aca="false">IF(助手回款!$R$174&lt;&gt;"",参数!$B$2,"")</f>
        <v/>
      </c>
      <c r="E2583" s="57"/>
      <c r="F2583" s="58" t="str">
        <f aca="false">IF(助手回款!$R$174&lt;&gt;"",INDEX(助手回款!$C$2:$C$66,助手回款!$R$174)&amp;"  字第 "&amp;IF(参数!$B$9="是",INDEX(助手回款!$P$2:$P$66,助手回款!$R$174),"　　　　")&amp;" 号"&amp;IF(INDEX(助手回款!$L$2:$L$66,助手回款!$R$174)&gt;1,"  (共"&amp;INDEX(助手回款!$L$2:$L$66,助手回款!$R$174)&amp;"页 第"&amp;助手回款!$S$174&amp;"页)",""),"")</f>
        <v/>
      </c>
      <c r="G2583" s="58"/>
      <c r="H2583" s="58"/>
      <c r="I2583" s="58"/>
      <c r="M2583" s="79" t="str">
        <f aca="false">IF(助手回款!$R$174="","",助手回款!$Q$174)</f>
        <v/>
      </c>
      <c r="N2583" s="80" t="str">
        <f aca="false">IF(助手回款!$R$174="","",INDEX(助手回款!$P$2:$P$66,助手回款!$R$174))</f>
        <v/>
      </c>
      <c r="O2583" s="55" t="str">
        <f aca="false">IF(助手回款!$R$174="","",INDEX(助手回款!$C$2:$C$66,助手回款!$R$174)&amp;"  字第 "&amp;INDEX(助手回款!$P$2:$P$66,助手回款!$R$174)&amp;" 号"&amp;IF(INDEX(助手回款!$L$2:$L$66,助手回款!$R$174)&gt;1,"  (共"&amp;INDEX(助手回款!$L$2:$L$66,助手回款!$R$174)&amp;"页 第"&amp;助手回款!$S$174&amp;"页)",""))</f>
        <v/>
      </c>
    </row>
    <row r="2584" customFormat="false" ht="12.75" hidden="false" customHeight="true" outlineLevel="0" collapsed="false">
      <c r="B2584" s="61" t="str">
        <f aca="false">IF(助手回款!$R$174&lt;&gt;"","摘　　要","")</f>
        <v/>
      </c>
      <c r="C2584" s="61"/>
      <c r="D2584" s="62" t="str">
        <f aca="false">IF(助手回款!$R$174&lt;&gt;"","科　　　　目","")</f>
        <v/>
      </c>
      <c r="E2584" s="62"/>
      <c r="F2584" s="61" t="str">
        <f aca="false">IF(助手回款!$R$174&lt;&gt;"","借 方 金 额","")</f>
        <v/>
      </c>
      <c r="G2584" s="62" t="str">
        <f aca="false">IF(助手回款!$R$174&lt;&gt;"","贷 方 金 额","")</f>
        <v/>
      </c>
      <c r="H2584" s="63" t="str">
        <f aca="false">IF(助手回款!$R$174&lt;&gt;"","√","")</f>
        <v/>
      </c>
      <c r="I2584" s="64" t="str">
        <f aca="false">IF(助手回款!$R$174&lt;&gt;"","附单据  张","")</f>
        <v/>
      </c>
    </row>
    <row r="2585" customFormat="false" ht="12.75" hidden="false" customHeight="true" outlineLevel="0" collapsed="false">
      <c r="B2585" s="61"/>
      <c r="C2585" s="61"/>
      <c r="D2585" s="23" t="str">
        <f aca="false">IF(助手回款!$R$174&lt;&gt;"","总 账 科 目","")</f>
        <v/>
      </c>
      <c r="E2585" s="23" t="str">
        <f aca="false">IF(助手回款!$R$174&lt;&gt;"","明 细 科 目","")</f>
        <v/>
      </c>
      <c r="F2585" s="65"/>
      <c r="G2585" s="66"/>
      <c r="H2585" s="63"/>
      <c r="I2585" s="64"/>
    </row>
    <row r="2586" customFormat="false" ht="23.25" hidden="false" customHeight="true" outlineLevel="0" collapsed="false">
      <c r="B2586" s="67" t="str">
        <f aca="false">IFERROR(INDEX(分录回款!$M:$M,MATCH($L2586,分录回款!$L:$L,0)),"")</f>
        <v/>
      </c>
      <c r="C2586" s="67"/>
      <c r="D2586" s="23" t="str">
        <f aca="false">IFERROR(INDEX(分录回款!$E:$E,MATCH($L2586,分录回款!$L:$L,0)),"")</f>
        <v/>
      </c>
      <c r="E2586" s="23" t="str">
        <f aca="false">IFERROR(INDEX(分录回款!$F:$F,MATCH($L2586,分录回款!$L:$L,0)),"")</f>
        <v/>
      </c>
      <c r="F2586" s="68" t="str">
        <f aca="false">IFERROR(INDEX(分录回款!$H:$H,MATCH($L2586,分录回款!$L:$L,0)),"")</f>
        <v/>
      </c>
      <c r="G2586" s="69" t="str">
        <f aca="false">IFERROR(INDEX(分录回款!$I:$I,MATCH($L2586,分录回款!$L:$L,0)),"")</f>
        <v/>
      </c>
      <c r="H2586" s="23"/>
      <c r="I2586" s="70"/>
      <c r="L2586" s="71" t="n">
        <f aca="false">IF(助手回款!$R$174="",-1,助手回款!$R$174*100+(助手回款!$S$174-1)*6+1)</f>
        <v>-1</v>
      </c>
    </row>
    <row r="2587" customFormat="false" ht="23.25" hidden="false" customHeight="true" outlineLevel="0" collapsed="false">
      <c r="B2587" s="67" t="str">
        <f aca="false">""</f>
        <v/>
      </c>
      <c r="C2587" s="67"/>
      <c r="D2587" s="23" t="str">
        <f aca="false">IFERROR(INDEX(分录回款!$E:$E,MATCH($L2587,分录回款!$L:$L,0)),"")</f>
        <v/>
      </c>
      <c r="E2587" s="23" t="str">
        <f aca="false">IFERROR(INDEX(分录回款!$F:$F,MATCH($L2587,分录回款!$L:$L,0)),"")</f>
        <v/>
      </c>
      <c r="F2587" s="68" t="str">
        <f aca="false">IFERROR(INDEX(分录回款!$H:$H,MATCH($L2587,分录回款!$L:$L,0)),"")</f>
        <v/>
      </c>
      <c r="G2587" s="69" t="str">
        <f aca="false">IFERROR(INDEX(分录回款!$I:$I,MATCH($L2587,分录回款!$L:$L,0)),"")</f>
        <v/>
      </c>
      <c r="H2587" s="23"/>
      <c r="I2587" s="70"/>
      <c r="L2587" s="71" t="n">
        <f aca="false">IF(助手回款!$R$174="",-1,助手回款!$R$174*100+(助手回款!$S$174-1)*6+2)</f>
        <v>-1</v>
      </c>
    </row>
    <row r="2588" customFormat="false" ht="23.25" hidden="false" customHeight="true" outlineLevel="0" collapsed="false">
      <c r="B2588" s="67" t="str">
        <f aca="false">""</f>
        <v/>
      </c>
      <c r="C2588" s="67"/>
      <c r="D2588" s="23" t="str">
        <f aca="false">IFERROR(INDEX(分录回款!$E:$E,MATCH($L2588,分录回款!$L:$L,0)),"")</f>
        <v/>
      </c>
      <c r="E2588" s="23" t="str">
        <f aca="false">IFERROR(INDEX(分录回款!$F:$F,MATCH($L2588,分录回款!$L:$L,0)),"")</f>
        <v/>
      </c>
      <c r="F2588" s="68" t="str">
        <f aca="false">IFERROR(INDEX(分录回款!$H:$H,MATCH($L2588,分录回款!$L:$L,0)),"")</f>
        <v/>
      </c>
      <c r="G2588" s="69" t="str">
        <f aca="false">IFERROR(INDEX(分录回款!$I:$I,MATCH($L2588,分录回款!$L:$L,0)),"")</f>
        <v/>
      </c>
      <c r="H2588" s="23"/>
      <c r="I2588" s="70"/>
      <c r="L2588" s="71" t="n">
        <f aca="false">IF(助手回款!$R$174="",-1,助手回款!$R$174*100+(助手回款!$S$174-1)*6+3)</f>
        <v>-1</v>
      </c>
    </row>
    <row r="2589" customFormat="false" ht="23.25" hidden="false" customHeight="true" outlineLevel="0" collapsed="false">
      <c r="B2589" s="67" t="str">
        <f aca="false">""</f>
        <v/>
      </c>
      <c r="C2589" s="67"/>
      <c r="D2589" s="23" t="str">
        <f aca="false">IFERROR(INDEX(分录回款!$E:$E,MATCH($L2589,分录回款!$L:$L,0)),"")</f>
        <v/>
      </c>
      <c r="E2589" s="23" t="str">
        <f aca="false">IFERROR(INDEX(分录回款!$F:$F,MATCH($L2589,分录回款!$L:$L,0)),"")</f>
        <v/>
      </c>
      <c r="F2589" s="68" t="str">
        <f aca="false">IFERROR(INDEX(分录回款!$H:$H,MATCH($L2589,分录回款!$L:$L,0)),"")</f>
        <v/>
      </c>
      <c r="G2589" s="69" t="str">
        <f aca="false">IFERROR(INDEX(分录回款!$I:$I,MATCH($L2589,分录回款!$L:$L,0)),"")</f>
        <v/>
      </c>
      <c r="H2589" s="23"/>
      <c r="I2589" s="70"/>
      <c r="L2589" s="71" t="n">
        <f aca="false">IF(助手回款!$R$174="",-1,助手回款!$R$174*100+(助手回款!$S$174-1)*6+4)</f>
        <v>-1</v>
      </c>
    </row>
    <row r="2590" customFormat="false" ht="23.25" hidden="false" customHeight="true" outlineLevel="0" collapsed="false">
      <c r="B2590" s="67" t="str">
        <f aca="false">""</f>
        <v/>
      </c>
      <c r="C2590" s="67"/>
      <c r="D2590" s="23" t="str">
        <f aca="false">IFERROR(INDEX(分录回款!$E:$E,MATCH($L2590,分录回款!$L:$L,0)),"")</f>
        <v/>
      </c>
      <c r="E2590" s="23" t="str">
        <f aca="false">IFERROR(INDEX(分录回款!$F:$F,MATCH($L2590,分录回款!$L:$L,0)),"")</f>
        <v/>
      </c>
      <c r="F2590" s="68" t="str">
        <f aca="false">IFERROR(INDEX(分录回款!$H:$H,MATCH($L2590,分录回款!$L:$L,0)),"")</f>
        <v/>
      </c>
      <c r="G2590" s="69" t="str">
        <f aca="false">IFERROR(INDEX(分录回款!$I:$I,MATCH($L2590,分录回款!$L:$L,0)),"")</f>
        <v/>
      </c>
      <c r="H2590" s="23"/>
      <c r="I2590" s="70"/>
      <c r="L2590" s="71" t="n">
        <f aca="false">IF(助手回款!$R$174="",-1,助手回款!$R$174*100+(助手回款!$S$174-1)*6+5)</f>
        <v>-1</v>
      </c>
    </row>
    <row r="2591" customFormat="false" ht="23.25" hidden="false" customHeight="true" outlineLevel="0" collapsed="false">
      <c r="B2591" s="67" t="str">
        <f aca="false">""</f>
        <v/>
      </c>
      <c r="C2591" s="67"/>
      <c r="D2591" s="23" t="str">
        <f aca="false">IFERROR(INDEX(分录回款!$E:$E,MATCH($L2591,分录回款!$L:$L,0)),"")</f>
        <v/>
      </c>
      <c r="E2591" s="23" t="str">
        <f aca="false">IFERROR(INDEX(分录回款!$F:$F,MATCH($L2591,分录回款!$L:$L,0)),"")</f>
        <v/>
      </c>
      <c r="F2591" s="68" t="str">
        <f aca="false">IFERROR(INDEX(分录回款!$H:$H,MATCH($L2591,分录回款!$L:$L,0)),"")</f>
        <v/>
      </c>
      <c r="G2591" s="69" t="str">
        <f aca="false">IFERROR(INDEX(分录回款!$I:$I,MATCH($L2591,分录回款!$L:$L,0)),"")</f>
        <v/>
      </c>
      <c r="H2591" s="23"/>
      <c r="I2591" s="70"/>
      <c r="L2591" s="71" t="n">
        <f aca="false">IF(助手回款!$R$174="",-1,助手回款!$R$174*100+(助手回款!$S$174-1)*6+6)</f>
        <v>-1</v>
      </c>
    </row>
    <row r="2592" customFormat="false" ht="23.25" hidden="false" customHeight="true" outlineLevel="0" collapsed="false">
      <c r="B2592" s="72" t="str">
        <f aca="false">IF(助手回款!$T$174=1,"合计：","")</f>
        <v/>
      </c>
      <c r="C2592" s="73" t="str">
        <f aca="false">IF(助手回款!$T$174=1,$F2592,"")</f>
        <v/>
      </c>
      <c r="D2592" s="74"/>
      <c r="E2592" s="74"/>
      <c r="F2592" s="75" t="str">
        <f aca="false">IF(助手回款!$T$174=1,INDEX(助手回款!$N$2:$N$66,助手回款!$R$174),"")</f>
        <v/>
      </c>
      <c r="G2592" s="76" t="str">
        <f aca="false">IF(助手回款!$T$174=1,INDEX(助手回款!$O$2:$O$66,助手回款!$R$174),"")</f>
        <v/>
      </c>
      <c r="H2592" s="74"/>
      <c r="I2592" s="77"/>
    </row>
    <row r="2593" customFormat="false" ht="6" hidden="false" customHeight="true" outlineLevel="0" collapsed="false"/>
    <row r="2594" customFormat="false" ht="13.5" hidden="false" customHeight="false" outlineLevel="0" collapsed="false">
      <c r="B2594" s="78" t="str">
        <f aca="false">IF(助手回款!$R$174&lt;&gt;"","会计主管：","")</f>
        <v/>
      </c>
      <c r="D2594" s="78" t="str">
        <f aca="false">IF(助手回款!$R$174&lt;&gt;"","会计：","")</f>
        <v/>
      </c>
      <c r="E2594" s="78" t="str">
        <f aca="false">IF(助手回款!$R$174&lt;&gt;"","出纳：","")</f>
        <v/>
      </c>
      <c r="F2594" s="78" t="str">
        <f aca="false">IF(助手回款!$R$174&lt;&gt;"","复核：","")</f>
        <v/>
      </c>
      <c r="G2594" s="78" t="str">
        <f aca="false">IF(助手回款!$R$174&lt;&gt;"","制单：","")</f>
        <v/>
      </c>
    </row>
    <row r="2595" customFormat="false" ht="3" hidden="false" customHeight="true" outlineLevel="0" collapsed="false"/>
    <row r="2596" customFormat="false" ht="19.5" hidden="false" customHeight="true" outlineLevel="0" collapsed="false">
      <c r="B2596" s="53" t="str">
        <f aca="false">IF(助手回款!$R$175&lt;&gt;"","记  账  凭  证","")</f>
        <v/>
      </c>
      <c r="C2596" s="53"/>
      <c r="D2596" s="53"/>
      <c r="E2596" s="53"/>
      <c r="F2596" s="53"/>
      <c r="G2596" s="53"/>
      <c r="H2596" s="53"/>
      <c r="I2596" s="53"/>
    </row>
    <row r="2597" customFormat="false" ht="3" hidden="false" customHeight="true" outlineLevel="0" collapsed="false"/>
    <row r="2598" customFormat="false" ht="15" hidden="false" customHeight="true" outlineLevel="0" collapsed="false">
      <c r="C2598" s="56" t="str">
        <f aca="false">IF(助手回款!$R$175&lt;&gt;"",INDEX(助手回款!$B$2:$B$66,助手回款!$R$175),"")</f>
        <v/>
      </c>
      <c r="D2598" s="57" t="str">
        <f aca="false">IF(助手回款!$R$175&lt;&gt;"",参数!$B$2,"")</f>
        <v/>
      </c>
      <c r="E2598" s="57"/>
      <c r="F2598" s="58" t="str">
        <f aca="false">IF(助手回款!$R$175&lt;&gt;"",INDEX(助手回款!$C$2:$C$66,助手回款!$R$175)&amp;"  字第 "&amp;IF(参数!$B$9="是",INDEX(助手回款!$P$2:$P$66,助手回款!$R$175),"　　　　")&amp;" 号"&amp;IF(INDEX(助手回款!$L$2:$L$66,助手回款!$R$175)&gt;1,"  (共"&amp;INDEX(助手回款!$L$2:$L$66,助手回款!$R$175)&amp;"页 第"&amp;助手回款!$S$175&amp;"页)",""),"")</f>
        <v/>
      </c>
      <c r="G2598" s="58"/>
      <c r="H2598" s="58"/>
      <c r="I2598" s="58"/>
      <c r="M2598" s="79" t="str">
        <f aca="false">IF(助手回款!$R$175="","",助手回款!$Q$175)</f>
        <v/>
      </c>
      <c r="N2598" s="80" t="str">
        <f aca="false">IF(助手回款!$R$175="","",INDEX(助手回款!$P$2:$P$66,助手回款!$R$175))</f>
        <v/>
      </c>
      <c r="O2598" s="55" t="str">
        <f aca="false">IF(助手回款!$R$175="","",INDEX(助手回款!$C$2:$C$66,助手回款!$R$175)&amp;"  字第 "&amp;INDEX(助手回款!$P$2:$P$66,助手回款!$R$175)&amp;" 号"&amp;IF(INDEX(助手回款!$L$2:$L$66,助手回款!$R$175)&gt;1,"  (共"&amp;INDEX(助手回款!$L$2:$L$66,助手回款!$R$175)&amp;"页 第"&amp;助手回款!$S$175&amp;"页)",""))</f>
        <v/>
      </c>
    </row>
    <row r="2599" customFormat="false" ht="12.75" hidden="false" customHeight="true" outlineLevel="0" collapsed="false">
      <c r="B2599" s="61" t="str">
        <f aca="false">IF(助手回款!$R$175&lt;&gt;"","摘　　要","")</f>
        <v/>
      </c>
      <c r="C2599" s="61"/>
      <c r="D2599" s="62" t="str">
        <f aca="false">IF(助手回款!$R$175&lt;&gt;"","科　　　　目","")</f>
        <v/>
      </c>
      <c r="E2599" s="62"/>
      <c r="F2599" s="61" t="str">
        <f aca="false">IF(助手回款!$R$175&lt;&gt;"","借 方 金 额","")</f>
        <v/>
      </c>
      <c r="G2599" s="62" t="str">
        <f aca="false">IF(助手回款!$R$175&lt;&gt;"","贷 方 金 额","")</f>
        <v/>
      </c>
      <c r="H2599" s="63" t="str">
        <f aca="false">IF(助手回款!$R$175&lt;&gt;"","√","")</f>
        <v/>
      </c>
      <c r="I2599" s="64" t="str">
        <f aca="false">IF(助手回款!$R$175&lt;&gt;"","附单据  张","")</f>
        <v/>
      </c>
    </row>
    <row r="2600" customFormat="false" ht="12.75" hidden="false" customHeight="true" outlineLevel="0" collapsed="false">
      <c r="B2600" s="61"/>
      <c r="C2600" s="61"/>
      <c r="D2600" s="23" t="str">
        <f aca="false">IF(助手回款!$R$175&lt;&gt;"","总 账 科 目","")</f>
        <v/>
      </c>
      <c r="E2600" s="23" t="str">
        <f aca="false">IF(助手回款!$R$175&lt;&gt;"","明 细 科 目","")</f>
        <v/>
      </c>
      <c r="F2600" s="65"/>
      <c r="G2600" s="66"/>
      <c r="H2600" s="63"/>
      <c r="I2600" s="64"/>
    </row>
    <row r="2601" customFormat="false" ht="23.25" hidden="false" customHeight="true" outlineLevel="0" collapsed="false">
      <c r="B2601" s="67" t="str">
        <f aca="false">IFERROR(INDEX(分录回款!$M:$M,MATCH($L2601,分录回款!$L:$L,0)),"")</f>
        <v/>
      </c>
      <c r="C2601" s="67"/>
      <c r="D2601" s="23" t="str">
        <f aca="false">IFERROR(INDEX(分录回款!$E:$E,MATCH($L2601,分录回款!$L:$L,0)),"")</f>
        <v/>
      </c>
      <c r="E2601" s="23" t="str">
        <f aca="false">IFERROR(INDEX(分录回款!$F:$F,MATCH($L2601,分录回款!$L:$L,0)),"")</f>
        <v/>
      </c>
      <c r="F2601" s="68" t="str">
        <f aca="false">IFERROR(INDEX(分录回款!$H:$H,MATCH($L2601,分录回款!$L:$L,0)),"")</f>
        <v/>
      </c>
      <c r="G2601" s="69" t="str">
        <f aca="false">IFERROR(INDEX(分录回款!$I:$I,MATCH($L2601,分录回款!$L:$L,0)),"")</f>
        <v/>
      </c>
      <c r="H2601" s="23"/>
      <c r="I2601" s="70"/>
      <c r="L2601" s="71" t="n">
        <f aca="false">IF(助手回款!$R$175="",-1,助手回款!$R$175*100+(助手回款!$S$175-1)*6+1)</f>
        <v>-1</v>
      </c>
    </row>
    <row r="2602" customFormat="false" ht="23.25" hidden="false" customHeight="true" outlineLevel="0" collapsed="false">
      <c r="B2602" s="67" t="str">
        <f aca="false">""</f>
        <v/>
      </c>
      <c r="C2602" s="67"/>
      <c r="D2602" s="23" t="str">
        <f aca="false">IFERROR(INDEX(分录回款!$E:$E,MATCH($L2602,分录回款!$L:$L,0)),"")</f>
        <v/>
      </c>
      <c r="E2602" s="23" t="str">
        <f aca="false">IFERROR(INDEX(分录回款!$F:$F,MATCH($L2602,分录回款!$L:$L,0)),"")</f>
        <v/>
      </c>
      <c r="F2602" s="68" t="str">
        <f aca="false">IFERROR(INDEX(分录回款!$H:$H,MATCH($L2602,分录回款!$L:$L,0)),"")</f>
        <v/>
      </c>
      <c r="G2602" s="69" t="str">
        <f aca="false">IFERROR(INDEX(分录回款!$I:$I,MATCH($L2602,分录回款!$L:$L,0)),"")</f>
        <v/>
      </c>
      <c r="H2602" s="23"/>
      <c r="I2602" s="70"/>
      <c r="L2602" s="71" t="n">
        <f aca="false">IF(助手回款!$R$175="",-1,助手回款!$R$175*100+(助手回款!$S$175-1)*6+2)</f>
        <v>-1</v>
      </c>
    </row>
    <row r="2603" customFormat="false" ht="23.25" hidden="false" customHeight="true" outlineLevel="0" collapsed="false">
      <c r="B2603" s="67" t="str">
        <f aca="false">""</f>
        <v/>
      </c>
      <c r="C2603" s="67"/>
      <c r="D2603" s="23" t="str">
        <f aca="false">IFERROR(INDEX(分录回款!$E:$E,MATCH($L2603,分录回款!$L:$L,0)),"")</f>
        <v/>
      </c>
      <c r="E2603" s="23" t="str">
        <f aca="false">IFERROR(INDEX(分录回款!$F:$F,MATCH($L2603,分录回款!$L:$L,0)),"")</f>
        <v/>
      </c>
      <c r="F2603" s="68" t="str">
        <f aca="false">IFERROR(INDEX(分录回款!$H:$H,MATCH($L2603,分录回款!$L:$L,0)),"")</f>
        <v/>
      </c>
      <c r="G2603" s="69" t="str">
        <f aca="false">IFERROR(INDEX(分录回款!$I:$I,MATCH($L2603,分录回款!$L:$L,0)),"")</f>
        <v/>
      </c>
      <c r="H2603" s="23"/>
      <c r="I2603" s="70"/>
      <c r="L2603" s="71" t="n">
        <f aca="false">IF(助手回款!$R$175="",-1,助手回款!$R$175*100+(助手回款!$S$175-1)*6+3)</f>
        <v>-1</v>
      </c>
    </row>
    <row r="2604" customFormat="false" ht="23.25" hidden="false" customHeight="true" outlineLevel="0" collapsed="false">
      <c r="B2604" s="67" t="str">
        <f aca="false">""</f>
        <v/>
      </c>
      <c r="C2604" s="67"/>
      <c r="D2604" s="23" t="str">
        <f aca="false">IFERROR(INDEX(分录回款!$E:$E,MATCH($L2604,分录回款!$L:$L,0)),"")</f>
        <v/>
      </c>
      <c r="E2604" s="23" t="str">
        <f aca="false">IFERROR(INDEX(分录回款!$F:$F,MATCH($L2604,分录回款!$L:$L,0)),"")</f>
        <v/>
      </c>
      <c r="F2604" s="68" t="str">
        <f aca="false">IFERROR(INDEX(分录回款!$H:$H,MATCH($L2604,分录回款!$L:$L,0)),"")</f>
        <v/>
      </c>
      <c r="G2604" s="69" t="str">
        <f aca="false">IFERROR(INDEX(分录回款!$I:$I,MATCH($L2604,分录回款!$L:$L,0)),"")</f>
        <v/>
      </c>
      <c r="H2604" s="23"/>
      <c r="I2604" s="70"/>
      <c r="L2604" s="71" t="n">
        <f aca="false">IF(助手回款!$R$175="",-1,助手回款!$R$175*100+(助手回款!$S$175-1)*6+4)</f>
        <v>-1</v>
      </c>
    </row>
    <row r="2605" customFormat="false" ht="23.25" hidden="false" customHeight="true" outlineLevel="0" collapsed="false">
      <c r="B2605" s="67" t="str">
        <f aca="false">""</f>
        <v/>
      </c>
      <c r="C2605" s="67"/>
      <c r="D2605" s="23" t="str">
        <f aca="false">IFERROR(INDEX(分录回款!$E:$E,MATCH($L2605,分录回款!$L:$L,0)),"")</f>
        <v/>
      </c>
      <c r="E2605" s="23" t="str">
        <f aca="false">IFERROR(INDEX(分录回款!$F:$F,MATCH($L2605,分录回款!$L:$L,0)),"")</f>
        <v/>
      </c>
      <c r="F2605" s="68" t="str">
        <f aca="false">IFERROR(INDEX(分录回款!$H:$H,MATCH($L2605,分录回款!$L:$L,0)),"")</f>
        <v/>
      </c>
      <c r="G2605" s="69" t="str">
        <f aca="false">IFERROR(INDEX(分录回款!$I:$I,MATCH($L2605,分录回款!$L:$L,0)),"")</f>
        <v/>
      </c>
      <c r="H2605" s="23"/>
      <c r="I2605" s="70"/>
      <c r="L2605" s="71" t="n">
        <f aca="false">IF(助手回款!$R$175="",-1,助手回款!$R$175*100+(助手回款!$S$175-1)*6+5)</f>
        <v>-1</v>
      </c>
    </row>
    <row r="2606" customFormat="false" ht="23.25" hidden="false" customHeight="true" outlineLevel="0" collapsed="false">
      <c r="B2606" s="67" t="str">
        <f aca="false">""</f>
        <v/>
      </c>
      <c r="C2606" s="67"/>
      <c r="D2606" s="23" t="str">
        <f aca="false">IFERROR(INDEX(分录回款!$E:$E,MATCH($L2606,分录回款!$L:$L,0)),"")</f>
        <v/>
      </c>
      <c r="E2606" s="23" t="str">
        <f aca="false">IFERROR(INDEX(分录回款!$F:$F,MATCH($L2606,分录回款!$L:$L,0)),"")</f>
        <v/>
      </c>
      <c r="F2606" s="68" t="str">
        <f aca="false">IFERROR(INDEX(分录回款!$H:$H,MATCH($L2606,分录回款!$L:$L,0)),"")</f>
        <v/>
      </c>
      <c r="G2606" s="69" t="str">
        <f aca="false">IFERROR(INDEX(分录回款!$I:$I,MATCH($L2606,分录回款!$L:$L,0)),"")</f>
        <v/>
      </c>
      <c r="H2606" s="23"/>
      <c r="I2606" s="70"/>
      <c r="L2606" s="71" t="n">
        <f aca="false">IF(助手回款!$R$175="",-1,助手回款!$R$175*100+(助手回款!$S$175-1)*6+6)</f>
        <v>-1</v>
      </c>
    </row>
    <row r="2607" customFormat="false" ht="23.25" hidden="false" customHeight="true" outlineLevel="0" collapsed="false">
      <c r="B2607" s="72" t="str">
        <f aca="false">IF(助手回款!$T$175=1,"合计：","")</f>
        <v/>
      </c>
      <c r="C2607" s="73" t="str">
        <f aca="false">IF(助手回款!$T$175=1,$F2607,"")</f>
        <v/>
      </c>
      <c r="D2607" s="74"/>
      <c r="E2607" s="74"/>
      <c r="F2607" s="75" t="str">
        <f aca="false">IF(助手回款!$T$175=1,INDEX(助手回款!$N$2:$N$66,助手回款!$R$175),"")</f>
        <v/>
      </c>
      <c r="G2607" s="76" t="str">
        <f aca="false">IF(助手回款!$T$175=1,INDEX(助手回款!$O$2:$O$66,助手回款!$R$175),"")</f>
        <v/>
      </c>
      <c r="H2607" s="74"/>
      <c r="I2607" s="77"/>
    </row>
    <row r="2608" customFormat="false" ht="6" hidden="false" customHeight="true" outlineLevel="0" collapsed="false"/>
    <row r="2609" customFormat="false" ht="13.5" hidden="false" customHeight="false" outlineLevel="0" collapsed="false">
      <c r="B2609" s="78" t="str">
        <f aca="false">IF(助手回款!$R$175&lt;&gt;"","会计主管：","")</f>
        <v/>
      </c>
      <c r="D2609" s="78" t="str">
        <f aca="false">IF(助手回款!$R$175&lt;&gt;"","会计：","")</f>
        <v/>
      </c>
      <c r="E2609" s="78" t="str">
        <f aca="false">IF(助手回款!$R$175&lt;&gt;"","出纳：","")</f>
        <v/>
      </c>
      <c r="F2609" s="78" t="str">
        <f aca="false">IF(助手回款!$R$175&lt;&gt;"","复核：","")</f>
        <v/>
      </c>
      <c r="G2609" s="78" t="str">
        <f aca="false">IF(助手回款!$R$175&lt;&gt;"","制单：","")</f>
        <v/>
      </c>
    </row>
    <row r="2610" customFormat="false" ht="3" hidden="false" customHeight="true" outlineLevel="0" collapsed="false"/>
    <row r="2611" customFormat="false" ht="19.5" hidden="false" customHeight="true" outlineLevel="0" collapsed="false">
      <c r="B2611" s="53" t="str">
        <f aca="false">IF(助手回款!$R$176&lt;&gt;"","记  账  凭  证","")</f>
        <v/>
      </c>
      <c r="C2611" s="53"/>
      <c r="D2611" s="53"/>
      <c r="E2611" s="53"/>
      <c r="F2611" s="53"/>
      <c r="G2611" s="53"/>
      <c r="H2611" s="53"/>
      <c r="I2611" s="53"/>
    </row>
    <row r="2612" customFormat="false" ht="3" hidden="false" customHeight="true" outlineLevel="0" collapsed="false"/>
    <row r="2613" customFormat="false" ht="15" hidden="false" customHeight="true" outlineLevel="0" collapsed="false">
      <c r="C2613" s="56" t="str">
        <f aca="false">IF(助手回款!$R$176&lt;&gt;"",INDEX(助手回款!$B$2:$B$66,助手回款!$R$176),"")</f>
        <v/>
      </c>
      <c r="D2613" s="57" t="str">
        <f aca="false">IF(助手回款!$R$176&lt;&gt;"",参数!$B$2,"")</f>
        <v/>
      </c>
      <c r="E2613" s="57"/>
      <c r="F2613" s="58" t="str">
        <f aca="false">IF(助手回款!$R$176&lt;&gt;"",INDEX(助手回款!$C$2:$C$66,助手回款!$R$176)&amp;"  字第 "&amp;IF(参数!$B$9="是",INDEX(助手回款!$P$2:$P$66,助手回款!$R$176),"　　　　")&amp;" 号"&amp;IF(INDEX(助手回款!$L$2:$L$66,助手回款!$R$176)&gt;1,"  (共"&amp;INDEX(助手回款!$L$2:$L$66,助手回款!$R$176)&amp;"页 第"&amp;助手回款!$S$176&amp;"页)",""),"")</f>
        <v/>
      </c>
      <c r="G2613" s="58"/>
      <c r="H2613" s="58"/>
      <c r="I2613" s="58"/>
      <c r="M2613" s="79" t="str">
        <f aca="false">IF(助手回款!$R$176="","",助手回款!$Q$176)</f>
        <v/>
      </c>
      <c r="N2613" s="80" t="str">
        <f aca="false">IF(助手回款!$R$176="","",INDEX(助手回款!$P$2:$P$66,助手回款!$R$176))</f>
        <v/>
      </c>
      <c r="O2613" s="55" t="str">
        <f aca="false">IF(助手回款!$R$176="","",INDEX(助手回款!$C$2:$C$66,助手回款!$R$176)&amp;"  字第 "&amp;INDEX(助手回款!$P$2:$P$66,助手回款!$R$176)&amp;" 号"&amp;IF(INDEX(助手回款!$L$2:$L$66,助手回款!$R$176)&gt;1,"  (共"&amp;INDEX(助手回款!$L$2:$L$66,助手回款!$R$176)&amp;"页 第"&amp;助手回款!$S$176&amp;"页)",""))</f>
        <v/>
      </c>
    </row>
    <row r="2614" customFormat="false" ht="12.75" hidden="false" customHeight="true" outlineLevel="0" collapsed="false">
      <c r="B2614" s="61" t="str">
        <f aca="false">IF(助手回款!$R$176&lt;&gt;"","摘　　要","")</f>
        <v/>
      </c>
      <c r="C2614" s="61"/>
      <c r="D2614" s="62" t="str">
        <f aca="false">IF(助手回款!$R$176&lt;&gt;"","科　　　　目","")</f>
        <v/>
      </c>
      <c r="E2614" s="62"/>
      <c r="F2614" s="61" t="str">
        <f aca="false">IF(助手回款!$R$176&lt;&gt;"","借 方 金 额","")</f>
        <v/>
      </c>
      <c r="G2614" s="62" t="str">
        <f aca="false">IF(助手回款!$R$176&lt;&gt;"","贷 方 金 额","")</f>
        <v/>
      </c>
      <c r="H2614" s="63" t="str">
        <f aca="false">IF(助手回款!$R$176&lt;&gt;"","√","")</f>
        <v/>
      </c>
      <c r="I2614" s="64" t="str">
        <f aca="false">IF(助手回款!$R$176&lt;&gt;"","附单据  张","")</f>
        <v/>
      </c>
    </row>
    <row r="2615" customFormat="false" ht="12.75" hidden="false" customHeight="true" outlineLevel="0" collapsed="false">
      <c r="B2615" s="61"/>
      <c r="C2615" s="61"/>
      <c r="D2615" s="23" t="str">
        <f aca="false">IF(助手回款!$R$176&lt;&gt;"","总 账 科 目","")</f>
        <v/>
      </c>
      <c r="E2615" s="23" t="str">
        <f aca="false">IF(助手回款!$R$176&lt;&gt;"","明 细 科 目","")</f>
        <v/>
      </c>
      <c r="F2615" s="65"/>
      <c r="G2615" s="66"/>
      <c r="H2615" s="63"/>
      <c r="I2615" s="64"/>
    </row>
    <row r="2616" customFormat="false" ht="23.25" hidden="false" customHeight="true" outlineLevel="0" collapsed="false">
      <c r="B2616" s="67" t="str">
        <f aca="false">IFERROR(INDEX(分录回款!$M:$M,MATCH($L2616,分录回款!$L:$L,0)),"")</f>
        <v/>
      </c>
      <c r="C2616" s="67"/>
      <c r="D2616" s="23" t="str">
        <f aca="false">IFERROR(INDEX(分录回款!$E:$E,MATCH($L2616,分录回款!$L:$L,0)),"")</f>
        <v/>
      </c>
      <c r="E2616" s="23" t="str">
        <f aca="false">IFERROR(INDEX(分录回款!$F:$F,MATCH($L2616,分录回款!$L:$L,0)),"")</f>
        <v/>
      </c>
      <c r="F2616" s="68" t="str">
        <f aca="false">IFERROR(INDEX(分录回款!$H:$H,MATCH($L2616,分录回款!$L:$L,0)),"")</f>
        <v/>
      </c>
      <c r="G2616" s="69" t="str">
        <f aca="false">IFERROR(INDEX(分录回款!$I:$I,MATCH($L2616,分录回款!$L:$L,0)),"")</f>
        <v/>
      </c>
      <c r="H2616" s="23"/>
      <c r="I2616" s="70"/>
      <c r="L2616" s="71" t="n">
        <f aca="false">IF(助手回款!$R$176="",-1,助手回款!$R$176*100+(助手回款!$S$176-1)*6+1)</f>
        <v>-1</v>
      </c>
    </row>
    <row r="2617" customFormat="false" ht="23.25" hidden="false" customHeight="true" outlineLevel="0" collapsed="false">
      <c r="B2617" s="67" t="str">
        <f aca="false">""</f>
        <v/>
      </c>
      <c r="C2617" s="67"/>
      <c r="D2617" s="23" t="str">
        <f aca="false">IFERROR(INDEX(分录回款!$E:$E,MATCH($L2617,分录回款!$L:$L,0)),"")</f>
        <v/>
      </c>
      <c r="E2617" s="23" t="str">
        <f aca="false">IFERROR(INDEX(分录回款!$F:$F,MATCH($L2617,分录回款!$L:$L,0)),"")</f>
        <v/>
      </c>
      <c r="F2617" s="68" t="str">
        <f aca="false">IFERROR(INDEX(分录回款!$H:$H,MATCH($L2617,分录回款!$L:$L,0)),"")</f>
        <v/>
      </c>
      <c r="G2617" s="69" t="str">
        <f aca="false">IFERROR(INDEX(分录回款!$I:$I,MATCH($L2617,分录回款!$L:$L,0)),"")</f>
        <v/>
      </c>
      <c r="H2617" s="23"/>
      <c r="I2617" s="70"/>
      <c r="L2617" s="71" t="n">
        <f aca="false">IF(助手回款!$R$176="",-1,助手回款!$R$176*100+(助手回款!$S$176-1)*6+2)</f>
        <v>-1</v>
      </c>
    </row>
    <row r="2618" customFormat="false" ht="23.25" hidden="false" customHeight="true" outlineLevel="0" collapsed="false">
      <c r="B2618" s="67" t="str">
        <f aca="false">""</f>
        <v/>
      </c>
      <c r="C2618" s="67"/>
      <c r="D2618" s="23" t="str">
        <f aca="false">IFERROR(INDEX(分录回款!$E:$E,MATCH($L2618,分录回款!$L:$L,0)),"")</f>
        <v/>
      </c>
      <c r="E2618" s="23" t="str">
        <f aca="false">IFERROR(INDEX(分录回款!$F:$F,MATCH($L2618,分录回款!$L:$L,0)),"")</f>
        <v/>
      </c>
      <c r="F2618" s="68" t="str">
        <f aca="false">IFERROR(INDEX(分录回款!$H:$H,MATCH($L2618,分录回款!$L:$L,0)),"")</f>
        <v/>
      </c>
      <c r="G2618" s="69" t="str">
        <f aca="false">IFERROR(INDEX(分录回款!$I:$I,MATCH($L2618,分录回款!$L:$L,0)),"")</f>
        <v/>
      </c>
      <c r="H2618" s="23"/>
      <c r="I2618" s="70"/>
      <c r="L2618" s="71" t="n">
        <f aca="false">IF(助手回款!$R$176="",-1,助手回款!$R$176*100+(助手回款!$S$176-1)*6+3)</f>
        <v>-1</v>
      </c>
    </row>
    <row r="2619" customFormat="false" ht="23.25" hidden="false" customHeight="true" outlineLevel="0" collapsed="false">
      <c r="B2619" s="67" t="str">
        <f aca="false">""</f>
        <v/>
      </c>
      <c r="C2619" s="67"/>
      <c r="D2619" s="23" t="str">
        <f aca="false">IFERROR(INDEX(分录回款!$E:$E,MATCH($L2619,分录回款!$L:$L,0)),"")</f>
        <v/>
      </c>
      <c r="E2619" s="23" t="str">
        <f aca="false">IFERROR(INDEX(分录回款!$F:$F,MATCH($L2619,分录回款!$L:$L,0)),"")</f>
        <v/>
      </c>
      <c r="F2619" s="68" t="str">
        <f aca="false">IFERROR(INDEX(分录回款!$H:$H,MATCH($L2619,分录回款!$L:$L,0)),"")</f>
        <v/>
      </c>
      <c r="G2619" s="69" t="str">
        <f aca="false">IFERROR(INDEX(分录回款!$I:$I,MATCH($L2619,分录回款!$L:$L,0)),"")</f>
        <v/>
      </c>
      <c r="H2619" s="23"/>
      <c r="I2619" s="70"/>
      <c r="L2619" s="71" t="n">
        <f aca="false">IF(助手回款!$R$176="",-1,助手回款!$R$176*100+(助手回款!$S$176-1)*6+4)</f>
        <v>-1</v>
      </c>
    </row>
    <row r="2620" customFormat="false" ht="23.25" hidden="false" customHeight="true" outlineLevel="0" collapsed="false">
      <c r="B2620" s="67" t="str">
        <f aca="false">""</f>
        <v/>
      </c>
      <c r="C2620" s="67"/>
      <c r="D2620" s="23" t="str">
        <f aca="false">IFERROR(INDEX(分录回款!$E:$E,MATCH($L2620,分录回款!$L:$L,0)),"")</f>
        <v/>
      </c>
      <c r="E2620" s="23" t="str">
        <f aca="false">IFERROR(INDEX(分录回款!$F:$F,MATCH($L2620,分录回款!$L:$L,0)),"")</f>
        <v/>
      </c>
      <c r="F2620" s="68" t="str">
        <f aca="false">IFERROR(INDEX(分录回款!$H:$H,MATCH($L2620,分录回款!$L:$L,0)),"")</f>
        <v/>
      </c>
      <c r="G2620" s="69" t="str">
        <f aca="false">IFERROR(INDEX(分录回款!$I:$I,MATCH($L2620,分录回款!$L:$L,0)),"")</f>
        <v/>
      </c>
      <c r="H2620" s="23"/>
      <c r="I2620" s="70"/>
      <c r="L2620" s="71" t="n">
        <f aca="false">IF(助手回款!$R$176="",-1,助手回款!$R$176*100+(助手回款!$S$176-1)*6+5)</f>
        <v>-1</v>
      </c>
    </row>
    <row r="2621" customFormat="false" ht="23.25" hidden="false" customHeight="true" outlineLevel="0" collapsed="false">
      <c r="B2621" s="67" t="str">
        <f aca="false">""</f>
        <v/>
      </c>
      <c r="C2621" s="67"/>
      <c r="D2621" s="23" t="str">
        <f aca="false">IFERROR(INDEX(分录回款!$E:$E,MATCH($L2621,分录回款!$L:$L,0)),"")</f>
        <v/>
      </c>
      <c r="E2621" s="23" t="str">
        <f aca="false">IFERROR(INDEX(分录回款!$F:$F,MATCH($L2621,分录回款!$L:$L,0)),"")</f>
        <v/>
      </c>
      <c r="F2621" s="68" t="str">
        <f aca="false">IFERROR(INDEX(分录回款!$H:$H,MATCH($L2621,分录回款!$L:$L,0)),"")</f>
        <v/>
      </c>
      <c r="G2621" s="69" t="str">
        <f aca="false">IFERROR(INDEX(分录回款!$I:$I,MATCH($L2621,分录回款!$L:$L,0)),"")</f>
        <v/>
      </c>
      <c r="H2621" s="23"/>
      <c r="I2621" s="70"/>
      <c r="L2621" s="71" t="n">
        <f aca="false">IF(助手回款!$R$176="",-1,助手回款!$R$176*100+(助手回款!$S$176-1)*6+6)</f>
        <v>-1</v>
      </c>
    </row>
    <row r="2622" customFormat="false" ht="23.25" hidden="false" customHeight="true" outlineLevel="0" collapsed="false">
      <c r="B2622" s="72" t="str">
        <f aca="false">IF(助手回款!$T$176=1,"合计：","")</f>
        <v/>
      </c>
      <c r="C2622" s="73" t="str">
        <f aca="false">IF(助手回款!$T$176=1,$F2622,"")</f>
        <v/>
      </c>
      <c r="D2622" s="74"/>
      <c r="E2622" s="74"/>
      <c r="F2622" s="75" t="str">
        <f aca="false">IF(助手回款!$T$176=1,INDEX(助手回款!$N$2:$N$66,助手回款!$R$176),"")</f>
        <v/>
      </c>
      <c r="G2622" s="76" t="str">
        <f aca="false">IF(助手回款!$T$176=1,INDEX(助手回款!$O$2:$O$66,助手回款!$R$176),"")</f>
        <v/>
      </c>
      <c r="H2622" s="74"/>
      <c r="I2622" s="77"/>
    </row>
    <row r="2623" customFormat="false" ht="6" hidden="false" customHeight="true" outlineLevel="0" collapsed="false"/>
    <row r="2624" customFormat="false" ht="13.5" hidden="false" customHeight="false" outlineLevel="0" collapsed="false">
      <c r="B2624" s="78" t="str">
        <f aca="false">IF(助手回款!$R$176&lt;&gt;"","会计主管：","")</f>
        <v/>
      </c>
      <c r="D2624" s="78" t="str">
        <f aca="false">IF(助手回款!$R$176&lt;&gt;"","会计：","")</f>
        <v/>
      </c>
      <c r="E2624" s="78" t="str">
        <f aca="false">IF(助手回款!$R$176&lt;&gt;"","出纳：","")</f>
        <v/>
      </c>
      <c r="F2624" s="78" t="str">
        <f aca="false">IF(助手回款!$R$176&lt;&gt;"","复核：","")</f>
        <v/>
      </c>
      <c r="G2624" s="78" t="str">
        <f aca="false">IF(助手回款!$R$176&lt;&gt;"","制单：","")</f>
        <v/>
      </c>
    </row>
    <row r="2625" customFormat="false" ht="3" hidden="false" customHeight="true" outlineLevel="0" collapsed="false"/>
    <row r="2626" customFormat="false" ht="19.5" hidden="false" customHeight="true" outlineLevel="0" collapsed="false">
      <c r="B2626" s="53" t="str">
        <f aca="false">IF(助手回款!$R$177&lt;&gt;"","记  账  凭  证","")</f>
        <v/>
      </c>
      <c r="C2626" s="53"/>
      <c r="D2626" s="53"/>
      <c r="E2626" s="53"/>
      <c r="F2626" s="53"/>
      <c r="G2626" s="53"/>
      <c r="H2626" s="53"/>
      <c r="I2626" s="53"/>
    </row>
    <row r="2627" customFormat="false" ht="3" hidden="false" customHeight="true" outlineLevel="0" collapsed="false"/>
    <row r="2628" customFormat="false" ht="15" hidden="false" customHeight="true" outlineLevel="0" collapsed="false">
      <c r="C2628" s="56" t="str">
        <f aca="false">IF(助手回款!$R$177&lt;&gt;"",INDEX(助手回款!$B$2:$B$66,助手回款!$R$177),"")</f>
        <v/>
      </c>
      <c r="D2628" s="57" t="str">
        <f aca="false">IF(助手回款!$R$177&lt;&gt;"",参数!$B$2,"")</f>
        <v/>
      </c>
      <c r="E2628" s="57"/>
      <c r="F2628" s="58" t="str">
        <f aca="false">IF(助手回款!$R$177&lt;&gt;"",INDEX(助手回款!$C$2:$C$66,助手回款!$R$177)&amp;"  字第 "&amp;IF(参数!$B$9="是",INDEX(助手回款!$P$2:$P$66,助手回款!$R$177),"　　　　")&amp;" 号"&amp;IF(INDEX(助手回款!$L$2:$L$66,助手回款!$R$177)&gt;1,"  (共"&amp;INDEX(助手回款!$L$2:$L$66,助手回款!$R$177)&amp;"页 第"&amp;助手回款!$S$177&amp;"页)",""),"")</f>
        <v/>
      </c>
      <c r="G2628" s="58"/>
      <c r="H2628" s="58"/>
      <c r="I2628" s="58"/>
      <c r="M2628" s="79" t="str">
        <f aca="false">IF(助手回款!$R$177="","",助手回款!$Q$177)</f>
        <v/>
      </c>
      <c r="N2628" s="80" t="str">
        <f aca="false">IF(助手回款!$R$177="","",INDEX(助手回款!$P$2:$P$66,助手回款!$R$177))</f>
        <v/>
      </c>
      <c r="O2628" s="55" t="str">
        <f aca="false">IF(助手回款!$R$177="","",INDEX(助手回款!$C$2:$C$66,助手回款!$R$177)&amp;"  字第 "&amp;INDEX(助手回款!$P$2:$P$66,助手回款!$R$177)&amp;" 号"&amp;IF(INDEX(助手回款!$L$2:$L$66,助手回款!$R$177)&gt;1,"  (共"&amp;INDEX(助手回款!$L$2:$L$66,助手回款!$R$177)&amp;"页 第"&amp;助手回款!$S$177&amp;"页)",""))</f>
        <v/>
      </c>
    </row>
    <row r="2629" customFormat="false" ht="12.75" hidden="false" customHeight="true" outlineLevel="0" collapsed="false">
      <c r="B2629" s="61" t="str">
        <f aca="false">IF(助手回款!$R$177&lt;&gt;"","摘　　要","")</f>
        <v/>
      </c>
      <c r="C2629" s="61"/>
      <c r="D2629" s="62" t="str">
        <f aca="false">IF(助手回款!$R$177&lt;&gt;"","科　　　　目","")</f>
        <v/>
      </c>
      <c r="E2629" s="62"/>
      <c r="F2629" s="61" t="str">
        <f aca="false">IF(助手回款!$R$177&lt;&gt;"","借 方 金 额","")</f>
        <v/>
      </c>
      <c r="G2629" s="62" t="str">
        <f aca="false">IF(助手回款!$R$177&lt;&gt;"","贷 方 金 额","")</f>
        <v/>
      </c>
      <c r="H2629" s="63" t="str">
        <f aca="false">IF(助手回款!$R$177&lt;&gt;"","√","")</f>
        <v/>
      </c>
      <c r="I2629" s="64" t="str">
        <f aca="false">IF(助手回款!$R$177&lt;&gt;"","附单据  张","")</f>
        <v/>
      </c>
    </row>
    <row r="2630" customFormat="false" ht="12.75" hidden="false" customHeight="true" outlineLevel="0" collapsed="false">
      <c r="B2630" s="61"/>
      <c r="C2630" s="61"/>
      <c r="D2630" s="23" t="str">
        <f aca="false">IF(助手回款!$R$177&lt;&gt;"","总 账 科 目","")</f>
        <v/>
      </c>
      <c r="E2630" s="23" t="str">
        <f aca="false">IF(助手回款!$R$177&lt;&gt;"","明 细 科 目","")</f>
        <v/>
      </c>
      <c r="F2630" s="65"/>
      <c r="G2630" s="66"/>
      <c r="H2630" s="63"/>
      <c r="I2630" s="64"/>
    </row>
    <row r="2631" customFormat="false" ht="23.25" hidden="false" customHeight="true" outlineLevel="0" collapsed="false">
      <c r="B2631" s="67" t="str">
        <f aca="false">IFERROR(INDEX(分录回款!$M:$M,MATCH($L2631,分录回款!$L:$L,0)),"")</f>
        <v/>
      </c>
      <c r="C2631" s="67"/>
      <c r="D2631" s="23" t="str">
        <f aca="false">IFERROR(INDEX(分录回款!$E:$E,MATCH($L2631,分录回款!$L:$L,0)),"")</f>
        <v/>
      </c>
      <c r="E2631" s="23" t="str">
        <f aca="false">IFERROR(INDEX(分录回款!$F:$F,MATCH($L2631,分录回款!$L:$L,0)),"")</f>
        <v/>
      </c>
      <c r="F2631" s="68" t="str">
        <f aca="false">IFERROR(INDEX(分录回款!$H:$H,MATCH($L2631,分录回款!$L:$L,0)),"")</f>
        <v/>
      </c>
      <c r="G2631" s="69" t="str">
        <f aca="false">IFERROR(INDEX(分录回款!$I:$I,MATCH($L2631,分录回款!$L:$L,0)),"")</f>
        <v/>
      </c>
      <c r="H2631" s="23"/>
      <c r="I2631" s="70"/>
      <c r="L2631" s="71" t="n">
        <f aca="false">IF(助手回款!$R$177="",-1,助手回款!$R$177*100+(助手回款!$S$177-1)*6+1)</f>
        <v>-1</v>
      </c>
    </row>
    <row r="2632" customFormat="false" ht="23.25" hidden="false" customHeight="true" outlineLevel="0" collapsed="false">
      <c r="B2632" s="67" t="str">
        <f aca="false">""</f>
        <v/>
      </c>
      <c r="C2632" s="67"/>
      <c r="D2632" s="23" t="str">
        <f aca="false">IFERROR(INDEX(分录回款!$E:$E,MATCH($L2632,分录回款!$L:$L,0)),"")</f>
        <v/>
      </c>
      <c r="E2632" s="23" t="str">
        <f aca="false">IFERROR(INDEX(分录回款!$F:$F,MATCH($L2632,分录回款!$L:$L,0)),"")</f>
        <v/>
      </c>
      <c r="F2632" s="68" t="str">
        <f aca="false">IFERROR(INDEX(分录回款!$H:$H,MATCH($L2632,分录回款!$L:$L,0)),"")</f>
        <v/>
      </c>
      <c r="G2632" s="69" t="str">
        <f aca="false">IFERROR(INDEX(分录回款!$I:$I,MATCH($L2632,分录回款!$L:$L,0)),"")</f>
        <v/>
      </c>
      <c r="H2632" s="23"/>
      <c r="I2632" s="70"/>
      <c r="L2632" s="71" t="n">
        <f aca="false">IF(助手回款!$R$177="",-1,助手回款!$R$177*100+(助手回款!$S$177-1)*6+2)</f>
        <v>-1</v>
      </c>
    </row>
    <row r="2633" customFormat="false" ht="23.25" hidden="false" customHeight="true" outlineLevel="0" collapsed="false">
      <c r="B2633" s="67" t="str">
        <f aca="false">""</f>
        <v/>
      </c>
      <c r="C2633" s="67"/>
      <c r="D2633" s="23" t="str">
        <f aca="false">IFERROR(INDEX(分录回款!$E:$E,MATCH($L2633,分录回款!$L:$L,0)),"")</f>
        <v/>
      </c>
      <c r="E2633" s="23" t="str">
        <f aca="false">IFERROR(INDEX(分录回款!$F:$F,MATCH($L2633,分录回款!$L:$L,0)),"")</f>
        <v/>
      </c>
      <c r="F2633" s="68" t="str">
        <f aca="false">IFERROR(INDEX(分录回款!$H:$H,MATCH($L2633,分录回款!$L:$L,0)),"")</f>
        <v/>
      </c>
      <c r="G2633" s="69" t="str">
        <f aca="false">IFERROR(INDEX(分录回款!$I:$I,MATCH($L2633,分录回款!$L:$L,0)),"")</f>
        <v/>
      </c>
      <c r="H2633" s="23"/>
      <c r="I2633" s="70"/>
      <c r="L2633" s="71" t="n">
        <f aca="false">IF(助手回款!$R$177="",-1,助手回款!$R$177*100+(助手回款!$S$177-1)*6+3)</f>
        <v>-1</v>
      </c>
    </row>
    <row r="2634" customFormat="false" ht="23.25" hidden="false" customHeight="true" outlineLevel="0" collapsed="false">
      <c r="B2634" s="67" t="str">
        <f aca="false">""</f>
        <v/>
      </c>
      <c r="C2634" s="67"/>
      <c r="D2634" s="23" t="str">
        <f aca="false">IFERROR(INDEX(分录回款!$E:$E,MATCH($L2634,分录回款!$L:$L,0)),"")</f>
        <v/>
      </c>
      <c r="E2634" s="23" t="str">
        <f aca="false">IFERROR(INDEX(分录回款!$F:$F,MATCH($L2634,分录回款!$L:$L,0)),"")</f>
        <v/>
      </c>
      <c r="F2634" s="68" t="str">
        <f aca="false">IFERROR(INDEX(分录回款!$H:$H,MATCH($L2634,分录回款!$L:$L,0)),"")</f>
        <v/>
      </c>
      <c r="G2634" s="69" t="str">
        <f aca="false">IFERROR(INDEX(分录回款!$I:$I,MATCH($L2634,分录回款!$L:$L,0)),"")</f>
        <v/>
      </c>
      <c r="H2634" s="23"/>
      <c r="I2634" s="70"/>
      <c r="L2634" s="71" t="n">
        <f aca="false">IF(助手回款!$R$177="",-1,助手回款!$R$177*100+(助手回款!$S$177-1)*6+4)</f>
        <v>-1</v>
      </c>
    </row>
    <row r="2635" customFormat="false" ht="23.25" hidden="false" customHeight="true" outlineLevel="0" collapsed="false">
      <c r="B2635" s="67" t="str">
        <f aca="false">""</f>
        <v/>
      </c>
      <c r="C2635" s="67"/>
      <c r="D2635" s="23" t="str">
        <f aca="false">IFERROR(INDEX(分录回款!$E:$E,MATCH($L2635,分录回款!$L:$L,0)),"")</f>
        <v/>
      </c>
      <c r="E2635" s="23" t="str">
        <f aca="false">IFERROR(INDEX(分录回款!$F:$F,MATCH($L2635,分录回款!$L:$L,0)),"")</f>
        <v/>
      </c>
      <c r="F2635" s="68" t="str">
        <f aca="false">IFERROR(INDEX(分录回款!$H:$H,MATCH($L2635,分录回款!$L:$L,0)),"")</f>
        <v/>
      </c>
      <c r="G2635" s="69" t="str">
        <f aca="false">IFERROR(INDEX(分录回款!$I:$I,MATCH($L2635,分录回款!$L:$L,0)),"")</f>
        <v/>
      </c>
      <c r="H2635" s="23"/>
      <c r="I2635" s="70"/>
      <c r="L2635" s="71" t="n">
        <f aca="false">IF(助手回款!$R$177="",-1,助手回款!$R$177*100+(助手回款!$S$177-1)*6+5)</f>
        <v>-1</v>
      </c>
    </row>
    <row r="2636" customFormat="false" ht="23.25" hidden="false" customHeight="true" outlineLevel="0" collapsed="false">
      <c r="B2636" s="67" t="str">
        <f aca="false">""</f>
        <v/>
      </c>
      <c r="C2636" s="67"/>
      <c r="D2636" s="23" t="str">
        <f aca="false">IFERROR(INDEX(分录回款!$E:$E,MATCH($L2636,分录回款!$L:$L,0)),"")</f>
        <v/>
      </c>
      <c r="E2636" s="23" t="str">
        <f aca="false">IFERROR(INDEX(分录回款!$F:$F,MATCH($L2636,分录回款!$L:$L,0)),"")</f>
        <v/>
      </c>
      <c r="F2636" s="68" t="str">
        <f aca="false">IFERROR(INDEX(分录回款!$H:$H,MATCH($L2636,分录回款!$L:$L,0)),"")</f>
        <v/>
      </c>
      <c r="G2636" s="69" t="str">
        <f aca="false">IFERROR(INDEX(分录回款!$I:$I,MATCH($L2636,分录回款!$L:$L,0)),"")</f>
        <v/>
      </c>
      <c r="H2636" s="23"/>
      <c r="I2636" s="70"/>
      <c r="L2636" s="71" t="n">
        <f aca="false">IF(助手回款!$R$177="",-1,助手回款!$R$177*100+(助手回款!$S$177-1)*6+6)</f>
        <v>-1</v>
      </c>
    </row>
    <row r="2637" customFormat="false" ht="23.25" hidden="false" customHeight="true" outlineLevel="0" collapsed="false">
      <c r="B2637" s="72" t="str">
        <f aca="false">IF(助手回款!$T$177=1,"合计：","")</f>
        <v/>
      </c>
      <c r="C2637" s="73" t="str">
        <f aca="false">IF(助手回款!$T$177=1,$F2637,"")</f>
        <v/>
      </c>
      <c r="D2637" s="74"/>
      <c r="E2637" s="74"/>
      <c r="F2637" s="75" t="str">
        <f aca="false">IF(助手回款!$T$177=1,INDEX(助手回款!$N$2:$N$66,助手回款!$R$177),"")</f>
        <v/>
      </c>
      <c r="G2637" s="76" t="str">
        <f aca="false">IF(助手回款!$T$177=1,INDEX(助手回款!$O$2:$O$66,助手回款!$R$177),"")</f>
        <v/>
      </c>
      <c r="H2637" s="74"/>
      <c r="I2637" s="77"/>
    </row>
    <row r="2638" customFormat="false" ht="6" hidden="false" customHeight="true" outlineLevel="0" collapsed="false"/>
    <row r="2639" customFormat="false" ht="13.5" hidden="false" customHeight="false" outlineLevel="0" collapsed="false">
      <c r="B2639" s="78" t="str">
        <f aca="false">IF(助手回款!$R$177&lt;&gt;"","会计主管：","")</f>
        <v/>
      </c>
      <c r="D2639" s="78" t="str">
        <f aca="false">IF(助手回款!$R$177&lt;&gt;"","会计：","")</f>
        <v/>
      </c>
      <c r="E2639" s="78" t="str">
        <f aca="false">IF(助手回款!$R$177&lt;&gt;"","出纳：","")</f>
        <v/>
      </c>
      <c r="F2639" s="78" t="str">
        <f aca="false">IF(助手回款!$R$177&lt;&gt;"","复核：","")</f>
        <v/>
      </c>
      <c r="G2639" s="78" t="str">
        <f aca="false">IF(助手回款!$R$177&lt;&gt;"","制单：","")</f>
        <v/>
      </c>
    </row>
    <row r="2640" customFormat="false" ht="3" hidden="false" customHeight="true" outlineLevel="0" collapsed="false"/>
    <row r="2641" customFormat="false" ht="19.5" hidden="false" customHeight="true" outlineLevel="0" collapsed="false">
      <c r="B2641" s="53" t="str">
        <f aca="false">IF(助手回款!$R$178&lt;&gt;"","记  账  凭  证","")</f>
        <v/>
      </c>
      <c r="C2641" s="53"/>
      <c r="D2641" s="53"/>
      <c r="E2641" s="53"/>
      <c r="F2641" s="53"/>
      <c r="G2641" s="53"/>
      <c r="H2641" s="53"/>
      <c r="I2641" s="53"/>
    </row>
    <row r="2642" customFormat="false" ht="3" hidden="false" customHeight="true" outlineLevel="0" collapsed="false"/>
    <row r="2643" customFormat="false" ht="15" hidden="false" customHeight="true" outlineLevel="0" collapsed="false">
      <c r="C2643" s="56" t="str">
        <f aca="false">IF(助手回款!$R$178&lt;&gt;"",INDEX(助手回款!$B$2:$B$66,助手回款!$R$178),"")</f>
        <v/>
      </c>
      <c r="D2643" s="57" t="str">
        <f aca="false">IF(助手回款!$R$178&lt;&gt;"",参数!$B$2,"")</f>
        <v/>
      </c>
      <c r="E2643" s="57"/>
      <c r="F2643" s="58" t="str">
        <f aca="false">IF(助手回款!$R$178&lt;&gt;"",INDEX(助手回款!$C$2:$C$66,助手回款!$R$178)&amp;"  字第 "&amp;IF(参数!$B$9="是",INDEX(助手回款!$P$2:$P$66,助手回款!$R$178),"　　　　")&amp;" 号"&amp;IF(INDEX(助手回款!$L$2:$L$66,助手回款!$R$178)&gt;1,"  (共"&amp;INDEX(助手回款!$L$2:$L$66,助手回款!$R$178)&amp;"页 第"&amp;助手回款!$S$178&amp;"页)",""),"")</f>
        <v/>
      </c>
      <c r="G2643" s="58"/>
      <c r="H2643" s="58"/>
      <c r="I2643" s="58"/>
      <c r="M2643" s="79" t="str">
        <f aca="false">IF(助手回款!$R$178="","",助手回款!$Q$178)</f>
        <v/>
      </c>
      <c r="N2643" s="80" t="str">
        <f aca="false">IF(助手回款!$R$178="","",INDEX(助手回款!$P$2:$P$66,助手回款!$R$178))</f>
        <v/>
      </c>
      <c r="O2643" s="55" t="str">
        <f aca="false">IF(助手回款!$R$178="","",INDEX(助手回款!$C$2:$C$66,助手回款!$R$178)&amp;"  字第 "&amp;INDEX(助手回款!$P$2:$P$66,助手回款!$R$178)&amp;" 号"&amp;IF(INDEX(助手回款!$L$2:$L$66,助手回款!$R$178)&gt;1,"  (共"&amp;INDEX(助手回款!$L$2:$L$66,助手回款!$R$178)&amp;"页 第"&amp;助手回款!$S$178&amp;"页)",""))</f>
        <v/>
      </c>
    </row>
    <row r="2644" customFormat="false" ht="12.75" hidden="false" customHeight="true" outlineLevel="0" collapsed="false">
      <c r="B2644" s="61" t="str">
        <f aca="false">IF(助手回款!$R$178&lt;&gt;"","摘　　要","")</f>
        <v/>
      </c>
      <c r="C2644" s="61"/>
      <c r="D2644" s="62" t="str">
        <f aca="false">IF(助手回款!$R$178&lt;&gt;"","科　　　　目","")</f>
        <v/>
      </c>
      <c r="E2644" s="62"/>
      <c r="F2644" s="61" t="str">
        <f aca="false">IF(助手回款!$R$178&lt;&gt;"","借 方 金 额","")</f>
        <v/>
      </c>
      <c r="G2644" s="62" t="str">
        <f aca="false">IF(助手回款!$R$178&lt;&gt;"","贷 方 金 额","")</f>
        <v/>
      </c>
      <c r="H2644" s="63" t="str">
        <f aca="false">IF(助手回款!$R$178&lt;&gt;"","√","")</f>
        <v/>
      </c>
      <c r="I2644" s="64" t="str">
        <f aca="false">IF(助手回款!$R$178&lt;&gt;"","附单据  张","")</f>
        <v/>
      </c>
    </row>
    <row r="2645" customFormat="false" ht="12.75" hidden="false" customHeight="true" outlineLevel="0" collapsed="false">
      <c r="B2645" s="61"/>
      <c r="C2645" s="61"/>
      <c r="D2645" s="23" t="str">
        <f aca="false">IF(助手回款!$R$178&lt;&gt;"","总 账 科 目","")</f>
        <v/>
      </c>
      <c r="E2645" s="23" t="str">
        <f aca="false">IF(助手回款!$R$178&lt;&gt;"","明 细 科 目","")</f>
        <v/>
      </c>
      <c r="F2645" s="65"/>
      <c r="G2645" s="66"/>
      <c r="H2645" s="63"/>
      <c r="I2645" s="64"/>
    </row>
    <row r="2646" customFormat="false" ht="23.25" hidden="false" customHeight="true" outlineLevel="0" collapsed="false">
      <c r="B2646" s="67" t="str">
        <f aca="false">IFERROR(INDEX(分录回款!$M:$M,MATCH($L2646,分录回款!$L:$L,0)),"")</f>
        <v/>
      </c>
      <c r="C2646" s="67"/>
      <c r="D2646" s="23" t="str">
        <f aca="false">IFERROR(INDEX(分录回款!$E:$E,MATCH($L2646,分录回款!$L:$L,0)),"")</f>
        <v/>
      </c>
      <c r="E2646" s="23" t="str">
        <f aca="false">IFERROR(INDEX(分录回款!$F:$F,MATCH($L2646,分录回款!$L:$L,0)),"")</f>
        <v/>
      </c>
      <c r="F2646" s="68" t="str">
        <f aca="false">IFERROR(INDEX(分录回款!$H:$H,MATCH($L2646,分录回款!$L:$L,0)),"")</f>
        <v/>
      </c>
      <c r="G2646" s="69" t="str">
        <f aca="false">IFERROR(INDEX(分录回款!$I:$I,MATCH($L2646,分录回款!$L:$L,0)),"")</f>
        <v/>
      </c>
      <c r="H2646" s="23"/>
      <c r="I2646" s="70"/>
      <c r="L2646" s="71" t="n">
        <f aca="false">IF(助手回款!$R$178="",-1,助手回款!$R$178*100+(助手回款!$S$178-1)*6+1)</f>
        <v>-1</v>
      </c>
    </row>
    <row r="2647" customFormat="false" ht="23.25" hidden="false" customHeight="true" outlineLevel="0" collapsed="false">
      <c r="B2647" s="67" t="str">
        <f aca="false">""</f>
        <v/>
      </c>
      <c r="C2647" s="67"/>
      <c r="D2647" s="23" t="str">
        <f aca="false">IFERROR(INDEX(分录回款!$E:$E,MATCH($L2647,分录回款!$L:$L,0)),"")</f>
        <v/>
      </c>
      <c r="E2647" s="23" t="str">
        <f aca="false">IFERROR(INDEX(分录回款!$F:$F,MATCH($L2647,分录回款!$L:$L,0)),"")</f>
        <v/>
      </c>
      <c r="F2647" s="68" t="str">
        <f aca="false">IFERROR(INDEX(分录回款!$H:$H,MATCH($L2647,分录回款!$L:$L,0)),"")</f>
        <v/>
      </c>
      <c r="G2647" s="69" t="str">
        <f aca="false">IFERROR(INDEX(分录回款!$I:$I,MATCH($L2647,分录回款!$L:$L,0)),"")</f>
        <v/>
      </c>
      <c r="H2647" s="23"/>
      <c r="I2647" s="70"/>
      <c r="L2647" s="71" t="n">
        <f aca="false">IF(助手回款!$R$178="",-1,助手回款!$R$178*100+(助手回款!$S$178-1)*6+2)</f>
        <v>-1</v>
      </c>
    </row>
    <row r="2648" customFormat="false" ht="23.25" hidden="false" customHeight="true" outlineLevel="0" collapsed="false">
      <c r="B2648" s="67" t="str">
        <f aca="false">""</f>
        <v/>
      </c>
      <c r="C2648" s="67"/>
      <c r="D2648" s="23" t="str">
        <f aca="false">IFERROR(INDEX(分录回款!$E:$E,MATCH($L2648,分录回款!$L:$L,0)),"")</f>
        <v/>
      </c>
      <c r="E2648" s="23" t="str">
        <f aca="false">IFERROR(INDEX(分录回款!$F:$F,MATCH($L2648,分录回款!$L:$L,0)),"")</f>
        <v/>
      </c>
      <c r="F2648" s="68" t="str">
        <f aca="false">IFERROR(INDEX(分录回款!$H:$H,MATCH($L2648,分录回款!$L:$L,0)),"")</f>
        <v/>
      </c>
      <c r="G2648" s="69" t="str">
        <f aca="false">IFERROR(INDEX(分录回款!$I:$I,MATCH($L2648,分录回款!$L:$L,0)),"")</f>
        <v/>
      </c>
      <c r="H2648" s="23"/>
      <c r="I2648" s="70"/>
      <c r="L2648" s="71" t="n">
        <f aca="false">IF(助手回款!$R$178="",-1,助手回款!$R$178*100+(助手回款!$S$178-1)*6+3)</f>
        <v>-1</v>
      </c>
    </row>
    <row r="2649" customFormat="false" ht="23.25" hidden="false" customHeight="true" outlineLevel="0" collapsed="false">
      <c r="B2649" s="67" t="str">
        <f aca="false">""</f>
        <v/>
      </c>
      <c r="C2649" s="67"/>
      <c r="D2649" s="23" t="str">
        <f aca="false">IFERROR(INDEX(分录回款!$E:$E,MATCH($L2649,分录回款!$L:$L,0)),"")</f>
        <v/>
      </c>
      <c r="E2649" s="23" t="str">
        <f aca="false">IFERROR(INDEX(分录回款!$F:$F,MATCH($L2649,分录回款!$L:$L,0)),"")</f>
        <v/>
      </c>
      <c r="F2649" s="68" t="str">
        <f aca="false">IFERROR(INDEX(分录回款!$H:$H,MATCH($L2649,分录回款!$L:$L,0)),"")</f>
        <v/>
      </c>
      <c r="G2649" s="69" t="str">
        <f aca="false">IFERROR(INDEX(分录回款!$I:$I,MATCH($L2649,分录回款!$L:$L,0)),"")</f>
        <v/>
      </c>
      <c r="H2649" s="23"/>
      <c r="I2649" s="70"/>
      <c r="L2649" s="71" t="n">
        <f aca="false">IF(助手回款!$R$178="",-1,助手回款!$R$178*100+(助手回款!$S$178-1)*6+4)</f>
        <v>-1</v>
      </c>
    </row>
    <row r="2650" customFormat="false" ht="23.25" hidden="false" customHeight="true" outlineLevel="0" collapsed="false">
      <c r="B2650" s="67" t="str">
        <f aca="false">""</f>
        <v/>
      </c>
      <c r="C2650" s="67"/>
      <c r="D2650" s="23" t="str">
        <f aca="false">IFERROR(INDEX(分录回款!$E:$E,MATCH($L2650,分录回款!$L:$L,0)),"")</f>
        <v/>
      </c>
      <c r="E2650" s="23" t="str">
        <f aca="false">IFERROR(INDEX(分录回款!$F:$F,MATCH($L2650,分录回款!$L:$L,0)),"")</f>
        <v/>
      </c>
      <c r="F2650" s="68" t="str">
        <f aca="false">IFERROR(INDEX(分录回款!$H:$H,MATCH($L2650,分录回款!$L:$L,0)),"")</f>
        <v/>
      </c>
      <c r="G2650" s="69" t="str">
        <f aca="false">IFERROR(INDEX(分录回款!$I:$I,MATCH($L2650,分录回款!$L:$L,0)),"")</f>
        <v/>
      </c>
      <c r="H2650" s="23"/>
      <c r="I2650" s="70"/>
      <c r="L2650" s="71" t="n">
        <f aca="false">IF(助手回款!$R$178="",-1,助手回款!$R$178*100+(助手回款!$S$178-1)*6+5)</f>
        <v>-1</v>
      </c>
    </row>
    <row r="2651" customFormat="false" ht="23.25" hidden="false" customHeight="true" outlineLevel="0" collapsed="false">
      <c r="B2651" s="67" t="str">
        <f aca="false">""</f>
        <v/>
      </c>
      <c r="C2651" s="67"/>
      <c r="D2651" s="23" t="str">
        <f aca="false">IFERROR(INDEX(分录回款!$E:$E,MATCH($L2651,分录回款!$L:$L,0)),"")</f>
        <v/>
      </c>
      <c r="E2651" s="23" t="str">
        <f aca="false">IFERROR(INDEX(分录回款!$F:$F,MATCH($L2651,分录回款!$L:$L,0)),"")</f>
        <v/>
      </c>
      <c r="F2651" s="68" t="str">
        <f aca="false">IFERROR(INDEX(分录回款!$H:$H,MATCH($L2651,分录回款!$L:$L,0)),"")</f>
        <v/>
      </c>
      <c r="G2651" s="69" t="str">
        <f aca="false">IFERROR(INDEX(分录回款!$I:$I,MATCH($L2651,分录回款!$L:$L,0)),"")</f>
        <v/>
      </c>
      <c r="H2651" s="23"/>
      <c r="I2651" s="70"/>
      <c r="L2651" s="71" t="n">
        <f aca="false">IF(助手回款!$R$178="",-1,助手回款!$R$178*100+(助手回款!$S$178-1)*6+6)</f>
        <v>-1</v>
      </c>
    </row>
    <row r="2652" customFormat="false" ht="23.25" hidden="false" customHeight="true" outlineLevel="0" collapsed="false">
      <c r="B2652" s="72" t="str">
        <f aca="false">IF(助手回款!$T$178=1,"合计：","")</f>
        <v/>
      </c>
      <c r="C2652" s="73" t="str">
        <f aca="false">IF(助手回款!$T$178=1,$F2652,"")</f>
        <v/>
      </c>
      <c r="D2652" s="74"/>
      <c r="E2652" s="74"/>
      <c r="F2652" s="75" t="str">
        <f aca="false">IF(助手回款!$T$178=1,INDEX(助手回款!$N$2:$N$66,助手回款!$R$178),"")</f>
        <v/>
      </c>
      <c r="G2652" s="76" t="str">
        <f aca="false">IF(助手回款!$T$178=1,INDEX(助手回款!$O$2:$O$66,助手回款!$R$178),"")</f>
        <v/>
      </c>
      <c r="H2652" s="74"/>
      <c r="I2652" s="77"/>
    </row>
    <row r="2653" customFormat="false" ht="6" hidden="false" customHeight="true" outlineLevel="0" collapsed="false"/>
    <row r="2654" customFormat="false" ht="13.5" hidden="false" customHeight="false" outlineLevel="0" collapsed="false">
      <c r="B2654" s="78" t="str">
        <f aca="false">IF(助手回款!$R$178&lt;&gt;"","会计主管：","")</f>
        <v/>
      </c>
      <c r="D2654" s="78" t="str">
        <f aca="false">IF(助手回款!$R$178&lt;&gt;"","会计：","")</f>
        <v/>
      </c>
      <c r="E2654" s="78" t="str">
        <f aca="false">IF(助手回款!$R$178&lt;&gt;"","出纳：","")</f>
        <v/>
      </c>
      <c r="F2654" s="78" t="str">
        <f aca="false">IF(助手回款!$R$178&lt;&gt;"","复核：","")</f>
        <v/>
      </c>
      <c r="G2654" s="78" t="str">
        <f aca="false">IF(助手回款!$R$178&lt;&gt;"","制单：","")</f>
        <v/>
      </c>
    </row>
    <row r="2655" customFormat="false" ht="3" hidden="false" customHeight="true" outlineLevel="0" collapsed="false"/>
    <row r="2656" customFormat="false" ht="19.5" hidden="false" customHeight="true" outlineLevel="0" collapsed="false">
      <c r="B2656" s="53" t="str">
        <f aca="false">IF(助手回款!$R$179&lt;&gt;"","记  账  凭  证","")</f>
        <v/>
      </c>
      <c r="C2656" s="53"/>
      <c r="D2656" s="53"/>
      <c r="E2656" s="53"/>
      <c r="F2656" s="53"/>
      <c r="G2656" s="53"/>
      <c r="H2656" s="53"/>
      <c r="I2656" s="53"/>
    </row>
    <row r="2657" customFormat="false" ht="3" hidden="false" customHeight="true" outlineLevel="0" collapsed="false"/>
    <row r="2658" customFormat="false" ht="15" hidden="false" customHeight="true" outlineLevel="0" collapsed="false">
      <c r="C2658" s="56" t="str">
        <f aca="false">IF(助手回款!$R$179&lt;&gt;"",INDEX(助手回款!$B$2:$B$66,助手回款!$R$179),"")</f>
        <v/>
      </c>
      <c r="D2658" s="57" t="str">
        <f aca="false">IF(助手回款!$R$179&lt;&gt;"",参数!$B$2,"")</f>
        <v/>
      </c>
      <c r="E2658" s="57"/>
      <c r="F2658" s="58" t="str">
        <f aca="false">IF(助手回款!$R$179&lt;&gt;"",INDEX(助手回款!$C$2:$C$66,助手回款!$R$179)&amp;"  字第 "&amp;IF(参数!$B$9="是",INDEX(助手回款!$P$2:$P$66,助手回款!$R$179),"　　　　")&amp;" 号"&amp;IF(INDEX(助手回款!$L$2:$L$66,助手回款!$R$179)&gt;1,"  (共"&amp;INDEX(助手回款!$L$2:$L$66,助手回款!$R$179)&amp;"页 第"&amp;助手回款!$S$179&amp;"页)",""),"")</f>
        <v/>
      </c>
      <c r="G2658" s="58"/>
      <c r="H2658" s="58"/>
      <c r="I2658" s="58"/>
      <c r="M2658" s="79" t="str">
        <f aca="false">IF(助手回款!$R$179="","",助手回款!$Q$179)</f>
        <v/>
      </c>
      <c r="N2658" s="80" t="str">
        <f aca="false">IF(助手回款!$R$179="","",INDEX(助手回款!$P$2:$P$66,助手回款!$R$179))</f>
        <v/>
      </c>
      <c r="O2658" s="55" t="str">
        <f aca="false">IF(助手回款!$R$179="","",INDEX(助手回款!$C$2:$C$66,助手回款!$R$179)&amp;"  字第 "&amp;INDEX(助手回款!$P$2:$P$66,助手回款!$R$179)&amp;" 号"&amp;IF(INDEX(助手回款!$L$2:$L$66,助手回款!$R$179)&gt;1,"  (共"&amp;INDEX(助手回款!$L$2:$L$66,助手回款!$R$179)&amp;"页 第"&amp;助手回款!$S$179&amp;"页)",""))</f>
        <v/>
      </c>
    </row>
    <row r="2659" customFormat="false" ht="12.75" hidden="false" customHeight="true" outlineLevel="0" collapsed="false">
      <c r="B2659" s="61" t="str">
        <f aca="false">IF(助手回款!$R$179&lt;&gt;"","摘　　要","")</f>
        <v/>
      </c>
      <c r="C2659" s="61"/>
      <c r="D2659" s="62" t="str">
        <f aca="false">IF(助手回款!$R$179&lt;&gt;"","科　　　　目","")</f>
        <v/>
      </c>
      <c r="E2659" s="62"/>
      <c r="F2659" s="61" t="str">
        <f aca="false">IF(助手回款!$R$179&lt;&gt;"","借 方 金 额","")</f>
        <v/>
      </c>
      <c r="G2659" s="62" t="str">
        <f aca="false">IF(助手回款!$R$179&lt;&gt;"","贷 方 金 额","")</f>
        <v/>
      </c>
      <c r="H2659" s="63" t="str">
        <f aca="false">IF(助手回款!$R$179&lt;&gt;"","√","")</f>
        <v/>
      </c>
      <c r="I2659" s="64" t="str">
        <f aca="false">IF(助手回款!$R$179&lt;&gt;"","附单据  张","")</f>
        <v/>
      </c>
    </row>
    <row r="2660" customFormat="false" ht="12.75" hidden="false" customHeight="true" outlineLevel="0" collapsed="false">
      <c r="B2660" s="61"/>
      <c r="C2660" s="61"/>
      <c r="D2660" s="23" t="str">
        <f aca="false">IF(助手回款!$R$179&lt;&gt;"","总 账 科 目","")</f>
        <v/>
      </c>
      <c r="E2660" s="23" t="str">
        <f aca="false">IF(助手回款!$R$179&lt;&gt;"","明 细 科 目","")</f>
        <v/>
      </c>
      <c r="F2660" s="65"/>
      <c r="G2660" s="66"/>
      <c r="H2660" s="63"/>
      <c r="I2660" s="64"/>
    </row>
    <row r="2661" customFormat="false" ht="23.25" hidden="false" customHeight="true" outlineLevel="0" collapsed="false">
      <c r="B2661" s="67" t="str">
        <f aca="false">IFERROR(INDEX(分录回款!$M:$M,MATCH($L2661,分录回款!$L:$L,0)),"")</f>
        <v/>
      </c>
      <c r="C2661" s="67"/>
      <c r="D2661" s="23" t="str">
        <f aca="false">IFERROR(INDEX(分录回款!$E:$E,MATCH($L2661,分录回款!$L:$L,0)),"")</f>
        <v/>
      </c>
      <c r="E2661" s="23" t="str">
        <f aca="false">IFERROR(INDEX(分录回款!$F:$F,MATCH($L2661,分录回款!$L:$L,0)),"")</f>
        <v/>
      </c>
      <c r="F2661" s="68" t="str">
        <f aca="false">IFERROR(INDEX(分录回款!$H:$H,MATCH($L2661,分录回款!$L:$L,0)),"")</f>
        <v/>
      </c>
      <c r="G2661" s="69" t="str">
        <f aca="false">IFERROR(INDEX(分录回款!$I:$I,MATCH($L2661,分录回款!$L:$L,0)),"")</f>
        <v/>
      </c>
      <c r="H2661" s="23"/>
      <c r="I2661" s="70"/>
      <c r="L2661" s="71" t="n">
        <f aca="false">IF(助手回款!$R$179="",-1,助手回款!$R$179*100+(助手回款!$S$179-1)*6+1)</f>
        <v>-1</v>
      </c>
    </row>
    <row r="2662" customFormat="false" ht="23.25" hidden="false" customHeight="true" outlineLevel="0" collapsed="false">
      <c r="B2662" s="67" t="str">
        <f aca="false">""</f>
        <v/>
      </c>
      <c r="C2662" s="67"/>
      <c r="D2662" s="23" t="str">
        <f aca="false">IFERROR(INDEX(分录回款!$E:$E,MATCH($L2662,分录回款!$L:$L,0)),"")</f>
        <v/>
      </c>
      <c r="E2662" s="23" t="str">
        <f aca="false">IFERROR(INDEX(分录回款!$F:$F,MATCH($L2662,分录回款!$L:$L,0)),"")</f>
        <v/>
      </c>
      <c r="F2662" s="68" t="str">
        <f aca="false">IFERROR(INDEX(分录回款!$H:$H,MATCH($L2662,分录回款!$L:$L,0)),"")</f>
        <v/>
      </c>
      <c r="G2662" s="69" t="str">
        <f aca="false">IFERROR(INDEX(分录回款!$I:$I,MATCH($L2662,分录回款!$L:$L,0)),"")</f>
        <v/>
      </c>
      <c r="H2662" s="23"/>
      <c r="I2662" s="70"/>
      <c r="L2662" s="71" t="n">
        <f aca="false">IF(助手回款!$R$179="",-1,助手回款!$R$179*100+(助手回款!$S$179-1)*6+2)</f>
        <v>-1</v>
      </c>
    </row>
    <row r="2663" customFormat="false" ht="23.25" hidden="false" customHeight="true" outlineLevel="0" collapsed="false">
      <c r="B2663" s="67" t="str">
        <f aca="false">""</f>
        <v/>
      </c>
      <c r="C2663" s="67"/>
      <c r="D2663" s="23" t="str">
        <f aca="false">IFERROR(INDEX(分录回款!$E:$E,MATCH($L2663,分录回款!$L:$L,0)),"")</f>
        <v/>
      </c>
      <c r="E2663" s="23" t="str">
        <f aca="false">IFERROR(INDEX(分录回款!$F:$F,MATCH($L2663,分录回款!$L:$L,0)),"")</f>
        <v/>
      </c>
      <c r="F2663" s="68" t="str">
        <f aca="false">IFERROR(INDEX(分录回款!$H:$H,MATCH($L2663,分录回款!$L:$L,0)),"")</f>
        <v/>
      </c>
      <c r="G2663" s="69" t="str">
        <f aca="false">IFERROR(INDEX(分录回款!$I:$I,MATCH($L2663,分录回款!$L:$L,0)),"")</f>
        <v/>
      </c>
      <c r="H2663" s="23"/>
      <c r="I2663" s="70"/>
      <c r="L2663" s="71" t="n">
        <f aca="false">IF(助手回款!$R$179="",-1,助手回款!$R$179*100+(助手回款!$S$179-1)*6+3)</f>
        <v>-1</v>
      </c>
    </row>
    <row r="2664" customFormat="false" ht="23.25" hidden="false" customHeight="true" outlineLevel="0" collapsed="false">
      <c r="B2664" s="67" t="str">
        <f aca="false">""</f>
        <v/>
      </c>
      <c r="C2664" s="67"/>
      <c r="D2664" s="23" t="str">
        <f aca="false">IFERROR(INDEX(分录回款!$E:$E,MATCH($L2664,分录回款!$L:$L,0)),"")</f>
        <v/>
      </c>
      <c r="E2664" s="23" t="str">
        <f aca="false">IFERROR(INDEX(分录回款!$F:$F,MATCH($L2664,分录回款!$L:$L,0)),"")</f>
        <v/>
      </c>
      <c r="F2664" s="68" t="str">
        <f aca="false">IFERROR(INDEX(分录回款!$H:$H,MATCH($L2664,分录回款!$L:$L,0)),"")</f>
        <v/>
      </c>
      <c r="G2664" s="69" t="str">
        <f aca="false">IFERROR(INDEX(分录回款!$I:$I,MATCH($L2664,分录回款!$L:$L,0)),"")</f>
        <v/>
      </c>
      <c r="H2664" s="23"/>
      <c r="I2664" s="70"/>
      <c r="L2664" s="71" t="n">
        <f aca="false">IF(助手回款!$R$179="",-1,助手回款!$R$179*100+(助手回款!$S$179-1)*6+4)</f>
        <v>-1</v>
      </c>
    </row>
    <row r="2665" customFormat="false" ht="23.25" hidden="false" customHeight="true" outlineLevel="0" collapsed="false">
      <c r="B2665" s="67" t="str">
        <f aca="false">""</f>
        <v/>
      </c>
      <c r="C2665" s="67"/>
      <c r="D2665" s="23" t="str">
        <f aca="false">IFERROR(INDEX(分录回款!$E:$E,MATCH($L2665,分录回款!$L:$L,0)),"")</f>
        <v/>
      </c>
      <c r="E2665" s="23" t="str">
        <f aca="false">IFERROR(INDEX(分录回款!$F:$F,MATCH($L2665,分录回款!$L:$L,0)),"")</f>
        <v/>
      </c>
      <c r="F2665" s="68" t="str">
        <f aca="false">IFERROR(INDEX(分录回款!$H:$H,MATCH($L2665,分录回款!$L:$L,0)),"")</f>
        <v/>
      </c>
      <c r="G2665" s="69" t="str">
        <f aca="false">IFERROR(INDEX(分录回款!$I:$I,MATCH($L2665,分录回款!$L:$L,0)),"")</f>
        <v/>
      </c>
      <c r="H2665" s="23"/>
      <c r="I2665" s="70"/>
      <c r="L2665" s="71" t="n">
        <f aca="false">IF(助手回款!$R$179="",-1,助手回款!$R$179*100+(助手回款!$S$179-1)*6+5)</f>
        <v>-1</v>
      </c>
    </row>
    <row r="2666" customFormat="false" ht="23.25" hidden="false" customHeight="true" outlineLevel="0" collapsed="false">
      <c r="B2666" s="67" t="str">
        <f aca="false">""</f>
        <v/>
      </c>
      <c r="C2666" s="67"/>
      <c r="D2666" s="23" t="str">
        <f aca="false">IFERROR(INDEX(分录回款!$E:$E,MATCH($L2666,分录回款!$L:$L,0)),"")</f>
        <v/>
      </c>
      <c r="E2666" s="23" t="str">
        <f aca="false">IFERROR(INDEX(分录回款!$F:$F,MATCH($L2666,分录回款!$L:$L,0)),"")</f>
        <v/>
      </c>
      <c r="F2666" s="68" t="str">
        <f aca="false">IFERROR(INDEX(分录回款!$H:$H,MATCH($L2666,分录回款!$L:$L,0)),"")</f>
        <v/>
      </c>
      <c r="G2666" s="69" t="str">
        <f aca="false">IFERROR(INDEX(分录回款!$I:$I,MATCH($L2666,分录回款!$L:$L,0)),"")</f>
        <v/>
      </c>
      <c r="H2666" s="23"/>
      <c r="I2666" s="70"/>
      <c r="L2666" s="71" t="n">
        <f aca="false">IF(助手回款!$R$179="",-1,助手回款!$R$179*100+(助手回款!$S$179-1)*6+6)</f>
        <v>-1</v>
      </c>
    </row>
    <row r="2667" customFormat="false" ht="23.25" hidden="false" customHeight="true" outlineLevel="0" collapsed="false">
      <c r="B2667" s="72" t="str">
        <f aca="false">IF(助手回款!$T$179=1,"合计：","")</f>
        <v/>
      </c>
      <c r="C2667" s="73" t="str">
        <f aca="false">IF(助手回款!$T$179=1,$F2667,"")</f>
        <v/>
      </c>
      <c r="D2667" s="74"/>
      <c r="E2667" s="74"/>
      <c r="F2667" s="75" t="str">
        <f aca="false">IF(助手回款!$T$179=1,INDEX(助手回款!$N$2:$N$66,助手回款!$R$179),"")</f>
        <v/>
      </c>
      <c r="G2667" s="76" t="str">
        <f aca="false">IF(助手回款!$T$179=1,INDEX(助手回款!$O$2:$O$66,助手回款!$R$179),"")</f>
        <v/>
      </c>
      <c r="H2667" s="74"/>
      <c r="I2667" s="77"/>
    </row>
    <row r="2668" customFormat="false" ht="6" hidden="false" customHeight="true" outlineLevel="0" collapsed="false"/>
    <row r="2669" customFormat="false" ht="13.5" hidden="false" customHeight="false" outlineLevel="0" collapsed="false">
      <c r="B2669" s="78" t="str">
        <f aca="false">IF(助手回款!$R$179&lt;&gt;"","会计主管：","")</f>
        <v/>
      </c>
      <c r="D2669" s="78" t="str">
        <f aca="false">IF(助手回款!$R$179&lt;&gt;"","会计：","")</f>
        <v/>
      </c>
      <c r="E2669" s="78" t="str">
        <f aca="false">IF(助手回款!$R$179&lt;&gt;"","出纳：","")</f>
        <v/>
      </c>
      <c r="F2669" s="78" t="str">
        <f aca="false">IF(助手回款!$R$179&lt;&gt;"","复核：","")</f>
        <v/>
      </c>
      <c r="G2669" s="78" t="str">
        <f aca="false">IF(助手回款!$R$179&lt;&gt;"","制单：","")</f>
        <v/>
      </c>
    </row>
    <row r="2670" customFormat="false" ht="3" hidden="false" customHeight="true" outlineLevel="0" collapsed="false"/>
    <row r="2671" customFormat="false" ht="19.5" hidden="false" customHeight="true" outlineLevel="0" collapsed="false">
      <c r="B2671" s="53" t="str">
        <f aca="false">IF(助手回款!$R$180&lt;&gt;"","记  账  凭  证","")</f>
        <v/>
      </c>
      <c r="C2671" s="53"/>
      <c r="D2671" s="53"/>
      <c r="E2671" s="53"/>
      <c r="F2671" s="53"/>
      <c r="G2671" s="53"/>
      <c r="H2671" s="53"/>
      <c r="I2671" s="53"/>
    </row>
    <row r="2672" customFormat="false" ht="3" hidden="false" customHeight="true" outlineLevel="0" collapsed="false"/>
    <row r="2673" customFormat="false" ht="15" hidden="false" customHeight="true" outlineLevel="0" collapsed="false">
      <c r="C2673" s="56" t="str">
        <f aca="false">IF(助手回款!$R$180&lt;&gt;"",INDEX(助手回款!$B$2:$B$66,助手回款!$R$180),"")</f>
        <v/>
      </c>
      <c r="D2673" s="57" t="str">
        <f aca="false">IF(助手回款!$R$180&lt;&gt;"",参数!$B$2,"")</f>
        <v/>
      </c>
      <c r="E2673" s="57"/>
      <c r="F2673" s="58" t="str">
        <f aca="false">IF(助手回款!$R$180&lt;&gt;"",INDEX(助手回款!$C$2:$C$66,助手回款!$R$180)&amp;"  字第 "&amp;IF(参数!$B$9="是",INDEX(助手回款!$P$2:$P$66,助手回款!$R$180),"　　　　")&amp;" 号"&amp;IF(INDEX(助手回款!$L$2:$L$66,助手回款!$R$180)&gt;1,"  (共"&amp;INDEX(助手回款!$L$2:$L$66,助手回款!$R$180)&amp;"页 第"&amp;助手回款!$S$180&amp;"页)",""),"")</f>
        <v/>
      </c>
      <c r="G2673" s="58"/>
      <c r="H2673" s="58"/>
      <c r="I2673" s="58"/>
      <c r="M2673" s="79" t="str">
        <f aca="false">IF(助手回款!$R$180="","",助手回款!$Q$180)</f>
        <v/>
      </c>
      <c r="N2673" s="80" t="str">
        <f aca="false">IF(助手回款!$R$180="","",INDEX(助手回款!$P$2:$P$66,助手回款!$R$180))</f>
        <v/>
      </c>
      <c r="O2673" s="55" t="str">
        <f aca="false">IF(助手回款!$R$180="","",INDEX(助手回款!$C$2:$C$66,助手回款!$R$180)&amp;"  字第 "&amp;INDEX(助手回款!$P$2:$P$66,助手回款!$R$180)&amp;" 号"&amp;IF(INDEX(助手回款!$L$2:$L$66,助手回款!$R$180)&gt;1,"  (共"&amp;INDEX(助手回款!$L$2:$L$66,助手回款!$R$180)&amp;"页 第"&amp;助手回款!$S$180&amp;"页)",""))</f>
        <v/>
      </c>
    </row>
    <row r="2674" customFormat="false" ht="12.75" hidden="false" customHeight="true" outlineLevel="0" collapsed="false">
      <c r="B2674" s="61" t="str">
        <f aca="false">IF(助手回款!$R$180&lt;&gt;"","摘　　要","")</f>
        <v/>
      </c>
      <c r="C2674" s="61"/>
      <c r="D2674" s="62" t="str">
        <f aca="false">IF(助手回款!$R$180&lt;&gt;"","科　　　　目","")</f>
        <v/>
      </c>
      <c r="E2674" s="62"/>
      <c r="F2674" s="61" t="str">
        <f aca="false">IF(助手回款!$R$180&lt;&gt;"","借 方 金 额","")</f>
        <v/>
      </c>
      <c r="G2674" s="62" t="str">
        <f aca="false">IF(助手回款!$R$180&lt;&gt;"","贷 方 金 额","")</f>
        <v/>
      </c>
      <c r="H2674" s="63" t="str">
        <f aca="false">IF(助手回款!$R$180&lt;&gt;"","√","")</f>
        <v/>
      </c>
      <c r="I2674" s="64" t="str">
        <f aca="false">IF(助手回款!$R$180&lt;&gt;"","附单据  张","")</f>
        <v/>
      </c>
    </row>
    <row r="2675" customFormat="false" ht="12.75" hidden="false" customHeight="true" outlineLevel="0" collapsed="false">
      <c r="B2675" s="61"/>
      <c r="C2675" s="61"/>
      <c r="D2675" s="23" t="str">
        <f aca="false">IF(助手回款!$R$180&lt;&gt;"","总 账 科 目","")</f>
        <v/>
      </c>
      <c r="E2675" s="23" t="str">
        <f aca="false">IF(助手回款!$R$180&lt;&gt;"","明 细 科 目","")</f>
        <v/>
      </c>
      <c r="F2675" s="65"/>
      <c r="G2675" s="66"/>
      <c r="H2675" s="63"/>
      <c r="I2675" s="64"/>
    </row>
    <row r="2676" customFormat="false" ht="23.25" hidden="false" customHeight="true" outlineLevel="0" collapsed="false">
      <c r="B2676" s="67" t="str">
        <f aca="false">IFERROR(INDEX(分录回款!$M:$M,MATCH($L2676,分录回款!$L:$L,0)),"")</f>
        <v/>
      </c>
      <c r="C2676" s="67"/>
      <c r="D2676" s="23" t="str">
        <f aca="false">IFERROR(INDEX(分录回款!$E:$E,MATCH($L2676,分录回款!$L:$L,0)),"")</f>
        <v/>
      </c>
      <c r="E2676" s="23" t="str">
        <f aca="false">IFERROR(INDEX(分录回款!$F:$F,MATCH($L2676,分录回款!$L:$L,0)),"")</f>
        <v/>
      </c>
      <c r="F2676" s="68" t="str">
        <f aca="false">IFERROR(INDEX(分录回款!$H:$H,MATCH($L2676,分录回款!$L:$L,0)),"")</f>
        <v/>
      </c>
      <c r="G2676" s="69" t="str">
        <f aca="false">IFERROR(INDEX(分录回款!$I:$I,MATCH($L2676,分录回款!$L:$L,0)),"")</f>
        <v/>
      </c>
      <c r="H2676" s="23"/>
      <c r="I2676" s="70"/>
      <c r="L2676" s="71" t="n">
        <f aca="false">IF(助手回款!$R$180="",-1,助手回款!$R$180*100+(助手回款!$S$180-1)*6+1)</f>
        <v>-1</v>
      </c>
    </row>
    <row r="2677" customFormat="false" ht="23.25" hidden="false" customHeight="true" outlineLevel="0" collapsed="false">
      <c r="B2677" s="67" t="str">
        <f aca="false">""</f>
        <v/>
      </c>
      <c r="C2677" s="67"/>
      <c r="D2677" s="23" t="str">
        <f aca="false">IFERROR(INDEX(分录回款!$E:$E,MATCH($L2677,分录回款!$L:$L,0)),"")</f>
        <v/>
      </c>
      <c r="E2677" s="23" t="str">
        <f aca="false">IFERROR(INDEX(分录回款!$F:$F,MATCH($L2677,分录回款!$L:$L,0)),"")</f>
        <v/>
      </c>
      <c r="F2677" s="68" t="str">
        <f aca="false">IFERROR(INDEX(分录回款!$H:$H,MATCH($L2677,分录回款!$L:$L,0)),"")</f>
        <v/>
      </c>
      <c r="G2677" s="69" t="str">
        <f aca="false">IFERROR(INDEX(分录回款!$I:$I,MATCH($L2677,分录回款!$L:$L,0)),"")</f>
        <v/>
      </c>
      <c r="H2677" s="23"/>
      <c r="I2677" s="70"/>
      <c r="L2677" s="71" t="n">
        <f aca="false">IF(助手回款!$R$180="",-1,助手回款!$R$180*100+(助手回款!$S$180-1)*6+2)</f>
        <v>-1</v>
      </c>
    </row>
    <row r="2678" customFormat="false" ht="23.25" hidden="false" customHeight="true" outlineLevel="0" collapsed="false">
      <c r="B2678" s="67" t="str">
        <f aca="false">""</f>
        <v/>
      </c>
      <c r="C2678" s="67"/>
      <c r="D2678" s="23" t="str">
        <f aca="false">IFERROR(INDEX(分录回款!$E:$E,MATCH($L2678,分录回款!$L:$L,0)),"")</f>
        <v/>
      </c>
      <c r="E2678" s="23" t="str">
        <f aca="false">IFERROR(INDEX(分录回款!$F:$F,MATCH($L2678,分录回款!$L:$L,0)),"")</f>
        <v/>
      </c>
      <c r="F2678" s="68" t="str">
        <f aca="false">IFERROR(INDEX(分录回款!$H:$H,MATCH($L2678,分录回款!$L:$L,0)),"")</f>
        <v/>
      </c>
      <c r="G2678" s="69" t="str">
        <f aca="false">IFERROR(INDEX(分录回款!$I:$I,MATCH($L2678,分录回款!$L:$L,0)),"")</f>
        <v/>
      </c>
      <c r="H2678" s="23"/>
      <c r="I2678" s="70"/>
      <c r="L2678" s="71" t="n">
        <f aca="false">IF(助手回款!$R$180="",-1,助手回款!$R$180*100+(助手回款!$S$180-1)*6+3)</f>
        <v>-1</v>
      </c>
    </row>
    <row r="2679" customFormat="false" ht="23.25" hidden="false" customHeight="true" outlineLevel="0" collapsed="false">
      <c r="B2679" s="67" t="str">
        <f aca="false">""</f>
        <v/>
      </c>
      <c r="C2679" s="67"/>
      <c r="D2679" s="23" t="str">
        <f aca="false">IFERROR(INDEX(分录回款!$E:$E,MATCH($L2679,分录回款!$L:$L,0)),"")</f>
        <v/>
      </c>
      <c r="E2679" s="23" t="str">
        <f aca="false">IFERROR(INDEX(分录回款!$F:$F,MATCH($L2679,分录回款!$L:$L,0)),"")</f>
        <v/>
      </c>
      <c r="F2679" s="68" t="str">
        <f aca="false">IFERROR(INDEX(分录回款!$H:$H,MATCH($L2679,分录回款!$L:$L,0)),"")</f>
        <v/>
      </c>
      <c r="G2679" s="69" t="str">
        <f aca="false">IFERROR(INDEX(分录回款!$I:$I,MATCH($L2679,分录回款!$L:$L,0)),"")</f>
        <v/>
      </c>
      <c r="H2679" s="23"/>
      <c r="I2679" s="70"/>
      <c r="L2679" s="71" t="n">
        <f aca="false">IF(助手回款!$R$180="",-1,助手回款!$R$180*100+(助手回款!$S$180-1)*6+4)</f>
        <v>-1</v>
      </c>
    </row>
    <row r="2680" customFormat="false" ht="23.25" hidden="false" customHeight="true" outlineLevel="0" collapsed="false">
      <c r="B2680" s="67" t="str">
        <f aca="false">""</f>
        <v/>
      </c>
      <c r="C2680" s="67"/>
      <c r="D2680" s="23" t="str">
        <f aca="false">IFERROR(INDEX(分录回款!$E:$E,MATCH($L2680,分录回款!$L:$L,0)),"")</f>
        <v/>
      </c>
      <c r="E2680" s="23" t="str">
        <f aca="false">IFERROR(INDEX(分录回款!$F:$F,MATCH($L2680,分录回款!$L:$L,0)),"")</f>
        <v/>
      </c>
      <c r="F2680" s="68" t="str">
        <f aca="false">IFERROR(INDEX(分录回款!$H:$H,MATCH($L2680,分录回款!$L:$L,0)),"")</f>
        <v/>
      </c>
      <c r="G2680" s="69" t="str">
        <f aca="false">IFERROR(INDEX(分录回款!$I:$I,MATCH($L2680,分录回款!$L:$L,0)),"")</f>
        <v/>
      </c>
      <c r="H2680" s="23"/>
      <c r="I2680" s="70"/>
      <c r="L2680" s="71" t="n">
        <f aca="false">IF(助手回款!$R$180="",-1,助手回款!$R$180*100+(助手回款!$S$180-1)*6+5)</f>
        <v>-1</v>
      </c>
    </row>
    <row r="2681" customFormat="false" ht="23.25" hidden="false" customHeight="true" outlineLevel="0" collapsed="false">
      <c r="B2681" s="67" t="str">
        <f aca="false">""</f>
        <v/>
      </c>
      <c r="C2681" s="67"/>
      <c r="D2681" s="23" t="str">
        <f aca="false">IFERROR(INDEX(分录回款!$E:$E,MATCH($L2681,分录回款!$L:$L,0)),"")</f>
        <v/>
      </c>
      <c r="E2681" s="23" t="str">
        <f aca="false">IFERROR(INDEX(分录回款!$F:$F,MATCH($L2681,分录回款!$L:$L,0)),"")</f>
        <v/>
      </c>
      <c r="F2681" s="68" t="str">
        <f aca="false">IFERROR(INDEX(分录回款!$H:$H,MATCH($L2681,分录回款!$L:$L,0)),"")</f>
        <v/>
      </c>
      <c r="G2681" s="69" t="str">
        <f aca="false">IFERROR(INDEX(分录回款!$I:$I,MATCH($L2681,分录回款!$L:$L,0)),"")</f>
        <v/>
      </c>
      <c r="H2681" s="23"/>
      <c r="I2681" s="70"/>
      <c r="L2681" s="71" t="n">
        <f aca="false">IF(助手回款!$R$180="",-1,助手回款!$R$180*100+(助手回款!$S$180-1)*6+6)</f>
        <v>-1</v>
      </c>
    </row>
    <row r="2682" customFormat="false" ht="23.25" hidden="false" customHeight="true" outlineLevel="0" collapsed="false">
      <c r="B2682" s="72" t="str">
        <f aca="false">IF(助手回款!$T$180=1,"合计：","")</f>
        <v/>
      </c>
      <c r="C2682" s="73" t="str">
        <f aca="false">IF(助手回款!$T$180=1,$F2682,"")</f>
        <v/>
      </c>
      <c r="D2682" s="74"/>
      <c r="E2682" s="74"/>
      <c r="F2682" s="75" t="str">
        <f aca="false">IF(助手回款!$T$180=1,INDEX(助手回款!$N$2:$N$66,助手回款!$R$180),"")</f>
        <v/>
      </c>
      <c r="G2682" s="76" t="str">
        <f aca="false">IF(助手回款!$T$180=1,INDEX(助手回款!$O$2:$O$66,助手回款!$R$180),"")</f>
        <v/>
      </c>
      <c r="H2682" s="74"/>
      <c r="I2682" s="77"/>
    </row>
    <row r="2683" customFormat="false" ht="6" hidden="false" customHeight="true" outlineLevel="0" collapsed="false"/>
    <row r="2684" customFormat="false" ht="13.5" hidden="false" customHeight="false" outlineLevel="0" collapsed="false">
      <c r="B2684" s="78" t="str">
        <f aca="false">IF(助手回款!$R$180&lt;&gt;"","会计主管：","")</f>
        <v/>
      </c>
      <c r="D2684" s="78" t="str">
        <f aca="false">IF(助手回款!$R$180&lt;&gt;"","会计：","")</f>
        <v/>
      </c>
      <c r="E2684" s="78" t="str">
        <f aca="false">IF(助手回款!$R$180&lt;&gt;"","出纳：","")</f>
        <v/>
      </c>
      <c r="F2684" s="78" t="str">
        <f aca="false">IF(助手回款!$R$180&lt;&gt;"","复核：","")</f>
        <v/>
      </c>
      <c r="G2684" s="78" t="str">
        <f aca="false">IF(助手回款!$R$180&lt;&gt;"","制单：","")</f>
        <v/>
      </c>
    </row>
    <row r="2685" customFormat="false" ht="3" hidden="false" customHeight="true" outlineLevel="0" collapsed="false"/>
    <row r="2686" customFormat="false" ht="19.5" hidden="false" customHeight="true" outlineLevel="0" collapsed="false">
      <c r="B2686" s="53" t="str">
        <f aca="false">IF(助手回款!$R$181&lt;&gt;"","记  账  凭  证","")</f>
        <v/>
      </c>
      <c r="C2686" s="53"/>
      <c r="D2686" s="53"/>
      <c r="E2686" s="53"/>
      <c r="F2686" s="53"/>
      <c r="G2686" s="53"/>
      <c r="H2686" s="53"/>
      <c r="I2686" s="53"/>
    </row>
    <row r="2687" customFormat="false" ht="3" hidden="false" customHeight="true" outlineLevel="0" collapsed="false"/>
    <row r="2688" customFormat="false" ht="15" hidden="false" customHeight="true" outlineLevel="0" collapsed="false">
      <c r="C2688" s="56" t="str">
        <f aca="false">IF(助手回款!$R$181&lt;&gt;"",INDEX(助手回款!$B$2:$B$66,助手回款!$R$181),"")</f>
        <v/>
      </c>
      <c r="D2688" s="57" t="str">
        <f aca="false">IF(助手回款!$R$181&lt;&gt;"",参数!$B$2,"")</f>
        <v/>
      </c>
      <c r="E2688" s="57"/>
      <c r="F2688" s="58" t="str">
        <f aca="false">IF(助手回款!$R$181&lt;&gt;"",INDEX(助手回款!$C$2:$C$66,助手回款!$R$181)&amp;"  字第 "&amp;IF(参数!$B$9="是",INDEX(助手回款!$P$2:$P$66,助手回款!$R$181),"　　　　")&amp;" 号"&amp;IF(INDEX(助手回款!$L$2:$L$66,助手回款!$R$181)&gt;1,"  (共"&amp;INDEX(助手回款!$L$2:$L$66,助手回款!$R$181)&amp;"页 第"&amp;助手回款!$S$181&amp;"页)",""),"")</f>
        <v/>
      </c>
      <c r="G2688" s="58"/>
      <c r="H2688" s="58"/>
      <c r="I2688" s="58"/>
      <c r="M2688" s="79" t="str">
        <f aca="false">IF(助手回款!$R$181="","",助手回款!$Q$181)</f>
        <v/>
      </c>
      <c r="N2688" s="80" t="str">
        <f aca="false">IF(助手回款!$R$181="","",INDEX(助手回款!$P$2:$P$66,助手回款!$R$181))</f>
        <v/>
      </c>
      <c r="O2688" s="55" t="str">
        <f aca="false">IF(助手回款!$R$181="","",INDEX(助手回款!$C$2:$C$66,助手回款!$R$181)&amp;"  字第 "&amp;INDEX(助手回款!$P$2:$P$66,助手回款!$R$181)&amp;" 号"&amp;IF(INDEX(助手回款!$L$2:$L$66,助手回款!$R$181)&gt;1,"  (共"&amp;INDEX(助手回款!$L$2:$L$66,助手回款!$R$181)&amp;"页 第"&amp;助手回款!$S$181&amp;"页)",""))</f>
        <v/>
      </c>
    </row>
    <row r="2689" customFormat="false" ht="12.75" hidden="false" customHeight="true" outlineLevel="0" collapsed="false">
      <c r="B2689" s="61" t="str">
        <f aca="false">IF(助手回款!$R$181&lt;&gt;"","摘　　要","")</f>
        <v/>
      </c>
      <c r="C2689" s="61"/>
      <c r="D2689" s="62" t="str">
        <f aca="false">IF(助手回款!$R$181&lt;&gt;"","科　　　　目","")</f>
        <v/>
      </c>
      <c r="E2689" s="62"/>
      <c r="F2689" s="61" t="str">
        <f aca="false">IF(助手回款!$R$181&lt;&gt;"","借 方 金 额","")</f>
        <v/>
      </c>
      <c r="G2689" s="62" t="str">
        <f aca="false">IF(助手回款!$R$181&lt;&gt;"","贷 方 金 额","")</f>
        <v/>
      </c>
      <c r="H2689" s="63" t="str">
        <f aca="false">IF(助手回款!$R$181&lt;&gt;"","√","")</f>
        <v/>
      </c>
      <c r="I2689" s="64" t="str">
        <f aca="false">IF(助手回款!$R$181&lt;&gt;"","附单据  张","")</f>
        <v/>
      </c>
    </row>
    <row r="2690" customFormat="false" ht="12.75" hidden="false" customHeight="true" outlineLevel="0" collapsed="false">
      <c r="B2690" s="61"/>
      <c r="C2690" s="61"/>
      <c r="D2690" s="23" t="str">
        <f aca="false">IF(助手回款!$R$181&lt;&gt;"","总 账 科 目","")</f>
        <v/>
      </c>
      <c r="E2690" s="23" t="str">
        <f aca="false">IF(助手回款!$R$181&lt;&gt;"","明 细 科 目","")</f>
        <v/>
      </c>
      <c r="F2690" s="65"/>
      <c r="G2690" s="66"/>
      <c r="H2690" s="63"/>
      <c r="I2690" s="64"/>
    </row>
    <row r="2691" customFormat="false" ht="23.25" hidden="false" customHeight="true" outlineLevel="0" collapsed="false">
      <c r="B2691" s="67" t="str">
        <f aca="false">IFERROR(INDEX(分录回款!$M:$M,MATCH($L2691,分录回款!$L:$L,0)),"")</f>
        <v/>
      </c>
      <c r="C2691" s="67"/>
      <c r="D2691" s="23" t="str">
        <f aca="false">IFERROR(INDEX(分录回款!$E:$E,MATCH($L2691,分录回款!$L:$L,0)),"")</f>
        <v/>
      </c>
      <c r="E2691" s="23" t="str">
        <f aca="false">IFERROR(INDEX(分录回款!$F:$F,MATCH($L2691,分录回款!$L:$L,0)),"")</f>
        <v/>
      </c>
      <c r="F2691" s="68" t="str">
        <f aca="false">IFERROR(INDEX(分录回款!$H:$H,MATCH($L2691,分录回款!$L:$L,0)),"")</f>
        <v/>
      </c>
      <c r="G2691" s="69" t="str">
        <f aca="false">IFERROR(INDEX(分录回款!$I:$I,MATCH($L2691,分录回款!$L:$L,0)),"")</f>
        <v/>
      </c>
      <c r="H2691" s="23"/>
      <c r="I2691" s="70"/>
      <c r="L2691" s="71" t="n">
        <f aca="false">IF(助手回款!$R$181="",-1,助手回款!$R$181*100+(助手回款!$S$181-1)*6+1)</f>
        <v>-1</v>
      </c>
    </row>
    <row r="2692" customFormat="false" ht="23.25" hidden="false" customHeight="true" outlineLevel="0" collapsed="false">
      <c r="B2692" s="67" t="str">
        <f aca="false">""</f>
        <v/>
      </c>
      <c r="C2692" s="67"/>
      <c r="D2692" s="23" t="str">
        <f aca="false">IFERROR(INDEX(分录回款!$E:$E,MATCH($L2692,分录回款!$L:$L,0)),"")</f>
        <v/>
      </c>
      <c r="E2692" s="23" t="str">
        <f aca="false">IFERROR(INDEX(分录回款!$F:$F,MATCH($L2692,分录回款!$L:$L,0)),"")</f>
        <v/>
      </c>
      <c r="F2692" s="68" t="str">
        <f aca="false">IFERROR(INDEX(分录回款!$H:$H,MATCH($L2692,分录回款!$L:$L,0)),"")</f>
        <v/>
      </c>
      <c r="G2692" s="69" t="str">
        <f aca="false">IFERROR(INDEX(分录回款!$I:$I,MATCH($L2692,分录回款!$L:$L,0)),"")</f>
        <v/>
      </c>
      <c r="H2692" s="23"/>
      <c r="I2692" s="70"/>
      <c r="L2692" s="71" t="n">
        <f aca="false">IF(助手回款!$R$181="",-1,助手回款!$R$181*100+(助手回款!$S$181-1)*6+2)</f>
        <v>-1</v>
      </c>
    </row>
    <row r="2693" customFormat="false" ht="23.25" hidden="false" customHeight="true" outlineLevel="0" collapsed="false">
      <c r="B2693" s="67" t="str">
        <f aca="false">""</f>
        <v/>
      </c>
      <c r="C2693" s="67"/>
      <c r="D2693" s="23" t="str">
        <f aca="false">IFERROR(INDEX(分录回款!$E:$E,MATCH($L2693,分录回款!$L:$L,0)),"")</f>
        <v/>
      </c>
      <c r="E2693" s="23" t="str">
        <f aca="false">IFERROR(INDEX(分录回款!$F:$F,MATCH($L2693,分录回款!$L:$L,0)),"")</f>
        <v/>
      </c>
      <c r="F2693" s="68" t="str">
        <f aca="false">IFERROR(INDEX(分录回款!$H:$H,MATCH($L2693,分录回款!$L:$L,0)),"")</f>
        <v/>
      </c>
      <c r="G2693" s="69" t="str">
        <f aca="false">IFERROR(INDEX(分录回款!$I:$I,MATCH($L2693,分录回款!$L:$L,0)),"")</f>
        <v/>
      </c>
      <c r="H2693" s="23"/>
      <c r="I2693" s="70"/>
      <c r="L2693" s="71" t="n">
        <f aca="false">IF(助手回款!$R$181="",-1,助手回款!$R$181*100+(助手回款!$S$181-1)*6+3)</f>
        <v>-1</v>
      </c>
    </row>
    <row r="2694" customFormat="false" ht="23.25" hidden="false" customHeight="true" outlineLevel="0" collapsed="false">
      <c r="B2694" s="67" t="str">
        <f aca="false">""</f>
        <v/>
      </c>
      <c r="C2694" s="67"/>
      <c r="D2694" s="23" t="str">
        <f aca="false">IFERROR(INDEX(分录回款!$E:$E,MATCH($L2694,分录回款!$L:$L,0)),"")</f>
        <v/>
      </c>
      <c r="E2694" s="23" t="str">
        <f aca="false">IFERROR(INDEX(分录回款!$F:$F,MATCH($L2694,分录回款!$L:$L,0)),"")</f>
        <v/>
      </c>
      <c r="F2694" s="68" t="str">
        <f aca="false">IFERROR(INDEX(分录回款!$H:$H,MATCH($L2694,分录回款!$L:$L,0)),"")</f>
        <v/>
      </c>
      <c r="G2694" s="69" t="str">
        <f aca="false">IFERROR(INDEX(分录回款!$I:$I,MATCH($L2694,分录回款!$L:$L,0)),"")</f>
        <v/>
      </c>
      <c r="H2694" s="23"/>
      <c r="I2694" s="70"/>
      <c r="L2694" s="71" t="n">
        <f aca="false">IF(助手回款!$R$181="",-1,助手回款!$R$181*100+(助手回款!$S$181-1)*6+4)</f>
        <v>-1</v>
      </c>
    </row>
    <row r="2695" customFormat="false" ht="23.25" hidden="false" customHeight="true" outlineLevel="0" collapsed="false">
      <c r="B2695" s="67" t="str">
        <f aca="false">""</f>
        <v/>
      </c>
      <c r="C2695" s="67"/>
      <c r="D2695" s="23" t="str">
        <f aca="false">IFERROR(INDEX(分录回款!$E:$E,MATCH($L2695,分录回款!$L:$L,0)),"")</f>
        <v/>
      </c>
      <c r="E2695" s="23" t="str">
        <f aca="false">IFERROR(INDEX(分录回款!$F:$F,MATCH($L2695,分录回款!$L:$L,0)),"")</f>
        <v/>
      </c>
      <c r="F2695" s="68" t="str">
        <f aca="false">IFERROR(INDEX(分录回款!$H:$H,MATCH($L2695,分录回款!$L:$L,0)),"")</f>
        <v/>
      </c>
      <c r="G2695" s="69" t="str">
        <f aca="false">IFERROR(INDEX(分录回款!$I:$I,MATCH($L2695,分录回款!$L:$L,0)),"")</f>
        <v/>
      </c>
      <c r="H2695" s="23"/>
      <c r="I2695" s="70"/>
      <c r="L2695" s="71" t="n">
        <f aca="false">IF(助手回款!$R$181="",-1,助手回款!$R$181*100+(助手回款!$S$181-1)*6+5)</f>
        <v>-1</v>
      </c>
    </row>
    <row r="2696" customFormat="false" ht="23.25" hidden="false" customHeight="true" outlineLevel="0" collapsed="false">
      <c r="B2696" s="67" t="str">
        <f aca="false">""</f>
        <v/>
      </c>
      <c r="C2696" s="67"/>
      <c r="D2696" s="23" t="str">
        <f aca="false">IFERROR(INDEX(分录回款!$E:$E,MATCH($L2696,分录回款!$L:$L,0)),"")</f>
        <v/>
      </c>
      <c r="E2696" s="23" t="str">
        <f aca="false">IFERROR(INDEX(分录回款!$F:$F,MATCH($L2696,分录回款!$L:$L,0)),"")</f>
        <v/>
      </c>
      <c r="F2696" s="68" t="str">
        <f aca="false">IFERROR(INDEX(分录回款!$H:$H,MATCH($L2696,分录回款!$L:$L,0)),"")</f>
        <v/>
      </c>
      <c r="G2696" s="69" t="str">
        <f aca="false">IFERROR(INDEX(分录回款!$I:$I,MATCH($L2696,分录回款!$L:$L,0)),"")</f>
        <v/>
      </c>
      <c r="H2696" s="23"/>
      <c r="I2696" s="70"/>
      <c r="L2696" s="71" t="n">
        <f aca="false">IF(助手回款!$R$181="",-1,助手回款!$R$181*100+(助手回款!$S$181-1)*6+6)</f>
        <v>-1</v>
      </c>
    </row>
    <row r="2697" customFormat="false" ht="23.25" hidden="false" customHeight="true" outlineLevel="0" collapsed="false">
      <c r="B2697" s="72" t="str">
        <f aca="false">IF(助手回款!$T$181=1,"合计：","")</f>
        <v/>
      </c>
      <c r="C2697" s="73" t="str">
        <f aca="false">IF(助手回款!$T$181=1,$F2697,"")</f>
        <v/>
      </c>
      <c r="D2697" s="74"/>
      <c r="E2697" s="74"/>
      <c r="F2697" s="75" t="str">
        <f aca="false">IF(助手回款!$T$181=1,INDEX(助手回款!$N$2:$N$66,助手回款!$R$181),"")</f>
        <v/>
      </c>
      <c r="G2697" s="76" t="str">
        <f aca="false">IF(助手回款!$T$181=1,INDEX(助手回款!$O$2:$O$66,助手回款!$R$181),"")</f>
        <v/>
      </c>
      <c r="H2697" s="74"/>
      <c r="I2697" s="77"/>
    </row>
    <row r="2698" customFormat="false" ht="6" hidden="false" customHeight="true" outlineLevel="0" collapsed="false"/>
    <row r="2699" customFormat="false" ht="13.5" hidden="false" customHeight="false" outlineLevel="0" collapsed="false">
      <c r="B2699" s="78" t="str">
        <f aca="false">IF(助手回款!$R$181&lt;&gt;"","会计主管：","")</f>
        <v/>
      </c>
      <c r="D2699" s="78" t="str">
        <f aca="false">IF(助手回款!$R$181&lt;&gt;"","会计：","")</f>
        <v/>
      </c>
      <c r="E2699" s="78" t="str">
        <f aca="false">IF(助手回款!$R$181&lt;&gt;"","出纳：","")</f>
        <v/>
      </c>
      <c r="F2699" s="78" t="str">
        <f aca="false">IF(助手回款!$R$181&lt;&gt;"","复核：","")</f>
        <v/>
      </c>
      <c r="G2699" s="78" t="str">
        <f aca="false">IF(助手回款!$R$181&lt;&gt;"","制单：","")</f>
        <v/>
      </c>
    </row>
    <row r="2700" customFormat="false" ht="3" hidden="false" customHeight="true" outlineLevel="0" collapsed="false"/>
    <row r="2701" customFormat="false" ht="19.5" hidden="false" customHeight="true" outlineLevel="0" collapsed="false">
      <c r="B2701" s="53" t="str">
        <f aca="false">IF(助手回款!$R$182&lt;&gt;"","记  账  凭  证","")</f>
        <v/>
      </c>
      <c r="C2701" s="53"/>
      <c r="D2701" s="53"/>
      <c r="E2701" s="53"/>
      <c r="F2701" s="53"/>
      <c r="G2701" s="53"/>
      <c r="H2701" s="53"/>
      <c r="I2701" s="53"/>
    </row>
    <row r="2702" customFormat="false" ht="3" hidden="false" customHeight="true" outlineLevel="0" collapsed="false"/>
    <row r="2703" customFormat="false" ht="15" hidden="false" customHeight="true" outlineLevel="0" collapsed="false">
      <c r="C2703" s="56" t="str">
        <f aca="false">IF(助手回款!$R$182&lt;&gt;"",INDEX(助手回款!$B$2:$B$66,助手回款!$R$182),"")</f>
        <v/>
      </c>
      <c r="D2703" s="57" t="str">
        <f aca="false">IF(助手回款!$R$182&lt;&gt;"",参数!$B$2,"")</f>
        <v/>
      </c>
      <c r="E2703" s="57"/>
      <c r="F2703" s="58" t="str">
        <f aca="false">IF(助手回款!$R$182&lt;&gt;"",INDEX(助手回款!$C$2:$C$66,助手回款!$R$182)&amp;"  字第 "&amp;IF(参数!$B$9="是",INDEX(助手回款!$P$2:$P$66,助手回款!$R$182),"　　　　")&amp;" 号"&amp;IF(INDEX(助手回款!$L$2:$L$66,助手回款!$R$182)&gt;1,"  (共"&amp;INDEX(助手回款!$L$2:$L$66,助手回款!$R$182)&amp;"页 第"&amp;助手回款!$S$182&amp;"页)",""),"")</f>
        <v/>
      </c>
      <c r="G2703" s="58"/>
      <c r="H2703" s="58"/>
      <c r="I2703" s="58"/>
      <c r="M2703" s="79" t="str">
        <f aca="false">IF(助手回款!$R$182="","",助手回款!$Q$182)</f>
        <v/>
      </c>
      <c r="N2703" s="80" t="str">
        <f aca="false">IF(助手回款!$R$182="","",INDEX(助手回款!$P$2:$P$66,助手回款!$R$182))</f>
        <v/>
      </c>
      <c r="O2703" s="55" t="str">
        <f aca="false">IF(助手回款!$R$182="","",INDEX(助手回款!$C$2:$C$66,助手回款!$R$182)&amp;"  字第 "&amp;INDEX(助手回款!$P$2:$P$66,助手回款!$R$182)&amp;" 号"&amp;IF(INDEX(助手回款!$L$2:$L$66,助手回款!$R$182)&gt;1,"  (共"&amp;INDEX(助手回款!$L$2:$L$66,助手回款!$R$182)&amp;"页 第"&amp;助手回款!$S$182&amp;"页)",""))</f>
        <v/>
      </c>
    </row>
    <row r="2704" customFormat="false" ht="12.75" hidden="false" customHeight="true" outlineLevel="0" collapsed="false">
      <c r="B2704" s="61" t="str">
        <f aca="false">IF(助手回款!$R$182&lt;&gt;"","摘　　要","")</f>
        <v/>
      </c>
      <c r="C2704" s="61"/>
      <c r="D2704" s="62" t="str">
        <f aca="false">IF(助手回款!$R$182&lt;&gt;"","科　　　　目","")</f>
        <v/>
      </c>
      <c r="E2704" s="62"/>
      <c r="F2704" s="61" t="str">
        <f aca="false">IF(助手回款!$R$182&lt;&gt;"","借 方 金 额","")</f>
        <v/>
      </c>
      <c r="G2704" s="62" t="str">
        <f aca="false">IF(助手回款!$R$182&lt;&gt;"","贷 方 金 额","")</f>
        <v/>
      </c>
      <c r="H2704" s="63" t="str">
        <f aca="false">IF(助手回款!$R$182&lt;&gt;"","√","")</f>
        <v/>
      </c>
      <c r="I2704" s="64" t="str">
        <f aca="false">IF(助手回款!$R$182&lt;&gt;"","附单据  张","")</f>
        <v/>
      </c>
    </row>
    <row r="2705" customFormat="false" ht="12.75" hidden="false" customHeight="true" outlineLevel="0" collapsed="false">
      <c r="B2705" s="61"/>
      <c r="C2705" s="61"/>
      <c r="D2705" s="23" t="str">
        <f aca="false">IF(助手回款!$R$182&lt;&gt;"","总 账 科 目","")</f>
        <v/>
      </c>
      <c r="E2705" s="23" t="str">
        <f aca="false">IF(助手回款!$R$182&lt;&gt;"","明 细 科 目","")</f>
        <v/>
      </c>
      <c r="F2705" s="65"/>
      <c r="G2705" s="66"/>
      <c r="H2705" s="63"/>
      <c r="I2705" s="64"/>
    </row>
    <row r="2706" customFormat="false" ht="23.25" hidden="false" customHeight="true" outlineLevel="0" collapsed="false">
      <c r="B2706" s="67" t="str">
        <f aca="false">IFERROR(INDEX(分录回款!$M:$M,MATCH($L2706,分录回款!$L:$L,0)),"")</f>
        <v/>
      </c>
      <c r="C2706" s="67"/>
      <c r="D2706" s="23" t="str">
        <f aca="false">IFERROR(INDEX(分录回款!$E:$E,MATCH($L2706,分录回款!$L:$L,0)),"")</f>
        <v/>
      </c>
      <c r="E2706" s="23" t="str">
        <f aca="false">IFERROR(INDEX(分录回款!$F:$F,MATCH($L2706,分录回款!$L:$L,0)),"")</f>
        <v/>
      </c>
      <c r="F2706" s="68" t="str">
        <f aca="false">IFERROR(INDEX(分录回款!$H:$H,MATCH($L2706,分录回款!$L:$L,0)),"")</f>
        <v/>
      </c>
      <c r="G2706" s="69" t="str">
        <f aca="false">IFERROR(INDEX(分录回款!$I:$I,MATCH($L2706,分录回款!$L:$L,0)),"")</f>
        <v/>
      </c>
      <c r="H2706" s="23"/>
      <c r="I2706" s="70"/>
      <c r="L2706" s="71" t="n">
        <f aca="false">IF(助手回款!$R$182="",-1,助手回款!$R$182*100+(助手回款!$S$182-1)*6+1)</f>
        <v>-1</v>
      </c>
    </row>
    <row r="2707" customFormat="false" ht="23.25" hidden="false" customHeight="true" outlineLevel="0" collapsed="false">
      <c r="B2707" s="67" t="str">
        <f aca="false">""</f>
        <v/>
      </c>
      <c r="C2707" s="67"/>
      <c r="D2707" s="23" t="str">
        <f aca="false">IFERROR(INDEX(分录回款!$E:$E,MATCH($L2707,分录回款!$L:$L,0)),"")</f>
        <v/>
      </c>
      <c r="E2707" s="23" t="str">
        <f aca="false">IFERROR(INDEX(分录回款!$F:$F,MATCH($L2707,分录回款!$L:$L,0)),"")</f>
        <v/>
      </c>
      <c r="F2707" s="68" t="str">
        <f aca="false">IFERROR(INDEX(分录回款!$H:$H,MATCH($L2707,分录回款!$L:$L,0)),"")</f>
        <v/>
      </c>
      <c r="G2707" s="69" t="str">
        <f aca="false">IFERROR(INDEX(分录回款!$I:$I,MATCH($L2707,分录回款!$L:$L,0)),"")</f>
        <v/>
      </c>
      <c r="H2707" s="23"/>
      <c r="I2707" s="70"/>
      <c r="L2707" s="71" t="n">
        <f aca="false">IF(助手回款!$R$182="",-1,助手回款!$R$182*100+(助手回款!$S$182-1)*6+2)</f>
        <v>-1</v>
      </c>
    </row>
    <row r="2708" customFormat="false" ht="23.25" hidden="false" customHeight="true" outlineLevel="0" collapsed="false">
      <c r="B2708" s="67" t="str">
        <f aca="false">""</f>
        <v/>
      </c>
      <c r="C2708" s="67"/>
      <c r="D2708" s="23" t="str">
        <f aca="false">IFERROR(INDEX(分录回款!$E:$E,MATCH($L2708,分录回款!$L:$L,0)),"")</f>
        <v/>
      </c>
      <c r="E2708" s="23" t="str">
        <f aca="false">IFERROR(INDEX(分录回款!$F:$F,MATCH($L2708,分录回款!$L:$L,0)),"")</f>
        <v/>
      </c>
      <c r="F2708" s="68" t="str">
        <f aca="false">IFERROR(INDEX(分录回款!$H:$H,MATCH($L2708,分录回款!$L:$L,0)),"")</f>
        <v/>
      </c>
      <c r="G2708" s="69" t="str">
        <f aca="false">IFERROR(INDEX(分录回款!$I:$I,MATCH($L2708,分录回款!$L:$L,0)),"")</f>
        <v/>
      </c>
      <c r="H2708" s="23"/>
      <c r="I2708" s="70"/>
      <c r="L2708" s="71" t="n">
        <f aca="false">IF(助手回款!$R$182="",-1,助手回款!$R$182*100+(助手回款!$S$182-1)*6+3)</f>
        <v>-1</v>
      </c>
    </row>
    <row r="2709" customFormat="false" ht="23.25" hidden="false" customHeight="true" outlineLevel="0" collapsed="false">
      <c r="B2709" s="67" t="str">
        <f aca="false">""</f>
        <v/>
      </c>
      <c r="C2709" s="67"/>
      <c r="D2709" s="23" t="str">
        <f aca="false">IFERROR(INDEX(分录回款!$E:$E,MATCH($L2709,分录回款!$L:$L,0)),"")</f>
        <v/>
      </c>
      <c r="E2709" s="23" t="str">
        <f aca="false">IFERROR(INDEX(分录回款!$F:$F,MATCH($L2709,分录回款!$L:$L,0)),"")</f>
        <v/>
      </c>
      <c r="F2709" s="68" t="str">
        <f aca="false">IFERROR(INDEX(分录回款!$H:$H,MATCH($L2709,分录回款!$L:$L,0)),"")</f>
        <v/>
      </c>
      <c r="G2709" s="69" t="str">
        <f aca="false">IFERROR(INDEX(分录回款!$I:$I,MATCH($L2709,分录回款!$L:$L,0)),"")</f>
        <v/>
      </c>
      <c r="H2709" s="23"/>
      <c r="I2709" s="70"/>
      <c r="L2709" s="71" t="n">
        <f aca="false">IF(助手回款!$R$182="",-1,助手回款!$R$182*100+(助手回款!$S$182-1)*6+4)</f>
        <v>-1</v>
      </c>
    </row>
    <row r="2710" customFormat="false" ht="23.25" hidden="false" customHeight="true" outlineLevel="0" collapsed="false">
      <c r="B2710" s="67" t="str">
        <f aca="false">""</f>
        <v/>
      </c>
      <c r="C2710" s="67"/>
      <c r="D2710" s="23" t="str">
        <f aca="false">IFERROR(INDEX(分录回款!$E:$E,MATCH($L2710,分录回款!$L:$L,0)),"")</f>
        <v/>
      </c>
      <c r="E2710" s="23" t="str">
        <f aca="false">IFERROR(INDEX(分录回款!$F:$F,MATCH($L2710,分录回款!$L:$L,0)),"")</f>
        <v/>
      </c>
      <c r="F2710" s="68" t="str">
        <f aca="false">IFERROR(INDEX(分录回款!$H:$H,MATCH($L2710,分录回款!$L:$L,0)),"")</f>
        <v/>
      </c>
      <c r="G2710" s="69" t="str">
        <f aca="false">IFERROR(INDEX(分录回款!$I:$I,MATCH($L2710,分录回款!$L:$L,0)),"")</f>
        <v/>
      </c>
      <c r="H2710" s="23"/>
      <c r="I2710" s="70"/>
      <c r="L2710" s="71" t="n">
        <f aca="false">IF(助手回款!$R$182="",-1,助手回款!$R$182*100+(助手回款!$S$182-1)*6+5)</f>
        <v>-1</v>
      </c>
    </row>
    <row r="2711" customFormat="false" ht="23.25" hidden="false" customHeight="true" outlineLevel="0" collapsed="false">
      <c r="B2711" s="67" t="str">
        <f aca="false">""</f>
        <v/>
      </c>
      <c r="C2711" s="67"/>
      <c r="D2711" s="23" t="str">
        <f aca="false">IFERROR(INDEX(分录回款!$E:$E,MATCH($L2711,分录回款!$L:$L,0)),"")</f>
        <v/>
      </c>
      <c r="E2711" s="23" t="str">
        <f aca="false">IFERROR(INDEX(分录回款!$F:$F,MATCH($L2711,分录回款!$L:$L,0)),"")</f>
        <v/>
      </c>
      <c r="F2711" s="68" t="str">
        <f aca="false">IFERROR(INDEX(分录回款!$H:$H,MATCH($L2711,分录回款!$L:$L,0)),"")</f>
        <v/>
      </c>
      <c r="G2711" s="69" t="str">
        <f aca="false">IFERROR(INDEX(分录回款!$I:$I,MATCH($L2711,分录回款!$L:$L,0)),"")</f>
        <v/>
      </c>
      <c r="H2711" s="23"/>
      <c r="I2711" s="70"/>
      <c r="L2711" s="71" t="n">
        <f aca="false">IF(助手回款!$R$182="",-1,助手回款!$R$182*100+(助手回款!$S$182-1)*6+6)</f>
        <v>-1</v>
      </c>
    </row>
    <row r="2712" customFormat="false" ht="23.25" hidden="false" customHeight="true" outlineLevel="0" collapsed="false">
      <c r="B2712" s="72" t="str">
        <f aca="false">IF(助手回款!$T$182=1,"合计：","")</f>
        <v/>
      </c>
      <c r="C2712" s="73" t="str">
        <f aca="false">IF(助手回款!$T$182=1,$F2712,"")</f>
        <v/>
      </c>
      <c r="D2712" s="74"/>
      <c r="E2712" s="74"/>
      <c r="F2712" s="75" t="str">
        <f aca="false">IF(助手回款!$T$182=1,INDEX(助手回款!$N$2:$N$66,助手回款!$R$182),"")</f>
        <v/>
      </c>
      <c r="G2712" s="76" t="str">
        <f aca="false">IF(助手回款!$T$182=1,INDEX(助手回款!$O$2:$O$66,助手回款!$R$182),"")</f>
        <v/>
      </c>
      <c r="H2712" s="74"/>
      <c r="I2712" s="77"/>
    </row>
    <row r="2713" customFormat="false" ht="6" hidden="false" customHeight="true" outlineLevel="0" collapsed="false"/>
    <row r="2714" customFormat="false" ht="13.5" hidden="false" customHeight="false" outlineLevel="0" collapsed="false">
      <c r="B2714" s="78" t="str">
        <f aca="false">IF(助手回款!$R$182&lt;&gt;"","会计主管：","")</f>
        <v/>
      </c>
      <c r="D2714" s="78" t="str">
        <f aca="false">IF(助手回款!$R$182&lt;&gt;"","会计：","")</f>
        <v/>
      </c>
      <c r="E2714" s="78" t="str">
        <f aca="false">IF(助手回款!$R$182&lt;&gt;"","出纳：","")</f>
        <v/>
      </c>
      <c r="F2714" s="78" t="str">
        <f aca="false">IF(助手回款!$R$182&lt;&gt;"","复核：","")</f>
        <v/>
      </c>
      <c r="G2714" s="78" t="str">
        <f aca="false">IF(助手回款!$R$182&lt;&gt;"","制单：","")</f>
        <v/>
      </c>
    </row>
    <row r="2715" customFormat="false" ht="3" hidden="false" customHeight="true" outlineLevel="0" collapsed="false"/>
    <row r="2716" customFormat="false" ht="19.5" hidden="false" customHeight="true" outlineLevel="0" collapsed="false">
      <c r="B2716" s="53" t="str">
        <f aca="false">IF(助手回款!$R$183&lt;&gt;"","记  账  凭  证","")</f>
        <v/>
      </c>
      <c r="C2716" s="53"/>
      <c r="D2716" s="53"/>
      <c r="E2716" s="53"/>
      <c r="F2716" s="53"/>
      <c r="G2716" s="53"/>
      <c r="H2716" s="53"/>
      <c r="I2716" s="53"/>
    </row>
    <row r="2717" customFormat="false" ht="3" hidden="false" customHeight="true" outlineLevel="0" collapsed="false"/>
    <row r="2718" customFormat="false" ht="15" hidden="false" customHeight="true" outlineLevel="0" collapsed="false">
      <c r="C2718" s="56" t="str">
        <f aca="false">IF(助手回款!$R$183&lt;&gt;"",INDEX(助手回款!$B$2:$B$66,助手回款!$R$183),"")</f>
        <v/>
      </c>
      <c r="D2718" s="57" t="str">
        <f aca="false">IF(助手回款!$R$183&lt;&gt;"",参数!$B$2,"")</f>
        <v/>
      </c>
      <c r="E2718" s="57"/>
      <c r="F2718" s="58" t="str">
        <f aca="false">IF(助手回款!$R$183&lt;&gt;"",INDEX(助手回款!$C$2:$C$66,助手回款!$R$183)&amp;"  字第 "&amp;IF(参数!$B$9="是",INDEX(助手回款!$P$2:$P$66,助手回款!$R$183),"　　　　")&amp;" 号"&amp;IF(INDEX(助手回款!$L$2:$L$66,助手回款!$R$183)&gt;1,"  (共"&amp;INDEX(助手回款!$L$2:$L$66,助手回款!$R$183)&amp;"页 第"&amp;助手回款!$S$183&amp;"页)",""),"")</f>
        <v/>
      </c>
      <c r="G2718" s="58"/>
      <c r="H2718" s="58"/>
      <c r="I2718" s="58"/>
      <c r="M2718" s="79" t="str">
        <f aca="false">IF(助手回款!$R$183="","",助手回款!$Q$183)</f>
        <v/>
      </c>
      <c r="N2718" s="80" t="str">
        <f aca="false">IF(助手回款!$R$183="","",INDEX(助手回款!$P$2:$P$66,助手回款!$R$183))</f>
        <v/>
      </c>
      <c r="O2718" s="55" t="str">
        <f aca="false">IF(助手回款!$R$183="","",INDEX(助手回款!$C$2:$C$66,助手回款!$R$183)&amp;"  字第 "&amp;INDEX(助手回款!$P$2:$P$66,助手回款!$R$183)&amp;" 号"&amp;IF(INDEX(助手回款!$L$2:$L$66,助手回款!$R$183)&gt;1,"  (共"&amp;INDEX(助手回款!$L$2:$L$66,助手回款!$R$183)&amp;"页 第"&amp;助手回款!$S$183&amp;"页)",""))</f>
        <v/>
      </c>
    </row>
    <row r="2719" customFormat="false" ht="12.75" hidden="false" customHeight="true" outlineLevel="0" collapsed="false">
      <c r="B2719" s="61" t="str">
        <f aca="false">IF(助手回款!$R$183&lt;&gt;"","摘　　要","")</f>
        <v/>
      </c>
      <c r="C2719" s="61"/>
      <c r="D2719" s="62" t="str">
        <f aca="false">IF(助手回款!$R$183&lt;&gt;"","科　　　　目","")</f>
        <v/>
      </c>
      <c r="E2719" s="62"/>
      <c r="F2719" s="61" t="str">
        <f aca="false">IF(助手回款!$R$183&lt;&gt;"","借 方 金 额","")</f>
        <v/>
      </c>
      <c r="G2719" s="62" t="str">
        <f aca="false">IF(助手回款!$R$183&lt;&gt;"","贷 方 金 额","")</f>
        <v/>
      </c>
      <c r="H2719" s="63" t="str">
        <f aca="false">IF(助手回款!$R$183&lt;&gt;"","√","")</f>
        <v/>
      </c>
      <c r="I2719" s="64" t="str">
        <f aca="false">IF(助手回款!$R$183&lt;&gt;"","附单据  张","")</f>
        <v/>
      </c>
    </row>
    <row r="2720" customFormat="false" ht="12.75" hidden="false" customHeight="true" outlineLevel="0" collapsed="false">
      <c r="B2720" s="61"/>
      <c r="C2720" s="61"/>
      <c r="D2720" s="23" t="str">
        <f aca="false">IF(助手回款!$R$183&lt;&gt;"","总 账 科 目","")</f>
        <v/>
      </c>
      <c r="E2720" s="23" t="str">
        <f aca="false">IF(助手回款!$R$183&lt;&gt;"","明 细 科 目","")</f>
        <v/>
      </c>
      <c r="F2720" s="65"/>
      <c r="G2720" s="66"/>
      <c r="H2720" s="63"/>
      <c r="I2720" s="64"/>
    </row>
    <row r="2721" customFormat="false" ht="23.25" hidden="false" customHeight="true" outlineLevel="0" collapsed="false">
      <c r="B2721" s="67" t="str">
        <f aca="false">IFERROR(INDEX(分录回款!$M:$M,MATCH($L2721,分录回款!$L:$L,0)),"")</f>
        <v/>
      </c>
      <c r="C2721" s="67"/>
      <c r="D2721" s="23" t="str">
        <f aca="false">IFERROR(INDEX(分录回款!$E:$E,MATCH($L2721,分录回款!$L:$L,0)),"")</f>
        <v/>
      </c>
      <c r="E2721" s="23" t="str">
        <f aca="false">IFERROR(INDEX(分录回款!$F:$F,MATCH($L2721,分录回款!$L:$L,0)),"")</f>
        <v/>
      </c>
      <c r="F2721" s="68" t="str">
        <f aca="false">IFERROR(INDEX(分录回款!$H:$H,MATCH($L2721,分录回款!$L:$L,0)),"")</f>
        <v/>
      </c>
      <c r="G2721" s="69" t="str">
        <f aca="false">IFERROR(INDEX(分录回款!$I:$I,MATCH($L2721,分录回款!$L:$L,0)),"")</f>
        <v/>
      </c>
      <c r="H2721" s="23"/>
      <c r="I2721" s="70"/>
      <c r="L2721" s="71" t="n">
        <f aca="false">IF(助手回款!$R$183="",-1,助手回款!$R$183*100+(助手回款!$S$183-1)*6+1)</f>
        <v>-1</v>
      </c>
    </row>
    <row r="2722" customFormat="false" ht="23.25" hidden="false" customHeight="true" outlineLevel="0" collapsed="false">
      <c r="B2722" s="67" t="str">
        <f aca="false">""</f>
        <v/>
      </c>
      <c r="C2722" s="67"/>
      <c r="D2722" s="23" t="str">
        <f aca="false">IFERROR(INDEX(分录回款!$E:$E,MATCH($L2722,分录回款!$L:$L,0)),"")</f>
        <v/>
      </c>
      <c r="E2722" s="23" t="str">
        <f aca="false">IFERROR(INDEX(分录回款!$F:$F,MATCH($L2722,分录回款!$L:$L,0)),"")</f>
        <v/>
      </c>
      <c r="F2722" s="68" t="str">
        <f aca="false">IFERROR(INDEX(分录回款!$H:$H,MATCH($L2722,分录回款!$L:$L,0)),"")</f>
        <v/>
      </c>
      <c r="G2722" s="69" t="str">
        <f aca="false">IFERROR(INDEX(分录回款!$I:$I,MATCH($L2722,分录回款!$L:$L,0)),"")</f>
        <v/>
      </c>
      <c r="H2722" s="23"/>
      <c r="I2722" s="70"/>
      <c r="L2722" s="71" t="n">
        <f aca="false">IF(助手回款!$R$183="",-1,助手回款!$R$183*100+(助手回款!$S$183-1)*6+2)</f>
        <v>-1</v>
      </c>
    </row>
    <row r="2723" customFormat="false" ht="23.25" hidden="false" customHeight="true" outlineLevel="0" collapsed="false">
      <c r="B2723" s="67" t="str">
        <f aca="false">""</f>
        <v/>
      </c>
      <c r="C2723" s="67"/>
      <c r="D2723" s="23" t="str">
        <f aca="false">IFERROR(INDEX(分录回款!$E:$E,MATCH($L2723,分录回款!$L:$L,0)),"")</f>
        <v/>
      </c>
      <c r="E2723" s="23" t="str">
        <f aca="false">IFERROR(INDEX(分录回款!$F:$F,MATCH($L2723,分录回款!$L:$L,0)),"")</f>
        <v/>
      </c>
      <c r="F2723" s="68" t="str">
        <f aca="false">IFERROR(INDEX(分录回款!$H:$H,MATCH($L2723,分录回款!$L:$L,0)),"")</f>
        <v/>
      </c>
      <c r="G2723" s="69" t="str">
        <f aca="false">IFERROR(INDEX(分录回款!$I:$I,MATCH($L2723,分录回款!$L:$L,0)),"")</f>
        <v/>
      </c>
      <c r="H2723" s="23"/>
      <c r="I2723" s="70"/>
      <c r="L2723" s="71" t="n">
        <f aca="false">IF(助手回款!$R$183="",-1,助手回款!$R$183*100+(助手回款!$S$183-1)*6+3)</f>
        <v>-1</v>
      </c>
    </row>
    <row r="2724" customFormat="false" ht="23.25" hidden="false" customHeight="true" outlineLevel="0" collapsed="false">
      <c r="B2724" s="67" t="str">
        <f aca="false">""</f>
        <v/>
      </c>
      <c r="C2724" s="67"/>
      <c r="D2724" s="23" t="str">
        <f aca="false">IFERROR(INDEX(分录回款!$E:$E,MATCH($L2724,分录回款!$L:$L,0)),"")</f>
        <v/>
      </c>
      <c r="E2724" s="23" t="str">
        <f aca="false">IFERROR(INDEX(分录回款!$F:$F,MATCH($L2724,分录回款!$L:$L,0)),"")</f>
        <v/>
      </c>
      <c r="F2724" s="68" t="str">
        <f aca="false">IFERROR(INDEX(分录回款!$H:$H,MATCH($L2724,分录回款!$L:$L,0)),"")</f>
        <v/>
      </c>
      <c r="G2724" s="69" t="str">
        <f aca="false">IFERROR(INDEX(分录回款!$I:$I,MATCH($L2724,分录回款!$L:$L,0)),"")</f>
        <v/>
      </c>
      <c r="H2724" s="23"/>
      <c r="I2724" s="70"/>
      <c r="L2724" s="71" t="n">
        <f aca="false">IF(助手回款!$R$183="",-1,助手回款!$R$183*100+(助手回款!$S$183-1)*6+4)</f>
        <v>-1</v>
      </c>
    </row>
    <row r="2725" customFormat="false" ht="23.25" hidden="false" customHeight="true" outlineLevel="0" collapsed="false">
      <c r="B2725" s="67" t="str">
        <f aca="false">""</f>
        <v/>
      </c>
      <c r="C2725" s="67"/>
      <c r="D2725" s="23" t="str">
        <f aca="false">IFERROR(INDEX(分录回款!$E:$E,MATCH($L2725,分录回款!$L:$L,0)),"")</f>
        <v/>
      </c>
      <c r="E2725" s="23" t="str">
        <f aca="false">IFERROR(INDEX(分录回款!$F:$F,MATCH($L2725,分录回款!$L:$L,0)),"")</f>
        <v/>
      </c>
      <c r="F2725" s="68" t="str">
        <f aca="false">IFERROR(INDEX(分录回款!$H:$H,MATCH($L2725,分录回款!$L:$L,0)),"")</f>
        <v/>
      </c>
      <c r="G2725" s="69" t="str">
        <f aca="false">IFERROR(INDEX(分录回款!$I:$I,MATCH($L2725,分录回款!$L:$L,0)),"")</f>
        <v/>
      </c>
      <c r="H2725" s="23"/>
      <c r="I2725" s="70"/>
      <c r="L2725" s="71" t="n">
        <f aca="false">IF(助手回款!$R$183="",-1,助手回款!$R$183*100+(助手回款!$S$183-1)*6+5)</f>
        <v>-1</v>
      </c>
    </row>
    <row r="2726" customFormat="false" ht="23.25" hidden="false" customHeight="true" outlineLevel="0" collapsed="false">
      <c r="B2726" s="67" t="str">
        <f aca="false">""</f>
        <v/>
      </c>
      <c r="C2726" s="67"/>
      <c r="D2726" s="23" t="str">
        <f aca="false">IFERROR(INDEX(分录回款!$E:$E,MATCH($L2726,分录回款!$L:$L,0)),"")</f>
        <v/>
      </c>
      <c r="E2726" s="23" t="str">
        <f aca="false">IFERROR(INDEX(分录回款!$F:$F,MATCH($L2726,分录回款!$L:$L,0)),"")</f>
        <v/>
      </c>
      <c r="F2726" s="68" t="str">
        <f aca="false">IFERROR(INDEX(分录回款!$H:$H,MATCH($L2726,分录回款!$L:$L,0)),"")</f>
        <v/>
      </c>
      <c r="G2726" s="69" t="str">
        <f aca="false">IFERROR(INDEX(分录回款!$I:$I,MATCH($L2726,分录回款!$L:$L,0)),"")</f>
        <v/>
      </c>
      <c r="H2726" s="23"/>
      <c r="I2726" s="70"/>
      <c r="L2726" s="71" t="n">
        <f aca="false">IF(助手回款!$R$183="",-1,助手回款!$R$183*100+(助手回款!$S$183-1)*6+6)</f>
        <v>-1</v>
      </c>
    </row>
    <row r="2727" customFormat="false" ht="23.25" hidden="false" customHeight="true" outlineLevel="0" collapsed="false">
      <c r="B2727" s="72" t="str">
        <f aca="false">IF(助手回款!$T$183=1,"合计：","")</f>
        <v/>
      </c>
      <c r="C2727" s="73" t="str">
        <f aca="false">IF(助手回款!$T$183=1,$F2727,"")</f>
        <v/>
      </c>
      <c r="D2727" s="74"/>
      <c r="E2727" s="74"/>
      <c r="F2727" s="75" t="str">
        <f aca="false">IF(助手回款!$T$183=1,INDEX(助手回款!$N$2:$N$66,助手回款!$R$183),"")</f>
        <v/>
      </c>
      <c r="G2727" s="76" t="str">
        <f aca="false">IF(助手回款!$T$183=1,INDEX(助手回款!$O$2:$O$66,助手回款!$R$183),"")</f>
        <v/>
      </c>
      <c r="H2727" s="74"/>
      <c r="I2727" s="77"/>
    </row>
    <row r="2728" customFormat="false" ht="6" hidden="false" customHeight="true" outlineLevel="0" collapsed="false"/>
    <row r="2729" customFormat="false" ht="13.5" hidden="false" customHeight="false" outlineLevel="0" collapsed="false">
      <c r="B2729" s="78" t="str">
        <f aca="false">IF(助手回款!$R$183&lt;&gt;"","会计主管：","")</f>
        <v/>
      </c>
      <c r="D2729" s="78" t="str">
        <f aca="false">IF(助手回款!$R$183&lt;&gt;"","会计：","")</f>
        <v/>
      </c>
      <c r="E2729" s="78" t="str">
        <f aca="false">IF(助手回款!$R$183&lt;&gt;"","出纳：","")</f>
        <v/>
      </c>
      <c r="F2729" s="78" t="str">
        <f aca="false">IF(助手回款!$R$183&lt;&gt;"","复核：","")</f>
        <v/>
      </c>
      <c r="G2729" s="78" t="str">
        <f aca="false">IF(助手回款!$R$183&lt;&gt;"","制单：","")</f>
        <v/>
      </c>
    </row>
    <row r="2730" customFormat="false" ht="3" hidden="false" customHeight="true" outlineLevel="0" collapsed="false"/>
    <row r="2731" customFormat="false" ht="19.5" hidden="false" customHeight="true" outlineLevel="0" collapsed="false">
      <c r="B2731" s="53" t="str">
        <f aca="false">IF(助手回款!$R$184&lt;&gt;"","记  账  凭  证","")</f>
        <v/>
      </c>
      <c r="C2731" s="53"/>
      <c r="D2731" s="53"/>
      <c r="E2731" s="53"/>
      <c r="F2731" s="53"/>
      <c r="G2731" s="53"/>
      <c r="H2731" s="53"/>
      <c r="I2731" s="53"/>
    </row>
    <row r="2732" customFormat="false" ht="3" hidden="false" customHeight="true" outlineLevel="0" collapsed="false"/>
    <row r="2733" customFormat="false" ht="15" hidden="false" customHeight="true" outlineLevel="0" collapsed="false">
      <c r="C2733" s="56" t="str">
        <f aca="false">IF(助手回款!$R$184&lt;&gt;"",INDEX(助手回款!$B$2:$B$66,助手回款!$R$184),"")</f>
        <v/>
      </c>
      <c r="D2733" s="57" t="str">
        <f aca="false">IF(助手回款!$R$184&lt;&gt;"",参数!$B$2,"")</f>
        <v/>
      </c>
      <c r="E2733" s="57"/>
      <c r="F2733" s="58" t="str">
        <f aca="false">IF(助手回款!$R$184&lt;&gt;"",INDEX(助手回款!$C$2:$C$66,助手回款!$R$184)&amp;"  字第 "&amp;IF(参数!$B$9="是",INDEX(助手回款!$P$2:$P$66,助手回款!$R$184),"　　　　")&amp;" 号"&amp;IF(INDEX(助手回款!$L$2:$L$66,助手回款!$R$184)&gt;1,"  (共"&amp;INDEX(助手回款!$L$2:$L$66,助手回款!$R$184)&amp;"页 第"&amp;助手回款!$S$184&amp;"页)",""),"")</f>
        <v/>
      </c>
      <c r="G2733" s="58"/>
      <c r="H2733" s="58"/>
      <c r="I2733" s="58"/>
      <c r="M2733" s="79" t="str">
        <f aca="false">IF(助手回款!$R$184="","",助手回款!$Q$184)</f>
        <v/>
      </c>
      <c r="N2733" s="80" t="str">
        <f aca="false">IF(助手回款!$R$184="","",INDEX(助手回款!$P$2:$P$66,助手回款!$R$184))</f>
        <v/>
      </c>
      <c r="O2733" s="55" t="str">
        <f aca="false">IF(助手回款!$R$184="","",INDEX(助手回款!$C$2:$C$66,助手回款!$R$184)&amp;"  字第 "&amp;INDEX(助手回款!$P$2:$P$66,助手回款!$R$184)&amp;" 号"&amp;IF(INDEX(助手回款!$L$2:$L$66,助手回款!$R$184)&gt;1,"  (共"&amp;INDEX(助手回款!$L$2:$L$66,助手回款!$R$184)&amp;"页 第"&amp;助手回款!$S$184&amp;"页)",""))</f>
        <v/>
      </c>
    </row>
    <row r="2734" customFormat="false" ht="12.75" hidden="false" customHeight="true" outlineLevel="0" collapsed="false">
      <c r="B2734" s="61" t="str">
        <f aca="false">IF(助手回款!$R$184&lt;&gt;"","摘　　要","")</f>
        <v/>
      </c>
      <c r="C2734" s="61"/>
      <c r="D2734" s="62" t="str">
        <f aca="false">IF(助手回款!$R$184&lt;&gt;"","科　　　　目","")</f>
        <v/>
      </c>
      <c r="E2734" s="62"/>
      <c r="F2734" s="61" t="str">
        <f aca="false">IF(助手回款!$R$184&lt;&gt;"","借 方 金 额","")</f>
        <v/>
      </c>
      <c r="G2734" s="62" t="str">
        <f aca="false">IF(助手回款!$R$184&lt;&gt;"","贷 方 金 额","")</f>
        <v/>
      </c>
      <c r="H2734" s="63" t="str">
        <f aca="false">IF(助手回款!$R$184&lt;&gt;"","√","")</f>
        <v/>
      </c>
      <c r="I2734" s="64" t="str">
        <f aca="false">IF(助手回款!$R$184&lt;&gt;"","附单据  张","")</f>
        <v/>
      </c>
    </row>
    <row r="2735" customFormat="false" ht="12.75" hidden="false" customHeight="true" outlineLevel="0" collapsed="false">
      <c r="B2735" s="61"/>
      <c r="C2735" s="61"/>
      <c r="D2735" s="23" t="str">
        <f aca="false">IF(助手回款!$R$184&lt;&gt;"","总 账 科 目","")</f>
        <v/>
      </c>
      <c r="E2735" s="23" t="str">
        <f aca="false">IF(助手回款!$R$184&lt;&gt;"","明 细 科 目","")</f>
        <v/>
      </c>
      <c r="F2735" s="65"/>
      <c r="G2735" s="66"/>
      <c r="H2735" s="63"/>
      <c r="I2735" s="64"/>
    </row>
    <row r="2736" customFormat="false" ht="23.25" hidden="false" customHeight="true" outlineLevel="0" collapsed="false">
      <c r="B2736" s="67" t="str">
        <f aca="false">IFERROR(INDEX(分录回款!$M:$M,MATCH($L2736,分录回款!$L:$L,0)),"")</f>
        <v/>
      </c>
      <c r="C2736" s="67"/>
      <c r="D2736" s="23" t="str">
        <f aca="false">IFERROR(INDEX(分录回款!$E:$E,MATCH($L2736,分录回款!$L:$L,0)),"")</f>
        <v/>
      </c>
      <c r="E2736" s="23" t="str">
        <f aca="false">IFERROR(INDEX(分录回款!$F:$F,MATCH($L2736,分录回款!$L:$L,0)),"")</f>
        <v/>
      </c>
      <c r="F2736" s="68" t="str">
        <f aca="false">IFERROR(INDEX(分录回款!$H:$H,MATCH($L2736,分录回款!$L:$L,0)),"")</f>
        <v/>
      </c>
      <c r="G2736" s="69" t="str">
        <f aca="false">IFERROR(INDEX(分录回款!$I:$I,MATCH($L2736,分录回款!$L:$L,0)),"")</f>
        <v/>
      </c>
      <c r="H2736" s="23"/>
      <c r="I2736" s="70"/>
      <c r="L2736" s="71" t="n">
        <f aca="false">IF(助手回款!$R$184="",-1,助手回款!$R$184*100+(助手回款!$S$184-1)*6+1)</f>
        <v>-1</v>
      </c>
    </row>
    <row r="2737" customFormat="false" ht="23.25" hidden="false" customHeight="true" outlineLevel="0" collapsed="false">
      <c r="B2737" s="67" t="str">
        <f aca="false">""</f>
        <v/>
      </c>
      <c r="C2737" s="67"/>
      <c r="D2737" s="23" t="str">
        <f aca="false">IFERROR(INDEX(分录回款!$E:$E,MATCH($L2737,分录回款!$L:$L,0)),"")</f>
        <v/>
      </c>
      <c r="E2737" s="23" t="str">
        <f aca="false">IFERROR(INDEX(分录回款!$F:$F,MATCH($L2737,分录回款!$L:$L,0)),"")</f>
        <v/>
      </c>
      <c r="F2737" s="68" t="str">
        <f aca="false">IFERROR(INDEX(分录回款!$H:$H,MATCH($L2737,分录回款!$L:$L,0)),"")</f>
        <v/>
      </c>
      <c r="G2737" s="69" t="str">
        <f aca="false">IFERROR(INDEX(分录回款!$I:$I,MATCH($L2737,分录回款!$L:$L,0)),"")</f>
        <v/>
      </c>
      <c r="H2737" s="23"/>
      <c r="I2737" s="70"/>
      <c r="L2737" s="71" t="n">
        <f aca="false">IF(助手回款!$R$184="",-1,助手回款!$R$184*100+(助手回款!$S$184-1)*6+2)</f>
        <v>-1</v>
      </c>
    </row>
    <row r="2738" customFormat="false" ht="23.25" hidden="false" customHeight="true" outlineLevel="0" collapsed="false">
      <c r="B2738" s="67" t="str">
        <f aca="false">""</f>
        <v/>
      </c>
      <c r="C2738" s="67"/>
      <c r="D2738" s="23" t="str">
        <f aca="false">IFERROR(INDEX(分录回款!$E:$E,MATCH($L2738,分录回款!$L:$L,0)),"")</f>
        <v/>
      </c>
      <c r="E2738" s="23" t="str">
        <f aca="false">IFERROR(INDEX(分录回款!$F:$F,MATCH($L2738,分录回款!$L:$L,0)),"")</f>
        <v/>
      </c>
      <c r="F2738" s="68" t="str">
        <f aca="false">IFERROR(INDEX(分录回款!$H:$H,MATCH($L2738,分录回款!$L:$L,0)),"")</f>
        <v/>
      </c>
      <c r="G2738" s="69" t="str">
        <f aca="false">IFERROR(INDEX(分录回款!$I:$I,MATCH($L2738,分录回款!$L:$L,0)),"")</f>
        <v/>
      </c>
      <c r="H2738" s="23"/>
      <c r="I2738" s="70"/>
      <c r="L2738" s="71" t="n">
        <f aca="false">IF(助手回款!$R$184="",-1,助手回款!$R$184*100+(助手回款!$S$184-1)*6+3)</f>
        <v>-1</v>
      </c>
    </row>
    <row r="2739" customFormat="false" ht="23.25" hidden="false" customHeight="true" outlineLevel="0" collapsed="false">
      <c r="B2739" s="67" t="str">
        <f aca="false">""</f>
        <v/>
      </c>
      <c r="C2739" s="67"/>
      <c r="D2739" s="23" t="str">
        <f aca="false">IFERROR(INDEX(分录回款!$E:$E,MATCH($L2739,分录回款!$L:$L,0)),"")</f>
        <v/>
      </c>
      <c r="E2739" s="23" t="str">
        <f aca="false">IFERROR(INDEX(分录回款!$F:$F,MATCH($L2739,分录回款!$L:$L,0)),"")</f>
        <v/>
      </c>
      <c r="F2739" s="68" t="str">
        <f aca="false">IFERROR(INDEX(分录回款!$H:$H,MATCH($L2739,分录回款!$L:$L,0)),"")</f>
        <v/>
      </c>
      <c r="G2739" s="69" t="str">
        <f aca="false">IFERROR(INDEX(分录回款!$I:$I,MATCH($L2739,分录回款!$L:$L,0)),"")</f>
        <v/>
      </c>
      <c r="H2739" s="23"/>
      <c r="I2739" s="70"/>
      <c r="L2739" s="71" t="n">
        <f aca="false">IF(助手回款!$R$184="",-1,助手回款!$R$184*100+(助手回款!$S$184-1)*6+4)</f>
        <v>-1</v>
      </c>
    </row>
    <row r="2740" customFormat="false" ht="23.25" hidden="false" customHeight="true" outlineLevel="0" collapsed="false">
      <c r="B2740" s="67" t="str">
        <f aca="false">""</f>
        <v/>
      </c>
      <c r="C2740" s="67"/>
      <c r="D2740" s="23" t="str">
        <f aca="false">IFERROR(INDEX(分录回款!$E:$E,MATCH($L2740,分录回款!$L:$L,0)),"")</f>
        <v/>
      </c>
      <c r="E2740" s="23" t="str">
        <f aca="false">IFERROR(INDEX(分录回款!$F:$F,MATCH($L2740,分录回款!$L:$L,0)),"")</f>
        <v/>
      </c>
      <c r="F2740" s="68" t="str">
        <f aca="false">IFERROR(INDEX(分录回款!$H:$H,MATCH($L2740,分录回款!$L:$L,0)),"")</f>
        <v/>
      </c>
      <c r="G2740" s="69" t="str">
        <f aca="false">IFERROR(INDEX(分录回款!$I:$I,MATCH($L2740,分录回款!$L:$L,0)),"")</f>
        <v/>
      </c>
      <c r="H2740" s="23"/>
      <c r="I2740" s="70"/>
      <c r="L2740" s="71" t="n">
        <f aca="false">IF(助手回款!$R$184="",-1,助手回款!$R$184*100+(助手回款!$S$184-1)*6+5)</f>
        <v>-1</v>
      </c>
    </row>
    <row r="2741" customFormat="false" ht="23.25" hidden="false" customHeight="true" outlineLevel="0" collapsed="false">
      <c r="B2741" s="67" t="str">
        <f aca="false">""</f>
        <v/>
      </c>
      <c r="C2741" s="67"/>
      <c r="D2741" s="23" t="str">
        <f aca="false">IFERROR(INDEX(分录回款!$E:$E,MATCH($L2741,分录回款!$L:$L,0)),"")</f>
        <v/>
      </c>
      <c r="E2741" s="23" t="str">
        <f aca="false">IFERROR(INDEX(分录回款!$F:$F,MATCH($L2741,分录回款!$L:$L,0)),"")</f>
        <v/>
      </c>
      <c r="F2741" s="68" t="str">
        <f aca="false">IFERROR(INDEX(分录回款!$H:$H,MATCH($L2741,分录回款!$L:$L,0)),"")</f>
        <v/>
      </c>
      <c r="G2741" s="69" t="str">
        <f aca="false">IFERROR(INDEX(分录回款!$I:$I,MATCH($L2741,分录回款!$L:$L,0)),"")</f>
        <v/>
      </c>
      <c r="H2741" s="23"/>
      <c r="I2741" s="70"/>
      <c r="L2741" s="71" t="n">
        <f aca="false">IF(助手回款!$R$184="",-1,助手回款!$R$184*100+(助手回款!$S$184-1)*6+6)</f>
        <v>-1</v>
      </c>
    </row>
    <row r="2742" customFormat="false" ht="23.25" hidden="false" customHeight="true" outlineLevel="0" collapsed="false">
      <c r="B2742" s="72" t="str">
        <f aca="false">IF(助手回款!$T$184=1,"合计：","")</f>
        <v/>
      </c>
      <c r="C2742" s="73" t="str">
        <f aca="false">IF(助手回款!$T$184=1,$F2742,"")</f>
        <v/>
      </c>
      <c r="D2742" s="74"/>
      <c r="E2742" s="74"/>
      <c r="F2742" s="75" t="str">
        <f aca="false">IF(助手回款!$T$184=1,INDEX(助手回款!$N$2:$N$66,助手回款!$R$184),"")</f>
        <v/>
      </c>
      <c r="G2742" s="76" t="str">
        <f aca="false">IF(助手回款!$T$184=1,INDEX(助手回款!$O$2:$O$66,助手回款!$R$184),"")</f>
        <v/>
      </c>
      <c r="H2742" s="74"/>
      <c r="I2742" s="77"/>
    </row>
    <row r="2743" customFormat="false" ht="6" hidden="false" customHeight="true" outlineLevel="0" collapsed="false"/>
    <row r="2744" customFormat="false" ht="13.5" hidden="false" customHeight="false" outlineLevel="0" collapsed="false">
      <c r="B2744" s="78" t="str">
        <f aca="false">IF(助手回款!$R$184&lt;&gt;"","会计主管：","")</f>
        <v/>
      </c>
      <c r="D2744" s="78" t="str">
        <f aca="false">IF(助手回款!$R$184&lt;&gt;"","会计：","")</f>
        <v/>
      </c>
      <c r="E2744" s="78" t="str">
        <f aca="false">IF(助手回款!$R$184&lt;&gt;"","出纳：","")</f>
        <v/>
      </c>
      <c r="F2744" s="78" t="str">
        <f aca="false">IF(助手回款!$R$184&lt;&gt;"","复核：","")</f>
        <v/>
      </c>
      <c r="G2744" s="78" t="str">
        <f aca="false">IF(助手回款!$R$184&lt;&gt;"","制单：","")</f>
        <v/>
      </c>
    </row>
    <row r="2745" customFormat="false" ht="3" hidden="false" customHeight="true" outlineLevel="0" collapsed="false"/>
    <row r="2746" customFormat="false" ht="19.5" hidden="false" customHeight="true" outlineLevel="0" collapsed="false">
      <c r="B2746" s="53" t="str">
        <f aca="false">IF(助手回款!$R$185&lt;&gt;"","记  账  凭  证","")</f>
        <v/>
      </c>
      <c r="C2746" s="53"/>
      <c r="D2746" s="53"/>
      <c r="E2746" s="53"/>
      <c r="F2746" s="53"/>
      <c r="G2746" s="53"/>
      <c r="H2746" s="53"/>
      <c r="I2746" s="53"/>
    </row>
    <row r="2747" customFormat="false" ht="3" hidden="false" customHeight="true" outlineLevel="0" collapsed="false"/>
    <row r="2748" customFormat="false" ht="15" hidden="false" customHeight="true" outlineLevel="0" collapsed="false">
      <c r="C2748" s="56" t="str">
        <f aca="false">IF(助手回款!$R$185&lt;&gt;"",INDEX(助手回款!$B$2:$B$66,助手回款!$R$185),"")</f>
        <v/>
      </c>
      <c r="D2748" s="57" t="str">
        <f aca="false">IF(助手回款!$R$185&lt;&gt;"",参数!$B$2,"")</f>
        <v/>
      </c>
      <c r="E2748" s="57"/>
      <c r="F2748" s="58" t="str">
        <f aca="false">IF(助手回款!$R$185&lt;&gt;"",INDEX(助手回款!$C$2:$C$66,助手回款!$R$185)&amp;"  字第 "&amp;IF(参数!$B$9="是",INDEX(助手回款!$P$2:$P$66,助手回款!$R$185),"　　　　")&amp;" 号"&amp;IF(INDEX(助手回款!$L$2:$L$66,助手回款!$R$185)&gt;1,"  (共"&amp;INDEX(助手回款!$L$2:$L$66,助手回款!$R$185)&amp;"页 第"&amp;助手回款!$S$185&amp;"页)",""),"")</f>
        <v/>
      </c>
      <c r="G2748" s="58"/>
      <c r="H2748" s="58"/>
      <c r="I2748" s="58"/>
      <c r="M2748" s="79" t="str">
        <f aca="false">IF(助手回款!$R$185="","",助手回款!$Q$185)</f>
        <v/>
      </c>
      <c r="N2748" s="80" t="str">
        <f aca="false">IF(助手回款!$R$185="","",INDEX(助手回款!$P$2:$P$66,助手回款!$R$185))</f>
        <v/>
      </c>
      <c r="O2748" s="55" t="str">
        <f aca="false">IF(助手回款!$R$185="","",INDEX(助手回款!$C$2:$C$66,助手回款!$R$185)&amp;"  字第 "&amp;INDEX(助手回款!$P$2:$P$66,助手回款!$R$185)&amp;" 号"&amp;IF(INDEX(助手回款!$L$2:$L$66,助手回款!$R$185)&gt;1,"  (共"&amp;INDEX(助手回款!$L$2:$L$66,助手回款!$R$185)&amp;"页 第"&amp;助手回款!$S$185&amp;"页)",""))</f>
        <v/>
      </c>
    </row>
    <row r="2749" customFormat="false" ht="12.75" hidden="false" customHeight="true" outlineLevel="0" collapsed="false">
      <c r="B2749" s="61" t="str">
        <f aca="false">IF(助手回款!$R$185&lt;&gt;"","摘　　要","")</f>
        <v/>
      </c>
      <c r="C2749" s="61"/>
      <c r="D2749" s="62" t="str">
        <f aca="false">IF(助手回款!$R$185&lt;&gt;"","科　　　　目","")</f>
        <v/>
      </c>
      <c r="E2749" s="62"/>
      <c r="F2749" s="61" t="str">
        <f aca="false">IF(助手回款!$R$185&lt;&gt;"","借 方 金 额","")</f>
        <v/>
      </c>
      <c r="G2749" s="62" t="str">
        <f aca="false">IF(助手回款!$R$185&lt;&gt;"","贷 方 金 额","")</f>
        <v/>
      </c>
      <c r="H2749" s="63" t="str">
        <f aca="false">IF(助手回款!$R$185&lt;&gt;"","√","")</f>
        <v/>
      </c>
      <c r="I2749" s="64" t="str">
        <f aca="false">IF(助手回款!$R$185&lt;&gt;"","附单据  张","")</f>
        <v/>
      </c>
    </row>
    <row r="2750" customFormat="false" ht="12.75" hidden="false" customHeight="true" outlineLevel="0" collapsed="false">
      <c r="B2750" s="61"/>
      <c r="C2750" s="61"/>
      <c r="D2750" s="23" t="str">
        <f aca="false">IF(助手回款!$R$185&lt;&gt;"","总 账 科 目","")</f>
        <v/>
      </c>
      <c r="E2750" s="23" t="str">
        <f aca="false">IF(助手回款!$R$185&lt;&gt;"","明 细 科 目","")</f>
        <v/>
      </c>
      <c r="F2750" s="65"/>
      <c r="G2750" s="66"/>
      <c r="H2750" s="63"/>
      <c r="I2750" s="64"/>
    </row>
    <row r="2751" customFormat="false" ht="23.25" hidden="false" customHeight="true" outlineLevel="0" collapsed="false">
      <c r="B2751" s="67" t="str">
        <f aca="false">IFERROR(INDEX(分录回款!$M:$M,MATCH($L2751,分录回款!$L:$L,0)),"")</f>
        <v/>
      </c>
      <c r="C2751" s="67"/>
      <c r="D2751" s="23" t="str">
        <f aca="false">IFERROR(INDEX(分录回款!$E:$E,MATCH($L2751,分录回款!$L:$L,0)),"")</f>
        <v/>
      </c>
      <c r="E2751" s="23" t="str">
        <f aca="false">IFERROR(INDEX(分录回款!$F:$F,MATCH($L2751,分录回款!$L:$L,0)),"")</f>
        <v/>
      </c>
      <c r="F2751" s="68" t="str">
        <f aca="false">IFERROR(INDEX(分录回款!$H:$H,MATCH($L2751,分录回款!$L:$L,0)),"")</f>
        <v/>
      </c>
      <c r="G2751" s="69" t="str">
        <f aca="false">IFERROR(INDEX(分录回款!$I:$I,MATCH($L2751,分录回款!$L:$L,0)),"")</f>
        <v/>
      </c>
      <c r="H2751" s="23"/>
      <c r="I2751" s="70"/>
      <c r="L2751" s="71" t="n">
        <f aca="false">IF(助手回款!$R$185="",-1,助手回款!$R$185*100+(助手回款!$S$185-1)*6+1)</f>
        <v>-1</v>
      </c>
    </row>
    <row r="2752" customFormat="false" ht="23.25" hidden="false" customHeight="true" outlineLevel="0" collapsed="false">
      <c r="B2752" s="67" t="str">
        <f aca="false">""</f>
        <v/>
      </c>
      <c r="C2752" s="67"/>
      <c r="D2752" s="23" t="str">
        <f aca="false">IFERROR(INDEX(分录回款!$E:$E,MATCH($L2752,分录回款!$L:$L,0)),"")</f>
        <v/>
      </c>
      <c r="E2752" s="23" t="str">
        <f aca="false">IFERROR(INDEX(分录回款!$F:$F,MATCH($L2752,分录回款!$L:$L,0)),"")</f>
        <v/>
      </c>
      <c r="F2752" s="68" t="str">
        <f aca="false">IFERROR(INDEX(分录回款!$H:$H,MATCH($L2752,分录回款!$L:$L,0)),"")</f>
        <v/>
      </c>
      <c r="G2752" s="69" t="str">
        <f aca="false">IFERROR(INDEX(分录回款!$I:$I,MATCH($L2752,分录回款!$L:$L,0)),"")</f>
        <v/>
      </c>
      <c r="H2752" s="23"/>
      <c r="I2752" s="70"/>
      <c r="L2752" s="71" t="n">
        <f aca="false">IF(助手回款!$R$185="",-1,助手回款!$R$185*100+(助手回款!$S$185-1)*6+2)</f>
        <v>-1</v>
      </c>
    </row>
    <row r="2753" customFormat="false" ht="23.25" hidden="false" customHeight="true" outlineLevel="0" collapsed="false">
      <c r="B2753" s="67" t="str">
        <f aca="false">""</f>
        <v/>
      </c>
      <c r="C2753" s="67"/>
      <c r="D2753" s="23" t="str">
        <f aca="false">IFERROR(INDEX(分录回款!$E:$E,MATCH($L2753,分录回款!$L:$L,0)),"")</f>
        <v/>
      </c>
      <c r="E2753" s="23" t="str">
        <f aca="false">IFERROR(INDEX(分录回款!$F:$F,MATCH($L2753,分录回款!$L:$L,0)),"")</f>
        <v/>
      </c>
      <c r="F2753" s="68" t="str">
        <f aca="false">IFERROR(INDEX(分录回款!$H:$H,MATCH($L2753,分录回款!$L:$L,0)),"")</f>
        <v/>
      </c>
      <c r="G2753" s="69" t="str">
        <f aca="false">IFERROR(INDEX(分录回款!$I:$I,MATCH($L2753,分录回款!$L:$L,0)),"")</f>
        <v/>
      </c>
      <c r="H2753" s="23"/>
      <c r="I2753" s="70"/>
      <c r="L2753" s="71" t="n">
        <f aca="false">IF(助手回款!$R$185="",-1,助手回款!$R$185*100+(助手回款!$S$185-1)*6+3)</f>
        <v>-1</v>
      </c>
    </row>
    <row r="2754" customFormat="false" ht="23.25" hidden="false" customHeight="true" outlineLevel="0" collapsed="false">
      <c r="B2754" s="67" t="str">
        <f aca="false">""</f>
        <v/>
      </c>
      <c r="C2754" s="67"/>
      <c r="D2754" s="23" t="str">
        <f aca="false">IFERROR(INDEX(分录回款!$E:$E,MATCH($L2754,分录回款!$L:$L,0)),"")</f>
        <v/>
      </c>
      <c r="E2754" s="23" t="str">
        <f aca="false">IFERROR(INDEX(分录回款!$F:$F,MATCH($L2754,分录回款!$L:$L,0)),"")</f>
        <v/>
      </c>
      <c r="F2754" s="68" t="str">
        <f aca="false">IFERROR(INDEX(分录回款!$H:$H,MATCH($L2754,分录回款!$L:$L,0)),"")</f>
        <v/>
      </c>
      <c r="G2754" s="69" t="str">
        <f aca="false">IFERROR(INDEX(分录回款!$I:$I,MATCH($L2754,分录回款!$L:$L,0)),"")</f>
        <v/>
      </c>
      <c r="H2754" s="23"/>
      <c r="I2754" s="70"/>
      <c r="L2754" s="71" t="n">
        <f aca="false">IF(助手回款!$R$185="",-1,助手回款!$R$185*100+(助手回款!$S$185-1)*6+4)</f>
        <v>-1</v>
      </c>
    </row>
    <row r="2755" customFormat="false" ht="23.25" hidden="false" customHeight="true" outlineLevel="0" collapsed="false">
      <c r="B2755" s="67" t="str">
        <f aca="false">""</f>
        <v/>
      </c>
      <c r="C2755" s="67"/>
      <c r="D2755" s="23" t="str">
        <f aca="false">IFERROR(INDEX(分录回款!$E:$E,MATCH($L2755,分录回款!$L:$L,0)),"")</f>
        <v/>
      </c>
      <c r="E2755" s="23" t="str">
        <f aca="false">IFERROR(INDEX(分录回款!$F:$F,MATCH($L2755,分录回款!$L:$L,0)),"")</f>
        <v/>
      </c>
      <c r="F2755" s="68" t="str">
        <f aca="false">IFERROR(INDEX(分录回款!$H:$H,MATCH($L2755,分录回款!$L:$L,0)),"")</f>
        <v/>
      </c>
      <c r="G2755" s="69" t="str">
        <f aca="false">IFERROR(INDEX(分录回款!$I:$I,MATCH($L2755,分录回款!$L:$L,0)),"")</f>
        <v/>
      </c>
      <c r="H2755" s="23"/>
      <c r="I2755" s="70"/>
      <c r="L2755" s="71" t="n">
        <f aca="false">IF(助手回款!$R$185="",-1,助手回款!$R$185*100+(助手回款!$S$185-1)*6+5)</f>
        <v>-1</v>
      </c>
    </row>
    <row r="2756" customFormat="false" ht="23.25" hidden="false" customHeight="true" outlineLevel="0" collapsed="false">
      <c r="B2756" s="67" t="str">
        <f aca="false">""</f>
        <v/>
      </c>
      <c r="C2756" s="67"/>
      <c r="D2756" s="23" t="str">
        <f aca="false">IFERROR(INDEX(分录回款!$E:$E,MATCH($L2756,分录回款!$L:$L,0)),"")</f>
        <v/>
      </c>
      <c r="E2756" s="23" t="str">
        <f aca="false">IFERROR(INDEX(分录回款!$F:$F,MATCH($L2756,分录回款!$L:$L,0)),"")</f>
        <v/>
      </c>
      <c r="F2756" s="68" t="str">
        <f aca="false">IFERROR(INDEX(分录回款!$H:$H,MATCH($L2756,分录回款!$L:$L,0)),"")</f>
        <v/>
      </c>
      <c r="G2756" s="69" t="str">
        <f aca="false">IFERROR(INDEX(分录回款!$I:$I,MATCH($L2756,分录回款!$L:$L,0)),"")</f>
        <v/>
      </c>
      <c r="H2756" s="23"/>
      <c r="I2756" s="70"/>
      <c r="L2756" s="71" t="n">
        <f aca="false">IF(助手回款!$R$185="",-1,助手回款!$R$185*100+(助手回款!$S$185-1)*6+6)</f>
        <v>-1</v>
      </c>
    </row>
    <row r="2757" customFormat="false" ht="23.25" hidden="false" customHeight="true" outlineLevel="0" collapsed="false">
      <c r="B2757" s="72" t="str">
        <f aca="false">IF(助手回款!$T$185=1,"合计：","")</f>
        <v/>
      </c>
      <c r="C2757" s="73" t="str">
        <f aca="false">IF(助手回款!$T$185=1,$F2757,"")</f>
        <v/>
      </c>
      <c r="D2757" s="74"/>
      <c r="E2757" s="74"/>
      <c r="F2757" s="75" t="str">
        <f aca="false">IF(助手回款!$T$185=1,INDEX(助手回款!$N$2:$N$66,助手回款!$R$185),"")</f>
        <v/>
      </c>
      <c r="G2757" s="76" t="str">
        <f aca="false">IF(助手回款!$T$185=1,INDEX(助手回款!$O$2:$O$66,助手回款!$R$185),"")</f>
        <v/>
      </c>
      <c r="H2757" s="74"/>
      <c r="I2757" s="77"/>
    </row>
    <row r="2758" customFormat="false" ht="6" hidden="false" customHeight="true" outlineLevel="0" collapsed="false"/>
    <row r="2759" customFormat="false" ht="13.5" hidden="false" customHeight="false" outlineLevel="0" collapsed="false">
      <c r="B2759" s="78" t="str">
        <f aca="false">IF(助手回款!$R$185&lt;&gt;"","会计主管：","")</f>
        <v/>
      </c>
      <c r="D2759" s="78" t="str">
        <f aca="false">IF(助手回款!$R$185&lt;&gt;"","会计：","")</f>
        <v/>
      </c>
      <c r="E2759" s="78" t="str">
        <f aca="false">IF(助手回款!$R$185&lt;&gt;"","出纳：","")</f>
        <v/>
      </c>
      <c r="F2759" s="78" t="str">
        <f aca="false">IF(助手回款!$R$185&lt;&gt;"","复核：","")</f>
        <v/>
      </c>
      <c r="G2759" s="78" t="str">
        <f aca="false">IF(助手回款!$R$185&lt;&gt;"","制单：","")</f>
        <v/>
      </c>
    </row>
    <row r="2760" customFormat="false" ht="3" hidden="false" customHeight="true" outlineLevel="0" collapsed="false"/>
    <row r="2761" customFormat="false" ht="19.5" hidden="false" customHeight="true" outlineLevel="0" collapsed="false">
      <c r="B2761" s="53" t="str">
        <f aca="false">IF(助手回款!$R$186&lt;&gt;"","记  账  凭  证","")</f>
        <v/>
      </c>
      <c r="C2761" s="53"/>
      <c r="D2761" s="53"/>
      <c r="E2761" s="53"/>
      <c r="F2761" s="53"/>
      <c r="G2761" s="53"/>
      <c r="H2761" s="53"/>
      <c r="I2761" s="53"/>
    </row>
    <row r="2762" customFormat="false" ht="3" hidden="false" customHeight="true" outlineLevel="0" collapsed="false"/>
    <row r="2763" customFormat="false" ht="15" hidden="false" customHeight="true" outlineLevel="0" collapsed="false">
      <c r="C2763" s="56" t="str">
        <f aca="false">IF(助手回款!$R$186&lt;&gt;"",INDEX(助手回款!$B$2:$B$66,助手回款!$R$186),"")</f>
        <v/>
      </c>
      <c r="D2763" s="57" t="str">
        <f aca="false">IF(助手回款!$R$186&lt;&gt;"",参数!$B$2,"")</f>
        <v/>
      </c>
      <c r="E2763" s="57"/>
      <c r="F2763" s="58" t="str">
        <f aca="false">IF(助手回款!$R$186&lt;&gt;"",INDEX(助手回款!$C$2:$C$66,助手回款!$R$186)&amp;"  字第 "&amp;IF(参数!$B$9="是",INDEX(助手回款!$P$2:$P$66,助手回款!$R$186),"　　　　")&amp;" 号"&amp;IF(INDEX(助手回款!$L$2:$L$66,助手回款!$R$186)&gt;1,"  (共"&amp;INDEX(助手回款!$L$2:$L$66,助手回款!$R$186)&amp;"页 第"&amp;助手回款!$S$186&amp;"页)",""),"")</f>
        <v/>
      </c>
      <c r="G2763" s="58"/>
      <c r="H2763" s="58"/>
      <c r="I2763" s="58"/>
      <c r="M2763" s="79" t="str">
        <f aca="false">IF(助手回款!$R$186="","",助手回款!$Q$186)</f>
        <v/>
      </c>
      <c r="N2763" s="80" t="str">
        <f aca="false">IF(助手回款!$R$186="","",INDEX(助手回款!$P$2:$P$66,助手回款!$R$186))</f>
        <v/>
      </c>
      <c r="O2763" s="55" t="str">
        <f aca="false">IF(助手回款!$R$186="","",INDEX(助手回款!$C$2:$C$66,助手回款!$R$186)&amp;"  字第 "&amp;INDEX(助手回款!$P$2:$P$66,助手回款!$R$186)&amp;" 号"&amp;IF(INDEX(助手回款!$L$2:$L$66,助手回款!$R$186)&gt;1,"  (共"&amp;INDEX(助手回款!$L$2:$L$66,助手回款!$R$186)&amp;"页 第"&amp;助手回款!$S$186&amp;"页)",""))</f>
        <v/>
      </c>
    </row>
    <row r="2764" customFormat="false" ht="12.75" hidden="false" customHeight="true" outlineLevel="0" collapsed="false">
      <c r="B2764" s="61" t="str">
        <f aca="false">IF(助手回款!$R$186&lt;&gt;"","摘　　要","")</f>
        <v/>
      </c>
      <c r="C2764" s="61"/>
      <c r="D2764" s="62" t="str">
        <f aca="false">IF(助手回款!$R$186&lt;&gt;"","科　　　　目","")</f>
        <v/>
      </c>
      <c r="E2764" s="62"/>
      <c r="F2764" s="61" t="str">
        <f aca="false">IF(助手回款!$R$186&lt;&gt;"","借 方 金 额","")</f>
        <v/>
      </c>
      <c r="G2764" s="62" t="str">
        <f aca="false">IF(助手回款!$R$186&lt;&gt;"","贷 方 金 额","")</f>
        <v/>
      </c>
      <c r="H2764" s="63" t="str">
        <f aca="false">IF(助手回款!$R$186&lt;&gt;"","√","")</f>
        <v/>
      </c>
      <c r="I2764" s="64" t="str">
        <f aca="false">IF(助手回款!$R$186&lt;&gt;"","附单据  张","")</f>
        <v/>
      </c>
    </row>
    <row r="2765" customFormat="false" ht="12.75" hidden="false" customHeight="true" outlineLevel="0" collapsed="false">
      <c r="B2765" s="61"/>
      <c r="C2765" s="61"/>
      <c r="D2765" s="23" t="str">
        <f aca="false">IF(助手回款!$R$186&lt;&gt;"","总 账 科 目","")</f>
        <v/>
      </c>
      <c r="E2765" s="23" t="str">
        <f aca="false">IF(助手回款!$R$186&lt;&gt;"","明 细 科 目","")</f>
        <v/>
      </c>
      <c r="F2765" s="65"/>
      <c r="G2765" s="66"/>
      <c r="H2765" s="63"/>
      <c r="I2765" s="64"/>
    </row>
    <row r="2766" customFormat="false" ht="23.25" hidden="false" customHeight="true" outlineLevel="0" collapsed="false">
      <c r="B2766" s="67" t="str">
        <f aca="false">IFERROR(INDEX(分录回款!$M:$M,MATCH($L2766,分录回款!$L:$L,0)),"")</f>
        <v/>
      </c>
      <c r="C2766" s="67"/>
      <c r="D2766" s="23" t="str">
        <f aca="false">IFERROR(INDEX(分录回款!$E:$E,MATCH($L2766,分录回款!$L:$L,0)),"")</f>
        <v/>
      </c>
      <c r="E2766" s="23" t="str">
        <f aca="false">IFERROR(INDEX(分录回款!$F:$F,MATCH($L2766,分录回款!$L:$L,0)),"")</f>
        <v/>
      </c>
      <c r="F2766" s="68" t="str">
        <f aca="false">IFERROR(INDEX(分录回款!$H:$H,MATCH($L2766,分录回款!$L:$L,0)),"")</f>
        <v/>
      </c>
      <c r="G2766" s="69" t="str">
        <f aca="false">IFERROR(INDEX(分录回款!$I:$I,MATCH($L2766,分录回款!$L:$L,0)),"")</f>
        <v/>
      </c>
      <c r="H2766" s="23"/>
      <c r="I2766" s="70"/>
      <c r="L2766" s="71" t="n">
        <f aca="false">IF(助手回款!$R$186="",-1,助手回款!$R$186*100+(助手回款!$S$186-1)*6+1)</f>
        <v>-1</v>
      </c>
    </row>
    <row r="2767" customFormat="false" ht="23.25" hidden="false" customHeight="true" outlineLevel="0" collapsed="false">
      <c r="B2767" s="67" t="str">
        <f aca="false">""</f>
        <v/>
      </c>
      <c r="C2767" s="67"/>
      <c r="D2767" s="23" t="str">
        <f aca="false">IFERROR(INDEX(分录回款!$E:$E,MATCH($L2767,分录回款!$L:$L,0)),"")</f>
        <v/>
      </c>
      <c r="E2767" s="23" t="str">
        <f aca="false">IFERROR(INDEX(分录回款!$F:$F,MATCH($L2767,分录回款!$L:$L,0)),"")</f>
        <v/>
      </c>
      <c r="F2767" s="68" t="str">
        <f aca="false">IFERROR(INDEX(分录回款!$H:$H,MATCH($L2767,分录回款!$L:$L,0)),"")</f>
        <v/>
      </c>
      <c r="G2767" s="69" t="str">
        <f aca="false">IFERROR(INDEX(分录回款!$I:$I,MATCH($L2767,分录回款!$L:$L,0)),"")</f>
        <v/>
      </c>
      <c r="H2767" s="23"/>
      <c r="I2767" s="70"/>
      <c r="L2767" s="71" t="n">
        <f aca="false">IF(助手回款!$R$186="",-1,助手回款!$R$186*100+(助手回款!$S$186-1)*6+2)</f>
        <v>-1</v>
      </c>
    </row>
    <row r="2768" customFormat="false" ht="23.25" hidden="false" customHeight="true" outlineLevel="0" collapsed="false">
      <c r="B2768" s="67" t="str">
        <f aca="false">""</f>
        <v/>
      </c>
      <c r="C2768" s="67"/>
      <c r="D2768" s="23" t="str">
        <f aca="false">IFERROR(INDEX(分录回款!$E:$E,MATCH($L2768,分录回款!$L:$L,0)),"")</f>
        <v/>
      </c>
      <c r="E2768" s="23" t="str">
        <f aca="false">IFERROR(INDEX(分录回款!$F:$F,MATCH($L2768,分录回款!$L:$L,0)),"")</f>
        <v/>
      </c>
      <c r="F2768" s="68" t="str">
        <f aca="false">IFERROR(INDEX(分录回款!$H:$H,MATCH($L2768,分录回款!$L:$L,0)),"")</f>
        <v/>
      </c>
      <c r="G2768" s="69" t="str">
        <f aca="false">IFERROR(INDEX(分录回款!$I:$I,MATCH($L2768,分录回款!$L:$L,0)),"")</f>
        <v/>
      </c>
      <c r="H2768" s="23"/>
      <c r="I2768" s="70"/>
      <c r="L2768" s="71" t="n">
        <f aca="false">IF(助手回款!$R$186="",-1,助手回款!$R$186*100+(助手回款!$S$186-1)*6+3)</f>
        <v>-1</v>
      </c>
    </row>
    <row r="2769" customFormat="false" ht="23.25" hidden="false" customHeight="true" outlineLevel="0" collapsed="false">
      <c r="B2769" s="67" t="str">
        <f aca="false">""</f>
        <v/>
      </c>
      <c r="C2769" s="67"/>
      <c r="D2769" s="23" t="str">
        <f aca="false">IFERROR(INDEX(分录回款!$E:$E,MATCH($L2769,分录回款!$L:$L,0)),"")</f>
        <v/>
      </c>
      <c r="E2769" s="23" t="str">
        <f aca="false">IFERROR(INDEX(分录回款!$F:$F,MATCH($L2769,分录回款!$L:$L,0)),"")</f>
        <v/>
      </c>
      <c r="F2769" s="68" t="str">
        <f aca="false">IFERROR(INDEX(分录回款!$H:$H,MATCH($L2769,分录回款!$L:$L,0)),"")</f>
        <v/>
      </c>
      <c r="G2769" s="69" t="str">
        <f aca="false">IFERROR(INDEX(分录回款!$I:$I,MATCH($L2769,分录回款!$L:$L,0)),"")</f>
        <v/>
      </c>
      <c r="H2769" s="23"/>
      <c r="I2769" s="70"/>
      <c r="L2769" s="71" t="n">
        <f aca="false">IF(助手回款!$R$186="",-1,助手回款!$R$186*100+(助手回款!$S$186-1)*6+4)</f>
        <v>-1</v>
      </c>
    </row>
    <row r="2770" customFormat="false" ht="23.25" hidden="false" customHeight="true" outlineLevel="0" collapsed="false">
      <c r="B2770" s="67" t="str">
        <f aca="false">""</f>
        <v/>
      </c>
      <c r="C2770" s="67"/>
      <c r="D2770" s="23" t="str">
        <f aca="false">IFERROR(INDEX(分录回款!$E:$E,MATCH($L2770,分录回款!$L:$L,0)),"")</f>
        <v/>
      </c>
      <c r="E2770" s="23" t="str">
        <f aca="false">IFERROR(INDEX(分录回款!$F:$F,MATCH($L2770,分录回款!$L:$L,0)),"")</f>
        <v/>
      </c>
      <c r="F2770" s="68" t="str">
        <f aca="false">IFERROR(INDEX(分录回款!$H:$H,MATCH($L2770,分录回款!$L:$L,0)),"")</f>
        <v/>
      </c>
      <c r="G2770" s="69" t="str">
        <f aca="false">IFERROR(INDEX(分录回款!$I:$I,MATCH($L2770,分录回款!$L:$L,0)),"")</f>
        <v/>
      </c>
      <c r="H2770" s="23"/>
      <c r="I2770" s="70"/>
      <c r="L2770" s="71" t="n">
        <f aca="false">IF(助手回款!$R$186="",-1,助手回款!$R$186*100+(助手回款!$S$186-1)*6+5)</f>
        <v>-1</v>
      </c>
    </row>
    <row r="2771" customFormat="false" ht="23.25" hidden="false" customHeight="true" outlineLevel="0" collapsed="false">
      <c r="B2771" s="67" t="str">
        <f aca="false">""</f>
        <v/>
      </c>
      <c r="C2771" s="67"/>
      <c r="D2771" s="23" t="str">
        <f aca="false">IFERROR(INDEX(分录回款!$E:$E,MATCH($L2771,分录回款!$L:$L,0)),"")</f>
        <v/>
      </c>
      <c r="E2771" s="23" t="str">
        <f aca="false">IFERROR(INDEX(分录回款!$F:$F,MATCH($L2771,分录回款!$L:$L,0)),"")</f>
        <v/>
      </c>
      <c r="F2771" s="68" t="str">
        <f aca="false">IFERROR(INDEX(分录回款!$H:$H,MATCH($L2771,分录回款!$L:$L,0)),"")</f>
        <v/>
      </c>
      <c r="G2771" s="69" t="str">
        <f aca="false">IFERROR(INDEX(分录回款!$I:$I,MATCH($L2771,分录回款!$L:$L,0)),"")</f>
        <v/>
      </c>
      <c r="H2771" s="23"/>
      <c r="I2771" s="70"/>
      <c r="L2771" s="71" t="n">
        <f aca="false">IF(助手回款!$R$186="",-1,助手回款!$R$186*100+(助手回款!$S$186-1)*6+6)</f>
        <v>-1</v>
      </c>
    </row>
    <row r="2772" customFormat="false" ht="23.25" hidden="false" customHeight="true" outlineLevel="0" collapsed="false">
      <c r="B2772" s="72" t="str">
        <f aca="false">IF(助手回款!$T$186=1,"合计：","")</f>
        <v/>
      </c>
      <c r="C2772" s="73" t="str">
        <f aca="false">IF(助手回款!$T$186=1,$F2772,"")</f>
        <v/>
      </c>
      <c r="D2772" s="74"/>
      <c r="E2772" s="74"/>
      <c r="F2772" s="75" t="str">
        <f aca="false">IF(助手回款!$T$186=1,INDEX(助手回款!$N$2:$N$66,助手回款!$R$186),"")</f>
        <v/>
      </c>
      <c r="G2772" s="76" t="str">
        <f aca="false">IF(助手回款!$T$186=1,INDEX(助手回款!$O$2:$O$66,助手回款!$R$186),"")</f>
        <v/>
      </c>
      <c r="H2772" s="74"/>
      <c r="I2772" s="77"/>
    </row>
    <row r="2773" customFormat="false" ht="6" hidden="false" customHeight="true" outlineLevel="0" collapsed="false"/>
    <row r="2774" customFormat="false" ht="13.5" hidden="false" customHeight="false" outlineLevel="0" collapsed="false">
      <c r="B2774" s="78" t="str">
        <f aca="false">IF(助手回款!$R$186&lt;&gt;"","会计主管：","")</f>
        <v/>
      </c>
      <c r="D2774" s="78" t="str">
        <f aca="false">IF(助手回款!$R$186&lt;&gt;"","会计：","")</f>
        <v/>
      </c>
      <c r="E2774" s="78" t="str">
        <f aca="false">IF(助手回款!$R$186&lt;&gt;"","出纳：","")</f>
        <v/>
      </c>
      <c r="F2774" s="78" t="str">
        <f aca="false">IF(助手回款!$R$186&lt;&gt;"","复核：","")</f>
        <v/>
      </c>
      <c r="G2774" s="78" t="str">
        <f aca="false">IF(助手回款!$R$186&lt;&gt;"","制单：","")</f>
        <v/>
      </c>
    </row>
    <row r="2775" customFormat="false" ht="3" hidden="false" customHeight="true" outlineLevel="0" collapsed="false"/>
    <row r="2776" customFormat="false" ht="19.5" hidden="false" customHeight="true" outlineLevel="0" collapsed="false">
      <c r="B2776" s="53" t="str">
        <f aca="false">IF(助手回款!$R$187&lt;&gt;"","记  账  凭  证","")</f>
        <v/>
      </c>
      <c r="C2776" s="53"/>
      <c r="D2776" s="53"/>
      <c r="E2776" s="53"/>
      <c r="F2776" s="53"/>
      <c r="G2776" s="53"/>
      <c r="H2776" s="53"/>
      <c r="I2776" s="53"/>
    </row>
    <row r="2777" customFormat="false" ht="3" hidden="false" customHeight="true" outlineLevel="0" collapsed="false"/>
    <row r="2778" customFormat="false" ht="15" hidden="false" customHeight="true" outlineLevel="0" collapsed="false">
      <c r="C2778" s="56" t="str">
        <f aca="false">IF(助手回款!$R$187&lt;&gt;"",INDEX(助手回款!$B$2:$B$66,助手回款!$R$187),"")</f>
        <v/>
      </c>
      <c r="D2778" s="57" t="str">
        <f aca="false">IF(助手回款!$R$187&lt;&gt;"",参数!$B$2,"")</f>
        <v/>
      </c>
      <c r="E2778" s="57"/>
      <c r="F2778" s="58" t="str">
        <f aca="false">IF(助手回款!$R$187&lt;&gt;"",INDEX(助手回款!$C$2:$C$66,助手回款!$R$187)&amp;"  字第 "&amp;IF(参数!$B$9="是",INDEX(助手回款!$P$2:$P$66,助手回款!$R$187),"　　　　")&amp;" 号"&amp;IF(INDEX(助手回款!$L$2:$L$66,助手回款!$R$187)&gt;1,"  (共"&amp;INDEX(助手回款!$L$2:$L$66,助手回款!$R$187)&amp;"页 第"&amp;助手回款!$S$187&amp;"页)",""),"")</f>
        <v/>
      </c>
      <c r="G2778" s="58"/>
      <c r="H2778" s="58"/>
      <c r="I2778" s="58"/>
      <c r="M2778" s="79" t="str">
        <f aca="false">IF(助手回款!$R$187="","",助手回款!$Q$187)</f>
        <v/>
      </c>
      <c r="N2778" s="80" t="str">
        <f aca="false">IF(助手回款!$R$187="","",INDEX(助手回款!$P$2:$P$66,助手回款!$R$187))</f>
        <v/>
      </c>
      <c r="O2778" s="55" t="str">
        <f aca="false">IF(助手回款!$R$187="","",INDEX(助手回款!$C$2:$C$66,助手回款!$R$187)&amp;"  字第 "&amp;INDEX(助手回款!$P$2:$P$66,助手回款!$R$187)&amp;" 号"&amp;IF(INDEX(助手回款!$L$2:$L$66,助手回款!$R$187)&gt;1,"  (共"&amp;INDEX(助手回款!$L$2:$L$66,助手回款!$R$187)&amp;"页 第"&amp;助手回款!$S$187&amp;"页)",""))</f>
        <v/>
      </c>
    </row>
    <row r="2779" customFormat="false" ht="12.75" hidden="false" customHeight="true" outlineLevel="0" collapsed="false">
      <c r="B2779" s="61" t="str">
        <f aca="false">IF(助手回款!$R$187&lt;&gt;"","摘　　要","")</f>
        <v/>
      </c>
      <c r="C2779" s="61"/>
      <c r="D2779" s="62" t="str">
        <f aca="false">IF(助手回款!$R$187&lt;&gt;"","科　　　　目","")</f>
        <v/>
      </c>
      <c r="E2779" s="62"/>
      <c r="F2779" s="61" t="str">
        <f aca="false">IF(助手回款!$R$187&lt;&gt;"","借 方 金 额","")</f>
        <v/>
      </c>
      <c r="G2779" s="62" t="str">
        <f aca="false">IF(助手回款!$R$187&lt;&gt;"","贷 方 金 额","")</f>
        <v/>
      </c>
      <c r="H2779" s="63" t="str">
        <f aca="false">IF(助手回款!$R$187&lt;&gt;"","√","")</f>
        <v/>
      </c>
      <c r="I2779" s="64" t="str">
        <f aca="false">IF(助手回款!$R$187&lt;&gt;"","附单据  张","")</f>
        <v/>
      </c>
    </row>
    <row r="2780" customFormat="false" ht="12.75" hidden="false" customHeight="true" outlineLevel="0" collapsed="false">
      <c r="B2780" s="61"/>
      <c r="C2780" s="61"/>
      <c r="D2780" s="23" t="str">
        <f aca="false">IF(助手回款!$R$187&lt;&gt;"","总 账 科 目","")</f>
        <v/>
      </c>
      <c r="E2780" s="23" t="str">
        <f aca="false">IF(助手回款!$R$187&lt;&gt;"","明 细 科 目","")</f>
        <v/>
      </c>
      <c r="F2780" s="65"/>
      <c r="G2780" s="66"/>
      <c r="H2780" s="63"/>
      <c r="I2780" s="64"/>
    </row>
    <row r="2781" customFormat="false" ht="23.25" hidden="false" customHeight="true" outlineLevel="0" collapsed="false">
      <c r="B2781" s="67" t="str">
        <f aca="false">IFERROR(INDEX(分录回款!$M:$M,MATCH($L2781,分录回款!$L:$L,0)),"")</f>
        <v/>
      </c>
      <c r="C2781" s="67"/>
      <c r="D2781" s="23" t="str">
        <f aca="false">IFERROR(INDEX(分录回款!$E:$E,MATCH($L2781,分录回款!$L:$L,0)),"")</f>
        <v/>
      </c>
      <c r="E2781" s="23" t="str">
        <f aca="false">IFERROR(INDEX(分录回款!$F:$F,MATCH($L2781,分录回款!$L:$L,0)),"")</f>
        <v/>
      </c>
      <c r="F2781" s="68" t="str">
        <f aca="false">IFERROR(INDEX(分录回款!$H:$H,MATCH($L2781,分录回款!$L:$L,0)),"")</f>
        <v/>
      </c>
      <c r="G2781" s="69" t="str">
        <f aca="false">IFERROR(INDEX(分录回款!$I:$I,MATCH($L2781,分录回款!$L:$L,0)),"")</f>
        <v/>
      </c>
      <c r="H2781" s="23"/>
      <c r="I2781" s="70"/>
      <c r="L2781" s="71" t="n">
        <f aca="false">IF(助手回款!$R$187="",-1,助手回款!$R$187*100+(助手回款!$S$187-1)*6+1)</f>
        <v>-1</v>
      </c>
    </row>
    <row r="2782" customFormat="false" ht="23.25" hidden="false" customHeight="true" outlineLevel="0" collapsed="false">
      <c r="B2782" s="67" t="str">
        <f aca="false">""</f>
        <v/>
      </c>
      <c r="C2782" s="67"/>
      <c r="D2782" s="23" t="str">
        <f aca="false">IFERROR(INDEX(分录回款!$E:$E,MATCH($L2782,分录回款!$L:$L,0)),"")</f>
        <v/>
      </c>
      <c r="E2782" s="23" t="str">
        <f aca="false">IFERROR(INDEX(分录回款!$F:$F,MATCH($L2782,分录回款!$L:$L,0)),"")</f>
        <v/>
      </c>
      <c r="F2782" s="68" t="str">
        <f aca="false">IFERROR(INDEX(分录回款!$H:$H,MATCH($L2782,分录回款!$L:$L,0)),"")</f>
        <v/>
      </c>
      <c r="G2782" s="69" t="str">
        <f aca="false">IFERROR(INDEX(分录回款!$I:$I,MATCH($L2782,分录回款!$L:$L,0)),"")</f>
        <v/>
      </c>
      <c r="H2782" s="23"/>
      <c r="I2782" s="70"/>
      <c r="L2782" s="71" t="n">
        <f aca="false">IF(助手回款!$R$187="",-1,助手回款!$R$187*100+(助手回款!$S$187-1)*6+2)</f>
        <v>-1</v>
      </c>
    </row>
    <row r="2783" customFormat="false" ht="23.25" hidden="false" customHeight="true" outlineLevel="0" collapsed="false">
      <c r="B2783" s="67" t="str">
        <f aca="false">""</f>
        <v/>
      </c>
      <c r="C2783" s="67"/>
      <c r="D2783" s="23" t="str">
        <f aca="false">IFERROR(INDEX(分录回款!$E:$E,MATCH($L2783,分录回款!$L:$L,0)),"")</f>
        <v/>
      </c>
      <c r="E2783" s="23" t="str">
        <f aca="false">IFERROR(INDEX(分录回款!$F:$F,MATCH($L2783,分录回款!$L:$L,0)),"")</f>
        <v/>
      </c>
      <c r="F2783" s="68" t="str">
        <f aca="false">IFERROR(INDEX(分录回款!$H:$H,MATCH($L2783,分录回款!$L:$L,0)),"")</f>
        <v/>
      </c>
      <c r="G2783" s="69" t="str">
        <f aca="false">IFERROR(INDEX(分录回款!$I:$I,MATCH($L2783,分录回款!$L:$L,0)),"")</f>
        <v/>
      </c>
      <c r="H2783" s="23"/>
      <c r="I2783" s="70"/>
      <c r="L2783" s="71" t="n">
        <f aca="false">IF(助手回款!$R$187="",-1,助手回款!$R$187*100+(助手回款!$S$187-1)*6+3)</f>
        <v>-1</v>
      </c>
    </row>
    <row r="2784" customFormat="false" ht="23.25" hidden="false" customHeight="true" outlineLevel="0" collapsed="false">
      <c r="B2784" s="67" t="str">
        <f aca="false">""</f>
        <v/>
      </c>
      <c r="C2784" s="67"/>
      <c r="D2784" s="23" t="str">
        <f aca="false">IFERROR(INDEX(分录回款!$E:$E,MATCH($L2784,分录回款!$L:$L,0)),"")</f>
        <v/>
      </c>
      <c r="E2784" s="23" t="str">
        <f aca="false">IFERROR(INDEX(分录回款!$F:$F,MATCH($L2784,分录回款!$L:$L,0)),"")</f>
        <v/>
      </c>
      <c r="F2784" s="68" t="str">
        <f aca="false">IFERROR(INDEX(分录回款!$H:$H,MATCH($L2784,分录回款!$L:$L,0)),"")</f>
        <v/>
      </c>
      <c r="G2784" s="69" t="str">
        <f aca="false">IFERROR(INDEX(分录回款!$I:$I,MATCH($L2784,分录回款!$L:$L,0)),"")</f>
        <v/>
      </c>
      <c r="H2784" s="23"/>
      <c r="I2784" s="70"/>
      <c r="L2784" s="71" t="n">
        <f aca="false">IF(助手回款!$R$187="",-1,助手回款!$R$187*100+(助手回款!$S$187-1)*6+4)</f>
        <v>-1</v>
      </c>
    </row>
    <row r="2785" customFormat="false" ht="23.25" hidden="false" customHeight="true" outlineLevel="0" collapsed="false">
      <c r="B2785" s="67" t="str">
        <f aca="false">""</f>
        <v/>
      </c>
      <c r="C2785" s="67"/>
      <c r="D2785" s="23" t="str">
        <f aca="false">IFERROR(INDEX(分录回款!$E:$E,MATCH($L2785,分录回款!$L:$L,0)),"")</f>
        <v/>
      </c>
      <c r="E2785" s="23" t="str">
        <f aca="false">IFERROR(INDEX(分录回款!$F:$F,MATCH($L2785,分录回款!$L:$L,0)),"")</f>
        <v/>
      </c>
      <c r="F2785" s="68" t="str">
        <f aca="false">IFERROR(INDEX(分录回款!$H:$H,MATCH($L2785,分录回款!$L:$L,0)),"")</f>
        <v/>
      </c>
      <c r="G2785" s="69" t="str">
        <f aca="false">IFERROR(INDEX(分录回款!$I:$I,MATCH($L2785,分录回款!$L:$L,0)),"")</f>
        <v/>
      </c>
      <c r="H2785" s="23"/>
      <c r="I2785" s="70"/>
      <c r="L2785" s="71" t="n">
        <f aca="false">IF(助手回款!$R$187="",-1,助手回款!$R$187*100+(助手回款!$S$187-1)*6+5)</f>
        <v>-1</v>
      </c>
    </row>
    <row r="2786" customFormat="false" ht="23.25" hidden="false" customHeight="true" outlineLevel="0" collapsed="false">
      <c r="B2786" s="67" t="str">
        <f aca="false">""</f>
        <v/>
      </c>
      <c r="C2786" s="67"/>
      <c r="D2786" s="23" t="str">
        <f aca="false">IFERROR(INDEX(分录回款!$E:$E,MATCH($L2786,分录回款!$L:$L,0)),"")</f>
        <v/>
      </c>
      <c r="E2786" s="23" t="str">
        <f aca="false">IFERROR(INDEX(分录回款!$F:$F,MATCH($L2786,分录回款!$L:$L,0)),"")</f>
        <v/>
      </c>
      <c r="F2786" s="68" t="str">
        <f aca="false">IFERROR(INDEX(分录回款!$H:$H,MATCH($L2786,分录回款!$L:$L,0)),"")</f>
        <v/>
      </c>
      <c r="G2786" s="69" t="str">
        <f aca="false">IFERROR(INDEX(分录回款!$I:$I,MATCH($L2786,分录回款!$L:$L,0)),"")</f>
        <v/>
      </c>
      <c r="H2786" s="23"/>
      <c r="I2786" s="70"/>
      <c r="L2786" s="71" t="n">
        <f aca="false">IF(助手回款!$R$187="",-1,助手回款!$R$187*100+(助手回款!$S$187-1)*6+6)</f>
        <v>-1</v>
      </c>
    </row>
    <row r="2787" customFormat="false" ht="23.25" hidden="false" customHeight="true" outlineLevel="0" collapsed="false">
      <c r="B2787" s="72" t="str">
        <f aca="false">IF(助手回款!$T$187=1,"合计：","")</f>
        <v/>
      </c>
      <c r="C2787" s="73" t="str">
        <f aca="false">IF(助手回款!$T$187=1,$F2787,"")</f>
        <v/>
      </c>
      <c r="D2787" s="74"/>
      <c r="E2787" s="74"/>
      <c r="F2787" s="75" t="str">
        <f aca="false">IF(助手回款!$T$187=1,INDEX(助手回款!$N$2:$N$66,助手回款!$R$187),"")</f>
        <v/>
      </c>
      <c r="G2787" s="76" t="str">
        <f aca="false">IF(助手回款!$T$187=1,INDEX(助手回款!$O$2:$O$66,助手回款!$R$187),"")</f>
        <v/>
      </c>
      <c r="H2787" s="74"/>
      <c r="I2787" s="77"/>
    </row>
    <row r="2788" customFormat="false" ht="6" hidden="false" customHeight="true" outlineLevel="0" collapsed="false"/>
    <row r="2789" customFormat="false" ht="13.5" hidden="false" customHeight="false" outlineLevel="0" collapsed="false">
      <c r="B2789" s="78" t="str">
        <f aca="false">IF(助手回款!$R$187&lt;&gt;"","会计主管：","")</f>
        <v/>
      </c>
      <c r="D2789" s="78" t="str">
        <f aca="false">IF(助手回款!$R$187&lt;&gt;"","会计：","")</f>
        <v/>
      </c>
      <c r="E2789" s="78" t="str">
        <f aca="false">IF(助手回款!$R$187&lt;&gt;"","出纳：","")</f>
        <v/>
      </c>
      <c r="F2789" s="78" t="str">
        <f aca="false">IF(助手回款!$R$187&lt;&gt;"","复核：","")</f>
        <v/>
      </c>
      <c r="G2789" s="78" t="str">
        <f aca="false">IF(助手回款!$R$187&lt;&gt;"","制单：","")</f>
        <v/>
      </c>
    </row>
    <row r="2790" customFormat="false" ht="3" hidden="false" customHeight="true" outlineLevel="0" collapsed="false"/>
    <row r="2791" customFormat="false" ht="19.5" hidden="false" customHeight="true" outlineLevel="0" collapsed="false">
      <c r="B2791" s="53" t="str">
        <f aca="false">IF(助手回款!$R$188&lt;&gt;"","记  账  凭  证","")</f>
        <v/>
      </c>
      <c r="C2791" s="53"/>
      <c r="D2791" s="53"/>
      <c r="E2791" s="53"/>
      <c r="F2791" s="53"/>
      <c r="G2791" s="53"/>
      <c r="H2791" s="53"/>
      <c r="I2791" s="53"/>
    </row>
    <row r="2792" customFormat="false" ht="3" hidden="false" customHeight="true" outlineLevel="0" collapsed="false"/>
    <row r="2793" customFormat="false" ht="15" hidden="false" customHeight="true" outlineLevel="0" collapsed="false">
      <c r="C2793" s="56" t="str">
        <f aca="false">IF(助手回款!$R$188&lt;&gt;"",INDEX(助手回款!$B$2:$B$66,助手回款!$R$188),"")</f>
        <v/>
      </c>
      <c r="D2793" s="57" t="str">
        <f aca="false">IF(助手回款!$R$188&lt;&gt;"",参数!$B$2,"")</f>
        <v/>
      </c>
      <c r="E2793" s="57"/>
      <c r="F2793" s="58" t="str">
        <f aca="false">IF(助手回款!$R$188&lt;&gt;"",INDEX(助手回款!$C$2:$C$66,助手回款!$R$188)&amp;"  字第 "&amp;IF(参数!$B$9="是",INDEX(助手回款!$P$2:$P$66,助手回款!$R$188),"　　　　")&amp;" 号"&amp;IF(INDEX(助手回款!$L$2:$L$66,助手回款!$R$188)&gt;1,"  (共"&amp;INDEX(助手回款!$L$2:$L$66,助手回款!$R$188)&amp;"页 第"&amp;助手回款!$S$188&amp;"页)",""),"")</f>
        <v/>
      </c>
      <c r="G2793" s="58"/>
      <c r="H2793" s="58"/>
      <c r="I2793" s="58"/>
      <c r="M2793" s="79" t="str">
        <f aca="false">IF(助手回款!$R$188="","",助手回款!$Q$188)</f>
        <v/>
      </c>
      <c r="N2793" s="80" t="str">
        <f aca="false">IF(助手回款!$R$188="","",INDEX(助手回款!$P$2:$P$66,助手回款!$R$188))</f>
        <v/>
      </c>
      <c r="O2793" s="55" t="str">
        <f aca="false">IF(助手回款!$R$188="","",INDEX(助手回款!$C$2:$C$66,助手回款!$R$188)&amp;"  字第 "&amp;INDEX(助手回款!$P$2:$P$66,助手回款!$R$188)&amp;" 号"&amp;IF(INDEX(助手回款!$L$2:$L$66,助手回款!$R$188)&gt;1,"  (共"&amp;INDEX(助手回款!$L$2:$L$66,助手回款!$R$188)&amp;"页 第"&amp;助手回款!$S$188&amp;"页)",""))</f>
        <v/>
      </c>
    </row>
    <row r="2794" customFormat="false" ht="12.75" hidden="false" customHeight="true" outlineLevel="0" collapsed="false">
      <c r="B2794" s="61" t="str">
        <f aca="false">IF(助手回款!$R$188&lt;&gt;"","摘　　要","")</f>
        <v/>
      </c>
      <c r="C2794" s="61"/>
      <c r="D2794" s="62" t="str">
        <f aca="false">IF(助手回款!$R$188&lt;&gt;"","科　　　　目","")</f>
        <v/>
      </c>
      <c r="E2794" s="62"/>
      <c r="F2794" s="61" t="str">
        <f aca="false">IF(助手回款!$R$188&lt;&gt;"","借 方 金 额","")</f>
        <v/>
      </c>
      <c r="G2794" s="62" t="str">
        <f aca="false">IF(助手回款!$R$188&lt;&gt;"","贷 方 金 额","")</f>
        <v/>
      </c>
      <c r="H2794" s="63" t="str">
        <f aca="false">IF(助手回款!$R$188&lt;&gt;"","√","")</f>
        <v/>
      </c>
      <c r="I2794" s="64" t="str">
        <f aca="false">IF(助手回款!$R$188&lt;&gt;"","附单据  张","")</f>
        <v/>
      </c>
    </row>
    <row r="2795" customFormat="false" ht="12.75" hidden="false" customHeight="true" outlineLevel="0" collapsed="false">
      <c r="B2795" s="61"/>
      <c r="C2795" s="61"/>
      <c r="D2795" s="23" t="str">
        <f aca="false">IF(助手回款!$R$188&lt;&gt;"","总 账 科 目","")</f>
        <v/>
      </c>
      <c r="E2795" s="23" t="str">
        <f aca="false">IF(助手回款!$R$188&lt;&gt;"","明 细 科 目","")</f>
        <v/>
      </c>
      <c r="F2795" s="65"/>
      <c r="G2795" s="66"/>
      <c r="H2795" s="63"/>
      <c r="I2795" s="64"/>
    </row>
    <row r="2796" customFormat="false" ht="23.25" hidden="false" customHeight="true" outlineLevel="0" collapsed="false">
      <c r="B2796" s="67" t="str">
        <f aca="false">IFERROR(INDEX(分录回款!$M:$M,MATCH($L2796,分录回款!$L:$L,0)),"")</f>
        <v/>
      </c>
      <c r="C2796" s="67"/>
      <c r="D2796" s="23" t="str">
        <f aca="false">IFERROR(INDEX(分录回款!$E:$E,MATCH($L2796,分录回款!$L:$L,0)),"")</f>
        <v/>
      </c>
      <c r="E2796" s="23" t="str">
        <f aca="false">IFERROR(INDEX(分录回款!$F:$F,MATCH($L2796,分录回款!$L:$L,0)),"")</f>
        <v/>
      </c>
      <c r="F2796" s="68" t="str">
        <f aca="false">IFERROR(INDEX(分录回款!$H:$H,MATCH($L2796,分录回款!$L:$L,0)),"")</f>
        <v/>
      </c>
      <c r="G2796" s="69" t="str">
        <f aca="false">IFERROR(INDEX(分录回款!$I:$I,MATCH($L2796,分录回款!$L:$L,0)),"")</f>
        <v/>
      </c>
      <c r="H2796" s="23"/>
      <c r="I2796" s="70"/>
      <c r="L2796" s="71" t="n">
        <f aca="false">IF(助手回款!$R$188="",-1,助手回款!$R$188*100+(助手回款!$S$188-1)*6+1)</f>
        <v>-1</v>
      </c>
    </row>
    <row r="2797" customFormat="false" ht="23.25" hidden="false" customHeight="true" outlineLevel="0" collapsed="false">
      <c r="B2797" s="67" t="str">
        <f aca="false">""</f>
        <v/>
      </c>
      <c r="C2797" s="67"/>
      <c r="D2797" s="23" t="str">
        <f aca="false">IFERROR(INDEX(分录回款!$E:$E,MATCH($L2797,分录回款!$L:$L,0)),"")</f>
        <v/>
      </c>
      <c r="E2797" s="23" t="str">
        <f aca="false">IFERROR(INDEX(分录回款!$F:$F,MATCH($L2797,分录回款!$L:$L,0)),"")</f>
        <v/>
      </c>
      <c r="F2797" s="68" t="str">
        <f aca="false">IFERROR(INDEX(分录回款!$H:$H,MATCH($L2797,分录回款!$L:$L,0)),"")</f>
        <v/>
      </c>
      <c r="G2797" s="69" t="str">
        <f aca="false">IFERROR(INDEX(分录回款!$I:$I,MATCH($L2797,分录回款!$L:$L,0)),"")</f>
        <v/>
      </c>
      <c r="H2797" s="23"/>
      <c r="I2797" s="70"/>
      <c r="L2797" s="71" t="n">
        <f aca="false">IF(助手回款!$R$188="",-1,助手回款!$R$188*100+(助手回款!$S$188-1)*6+2)</f>
        <v>-1</v>
      </c>
    </row>
    <row r="2798" customFormat="false" ht="23.25" hidden="false" customHeight="true" outlineLevel="0" collapsed="false">
      <c r="B2798" s="67" t="str">
        <f aca="false">""</f>
        <v/>
      </c>
      <c r="C2798" s="67"/>
      <c r="D2798" s="23" t="str">
        <f aca="false">IFERROR(INDEX(分录回款!$E:$E,MATCH($L2798,分录回款!$L:$L,0)),"")</f>
        <v/>
      </c>
      <c r="E2798" s="23" t="str">
        <f aca="false">IFERROR(INDEX(分录回款!$F:$F,MATCH($L2798,分录回款!$L:$L,0)),"")</f>
        <v/>
      </c>
      <c r="F2798" s="68" t="str">
        <f aca="false">IFERROR(INDEX(分录回款!$H:$H,MATCH($L2798,分录回款!$L:$L,0)),"")</f>
        <v/>
      </c>
      <c r="G2798" s="69" t="str">
        <f aca="false">IFERROR(INDEX(分录回款!$I:$I,MATCH($L2798,分录回款!$L:$L,0)),"")</f>
        <v/>
      </c>
      <c r="H2798" s="23"/>
      <c r="I2798" s="70"/>
      <c r="L2798" s="71" t="n">
        <f aca="false">IF(助手回款!$R$188="",-1,助手回款!$R$188*100+(助手回款!$S$188-1)*6+3)</f>
        <v>-1</v>
      </c>
    </row>
    <row r="2799" customFormat="false" ht="23.25" hidden="false" customHeight="true" outlineLevel="0" collapsed="false">
      <c r="B2799" s="67" t="str">
        <f aca="false">""</f>
        <v/>
      </c>
      <c r="C2799" s="67"/>
      <c r="D2799" s="23" t="str">
        <f aca="false">IFERROR(INDEX(分录回款!$E:$E,MATCH($L2799,分录回款!$L:$L,0)),"")</f>
        <v/>
      </c>
      <c r="E2799" s="23" t="str">
        <f aca="false">IFERROR(INDEX(分录回款!$F:$F,MATCH($L2799,分录回款!$L:$L,0)),"")</f>
        <v/>
      </c>
      <c r="F2799" s="68" t="str">
        <f aca="false">IFERROR(INDEX(分录回款!$H:$H,MATCH($L2799,分录回款!$L:$L,0)),"")</f>
        <v/>
      </c>
      <c r="G2799" s="69" t="str">
        <f aca="false">IFERROR(INDEX(分录回款!$I:$I,MATCH($L2799,分录回款!$L:$L,0)),"")</f>
        <v/>
      </c>
      <c r="H2799" s="23"/>
      <c r="I2799" s="70"/>
      <c r="L2799" s="71" t="n">
        <f aca="false">IF(助手回款!$R$188="",-1,助手回款!$R$188*100+(助手回款!$S$188-1)*6+4)</f>
        <v>-1</v>
      </c>
    </row>
    <row r="2800" customFormat="false" ht="23.25" hidden="false" customHeight="true" outlineLevel="0" collapsed="false">
      <c r="B2800" s="67" t="str">
        <f aca="false">""</f>
        <v/>
      </c>
      <c r="C2800" s="67"/>
      <c r="D2800" s="23" t="str">
        <f aca="false">IFERROR(INDEX(分录回款!$E:$E,MATCH($L2800,分录回款!$L:$L,0)),"")</f>
        <v/>
      </c>
      <c r="E2800" s="23" t="str">
        <f aca="false">IFERROR(INDEX(分录回款!$F:$F,MATCH($L2800,分录回款!$L:$L,0)),"")</f>
        <v/>
      </c>
      <c r="F2800" s="68" t="str">
        <f aca="false">IFERROR(INDEX(分录回款!$H:$H,MATCH($L2800,分录回款!$L:$L,0)),"")</f>
        <v/>
      </c>
      <c r="G2800" s="69" t="str">
        <f aca="false">IFERROR(INDEX(分录回款!$I:$I,MATCH($L2800,分录回款!$L:$L,0)),"")</f>
        <v/>
      </c>
      <c r="H2800" s="23"/>
      <c r="I2800" s="70"/>
      <c r="L2800" s="71" t="n">
        <f aca="false">IF(助手回款!$R$188="",-1,助手回款!$R$188*100+(助手回款!$S$188-1)*6+5)</f>
        <v>-1</v>
      </c>
    </row>
    <row r="2801" customFormat="false" ht="23.25" hidden="false" customHeight="true" outlineLevel="0" collapsed="false">
      <c r="B2801" s="67" t="str">
        <f aca="false">""</f>
        <v/>
      </c>
      <c r="C2801" s="67"/>
      <c r="D2801" s="23" t="str">
        <f aca="false">IFERROR(INDEX(分录回款!$E:$E,MATCH($L2801,分录回款!$L:$L,0)),"")</f>
        <v/>
      </c>
      <c r="E2801" s="23" t="str">
        <f aca="false">IFERROR(INDEX(分录回款!$F:$F,MATCH($L2801,分录回款!$L:$L,0)),"")</f>
        <v/>
      </c>
      <c r="F2801" s="68" t="str">
        <f aca="false">IFERROR(INDEX(分录回款!$H:$H,MATCH($L2801,分录回款!$L:$L,0)),"")</f>
        <v/>
      </c>
      <c r="G2801" s="69" t="str">
        <f aca="false">IFERROR(INDEX(分录回款!$I:$I,MATCH($L2801,分录回款!$L:$L,0)),"")</f>
        <v/>
      </c>
      <c r="H2801" s="23"/>
      <c r="I2801" s="70"/>
      <c r="L2801" s="71" t="n">
        <f aca="false">IF(助手回款!$R$188="",-1,助手回款!$R$188*100+(助手回款!$S$188-1)*6+6)</f>
        <v>-1</v>
      </c>
    </row>
    <row r="2802" customFormat="false" ht="23.25" hidden="false" customHeight="true" outlineLevel="0" collapsed="false">
      <c r="B2802" s="72" t="str">
        <f aca="false">IF(助手回款!$T$188=1,"合计：","")</f>
        <v/>
      </c>
      <c r="C2802" s="73" t="str">
        <f aca="false">IF(助手回款!$T$188=1,$F2802,"")</f>
        <v/>
      </c>
      <c r="D2802" s="74"/>
      <c r="E2802" s="74"/>
      <c r="F2802" s="75" t="str">
        <f aca="false">IF(助手回款!$T$188=1,INDEX(助手回款!$N$2:$N$66,助手回款!$R$188),"")</f>
        <v/>
      </c>
      <c r="G2802" s="76" t="str">
        <f aca="false">IF(助手回款!$T$188=1,INDEX(助手回款!$O$2:$O$66,助手回款!$R$188),"")</f>
        <v/>
      </c>
      <c r="H2802" s="74"/>
      <c r="I2802" s="77"/>
    </row>
    <row r="2803" customFormat="false" ht="6" hidden="false" customHeight="true" outlineLevel="0" collapsed="false"/>
    <row r="2804" customFormat="false" ht="13.5" hidden="false" customHeight="false" outlineLevel="0" collapsed="false">
      <c r="B2804" s="78" t="str">
        <f aca="false">IF(助手回款!$R$188&lt;&gt;"","会计主管：","")</f>
        <v/>
      </c>
      <c r="D2804" s="78" t="str">
        <f aca="false">IF(助手回款!$R$188&lt;&gt;"","会计：","")</f>
        <v/>
      </c>
      <c r="E2804" s="78" t="str">
        <f aca="false">IF(助手回款!$R$188&lt;&gt;"","出纳：","")</f>
        <v/>
      </c>
      <c r="F2804" s="78" t="str">
        <f aca="false">IF(助手回款!$R$188&lt;&gt;"","复核：","")</f>
        <v/>
      </c>
      <c r="G2804" s="78" t="str">
        <f aca="false">IF(助手回款!$R$188&lt;&gt;"","制单：","")</f>
        <v/>
      </c>
    </row>
    <row r="2805" customFormat="false" ht="3" hidden="false" customHeight="true" outlineLevel="0" collapsed="false"/>
    <row r="2806" customFormat="false" ht="19.5" hidden="false" customHeight="true" outlineLevel="0" collapsed="false">
      <c r="B2806" s="53" t="str">
        <f aca="false">IF(助手回款!$R$189&lt;&gt;"","记  账  凭  证","")</f>
        <v/>
      </c>
      <c r="C2806" s="53"/>
      <c r="D2806" s="53"/>
      <c r="E2806" s="53"/>
      <c r="F2806" s="53"/>
      <c r="G2806" s="53"/>
      <c r="H2806" s="53"/>
      <c r="I2806" s="53"/>
    </row>
    <row r="2807" customFormat="false" ht="3" hidden="false" customHeight="true" outlineLevel="0" collapsed="false"/>
    <row r="2808" customFormat="false" ht="15" hidden="false" customHeight="true" outlineLevel="0" collapsed="false">
      <c r="C2808" s="56" t="str">
        <f aca="false">IF(助手回款!$R$189&lt;&gt;"",INDEX(助手回款!$B$2:$B$66,助手回款!$R$189),"")</f>
        <v/>
      </c>
      <c r="D2808" s="57" t="str">
        <f aca="false">IF(助手回款!$R$189&lt;&gt;"",参数!$B$2,"")</f>
        <v/>
      </c>
      <c r="E2808" s="57"/>
      <c r="F2808" s="58" t="str">
        <f aca="false">IF(助手回款!$R$189&lt;&gt;"",INDEX(助手回款!$C$2:$C$66,助手回款!$R$189)&amp;"  字第 "&amp;IF(参数!$B$9="是",INDEX(助手回款!$P$2:$P$66,助手回款!$R$189),"　　　　")&amp;" 号"&amp;IF(INDEX(助手回款!$L$2:$L$66,助手回款!$R$189)&gt;1,"  (共"&amp;INDEX(助手回款!$L$2:$L$66,助手回款!$R$189)&amp;"页 第"&amp;助手回款!$S$189&amp;"页)",""),"")</f>
        <v/>
      </c>
      <c r="G2808" s="58"/>
      <c r="H2808" s="58"/>
      <c r="I2808" s="58"/>
      <c r="M2808" s="79" t="str">
        <f aca="false">IF(助手回款!$R$189="","",助手回款!$Q$189)</f>
        <v/>
      </c>
      <c r="N2808" s="80" t="str">
        <f aca="false">IF(助手回款!$R$189="","",INDEX(助手回款!$P$2:$P$66,助手回款!$R$189))</f>
        <v/>
      </c>
      <c r="O2808" s="55" t="str">
        <f aca="false">IF(助手回款!$R$189="","",INDEX(助手回款!$C$2:$C$66,助手回款!$R$189)&amp;"  字第 "&amp;INDEX(助手回款!$P$2:$P$66,助手回款!$R$189)&amp;" 号"&amp;IF(INDEX(助手回款!$L$2:$L$66,助手回款!$R$189)&gt;1,"  (共"&amp;INDEX(助手回款!$L$2:$L$66,助手回款!$R$189)&amp;"页 第"&amp;助手回款!$S$189&amp;"页)",""))</f>
        <v/>
      </c>
    </row>
    <row r="2809" customFormat="false" ht="12.75" hidden="false" customHeight="true" outlineLevel="0" collapsed="false">
      <c r="B2809" s="61" t="str">
        <f aca="false">IF(助手回款!$R$189&lt;&gt;"","摘　　要","")</f>
        <v/>
      </c>
      <c r="C2809" s="61"/>
      <c r="D2809" s="62" t="str">
        <f aca="false">IF(助手回款!$R$189&lt;&gt;"","科　　　　目","")</f>
        <v/>
      </c>
      <c r="E2809" s="62"/>
      <c r="F2809" s="61" t="str">
        <f aca="false">IF(助手回款!$R$189&lt;&gt;"","借 方 金 额","")</f>
        <v/>
      </c>
      <c r="G2809" s="62" t="str">
        <f aca="false">IF(助手回款!$R$189&lt;&gt;"","贷 方 金 额","")</f>
        <v/>
      </c>
      <c r="H2809" s="63" t="str">
        <f aca="false">IF(助手回款!$R$189&lt;&gt;"","√","")</f>
        <v/>
      </c>
      <c r="I2809" s="64" t="str">
        <f aca="false">IF(助手回款!$R$189&lt;&gt;"","附单据  张","")</f>
        <v/>
      </c>
    </row>
    <row r="2810" customFormat="false" ht="12.75" hidden="false" customHeight="true" outlineLevel="0" collapsed="false">
      <c r="B2810" s="61"/>
      <c r="C2810" s="61"/>
      <c r="D2810" s="23" t="str">
        <f aca="false">IF(助手回款!$R$189&lt;&gt;"","总 账 科 目","")</f>
        <v/>
      </c>
      <c r="E2810" s="23" t="str">
        <f aca="false">IF(助手回款!$R$189&lt;&gt;"","明 细 科 目","")</f>
        <v/>
      </c>
      <c r="F2810" s="65"/>
      <c r="G2810" s="66"/>
      <c r="H2810" s="63"/>
      <c r="I2810" s="64"/>
    </row>
    <row r="2811" customFormat="false" ht="23.25" hidden="false" customHeight="true" outlineLevel="0" collapsed="false">
      <c r="B2811" s="67" t="str">
        <f aca="false">IFERROR(INDEX(分录回款!$M:$M,MATCH($L2811,分录回款!$L:$L,0)),"")</f>
        <v/>
      </c>
      <c r="C2811" s="67"/>
      <c r="D2811" s="23" t="str">
        <f aca="false">IFERROR(INDEX(分录回款!$E:$E,MATCH($L2811,分录回款!$L:$L,0)),"")</f>
        <v/>
      </c>
      <c r="E2811" s="23" t="str">
        <f aca="false">IFERROR(INDEX(分录回款!$F:$F,MATCH($L2811,分录回款!$L:$L,0)),"")</f>
        <v/>
      </c>
      <c r="F2811" s="68" t="str">
        <f aca="false">IFERROR(INDEX(分录回款!$H:$H,MATCH($L2811,分录回款!$L:$L,0)),"")</f>
        <v/>
      </c>
      <c r="G2811" s="69" t="str">
        <f aca="false">IFERROR(INDEX(分录回款!$I:$I,MATCH($L2811,分录回款!$L:$L,0)),"")</f>
        <v/>
      </c>
      <c r="H2811" s="23"/>
      <c r="I2811" s="70"/>
      <c r="L2811" s="71" t="n">
        <f aca="false">IF(助手回款!$R$189="",-1,助手回款!$R$189*100+(助手回款!$S$189-1)*6+1)</f>
        <v>-1</v>
      </c>
    </row>
    <row r="2812" customFormat="false" ht="23.25" hidden="false" customHeight="true" outlineLevel="0" collapsed="false">
      <c r="B2812" s="67" t="str">
        <f aca="false">""</f>
        <v/>
      </c>
      <c r="C2812" s="67"/>
      <c r="D2812" s="23" t="str">
        <f aca="false">IFERROR(INDEX(分录回款!$E:$E,MATCH($L2812,分录回款!$L:$L,0)),"")</f>
        <v/>
      </c>
      <c r="E2812" s="23" t="str">
        <f aca="false">IFERROR(INDEX(分录回款!$F:$F,MATCH($L2812,分录回款!$L:$L,0)),"")</f>
        <v/>
      </c>
      <c r="F2812" s="68" t="str">
        <f aca="false">IFERROR(INDEX(分录回款!$H:$H,MATCH($L2812,分录回款!$L:$L,0)),"")</f>
        <v/>
      </c>
      <c r="G2812" s="69" t="str">
        <f aca="false">IFERROR(INDEX(分录回款!$I:$I,MATCH($L2812,分录回款!$L:$L,0)),"")</f>
        <v/>
      </c>
      <c r="H2812" s="23"/>
      <c r="I2812" s="70"/>
      <c r="L2812" s="71" t="n">
        <f aca="false">IF(助手回款!$R$189="",-1,助手回款!$R$189*100+(助手回款!$S$189-1)*6+2)</f>
        <v>-1</v>
      </c>
    </row>
    <row r="2813" customFormat="false" ht="23.25" hidden="false" customHeight="true" outlineLevel="0" collapsed="false">
      <c r="B2813" s="67" t="str">
        <f aca="false">""</f>
        <v/>
      </c>
      <c r="C2813" s="67"/>
      <c r="D2813" s="23" t="str">
        <f aca="false">IFERROR(INDEX(分录回款!$E:$E,MATCH($L2813,分录回款!$L:$L,0)),"")</f>
        <v/>
      </c>
      <c r="E2813" s="23" t="str">
        <f aca="false">IFERROR(INDEX(分录回款!$F:$F,MATCH($L2813,分录回款!$L:$L,0)),"")</f>
        <v/>
      </c>
      <c r="F2813" s="68" t="str">
        <f aca="false">IFERROR(INDEX(分录回款!$H:$H,MATCH($L2813,分录回款!$L:$L,0)),"")</f>
        <v/>
      </c>
      <c r="G2813" s="69" t="str">
        <f aca="false">IFERROR(INDEX(分录回款!$I:$I,MATCH($L2813,分录回款!$L:$L,0)),"")</f>
        <v/>
      </c>
      <c r="H2813" s="23"/>
      <c r="I2813" s="70"/>
      <c r="L2813" s="71" t="n">
        <f aca="false">IF(助手回款!$R$189="",-1,助手回款!$R$189*100+(助手回款!$S$189-1)*6+3)</f>
        <v>-1</v>
      </c>
    </row>
    <row r="2814" customFormat="false" ht="23.25" hidden="false" customHeight="true" outlineLevel="0" collapsed="false">
      <c r="B2814" s="67" t="str">
        <f aca="false">""</f>
        <v/>
      </c>
      <c r="C2814" s="67"/>
      <c r="D2814" s="23" t="str">
        <f aca="false">IFERROR(INDEX(分录回款!$E:$E,MATCH($L2814,分录回款!$L:$L,0)),"")</f>
        <v/>
      </c>
      <c r="E2814" s="23" t="str">
        <f aca="false">IFERROR(INDEX(分录回款!$F:$F,MATCH($L2814,分录回款!$L:$L,0)),"")</f>
        <v/>
      </c>
      <c r="F2814" s="68" t="str">
        <f aca="false">IFERROR(INDEX(分录回款!$H:$H,MATCH($L2814,分录回款!$L:$L,0)),"")</f>
        <v/>
      </c>
      <c r="G2814" s="69" t="str">
        <f aca="false">IFERROR(INDEX(分录回款!$I:$I,MATCH($L2814,分录回款!$L:$L,0)),"")</f>
        <v/>
      </c>
      <c r="H2814" s="23"/>
      <c r="I2814" s="70"/>
      <c r="L2814" s="71" t="n">
        <f aca="false">IF(助手回款!$R$189="",-1,助手回款!$R$189*100+(助手回款!$S$189-1)*6+4)</f>
        <v>-1</v>
      </c>
    </row>
    <row r="2815" customFormat="false" ht="23.25" hidden="false" customHeight="true" outlineLevel="0" collapsed="false">
      <c r="B2815" s="67" t="str">
        <f aca="false">""</f>
        <v/>
      </c>
      <c r="C2815" s="67"/>
      <c r="D2815" s="23" t="str">
        <f aca="false">IFERROR(INDEX(分录回款!$E:$E,MATCH($L2815,分录回款!$L:$L,0)),"")</f>
        <v/>
      </c>
      <c r="E2815" s="23" t="str">
        <f aca="false">IFERROR(INDEX(分录回款!$F:$F,MATCH($L2815,分录回款!$L:$L,0)),"")</f>
        <v/>
      </c>
      <c r="F2815" s="68" t="str">
        <f aca="false">IFERROR(INDEX(分录回款!$H:$H,MATCH($L2815,分录回款!$L:$L,0)),"")</f>
        <v/>
      </c>
      <c r="G2815" s="69" t="str">
        <f aca="false">IFERROR(INDEX(分录回款!$I:$I,MATCH($L2815,分录回款!$L:$L,0)),"")</f>
        <v/>
      </c>
      <c r="H2815" s="23"/>
      <c r="I2815" s="70"/>
      <c r="L2815" s="71" t="n">
        <f aca="false">IF(助手回款!$R$189="",-1,助手回款!$R$189*100+(助手回款!$S$189-1)*6+5)</f>
        <v>-1</v>
      </c>
    </row>
    <row r="2816" customFormat="false" ht="23.25" hidden="false" customHeight="true" outlineLevel="0" collapsed="false">
      <c r="B2816" s="67" t="str">
        <f aca="false">""</f>
        <v/>
      </c>
      <c r="C2816" s="67"/>
      <c r="D2816" s="23" t="str">
        <f aca="false">IFERROR(INDEX(分录回款!$E:$E,MATCH($L2816,分录回款!$L:$L,0)),"")</f>
        <v/>
      </c>
      <c r="E2816" s="23" t="str">
        <f aca="false">IFERROR(INDEX(分录回款!$F:$F,MATCH($L2816,分录回款!$L:$L,0)),"")</f>
        <v/>
      </c>
      <c r="F2816" s="68" t="str">
        <f aca="false">IFERROR(INDEX(分录回款!$H:$H,MATCH($L2816,分录回款!$L:$L,0)),"")</f>
        <v/>
      </c>
      <c r="G2816" s="69" t="str">
        <f aca="false">IFERROR(INDEX(分录回款!$I:$I,MATCH($L2816,分录回款!$L:$L,0)),"")</f>
        <v/>
      </c>
      <c r="H2816" s="23"/>
      <c r="I2816" s="70"/>
      <c r="L2816" s="71" t="n">
        <f aca="false">IF(助手回款!$R$189="",-1,助手回款!$R$189*100+(助手回款!$S$189-1)*6+6)</f>
        <v>-1</v>
      </c>
    </row>
    <row r="2817" customFormat="false" ht="23.25" hidden="false" customHeight="true" outlineLevel="0" collapsed="false">
      <c r="B2817" s="72" t="str">
        <f aca="false">IF(助手回款!$T$189=1,"合计：","")</f>
        <v/>
      </c>
      <c r="C2817" s="73" t="str">
        <f aca="false">IF(助手回款!$T$189=1,$F2817,"")</f>
        <v/>
      </c>
      <c r="D2817" s="74"/>
      <c r="E2817" s="74"/>
      <c r="F2817" s="75" t="str">
        <f aca="false">IF(助手回款!$T$189=1,INDEX(助手回款!$N$2:$N$66,助手回款!$R$189),"")</f>
        <v/>
      </c>
      <c r="G2817" s="76" t="str">
        <f aca="false">IF(助手回款!$T$189=1,INDEX(助手回款!$O$2:$O$66,助手回款!$R$189),"")</f>
        <v/>
      </c>
      <c r="H2817" s="74"/>
      <c r="I2817" s="77"/>
    </row>
    <row r="2818" customFormat="false" ht="6" hidden="false" customHeight="true" outlineLevel="0" collapsed="false"/>
    <row r="2819" customFormat="false" ht="13.5" hidden="false" customHeight="false" outlineLevel="0" collapsed="false">
      <c r="B2819" s="78" t="str">
        <f aca="false">IF(助手回款!$R$189&lt;&gt;"","会计主管：","")</f>
        <v/>
      </c>
      <c r="D2819" s="78" t="str">
        <f aca="false">IF(助手回款!$R$189&lt;&gt;"","会计：","")</f>
        <v/>
      </c>
      <c r="E2819" s="78" t="str">
        <f aca="false">IF(助手回款!$R$189&lt;&gt;"","出纳：","")</f>
        <v/>
      </c>
      <c r="F2819" s="78" t="str">
        <f aca="false">IF(助手回款!$R$189&lt;&gt;"","复核：","")</f>
        <v/>
      </c>
      <c r="G2819" s="78" t="str">
        <f aca="false">IF(助手回款!$R$189&lt;&gt;"","制单：","")</f>
        <v/>
      </c>
    </row>
    <row r="2820" customFormat="false" ht="3" hidden="false" customHeight="true" outlineLevel="0" collapsed="false"/>
    <row r="2821" customFormat="false" ht="19.5" hidden="false" customHeight="true" outlineLevel="0" collapsed="false">
      <c r="B2821" s="53" t="str">
        <f aca="false">IF(助手回款!$R$190&lt;&gt;"","记  账  凭  证","")</f>
        <v/>
      </c>
      <c r="C2821" s="53"/>
      <c r="D2821" s="53"/>
      <c r="E2821" s="53"/>
      <c r="F2821" s="53"/>
      <c r="G2821" s="53"/>
      <c r="H2821" s="53"/>
      <c r="I2821" s="53"/>
    </row>
    <row r="2822" customFormat="false" ht="3" hidden="false" customHeight="true" outlineLevel="0" collapsed="false"/>
    <row r="2823" customFormat="false" ht="15" hidden="false" customHeight="true" outlineLevel="0" collapsed="false">
      <c r="C2823" s="56" t="str">
        <f aca="false">IF(助手回款!$R$190&lt;&gt;"",INDEX(助手回款!$B$2:$B$66,助手回款!$R$190),"")</f>
        <v/>
      </c>
      <c r="D2823" s="57" t="str">
        <f aca="false">IF(助手回款!$R$190&lt;&gt;"",参数!$B$2,"")</f>
        <v/>
      </c>
      <c r="E2823" s="57"/>
      <c r="F2823" s="58" t="str">
        <f aca="false">IF(助手回款!$R$190&lt;&gt;"",INDEX(助手回款!$C$2:$C$66,助手回款!$R$190)&amp;"  字第 "&amp;IF(参数!$B$9="是",INDEX(助手回款!$P$2:$P$66,助手回款!$R$190),"　　　　")&amp;" 号"&amp;IF(INDEX(助手回款!$L$2:$L$66,助手回款!$R$190)&gt;1,"  (共"&amp;INDEX(助手回款!$L$2:$L$66,助手回款!$R$190)&amp;"页 第"&amp;助手回款!$S$190&amp;"页)",""),"")</f>
        <v/>
      </c>
      <c r="G2823" s="58"/>
      <c r="H2823" s="58"/>
      <c r="I2823" s="58"/>
      <c r="M2823" s="79" t="str">
        <f aca="false">IF(助手回款!$R$190="","",助手回款!$Q$190)</f>
        <v/>
      </c>
      <c r="N2823" s="80" t="str">
        <f aca="false">IF(助手回款!$R$190="","",INDEX(助手回款!$P$2:$P$66,助手回款!$R$190))</f>
        <v/>
      </c>
      <c r="O2823" s="55" t="str">
        <f aca="false">IF(助手回款!$R$190="","",INDEX(助手回款!$C$2:$C$66,助手回款!$R$190)&amp;"  字第 "&amp;INDEX(助手回款!$P$2:$P$66,助手回款!$R$190)&amp;" 号"&amp;IF(INDEX(助手回款!$L$2:$L$66,助手回款!$R$190)&gt;1,"  (共"&amp;INDEX(助手回款!$L$2:$L$66,助手回款!$R$190)&amp;"页 第"&amp;助手回款!$S$190&amp;"页)",""))</f>
        <v/>
      </c>
    </row>
    <row r="2824" customFormat="false" ht="12.75" hidden="false" customHeight="true" outlineLevel="0" collapsed="false">
      <c r="B2824" s="61" t="str">
        <f aca="false">IF(助手回款!$R$190&lt;&gt;"","摘　　要","")</f>
        <v/>
      </c>
      <c r="C2824" s="61"/>
      <c r="D2824" s="62" t="str">
        <f aca="false">IF(助手回款!$R$190&lt;&gt;"","科　　　　目","")</f>
        <v/>
      </c>
      <c r="E2824" s="62"/>
      <c r="F2824" s="61" t="str">
        <f aca="false">IF(助手回款!$R$190&lt;&gt;"","借 方 金 额","")</f>
        <v/>
      </c>
      <c r="G2824" s="62" t="str">
        <f aca="false">IF(助手回款!$R$190&lt;&gt;"","贷 方 金 额","")</f>
        <v/>
      </c>
      <c r="H2824" s="63" t="str">
        <f aca="false">IF(助手回款!$R$190&lt;&gt;"","√","")</f>
        <v/>
      </c>
      <c r="I2824" s="64" t="str">
        <f aca="false">IF(助手回款!$R$190&lt;&gt;"","附单据  张","")</f>
        <v/>
      </c>
    </row>
    <row r="2825" customFormat="false" ht="12.75" hidden="false" customHeight="true" outlineLevel="0" collapsed="false">
      <c r="B2825" s="61"/>
      <c r="C2825" s="61"/>
      <c r="D2825" s="23" t="str">
        <f aca="false">IF(助手回款!$R$190&lt;&gt;"","总 账 科 目","")</f>
        <v/>
      </c>
      <c r="E2825" s="23" t="str">
        <f aca="false">IF(助手回款!$R$190&lt;&gt;"","明 细 科 目","")</f>
        <v/>
      </c>
      <c r="F2825" s="65"/>
      <c r="G2825" s="66"/>
      <c r="H2825" s="63"/>
      <c r="I2825" s="64"/>
    </row>
    <row r="2826" customFormat="false" ht="23.25" hidden="false" customHeight="true" outlineLevel="0" collapsed="false">
      <c r="B2826" s="67" t="str">
        <f aca="false">IFERROR(INDEX(分录回款!$M:$M,MATCH($L2826,分录回款!$L:$L,0)),"")</f>
        <v/>
      </c>
      <c r="C2826" s="67"/>
      <c r="D2826" s="23" t="str">
        <f aca="false">IFERROR(INDEX(分录回款!$E:$E,MATCH($L2826,分录回款!$L:$L,0)),"")</f>
        <v/>
      </c>
      <c r="E2826" s="23" t="str">
        <f aca="false">IFERROR(INDEX(分录回款!$F:$F,MATCH($L2826,分录回款!$L:$L,0)),"")</f>
        <v/>
      </c>
      <c r="F2826" s="68" t="str">
        <f aca="false">IFERROR(INDEX(分录回款!$H:$H,MATCH($L2826,分录回款!$L:$L,0)),"")</f>
        <v/>
      </c>
      <c r="G2826" s="69" t="str">
        <f aca="false">IFERROR(INDEX(分录回款!$I:$I,MATCH($L2826,分录回款!$L:$L,0)),"")</f>
        <v/>
      </c>
      <c r="H2826" s="23"/>
      <c r="I2826" s="70"/>
      <c r="L2826" s="71" t="n">
        <f aca="false">IF(助手回款!$R$190="",-1,助手回款!$R$190*100+(助手回款!$S$190-1)*6+1)</f>
        <v>-1</v>
      </c>
    </row>
    <row r="2827" customFormat="false" ht="23.25" hidden="false" customHeight="true" outlineLevel="0" collapsed="false">
      <c r="B2827" s="67" t="str">
        <f aca="false">""</f>
        <v/>
      </c>
      <c r="C2827" s="67"/>
      <c r="D2827" s="23" t="str">
        <f aca="false">IFERROR(INDEX(分录回款!$E:$E,MATCH($L2827,分录回款!$L:$L,0)),"")</f>
        <v/>
      </c>
      <c r="E2827" s="23" t="str">
        <f aca="false">IFERROR(INDEX(分录回款!$F:$F,MATCH($L2827,分录回款!$L:$L,0)),"")</f>
        <v/>
      </c>
      <c r="F2827" s="68" t="str">
        <f aca="false">IFERROR(INDEX(分录回款!$H:$H,MATCH($L2827,分录回款!$L:$L,0)),"")</f>
        <v/>
      </c>
      <c r="G2827" s="69" t="str">
        <f aca="false">IFERROR(INDEX(分录回款!$I:$I,MATCH($L2827,分录回款!$L:$L,0)),"")</f>
        <v/>
      </c>
      <c r="H2827" s="23"/>
      <c r="I2827" s="70"/>
      <c r="L2827" s="71" t="n">
        <f aca="false">IF(助手回款!$R$190="",-1,助手回款!$R$190*100+(助手回款!$S$190-1)*6+2)</f>
        <v>-1</v>
      </c>
    </row>
    <row r="2828" customFormat="false" ht="23.25" hidden="false" customHeight="true" outlineLevel="0" collapsed="false">
      <c r="B2828" s="67" t="str">
        <f aca="false">""</f>
        <v/>
      </c>
      <c r="C2828" s="67"/>
      <c r="D2828" s="23" t="str">
        <f aca="false">IFERROR(INDEX(分录回款!$E:$E,MATCH($L2828,分录回款!$L:$L,0)),"")</f>
        <v/>
      </c>
      <c r="E2828" s="23" t="str">
        <f aca="false">IFERROR(INDEX(分录回款!$F:$F,MATCH($L2828,分录回款!$L:$L,0)),"")</f>
        <v/>
      </c>
      <c r="F2828" s="68" t="str">
        <f aca="false">IFERROR(INDEX(分录回款!$H:$H,MATCH($L2828,分录回款!$L:$L,0)),"")</f>
        <v/>
      </c>
      <c r="G2828" s="69" t="str">
        <f aca="false">IFERROR(INDEX(分录回款!$I:$I,MATCH($L2828,分录回款!$L:$L,0)),"")</f>
        <v/>
      </c>
      <c r="H2828" s="23"/>
      <c r="I2828" s="70"/>
      <c r="L2828" s="71" t="n">
        <f aca="false">IF(助手回款!$R$190="",-1,助手回款!$R$190*100+(助手回款!$S$190-1)*6+3)</f>
        <v>-1</v>
      </c>
    </row>
    <row r="2829" customFormat="false" ht="23.25" hidden="false" customHeight="true" outlineLevel="0" collapsed="false">
      <c r="B2829" s="67" t="str">
        <f aca="false">""</f>
        <v/>
      </c>
      <c r="C2829" s="67"/>
      <c r="D2829" s="23" t="str">
        <f aca="false">IFERROR(INDEX(分录回款!$E:$E,MATCH($L2829,分录回款!$L:$L,0)),"")</f>
        <v/>
      </c>
      <c r="E2829" s="23" t="str">
        <f aca="false">IFERROR(INDEX(分录回款!$F:$F,MATCH($L2829,分录回款!$L:$L,0)),"")</f>
        <v/>
      </c>
      <c r="F2829" s="68" t="str">
        <f aca="false">IFERROR(INDEX(分录回款!$H:$H,MATCH($L2829,分录回款!$L:$L,0)),"")</f>
        <v/>
      </c>
      <c r="G2829" s="69" t="str">
        <f aca="false">IFERROR(INDEX(分录回款!$I:$I,MATCH($L2829,分录回款!$L:$L,0)),"")</f>
        <v/>
      </c>
      <c r="H2829" s="23"/>
      <c r="I2829" s="70"/>
      <c r="L2829" s="71" t="n">
        <f aca="false">IF(助手回款!$R$190="",-1,助手回款!$R$190*100+(助手回款!$S$190-1)*6+4)</f>
        <v>-1</v>
      </c>
    </row>
    <row r="2830" customFormat="false" ht="23.25" hidden="false" customHeight="true" outlineLevel="0" collapsed="false">
      <c r="B2830" s="67" t="str">
        <f aca="false">""</f>
        <v/>
      </c>
      <c r="C2830" s="67"/>
      <c r="D2830" s="23" t="str">
        <f aca="false">IFERROR(INDEX(分录回款!$E:$E,MATCH($L2830,分录回款!$L:$L,0)),"")</f>
        <v/>
      </c>
      <c r="E2830" s="23" t="str">
        <f aca="false">IFERROR(INDEX(分录回款!$F:$F,MATCH($L2830,分录回款!$L:$L,0)),"")</f>
        <v/>
      </c>
      <c r="F2830" s="68" t="str">
        <f aca="false">IFERROR(INDEX(分录回款!$H:$H,MATCH($L2830,分录回款!$L:$L,0)),"")</f>
        <v/>
      </c>
      <c r="G2830" s="69" t="str">
        <f aca="false">IFERROR(INDEX(分录回款!$I:$I,MATCH($L2830,分录回款!$L:$L,0)),"")</f>
        <v/>
      </c>
      <c r="H2830" s="23"/>
      <c r="I2830" s="70"/>
      <c r="L2830" s="71" t="n">
        <f aca="false">IF(助手回款!$R$190="",-1,助手回款!$R$190*100+(助手回款!$S$190-1)*6+5)</f>
        <v>-1</v>
      </c>
    </row>
    <row r="2831" customFormat="false" ht="23.25" hidden="false" customHeight="true" outlineLevel="0" collapsed="false">
      <c r="B2831" s="67" t="str">
        <f aca="false">""</f>
        <v/>
      </c>
      <c r="C2831" s="67"/>
      <c r="D2831" s="23" t="str">
        <f aca="false">IFERROR(INDEX(分录回款!$E:$E,MATCH($L2831,分录回款!$L:$L,0)),"")</f>
        <v/>
      </c>
      <c r="E2831" s="23" t="str">
        <f aca="false">IFERROR(INDEX(分录回款!$F:$F,MATCH($L2831,分录回款!$L:$L,0)),"")</f>
        <v/>
      </c>
      <c r="F2831" s="68" t="str">
        <f aca="false">IFERROR(INDEX(分录回款!$H:$H,MATCH($L2831,分录回款!$L:$L,0)),"")</f>
        <v/>
      </c>
      <c r="G2831" s="69" t="str">
        <f aca="false">IFERROR(INDEX(分录回款!$I:$I,MATCH($L2831,分录回款!$L:$L,0)),"")</f>
        <v/>
      </c>
      <c r="H2831" s="23"/>
      <c r="I2831" s="70"/>
      <c r="L2831" s="71" t="n">
        <f aca="false">IF(助手回款!$R$190="",-1,助手回款!$R$190*100+(助手回款!$S$190-1)*6+6)</f>
        <v>-1</v>
      </c>
    </row>
    <row r="2832" customFormat="false" ht="23.25" hidden="false" customHeight="true" outlineLevel="0" collapsed="false">
      <c r="B2832" s="72" t="str">
        <f aca="false">IF(助手回款!$T$190=1,"合计：","")</f>
        <v/>
      </c>
      <c r="C2832" s="73" t="str">
        <f aca="false">IF(助手回款!$T$190=1,$F2832,"")</f>
        <v/>
      </c>
      <c r="D2832" s="74"/>
      <c r="E2832" s="74"/>
      <c r="F2832" s="75" t="str">
        <f aca="false">IF(助手回款!$T$190=1,INDEX(助手回款!$N$2:$N$66,助手回款!$R$190),"")</f>
        <v/>
      </c>
      <c r="G2832" s="76" t="str">
        <f aca="false">IF(助手回款!$T$190=1,INDEX(助手回款!$O$2:$O$66,助手回款!$R$190),"")</f>
        <v/>
      </c>
      <c r="H2832" s="74"/>
      <c r="I2832" s="77"/>
    </row>
    <row r="2833" customFormat="false" ht="6" hidden="false" customHeight="true" outlineLevel="0" collapsed="false"/>
    <row r="2834" customFormat="false" ht="13.5" hidden="false" customHeight="false" outlineLevel="0" collapsed="false">
      <c r="B2834" s="78" t="str">
        <f aca="false">IF(助手回款!$R$190&lt;&gt;"","会计主管：","")</f>
        <v/>
      </c>
      <c r="D2834" s="78" t="str">
        <f aca="false">IF(助手回款!$R$190&lt;&gt;"","会计：","")</f>
        <v/>
      </c>
      <c r="E2834" s="78" t="str">
        <f aca="false">IF(助手回款!$R$190&lt;&gt;"","出纳：","")</f>
        <v/>
      </c>
      <c r="F2834" s="78" t="str">
        <f aca="false">IF(助手回款!$R$190&lt;&gt;"","复核：","")</f>
        <v/>
      </c>
      <c r="G2834" s="78" t="str">
        <f aca="false">IF(助手回款!$R$190&lt;&gt;"","制单：","")</f>
        <v/>
      </c>
    </row>
    <row r="2835" customFormat="false" ht="3" hidden="false" customHeight="true" outlineLevel="0" collapsed="false"/>
    <row r="2836" customFormat="false" ht="19.5" hidden="false" customHeight="true" outlineLevel="0" collapsed="false">
      <c r="B2836" s="53" t="str">
        <f aca="false">IF(助手回款!$R$191&lt;&gt;"","记  账  凭  证","")</f>
        <v/>
      </c>
      <c r="C2836" s="53"/>
      <c r="D2836" s="53"/>
      <c r="E2836" s="53"/>
      <c r="F2836" s="53"/>
      <c r="G2836" s="53"/>
      <c r="H2836" s="53"/>
      <c r="I2836" s="53"/>
    </row>
    <row r="2837" customFormat="false" ht="3" hidden="false" customHeight="true" outlineLevel="0" collapsed="false"/>
    <row r="2838" customFormat="false" ht="15" hidden="false" customHeight="true" outlineLevel="0" collapsed="false">
      <c r="C2838" s="56" t="str">
        <f aca="false">IF(助手回款!$R$191&lt;&gt;"",INDEX(助手回款!$B$2:$B$66,助手回款!$R$191),"")</f>
        <v/>
      </c>
      <c r="D2838" s="57" t="str">
        <f aca="false">IF(助手回款!$R$191&lt;&gt;"",参数!$B$2,"")</f>
        <v/>
      </c>
      <c r="E2838" s="57"/>
      <c r="F2838" s="58" t="str">
        <f aca="false">IF(助手回款!$R$191&lt;&gt;"",INDEX(助手回款!$C$2:$C$66,助手回款!$R$191)&amp;"  字第 "&amp;IF(参数!$B$9="是",INDEX(助手回款!$P$2:$P$66,助手回款!$R$191),"　　　　")&amp;" 号"&amp;IF(INDEX(助手回款!$L$2:$L$66,助手回款!$R$191)&gt;1,"  (共"&amp;INDEX(助手回款!$L$2:$L$66,助手回款!$R$191)&amp;"页 第"&amp;助手回款!$S$191&amp;"页)",""),"")</f>
        <v/>
      </c>
      <c r="G2838" s="58"/>
      <c r="H2838" s="58"/>
      <c r="I2838" s="58"/>
      <c r="M2838" s="79" t="str">
        <f aca="false">IF(助手回款!$R$191="","",助手回款!$Q$191)</f>
        <v/>
      </c>
      <c r="N2838" s="80" t="str">
        <f aca="false">IF(助手回款!$R$191="","",INDEX(助手回款!$P$2:$P$66,助手回款!$R$191))</f>
        <v/>
      </c>
      <c r="O2838" s="55" t="str">
        <f aca="false">IF(助手回款!$R$191="","",INDEX(助手回款!$C$2:$C$66,助手回款!$R$191)&amp;"  字第 "&amp;INDEX(助手回款!$P$2:$P$66,助手回款!$R$191)&amp;" 号"&amp;IF(INDEX(助手回款!$L$2:$L$66,助手回款!$R$191)&gt;1,"  (共"&amp;INDEX(助手回款!$L$2:$L$66,助手回款!$R$191)&amp;"页 第"&amp;助手回款!$S$191&amp;"页)",""))</f>
        <v/>
      </c>
    </row>
    <row r="2839" customFormat="false" ht="12.75" hidden="false" customHeight="true" outlineLevel="0" collapsed="false">
      <c r="B2839" s="61" t="str">
        <f aca="false">IF(助手回款!$R$191&lt;&gt;"","摘　　要","")</f>
        <v/>
      </c>
      <c r="C2839" s="61"/>
      <c r="D2839" s="62" t="str">
        <f aca="false">IF(助手回款!$R$191&lt;&gt;"","科　　　　目","")</f>
        <v/>
      </c>
      <c r="E2839" s="62"/>
      <c r="F2839" s="61" t="str">
        <f aca="false">IF(助手回款!$R$191&lt;&gt;"","借 方 金 额","")</f>
        <v/>
      </c>
      <c r="G2839" s="62" t="str">
        <f aca="false">IF(助手回款!$R$191&lt;&gt;"","贷 方 金 额","")</f>
        <v/>
      </c>
      <c r="H2839" s="63" t="str">
        <f aca="false">IF(助手回款!$R$191&lt;&gt;"","√","")</f>
        <v/>
      </c>
      <c r="I2839" s="64" t="str">
        <f aca="false">IF(助手回款!$R$191&lt;&gt;"","附单据  张","")</f>
        <v/>
      </c>
    </row>
    <row r="2840" customFormat="false" ht="12.75" hidden="false" customHeight="true" outlineLevel="0" collapsed="false">
      <c r="B2840" s="61"/>
      <c r="C2840" s="61"/>
      <c r="D2840" s="23" t="str">
        <f aca="false">IF(助手回款!$R$191&lt;&gt;"","总 账 科 目","")</f>
        <v/>
      </c>
      <c r="E2840" s="23" t="str">
        <f aca="false">IF(助手回款!$R$191&lt;&gt;"","明 细 科 目","")</f>
        <v/>
      </c>
      <c r="F2840" s="65"/>
      <c r="G2840" s="66"/>
      <c r="H2840" s="63"/>
      <c r="I2840" s="64"/>
    </row>
    <row r="2841" customFormat="false" ht="23.25" hidden="false" customHeight="true" outlineLevel="0" collapsed="false">
      <c r="B2841" s="67" t="str">
        <f aca="false">IFERROR(INDEX(分录回款!$M:$M,MATCH($L2841,分录回款!$L:$L,0)),"")</f>
        <v/>
      </c>
      <c r="C2841" s="67"/>
      <c r="D2841" s="23" t="str">
        <f aca="false">IFERROR(INDEX(分录回款!$E:$E,MATCH($L2841,分录回款!$L:$L,0)),"")</f>
        <v/>
      </c>
      <c r="E2841" s="23" t="str">
        <f aca="false">IFERROR(INDEX(分录回款!$F:$F,MATCH($L2841,分录回款!$L:$L,0)),"")</f>
        <v/>
      </c>
      <c r="F2841" s="68" t="str">
        <f aca="false">IFERROR(INDEX(分录回款!$H:$H,MATCH($L2841,分录回款!$L:$L,0)),"")</f>
        <v/>
      </c>
      <c r="G2841" s="69" t="str">
        <f aca="false">IFERROR(INDEX(分录回款!$I:$I,MATCH($L2841,分录回款!$L:$L,0)),"")</f>
        <v/>
      </c>
      <c r="H2841" s="23"/>
      <c r="I2841" s="70"/>
      <c r="L2841" s="71" t="n">
        <f aca="false">IF(助手回款!$R$191="",-1,助手回款!$R$191*100+(助手回款!$S$191-1)*6+1)</f>
        <v>-1</v>
      </c>
    </row>
    <row r="2842" customFormat="false" ht="23.25" hidden="false" customHeight="true" outlineLevel="0" collapsed="false">
      <c r="B2842" s="67" t="str">
        <f aca="false">""</f>
        <v/>
      </c>
      <c r="C2842" s="67"/>
      <c r="D2842" s="23" t="str">
        <f aca="false">IFERROR(INDEX(分录回款!$E:$E,MATCH($L2842,分录回款!$L:$L,0)),"")</f>
        <v/>
      </c>
      <c r="E2842" s="23" t="str">
        <f aca="false">IFERROR(INDEX(分录回款!$F:$F,MATCH($L2842,分录回款!$L:$L,0)),"")</f>
        <v/>
      </c>
      <c r="F2842" s="68" t="str">
        <f aca="false">IFERROR(INDEX(分录回款!$H:$H,MATCH($L2842,分录回款!$L:$L,0)),"")</f>
        <v/>
      </c>
      <c r="G2842" s="69" t="str">
        <f aca="false">IFERROR(INDEX(分录回款!$I:$I,MATCH($L2842,分录回款!$L:$L,0)),"")</f>
        <v/>
      </c>
      <c r="H2842" s="23"/>
      <c r="I2842" s="70"/>
      <c r="L2842" s="71" t="n">
        <f aca="false">IF(助手回款!$R$191="",-1,助手回款!$R$191*100+(助手回款!$S$191-1)*6+2)</f>
        <v>-1</v>
      </c>
    </row>
    <row r="2843" customFormat="false" ht="23.25" hidden="false" customHeight="true" outlineLevel="0" collapsed="false">
      <c r="B2843" s="67" t="str">
        <f aca="false">""</f>
        <v/>
      </c>
      <c r="C2843" s="67"/>
      <c r="D2843" s="23" t="str">
        <f aca="false">IFERROR(INDEX(分录回款!$E:$E,MATCH($L2843,分录回款!$L:$L,0)),"")</f>
        <v/>
      </c>
      <c r="E2843" s="23" t="str">
        <f aca="false">IFERROR(INDEX(分录回款!$F:$F,MATCH($L2843,分录回款!$L:$L,0)),"")</f>
        <v/>
      </c>
      <c r="F2843" s="68" t="str">
        <f aca="false">IFERROR(INDEX(分录回款!$H:$H,MATCH($L2843,分录回款!$L:$L,0)),"")</f>
        <v/>
      </c>
      <c r="G2843" s="69" t="str">
        <f aca="false">IFERROR(INDEX(分录回款!$I:$I,MATCH($L2843,分录回款!$L:$L,0)),"")</f>
        <v/>
      </c>
      <c r="H2843" s="23"/>
      <c r="I2843" s="70"/>
      <c r="L2843" s="71" t="n">
        <f aca="false">IF(助手回款!$R$191="",-1,助手回款!$R$191*100+(助手回款!$S$191-1)*6+3)</f>
        <v>-1</v>
      </c>
    </row>
    <row r="2844" customFormat="false" ht="23.25" hidden="false" customHeight="true" outlineLevel="0" collapsed="false">
      <c r="B2844" s="67" t="str">
        <f aca="false">""</f>
        <v/>
      </c>
      <c r="C2844" s="67"/>
      <c r="D2844" s="23" t="str">
        <f aca="false">IFERROR(INDEX(分录回款!$E:$E,MATCH($L2844,分录回款!$L:$L,0)),"")</f>
        <v/>
      </c>
      <c r="E2844" s="23" t="str">
        <f aca="false">IFERROR(INDEX(分录回款!$F:$F,MATCH($L2844,分录回款!$L:$L,0)),"")</f>
        <v/>
      </c>
      <c r="F2844" s="68" t="str">
        <f aca="false">IFERROR(INDEX(分录回款!$H:$H,MATCH($L2844,分录回款!$L:$L,0)),"")</f>
        <v/>
      </c>
      <c r="G2844" s="69" t="str">
        <f aca="false">IFERROR(INDEX(分录回款!$I:$I,MATCH($L2844,分录回款!$L:$L,0)),"")</f>
        <v/>
      </c>
      <c r="H2844" s="23"/>
      <c r="I2844" s="70"/>
      <c r="L2844" s="71" t="n">
        <f aca="false">IF(助手回款!$R$191="",-1,助手回款!$R$191*100+(助手回款!$S$191-1)*6+4)</f>
        <v>-1</v>
      </c>
    </row>
    <row r="2845" customFormat="false" ht="23.25" hidden="false" customHeight="true" outlineLevel="0" collapsed="false">
      <c r="B2845" s="67" t="str">
        <f aca="false">""</f>
        <v/>
      </c>
      <c r="C2845" s="67"/>
      <c r="D2845" s="23" t="str">
        <f aca="false">IFERROR(INDEX(分录回款!$E:$E,MATCH($L2845,分录回款!$L:$L,0)),"")</f>
        <v/>
      </c>
      <c r="E2845" s="23" t="str">
        <f aca="false">IFERROR(INDEX(分录回款!$F:$F,MATCH($L2845,分录回款!$L:$L,0)),"")</f>
        <v/>
      </c>
      <c r="F2845" s="68" t="str">
        <f aca="false">IFERROR(INDEX(分录回款!$H:$H,MATCH($L2845,分录回款!$L:$L,0)),"")</f>
        <v/>
      </c>
      <c r="G2845" s="69" t="str">
        <f aca="false">IFERROR(INDEX(分录回款!$I:$I,MATCH($L2845,分录回款!$L:$L,0)),"")</f>
        <v/>
      </c>
      <c r="H2845" s="23"/>
      <c r="I2845" s="70"/>
      <c r="L2845" s="71" t="n">
        <f aca="false">IF(助手回款!$R$191="",-1,助手回款!$R$191*100+(助手回款!$S$191-1)*6+5)</f>
        <v>-1</v>
      </c>
    </row>
    <row r="2846" customFormat="false" ht="23.25" hidden="false" customHeight="true" outlineLevel="0" collapsed="false">
      <c r="B2846" s="67" t="str">
        <f aca="false">""</f>
        <v/>
      </c>
      <c r="C2846" s="67"/>
      <c r="D2846" s="23" t="str">
        <f aca="false">IFERROR(INDEX(分录回款!$E:$E,MATCH($L2846,分录回款!$L:$L,0)),"")</f>
        <v/>
      </c>
      <c r="E2846" s="23" t="str">
        <f aca="false">IFERROR(INDEX(分录回款!$F:$F,MATCH($L2846,分录回款!$L:$L,0)),"")</f>
        <v/>
      </c>
      <c r="F2846" s="68" t="str">
        <f aca="false">IFERROR(INDEX(分录回款!$H:$H,MATCH($L2846,分录回款!$L:$L,0)),"")</f>
        <v/>
      </c>
      <c r="G2846" s="69" t="str">
        <f aca="false">IFERROR(INDEX(分录回款!$I:$I,MATCH($L2846,分录回款!$L:$L,0)),"")</f>
        <v/>
      </c>
      <c r="H2846" s="23"/>
      <c r="I2846" s="70"/>
      <c r="L2846" s="71" t="n">
        <f aca="false">IF(助手回款!$R$191="",-1,助手回款!$R$191*100+(助手回款!$S$191-1)*6+6)</f>
        <v>-1</v>
      </c>
    </row>
    <row r="2847" customFormat="false" ht="23.25" hidden="false" customHeight="true" outlineLevel="0" collapsed="false">
      <c r="B2847" s="72" t="str">
        <f aca="false">IF(助手回款!$T$191=1,"合计：","")</f>
        <v/>
      </c>
      <c r="C2847" s="73" t="str">
        <f aca="false">IF(助手回款!$T$191=1,$F2847,"")</f>
        <v/>
      </c>
      <c r="D2847" s="74"/>
      <c r="E2847" s="74"/>
      <c r="F2847" s="75" t="str">
        <f aca="false">IF(助手回款!$T$191=1,INDEX(助手回款!$N$2:$N$66,助手回款!$R$191),"")</f>
        <v/>
      </c>
      <c r="G2847" s="76" t="str">
        <f aca="false">IF(助手回款!$T$191=1,INDEX(助手回款!$O$2:$O$66,助手回款!$R$191),"")</f>
        <v/>
      </c>
      <c r="H2847" s="74"/>
      <c r="I2847" s="77"/>
    </row>
    <row r="2848" customFormat="false" ht="6" hidden="false" customHeight="true" outlineLevel="0" collapsed="false"/>
    <row r="2849" customFormat="false" ht="13.5" hidden="false" customHeight="false" outlineLevel="0" collapsed="false">
      <c r="B2849" s="78" t="str">
        <f aca="false">IF(助手回款!$R$191&lt;&gt;"","会计主管：","")</f>
        <v/>
      </c>
      <c r="D2849" s="78" t="str">
        <f aca="false">IF(助手回款!$R$191&lt;&gt;"","会计：","")</f>
        <v/>
      </c>
      <c r="E2849" s="78" t="str">
        <f aca="false">IF(助手回款!$R$191&lt;&gt;"","出纳：","")</f>
        <v/>
      </c>
      <c r="F2849" s="78" t="str">
        <f aca="false">IF(助手回款!$R$191&lt;&gt;"","复核：","")</f>
        <v/>
      </c>
      <c r="G2849" s="78" t="str">
        <f aca="false">IF(助手回款!$R$191&lt;&gt;"","制单：","")</f>
        <v/>
      </c>
    </row>
    <row r="2850" customFormat="false" ht="3" hidden="false" customHeight="true" outlineLevel="0" collapsed="false"/>
    <row r="2851" customFormat="false" ht="19.5" hidden="false" customHeight="true" outlineLevel="0" collapsed="false">
      <c r="B2851" s="53" t="str">
        <f aca="false">IF(助手回款!$R$192&lt;&gt;"","记  账  凭  证","")</f>
        <v/>
      </c>
      <c r="C2851" s="53"/>
      <c r="D2851" s="53"/>
      <c r="E2851" s="53"/>
      <c r="F2851" s="53"/>
      <c r="G2851" s="53"/>
      <c r="H2851" s="53"/>
      <c r="I2851" s="53"/>
    </row>
    <row r="2852" customFormat="false" ht="3" hidden="false" customHeight="true" outlineLevel="0" collapsed="false"/>
    <row r="2853" customFormat="false" ht="15" hidden="false" customHeight="true" outlineLevel="0" collapsed="false">
      <c r="C2853" s="56" t="str">
        <f aca="false">IF(助手回款!$R$192&lt;&gt;"",INDEX(助手回款!$B$2:$B$66,助手回款!$R$192),"")</f>
        <v/>
      </c>
      <c r="D2853" s="57" t="str">
        <f aca="false">IF(助手回款!$R$192&lt;&gt;"",参数!$B$2,"")</f>
        <v/>
      </c>
      <c r="E2853" s="57"/>
      <c r="F2853" s="58" t="str">
        <f aca="false">IF(助手回款!$R$192&lt;&gt;"",INDEX(助手回款!$C$2:$C$66,助手回款!$R$192)&amp;"  字第 "&amp;IF(参数!$B$9="是",INDEX(助手回款!$P$2:$P$66,助手回款!$R$192),"　　　　")&amp;" 号"&amp;IF(INDEX(助手回款!$L$2:$L$66,助手回款!$R$192)&gt;1,"  (共"&amp;INDEX(助手回款!$L$2:$L$66,助手回款!$R$192)&amp;"页 第"&amp;助手回款!$S$192&amp;"页)",""),"")</f>
        <v/>
      </c>
      <c r="G2853" s="58"/>
      <c r="H2853" s="58"/>
      <c r="I2853" s="58"/>
      <c r="M2853" s="79" t="str">
        <f aca="false">IF(助手回款!$R$192="","",助手回款!$Q$192)</f>
        <v/>
      </c>
      <c r="N2853" s="80" t="str">
        <f aca="false">IF(助手回款!$R$192="","",INDEX(助手回款!$P$2:$P$66,助手回款!$R$192))</f>
        <v/>
      </c>
      <c r="O2853" s="55" t="str">
        <f aca="false">IF(助手回款!$R$192="","",INDEX(助手回款!$C$2:$C$66,助手回款!$R$192)&amp;"  字第 "&amp;INDEX(助手回款!$P$2:$P$66,助手回款!$R$192)&amp;" 号"&amp;IF(INDEX(助手回款!$L$2:$L$66,助手回款!$R$192)&gt;1,"  (共"&amp;INDEX(助手回款!$L$2:$L$66,助手回款!$R$192)&amp;"页 第"&amp;助手回款!$S$192&amp;"页)",""))</f>
        <v/>
      </c>
    </row>
    <row r="2854" customFormat="false" ht="12.75" hidden="false" customHeight="true" outlineLevel="0" collapsed="false">
      <c r="B2854" s="61" t="str">
        <f aca="false">IF(助手回款!$R$192&lt;&gt;"","摘　　要","")</f>
        <v/>
      </c>
      <c r="C2854" s="61"/>
      <c r="D2854" s="62" t="str">
        <f aca="false">IF(助手回款!$R$192&lt;&gt;"","科　　　　目","")</f>
        <v/>
      </c>
      <c r="E2854" s="62"/>
      <c r="F2854" s="61" t="str">
        <f aca="false">IF(助手回款!$R$192&lt;&gt;"","借 方 金 额","")</f>
        <v/>
      </c>
      <c r="G2854" s="62" t="str">
        <f aca="false">IF(助手回款!$R$192&lt;&gt;"","贷 方 金 额","")</f>
        <v/>
      </c>
      <c r="H2854" s="63" t="str">
        <f aca="false">IF(助手回款!$R$192&lt;&gt;"","√","")</f>
        <v/>
      </c>
      <c r="I2854" s="64" t="str">
        <f aca="false">IF(助手回款!$R$192&lt;&gt;"","附单据  张","")</f>
        <v/>
      </c>
    </row>
    <row r="2855" customFormat="false" ht="12.75" hidden="false" customHeight="true" outlineLevel="0" collapsed="false">
      <c r="B2855" s="61"/>
      <c r="C2855" s="61"/>
      <c r="D2855" s="23" t="str">
        <f aca="false">IF(助手回款!$R$192&lt;&gt;"","总 账 科 目","")</f>
        <v/>
      </c>
      <c r="E2855" s="23" t="str">
        <f aca="false">IF(助手回款!$R$192&lt;&gt;"","明 细 科 目","")</f>
        <v/>
      </c>
      <c r="F2855" s="65"/>
      <c r="G2855" s="66"/>
      <c r="H2855" s="63"/>
      <c r="I2855" s="64"/>
    </row>
    <row r="2856" customFormat="false" ht="23.25" hidden="false" customHeight="true" outlineLevel="0" collapsed="false">
      <c r="B2856" s="67" t="str">
        <f aca="false">IFERROR(INDEX(分录回款!$M:$M,MATCH($L2856,分录回款!$L:$L,0)),"")</f>
        <v/>
      </c>
      <c r="C2856" s="67"/>
      <c r="D2856" s="23" t="str">
        <f aca="false">IFERROR(INDEX(分录回款!$E:$E,MATCH($L2856,分录回款!$L:$L,0)),"")</f>
        <v/>
      </c>
      <c r="E2856" s="23" t="str">
        <f aca="false">IFERROR(INDEX(分录回款!$F:$F,MATCH($L2856,分录回款!$L:$L,0)),"")</f>
        <v/>
      </c>
      <c r="F2856" s="68" t="str">
        <f aca="false">IFERROR(INDEX(分录回款!$H:$H,MATCH($L2856,分录回款!$L:$L,0)),"")</f>
        <v/>
      </c>
      <c r="G2856" s="69" t="str">
        <f aca="false">IFERROR(INDEX(分录回款!$I:$I,MATCH($L2856,分录回款!$L:$L,0)),"")</f>
        <v/>
      </c>
      <c r="H2856" s="23"/>
      <c r="I2856" s="70"/>
      <c r="L2856" s="71" t="n">
        <f aca="false">IF(助手回款!$R$192="",-1,助手回款!$R$192*100+(助手回款!$S$192-1)*6+1)</f>
        <v>-1</v>
      </c>
    </row>
    <row r="2857" customFormat="false" ht="23.25" hidden="false" customHeight="true" outlineLevel="0" collapsed="false">
      <c r="B2857" s="67" t="str">
        <f aca="false">""</f>
        <v/>
      </c>
      <c r="C2857" s="67"/>
      <c r="D2857" s="23" t="str">
        <f aca="false">IFERROR(INDEX(分录回款!$E:$E,MATCH($L2857,分录回款!$L:$L,0)),"")</f>
        <v/>
      </c>
      <c r="E2857" s="23" t="str">
        <f aca="false">IFERROR(INDEX(分录回款!$F:$F,MATCH($L2857,分录回款!$L:$L,0)),"")</f>
        <v/>
      </c>
      <c r="F2857" s="68" t="str">
        <f aca="false">IFERROR(INDEX(分录回款!$H:$H,MATCH($L2857,分录回款!$L:$L,0)),"")</f>
        <v/>
      </c>
      <c r="G2857" s="69" t="str">
        <f aca="false">IFERROR(INDEX(分录回款!$I:$I,MATCH($L2857,分录回款!$L:$L,0)),"")</f>
        <v/>
      </c>
      <c r="H2857" s="23"/>
      <c r="I2857" s="70"/>
      <c r="L2857" s="71" t="n">
        <f aca="false">IF(助手回款!$R$192="",-1,助手回款!$R$192*100+(助手回款!$S$192-1)*6+2)</f>
        <v>-1</v>
      </c>
    </row>
    <row r="2858" customFormat="false" ht="23.25" hidden="false" customHeight="true" outlineLevel="0" collapsed="false">
      <c r="B2858" s="67" t="str">
        <f aca="false">""</f>
        <v/>
      </c>
      <c r="C2858" s="67"/>
      <c r="D2858" s="23" t="str">
        <f aca="false">IFERROR(INDEX(分录回款!$E:$E,MATCH($L2858,分录回款!$L:$L,0)),"")</f>
        <v/>
      </c>
      <c r="E2858" s="23" t="str">
        <f aca="false">IFERROR(INDEX(分录回款!$F:$F,MATCH($L2858,分录回款!$L:$L,0)),"")</f>
        <v/>
      </c>
      <c r="F2858" s="68" t="str">
        <f aca="false">IFERROR(INDEX(分录回款!$H:$H,MATCH($L2858,分录回款!$L:$L,0)),"")</f>
        <v/>
      </c>
      <c r="G2858" s="69" t="str">
        <f aca="false">IFERROR(INDEX(分录回款!$I:$I,MATCH($L2858,分录回款!$L:$L,0)),"")</f>
        <v/>
      </c>
      <c r="H2858" s="23"/>
      <c r="I2858" s="70"/>
      <c r="L2858" s="71" t="n">
        <f aca="false">IF(助手回款!$R$192="",-1,助手回款!$R$192*100+(助手回款!$S$192-1)*6+3)</f>
        <v>-1</v>
      </c>
    </row>
    <row r="2859" customFormat="false" ht="23.25" hidden="false" customHeight="true" outlineLevel="0" collapsed="false">
      <c r="B2859" s="67" t="str">
        <f aca="false">""</f>
        <v/>
      </c>
      <c r="C2859" s="67"/>
      <c r="D2859" s="23" t="str">
        <f aca="false">IFERROR(INDEX(分录回款!$E:$E,MATCH($L2859,分录回款!$L:$L,0)),"")</f>
        <v/>
      </c>
      <c r="E2859" s="23" t="str">
        <f aca="false">IFERROR(INDEX(分录回款!$F:$F,MATCH($L2859,分录回款!$L:$L,0)),"")</f>
        <v/>
      </c>
      <c r="F2859" s="68" t="str">
        <f aca="false">IFERROR(INDEX(分录回款!$H:$H,MATCH($L2859,分录回款!$L:$L,0)),"")</f>
        <v/>
      </c>
      <c r="G2859" s="69" t="str">
        <f aca="false">IFERROR(INDEX(分录回款!$I:$I,MATCH($L2859,分录回款!$L:$L,0)),"")</f>
        <v/>
      </c>
      <c r="H2859" s="23"/>
      <c r="I2859" s="70"/>
      <c r="L2859" s="71" t="n">
        <f aca="false">IF(助手回款!$R$192="",-1,助手回款!$R$192*100+(助手回款!$S$192-1)*6+4)</f>
        <v>-1</v>
      </c>
    </row>
    <row r="2860" customFormat="false" ht="23.25" hidden="false" customHeight="true" outlineLevel="0" collapsed="false">
      <c r="B2860" s="67" t="str">
        <f aca="false">""</f>
        <v/>
      </c>
      <c r="C2860" s="67"/>
      <c r="D2860" s="23" t="str">
        <f aca="false">IFERROR(INDEX(分录回款!$E:$E,MATCH($L2860,分录回款!$L:$L,0)),"")</f>
        <v/>
      </c>
      <c r="E2860" s="23" t="str">
        <f aca="false">IFERROR(INDEX(分录回款!$F:$F,MATCH($L2860,分录回款!$L:$L,0)),"")</f>
        <v/>
      </c>
      <c r="F2860" s="68" t="str">
        <f aca="false">IFERROR(INDEX(分录回款!$H:$H,MATCH($L2860,分录回款!$L:$L,0)),"")</f>
        <v/>
      </c>
      <c r="G2860" s="69" t="str">
        <f aca="false">IFERROR(INDEX(分录回款!$I:$I,MATCH($L2860,分录回款!$L:$L,0)),"")</f>
        <v/>
      </c>
      <c r="H2860" s="23"/>
      <c r="I2860" s="70"/>
      <c r="L2860" s="71" t="n">
        <f aca="false">IF(助手回款!$R$192="",-1,助手回款!$R$192*100+(助手回款!$S$192-1)*6+5)</f>
        <v>-1</v>
      </c>
    </row>
    <row r="2861" customFormat="false" ht="23.25" hidden="false" customHeight="true" outlineLevel="0" collapsed="false">
      <c r="B2861" s="67" t="str">
        <f aca="false">""</f>
        <v/>
      </c>
      <c r="C2861" s="67"/>
      <c r="D2861" s="23" t="str">
        <f aca="false">IFERROR(INDEX(分录回款!$E:$E,MATCH($L2861,分录回款!$L:$L,0)),"")</f>
        <v/>
      </c>
      <c r="E2861" s="23" t="str">
        <f aca="false">IFERROR(INDEX(分录回款!$F:$F,MATCH($L2861,分录回款!$L:$L,0)),"")</f>
        <v/>
      </c>
      <c r="F2861" s="68" t="str">
        <f aca="false">IFERROR(INDEX(分录回款!$H:$H,MATCH($L2861,分录回款!$L:$L,0)),"")</f>
        <v/>
      </c>
      <c r="G2861" s="69" t="str">
        <f aca="false">IFERROR(INDEX(分录回款!$I:$I,MATCH($L2861,分录回款!$L:$L,0)),"")</f>
        <v/>
      </c>
      <c r="H2861" s="23"/>
      <c r="I2861" s="70"/>
      <c r="L2861" s="71" t="n">
        <f aca="false">IF(助手回款!$R$192="",-1,助手回款!$R$192*100+(助手回款!$S$192-1)*6+6)</f>
        <v>-1</v>
      </c>
    </row>
    <row r="2862" customFormat="false" ht="23.25" hidden="false" customHeight="true" outlineLevel="0" collapsed="false">
      <c r="B2862" s="72" t="str">
        <f aca="false">IF(助手回款!$T$192=1,"合计：","")</f>
        <v/>
      </c>
      <c r="C2862" s="73" t="str">
        <f aca="false">IF(助手回款!$T$192=1,$F2862,"")</f>
        <v/>
      </c>
      <c r="D2862" s="74"/>
      <c r="E2862" s="74"/>
      <c r="F2862" s="75" t="str">
        <f aca="false">IF(助手回款!$T$192=1,INDEX(助手回款!$N$2:$N$66,助手回款!$R$192),"")</f>
        <v/>
      </c>
      <c r="G2862" s="76" t="str">
        <f aca="false">IF(助手回款!$T$192=1,INDEX(助手回款!$O$2:$O$66,助手回款!$R$192),"")</f>
        <v/>
      </c>
      <c r="H2862" s="74"/>
      <c r="I2862" s="77"/>
    </row>
    <row r="2863" customFormat="false" ht="6" hidden="false" customHeight="true" outlineLevel="0" collapsed="false"/>
    <row r="2864" customFormat="false" ht="13.5" hidden="false" customHeight="false" outlineLevel="0" collapsed="false">
      <c r="B2864" s="78" t="str">
        <f aca="false">IF(助手回款!$R$192&lt;&gt;"","会计主管：","")</f>
        <v/>
      </c>
      <c r="D2864" s="78" t="str">
        <f aca="false">IF(助手回款!$R$192&lt;&gt;"","会计：","")</f>
        <v/>
      </c>
      <c r="E2864" s="78" t="str">
        <f aca="false">IF(助手回款!$R$192&lt;&gt;"","出纳：","")</f>
        <v/>
      </c>
      <c r="F2864" s="78" t="str">
        <f aca="false">IF(助手回款!$R$192&lt;&gt;"","复核：","")</f>
        <v/>
      </c>
      <c r="G2864" s="78" t="str">
        <f aca="false">IF(助手回款!$R$192&lt;&gt;"","制单：","")</f>
        <v/>
      </c>
    </row>
    <row r="2865" customFormat="false" ht="3" hidden="false" customHeight="true" outlineLevel="0" collapsed="false"/>
    <row r="2866" customFormat="false" ht="19.5" hidden="false" customHeight="true" outlineLevel="0" collapsed="false">
      <c r="B2866" s="53" t="str">
        <f aca="false">IF(助手回款!$R$193&lt;&gt;"","记  账  凭  证","")</f>
        <v/>
      </c>
      <c r="C2866" s="53"/>
      <c r="D2866" s="53"/>
      <c r="E2866" s="53"/>
      <c r="F2866" s="53"/>
      <c r="G2866" s="53"/>
      <c r="H2866" s="53"/>
      <c r="I2866" s="53"/>
    </row>
    <row r="2867" customFormat="false" ht="3" hidden="false" customHeight="true" outlineLevel="0" collapsed="false"/>
    <row r="2868" customFormat="false" ht="15" hidden="false" customHeight="true" outlineLevel="0" collapsed="false">
      <c r="C2868" s="56" t="str">
        <f aca="false">IF(助手回款!$R$193&lt;&gt;"",INDEX(助手回款!$B$2:$B$66,助手回款!$R$193),"")</f>
        <v/>
      </c>
      <c r="D2868" s="57" t="str">
        <f aca="false">IF(助手回款!$R$193&lt;&gt;"",参数!$B$2,"")</f>
        <v/>
      </c>
      <c r="E2868" s="57"/>
      <c r="F2868" s="58" t="str">
        <f aca="false">IF(助手回款!$R$193&lt;&gt;"",INDEX(助手回款!$C$2:$C$66,助手回款!$R$193)&amp;"  字第 "&amp;IF(参数!$B$9="是",INDEX(助手回款!$P$2:$P$66,助手回款!$R$193),"　　　　")&amp;" 号"&amp;IF(INDEX(助手回款!$L$2:$L$66,助手回款!$R$193)&gt;1,"  (共"&amp;INDEX(助手回款!$L$2:$L$66,助手回款!$R$193)&amp;"页 第"&amp;助手回款!$S$193&amp;"页)",""),"")</f>
        <v/>
      </c>
      <c r="G2868" s="58"/>
      <c r="H2868" s="58"/>
      <c r="I2868" s="58"/>
      <c r="M2868" s="79" t="str">
        <f aca="false">IF(助手回款!$R$193="","",助手回款!$Q$193)</f>
        <v/>
      </c>
      <c r="N2868" s="80" t="str">
        <f aca="false">IF(助手回款!$R$193="","",INDEX(助手回款!$P$2:$P$66,助手回款!$R$193))</f>
        <v/>
      </c>
      <c r="O2868" s="55" t="str">
        <f aca="false">IF(助手回款!$R$193="","",INDEX(助手回款!$C$2:$C$66,助手回款!$R$193)&amp;"  字第 "&amp;INDEX(助手回款!$P$2:$P$66,助手回款!$R$193)&amp;" 号"&amp;IF(INDEX(助手回款!$L$2:$L$66,助手回款!$R$193)&gt;1,"  (共"&amp;INDEX(助手回款!$L$2:$L$66,助手回款!$R$193)&amp;"页 第"&amp;助手回款!$S$193&amp;"页)",""))</f>
        <v/>
      </c>
    </row>
    <row r="2869" customFormat="false" ht="12.75" hidden="false" customHeight="true" outlineLevel="0" collapsed="false">
      <c r="B2869" s="61" t="str">
        <f aca="false">IF(助手回款!$R$193&lt;&gt;"","摘　　要","")</f>
        <v/>
      </c>
      <c r="C2869" s="61"/>
      <c r="D2869" s="62" t="str">
        <f aca="false">IF(助手回款!$R$193&lt;&gt;"","科　　　　目","")</f>
        <v/>
      </c>
      <c r="E2869" s="62"/>
      <c r="F2869" s="61" t="str">
        <f aca="false">IF(助手回款!$R$193&lt;&gt;"","借 方 金 额","")</f>
        <v/>
      </c>
      <c r="G2869" s="62" t="str">
        <f aca="false">IF(助手回款!$R$193&lt;&gt;"","贷 方 金 额","")</f>
        <v/>
      </c>
      <c r="H2869" s="63" t="str">
        <f aca="false">IF(助手回款!$R$193&lt;&gt;"","√","")</f>
        <v/>
      </c>
      <c r="I2869" s="64" t="str">
        <f aca="false">IF(助手回款!$R$193&lt;&gt;"","附单据  张","")</f>
        <v/>
      </c>
    </row>
    <row r="2870" customFormat="false" ht="12.75" hidden="false" customHeight="true" outlineLevel="0" collapsed="false">
      <c r="B2870" s="61"/>
      <c r="C2870" s="61"/>
      <c r="D2870" s="23" t="str">
        <f aca="false">IF(助手回款!$R$193&lt;&gt;"","总 账 科 目","")</f>
        <v/>
      </c>
      <c r="E2870" s="23" t="str">
        <f aca="false">IF(助手回款!$R$193&lt;&gt;"","明 细 科 目","")</f>
        <v/>
      </c>
      <c r="F2870" s="65"/>
      <c r="G2870" s="66"/>
      <c r="H2870" s="63"/>
      <c r="I2870" s="64"/>
    </row>
    <row r="2871" customFormat="false" ht="23.25" hidden="false" customHeight="true" outlineLevel="0" collapsed="false">
      <c r="B2871" s="67" t="str">
        <f aca="false">IFERROR(INDEX(分录回款!$M:$M,MATCH($L2871,分录回款!$L:$L,0)),"")</f>
        <v/>
      </c>
      <c r="C2871" s="67"/>
      <c r="D2871" s="23" t="str">
        <f aca="false">IFERROR(INDEX(分录回款!$E:$E,MATCH($L2871,分录回款!$L:$L,0)),"")</f>
        <v/>
      </c>
      <c r="E2871" s="23" t="str">
        <f aca="false">IFERROR(INDEX(分录回款!$F:$F,MATCH($L2871,分录回款!$L:$L,0)),"")</f>
        <v/>
      </c>
      <c r="F2871" s="68" t="str">
        <f aca="false">IFERROR(INDEX(分录回款!$H:$H,MATCH($L2871,分录回款!$L:$L,0)),"")</f>
        <v/>
      </c>
      <c r="G2871" s="69" t="str">
        <f aca="false">IFERROR(INDEX(分录回款!$I:$I,MATCH($L2871,分录回款!$L:$L,0)),"")</f>
        <v/>
      </c>
      <c r="H2871" s="23"/>
      <c r="I2871" s="70"/>
      <c r="L2871" s="71" t="n">
        <f aca="false">IF(助手回款!$R$193="",-1,助手回款!$R$193*100+(助手回款!$S$193-1)*6+1)</f>
        <v>-1</v>
      </c>
    </row>
    <row r="2872" customFormat="false" ht="23.25" hidden="false" customHeight="true" outlineLevel="0" collapsed="false">
      <c r="B2872" s="67" t="str">
        <f aca="false">""</f>
        <v/>
      </c>
      <c r="C2872" s="67"/>
      <c r="D2872" s="23" t="str">
        <f aca="false">IFERROR(INDEX(分录回款!$E:$E,MATCH($L2872,分录回款!$L:$L,0)),"")</f>
        <v/>
      </c>
      <c r="E2872" s="23" t="str">
        <f aca="false">IFERROR(INDEX(分录回款!$F:$F,MATCH($L2872,分录回款!$L:$L,0)),"")</f>
        <v/>
      </c>
      <c r="F2872" s="68" t="str">
        <f aca="false">IFERROR(INDEX(分录回款!$H:$H,MATCH($L2872,分录回款!$L:$L,0)),"")</f>
        <v/>
      </c>
      <c r="G2872" s="69" t="str">
        <f aca="false">IFERROR(INDEX(分录回款!$I:$I,MATCH($L2872,分录回款!$L:$L,0)),"")</f>
        <v/>
      </c>
      <c r="H2872" s="23"/>
      <c r="I2872" s="70"/>
      <c r="L2872" s="71" t="n">
        <f aca="false">IF(助手回款!$R$193="",-1,助手回款!$R$193*100+(助手回款!$S$193-1)*6+2)</f>
        <v>-1</v>
      </c>
    </row>
    <row r="2873" customFormat="false" ht="23.25" hidden="false" customHeight="true" outlineLevel="0" collapsed="false">
      <c r="B2873" s="67" t="str">
        <f aca="false">""</f>
        <v/>
      </c>
      <c r="C2873" s="67"/>
      <c r="D2873" s="23" t="str">
        <f aca="false">IFERROR(INDEX(分录回款!$E:$E,MATCH($L2873,分录回款!$L:$L,0)),"")</f>
        <v/>
      </c>
      <c r="E2873" s="23" t="str">
        <f aca="false">IFERROR(INDEX(分录回款!$F:$F,MATCH($L2873,分录回款!$L:$L,0)),"")</f>
        <v/>
      </c>
      <c r="F2873" s="68" t="str">
        <f aca="false">IFERROR(INDEX(分录回款!$H:$H,MATCH($L2873,分录回款!$L:$L,0)),"")</f>
        <v/>
      </c>
      <c r="G2873" s="69" t="str">
        <f aca="false">IFERROR(INDEX(分录回款!$I:$I,MATCH($L2873,分录回款!$L:$L,0)),"")</f>
        <v/>
      </c>
      <c r="H2873" s="23"/>
      <c r="I2873" s="70"/>
      <c r="L2873" s="71" t="n">
        <f aca="false">IF(助手回款!$R$193="",-1,助手回款!$R$193*100+(助手回款!$S$193-1)*6+3)</f>
        <v>-1</v>
      </c>
    </row>
    <row r="2874" customFormat="false" ht="23.25" hidden="false" customHeight="true" outlineLevel="0" collapsed="false">
      <c r="B2874" s="67" t="str">
        <f aca="false">""</f>
        <v/>
      </c>
      <c r="C2874" s="67"/>
      <c r="D2874" s="23" t="str">
        <f aca="false">IFERROR(INDEX(分录回款!$E:$E,MATCH($L2874,分录回款!$L:$L,0)),"")</f>
        <v/>
      </c>
      <c r="E2874" s="23" t="str">
        <f aca="false">IFERROR(INDEX(分录回款!$F:$F,MATCH($L2874,分录回款!$L:$L,0)),"")</f>
        <v/>
      </c>
      <c r="F2874" s="68" t="str">
        <f aca="false">IFERROR(INDEX(分录回款!$H:$H,MATCH($L2874,分录回款!$L:$L,0)),"")</f>
        <v/>
      </c>
      <c r="G2874" s="69" t="str">
        <f aca="false">IFERROR(INDEX(分录回款!$I:$I,MATCH($L2874,分录回款!$L:$L,0)),"")</f>
        <v/>
      </c>
      <c r="H2874" s="23"/>
      <c r="I2874" s="70"/>
      <c r="L2874" s="71" t="n">
        <f aca="false">IF(助手回款!$R$193="",-1,助手回款!$R$193*100+(助手回款!$S$193-1)*6+4)</f>
        <v>-1</v>
      </c>
    </row>
    <row r="2875" customFormat="false" ht="23.25" hidden="false" customHeight="true" outlineLevel="0" collapsed="false">
      <c r="B2875" s="67" t="str">
        <f aca="false">""</f>
        <v/>
      </c>
      <c r="C2875" s="67"/>
      <c r="D2875" s="23" t="str">
        <f aca="false">IFERROR(INDEX(分录回款!$E:$E,MATCH($L2875,分录回款!$L:$L,0)),"")</f>
        <v/>
      </c>
      <c r="E2875" s="23" t="str">
        <f aca="false">IFERROR(INDEX(分录回款!$F:$F,MATCH($L2875,分录回款!$L:$L,0)),"")</f>
        <v/>
      </c>
      <c r="F2875" s="68" t="str">
        <f aca="false">IFERROR(INDEX(分录回款!$H:$H,MATCH($L2875,分录回款!$L:$L,0)),"")</f>
        <v/>
      </c>
      <c r="G2875" s="69" t="str">
        <f aca="false">IFERROR(INDEX(分录回款!$I:$I,MATCH($L2875,分录回款!$L:$L,0)),"")</f>
        <v/>
      </c>
      <c r="H2875" s="23"/>
      <c r="I2875" s="70"/>
      <c r="L2875" s="71" t="n">
        <f aca="false">IF(助手回款!$R$193="",-1,助手回款!$R$193*100+(助手回款!$S$193-1)*6+5)</f>
        <v>-1</v>
      </c>
    </row>
    <row r="2876" customFormat="false" ht="23.25" hidden="false" customHeight="true" outlineLevel="0" collapsed="false">
      <c r="B2876" s="67" t="str">
        <f aca="false">""</f>
        <v/>
      </c>
      <c r="C2876" s="67"/>
      <c r="D2876" s="23" t="str">
        <f aca="false">IFERROR(INDEX(分录回款!$E:$E,MATCH($L2876,分录回款!$L:$L,0)),"")</f>
        <v/>
      </c>
      <c r="E2876" s="23" t="str">
        <f aca="false">IFERROR(INDEX(分录回款!$F:$F,MATCH($L2876,分录回款!$L:$L,0)),"")</f>
        <v/>
      </c>
      <c r="F2876" s="68" t="str">
        <f aca="false">IFERROR(INDEX(分录回款!$H:$H,MATCH($L2876,分录回款!$L:$L,0)),"")</f>
        <v/>
      </c>
      <c r="G2876" s="69" t="str">
        <f aca="false">IFERROR(INDEX(分录回款!$I:$I,MATCH($L2876,分录回款!$L:$L,0)),"")</f>
        <v/>
      </c>
      <c r="H2876" s="23"/>
      <c r="I2876" s="70"/>
      <c r="L2876" s="71" t="n">
        <f aca="false">IF(助手回款!$R$193="",-1,助手回款!$R$193*100+(助手回款!$S$193-1)*6+6)</f>
        <v>-1</v>
      </c>
    </row>
    <row r="2877" customFormat="false" ht="23.25" hidden="false" customHeight="true" outlineLevel="0" collapsed="false">
      <c r="B2877" s="72" t="str">
        <f aca="false">IF(助手回款!$T$193=1,"合计：","")</f>
        <v/>
      </c>
      <c r="C2877" s="73" t="str">
        <f aca="false">IF(助手回款!$T$193=1,$F2877,"")</f>
        <v/>
      </c>
      <c r="D2877" s="74"/>
      <c r="E2877" s="74"/>
      <c r="F2877" s="75" t="str">
        <f aca="false">IF(助手回款!$T$193=1,INDEX(助手回款!$N$2:$N$66,助手回款!$R$193),"")</f>
        <v/>
      </c>
      <c r="G2877" s="76" t="str">
        <f aca="false">IF(助手回款!$T$193=1,INDEX(助手回款!$O$2:$O$66,助手回款!$R$193),"")</f>
        <v/>
      </c>
      <c r="H2877" s="74"/>
      <c r="I2877" s="77"/>
    </row>
    <row r="2878" customFormat="false" ht="6" hidden="false" customHeight="true" outlineLevel="0" collapsed="false"/>
    <row r="2879" customFormat="false" ht="13.5" hidden="false" customHeight="false" outlineLevel="0" collapsed="false">
      <c r="B2879" s="78" t="str">
        <f aca="false">IF(助手回款!$R$193&lt;&gt;"","会计主管：","")</f>
        <v/>
      </c>
      <c r="D2879" s="78" t="str">
        <f aca="false">IF(助手回款!$R$193&lt;&gt;"","会计：","")</f>
        <v/>
      </c>
      <c r="E2879" s="78" t="str">
        <f aca="false">IF(助手回款!$R$193&lt;&gt;"","出纳：","")</f>
        <v/>
      </c>
      <c r="F2879" s="78" t="str">
        <f aca="false">IF(助手回款!$R$193&lt;&gt;"","复核：","")</f>
        <v/>
      </c>
      <c r="G2879" s="78" t="str">
        <f aca="false">IF(助手回款!$R$193&lt;&gt;"","制单：","")</f>
        <v/>
      </c>
    </row>
    <row r="2880" customFormat="false" ht="3" hidden="false" customHeight="true" outlineLevel="0" collapsed="false"/>
    <row r="2881" customFormat="false" ht="19.5" hidden="false" customHeight="true" outlineLevel="0" collapsed="false">
      <c r="B2881" s="53" t="str">
        <f aca="false">IF(助手回款!$R$194&lt;&gt;"","记  账  凭  证","")</f>
        <v/>
      </c>
      <c r="C2881" s="53"/>
      <c r="D2881" s="53"/>
      <c r="E2881" s="53"/>
      <c r="F2881" s="53"/>
      <c r="G2881" s="53"/>
      <c r="H2881" s="53"/>
      <c r="I2881" s="53"/>
    </row>
    <row r="2882" customFormat="false" ht="3" hidden="false" customHeight="true" outlineLevel="0" collapsed="false"/>
    <row r="2883" customFormat="false" ht="15" hidden="false" customHeight="true" outlineLevel="0" collapsed="false">
      <c r="C2883" s="56" t="str">
        <f aca="false">IF(助手回款!$R$194&lt;&gt;"",INDEX(助手回款!$B$2:$B$66,助手回款!$R$194),"")</f>
        <v/>
      </c>
      <c r="D2883" s="57" t="str">
        <f aca="false">IF(助手回款!$R$194&lt;&gt;"",参数!$B$2,"")</f>
        <v/>
      </c>
      <c r="E2883" s="57"/>
      <c r="F2883" s="58" t="str">
        <f aca="false">IF(助手回款!$R$194&lt;&gt;"",INDEX(助手回款!$C$2:$C$66,助手回款!$R$194)&amp;"  字第 "&amp;IF(参数!$B$9="是",INDEX(助手回款!$P$2:$P$66,助手回款!$R$194),"　　　　")&amp;" 号"&amp;IF(INDEX(助手回款!$L$2:$L$66,助手回款!$R$194)&gt;1,"  (共"&amp;INDEX(助手回款!$L$2:$L$66,助手回款!$R$194)&amp;"页 第"&amp;助手回款!$S$194&amp;"页)",""),"")</f>
        <v/>
      </c>
      <c r="G2883" s="58"/>
      <c r="H2883" s="58"/>
      <c r="I2883" s="58"/>
      <c r="M2883" s="79" t="str">
        <f aca="false">IF(助手回款!$R$194="","",助手回款!$Q$194)</f>
        <v/>
      </c>
      <c r="N2883" s="80" t="str">
        <f aca="false">IF(助手回款!$R$194="","",INDEX(助手回款!$P$2:$P$66,助手回款!$R$194))</f>
        <v/>
      </c>
      <c r="O2883" s="55" t="str">
        <f aca="false">IF(助手回款!$R$194="","",INDEX(助手回款!$C$2:$C$66,助手回款!$R$194)&amp;"  字第 "&amp;INDEX(助手回款!$P$2:$P$66,助手回款!$R$194)&amp;" 号"&amp;IF(INDEX(助手回款!$L$2:$L$66,助手回款!$R$194)&gt;1,"  (共"&amp;INDEX(助手回款!$L$2:$L$66,助手回款!$R$194)&amp;"页 第"&amp;助手回款!$S$194&amp;"页)",""))</f>
        <v/>
      </c>
    </row>
    <row r="2884" customFormat="false" ht="12.75" hidden="false" customHeight="true" outlineLevel="0" collapsed="false">
      <c r="B2884" s="61" t="str">
        <f aca="false">IF(助手回款!$R$194&lt;&gt;"","摘　　要","")</f>
        <v/>
      </c>
      <c r="C2884" s="61"/>
      <c r="D2884" s="62" t="str">
        <f aca="false">IF(助手回款!$R$194&lt;&gt;"","科　　　　目","")</f>
        <v/>
      </c>
      <c r="E2884" s="62"/>
      <c r="F2884" s="61" t="str">
        <f aca="false">IF(助手回款!$R$194&lt;&gt;"","借 方 金 额","")</f>
        <v/>
      </c>
      <c r="G2884" s="62" t="str">
        <f aca="false">IF(助手回款!$R$194&lt;&gt;"","贷 方 金 额","")</f>
        <v/>
      </c>
      <c r="H2884" s="63" t="str">
        <f aca="false">IF(助手回款!$R$194&lt;&gt;"","√","")</f>
        <v/>
      </c>
      <c r="I2884" s="64" t="str">
        <f aca="false">IF(助手回款!$R$194&lt;&gt;"","附单据  张","")</f>
        <v/>
      </c>
    </row>
    <row r="2885" customFormat="false" ht="12.75" hidden="false" customHeight="true" outlineLevel="0" collapsed="false">
      <c r="B2885" s="61"/>
      <c r="C2885" s="61"/>
      <c r="D2885" s="23" t="str">
        <f aca="false">IF(助手回款!$R$194&lt;&gt;"","总 账 科 目","")</f>
        <v/>
      </c>
      <c r="E2885" s="23" t="str">
        <f aca="false">IF(助手回款!$R$194&lt;&gt;"","明 细 科 目","")</f>
        <v/>
      </c>
      <c r="F2885" s="65"/>
      <c r="G2885" s="66"/>
      <c r="H2885" s="63"/>
      <c r="I2885" s="64"/>
    </row>
    <row r="2886" customFormat="false" ht="23.25" hidden="false" customHeight="true" outlineLevel="0" collapsed="false">
      <c r="B2886" s="67" t="str">
        <f aca="false">IFERROR(INDEX(分录回款!$M:$M,MATCH($L2886,分录回款!$L:$L,0)),"")</f>
        <v/>
      </c>
      <c r="C2886" s="67"/>
      <c r="D2886" s="23" t="str">
        <f aca="false">IFERROR(INDEX(分录回款!$E:$E,MATCH($L2886,分录回款!$L:$L,0)),"")</f>
        <v/>
      </c>
      <c r="E2886" s="23" t="str">
        <f aca="false">IFERROR(INDEX(分录回款!$F:$F,MATCH($L2886,分录回款!$L:$L,0)),"")</f>
        <v/>
      </c>
      <c r="F2886" s="68" t="str">
        <f aca="false">IFERROR(INDEX(分录回款!$H:$H,MATCH($L2886,分录回款!$L:$L,0)),"")</f>
        <v/>
      </c>
      <c r="G2886" s="69" t="str">
        <f aca="false">IFERROR(INDEX(分录回款!$I:$I,MATCH($L2886,分录回款!$L:$L,0)),"")</f>
        <v/>
      </c>
      <c r="H2886" s="23"/>
      <c r="I2886" s="70"/>
      <c r="L2886" s="71" t="n">
        <f aca="false">IF(助手回款!$R$194="",-1,助手回款!$R$194*100+(助手回款!$S$194-1)*6+1)</f>
        <v>-1</v>
      </c>
    </row>
    <row r="2887" customFormat="false" ht="23.25" hidden="false" customHeight="true" outlineLevel="0" collapsed="false">
      <c r="B2887" s="67" t="str">
        <f aca="false">""</f>
        <v/>
      </c>
      <c r="C2887" s="67"/>
      <c r="D2887" s="23" t="str">
        <f aca="false">IFERROR(INDEX(分录回款!$E:$E,MATCH($L2887,分录回款!$L:$L,0)),"")</f>
        <v/>
      </c>
      <c r="E2887" s="23" t="str">
        <f aca="false">IFERROR(INDEX(分录回款!$F:$F,MATCH($L2887,分录回款!$L:$L,0)),"")</f>
        <v/>
      </c>
      <c r="F2887" s="68" t="str">
        <f aca="false">IFERROR(INDEX(分录回款!$H:$H,MATCH($L2887,分录回款!$L:$L,0)),"")</f>
        <v/>
      </c>
      <c r="G2887" s="69" t="str">
        <f aca="false">IFERROR(INDEX(分录回款!$I:$I,MATCH($L2887,分录回款!$L:$L,0)),"")</f>
        <v/>
      </c>
      <c r="H2887" s="23"/>
      <c r="I2887" s="70"/>
      <c r="L2887" s="71" t="n">
        <f aca="false">IF(助手回款!$R$194="",-1,助手回款!$R$194*100+(助手回款!$S$194-1)*6+2)</f>
        <v>-1</v>
      </c>
    </row>
    <row r="2888" customFormat="false" ht="23.25" hidden="false" customHeight="true" outlineLevel="0" collapsed="false">
      <c r="B2888" s="67" t="str">
        <f aca="false">""</f>
        <v/>
      </c>
      <c r="C2888" s="67"/>
      <c r="D2888" s="23" t="str">
        <f aca="false">IFERROR(INDEX(分录回款!$E:$E,MATCH($L2888,分录回款!$L:$L,0)),"")</f>
        <v/>
      </c>
      <c r="E2888" s="23" t="str">
        <f aca="false">IFERROR(INDEX(分录回款!$F:$F,MATCH($L2888,分录回款!$L:$L,0)),"")</f>
        <v/>
      </c>
      <c r="F2888" s="68" t="str">
        <f aca="false">IFERROR(INDEX(分录回款!$H:$H,MATCH($L2888,分录回款!$L:$L,0)),"")</f>
        <v/>
      </c>
      <c r="G2888" s="69" t="str">
        <f aca="false">IFERROR(INDEX(分录回款!$I:$I,MATCH($L2888,分录回款!$L:$L,0)),"")</f>
        <v/>
      </c>
      <c r="H2888" s="23"/>
      <c r="I2888" s="70"/>
      <c r="L2888" s="71" t="n">
        <f aca="false">IF(助手回款!$R$194="",-1,助手回款!$R$194*100+(助手回款!$S$194-1)*6+3)</f>
        <v>-1</v>
      </c>
    </row>
    <row r="2889" customFormat="false" ht="23.25" hidden="false" customHeight="true" outlineLevel="0" collapsed="false">
      <c r="B2889" s="67" t="str">
        <f aca="false">""</f>
        <v/>
      </c>
      <c r="C2889" s="67"/>
      <c r="D2889" s="23" t="str">
        <f aca="false">IFERROR(INDEX(分录回款!$E:$E,MATCH($L2889,分录回款!$L:$L,0)),"")</f>
        <v/>
      </c>
      <c r="E2889" s="23" t="str">
        <f aca="false">IFERROR(INDEX(分录回款!$F:$F,MATCH($L2889,分录回款!$L:$L,0)),"")</f>
        <v/>
      </c>
      <c r="F2889" s="68" t="str">
        <f aca="false">IFERROR(INDEX(分录回款!$H:$H,MATCH($L2889,分录回款!$L:$L,0)),"")</f>
        <v/>
      </c>
      <c r="G2889" s="69" t="str">
        <f aca="false">IFERROR(INDEX(分录回款!$I:$I,MATCH($L2889,分录回款!$L:$L,0)),"")</f>
        <v/>
      </c>
      <c r="H2889" s="23"/>
      <c r="I2889" s="70"/>
      <c r="L2889" s="71" t="n">
        <f aca="false">IF(助手回款!$R$194="",-1,助手回款!$R$194*100+(助手回款!$S$194-1)*6+4)</f>
        <v>-1</v>
      </c>
    </row>
    <row r="2890" customFormat="false" ht="23.25" hidden="false" customHeight="true" outlineLevel="0" collapsed="false">
      <c r="B2890" s="67" t="str">
        <f aca="false">""</f>
        <v/>
      </c>
      <c r="C2890" s="67"/>
      <c r="D2890" s="23" t="str">
        <f aca="false">IFERROR(INDEX(分录回款!$E:$E,MATCH($L2890,分录回款!$L:$L,0)),"")</f>
        <v/>
      </c>
      <c r="E2890" s="23" t="str">
        <f aca="false">IFERROR(INDEX(分录回款!$F:$F,MATCH($L2890,分录回款!$L:$L,0)),"")</f>
        <v/>
      </c>
      <c r="F2890" s="68" t="str">
        <f aca="false">IFERROR(INDEX(分录回款!$H:$H,MATCH($L2890,分录回款!$L:$L,0)),"")</f>
        <v/>
      </c>
      <c r="G2890" s="69" t="str">
        <f aca="false">IFERROR(INDEX(分录回款!$I:$I,MATCH($L2890,分录回款!$L:$L,0)),"")</f>
        <v/>
      </c>
      <c r="H2890" s="23"/>
      <c r="I2890" s="70"/>
      <c r="L2890" s="71" t="n">
        <f aca="false">IF(助手回款!$R$194="",-1,助手回款!$R$194*100+(助手回款!$S$194-1)*6+5)</f>
        <v>-1</v>
      </c>
    </row>
    <row r="2891" customFormat="false" ht="23.25" hidden="false" customHeight="true" outlineLevel="0" collapsed="false">
      <c r="B2891" s="67" t="str">
        <f aca="false">""</f>
        <v/>
      </c>
      <c r="C2891" s="67"/>
      <c r="D2891" s="23" t="str">
        <f aca="false">IFERROR(INDEX(分录回款!$E:$E,MATCH($L2891,分录回款!$L:$L,0)),"")</f>
        <v/>
      </c>
      <c r="E2891" s="23" t="str">
        <f aca="false">IFERROR(INDEX(分录回款!$F:$F,MATCH($L2891,分录回款!$L:$L,0)),"")</f>
        <v/>
      </c>
      <c r="F2891" s="68" t="str">
        <f aca="false">IFERROR(INDEX(分录回款!$H:$H,MATCH($L2891,分录回款!$L:$L,0)),"")</f>
        <v/>
      </c>
      <c r="G2891" s="69" t="str">
        <f aca="false">IFERROR(INDEX(分录回款!$I:$I,MATCH($L2891,分录回款!$L:$L,0)),"")</f>
        <v/>
      </c>
      <c r="H2891" s="23"/>
      <c r="I2891" s="70"/>
      <c r="L2891" s="71" t="n">
        <f aca="false">IF(助手回款!$R$194="",-1,助手回款!$R$194*100+(助手回款!$S$194-1)*6+6)</f>
        <v>-1</v>
      </c>
    </row>
    <row r="2892" customFormat="false" ht="23.25" hidden="false" customHeight="true" outlineLevel="0" collapsed="false">
      <c r="B2892" s="72" t="str">
        <f aca="false">IF(助手回款!$T$194=1,"合计：","")</f>
        <v/>
      </c>
      <c r="C2892" s="73" t="str">
        <f aca="false">IF(助手回款!$T$194=1,$F2892,"")</f>
        <v/>
      </c>
      <c r="D2892" s="74"/>
      <c r="E2892" s="74"/>
      <c r="F2892" s="75" t="str">
        <f aca="false">IF(助手回款!$T$194=1,INDEX(助手回款!$N$2:$N$66,助手回款!$R$194),"")</f>
        <v/>
      </c>
      <c r="G2892" s="76" t="str">
        <f aca="false">IF(助手回款!$T$194=1,INDEX(助手回款!$O$2:$O$66,助手回款!$R$194),"")</f>
        <v/>
      </c>
      <c r="H2892" s="74"/>
      <c r="I2892" s="77"/>
    </row>
    <row r="2893" customFormat="false" ht="6" hidden="false" customHeight="true" outlineLevel="0" collapsed="false"/>
    <row r="2894" customFormat="false" ht="13.5" hidden="false" customHeight="false" outlineLevel="0" collapsed="false">
      <c r="B2894" s="78" t="str">
        <f aca="false">IF(助手回款!$R$194&lt;&gt;"","会计主管：","")</f>
        <v/>
      </c>
      <c r="D2894" s="78" t="str">
        <f aca="false">IF(助手回款!$R$194&lt;&gt;"","会计：","")</f>
        <v/>
      </c>
      <c r="E2894" s="78" t="str">
        <f aca="false">IF(助手回款!$R$194&lt;&gt;"","出纳：","")</f>
        <v/>
      </c>
      <c r="F2894" s="78" t="str">
        <f aca="false">IF(助手回款!$R$194&lt;&gt;"","复核：","")</f>
        <v/>
      </c>
      <c r="G2894" s="78" t="str">
        <f aca="false">IF(助手回款!$R$194&lt;&gt;"","制单：","")</f>
        <v/>
      </c>
    </row>
    <row r="2895" customFormat="false" ht="3" hidden="false" customHeight="true" outlineLevel="0" collapsed="false"/>
    <row r="2896" customFormat="false" ht="19.5" hidden="false" customHeight="true" outlineLevel="0" collapsed="false">
      <c r="B2896" s="53" t="str">
        <f aca="false">IF(助手回款!$R$195&lt;&gt;"","记  账  凭  证","")</f>
        <v/>
      </c>
      <c r="C2896" s="53"/>
      <c r="D2896" s="53"/>
      <c r="E2896" s="53"/>
      <c r="F2896" s="53"/>
      <c r="G2896" s="53"/>
      <c r="H2896" s="53"/>
      <c r="I2896" s="53"/>
    </row>
    <row r="2897" customFormat="false" ht="3" hidden="false" customHeight="true" outlineLevel="0" collapsed="false"/>
    <row r="2898" customFormat="false" ht="15" hidden="false" customHeight="true" outlineLevel="0" collapsed="false">
      <c r="C2898" s="56" t="str">
        <f aca="false">IF(助手回款!$R$195&lt;&gt;"",INDEX(助手回款!$B$2:$B$66,助手回款!$R$195),"")</f>
        <v/>
      </c>
      <c r="D2898" s="57" t="str">
        <f aca="false">IF(助手回款!$R$195&lt;&gt;"",参数!$B$2,"")</f>
        <v/>
      </c>
      <c r="E2898" s="57"/>
      <c r="F2898" s="58" t="str">
        <f aca="false">IF(助手回款!$R$195&lt;&gt;"",INDEX(助手回款!$C$2:$C$66,助手回款!$R$195)&amp;"  字第 "&amp;IF(参数!$B$9="是",INDEX(助手回款!$P$2:$P$66,助手回款!$R$195),"　　　　")&amp;" 号"&amp;IF(INDEX(助手回款!$L$2:$L$66,助手回款!$R$195)&gt;1,"  (共"&amp;INDEX(助手回款!$L$2:$L$66,助手回款!$R$195)&amp;"页 第"&amp;助手回款!$S$195&amp;"页)",""),"")</f>
        <v/>
      </c>
      <c r="G2898" s="58"/>
      <c r="H2898" s="58"/>
      <c r="I2898" s="58"/>
      <c r="M2898" s="79" t="str">
        <f aca="false">IF(助手回款!$R$195="","",助手回款!$Q$195)</f>
        <v/>
      </c>
      <c r="N2898" s="80" t="str">
        <f aca="false">IF(助手回款!$R$195="","",INDEX(助手回款!$P$2:$P$66,助手回款!$R$195))</f>
        <v/>
      </c>
      <c r="O2898" s="55" t="str">
        <f aca="false">IF(助手回款!$R$195="","",INDEX(助手回款!$C$2:$C$66,助手回款!$R$195)&amp;"  字第 "&amp;INDEX(助手回款!$P$2:$P$66,助手回款!$R$195)&amp;" 号"&amp;IF(INDEX(助手回款!$L$2:$L$66,助手回款!$R$195)&gt;1,"  (共"&amp;INDEX(助手回款!$L$2:$L$66,助手回款!$R$195)&amp;"页 第"&amp;助手回款!$S$195&amp;"页)",""))</f>
        <v/>
      </c>
    </row>
    <row r="2899" customFormat="false" ht="12.75" hidden="false" customHeight="true" outlineLevel="0" collapsed="false">
      <c r="B2899" s="61" t="str">
        <f aca="false">IF(助手回款!$R$195&lt;&gt;"","摘　　要","")</f>
        <v/>
      </c>
      <c r="C2899" s="61"/>
      <c r="D2899" s="62" t="str">
        <f aca="false">IF(助手回款!$R$195&lt;&gt;"","科　　　　目","")</f>
        <v/>
      </c>
      <c r="E2899" s="62"/>
      <c r="F2899" s="61" t="str">
        <f aca="false">IF(助手回款!$R$195&lt;&gt;"","借 方 金 额","")</f>
        <v/>
      </c>
      <c r="G2899" s="62" t="str">
        <f aca="false">IF(助手回款!$R$195&lt;&gt;"","贷 方 金 额","")</f>
        <v/>
      </c>
      <c r="H2899" s="63" t="str">
        <f aca="false">IF(助手回款!$R$195&lt;&gt;"","√","")</f>
        <v/>
      </c>
      <c r="I2899" s="64" t="str">
        <f aca="false">IF(助手回款!$R$195&lt;&gt;"","附单据  张","")</f>
        <v/>
      </c>
    </row>
    <row r="2900" customFormat="false" ht="12.75" hidden="false" customHeight="true" outlineLevel="0" collapsed="false">
      <c r="B2900" s="61"/>
      <c r="C2900" s="61"/>
      <c r="D2900" s="23" t="str">
        <f aca="false">IF(助手回款!$R$195&lt;&gt;"","总 账 科 目","")</f>
        <v/>
      </c>
      <c r="E2900" s="23" t="str">
        <f aca="false">IF(助手回款!$R$195&lt;&gt;"","明 细 科 目","")</f>
        <v/>
      </c>
      <c r="F2900" s="65"/>
      <c r="G2900" s="66"/>
      <c r="H2900" s="63"/>
      <c r="I2900" s="64"/>
    </row>
    <row r="2901" customFormat="false" ht="23.25" hidden="false" customHeight="true" outlineLevel="0" collapsed="false">
      <c r="B2901" s="67" t="str">
        <f aca="false">IFERROR(INDEX(分录回款!$M:$M,MATCH($L2901,分录回款!$L:$L,0)),"")</f>
        <v/>
      </c>
      <c r="C2901" s="67"/>
      <c r="D2901" s="23" t="str">
        <f aca="false">IFERROR(INDEX(分录回款!$E:$E,MATCH($L2901,分录回款!$L:$L,0)),"")</f>
        <v/>
      </c>
      <c r="E2901" s="23" t="str">
        <f aca="false">IFERROR(INDEX(分录回款!$F:$F,MATCH($L2901,分录回款!$L:$L,0)),"")</f>
        <v/>
      </c>
      <c r="F2901" s="68" t="str">
        <f aca="false">IFERROR(INDEX(分录回款!$H:$H,MATCH($L2901,分录回款!$L:$L,0)),"")</f>
        <v/>
      </c>
      <c r="G2901" s="69" t="str">
        <f aca="false">IFERROR(INDEX(分录回款!$I:$I,MATCH($L2901,分录回款!$L:$L,0)),"")</f>
        <v/>
      </c>
      <c r="H2901" s="23"/>
      <c r="I2901" s="70"/>
      <c r="L2901" s="71" t="n">
        <f aca="false">IF(助手回款!$R$195="",-1,助手回款!$R$195*100+(助手回款!$S$195-1)*6+1)</f>
        <v>-1</v>
      </c>
    </row>
    <row r="2902" customFormat="false" ht="23.25" hidden="false" customHeight="true" outlineLevel="0" collapsed="false">
      <c r="B2902" s="67" t="str">
        <f aca="false">""</f>
        <v/>
      </c>
      <c r="C2902" s="67"/>
      <c r="D2902" s="23" t="str">
        <f aca="false">IFERROR(INDEX(分录回款!$E:$E,MATCH($L2902,分录回款!$L:$L,0)),"")</f>
        <v/>
      </c>
      <c r="E2902" s="23" t="str">
        <f aca="false">IFERROR(INDEX(分录回款!$F:$F,MATCH($L2902,分录回款!$L:$L,0)),"")</f>
        <v/>
      </c>
      <c r="F2902" s="68" t="str">
        <f aca="false">IFERROR(INDEX(分录回款!$H:$H,MATCH($L2902,分录回款!$L:$L,0)),"")</f>
        <v/>
      </c>
      <c r="G2902" s="69" t="str">
        <f aca="false">IFERROR(INDEX(分录回款!$I:$I,MATCH($L2902,分录回款!$L:$L,0)),"")</f>
        <v/>
      </c>
      <c r="H2902" s="23"/>
      <c r="I2902" s="70"/>
      <c r="L2902" s="71" t="n">
        <f aca="false">IF(助手回款!$R$195="",-1,助手回款!$R$195*100+(助手回款!$S$195-1)*6+2)</f>
        <v>-1</v>
      </c>
    </row>
    <row r="2903" customFormat="false" ht="23.25" hidden="false" customHeight="true" outlineLevel="0" collapsed="false">
      <c r="B2903" s="67" t="str">
        <f aca="false">""</f>
        <v/>
      </c>
      <c r="C2903" s="67"/>
      <c r="D2903" s="23" t="str">
        <f aca="false">IFERROR(INDEX(分录回款!$E:$E,MATCH($L2903,分录回款!$L:$L,0)),"")</f>
        <v/>
      </c>
      <c r="E2903" s="23" t="str">
        <f aca="false">IFERROR(INDEX(分录回款!$F:$F,MATCH($L2903,分录回款!$L:$L,0)),"")</f>
        <v/>
      </c>
      <c r="F2903" s="68" t="str">
        <f aca="false">IFERROR(INDEX(分录回款!$H:$H,MATCH($L2903,分录回款!$L:$L,0)),"")</f>
        <v/>
      </c>
      <c r="G2903" s="69" t="str">
        <f aca="false">IFERROR(INDEX(分录回款!$I:$I,MATCH($L2903,分录回款!$L:$L,0)),"")</f>
        <v/>
      </c>
      <c r="H2903" s="23"/>
      <c r="I2903" s="70"/>
      <c r="L2903" s="71" t="n">
        <f aca="false">IF(助手回款!$R$195="",-1,助手回款!$R$195*100+(助手回款!$S$195-1)*6+3)</f>
        <v>-1</v>
      </c>
    </row>
    <row r="2904" customFormat="false" ht="23.25" hidden="false" customHeight="true" outlineLevel="0" collapsed="false">
      <c r="B2904" s="67" t="str">
        <f aca="false">""</f>
        <v/>
      </c>
      <c r="C2904" s="67"/>
      <c r="D2904" s="23" t="str">
        <f aca="false">IFERROR(INDEX(分录回款!$E:$E,MATCH($L2904,分录回款!$L:$L,0)),"")</f>
        <v/>
      </c>
      <c r="E2904" s="23" t="str">
        <f aca="false">IFERROR(INDEX(分录回款!$F:$F,MATCH($L2904,分录回款!$L:$L,0)),"")</f>
        <v/>
      </c>
      <c r="F2904" s="68" t="str">
        <f aca="false">IFERROR(INDEX(分录回款!$H:$H,MATCH($L2904,分录回款!$L:$L,0)),"")</f>
        <v/>
      </c>
      <c r="G2904" s="69" t="str">
        <f aca="false">IFERROR(INDEX(分录回款!$I:$I,MATCH($L2904,分录回款!$L:$L,0)),"")</f>
        <v/>
      </c>
      <c r="H2904" s="23"/>
      <c r="I2904" s="70"/>
      <c r="L2904" s="71" t="n">
        <f aca="false">IF(助手回款!$R$195="",-1,助手回款!$R$195*100+(助手回款!$S$195-1)*6+4)</f>
        <v>-1</v>
      </c>
    </row>
    <row r="2905" customFormat="false" ht="23.25" hidden="false" customHeight="true" outlineLevel="0" collapsed="false">
      <c r="B2905" s="67" t="str">
        <f aca="false">""</f>
        <v/>
      </c>
      <c r="C2905" s="67"/>
      <c r="D2905" s="23" t="str">
        <f aca="false">IFERROR(INDEX(分录回款!$E:$E,MATCH($L2905,分录回款!$L:$L,0)),"")</f>
        <v/>
      </c>
      <c r="E2905" s="23" t="str">
        <f aca="false">IFERROR(INDEX(分录回款!$F:$F,MATCH($L2905,分录回款!$L:$L,0)),"")</f>
        <v/>
      </c>
      <c r="F2905" s="68" t="str">
        <f aca="false">IFERROR(INDEX(分录回款!$H:$H,MATCH($L2905,分录回款!$L:$L,0)),"")</f>
        <v/>
      </c>
      <c r="G2905" s="69" t="str">
        <f aca="false">IFERROR(INDEX(分录回款!$I:$I,MATCH($L2905,分录回款!$L:$L,0)),"")</f>
        <v/>
      </c>
      <c r="H2905" s="23"/>
      <c r="I2905" s="70"/>
      <c r="L2905" s="71" t="n">
        <f aca="false">IF(助手回款!$R$195="",-1,助手回款!$R$195*100+(助手回款!$S$195-1)*6+5)</f>
        <v>-1</v>
      </c>
    </row>
    <row r="2906" customFormat="false" ht="23.25" hidden="false" customHeight="true" outlineLevel="0" collapsed="false">
      <c r="B2906" s="67" t="str">
        <f aca="false">""</f>
        <v/>
      </c>
      <c r="C2906" s="67"/>
      <c r="D2906" s="23" t="str">
        <f aca="false">IFERROR(INDEX(分录回款!$E:$E,MATCH($L2906,分录回款!$L:$L,0)),"")</f>
        <v/>
      </c>
      <c r="E2906" s="23" t="str">
        <f aca="false">IFERROR(INDEX(分录回款!$F:$F,MATCH($L2906,分录回款!$L:$L,0)),"")</f>
        <v/>
      </c>
      <c r="F2906" s="68" t="str">
        <f aca="false">IFERROR(INDEX(分录回款!$H:$H,MATCH($L2906,分录回款!$L:$L,0)),"")</f>
        <v/>
      </c>
      <c r="G2906" s="69" t="str">
        <f aca="false">IFERROR(INDEX(分录回款!$I:$I,MATCH($L2906,分录回款!$L:$L,0)),"")</f>
        <v/>
      </c>
      <c r="H2906" s="23"/>
      <c r="I2906" s="70"/>
      <c r="L2906" s="71" t="n">
        <f aca="false">IF(助手回款!$R$195="",-1,助手回款!$R$195*100+(助手回款!$S$195-1)*6+6)</f>
        <v>-1</v>
      </c>
    </row>
    <row r="2907" customFormat="false" ht="23.25" hidden="false" customHeight="true" outlineLevel="0" collapsed="false">
      <c r="B2907" s="72" t="str">
        <f aca="false">IF(助手回款!$T$195=1,"合计：","")</f>
        <v/>
      </c>
      <c r="C2907" s="73" t="str">
        <f aca="false">IF(助手回款!$T$195=1,$F2907,"")</f>
        <v/>
      </c>
      <c r="D2907" s="74"/>
      <c r="E2907" s="74"/>
      <c r="F2907" s="75" t="str">
        <f aca="false">IF(助手回款!$T$195=1,INDEX(助手回款!$N$2:$N$66,助手回款!$R$195),"")</f>
        <v/>
      </c>
      <c r="G2907" s="76" t="str">
        <f aca="false">IF(助手回款!$T$195=1,INDEX(助手回款!$O$2:$O$66,助手回款!$R$195),"")</f>
        <v/>
      </c>
      <c r="H2907" s="74"/>
      <c r="I2907" s="77"/>
    </row>
    <row r="2908" customFormat="false" ht="6" hidden="false" customHeight="true" outlineLevel="0" collapsed="false"/>
    <row r="2909" customFormat="false" ht="13.5" hidden="false" customHeight="false" outlineLevel="0" collapsed="false">
      <c r="B2909" s="78" t="str">
        <f aca="false">IF(助手回款!$R$195&lt;&gt;"","会计主管：","")</f>
        <v/>
      </c>
      <c r="D2909" s="78" t="str">
        <f aca="false">IF(助手回款!$R$195&lt;&gt;"","会计：","")</f>
        <v/>
      </c>
      <c r="E2909" s="78" t="str">
        <f aca="false">IF(助手回款!$R$195&lt;&gt;"","出纳：","")</f>
        <v/>
      </c>
      <c r="F2909" s="78" t="str">
        <f aca="false">IF(助手回款!$R$195&lt;&gt;"","复核：","")</f>
        <v/>
      </c>
      <c r="G2909" s="78" t="str">
        <f aca="false">IF(助手回款!$R$195&lt;&gt;"","制单：","")</f>
        <v/>
      </c>
    </row>
    <row r="2910" customFormat="false" ht="3" hidden="false" customHeight="true" outlineLevel="0" collapsed="false"/>
    <row r="2911" customFormat="false" ht="19.5" hidden="false" customHeight="true" outlineLevel="0" collapsed="false">
      <c r="B2911" s="53" t="str">
        <f aca="false">IF(助手回款!$R$196&lt;&gt;"","记  账  凭  证","")</f>
        <v/>
      </c>
      <c r="C2911" s="53"/>
      <c r="D2911" s="53"/>
      <c r="E2911" s="53"/>
      <c r="F2911" s="53"/>
      <c r="G2911" s="53"/>
      <c r="H2911" s="53"/>
      <c r="I2911" s="53"/>
    </row>
    <row r="2912" customFormat="false" ht="3" hidden="false" customHeight="true" outlineLevel="0" collapsed="false"/>
    <row r="2913" customFormat="false" ht="15" hidden="false" customHeight="true" outlineLevel="0" collapsed="false">
      <c r="C2913" s="56" t="str">
        <f aca="false">IF(助手回款!$R$196&lt;&gt;"",INDEX(助手回款!$B$2:$B$66,助手回款!$R$196),"")</f>
        <v/>
      </c>
      <c r="D2913" s="57" t="str">
        <f aca="false">IF(助手回款!$R$196&lt;&gt;"",参数!$B$2,"")</f>
        <v/>
      </c>
      <c r="E2913" s="57"/>
      <c r="F2913" s="58" t="str">
        <f aca="false">IF(助手回款!$R$196&lt;&gt;"",INDEX(助手回款!$C$2:$C$66,助手回款!$R$196)&amp;"  字第 "&amp;IF(参数!$B$9="是",INDEX(助手回款!$P$2:$P$66,助手回款!$R$196),"　　　　")&amp;" 号"&amp;IF(INDEX(助手回款!$L$2:$L$66,助手回款!$R$196)&gt;1,"  (共"&amp;INDEX(助手回款!$L$2:$L$66,助手回款!$R$196)&amp;"页 第"&amp;助手回款!$S$196&amp;"页)",""),"")</f>
        <v/>
      </c>
      <c r="G2913" s="58"/>
      <c r="H2913" s="58"/>
      <c r="I2913" s="58"/>
      <c r="M2913" s="79" t="str">
        <f aca="false">IF(助手回款!$R$196="","",助手回款!$Q$196)</f>
        <v/>
      </c>
      <c r="N2913" s="80" t="str">
        <f aca="false">IF(助手回款!$R$196="","",INDEX(助手回款!$P$2:$P$66,助手回款!$R$196))</f>
        <v/>
      </c>
      <c r="O2913" s="55" t="str">
        <f aca="false">IF(助手回款!$R$196="","",INDEX(助手回款!$C$2:$C$66,助手回款!$R$196)&amp;"  字第 "&amp;INDEX(助手回款!$P$2:$P$66,助手回款!$R$196)&amp;" 号"&amp;IF(INDEX(助手回款!$L$2:$L$66,助手回款!$R$196)&gt;1,"  (共"&amp;INDEX(助手回款!$L$2:$L$66,助手回款!$R$196)&amp;"页 第"&amp;助手回款!$S$196&amp;"页)",""))</f>
        <v/>
      </c>
    </row>
    <row r="2914" customFormat="false" ht="12.75" hidden="false" customHeight="true" outlineLevel="0" collapsed="false">
      <c r="B2914" s="61" t="str">
        <f aca="false">IF(助手回款!$R$196&lt;&gt;"","摘　　要","")</f>
        <v/>
      </c>
      <c r="C2914" s="61"/>
      <c r="D2914" s="62" t="str">
        <f aca="false">IF(助手回款!$R$196&lt;&gt;"","科　　　　目","")</f>
        <v/>
      </c>
      <c r="E2914" s="62"/>
      <c r="F2914" s="61" t="str">
        <f aca="false">IF(助手回款!$R$196&lt;&gt;"","借 方 金 额","")</f>
        <v/>
      </c>
      <c r="G2914" s="62" t="str">
        <f aca="false">IF(助手回款!$R$196&lt;&gt;"","贷 方 金 额","")</f>
        <v/>
      </c>
      <c r="H2914" s="63" t="str">
        <f aca="false">IF(助手回款!$R$196&lt;&gt;"","√","")</f>
        <v/>
      </c>
      <c r="I2914" s="64" t="str">
        <f aca="false">IF(助手回款!$R$196&lt;&gt;"","附单据  张","")</f>
        <v/>
      </c>
    </row>
    <row r="2915" customFormat="false" ht="12.75" hidden="false" customHeight="true" outlineLevel="0" collapsed="false">
      <c r="B2915" s="61"/>
      <c r="C2915" s="61"/>
      <c r="D2915" s="23" t="str">
        <f aca="false">IF(助手回款!$R$196&lt;&gt;"","总 账 科 目","")</f>
        <v/>
      </c>
      <c r="E2915" s="23" t="str">
        <f aca="false">IF(助手回款!$R$196&lt;&gt;"","明 细 科 目","")</f>
        <v/>
      </c>
      <c r="F2915" s="65"/>
      <c r="G2915" s="66"/>
      <c r="H2915" s="63"/>
      <c r="I2915" s="64"/>
    </row>
    <row r="2916" customFormat="false" ht="23.25" hidden="false" customHeight="true" outlineLevel="0" collapsed="false">
      <c r="B2916" s="67" t="str">
        <f aca="false">IFERROR(INDEX(分录回款!$M:$M,MATCH($L2916,分录回款!$L:$L,0)),"")</f>
        <v/>
      </c>
      <c r="C2916" s="67"/>
      <c r="D2916" s="23" t="str">
        <f aca="false">IFERROR(INDEX(分录回款!$E:$E,MATCH($L2916,分录回款!$L:$L,0)),"")</f>
        <v/>
      </c>
      <c r="E2916" s="23" t="str">
        <f aca="false">IFERROR(INDEX(分录回款!$F:$F,MATCH($L2916,分录回款!$L:$L,0)),"")</f>
        <v/>
      </c>
      <c r="F2916" s="68" t="str">
        <f aca="false">IFERROR(INDEX(分录回款!$H:$H,MATCH($L2916,分录回款!$L:$L,0)),"")</f>
        <v/>
      </c>
      <c r="G2916" s="69" t="str">
        <f aca="false">IFERROR(INDEX(分录回款!$I:$I,MATCH($L2916,分录回款!$L:$L,0)),"")</f>
        <v/>
      </c>
      <c r="H2916" s="23"/>
      <c r="I2916" s="70"/>
      <c r="L2916" s="71" t="n">
        <f aca="false">IF(助手回款!$R$196="",-1,助手回款!$R$196*100+(助手回款!$S$196-1)*6+1)</f>
        <v>-1</v>
      </c>
    </row>
    <row r="2917" customFormat="false" ht="23.25" hidden="false" customHeight="true" outlineLevel="0" collapsed="false">
      <c r="B2917" s="67" t="str">
        <f aca="false">""</f>
        <v/>
      </c>
      <c r="C2917" s="67"/>
      <c r="D2917" s="23" t="str">
        <f aca="false">IFERROR(INDEX(分录回款!$E:$E,MATCH($L2917,分录回款!$L:$L,0)),"")</f>
        <v/>
      </c>
      <c r="E2917" s="23" t="str">
        <f aca="false">IFERROR(INDEX(分录回款!$F:$F,MATCH($L2917,分录回款!$L:$L,0)),"")</f>
        <v/>
      </c>
      <c r="F2917" s="68" t="str">
        <f aca="false">IFERROR(INDEX(分录回款!$H:$H,MATCH($L2917,分录回款!$L:$L,0)),"")</f>
        <v/>
      </c>
      <c r="G2917" s="69" t="str">
        <f aca="false">IFERROR(INDEX(分录回款!$I:$I,MATCH($L2917,分录回款!$L:$L,0)),"")</f>
        <v/>
      </c>
      <c r="H2917" s="23"/>
      <c r="I2917" s="70"/>
      <c r="L2917" s="71" t="n">
        <f aca="false">IF(助手回款!$R$196="",-1,助手回款!$R$196*100+(助手回款!$S$196-1)*6+2)</f>
        <v>-1</v>
      </c>
    </row>
    <row r="2918" customFormat="false" ht="23.25" hidden="false" customHeight="true" outlineLevel="0" collapsed="false">
      <c r="B2918" s="67" t="str">
        <f aca="false">""</f>
        <v/>
      </c>
      <c r="C2918" s="67"/>
      <c r="D2918" s="23" t="str">
        <f aca="false">IFERROR(INDEX(分录回款!$E:$E,MATCH($L2918,分录回款!$L:$L,0)),"")</f>
        <v/>
      </c>
      <c r="E2918" s="23" t="str">
        <f aca="false">IFERROR(INDEX(分录回款!$F:$F,MATCH($L2918,分录回款!$L:$L,0)),"")</f>
        <v/>
      </c>
      <c r="F2918" s="68" t="str">
        <f aca="false">IFERROR(INDEX(分录回款!$H:$H,MATCH($L2918,分录回款!$L:$L,0)),"")</f>
        <v/>
      </c>
      <c r="G2918" s="69" t="str">
        <f aca="false">IFERROR(INDEX(分录回款!$I:$I,MATCH($L2918,分录回款!$L:$L,0)),"")</f>
        <v/>
      </c>
      <c r="H2918" s="23"/>
      <c r="I2918" s="70"/>
      <c r="L2918" s="71" t="n">
        <f aca="false">IF(助手回款!$R$196="",-1,助手回款!$R$196*100+(助手回款!$S$196-1)*6+3)</f>
        <v>-1</v>
      </c>
    </row>
    <row r="2919" customFormat="false" ht="23.25" hidden="false" customHeight="true" outlineLevel="0" collapsed="false">
      <c r="B2919" s="67" t="str">
        <f aca="false">""</f>
        <v/>
      </c>
      <c r="C2919" s="67"/>
      <c r="D2919" s="23" t="str">
        <f aca="false">IFERROR(INDEX(分录回款!$E:$E,MATCH($L2919,分录回款!$L:$L,0)),"")</f>
        <v/>
      </c>
      <c r="E2919" s="23" t="str">
        <f aca="false">IFERROR(INDEX(分录回款!$F:$F,MATCH($L2919,分录回款!$L:$L,0)),"")</f>
        <v/>
      </c>
      <c r="F2919" s="68" t="str">
        <f aca="false">IFERROR(INDEX(分录回款!$H:$H,MATCH($L2919,分录回款!$L:$L,0)),"")</f>
        <v/>
      </c>
      <c r="G2919" s="69" t="str">
        <f aca="false">IFERROR(INDEX(分录回款!$I:$I,MATCH($L2919,分录回款!$L:$L,0)),"")</f>
        <v/>
      </c>
      <c r="H2919" s="23"/>
      <c r="I2919" s="70"/>
      <c r="L2919" s="71" t="n">
        <f aca="false">IF(助手回款!$R$196="",-1,助手回款!$R$196*100+(助手回款!$S$196-1)*6+4)</f>
        <v>-1</v>
      </c>
    </row>
    <row r="2920" customFormat="false" ht="23.25" hidden="false" customHeight="true" outlineLevel="0" collapsed="false">
      <c r="B2920" s="67" t="str">
        <f aca="false">""</f>
        <v/>
      </c>
      <c r="C2920" s="67"/>
      <c r="D2920" s="23" t="str">
        <f aca="false">IFERROR(INDEX(分录回款!$E:$E,MATCH($L2920,分录回款!$L:$L,0)),"")</f>
        <v/>
      </c>
      <c r="E2920" s="23" t="str">
        <f aca="false">IFERROR(INDEX(分录回款!$F:$F,MATCH($L2920,分录回款!$L:$L,0)),"")</f>
        <v/>
      </c>
      <c r="F2920" s="68" t="str">
        <f aca="false">IFERROR(INDEX(分录回款!$H:$H,MATCH($L2920,分录回款!$L:$L,0)),"")</f>
        <v/>
      </c>
      <c r="G2920" s="69" t="str">
        <f aca="false">IFERROR(INDEX(分录回款!$I:$I,MATCH($L2920,分录回款!$L:$L,0)),"")</f>
        <v/>
      </c>
      <c r="H2920" s="23"/>
      <c r="I2920" s="70"/>
      <c r="L2920" s="71" t="n">
        <f aca="false">IF(助手回款!$R$196="",-1,助手回款!$R$196*100+(助手回款!$S$196-1)*6+5)</f>
        <v>-1</v>
      </c>
    </row>
    <row r="2921" customFormat="false" ht="23.25" hidden="false" customHeight="true" outlineLevel="0" collapsed="false">
      <c r="B2921" s="67" t="str">
        <f aca="false">""</f>
        <v/>
      </c>
      <c r="C2921" s="67"/>
      <c r="D2921" s="23" t="str">
        <f aca="false">IFERROR(INDEX(分录回款!$E:$E,MATCH($L2921,分录回款!$L:$L,0)),"")</f>
        <v/>
      </c>
      <c r="E2921" s="23" t="str">
        <f aca="false">IFERROR(INDEX(分录回款!$F:$F,MATCH($L2921,分录回款!$L:$L,0)),"")</f>
        <v/>
      </c>
      <c r="F2921" s="68" t="str">
        <f aca="false">IFERROR(INDEX(分录回款!$H:$H,MATCH($L2921,分录回款!$L:$L,0)),"")</f>
        <v/>
      </c>
      <c r="G2921" s="69" t="str">
        <f aca="false">IFERROR(INDEX(分录回款!$I:$I,MATCH($L2921,分录回款!$L:$L,0)),"")</f>
        <v/>
      </c>
      <c r="H2921" s="23"/>
      <c r="I2921" s="70"/>
      <c r="L2921" s="71" t="n">
        <f aca="false">IF(助手回款!$R$196="",-1,助手回款!$R$196*100+(助手回款!$S$196-1)*6+6)</f>
        <v>-1</v>
      </c>
    </row>
    <row r="2922" customFormat="false" ht="23.25" hidden="false" customHeight="true" outlineLevel="0" collapsed="false">
      <c r="B2922" s="72" t="str">
        <f aca="false">IF(助手回款!$T$196=1,"合计：","")</f>
        <v/>
      </c>
      <c r="C2922" s="73" t="str">
        <f aca="false">IF(助手回款!$T$196=1,$F2922,"")</f>
        <v/>
      </c>
      <c r="D2922" s="74"/>
      <c r="E2922" s="74"/>
      <c r="F2922" s="75" t="str">
        <f aca="false">IF(助手回款!$T$196=1,INDEX(助手回款!$N$2:$N$66,助手回款!$R$196),"")</f>
        <v/>
      </c>
      <c r="G2922" s="76" t="str">
        <f aca="false">IF(助手回款!$T$196=1,INDEX(助手回款!$O$2:$O$66,助手回款!$R$196),"")</f>
        <v/>
      </c>
      <c r="H2922" s="74"/>
      <c r="I2922" s="77"/>
    </row>
    <row r="2923" customFormat="false" ht="6" hidden="false" customHeight="true" outlineLevel="0" collapsed="false"/>
    <row r="2924" customFormat="false" ht="13.5" hidden="false" customHeight="false" outlineLevel="0" collapsed="false">
      <c r="B2924" s="78" t="str">
        <f aca="false">IF(助手回款!$R$196&lt;&gt;"","会计主管：","")</f>
        <v/>
      </c>
      <c r="D2924" s="78" t="str">
        <f aca="false">IF(助手回款!$R$196&lt;&gt;"","会计：","")</f>
        <v/>
      </c>
      <c r="E2924" s="78" t="str">
        <f aca="false">IF(助手回款!$R$196&lt;&gt;"","出纳：","")</f>
        <v/>
      </c>
      <c r="F2924" s="78" t="str">
        <f aca="false">IF(助手回款!$R$196&lt;&gt;"","复核：","")</f>
        <v/>
      </c>
      <c r="G2924" s="78" t="str">
        <f aca="false">IF(助手回款!$R$196&lt;&gt;"","制单：","")</f>
        <v/>
      </c>
    </row>
    <row r="2925" customFormat="false" ht="3" hidden="false" customHeight="true" outlineLevel="0" collapsed="false"/>
    <row r="2926" customFormat="false" ht="19.5" hidden="false" customHeight="true" outlineLevel="0" collapsed="false">
      <c r="B2926" s="53" t="str">
        <f aca="false">IF(助手回款!$R$197&lt;&gt;"","记  账  凭  证","")</f>
        <v/>
      </c>
      <c r="C2926" s="53"/>
      <c r="D2926" s="53"/>
      <c r="E2926" s="53"/>
      <c r="F2926" s="53"/>
      <c r="G2926" s="53"/>
      <c r="H2926" s="53"/>
      <c r="I2926" s="53"/>
    </row>
    <row r="2927" customFormat="false" ht="3" hidden="false" customHeight="true" outlineLevel="0" collapsed="false"/>
    <row r="2928" customFormat="false" ht="15" hidden="false" customHeight="true" outlineLevel="0" collapsed="false">
      <c r="C2928" s="56" t="str">
        <f aca="false">IF(助手回款!$R$197&lt;&gt;"",INDEX(助手回款!$B$2:$B$66,助手回款!$R$197),"")</f>
        <v/>
      </c>
      <c r="D2928" s="57" t="str">
        <f aca="false">IF(助手回款!$R$197&lt;&gt;"",参数!$B$2,"")</f>
        <v/>
      </c>
      <c r="E2928" s="57"/>
      <c r="F2928" s="58" t="str">
        <f aca="false">IF(助手回款!$R$197&lt;&gt;"",INDEX(助手回款!$C$2:$C$66,助手回款!$R$197)&amp;"  字第 "&amp;IF(参数!$B$9="是",INDEX(助手回款!$P$2:$P$66,助手回款!$R$197),"　　　　")&amp;" 号"&amp;IF(INDEX(助手回款!$L$2:$L$66,助手回款!$R$197)&gt;1,"  (共"&amp;INDEX(助手回款!$L$2:$L$66,助手回款!$R$197)&amp;"页 第"&amp;助手回款!$S$197&amp;"页)",""),"")</f>
        <v/>
      </c>
      <c r="G2928" s="58"/>
      <c r="H2928" s="58"/>
      <c r="I2928" s="58"/>
      <c r="M2928" s="79" t="str">
        <f aca="false">IF(助手回款!$R$197="","",助手回款!$Q$197)</f>
        <v/>
      </c>
      <c r="N2928" s="80" t="str">
        <f aca="false">IF(助手回款!$R$197="","",INDEX(助手回款!$P$2:$P$66,助手回款!$R$197))</f>
        <v/>
      </c>
      <c r="O2928" s="55" t="str">
        <f aca="false">IF(助手回款!$R$197="","",INDEX(助手回款!$C$2:$C$66,助手回款!$R$197)&amp;"  字第 "&amp;INDEX(助手回款!$P$2:$P$66,助手回款!$R$197)&amp;" 号"&amp;IF(INDEX(助手回款!$L$2:$L$66,助手回款!$R$197)&gt;1,"  (共"&amp;INDEX(助手回款!$L$2:$L$66,助手回款!$R$197)&amp;"页 第"&amp;助手回款!$S$197&amp;"页)",""))</f>
        <v/>
      </c>
    </row>
    <row r="2929" customFormat="false" ht="12.75" hidden="false" customHeight="true" outlineLevel="0" collapsed="false">
      <c r="B2929" s="61" t="str">
        <f aca="false">IF(助手回款!$R$197&lt;&gt;"","摘　　要","")</f>
        <v/>
      </c>
      <c r="C2929" s="61"/>
      <c r="D2929" s="62" t="str">
        <f aca="false">IF(助手回款!$R$197&lt;&gt;"","科　　　　目","")</f>
        <v/>
      </c>
      <c r="E2929" s="62"/>
      <c r="F2929" s="61" t="str">
        <f aca="false">IF(助手回款!$R$197&lt;&gt;"","借 方 金 额","")</f>
        <v/>
      </c>
      <c r="G2929" s="62" t="str">
        <f aca="false">IF(助手回款!$R$197&lt;&gt;"","贷 方 金 额","")</f>
        <v/>
      </c>
      <c r="H2929" s="63" t="str">
        <f aca="false">IF(助手回款!$R$197&lt;&gt;"","√","")</f>
        <v/>
      </c>
      <c r="I2929" s="64" t="str">
        <f aca="false">IF(助手回款!$R$197&lt;&gt;"","附单据  张","")</f>
        <v/>
      </c>
    </row>
    <row r="2930" customFormat="false" ht="12.75" hidden="false" customHeight="true" outlineLevel="0" collapsed="false">
      <c r="B2930" s="61"/>
      <c r="C2930" s="61"/>
      <c r="D2930" s="23" t="str">
        <f aca="false">IF(助手回款!$R$197&lt;&gt;"","总 账 科 目","")</f>
        <v/>
      </c>
      <c r="E2930" s="23" t="str">
        <f aca="false">IF(助手回款!$R$197&lt;&gt;"","明 细 科 目","")</f>
        <v/>
      </c>
      <c r="F2930" s="65"/>
      <c r="G2930" s="66"/>
      <c r="H2930" s="63"/>
      <c r="I2930" s="64"/>
    </row>
    <row r="2931" customFormat="false" ht="23.25" hidden="false" customHeight="true" outlineLevel="0" collapsed="false">
      <c r="B2931" s="67" t="str">
        <f aca="false">IFERROR(INDEX(分录回款!$M:$M,MATCH($L2931,分录回款!$L:$L,0)),"")</f>
        <v/>
      </c>
      <c r="C2931" s="67"/>
      <c r="D2931" s="23" t="str">
        <f aca="false">IFERROR(INDEX(分录回款!$E:$E,MATCH($L2931,分录回款!$L:$L,0)),"")</f>
        <v/>
      </c>
      <c r="E2931" s="23" t="str">
        <f aca="false">IFERROR(INDEX(分录回款!$F:$F,MATCH($L2931,分录回款!$L:$L,0)),"")</f>
        <v/>
      </c>
      <c r="F2931" s="68" t="str">
        <f aca="false">IFERROR(INDEX(分录回款!$H:$H,MATCH($L2931,分录回款!$L:$L,0)),"")</f>
        <v/>
      </c>
      <c r="G2931" s="69" t="str">
        <f aca="false">IFERROR(INDEX(分录回款!$I:$I,MATCH($L2931,分录回款!$L:$L,0)),"")</f>
        <v/>
      </c>
      <c r="H2931" s="23"/>
      <c r="I2931" s="70"/>
      <c r="L2931" s="71" t="n">
        <f aca="false">IF(助手回款!$R$197="",-1,助手回款!$R$197*100+(助手回款!$S$197-1)*6+1)</f>
        <v>-1</v>
      </c>
    </row>
    <row r="2932" customFormat="false" ht="23.25" hidden="false" customHeight="true" outlineLevel="0" collapsed="false">
      <c r="B2932" s="67" t="str">
        <f aca="false">""</f>
        <v/>
      </c>
      <c r="C2932" s="67"/>
      <c r="D2932" s="23" t="str">
        <f aca="false">IFERROR(INDEX(分录回款!$E:$E,MATCH($L2932,分录回款!$L:$L,0)),"")</f>
        <v/>
      </c>
      <c r="E2932" s="23" t="str">
        <f aca="false">IFERROR(INDEX(分录回款!$F:$F,MATCH($L2932,分录回款!$L:$L,0)),"")</f>
        <v/>
      </c>
      <c r="F2932" s="68" t="str">
        <f aca="false">IFERROR(INDEX(分录回款!$H:$H,MATCH($L2932,分录回款!$L:$L,0)),"")</f>
        <v/>
      </c>
      <c r="G2932" s="69" t="str">
        <f aca="false">IFERROR(INDEX(分录回款!$I:$I,MATCH($L2932,分录回款!$L:$L,0)),"")</f>
        <v/>
      </c>
      <c r="H2932" s="23"/>
      <c r="I2932" s="70"/>
      <c r="L2932" s="71" t="n">
        <f aca="false">IF(助手回款!$R$197="",-1,助手回款!$R$197*100+(助手回款!$S$197-1)*6+2)</f>
        <v>-1</v>
      </c>
    </row>
    <row r="2933" customFormat="false" ht="23.25" hidden="false" customHeight="true" outlineLevel="0" collapsed="false">
      <c r="B2933" s="67" t="str">
        <f aca="false">""</f>
        <v/>
      </c>
      <c r="C2933" s="67"/>
      <c r="D2933" s="23" t="str">
        <f aca="false">IFERROR(INDEX(分录回款!$E:$E,MATCH($L2933,分录回款!$L:$L,0)),"")</f>
        <v/>
      </c>
      <c r="E2933" s="23" t="str">
        <f aca="false">IFERROR(INDEX(分录回款!$F:$F,MATCH($L2933,分录回款!$L:$L,0)),"")</f>
        <v/>
      </c>
      <c r="F2933" s="68" t="str">
        <f aca="false">IFERROR(INDEX(分录回款!$H:$H,MATCH($L2933,分录回款!$L:$L,0)),"")</f>
        <v/>
      </c>
      <c r="G2933" s="69" t="str">
        <f aca="false">IFERROR(INDEX(分录回款!$I:$I,MATCH($L2933,分录回款!$L:$L,0)),"")</f>
        <v/>
      </c>
      <c r="H2933" s="23"/>
      <c r="I2933" s="70"/>
      <c r="L2933" s="71" t="n">
        <f aca="false">IF(助手回款!$R$197="",-1,助手回款!$R$197*100+(助手回款!$S$197-1)*6+3)</f>
        <v>-1</v>
      </c>
    </row>
    <row r="2934" customFormat="false" ht="23.25" hidden="false" customHeight="true" outlineLevel="0" collapsed="false">
      <c r="B2934" s="67" t="str">
        <f aca="false">""</f>
        <v/>
      </c>
      <c r="C2934" s="67"/>
      <c r="D2934" s="23" t="str">
        <f aca="false">IFERROR(INDEX(分录回款!$E:$E,MATCH($L2934,分录回款!$L:$L,0)),"")</f>
        <v/>
      </c>
      <c r="E2934" s="23" t="str">
        <f aca="false">IFERROR(INDEX(分录回款!$F:$F,MATCH($L2934,分录回款!$L:$L,0)),"")</f>
        <v/>
      </c>
      <c r="F2934" s="68" t="str">
        <f aca="false">IFERROR(INDEX(分录回款!$H:$H,MATCH($L2934,分录回款!$L:$L,0)),"")</f>
        <v/>
      </c>
      <c r="G2934" s="69" t="str">
        <f aca="false">IFERROR(INDEX(分录回款!$I:$I,MATCH($L2934,分录回款!$L:$L,0)),"")</f>
        <v/>
      </c>
      <c r="H2934" s="23"/>
      <c r="I2934" s="70"/>
      <c r="L2934" s="71" t="n">
        <f aca="false">IF(助手回款!$R$197="",-1,助手回款!$R$197*100+(助手回款!$S$197-1)*6+4)</f>
        <v>-1</v>
      </c>
    </row>
    <row r="2935" customFormat="false" ht="23.25" hidden="false" customHeight="true" outlineLevel="0" collapsed="false">
      <c r="B2935" s="67" t="str">
        <f aca="false">""</f>
        <v/>
      </c>
      <c r="C2935" s="67"/>
      <c r="D2935" s="23" t="str">
        <f aca="false">IFERROR(INDEX(分录回款!$E:$E,MATCH($L2935,分录回款!$L:$L,0)),"")</f>
        <v/>
      </c>
      <c r="E2935" s="23" t="str">
        <f aca="false">IFERROR(INDEX(分录回款!$F:$F,MATCH($L2935,分录回款!$L:$L,0)),"")</f>
        <v/>
      </c>
      <c r="F2935" s="68" t="str">
        <f aca="false">IFERROR(INDEX(分录回款!$H:$H,MATCH($L2935,分录回款!$L:$L,0)),"")</f>
        <v/>
      </c>
      <c r="G2935" s="69" t="str">
        <f aca="false">IFERROR(INDEX(分录回款!$I:$I,MATCH($L2935,分录回款!$L:$L,0)),"")</f>
        <v/>
      </c>
      <c r="H2935" s="23"/>
      <c r="I2935" s="70"/>
      <c r="L2935" s="71" t="n">
        <f aca="false">IF(助手回款!$R$197="",-1,助手回款!$R$197*100+(助手回款!$S$197-1)*6+5)</f>
        <v>-1</v>
      </c>
    </row>
    <row r="2936" customFormat="false" ht="23.25" hidden="false" customHeight="true" outlineLevel="0" collapsed="false">
      <c r="B2936" s="67" t="str">
        <f aca="false">""</f>
        <v/>
      </c>
      <c r="C2936" s="67"/>
      <c r="D2936" s="23" t="str">
        <f aca="false">IFERROR(INDEX(分录回款!$E:$E,MATCH($L2936,分录回款!$L:$L,0)),"")</f>
        <v/>
      </c>
      <c r="E2936" s="23" t="str">
        <f aca="false">IFERROR(INDEX(分录回款!$F:$F,MATCH($L2936,分录回款!$L:$L,0)),"")</f>
        <v/>
      </c>
      <c r="F2936" s="68" t="str">
        <f aca="false">IFERROR(INDEX(分录回款!$H:$H,MATCH($L2936,分录回款!$L:$L,0)),"")</f>
        <v/>
      </c>
      <c r="G2936" s="69" t="str">
        <f aca="false">IFERROR(INDEX(分录回款!$I:$I,MATCH($L2936,分录回款!$L:$L,0)),"")</f>
        <v/>
      </c>
      <c r="H2936" s="23"/>
      <c r="I2936" s="70"/>
      <c r="L2936" s="71" t="n">
        <f aca="false">IF(助手回款!$R$197="",-1,助手回款!$R$197*100+(助手回款!$S$197-1)*6+6)</f>
        <v>-1</v>
      </c>
    </row>
    <row r="2937" customFormat="false" ht="23.25" hidden="false" customHeight="true" outlineLevel="0" collapsed="false">
      <c r="B2937" s="72" t="str">
        <f aca="false">IF(助手回款!$T$197=1,"合计：","")</f>
        <v/>
      </c>
      <c r="C2937" s="73" t="str">
        <f aca="false">IF(助手回款!$T$197=1,$F2937,"")</f>
        <v/>
      </c>
      <c r="D2937" s="74"/>
      <c r="E2937" s="74"/>
      <c r="F2937" s="75" t="str">
        <f aca="false">IF(助手回款!$T$197=1,INDEX(助手回款!$N$2:$N$66,助手回款!$R$197),"")</f>
        <v/>
      </c>
      <c r="G2937" s="76" t="str">
        <f aca="false">IF(助手回款!$T$197=1,INDEX(助手回款!$O$2:$O$66,助手回款!$R$197),"")</f>
        <v/>
      </c>
      <c r="H2937" s="74"/>
      <c r="I2937" s="77"/>
    </row>
    <row r="2938" customFormat="false" ht="6" hidden="false" customHeight="true" outlineLevel="0" collapsed="false"/>
    <row r="2939" customFormat="false" ht="13.5" hidden="false" customHeight="false" outlineLevel="0" collapsed="false">
      <c r="B2939" s="78" t="str">
        <f aca="false">IF(助手回款!$R$197&lt;&gt;"","会计主管：","")</f>
        <v/>
      </c>
      <c r="D2939" s="78" t="str">
        <f aca="false">IF(助手回款!$R$197&lt;&gt;"","会计：","")</f>
        <v/>
      </c>
      <c r="E2939" s="78" t="str">
        <f aca="false">IF(助手回款!$R$197&lt;&gt;"","出纳：","")</f>
        <v/>
      </c>
      <c r="F2939" s="78" t="str">
        <f aca="false">IF(助手回款!$R$197&lt;&gt;"","复核：","")</f>
        <v/>
      </c>
      <c r="G2939" s="78" t="str">
        <f aca="false">IF(助手回款!$R$197&lt;&gt;"","制单：","")</f>
        <v/>
      </c>
    </row>
    <row r="2940" customFormat="false" ht="3" hidden="false" customHeight="true" outlineLevel="0" collapsed="false"/>
    <row r="2941" customFormat="false" ht="19.5" hidden="false" customHeight="true" outlineLevel="0" collapsed="false">
      <c r="B2941" s="53" t="str">
        <f aca="false">IF(助手回款!$R$198&lt;&gt;"","记  账  凭  证","")</f>
        <v/>
      </c>
      <c r="C2941" s="53"/>
      <c r="D2941" s="53"/>
      <c r="E2941" s="53"/>
      <c r="F2941" s="53"/>
      <c r="G2941" s="53"/>
      <c r="H2941" s="53"/>
      <c r="I2941" s="53"/>
    </row>
    <row r="2942" customFormat="false" ht="3" hidden="false" customHeight="true" outlineLevel="0" collapsed="false"/>
    <row r="2943" customFormat="false" ht="15" hidden="false" customHeight="true" outlineLevel="0" collapsed="false">
      <c r="C2943" s="56" t="str">
        <f aca="false">IF(助手回款!$R$198&lt;&gt;"",INDEX(助手回款!$B$2:$B$66,助手回款!$R$198),"")</f>
        <v/>
      </c>
      <c r="D2943" s="57" t="str">
        <f aca="false">IF(助手回款!$R$198&lt;&gt;"",参数!$B$2,"")</f>
        <v/>
      </c>
      <c r="E2943" s="57"/>
      <c r="F2943" s="58" t="str">
        <f aca="false">IF(助手回款!$R$198&lt;&gt;"",INDEX(助手回款!$C$2:$C$66,助手回款!$R$198)&amp;"  字第 "&amp;IF(参数!$B$9="是",INDEX(助手回款!$P$2:$P$66,助手回款!$R$198),"　　　　")&amp;" 号"&amp;IF(INDEX(助手回款!$L$2:$L$66,助手回款!$R$198)&gt;1,"  (共"&amp;INDEX(助手回款!$L$2:$L$66,助手回款!$R$198)&amp;"页 第"&amp;助手回款!$S$198&amp;"页)",""),"")</f>
        <v/>
      </c>
      <c r="G2943" s="58"/>
      <c r="H2943" s="58"/>
      <c r="I2943" s="58"/>
      <c r="M2943" s="79" t="str">
        <f aca="false">IF(助手回款!$R$198="","",助手回款!$Q$198)</f>
        <v/>
      </c>
      <c r="N2943" s="80" t="str">
        <f aca="false">IF(助手回款!$R$198="","",INDEX(助手回款!$P$2:$P$66,助手回款!$R$198))</f>
        <v/>
      </c>
      <c r="O2943" s="55" t="str">
        <f aca="false">IF(助手回款!$R$198="","",INDEX(助手回款!$C$2:$C$66,助手回款!$R$198)&amp;"  字第 "&amp;INDEX(助手回款!$P$2:$P$66,助手回款!$R$198)&amp;" 号"&amp;IF(INDEX(助手回款!$L$2:$L$66,助手回款!$R$198)&gt;1,"  (共"&amp;INDEX(助手回款!$L$2:$L$66,助手回款!$R$198)&amp;"页 第"&amp;助手回款!$S$198&amp;"页)",""))</f>
        <v/>
      </c>
    </row>
    <row r="2944" customFormat="false" ht="12.75" hidden="false" customHeight="true" outlineLevel="0" collapsed="false">
      <c r="B2944" s="61" t="str">
        <f aca="false">IF(助手回款!$R$198&lt;&gt;"","摘　　要","")</f>
        <v/>
      </c>
      <c r="C2944" s="61"/>
      <c r="D2944" s="62" t="str">
        <f aca="false">IF(助手回款!$R$198&lt;&gt;"","科　　　　目","")</f>
        <v/>
      </c>
      <c r="E2944" s="62"/>
      <c r="F2944" s="61" t="str">
        <f aca="false">IF(助手回款!$R$198&lt;&gt;"","借 方 金 额","")</f>
        <v/>
      </c>
      <c r="G2944" s="62" t="str">
        <f aca="false">IF(助手回款!$R$198&lt;&gt;"","贷 方 金 额","")</f>
        <v/>
      </c>
      <c r="H2944" s="63" t="str">
        <f aca="false">IF(助手回款!$R$198&lt;&gt;"","√","")</f>
        <v/>
      </c>
      <c r="I2944" s="64" t="str">
        <f aca="false">IF(助手回款!$R$198&lt;&gt;"","附单据  张","")</f>
        <v/>
      </c>
    </row>
    <row r="2945" customFormat="false" ht="12.75" hidden="false" customHeight="true" outlineLevel="0" collapsed="false">
      <c r="B2945" s="61"/>
      <c r="C2945" s="61"/>
      <c r="D2945" s="23" t="str">
        <f aca="false">IF(助手回款!$R$198&lt;&gt;"","总 账 科 目","")</f>
        <v/>
      </c>
      <c r="E2945" s="23" t="str">
        <f aca="false">IF(助手回款!$R$198&lt;&gt;"","明 细 科 目","")</f>
        <v/>
      </c>
      <c r="F2945" s="65"/>
      <c r="G2945" s="66"/>
      <c r="H2945" s="63"/>
      <c r="I2945" s="64"/>
    </row>
    <row r="2946" customFormat="false" ht="23.25" hidden="false" customHeight="true" outlineLevel="0" collapsed="false">
      <c r="B2946" s="67" t="str">
        <f aca="false">IFERROR(INDEX(分录回款!$M:$M,MATCH($L2946,分录回款!$L:$L,0)),"")</f>
        <v/>
      </c>
      <c r="C2946" s="67"/>
      <c r="D2946" s="23" t="str">
        <f aca="false">IFERROR(INDEX(分录回款!$E:$E,MATCH($L2946,分录回款!$L:$L,0)),"")</f>
        <v/>
      </c>
      <c r="E2946" s="23" t="str">
        <f aca="false">IFERROR(INDEX(分录回款!$F:$F,MATCH($L2946,分录回款!$L:$L,0)),"")</f>
        <v/>
      </c>
      <c r="F2946" s="68" t="str">
        <f aca="false">IFERROR(INDEX(分录回款!$H:$H,MATCH($L2946,分录回款!$L:$L,0)),"")</f>
        <v/>
      </c>
      <c r="G2946" s="69" t="str">
        <f aca="false">IFERROR(INDEX(分录回款!$I:$I,MATCH($L2946,分录回款!$L:$L,0)),"")</f>
        <v/>
      </c>
      <c r="H2946" s="23"/>
      <c r="I2946" s="70"/>
      <c r="L2946" s="71" t="n">
        <f aca="false">IF(助手回款!$R$198="",-1,助手回款!$R$198*100+(助手回款!$S$198-1)*6+1)</f>
        <v>-1</v>
      </c>
    </row>
    <row r="2947" customFormat="false" ht="23.25" hidden="false" customHeight="true" outlineLevel="0" collapsed="false">
      <c r="B2947" s="67" t="str">
        <f aca="false">""</f>
        <v/>
      </c>
      <c r="C2947" s="67"/>
      <c r="D2947" s="23" t="str">
        <f aca="false">IFERROR(INDEX(分录回款!$E:$E,MATCH($L2947,分录回款!$L:$L,0)),"")</f>
        <v/>
      </c>
      <c r="E2947" s="23" t="str">
        <f aca="false">IFERROR(INDEX(分录回款!$F:$F,MATCH($L2947,分录回款!$L:$L,0)),"")</f>
        <v/>
      </c>
      <c r="F2947" s="68" t="str">
        <f aca="false">IFERROR(INDEX(分录回款!$H:$H,MATCH($L2947,分录回款!$L:$L,0)),"")</f>
        <v/>
      </c>
      <c r="G2947" s="69" t="str">
        <f aca="false">IFERROR(INDEX(分录回款!$I:$I,MATCH($L2947,分录回款!$L:$L,0)),"")</f>
        <v/>
      </c>
      <c r="H2947" s="23"/>
      <c r="I2947" s="70"/>
      <c r="L2947" s="71" t="n">
        <f aca="false">IF(助手回款!$R$198="",-1,助手回款!$R$198*100+(助手回款!$S$198-1)*6+2)</f>
        <v>-1</v>
      </c>
    </row>
    <row r="2948" customFormat="false" ht="23.25" hidden="false" customHeight="true" outlineLevel="0" collapsed="false">
      <c r="B2948" s="67" t="str">
        <f aca="false">""</f>
        <v/>
      </c>
      <c r="C2948" s="67"/>
      <c r="D2948" s="23" t="str">
        <f aca="false">IFERROR(INDEX(分录回款!$E:$E,MATCH($L2948,分录回款!$L:$L,0)),"")</f>
        <v/>
      </c>
      <c r="E2948" s="23" t="str">
        <f aca="false">IFERROR(INDEX(分录回款!$F:$F,MATCH($L2948,分录回款!$L:$L,0)),"")</f>
        <v/>
      </c>
      <c r="F2948" s="68" t="str">
        <f aca="false">IFERROR(INDEX(分录回款!$H:$H,MATCH($L2948,分录回款!$L:$L,0)),"")</f>
        <v/>
      </c>
      <c r="G2948" s="69" t="str">
        <f aca="false">IFERROR(INDEX(分录回款!$I:$I,MATCH($L2948,分录回款!$L:$L,0)),"")</f>
        <v/>
      </c>
      <c r="H2948" s="23"/>
      <c r="I2948" s="70"/>
      <c r="L2948" s="71" t="n">
        <f aca="false">IF(助手回款!$R$198="",-1,助手回款!$R$198*100+(助手回款!$S$198-1)*6+3)</f>
        <v>-1</v>
      </c>
    </row>
    <row r="2949" customFormat="false" ht="23.25" hidden="false" customHeight="true" outlineLevel="0" collapsed="false">
      <c r="B2949" s="67" t="str">
        <f aca="false">""</f>
        <v/>
      </c>
      <c r="C2949" s="67"/>
      <c r="D2949" s="23" t="str">
        <f aca="false">IFERROR(INDEX(分录回款!$E:$E,MATCH($L2949,分录回款!$L:$L,0)),"")</f>
        <v/>
      </c>
      <c r="E2949" s="23" t="str">
        <f aca="false">IFERROR(INDEX(分录回款!$F:$F,MATCH($L2949,分录回款!$L:$L,0)),"")</f>
        <v/>
      </c>
      <c r="F2949" s="68" t="str">
        <f aca="false">IFERROR(INDEX(分录回款!$H:$H,MATCH($L2949,分录回款!$L:$L,0)),"")</f>
        <v/>
      </c>
      <c r="G2949" s="69" t="str">
        <f aca="false">IFERROR(INDEX(分录回款!$I:$I,MATCH($L2949,分录回款!$L:$L,0)),"")</f>
        <v/>
      </c>
      <c r="H2949" s="23"/>
      <c r="I2949" s="70"/>
      <c r="L2949" s="71" t="n">
        <f aca="false">IF(助手回款!$R$198="",-1,助手回款!$R$198*100+(助手回款!$S$198-1)*6+4)</f>
        <v>-1</v>
      </c>
    </row>
    <row r="2950" customFormat="false" ht="23.25" hidden="false" customHeight="true" outlineLevel="0" collapsed="false">
      <c r="B2950" s="67" t="str">
        <f aca="false">""</f>
        <v/>
      </c>
      <c r="C2950" s="67"/>
      <c r="D2950" s="23" t="str">
        <f aca="false">IFERROR(INDEX(分录回款!$E:$E,MATCH($L2950,分录回款!$L:$L,0)),"")</f>
        <v/>
      </c>
      <c r="E2950" s="23" t="str">
        <f aca="false">IFERROR(INDEX(分录回款!$F:$F,MATCH($L2950,分录回款!$L:$L,0)),"")</f>
        <v/>
      </c>
      <c r="F2950" s="68" t="str">
        <f aca="false">IFERROR(INDEX(分录回款!$H:$H,MATCH($L2950,分录回款!$L:$L,0)),"")</f>
        <v/>
      </c>
      <c r="G2950" s="69" t="str">
        <f aca="false">IFERROR(INDEX(分录回款!$I:$I,MATCH($L2950,分录回款!$L:$L,0)),"")</f>
        <v/>
      </c>
      <c r="H2950" s="23"/>
      <c r="I2950" s="70"/>
      <c r="L2950" s="71" t="n">
        <f aca="false">IF(助手回款!$R$198="",-1,助手回款!$R$198*100+(助手回款!$S$198-1)*6+5)</f>
        <v>-1</v>
      </c>
    </row>
    <row r="2951" customFormat="false" ht="23.25" hidden="false" customHeight="true" outlineLevel="0" collapsed="false">
      <c r="B2951" s="67" t="str">
        <f aca="false">""</f>
        <v/>
      </c>
      <c r="C2951" s="67"/>
      <c r="D2951" s="23" t="str">
        <f aca="false">IFERROR(INDEX(分录回款!$E:$E,MATCH($L2951,分录回款!$L:$L,0)),"")</f>
        <v/>
      </c>
      <c r="E2951" s="23" t="str">
        <f aca="false">IFERROR(INDEX(分录回款!$F:$F,MATCH($L2951,分录回款!$L:$L,0)),"")</f>
        <v/>
      </c>
      <c r="F2951" s="68" t="str">
        <f aca="false">IFERROR(INDEX(分录回款!$H:$H,MATCH($L2951,分录回款!$L:$L,0)),"")</f>
        <v/>
      </c>
      <c r="G2951" s="69" t="str">
        <f aca="false">IFERROR(INDEX(分录回款!$I:$I,MATCH($L2951,分录回款!$L:$L,0)),"")</f>
        <v/>
      </c>
      <c r="H2951" s="23"/>
      <c r="I2951" s="70"/>
      <c r="L2951" s="71" t="n">
        <f aca="false">IF(助手回款!$R$198="",-1,助手回款!$R$198*100+(助手回款!$S$198-1)*6+6)</f>
        <v>-1</v>
      </c>
    </row>
    <row r="2952" customFormat="false" ht="23.25" hidden="false" customHeight="true" outlineLevel="0" collapsed="false">
      <c r="B2952" s="72" t="str">
        <f aca="false">IF(助手回款!$T$198=1,"合计：","")</f>
        <v/>
      </c>
      <c r="C2952" s="73" t="str">
        <f aca="false">IF(助手回款!$T$198=1,$F2952,"")</f>
        <v/>
      </c>
      <c r="D2952" s="74"/>
      <c r="E2952" s="74"/>
      <c r="F2952" s="75" t="str">
        <f aca="false">IF(助手回款!$T$198=1,INDEX(助手回款!$N$2:$N$66,助手回款!$R$198),"")</f>
        <v/>
      </c>
      <c r="G2952" s="76" t="str">
        <f aca="false">IF(助手回款!$T$198=1,INDEX(助手回款!$O$2:$O$66,助手回款!$R$198),"")</f>
        <v/>
      </c>
      <c r="H2952" s="74"/>
      <c r="I2952" s="77"/>
    </row>
    <row r="2953" customFormat="false" ht="6" hidden="false" customHeight="true" outlineLevel="0" collapsed="false"/>
    <row r="2954" customFormat="false" ht="13.5" hidden="false" customHeight="false" outlineLevel="0" collapsed="false">
      <c r="B2954" s="78" t="str">
        <f aca="false">IF(助手回款!$R$198&lt;&gt;"","会计主管：","")</f>
        <v/>
      </c>
      <c r="D2954" s="78" t="str">
        <f aca="false">IF(助手回款!$R$198&lt;&gt;"","会计：","")</f>
        <v/>
      </c>
      <c r="E2954" s="78" t="str">
        <f aca="false">IF(助手回款!$R$198&lt;&gt;"","出纳：","")</f>
        <v/>
      </c>
      <c r="F2954" s="78" t="str">
        <f aca="false">IF(助手回款!$R$198&lt;&gt;"","复核：","")</f>
        <v/>
      </c>
      <c r="G2954" s="78" t="str">
        <f aca="false">IF(助手回款!$R$198&lt;&gt;"","制单：","")</f>
        <v/>
      </c>
    </row>
    <row r="2955" customFormat="false" ht="3" hidden="false" customHeight="true" outlineLevel="0" collapsed="false"/>
    <row r="2956" customFormat="false" ht="19.5" hidden="false" customHeight="true" outlineLevel="0" collapsed="false">
      <c r="B2956" s="53" t="str">
        <f aca="false">IF(助手回款!$R$199&lt;&gt;"","记  账  凭  证","")</f>
        <v/>
      </c>
      <c r="C2956" s="53"/>
      <c r="D2956" s="53"/>
      <c r="E2956" s="53"/>
      <c r="F2956" s="53"/>
      <c r="G2956" s="53"/>
      <c r="H2956" s="53"/>
      <c r="I2956" s="53"/>
    </row>
    <row r="2957" customFormat="false" ht="3" hidden="false" customHeight="true" outlineLevel="0" collapsed="false"/>
    <row r="2958" customFormat="false" ht="15" hidden="false" customHeight="true" outlineLevel="0" collapsed="false">
      <c r="C2958" s="56" t="str">
        <f aca="false">IF(助手回款!$R$199&lt;&gt;"",INDEX(助手回款!$B$2:$B$66,助手回款!$R$199),"")</f>
        <v/>
      </c>
      <c r="D2958" s="57" t="str">
        <f aca="false">IF(助手回款!$R$199&lt;&gt;"",参数!$B$2,"")</f>
        <v/>
      </c>
      <c r="E2958" s="57"/>
      <c r="F2958" s="58" t="str">
        <f aca="false">IF(助手回款!$R$199&lt;&gt;"",INDEX(助手回款!$C$2:$C$66,助手回款!$R$199)&amp;"  字第 "&amp;IF(参数!$B$9="是",INDEX(助手回款!$P$2:$P$66,助手回款!$R$199),"　　　　")&amp;" 号"&amp;IF(INDEX(助手回款!$L$2:$L$66,助手回款!$R$199)&gt;1,"  (共"&amp;INDEX(助手回款!$L$2:$L$66,助手回款!$R$199)&amp;"页 第"&amp;助手回款!$S$199&amp;"页)",""),"")</f>
        <v/>
      </c>
      <c r="G2958" s="58"/>
      <c r="H2958" s="58"/>
      <c r="I2958" s="58"/>
      <c r="M2958" s="79" t="str">
        <f aca="false">IF(助手回款!$R$199="","",助手回款!$Q$199)</f>
        <v/>
      </c>
      <c r="N2958" s="80" t="str">
        <f aca="false">IF(助手回款!$R$199="","",INDEX(助手回款!$P$2:$P$66,助手回款!$R$199))</f>
        <v/>
      </c>
      <c r="O2958" s="55" t="str">
        <f aca="false">IF(助手回款!$R$199="","",INDEX(助手回款!$C$2:$C$66,助手回款!$R$199)&amp;"  字第 "&amp;INDEX(助手回款!$P$2:$P$66,助手回款!$R$199)&amp;" 号"&amp;IF(INDEX(助手回款!$L$2:$L$66,助手回款!$R$199)&gt;1,"  (共"&amp;INDEX(助手回款!$L$2:$L$66,助手回款!$R$199)&amp;"页 第"&amp;助手回款!$S$199&amp;"页)",""))</f>
        <v/>
      </c>
    </row>
    <row r="2959" customFormat="false" ht="12.75" hidden="false" customHeight="true" outlineLevel="0" collapsed="false">
      <c r="B2959" s="61" t="str">
        <f aca="false">IF(助手回款!$R$199&lt;&gt;"","摘　　要","")</f>
        <v/>
      </c>
      <c r="C2959" s="61"/>
      <c r="D2959" s="62" t="str">
        <f aca="false">IF(助手回款!$R$199&lt;&gt;"","科　　　　目","")</f>
        <v/>
      </c>
      <c r="E2959" s="62"/>
      <c r="F2959" s="61" t="str">
        <f aca="false">IF(助手回款!$R$199&lt;&gt;"","借 方 金 额","")</f>
        <v/>
      </c>
      <c r="G2959" s="62" t="str">
        <f aca="false">IF(助手回款!$R$199&lt;&gt;"","贷 方 金 额","")</f>
        <v/>
      </c>
      <c r="H2959" s="63" t="str">
        <f aca="false">IF(助手回款!$R$199&lt;&gt;"","√","")</f>
        <v/>
      </c>
      <c r="I2959" s="64" t="str">
        <f aca="false">IF(助手回款!$R$199&lt;&gt;"","附单据  张","")</f>
        <v/>
      </c>
    </row>
    <row r="2960" customFormat="false" ht="12.75" hidden="false" customHeight="true" outlineLevel="0" collapsed="false">
      <c r="B2960" s="61"/>
      <c r="C2960" s="61"/>
      <c r="D2960" s="23" t="str">
        <f aca="false">IF(助手回款!$R$199&lt;&gt;"","总 账 科 目","")</f>
        <v/>
      </c>
      <c r="E2960" s="23" t="str">
        <f aca="false">IF(助手回款!$R$199&lt;&gt;"","明 细 科 目","")</f>
        <v/>
      </c>
      <c r="F2960" s="65"/>
      <c r="G2960" s="66"/>
      <c r="H2960" s="63"/>
      <c r="I2960" s="64"/>
    </row>
    <row r="2961" customFormat="false" ht="23.25" hidden="false" customHeight="true" outlineLevel="0" collapsed="false">
      <c r="B2961" s="67" t="str">
        <f aca="false">IFERROR(INDEX(分录回款!$M:$M,MATCH($L2961,分录回款!$L:$L,0)),"")</f>
        <v/>
      </c>
      <c r="C2961" s="67"/>
      <c r="D2961" s="23" t="str">
        <f aca="false">IFERROR(INDEX(分录回款!$E:$E,MATCH($L2961,分录回款!$L:$L,0)),"")</f>
        <v/>
      </c>
      <c r="E2961" s="23" t="str">
        <f aca="false">IFERROR(INDEX(分录回款!$F:$F,MATCH($L2961,分录回款!$L:$L,0)),"")</f>
        <v/>
      </c>
      <c r="F2961" s="68" t="str">
        <f aca="false">IFERROR(INDEX(分录回款!$H:$H,MATCH($L2961,分录回款!$L:$L,0)),"")</f>
        <v/>
      </c>
      <c r="G2961" s="69" t="str">
        <f aca="false">IFERROR(INDEX(分录回款!$I:$I,MATCH($L2961,分录回款!$L:$L,0)),"")</f>
        <v/>
      </c>
      <c r="H2961" s="23"/>
      <c r="I2961" s="70"/>
      <c r="L2961" s="71" t="n">
        <f aca="false">IF(助手回款!$R$199="",-1,助手回款!$R$199*100+(助手回款!$S$199-1)*6+1)</f>
        <v>-1</v>
      </c>
    </row>
    <row r="2962" customFormat="false" ht="23.25" hidden="false" customHeight="true" outlineLevel="0" collapsed="false">
      <c r="B2962" s="67" t="str">
        <f aca="false">""</f>
        <v/>
      </c>
      <c r="C2962" s="67"/>
      <c r="D2962" s="23" t="str">
        <f aca="false">IFERROR(INDEX(分录回款!$E:$E,MATCH($L2962,分录回款!$L:$L,0)),"")</f>
        <v/>
      </c>
      <c r="E2962" s="23" t="str">
        <f aca="false">IFERROR(INDEX(分录回款!$F:$F,MATCH($L2962,分录回款!$L:$L,0)),"")</f>
        <v/>
      </c>
      <c r="F2962" s="68" t="str">
        <f aca="false">IFERROR(INDEX(分录回款!$H:$H,MATCH($L2962,分录回款!$L:$L,0)),"")</f>
        <v/>
      </c>
      <c r="G2962" s="69" t="str">
        <f aca="false">IFERROR(INDEX(分录回款!$I:$I,MATCH($L2962,分录回款!$L:$L,0)),"")</f>
        <v/>
      </c>
      <c r="H2962" s="23"/>
      <c r="I2962" s="70"/>
      <c r="L2962" s="71" t="n">
        <f aca="false">IF(助手回款!$R$199="",-1,助手回款!$R$199*100+(助手回款!$S$199-1)*6+2)</f>
        <v>-1</v>
      </c>
    </row>
    <row r="2963" customFormat="false" ht="23.25" hidden="false" customHeight="true" outlineLevel="0" collapsed="false">
      <c r="B2963" s="67" t="str">
        <f aca="false">""</f>
        <v/>
      </c>
      <c r="C2963" s="67"/>
      <c r="D2963" s="23" t="str">
        <f aca="false">IFERROR(INDEX(分录回款!$E:$E,MATCH($L2963,分录回款!$L:$L,0)),"")</f>
        <v/>
      </c>
      <c r="E2963" s="23" t="str">
        <f aca="false">IFERROR(INDEX(分录回款!$F:$F,MATCH($L2963,分录回款!$L:$L,0)),"")</f>
        <v/>
      </c>
      <c r="F2963" s="68" t="str">
        <f aca="false">IFERROR(INDEX(分录回款!$H:$H,MATCH($L2963,分录回款!$L:$L,0)),"")</f>
        <v/>
      </c>
      <c r="G2963" s="69" t="str">
        <f aca="false">IFERROR(INDEX(分录回款!$I:$I,MATCH($L2963,分录回款!$L:$L,0)),"")</f>
        <v/>
      </c>
      <c r="H2963" s="23"/>
      <c r="I2963" s="70"/>
      <c r="L2963" s="71" t="n">
        <f aca="false">IF(助手回款!$R$199="",-1,助手回款!$R$199*100+(助手回款!$S$199-1)*6+3)</f>
        <v>-1</v>
      </c>
    </row>
    <row r="2964" customFormat="false" ht="23.25" hidden="false" customHeight="true" outlineLevel="0" collapsed="false">
      <c r="B2964" s="67" t="str">
        <f aca="false">""</f>
        <v/>
      </c>
      <c r="C2964" s="67"/>
      <c r="D2964" s="23" t="str">
        <f aca="false">IFERROR(INDEX(分录回款!$E:$E,MATCH($L2964,分录回款!$L:$L,0)),"")</f>
        <v/>
      </c>
      <c r="E2964" s="23" t="str">
        <f aca="false">IFERROR(INDEX(分录回款!$F:$F,MATCH($L2964,分录回款!$L:$L,0)),"")</f>
        <v/>
      </c>
      <c r="F2964" s="68" t="str">
        <f aca="false">IFERROR(INDEX(分录回款!$H:$H,MATCH($L2964,分录回款!$L:$L,0)),"")</f>
        <v/>
      </c>
      <c r="G2964" s="69" t="str">
        <f aca="false">IFERROR(INDEX(分录回款!$I:$I,MATCH($L2964,分录回款!$L:$L,0)),"")</f>
        <v/>
      </c>
      <c r="H2964" s="23"/>
      <c r="I2964" s="70"/>
      <c r="L2964" s="71" t="n">
        <f aca="false">IF(助手回款!$R$199="",-1,助手回款!$R$199*100+(助手回款!$S$199-1)*6+4)</f>
        <v>-1</v>
      </c>
    </row>
    <row r="2965" customFormat="false" ht="23.25" hidden="false" customHeight="true" outlineLevel="0" collapsed="false">
      <c r="B2965" s="67" t="str">
        <f aca="false">""</f>
        <v/>
      </c>
      <c r="C2965" s="67"/>
      <c r="D2965" s="23" t="str">
        <f aca="false">IFERROR(INDEX(分录回款!$E:$E,MATCH($L2965,分录回款!$L:$L,0)),"")</f>
        <v/>
      </c>
      <c r="E2965" s="23" t="str">
        <f aca="false">IFERROR(INDEX(分录回款!$F:$F,MATCH($L2965,分录回款!$L:$L,0)),"")</f>
        <v/>
      </c>
      <c r="F2965" s="68" t="str">
        <f aca="false">IFERROR(INDEX(分录回款!$H:$H,MATCH($L2965,分录回款!$L:$L,0)),"")</f>
        <v/>
      </c>
      <c r="G2965" s="69" t="str">
        <f aca="false">IFERROR(INDEX(分录回款!$I:$I,MATCH($L2965,分录回款!$L:$L,0)),"")</f>
        <v/>
      </c>
      <c r="H2965" s="23"/>
      <c r="I2965" s="70"/>
      <c r="L2965" s="71" t="n">
        <f aca="false">IF(助手回款!$R$199="",-1,助手回款!$R$199*100+(助手回款!$S$199-1)*6+5)</f>
        <v>-1</v>
      </c>
    </row>
    <row r="2966" customFormat="false" ht="23.25" hidden="false" customHeight="true" outlineLevel="0" collapsed="false">
      <c r="B2966" s="67" t="str">
        <f aca="false">""</f>
        <v/>
      </c>
      <c r="C2966" s="67"/>
      <c r="D2966" s="23" t="str">
        <f aca="false">IFERROR(INDEX(分录回款!$E:$E,MATCH($L2966,分录回款!$L:$L,0)),"")</f>
        <v/>
      </c>
      <c r="E2966" s="23" t="str">
        <f aca="false">IFERROR(INDEX(分录回款!$F:$F,MATCH($L2966,分录回款!$L:$L,0)),"")</f>
        <v/>
      </c>
      <c r="F2966" s="68" t="str">
        <f aca="false">IFERROR(INDEX(分录回款!$H:$H,MATCH($L2966,分录回款!$L:$L,0)),"")</f>
        <v/>
      </c>
      <c r="G2966" s="69" t="str">
        <f aca="false">IFERROR(INDEX(分录回款!$I:$I,MATCH($L2966,分录回款!$L:$L,0)),"")</f>
        <v/>
      </c>
      <c r="H2966" s="23"/>
      <c r="I2966" s="70"/>
      <c r="L2966" s="71" t="n">
        <f aca="false">IF(助手回款!$R$199="",-1,助手回款!$R$199*100+(助手回款!$S$199-1)*6+6)</f>
        <v>-1</v>
      </c>
    </row>
    <row r="2967" customFormat="false" ht="23.25" hidden="false" customHeight="true" outlineLevel="0" collapsed="false">
      <c r="B2967" s="72" t="str">
        <f aca="false">IF(助手回款!$T$199=1,"合计：","")</f>
        <v/>
      </c>
      <c r="C2967" s="73" t="str">
        <f aca="false">IF(助手回款!$T$199=1,$F2967,"")</f>
        <v/>
      </c>
      <c r="D2967" s="74"/>
      <c r="E2967" s="74"/>
      <c r="F2967" s="75" t="str">
        <f aca="false">IF(助手回款!$T$199=1,INDEX(助手回款!$N$2:$N$66,助手回款!$R$199),"")</f>
        <v/>
      </c>
      <c r="G2967" s="76" t="str">
        <f aca="false">IF(助手回款!$T$199=1,INDEX(助手回款!$O$2:$O$66,助手回款!$R$199),"")</f>
        <v/>
      </c>
      <c r="H2967" s="74"/>
      <c r="I2967" s="77"/>
    </row>
    <row r="2968" customFormat="false" ht="6" hidden="false" customHeight="true" outlineLevel="0" collapsed="false"/>
    <row r="2969" customFormat="false" ht="13.5" hidden="false" customHeight="false" outlineLevel="0" collapsed="false">
      <c r="B2969" s="78" t="str">
        <f aca="false">IF(助手回款!$R$199&lt;&gt;"","会计主管：","")</f>
        <v/>
      </c>
      <c r="D2969" s="78" t="str">
        <f aca="false">IF(助手回款!$R$199&lt;&gt;"","会计：","")</f>
        <v/>
      </c>
      <c r="E2969" s="78" t="str">
        <f aca="false">IF(助手回款!$R$199&lt;&gt;"","出纳：","")</f>
        <v/>
      </c>
      <c r="F2969" s="78" t="str">
        <f aca="false">IF(助手回款!$R$199&lt;&gt;"","复核：","")</f>
        <v/>
      </c>
      <c r="G2969" s="78" t="str">
        <f aca="false">IF(助手回款!$R$199&lt;&gt;"","制单：","")</f>
        <v/>
      </c>
    </row>
    <row r="2970" customFormat="false" ht="3" hidden="false" customHeight="true" outlineLevel="0" collapsed="false"/>
    <row r="2971" customFormat="false" ht="19.5" hidden="false" customHeight="true" outlineLevel="0" collapsed="false">
      <c r="B2971" s="53" t="str">
        <f aca="false">IF(助手回款!$R$200&lt;&gt;"","记  账  凭  证","")</f>
        <v/>
      </c>
      <c r="C2971" s="53"/>
      <c r="D2971" s="53"/>
      <c r="E2971" s="53"/>
      <c r="F2971" s="53"/>
      <c r="G2971" s="53"/>
      <c r="H2971" s="53"/>
      <c r="I2971" s="53"/>
    </row>
    <row r="2972" customFormat="false" ht="3" hidden="false" customHeight="true" outlineLevel="0" collapsed="false"/>
    <row r="2973" customFormat="false" ht="15" hidden="false" customHeight="true" outlineLevel="0" collapsed="false">
      <c r="C2973" s="56" t="str">
        <f aca="false">IF(助手回款!$R$200&lt;&gt;"",INDEX(助手回款!$B$2:$B$66,助手回款!$R$200),"")</f>
        <v/>
      </c>
      <c r="D2973" s="57" t="str">
        <f aca="false">IF(助手回款!$R$200&lt;&gt;"",参数!$B$2,"")</f>
        <v/>
      </c>
      <c r="E2973" s="57"/>
      <c r="F2973" s="58" t="str">
        <f aca="false">IF(助手回款!$R$200&lt;&gt;"",INDEX(助手回款!$C$2:$C$66,助手回款!$R$200)&amp;"  字第 "&amp;IF(参数!$B$9="是",INDEX(助手回款!$P$2:$P$66,助手回款!$R$200),"　　　　")&amp;" 号"&amp;IF(INDEX(助手回款!$L$2:$L$66,助手回款!$R$200)&gt;1,"  (共"&amp;INDEX(助手回款!$L$2:$L$66,助手回款!$R$200)&amp;"页 第"&amp;助手回款!$S$200&amp;"页)",""),"")</f>
        <v/>
      </c>
      <c r="G2973" s="58"/>
      <c r="H2973" s="58"/>
      <c r="I2973" s="58"/>
      <c r="M2973" s="79" t="str">
        <f aca="false">IF(助手回款!$R$200="","",助手回款!$Q$200)</f>
        <v/>
      </c>
      <c r="N2973" s="80" t="str">
        <f aca="false">IF(助手回款!$R$200="","",INDEX(助手回款!$P$2:$P$66,助手回款!$R$200))</f>
        <v/>
      </c>
      <c r="O2973" s="55" t="str">
        <f aca="false">IF(助手回款!$R$200="","",INDEX(助手回款!$C$2:$C$66,助手回款!$R$200)&amp;"  字第 "&amp;INDEX(助手回款!$P$2:$P$66,助手回款!$R$200)&amp;" 号"&amp;IF(INDEX(助手回款!$L$2:$L$66,助手回款!$R$200)&gt;1,"  (共"&amp;INDEX(助手回款!$L$2:$L$66,助手回款!$R$200)&amp;"页 第"&amp;助手回款!$S$200&amp;"页)",""))</f>
        <v/>
      </c>
    </row>
    <row r="2974" customFormat="false" ht="12.75" hidden="false" customHeight="true" outlineLevel="0" collapsed="false">
      <c r="B2974" s="61" t="str">
        <f aca="false">IF(助手回款!$R$200&lt;&gt;"","摘　　要","")</f>
        <v/>
      </c>
      <c r="C2974" s="61"/>
      <c r="D2974" s="62" t="str">
        <f aca="false">IF(助手回款!$R$200&lt;&gt;"","科　　　　目","")</f>
        <v/>
      </c>
      <c r="E2974" s="62"/>
      <c r="F2974" s="61" t="str">
        <f aca="false">IF(助手回款!$R$200&lt;&gt;"","借 方 金 额","")</f>
        <v/>
      </c>
      <c r="G2974" s="62" t="str">
        <f aca="false">IF(助手回款!$R$200&lt;&gt;"","贷 方 金 额","")</f>
        <v/>
      </c>
      <c r="H2974" s="63" t="str">
        <f aca="false">IF(助手回款!$R$200&lt;&gt;"","√","")</f>
        <v/>
      </c>
      <c r="I2974" s="64" t="str">
        <f aca="false">IF(助手回款!$R$200&lt;&gt;"","附单据  张","")</f>
        <v/>
      </c>
    </row>
    <row r="2975" customFormat="false" ht="12.75" hidden="false" customHeight="true" outlineLevel="0" collapsed="false">
      <c r="B2975" s="61"/>
      <c r="C2975" s="61"/>
      <c r="D2975" s="23" t="str">
        <f aca="false">IF(助手回款!$R$200&lt;&gt;"","总 账 科 目","")</f>
        <v/>
      </c>
      <c r="E2975" s="23" t="str">
        <f aca="false">IF(助手回款!$R$200&lt;&gt;"","明 细 科 目","")</f>
        <v/>
      </c>
      <c r="F2975" s="65"/>
      <c r="G2975" s="66"/>
      <c r="H2975" s="63"/>
      <c r="I2975" s="64"/>
    </row>
    <row r="2976" customFormat="false" ht="23.25" hidden="false" customHeight="true" outlineLevel="0" collapsed="false">
      <c r="B2976" s="67" t="str">
        <f aca="false">IFERROR(INDEX(分录回款!$M:$M,MATCH($L2976,分录回款!$L:$L,0)),"")</f>
        <v/>
      </c>
      <c r="C2976" s="67"/>
      <c r="D2976" s="23" t="str">
        <f aca="false">IFERROR(INDEX(分录回款!$E:$E,MATCH($L2976,分录回款!$L:$L,0)),"")</f>
        <v/>
      </c>
      <c r="E2976" s="23" t="str">
        <f aca="false">IFERROR(INDEX(分录回款!$F:$F,MATCH($L2976,分录回款!$L:$L,0)),"")</f>
        <v/>
      </c>
      <c r="F2976" s="68" t="str">
        <f aca="false">IFERROR(INDEX(分录回款!$H:$H,MATCH($L2976,分录回款!$L:$L,0)),"")</f>
        <v/>
      </c>
      <c r="G2976" s="69" t="str">
        <f aca="false">IFERROR(INDEX(分录回款!$I:$I,MATCH($L2976,分录回款!$L:$L,0)),"")</f>
        <v/>
      </c>
      <c r="H2976" s="23"/>
      <c r="I2976" s="70"/>
      <c r="L2976" s="71" t="n">
        <f aca="false">IF(助手回款!$R$200="",-1,助手回款!$R$200*100+(助手回款!$S$200-1)*6+1)</f>
        <v>-1</v>
      </c>
    </row>
    <row r="2977" customFormat="false" ht="23.25" hidden="false" customHeight="true" outlineLevel="0" collapsed="false">
      <c r="B2977" s="67" t="str">
        <f aca="false">""</f>
        <v/>
      </c>
      <c r="C2977" s="67"/>
      <c r="D2977" s="23" t="str">
        <f aca="false">IFERROR(INDEX(分录回款!$E:$E,MATCH($L2977,分录回款!$L:$L,0)),"")</f>
        <v/>
      </c>
      <c r="E2977" s="23" t="str">
        <f aca="false">IFERROR(INDEX(分录回款!$F:$F,MATCH($L2977,分录回款!$L:$L,0)),"")</f>
        <v/>
      </c>
      <c r="F2977" s="68" t="str">
        <f aca="false">IFERROR(INDEX(分录回款!$H:$H,MATCH($L2977,分录回款!$L:$L,0)),"")</f>
        <v/>
      </c>
      <c r="G2977" s="69" t="str">
        <f aca="false">IFERROR(INDEX(分录回款!$I:$I,MATCH($L2977,分录回款!$L:$L,0)),"")</f>
        <v/>
      </c>
      <c r="H2977" s="23"/>
      <c r="I2977" s="70"/>
      <c r="L2977" s="71" t="n">
        <f aca="false">IF(助手回款!$R$200="",-1,助手回款!$R$200*100+(助手回款!$S$200-1)*6+2)</f>
        <v>-1</v>
      </c>
    </row>
    <row r="2978" customFormat="false" ht="23.25" hidden="false" customHeight="true" outlineLevel="0" collapsed="false">
      <c r="B2978" s="67" t="str">
        <f aca="false">""</f>
        <v/>
      </c>
      <c r="C2978" s="67"/>
      <c r="D2978" s="23" t="str">
        <f aca="false">IFERROR(INDEX(分录回款!$E:$E,MATCH($L2978,分录回款!$L:$L,0)),"")</f>
        <v/>
      </c>
      <c r="E2978" s="23" t="str">
        <f aca="false">IFERROR(INDEX(分录回款!$F:$F,MATCH($L2978,分录回款!$L:$L,0)),"")</f>
        <v/>
      </c>
      <c r="F2978" s="68" t="str">
        <f aca="false">IFERROR(INDEX(分录回款!$H:$H,MATCH($L2978,分录回款!$L:$L,0)),"")</f>
        <v/>
      </c>
      <c r="G2978" s="69" t="str">
        <f aca="false">IFERROR(INDEX(分录回款!$I:$I,MATCH($L2978,分录回款!$L:$L,0)),"")</f>
        <v/>
      </c>
      <c r="H2978" s="23"/>
      <c r="I2978" s="70"/>
      <c r="L2978" s="71" t="n">
        <f aca="false">IF(助手回款!$R$200="",-1,助手回款!$R$200*100+(助手回款!$S$200-1)*6+3)</f>
        <v>-1</v>
      </c>
    </row>
    <row r="2979" customFormat="false" ht="23.25" hidden="false" customHeight="true" outlineLevel="0" collapsed="false">
      <c r="B2979" s="67" t="str">
        <f aca="false">""</f>
        <v/>
      </c>
      <c r="C2979" s="67"/>
      <c r="D2979" s="23" t="str">
        <f aca="false">IFERROR(INDEX(分录回款!$E:$E,MATCH($L2979,分录回款!$L:$L,0)),"")</f>
        <v/>
      </c>
      <c r="E2979" s="23" t="str">
        <f aca="false">IFERROR(INDEX(分录回款!$F:$F,MATCH($L2979,分录回款!$L:$L,0)),"")</f>
        <v/>
      </c>
      <c r="F2979" s="68" t="str">
        <f aca="false">IFERROR(INDEX(分录回款!$H:$H,MATCH($L2979,分录回款!$L:$L,0)),"")</f>
        <v/>
      </c>
      <c r="G2979" s="69" t="str">
        <f aca="false">IFERROR(INDEX(分录回款!$I:$I,MATCH($L2979,分录回款!$L:$L,0)),"")</f>
        <v/>
      </c>
      <c r="H2979" s="23"/>
      <c r="I2979" s="70"/>
      <c r="L2979" s="71" t="n">
        <f aca="false">IF(助手回款!$R$200="",-1,助手回款!$R$200*100+(助手回款!$S$200-1)*6+4)</f>
        <v>-1</v>
      </c>
    </row>
    <row r="2980" customFormat="false" ht="23.25" hidden="false" customHeight="true" outlineLevel="0" collapsed="false">
      <c r="B2980" s="67" t="str">
        <f aca="false">""</f>
        <v/>
      </c>
      <c r="C2980" s="67"/>
      <c r="D2980" s="23" t="str">
        <f aca="false">IFERROR(INDEX(分录回款!$E:$E,MATCH($L2980,分录回款!$L:$L,0)),"")</f>
        <v/>
      </c>
      <c r="E2980" s="23" t="str">
        <f aca="false">IFERROR(INDEX(分录回款!$F:$F,MATCH($L2980,分录回款!$L:$L,0)),"")</f>
        <v/>
      </c>
      <c r="F2980" s="68" t="str">
        <f aca="false">IFERROR(INDEX(分录回款!$H:$H,MATCH($L2980,分录回款!$L:$L,0)),"")</f>
        <v/>
      </c>
      <c r="G2980" s="69" t="str">
        <f aca="false">IFERROR(INDEX(分录回款!$I:$I,MATCH($L2980,分录回款!$L:$L,0)),"")</f>
        <v/>
      </c>
      <c r="H2980" s="23"/>
      <c r="I2980" s="70"/>
      <c r="L2980" s="71" t="n">
        <f aca="false">IF(助手回款!$R$200="",-1,助手回款!$R$200*100+(助手回款!$S$200-1)*6+5)</f>
        <v>-1</v>
      </c>
    </row>
    <row r="2981" customFormat="false" ht="23.25" hidden="false" customHeight="true" outlineLevel="0" collapsed="false">
      <c r="B2981" s="67" t="str">
        <f aca="false">""</f>
        <v/>
      </c>
      <c r="C2981" s="67"/>
      <c r="D2981" s="23" t="str">
        <f aca="false">IFERROR(INDEX(分录回款!$E:$E,MATCH($L2981,分录回款!$L:$L,0)),"")</f>
        <v/>
      </c>
      <c r="E2981" s="23" t="str">
        <f aca="false">IFERROR(INDEX(分录回款!$F:$F,MATCH($L2981,分录回款!$L:$L,0)),"")</f>
        <v/>
      </c>
      <c r="F2981" s="68" t="str">
        <f aca="false">IFERROR(INDEX(分录回款!$H:$H,MATCH($L2981,分录回款!$L:$L,0)),"")</f>
        <v/>
      </c>
      <c r="G2981" s="69" t="str">
        <f aca="false">IFERROR(INDEX(分录回款!$I:$I,MATCH($L2981,分录回款!$L:$L,0)),"")</f>
        <v/>
      </c>
      <c r="H2981" s="23"/>
      <c r="I2981" s="70"/>
      <c r="L2981" s="71" t="n">
        <f aca="false">IF(助手回款!$R$200="",-1,助手回款!$R$200*100+(助手回款!$S$200-1)*6+6)</f>
        <v>-1</v>
      </c>
    </row>
    <row r="2982" customFormat="false" ht="23.25" hidden="false" customHeight="true" outlineLevel="0" collapsed="false">
      <c r="B2982" s="72" t="str">
        <f aca="false">IF(助手回款!$T$200=1,"合计：","")</f>
        <v/>
      </c>
      <c r="C2982" s="73" t="str">
        <f aca="false">IF(助手回款!$T$200=1,$F2982,"")</f>
        <v/>
      </c>
      <c r="D2982" s="74"/>
      <c r="E2982" s="74"/>
      <c r="F2982" s="75" t="str">
        <f aca="false">IF(助手回款!$T$200=1,INDEX(助手回款!$N$2:$N$66,助手回款!$R$200),"")</f>
        <v/>
      </c>
      <c r="G2982" s="76" t="str">
        <f aca="false">IF(助手回款!$T$200=1,INDEX(助手回款!$O$2:$O$66,助手回款!$R$200),"")</f>
        <v/>
      </c>
      <c r="H2982" s="74"/>
      <c r="I2982" s="77"/>
    </row>
    <row r="2983" customFormat="false" ht="6" hidden="false" customHeight="true" outlineLevel="0" collapsed="false"/>
    <row r="2984" customFormat="false" ht="13.5" hidden="false" customHeight="false" outlineLevel="0" collapsed="false">
      <c r="B2984" s="78" t="str">
        <f aca="false">IF(助手回款!$R$200&lt;&gt;"","会计主管：","")</f>
        <v/>
      </c>
      <c r="D2984" s="78" t="str">
        <f aca="false">IF(助手回款!$R$200&lt;&gt;"","会计：","")</f>
        <v/>
      </c>
      <c r="E2984" s="78" t="str">
        <f aca="false">IF(助手回款!$R$200&lt;&gt;"","出纳：","")</f>
        <v/>
      </c>
      <c r="F2984" s="78" t="str">
        <f aca="false">IF(助手回款!$R$200&lt;&gt;"","复核：","")</f>
        <v/>
      </c>
      <c r="G2984" s="78" t="str">
        <f aca="false">IF(助手回款!$R$200&lt;&gt;"","制单：","")</f>
        <v/>
      </c>
    </row>
    <row r="2985" customFormat="false" ht="3" hidden="false" customHeight="true" outlineLevel="0" collapsed="false"/>
    <row r="2986" customFormat="false" ht="19.5" hidden="false" customHeight="true" outlineLevel="0" collapsed="false">
      <c r="B2986" s="53" t="str">
        <f aca="false">IF(助手回款!$R$201&lt;&gt;"","记  账  凭  证","")</f>
        <v/>
      </c>
      <c r="C2986" s="53"/>
      <c r="D2986" s="53"/>
      <c r="E2986" s="53"/>
      <c r="F2986" s="53"/>
      <c r="G2986" s="53"/>
      <c r="H2986" s="53"/>
      <c r="I2986" s="53"/>
    </row>
    <row r="2987" customFormat="false" ht="3" hidden="false" customHeight="true" outlineLevel="0" collapsed="false"/>
    <row r="2988" customFormat="false" ht="15" hidden="false" customHeight="true" outlineLevel="0" collapsed="false">
      <c r="C2988" s="56" t="str">
        <f aca="false">IF(助手回款!$R$201&lt;&gt;"",INDEX(助手回款!$B$2:$B$66,助手回款!$R$201),"")</f>
        <v/>
      </c>
      <c r="D2988" s="57" t="str">
        <f aca="false">IF(助手回款!$R$201&lt;&gt;"",参数!$B$2,"")</f>
        <v/>
      </c>
      <c r="E2988" s="57"/>
      <c r="F2988" s="58" t="str">
        <f aca="false">IF(助手回款!$R$201&lt;&gt;"",INDEX(助手回款!$C$2:$C$66,助手回款!$R$201)&amp;"  字第 "&amp;IF(参数!$B$9="是",INDEX(助手回款!$P$2:$P$66,助手回款!$R$201),"　　　　")&amp;" 号"&amp;IF(INDEX(助手回款!$L$2:$L$66,助手回款!$R$201)&gt;1,"  (共"&amp;INDEX(助手回款!$L$2:$L$66,助手回款!$R$201)&amp;"页 第"&amp;助手回款!$S$201&amp;"页)",""),"")</f>
        <v/>
      </c>
      <c r="G2988" s="58"/>
      <c r="H2988" s="58"/>
      <c r="I2988" s="58"/>
      <c r="M2988" s="79" t="str">
        <f aca="false">IF(助手回款!$R$201="","",助手回款!$Q$201)</f>
        <v/>
      </c>
      <c r="N2988" s="80" t="str">
        <f aca="false">IF(助手回款!$R$201="","",INDEX(助手回款!$P$2:$P$66,助手回款!$R$201))</f>
        <v/>
      </c>
      <c r="O2988" s="55" t="str">
        <f aca="false">IF(助手回款!$R$201="","",INDEX(助手回款!$C$2:$C$66,助手回款!$R$201)&amp;"  字第 "&amp;INDEX(助手回款!$P$2:$P$66,助手回款!$R$201)&amp;" 号"&amp;IF(INDEX(助手回款!$L$2:$L$66,助手回款!$R$201)&gt;1,"  (共"&amp;INDEX(助手回款!$L$2:$L$66,助手回款!$R$201)&amp;"页 第"&amp;助手回款!$S$201&amp;"页)",""))</f>
        <v/>
      </c>
    </row>
    <row r="2989" customFormat="false" ht="12.75" hidden="false" customHeight="true" outlineLevel="0" collapsed="false">
      <c r="B2989" s="61" t="str">
        <f aca="false">IF(助手回款!$R$201&lt;&gt;"","摘　　要","")</f>
        <v/>
      </c>
      <c r="C2989" s="61"/>
      <c r="D2989" s="62" t="str">
        <f aca="false">IF(助手回款!$R$201&lt;&gt;"","科　　　　目","")</f>
        <v/>
      </c>
      <c r="E2989" s="62"/>
      <c r="F2989" s="61" t="str">
        <f aca="false">IF(助手回款!$R$201&lt;&gt;"","借 方 金 额","")</f>
        <v/>
      </c>
      <c r="G2989" s="62" t="str">
        <f aca="false">IF(助手回款!$R$201&lt;&gt;"","贷 方 金 额","")</f>
        <v/>
      </c>
      <c r="H2989" s="63" t="str">
        <f aca="false">IF(助手回款!$R$201&lt;&gt;"","√","")</f>
        <v/>
      </c>
      <c r="I2989" s="64" t="str">
        <f aca="false">IF(助手回款!$R$201&lt;&gt;"","附单据  张","")</f>
        <v/>
      </c>
    </row>
    <row r="2990" customFormat="false" ht="12.75" hidden="false" customHeight="true" outlineLevel="0" collapsed="false">
      <c r="B2990" s="61"/>
      <c r="C2990" s="61"/>
      <c r="D2990" s="23" t="str">
        <f aca="false">IF(助手回款!$R$201&lt;&gt;"","总 账 科 目","")</f>
        <v/>
      </c>
      <c r="E2990" s="23" t="str">
        <f aca="false">IF(助手回款!$R$201&lt;&gt;"","明 细 科 目","")</f>
        <v/>
      </c>
      <c r="F2990" s="65"/>
      <c r="G2990" s="66"/>
      <c r="H2990" s="63"/>
      <c r="I2990" s="64"/>
    </row>
    <row r="2991" customFormat="false" ht="23.25" hidden="false" customHeight="true" outlineLevel="0" collapsed="false">
      <c r="B2991" s="67" t="str">
        <f aca="false">IFERROR(INDEX(分录回款!$M:$M,MATCH($L2991,分录回款!$L:$L,0)),"")</f>
        <v/>
      </c>
      <c r="C2991" s="67"/>
      <c r="D2991" s="23" t="str">
        <f aca="false">IFERROR(INDEX(分录回款!$E:$E,MATCH($L2991,分录回款!$L:$L,0)),"")</f>
        <v/>
      </c>
      <c r="E2991" s="23" t="str">
        <f aca="false">IFERROR(INDEX(分录回款!$F:$F,MATCH($L2991,分录回款!$L:$L,0)),"")</f>
        <v/>
      </c>
      <c r="F2991" s="68" t="str">
        <f aca="false">IFERROR(INDEX(分录回款!$H:$H,MATCH($L2991,分录回款!$L:$L,0)),"")</f>
        <v/>
      </c>
      <c r="G2991" s="69" t="str">
        <f aca="false">IFERROR(INDEX(分录回款!$I:$I,MATCH($L2991,分录回款!$L:$L,0)),"")</f>
        <v/>
      </c>
      <c r="H2991" s="23"/>
      <c r="I2991" s="70"/>
      <c r="L2991" s="71" t="n">
        <f aca="false">IF(助手回款!$R$201="",-1,助手回款!$R$201*100+(助手回款!$S$201-1)*6+1)</f>
        <v>-1</v>
      </c>
    </row>
    <row r="2992" customFormat="false" ht="23.25" hidden="false" customHeight="true" outlineLevel="0" collapsed="false">
      <c r="B2992" s="67" t="str">
        <f aca="false">""</f>
        <v/>
      </c>
      <c r="C2992" s="67"/>
      <c r="D2992" s="23" t="str">
        <f aca="false">IFERROR(INDEX(分录回款!$E:$E,MATCH($L2992,分录回款!$L:$L,0)),"")</f>
        <v/>
      </c>
      <c r="E2992" s="23" t="str">
        <f aca="false">IFERROR(INDEX(分录回款!$F:$F,MATCH($L2992,分录回款!$L:$L,0)),"")</f>
        <v/>
      </c>
      <c r="F2992" s="68" t="str">
        <f aca="false">IFERROR(INDEX(分录回款!$H:$H,MATCH($L2992,分录回款!$L:$L,0)),"")</f>
        <v/>
      </c>
      <c r="G2992" s="69" t="str">
        <f aca="false">IFERROR(INDEX(分录回款!$I:$I,MATCH($L2992,分录回款!$L:$L,0)),"")</f>
        <v/>
      </c>
      <c r="H2992" s="23"/>
      <c r="I2992" s="70"/>
      <c r="L2992" s="71" t="n">
        <f aca="false">IF(助手回款!$R$201="",-1,助手回款!$R$201*100+(助手回款!$S$201-1)*6+2)</f>
        <v>-1</v>
      </c>
    </row>
    <row r="2993" customFormat="false" ht="23.25" hidden="false" customHeight="true" outlineLevel="0" collapsed="false">
      <c r="B2993" s="67" t="str">
        <f aca="false">""</f>
        <v/>
      </c>
      <c r="C2993" s="67"/>
      <c r="D2993" s="23" t="str">
        <f aca="false">IFERROR(INDEX(分录回款!$E:$E,MATCH($L2993,分录回款!$L:$L,0)),"")</f>
        <v/>
      </c>
      <c r="E2993" s="23" t="str">
        <f aca="false">IFERROR(INDEX(分录回款!$F:$F,MATCH($L2993,分录回款!$L:$L,0)),"")</f>
        <v/>
      </c>
      <c r="F2993" s="68" t="str">
        <f aca="false">IFERROR(INDEX(分录回款!$H:$H,MATCH($L2993,分录回款!$L:$L,0)),"")</f>
        <v/>
      </c>
      <c r="G2993" s="69" t="str">
        <f aca="false">IFERROR(INDEX(分录回款!$I:$I,MATCH($L2993,分录回款!$L:$L,0)),"")</f>
        <v/>
      </c>
      <c r="H2993" s="23"/>
      <c r="I2993" s="70"/>
      <c r="L2993" s="71" t="n">
        <f aca="false">IF(助手回款!$R$201="",-1,助手回款!$R$201*100+(助手回款!$S$201-1)*6+3)</f>
        <v>-1</v>
      </c>
    </row>
    <row r="2994" customFormat="false" ht="23.25" hidden="false" customHeight="true" outlineLevel="0" collapsed="false">
      <c r="B2994" s="67" t="str">
        <f aca="false">""</f>
        <v/>
      </c>
      <c r="C2994" s="67"/>
      <c r="D2994" s="23" t="str">
        <f aca="false">IFERROR(INDEX(分录回款!$E:$E,MATCH($L2994,分录回款!$L:$L,0)),"")</f>
        <v/>
      </c>
      <c r="E2994" s="23" t="str">
        <f aca="false">IFERROR(INDEX(分录回款!$F:$F,MATCH($L2994,分录回款!$L:$L,0)),"")</f>
        <v/>
      </c>
      <c r="F2994" s="68" t="str">
        <f aca="false">IFERROR(INDEX(分录回款!$H:$H,MATCH($L2994,分录回款!$L:$L,0)),"")</f>
        <v/>
      </c>
      <c r="G2994" s="69" t="str">
        <f aca="false">IFERROR(INDEX(分录回款!$I:$I,MATCH($L2994,分录回款!$L:$L,0)),"")</f>
        <v/>
      </c>
      <c r="H2994" s="23"/>
      <c r="I2994" s="70"/>
      <c r="L2994" s="71" t="n">
        <f aca="false">IF(助手回款!$R$201="",-1,助手回款!$R$201*100+(助手回款!$S$201-1)*6+4)</f>
        <v>-1</v>
      </c>
    </row>
    <row r="2995" customFormat="false" ht="23.25" hidden="false" customHeight="true" outlineLevel="0" collapsed="false">
      <c r="B2995" s="67" t="str">
        <f aca="false">""</f>
        <v/>
      </c>
      <c r="C2995" s="67"/>
      <c r="D2995" s="23" t="str">
        <f aca="false">IFERROR(INDEX(分录回款!$E:$E,MATCH($L2995,分录回款!$L:$L,0)),"")</f>
        <v/>
      </c>
      <c r="E2995" s="23" t="str">
        <f aca="false">IFERROR(INDEX(分录回款!$F:$F,MATCH($L2995,分录回款!$L:$L,0)),"")</f>
        <v/>
      </c>
      <c r="F2995" s="68" t="str">
        <f aca="false">IFERROR(INDEX(分录回款!$H:$H,MATCH($L2995,分录回款!$L:$L,0)),"")</f>
        <v/>
      </c>
      <c r="G2995" s="69" t="str">
        <f aca="false">IFERROR(INDEX(分录回款!$I:$I,MATCH($L2995,分录回款!$L:$L,0)),"")</f>
        <v/>
      </c>
      <c r="H2995" s="23"/>
      <c r="I2995" s="70"/>
      <c r="L2995" s="71" t="n">
        <f aca="false">IF(助手回款!$R$201="",-1,助手回款!$R$201*100+(助手回款!$S$201-1)*6+5)</f>
        <v>-1</v>
      </c>
    </row>
    <row r="2996" customFormat="false" ht="23.25" hidden="false" customHeight="true" outlineLevel="0" collapsed="false">
      <c r="B2996" s="67" t="str">
        <f aca="false">""</f>
        <v/>
      </c>
      <c r="C2996" s="67"/>
      <c r="D2996" s="23" t="str">
        <f aca="false">IFERROR(INDEX(分录回款!$E:$E,MATCH($L2996,分录回款!$L:$L,0)),"")</f>
        <v/>
      </c>
      <c r="E2996" s="23" t="str">
        <f aca="false">IFERROR(INDEX(分录回款!$F:$F,MATCH($L2996,分录回款!$L:$L,0)),"")</f>
        <v/>
      </c>
      <c r="F2996" s="68" t="str">
        <f aca="false">IFERROR(INDEX(分录回款!$H:$H,MATCH($L2996,分录回款!$L:$L,0)),"")</f>
        <v/>
      </c>
      <c r="G2996" s="69" t="str">
        <f aca="false">IFERROR(INDEX(分录回款!$I:$I,MATCH($L2996,分录回款!$L:$L,0)),"")</f>
        <v/>
      </c>
      <c r="H2996" s="23"/>
      <c r="I2996" s="70"/>
      <c r="L2996" s="71" t="n">
        <f aca="false">IF(助手回款!$R$201="",-1,助手回款!$R$201*100+(助手回款!$S$201-1)*6+6)</f>
        <v>-1</v>
      </c>
    </row>
    <row r="2997" customFormat="false" ht="23.25" hidden="false" customHeight="true" outlineLevel="0" collapsed="false">
      <c r="B2997" s="72" t="str">
        <f aca="false">IF(助手回款!$T$201=1,"合计：","")</f>
        <v/>
      </c>
      <c r="C2997" s="73" t="str">
        <f aca="false">IF(助手回款!$T$201=1,$F2997,"")</f>
        <v/>
      </c>
      <c r="D2997" s="74"/>
      <c r="E2997" s="74"/>
      <c r="F2997" s="75" t="str">
        <f aca="false">IF(助手回款!$T$201=1,INDEX(助手回款!$N$2:$N$66,助手回款!$R$201),"")</f>
        <v/>
      </c>
      <c r="G2997" s="76" t="str">
        <f aca="false">IF(助手回款!$T$201=1,INDEX(助手回款!$O$2:$O$66,助手回款!$R$201),"")</f>
        <v/>
      </c>
      <c r="H2997" s="74"/>
      <c r="I2997" s="77"/>
    </row>
    <row r="2998" customFormat="false" ht="6" hidden="false" customHeight="true" outlineLevel="0" collapsed="false"/>
    <row r="2999" customFormat="false" ht="13.5" hidden="false" customHeight="false" outlineLevel="0" collapsed="false">
      <c r="B2999" s="78" t="str">
        <f aca="false">IF(助手回款!$R$201&lt;&gt;"","会计主管：","")</f>
        <v/>
      </c>
      <c r="D2999" s="78" t="str">
        <f aca="false">IF(助手回款!$R$201&lt;&gt;"","会计：","")</f>
        <v/>
      </c>
      <c r="E2999" s="78" t="str">
        <f aca="false">IF(助手回款!$R$201&lt;&gt;"","出纳：","")</f>
        <v/>
      </c>
      <c r="F2999" s="78" t="str">
        <f aca="false">IF(助手回款!$R$201&lt;&gt;"","复核：","")</f>
        <v/>
      </c>
      <c r="G2999" s="78" t="str">
        <f aca="false">IF(助手回款!$R$201&lt;&gt;"","制单：","")</f>
        <v/>
      </c>
    </row>
    <row r="3000" customFormat="false" ht="3" hidden="false" customHeight="true" outlineLevel="0" collapsed="false"/>
    <row r="3001" customFormat="false" ht="19.5" hidden="false" customHeight="true" outlineLevel="0" collapsed="false">
      <c r="B3001" s="53" t="str">
        <f aca="false">IF(助手回款!$R$202&lt;&gt;"","记  账  凭  证","")</f>
        <v/>
      </c>
      <c r="C3001" s="53"/>
      <c r="D3001" s="53"/>
      <c r="E3001" s="53"/>
      <c r="F3001" s="53"/>
      <c r="G3001" s="53"/>
      <c r="H3001" s="53"/>
      <c r="I3001" s="53"/>
    </row>
    <row r="3002" customFormat="false" ht="3" hidden="false" customHeight="true" outlineLevel="0" collapsed="false"/>
    <row r="3003" customFormat="false" ht="15" hidden="false" customHeight="true" outlineLevel="0" collapsed="false">
      <c r="C3003" s="56" t="str">
        <f aca="false">IF(助手回款!$R$202&lt;&gt;"",INDEX(助手回款!$B$2:$B$66,助手回款!$R$202),"")</f>
        <v/>
      </c>
      <c r="D3003" s="57" t="str">
        <f aca="false">IF(助手回款!$R$202&lt;&gt;"",参数!$B$2,"")</f>
        <v/>
      </c>
      <c r="E3003" s="57"/>
      <c r="F3003" s="58" t="str">
        <f aca="false">IF(助手回款!$R$202&lt;&gt;"",INDEX(助手回款!$C$2:$C$66,助手回款!$R$202)&amp;"  字第 "&amp;IF(参数!$B$9="是",INDEX(助手回款!$P$2:$P$66,助手回款!$R$202),"　　　　")&amp;" 号"&amp;IF(INDEX(助手回款!$L$2:$L$66,助手回款!$R$202)&gt;1,"  (共"&amp;INDEX(助手回款!$L$2:$L$66,助手回款!$R$202)&amp;"页 第"&amp;助手回款!$S$202&amp;"页)",""),"")</f>
        <v/>
      </c>
      <c r="G3003" s="58"/>
      <c r="H3003" s="58"/>
      <c r="I3003" s="58"/>
      <c r="M3003" s="79" t="str">
        <f aca="false">IF(助手回款!$R$202="","",助手回款!$Q$202)</f>
        <v/>
      </c>
      <c r="N3003" s="80" t="str">
        <f aca="false">IF(助手回款!$R$202="","",INDEX(助手回款!$P$2:$P$66,助手回款!$R$202))</f>
        <v/>
      </c>
      <c r="O3003" s="55" t="str">
        <f aca="false">IF(助手回款!$R$202="","",INDEX(助手回款!$C$2:$C$66,助手回款!$R$202)&amp;"  字第 "&amp;INDEX(助手回款!$P$2:$P$66,助手回款!$R$202)&amp;" 号"&amp;IF(INDEX(助手回款!$L$2:$L$66,助手回款!$R$202)&gt;1,"  (共"&amp;INDEX(助手回款!$L$2:$L$66,助手回款!$R$202)&amp;"页 第"&amp;助手回款!$S$202&amp;"页)",""))</f>
        <v/>
      </c>
    </row>
    <row r="3004" customFormat="false" ht="12.75" hidden="false" customHeight="true" outlineLevel="0" collapsed="false">
      <c r="B3004" s="61" t="str">
        <f aca="false">IF(助手回款!$R$202&lt;&gt;"","摘　　要","")</f>
        <v/>
      </c>
      <c r="C3004" s="61"/>
      <c r="D3004" s="62" t="str">
        <f aca="false">IF(助手回款!$R$202&lt;&gt;"","科　　　　目","")</f>
        <v/>
      </c>
      <c r="E3004" s="62"/>
      <c r="F3004" s="61" t="str">
        <f aca="false">IF(助手回款!$R$202&lt;&gt;"","借 方 金 额","")</f>
        <v/>
      </c>
      <c r="G3004" s="62" t="str">
        <f aca="false">IF(助手回款!$R$202&lt;&gt;"","贷 方 金 额","")</f>
        <v/>
      </c>
      <c r="H3004" s="63" t="str">
        <f aca="false">IF(助手回款!$R$202&lt;&gt;"","√","")</f>
        <v/>
      </c>
      <c r="I3004" s="64" t="str">
        <f aca="false">IF(助手回款!$R$202&lt;&gt;"","附单据  张","")</f>
        <v/>
      </c>
    </row>
    <row r="3005" customFormat="false" ht="12.75" hidden="false" customHeight="true" outlineLevel="0" collapsed="false">
      <c r="B3005" s="61"/>
      <c r="C3005" s="61"/>
      <c r="D3005" s="23" t="str">
        <f aca="false">IF(助手回款!$R$202&lt;&gt;"","总 账 科 目","")</f>
        <v/>
      </c>
      <c r="E3005" s="23" t="str">
        <f aca="false">IF(助手回款!$R$202&lt;&gt;"","明 细 科 目","")</f>
        <v/>
      </c>
      <c r="F3005" s="65"/>
      <c r="G3005" s="66"/>
      <c r="H3005" s="63"/>
      <c r="I3005" s="64"/>
    </row>
    <row r="3006" customFormat="false" ht="23.25" hidden="false" customHeight="true" outlineLevel="0" collapsed="false">
      <c r="B3006" s="67" t="str">
        <f aca="false">IFERROR(INDEX(分录回款!$M:$M,MATCH($L3006,分录回款!$L:$L,0)),"")</f>
        <v/>
      </c>
      <c r="C3006" s="67"/>
      <c r="D3006" s="23" t="str">
        <f aca="false">IFERROR(INDEX(分录回款!$E:$E,MATCH($L3006,分录回款!$L:$L,0)),"")</f>
        <v/>
      </c>
      <c r="E3006" s="23" t="str">
        <f aca="false">IFERROR(INDEX(分录回款!$F:$F,MATCH($L3006,分录回款!$L:$L,0)),"")</f>
        <v/>
      </c>
      <c r="F3006" s="68" t="str">
        <f aca="false">IFERROR(INDEX(分录回款!$H:$H,MATCH($L3006,分录回款!$L:$L,0)),"")</f>
        <v/>
      </c>
      <c r="G3006" s="69" t="str">
        <f aca="false">IFERROR(INDEX(分录回款!$I:$I,MATCH($L3006,分录回款!$L:$L,0)),"")</f>
        <v/>
      </c>
      <c r="H3006" s="23"/>
      <c r="I3006" s="70"/>
      <c r="L3006" s="71" t="n">
        <f aca="false">IF(助手回款!$R$202="",-1,助手回款!$R$202*100+(助手回款!$S$202-1)*6+1)</f>
        <v>-1</v>
      </c>
    </row>
    <row r="3007" customFormat="false" ht="23.25" hidden="false" customHeight="true" outlineLevel="0" collapsed="false">
      <c r="B3007" s="67" t="str">
        <f aca="false">""</f>
        <v/>
      </c>
      <c r="C3007" s="67"/>
      <c r="D3007" s="23" t="str">
        <f aca="false">IFERROR(INDEX(分录回款!$E:$E,MATCH($L3007,分录回款!$L:$L,0)),"")</f>
        <v/>
      </c>
      <c r="E3007" s="23" t="str">
        <f aca="false">IFERROR(INDEX(分录回款!$F:$F,MATCH($L3007,分录回款!$L:$L,0)),"")</f>
        <v/>
      </c>
      <c r="F3007" s="68" t="str">
        <f aca="false">IFERROR(INDEX(分录回款!$H:$H,MATCH($L3007,分录回款!$L:$L,0)),"")</f>
        <v/>
      </c>
      <c r="G3007" s="69" t="str">
        <f aca="false">IFERROR(INDEX(分录回款!$I:$I,MATCH($L3007,分录回款!$L:$L,0)),"")</f>
        <v/>
      </c>
      <c r="H3007" s="23"/>
      <c r="I3007" s="70"/>
      <c r="L3007" s="71" t="n">
        <f aca="false">IF(助手回款!$R$202="",-1,助手回款!$R$202*100+(助手回款!$S$202-1)*6+2)</f>
        <v>-1</v>
      </c>
    </row>
    <row r="3008" customFormat="false" ht="23.25" hidden="false" customHeight="true" outlineLevel="0" collapsed="false">
      <c r="B3008" s="67" t="str">
        <f aca="false">""</f>
        <v/>
      </c>
      <c r="C3008" s="67"/>
      <c r="D3008" s="23" t="str">
        <f aca="false">IFERROR(INDEX(分录回款!$E:$E,MATCH($L3008,分录回款!$L:$L,0)),"")</f>
        <v/>
      </c>
      <c r="E3008" s="23" t="str">
        <f aca="false">IFERROR(INDEX(分录回款!$F:$F,MATCH($L3008,分录回款!$L:$L,0)),"")</f>
        <v/>
      </c>
      <c r="F3008" s="68" t="str">
        <f aca="false">IFERROR(INDEX(分录回款!$H:$H,MATCH($L3008,分录回款!$L:$L,0)),"")</f>
        <v/>
      </c>
      <c r="G3008" s="69" t="str">
        <f aca="false">IFERROR(INDEX(分录回款!$I:$I,MATCH($L3008,分录回款!$L:$L,0)),"")</f>
        <v/>
      </c>
      <c r="H3008" s="23"/>
      <c r="I3008" s="70"/>
      <c r="L3008" s="71" t="n">
        <f aca="false">IF(助手回款!$R$202="",-1,助手回款!$R$202*100+(助手回款!$S$202-1)*6+3)</f>
        <v>-1</v>
      </c>
    </row>
    <row r="3009" customFormat="false" ht="23.25" hidden="false" customHeight="true" outlineLevel="0" collapsed="false">
      <c r="B3009" s="67" t="str">
        <f aca="false">""</f>
        <v/>
      </c>
      <c r="C3009" s="67"/>
      <c r="D3009" s="23" t="str">
        <f aca="false">IFERROR(INDEX(分录回款!$E:$E,MATCH($L3009,分录回款!$L:$L,0)),"")</f>
        <v/>
      </c>
      <c r="E3009" s="23" t="str">
        <f aca="false">IFERROR(INDEX(分录回款!$F:$F,MATCH($L3009,分录回款!$L:$L,0)),"")</f>
        <v/>
      </c>
      <c r="F3009" s="68" t="str">
        <f aca="false">IFERROR(INDEX(分录回款!$H:$H,MATCH($L3009,分录回款!$L:$L,0)),"")</f>
        <v/>
      </c>
      <c r="G3009" s="69" t="str">
        <f aca="false">IFERROR(INDEX(分录回款!$I:$I,MATCH($L3009,分录回款!$L:$L,0)),"")</f>
        <v/>
      </c>
      <c r="H3009" s="23"/>
      <c r="I3009" s="70"/>
      <c r="L3009" s="71" t="n">
        <f aca="false">IF(助手回款!$R$202="",-1,助手回款!$R$202*100+(助手回款!$S$202-1)*6+4)</f>
        <v>-1</v>
      </c>
    </row>
    <row r="3010" customFormat="false" ht="23.25" hidden="false" customHeight="true" outlineLevel="0" collapsed="false">
      <c r="B3010" s="67" t="str">
        <f aca="false">""</f>
        <v/>
      </c>
      <c r="C3010" s="67"/>
      <c r="D3010" s="23" t="str">
        <f aca="false">IFERROR(INDEX(分录回款!$E:$E,MATCH($L3010,分录回款!$L:$L,0)),"")</f>
        <v/>
      </c>
      <c r="E3010" s="23" t="str">
        <f aca="false">IFERROR(INDEX(分录回款!$F:$F,MATCH($L3010,分录回款!$L:$L,0)),"")</f>
        <v/>
      </c>
      <c r="F3010" s="68" t="str">
        <f aca="false">IFERROR(INDEX(分录回款!$H:$H,MATCH($L3010,分录回款!$L:$L,0)),"")</f>
        <v/>
      </c>
      <c r="G3010" s="69" t="str">
        <f aca="false">IFERROR(INDEX(分录回款!$I:$I,MATCH($L3010,分录回款!$L:$L,0)),"")</f>
        <v/>
      </c>
      <c r="H3010" s="23"/>
      <c r="I3010" s="70"/>
      <c r="L3010" s="71" t="n">
        <f aca="false">IF(助手回款!$R$202="",-1,助手回款!$R$202*100+(助手回款!$S$202-1)*6+5)</f>
        <v>-1</v>
      </c>
    </row>
    <row r="3011" customFormat="false" ht="23.25" hidden="false" customHeight="true" outlineLevel="0" collapsed="false">
      <c r="B3011" s="67" t="str">
        <f aca="false">""</f>
        <v/>
      </c>
      <c r="C3011" s="67"/>
      <c r="D3011" s="23" t="str">
        <f aca="false">IFERROR(INDEX(分录回款!$E:$E,MATCH($L3011,分录回款!$L:$L,0)),"")</f>
        <v/>
      </c>
      <c r="E3011" s="23" t="str">
        <f aca="false">IFERROR(INDEX(分录回款!$F:$F,MATCH($L3011,分录回款!$L:$L,0)),"")</f>
        <v/>
      </c>
      <c r="F3011" s="68" t="str">
        <f aca="false">IFERROR(INDEX(分录回款!$H:$H,MATCH($L3011,分录回款!$L:$L,0)),"")</f>
        <v/>
      </c>
      <c r="G3011" s="69" t="str">
        <f aca="false">IFERROR(INDEX(分录回款!$I:$I,MATCH($L3011,分录回款!$L:$L,0)),"")</f>
        <v/>
      </c>
      <c r="H3011" s="23"/>
      <c r="I3011" s="70"/>
      <c r="L3011" s="71" t="n">
        <f aca="false">IF(助手回款!$R$202="",-1,助手回款!$R$202*100+(助手回款!$S$202-1)*6+6)</f>
        <v>-1</v>
      </c>
    </row>
    <row r="3012" customFormat="false" ht="23.25" hidden="false" customHeight="true" outlineLevel="0" collapsed="false">
      <c r="B3012" s="72" t="str">
        <f aca="false">IF(助手回款!$T$202=1,"合计：","")</f>
        <v/>
      </c>
      <c r="C3012" s="73" t="str">
        <f aca="false">IF(助手回款!$T$202=1,$F3012,"")</f>
        <v/>
      </c>
      <c r="D3012" s="74"/>
      <c r="E3012" s="74"/>
      <c r="F3012" s="75" t="str">
        <f aca="false">IF(助手回款!$T$202=1,INDEX(助手回款!$N$2:$N$66,助手回款!$R$202),"")</f>
        <v/>
      </c>
      <c r="G3012" s="76" t="str">
        <f aca="false">IF(助手回款!$T$202=1,INDEX(助手回款!$O$2:$O$66,助手回款!$R$202),"")</f>
        <v/>
      </c>
      <c r="H3012" s="74"/>
      <c r="I3012" s="77"/>
    </row>
    <row r="3013" customFormat="false" ht="6" hidden="false" customHeight="true" outlineLevel="0" collapsed="false"/>
    <row r="3014" customFormat="false" ht="13.5" hidden="false" customHeight="false" outlineLevel="0" collapsed="false">
      <c r="B3014" s="78" t="str">
        <f aca="false">IF(助手回款!$R$202&lt;&gt;"","会计主管：","")</f>
        <v/>
      </c>
      <c r="D3014" s="78" t="str">
        <f aca="false">IF(助手回款!$R$202&lt;&gt;"","会计：","")</f>
        <v/>
      </c>
      <c r="E3014" s="78" t="str">
        <f aca="false">IF(助手回款!$R$202&lt;&gt;"","出纳：","")</f>
        <v/>
      </c>
      <c r="F3014" s="78" t="str">
        <f aca="false">IF(助手回款!$R$202&lt;&gt;"","复核：","")</f>
        <v/>
      </c>
      <c r="G3014" s="78" t="str">
        <f aca="false">IF(助手回款!$R$202&lt;&gt;"","制单：","")</f>
        <v/>
      </c>
    </row>
    <row r="3015" customFormat="false" ht="3" hidden="false" customHeight="true" outlineLevel="0" collapsed="false"/>
    <row r="3016" customFormat="false" ht="19.5" hidden="false" customHeight="true" outlineLevel="0" collapsed="false">
      <c r="B3016" s="53" t="str">
        <f aca="false">IF(助手回款!$R$203&lt;&gt;"","记  账  凭  证","")</f>
        <v/>
      </c>
      <c r="C3016" s="53"/>
      <c r="D3016" s="53"/>
      <c r="E3016" s="53"/>
      <c r="F3016" s="53"/>
      <c r="G3016" s="53"/>
      <c r="H3016" s="53"/>
      <c r="I3016" s="53"/>
    </row>
    <row r="3017" customFormat="false" ht="3" hidden="false" customHeight="true" outlineLevel="0" collapsed="false"/>
    <row r="3018" customFormat="false" ht="15" hidden="false" customHeight="true" outlineLevel="0" collapsed="false">
      <c r="C3018" s="56" t="str">
        <f aca="false">IF(助手回款!$R$203&lt;&gt;"",INDEX(助手回款!$B$2:$B$66,助手回款!$R$203),"")</f>
        <v/>
      </c>
      <c r="D3018" s="57" t="str">
        <f aca="false">IF(助手回款!$R$203&lt;&gt;"",参数!$B$2,"")</f>
        <v/>
      </c>
      <c r="E3018" s="57"/>
      <c r="F3018" s="58" t="str">
        <f aca="false">IF(助手回款!$R$203&lt;&gt;"",INDEX(助手回款!$C$2:$C$66,助手回款!$R$203)&amp;"  字第 "&amp;IF(参数!$B$9="是",INDEX(助手回款!$P$2:$P$66,助手回款!$R$203),"　　　　")&amp;" 号"&amp;IF(INDEX(助手回款!$L$2:$L$66,助手回款!$R$203)&gt;1,"  (共"&amp;INDEX(助手回款!$L$2:$L$66,助手回款!$R$203)&amp;"页 第"&amp;助手回款!$S$203&amp;"页)",""),"")</f>
        <v/>
      </c>
      <c r="G3018" s="58"/>
      <c r="H3018" s="58"/>
      <c r="I3018" s="58"/>
      <c r="M3018" s="79" t="str">
        <f aca="false">IF(助手回款!$R$203="","",助手回款!$Q$203)</f>
        <v/>
      </c>
      <c r="N3018" s="80" t="str">
        <f aca="false">IF(助手回款!$R$203="","",INDEX(助手回款!$P$2:$P$66,助手回款!$R$203))</f>
        <v/>
      </c>
      <c r="O3018" s="55" t="str">
        <f aca="false">IF(助手回款!$R$203="","",INDEX(助手回款!$C$2:$C$66,助手回款!$R$203)&amp;"  字第 "&amp;INDEX(助手回款!$P$2:$P$66,助手回款!$R$203)&amp;" 号"&amp;IF(INDEX(助手回款!$L$2:$L$66,助手回款!$R$203)&gt;1,"  (共"&amp;INDEX(助手回款!$L$2:$L$66,助手回款!$R$203)&amp;"页 第"&amp;助手回款!$S$203&amp;"页)",""))</f>
        <v/>
      </c>
    </row>
    <row r="3019" customFormat="false" ht="12.75" hidden="false" customHeight="true" outlineLevel="0" collapsed="false">
      <c r="B3019" s="61" t="str">
        <f aca="false">IF(助手回款!$R$203&lt;&gt;"","摘　　要","")</f>
        <v/>
      </c>
      <c r="C3019" s="61"/>
      <c r="D3019" s="62" t="str">
        <f aca="false">IF(助手回款!$R$203&lt;&gt;"","科　　　　目","")</f>
        <v/>
      </c>
      <c r="E3019" s="62"/>
      <c r="F3019" s="61" t="str">
        <f aca="false">IF(助手回款!$R$203&lt;&gt;"","借 方 金 额","")</f>
        <v/>
      </c>
      <c r="G3019" s="62" t="str">
        <f aca="false">IF(助手回款!$R$203&lt;&gt;"","贷 方 金 额","")</f>
        <v/>
      </c>
      <c r="H3019" s="63" t="str">
        <f aca="false">IF(助手回款!$R$203&lt;&gt;"","√","")</f>
        <v/>
      </c>
      <c r="I3019" s="64" t="str">
        <f aca="false">IF(助手回款!$R$203&lt;&gt;"","附单据  张","")</f>
        <v/>
      </c>
    </row>
    <row r="3020" customFormat="false" ht="12.75" hidden="false" customHeight="true" outlineLevel="0" collapsed="false">
      <c r="B3020" s="61"/>
      <c r="C3020" s="61"/>
      <c r="D3020" s="23" t="str">
        <f aca="false">IF(助手回款!$R$203&lt;&gt;"","总 账 科 目","")</f>
        <v/>
      </c>
      <c r="E3020" s="23" t="str">
        <f aca="false">IF(助手回款!$R$203&lt;&gt;"","明 细 科 目","")</f>
        <v/>
      </c>
      <c r="F3020" s="65"/>
      <c r="G3020" s="66"/>
      <c r="H3020" s="63"/>
      <c r="I3020" s="64"/>
    </row>
    <row r="3021" customFormat="false" ht="23.25" hidden="false" customHeight="true" outlineLevel="0" collapsed="false">
      <c r="B3021" s="67" t="str">
        <f aca="false">IFERROR(INDEX(分录回款!$M:$M,MATCH($L3021,分录回款!$L:$L,0)),"")</f>
        <v/>
      </c>
      <c r="C3021" s="67"/>
      <c r="D3021" s="23" t="str">
        <f aca="false">IFERROR(INDEX(分录回款!$E:$E,MATCH($L3021,分录回款!$L:$L,0)),"")</f>
        <v/>
      </c>
      <c r="E3021" s="23" t="str">
        <f aca="false">IFERROR(INDEX(分录回款!$F:$F,MATCH($L3021,分录回款!$L:$L,0)),"")</f>
        <v/>
      </c>
      <c r="F3021" s="68" t="str">
        <f aca="false">IFERROR(INDEX(分录回款!$H:$H,MATCH($L3021,分录回款!$L:$L,0)),"")</f>
        <v/>
      </c>
      <c r="G3021" s="69" t="str">
        <f aca="false">IFERROR(INDEX(分录回款!$I:$I,MATCH($L3021,分录回款!$L:$L,0)),"")</f>
        <v/>
      </c>
      <c r="H3021" s="23"/>
      <c r="I3021" s="70"/>
      <c r="L3021" s="71" t="n">
        <f aca="false">IF(助手回款!$R$203="",-1,助手回款!$R$203*100+(助手回款!$S$203-1)*6+1)</f>
        <v>-1</v>
      </c>
    </row>
    <row r="3022" customFormat="false" ht="23.25" hidden="false" customHeight="true" outlineLevel="0" collapsed="false">
      <c r="B3022" s="67" t="str">
        <f aca="false">""</f>
        <v/>
      </c>
      <c r="C3022" s="67"/>
      <c r="D3022" s="23" t="str">
        <f aca="false">IFERROR(INDEX(分录回款!$E:$E,MATCH($L3022,分录回款!$L:$L,0)),"")</f>
        <v/>
      </c>
      <c r="E3022" s="23" t="str">
        <f aca="false">IFERROR(INDEX(分录回款!$F:$F,MATCH($L3022,分录回款!$L:$L,0)),"")</f>
        <v/>
      </c>
      <c r="F3022" s="68" t="str">
        <f aca="false">IFERROR(INDEX(分录回款!$H:$H,MATCH($L3022,分录回款!$L:$L,0)),"")</f>
        <v/>
      </c>
      <c r="G3022" s="69" t="str">
        <f aca="false">IFERROR(INDEX(分录回款!$I:$I,MATCH($L3022,分录回款!$L:$L,0)),"")</f>
        <v/>
      </c>
      <c r="H3022" s="23"/>
      <c r="I3022" s="70"/>
      <c r="L3022" s="71" t="n">
        <f aca="false">IF(助手回款!$R$203="",-1,助手回款!$R$203*100+(助手回款!$S$203-1)*6+2)</f>
        <v>-1</v>
      </c>
    </row>
    <row r="3023" customFormat="false" ht="23.25" hidden="false" customHeight="true" outlineLevel="0" collapsed="false">
      <c r="B3023" s="67" t="str">
        <f aca="false">""</f>
        <v/>
      </c>
      <c r="C3023" s="67"/>
      <c r="D3023" s="23" t="str">
        <f aca="false">IFERROR(INDEX(分录回款!$E:$E,MATCH($L3023,分录回款!$L:$L,0)),"")</f>
        <v/>
      </c>
      <c r="E3023" s="23" t="str">
        <f aca="false">IFERROR(INDEX(分录回款!$F:$F,MATCH($L3023,分录回款!$L:$L,0)),"")</f>
        <v/>
      </c>
      <c r="F3023" s="68" t="str">
        <f aca="false">IFERROR(INDEX(分录回款!$H:$H,MATCH($L3023,分录回款!$L:$L,0)),"")</f>
        <v/>
      </c>
      <c r="G3023" s="69" t="str">
        <f aca="false">IFERROR(INDEX(分录回款!$I:$I,MATCH($L3023,分录回款!$L:$L,0)),"")</f>
        <v/>
      </c>
      <c r="H3023" s="23"/>
      <c r="I3023" s="70"/>
      <c r="L3023" s="71" t="n">
        <f aca="false">IF(助手回款!$R$203="",-1,助手回款!$R$203*100+(助手回款!$S$203-1)*6+3)</f>
        <v>-1</v>
      </c>
    </row>
    <row r="3024" customFormat="false" ht="23.25" hidden="false" customHeight="true" outlineLevel="0" collapsed="false">
      <c r="B3024" s="67" t="str">
        <f aca="false">""</f>
        <v/>
      </c>
      <c r="C3024" s="67"/>
      <c r="D3024" s="23" t="str">
        <f aca="false">IFERROR(INDEX(分录回款!$E:$E,MATCH($L3024,分录回款!$L:$L,0)),"")</f>
        <v/>
      </c>
      <c r="E3024" s="23" t="str">
        <f aca="false">IFERROR(INDEX(分录回款!$F:$F,MATCH($L3024,分录回款!$L:$L,0)),"")</f>
        <v/>
      </c>
      <c r="F3024" s="68" t="str">
        <f aca="false">IFERROR(INDEX(分录回款!$H:$H,MATCH($L3024,分录回款!$L:$L,0)),"")</f>
        <v/>
      </c>
      <c r="G3024" s="69" t="str">
        <f aca="false">IFERROR(INDEX(分录回款!$I:$I,MATCH($L3024,分录回款!$L:$L,0)),"")</f>
        <v/>
      </c>
      <c r="H3024" s="23"/>
      <c r="I3024" s="70"/>
      <c r="L3024" s="71" t="n">
        <f aca="false">IF(助手回款!$R$203="",-1,助手回款!$R$203*100+(助手回款!$S$203-1)*6+4)</f>
        <v>-1</v>
      </c>
    </row>
    <row r="3025" customFormat="false" ht="23.25" hidden="false" customHeight="true" outlineLevel="0" collapsed="false">
      <c r="B3025" s="67" t="str">
        <f aca="false">""</f>
        <v/>
      </c>
      <c r="C3025" s="67"/>
      <c r="D3025" s="23" t="str">
        <f aca="false">IFERROR(INDEX(分录回款!$E:$E,MATCH($L3025,分录回款!$L:$L,0)),"")</f>
        <v/>
      </c>
      <c r="E3025" s="23" t="str">
        <f aca="false">IFERROR(INDEX(分录回款!$F:$F,MATCH($L3025,分录回款!$L:$L,0)),"")</f>
        <v/>
      </c>
      <c r="F3025" s="68" t="str">
        <f aca="false">IFERROR(INDEX(分录回款!$H:$H,MATCH($L3025,分录回款!$L:$L,0)),"")</f>
        <v/>
      </c>
      <c r="G3025" s="69" t="str">
        <f aca="false">IFERROR(INDEX(分录回款!$I:$I,MATCH($L3025,分录回款!$L:$L,0)),"")</f>
        <v/>
      </c>
      <c r="H3025" s="23"/>
      <c r="I3025" s="70"/>
      <c r="L3025" s="71" t="n">
        <f aca="false">IF(助手回款!$R$203="",-1,助手回款!$R$203*100+(助手回款!$S$203-1)*6+5)</f>
        <v>-1</v>
      </c>
    </row>
    <row r="3026" customFormat="false" ht="23.25" hidden="false" customHeight="true" outlineLevel="0" collapsed="false">
      <c r="B3026" s="67" t="str">
        <f aca="false">""</f>
        <v/>
      </c>
      <c r="C3026" s="67"/>
      <c r="D3026" s="23" t="str">
        <f aca="false">IFERROR(INDEX(分录回款!$E:$E,MATCH($L3026,分录回款!$L:$L,0)),"")</f>
        <v/>
      </c>
      <c r="E3026" s="23" t="str">
        <f aca="false">IFERROR(INDEX(分录回款!$F:$F,MATCH($L3026,分录回款!$L:$L,0)),"")</f>
        <v/>
      </c>
      <c r="F3026" s="68" t="str">
        <f aca="false">IFERROR(INDEX(分录回款!$H:$H,MATCH($L3026,分录回款!$L:$L,0)),"")</f>
        <v/>
      </c>
      <c r="G3026" s="69" t="str">
        <f aca="false">IFERROR(INDEX(分录回款!$I:$I,MATCH($L3026,分录回款!$L:$L,0)),"")</f>
        <v/>
      </c>
      <c r="H3026" s="23"/>
      <c r="I3026" s="70"/>
      <c r="L3026" s="71" t="n">
        <f aca="false">IF(助手回款!$R$203="",-1,助手回款!$R$203*100+(助手回款!$S$203-1)*6+6)</f>
        <v>-1</v>
      </c>
    </row>
    <row r="3027" customFormat="false" ht="23.25" hidden="false" customHeight="true" outlineLevel="0" collapsed="false">
      <c r="B3027" s="72" t="str">
        <f aca="false">IF(助手回款!$T$203=1,"合计：","")</f>
        <v/>
      </c>
      <c r="C3027" s="73" t="str">
        <f aca="false">IF(助手回款!$T$203=1,$F3027,"")</f>
        <v/>
      </c>
      <c r="D3027" s="74"/>
      <c r="E3027" s="74"/>
      <c r="F3027" s="75" t="str">
        <f aca="false">IF(助手回款!$T$203=1,INDEX(助手回款!$N$2:$N$66,助手回款!$R$203),"")</f>
        <v/>
      </c>
      <c r="G3027" s="76" t="str">
        <f aca="false">IF(助手回款!$T$203=1,INDEX(助手回款!$O$2:$O$66,助手回款!$R$203),"")</f>
        <v/>
      </c>
      <c r="H3027" s="74"/>
      <c r="I3027" s="77"/>
    </row>
    <row r="3028" customFormat="false" ht="6" hidden="false" customHeight="true" outlineLevel="0" collapsed="false"/>
    <row r="3029" customFormat="false" ht="13.5" hidden="false" customHeight="false" outlineLevel="0" collapsed="false">
      <c r="B3029" s="78" t="str">
        <f aca="false">IF(助手回款!$R$203&lt;&gt;"","会计主管：","")</f>
        <v/>
      </c>
      <c r="D3029" s="78" t="str">
        <f aca="false">IF(助手回款!$R$203&lt;&gt;"","会计：","")</f>
        <v/>
      </c>
      <c r="E3029" s="78" t="str">
        <f aca="false">IF(助手回款!$R$203&lt;&gt;"","出纳：","")</f>
        <v/>
      </c>
      <c r="F3029" s="78" t="str">
        <f aca="false">IF(助手回款!$R$203&lt;&gt;"","复核：","")</f>
        <v/>
      </c>
      <c r="G3029" s="78" t="str">
        <f aca="false">IF(助手回款!$R$203&lt;&gt;"","制单：","")</f>
        <v/>
      </c>
    </row>
    <row r="3030" customFormat="false" ht="3" hidden="false" customHeight="true" outlineLevel="0" collapsed="false"/>
    <row r="3031" customFormat="false" ht="19.5" hidden="false" customHeight="true" outlineLevel="0" collapsed="false">
      <c r="B3031" s="53" t="str">
        <f aca="false">IF(助手回款!$R$204&lt;&gt;"","记  账  凭  证","")</f>
        <v/>
      </c>
      <c r="C3031" s="53"/>
      <c r="D3031" s="53"/>
      <c r="E3031" s="53"/>
      <c r="F3031" s="53"/>
      <c r="G3031" s="53"/>
      <c r="H3031" s="53"/>
      <c r="I3031" s="53"/>
    </row>
    <row r="3032" customFormat="false" ht="3" hidden="false" customHeight="true" outlineLevel="0" collapsed="false"/>
    <row r="3033" customFormat="false" ht="15" hidden="false" customHeight="true" outlineLevel="0" collapsed="false">
      <c r="C3033" s="56" t="str">
        <f aca="false">IF(助手回款!$R$204&lt;&gt;"",INDEX(助手回款!$B$2:$B$66,助手回款!$R$204),"")</f>
        <v/>
      </c>
      <c r="D3033" s="57" t="str">
        <f aca="false">IF(助手回款!$R$204&lt;&gt;"",参数!$B$2,"")</f>
        <v/>
      </c>
      <c r="E3033" s="57"/>
      <c r="F3033" s="58" t="str">
        <f aca="false">IF(助手回款!$R$204&lt;&gt;"",INDEX(助手回款!$C$2:$C$66,助手回款!$R$204)&amp;"  字第 "&amp;IF(参数!$B$9="是",INDEX(助手回款!$P$2:$P$66,助手回款!$R$204),"　　　　")&amp;" 号"&amp;IF(INDEX(助手回款!$L$2:$L$66,助手回款!$R$204)&gt;1,"  (共"&amp;INDEX(助手回款!$L$2:$L$66,助手回款!$R$204)&amp;"页 第"&amp;助手回款!$S$204&amp;"页)",""),"")</f>
        <v/>
      </c>
      <c r="G3033" s="58"/>
      <c r="H3033" s="58"/>
      <c r="I3033" s="58"/>
      <c r="M3033" s="79" t="str">
        <f aca="false">IF(助手回款!$R$204="","",助手回款!$Q$204)</f>
        <v/>
      </c>
      <c r="N3033" s="80" t="str">
        <f aca="false">IF(助手回款!$R$204="","",INDEX(助手回款!$P$2:$P$66,助手回款!$R$204))</f>
        <v/>
      </c>
      <c r="O3033" s="55" t="str">
        <f aca="false">IF(助手回款!$R$204="","",INDEX(助手回款!$C$2:$C$66,助手回款!$R$204)&amp;"  字第 "&amp;INDEX(助手回款!$P$2:$P$66,助手回款!$R$204)&amp;" 号"&amp;IF(INDEX(助手回款!$L$2:$L$66,助手回款!$R$204)&gt;1,"  (共"&amp;INDEX(助手回款!$L$2:$L$66,助手回款!$R$204)&amp;"页 第"&amp;助手回款!$S$204&amp;"页)",""))</f>
        <v/>
      </c>
    </row>
    <row r="3034" customFormat="false" ht="12.75" hidden="false" customHeight="true" outlineLevel="0" collapsed="false">
      <c r="B3034" s="61" t="str">
        <f aca="false">IF(助手回款!$R$204&lt;&gt;"","摘　　要","")</f>
        <v/>
      </c>
      <c r="C3034" s="61"/>
      <c r="D3034" s="62" t="str">
        <f aca="false">IF(助手回款!$R$204&lt;&gt;"","科　　　　目","")</f>
        <v/>
      </c>
      <c r="E3034" s="62"/>
      <c r="F3034" s="61" t="str">
        <f aca="false">IF(助手回款!$R$204&lt;&gt;"","借 方 金 额","")</f>
        <v/>
      </c>
      <c r="G3034" s="62" t="str">
        <f aca="false">IF(助手回款!$R$204&lt;&gt;"","贷 方 金 额","")</f>
        <v/>
      </c>
      <c r="H3034" s="63" t="str">
        <f aca="false">IF(助手回款!$R$204&lt;&gt;"","√","")</f>
        <v/>
      </c>
      <c r="I3034" s="64" t="str">
        <f aca="false">IF(助手回款!$R$204&lt;&gt;"","附单据  张","")</f>
        <v/>
      </c>
    </row>
    <row r="3035" customFormat="false" ht="12.75" hidden="false" customHeight="true" outlineLevel="0" collapsed="false">
      <c r="B3035" s="61"/>
      <c r="C3035" s="61"/>
      <c r="D3035" s="23" t="str">
        <f aca="false">IF(助手回款!$R$204&lt;&gt;"","总 账 科 目","")</f>
        <v/>
      </c>
      <c r="E3035" s="23" t="str">
        <f aca="false">IF(助手回款!$R$204&lt;&gt;"","明 细 科 目","")</f>
        <v/>
      </c>
      <c r="F3035" s="65"/>
      <c r="G3035" s="66"/>
      <c r="H3035" s="63"/>
      <c r="I3035" s="64"/>
    </row>
    <row r="3036" customFormat="false" ht="23.25" hidden="false" customHeight="true" outlineLevel="0" collapsed="false">
      <c r="B3036" s="67" t="str">
        <f aca="false">IFERROR(INDEX(分录回款!$M:$M,MATCH($L3036,分录回款!$L:$L,0)),"")</f>
        <v/>
      </c>
      <c r="C3036" s="67"/>
      <c r="D3036" s="23" t="str">
        <f aca="false">IFERROR(INDEX(分录回款!$E:$E,MATCH($L3036,分录回款!$L:$L,0)),"")</f>
        <v/>
      </c>
      <c r="E3036" s="23" t="str">
        <f aca="false">IFERROR(INDEX(分录回款!$F:$F,MATCH($L3036,分录回款!$L:$L,0)),"")</f>
        <v/>
      </c>
      <c r="F3036" s="68" t="str">
        <f aca="false">IFERROR(INDEX(分录回款!$H:$H,MATCH($L3036,分录回款!$L:$L,0)),"")</f>
        <v/>
      </c>
      <c r="G3036" s="69" t="str">
        <f aca="false">IFERROR(INDEX(分录回款!$I:$I,MATCH($L3036,分录回款!$L:$L,0)),"")</f>
        <v/>
      </c>
      <c r="H3036" s="23"/>
      <c r="I3036" s="70"/>
      <c r="L3036" s="71" t="n">
        <f aca="false">IF(助手回款!$R$204="",-1,助手回款!$R$204*100+(助手回款!$S$204-1)*6+1)</f>
        <v>-1</v>
      </c>
    </row>
    <row r="3037" customFormat="false" ht="23.25" hidden="false" customHeight="true" outlineLevel="0" collapsed="false">
      <c r="B3037" s="67" t="str">
        <f aca="false">""</f>
        <v/>
      </c>
      <c r="C3037" s="67"/>
      <c r="D3037" s="23" t="str">
        <f aca="false">IFERROR(INDEX(分录回款!$E:$E,MATCH($L3037,分录回款!$L:$L,0)),"")</f>
        <v/>
      </c>
      <c r="E3037" s="23" t="str">
        <f aca="false">IFERROR(INDEX(分录回款!$F:$F,MATCH($L3037,分录回款!$L:$L,0)),"")</f>
        <v/>
      </c>
      <c r="F3037" s="68" t="str">
        <f aca="false">IFERROR(INDEX(分录回款!$H:$H,MATCH($L3037,分录回款!$L:$L,0)),"")</f>
        <v/>
      </c>
      <c r="G3037" s="69" t="str">
        <f aca="false">IFERROR(INDEX(分录回款!$I:$I,MATCH($L3037,分录回款!$L:$L,0)),"")</f>
        <v/>
      </c>
      <c r="H3037" s="23"/>
      <c r="I3037" s="70"/>
      <c r="L3037" s="71" t="n">
        <f aca="false">IF(助手回款!$R$204="",-1,助手回款!$R$204*100+(助手回款!$S$204-1)*6+2)</f>
        <v>-1</v>
      </c>
    </row>
    <row r="3038" customFormat="false" ht="23.25" hidden="false" customHeight="true" outlineLevel="0" collapsed="false">
      <c r="B3038" s="67" t="str">
        <f aca="false">""</f>
        <v/>
      </c>
      <c r="C3038" s="67"/>
      <c r="D3038" s="23" t="str">
        <f aca="false">IFERROR(INDEX(分录回款!$E:$E,MATCH($L3038,分录回款!$L:$L,0)),"")</f>
        <v/>
      </c>
      <c r="E3038" s="23" t="str">
        <f aca="false">IFERROR(INDEX(分录回款!$F:$F,MATCH($L3038,分录回款!$L:$L,0)),"")</f>
        <v/>
      </c>
      <c r="F3038" s="68" t="str">
        <f aca="false">IFERROR(INDEX(分录回款!$H:$H,MATCH($L3038,分录回款!$L:$L,0)),"")</f>
        <v/>
      </c>
      <c r="G3038" s="69" t="str">
        <f aca="false">IFERROR(INDEX(分录回款!$I:$I,MATCH($L3038,分录回款!$L:$L,0)),"")</f>
        <v/>
      </c>
      <c r="H3038" s="23"/>
      <c r="I3038" s="70"/>
      <c r="L3038" s="71" t="n">
        <f aca="false">IF(助手回款!$R$204="",-1,助手回款!$R$204*100+(助手回款!$S$204-1)*6+3)</f>
        <v>-1</v>
      </c>
    </row>
    <row r="3039" customFormat="false" ht="23.25" hidden="false" customHeight="true" outlineLevel="0" collapsed="false">
      <c r="B3039" s="67" t="str">
        <f aca="false">""</f>
        <v/>
      </c>
      <c r="C3039" s="67"/>
      <c r="D3039" s="23" t="str">
        <f aca="false">IFERROR(INDEX(分录回款!$E:$E,MATCH($L3039,分录回款!$L:$L,0)),"")</f>
        <v/>
      </c>
      <c r="E3039" s="23" t="str">
        <f aca="false">IFERROR(INDEX(分录回款!$F:$F,MATCH($L3039,分录回款!$L:$L,0)),"")</f>
        <v/>
      </c>
      <c r="F3039" s="68" t="str">
        <f aca="false">IFERROR(INDEX(分录回款!$H:$H,MATCH($L3039,分录回款!$L:$L,0)),"")</f>
        <v/>
      </c>
      <c r="G3039" s="69" t="str">
        <f aca="false">IFERROR(INDEX(分录回款!$I:$I,MATCH($L3039,分录回款!$L:$L,0)),"")</f>
        <v/>
      </c>
      <c r="H3039" s="23"/>
      <c r="I3039" s="70"/>
      <c r="L3039" s="71" t="n">
        <f aca="false">IF(助手回款!$R$204="",-1,助手回款!$R$204*100+(助手回款!$S$204-1)*6+4)</f>
        <v>-1</v>
      </c>
    </row>
    <row r="3040" customFormat="false" ht="23.25" hidden="false" customHeight="true" outlineLevel="0" collapsed="false">
      <c r="B3040" s="67" t="str">
        <f aca="false">""</f>
        <v/>
      </c>
      <c r="C3040" s="67"/>
      <c r="D3040" s="23" t="str">
        <f aca="false">IFERROR(INDEX(分录回款!$E:$E,MATCH($L3040,分录回款!$L:$L,0)),"")</f>
        <v/>
      </c>
      <c r="E3040" s="23" t="str">
        <f aca="false">IFERROR(INDEX(分录回款!$F:$F,MATCH($L3040,分录回款!$L:$L,0)),"")</f>
        <v/>
      </c>
      <c r="F3040" s="68" t="str">
        <f aca="false">IFERROR(INDEX(分录回款!$H:$H,MATCH($L3040,分录回款!$L:$L,0)),"")</f>
        <v/>
      </c>
      <c r="G3040" s="69" t="str">
        <f aca="false">IFERROR(INDEX(分录回款!$I:$I,MATCH($L3040,分录回款!$L:$L,0)),"")</f>
        <v/>
      </c>
      <c r="H3040" s="23"/>
      <c r="I3040" s="70"/>
      <c r="L3040" s="71" t="n">
        <f aca="false">IF(助手回款!$R$204="",-1,助手回款!$R$204*100+(助手回款!$S$204-1)*6+5)</f>
        <v>-1</v>
      </c>
    </row>
    <row r="3041" customFormat="false" ht="23.25" hidden="false" customHeight="true" outlineLevel="0" collapsed="false">
      <c r="B3041" s="67" t="str">
        <f aca="false">""</f>
        <v/>
      </c>
      <c r="C3041" s="67"/>
      <c r="D3041" s="23" t="str">
        <f aca="false">IFERROR(INDEX(分录回款!$E:$E,MATCH($L3041,分录回款!$L:$L,0)),"")</f>
        <v/>
      </c>
      <c r="E3041" s="23" t="str">
        <f aca="false">IFERROR(INDEX(分录回款!$F:$F,MATCH($L3041,分录回款!$L:$L,0)),"")</f>
        <v/>
      </c>
      <c r="F3041" s="68" t="str">
        <f aca="false">IFERROR(INDEX(分录回款!$H:$H,MATCH($L3041,分录回款!$L:$L,0)),"")</f>
        <v/>
      </c>
      <c r="G3041" s="69" t="str">
        <f aca="false">IFERROR(INDEX(分录回款!$I:$I,MATCH($L3041,分录回款!$L:$L,0)),"")</f>
        <v/>
      </c>
      <c r="H3041" s="23"/>
      <c r="I3041" s="70"/>
      <c r="L3041" s="71" t="n">
        <f aca="false">IF(助手回款!$R$204="",-1,助手回款!$R$204*100+(助手回款!$S$204-1)*6+6)</f>
        <v>-1</v>
      </c>
    </row>
    <row r="3042" customFormat="false" ht="23.25" hidden="false" customHeight="true" outlineLevel="0" collapsed="false">
      <c r="B3042" s="72" t="str">
        <f aca="false">IF(助手回款!$T$204=1,"合计：","")</f>
        <v/>
      </c>
      <c r="C3042" s="73" t="str">
        <f aca="false">IF(助手回款!$T$204=1,$F3042,"")</f>
        <v/>
      </c>
      <c r="D3042" s="74"/>
      <c r="E3042" s="74"/>
      <c r="F3042" s="75" t="str">
        <f aca="false">IF(助手回款!$T$204=1,INDEX(助手回款!$N$2:$N$66,助手回款!$R$204),"")</f>
        <v/>
      </c>
      <c r="G3042" s="76" t="str">
        <f aca="false">IF(助手回款!$T$204=1,INDEX(助手回款!$O$2:$O$66,助手回款!$R$204),"")</f>
        <v/>
      </c>
      <c r="H3042" s="74"/>
      <c r="I3042" s="77"/>
    </row>
    <row r="3043" customFormat="false" ht="6" hidden="false" customHeight="true" outlineLevel="0" collapsed="false"/>
    <row r="3044" customFormat="false" ht="13.5" hidden="false" customHeight="false" outlineLevel="0" collapsed="false">
      <c r="B3044" s="78" t="str">
        <f aca="false">IF(助手回款!$R$204&lt;&gt;"","会计主管：","")</f>
        <v/>
      </c>
      <c r="D3044" s="78" t="str">
        <f aca="false">IF(助手回款!$R$204&lt;&gt;"","会计：","")</f>
        <v/>
      </c>
      <c r="E3044" s="78" t="str">
        <f aca="false">IF(助手回款!$R$204&lt;&gt;"","出纳：","")</f>
        <v/>
      </c>
      <c r="F3044" s="78" t="str">
        <f aca="false">IF(助手回款!$R$204&lt;&gt;"","复核：","")</f>
        <v/>
      </c>
      <c r="G3044" s="78" t="str">
        <f aca="false">IF(助手回款!$R$204&lt;&gt;"","制单：","")</f>
        <v/>
      </c>
    </row>
    <row r="3045" customFormat="false" ht="3" hidden="false" customHeight="true" outlineLevel="0" collapsed="false"/>
    <row r="3046" customFormat="false" ht="19.5" hidden="false" customHeight="true" outlineLevel="0" collapsed="false">
      <c r="B3046" s="53" t="str">
        <f aca="false">IF(助手回款!$R$205&lt;&gt;"","记  账  凭  证","")</f>
        <v/>
      </c>
      <c r="C3046" s="53"/>
      <c r="D3046" s="53"/>
      <c r="E3046" s="53"/>
      <c r="F3046" s="53"/>
      <c r="G3046" s="53"/>
      <c r="H3046" s="53"/>
      <c r="I3046" s="53"/>
    </row>
    <row r="3047" customFormat="false" ht="3" hidden="false" customHeight="true" outlineLevel="0" collapsed="false"/>
    <row r="3048" customFormat="false" ht="15" hidden="false" customHeight="true" outlineLevel="0" collapsed="false">
      <c r="C3048" s="56" t="str">
        <f aca="false">IF(助手回款!$R$205&lt;&gt;"",INDEX(助手回款!$B$2:$B$66,助手回款!$R$205),"")</f>
        <v/>
      </c>
      <c r="D3048" s="57" t="str">
        <f aca="false">IF(助手回款!$R$205&lt;&gt;"",参数!$B$2,"")</f>
        <v/>
      </c>
      <c r="E3048" s="57"/>
      <c r="F3048" s="58" t="str">
        <f aca="false">IF(助手回款!$R$205&lt;&gt;"",INDEX(助手回款!$C$2:$C$66,助手回款!$R$205)&amp;"  字第 "&amp;IF(参数!$B$9="是",INDEX(助手回款!$P$2:$P$66,助手回款!$R$205),"　　　　")&amp;" 号"&amp;IF(INDEX(助手回款!$L$2:$L$66,助手回款!$R$205)&gt;1,"  (共"&amp;INDEX(助手回款!$L$2:$L$66,助手回款!$R$205)&amp;"页 第"&amp;助手回款!$S$205&amp;"页)",""),"")</f>
        <v/>
      </c>
      <c r="G3048" s="58"/>
      <c r="H3048" s="58"/>
      <c r="I3048" s="58"/>
      <c r="M3048" s="79" t="str">
        <f aca="false">IF(助手回款!$R$205="","",助手回款!$Q$205)</f>
        <v/>
      </c>
      <c r="N3048" s="80" t="str">
        <f aca="false">IF(助手回款!$R$205="","",INDEX(助手回款!$P$2:$P$66,助手回款!$R$205))</f>
        <v/>
      </c>
      <c r="O3048" s="55" t="str">
        <f aca="false">IF(助手回款!$R$205="","",INDEX(助手回款!$C$2:$C$66,助手回款!$R$205)&amp;"  字第 "&amp;INDEX(助手回款!$P$2:$P$66,助手回款!$R$205)&amp;" 号"&amp;IF(INDEX(助手回款!$L$2:$L$66,助手回款!$R$205)&gt;1,"  (共"&amp;INDEX(助手回款!$L$2:$L$66,助手回款!$R$205)&amp;"页 第"&amp;助手回款!$S$205&amp;"页)",""))</f>
        <v/>
      </c>
    </row>
    <row r="3049" customFormat="false" ht="12.75" hidden="false" customHeight="true" outlineLevel="0" collapsed="false">
      <c r="B3049" s="61" t="str">
        <f aca="false">IF(助手回款!$R$205&lt;&gt;"","摘　　要","")</f>
        <v/>
      </c>
      <c r="C3049" s="61"/>
      <c r="D3049" s="62" t="str">
        <f aca="false">IF(助手回款!$R$205&lt;&gt;"","科　　　　目","")</f>
        <v/>
      </c>
      <c r="E3049" s="62"/>
      <c r="F3049" s="61" t="str">
        <f aca="false">IF(助手回款!$R$205&lt;&gt;"","借 方 金 额","")</f>
        <v/>
      </c>
      <c r="G3049" s="62" t="str">
        <f aca="false">IF(助手回款!$R$205&lt;&gt;"","贷 方 金 额","")</f>
        <v/>
      </c>
      <c r="H3049" s="63" t="str">
        <f aca="false">IF(助手回款!$R$205&lt;&gt;"","√","")</f>
        <v/>
      </c>
      <c r="I3049" s="64" t="str">
        <f aca="false">IF(助手回款!$R$205&lt;&gt;"","附单据  张","")</f>
        <v/>
      </c>
    </row>
    <row r="3050" customFormat="false" ht="12.75" hidden="false" customHeight="true" outlineLevel="0" collapsed="false">
      <c r="B3050" s="61"/>
      <c r="C3050" s="61"/>
      <c r="D3050" s="23" t="str">
        <f aca="false">IF(助手回款!$R$205&lt;&gt;"","总 账 科 目","")</f>
        <v/>
      </c>
      <c r="E3050" s="23" t="str">
        <f aca="false">IF(助手回款!$R$205&lt;&gt;"","明 细 科 目","")</f>
        <v/>
      </c>
      <c r="F3050" s="65"/>
      <c r="G3050" s="66"/>
      <c r="H3050" s="63"/>
      <c r="I3050" s="64"/>
    </row>
    <row r="3051" customFormat="false" ht="23.25" hidden="false" customHeight="true" outlineLevel="0" collapsed="false">
      <c r="B3051" s="67" t="str">
        <f aca="false">IFERROR(INDEX(分录回款!$M:$M,MATCH($L3051,分录回款!$L:$L,0)),"")</f>
        <v/>
      </c>
      <c r="C3051" s="67"/>
      <c r="D3051" s="23" t="str">
        <f aca="false">IFERROR(INDEX(分录回款!$E:$E,MATCH($L3051,分录回款!$L:$L,0)),"")</f>
        <v/>
      </c>
      <c r="E3051" s="23" t="str">
        <f aca="false">IFERROR(INDEX(分录回款!$F:$F,MATCH($L3051,分录回款!$L:$L,0)),"")</f>
        <v/>
      </c>
      <c r="F3051" s="68" t="str">
        <f aca="false">IFERROR(INDEX(分录回款!$H:$H,MATCH($L3051,分录回款!$L:$L,0)),"")</f>
        <v/>
      </c>
      <c r="G3051" s="69" t="str">
        <f aca="false">IFERROR(INDEX(分录回款!$I:$I,MATCH($L3051,分录回款!$L:$L,0)),"")</f>
        <v/>
      </c>
      <c r="H3051" s="23"/>
      <c r="I3051" s="70"/>
      <c r="L3051" s="71" t="n">
        <f aca="false">IF(助手回款!$R$205="",-1,助手回款!$R$205*100+(助手回款!$S$205-1)*6+1)</f>
        <v>-1</v>
      </c>
    </row>
    <row r="3052" customFormat="false" ht="23.25" hidden="false" customHeight="true" outlineLevel="0" collapsed="false">
      <c r="B3052" s="67" t="str">
        <f aca="false">""</f>
        <v/>
      </c>
      <c r="C3052" s="67"/>
      <c r="D3052" s="23" t="str">
        <f aca="false">IFERROR(INDEX(分录回款!$E:$E,MATCH($L3052,分录回款!$L:$L,0)),"")</f>
        <v/>
      </c>
      <c r="E3052" s="23" t="str">
        <f aca="false">IFERROR(INDEX(分录回款!$F:$F,MATCH($L3052,分录回款!$L:$L,0)),"")</f>
        <v/>
      </c>
      <c r="F3052" s="68" t="str">
        <f aca="false">IFERROR(INDEX(分录回款!$H:$H,MATCH($L3052,分录回款!$L:$L,0)),"")</f>
        <v/>
      </c>
      <c r="G3052" s="69" t="str">
        <f aca="false">IFERROR(INDEX(分录回款!$I:$I,MATCH($L3052,分录回款!$L:$L,0)),"")</f>
        <v/>
      </c>
      <c r="H3052" s="23"/>
      <c r="I3052" s="70"/>
      <c r="L3052" s="71" t="n">
        <f aca="false">IF(助手回款!$R$205="",-1,助手回款!$R$205*100+(助手回款!$S$205-1)*6+2)</f>
        <v>-1</v>
      </c>
    </row>
    <row r="3053" customFormat="false" ht="23.25" hidden="false" customHeight="true" outlineLevel="0" collapsed="false">
      <c r="B3053" s="67" t="str">
        <f aca="false">""</f>
        <v/>
      </c>
      <c r="C3053" s="67"/>
      <c r="D3053" s="23" t="str">
        <f aca="false">IFERROR(INDEX(分录回款!$E:$E,MATCH($L3053,分录回款!$L:$L,0)),"")</f>
        <v/>
      </c>
      <c r="E3053" s="23" t="str">
        <f aca="false">IFERROR(INDEX(分录回款!$F:$F,MATCH($L3053,分录回款!$L:$L,0)),"")</f>
        <v/>
      </c>
      <c r="F3053" s="68" t="str">
        <f aca="false">IFERROR(INDEX(分录回款!$H:$H,MATCH($L3053,分录回款!$L:$L,0)),"")</f>
        <v/>
      </c>
      <c r="G3053" s="69" t="str">
        <f aca="false">IFERROR(INDEX(分录回款!$I:$I,MATCH($L3053,分录回款!$L:$L,0)),"")</f>
        <v/>
      </c>
      <c r="H3053" s="23"/>
      <c r="I3053" s="70"/>
      <c r="L3053" s="71" t="n">
        <f aca="false">IF(助手回款!$R$205="",-1,助手回款!$R$205*100+(助手回款!$S$205-1)*6+3)</f>
        <v>-1</v>
      </c>
    </row>
    <row r="3054" customFormat="false" ht="23.25" hidden="false" customHeight="true" outlineLevel="0" collapsed="false">
      <c r="B3054" s="67" t="str">
        <f aca="false">""</f>
        <v/>
      </c>
      <c r="C3054" s="67"/>
      <c r="D3054" s="23" t="str">
        <f aca="false">IFERROR(INDEX(分录回款!$E:$E,MATCH($L3054,分录回款!$L:$L,0)),"")</f>
        <v/>
      </c>
      <c r="E3054" s="23" t="str">
        <f aca="false">IFERROR(INDEX(分录回款!$F:$F,MATCH($L3054,分录回款!$L:$L,0)),"")</f>
        <v/>
      </c>
      <c r="F3054" s="68" t="str">
        <f aca="false">IFERROR(INDEX(分录回款!$H:$H,MATCH($L3054,分录回款!$L:$L,0)),"")</f>
        <v/>
      </c>
      <c r="G3054" s="69" t="str">
        <f aca="false">IFERROR(INDEX(分录回款!$I:$I,MATCH($L3054,分录回款!$L:$L,0)),"")</f>
        <v/>
      </c>
      <c r="H3054" s="23"/>
      <c r="I3054" s="70"/>
      <c r="L3054" s="71" t="n">
        <f aca="false">IF(助手回款!$R$205="",-1,助手回款!$R$205*100+(助手回款!$S$205-1)*6+4)</f>
        <v>-1</v>
      </c>
    </row>
    <row r="3055" customFormat="false" ht="23.25" hidden="false" customHeight="true" outlineLevel="0" collapsed="false">
      <c r="B3055" s="67" t="str">
        <f aca="false">""</f>
        <v/>
      </c>
      <c r="C3055" s="67"/>
      <c r="D3055" s="23" t="str">
        <f aca="false">IFERROR(INDEX(分录回款!$E:$E,MATCH($L3055,分录回款!$L:$L,0)),"")</f>
        <v/>
      </c>
      <c r="E3055" s="23" t="str">
        <f aca="false">IFERROR(INDEX(分录回款!$F:$F,MATCH($L3055,分录回款!$L:$L,0)),"")</f>
        <v/>
      </c>
      <c r="F3055" s="68" t="str">
        <f aca="false">IFERROR(INDEX(分录回款!$H:$H,MATCH($L3055,分录回款!$L:$L,0)),"")</f>
        <v/>
      </c>
      <c r="G3055" s="69" t="str">
        <f aca="false">IFERROR(INDEX(分录回款!$I:$I,MATCH($L3055,分录回款!$L:$L,0)),"")</f>
        <v/>
      </c>
      <c r="H3055" s="23"/>
      <c r="I3055" s="70"/>
      <c r="L3055" s="71" t="n">
        <f aca="false">IF(助手回款!$R$205="",-1,助手回款!$R$205*100+(助手回款!$S$205-1)*6+5)</f>
        <v>-1</v>
      </c>
    </row>
    <row r="3056" customFormat="false" ht="23.25" hidden="false" customHeight="true" outlineLevel="0" collapsed="false">
      <c r="B3056" s="67" t="str">
        <f aca="false">""</f>
        <v/>
      </c>
      <c r="C3056" s="67"/>
      <c r="D3056" s="23" t="str">
        <f aca="false">IFERROR(INDEX(分录回款!$E:$E,MATCH($L3056,分录回款!$L:$L,0)),"")</f>
        <v/>
      </c>
      <c r="E3056" s="23" t="str">
        <f aca="false">IFERROR(INDEX(分录回款!$F:$F,MATCH($L3056,分录回款!$L:$L,0)),"")</f>
        <v/>
      </c>
      <c r="F3056" s="68" t="str">
        <f aca="false">IFERROR(INDEX(分录回款!$H:$H,MATCH($L3056,分录回款!$L:$L,0)),"")</f>
        <v/>
      </c>
      <c r="G3056" s="69" t="str">
        <f aca="false">IFERROR(INDEX(分录回款!$I:$I,MATCH($L3056,分录回款!$L:$L,0)),"")</f>
        <v/>
      </c>
      <c r="H3056" s="23"/>
      <c r="I3056" s="70"/>
      <c r="L3056" s="71" t="n">
        <f aca="false">IF(助手回款!$R$205="",-1,助手回款!$R$205*100+(助手回款!$S$205-1)*6+6)</f>
        <v>-1</v>
      </c>
    </row>
    <row r="3057" customFormat="false" ht="23.25" hidden="false" customHeight="true" outlineLevel="0" collapsed="false">
      <c r="B3057" s="72" t="str">
        <f aca="false">IF(助手回款!$T$205=1,"合计：","")</f>
        <v/>
      </c>
      <c r="C3057" s="73" t="str">
        <f aca="false">IF(助手回款!$T$205=1,$F3057,"")</f>
        <v/>
      </c>
      <c r="D3057" s="74"/>
      <c r="E3057" s="74"/>
      <c r="F3057" s="75" t="str">
        <f aca="false">IF(助手回款!$T$205=1,INDEX(助手回款!$N$2:$N$66,助手回款!$R$205),"")</f>
        <v/>
      </c>
      <c r="G3057" s="76" t="str">
        <f aca="false">IF(助手回款!$T$205=1,INDEX(助手回款!$O$2:$O$66,助手回款!$R$205),"")</f>
        <v/>
      </c>
      <c r="H3057" s="74"/>
      <c r="I3057" s="77"/>
    </row>
    <row r="3058" customFormat="false" ht="6" hidden="false" customHeight="true" outlineLevel="0" collapsed="false"/>
    <row r="3059" customFormat="false" ht="13.5" hidden="false" customHeight="false" outlineLevel="0" collapsed="false">
      <c r="B3059" s="78" t="str">
        <f aca="false">IF(助手回款!$R$205&lt;&gt;"","会计主管：","")</f>
        <v/>
      </c>
      <c r="D3059" s="78" t="str">
        <f aca="false">IF(助手回款!$R$205&lt;&gt;"","会计：","")</f>
        <v/>
      </c>
      <c r="E3059" s="78" t="str">
        <f aca="false">IF(助手回款!$R$205&lt;&gt;"","出纳：","")</f>
        <v/>
      </c>
      <c r="F3059" s="78" t="str">
        <f aca="false">IF(助手回款!$R$205&lt;&gt;"","复核：","")</f>
        <v/>
      </c>
      <c r="G3059" s="78" t="str">
        <f aca="false">IF(助手回款!$R$205&lt;&gt;"","制单：","")</f>
        <v/>
      </c>
    </row>
    <row r="3060" customFormat="false" ht="3" hidden="false" customHeight="true" outlineLevel="0" collapsed="false"/>
    <row r="3061" customFormat="false" ht="19.5" hidden="false" customHeight="true" outlineLevel="0" collapsed="false">
      <c r="B3061" s="53" t="str">
        <f aca="false">IF(助手回款!$R$206&lt;&gt;"","记  账  凭  证","")</f>
        <v/>
      </c>
      <c r="C3061" s="53"/>
      <c r="D3061" s="53"/>
      <c r="E3061" s="53"/>
      <c r="F3061" s="53"/>
      <c r="G3061" s="53"/>
      <c r="H3061" s="53"/>
      <c r="I3061" s="53"/>
    </row>
    <row r="3062" customFormat="false" ht="3" hidden="false" customHeight="true" outlineLevel="0" collapsed="false"/>
    <row r="3063" customFormat="false" ht="15" hidden="false" customHeight="true" outlineLevel="0" collapsed="false">
      <c r="C3063" s="56" t="str">
        <f aca="false">IF(助手回款!$R$206&lt;&gt;"",INDEX(助手回款!$B$2:$B$66,助手回款!$R$206),"")</f>
        <v/>
      </c>
      <c r="D3063" s="57" t="str">
        <f aca="false">IF(助手回款!$R$206&lt;&gt;"",参数!$B$2,"")</f>
        <v/>
      </c>
      <c r="E3063" s="57"/>
      <c r="F3063" s="58" t="str">
        <f aca="false">IF(助手回款!$R$206&lt;&gt;"",INDEX(助手回款!$C$2:$C$66,助手回款!$R$206)&amp;"  字第 "&amp;IF(参数!$B$9="是",INDEX(助手回款!$P$2:$P$66,助手回款!$R$206),"　　　　")&amp;" 号"&amp;IF(INDEX(助手回款!$L$2:$L$66,助手回款!$R$206)&gt;1,"  (共"&amp;INDEX(助手回款!$L$2:$L$66,助手回款!$R$206)&amp;"页 第"&amp;助手回款!$S$206&amp;"页)",""),"")</f>
        <v/>
      </c>
      <c r="G3063" s="58"/>
      <c r="H3063" s="58"/>
      <c r="I3063" s="58"/>
      <c r="M3063" s="79" t="str">
        <f aca="false">IF(助手回款!$R$206="","",助手回款!$Q$206)</f>
        <v/>
      </c>
      <c r="N3063" s="80" t="str">
        <f aca="false">IF(助手回款!$R$206="","",INDEX(助手回款!$P$2:$P$66,助手回款!$R$206))</f>
        <v/>
      </c>
      <c r="O3063" s="55" t="str">
        <f aca="false">IF(助手回款!$R$206="","",INDEX(助手回款!$C$2:$C$66,助手回款!$R$206)&amp;"  字第 "&amp;INDEX(助手回款!$P$2:$P$66,助手回款!$R$206)&amp;" 号"&amp;IF(INDEX(助手回款!$L$2:$L$66,助手回款!$R$206)&gt;1,"  (共"&amp;INDEX(助手回款!$L$2:$L$66,助手回款!$R$206)&amp;"页 第"&amp;助手回款!$S$206&amp;"页)",""))</f>
        <v/>
      </c>
    </row>
    <row r="3064" customFormat="false" ht="12.75" hidden="false" customHeight="true" outlineLevel="0" collapsed="false">
      <c r="B3064" s="61" t="str">
        <f aca="false">IF(助手回款!$R$206&lt;&gt;"","摘　　要","")</f>
        <v/>
      </c>
      <c r="C3064" s="61"/>
      <c r="D3064" s="62" t="str">
        <f aca="false">IF(助手回款!$R$206&lt;&gt;"","科　　　　目","")</f>
        <v/>
      </c>
      <c r="E3064" s="62"/>
      <c r="F3064" s="61" t="str">
        <f aca="false">IF(助手回款!$R$206&lt;&gt;"","借 方 金 额","")</f>
        <v/>
      </c>
      <c r="G3064" s="62" t="str">
        <f aca="false">IF(助手回款!$R$206&lt;&gt;"","贷 方 金 额","")</f>
        <v/>
      </c>
      <c r="H3064" s="63" t="str">
        <f aca="false">IF(助手回款!$R$206&lt;&gt;"","√","")</f>
        <v/>
      </c>
      <c r="I3064" s="64" t="str">
        <f aca="false">IF(助手回款!$R$206&lt;&gt;"","附单据  张","")</f>
        <v/>
      </c>
    </row>
    <row r="3065" customFormat="false" ht="12.75" hidden="false" customHeight="true" outlineLevel="0" collapsed="false">
      <c r="B3065" s="61"/>
      <c r="C3065" s="61"/>
      <c r="D3065" s="23" t="str">
        <f aca="false">IF(助手回款!$R$206&lt;&gt;"","总 账 科 目","")</f>
        <v/>
      </c>
      <c r="E3065" s="23" t="str">
        <f aca="false">IF(助手回款!$R$206&lt;&gt;"","明 细 科 目","")</f>
        <v/>
      </c>
      <c r="F3065" s="65"/>
      <c r="G3065" s="66"/>
      <c r="H3065" s="63"/>
      <c r="I3065" s="64"/>
    </row>
    <row r="3066" customFormat="false" ht="23.25" hidden="false" customHeight="true" outlineLevel="0" collapsed="false">
      <c r="B3066" s="67" t="str">
        <f aca="false">IFERROR(INDEX(分录回款!$M:$M,MATCH($L3066,分录回款!$L:$L,0)),"")</f>
        <v/>
      </c>
      <c r="C3066" s="67"/>
      <c r="D3066" s="23" t="str">
        <f aca="false">IFERROR(INDEX(分录回款!$E:$E,MATCH($L3066,分录回款!$L:$L,0)),"")</f>
        <v/>
      </c>
      <c r="E3066" s="23" t="str">
        <f aca="false">IFERROR(INDEX(分录回款!$F:$F,MATCH($L3066,分录回款!$L:$L,0)),"")</f>
        <v/>
      </c>
      <c r="F3066" s="68" t="str">
        <f aca="false">IFERROR(INDEX(分录回款!$H:$H,MATCH($L3066,分录回款!$L:$L,0)),"")</f>
        <v/>
      </c>
      <c r="G3066" s="69" t="str">
        <f aca="false">IFERROR(INDEX(分录回款!$I:$I,MATCH($L3066,分录回款!$L:$L,0)),"")</f>
        <v/>
      </c>
      <c r="H3066" s="23"/>
      <c r="I3066" s="70"/>
      <c r="L3066" s="71" t="n">
        <f aca="false">IF(助手回款!$R$206="",-1,助手回款!$R$206*100+(助手回款!$S$206-1)*6+1)</f>
        <v>-1</v>
      </c>
    </row>
    <row r="3067" customFormat="false" ht="23.25" hidden="false" customHeight="true" outlineLevel="0" collapsed="false">
      <c r="B3067" s="67" t="str">
        <f aca="false">""</f>
        <v/>
      </c>
      <c r="C3067" s="67"/>
      <c r="D3067" s="23" t="str">
        <f aca="false">IFERROR(INDEX(分录回款!$E:$E,MATCH($L3067,分录回款!$L:$L,0)),"")</f>
        <v/>
      </c>
      <c r="E3067" s="23" t="str">
        <f aca="false">IFERROR(INDEX(分录回款!$F:$F,MATCH($L3067,分录回款!$L:$L,0)),"")</f>
        <v/>
      </c>
      <c r="F3067" s="68" t="str">
        <f aca="false">IFERROR(INDEX(分录回款!$H:$H,MATCH($L3067,分录回款!$L:$L,0)),"")</f>
        <v/>
      </c>
      <c r="G3067" s="69" t="str">
        <f aca="false">IFERROR(INDEX(分录回款!$I:$I,MATCH($L3067,分录回款!$L:$L,0)),"")</f>
        <v/>
      </c>
      <c r="H3067" s="23"/>
      <c r="I3067" s="70"/>
      <c r="L3067" s="71" t="n">
        <f aca="false">IF(助手回款!$R$206="",-1,助手回款!$R$206*100+(助手回款!$S$206-1)*6+2)</f>
        <v>-1</v>
      </c>
    </row>
    <row r="3068" customFormat="false" ht="23.25" hidden="false" customHeight="true" outlineLevel="0" collapsed="false">
      <c r="B3068" s="67" t="str">
        <f aca="false">""</f>
        <v/>
      </c>
      <c r="C3068" s="67"/>
      <c r="D3068" s="23" t="str">
        <f aca="false">IFERROR(INDEX(分录回款!$E:$E,MATCH($L3068,分录回款!$L:$L,0)),"")</f>
        <v/>
      </c>
      <c r="E3068" s="23" t="str">
        <f aca="false">IFERROR(INDEX(分录回款!$F:$F,MATCH($L3068,分录回款!$L:$L,0)),"")</f>
        <v/>
      </c>
      <c r="F3068" s="68" t="str">
        <f aca="false">IFERROR(INDEX(分录回款!$H:$H,MATCH($L3068,分录回款!$L:$L,0)),"")</f>
        <v/>
      </c>
      <c r="G3068" s="69" t="str">
        <f aca="false">IFERROR(INDEX(分录回款!$I:$I,MATCH($L3068,分录回款!$L:$L,0)),"")</f>
        <v/>
      </c>
      <c r="H3068" s="23"/>
      <c r="I3068" s="70"/>
      <c r="L3068" s="71" t="n">
        <f aca="false">IF(助手回款!$R$206="",-1,助手回款!$R$206*100+(助手回款!$S$206-1)*6+3)</f>
        <v>-1</v>
      </c>
    </row>
    <row r="3069" customFormat="false" ht="23.25" hidden="false" customHeight="true" outlineLevel="0" collapsed="false">
      <c r="B3069" s="67" t="str">
        <f aca="false">""</f>
        <v/>
      </c>
      <c r="C3069" s="67"/>
      <c r="D3069" s="23" t="str">
        <f aca="false">IFERROR(INDEX(分录回款!$E:$E,MATCH($L3069,分录回款!$L:$L,0)),"")</f>
        <v/>
      </c>
      <c r="E3069" s="23" t="str">
        <f aca="false">IFERROR(INDEX(分录回款!$F:$F,MATCH($L3069,分录回款!$L:$L,0)),"")</f>
        <v/>
      </c>
      <c r="F3069" s="68" t="str">
        <f aca="false">IFERROR(INDEX(分录回款!$H:$H,MATCH($L3069,分录回款!$L:$L,0)),"")</f>
        <v/>
      </c>
      <c r="G3069" s="69" t="str">
        <f aca="false">IFERROR(INDEX(分录回款!$I:$I,MATCH($L3069,分录回款!$L:$L,0)),"")</f>
        <v/>
      </c>
      <c r="H3069" s="23"/>
      <c r="I3069" s="70"/>
      <c r="L3069" s="71" t="n">
        <f aca="false">IF(助手回款!$R$206="",-1,助手回款!$R$206*100+(助手回款!$S$206-1)*6+4)</f>
        <v>-1</v>
      </c>
    </row>
    <row r="3070" customFormat="false" ht="23.25" hidden="false" customHeight="true" outlineLevel="0" collapsed="false">
      <c r="B3070" s="67" t="str">
        <f aca="false">""</f>
        <v/>
      </c>
      <c r="C3070" s="67"/>
      <c r="D3070" s="23" t="str">
        <f aca="false">IFERROR(INDEX(分录回款!$E:$E,MATCH($L3070,分录回款!$L:$L,0)),"")</f>
        <v/>
      </c>
      <c r="E3070" s="23" t="str">
        <f aca="false">IFERROR(INDEX(分录回款!$F:$F,MATCH($L3070,分录回款!$L:$L,0)),"")</f>
        <v/>
      </c>
      <c r="F3070" s="68" t="str">
        <f aca="false">IFERROR(INDEX(分录回款!$H:$H,MATCH($L3070,分录回款!$L:$L,0)),"")</f>
        <v/>
      </c>
      <c r="G3070" s="69" t="str">
        <f aca="false">IFERROR(INDEX(分录回款!$I:$I,MATCH($L3070,分录回款!$L:$L,0)),"")</f>
        <v/>
      </c>
      <c r="H3070" s="23"/>
      <c r="I3070" s="70"/>
      <c r="L3070" s="71" t="n">
        <f aca="false">IF(助手回款!$R$206="",-1,助手回款!$R$206*100+(助手回款!$S$206-1)*6+5)</f>
        <v>-1</v>
      </c>
    </row>
    <row r="3071" customFormat="false" ht="23.25" hidden="false" customHeight="true" outlineLevel="0" collapsed="false">
      <c r="B3071" s="67" t="str">
        <f aca="false">""</f>
        <v/>
      </c>
      <c r="C3071" s="67"/>
      <c r="D3071" s="23" t="str">
        <f aca="false">IFERROR(INDEX(分录回款!$E:$E,MATCH($L3071,分录回款!$L:$L,0)),"")</f>
        <v/>
      </c>
      <c r="E3071" s="23" t="str">
        <f aca="false">IFERROR(INDEX(分录回款!$F:$F,MATCH($L3071,分录回款!$L:$L,0)),"")</f>
        <v/>
      </c>
      <c r="F3071" s="68" t="str">
        <f aca="false">IFERROR(INDEX(分录回款!$H:$H,MATCH($L3071,分录回款!$L:$L,0)),"")</f>
        <v/>
      </c>
      <c r="G3071" s="69" t="str">
        <f aca="false">IFERROR(INDEX(分录回款!$I:$I,MATCH($L3071,分录回款!$L:$L,0)),"")</f>
        <v/>
      </c>
      <c r="H3071" s="23"/>
      <c r="I3071" s="70"/>
      <c r="L3071" s="71" t="n">
        <f aca="false">IF(助手回款!$R$206="",-1,助手回款!$R$206*100+(助手回款!$S$206-1)*6+6)</f>
        <v>-1</v>
      </c>
    </row>
    <row r="3072" customFormat="false" ht="23.25" hidden="false" customHeight="true" outlineLevel="0" collapsed="false">
      <c r="B3072" s="72" t="str">
        <f aca="false">IF(助手回款!$T$206=1,"合计：","")</f>
        <v/>
      </c>
      <c r="C3072" s="73" t="str">
        <f aca="false">IF(助手回款!$T$206=1,$F3072,"")</f>
        <v/>
      </c>
      <c r="D3072" s="74"/>
      <c r="E3072" s="74"/>
      <c r="F3072" s="75" t="str">
        <f aca="false">IF(助手回款!$T$206=1,INDEX(助手回款!$N$2:$N$66,助手回款!$R$206),"")</f>
        <v/>
      </c>
      <c r="G3072" s="76" t="str">
        <f aca="false">IF(助手回款!$T$206=1,INDEX(助手回款!$O$2:$O$66,助手回款!$R$206),"")</f>
        <v/>
      </c>
      <c r="H3072" s="74"/>
      <c r="I3072" s="77"/>
    </row>
    <row r="3073" customFormat="false" ht="6" hidden="false" customHeight="true" outlineLevel="0" collapsed="false"/>
    <row r="3074" customFormat="false" ht="13.5" hidden="false" customHeight="false" outlineLevel="0" collapsed="false">
      <c r="B3074" s="78" t="str">
        <f aca="false">IF(助手回款!$R$206&lt;&gt;"","会计主管：","")</f>
        <v/>
      </c>
      <c r="D3074" s="78" t="str">
        <f aca="false">IF(助手回款!$R$206&lt;&gt;"","会计：","")</f>
        <v/>
      </c>
      <c r="E3074" s="78" t="str">
        <f aca="false">IF(助手回款!$R$206&lt;&gt;"","出纳：","")</f>
        <v/>
      </c>
      <c r="F3074" s="78" t="str">
        <f aca="false">IF(助手回款!$R$206&lt;&gt;"","复核：","")</f>
        <v/>
      </c>
      <c r="G3074" s="78" t="str">
        <f aca="false">IF(助手回款!$R$206&lt;&gt;"","制单：","")</f>
        <v/>
      </c>
    </row>
    <row r="3075" customFormat="false" ht="3" hidden="false" customHeight="true" outlineLevel="0" collapsed="false"/>
    <row r="3076" customFormat="false" ht="19.5" hidden="false" customHeight="true" outlineLevel="0" collapsed="false">
      <c r="B3076" s="53" t="str">
        <f aca="false">IF(助手回款!$R$207&lt;&gt;"","记  账  凭  证","")</f>
        <v/>
      </c>
      <c r="C3076" s="53"/>
      <c r="D3076" s="53"/>
      <c r="E3076" s="53"/>
      <c r="F3076" s="53"/>
      <c r="G3076" s="53"/>
      <c r="H3076" s="53"/>
      <c r="I3076" s="53"/>
    </row>
    <row r="3077" customFormat="false" ht="3" hidden="false" customHeight="true" outlineLevel="0" collapsed="false"/>
    <row r="3078" customFormat="false" ht="15" hidden="false" customHeight="true" outlineLevel="0" collapsed="false">
      <c r="C3078" s="56" t="str">
        <f aca="false">IF(助手回款!$R$207&lt;&gt;"",INDEX(助手回款!$B$2:$B$66,助手回款!$R$207),"")</f>
        <v/>
      </c>
      <c r="D3078" s="57" t="str">
        <f aca="false">IF(助手回款!$R$207&lt;&gt;"",参数!$B$2,"")</f>
        <v/>
      </c>
      <c r="E3078" s="57"/>
      <c r="F3078" s="58" t="str">
        <f aca="false">IF(助手回款!$R$207&lt;&gt;"",INDEX(助手回款!$C$2:$C$66,助手回款!$R$207)&amp;"  字第 "&amp;IF(参数!$B$9="是",INDEX(助手回款!$P$2:$P$66,助手回款!$R$207),"　　　　")&amp;" 号"&amp;IF(INDEX(助手回款!$L$2:$L$66,助手回款!$R$207)&gt;1,"  (共"&amp;INDEX(助手回款!$L$2:$L$66,助手回款!$R$207)&amp;"页 第"&amp;助手回款!$S$207&amp;"页)",""),"")</f>
        <v/>
      </c>
      <c r="G3078" s="58"/>
      <c r="H3078" s="58"/>
      <c r="I3078" s="58"/>
      <c r="M3078" s="79" t="str">
        <f aca="false">IF(助手回款!$R$207="","",助手回款!$Q$207)</f>
        <v/>
      </c>
      <c r="N3078" s="80" t="str">
        <f aca="false">IF(助手回款!$R$207="","",INDEX(助手回款!$P$2:$P$66,助手回款!$R$207))</f>
        <v/>
      </c>
      <c r="O3078" s="55" t="str">
        <f aca="false">IF(助手回款!$R$207="","",INDEX(助手回款!$C$2:$C$66,助手回款!$R$207)&amp;"  字第 "&amp;INDEX(助手回款!$P$2:$P$66,助手回款!$R$207)&amp;" 号"&amp;IF(INDEX(助手回款!$L$2:$L$66,助手回款!$R$207)&gt;1,"  (共"&amp;INDEX(助手回款!$L$2:$L$66,助手回款!$R$207)&amp;"页 第"&amp;助手回款!$S$207&amp;"页)",""))</f>
        <v/>
      </c>
    </row>
    <row r="3079" customFormat="false" ht="12.75" hidden="false" customHeight="true" outlineLevel="0" collapsed="false">
      <c r="B3079" s="61" t="str">
        <f aca="false">IF(助手回款!$R$207&lt;&gt;"","摘　　要","")</f>
        <v/>
      </c>
      <c r="C3079" s="61"/>
      <c r="D3079" s="62" t="str">
        <f aca="false">IF(助手回款!$R$207&lt;&gt;"","科　　　　目","")</f>
        <v/>
      </c>
      <c r="E3079" s="62"/>
      <c r="F3079" s="61" t="str">
        <f aca="false">IF(助手回款!$R$207&lt;&gt;"","借 方 金 额","")</f>
        <v/>
      </c>
      <c r="G3079" s="62" t="str">
        <f aca="false">IF(助手回款!$R$207&lt;&gt;"","贷 方 金 额","")</f>
        <v/>
      </c>
      <c r="H3079" s="63" t="str">
        <f aca="false">IF(助手回款!$R$207&lt;&gt;"","√","")</f>
        <v/>
      </c>
      <c r="I3079" s="64" t="str">
        <f aca="false">IF(助手回款!$R$207&lt;&gt;"","附单据  张","")</f>
        <v/>
      </c>
    </row>
    <row r="3080" customFormat="false" ht="12.75" hidden="false" customHeight="true" outlineLevel="0" collapsed="false">
      <c r="B3080" s="61"/>
      <c r="C3080" s="61"/>
      <c r="D3080" s="23" t="str">
        <f aca="false">IF(助手回款!$R$207&lt;&gt;"","总 账 科 目","")</f>
        <v/>
      </c>
      <c r="E3080" s="23" t="str">
        <f aca="false">IF(助手回款!$R$207&lt;&gt;"","明 细 科 目","")</f>
        <v/>
      </c>
      <c r="F3080" s="65"/>
      <c r="G3080" s="66"/>
      <c r="H3080" s="63"/>
      <c r="I3080" s="64"/>
    </row>
    <row r="3081" customFormat="false" ht="23.25" hidden="false" customHeight="true" outlineLevel="0" collapsed="false">
      <c r="B3081" s="67" t="str">
        <f aca="false">IFERROR(INDEX(分录回款!$M:$M,MATCH($L3081,分录回款!$L:$L,0)),"")</f>
        <v/>
      </c>
      <c r="C3081" s="67"/>
      <c r="D3081" s="23" t="str">
        <f aca="false">IFERROR(INDEX(分录回款!$E:$E,MATCH($L3081,分录回款!$L:$L,0)),"")</f>
        <v/>
      </c>
      <c r="E3081" s="23" t="str">
        <f aca="false">IFERROR(INDEX(分录回款!$F:$F,MATCH($L3081,分录回款!$L:$L,0)),"")</f>
        <v/>
      </c>
      <c r="F3081" s="68" t="str">
        <f aca="false">IFERROR(INDEX(分录回款!$H:$H,MATCH($L3081,分录回款!$L:$L,0)),"")</f>
        <v/>
      </c>
      <c r="G3081" s="69" t="str">
        <f aca="false">IFERROR(INDEX(分录回款!$I:$I,MATCH($L3081,分录回款!$L:$L,0)),"")</f>
        <v/>
      </c>
      <c r="H3081" s="23"/>
      <c r="I3081" s="70"/>
      <c r="L3081" s="71" t="n">
        <f aca="false">IF(助手回款!$R$207="",-1,助手回款!$R$207*100+(助手回款!$S$207-1)*6+1)</f>
        <v>-1</v>
      </c>
    </row>
    <row r="3082" customFormat="false" ht="23.25" hidden="false" customHeight="true" outlineLevel="0" collapsed="false">
      <c r="B3082" s="67" t="str">
        <f aca="false">""</f>
        <v/>
      </c>
      <c r="C3082" s="67"/>
      <c r="D3082" s="23" t="str">
        <f aca="false">IFERROR(INDEX(分录回款!$E:$E,MATCH($L3082,分录回款!$L:$L,0)),"")</f>
        <v/>
      </c>
      <c r="E3082" s="23" t="str">
        <f aca="false">IFERROR(INDEX(分录回款!$F:$F,MATCH($L3082,分录回款!$L:$L,0)),"")</f>
        <v/>
      </c>
      <c r="F3082" s="68" t="str">
        <f aca="false">IFERROR(INDEX(分录回款!$H:$H,MATCH($L3082,分录回款!$L:$L,0)),"")</f>
        <v/>
      </c>
      <c r="G3082" s="69" t="str">
        <f aca="false">IFERROR(INDEX(分录回款!$I:$I,MATCH($L3082,分录回款!$L:$L,0)),"")</f>
        <v/>
      </c>
      <c r="H3082" s="23"/>
      <c r="I3082" s="70"/>
      <c r="L3082" s="71" t="n">
        <f aca="false">IF(助手回款!$R$207="",-1,助手回款!$R$207*100+(助手回款!$S$207-1)*6+2)</f>
        <v>-1</v>
      </c>
    </row>
    <row r="3083" customFormat="false" ht="23.25" hidden="false" customHeight="true" outlineLevel="0" collapsed="false">
      <c r="B3083" s="67" t="str">
        <f aca="false">""</f>
        <v/>
      </c>
      <c r="C3083" s="67"/>
      <c r="D3083" s="23" t="str">
        <f aca="false">IFERROR(INDEX(分录回款!$E:$E,MATCH($L3083,分录回款!$L:$L,0)),"")</f>
        <v/>
      </c>
      <c r="E3083" s="23" t="str">
        <f aca="false">IFERROR(INDEX(分录回款!$F:$F,MATCH($L3083,分录回款!$L:$L,0)),"")</f>
        <v/>
      </c>
      <c r="F3083" s="68" t="str">
        <f aca="false">IFERROR(INDEX(分录回款!$H:$H,MATCH($L3083,分录回款!$L:$L,0)),"")</f>
        <v/>
      </c>
      <c r="G3083" s="69" t="str">
        <f aca="false">IFERROR(INDEX(分录回款!$I:$I,MATCH($L3083,分录回款!$L:$L,0)),"")</f>
        <v/>
      </c>
      <c r="H3083" s="23"/>
      <c r="I3083" s="70"/>
      <c r="L3083" s="71" t="n">
        <f aca="false">IF(助手回款!$R$207="",-1,助手回款!$R$207*100+(助手回款!$S$207-1)*6+3)</f>
        <v>-1</v>
      </c>
    </row>
    <row r="3084" customFormat="false" ht="23.25" hidden="false" customHeight="true" outlineLevel="0" collapsed="false">
      <c r="B3084" s="67" t="str">
        <f aca="false">""</f>
        <v/>
      </c>
      <c r="C3084" s="67"/>
      <c r="D3084" s="23" t="str">
        <f aca="false">IFERROR(INDEX(分录回款!$E:$E,MATCH($L3084,分录回款!$L:$L,0)),"")</f>
        <v/>
      </c>
      <c r="E3084" s="23" t="str">
        <f aca="false">IFERROR(INDEX(分录回款!$F:$F,MATCH($L3084,分录回款!$L:$L,0)),"")</f>
        <v/>
      </c>
      <c r="F3084" s="68" t="str">
        <f aca="false">IFERROR(INDEX(分录回款!$H:$H,MATCH($L3084,分录回款!$L:$L,0)),"")</f>
        <v/>
      </c>
      <c r="G3084" s="69" t="str">
        <f aca="false">IFERROR(INDEX(分录回款!$I:$I,MATCH($L3084,分录回款!$L:$L,0)),"")</f>
        <v/>
      </c>
      <c r="H3084" s="23"/>
      <c r="I3084" s="70"/>
      <c r="L3084" s="71" t="n">
        <f aca="false">IF(助手回款!$R$207="",-1,助手回款!$R$207*100+(助手回款!$S$207-1)*6+4)</f>
        <v>-1</v>
      </c>
    </row>
    <row r="3085" customFormat="false" ht="23.25" hidden="false" customHeight="true" outlineLevel="0" collapsed="false">
      <c r="B3085" s="67" t="str">
        <f aca="false">""</f>
        <v/>
      </c>
      <c r="C3085" s="67"/>
      <c r="D3085" s="23" t="str">
        <f aca="false">IFERROR(INDEX(分录回款!$E:$E,MATCH($L3085,分录回款!$L:$L,0)),"")</f>
        <v/>
      </c>
      <c r="E3085" s="23" t="str">
        <f aca="false">IFERROR(INDEX(分录回款!$F:$F,MATCH($L3085,分录回款!$L:$L,0)),"")</f>
        <v/>
      </c>
      <c r="F3085" s="68" t="str">
        <f aca="false">IFERROR(INDEX(分录回款!$H:$H,MATCH($L3085,分录回款!$L:$L,0)),"")</f>
        <v/>
      </c>
      <c r="G3085" s="69" t="str">
        <f aca="false">IFERROR(INDEX(分录回款!$I:$I,MATCH($L3085,分录回款!$L:$L,0)),"")</f>
        <v/>
      </c>
      <c r="H3085" s="23"/>
      <c r="I3085" s="70"/>
      <c r="L3085" s="71" t="n">
        <f aca="false">IF(助手回款!$R$207="",-1,助手回款!$R$207*100+(助手回款!$S$207-1)*6+5)</f>
        <v>-1</v>
      </c>
    </row>
    <row r="3086" customFormat="false" ht="23.25" hidden="false" customHeight="true" outlineLevel="0" collapsed="false">
      <c r="B3086" s="67" t="str">
        <f aca="false">""</f>
        <v/>
      </c>
      <c r="C3086" s="67"/>
      <c r="D3086" s="23" t="str">
        <f aca="false">IFERROR(INDEX(分录回款!$E:$E,MATCH($L3086,分录回款!$L:$L,0)),"")</f>
        <v/>
      </c>
      <c r="E3086" s="23" t="str">
        <f aca="false">IFERROR(INDEX(分录回款!$F:$F,MATCH($L3086,分录回款!$L:$L,0)),"")</f>
        <v/>
      </c>
      <c r="F3086" s="68" t="str">
        <f aca="false">IFERROR(INDEX(分录回款!$H:$H,MATCH($L3086,分录回款!$L:$L,0)),"")</f>
        <v/>
      </c>
      <c r="G3086" s="69" t="str">
        <f aca="false">IFERROR(INDEX(分录回款!$I:$I,MATCH($L3086,分录回款!$L:$L,0)),"")</f>
        <v/>
      </c>
      <c r="H3086" s="23"/>
      <c r="I3086" s="70"/>
      <c r="L3086" s="71" t="n">
        <f aca="false">IF(助手回款!$R$207="",-1,助手回款!$R$207*100+(助手回款!$S$207-1)*6+6)</f>
        <v>-1</v>
      </c>
    </row>
    <row r="3087" customFormat="false" ht="23.25" hidden="false" customHeight="true" outlineLevel="0" collapsed="false">
      <c r="B3087" s="72" t="str">
        <f aca="false">IF(助手回款!$T$207=1,"合计：","")</f>
        <v/>
      </c>
      <c r="C3087" s="73" t="str">
        <f aca="false">IF(助手回款!$T$207=1,$F3087,"")</f>
        <v/>
      </c>
      <c r="D3087" s="74"/>
      <c r="E3087" s="74"/>
      <c r="F3087" s="75" t="str">
        <f aca="false">IF(助手回款!$T$207=1,INDEX(助手回款!$N$2:$N$66,助手回款!$R$207),"")</f>
        <v/>
      </c>
      <c r="G3087" s="76" t="str">
        <f aca="false">IF(助手回款!$T$207=1,INDEX(助手回款!$O$2:$O$66,助手回款!$R$207),"")</f>
        <v/>
      </c>
      <c r="H3087" s="74"/>
      <c r="I3087" s="77"/>
    </row>
    <row r="3088" customFormat="false" ht="6" hidden="false" customHeight="true" outlineLevel="0" collapsed="false"/>
    <row r="3089" customFormat="false" ht="13.5" hidden="false" customHeight="false" outlineLevel="0" collapsed="false">
      <c r="B3089" s="78" t="str">
        <f aca="false">IF(助手回款!$R$207&lt;&gt;"","会计主管：","")</f>
        <v/>
      </c>
      <c r="D3089" s="78" t="str">
        <f aca="false">IF(助手回款!$R$207&lt;&gt;"","会计：","")</f>
        <v/>
      </c>
      <c r="E3089" s="78" t="str">
        <f aca="false">IF(助手回款!$R$207&lt;&gt;"","出纳：","")</f>
        <v/>
      </c>
      <c r="F3089" s="78" t="str">
        <f aca="false">IF(助手回款!$R$207&lt;&gt;"","复核：","")</f>
        <v/>
      </c>
      <c r="G3089" s="78" t="str">
        <f aca="false">IF(助手回款!$R$207&lt;&gt;"","制单：","")</f>
        <v/>
      </c>
    </row>
    <row r="3090" customFormat="false" ht="3" hidden="false" customHeight="true" outlineLevel="0" collapsed="false"/>
    <row r="3091" customFormat="false" ht="19.5" hidden="false" customHeight="true" outlineLevel="0" collapsed="false">
      <c r="B3091" s="53" t="str">
        <f aca="false">IF(助手回款!$R$208&lt;&gt;"","记  账  凭  证","")</f>
        <v/>
      </c>
      <c r="C3091" s="53"/>
      <c r="D3091" s="53"/>
      <c r="E3091" s="53"/>
      <c r="F3091" s="53"/>
      <c r="G3091" s="53"/>
      <c r="H3091" s="53"/>
      <c r="I3091" s="53"/>
    </row>
    <row r="3092" customFormat="false" ht="3" hidden="false" customHeight="true" outlineLevel="0" collapsed="false"/>
    <row r="3093" customFormat="false" ht="15" hidden="false" customHeight="true" outlineLevel="0" collapsed="false">
      <c r="C3093" s="56" t="str">
        <f aca="false">IF(助手回款!$R$208&lt;&gt;"",INDEX(助手回款!$B$2:$B$66,助手回款!$R$208),"")</f>
        <v/>
      </c>
      <c r="D3093" s="57" t="str">
        <f aca="false">IF(助手回款!$R$208&lt;&gt;"",参数!$B$2,"")</f>
        <v/>
      </c>
      <c r="E3093" s="57"/>
      <c r="F3093" s="58" t="str">
        <f aca="false">IF(助手回款!$R$208&lt;&gt;"",INDEX(助手回款!$C$2:$C$66,助手回款!$R$208)&amp;"  字第 "&amp;IF(参数!$B$9="是",INDEX(助手回款!$P$2:$P$66,助手回款!$R$208),"　　　　")&amp;" 号"&amp;IF(INDEX(助手回款!$L$2:$L$66,助手回款!$R$208)&gt;1,"  (共"&amp;INDEX(助手回款!$L$2:$L$66,助手回款!$R$208)&amp;"页 第"&amp;助手回款!$S$208&amp;"页)",""),"")</f>
        <v/>
      </c>
      <c r="G3093" s="58"/>
      <c r="H3093" s="58"/>
      <c r="I3093" s="58"/>
      <c r="M3093" s="79" t="str">
        <f aca="false">IF(助手回款!$R$208="","",助手回款!$Q$208)</f>
        <v/>
      </c>
      <c r="N3093" s="80" t="str">
        <f aca="false">IF(助手回款!$R$208="","",INDEX(助手回款!$P$2:$P$66,助手回款!$R$208))</f>
        <v/>
      </c>
      <c r="O3093" s="55" t="str">
        <f aca="false">IF(助手回款!$R$208="","",INDEX(助手回款!$C$2:$C$66,助手回款!$R$208)&amp;"  字第 "&amp;INDEX(助手回款!$P$2:$P$66,助手回款!$R$208)&amp;" 号"&amp;IF(INDEX(助手回款!$L$2:$L$66,助手回款!$R$208)&gt;1,"  (共"&amp;INDEX(助手回款!$L$2:$L$66,助手回款!$R$208)&amp;"页 第"&amp;助手回款!$S$208&amp;"页)",""))</f>
        <v/>
      </c>
    </row>
    <row r="3094" customFormat="false" ht="12.75" hidden="false" customHeight="true" outlineLevel="0" collapsed="false">
      <c r="B3094" s="61" t="str">
        <f aca="false">IF(助手回款!$R$208&lt;&gt;"","摘　　要","")</f>
        <v/>
      </c>
      <c r="C3094" s="61"/>
      <c r="D3094" s="62" t="str">
        <f aca="false">IF(助手回款!$R$208&lt;&gt;"","科　　　　目","")</f>
        <v/>
      </c>
      <c r="E3094" s="62"/>
      <c r="F3094" s="61" t="str">
        <f aca="false">IF(助手回款!$R$208&lt;&gt;"","借 方 金 额","")</f>
        <v/>
      </c>
      <c r="G3094" s="62" t="str">
        <f aca="false">IF(助手回款!$R$208&lt;&gt;"","贷 方 金 额","")</f>
        <v/>
      </c>
      <c r="H3094" s="63" t="str">
        <f aca="false">IF(助手回款!$R$208&lt;&gt;"","√","")</f>
        <v/>
      </c>
      <c r="I3094" s="64" t="str">
        <f aca="false">IF(助手回款!$R$208&lt;&gt;"","附单据  张","")</f>
        <v/>
      </c>
    </row>
    <row r="3095" customFormat="false" ht="12.75" hidden="false" customHeight="true" outlineLevel="0" collapsed="false">
      <c r="B3095" s="61"/>
      <c r="C3095" s="61"/>
      <c r="D3095" s="23" t="str">
        <f aca="false">IF(助手回款!$R$208&lt;&gt;"","总 账 科 目","")</f>
        <v/>
      </c>
      <c r="E3095" s="23" t="str">
        <f aca="false">IF(助手回款!$R$208&lt;&gt;"","明 细 科 目","")</f>
        <v/>
      </c>
      <c r="F3095" s="65"/>
      <c r="G3095" s="66"/>
      <c r="H3095" s="63"/>
      <c r="I3095" s="64"/>
    </row>
    <row r="3096" customFormat="false" ht="23.25" hidden="false" customHeight="true" outlineLevel="0" collapsed="false">
      <c r="B3096" s="67" t="str">
        <f aca="false">IFERROR(INDEX(分录回款!$M:$M,MATCH($L3096,分录回款!$L:$L,0)),"")</f>
        <v/>
      </c>
      <c r="C3096" s="67"/>
      <c r="D3096" s="23" t="str">
        <f aca="false">IFERROR(INDEX(分录回款!$E:$E,MATCH($L3096,分录回款!$L:$L,0)),"")</f>
        <v/>
      </c>
      <c r="E3096" s="23" t="str">
        <f aca="false">IFERROR(INDEX(分录回款!$F:$F,MATCH($L3096,分录回款!$L:$L,0)),"")</f>
        <v/>
      </c>
      <c r="F3096" s="68" t="str">
        <f aca="false">IFERROR(INDEX(分录回款!$H:$H,MATCH($L3096,分录回款!$L:$L,0)),"")</f>
        <v/>
      </c>
      <c r="G3096" s="69" t="str">
        <f aca="false">IFERROR(INDEX(分录回款!$I:$I,MATCH($L3096,分录回款!$L:$L,0)),"")</f>
        <v/>
      </c>
      <c r="H3096" s="23"/>
      <c r="I3096" s="70"/>
      <c r="L3096" s="71" t="n">
        <f aca="false">IF(助手回款!$R$208="",-1,助手回款!$R$208*100+(助手回款!$S$208-1)*6+1)</f>
        <v>-1</v>
      </c>
    </row>
    <row r="3097" customFormat="false" ht="23.25" hidden="false" customHeight="true" outlineLevel="0" collapsed="false">
      <c r="B3097" s="67" t="str">
        <f aca="false">""</f>
        <v/>
      </c>
      <c r="C3097" s="67"/>
      <c r="D3097" s="23" t="str">
        <f aca="false">IFERROR(INDEX(分录回款!$E:$E,MATCH($L3097,分录回款!$L:$L,0)),"")</f>
        <v/>
      </c>
      <c r="E3097" s="23" t="str">
        <f aca="false">IFERROR(INDEX(分录回款!$F:$F,MATCH($L3097,分录回款!$L:$L,0)),"")</f>
        <v/>
      </c>
      <c r="F3097" s="68" t="str">
        <f aca="false">IFERROR(INDEX(分录回款!$H:$H,MATCH($L3097,分录回款!$L:$L,0)),"")</f>
        <v/>
      </c>
      <c r="G3097" s="69" t="str">
        <f aca="false">IFERROR(INDEX(分录回款!$I:$I,MATCH($L3097,分录回款!$L:$L,0)),"")</f>
        <v/>
      </c>
      <c r="H3097" s="23"/>
      <c r="I3097" s="70"/>
      <c r="L3097" s="71" t="n">
        <f aca="false">IF(助手回款!$R$208="",-1,助手回款!$R$208*100+(助手回款!$S$208-1)*6+2)</f>
        <v>-1</v>
      </c>
    </row>
    <row r="3098" customFormat="false" ht="23.25" hidden="false" customHeight="true" outlineLevel="0" collapsed="false">
      <c r="B3098" s="67" t="str">
        <f aca="false">""</f>
        <v/>
      </c>
      <c r="C3098" s="67"/>
      <c r="D3098" s="23" t="str">
        <f aca="false">IFERROR(INDEX(分录回款!$E:$E,MATCH($L3098,分录回款!$L:$L,0)),"")</f>
        <v/>
      </c>
      <c r="E3098" s="23" t="str">
        <f aca="false">IFERROR(INDEX(分录回款!$F:$F,MATCH($L3098,分录回款!$L:$L,0)),"")</f>
        <v/>
      </c>
      <c r="F3098" s="68" t="str">
        <f aca="false">IFERROR(INDEX(分录回款!$H:$H,MATCH($L3098,分录回款!$L:$L,0)),"")</f>
        <v/>
      </c>
      <c r="G3098" s="69" t="str">
        <f aca="false">IFERROR(INDEX(分录回款!$I:$I,MATCH($L3098,分录回款!$L:$L,0)),"")</f>
        <v/>
      </c>
      <c r="H3098" s="23"/>
      <c r="I3098" s="70"/>
      <c r="L3098" s="71" t="n">
        <f aca="false">IF(助手回款!$R$208="",-1,助手回款!$R$208*100+(助手回款!$S$208-1)*6+3)</f>
        <v>-1</v>
      </c>
    </row>
    <row r="3099" customFormat="false" ht="23.25" hidden="false" customHeight="true" outlineLevel="0" collapsed="false">
      <c r="B3099" s="67" t="str">
        <f aca="false">""</f>
        <v/>
      </c>
      <c r="C3099" s="67"/>
      <c r="D3099" s="23" t="str">
        <f aca="false">IFERROR(INDEX(分录回款!$E:$E,MATCH($L3099,分录回款!$L:$L,0)),"")</f>
        <v/>
      </c>
      <c r="E3099" s="23" t="str">
        <f aca="false">IFERROR(INDEX(分录回款!$F:$F,MATCH($L3099,分录回款!$L:$L,0)),"")</f>
        <v/>
      </c>
      <c r="F3099" s="68" t="str">
        <f aca="false">IFERROR(INDEX(分录回款!$H:$H,MATCH($L3099,分录回款!$L:$L,0)),"")</f>
        <v/>
      </c>
      <c r="G3099" s="69" t="str">
        <f aca="false">IFERROR(INDEX(分录回款!$I:$I,MATCH($L3099,分录回款!$L:$L,0)),"")</f>
        <v/>
      </c>
      <c r="H3099" s="23"/>
      <c r="I3099" s="70"/>
      <c r="L3099" s="71" t="n">
        <f aca="false">IF(助手回款!$R$208="",-1,助手回款!$R$208*100+(助手回款!$S$208-1)*6+4)</f>
        <v>-1</v>
      </c>
    </row>
    <row r="3100" customFormat="false" ht="23.25" hidden="false" customHeight="true" outlineLevel="0" collapsed="false">
      <c r="B3100" s="67" t="str">
        <f aca="false">""</f>
        <v/>
      </c>
      <c r="C3100" s="67"/>
      <c r="D3100" s="23" t="str">
        <f aca="false">IFERROR(INDEX(分录回款!$E:$E,MATCH($L3100,分录回款!$L:$L,0)),"")</f>
        <v/>
      </c>
      <c r="E3100" s="23" t="str">
        <f aca="false">IFERROR(INDEX(分录回款!$F:$F,MATCH($L3100,分录回款!$L:$L,0)),"")</f>
        <v/>
      </c>
      <c r="F3100" s="68" t="str">
        <f aca="false">IFERROR(INDEX(分录回款!$H:$H,MATCH($L3100,分录回款!$L:$L,0)),"")</f>
        <v/>
      </c>
      <c r="G3100" s="69" t="str">
        <f aca="false">IFERROR(INDEX(分录回款!$I:$I,MATCH($L3100,分录回款!$L:$L,0)),"")</f>
        <v/>
      </c>
      <c r="H3100" s="23"/>
      <c r="I3100" s="70"/>
      <c r="L3100" s="71" t="n">
        <f aca="false">IF(助手回款!$R$208="",-1,助手回款!$R$208*100+(助手回款!$S$208-1)*6+5)</f>
        <v>-1</v>
      </c>
    </row>
    <row r="3101" customFormat="false" ht="23.25" hidden="false" customHeight="true" outlineLevel="0" collapsed="false">
      <c r="B3101" s="67" t="str">
        <f aca="false">""</f>
        <v/>
      </c>
      <c r="C3101" s="67"/>
      <c r="D3101" s="23" t="str">
        <f aca="false">IFERROR(INDEX(分录回款!$E:$E,MATCH($L3101,分录回款!$L:$L,0)),"")</f>
        <v/>
      </c>
      <c r="E3101" s="23" t="str">
        <f aca="false">IFERROR(INDEX(分录回款!$F:$F,MATCH($L3101,分录回款!$L:$L,0)),"")</f>
        <v/>
      </c>
      <c r="F3101" s="68" t="str">
        <f aca="false">IFERROR(INDEX(分录回款!$H:$H,MATCH($L3101,分录回款!$L:$L,0)),"")</f>
        <v/>
      </c>
      <c r="G3101" s="69" t="str">
        <f aca="false">IFERROR(INDEX(分录回款!$I:$I,MATCH($L3101,分录回款!$L:$L,0)),"")</f>
        <v/>
      </c>
      <c r="H3101" s="23"/>
      <c r="I3101" s="70"/>
      <c r="L3101" s="71" t="n">
        <f aca="false">IF(助手回款!$R$208="",-1,助手回款!$R$208*100+(助手回款!$S$208-1)*6+6)</f>
        <v>-1</v>
      </c>
    </row>
    <row r="3102" customFormat="false" ht="23.25" hidden="false" customHeight="true" outlineLevel="0" collapsed="false">
      <c r="B3102" s="72" t="str">
        <f aca="false">IF(助手回款!$T$208=1,"合计：","")</f>
        <v/>
      </c>
      <c r="C3102" s="73" t="str">
        <f aca="false">IF(助手回款!$T$208=1,$F3102,"")</f>
        <v/>
      </c>
      <c r="D3102" s="74"/>
      <c r="E3102" s="74"/>
      <c r="F3102" s="75" t="str">
        <f aca="false">IF(助手回款!$T$208=1,INDEX(助手回款!$N$2:$N$66,助手回款!$R$208),"")</f>
        <v/>
      </c>
      <c r="G3102" s="76" t="str">
        <f aca="false">IF(助手回款!$T$208=1,INDEX(助手回款!$O$2:$O$66,助手回款!$R$208),"")</f>
        <v/>
      </c>
      <c r="H3102" s="74"/>
      <c r="I3102" s="77"/>
    </row>
    <row r="3103" customFormat="false" ht="6" hidden="false" customHeight="true" outlineLevel="0" collapsed="false"/>
    <row r="3104" customFormat="false" ht="13.5" hidden="false" customHeight="false" outlineLevel="0" collapsed="false">
      <c r="B3104" s="78" t="str">
        <f aca="false">IF(助手回款!$R$208&lt;&gt;"","会计主管：","")</f>
        <v/>
      </c>
      <c r="D3104" s="78" t="str">
        <f aca="false">IF(助手回款!$R$208&lt;&gt;"","会计：","")</f>
        <v/>
      </c>
      <c r="E3104" s="78" t="str">
        <f aca="false">IF(助手回款!$R$208&lt;&gt;"","出纳：","")</f>
        <v/>
      </c>
      <c r="F3104" s="78" t="str">
        <f aca="false">IF(助手回款!$R$208&lt;&gt;"","复核：","")</f>
        <v/>
      </c>
      <c r="G3104" s="78" t="str">
        <f aca="false">IF(助手回款!$R$208&lt;&gt;"","制单：","")</f>
        <v/>
      </c>
    </row>
    <row r="3105" customFormat="false" ht="3" hidden="false" customHeight="true" outlineLevel="0" collapsed="false"/>
    <row r="3106" customFormat="false" ht="19.5" hidden="false" customHeight="true" outlineLevel="0" collapsed="false">
      <c r="B3106" s="53" t="str">
        <f aca="false">IF(助手回款!$R$209&lt;&gt;"","记  账  凭  证","")</f>
        <v/>
      </c>
      <c r="C3106" s="53"/>
      <c r="D3106" s="53"/>
      <c r="E3106" s="53"/>
      <c r="F3106" s="53"/>
      <c r="G3106" s="53"/>
      <c r="H3106" s="53"/>
      <c r="I3106" s="53"/>
    </row>
    <row r="3107" customFormat="false" ht="3" hidden="false" customHeight="true" outlineLevel="0" collapsed="false"/>
    <row r="3108" customFormat="false" ht="15" hidden="false" customHeight="true" outlineLevel="0" collapsed="false">
      <c r="C3108" s="56" t="str">
        <f aca="false">IF(助手回款!$R$209&lt;&gt;"",INDEX(助手回款!$B$2:$B$66,助手回款!$R$209),"")</f>
        <v/>
      </c>
      <c r="D3108" s="57" t="str">
        <f aca="false">IF(助手回款!$R$209&lt;&gt;"",参数!$B$2,"")</f>
        <v/>
      </c>
      <c r="E3108" s="57"/>
      <c r="F3108" s="58" t="str">
        <f aca="false">IF(助手回款!$R$209&lt;&gt;"",INDEX(助手回款!$C$2:$C$66,助手回款!$R$209)&amp;"  字第 "&amp;IF(参数!$B$9="是",INDEX(助手回款!$P$2:$P$66,助手回款!$R$209),"　　　　")&amp;" 号"&amp;IF(INDEX(助手回款!$L$2:$L$66,助手回款!$R$209)&gt;1,"  (共"&amp;INDEX(助手回款!$L$2:$L$66,助手回款!$R$209)&amp;"页 第"&amp;助手回款!$S$209&amp;"页)",""),"")</f>
        <v/>
      </c>
      <c r="G3108" s="58"/>
      <c r="H3108" s="58"/>
      <c r="I3108" s="58"/>
      <c r="M3108" s="79" t="str">
        <f aca="false">IF(助手回款!$R$209="","",助手回款!$Q$209)</f>
        <v/>
      </c>
      <c r="N3108" s="80" t="str">
        <f aca="false">IF(助手回款!$R$209="","",INDEX(助手回款!$P$2:$P$66,助手回款!$R$209))</f>
        <v/>
      </c>
      <c r="O3108" s="55" t="str">
        <f aca="false">IF(助手回款!$R$209="","",INDEX(助手回款!$C$2:$C$66,助手回款!$R$209)&amp;"  字第 "&amp;INDEX(助手回款!$P$2:$P$66,助手回款!$R$209)&amp;" 号"&amp;IF(INDEX(助手回款!$L$2:$L$66,助手回款!$R$209)&gt;1,"  (共"&amp;INDEX(助手回款!$L$2:$L$66,助手回款!$R$209)&amp;"页 第"&amp;助手回款!$S$209&amp;"页)",""))</f>
        <v/>
      </c>
    </row>
    <row r="3109" customFormat="false" ht="12.75" hidden="false" customHeight="true" outlineLevel="0" collapsed="false">
      <c r="B3109" s="61" t="str">
        <f aca="false">IF(助手回款!$R$209&lt;&gt;"","摘　　要","")</f>
        <v/>
      </c>
      <c r="C3109" s="61"/>
      <c r="D3109" s="62" t="str">
        <f aca="false">IF(助手回款!$R$209&lt;&gt;"","科　　　　目","")</f>
        <v/>
      </c>
      <c r="E3109" s="62"/>
      <c r="F3109" s="61" t="str">
        <f aca="false">IF(助手回款!$R$209&lt;&gt;"","借 方 金 额","")</f>
        <v/>
      </c>
      <c r="G3109" s="62" t="str">
        <f aca="false">IF(助手回款!$R$209&lt;&gt;"","贷 方 金 额","")</f>
        <v/>
      </c>
      <c r="H3109" s="63" t="str">
        <f aca="false">IF(助手回款!$R$209&lt;&gt;"","√","")</f>
        <v/>
      </c>
      <c r="I3109" s="64" t="str">
        <f aca="false">IF(助手回款!$R$209&lt;&gt;"","附单据  张","")</f>
        <v/>
      </c>
    </row>
    <row r="3110" customFormat="false" ht="12.75" hidden="false" customHeight="true" outlineLevel="0" collapsed="false">
      <c r="B3110" s="61"/>
      <c r="C3110" s="61"/>
      <c r="D3110" s="23" t="str">
        <f aca="false">IF(助手回款!$R$209&lt;&gt;"","总 账 科 目","")</f>
        <v/>
      </c>
      <c r="E3110" s="23" t="str">
        <f aca="false">IF(助手回款!$R$209&lt;&gt;"","明 细 科 目","")</f>
        <v/>
      </c>
      <c r="F3110" s="65"/>
      <c r="G3110" s="66"/>
      <c r="H3110" s="63"/>
      <c r="I3110" s="64"/>
    </row>
    <row r="3111" customFormat="false" ht="23.25" hidden="false" customHeight="true" outlineLevel="0" collapsed="false">
      <c r="B3111" s="67" t="str">
        <f aca="false">IFERROR(INDEX(分录回款!$M:$M,MATCH($L3111,分录回款!$L:$L,0)),"")</f>
        <v/>
      </c>
      <c r="C3111" s="67"/>
      <c r="D3111" s="23" t="str">
        <f aca="false">IFERROR(INDEX(分录回款!$E:$E,MATCH($L3111,分录回款!$L:$L,0)),"")</f>
        <v/>
      </c>
      <c r="E3111" s="23" t="str">
        <f aca="false">IFERROR(INDEX(分录回款!$F:$F,MATCH($L3111,分录回款!$L:$L,0)),"")</f>
        <v/>
      </c>
      <c r="F3111" s="68" t="str">
        <f aca="false">IFERROR(INDEX(分录回款!$H:$H,MATCH($L3111,分录回款!$L:$L,0)),"")</f>
        <v/>
      </c>
      <c r="G3111" s="69" t="str">
        <f aca="false">IFERROR(INDEX(分录回款!$I:$I,MATCH($L3111,分录回款!$L:$L,0)),"")</f>
        <v/>
      </c>
      <c r="H3111" s="23"/>
      <c r="I3111" s="70"/>
      <c r="L3111" s="71" t="n">
        <f aca="false">IF(助手回款!$R$209="",-1,助手回款!$R$209*100+(助手回款!$S$209-1)*6+1)</f>
        <v>-1</v>
      </c>
    </row>
    <row r="3112" customFormat="false" ht="23.25" hidden="false" customHeight="true" outlineLevel="0" collapsed="false">
      <c r="B3112" s="67" t="str">
        <f aca="false">""</f>
        <v/>
      </c>
      <c r="C3112" s="67"/>
      <c r="D3112" s="23" t="str">
        <f aca="false">IFERROR(INDEX(分录回款!$E:$E,MATCH($L3112,分录回款!$L:$L,0)),"")</f>
        <v/>
      </c>
      <c r="E3112" s="23" t="str">
        <f aca="false">IFERROR(INDEX(分录回款!$F:$F,MATCH($L3112,分录回款!$L:$L,0)),"")</f>
        <v/>
      </c>
      <c r="F3112" s="68" t="str">
        <f aca="false">IFERROR(INDEX(分录回款!$H:$H,MATCH($L3112,分录回款!$L:$L,0)),"")</f>
        <v/>
      </c>
      <c r="G3112" s="69" t="str">
        <f aca="false">IFERROR(INDEX(分录回款!$I:$I,MATCH($L3112,分录回款!$L:$L,0)),"")</f>
        <v/>
      </c>
      <c r="H3112" s="23"/>
      <c r="I3112" s="70"/>
      <c r="L3112" s="71" t="n">
        <f aca="false">IF(助手回款!$R$209="",-1,助手回款!$R$209*100+(助手回款!$S$209-1)*6+2)</f>
        <v>-1</v>
      </c>
    </row>
    <row r="3113" customFormat="false" ht="23.25" hidden="false" customHeight="true" outlineLevel="0" collapsed="false">
      <c r="B3113" s="67" t="str">
        <f aca="false">""</f>
        <v/>
      </c>
      <c r="C3113" s="67"/>
      <c r="D3113" s="23" t="str">
        <f aca="false">IFERROR(INDEX(分录回款!$E:$E,MATCH($L3113,分录回款!$L:$L,0)),"")</f>
        <v/>
      </c>
      <c r="E3113" s="23" t="str">
        <f aca="false">IFERROR(INDEX(分录回款!$F:$F,MATCH($L3113,分录回款!$L:$L,0)),"")</f>
        <v/>
      </c>
      <c r="F3113" s="68" t="str">
        <f aca="false">IFERROR(INDEX(分录回款!$H:$H,MATCH($L3113,分录回款!$L:$L,0)),"")</f>
        <v/>
      </c>
      <c r="G3113" s="69" t="str">
        <f aca="false">IFERROR(INDEX(分录回款!$I:$I,MATCH($L3113,分录回款!$L:$L,0)),"")</f>
        <v/>
      </c>
      <c r="H3113" s="23"/>
      <c r="I3113" s="70"/>
      <c r="L3113" s="71" t="n">
        <f aca="false">IF(助手回款!$R$209="",-1,助手回款!$R$209*100+(助手回款!$S$209-1)*6+3)</f>
        <v>-1</v>
      </c>
    </row>
    <row r="3114" customFormat="false" ht="23.25" hidden="false" customHeight="true" outlineLevel="0" collapsed="false">
      <c r="B3114" s="67" t="str">
        <f aca="false">""</f>
        <v/>
      </c>
      <c r="C3114" s="67"/>
      <c r="D3114" s="23" t="str">
        <f aca="false">IFERROR(INDEX(分录回款!$E:$E,MATCH($L3114,分录回款!$L:$L,0)),"")</f>
        <v/>
      </c>
      <c r="E3114" s="23" t="str">
        <f aca="false">IFERROR(INDEX(分录回款!$F:$F,MATCH($L3114,分录回款!$L:$L,0)),"")</f>
        <v/>
      </c>
      <c r="F3114" s="68" t="str">
        <f aca="false">IFERROR(INDEX(分录回款!$H:$H,MATCH($L3114,分录回款!$L:$L,0)),"")</f>
        <v/>
      </c>
      <c r="G3114" s="69" t="str">
        <f aca="false">IFERROR(INDEX(分录回款!$I:$I,MATCH($L3114,分录回款!$L:$L,0)),"")</f>
        <v/>
      </c>
      <c r="H3114" s="23"/>
      <c r="I3114" s="70"/>
      <c r="L3114" s="71" t="n">
        <f aca="false">IF(助手回款!$R$209="",-1,助手回款!$R$209*100+(助手回款!$S$209-1)*6+4)</f>
        <v>-1</v>
      </c>
    </row>
    <row r="3115" customFormat="false" ht="23.25" hidden="false" customHeight="true" outlineLevel="0" collapsed="false">
      <c r="B3115" s="67" t="str">
        <f aca="false">""</f>
        <v/>
      </c>
      <c r="C3115" s="67"/>
      <c r="D3115" s="23" t="str">
        <f aca="false">IFERROR(INDEX(分录回款!$E:$E,MATCH($L3115,分录回款!$L:$L,0)),"")</f>
        <v/>
      </c>
      <c r="E3115" s="23" t="str">
        <f aca="false">IFERROR(INDEX(分录回款!$F:$F,MATCH($L3115,分录回款!$L:$L,0)),"")</f>
        <v/>
      </c>
      <c r="F3115" s="68" t="str">
        <f aca="false">IFERROR(INDEX(分录回款!$H:$H,MATCH($L3115,分录回款!$L:$L,0)),"")</f>
        <v/>
      </c>
      <c r="G3115" s="69" t="str">
        <f aca="false">IFERROR(INDEX(分录回款!$I:$I,MATCH($L3115,分录回款!$L:$L,0)),"")</f>
        <v/>
      </c>
      <c r="H3115" s="23"/>
      <c r="I3115" s="70"/>
      <c r="L3115" s="71" t="n">
        <f aca="false">IF(助手回款!$R$209="",-1,助手回款!$R$209*100+(助手回款!$S$209-1)*6+5)</f>
        <v>-1</v>
      </c>
    </row>
    <row r="3116" customFormat="false" ht="23.25" hidden="false" customHeight="true" outlineLevel="0" collapsed="false">
      <c r="B3116" s="67" t="str">
        <f aca="false">""</f>
        <v/>
      </c>
      <c r="C3116" s="67"/>
      <c r="D3116" s="23" t="str">
        <f aca="false">IFERROR(INDEX(分录回款!$E:$E,MATCH($L3116,分录回款!$L:$L,0)),"")</f>
        <v/>
      </c>
      <c r="E3116" s="23" t="str">
        <f aca="false">IFERROR(INDEX(分录回款!$F:$F,MATCH($L3116,分录回款!$L:$L,0)),"")</f>
        <v/>
      </c>
      <c r="F3116" s="68" t="str">
        <f aca="false">IFERROR(INDEX(分录回款!$H:$H,MATCH($L3116,分录回款!$L:$L,0)),"")</f>
        <v/>
      </c>
      <c r="G3116" s="69" t="str">
        <f aca="false">IFERROR(INDEX(分录回款!$I:$I,MATCH($L3116,分录回款!$L:$L,0)),"")</f>
        <v/>
      </c>
      <c r="H3116" s="23"/>
      <c r="I3116" s="70"/>
      <c r="L3116" s="71" t="n">
        <f aca="false">IF(助手回款!$R$209="",-1,助手回款!$R$209*100+(助手回款!$S$209-1)*6+6)</f>
        <v>-1</v>
      </c>
    </row>
    <row r="3117" customFormat="false" ht="23.25" hidden="false" customHeight="true" outlineLevel="0" collapsed="false">
      <c r="B3117" s="72" t="str">
        <f aca="false">IF(助手回款!$T$209=1,"合计：","")</f>
        <v/>
      </c>
      <c r="C3117" s="73" t="str">
        <f aca="false">IF(助手回款!$T$209=1,$F3117,"")</f>
        <v/>
      </c>
      <c r="D3117" s="74"/>
      <c r="E3117" s="74"/>
      <c r="F3117" s="75" t="str">
        <f aca="false">IF(助手回款!$T$209=1,INDEX(助手回款!$N$2:$N$66,助手回款!$R$209),"")</f>
        <v/>
      </c>
      <c r="G3117" s="76" t="str">
        <f aca="false">IF(助手回款!$T$209=1,INDEX(助手回款!$O$2:$O$66,助手回款!$R$209),"")</f>
        <v/>
      </c>
      <c r="H3117" s="74"/>
      <c r="I3117" s="77"/>
    </row>
    <row r="3118" customFormat="false" ht="6" hidden="false" customHeight="true" outlineLevel="0" collapsed="false"/>
    <row r="3119" customFormat="false" ht="13.5" hidden="false" customHeight="false" outlineLevel="0" collapsed="false">
      <c r="B3119" s="78" t="str">
        <f aca="false">IF(助手回款!$R$209&lt;&gt;"","会计主管：","")</f>
        <v/>
      </c>
      <c r="D3119" s="78" t="str">
        <f aca="false">IF(助手回款!$R$209&lt;&gt;"","会计：","")</f>
        <v/>
      </c>
      <c r="E3119" s="78" t="str">
        <f aca="false">IF(助手回款!$R$209&lt;&gt;"","出纳：","")</f>
        <v/>
      </c>
      <c r="F3119" s="78" t="str">
        <f aca="false">IF(助手回款!$R$209&lt;&gt;"","复核：","")</f>
        <v/>
      </c>
      <c r="G3119" s="78" t="str">
        <f aca="false">IF(助手回款!$R$209&lt;&gt;"","制单：","")</f>
        <v/>
      </c>
    </row>
    <row r="3120" customFormat="false" ht="3" hidden="false" customHeight="true" outlineLevel="0" collapsed="false"/>
    <row r="3121" customFormat="false" ht="19.5" hidden="false" customHeight="true" outlineLevel="0" collapsed="false">
      <c r="B3121" s="53" t="str">
        <f aca="false">IF(助手回款!$R$210&lt;&gt;"","记  账  凭  证","")</f>
        <v/>
      </c>
      <c r="C3121" s="53"/>
      <c r="D3121" s="53"/>
      <c r="E3121" s="53"/>
      <c r="F3121" s="53"/>
      <c r="G3121" s="53"/>
      <c r="H3121" s="53"/>
      <c r="I3121" s="53"/>
    </row>
    <row r="3122" customFormat="false" ht="3" hidden="false" customHeight="true" outlineLevel="0" collapsed="false"/>
    <row r="3123" customFormat="false" ht="15" hidden="false" customHeight="true" outlineLevel="0" collapsed="false">
      <c r="C3123" s="56" t="str">
        <f aca="false">IF(助手回款!$R$210&lt;&gt;"",INDEX(助手回款!$B$2:$B$66,助手回款!$R$210),"")</f>
        <v/>
      </c>
      <c r="D3123" s="57" t="str">
        <f aca="false">IF(助手回款!$R$210&lt;&gt;"",参数!$B$2,"")</f>
        <v/>
      </c>
      <c r="E3123" s="57"/>
      <c r="F3123" s="58" t="str">
        <f aca="false">IF(助手回款!$R$210&lt;&gt;"",INDEX(助手回款!$C$2:$C$66,助手回款!$R$210)&amp;"  字第 "&amp;IF(参数!$B$9="是",INDEX(助手回款!$P$2:$P$66,助手回款!$R$210),"　　　　")&amp;" 号"&amp;IF(INDEX(助手回款!$L$2:$L$66,助手回款!$R$210)&gt;1,"  (共"&amp;INDEX(助手回款!$L$2:$L$66,助手回款!$R$210)&amp;"页 第"&amp;助手回款!$S$210&amp;"页)",""),"")</f>
        <v/>
      </c>
      <c r="G3123" s="58"/>
      <c r="H3123" s="58"/>
      <c r="I3123" s="58"/>
      <c r="M3123" s="79" t="str">
        <f aca="false">IF(助手回款!$R$210="","",助手回款!$Q$210)</f>
        <v/>
      </c>
      <c r="N3123" s="80" t="str">
        <f aca="false">IF(助手回款!$R$210="","",INDEX(助手回款!$P$2:$P$66,助手回款!$R$210))</f>
        <v/>
      </c>
      <c r="O3123" s="55" t="str">
        <f aca="false">IF(助手回款!$R$210="","",INDEX(助手回款!$C$2:$C$66,助手回款!$R$210)&amp;"  字第 "&amp;INDEX(助手回款!$P$2:$P$66,助手回款!$R$210)&amp;" 号"&amp;IF(INDEX(助手回款!$L$2:$L$66,助手回款!$R$210)&gt;1,"  (共"&amp;INDEX(助手回款!$L$2:$L$66,助手回款!$R$210)&amp;"页 第"&amp;助手回款!$S$210&amp;"页)",""))</f>
        <v/>
      </c>
    </row>
    <row r="3124" customFormat="false" ht="12.75" hidden="false" customHeight="true" outlineLevel="0" collapsed="false">
      <c r="B3124" s="61" t="str">
        <f aca="false">IF(助手回款!$R$210&lt;&gt;"","摘　　要","")</f>
        <v/>
      </c>
      <c r="C3124" s="61"/>
      <c r="D3124" s="62" t="str">
        <f aca="false">IF(助手回款!$R$210&lt;&gt;"","科　　　　目","")</f>
        <v/>
      </c>
      <c r="E3124" s="62"/>
      <c r="F3124" s="61" t="str">
        <f aca="false">IF(助手回款!$R$210&lt;&gt;"","借 方 金 额","")</f>
        <v/>
      </c>
      <c r="G3124" s="62" t="str">
        <f aca="false">IF(助手回款!$R$210&lt;&gt;"","贷 方 金 额","")</f>
        <v/>
      </c>
      <c r="H3124" s="63" t="str">
        <f aca="false">IF(助手回款!$R$210&lt;&gt;"","√","")</f>
        <v/>
      </c>
      <c r="I3124" s="64" t="str">
        <f aca="false">IF(助手回款!$R$210&lt;&gt;"","附单据  张","")</f>
        <v/>
      </c>
    </row>
    <row r="3125" customFormat="false" ht="12.75" hidden="false" customHeight="true" outlineLevel="0" collapsed="false">
      <c r="B3125" s="61"/>
      <c r="C3125" s="61"/>
      <c r="D3125" s="23" t="str">
        <f aca="false">IF(助手回款!$R$210&lt;&gt;"","总 账 科 目","")</f>
        <v/>
      </c>
      <c r="E3125" s="23" t="str">
        <f aca="false">IF(助手回款!$R$210&lt;&gt;"","明 细 科 目","")</f>
        <v/>
      </c>
      <c r="F3125" s="65"/>
      <c r="G3125" s="66"/>
      <c r="H3125" s="63"/>
      <c r="I3125" s="64"/>
    </row>
    <row r="3126" customFormat="false" ht="23.25" hidden="false" customHeight="true" outlineLevel="0" collapsed="false">
      <c r="B3126" s="67" t="str">
        <f aca="false">IFERROR(INDEX(分录回款!$M:$M,MATCH($L3126,分录回款!$L:$L,0)),"")</f>
        <v/>
      </c>
      <c r="C3126" s="67"/>
      <c r="D3126" s="23" t="str">
        <f aca="false">IFERROR(INDEX(分录回款!$E:$E,MATCH($L3126,分录回款!$L:$L,0)),"")</f>
        <v/>
      </c>
      <c r="E3126" s="23" t="str">
        <f aca="false">IFERROR(INDEX(分录回款!$F:$F,MATCH($L3126,分录回款!$L:$L,0)),"")</f>
        <v/>
      </c>
      <c r="F3126" s="68" t="str">
        <f aca="false">IFERROR(INDEX(分录回款!$H:$H,MATCH($L3126,分录回款!$L:$L,0)),"")</f>
        <v/>
      </c>
      <c r="G3126" s="69" t="str">
        <f aca="false">IFERROR(INDEX(分录回款!$I:$I,MATCH($L3126,分录回款!$L:$L,0)),"")</f>
        <v/>
      </c>
      <c r="H3126" s="23"/>
      <c r="I3126" s="70"/>
      <c r="L3126" s="71" t="n">
        <f aca="false">IF(助手回款!$R$210="",-1,助手回款!$R$210*100+(助手回款!$S$210-1)*6+1)</f>
        <v>-1</v>
      </c>
    </row>
    <row r="3127" customFormat="false" ht="23.25" hidden="false" customHeight="true" outlineLevel="0" collapsed="false">
      <c r="B3127" s="67" t="str">
        <f aca="false">""</f>
        <v/>
      </c>
      <c r="C3127" s="67"/>
      <c r="D3127" s="23" t="str">
        <f aca="false">IFERROR(INDEX(分录回款!$E:$E,MATCH($L3127,分录回款!$L:$L,0)),"")</f>
        <v/>
      </c>
      <c r="E3127" s="23" t="str">
        <f aca="false">IFERROR(INDEX(分录回款!$F:$F,MATCH($L3127,分录回款!$L:$L,0)),"")</f>
        <v/>
      </c>
      <c r="F3127" s="68" t="str">
        <f aca="false">IFERROR(INDEX(分录回款!$H:$H,MATCH($L3127,分录回款!$L:$L,0)),"")</f>
        <v/>
      </c>
      <c r="G3127" s="69" t="str">
        <f aca="false">IFERROR(INDEX(分录回款!$I:$I,MATCH($L3127,分录回款!$L:$L,0)),"")</f>
        <v/>
      </c>
      <c r="H3127" s="23"/>
      <c r="I3127" s="70"/>
      <c r="L3127" s="71" t="n">
        <f aca="false">IF(助手回款!$R$210="",-1,助手回款!$R$210*100+(助手回款!$S$210-1)*6+2)</f>
        <v>-1</v>
      </c>
    </row>
    <row r="3128" customFormat="false" ht="23.25" hidden="false" customHeight="true" outlineLevel="0" collapsed="false">
      <c r="B3128" s="67" t="str">
        <f aca="false">""</f>
        <v/>
      </c>
      <c r="C3128" s="67"/>
      <c r="D3128" s="23" t="str">
        <f aca="false">IFERROR(INDEX(分录回款!$E:$E,MATCH($L3128,分录回款!$L:$L,0)),"")</f>
        <v/>
      </c>
      <c r="E3128" s="23" t="str">
        <f aca="false">IFERROR(INDEX(分录回款!$F:$F,MATCH($L3128,分录回款!$L:$L,0)),"")</f>
        <v/>
      </c>
      <c r="F3128" s="68" t="str">
        <f aca="false">IFERROR(INDEX(分录回款!$H:$H,MATCH($L3128,分录回款!$L:$L,0)),"")</f>
        <v/>
      </c>
      <c r="G3128" s="69" t="str">
        <f aca="false">IFERROR(INDEX(分录回款!$I:$I,MATCH($L3128,分录回款!$L:$L,0)),"")</f>
        <v/>
      </c>
      <c r="H3128" s="23"/>
      <c r="I3128" s="70"/>
      <c r="L3128" s="71" t="n">
        <f aca="false">IF(助手回款!$R$210="",-1,助手回款!$R$210*100+(助手回款!$S$210-1)*6+3)</f>
        <v>-1</v>
      </c>
    </row>
    <row r="3129" customFormat="false" ht="23.25" hidden="false" customHeight="true" outlineLevel="0" collapsed="false">
      <c r="B3129" s="67" t="str">
        <f aca="false">""</f>
        <v/>
      </c>
      <c r="C3129" s="67"/>
      <c r="D3129" s="23" t="str">
        <f aca="false">IFERROR(INDEX(分录回款!$E:$E,MATCH($L3129,分录回款!$L:$L,0)),"")</f>
        <v/>
      </c>
      <c r="E3129" s="23" t="str">
        <f aca="false">IFERROR(INDEX(分录回款!$F:$F,MATCH($L3129,分录回款!$L:$L,0)),"")</f>
        <v/>
      </c>
      <c r="F3129" s="68" t="str">
        <f aca="false">IFERROR(INDEX(分录回款!$H:$H,MATCH($L3129,分录回款!$L:$L,0)),"")</f>
        <v/>
      </c>
      <c r="G3129" s="69" t="str">
        <f aca="false">IFERROR(INDEX(分录回款!$I:$I,MATCH($L3129,分录回款!$L:$L,0)),"")</f>
        <v/>
      </c>
      <c r="H3129" s="23"/>
      <c r="I3129" s="70"/>
      <c r="L3129" s="71" t="n">
        <f aca="false">IF(助手回款!$R$210="",-1,助手回款!$R$210*100+(助手回款!$S$210-1)*6+4)</f>
        <v>-1</v>
      </c>
    </row>
    <row r="3130" customFormat="false" ht="23.25" hidden="false" customHeight="true" outlineLevel="0" collapsed="false">
      <c r="B3130" s="67" t="str">
        <f aca="false">""</f>
        <v/>
      </c>
      <c r="C3130" s="67"/>
      <c r="D3130" s="23" t="str">
        <f aca="false">IFERROR(INDEX(分录回款!$E:$E,MATCH($L3130,分录回款!$L:$L,0)),"")</f>
        <v/>
      </c>
      <c r="E3130" s="23" t="str">
        <f aca="false">IFERROR(INDEX(分录回款!$F:$F,MATCH($L3130,分录回款!$L:$L,0)),"")</f>
        <v/>
      </c>
      <c r="F3130" s="68" t="str">
        <f aca="false">IFERROR(INDEX(分录回款!$H:$H,MATCH($L3130,分录回款!$L:$L,0)),"")</f>
        <v/>
      </c>
      <c r="G3130" s="69" t="str">
        <f aca="false">IFERROR(INDEX(分录回款!$I:$I,MATCH($L3130,分录回款!$L:$L,0)),"")</f>
        <v/>
      </c>
      <c r="H3130" s="23"/>
      <c r="I3130" s="70"/>
      <c r="L3130" s="71" t="n">
        <f aca="false">IF(助手回款!$R$210="",-1,助手回款!$R$210*100+(助手回款!$S$210-1)*6+5)</f>
        <v>-1</v>
      </c>
    </row>
    <row r="3131" customFormat="false" ht="23.25" hidden="false" customHeight="true" outlineLevel="0" collapsed="false">
      <c r="B3131" s="67" t="str">
        <f aca="false">""</f>
        <v/>
      </c>
      <c r="C3131" s="67"/>
      <c r="D3131" s="23" t="str">
        <f aca="false">IFERROR(INDEX(分录回款!$E:$E,MATCH($L3131,分录回款!$L:$L,0)),"")</f>
        <v/>
      </c>
      <c r="E3131" s="23" t="str">
        <f aca="false">IFERROR(INDEX(分录回款!$F:$F,MATCH($L3131,分录回款!$L:$L,0)),"")</f>
        <v/>
      </c>
      <c r="F3131" s="68" t="str">
        <f aca="false">IFERROR(INDEX(分录回款!$H:$H,MATCH($L3131,分录回款!$L:$L,0)),"")</f>
        <v/>
      </c>
      <c r="G3131" s="69" t="str">
        <f aca="false">IFERROR(INDEX(分录回款!$I:$I,MATCH($L3131,分录回款!$L:$L,0)),"")</f>
        <v/>
      </c>
      <c r="H3131" s="23"/>
      <c r="I3131" s="70"/>
      <c r="L3131" s="71" t="n">
        <f aca="false">IF(助手回款!$R$210="",-1,助手回款!$R$210*100+(助手回款!$S$210-1)*6+6)</f>
        <v>-1</v>
      </c>
    </row>
    <row r="3132" customFormat="false" ht="23.25" hidden="false" customHeight="true" outlineLevel="0" collapsed="false">
      <c r="B3132" s="72" t="str">
        <f aca="false">IF(助手回款!$T$210=1,"合计：","")</f>
        <v/>
      </c>
      <c r="C3132" s="73" t="str">
        <f aca="false">IF(助手回款!$T$210=1,$F3132,"")</f>
        <v/>
      </c>
      <c r="D3132" s="74"/>
      <c r="E3132" s="74"/>
      <c r="F3132" s="75" t="str">
        <f aca="false">IF(助手回款!$T$210=1,INDEX(助手回款!$N$2:$N$66,助手回款!$R$210),"")</f>
        <v/>
      </c>
      <c r="G3132" s="76" t="str">
        <f aca="false">IF(助手回款!$T$210=1,INDEX(助手回款!$O$2:$O$66,助手回款!$R$210),"")</f>
        <v/>
      </c>
      <c r="H3132" s="74"/>
      <c r="I3132" s="77"/>
    </row>
    <row r="3133" customFormat="false" ht="6" hidden="false" customHeight="true" outlineLevel="0" collapsed="false"/>
    <row r="3134" customFormat="false" ht="13.5" hidden="false" customHeight="false" outlineLevel="0" collapsed="false">
      <c r="B3134" s="78" t="str">
        <f aca="false">IF(助手回款!$R$210&lt;&gt;"","会计主管：","")</f>
        <v/>
      </c>
      <c r="D3134" s="78" t="str">
        <f aca="false">IF(助手回款!$R$210&lt;&gt;"","会计：","")</f>
        <v/>
      </c>
      <c r="E3134" s="78" t="str">
        <f aca="false">IF(助手回款!$R$210&lt;&gt;"","出纳：","")</f>
        <v/>
      </c>
      <c r="F3134" s="78" t="str">
        <f aca="false">IF(助手回款!$R$210&lt;&gt;"","复核：","")</f>
        <v/>
      </c>
      <c r="G3134" s="78" t="str">
        <f aca="false">IF(助手回款!$R$210&lt;&gt;"","制单：","")</f>
        <v/>
      </c>
    </row>
    <row r="3135" customFormat="false" ht="3" hidden="false" customHeight="true" outlineLevel="0" collapsed="false"/>
    <row r="3136" customFormat="false" ht="19.5" hidden="false" customHeight="true" outlineLevel="0" collapsed="false">
      <c r="B3136" s="53" t="str">
        <f aca="false">IF(助手回款!$R$211&lt;&gt;"","记  账  凭  证","")</f>
        <v/>
      </c>
      <c r="C3136" s="53"/>
      <c r="D3136" s="53"/>
      <c r="E3136" s="53"/>
      <c r="F3136" s="53"/>
      <c r="G3136" s="53"/>
      <c r="H3136" s="53"/>
      <c r="I3136" s="53"/>
    </row>
    <row r="3137" customFormat="false" ht="3" hidden="false" customHeight="true" outlineLevel="0" collapsed="false"/>
    <row r="3138" customFormat="false" ht="15" hidden="false" customHeight="true" outlineLevel="0" collapsed="false">
      <c r="C3138" s="56" t="str">
        <f aca="false">IF(助手回款!$R$211&lt;&gt;"",INDEX(助手回款!$B$2:$B$66,助手回款!$R$211),"")</f>
        <v/>
      </c>
      <c r="D3138" s="57" t="str">
        <f aca="false">IF(助手回款!$R$211&lt;&gt;"",参数!$B$2,"")</f>
        <v/>
      </c>
      <c r="E3138" s="57"/>
      <c r="F3138" s="58" t="str">
        <f aca="false">IF(助手回款!$R$211&lt;&gt;"",INDEX(助手回款!$C$2:$C$66,助手回款!$R$211)&amp;"  字第 "&amp;IF(参数!$B$9="是",INDEX(助手回款!$P$2:$P$66,助手回款!$R$211),"　　　　")&amp;" 号"&amp;IF(INDEX(助手回款!$L$2:$L$66,助手回款!$R$211)&gt;1,"  (共"&amp;INDEX(助手回款!$L$2:$L$66,助手回款!$R$211)&amp;"页 第"&amp;助手回款!$S$211&amp;"页)",""),"")</f>
        <v/>
      </c>
      <c r="G3138" s="58"/>
      <c r="H3138" s="58"/>
      <c r="I3138" s="58"/>
      <c r="M3138" s="79" t="str">
        <f aca="false">IF(助手回款!$R$211="","",助手回款!$Q$211)</f>
        <v/>
      </c>
      <c r="N3138" s="80" t="str">
        <f aca="false">IF(助手回款!$R$211="","",INDEX(助手回款!$P$2:$P$66,助手回款!$R$211))</f>
        <v/>
      </c>
      <c r="O3138" s="55" t="str">
        <f aca="false">IF(助手回款!$R$211="","",INDEX(助手回款!$C$2:$C$66,助手回款!$R$211)&amp;"  字第 "&amp;INDEX(助手回款!$P$2:$P$66,助手回款!$R$211)&amp;" 号"&amp;IF(INDEX(助手回款!$L$2:$L$66,助手回款!$R$211)&gt;1,"  (共"&amp;INDEX(助手回款!$L$2:$L$66,助手回款!$R$211)&amp;"页 第"&amp;助手回款!$S$211&amp;"页)",""))</f>
        <v/>
      </c>
    </row>
    <row r="3139" customFormat="false" ht="12.75" hidden="false" customHeight="true" outlineLevel="0" collapsed="false">
      <c r="B3139" s="61" t="str">
        <f aca="false">IF(助手回款!$R$211&lt;&gt;"","摘　　要","")</f>
        <v/>
      </c>
      <c r="C3139" s="61"/>
      <c r="D3139" s="62" t="str">
        <f aca="false">IF(助手回款!$R$211&lt;&gt;"","科　　　　目","")</f>
        <v/>
      </c>
      <c r="E3139" s="62"/>
      <c r="F3139" s="61" t="str">
        <f aca="false">IF(助手回款!$R$211&lt;&gt;"","借 方 金 额","")</f>
        <v/>
      </c>
      <c r="G3139" s="62" t="str">
        <f aca="false">IF(助手回款!$R$211&lt;&gt;"","贷 方 金 额","")</f>
        <v/>
      </c>
      <c r="H3139" s="63" t="str">
        <f aca="false">IF(助手回款!$R$211&lt;&gt;"","√","")</f>
        <v/>
      </c>
      <c r="I3139" s="64" t="str">
        <f aca="false">IF(助手回款!$R$211&lt;&gt;"","附单据  张","")</f>
        <v/>
      </c>
    </row>
    <row r="3140" customFormat="false" ht="12.75" hidden="false" customHeight="true" outlineLevel="0" collapsed="false">
      <c r="B3140" s="61"/>
      <c r="C3140" s="61"/>
      <c r="D3140" s="23" t="str">
        <f aca="false">IF(助手回款!$R$211&lt;&gt;"","总 账 科 目","")</f>
        <v/>
      </c>
      <c r="E3140" s="23" t="str">
        <f aca="false">IF(助手回款!$R$211&lt;&gt;"","明 细 科 目","")</f>
        <v/>
      </c>
      <c r="F3140" s="65"/>
      <c r="G3140" s="66"/>
      <c r="H3140" s="63"/>
      <c r="I3140" s="64"/>
    </row>
    <row r="3141" customFormat="false" ht="23.25" hidden="false" customHeight="true" outlineLevel="0" collapsed="false">
      <c r="B3141" s="67" t="str">
        <f aca="false">IFERROR(INDEX(分录回款!$M:$M,MATCH($L3141,分录回款!$L:$L,0)),"")</f>
        <v/>
      </c>
      <c r="C3141" s="67"/>
      <c r="D3141" s="23" t="str">
        <f aca="false">IFERROR(INDEX(分录回款!$E:$E,MATCH($L3141,分录回款!$L:$L,0)),"")</f>
        <v/>
      </c>
      <c r="E3141" s="23" t="str">
        <f aca="false">IFERROR(INDEX(分录回款!$F:$F,MATCH($L3141,分录回款!$L:$L,0)),"")</f>
        <v/>
      </c>
      <c r="F3141" s="68" t="str">
        <f aca="false">IFERROR(INDEX(分录回款!$H:$H,MATCH($L3141,分录回款!$L:$L,0)),"")</f>
        <v/>
      </c>
      <c r="G3141" s="69" t="str">
        <f aca="false">IFERROR(INDEX(分录回款!$I:$I,MATCH($L3141,分录回款!$L:$L,0)),"")</f>
        <v/>
      </c>
      <c r="H3141" s="23"/>
      <c r="I3141" s="70"/>
      <c r="L3141" s="71" t="n">
        <f aca="false">IF(助手回款!$R$211="",-1,助手回款!$R$211*100+(助手回款!$S$211-1)*6+1)</f>
        <v>-1</v>
      </c>
    </row>
    <row r="3142" customFormat="false" ht="23.25" hidden="false" customHeight="true" outlineLevel="0" collapsed="false">
      <c r="B3142" s="67" t="str">
        <f aca="false">""</f>
        <v/>
      </c>
      <c r="C3142" s="67"/>
      <c r="D3142" s="23" t="str">
        <f aca="false">IFERROR(INDEX(分录回款!$E:$E,MATCH($L3142,分录回款!$L:$L,0)),"")</f>
        <v/>
      </c>
      <c r="E3142" s="23" t="str">
        <f aca="false">IFERROR(INDEX(分录回款!$F:$F,MATCH($L3142,分录回款!$L:$L,0)),"")</f>
        <v/>
      </c>
      <c r="F3142" s="68" t="str">
        <f aca="false">IFERROR(INDEX(分录回款!$H:$H,MATCH($L3142,分录回款!$L:$L,0)),"")</f>
        <v/>
      </c>
      <c r="G3142" s="69" t="str">
        <f aca="false">IFERROR(INDEX(分录回款!$I:$I,MATCH($L3142,分录回款!$L:$L,0)),"")</f>
        <v/>
      </c>
      <c r="H3142" s="23"/>
      <c r="I3142" s="70"/>
      <c r="L3142" s="71" t="n">
        <f aca="false">IF(助手回款!$R$211="",-1,助手回款!$R$211*100+(助手回款!$S$211-1)*6+2)</f>
        <v>-1</v>
      </c>
    </row>
    <row r="3143" customFormat="false" ht="23.25" hidden="false" customHeight="true" outlineLevel="0" collapsed="false">
      <c r="B3143" s="67" t="str">
        <f aca="false">""</f>
        <v/>
      </c>
      <c r="C3143" s="67"/>
      <c r="D3143" s="23" t="str">
        <f aca="false">IFERROR(INDEX(分录回款!$E:$E,MATCH($L3143,分录回款!$L:$L,0)),"")</f>
        <v/>
      </c>
      <c r="E3143" s="23" t="str">
        <f aca="false">IFERROR(INDEX(分录回款!$F:$F,MATCH($L3143,分录回款!$L:$L,0)),"")</f>
        <v/>
      </c>
      <c r="F3143" s="68" t="str">
        <f aca="false">IFERROR(INDEX(分录回款!$H:$H,MATCH($L3143,分录回款!$L:$L,0)),"")</f>
        <v/>
      </c>
      <c r="G3143" s="69" t="str">
        <f aca="false">IFERROR(INDEX(分录回款!$I:$I,MATCH($L3143,分录回款!$L:$L,0)),"")</f>
        <v/>
      </c>
      <c r="H3143" s="23"/>
      <c r="I3143" s="70"/>
      <c r="L3143" s="71" t="n">
        <f aca="false">IF(助手回款!$R$211="",-1,助手回款!$R$211*100+(助手回款!$S$211-1)*6+3)</f>
        <v>-1</v>
      </c>
    </row>
    <row r="3144" customFormat="false" ht="23.25" hidden="false" customHeight="true" outlineLevel="0" collapsed="false">
      <c r="B3144" s="67" t="str">
        <f aca="false">""</f>
        <v/>
      </c>
      <c r="C3144" s="67"/>
      <c r="D3144" s="23" t="str">
        <f aca="false">IFERROR(INDEX(分录回款!$E:$E,MATCH($L3144,分录回款!$L:$L,0)),"")</f>
        <v/>
      </c>
      <c r="E3144" s="23" t="str">
        <f aca="false">IFERROR(INDEX(分录回款!$F:$F,MATCH($L3144,分录回款!$L:$L,0)),"")</f>
        <v/>
      </c>
      <c r="F3144" s="68" t="str">
        <f aca="false">IFERROR(INDEX(分录回款!$H:$H,MATCH($L3144,分录回款!$L:$L,0)),"")</f>
        <v/>
      </c>
      <c r="G3144" s="69" t="str">
        <f aca="false">IFERROR(INDEX(分录回款!$I:$I,MATCH($L3144,分录回款!$L:$L,0)),"")</f>
        <v/>
      </c>
      <c r="H3144" s="23"/>
      <c r="I3144" s="70"/>
      <c r="L3144" s="71" t="n">
        <f aca="false">IF(助手回款!$R$211="",-1,助手回款!$R$211*100+(助手回款!$S$211-1)*6+4)</f>
        <v>-1</v>
      </c>
    </row>
    <row r="3145" customFormat="false" ht="23.25" hidden="false" customHeight="true" outlineLevel="0" collapsed="false">
      <c r="B3145" s="67" t="str">
        <f aca="false">""</f>
        <v/>
      </c>
      <c r="C3145" s="67"/>
      <c r="D3145" s="23" t="str">
        <f aca="false">IFERROR(INDEX(分录回款!$E:$E,MATCH($L3145,分录回款!$L:$L,0)),"")</f>
        <v/>
      </c>
      <c r="E3145" s="23" t="str">
        <f aca="false">IFERROR(INDEX(分录回款!$F:$F,MATCH($L3145,分录回款!$L:$L,0)),"")</f>
        <v/>
      </c>
      <c r="F3145" s="68" t="str">
        <f aca="false">IFERROR(INDEX(分录回款!$H:$H,MATCH($L3145,分录回款!$L:$L,0)),"")</f>
        <v/>
      </c>
      <c r="G3145" s="69" t="str">
        <f aca="false">IFERROR(INDEX(分录回款!$I:$I,MATCH($L3145,分录回款!$L:$L,0)),"")</f>
        <v/>
      </c>
      <c r="H3145" s="23"/>
      <c r="I3145" s="70"/>
      <c r="L3145" s="71" t="n">
        <f aca="false">IF(助手回款!$R$211="",-1,助手回款!$R$211*100+(助手回款!$S$211-1)*6+5)</f>
        <v>-1</v>
      </c>
    </row>
    <row r="3146" customFormat="false" ht="23.25" hidden="false" customHeight="true" outlineLevel="0" collapsed="false">
      <c r="B3146" s="67" t="str">
        <f aca="false">""</f>
        <v/>
      </c>
      <c r="C3146" s="67"/>
      <c r="D3146" s="23" t="str">
        <f aca="false">IFERROR(INDEX(分录回款!$E:$E,MATCH($L3146,分录回款!$L:$L,0)),"")</f>
        <v/>
      </c>
      <c r="E3146" s="23" t="str">
        <f aca="false">IFERROR(INDEX(分录回款!$F:$F,MATCH($L3146,分录回款!$L:$L,0)),"")</f>
        <v/>
      </c>
      <c r="F3146" s="68" t="str">
        <f aca="false">IFERROR(INDEX(分录回款!$H:$H,MATCH($L3146,分录回款!$L:$L,0)),"")</f>
        <v/>
      </c>
      <c r="G3146" s="69" t="str">
        <f aca="false">IFERROR(INDEX(分录回款!$I:$I,MATCH($L3146,分录回款!$L:$L,0)),"")</f>
        <v/>
      </c>
      <c r="H3146" s="23"/>
      <c r="I3146" s="70"/>
      <c r="L3146" s="71" t="n">
        <f aca="false">IF(助手回款!$R$211="",-1,助手回款!$R$211*100+(助手回款!$S$211-1)*6+6)</f>
        <v>-1</v>
      </c>
    </row>
    <row r="3147" customFormat="false" ht="23.25" hidden="false" customHeight="true" outlineLevel="0" collapsed="false">
      <c r="B3147" s="72" t="str">
        <f aca="false">IF(助手回款!$T$211=1,"合计：","")</f>
        <v/>
      </c>
      <c r="C3147" s="73" t="str">
        <f aca="false">IF(助手回款!$T$211=1,$F3147,"")</f>
        <v/>
      </c>
      <c r="D3147" s="74"/>
      <c r="E3147" s="74"/>
      <c r="F3147" s="75" t="str">
        <f aca="false">IF(助手回款!$T$211=1,INDEX(助手回款!$N$2:$N$66,助手回款!$R$211),"")</f>
        <v/>
      </c>
      <c r="G3147" s="76" t="str">
        <f aca="false">IF(助手回款!$T$211=1,INDEX(助手回款!$O$2:$O$66,助手回款!$R$211),"")</f>
        <v/>
      </c>
      <c r="H3147" s="74"/>
      <c r="I3147" s="77"/>
    </row>
    <row r="3148" customFormat="false" ht="6" hidden="false" customHeight="true" outlineLevel="0" collapsed="false"/>
    <row r="3149" customFormat="false" ht="13.5" hidden="false" customHeight="false" outlineLevel="0" collapsed="false">
      <c r="B3149" s="78" t="str">
        <f aca="false">IF(助手回款!$R$211&lt;&gt;"","会计主管：","")</f>
        <v/>
      </c>
      <c r="D3149" s="78" t="str">
        <f aca="false">IF(助手回款!$R$211&lt;&gt;"","会计：","")</f>
        <v/>
      </c>
      <c r="E3149" s="78" t="str">
        <f aca="false">IF(助手回款!$R$211&lt;&gt;"","出纳：","")</f>
        <v/>
      </c>
      <c r="F3149" s="78" t="str">
        <f aca="false">IF(助手回款!$R$211&lt;&gt;"","复核：","")</f>
        <v/>
      </c>
      <c r="G3149" s="78" t="str">
        <f aca="false">IF(助手回款!$R$211&lt;&gt;"","制单：","")</f>
        <v/>
      </c>
    </row>
    <row r="3150" customFormat="false" ht="3" hidden="false" customHeight="true" outlineLevel="0" collapsed="false"/>
  </sheetData>
  <mergeCells count="2730">
    <mergeCell ref="B1:I1"/>
    <mergeCell ref="D3:E3"/>
    <mergeCell ref="F3:I3"/>
    <mergeCell ref="B4:C5"/>
    <mergeCell ref="D4:E4"/>
    <mergeCell ref="H4:H5"/>
    <mergeCell ref="I4:I5"/>
    <mergeCell ref="B6:C6"/>
    <mergeCell ref="B7:C7"/>
    <mergeCell ref="B8:C8"/>
    <mergeCell ref="B9:C9"/>
    <mergeCell ref="B10:C10"/>
    <mergeCell ref="B11:C11"/>
    <mergeCell ref="B16:I16"/>
    <mergeCell ref="D18:E18"/>
    <mergeCell ref="F18:I18"/>
    <mergeCell ref="B19:C20"/>
    <mergeCell ref="D19:E19"/>
    <mergeCell ref="H19:H20"/>
    <mergeCell ref="I19:I20"/>
    <mergeCell ref="B21:C21"/>
    <mergeCell ref="B22:C22"/>
    <mergeCell ref="B23:C23"/>
    <mergeCell ref="B24:C24"/>
    <mergeCell ref="B25:C25"/>
    <mergeCell ref="B26:C26"/>
    <mergeCell ref="B31:I31"/>
    <mergeCell ref="D33:E33"/>
    <mergeCell ref="F33:I33"/>
    <mergeCell ref="B34:C35"/>
    <mergeCell ref="D34:E34"/>
    <mergeCell ref="H34:H35"/>
    <mergeCell ref="I34:I35"/>
    <mergeCell ref="B36:C36"/>
    <mergeCell ref="B37:C37"/>
    <mergeCell ref="B38:C38"/>
    <mergeCell ref="B39:C39"/>
    <mergeCell ref="B40:C40"/>
    <mergeCell ref="B41:C41"/>
    <mergeCell ref="B46:I46"/>
    <mergeCell ref="D48:E48"/>
    <mergeCell ref="F48:I48"/>
    <mergeCell ref="B49:C50"/>
    <mergeCell ref="D49:E49"/>
    <mergeCell ref="H49:H50"/>
    <mergeCell ref="I49:I50"/>
    <mergeCell ref="B51:C51"/>
    <mergeCell ref="B52:C52"/>
    <mergeCell ref="B53:C53"/>
    <mergeCell ref="B54:C54"/>
    <mergeCell ref="B55:C55"/>
    <mergeCell ref="B56:C56"/>
    <mergeCell ref="B61:I61"/>
    <mergeCell ref="D63:E63"/>
    <mergeCell ref="F63:I63"/>
    <mergeCell ref="B64:C65"/>
    <mergeCell ref="D64:E64"/>
    <mergeCell ref="H64:H65"/>
    <mergeCell ref="I64:I65"/>
    <mergeCell ref="B66:C66"/>
    <mergeCell ref="B67:C67"/>
    <mergeCell ref="B68:C68"/>
    <mergeCell ref="B69:C69"/>
    <mergeCell ref="B70:C70"/>
    <mergeCell ref="B71:C71"/>
    <mergeCell ref="B76:I76"/>
    <mergeCell ref="D78:E78"/>
    <mergeCell ref="F78:I78"/>
    <mergeCell ref="B79:C80"/>
    <mergeCell ref="D79:E79"/>
    <mergeCell ref="H79:H80"/>
    <mergeCell ref="I79:I80"/>
    <mergeCell ref="B81:C81"/>
    <mergeCell ref="B82:C82"/>
    <mergeCell ref="B83:C83"/>
    <mergeCell ref="B84:C84"/>
    <mergeCell ref="B85:C85"/>
    <mergeCell ref="B86:C86"/>
    <mergeCell ref="B91:I91"/>
    <mergeCell ref="D93:E93"/>
    <mergeCell ref="F93:I93"/>
    <mergeCell ref="B94:C95"/>
    <mergeCell ref="D94:E94"/>
    <mergeCell ref="H94:H95"/>
    <mergeCell ref="I94:I95"/>
    <mergeCell ref="B96:C96"/>
    <mergeCell ref="B97:C97"/>
    <mergeCell ref="B98:C98"/>
    <mergeCell ref="B99:C99"/>
    <mergeCell ref="B100:C100"/>
    <mergeCell ref="B101:C101"/>
    <mergeCell ref="B106:I106"/>
    <mergeCell ref="D108:E108"/>
    <mergeCell ref="F108:I108"/>
    <mergeCell ref="B109:C110"/>
    <mergeCell ref="D109:E109"/>
    <mergeCell ref="H109:H110"/>
    <mergeCell ref="I109:I110"/>
    <mergeCell ref="B111:C111"/>
    <mergeCell ref="B112:C112"/>
    <mergeCell ref="B113:C113"/>
    <mergeCell ref="B114:C114"/>
    <mergeCell ref="B115:C115"/>
    <mergeCell ref="B116:C116"/>
    <mergeCell ref="B121:I121"/>
    <mergeCell ref="D123:E123"/>
    <mergeCell ref="F123:I123"/>
    <mergeCell ref="B124:C125"/>
    <mergeCell ref="D124:E124"/>
    <mergeCell ref="H124:H125"/>
    <mergeCell ref="I124:I125"/>
    <mergeCell ref="B126:C126"/>
    <mergeCell ref="B127:C127"/>
    <mergeCell ref="B128:C128"/>
    <mergeCell ref="B129:C129"/>
    <mergeCell ref="B130:C130"/>
    <mergeCell ref="B131:C131"/>
    <mergeCell ref="B136:I136"/>
    <mergeCell ref="D138:E138"/>
    <mergeCell ref="F138:I138"/>
    <mergeCell ref="B139:C140"/>
    <mergeCell ref="D139:E139"/>
    <mergeCell ref="H139:H140"/>
    <mergeCell ref="I139:I140"/>
    <mergeCell ref="B141:C141"/>
    <mergeCell ref="B142:C142"/>
    <mergeCell ref="B143:C143"/>
    <mergeCell ref="B144:C144"/>
    <mergeCell ref="B145:C145"/>
    <mergeCell ref="B146:C146"/>
    <mergeCell ref="B151:I151"/>
    <mergeCell ref="D153:E153"/>
    <mergeCell ref="F153:I153"/>
    <mergeCell ref="B154:C155"/>
    <mergeCell ref="D154:E154"/>
    <mergeCell ref="H154:H155"/>
    <mergeCell ref="I154:I155"/>
    <mergeCell ref="B156:C156"/>
    <mergeCell ref="B157:C157"/>
    <mergeCell ref="B158:C158"/>
    <mergeCell ref="B159:C159"/>
    <mergeCell ref="B160:C160"/>
    <mergeCell ref="B161:C161"/>
    <mergeCell ref="B166:I166"/>
    <mergeCell ref="D168:E168"/>
    <mergeCell ref="F168:I168"/>
    <mergeCell ref="B169:C170"/>
    <mergeCell ref="D169:E169"/>
    <mergeCell ref="H169:H170"/>
    <mergeCell ref="I169:I170"/>
    <mergeCell ref="B171:C171"/>
    <mergeCell ref="B172:C172"/>
    <mergeCell ref="B173:C173"/>
    <mergeCell ref="B174:C174"/>
    <mergeCell ref="B175:C175"/>
    <mergeCell ref="B176:C176"/>
    <mergeCell ref="B181:I181"/>
    <mergeCell ref="D183:E183"/>
    <mergeCell ref="F183:I183"/>
    <mergeCell ref="B184:C185"/>
    <mergeCell ref="D184:E184"/>
    <mergeCell ref="H184:H185"/>
    <mergeCell ref="I184:I185"/>
    <mergeCell ref="B186:C186"/>
    <mergeCell ref="B187:C187"/>
    <mergeCell ref="B188:C188"/>
    <mergeCell ref="B189:C189"/>
    <mergeCell ref="B190:C190"/>
    <mergeCell ref="B191:C191"/>
    <mergeCell ref="B196:I196"/>
    <mergeCell ref="D198:E198"/>
    <mergeCell ref="F198:I198"/>
    <mergeCell ref="B199:C200"/>
    <mergeCell ref="D199:E199"/>
    <mergeCell ref="H199:H200"/>
    <mergeCell ref="I199:I200"/>
    <mergeCell ref="B201:C201"/>
    <mergeCell ref="B202:C202"/>
    <mergeCell ref="B203:C203"/>
    <mergeCell ref="B204:C204"/>
    <mergeCell ref="B205:C205"/>
    <mergeCell ref="B206:C206"/>
    <mergeCell ref="B211:I211"/>
    <mergeCell ref="D213:E213"/>
    <mergeCell ref="F213:I213"/>
    <mergeCell ref="B214:C215"/>
    <mergeCell ref="D214:E214"/>
    <mergeCell ref="H214:H215"/>
    <mergeCell ref="I214:I215"/>
    <mergeCell ref="B216:C216"/>
    <mergeCell ref="B217:C217"/>
    <mergeCell ref="B218:C218"/>
    <mergeCell ref="B219:C219"/>
    <mergeCell ref="B220:C220"/>
    <mergeCell ref="B221:C221"/>
    <mergeCell ref="B226:I226"/>
    <mergeCell ref="D228:E228"/>
    <mergeCell ref="F228:I228"/>
    <mergeCell ref="B229:C230"/>
    <mergeCell ref="D229:E229"/>
    <mergeCell ref="H229:H230"/>
    <mergeCell ref="I229:I230"/>
    <mergeCell ref="B231:C231"/>
    <mergeCell ref="B232:C232"/>
    <mergeCell ref="B233:C233"/>
    <mergeCell ref="B234:C234"/>
    <mergeCell ref="B235:C235"/>
    <mergeCell ref="B236:C236"/>
    <mergeCell ref="B241:I241"/>
    <mergeCell ref="D243:E243"/>
    <mergeCell ref="F243:I243"/>
    <mergeCell ref="B244:C245"/>
    <mergeCell ref="D244:E244"/>
    <mergeCell ref="H244:H245"/>
    <mergeCell ref="I244:I245"/>
    <mergeCell ref="B246:C246"/>
    <mergeCell ref="B247:C247"/>
    <mergeCell ref="B248:C248"/>
    <mergeCell ref="B249:C249"/>
    <mergeCell ref="B250:C250"/>
    <mergeCell ref="B251:C251"/>
    <mergeCell ref="B256:I256"/>
    <mergeCell ref="D258:E258"/>
    <mergeCell ref="F258:I258"/>
    <mergeCell ref="B259:C260"/>
    <mergeCell ref="D259:E259"/>
    <mergeCell ref="H259:H260"/>
    <mergeCell ref="I259:I260"/>
    <mergeCell ref="B261:C261"/>
    <mergeCell ref="B262:C262"/>
    <mergeCell ref="B263:C263"/>
    <mergeCell ref="B264:C264"/>
    <mergeCell ref="B265:C265"/>
    <mergeCell ref="B266:C266"/>
    <mergeCell ref="B271:I271"/>
    <mergeCell ref="D273:E273"/>
    <mergeCell ref="F273:I273"/>
    <mergeCell ref="B274:C275"/>
    <mergeCell ref="D274:E274"/>
    <mergeCell ref="H274:H275"/>
    <mergeCell ref="I274:I275"/>
    <mergeCell ref="B276:C276"/>
    <mergeCell ref="B277:C277"/>
    <mergeCell ref="B278:C278"/>
    <mergeCell ref="B279:C279"/>
    <mergeCell ref="B280:C280"/>
    <mergeCell ref="B281:C281"/>
    <mergeCell ref="B286:I286"/>
    <mergeCell ref="D288:E288"/>
    <mergeCell ref="F288:I288"/>
    <mergeCell ref="B289:C290"/>
    <mergeCell ref="D289:E289"/>
    <mergeCell ref="H289:H290"/>
    <mergeCell ref="I289:I290"/>
    <mergeCell ref="B291:C291"/>
    <mergeCell ref="B292:C292"/>
    <mergeCell ref="B293:C293"/>
    <mergeCell ref="B294:C294"/>
    <mergeCell ref="B295:C295"/>
    <mergeCell ref="B296:C296"/>
    <mergeCell ref="B301:I301"/>
    <mergeCell ref="D303:E303"/>
    <mergeCell ref="F303:I303"/>
    <mergeCell ref="B304:C305"/>
    <mergeCell ref="D304:E304"/>
    <mergeCell ref="H304:H305"/>
    <mergeCell ref="I304:I305"/>
    <mergeCell ref="B306:C306"/>
    <mergeCell ref="B307:C307"/>
    <mergeCell ref="B308:C308"/>
    <mergeCell ref="B309:C309"/>
    <mergeCell ref="B310:C310"/>
    <mergeCell ref="B311:C311"/>
    <mergeCell ref="B316:I316"/>
    <mergeCell ref="D318:E318"/>
    <mergeCell ref="F318:I318"/>
    <mergeCell ref="B319:C320"/>
    <mergeCell ref="D319:E319"/>
    <mergeCell ref="H319:H320"/>
    <mergeCell ref="I319:I320"/>
    <mergeCell ref="B321:C321"/>
    <mergeCell ref="B322:C322"/>
    <mergeCell ref="B323:C323"/>
    <mergeCell ref="B324:C324"/>
    <mergeCell ref="B325:C325"/>
    <mergeCell ref="B326:C326"/>
    <mergeCell ref="B331:I331"/>
    <mergeCell ref="D333:E333"/>
    <mergeCell ref="F333:I333"/>
    <mergeCell ref="B334:C335"/>
    <mergeCell ref="D334:E334"/>
    <mergeCell ref="H334:H335"/>
    <mergeCell ref="I334:I335"/>
    <mergeCell ref="B336:C336"/>
    <mergeCell ref="B337:C337"/>
    <mergeCell ref="B338:C338"/>
    <mergeCell ref="B339:C339"/>
    <mergeCell ref="B340:C340"/>
    <mergeCell ref="B341:C341"/>
    <mergeCell ref="B346:I346"/>
    <mergeCell ref="D348:E348"/>
    <mergeCell ref="F348:I348"/>
    <mergeCell ref="B349:C350"/>
    <mergeCell ref="D349:E349"/>
    <mergeCell ref="H349:H350"/>
    <mergeCell ref="I349:I350"/>
    <mergeCell ref="B351:C351"/>
    <mergeCell ref="B352:C352"/>
    <mergeCell ref="B353:C353"/>
    <mergeCell ref="B354:C354"/>
    <mergeCell ref="B355:C355"/>
    <mergeCell ref="B356:C356"/>
    <mergeCell ref="B361:I361"/>
    <mergeCell ref="D363:E363"/>
    <mergeCell ref="F363:I363"/>
    <mergeCell ref="B364:C365"/>
    <mergeCell ref="D364:E364"/>
    <mergeCell ref="H364:H365"/>
    <mergeCell ref="I364:I365"/>
    <mergeCell ref="B366:C366"/>
    <mergeCell ref="B367:C367"/>
    <mergeCell ref="B368:C368"/>
    <mergeCell ref="B369:C369"/>
    <mergeCell ref="B370:C370"/>
    <mergeCell ref="B371:C371"/>
    <mergeCell ref="B376:I376"/>
    <mergeCell ref="D378:E378"/>
    <mergeCell ref="F378:I378"/>
    <mergeCell ref="B379:C380"/>
    <mergeCell ref="D379:E379"/>
    <mergeCell ref="H379:H380"/>
    <mergeCell ref="I379:I380"/>
    <mergeCell ref="B381:C381"/>
    <mergeCell ref="B382:C382"/>
    <mergeCell ref="B383:C383"/>
    <mergeCell ref="B384:C384"/>
    <mergeCell ref="B385:C385"/>
    <mergeCell ref="B386:C386"/>
    <mergeCell ref="B391:I391"/>
    <mergeCell ref="D393:E393"/>
    <mergeCell ref="F393:I393"/>
    <mergeCell ref="B394:C395"/>
    <mergeCell ref="D394:E394"/>
    <mergeCell ref="H394:H395"/>
    <mergeCell ref="I394:I395"/>
    <mergeCell ref="B396:C396"/>
    <mergeCell ref="B397:C397"/>
    <mergeCell ref="B398:C398"/>
    <mergeCell ref="B399:C399"/>
    <mergeCell ref="B400:C400"/>
    <mergeCell ref="B401:C401"/>
    <mergeCell ref="B406:I406"/>
    <mergeCell ref="D408:E408"/>
    <mergeCell ref="F408:I408"/>
    <mergeCell ref="B409:C410"/>
    <mergeCell ref="D409:E409"/>
    <mergeCell ref="H409:H410"/>
    <mergeCell ref="I409:I410"/>
    <mergeCell ref="B411:C411"/>
    <mergeCell ref="B412:C412"/>
    <mergeCell ref="B413:C413"/>
    <mergeCell ref="B414:C414"/>
    <mergeCell ref="B415:C415"/>
    <mergeCell ref="B416:C416"/>
    <mergeCell ref="B421:I421"/>
    <mergeCell ref="D423:E423"/>
    <mergeCell ref="F423:I423"/>
    <mergeCell ref="B424:C425"/>
    <mergeCell ref="D424:E424"/>
    <mergeCell ref="H424:H425"/>
    <mergeCell ref="I424:I425"/>
    <mergeCell ref="B426:C426"/>
    <mergeCell ref="B427:C427"/>
    <mergeCell ref="B428:C428"/>
    <mergeCell ref="B429:C429"/>
    <mergeCell ref="B430:C430"/>
    <mergeCell ref="B431:C431"/>
    <mergeCell ref="B436:I436"/>
    <mergeCell ref="D438:E438"/>
    <mergeCell ref="F438:I438"/>
    <mergeCell ref="B439:C440"/>
    <mergeCell ref="D439:E439"/>
    <mergeCell ref="H439:H440"/>
    <mergeCell ref="I439:I440"/>
    <mergeCell ref="B441:C441"/>
    <mergeCell ref="B442:C442"/>
    <mergeCell ref="B443:C443"/>
    <mergeCell ref="B444:C444"/>
    <mergeCell ref="B445:C445"/>
    <mergeCell ref="B446:C446"/>
    <mergeCell ref="B451:I451"/>
    <mergeCell ref="D453:E453"/>
    <mergeCell ref="F453:I453"/>
    <mergeCell ref="B454:C455"/>
    <mergeCell ref="D454:E454"/>
    <mergeCell ref="H454:H455"/>
    <mergeCell ref="I454:I455"/>
    <mergeCell ref="B456:C456"/>
    <mergeCell ref="B457:C457"/>
    <mergeCell ref="B458:C458"/>
    <mergeCell ref="B459:C459"/>
    <mergeCell ref="B460:C460"/>
    <mergeCell ref="B461:C461"/>
    <mergeCell ref="B466:I466"/>
    <mergeCell ref="D468:E468"/>
    <mergeCell ref="F468:I468"/>
    <mergeCell ref="B469:C470"/>
    <mergeCell ref="D469:E469"/>
    <mergeCell ref="H469:H470"/>
    <mergeCell ref="I469:I470"/>
    <mergeCell ref="B471:C471"/>
    <mergeCell ref="B472:C472"/>
    <mergeCell ref="B473:C473"/>
    <mergeCell ref="B474:C474"/>
    <mergeCell ref="B475:C475"/>
    <mergeCell ref="B476:C476"/>
    <mergeCell ref="B481:I481"/>
    <mergeCell ref="D483:E483"/>
    <mergeCell ref="F483:I483"/>
    <mergeCell ref="B484:C485"/>
    <mergeCell ref="D484:E484"/>
    <mergeCell ref="H484:H485"/>
    <mergeCell ref="I484:I485"/>
    <mergeCell ref="B486:C486"/>
    <mergeCell ref="B487:C487"/>
    <mergeCell ref="B488:C488"/>
    <mergeCell ref="B489:C489"/>
    <mergeCell ref="B490:C490"/>
    <mergeCell ref="B491:C491"/>
    <mergeCell ref="B496:I496"/>
    <mergeCell ref="D498:E498"/>
    <mergeCell ref="F498:I498"/>
    <mergeCell ref="B499:C500"/>
    <mergeCell ref="D499:E499"/>
    <mergeCell ref="H499:H500"/>
    <mergeCell ref="I499:I500"/>
    <mergeCell ref="B501:C501"/>
    <mergeCell ref="B502:C502"/>
    <mergeCell ref="B503:C503"/>
    <mergeCell ref="B504:C504"/>
    <mergeCell ref="B505:C505"/>
    <mergeCell ref="B506:C506"/>
    <mergeCell ref="B511:I511"/>
    <mergeCell ref="D513:E513"/>
    <mergeCell ref="F513:I513"/>
    <mergeCell ref="B514:C515"/>
    <mergeCell ref="D514:E514"/>
    <mergeCell ref="H514:H515"/>
    <mergeCell ref="I514:I515"/>
    <mergeCell ref="B516:C516"/>
    <mergeCell ref="B517:C517"/>
    <mergeCell ref="B518:C518"/>
    <mergeCell ref="B519:C519"/>
    <mergeCell ref="B520:C520"/>
    <mergeCell ref="B521:C521"/>
    <mergeCell ref="B526:I526"/>
    <mergeCell ref="D528:E528"/>
    <mergeCell ref="F528:I528"/>
    <mergeCell ref="B529:C530"/>
    <mergeCell ref="D529:E529"/>
    <mergeCell ref="H529:H530"/>
    <mergeCell ref="I529:I530"/>
    <mergeCell ref="B531:C531"/>
    <mergeCell ref="B532:C532"/>
    <mergeCell ref="B533:C533"/>
    <mergeCell ref="B534:C534"/>
    <mergeCell ref="B535:C535"/>
    <mergeCell ref="B536:C536"/>
    <mergeCell ref="B541:I541"/>
    <mergeCell ref="D543:E543"/>
    <mergeCell ref="F543:I543"/>
    <mergeCell ref="B544:C545"/>
    <mergeCell ref="D544:E544"/>
    <mergeCell ref="H544:H545"/>
    <mergeCell ref="I544:I545"/>
    <mergeCell ref="B546:C546"/>
    <mergeCell ref="B547:C547"/>
    <mergeCell ref="B548:C548"/>
    <mergeCell ref="B549:C549"/>
    <mergeCell ref="B550:C550"/>
    <mergeCell ref="B551:C551"/>
    <mergeCell ref="B556:I556"/>
    <mergeCell ref="D558:E558"/>
    <mergeCell ref="F558:I558"/>
    <mergeCell ref="B559:C560"/>
    <mergeCell ref="D559:E559"/>
    <mergeCell ref="H559:H560"/>
    <mergeCell ref="I559:I560"/>
    <mergeCell ref="B561:C561"/>
    <mergeCell ref="B562:C562"/>
    <mergeCell ref="B563:C563"/>
    <mergeCell ref="B564:C564"/>
    <mergeCell ref="B565:C565"/>
    <mergeCell ref="B566:C566"/>
    <mergeCell ref="B571:I571"/>
    <mergeCell ref="D573:E573"/>
    <mergeCell ref="F573:I573"/>
    <mergeCell ref="B574:C575"/>
    <mergeCell ref="D574:E574"/>
    <mergeCell ref="H574:H575"/>
    <mergeCell ref="I574:I575"/>
    <mergeCell ref="B576:C576"/>
    <mergeCell ref="B577:C577"/>
    <mergeCell ref="B578:C578"/>
    <mergeCell ref="B579:C579"/>
    <mergeCell ref="B580:C580"/>
    <mergeCell ref="B581:C581"/>
    <mergeCell ref="B586:I586"/>
    <mergeCell ref="D588:E588"/>
    <mergeCell ref="F588:I588"/>
    <mergeCell ref="B589:C590"/>
    <mergeCell ref="D589:E589"/>
    <mergeCell ref="H589:H590"/>
    <mergeCell ref="I589:I590"/>
    <mergeCell ref="B591:C591"/>
    <mergeCell ref="B592:C592"/>
    <mergeCell ref="B593:C593"/>
    <mergeCell ref="B594:C594"/>
    <mergeCell ref="B595:C595"/>
    <mergeCell ref="B596:C596"/>
    <mergeCell ref="B601:I601"/>
    <mergeCell ref="D603:E603"/>
    <mergeCell ref="F603:I603"/>
    <mergeCell ref="B604:C605"/>
    <mergeCell ref="D604:E604"/>
    <mergeCell ref="H604:H605"/>
    <mergeCell ref="I604:I605"/>
    <mergeCell ref="B606:C606"/>
    <mergeCell ref="B607:C607"/>
    <mergeCell ref="B608:C608"/>
    <mergeCell ref="B609:C609"/>
    <mergeCell ref="B610:C610"/>
    <mergeCell ref="B611:C611"/>
    <mergeCell ref="B616:I616"/>
    <mergeCell ref="D618:E618"/>
    <mergeCell ref="F618:I618"/>
    <mergeCell ref="B619:C620"/>
    <mergeCell ref="D619:E619"/>
    <mergeCell ref="H619:H620"/>
    <mergeCell ref="I619:I620"/>
    <mergeCell ref="B621:C621"/>
    <mergeCell ref="B622:C622"/>
    <mergeCell ref="B623:C623"/>
    <mergeCell ref="B624:C624"/>
    <mergeCell ref="B625:C625"/>
    <mergeCell ref="B626:C626"/>
    <mergeCell ref="B631:I631"/>
    <mergeCell ref="D633:E633"/>
    <mergeCell ref="F633:I633"/>
    <mergeCell ref="B634:C635"/>
    <mergeCell ref="D634:E634"/>
    <mergeCell ref="H634:H635"/>
    <mergeCell ref="I634:I635"/>
    <mergeCell ref="B636:C636"/>
    <mergeCell ref="B637:C637"/>
    <mergeCell ref="B638:C638"/>
    <mergeCell ref="B639:C639"/>
    <mergeCell ref="B640:C640"/>
    <mergeCell ref="B641:C641"/>
    <mergeCell ref="B646:I646"/>
    <mergeCell ref="D648:E648"/>
    <mergeCell ref="F648:I648"/>
    <mergeCell ref="B649:C650"/>
    <mergeCell ref="D649:E649"/>
    <mergeCell ref="H649:H650"/>
    <mergeCell ref="I649:I650"/>
    <mergeCell ref="B651:C651"/>
    <mergeCell ref="B652:C652"/>
    <mergeCell ref="B653:C653"/>
    <mergeCell ref="B654:C654"/>
    <mergeCell ref="B655:C655"/>
    <mergeCell ref="B656:C656"/>
    <mergeCell ref="B661:I661"/>
    <mergeCell ref="D663:E663"/>
    <mergeCell ref="F663:I663"/>
    <mergeCell ref="B664:C665"/>
    <mergeCell ref="D664:E664"/>
    <mergeCell ref="H664:H665"/>
    <mergeCell ref="I664:I665"/>
    <mergeCell ref="B666:C666"/>
    <mergeCell ref="B667:C667"/>
    <mergeCell ref="B668:C668"/>
    <mergeCell ref="B669:C669"/>
    <mergeCell ref="B670:C670"/>
    <mergeCell ref="B671:C671"/>
    <mergeCell ref="B676:I676"/>
    <mergeCell ref="D678:E678"/>
    <mergeCell ref="F678:I678"/>
    <mergeCell ref="B679:C680"/>
    <mergeCell ref="D679:E679"/>
    <mergeCell ref="H679:H680"/>
    <mergeCell ref="I679:I680"/>
    <mergeCell ref="B681:C681"/>
    <mergeCell ref="B682:C682"/>
    <mergeCell ref="B683:C683"/>
    <mergeCell ref="B684:C684"/>
    <mergeCell ref="B685:C685"/>
    <mergeCell ref="B686:C686"/>
    <mergeCell ref="B691:I691"/>
    <mergeCell ref="D693:E693"/>
    <mergeCell ref="F693:I693"/>
    <mergeCell ref="B694:C695"/>
    <mergeCell ref="D694:E694"/>
    <mergeCell ref="H694:H695"/>
    <mergeCell ref="I694:I695"/>
    <mergeCell ref="B696:C696"/>
    <mergeCell ref="B697:C697"/>
    <mergeCell ref="B698:C698"/>
    <mergeCell ref="B699:C699"/>
    <mergeCell ref="B700:C700"/>
    <mergeCell ref="B701:C701"/>
    <mergeCell ref="B706:I706"/>
    <mergeCell ref="D708:E708"/>
    <mergeCell ref="F708:I708"/>
    <mergeCell ref="B709:C710"/>
    <mergeCell ref="D709:E709"/>
    <mergeCell ref="H709:H710"/>
    <mergeCell ref="I709:I710"/>
    <mergeCell ref="B711:C711"/>
    <mergeCell ref="B712:C712"/>
    <mergeCell ref="B713:C713"/>
    <mergeCell ref="B714:C714"/>
    <mergeCell ref="B715:C715"/>
    <mergeCell ref="B716:C716"/>
    <mergeCell ref="B721:I721"/>
    <mergeCell ref="D723:E723"/>
    <mergeCell ref="F723:I723"/>
    <mergeCell ref="B724:C725"/>
    <mergeCell ref="D724:E724"/>
    <mergeCell ref="H724:H725"/>
    <mergeCell ref="I724:I725"/>
    <mergeCell ref="B726:C726"/>
    <mergeCell ref="B727:C727"/>
    <mergeCell ref="B728:C728"/>
    <mergeCell ref="B729:C729"/>
    <mergeCell ref="B730:C730"/>
    <mergeCell ref="B731:C731"/>
    <mergeCell ref="B736:I736"/>
    <mergeCell ref="D738:E738"/>
    <mergeCell ref="F738:I738"/>
    <mergeCell ref="B739:C740"/>
    <mergeCell ref="D739:E739"/>
    <mergeCell ref="H739:H740"/>
    <mergeCell ref="I739:I740"/>
    <mergeCell ref="B741:C741"/>
    <mergeCell ref="B742:C742"/>
    <mergeCell ref="B743:C743"/>
    <mergeCell ref="B744:C744"/>
    <mergeCell ref="B745:C745"/>
    <mergeCell ref="B746:C746"/>
    <mergeCell ref="B751:I751"/>
    <mergeCell ref="D753:E753"/>
    <mergeCell ref="F753:I753"/>
    <mergeCell ref="B754:C755"/>
    <mergeCell ref="D754:E754"/>
    <mergeCell ref="H754:H755"/>
    <mergeCell ref="I754:I755"/>
    <mergeCell ref="B756:C756"/>
    <mergeCell ref="B757:C757"/>
    <mergeCell ref="B758:C758"/>
    <mergeCell ref="B759:C759"/>
    <mergeCell ref="B760:C760"/>
    <mergeCell ref="B761:C761"/>
    <mergeCell ref="B766:I766"/>
    <mergeCell ref="D768:E768"/>
    <mergeCell ref="F768:I768"/>
    <mergeCell ref="B769:C770"/>
    <mergeCell ref="D769:E769"/>
    <mergeCell ref="H769:H770"/>
    <mergeCell ref="I769:I770"/>
    <mergeCell ref="B771:C771"/>
    <mergeCell ref="B772:C772"/>
    <mergeCell ref="B773:C773"/>
    <mergeCell ref="B774:C774"/>
    <mergeCell ref="B775:C775"/>
    <mergeCell ref="B776:C776"/>
    <mergeCell ref="B781:I781"/>
    <mergeCell ref="D783:E783"/>
    <mergeCell ref="F783:I783"/>
    <mergeCell ref="B784:C785"/>
    <mergeCell ref="D784:E784"/>
    <mergeCell ref="H784:H785"/>
    <mergeCell ref="I784:I785"/>
    <mergeCell ref="B786:C786"/>
    <mergeCell ref="B787:C787"/>
    <mergeCell ref="B788:C788"/>
    <mergeCell ref="B789:C789"/>
    <mergeCell ref="B790:C790"/>
    <mergeCell ref="B791:C791"/>
    <mergeCell ref="B796:I796"/>
    <mergeCell ref="D798:E798"/>
    <mergeCell ref="F798:I798"/>
    <mergeCell ref="B799:C800"/>
    <mergeCell ref="D799:E799"/>
    <mergeCell ref="H799:H800"/>
    <mergeCell ref="I799:I800"/>
    <mergeCell ref="B801:C801"/>
    <mergeCell ref="B802:C802"/>
    <mergeCell ref="B803:C803"/>
    <mergeCell ref="B804:C804"/>
    <mergeCell ref="B805:C805"/>
    <mergeCell ref="B806:C806"/>
    <mergeCell ref="B811:I811"/>
    <mergeCell ref="D813:E813"/>
    <mergeCell ref="F813:I813"/>
    <mergeCell ref="B814:C815"/>
    <mergeCell ref="D814:E814"/>
    <mergeCell ref="H814:H815"/>
    <mergeCell ref="I814:I815"/>
    <mergeCell ref="B816:C816"/>
    <mergeCell ref="B817:C817"/>
    <mergeCell ref="B818:C818"/>
    <mergeCell ref="B819:C819"/>
    <mergeCell ref="B820:C820"/>
    <mergeCell ref="B821:C821"/>
    <mergeCell ref="B826:I826"/>
    <mergeCell ref="D828:E828"/>
    <mergeCell ref="F828:I828"/>
    <mergeCell ref="B829:C830"/>
    <mergeCell ref="D829:E829"/>
    <mergeCell ref="H829:H830"/>
    <mergeCell ref="I829:I830"/>
    <mergeCell ref="B831:C831"/>
    <mergeCell ref="B832:C832"/>
    <mergeCell ref="B833:C833"/>
    <mergeCell ref="B834:C834"/>
    <mergeCell ref="B835:C835"/>
    <mergeCell ref="B836:C836"/>
    <mergeCell ref="B841:I841"/>
    <mergeCell ref="D843:E843"/>
    <mergeCell ref="F843:I843"/>
    <mergeCell ref="B844:C845"/>
    <mergeCell ref="D844:E844"/>
    <mergeCell ref="H844:H845"/>
    <mergeCell ref="I844:I845"/>
    <mergeCell ref="B846:C846"/>
    <mergeCell ref="B847:C847"/>
    <mergeCell ref="B848:C848"/>
    <mergeCell ref="B849:C849"/>
    <mergeCell ref="B850:C850"/>
    <mergeCell ref="B851:C851"/>
    <mergeCell ref="B856:I856"/>
    <mergeCell ref="D858:E858"/>
    <mergeCell ref="F858:I858"/>
    <mergeCell ref="B859:C860"/>
    <mergeCell ref="D859:E859"/>
    <mergeCell ref="H859:H860"/>
    <mergeCell ref="I859:I860"/>
    <mergeCell ref="B861:C861"/>
    <mergeCell ref="B862:C862"/>
    <mergeCell ref="B863:C863"/>
    <mergeCell ref="B864:C864"/>
    <mergeCell ref="B865:C865"/>
    <mergeCell ref="B866:C866"/>
    <mergeCell ref="B871:I871"/>
    <mergeCell ref="D873:E873"/>
    <mergeCell ref="F873:I873"/>
    <mergeCell ref="B874:C875"/>
    <mergeCell ref="D874:E874"/>
    <mergeCell ref="H874:H875"/>
    <mergeCell ref="I874:I875"/>
    <mergeCell ref="B876:C876"/>
    <mergeCell ref="B877:C877"/>
    <mergeCell ref="B878:C878"/>
    <mergeCell ref="B879:C879"/>
    <mergeCell ref="B880:C880"/>
    <mergeCell ref="B881:C881"/>
    <mergeCell ref="B886:I886"/>
    <mergeCell ref="D888:E888"/>
    <mergeCell ref="F888:I888"/>
    <mergeCell ref="B889:C890"/>
    <mergeCell ref="D889:E889"/>
    <mergeCell ref="H889:H890"/>
    <mergeCell ref="I889:I890"/>
    <mergeCell ref="B891:C891"/>
    <mergeCell ref="B892:C892"/>
    <mergeCell ref="B893:C893"/>
    <mergeCell ref="B894:C894"/>
    <mergeCell ref="B895:C895"/>
    <mergeCell ref="B896:C896"/>
    <mergeCell ref="B901:I901"/>
    <mergeCell ref="D903:E903"/>
    <mergeCell ref="F903:I903"/>
    <mergeCell ref="B904:C905"/>
    <mergeCell ref="D904:E904"/>
    <mergeCell ref="H904:H905"/>
    <mergeCell ref="I904:I905"/>
    <mergeCell ref="B906:C906"/>
    <mergeCell ref="B907:C907"/>
    <mergeCell ref="B908:C908"/>
    <mergeCell ref="B909:C909"/>
    <mergeCell ref="B910:C910"/>
    <mergeCell ref="B911:C911"/>
    <mergeCell ref="B916:I916"/>
    <mergeCell ref="D918:E918"/>
    <mergeCell ref="F918:I918"/>
    <mergeCell ref="B919:C920"/>
    <mergeCell ref="D919:E919"/>
    <mergeCell ref="H919:H920"/>
    <mergeCell ref="I919:I920"/>
    <mergeCell ref="B921:C921"/>
    <mergeCell ref="B922:C922"/>
    <mergeCell ref="B923:C923"/>
    <mergeCell ref="B924:C924"/>
    <mergeCell ref="B925:C925"/>
    <mergeCell ref="B926:C926"/>
    <mergeCell ref="B931:I931"/>
    <mergeCell ref="D933:E933"/>
    <mergeCell ref="F933:I933"/>
    <mergeCell ref="B934:C935"/>
    <mergeCell ref="D934:E934"/>
    <mergeCell ref="H934:H935"/>
    <mergeCell ref="I934:I935"/>
    <mergeCell ref="B936:C936"/>
    <mergeCell ref="B937:C937"/>
    <mergeCell ref="B938:C938"/>
    <mergeCell ref="B939:C939"/>
    <mergeCell ref="B940:C940"/>
    <mergeCell ref="B941:C941"/>
    <mergeCell ref="B946:I946"/>
    <mergeCell ref="D948:E948"/>
    <mergeCell ref="F948:I948"/>
    <mergeCell ref="B949:C950"/>
    <mergeCell ref="D949:E949"/>
    <mergeCell ref="H949:H950"/>
    <mergeCell ref="I949:I950"/>
    <mergeCell ref="B951:C951"/>
    <mergeCell ref="B952:C952"/>
    <mergeCell ref="B953:C953"/>
    <mergeCell ref="B954:C954"/>
    <mergeCell ref="B955:C955"/>
    <mergeCell ref="B956:C956"/>
    <mergeCell ref="B961:I961"/>
    <mergeCell ref="D963:E963"/>
    <mergeCell ref="F963:I963"/>
    <mergeCell ref="B964:C965"/>
    <mergeCell ref="D964:E964"/>
    <mergeCell ref="H964:H965"/>
    <mergeCell ref="I964:I965"/>
    <mergeCell ref="B966:C966"/>
    <mergeCell ref="B967:C967"/>
    <mergeCell ref="B968:C968"/>
    <mergeCell ref="B969:C969"/>
    <mergeCell ref="B970:C970"/>
    <mergeCell ref="B971:C971"/>
    <mergeCell ref="B976:I976"/>
    <mergeCell ref="D978:E978"/>
    <mergeCell ref="F978:I978"/>
    <mergeCell ref="B979:C980"/>
    <mergeCell ref="D979:E979"/>
    <mergeCell ref="H979:H980"/>
    <mergeCell ref="I979:I980"/>
    <mergeCell ref="B981:C981"/>
    <mergeCell ref="B982:C982"/>
    <mergeCell ref="B983:C983"/>
    <mergeCell ref="B984:C984"/>
    <mergeCell ref="B985:C985"/>
    <mergeCell ref="B986:C986"/>
    <mergeCell ref="B991:I991"/>
    <mergeCell ref="D993:E993"/>
    <mergeCell ref="F993:I993"/>
    <mergeCell ref="B994:C995"/>
    <mergeCell ref="D994:E994"/>
    <mergeCell ref="H994:H995"/>
    <mergeCell ref="I994:I995"/>
    <mergeCell ref="B996:C996"/>
    <mergeCell ref="B997:C997"/>
    <mergeCell ref="B998:C998"/>
    <mergeCell ref="B999:C999"/>
    <mergeCell ref="B1000:C1000"/>
    <mergeCell ref="B1001:C1001"/>
    <mergeCell ref="B1006:I1006"/>
    <mergeCell ref="D1008:E1008"/>
    <mergeCell ref="F1008:I1008"/>
    <mergeCell ref="B1009:C1010"/>
    <mergeCell ref="D1009:E1009"/>
    <mergeCell ref="H1009:H1010"/>
    <mergeCell ref="I1009:I1010"/>
    <mergeCell ref="B1011:C1011"/>
    <mergeCell ref="B1012:C1012"/>
    <mergeCell ref="B1013:C1013"/>
    <mergeCell ref="B1014:C1014"/>
    <mergeCell ref="B1015:C1015"/>
    <mergeCell ref="B1016:C1016"/>
    <mergeCell ref="B1021:I1021"/>
    <mergeCell ref="D1023:E1023"/>
    <mergeCell ref="F1023:I1023"/>
    <mergeCell ref="B1024:C1025"/>
    <mergeCell ref="D1024:E1024"/>
    <mergeCell ref="H1024:H1025"/>
    <mergeCell ref="I1024:I1025"/>
    <mergeCell ref="B1026:C1026"/>
    <mergeCell ref="B1027:C1027"/>
    <mergeCell ref="B1028:C1028"/>
    <mergeCell ref="B1029:C1029"/>
    <mergeCell ref="B1030:C1030"/>
    <mergeCell ref="B1031:C1031"/>
    <mergeCell ref="B1036:I1036"/>
    <mergeCell ref="D1038:E1038"/>
    <mergeCell ref="F1038:I1038"/>
    <mergeCell ref="B1039:C1040"/>
    <mergeCell ref="D1039:E1039"/>
    <mergeCell ref="H1039:H1040"/>
    <mergeCell ref="I1039:I1040"/>
    <mergeCell ref="B1041:C1041"/>
    <mergeCell ref="B1042:C1042"/>
    <mergeCell ref="B1043:C1043"/>
    <mergeCell ref="B1044:C1044"/>
    <mergeCell ref="B1045:C1045"/>
    <mergeCell ref="B1046:C1046"/>
    <mergeCell ref="B1051:I1051"/>
    <mergeCell ref="D1053:E1053"/>
    <mergeCell ref="F1053:I1053"/>
    <mergeCell ref="B1054:C1055"/>
    <mergeCell ref="D1054:E1054"/>
    <mergeCell ref="H1054:H1055"/>
    <mergeCell ref="I1054:I1055"/>
    <mergeCell ref="B1056:C1056"/>
    <mergeCell ref="B1057:C1057"/>
    <mergeCell ref="B1058:C1058"/>
    <mergeCell ref="B1059:C1059"/>
    <mergeCell ref="B1060:C1060"/>
    <mergeCell ref="B1061:C1061"/>
    <mergeCell ref="B1066:I1066"/>
    <mergeCell ref="D1068:E1068"/>
    <mergeCell ref="F1068:I1068"/>
    <mergeCell ref="B1069:C1070"/>
    <mergeCell ref="D1069:E1069"/>
    <mergeCell ref="H1069:H1070"/>
    <mergeCell ref="I1069:I1070"/>
    <mergeCell ref="B1071:C1071"/>
    <mergeCell ref="B1072:C1072"/>
    <mergeCell ref="B1073:C1073"/>
    <mergeCell ref="B1074:C1074"/>
    <mergeCell ref="B1075:C1075"/>
    <mergeCell ref="B1076:C1076"/>
    <mergeCell ref="B1081:I1081"/>
    <mergeCell ref="D1083:E1083"/>
    <mergeCell ref="F1083:I1083"/>
    <mergeCell ref="B1084:C1085"/>
    <mergeCell ref="D1084:E1084"/>
    <mergeCell ref="H1084:H1085"/>
    <mergeCell ref="I1084:I1085"/>
    <mergeCell ref="B1086:C1086"/>
    <mergeCell ref="B1087:C1087"/>
    <mergeCell ref="B1088:C1088"/>
    <mergeCell ref="B1089:C1089"/>
    <mergeCell ref="B1090:C1090"/>
    <mergeCell ref="B1091:C1091"/>
    <mergeCell ref="B1096:I1096"/>
    <mergeCell ref="D1098:E1098"/>
    <mergeCell ref="F1098:I1098"/>
    <mergeCell ref="B1099:C1100"/>
    <mergeCell ref="D1099:E1099"/>
    <mergeCell ref="H1099:H1100"/>
    <mergeCell ref="I1099:I1100"/>
    <mergeCell ref="B1101:C1101"/>
    <mergeCell ref="B1102:C1102"/>
    <mergeCell ref="B1103:C1103"/>
    <mergeCell ref="B1104:C1104"/>
    <mergeCell ref="B1105:C1105"/>
    <mergeCell ref="B1106:C1106"/>
    <mergeCell ref="B1111:I1111"/>
    <mergeCell ref="D1113:E1113"/>
    <mergeCell ref="F1113:I1113"/>
    <mergeCell ref="B1114:C1115"/>
    <mergeCell ref="D1114:E1114"/>
    <mergeCell ref="H1114:H1115"/>
    <mergeCell ref="I1114:I1115"/>
    <mergeCell ref="B1116:C1116"/>
    <mergeCell ref="B1117:C1117"/>
    <mergeCell ref="B1118:C1118"/>
    <mergeCell ref="B1119:C1119"/>
    <mergeCell ref="B1120:C1120"/>
    <mergeCell ref="B1121:C1121"/>
    <mergeCell ref="B1126:I1126"/>
    <mergeCell ref="D1128:E1128"/>
    <mergeCell ref="F1128:I1128"/>
    <mergeCell ref="B1129:C1130"/>
    <mergeCell ref="D1129:E1129"/>
    <mergeCell ref="H1129:H1130"/>
    <mergeCell ref="I1129:I1130"/>
    <mergeCell ref="B1131:C1131"/>
    <mergeCell ref="B1132:C1132"/>
    <mergeCell ref="B1133:C1133"/>
    <mergeCell ref="B1134:C1134"/>
    <mergeCell ref="B1135:C1135"/>
    <mergeCell ref="B1136:C1136"/>
    <mergeCell ref="B1141:I1141"/>
    <mergeCell ref="D1143:E1143"/>
    <mergeCell ref="F1143:I1143"/>
    <mergeCell ref="B1144:C1145"/>
    <mergeCell ref="D1144:E1144"/>
    <mergeCell ref="H1144:H1145"/>
    <mergeCell ref="I1144:I1145"/>
    <mergeCell ref="B1146:C1146"/>
    <mergeCell ref="B1147:C1147"/>
    <mergeCell ref="B1148:C1148"/>
    <mergeCell ref="B1149:C1149"/>
    <mergeCell ref="B1150:C1150"/>
    <mergeCell ref="B1151:C1151"/>
    <mergeCell ref="B1156:I1156"/>
    <mergeCell ref="D1158:E1158"/>
    <mergeCell ref="F1158:I1158"/>
    <mergeCell ref="B1159:C1160"/>
    <mergeCell ref="D1159:E1159"/>
    <mergeCell ref="H1159:H1160"/>
    <mergeCell ref="I1159:I1160"/>
    <mergeCell ref="B1161:C1161"/>
    <mergeCell ref="B1162:C1162"/>
    <mergeCell ref="B1163:C1163"/>
    <mergeCell ref="B1164:C1164"/>
    <mergeCell ref="B1165:C1165"/>
    <mergeCell ref="B1166:C1166"/>
    <mergeCell ref="B1171:I1171"/>
    <mergeCell ref="D1173:E1173"/>
    <mergeCell ref="F1173:I1173"/>
    <mergeCell ref="B1174:C1175"/>
    <mergeCell ref="D1174:E1174"/>
    <mergeCell ref="H1174:H1175"/>
    <mergeCell ref="I1174:I1175"/>
    <mergeCell ref="B1176:C1176"/>
    <mergeCell ref="B1177:C1177"/>
    <mergeCell ref="B1178:C1178"/>
    <mergeCell ref="B1179:C1179"/>
    <mergeCell ref="B1180:C1180"/>
    <mergeCell ref="B1181:C1181"/>
    <mergeCell ref="B1186:I1186"/>
    <mergeCell ref="D1188:E1188"/>
    <mergeCell ref="F1188:I1188"/>
    <mergeCell ref="B1189:C1190"/>
    <mergeCell ref="D1189:E1189"/>
    <mergeCell ref="H1189:H1190"/>
    <mergeCell ref="I1189:I1190"/>
    <mergeCell ref="B1191:C1191"/>
    <mergeCell ref="B1192:C1192"/>
    <mergeCell ref="B1193:C1193"/>
    <mergeCell ref="B1194:C1194"/>
    <mergeCell ref="B1195:C1195"/>
    <mergeCell ref="B1196:C1196"/>
    <mergeCell ref="B1201:I1201"/>
    <mergeCell ref="D1203:E1203"/>
    <mergeCell ref="F1203:I1203"/>
    <mergeCell ref="B1204:C1205"/>
    <mergeCell ref="D1204:E1204"/>
    <mergeCell ref="H1204:H1205"/>
    <mergeCell ref="I1204:I1205"/>
    <mergeCell ref="B1206:C1206"/>
    <mergeCell ref="B1207:C1207"/>
    <mergeCell ref="B1208:C1208"/>
    <mergeCell ref="B1209:C1209"/>
    <mergeCell ref="B1210:C1210"/>
    <mergeCell ref="B1211:C1211"/>
    <mergeCell ref="B1216:I1216"/>
    <mergeCell ref="D1218:E1218"/>
    <mergeCell ref="F1218:I1218"/>
    <mergeCell ref="B1219:C1220"/>
    <mergeCell ref="D1219:E1219"/>
    <mergeCell ref="H1219:H1220"/>
    <mergeCell ref="I1219:I1220"/>
    <mergeCell ref="B1221:C1221"/>
    <mergeCell ref="B1222:C1222"/>
    <mergeCell ref="B1223:C1223"/>
    <mergeCell ref="B1224:C1224"/>
    <mergeCell ref="B1225:C1225"/>
    <mergeCell ref="B1226:C1226"/>
    <mergeCell ref="B1231:I1231"/>
    <mergeCell ref="D1233:E1233"/>
    <mergeCell ref="F1233:I1233"/>
    <mergeCell ref="B1234:C1235"/>
    <mergeCell ref="D1234:E1234"/>
    <mergeCell ref="H1234:H1235"/>
    <mergeCell ref="I1234:I1235"/>
    <mergeCell ref="B1236:C1236"/>
    <mergeCell ref="B1237:C1237"/>
    <mergeCell ref="B1238:C1238"/>
    <mergeCell ref="B1239:C1239"/>
    <mergeCell ref="B1240:C1240"/>
    <mergeCell ref="B1241:C1241"/>
    <mergeCell ref="B1246:I1246"/>
    <mergeCell ref="D1248:E1248"/>
    <mergeCell ref="F1248:I1248"/>
    <mergeCell ref="B1249:C1250"/>
    <mergeCell ref="D1249:E1249"/>
    <mergeCell ref="H1249:H1250"/>
    <mergeCell ref="I1249:I1250"/>
    <mergeCell ref="B1251:C1251"/>
    <mergeCell ref="B1252:C1252"/>
    <mergeCell ref="B1253:C1253"/>
    <mergeCell ref="B1254:C1254"/>
    <mergeCell ref="B1255:C1255"/>
    <mergeCell ref="B1256:C1256"/>
    <mergeCell ref="B1261:I1261"/>
    <mergeCell ref="D1263:E1263"/>
    <mergeCell ref="F1263:I1263"/>
    <mergeCell ref="B1264:C1265"/>
    <mergeCell ref="D1264:E1264"/>
    <mergeCell ref="H1264:H1265"/>
    <mergeCell ref="I1264:I1265"/>
    <mergeCell ref="B1266:C1266"/>
    <mergeCell ref="B1267:C1267"/>
    <mergeCell ref="B1268:C1268"/>
    <mergeCell ref="B1269:C1269"/>
    <mergeCell ref="B1270:C1270"/>
    <mergeCell ref="B1271:C1271"/>
    <mergeCell ref="B1276:I1276"/>
    <mergeCell ref="D1278:E1278"/>
    <mergeCell ref="F1278:I1278"/>
    <mergeCell ref="B1279:C1280"/>
    <mergeCell ref="D1279:E1279"/>
    <mergeCell ref="H1279:H1280"/>
    <mergeCell ref="I1279:I1280"/>
    <mergeCell ref="B1281:C1281"/>
    <mergeCell ref="B1282:C1282"/>
    <mergeCell ref="B1283:C1283"/>
    <mergeCell ref="B1284:C1284"/>
    <mergeCell ref="B1285:C1285"/>
    <mergeCell ref="B1286:C1286"/>
    <mergeCell ref="B1291:I1291"/>
    <mergeCell ref="D1293:E1293"/>
    <mergeCell ref="F1293:I1293"/>
    <mergeCell ref="B1294:C1295"/>
    <mergeCell ref="D1294:E1294"/>
    <mergeCell ref="H1294:H1295"/>
    <mergeCell ref="I1294:I1295"/>
    <mergeCell ref="B1296:C1296"/>
    <mergeCell ref="B1297:C1297"/>
    <mergeCell ref="B1298:C1298"/>
    <mergeCell ref="B1299:C1299"/>
    <mergeCell ref="B1300:C1300"/>
    <mergeCell ref="B1301:C1301"/>
    <mergeCell ref="B1306:I1306"/>
    <mergeCell ref="D1308:E1308"/>
    <mergeCell ref="F1308:I1308"/>
    <mergeCell ref="B1309:C1310"/>
    <mergeCell ref="D1309:E1309"/>
    <mergeCell ref="H1309:H1310"/>
    <mergeCell ref="I1309:I1310"/>
    <mergeCell ref="B1311:C1311"/>
    <mergeCell ref="B1312:C1312"/>
    <mergeCell ref="B1313:C1313"/>
    <mergeCell ref="B1314:C1314"/>
    <mergeCell ref="B1315:C1315"/>
    <mergeCell ref="B1316:C1316"/>
    <mergeCell ref="B1321:I1321"/>
    <mergeCell ref="D1323:E1323"/>
    <mergeCell ref="F1323:I1323"/>
    <mergeCell ref="B1324:C1325"/>
    <mergeCell ref="D1324:E1324"/>
    <mergeCell ref="H1324:H1325"/>
    <mergeCell ref="I1324:I1325"/>
    <mergeCell ref="B1326:C1326"/>
    <mergeCell ref="B1327:C1327"/>
    <mergeCell ref="B1328:C1328"/>
    <mergeCell ref="B1329:C1329"/>
    <mergeCell ref="B1330:C1330"/>
    <mergeCell ref="B1331:C1331"/>
    <mergeCell ref="B1336:I1336"/>
    <mergeCell ref="D1338:E1338"/>
    <mergeCell ref="F1338:I1338"/>
    <mergeCell ref="B1339:C1340"/>
    <mergeCell ref="D1339:E1339"/>
    <mergeCell ref="H1339:H1340"/>
    <mergeCell ref="I1339:I1340"/>
    <mergeCell ref="B1341:C1341"/>
    <mergeCell ref="B1342:C1342"/>
    <mergeCell ref="B1343:C1343"/>
    <mergeCell ref="B1344:C1344"/>
    <mergeCell ref="B1345:C1345"/>
    <mergeCell ref="B1346:C1346"/>
    <mergeCell ref="B1351:I1351"/>
    <mergeCell ref="D1353:E1353"/>
    <mergeCell ref="F1353:I1353"/>
    <mergeCell ref="B1354:C1355"/>
    <mergeCell ref="D1354:E1354"/>
    <mergeCell ref="H1354:H1355"/>
    <mergeCell ref="I1354:I1355"/>
    <mergeCell ref="B1356:C1356"/>
    <mergeCell ref="B1357:C1357"/>
    <mergeCell ref="B1358:C1358"/>
    <mergeCell ref="B1359:C1359"/>
    <mergeCell ref="B1360:C1360"/>
    <mergeCell ref="B1361:C1361"/>
    <mergeCell ref="B1366:I1366"/>
    <mergeCell ref="D1368:E1368"/>
    <mergeCell ref="F1368:I1368"/>
    <mergeCell ref="B1369:C1370"/>
    <mergeCell ref="D1369:E1369"/>
    <mergeCell ref="H1369:H1370"/>
    <mergeCell ref="I1369:I1370"/>
    <mergeCell ref="B1371:C1371"/>
    <mergeCell ref="B1372:C1372"/>
    <mergeCell ref="B1373:C1373"/>
    <mergeCell ref="B1374:C1374"/>
    <mergeCell ref="B1375:C1375"/>
    <mergeCell ref="B1376:C1376"/>
    <mergeCell ref="B1381:I1381"/>
    <mergeCell ref="D1383:E1383"/>
    <mergeCell ref="F1383:I1383"/>
    <mergeCell ref="B1384:C1385"/>
    <mergeCell ref="D1384:E1384"/>
    <mergeCell ref="H1384:H1385"/>
    <mergeCell ref="I1384:I1385"/>
    <mergeCell ref="B1386:C1386"/>
    <mergeCell ref="B1387:C1387"/>
    <mergeCell ref="B1388:C1388"/>
    <mergeCell ref="B1389:C1389"/>
    <mergeCell ref="B1390:C1390"/>
    <mergeCell ref="B1391:C1391"/>
    <mergeCell ref="B1396:I1396"/>
    <mergeCell ref="D1398:E1398"/>
    <mergeCell ref="F1398:I1398"/>
    <mergeCell ref="B1399:C1400"/>
    <mergeCell ref="D1399:E1399"/>
    <mergeCell ref="H1399:H1400"/>
    <mergeCell ref="I1399:I1400"/>
    <mergeCell ref="B1401:C1401"/>
    <mergeCell ref="B1402:C1402"/>
    <mergeCell ref="B1403:C1403"/>
    <mergeCell ref="B1404:C1404"/>
    <mergeCell ref="B1405:C1405"/>
    <mergeCell ref="B1406:C1406"/>
    <mergeCell ref="B1411:I1411"/>
    <mergeCell ref="D1413:E1413"/>
    <mergeCell ref="F1413:I1413"/>
    <mergeCell ref="B1414:C1415"/>
    <mergeCell ref="D1414:E1414"/>
    <mergeCell ref="H1414:H1415"/>
    <mergeCell ref="I1414:I1415"/>
    <mergeCell ref="B1416:C1416"/>
    <mergeCell ref="B1417:C1417"/>
    <mergeCell ref="B1418:C1418"/>
    <mergeCell ref="B1419:C1419"/>
    <mergeCell ref="B1420:C1420"/>
    <mergeCell ref="B1421:C1421"/>
    <mergeCell ref="B1426:I1426"/>
    <mergeCell ref="D1428:E1428"/>
    <mergeCell ref="F1428:I1428"/>
    <mergeCell ref="B1429:C1430"/>
    <mergeCell ref="D1429:E1429"/>
    <mergeCell ref="H1429:H1430"/>
    <mergeCell ref="I1429:I1430"/>
    <mergeCell ref="B1431:C1431"/>
    <mergeCell ref="B1432:C1432"/>
    <mergeCell ref="B1433:C1433"/>
    <mergeCell ref="B1434:C1434"/>
    <mergeCell ref="B1435:C1435"/>
    <mergeCell ref="B1436:C1436"/>
    <mergeCell ref="B1441:I1441"/>
    <mergeCell ref="D1443:E1443"/>
    <mergeCell ref="F1443:I1443"/>
    <mergeCell ref="B1444:C1445"/>
    <mergeCell ref="D1444:E1444"/>
    <mergeCell ref="H1444:H1445"/>
    <mergeCell ref="I1444:I1445"/>
    <mergeCell ref="B1446:C1446"/>
    <mergeCell ref="B1447:C1447"/>
    <mergeCell ref="B1448:C1448"/>
    <mergeCell ref="B1449:C1449"/>
    <mergeCell ref="B1450:C1450"/>
    <mergeCell ref="B1451:C1451"/>
    <mergeCell ref="B1456:I1456"/>
    <mergeCell ref="D1458:E1458"/>
    <mergeCell ref="F1458:I1458"/>
    <mergeCell ref="B1459:C1460"/>
    <mergeCell ref="D1459:E1459"/>
    <mergeCell ref="H1459:H1460"/>
    <mergeCell ref="I1459:I1460"/>
    <mergeCell ref="B1461:C1461"/>
    <mergeCell ref="B1462:C1462"/>
    <mergeCell ref="B1463:C1463"/>
    <mergeCell ref="B1464:C1464"/>
    <mergeCell ref="B1465:C1465"/>
    <mergeCell ref="B1466:C1466"/>
    <mergeCell ref="B1471:I1471"/>
    <mergeCell ref="D1473:E1473"/>
    <mergeCell ref="F1473:I1473"/>
    <mergeCell ref="B1474:C1475"/>
    <mergeCell ref="D1474:E1474"/>
    <mergeCell ref="H1474:H1475"/>
    <mergeCell ref="I1474:I1475"/>
    <mergeCell ref="B1476:C1476"/>
    <mergeCell ref="B1477:C1477"/>
    <mergeCell ref="B1478:C1478"/>
    <mergeCell ref="B1479:C1479"/>
    <mergeCell ref="B1480:C1480"/>
    <mergeCell ref="B1481:C1481"/>
    <mergeCell ref="B1486:I1486"/>
    <mergeCell ref="D1488:E1488"/>
    <mergeCell ref="F1488:I1488"/>
    <mergeCell ref="B1489:C1490"/>
    <mergeCell ref="D1489:E1489"/>
    <mergeCell ref="H1489:H1490"/>
    <mergeCell ref="I1489:I1490"/>
    <mergeCell ref="B1491:C1491"/>
    <mergeCell ref="B1492:C1492"/>
    <mergeCell ref="B1493:C1493"/>
    <mergeCell ref="B1494:C1494"/>
    <mergeCell ref="B1495:C1495"/>
    <mergeCell ref="B1496:C1496"/>
    <mergeCell ref="B1501:I1501"/>
    <mergeCell ref="D1503:E1503"/>
    <mergeCell ref="F1503:I1503"/>
    <mergeCell ref="B1504:C1505"/>
    <mergeCell ref="D1504:E1504"/>
    <mergeCell ref="H1504:H1505"/>
    <mergeCell ref="I1504:I1505"/>
    <mergeCell ref="B1506:C1506"/>
    <mergeCell ref="B1507:C1507"/>
    <mergeCell ref="B1508:C1508"/>
    <mergeCell ref="B1509:C1509"/>
    <mergeCell ref="B1510:C1510"/>
    <mergeCell ref="B1511:C1511"/>
    <mergeCell ref="B1516:I1516"/>
    <mergeCell ref="D1518:E1518"/>
    <mergeCell ref="F1518:I1518"/>
    <mergeCell ref="B1519:C1520"/>
    <mergeCell ref="D1519:E1519"/>
    <mergeCell ref="H1519:H1520"/>
    <mergeCell ref="I1519:I1520"/>
    <mergeCell ref="B1521:C1521"/>
    <mergeCell ref="B1522:C1522"/>
    <mergeCell ref="B1523:C1523"/>
    <mergeCell ref="B1524:C1524"/>
    <mergeCell ref="B1525:C1525"/>
    <mergeCell ref="B1526:C1526"/>
    <mergeCell ref="B1531:I1531"/>
    <mergeCell ref="D1533:E1533"/>
    <mergeCell ref="F1533:I1533"/>
    <mergeCell ref="B1534:C1535"/>
    <mergeCell ref="D1534:E1534"/>
    <mergeCell ref="H1534:H1535"/>
    <mergeCell ref="I1534:I1535"/>
    <mergeCell ref="B1536:C1536"/>
    <mergeCell ref="B1537:C1537"/>
    <mergeCell ref="B1538:C1538"/>
    <mergeCell ref="B1539:C1539"/>
    <mergeCell ref="B1540:C1540"/>
    <mergeCell ref="B1541:C1541"/>
    <mergeCell ref="B1546:I1546"/>
    <mergeCell ref="D1548:E1548"/>
    <mergeCell ref="F1548:I1548"/>
    <mergeCell ref="B1549:C1550"/>
    <mergeCell ref="D1549:E1549"/>
    <mergeCell ref="H1549:H1550"/>
    <mergeCell ref="I1549:I1550"/>
    <mergeCell ref="B1551:C1551"/>
    <mergeCell ref="B1552:C1552"/>
    <mergeCell ref="B1553:C1553"/>
    <mergeCell ref="B1554:C1554"/>
    <mergeCell ref="B1555:C1555"/>
    <mergeCell ref="B1556:C1556"/>
    <mergeCell ref="B1561:I1561"/>
    <mergeCell ref="D1563:E1563"/>
    <mergeCell ref="F1563:I1563"/>
    <mergeCell ref="B1564:C1565"/>
    <mergeCell ref="D1564:E1564"/>
    <mergeCell ref="H1564:H1565"/>
    <mergeCell ref="I1564:I1565"/>
    <mergeCell ref="B1566:C1566"/>
    <mergeCell ref="B1567:C1567"/>
    <mergeCell ref="B1568:C1568"/>
    <mergeCell ref="B1569:C1569"/>
    <mergeCell ref="B1570:C1570"/>
    <mergeCell ref="B1571:C1571"/>
    <mergeCell ref="B1576:I1576"/>
    <mergeCell ref="D1578:E1578"/>
    <mergeCell ref="F1578:I1578"/>
    <mergeCell ref="B1579:C1580"/>
    <mergeCell ref="D1579:E1579"/>
    <mergeCell ref="H1579:H1580"/>
    <mergeCell ref="I1579:I1580"/>
    <mergeCell ref="B1581:C1581"/>
    <mergeCell ref="B1582:C1582"/>
    <mergeCell ref="B1583:C1583"/>
    <mergeCell ref="B1584:C1584"/>
    <mergeCell ref="B1585:C1585"/>
    <mergeCell ref="B1586:C1586"/>
    <mergeCell ref="B1591:I1591"/>
    <mergeCell ref="D1593:E1593"/>
    <mergeCell ref="F1593:I1593"/>
    <mergeCell ref="B1594:C1595"/>
    <mergeCell ref="D1594:E1594"/>
    <mergeCell ref="H1594:H1595"/>
    <mergeCell ref="I1594:I1595"/>
    <mergeCell ref="B1596:C1596"/>
    <mergeCell ref="B1597:C1597"/>
    <mergeCell ref="B1598:C1598"/>
    <mergeCell ref="B1599:C1599"/>
    <mergeCell ref="B1600:C1600"/>
    <mergeCell ref="B1601:C1601"/>
    <mergeCell ref="B1606:I1606"/>
    <mergeCell ref="D1608:E1608"/>
    <mergeCell ref="F1608:I1608"/>
    <mergeCell ref="B1609:C1610"/>
    <mergeCell ref="D1609:E1609"/>
    <mergeCell ref="H1609:H1610"/>
    <mergeCell ref="I1609:I1610"/>
    <mergeCell ref="B1611:C1611"/>
    <mergeCell ref="B1612:C1612"/>
    <mergeCell ref="B1613:C1613"/>
    <mergeCell ref="B1614:C1614"/>
    <mergeCell ref="B1615:C1615"/>
    <mergeCell ref="B1616:C1616"/>
    <mergeCell ref="B1621:I1621"/>
    <mergeCell ref="D1623:E1623"/>
    <mergeCell ref="F1623:I1623"/>
    <mergeCell ref="B1624:C1625"/>
    <mergeCell ref="D1624:E1624"/>
    <mergeCell ref="H1624:H1625"/>
    <mergeCell ref="I1624:I1625"/>
    <mergeCell ref="B1626:C1626"/>
    <mergeCell ref="B1627:C1627"/>
    <mergeCell ref="B1628:C1628"/>
    <mergeCell ref="B1629:C1629"/>
    <mergeCell ref="B1630:C1630"/>
    <mergeCell ref="B1631:C1631"/>
    <mergeCell ref="B1636:I1636"/>
    <mergeCell ref="D1638:E1638"/>
    <mergeCell ref="F1638:I1638"/>
    <mergeCell ref="B1639:C1640"/>
    <mergeCell ref="D1639:E1639"/>
    <mergeCell ref="H1639:H1640"/>
    <mergeCell ref="I1639:I1640"/>
    <mergeCell ref="B1641:C1641"/>
    <mergeCell ref="B1642:C1642"/>
    <mergeCell ref="B1643:C1643"/>
    <mergeCell ref="B1644:C1644"/>
    <mergeCell ref="B1645:C1645"/>
    <mergeCell ref="B1646:C1646"/>
    <mergeCell ref="B1651:I1651"/>
    <mergeCell ref="D1653:E1653"/>
    <mergeCell ref="F1653:I1653"/>
    <mergeCell ref="B1654:C1655"/>
    <mergeCell ref="D1654:E1654"/>
    <mergeCell ref="H1654:H1655"/>
    <mergeCell ref="I1654:I1655"/>
    <mergeCell ref="B1656:C1656"/>
    <mergeCell ref="B1657:C1657"/>
    <mergeCell ref="B1658:C1658"/>
    <mergeCell ref="B1659:C1659"/>
    <mergeCell ref="B1660:C1660"/>
    <mergeCell ref="B1661:C1661"/>
    <mergeCell ref="B1666:I1666"/>
    <mergeCell ref="D1668:E1668"/>
    <mergeCell ref="F1668:I1668"/>
    <mergeCell ref="B1669:C1670"/>
    <mergeCell ref="D1669:E1669"/>
    <mergeCell ref="H1669:H1670"/>
    <mergeCell ref="I1669:I1670"/>
    <mergeCell ref="B1671:C1671"/>
    <mergeCell ref="B1672:C1672"/>
    <mergeCell ref="B1673:C1673"/>
    <mergeCell ref="B1674:C1674"/>
    <mergeCell ref="B1675:C1675"/>
    <mergeCell ref="B1676:C1676"/>
    <mergeCell ref="B1681:I1681"/>
    <mergeCell ref="D1683:E1683"/>
    <mergeCell ref="F1683:I1683"/>
    <mergeCell ref="B1684:C1685"/>
    <mergeCell ref="D1684:E1684"/>
    <mergeCell ref="H1684:H1685"/>
    <mergeCell ref="I1684:I1685"/>
    <mergeCell ref="B1686:C1686"/>
    <mergeCell ref="B1687:C1687"/>
    <mergeCell ref="B1688:C1688"/>
    <mergeCell ref="B1689:C1689"/>
    <mergeCell ref="B1690:C1690"/>
    <mergeCell ref="B1691:C1691"/>
    <mergeCell ref="B1696:I1696"/>
    <mergeCell ref="D1698:E1698"/>
    <mergeCell ref="F1698:I1698"/>
    <mergeCell ref="B1699:C1700"/>
    <mergeCell ref="D1699:E1699"/>
    <mergeCell ref="H1699:H1700"/>
    <mergeCell ref="I1699:I1700"/>
    <mergeCell ref="B1701:C1701"/>
    <mergeCell ref="B1702:C1702"/>
    <mergeCell ref="B1703:C1703"/>
    <mergeCell ref="B1704:C1704"/>
    <mergeCell ref="B1705:C1705"/>
    <mergeCell ref="B1706:C1706"/>
    <mergeCell ref="B1711:I1711"/>
    <mergeCell ref="D1713:E1713"/>
    <mergeCell ref="F1713:I1713"/>
    <mergeCell ref="B1714:C1715"/>
    <mergeCell ref="D1714:E1714"/>
    <mergeCell ref="H1714:H1715"/>
    <mergeCell ref="I1714:I1715"/>
    <mergeCell ref="B1716:C1716"/>
    <mergeCell ref="B1717:C1717"/>
    <mergeCell ref="B1718:C1718"/>
    <mergeCell ref="B1719:C1719"/>
    <mergeCell ref="B1720:C1720"/>
    <mergeCell ref="B1721:C1721"/>
    <mergeCell ref="B1726:I1726"/>
    <mergeCell ref="D1728:E1728"/>
    <mergeCell ref="F1728:I1728"/>
    <mergeCell ref="B1729:C1730"/>
    <mergeCell ref="D1729:E1729"/>
    <mergeCell ref="H1729:H1730"/>
    <mergeCell ref="I1729:I1730"/>
    <mergeCell ref="B1731:C1731"/>
    <mergeCell ref="B1732:C1732"/>
    <mergeCell ref="B1733:C1733"/>
    <mergeCell ref="B1734:C1734"/>
    <mergeCell ref="B1735:C1735"/>
    <mergeCell ref="B1736:C1736"/>
    <mergeCell ref="B1741:I1741"/>
    <mergeCell ref="D1743:E1743"/>
    <mergeCell ref="F1743:I1743"/>
    <mergeCell ref="B1744:C1745"/>
    <mergeCell ref="D1744:E1744"/>
    <mergeCell ref="H1744:H1745"/>
    <mergeCell ref="I1744:I1745"/>
    <mergeCell ref="B1746:C1746"/>
    <mergeCell ref="B1747:C1747"/>
    <mergeCell ref="B1748:C1748"/>
    <mergeCell ref="B1749:C1749"/>
    <mergeCell ref="B1750:C1750"/>
    <mergeCell ref="B1751:C1751"/>
    <mergeCell ref="B1756:I1756"/>
    <mergeCell ref="D1758:E1758"/>
    <mergeCell ref="F1758:I1758"/>
    <mergeCell ref="B1759:C1760"/>
    <mergeCell ref="D1759:E1759"/>
    <mergeCell ref="H1759:H1760"/>
    <mergeCell ref="I1759:I1760"/>
    <mergeCell ref="B1761:C1761"/>
    <mergeCell ref="B1762:C1762"/>
    <mergeCell ref="B1763:C1763"/>
    <mergeCell ref="B1764:C1764"/>
    <mergeCell ref="B1765:C1765"/>
    <mergeCell ref="B1766:C1766"/>
    <mergeCell ref="B1771:I1771"/>
    <mergeCell ref="D1773:E1773"/>
    <mergeCell ref="F1773:I1773"/>
    <mergeCell ref="B1774:C1775"/>
    <mergeCell ref="D1774:E1774"/>
    <mergeCell ref="H1774:H1775"/>
    <mergeCell ref="I1774:I1775"/>
    <mergeCell ref="B1776:C1776"/>
    <mergeCell ref="B1777:C1777"/>
    <mergeCell ref="B1778:C1778"/>
    <mergeCell ref="B1779:C1779"/>
    <mergeCell ref="B1780:C1780"/>
    <mergeCell ref="B1781:C1781"/>
    <mergeCell ref="B1786:I1786"/>
    <mergeCell ref="D1788:E1788"/>
    <mergeCell ref="F1788:I1788"/>
    <mergeCell ref="B1789:C1790"/>
    <mergeCell ref="D1789:E1789"/>
    <mergeCell ref="H1789:H1790"/>
    <mergeCell ref="I1789:I1790"/>
    <mergeCell ref="B1791:C1791"/>
    <mergeCell ref="B1792:C1792"/>
    <mergeCell ref="B1793:C1793"/>
    <mergeCell ref="B1794:C1794"/>
    <mergeCell ref="B1795:C1795"/>
    <mergeCell ref="B1796:C1796"/>
    <mergeCell ref="B1801:I1801"/>
    <mergeCell ref="D1803:E1803"/>
    <mergeCell ref="F1803:I1803"/>
    <mergeCell ref="B1804:C1805"/>
    <mergeCell ref="D1804:E1804"/>
    <mergeCell ref="H1804:H1805"/>
    <mergeCell ref="I1804:I1805"/>
    <mergeCell ref="B1806:C1806"/>
    <mergeCell ref="B1807:C1807"/>
    <mergeCell ref="B1808:C1808"/>
    <mergeCell ref="B1809:C1809"/>
    <mergeCell ref="B1810:C1810"/>
    <mergeCell ref="B1811:C1811"/>
    <mergeCell ref="B1816:I1816"/>
    <mergeCell ref="D1818:E1818"/>
    <mergeCell ref="F1818:I1818"/>
    <mergeCell ref="B1819:C1820"/>
    <mergeCell ref="D1819:E1819"/>
    <mergeCell ref="H1819:H1820"/>
    <mergeCell ref="I1819:I1820"/>
    <mergeCell ref="B1821:C1821"/>
    <mergeCell ref="B1822:C1822"/>
    <mergeCell ref="B1823:C1823"/>
    <mergeCell ref="B1824:C1824"/>
    <mergeCell ref="B1825:C1825"/>
    <mergeCell ref="B1826:C1826"/>
    <mergeCell ref="B1831:I1831"/>
    <mergeCell ref="D1833:E1833"/>
    <mergeCell ref="F1833:I1833"/>
    <mergeCell ref="B1834:C1835"/>
    <mergeCell ref="D1834:E1834"/>
    <mergeCell ref="H1834:H1835"/>
    <mergeCell ref="I1834:I1835"/>
    <mergeCell ref="B1836:C1836"/>
    <mergeCell ref="B1837:C1837"/>
    <mergeCell ref="B1838:C1838"/>
    <mergeCell ref="B1839:C1839"/>
    <mergeCell ref="B1840:C1840"/>
    <mergeCell ref="B1841:C1841"/>
    <mergeCell ref="B1846:I1846"/>
    <mergeCell ref="D1848:E1848"/>
    <mergeCell ref="F1848:I1848"/>
    <mergeCell ref="B1849:C1850"/>
    <mergeCell ref="D1849:E1849"/>
    <mergeCell ref="H1849:H1850"/>
    <mergeCell ref="I1849:I1850"/>
    <mergeCell ref="B1851:C1851"/>
    <mergeCell ref="B1852:C1852"/>
    <mergeCell ref="B1853:C1853"/>
    <mergeCell ref="B1854:C1854"/>
    <mergeCell ref="B1855:C1855"/>
    <mergeCell ref="B1856:C1856"/>
    <mergeCell ref="B1861:I1861"/>
    <mergeCell ref="D1863:E1863"/>
    <mergeCell ref="F1863:I1863"/>
    <mergeCell ref="B1864:C1865"/>
    <mergeCell ref="D1864:E1864"/>
    <mergeCell ref="H1864:H1865"/>
    <mergeCell ref="I1864:I1865"/>
    <mergeCell ref="B1866:C1866"/>
    <mergeCell ref="B1867:C1867"/>
    <mergeCell ref="B1868:C1868"/>
    <mergeCell ref="B1869:C1869"/>
    <mergeCell ref="B1870:C1870"/>
    <mergeCell ref="B1871:C1871"/>
    <mergeCell ref="B1876:I1876"/>
    <mergeCell ref="D1878:E1878"/>
    <mergeCell ref="F1878:I1878"/>
    <mergeCell ref="B1879:C1880"/>
    <mergeCell ref="D1879:E1879"/>
    <mergeCell ref="H1879:H1880"/>
    <mergeCell ref="I1879:I1880"/>
    <mergeCell ref="B1881:C1881"/>
    <mergeCell ref="B1882:C1882"/>
    <mergeCell ref="B1883:C1883"/>
    <mergeCell ref="B1884:C1884"/>
    <mergeCell ref="B1885:C1885"/>
    <mergeCell ref="B1886:C1886"/>
    <mergeCell ref="B1891:I1891"/>
    <mergeCell ref="D1893:E1893"/>
    <mergeCell ref="F1893:I1893"/>
    <mergeCell ref="B1894:C1895"/>
    <mergeCell ref="D1894:E1894"/>
    <mergeCell ref="H1894:H1895"/>
    <mergeCell ref="I1894:I1895"/>
    <mergeCell ref="B1896:C1896"/>
    <mergeCell ref="B1897:C1897"/>
    <mergeCell ref="B1898:C1898"/>
    <mergeCell ref="B1899:C1899"/>
    <mergeCell ref="B1900:C1900"/>
    <mergeCell ref="B1901:C1901"/>
    <mergeCell ref="B1906:I1906"/>
    <mergeCell ref="D1908:E1908"/>
    <mergeCell ref="F1908:I1908"/>
    <mergeCell ref="B1909:C1910"/>
    <mergeCell ref="D1909:E1909"/>
    <mergeCell ref="H1909:H1910"/>
    <mergeCell ref="I1909:I1910"/>
    <mergeCell ref="B1911:C1911"/>
    <mergeCell ref="B1912:C1912"/>
    <mergeCell ref="B1913:C1913"/>
    <mergeCell ref="B1914:C1914"/>
    <mergeCell ref="B1915:C1915"/>
    <mergeCell ref="B1916:C1916"/>
    <mergeCell ref="B1921:I1921"/>
    <mergeCell ref="D1923:E1923"/>
    <mergeCell ref="F1923:I1923"/>
    <mergeCell ref="B1924:C1925"/>
    <mergeCell ref="D1924:E1924"/>
    <mergeCell ref="H1924:H1925"/>
    <mergeCell ref="I1924:I1925"/>
    <mergeCell ref="B1926:C1926"/>
    <mergeCell ref="B1927:C1927"/>
    <mergeCell ref="B1928:C1928"/>
    <mergeCell ref="B1929:C1929"/>
    <mergeCell ref="B1930:C1930"/>
    <mergeCell ref="B1931:C1931"/>
    <mergeCell ref="B1936:I1936"/>
    <mergeCell ref="D1938:E1938"/>
    <mergeCell ref="F1938:I1938"/>
    <mergeCell ref="B1939:C1940"/>
    <mergeCell ref="D1939:E1939"/>
    <mergeCell ref="H1939:H1940"/>
    <mergeCell ref="I1939:I1940"/>
    <mergeCell ref="B1941:C1941"/>
    <mergeCell ref="B1942:C1942"/>
    <mergeCell ref="B1943:C1943"/>
    <mergeCell ref="B1944:C1944"/>
    <mergeCell ref="B1945:C1945"/>
    <mergeCell ref="B1946:C1946"/>
    <mergeCell ref="B1951:I1951"/>
    <mergeCell ref="D1953:E1953"/>
    <mergeCell ref="F1953:I1953"/>
    <mergeCell ref="B1954:C1955"/>
    <mergeCell ref="D1954:E1954"/>
    <mergeCell ref="H1954:H1955"/>
    <mergeCell ref="I1954:I1955"/>
    <mergeCell ref="B1956:C1956"/>
    <mergeCell ref="B1957:C1957"/>
    <mergeCell ref="B1958:C1958"/>
    <mergeCell ref="B1959:C1959"/>
    <mergeCell ref="B1960:C1960"/>
    <mergeCell ref="B1961:C1961"/>
    <mergeCell ref="B1966:I1966"/>
    <mergeCell ref="D1968:E1968"/>
    <mergeCell ref="F1968:I1968"/>
    <mergeCell ref="B1969:C1970"/>
    <mergeCell ref="D1969:E1969"/>
    <mergeCell ref="H1969:H1970"/>
    <mergeCell ref="I1969:I1970"/>
    <mergeCell ref="B1971:C1971"/>
    <mergeCell ref="B1972:C1972"/>
    <mergeCell ref="B1973:C1973"/>
    <mergeCell ref="B1974:C1974"/>
    <mergeCell ref="B1975:C1975"/>
    <mergeCell ref="B1976:C1976"/>
    <mergeCell ref="B1981:I1981"/>
    <mergeCell ref="D1983:E1983"/>
    <mergeCell ref="F1983:I1983"/>
    <mergeCell ref="B1984:C1985"/>
    <mergeCell ref="D1984:E1984"/>
    <mergeCell ref="H1984:H1985"/>
    <mergeCell ref="I1984:I1985"/>
    <mergeCell ref="B1986:C1986"/>
    <mergeCell ref="B1987:C1987"/>
    <mergeCell ref="B1988:C1988"/>
    <mergeCell ref="B1989:C1989"/>
    <mergeCell ref="B1990:C1990"/>
    <mergeCell ref="B1991:C1991"/>
    <mergeCell ref="B1996:I1996"/>
    <mergeCell ref="D1998:E1998"/>
    <mergeCell ref="F1998:I1998"/>
    <mergeCell ref="B1999:C2000"/>
    <mergeCell ref="D1999:E1999"/>
    <mergeCell ref="H1999:H2000"/>
    <mergeCell ref="I1999:I2000"/>
    <mergeCell ref="B2001:C2001"/>
    <mergeCell ref="B2002:C2002"/>
    <mergeCell ref="B2003:C2003"/>
    <mergeCell ref="B2004:C2004"/>
    <mergeCell ref="B2005:C2005"/>
    <mergeCell ref="B2006:C2006"/>
    <mergeCell ref="B2011:I2011"/>
    <mergeCell ref="D2013:E2013"/>
    <mergeCell ref="F2013:I2013"/>
    <mergeCell ref="B2014:C2015"/>
    <mergeCell ref="D2014:E2014"/>
    <mergeCell ref="H2014:H2015"/>
    <mergeCell ref="I2014:I2015"/>
    <mergeCell ref="B2016:C2016"/>
    <mergeCell ref="B2017:C2017"/>
    <mergeCell ref="B2018:C2018"/>
    <mergeCell ref="B2019:C2019"/>
    <mergeCell ref="B2020:C2020"/>
    <mergeCell ref="B2021:C2021"/>
    <mergeCell ref="B2026:I2026"/>
    <mergeCell ref="D2028:E2028"/>
    <mergeCell ref="F2028:I2028"/>
    <mergeCell ref="B2029:C2030"/>
    <mergeCell ref="D2029:E2029"/>
    <mergeCell ref="H2029:H2030"/>
    <mergeCell ref="I2029:I2030"/>
    <mergeCell ref="B2031:C2031"/>
    <mergeCell ref="B2032:C2032"/>
    <mergeCell ref="B2033:C2033"/>
    <mergeCell ref="B2034:C2034"/>
    <mergeCell ref="B2035:C2035"/>
    <mergeCell ref="B2036:C2036"/>
    <mergeCell ref="B2041:I2041"/>
    <mergeCell ref="D2043:E2043"/>
    <mergeCell ref="F2043:I2043"/>
    <mergeCell ref="B2044:C2045"/>
    <mergeCell ref="D2044:E2044"/>
    <mergeCell ref="H2044:H2045"/>
    <mergeCell ref="I2044:I2045"/>
    <mergeCell ref="B2046:C2046"/>
    <mergeCell ref="B2047:C2047"/>
    <mergeCell ref="B2048:C2048"/>
    <mergeCell ref="B2049:C2049"/>
    <mergeCell ref="B2050:C2050"/>
    <mergeCell ref="B2051:C2051"/>
    <mergeCell ref="B2056:I2056"/>
    <mergeCell ref="D2058:E2058"/>
    <mergeCell ref="F2058:I2058"/>
    <mergeCell ref="B2059:C2060"/>
    <mergeCell ref="D2059:E2059"/>
    <mergeCell ref="H2059:H2060"/>
    <mergeCell ref="I2059:I2060"/>
    <mergeCell ref="B2061:C2061"/>
    <mergeCell ref="B2062:C2062"/>
    <mergeCell ref="B2063:C2063"/>
    <mergeCell ref="B2064:C2064"/>
    <mergeCell ref="B2065:C2065"/>
    <mergeCell ref="B2066:C2066"/>
    <mergeCell ref="B2071:I2071"/>
    <mergeCell ref="D2073:E2073"/>
    <mergeCell ref="F2073:I2073"/>
    <mergeCell ref="B2074:C2075"/>
    <mergeCell ref="D2074:E2074"/>
    <mergeCell ref="H2074:H2075"/>
    <mergeCell ref="I2074:I2075"/>
    <mergeCell ref="B2076:C2076"/>
    <mergeCell ref="B2077:C2077"/>
    <mergeCell ref="B2078:C2078"/>
    <mergeCell ref="B2079:C2079"/>
    <mergeCell ref="B2080:C2080"/>
    <mergeCell ref="B2081:C2081"/>
    <mergeCell ref="B2086:I2086"/>
    <mergeCell ref="D2088:E2088"/>
    <mergeCell ref="F2088:I2088"/>
    <mergeCell ref="B2089:C2090"/>
    <mergeCell ref="D2089:E2089"/>
    <mergeCell ref="H2089:H2090"/>
    <mergeCell ref="I2089:I2090"/>
    <mergeCell ref="B2091:C2091"/>
    <mergeCell ref="B2092:C2092"/>
    <mergeCell ref="B2093:C2093"/>
    <mergeCell ref="B2094:C2094"/>
    <mergeCell ref="B2095:C2095"/>
    <mergeCell ref="B2096:C2096"/>
    <mergeCell ref="B2101:I2101"/>
    <mergeCell ref="D2103:E2103"/>
    <mergeCell ref="F2103:I2103"/>
    <mergeCell ref="B2104:C2105"/>
    <mergeCell ref="D2104:E2104"/>
    <mergeCell ref="H2104:H2105"/>
    <mergeCell ref="I2104:I2105"/>
    <mergeCell ref="B2106:C2106"/>
    <mergeCell ref="B2107:C2107"/>
    <mergeCell ref="B2108:C2108"/>
    <mergeCell ref="B2109:C2109"/>
    <mergeCell ref="B2110:C2110"/>
    <mergeCell ref="B2111:C2111"/>
    <mergeCell ref="B2116:I2116"/>
    <mergeCell ref="D2118:E2118"/>
    <mergeCell ref="F2118:I2118"/>
    <mergeCell ref="B2119:C2120"/>
    <mergeCell ref="D2119:E2119"/>
    <mergeCell ref="H2119:H2120"/>
    <mergeCell ref="I2119:I2120"/>
    <mergeCell ref="B2121:C2121"/>
    <mergeCell ref="B2122:C2122"/>
    <mergeCell ref="B2123:C2123"/>
    <mergeCell ref="B2124:C2124"/>
    <mergeCell ref="B2125:C2125"/>
    <mergeCell ref="B2126:C2126"/>
    <mergeCell ref="B2131:I2131"/>
    <mergeCell ref="D2133:E2133"/>
    <mergeCell ref="F2133:I2133"/>
    <mergeCell ref="B2134:C2135"/>
    <mergeCell ref="D2134:E2134"/>
    <mergeCell ref="H2134:H2135"/>
    <mergeCell ref="I2134:I2135"/>
    <mergeCell ref="B2136:C2136"/>
    <mergeCell ref="B2137:C2137"/>
    <mergeCell ref="B2138:C2138"/>
    <mergeCell ref="B2139:C2139"/>
    <mergeCell ref="B2140:C2140"/>
    <mergeCell ref="B2141:C2141"/>
    <mergeCell ref="B2146:I2146"/>
    <mergeCell ref="D2148:E2148"/>
    <mergeCell ref="F2148:I2148"/>
    <mergeCell ref="B2149:C2150"/>
    <mergeCell ref="D2149:E2149"/>
    <mergeCell ref="H2149:H2150"/>
    <mergeCell ref="I2149:I2150"/>
    <mergeCell ref="B2151:C2151"/>
    <mergeCell ref="B2152:C2152"/>
    <mergeCell ref="B2153:C2153"/>
    <mergeCell ref="B2154:C2154"/>
    <mergeCell ref="B2155:C2155"/>
    <mergeCell ref="B2156:C2156"/>
    <mergeCell ref="B2161:I2161"/>
    <mergeCell ref="D2163:E2163"/>
    <mergeCell ref="F2163:I2163"/>
    <mergeCell ref="B2164:C2165"/>
    <mergeCell ref="D2164:E2164"/>
    <mergeCell ref="H2164:H2165"/>
    <mergeCell ref="I2164:I2165"/>
    <mergeCell ref="B2166:C2166"/>
    <mergeCell ref="B2167:C2167"/>
    <mergeCell ref="B2168:C2168"/>
    <mergeCell ref="B2169:C2169"/>
    <mergeCell ref="B2170:C2170"/>
    <mergeCell ref="B2171:C2171"/>
    <mergeCell ref="B2176:I2176"/>
    <mergeCell ref="D2178:E2178"/>
    <mergeCell ref="F2178:I2178"/>
    <mergeCell ref="B2179:C2180"/>
    <mergeCell ref="D2179:E2179"/>
    <mergeCell ref="H2179:H2180"/>
    <mergeCell ref="I2179:I2180"/>
    <mergeCell ref="B2181:C2181"/>
    <mergeCell ref="B2182:C2182"/>
    <mergeCell ref="B2183:C2183"/>
    <mergeCell ref="B2184:C2184"/>
    <mergeCell ref="B2185:C2185"/>
    <mergeCell ref="B2186:C2186"/>
    <mergeCell ref="B2191:I2191"/>
    <mergeCell ref="D2193:E2193"/>
    <mergeCell ref="F2193:I2193"/>
    <mergeCell ref="B2194:C2195"/>
    <mergeCell ref="D2194:E2194"/>
    <mergeCell ref="H2194:H2195"/>
    <mergeCell ref="I2194:I2195"/>
    <mergeCell ref="B2196:C2196"/>
    <mergeCell ref="B2197:C2197"/>
    <mergeCell ref="B2198:C2198"/>
    <mergeCell ref="B2199:C2199"/>
    <mergeCell ref="B2200:C2200"/>
    <mergeCell ref="B2201:C2201"/>
    <mergeCell ref="B2206:I2206"/>
    <mergeCell ref="D2208:E2208"/>
    <mergeCell ref="F2208:I2208"/>
    <mergeCell ref="B2209:C2210"/>
    <mergeCell ref="D2209:E2209"/>
    <mergeCell ref="H2209:H2210"/>
    <mergeCell ref="I2209:I2210"/>
    <mergeCell ref="B2211:C2211"/>
    <mergeCell ref="B2212:C2212"/>
    <mergeCell ref="B2213:C2213"/>
    <mergeCell ref="B2214:C2214"/>
    <mergeCell ref="B2215:C2215"/>
    <mergeCell ref="B2216:C2216"/>
    <mergeCell ref="B2221:I2221"/>
    <mergeCell ref="D2223:E2223"/>
    <mergeCell ref="F2223:I2223"/>
    <mergeCell ref="B2224:C2225"/>
    <mergeCell ref="D2224:E2224"/>
    <mergeCell ref="H2224:H2225"/>
    <mergeCell ref="I2224:I2225"/>
    <mergeCell ref="B2226:C2226"/>
    <mergeCell ref="B2227:C2227"/>
    <mergeCell ref="B2228:C2228"/>
    <mergeCell ref="B2229:C2229"/>
    <mergeCell ref="B2230:C2230"/>
    <mergeCell ref="B2231:C2231"/>
    <mergeCell ref="B2236:I2236"/>
    <mergeCell ref="D2238:E2238"/>
    <mergeCell ref="F2238:I2238"/>
    <mergeCell ref="B2239:C2240"/>
    <mergeCell ref="D2239:E2239"/>
    <mergeCell ref="H2239:H2240"/>
    <mergeCell ref="I2239:I2240"/>
    <mergeCell ref="B2241:C2241"/>
    <mergeCell ref="B2242:C2242"/>
    <mergeCell ref="B2243:C2243"/>
    <mergeCell ref="B2244:C2244"/>
    <mergeCell ref="B2245:C2245"/>
    <mergeCell ref="B2246:C2246"/>
    <mergeCell ref="B2251:I2251"/>
    <mergeCell ref="D2253:E2253"/>
    <mergeCell ref="F2253:I2253"/>
    <mergeCell ref="B2254:C2255"/>
    <mergeCell ref="D2254:E2254"/>
    <mergeCell ref="H2254:H2255"/>
    <mergeCell ref="I2254:I2255"/>
    <mergeCell ref="B2256:C2256"/>
    <mergeCell ref="B2257:C2257"/>
    <mergeCell ref="B2258:C2258"/>
    <mergeCell ref="B2259:C2259"/>
    <mergeCell ref="B2260:C2260"/>
    <mergeCell ref="B2261:C2261"/>
    <mergeCell ref="B2266:I2266"/>
    <mergeCell ref="D2268:E2268"/>
    <mergeCell ref="F2268:I2268"/>
    <mergeCell ref="B2269:C2270"/>
    <mergeCell ref="D2269:E2269"/>
    <mergeCell ref="H2269:H2270"/>
    <mergeCell ref="I2269:I2270"/>
    <mergeCell ref="B2271:C2271"/>
    <mergeCell ref="B2272:C2272"/>
    <mergeCell ref="B2273:C2273"/>
    <mergeCell ref="B2274:C2274"/>
    <mergeCell ref="B2275:C2275"/>
    <mergeCell ref="B2276:C2276"/>
    <mergeCell ref="B2281:I2281"/>
    <mergeCell ref="D2283:E2283"/>
    <mergeCell ref="F2283:I2283"/>
    <mergeCell ref="B2284:C2285"/>
    <mergeCell ref="D2284:E2284"/>
    <mergeCell ref="H2284:H2285"/>
    <mergeCell ref="I2284:I2285"/>
    <mergeCell ref="B2286:C2286"/>
    <mergeCell ref="B2287:C2287"/>
    <mergeCell ref="B2288:C2288"/>
    <mergeCell ref="B2289:C2289"/>
    <mergeCell ref="B2290:C2290"/>
    <mergeCell ref="B2291:C2291"/>
    <mergeCell ref="B2296:I2296"/>
    <mergeCell ref="D2298:E2298"/>
    <mergeCell ref="F2298:I2298"/>
    <mergeCell ref="B2299:C2300"/>
    <mergeCell ref="D2299:E2299"/>
    <mergeCell ref="H2299:H2300"/>
    <mergeCell ref="I2299:I2300"/>
    <mergeCell ref="B2301:C2301"/>
    <mergeCell ref="B2302:C2302"/>
    <mergeCell ref="B2303:C2303"/>
    <mergeCell ref="B2304:C2304"/>
    <mergeCell ref="B2305:C2305"/>
    <mergeCell ref="B2306:C2306"/>
    <mergeCell ref="B2311:I2311"/>
    <mergeCell ref="D2313:E2313"/>
    <mergeCell ref="F2313:I2313"/>
    <mergeCell ref="B2314:C2315"/>
    <mergeCell ref="D2314:E2314"/>
    <mergeCell ref="H2314:H2315"/>
    <mergeCell ref="I2314:I2315"/>
    <mergeCell ref="B2316:C2316"/>
    <mergeCell ref="B2317:C2317"/>
    <mergeCell ref="B2318:C2318"/>
    <mergeCell ref="B2319:C2319"/>
    <mergeCell ref="B2320:C2320"/>
    <mergeCell ref="B2321:C2321"/>
    <mergeCell ref="B2326:I2326"/>
    <mergeCell ref="D2328:E2328"/>
    <mergeCell ref="F2328:I2328"/>
    <mergeCell ref="B2329:C2330"/>
    <mergeCell ref="D2329:E2329"/>
    <mergeCell ref="H2329:H2330"/>
    <mergeCell ref="I2329:I2330"/>
    <mergeCell ref="B2331:C2331"/>
    <mergeCell ref="B2332:C2332"/>
    <mergeCell ref="B2333:C2333"/>
    <mergeCell ref="B2334:C2334"/>
    <mergeCell ref="B2335:C2335"/>
    <mergeCell ref="B2336:C2336"/>
    <mergeCell ref="B2341:I2341"/>
    <mergeCell ref="D2343:E2343"/>
    <mergeCell ref="F2343:I2343"/>
    <mergeCell ref="B2344:C2345"/>
    <mergeCell ref="D2344:E2344"/>
    <mergeCell ref="H2344:H2345"/>
    <mergeCell ref="I2344:I2345"/>
    <mergeCell ref="B2346:C2346"/>
    <mergeCell ref="B2347:C2347"/>
    <mergeCell ref="B2348:C2348"/>
    <mergeCell ref="B2349:C2349"/>
    <mergeCell ref="B2350:C2350"/>
    <mergeCell ref="B2351:C2351"/>
    <mergeCell ref="B2356:I2356"/>
    <mergeCell ref="D2358:E2358"/>
    <mergeCell ref="F2358:I2358"/>
    <mergeCell ref="B2359:C2360"/>
    <mergeCell ref="D2359:E2359"/>
    <mergeCell ref="H2359:H2360"/>
    <mergeCell ref="I2359:I2360"/>
    <mergeCell ref="B2361:C2361"/>
    <mergeCell ref="B2362:C2362"/>
    <mergeCell ref="B2363:C2363"/>
    <mergeCell ref="B2364:C2364"/>
    <mergeCell ref="B2365:C2365"/>
    <mergeCell ref="B2366:C2366"/>
    <mergeCell ref="B2371:I2371"/>
    <mergeCell ref="D2373:E2373"/>
    <mergeCell ref="F2373:I2373"/>
    <mergeCell ref="B2374:C2375"/>
    <mergeCell ref="D2374:E2374"/>
    <mergeCell ref="H2374:H2375"/>
    <mergeCell ref="I2374:I2375"/>
    <mergeCell ref="B2376:C2376"/>
    <mergeCell ref="B2377:C2377"/>
    <mergeCell ref="B2378:C2378"/>
    <mergeCell ref="B2379:C2379"/>
    <mergeCell ref="B2380:C2380"/>
    <mergeCell ref="B2381:C2381"/>
    <mergeCell ref="B2386:I2386"/>
    <mergeCell ref="D2388:E2388"/>
    <mergeCell ref="F2388:I2388"/>
    <mergeCell ref="B2389:C2390"/>
    <mergeCell ref="D2389:E2389"/>
    <mergeCell ref="H2389:H2390"/>
    <mergeCell ref="I2389:I2390"/>
    <mergeCell ref="B2391:C2391"/>
    <mergeCell ref="B2392:C2392"/>
    <mergeCell ref="B2393:C2393"/>
    <mergeCell ref="B2394:C2394"/>
    <mergeCell ref="B2395:C2395"/>
    <mergeCell ref="B2396:C2396"/>
    <mergeCell ref="B2401:I2401"/>
    <mergeCell ref="D2403:E2403"/>
    <mergeCell ref="F2403:I2403"/>
    <mergeCell ref="B2404:C2405"/>
    <mergeCell ref="D2404:E2404"/>
    <mergeCell ref="H2404:H2405"/>
    <mergeCell ref="I2404:I2405"/>
    <mergeCell ref="B2406:C2406"/>
    <mergeCell ref="B2407:C2407"/>
    <mergeCell ref="B2408:C2408"/>
    <mergeCell ref="B2409:C2409"/>
    <mergeCell ref="B2410:C2410"/>
    <mergeCell ref="B2411:C2411"/>
    <mergeCell ref="B2416:I2416"/>
    <mergeCell ref="D2418:E2418"/>
    <mergeCell ref="F2418:I2418"/>
    <mergeCell ref="B2419:C2420"/>
    <mergeCell ref="D2419:E2419"/>
    <mergeCell ref="H2419:H2420"/>
    <mergeCell ref="I2419:I2420"/>
    <mergeCell ref="B2421:C2421"/>
    <mergeCell ref="B2422:C2422"/>
    <mergeCell ref="B2423:C2423"/>
    <mergeCell ref="B2424:C2424"/>
    <mergeCell ref="B2425:C2425"/>
    <mergeCell ref="B2426:C2426"/>
    <mergeCell ref="B2431:I2431"/>
    <mergeCell ref="D2433:E2433"/>
    <mergeCell ref="F2433:I2433"/>
    <mergeCell ref="B2434:C2435"/>
    <mergeCell ref="D2434:E2434"/>
    <mergeCell ref="H2434:H2435"/>
    <mergeCell ref="I2434:I2435"/>
    <mergeCell ref="B2436:C2436"/>
    <mergeCell ref="B2437:C2437"/>
    <mergeCell ref="B2438:C2438"/>
    <mergeCell ref="B2439:C2439"/>
    <mergeCell ref="B2440:C2440"/>
    <mergeCell ref="B2441:C2441"/>
    <mergeCell ref="B2446:I2446"/>
    <mergeCell ref="D2448:E2448"/>
    <mergeCell ref="F2448:I2448"/>
    <mergeCell ref="B2449:C2450"/>
    <mergeCell ref="D2449:E2449"/>
    <mergeCell ref="H2449:H2450"/>
    <mergeCell ref="I2449:I2450"/>
    <mergeCell ref="B2451:C2451"/>
    <mergeCell ref="B2452:C2452"/>
    <mergeCell ref="B2453:C2453"/>
    <mergeCell ref="B2454:C2454"/>
    <mergeCell ref="B2455:C2455"/>
    <mergeCell ref="B2456:C2456"/>
    <mergeCell ref="B2461:I2461"/>
    <mergeCell ref="D2463:E2463"/>
    <mergeCell ref="F2463:I2463"/>
    <mergeCell ref="B2464:C2465"/>
    <mergeCell ref="D2464:E2464"/>
    <mergeCell ref="H2464:H2465"/>
    <mergeCell ref="I2464:I2465"/>
    <mergeCell ref="B2466:C2466"/>
    <mergeCell ref="B2467:C2467"/>
    <mergeCell ref="B2468:C2468"/>
    <mergeCell ref="B2469:C2469"/>
    <mergeCell ref="B2470:C2470"/>
    <mergeCell ref="B2471:C2471"/>
    <mergeCell ref="B2476:I2476"/>
    <mergeCell ref="D2478:E2478"/>
    <mergeCell ref="F2478:I2478"/>
    <mergeCell ref="B2479:C2480"/>
    <mergeCell ref="D2479:E2479"/>
    <mergeCell ref="H2479:H2480"/>
    <mergeCell ref="I2479:I2480"/>
    <mergeCell ref="B2481:C2481"/>
    <mergeCell ref="B2482:C2482"/>
    <mergeCell ref="B2483:C2483"/>
    <mergeCell ref="B2484:C2484"/>
    <mergeCell ref="B2485:C2485"/>
    <mergeCell ref="B2486:C2486"/>
    <mergeCell ref="B2491:I2491"/>
    <mergeCell ref="D2493:E2493"/>
    <mergeCell ref="F2493:I2493"/>
    <mergeCell ref="B2494:C2495"/>
    <mergeCell ref="D2494:E2494"/>
    <mergeCell ref="H2494:H2495"/>
    <mergeCell ref="I2494:I2495"/>
    <mergeCell ref="B2496:C2496"/>
    <mergeCell ref="B2497:C2497"/>
    <mergeCell ref="B2498:C2498"/>
    <mergeCell ref="B2499:C2499"/>
    <mergeCell ref="B2500:C2500"/>
    <mergeCell ref="B2501:C2501"/>
    <mergeCell ref="B2506:I2506"/>
    <mergeCell ref="D2508:E2508"/>
    <mergeCell ref="F2508:I2508"/>
    <mergeCell ref="B2509:C2510"/>
    <mergeCell ref="D2509:E2509"/>
    <mergeCell ref="H2509:H2510"/>
    <mergeCell ref="I2509:I2510"/>
    <mergeCell ref="B2511:C2511"/>
    <mergeCell ref="B2512:C2512"/>
    <mergeCell ref="B2513:C2513"/>
    <mergeCell ref="B2514:C2514"/>
    <mergeCell ref="B2515:C2515"/>
    <mergeCell ref="B2516:C2516"/>
    <mergeCell ref="B2521:I2521"/>
    <mergeCell ref="D2523:E2523"/>
    <mergeCell ref="F2523:I2523"/>
    <mergeCell ref="B2524:C2525"/>
    <mergeCell ref="D2524:E2524"/>
    <mergeCell ref="H2524:H2525"/>
    <mergeCell ref="I2524:I2525"/>
    <mergeCell ref="B2526:C2526"/>
    <mergeCell ref="B2527:C2527"/>
    <mergeCell ref="B2528:C2528"/>
    <mergeCell ref="B2529:C2529"/>
    <mergeCell ref="B2530:C2530"/>
    <mergeCell ref="B2531:C2531"/>
    <mergeCell ref="B2536:I2536"/>
    <mergeCell ref="D2538:E2538"/>
    <mergeCell ref="F2538:I2538"/>
    <mergeCell ref="B2539:C2540"/>
    <mergeCell ref="D2539:E2539"/>
    <mergeCell ref="H2539:H2540"/>
    <mergeCell ref="I2539:I2540"/>
    <mergeCell ref="B2541:C2541"/>
    <mergeCell ref="B2542:C2542"/>
    <mergeCell ref="B2543:C2543"/>
    <mergeCell ref="B2544:C2544"/>
    <mergeCell ref="B2545:C2545"/>
    <mergeCell ref="B2546:C2546"/>
    <mergeCell ref="B2551:I2551"/>
    <mergeCell ref="D2553:E2553"/>
    <mergeCell ref="F2553:I2553"/>
    <mergeCell ref="B2554:C2555"/>
    <mergeCell ref="D2554:E2554"/>
    <mergeCell ref="H2554:H2555"/>
    <mergeCell ref="I2554:I2555"/>
    <mergeCell ref="B2556:C2556"/>
    <mergeCell ref="B2557:C2557"/>
    <mergeCell ref="B2558:C2558"/>
    <mergeCell ref="B2559:C2559"/>
    <mergeCell ref="B2560:C2560"/>
    <mergeCell ref="B2561:C2561"/>
    <mergeCell ref="B2566:I2566"/>
    <mergeCell ref="D2568:E2568"/>
    <mergeCell ref="F2568:I2568"/>
    <mergeCell ref="B2569:C2570"/>
    <mergeCell ref="D2569:E2569"/>
    <mergeCell ref="H2569:H2570"/>
    <mergeCell ref="I2569:I2570"/>
    <mergeCell ref="B2571:C2571"/>
    <mergeCell ref="B2572:C2572"/>
    <mergeCell ref="B2573:C2573"/>
    <mergeCell ref="B2574:C2574"/>
    <mergeCell ref="B2575:C2575"/>
    <mergeCell ref="B2576:C2576"/>
    <mergeCell ref="B2581:I2581"/>
    <mergeCell ref="D2583:E2583"/>
    <mergeCell ref="F2583:I2583"/>
    <mergeCell ref="B2584:C2585"/>
    <mergeCell ref="D2584:E2584"/>
    <mergeCell ref="H2584:H2585"/>
    <mergeCell ref="I2584:I2585"/>
    <mergeCell ref="B2586:C2586"/>
    <mergeCell ref="B2587:C2587"/>
    <mergeCell ref="B2588:C2588"/>
    <mergeCell ref="B2589:C2589"/>
    <mergeCell ref="B2590:C2590"/>
    <mergeCell ref="B2591:C2591"/>
    <mergeCell ref="B2596:I2596"/>
    <mergeCell ref="D2598:E2598"/>
    <mergeCell ref="F2598:I2598"/>
    <mergeCell ref="B2599:C2600"/>
    <mergeCell ref="D2599:E2599"/>
    <mergeCell ref="H2599:H2600"/>
    <mergeCell ref="I2599:I2600"/>
    <mergeCell ref="B2601:C2601"/>
    <mergeCell ref="B2602:C2602"/>
    <mergeCell ref="B2603:C2603"/>
    <mergeCell ref="B2604:C2604"/>
    <mergeCell ref="B2605:C2605"/>
    <mergeCell ref="B2606:C2606"/>
    <mergeCell ref="B2611:I2611"/>
    <mergeCell ref="D2613:E2613"/>
    <mergeCell ref="F2613:I2613"/>
    <mergeCell ref="B2614:C2615"/>
    <mergeCell ref="D2614:E2614"/>
    <mergeCell ref="H2614:H2615"/>
    <mergeCell ref="I2614:I2615"/>
    <mergeCell ref="B2616:C2616"/>
    <mergeCell ref="B2617:C2617"/>
    <mergeCell ref="B2618:C2618"/>
    <mergeCell ref="B2619:C2619"/>
    <mergeCell ref="B2620:C2620"/>
    <mergeCell ref="B2621:C2621"/>
    <mergeCell ref="B2626:I2626"/>
    <mergeCell ref="D2628:E2628"/>
    <mergeCell ref="F2628:I2628"/>
    <mergeCell ref="B2629:C2630"/>
    <mergeCell ref="D2629:E2629"/>
    <mergeCell ref="H2629:H2630"/>
    <mergeCell ref="I2629:I2630"/>
    <mergeCell ref="B2631:C2631"/>
    <mergeCell ref="B2632:C2632"/>
    <mergeCell ref="B2633:C2633"/>
    <mergeCell ref="B2634:C2634"/>
    <mergeCell ref="B2635:C2635"/>
    <mergeCell ref="B2636:C2636"/>
    <mergeCell ref="B2641:I2641"/>
    <mergeCell ref="D2643:E2643"/>
    <mergeCell ref="F2643:I2643"/>
    <mergeCell ref="B2644:C2645"/>
    <mergeCell ref="D2644:E2644"/>
    <mergeCell ref="H2644:H2645"/>
    <mergeCell ref="I2644:I2645"/>
    <mergeCell ref="B2646:C2646"/>
    <mergeCell ref="B2647:C2647"/>
    <mergeCell ref="B2648:C2648"/>
    <mergeCell ref="B2649:C2649"/>
    <mergeCell ref="B2650:C2650"/>
    <mergeCell ref="B2651:C2651"/>
    <mergeCell ref="B2656:I2656"/>
    <mergeCell ref="D2658:E2658"/>
    <mergeCell ref="F2658:I2658"/>
    <mergeCell ref="B2659:C2660"/>
    <mergeCell ref="D2659:E2659"/>
    <mergeCell ref="H2659:H2660"/>
    <mergeCell ref="I2659:I2660"/>
    <mergeCell ref="B2661:C2661"/>
    <mergeCell ref="B2662:C2662"/>
    <mergeCell ref="B2663:C2663"/>
    <mergeCell ref="B2664:C2664"/>
    <mergeCell ref="B2665:C2665"/>
    <mergeCell ref="B2666:C2666"/>
    <mergeCell ref="B2671:I2671"/>
    <mergeCell ref="D2673:E2673"/>
    <mergeCell ref="F2673:I2673"/>
    <mergeCell ref="B2674:C2675"/>
    <mergeCell ref="D2674:E2674"/>
    <mergeCell ref="H2674:H2675"/>
    <mergeCell ref="I2674:I2675"/>
    <mergeCell ref="B2676:C2676"/>
    <mergeCell ref="B2677:C2677"/>
    <mergeCell ref="B2678:C2678"/>
    <mergeCell ref="B2679:C2679"/>
    <mergeCell ref="B2680:C2680"/>
    <mergeCell ref="B2681:C2681"/>
    <mergeCell ref="B2686:I2686"/>
    <mergeCell ref="D2688:E2688"/>
    <mergeCell ref="F2688:I2688"/>
    <mergeCell ref="B2689:C2690"/>
    <mergeCell ref="D2689:E2689"/>
    <mergeCell ref="H2689:H2690"/>
    <mergeCell ref="I2689:I2690"/>
    <mergeCell ref="B2691:C2691"/>
    <mergeCell ref="B2692:C2692"/>
    <mergeCell ref="B2693:C2693"/>
    <mergeCell ref="B2694:C2694"/>
    <mergeCell ref="B2695:C2695"/>
    <mergeCell ref="B2696:C2696"/>
    <mergeCell ref="B2701:I2701"/>
    <mergeCell ref="D2703:E2703"/>
    <mergeCell ref="F2703:I2703"/>
    <mergeCell ref="B2704:C2705"/>
    <mergeCell ref="D2704:E2704"/>
    <mergeCell ref="H2704:H2705"/>
    <mergeCell ref="I2704:I2705"/>
    <mergeCell ref="B2706:C2706"/>
    <mergeCell ref="B2707:C2707"/>
    <mergeCell ref="B2708:C2708"/>
    <mergeCell ref="B2709:C2709"/>
    <mergeCell ref="B2710:C2710"/>
    <mergeCell ref="B2711:C2711"/>
    <mergeCell ref="B2716:I2716"/>
    <mergeCell ref="D2718:E2718"/>
    <mergeCell ref="F2718:I2718"/>
    <mergeCell ref="B2719:C2720"/>
    <mergeCell ref="D2719:E2719"/>
    <mergeCell ref="H2719:H2720"/>
    <mergeCell ref="I2719:I2720"/>
    <mergeCell ref="B2721:C2721"/>
    <mergeCell ref="B2722:C2722"/>
    <mergeCell ref="B2723:C2723"/>
    <mergeCell ref="B2724:C2724"/>
    <mergeCell ref="B2725:C2725"/>
    <mergeCell ref="B2726:C2726"/>
    <mergeCell ref="B2731:I2731"/>
    <mergeCell ref="D2733:E2733"/>
    <mergeCell ref="F2733:I2733"/>
    <mergeCell ref="B2734:C2735"/>
    <mergeCell ref="D2734:E2734"/>
    <mergeCell ref="H2734:H2735"/>
    <mergeCell ref="I2734:I2735"/>
    <mergeCell ref="B2736:C2736"/>
    <mergeCell ref="B2737:C2737"/>
    <mergeCell ref="B2738:C2738"/>
    <mergeCell ref="B2739:C2739"/>
    <mergeCell ref="B2740:C2740"/>
    <mergeCell ref="B2741:C2741"/>
    <mergeCell ref="B2746:I2746"/>
    <mergeCell ref="D2748:E2748"/>
    <mergeCell ref="F2748:I2748"/>
    <mergeCell ref="B2749:C2750"/>
    <mergeCell ref="D2749:E2749"/>
    <mergeCell ref="H2749:H2750"/>
    <mergeCell ref="I2749:I2750"/>
    <mergeCell ref="B2751:C2751"/>
    <mergeCell ref="B2752:C2752"/>
    <mergeCell ref="B2753:C2753"/>
    <mergeCell ref="B2754:C2754"/>
    <mergeCell ref="B2755:C2755"/>
    <mergeCell ref="B2756:C2756"/>
    <mergeCell ref="B2761:I2761"/>
    <mergeCell ref="D2763:E2763"/>
    <mergeCell ref="F2763:I2763"/>
    <mergeCell ref="B2764:C2765"/>
    <mergeCell ref="D2764:E2764"/>
    <mergeCell ref="H2764:H2765"/>
    <mergeCell ref="I2764:I2765"/>
    <mergeCell ref="B2766:C2766"/>
    <mergeCell ref="B2767:C2767"/>
    <mergeCell ref="B2768:C2768"/>
    <mergeCell ref="B2769:C2769"/>
    <mergeCell ref="B2770:C2770"/>
    <mergeCell ref="B2771:C2771"/>
    <mergeCell ref="B2776:I2776"/>
    <mergeCell ref="D2778:E2778"/>
    <mergeCell ref="F2778:I2778"/>
    <mergeCell ref="B2779:C2780"/>
    <mergeCell ref="D2779:E2779"/>
    <mergeCell ref="H2779:H2780"/>
    <mergeCell ref="I2779:I2780"/>
    <mergeCell ref="B2781:C2781"/>
    <mergeCell ref="B2782:C2782"/>
    <mergeCell ref="B2783:C2783"/>
    <mergeCell ref="B2784:C2784"/>
    <mergeCell ref="B2785:C2785"/>
    <mergeCell ref="B2786:C2786"/>
    <mergeCell ref="B2791:I2791"/>
    <mergeCell ref="D2793:E2793"/>
    <mergeCell ref="F2793:I2793"/>
    <mergeCell ref="B2794:C2795"/>
    <mergeCell ref="D2794:E2794"/>
    <mergeCell ref="H2794:H2795"/>
    <mergeCell ref="I2794:I2795"/>
    <mergeCell ref="B2796:C2796"/>
    <mergeCell ref="B2797:C2797"/>
    <mergeCell ref="B2798:C2798"/>
    <mergeCell ref="B2799:C2799"/>
    <mergeCell ref="B2800:C2800"/>
    <mergeCell ref="B2801:C2801"/>
    <mergeCell ref="B2806:I2806"/>
    <mergeCell ref="D2808:E2808"/>
    <mergeCell ref="F2808:I2808"/>
    <mergeCell ref="B2809:C2810"/>
    <mergeCell ref="D2809:E2809"/>
    <mergeCell ref="H2809:H2810"/>
    <mergeCell ref="I2809:I2810"/>
    <mergeCell ref="B2811:C2811"/>
    <mergeCell ref="B2812:C2812"/>
    <mergeCell ref="B2813:C2813"/>
    <mergeCell ref="B2814:C2814"/>
    <mergeCell ref="B2815:C2815"/>
    <mergeCell ref="B2816:C2816"/>
    <mergeCell ref="B2821:I2821"/>
    <mergeCell ref="D2823:E2823"/>
    <mergeCell ref="F2823:I2823"/>
    <mergeCell ref="B2824:C2825"/>
    <mergeCell ref="D2824:E2824"/>
    <mergeCell ref="H2824:H2825"/>
    <mergeCell ref="I2824:I2825"/>
    <mergeCell ref="B2826:C2826"/>
    <mergeCell ref="B2827:C2827"/>
    <mergeCell ref="B2828:C2828"/>
    <mergeCell ref="B2829:C2829"/>
    <mergeCell ref="B2830:C2830"/>
    <mergeCell ref="B2831:C2831"/>
    <mergeCell ref="B2836:I2836"/>
    <mergeCell ref="D2838:E2838"/>
    <mergeCell ref="F2838:I2838"/>
    <mergeCell ref="B2839:C2840"/>
    <mergeCell ref="D2839:E2839"/>
    <mergeCell ref="H2839:H2840"/>
    <mergeCell ref="I2839:I2840"/>
    <mergeCell ref="B2841:C2841"/>
    <mergeCell ref="B2842:C2842"/>
    <mergeCell ref="B2843:C2843"/>
    <mergeCell ref="B2844:C2844"/>
    <mergeCell ref="B2845:C2845"/>
    <mergeCell ref="B2846:C2846"/>
    <mergeCell ref="B2851:I2851"/>
    <mergeCell ref="D2853:E2853"/>
    <mergeCell ref="F2853:I2853"/>
    <mergeCell ref="B2854:C2855"/>
    <mergeCell ref="D2854:E2854"/>
    <mergeCell ref="H2854:H2855"/>
    <mergeCell ref="I2854:I2855"/>
    <mergeCell ref="B2856:C2856"/>
    <mergeCell ref="B2857:C2857"/>
    <mergeCell ref="B2858:C2858"/>
    <mergeCell ref="B2859:C2859"/>
    <mergeCell ref="B2860:C2860"/>
    <mergeCell ref="B2861:C2861"/>
    <mergeCell ref="B2866:I2866"/>
    <mergeCell ref="D2868:E2868"/>
    <mergeCell ref="F2868:I2868"/>
    <mergeCell ref="B2869:C2870"/>
    <mergeCell ref="D2869:E2869"/>
    <mergeCell ref="H2869:H2870"/>
    <mergeCell ref="I2869:I2870"/>
    <mergeCell ref="B2871:C2871"/>
    <mergeCell ref="B2872:C2872"/>
    <mergeCell ref="B2873:C2873"/>
    <mergeCell ref="B2874:C2874"/>
    <mergeCell ref="B2875:C2875"/>
    <mergeCell ref="B2876:C2876"/>
    <mergeCell ref="B2881:I2881"/>
    <mergeCell ref="D2883:E2883"/>
    <mergeCell ref="F2883:I2883"/>
    <mergeCell ref="B2884:C2885"/>
    <mergeCell ref="D2884:E2884"/>
    <mergeCell ref="H2884:H2885"/>
    <mergeCell ref="I2884:I2885"/>
    <mergeCell ref="B2886:C2886"/>
    <mergeCell ref="B2887:C2887"/>
    <mergeCell ref="B2888:C2888"/>
    <mergeCell ref="B2889:C2889"/>
    <mergeCell ref="B2890:C2890"/>
    <mergeCell ref="B2891:C2891"/>
    <mergeCell ref="B2896:I2896"/>
    <mergeCell ref="D2898:E2898"/>
    <mergeCell ref="F2898:I2898"/>
    <mergeCell ref="B2899:C2900"/>
    <mergeCell ref="D2899:E2899"/>
    <mergeCell ref="H2899:H2900"/>
    <mergeCell ref="I2899:I2900"/>
    <mergeCell ref="B2901:C2901"/>
    <mergeCell ref="B2902:C2902"/>
    <mergeCell ref="B2903:C2903"/>
    <mergeCell ref="B2904:C2904"/>
    <mergeCell ref="B2905:C2905"/>
    <mergeCell ref="B2906:C2906"/>
    <mergeCell ref="B2911:I2911"/>
    <mergeCell ref="D2913:E2913"/>
    <mergeCell ref="F2913:I2913"/>
    <mergeCell ref="B2914:C2915"/>
    <mergeCell ref="D2914:E2914"/>
    <mergeCell ref="H2914:H2915"/>
    <mergeCell ref="I2914:I2915"/>
    <mergeCell ref="B2916:C2916"/>
    <mergeCell ref="B2917:C2917"/>
    <mergeCell ref="B2918:C2918"/>
    <mergeCell ref="B2919:C2919"/>
    <mergeCell ref="B2920:C2920"/>
    <mergeCell ref="B2921:C2921"/>
    <mergeCell ref="B2926:I2926"/>
    <mergeCell ref="D2928:E2928"/>
    <mergeCell ref="F2928:I2928"/>
    <mergeCell ref="B2929:C2930"/>
    <mergeCell ref="D2929:E2929"/>
    <mergeCell ref="H2929:H2930"/>
    <mergeCell ref="I2929:I2930"/>
    <mergeCell ref="B2931:C2931"/>
    <mergeCell ref="B2932:C2932"/>
    <mergeCell ref="B2933:C2933"/>
    <mergeCell ref="B2934:C2934"/>
    <mergeCell ref="B2935:C2935"/>
    <mergeCell ref="B2936:C2936"/>
    <mergeCell ref="B2941:I2941"/>
    <mergeCell ref="D2943:E2943"/>
    <mergeCell ref="F2943:I2943"/>
    <mergeCell ref="B2944:C2945"/>
    <mergeCell ref="D2944:E2944"/>
    <mergeCell ref="H2944:H2945"/>
    <mergeCell ref="I2944:I2945"/>
    <mergeCell ref="B2946:C2946"/>
    <mergeCell ref="B2947:C2947"/>
    <mergeCell ref="B2948:C2948"/>
    <mergeCell ref="B2949:C2949"/>
    <mergeCell ref="B2950:C2950"/>
    <mergeCell ref="B2951:C2951"/>
    <mergeCell ref="B2956:I2956"/>
    <mergeCell ref="D2958:E2958"/>
    <mergeCell ref="F2958:I2958"/>
    <mergeCell ref="B2959:C2960"/>
    <mergeCell ref="D2959:E2959"/>
    <mergeCell ref="H2959:H2960"/>
    <mergeCell ref="I2959:I2960"/>
    <mergeCell ref="B2961:C2961"/>
    <mergeCell ref="B2962:C2962"/>
    <mergeCell ref="B2963:C2963"/>
    <mergeCell ref="B2964:C2964"/>
    <mergeCell ref="B2965:C2965"/>
    <mergeCell ref="B2966:C2966"/>
    <mergeCell ref="B2971:I2971"/>
    <mergeCell ref="D2973:E2973"/>
    <mergeCell ref="F2973:I2973"/>
    <mergeCell ref="B2974:C2975"/>
    <mergeCell ref="D2974:E2974"/>
    <mergeCell ref="H2974:H2975"/>
    <mergeCell ref="I2974:I2975"/>
    <mergeCell ref="B2976:C2976"/>
    <mergeCell ref="B2977:C2977"/>
    <mergeCell ref="B2978:C2978"/>
    <mergeCell ref="B2979:C2979"/>
    <mergeCell ref="B2980:C2980"/>
    <mergeCell ref="B2981:C2981"/>
    <mergeCell ref="B2986:I2986"/>
    <mergeCell ref="D2988:E2988"/>
    <mergeCell ref="F2988:I2988"/>
    <mergeCell ref="B2989:C2990"/>
    <mergeCell ref="D2989:E2989"/>
    <mergeCell ref="H2989:H2990"/>
    <mergeCell ref="I2989:I2990"/>
    <mergeCell ref="B2991:C2991"/>
    <mergeCell ref="B2992:C2992"/>
    <mergeCell ref="B2993:C2993"/>
    <mergeCell ref="B2994:C2994"/>
    <mergeCell ref="B2995:C2995"/>
    <mergeCell ref="B2996:C2996"/>
    <mergeCell ref="B3001:I3001"/>
    <mergeCell ref="D3003:E3003"/>
    <mergeCell ref="F3003:I3003"/>
    <mergeCell ref="B3004:C3005"/>
    <mergeCell ref="D3004:E3004"/>
    <mergeCell ref="H3004:H3005"/>
    <mergeCell ref="I3004:I3005"/>
    <mergeCell ref="B3006:C3006"/>
    <mergeCell ref="B3007:C3007"/>
    <mergeCell ref="B3008:C3008"/>
    <mergeCell ref="B3009:C3009"/>
    <mergeCell ref="B3010:C3010"/>
    <mergeCell ref="B3011:C3011"/>
    <mergeCell ref="B3016:I3016"/>
    <mergeCell ref="D3018:E3018"/>
    <mergeCell ref="F3018:I3018"/>
    <mergeCell ref="B3019:C3020"/>
    <mergeCell ref="D3019:E3019"/>
    <mergeCell ref="H3019:H3020"/>
    <mergeCell ref="I3019:I3020"/>
    <mergeCell ref="B3021:C3021"/>
    <mergeCell ref="B3022:C3022"/>
    <mergeCell ref="B3023:C3023"/>
    <mergeCell ref="B3024:C3024"/>
    <mergeCell ref="B3025:C3025"/>
    <mergeCell ref="B3026:C3026"/>
    <mergeCell ref="B3031:I3031"/>
    <mergeCell ref="D3033:E3033"/>
    <mergeCell ref="F3033:I3033"/>
    <mergeCell ref="B3034:C3035"/>
    <mergeCell ref="D3034:E3034"/>
    <mergeCell ref="H3034:H3035"/>
    <mergeCell ref="I3034:I3035"/>
    <mergeCell ref="B3036:C3036"/>
    <mergeCell ref="B3037:C3037"/>
    <mergeCell ref="B3038:C3038"/>
    <mergeCell ref="B3039:C3039"/>
    <mergeCell ref="B3040:C3040"/>
    <mergeCell ref="B3041:C3041"/>
    <mergeCell ref="B3046:I3046"/>
    <mergeCell ref="D3048:E3048"/>
    <mergeCell ref="F3048:I3048"/>
    <mergeCell ref="B3049:C3050"/>
    <mergeCell ref="D3049:E3049"/>
    <mergeCell ref="H3049:H3050"/>
    <mergeCell ref="I3049:I3050"/>
    <mergeCell ref="B3051:C3051"/>
    <mergeCell ref="B3052:C3052"/>
    <mergeCell ref="B3053:C3053"/>
    <mergeCell ref="B3054:C3054"/>
    <mergeCell ref="B3055:C3055"/>
    <mergeCell ref="B3056:C3056"/>
    <mergeCell ref="B3061:I3061"/>
    <mergeCell ref="D3063:E3063"/>
    <mergeCell ref="F3063:I3063"/>
    <mergeCell ref="B3064:C3065"/>
    <mergeCell ref="D3064:E3064"/>
    <mergeCell ref="H3064:H3065"/>
    <mergeCell ref="I3064:I3065"/>
    <mergeCell ref="B3066:C3066"/>
    <mergeCell ref="B3067:C3067"/>
    <mergeCell ref="B3068:C3068"/>
    <mergeCell ref="B3069:C3069"/>
    <mergeCell ref="B3070:C3070"/>
    <mergeCell ref="B3071:C3071"/>
    <mergeCell ref="B3076:I3076"/>
    <mergeCell ref="D3078:E3078"/>
    <mergeCell ref="F3078:I3078"/>
    <mergeCell ref="B3079:C3080"/>
    <mergeCell ref="D3079:E3079"/>
    <mergeCell ref="H3079:H3080"/>
    <mergeCell ref="I3079:I3080"/>
    <mergeCell ref="B3081:C3081"/>
    <mergeCell ref="B3082:C3082"/>
    <mergeCell ref="B3083:C3083"/>
    <mergeCell ref="B3084:C3084"/>
    <mergeCell ref="B3085:C3085"/>
    <mergeCell ref="B3086:C3086"/>
    <mergeCell ref="B3091:I3091"/>
    <mergeCell ref="D3093:E3093"/>
    <mergeCell ref="F3093:I3093"/>
    <mergeCell ref="B3094:C3095"/>
    <mergeCell ref="D3094:E3094"/>
    <mergeCell ref="H3094:H3095"/>
    <mergeCell ref="I3094:I3095"/>
    <mergeCell ref="B3096:C3096"/>
    <mergeCell ref="B3097:C3097"/>
    <mergeCell ref="B3098:C3098"/>
    <mergeCell ref="B3099:C3099"/>
    <mergeCell ref="B3100:C3100"/>
    <mergeCell ref="B3101:C3101"/>
    <mergeCell ref="B3106:I3106"/>
    <mergeCell ref="D3108:E3108"/>
    <mergeCell ref="F3108:I3108"/>
    <mergeCell ref="B3109:C3110"/>
    <mergeCell ref="D3109:E3109"/>
    <mergeCell ref="H3109:H3110"/>
    <mergeCell ref="I3109:I3110"/>
    <mergeCell ref="B3111:C3111"/>
    <mergeCell ref="B3112:C3112"/>
    <mergeCell ref="B3113:C3113"/>
    <mergeCell ref="B3114:C3114"/>
    <mergeCell ref="B3115:C3115"/>
    <mergeCell ref="B3116:C3116"/>
    <mergeCell ref="B3121:I3121"/>
    <mergeCell ref="D3123:E3123"/>
    <mergeCell ref="F3123:I3123"/>
    <mergeCell ref="B3124:C3125"/>
    <mergeCell ref="D3124:E3124"/>
    <mergeCell ref="H3124:H3125"/>
    <mergeCell ref="I3124:I3125"/>
    <mergeCell ref="B3126:C3126"/>
    <mergeCell ref="B3127:C3127"/>
    <mergeCell ref="B3128:C3128"/>
    <mergeCell ref="B3129:C3129"/>
    <mergeCell ref="B3130:C3130"/>
    <mergeCell ref="B3131:C3131"/>
    <mergeCell ref="B3136:I3136"/>
    <mergeCell ref="D3138:E3138"/>
    <mergeCell ref="F3138:I3138"/>
    <mergeCell ref="B3139:C3140"/>
    <mergeCell ref="D3139:E3139"/>
    <mergeCell ref="H3139:H3140"/>
    <mergeCell ref="I3139:I3140"/>
    <mergeCell ref="B3141:C3141"/>
    <mergeCell ref="B3142:C3142"/>
    <mergeCell ref="B3143:C3143"/>
    <mergeCell ref="B3144:C3144"/>
    <mergeCell ref="B3145:C3145"/>
    <mergeCell ref="B3146:C3146"/>
  </mergeCells>
  <printOptions headings="false" gridLines="false" gridLinesSet="true" horizontalCentered="false" verticalCentered="false"/>
  <pageMargins left="0.3" right="0.3" top="0.4" bottom="0.3" header="0.511811023622047" footer="0.511811023622047"/>
  <pageSetup paperSize="1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09" manualBreakCount="209">
    <brk id="15" man="true" max="16383" min="0"/>
    <brk id="30" man="true" max="16383" min="0"/>
    <brk id="45" man="true" max="16383" min="0"/>
    <brk id="60" man="true" max="16383" min="0"/>
    <brk id="75" man="true" max="16383" min="0"/>
    <brk id="90" man="true" max="16383" min="0"/>
    <brk id="105" man="true" max="16383" min="0"/>
    <brk id="120" man="true" max="16383" min="0"/>
    <brk id="135" man="true" max="16383" min="0"/>
    <brk id="150" man="true" max="16383" min="0"/>
    <brk id="165" man="true" max="16383" min="0"/>
    <brk id="180" man="true" max="16383" min="0"/>
    <brk id="195" man="true" max="16383" min="0"/>
    <brk id="210" man="true" max="16383" min="0"/>
    <brk id="225" man="true" max="16383" min="0"/>
    <brk id="240" man="true" max="16383" min="0"/>
    <brk id="255" man="true" max="16383" min="0"/>
    <brk id="270" man="true" max="16383" min="0"/>
    <brk id="285" man="true" max="16383" min="0"/>
    <brk id="300" man="true" max="16383" min="0"/>
    <brk id="315" man="true" max="16383" min="0"/>
    <brk id="330" man="true" max="16383" min="0"/>
    <brk id="345" man="true" max="16383" min="0"/>
    <brk id="360" man="true" max="16383" min="0"/>
    <brk id="375" man="true" max="16383" min="0"/>
    <brk id="390" man="true" max="16383" min="0"/>
    <brk id="405" man="true" max="16383" min="0"/>
    <brk id="420" man="true" max="16383" min="0"/>
    <brk id="435" man="true" max="16383" min="0"/>
    <brk id="450" man="true" max="16383" min="0"/>
    <brk id="465" man="true" max="16383" min="0"/>
    <brk id="480" man="true" max="16383" min="0"/>
    <brk id="495" man="true" max="16383" min="0"/>
    <brk id="510" man="true" max="16383" min="0"/>
    <brk id="525" man="true" max="16383" min="0"/>
    <brk id="540" man="true" max="16383" min="0"/>
    <brk id="555" man="true" max="16383" min="0"/>
    <brk id="570" man="true" max="16383" min="0"/>
    <brk id="585" man="true" max="16383" min="0"/>
    <brk id="600" man="true" max="16383" min="0"/>
    <brk id="615" man="true" max="16383" min="0"/>
    <brk id="630" man="true" max="16383" min="0"/>
    <brk id="645" man="true" max="16383" min="0"/>
    <brk id="660" man="true" max="16383" min="0"/>
    <brk id="675" man="true" max="16383" min="0"/>
    <brk id="690" man="true" max="16383" min="0"/>
    <brk id="705" man="true" max="16383" min="0"/>
    <brk id="720" man="true" max="16383" min="0"/>
    <brk id="735" man="true" max="16383" min="0"/>
    <brk id="750" man="true" max="16383" min="0"/>
    <brk id="765" man="true" max="16383" min="0"/>
    <brk id="780" man="true" max="16383" min="0"/>
    <brk id="795" man="true" max="16383" min="0"/>
    <brk id="810" man="true" max="16383" min="0"/>
    <brk id="825" man="true" max="16383" min="0"/>
    <brk id="840" man="true" max="16383" min="0"/>
    <brk id="855" man="true" max="16383" min="0"/>
    <brk id="870" man="true" max="16383" min="0"/>
    <brk id="885" man="true" max="16383" min="0"/>
    <brk id="900" man="true" max="16383" min="0"/>
    <brk id="915" man="true" max="16383" min="0"/>
    <brk id="930" man="true" max="16383" min="0"/>
    <brk id="945" man="true" max="16383" min="0"/>
    <brk id="960" man="true" max="16383" min="0"/>
    <brk id="975" man="true" max="16383" min="0"/>
    <brk id="990" man="true" max="16383" min="0"/>
    <brk id="1005" man="true" max="16383" min="0"/>
    <brk id="1020" man="true" max="16383" min="0"/>
    <brk id="1035" man="true" max="16383" min="0"/>
    <brk id="1050" man="true" max="16383" min="0"/>
    <brk id="1065" man="true" max="16383" min="0"/>
    <brk id="1080" man="true" max="16383" min="0"/>
    <brk id="1095" man="true" max="16383" min="0"/>
    <brk id="1110" man="true" max="16383" min="0"/>
    <brk id="1125" man="true" max="16383" min="0"/>
    <brk id="1140" man="true" max="16383" min="0"/>
    <brk id="1155" man="true" max="16383" min="0"/>
    <brk id="1170" man="true" max="16383" min="0"/>
    <brk id="1185" man="true" max="16383" min="0"/>
    <brk id="1200" man="true" max="16383" min="0"/>
    <brk id="1215" man="true" max="16383" min="0"/>
    <brk id="1230" man="true" max="16383" min="0"/>
    <brk id="1245" man="true" max="16383" min="0"/>
    <brk id="1260" man="true" max="16383" min="0"/>
    <brk id="1275" man="true" max="16383" min="0"/>
    <brk id="1290" man="true" max="16383" min="0"/>
    <brk id="1305" man="true" max="16383" min="0"/>
    <brk id="1320" man="true" max="16383" min="0"/>
    <brk id="1335" man="true" max="16383" min="0"/>
    <brk id="1350" man="true" max="16383" min="0"/>
    <brk id="1365" man="true" max="16383" min="0"/>
    <brk id="1380" man="true" max="16383" min="0"/>
    <brk id="1395" man="true" max="16383" min="0"/>
    <brk id="1410" man="true" max="16383" min="0"/>
    <brk id="1425" man="true" max="16383" min="0"/>
    <brk id="1440" man="true" max="16383" min="0"/>
    <brk id="1455" man="true" max="16383" min="0"/>
    <brk id="1470" man="true" max="16383" min="0"/>
    <brk id="1485" man="true" max="16383" min="0"/>
    <brk id="1500" man="true" max="16383" min="0"/>
    <brk id="1515" man="true" max="16383" min="0"/>
    <brk id="1530" man="true" max="16383" min="0"/>
    <brk id="1545" man="true" max="16383" min="0"/>
    <brk id="1560" man="true" max="16383" min="0"/>
    <brk id="1575" man="true" max="16383" min="0"/>
    <brk id="1590" man="true" max="16383" min="0"/>
    <brk id="1605" man="true" max="16383" min="0"/>
    <brk id="1620" man="true" max="16383" min="0"/>
    <brk id="1635" man="true" max="16383" min="0"/>
    <brk id="1650" man="true" max="16383" min="0"/>
    <brk id="1665" man="true" max="16383" min="0"/>
    <brk id="1680" man="true" max="16383" min="0"/>
    <brk id="1695" man="true" max="16383" min="0"/>
    <brk id="1710" man="true" max="16383" min="0"/>
    <brk id="1725" man="true" max="16383" min="0"/>
    <brk id="1740" man="true" max="16383" min="0"/>
    <brk id="1755" man="true" max="16383" min="0"/>
    <brk id="1770" man="true" max="16383" min="0"/>
    <brk id="1785" man="true" max="16383" min="0"/>
    <brk id="1800" man="true" max="16383" min="0"/>
    <brk id="1815" man="true" max="16383" min="0"/>
    <brk id="1830" man="true" max="16383" min="0"/>
    <brk id="1845" man="true" max="16383" min="0"/>
    <brk id="1860" man="true" max="16383" min="0"/>
    <brk id="1875" man="true" max="16383" min="0"/>
    <brk id="1890" man="true" max="16383" min="0"/>
    <brk id="1905" man="true" max="16383" min="0"/>
    <brk id="1920" man="true" max="16383" min="0"/>
    <brk id="1935" man="true" max="16383" min="0"/>
    <brk id="1950" man="true" max="16383" min="0"/>
    <brk id="1965" man="true" max="16383" min="0"/>
    <brk id="1980" man="true" max="16383" min="0"/>
    <brk id="1995" man="true" max="16383" min="0"/>
    <brk id="2010" man="true" max="16383" min="0"/>
    <brk id="2025" man="true" max="16383" min="0"/>
    <brk id="2040" man="true" max="16383" min="0"/>
    <brk id="2055" man="true" max="16383" min="0"/>
    <brk id="2070" man="true" max="16383" min="0"/>
    <brk id="2085" man="true" max="16383" min="0"/>
    <brk id="2100" man="true" max="16383" min="0"/>
    <brk id="2115" man="true" max="16383" min="0"/>
    <brk id="2130" man="true" max="16383" min="0"/>
    <brk id="2145" man="true" max="16383" min="0"/>
    <brk id="2160" man="true" max="16383" min="0"/>
    <brk id="2175" man="true" max="16383" min="0"/>
    <brk id="2190" man="true" max="16383" min="0"/>
    <brk id="2205" man="true" max="16383" min="0"/>
    <brk id="2220" man="true" max="16383" min="0"/>
    <brk id="2235" man="true" max="16383" min="0"/>
    <brk id="2250" man="true" max="16383" min="0"/>
    <brk id="2265" man="true" max="16383" min="0"/>
    <brk id="2280" man="true" max="16383" min="0"/>
    <brk id="2295" man="true" max="16383" min="0"/>
    <brk id="2310" man="true" max="16383" min="0"/>
    <brk id="2325" man="true" max="16383" min="0"/>
    <brk id="2340" man="true" max="16383" min="0"/>
    <brk id="2355" man="true" max="16383" min="0"/>
    <brk id="2370" man="true" max="16383" min="0"/>
    <brk id="2385" man="true" max="16383" min="0"/>
    <brk id="2400" man="true" max="16383" min="0"/>
    <brk id="2415" man="true" max="16383" min="0"/>
    <brk id="2430" man="true" max="16383" min="0"/>
    <brk id="2445" man="true" max="16383" min="0"/>
    <brk id="2460" man="true" max="16383" min="0"/>
    <brk id="2475" man="true" max="16383" min="0"/>
    <brk id="2490" man="true" max="16383" min="0"/>
    <brk id="2505" man="true" max="16383" min="0"/>
    <brk id="2520" man="true" max="16383" min="0"/>
    <brk id="2535" man="true" max="16383" min="0"/>
    <brk id="2550" man="true" max="16383" min="0"/>
    <brk id="2565" man="true" max="16383" min="0"/>
    <brk id="2580" man="true" max="16383" min="0"/>
    <brk id="2595" man="true" max="16383" min="0"/>
    <brk id="2610" man="true" max="16383" min="0"/>
    <brk id="2625" man="true" max="16383" min="0"/>
    <brk id="2640" man="true" max="16383" min="0"/>
    <brk id="2655" man="true" max="16383" min="0"/>
    <brk id="2670" man="true" max="16383" min="0"/>
    <brk id="2685" man="true" max="16383" min="0"/>
    <brk id="2700" man="true" max="16383" min="0"/>
    <brk id="2715" man="true" max="16383" min="0"/>
    <brk id="2730" man="true" max="16383" min="0"/>
    <brk id="2745" man="true" max="16383" min="0"/>
    <brk id="2760" man="true" max="16383" min="0"/>
    <brk id="2775" man="true" max="16383" min="0"/>
    <brk id="2790" man="true" max="16383" min="0"/>
    <brk id="2805" man="true" max="16383" min="0"/>
    <brk id="2820" man="true" max="16383" min="0"/>
    <brk id="2835" man="true" max="16383" min="0"/>
    <brk id="2850" man="true" max="16383" min="0"/>
    <brk id="2865" man="true" max="16383" min="0"/>
    <brk id="2880" man="true" max="16383" min="0"/>
    <brk id="2895" man="true" max="16383" min="0"/>
    <brk id="2910" man="true" max="16383" min="0"/>
    <brk id="2925" man="true" max="16383" min="0"/>
    <brk id="2940" man="true" max="16383" min="0"/>
    <brk id="2955" man="true" max="16383" min="0"/>
    <brk id="2970" man="true" max="16383" min="0"/>
    <brk id="2985" man="true" max="16383" min="0"/>
    <brk id="3000" man="true" max="16383" min="0"/>
    <brk id="3015" man="true" max="16383" min="0"/>
    <brk id="3030" man="true" max="16383" min="0"/>
    <brk id="3045" man="true" max="16383" min="0"/>
    <brk id="3060" man="true" max="16383" min="0"/>
    <brk id="3075" man="true" max="16383" min="0"/>
    <brk id="3090" man="true" max="16383" min="0"/>
    <brk id="3105" man="true" max="16383" min="0"/>
    <brk id="3120" man="true" max="16383" min="0"/>
    <brk id="3135" man="true" max="16383" min="0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61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6"/>
    <col collapsed="false" customWidth="true" hidden="false" outlineLevel="0" max="11" min="11" style="0" width="7"/>
    <col collapsed="false" customWidth="true" hidden="false" outlineLevel="0" max="13" min="13" style="0" width="26"/>
  </cols>
  <sheetData>
    <row r="1" customFormat="false" ht="14.9" hidden="false" customHeight="false" outlineLevel="0" collapsed="false">
      <c r="A1" s="17" t="s">
        <v>410</v>
      </c>
      <c r="B1" s="17"/>
      <c r="C1" s="17" t="s">
        <v>412</v>
      </c>
      <c r="D1" s="17" t="s">
        <v>208</v>
      </c>
      <c r="E1" s="17" t="s">
        <v>209</v>
      </c>
      <c r="F1" s="17" t="s">
        <v>210</v>
      </c>
      <c r="G1" s="17" t="s">
        <v>449</v>
      </c>
      <c r="H1" s="17" t="s">
        <v>450</v>
      </c>
      <c r="I1" s="17" t="s">
        <v>451</v>
      </c>
      <c r="J1" s="17" t="s">
        <v>452</v>
      </c>
      <c r="K1" s="17" t="s">
        <v>478</v>
      </c>
      <c r="L1" s="17" t="s">
        <v>454</v>
      </c>
      <c r="M1" s="17" t="s">
        <v>413</v>
      </c>
    </row>
    <row r="2" customFormat="false" ht="13.5" hidden="false" customHeight="false" outlineLevel="0" collapsed="false">
      <c r="A2" s="47" t="n">
        <v>1</v>
      </c>
      <c r="C2" s="48" t="str">
        <f aca="false">助手报销!$C2</f>
        <v>柏人商城店</v>
      </c>
      <c r="D2" s="81" t="s">
        <v>479</v>
      </c>
      <c r="E2" s="48" t="str">
        <f aca="false">IFERROR(INDEX(输入报销!$E:$E,MATCH($A2&amp;"-1",输入报销!$J:$J,0))&amp;"","")</f>
        <v>销售费用</v>
      </c>
      <c r="F2" s="48" t="str">
        <f aca="false">IFERROR(INDEX(输入报销!$F:$F,MATCH($A2&amp;"-1",输入报销!$J:$J,0))&amp;"","")</f>
        <v>电费</v>
      </c>
      <c r="G2" s="49" t="n">
        <f aca="false">IFERROR(ROUND(INDEX(输入报销!$G:$G,MATCH($A2&amp;"-1",输入报销!$J:$J,0)),2),0)</f>
        <v>300</v>
      </c>
      <c r="H2" s="49" t="n">
        <f aca="false">IF(ROUND($G2,2)&gt;0,ROUND($G2,2),"")</f>
        <v>300</v>
      </c>
      <c r="I2" s="49" t="str">
        <f aca="false">IF(ROUND($G2,2)&lt;0,-ROUND($G2,2),"")</f>
        <v/>
      </c>
      <c r="J2" s="20" t="n">
        <f aca="false">IF(ROUND($G2,2)=0,0,1)</f>
        <v>1</v>
      </c>
      <c r="K2" s="20" t="n">
        <f aca="false">IF($J2=0,"",SUM($J$2:$J2))</f>
        <v>1</v>
      </c>
      <c r="L2" s="20" t="n">
        <f aca="false">IF($K2="","",$A2*100+$K2)</f>
        <v>101</v>
      </c>
      <c r="M2" s="48" t="str">
        <f aca="false">IFERROR(INDEX(输入报销!$D:$D,MATCH($A2&amp;"-1",输入报销!$J:$J,0))&amp;"","")</f>
        <v>电费</v>
      </c>
    </row>
    <row r="3" customFormat="false" ht="13.5" hidden="false" customHeight="false" outlineLevel="0" collapsed="false">
      <c r="A3" s="47" t="n">
        <v>1</v>
      </c>
      <c r="C3" s="48" t="str">
        <f aca="false">助手报销!$C2</f>
        <v>柏人商城店</v>
      </c>
      <c r="D3" s="81" t="s">
        <v>480</v>
      </c>
      <c r="E3" s="48" t="str">
        <f aca="false">IFERROR(INDEX(输入报销!$E:$E,MATCH($A3&amp;"-2",输入报销!$J:$J,0))&amp;"","")</f>
        <v>销售费用</v>
      </c>
      <c r="F3" s="48" t="str">
        <f aca="false">IFERROR(INDEX(输入报销!$F:$F,MATCH($A3&amp;"-2",输入报销!$J:$J,0))&amp;"","")</f>
        <v>办公费</v>
      </c>
      <c r="G3" s="49" t="n">
        <f aca="false">IFERROR(ROUND(INDEX(输入报销!$G:$G,MATCH($A3&amp;"-2",输入报销!$J:$J,0)),2),0)</f>
        <v>31.7</v>
      </c>
      <c r="H3" s="49" t="n">
        <f aca="false">IF(ROUND($G3,2)&gt;0,ROUND($G3,2),"")</f>
        <v>31.7</v>
      </c>
      <c r="I3" s="49" t="str">
        <f aca="false">IF(ROUND($G3,2)&lt;0,-ROUND($G3,2),"")</f>
        <v/>
      </c>
      <c r="J3" s="20" t="n">
        <f aca="false">IF(ROUND($G3,2)=0,0,1)</f>
        <v>1</v>
      </c>
      <c r="K3" s="20" t="n">
        <f aca="false">IF($J3=0,"",SUM($J$2:$J3))</f>
        <v>2</v>
      </c>
      <c r="L3" s="20" t="n">
        <f aca="false">IF($K3="","",$A3*100+$K3)</f>
        <v>102</v>
      </c>
      <c r="M3" s="48" t="str">
        <f aca="false">IFERROR(INDEX(输入报销!$D:$D,MATCH($A3&amp;"-2",输入报销!$J:$J,0))&amp;"","")</f>
        <v>慢病用品</v>
      </c>
    </row>
    <row r="4" customFormat="false" ht="13.5" hidden="false" customHeight="false" outlineLevel="0" collapsed="false">
      <c r="A4" s="47" t="n">
        <v>1</v>
      </c>
      <c r="C4" s="48" t="str">
        <f aca="false">助手报销!$C2</f>
        <v>柏人商城店</v>
      </c>
      <c r="D4" s="81" t="s">
        <v>481</v>
      </c>
      <c r="E4" s="48" t="str">
        <f aca="false">IFERROR(INDEX(输入报销!$E:$E,MATCH($A4&amp;"-3",输入报销!$J:$J,0))&amp;"","")</f>
        <v>销售费用</v>
      </c>
      <c r="F4" s="48" t="str">
        <f aca="false">IFERROR(INDEX(输入报销!$F:$F,MATCH($A4&amp;"-3",输入报销!$J:$J,0))&amp;"","")</f>
        <v>水费</v>
      </c>
      <c r="G4" s="49" t="n">
        <f aca="false">IFERROR(ROUND(INDEX(输入报销!$G:$G,MATCH($A4&amp;"-3",输入报销!$J:$J,0)),2),0)</f>
        <v>5</v>
      </c>
      <c r="H4" s="49" t="n">
        <f aca="false">IF(ROUND($G4,2)&gt;0,ROUND($G4,2),"")</f>
        <v>5</v>
      </c>
      <c r="I4" s="49" t="str">
        <f aca="false">IF(ROUND($G4,2)&lt;0,-ROUND($G4,2),"")</f>
        <v/>
      </c>
      <c r="J4" s="20" t="n">
        <f aca="false">IF(ROUND($G4,2)=0,0,1)</f>
        <v>1</v>
      </c>
      <c r="K4" s="20" t="n">
        <f aca="false">IF($J4=0,"",SUM($J$2:$J4))</f>
        <v>3</v>
      </c>
      <c r="L4" s="20" t="n">
        <f aca="false">IF($K4="","",$A4*100+$K4)</f>
        <v>103</v>
      </c>
      <c r="M4" s="48" t="str">
        <f aca="false">IFERROR(INDEX(输入报销!$D:$D,MATCH($A4&amp;"-3",输入报销!$J:$J,0))&amp;"","")</f>
        <v>水费</v>
      </c>
    </row>
    <row r="5" customFormat="false" ht="13.5" hidden="false" customHeight="false" outlineLevel="0" collapsed="false">
      <c r="A5" s="47" t="n">
        <v>1</v>
      </c>
      <c r="C5" s="48" t="str">
        <f aca="false">助手报销!$C2</f>
        <v>柏人商城店</v>
      </c>
      <c r="D5" s="81" t="s">
        <v>482</v>
      </c>
      <c r="E5" s="48" t="str">
        <f aca="false">IFERROR(INDEX(输入报销!$E:$E,MATCH($A5&amp;"-4",输入报销!$J:$J,0))&amp;"","")</f>
        <v/>
      </c>
      <c r="F5" s="48" t="str">
        <f aca="false">IFERROR(INDEX(输入报销!$F:$F,MATCH($A5&amp;"-4",输入报销!$J:$J,0))&amp;"","")</f>
        <v/>
      </c>
      <c r="G5" s="49" t="n">
        <f aca="false">IFERROR(ROUND(INDEX(输入报销!$G:$G,MATCH($A5&amp;"-4",输入报销!$J:$J,0)),2),0)</f>
        <v>0</v>
      </c>
      <c r="H5" s="49" t="str">
        <f aca="false">IF(ROUND($G5,2)&gt;0,ROUND($G5,2),"")</f>
        <v/>
      </c>
      <c r="I5" s="49" t="str">
        <f aca="false">IF(ROUND($G5,2)&lt;0,-ROUND($G5,2),"")</f>
        <v/>
      </c>
      <c r="J5" s="20" t="n">
        <f aca="false">IF(ROUND($G5,2)=0,0,1)</f>
        <v>0</v>
      </c>
      <c r="K5" s="20" t="str">
        <f aca="false">IF($J5=0,"",SUM($J$2:$J5))</f>
        <v/>
      </c>
      <c r="L5" s="20" t="str">
        <f aca="false">IF($K5="","",$A5*100+$K5)</f>
        <v/>
      </c>
      <c r="M5" s="48" t="str">
        <f aca="false">IFERROR(INDEX(输入报销!$D:$D,MATCH($A5&amp;"-4",输入报销!$J:$J,0))&amp;"","")</f>
        <v/>
      </c>
    </row>
    <row r="6" customFormat="false" ht="13.5" hidden="false" customHeight="false" outlineLevel="0" collapsed="false">
      <c r="A6" s="47" t="n">
        <v>1</v>
      </c>
      <c r="C6" s="48" t="str">
        <f aca="false">助手报销!$C2</f>
        <v>柏人商城店</v>
      </c>
      <c r="D6" s="81" t="s">
        <v>483</v>
      </c>
      <c r="E6" s="48" t="str">
        <f aca="false">IFERROR(INDEX(输入报销!$E:$E,MATCH($A6&amp;"-5",输入报销!$J:$J,0))&amp;"","")</f>
        <v/>
      </c>
      <c r="F6" s="48" t="str">
        <f aca="false">IFERROR(INDEX(输入报销!$F:$F,MATCH($A6&amp;"-5",输入报销!$J:$J,0))&amp;"","")</f>
        <v/>
      </c>
      <c r="G6" s="49" t="n">
        <f aca="false">IFERROR(ROUND(INDEX(输入报销!$G:$G,MATCH($A6&amp;"-5",输入报销!$J:$J,0)),2),0)</f>
        <v>0</v>
      </c>
      <c r="H6" s="49" t="str">
        <f aca="false">IF(ROUND($G6,2)&gt;0,ROUND($G6,2),"")</f>
        <v/>
      </c>
      <c r="I6" s="49" t="str">
        <f aca="false">IF(ROUND($G6,2)&lt;0,-ROUND($G6,2),"")</f>
        <v/>
      </c>
      <c r="J6" s="20" t="n">
        <f aca="false">IF(ROUND($G6,2)=0,0,1)</f>
        <v>0</v>
      </c>
      <c r="K6" s="20" t="str">
        <f aca="false">IF($J6=0,"",SUM($J$2:$J6))</f>
        <v/>
      </c>
      <c r="L6" s="20" t="str">
        <f aca="false">IF($K6="","",$A6*100+$K6)</f>
        <v/>
      </c>
      <c r="M6" s="48" t="str">
        <f aca="false">IFERROR(INDEX(输入报销!$D:$D,MATCH($A6&amp;"-5",输入报销!$J:$J,0))&amp;"","")</f>
        <v/>
      </c>
    </row>
    <row r="7" customFormat="false" ht="13.5" hidden="false" customHeight="false" outlineLevel="0" collapsed="false">
      <c r="A7" s="47" t="n">
        <v>1</v>
      </c>
      <c r="C7" s="48" t="str">
        <f aca="false">助手报销!$C2</f>
        <v>柏人商城店</v>
      </c>
      <c r="D7" s="81" t="s">
        <v>484</v>
      </c>
      <c r="E7" s="48" t="str">
        <f aca="false">IFERROR(INDEX(输入报销!$E:$E,MATCH($A7&amp;"-6",输入报销!$J:$J,0))&amp;"","")</f>
        <v/>
      </c>
      <c r="F7" s="48" t="str">
        <f aca="false">IFERROR(INDEX(输入报销!$F:$F,MATCH($A7&amp;"-6",输入报销!$J:$J,0))&amp;"","")</f>
        <v/>
      </c>
      <c r="G7" s="49" t="n">
        <f aca="false">IFERROR(ROUND(INDEX(输入报销!$G:$G,MATCH($A7&amp;"-6",输入报销!$J:$J,0)),2),0)</f>
        <v>0</v>
      </c>
      <c r="H7" s="49" t="str">
        <f aca="false">IF(ROUND($G7,2)&gt;0,ROUND($G7,2),"")</f>
        <v/>
      </c>
      <c r="I7" s="49" t="str">
        <f aca="false">IF(ROUND($G7,2)&lt;0,-ROUND($G7,2),"")</f>
        <v/>
      </c>
      <c r="J7" s="20" t="n">
        <f aca="false">IF(ROUND($G7,2)=0,0,1)</f>
        <v>0</v>
      </c>
      <c r="K7" s="20" t="str">
        <f aca="false">IF($J7=0,"",SUM($J$2:$J7))</f>
        <v/>
      </c>
      <c r="L7" s="20" t="str">
        <f aca="false">IF($K7="","",$A7*100+$K7)</f>
        <v/>
      </c>
      <c r="M7" s="48" t="str">
        <f aca="false">IFERROR(INDEX(输入报销!$D:$D,MATCH($A7&amp;"-6",输入报销!$J:$J,0))&amp;"","")</f>
        <v/>
      </c>
    </row>
    <row r="8" customFormat="false" ht="13.5" hidden="false" customHeight="false" outlineLevel="0" collapsed="false">
      <c r="A8" s="47" t="n">
        <v>1</v>
      </c>
      <c r="C8" s="48" t="str">
        <f aca="false">助手报销!$C2</f>
        <v>柏人商城店</v>
      </c>
      <c r="D8" s="81" t="s">
        <v>485</v>
      </c>
      <c r="E8" s="48" t="str">
        <f aca="false">IFERROR(INDEX(输入报销!$E:$E,MATCH($A8&amp;"-7",输入报销!$J:$J,0))&amp;"","")</f>
        <v/>
      </c>
      <c r="F8" s="48" t="str">
        <f aca="false">IFERROR(INDEX(输入报销!$F:$F,MATCH($A8&amp;"-7",输入报销!$J:$J,0))&amp;"","")</f>
        <v/>
      </c>
      <c r="G8" s="49" t="n">
        <f aca="false">IFERROR(ROUND(INDEX(输入报销!$G:$G,MATCH($A8&amp;"-7",输入报销!$J:$J,0)),2),0)</f>
        <v>0</v>
      </c>
      <c r="H8" s="49" t="str">
        <f aca="false">IF(ROUND($G8,2)&gt;0,ROUND($G8,2),"")</f>
        <v/>
      </c>
      <c r="I8" s="49" t="str">
        <f aca="false">IF(ROUND($G8,2)&lt;0,-ROUND($G8,2),"")</f>
        <v/>
      </c>
      <c r="J8" s="20" t="n">
        <f aca="false">IF(ROUND($G8,2)=0,0,1)</f>
        <v>0</v>
      </c>
      <c r="K8" s="20" t="str">
        <f aca="false">IF($J8=0,"",SUM($J$2:$J8))</f>
        <v/>
      </c>
      <c r="L8" s="20" t="str">
        <f aca="false">IF($K8="","",$A8*100+$K8)</f>
        <v/>
      </c>
      <c r="M8" s="48" t="str">
        <f aca="false">IFERROR(INDEX(输入报销!$D:$D,MATCH($A8&amp;"-7",输入报销!$J:$J,0))&amp;"","")</f>
        <v/>
      </c>
    </row>
    <row r="9" customFormat="false" ht="13.5" hidden="false" customHeight="false" outlineLevel="0" collapsed="false">
      <c r="A9" s="47" t="n">
        <v>1</v>
      </c>
      <c r="C9" s="48" t="str">
        <f aca="false">助手报销!$C2</f>
        <v>柏人商城店</v>
      </c>
      <c r="D9" s="81" t="s">
        <v>486</v>
      </c>
      <c r="E9" s="48" t="str">
        <f aca="false">IFERROR(INDEX(输入报销!$E:$E,MATCH($A9&amp;"-8",输入报销!$J:$J,0))&amp;"","")</f>
        <v/>
      </c>
      <c r="F9" s="48" t="str">
        <f aca="false">IFERROR(INDEX(输入报销!$F:$F,MATCH($A9&amp;"-8",输入报销!$J:$J,0))&amp;"","")</f>
        <v/>
      </c>
      <c r="G9" s="49" t="n">
        <f aca="false">IFERROR(ROUND(INDEX(输入报销!$G:$G,MATCH($A9&amp;"-8",输入报销!$J:$J,0)),2),0)</f>
        <v>0</v>
      </c>
      <c r="H9" s="49" t="str">
        <f aca="false">IF(ROUND($G9,2)&gt;0,ROUND($G9,2),"")</f>
        <v/>
      </c>
      <c r="I9" s="49" t="str">
        <f aca="false">IF(ROUND($G9,2)&lt;0,-ROUND($G9,2),"")</f>
        <v/>
      </c>
      <c r="J9" s="20" t="n">
        <f aca="false">IF(ROUND($G9,2)=0,0,1)</f>
        <v>0</v>
      </c>
      <c r="K9" s="20" t="str">
        <f aca="false">IF($J9=0,"",SUM($J$2:$J9))</f>
        <v/>
      </c>
      <c r="L9" s="20" t="str">
        <f aca="false">IF($K9="","",$A9*100+$K9)</f>
        <v/>
      </c>
      <c r="M9" s="48" t="str">
        <f aca="false">IFERROR(INDEX(输入报销!$D:$D,MATCH($A9&amp;"-8",输入报销!$J:$J,0))&amp;"","")</f>
        <v/>
      </c>
    </row>
    <row r="10" customFormat="false" ht="13.5" hidden="false" customHeight="false" outlineLevel="0" collapsed="false">
      <c r="A10" s="47" t="n">
        <v>1</v>
      </c>
      <c r="C10" s="48" t="str">
        <f aca="false">助手报销!$C2</f>
        <v>柏人商城店</v>
      </c>
      <c r="D10" s="81" t="s">
        <v>487</v>
      </c>
      <c r="E10" s="48" t="str">
        <f aca="false">IFERROR(INDEX(输入报销!$E:$E,MATCH($A10&amp;"-9",输入报销!$J:$J,0))&amp;"","")</f>
        <v/>
      </c>
      <c r="F10" s="48" t="str">
        <f aca="false">IFERROR(INDEX(输入报销!$F:$F,MATCH($A10&amp;"-9",输入报销!$J:$J,0))&amp;"","")</f>
        <v/>
      </c>
      <c r="G10" s="49" t="n">
        <f aca="false">IFERROR(ROUND(INDEX(输入报销!$G:$G,MATCH($A10&amp;"-9",输入报销!$J:$J,0)),2),0)</f>
        <v>0</v>
      </c>
      <c r="H10" s="49" t="str">
        <f aca="false">IF(ROUND($G10,2)&gt;0,ROUND($G10,2),"")</f>
        <v/>
      </c>
      <c r="I10" s="49" t="str">
        <f aca="false">IF(ROUND($G10,2)&lt;0,-ROUND($G10,2),"")</f>
        <v/>
      </c>
      <c r="J10" s="20" t="n">
        <f aca="false">IF(ROUND($G10,2)=0,0,1)</f>
        <v>0</v>
      </c>
      <c r="K10" s="20" t="str">
        <f aca="false">IF($J10=0,"",SUM($J$2:$J10))</f>
        <v/>
      </c>
      <c r="L10" s="20" t="str">
        <f aca="false">IF($K10="","",$A10*100+$K10)</f>
        <v/>
      </c>
      <c r="M10" s="48" t="str">
        <f aca="false">IFERROR(INDEX(输入报销!$D:$D,MATCH($A10&amp;"-9",输入报销!$J:$J,0))&amp;"","")</f>
        <v/>
      </c>
    </row>
    <row r="11" customFormat="false" ht="13.5" hidden="false" customHeight="false" outlineLevel="0" collapsed="false">
      <c r="A11" s="47" t="n">
        <v>1</v>
      </c>
      <c r="C11" s="48" t="str">
        <f aca="false">助手报销!$C2</f>
        <v>柏人商城店</v>
      </c>
      <c r="D11" s="81" t="s">
        <v>488</v>
      </c>
      <c r="E11" s="48" t="str">
        <f aca="false">IFERROR(INDEX(输入报销!$E:$E,MATCH($A11&amp;"-10",输入报销!$J:$J,0))&amp;"","")</f>
        <v/>
      </c>
      <c r="F11" s="48" t="str">
        <f aca="false">IFERROR(INDEX(输入报销!$F:$F,MATCH($A11&amp;"-10",输入报销!$J:$J,0))&amp;"","")</f>
        <v/>
      </c>
      <c r="G11" s="49" t="n">
        <f aca="false">IFERROR(ROUND(INDEX(输入报销!$G:$G,MATCH($A11&amp;"-10",输入报销!$J:$J,0)),2),0)</f>
        <v>0</v>
      </c>
      <c r="H11" s="49" t="str">
        <f aca="false">IF(ROUND($G11,2)&gt;0,ROUND($G11,2),"")</f>
        <v/>
      </c>
      <c r="I11" s="49" t="str">
        <f aca="false">IF(ROUND($G11,2)&lt;0,-ROUND($G11,2),"")</f>
        <v/>
      </c>
      <c r="J11" s="20" t="n">
        <f aca="false">IF(ROUND($G11,2)=0,0,1)</f>
        <v>0</v>
      </c>
      <c r="K11" s="20" t="str">
        <f aca="false">IF($J11=0,"",SUM($J$2:$J11))</f>
        <v/>
      </c>
      <c r="L11" s="20" t="str">
        <f aca="false">IF($K11="","",$A11*100+$K11)</f>
        <v/>
      </c>
      <c r="M11" s="48" t="str">
        <f aca="false">IFERROR(INDEX(输入报销!$D:$D,MATCH($A11&amp;"-10",输入报销!$J:$J,0))&amp;"","")</f>
        <v/>
      </c>
    </row>
    <row r="12" customFormat="false" ht="13.5" hidden="false" customHeight="false" outlineLevel="0" collapsed="false">
      <c r="A12" s="47" t="n">
        <v>1</v>
      </c>
      <c r="C12" s="48" t="str">
        <f aca="false">助手报销!$C2</f>
        <v>柏人商城店</v>
      </c>
      <c r="D12" s="81" t="s">
        <v>489</v>
      </c>
      <c r="E12" s="48" t="str">
        <f aca="false">参数!$B$6</f>
        <v>库存现金</v>
      </c>
      <c r="F12" s="48" t="str">
        <f aca="false">""</f>
        <v/>
      </c>
      <c r="G12" s="49" t="n">
        <f aca="false">-ROUND(SUMIFS(输入报销!$G:$G,输入报销!$A:$A,$A12,输入报销!$H:$H,参数!$B$6),2)</f>
        <v>-336.7</v>
      </c>
      <c r="H12" s="49" t="str">
        <f aca="false">IF(ROUND($G12,2)&gt;0,ROUND($G12,2),"")</f>
        <v/>
      </c>
      <c r="I12" s="49" t="n">
        <f aca="false">IF(ROUND($G12,2)&lt;0,-ROUND($G12,2),"")</f>
        <v>336.7</v>
      </c>
      <c r="J12" s="20" t="n">
        <f aca="false">IF(ROUND($G12,2)=0,0,1)</f>
        <v>1</v>
      </c>
      <c r="K12" s="20" t="n">
        <f aca="false">IF($J12=0,"",SUM($J$2:$J12))</f>
        <v>4</v>
      </c>
      <c r="L12" s="20" t="n">
        <f aca="false">IF($K12="","",$A12*100+$K12)</f>
        <v>104</v>
      </c>
      <c r="M12" s="48" t="str">
        <f aca="false">""</f>
        <v/>
      </c>
    </row>
    <row r="13" customFormat="false" ht="13.5" hidden="false" customHeight="false" outlineLevel="0" collapsed="false">
      <c r="A13" s="47" t="n">
        <v>1</v>
      </c>
      <c r="C13" s="48" t="str">
        <f aca="false">助手报销!$C2</f>
        <v>柏人商城店</v>
      </c>
      <c r="D13" s="81" t="s">
        <v>490</v>
      </c>
      <c r="E13" s="48" t="str">
        <f aca="false">参数!$B$7</f>
        <v>银行存款</v>
      </c>
      <c r="F13" s="48" t="str">
        <f aca="false">""</f>
        <v/>
      </c>
      <c r="G13" s="49" t="n">
        <f aca="false">-ROUND(SUMIFS(输入报销!$G:$G,输入报销!$A:$A,$A13,输入报销!$H:$H,参数!$B$7),2)</f>
        <v>-0</v>
      </c>
      <c r="H13" s="49" t="str">
        <f aca="false">IF(ROUND($G13,2)&gt;0,ROUND($G13,2),"")</f>
        <v/>
      </c>
      <c r="I13" s="49" t="str">
        <f aca="false">IF(ROUND($G13,2)&lt;0,-ROUND($G13,2),"")</f>
        <v/>
      </c>
      <c r="J13" s="20" t="n">
        <f aca="false">IF(ROUND($G13,2)=0,0,1)</f>
        <v>0</v>
      </c>
      <c r="K13" s="20" t="str">
        <f aca="false">IF($J13=0,"",SUM($J$2:$J13))</f>
        <v/>
      </c>
      <c r="L13" s="20" t="str">
        <f aca="false">IF($K13="","",$A13*100+$K13)</f>
        <v/>
      </c>
      <c r="M13" s="48" t="str">
        <f aca="false">""</f>
        <v/>
      </c>
    </row>
    <row r="14" customFormat="false" ht="13.5" hidden="false" customHeight="false" outlineLevel="0" collapsed="false">
      <c r="A14" s="47" t="n">
        <v>1</v>
      </c>
      <c r="C14" s="48" t="str">
        <f aca="false">助手报销!$C2</f>
        <v>柏人商城店</v>
      </c>
      <c r="D14" s="81" t="s">
        <v>491</v>
      </c>
      <c r="E14" s="48" t="str">
        <f aca="false">参数!$B$8</f>
        <v>其他应付款</v>
      </c>
      <c r="F14" s="48" t="str">
        <f aca="false">""</f>
        <v/>
      </c>
      <c r="G14" s="49" t="n">
        <f aca="false">-ROUND(SUMIFS(输入报销!$G:$G,输入报销!$A:$A,$A14,输入报销!$H:$H,参数!$B$8),2)</f>
        <v>-0</v>
      </c>
      <c r="H14" s="49" t="str">
        <f aca="false">IF(ROUND($G14,2)&gt;0,ROUND($G14,2),"")</f>
        <v/>
      </c>
      <c r="I14" s="49" t="str">
        <f aca="false">IF(ROUND($G14,2)&lt;0,-ROUND($G14,2),"")</f>
        <v/>
      </c>
      <c r="J14" s="20" t="n">
        <f aca="false">IF(ROUND($G14,2)=0,0,1)</f>
        <v>0</v>
      </c>
      <c r="K14" s="20" t="str">
        <f aca="false">IF($J14=0,"",SUM($J$2:$J14))</f>
        <v/>
      </c>
      <c r="L14" s="20" t="str">
        <f aca="false">IF($K14="","",$A14*100+$K14)</f>
        <v/>
      </c>
      <c r="M14" s="48" t="str">
        <f aca="false">""</f>
        <v/>
      </c>
    </row>
    <row r="15" customFormat="false" ht="13.5" hidden="false" customHeight="false" outlineLevel="0" collapsed="false">
      <c r="A15" s="47" t="n">
        <v>2</v>
      </c>
      <c r="C15" s="48" t="str">
        <f aca="false">助手报销!$C3</f>
        <v>新隆店</v>
      </c>
      <c r="D15" s="81" t="s">
        <v>479</v>
      </c>
      <c r="E15" s="48" t="str">
        <f aca="false">IFERROR(INDEX(输入报销!$E:$E,MATCH($A15&amp;"-1",输入报销!$J:$J,0))&amp;"","")</f>
        <v>销售费用</v>
      </c>
      <c r="F15" s="48" t="str">
        <f aca="false">IFERROR(INDEX(输入报销!$F:$F,MATCH($A15&amp;"-1",输入报销!$J:$J,0))&amp;"","")</f>
        <v>电费</v>
      </c>
      <c r="G15" s="49" t="n">
        <f aca="false">IFERROR(ROUND(INDEX(输入报销!$G:$G,MATCH($A15&amp;"-1",输入报销!$J:$J,0)),2),0)</f>
        <v>1000</v>
      </c>
      <c r="H15" s="49" t="n">
        <f aca="false">IF(ROUND($G15,2)&gt;0,ROUND($G15,2),"")</f>
        <v>1000</v>
      </c>
      <c r="I15" s="49" t="str">
        <f aca="false">IF(ROUND($G15,2)&lt;0,-ROUND($G15,2),"")</f>
        <v/>
      </c>
      <c r="J15" s="20" t="n">
        <f aca="false">IF(ROUND($G15,2)=0,0,1)</f>
        <v>1</v>
      </c>
      <c r="K15" s="20" t="n">
        <f aca="false">IF($J15=0,"",SUM($J$15:$J15))</f>
        <v>1</v>
      </c>
      <c r="L15" s="20" t="n">
        <f aca="false">IF($K15="","",$A15*100+$K15)</f>
        <v>201</v>
      </c>
      <c r="M15" s="48" t="str">
        <f aca="false">IFERROR(INDEX(输入报销!$D:$D,MATCH($A15&amp;"-1",输入报销!$J:$J,0))&amp;"","")</f>
        <v>电费</v>
      </c>
    </row>
    <row r="16" customFormat="false" ht="13.5" hidden="false" customHeight="false" outlineLevel="0" collapsed="false">
      <c r="A16" s="47" t="n">
        <v>2</v>
      </c>
      <c r="C16" s="48" t="str">
        <f aca="false">助手报销!$C3</f>
        <v>新隆店</v>
      </c>
      <c r="D16" s="81" t="s">
        <v>480</v>
      </c>
      <c r="E16" s="48" t="str">
        <f aca="false">IFERROR(INDEX(输入报销!$E:$E,MATCH($A16&amp;"-2",输入报销!$J:$J,0))&amp;"","")</f>
        <v>财务费用</v>
      </c>
      <c r="F16" s="48" t="str">
        <f aca="false">IFERROR(INDEX(输入报销!$F:$F,MATCH($A16&amp;"-2",输入报销!$J:$J,0))&amp;"","")</f>
        <v>手续费</v>
      </c>
      <c r="G16" s="49" t="n">
        <f aca="false">IFERROR(ROUND(INDEX(输入报销!$G:$G,MATCH($A16&amp;"-2",输入报销!$J:$J,0)),2),0)</f>
        <v>65</v>
      </c>
      <c r="H16" s="49" t="n">
        <f aca="false">IF(ROUND($G16,2)&gt;0,ROUND($G16,2),"")</f>
        <v>65</v>
      </c>
      <c r="I16" s="49" t="str">
        <f aca="false">IF(ROUND($G16,2)&lt;0,-ROUND($G16,2),"")</f>
        <v/>
      </c>
      <c r="J16" s="20" t="n">
        <f aca="false">IF(ROUND($G16,2)=0,0,1)</f>
        <v>1</v>
      </c>
      <c r="K16" s="20" t="n">
        <f aca="false">IF($J16=0,"",SUM($J$15:$J16))</f>
        <v>2</v>
      </c>
      <c r="L16" s="20" t="n">
        <f aca="false">IF($K16="","",$A16*100+$K16)</f>
        <v>202</v>
      </c>
      <c r="M16" s="48" t="str">
        <f aca="false">IFERROR(INDEX(输入报销!$D:$D,MATCH($A16&amp;"-2",输入报销!$J:$J,0))&amp;"","")</f>
        <v>微信提现费</v>
      </c>
    </row>
    <row r="17" customFormat="false" ht="13.5" hidden="false" customHeight="false" outlineLevel="0" collapsed="false">
      <c r="A17" s="47" t="n">
        <v>2</v>
      </c>
      <c r="C17" s="48" t="str">
        <f aca="false">助手报销!$C3</f>
        <v>新隆店</v>
      </c>
      <c r="D17" s="81" t="s">
        <v>481</v>
      </c>
      <c r="E17" s="48" t="str">
        <f aca="false">IFERROR(INDEX(输入报销!$E:$E,MATCH($A17&amp;"-3",输入报销!$J:$J,0))&amp;"","")</f>
        <v/>
      </c>
      <c r="F17" s="48" t="str">
        <f aca="false">IFERROR(INDEX(输入报销!$F:$F,MATCH($A17&amp;"-3",输入报销!$J:$J,0))&amp;"","")</f>
        <v/>
      </c>
      <c r="G17" s="49" t="n">
        <f aca="false">IFERROR(ROUND(INDEX(输入报销!$G:$G,MATCH($A17&amp;"-3",输入报销!$J:$J,0)),2),0)</f>
        <v>0</v>
      </c>
      <c r="H17" s="49" t="str">
        <f aca="false">IF(ROUND($G17,2)&gt;0,ROUND($G17,2),"")</f>
        <v/>
      </c>
      <c r="I17" s="49" t="str">
        <f aca="false">IF(ROUND($G17,2)&lt;0,-ROUND($G17,2),"")</f>
        <v/>
      </c>
      <c r="J17" s="20" t="n">
        <f aca="false">IF(ROUND($G17,2)=0,0,1)</f>
        <v>0</v>
      </c>
      <c r="K17" s="20" t="str">
        <f aca="false">IF($J17=0,"",SUM($J$15:$J17))</f>
        <v/>
      </c>
      <c r="L17" s="20" t="str">
        <f aca="false">IF($K17="","",$A17*100+$K17)</f>
        <v/>
      </c>
      <c r="M17" s="48" t="str">
        <f aca="false">IFERROR(INDEX(输入报销!$D:$D,MATCH($A17&amp;"-3",输入报销!$J:$J,0))&amp;"","")</f>
        <v/>
      </c>
    </row>
    <row r="18" customFormat="false" ht="13.5" hidden="false" customHeight="false" outlineLevel="0" collapsed="false">
      <c r="A18" s="47" t="n">
        <v>2</v>
      </c>
      <c r="C18" s="48" t="str">
        <f aca="false">助手报销!$C3</f>
        <v>新隆店</v>
      </c>
      <c r="D18" s="81" t="s">
        <v>482</v>
      </c>
      <c r="E18" s="48" t="str">
        <f aca="false">IFERROR(INDEX(输入报销!$E:$E,MATCH($A18&amp;"-4",输入报销!$J:$J,0))&amp;"","")</f>
        <v/>
      </c>
      <c r="F18" s="48" t="str">
        <f aca="false">IFERROR(INDEX(输入报销!$F:$F,MATCH($A18&amp;"-4",输入报销!$J:$J,0))&amp;"","")</f>
        <v/>
      </c>
      <c r="G18" s="49" t="n">
        <f aca="false">IFERROR(ROUND(INDEX(输入报销!$G:$G,MATCH($A18&amp;"-4",输入报销!$J:$J,0)),2),0)</f>
        <v>0</v>
      </c>
      <c r="H18" s="49" t="str">
        <f aca="false">IF(ROUND($G18,2)&gt;0,ROUND($G18,2),"")</f>
        <v/>
      </c>
      <c r="I18" s="49" t="str">
        <f aca="false">IF(ROUND($G18,2)&lt;0,-ROUND($G18,2),"")</f>
        <v/>
      </c>
      <c r="J18" s="20" t="n">
        <f aca="false">IF(ROUND($G18,2)=0,0,1)</f>
        <v>0</v>
      </c>
      <c r="K18" s="20" t="str">
        <f aca="false">IF($J18=0,"",SUM($J$15:$J18))</f>
        <v/>
      </c>
      <c r="L18" s="20" t="str">
        <f aca="false">IF($K18="","",$A18*100+$K18)</f>
        <v/>
      </c>
      <c r="M18" s="48" t="str">
        <f aca="false">IFERROR(INDEX(输入报销!$D:$D,MATCH($A18&amp;"-4",输入报销!$J:$J,0))&amp;"","")</f>
        <v/>
      </c>
    </row>
    <row r="19" customFormat="false" ht="13.5" hidden="false" customHeight="false" outlineLevel="0" collapsed="false">
      <c r="A19" s="47" t="n">
        <v>2</v>
      </c>
      <c r="C19" s="48" t="str">
        <f aca="false">助手报销!$C3</f>
        <v>新隆店</v>
      </c>
      <c r="D19" s="81" t="s">
        <v>483</v>
      </c>
      <c r="E19" s="48" t="str">
        <f aca="false">IFERROR(INDEX(输入报销!$E:$E,MATCH($A19&amp;"-5",输入报销!$J:$J,0))&amp;"","")</f>
        <v/>
      </c>
      <c r="F19" s="48" t="str">
        <f aca="false">IFERROR(INDEX(输入报销!$F:$F,MATCH($A19&amp;"-5",输入报销!$J:$J,0))&amp;"","")</f>
        <v/>
      </c>
      <c r="G19" s="49" t="n">
        <f aca="false">IFERROR(ROUND(INDEX(输入报销!$G:$G,MATCH($A19&amp;"-5",输入报销!$J:$J,0)),2),0)</f>
        <v>0</v>
      </c>
      <c r="H19" s="49" t="str">
        <f aca="false">IF(ROUND($G19,2)&gt;0,ROUND($G19,2),"")</f>
        <v/>
      </c>
      <c r="I19" s="49" t="str">
        <f aca="false">IF(ROUND($G19,2)&lt;0,-ROUND($G19,2),"")</f>
        <v/>
      </c>
      <c r="J19" s="20" t="n">
        <f aca="false">IF(ROUND($G19,2)=0,0,1)</f>
        <v>0</v>
      </c>
      <c r="K19" s="20" t="str">
        <f aca="false">IF($J19=0,"",SUM($J$15:$J19))</f>
        <v/>
      </c>
      <c r="L19" s="20" t="str">
        <f aca="false">IF($K19="","",$A19*100+$K19)</f>
        <v/>
      </c>
      <c r="M19" s="48" t="str">
        <f aca="false">IFERROR(INDEX(输入报销!$D:$D,MATCH($A19&amp;"-5",输入报销!$J:$J,0))&amp;"","")</f>
        <v/>
      </c>
    </row>
    <row r="20" customFormat="false" ht="13.5" hidden="false" customHeight="false" outlineLevel="0" collapsed="false">
      <c r="A20" s="47" t="n">
        <v>2</v>
      </c>
      <c r="C20" s="48" t="str">
        <f aca="false">助手报销!$C3</f>
        <v>新隆店</v>
      </c>
      <c r="D20" s="81" t="s">
        <v>484</v>
      </c>
      <c r="E20" s="48" t="str">
        <f aca="false">IFERROR(INDEX(输入报销!$E:$E,MATCH($A20&amp;"-6",输入报销!$J:$J,0))&amp;"","")</f>
        <v/>
      </c>
      <c r="F20" s="48" t="str">
        <f aca="false">IFERROR(INDEX(输入报销!$F:$F,MATCH($A20&amp;"-6",输入报销!$J:$J,0))&amp;"","")</f>
        <v/>
      </c>
      <c r="G20" s="49" t="n">
        <f aca="false">IFERROR(ROUND(INDEX(输入报销!$G:$G,MATCH($A20&amp;"-6",输入报销!$J:$J,0)),2),0)</f>
        <v>0</v>
      </c>
      <c r="H20" s="49" t="str">
        <f aca="false">IF(ROUND($G20,2)&gt;0,ROUND($G20,2),"")</f>
        <v/>
      </c>
      <c r="I20" s="49" t="str">
        <f aca="false">IF(ROUND($G20,2)&lt;0,-ROUND($G20,2),"")</f>
        <v/>
      </c>
      <c r="J20" s="20" t="n">
        <f aca="false">IF(ROUND($G20,2)=0,0,1)</f>
        <v>0</v>
      </c>
      <c r="K20" s="20" t="str">
        <f aca="false">IF($J20=0,"",SUM($J$15:$J20))</f>
        <v/>
      </c>
      <c r="L20" s="20" t="str">
        <f aca="false">IF($K20="","",$A20*100+$K20)</f>
        <v/>
      </c>
      <c r="M20" s="48" t="str">
        <f aca="false">IFERROR(INDEX(输入报销!$D:$D,MATCH($A20&amp;"-6",输入报销!$J:$J,0))&amp;"","")</f>
        <v/>
      </c>
    </row>
    <row r="21" customFormat="false" ht="13.5" hidden="false" customHeight="false" outlineLevel="0" collapsed="false">
      <c r="A21" s="47" t="n">
        <v>2</v>
      </c>
      <c r="C21" s="48" t="str">
        <f aca="false">助手报销!$C3</f>
        <v>新隆店</v>
      </c>
      <c r="D21" s="81" t="s">
        <v>485</v>
      </c>
      <c r="E21" s="48" t="str">
        <f aca="false">IFERROR(INDEX(输入报销!$E:$E,MATCH($A21&amp;"-7",输入报销!$J:$J,0))&amp;"","")</f>
        <v/>
      </c>
      <c r="F21" s="48" t="str">
        <f aca="false">IFERROR(INDEX(输入报销!$F:$F,MATCH($A21&amp;"-7",输入报销!$J:$J,0))&amp;"","")</f>
        <v/>
      </c>
      <c r="G21" s="49" t="n">
        <f aca="false">IFERROR(ROUND(INDEX(输入报销!$G:$G,MATCH($A21&amp;"-7",输入报销!$J:$J,0)),2),0)</f>
        <v>0</v>
      </c>
      <c r="H21" s="49" t="str">
        <f aca="false">IF(ROUND($G21,2)&gt;0,ROUND($G21,2),"")</f>
        <v/>
      </c>
      <c r="I21" s="49" t="str">
        <f aca="false">IF(ROUND($G21,2)&lt;0,-ROUND($G21,2),"")</f>
        <v/>
      </c>
      <c r="J21" s="20" t="n">
        <f aca="false">IF(ROUND($G21,2)=0,0,1)</f>
        <v>0</v>
      </c>
      <c r="K21" s="20" t="str">
        <f aca="false">IF($J21=0,"",SUM($J$15:$J21))</f>
        <v/>
      </c>
      <c r="L21" s="20" t="str">
        <f aca="false">IF($K21="","",$A21*100+$K21)</f>
        <v/>
      </c>
      <c r="M21" s="48" t="str">
        <f aca="false">IFERROR(INDEX(输入报销!$D:$D,MATCH($A21&amp;"-7",输入报销!$J:$J,0))&amp;"","")</f>
        <v/>
      </c>
    </row>
    <row r="22" customFormat="false" ht="13.5" hidden="false" customHeight="false" outlineLevel="0" collapsed="false">
      <c r="A22" s="47" t="n">
        <v>2</v>
      </c>
      <c r="C22" s="48" t="str">
        <f aca="false">助手报销!$C3</f>
        <v>新隆店</v>
      </c>
      <c r="D22" s="81" t="s">
        <v>486</v>
      </c>
      <c r="E22" s="48" t="str">
        <f aca="false">IFERROR(INDEX(输入报销!$E:$E,MATCH($A22&amp;"-8",输入报销!$J:$J,0))&amp;"","")</f>
        <v/>
      </c>
      <c r="F22" s="48" t="str">
        <f aca="false">IFERROR(INDEX(输入报销!$F:$F,MATCH($A22&amp;"-8",输入报销!$J:$J,0))&amp;"","")</f>
        <v/>
      </c>
      <c r="G22" s="49" t="n">
        <f aca="false">IFERROR(ROUND(INDEX(输入报销!$G:$G,MATCH($A22&amp;"-8",输入报销!$J:$J,0)),2),0)</f>
        <v>0</v>
      </c>
      <c r="H22" s="49" t="str">
        <f aca="false">IF(ROUND($G22,2)&gt;0,ROUND($G22,2),"")</f>
        <v/>
      </c>
      <c r="I22" s="49" t="str">
        <f aca="false">IF(ROUND($G22,2)&lt;0,-ROUND($G22,2),"")</f>
        <v/>
      </c>
      <c r="J22" s="20" t="n">
        <f aca="false">IF(ROUND($G22,2)=0,0,1)</f>
        <v>0</v>
      </c>
      <c r="K22" s="20" t="str">
        <f aca="false">IF($J22=0,"",SUM($J$15:$J22))</f>
        <v/>
      </c>
      <c r="L22" s="20" t="str">
        <f aca="false">IF($K22="","",$A22*100+$K22)</f>
        <v/>
      </c>
      <c r="M22" s="48" t="str">
        <f aca="false">IFERROR(INDEX(输入报销!$D:$D,MATCH($A22&amp;"-8",输入报销!$J:$J,0))&amp;"","")</f>
        <v/>
      </c>
    </row>
    <row r="23" customFormat="false" ht="13.5" hidden="false" customHeight="false" outlineLevel="0" collapsed="false">
      <c r="A23" s="47" t="n">
        <v>2</v>
      </c>
      <c r="C23" s="48" t="str">
        <f aca="false">助手报销!$C3</f>
        <v>新隆店</v>
      </c>
      <c r="D23" s="81" t="s">
        <v>487</v>
      </c>
      <c r="E23" s="48" t="str">
        <f aca="false">IFERROR(INDEX(输入报销!$E:$E,MATCH($A23&amp;"-9",输入报销!$J:$J,0))&amp;"","")</f>
        <v/>
      </c>
      <c r="F23" s="48" t="str">
        <f aca="false">IFERROR(INDEX(输入报销!$F:$F,MATCH($A23&amp;"-9",输入报销!$J:$J,0))&amp;"","")</f>
        <v/>
      </c>
      <c r="G23" s="49" t="n">
        <f aca="false">IFERROR(ROUND(INDEX(输入报销!$G:$G,MATCH($A23&amp;"-9",输入报销!$J:$J,0)),2),0)</f>
        <v>0</v>
      </c>
      <c r="H23" s="49" t="str">
        <f aca="false">IF(ROUND($G23,2)&gt;0,ROUND($G23,2),"")</f>
        <v/>
      </c>
      <c r="I23" s="49" t="str">
        <f aca="false">IF(ROUND($G23,2)&lt;0,-ROUND($G23,2),"")</f>
        <v/>
      </c>
      <c r="J23" s="20" t="n">
        <f aca="false">IF(ROUND($G23,2)=0,0,1)</f>
        <v>0</v>
      </c>
      <c r="K23" s="20" t="str">
        <f aca="false">IF($J23=0,"",SUM($J$15:$J23))</f>
        <v/>
      </c>
      <c r="L23" s="20" t="str">
        <f aca="false">IF($K23="","",$A23*100+$K23)</f>
        <v/>
      </c>
      <c r="M23" s="48" t="str">
        <f aca="false">IFERROR(INDEX(输入报销!$D:$D,MATCH($A23&amp;"-9",输入报销!$J:$J,0))&amp;"","")</f>
        <v/>
      </c>
    </row>
    <row r="24" customFormat="false" ht="13.5" hidden="false" customHeight="false" outlineLevel="0" collapsed="false">
      <c r="A24" s="47" t="n">
        <v>2</v>
      </c>
      <c r="C24" s="48" t="str">
        <f aca="false">助手报销!$C3</f>
        <v>新隆店</v>
      </c>
      <c r="D24" s="81" t="s">
        <v>488</v>
      </c>
      <c r="E24" s="48" t="str">
        <f aca="false">IFERROR(INDEX(输入报销!$E:$E,MATCH($A24&amp;"-10",输入报销!$J:$J,0))&amp;"","")</f>
        <v/>
      </c>
      <c r="F24" s="48" t="str">
        <f aca="false">IFERROR(INDEX(输入报销!$F:$F,MATCH($A24&amp;"-10",输入报销!$J:$J,0))&amp;"","")</f>
        <v/>
      </c>
      <c r="G24" s="49" t="n">
        <f aca="false">IFERROR(ROUND(INDEX(输入报销!$G:$G,MATCH($A24&amp;"-10",输入报销!$J:$J,0)),2),0)</f>
        <v>0</v>
      </c>
      <c r="H24" s="49" t="str">
        <f aca="false">IF(ROUND($G24,2)&gt;0,ROUND($G24,2),"")</f>
        <v/>
      </c>
      <c r="I24" s="49" t="str">
        <f aca="false">IF(ROUND($G24,2)&lt;0,-ROUND($G24,2),"")</f>
        <v/>
      </c>
      <c r="J24" s="20" t="n">
        <f aca="false">IF(ROUND($G24,2)=0,0,1)</f>
        <v>0</v>
      </c>
      <c r="K24" s="20" t="str">
        <f aca="false">IF($J24=0,"",SUM($J$15:$J24))</f>
        <v/>
      </c>
      <c r="L24" s="20" t="str">
        <f aca="false">IF($K24="","",$A24*100+$K24)</f>
        <v/>
      </c>
      <c r="M24" s="48" t="str">
        <f aca="false">IFERROR(INDEX(输入报销!$D:$D,MATCH($A24&amp;"-10",输入报销!$J:$J,0))&amp;"","")</f>
        <v/>
      </c>
    </row>
    <row r="25" customFormat="false" ht="13.5" hidden="false" customHeight="false" outlineLevel="0" collapsed="false">
      <c r="A25" s="47" t="n">
        <v>2</v>
      </c>
      <c r="C25" s="48" t="str">
        <f aca="false">助手报销!$C3</f>
        <v>新隆店</v>
      </c>
      <c r="D25" s="81" t="s">
        <v>489</v>
      </c>
      <c r="E25" s="48" t="str">
        <f aca="false">参数!$B$6</f>
        <v>库存现金</v>
      </c>
      <c r="F25" s="48" t="str">
        <f aca="false">""</f>
        <v/>
      </c>
      <c r="G25" s="49" t="n">
        <f aca="false">-ROUND(SUMIFS(输入报销!$G:$G,输入报销!$A:$A,$A25,输入报销!$H:$H,参数!$B$6),2)</f>
        <v>-1065</v>
      </c>
      <c r="H25" s="49" t="str">
        <f aca="false">IF(ROUND($G25,2)&gt;0,ROUND($G25,2),"")</f>
        <v/>
      </c>
      <c r="I25" s="49" t="n">
        <f aca="false">IF(ROUND($G25,2)&lt;0,-ROUND($G25,2),"")</f>
        <v>1065</v>
      </c>
      <c r="J25" s="20" t="n">
        <f aca="false">IF(ROUND($G25,2)=0,0,1)</f>
        <v>1</v>
      </c>
      <c r="K25" s="20" t="n">
        <f aca="false">IF($J25=0,"",SUM($J$15:$J25))</f>
        <v>3</v>
      </c>
      <c r="L25" s="20" t="n">
        <f aca="false">IF($K25="","",$A25*100+$K25)</f>
        <v>203</v>
      </c>
      <c r="M25" s="48" t="str">
        <f aca="false">""</f>
        <v/>
      </c>
    </row>
    <row r="26" customFormat="false" ht="13.5" hidden="false" customHeight="false" outlineLevel="0" collapsed="false">
      <c r="A26" s="47" t="n">
        <v>2</v>
      </c>
      <c r="C26" s="48" t="str">
        <f aca="false">助手报销!$C3</f>
        <v>新隆店</v>
      </c>
      <c r="D26" s="81" t="s">
        <v>490</v>
      </c>
      <c r="E26" s="48" t="str">
        <f aca="false">参数!$B$7</f>
        <v>银行存款</v>
      </c>
      <c r="F26" s="48" t="str">
        <f aca="false">""</f>
        <v/>
      </c>
      <c r="G26" s="49" t="n">
        <f aca="false">-ROUND(SUMIFS(输入报销!$G:$G,输入报销!$A:$A,$A26,输入报销!$H:$H,参数!$B$7),2)</f>
        <v>-0</v>
      </c>
      <c r="H26" s="49" t="str">
        <f aca="false">IF(ROUND($G26,2)&gt;0,ROUND($G26,2),"")</f>
        <v/>
      </c>
      <c r="I26" s="49" t="str">
        <f aca="false">IF(ROUND($G26,2)&lt;0,-ROUND($G26,2),"")</f>
        <v/>
      </c>
      <c r="J26" s="20" t="n">
        <f aca="false">IF(ROUND($G26,2)=0,0,1)</f>
        <v>0</v>
      </c>
      <c r="K26" s="20" t="str">
        <f aca="false">IF($J26=0,"",SUM($J$15:$J26))</f>
        <v/>
      </c>
      <c r="L26" s="20" t="str">
        <f aca="false">IF($K26="","",$A26*100+$K26)</f>
        <v/>
      </c>
      <c r="M26" s="48" t="str">
        <f aca="false">""</f>
        <v/>
      </c>
    </row>
    <row r="27" customFormat="false" ht="13.5" hidden="false" customHeight="false" outlineLevel="0" collapsed="false">
      <c r="A27" s="47" t="n">
        <v>2</v>
      </c>
      <c r="C27" s="48" t="str">
        <f aca="false">助手报销!$C3</f>
        <v>新隆店</v>
      </c>
      <c r="D27" s="81" t="s">
        <v>491</v>
      </c>
      <c r="E27" s="48" t="str">
        <f aca="false">参数!$B$8</f>
        <v>其他应付款</v>
      </c>
      <c r="F27" s="48" t="str">
        <f aca="false">""</f>
        <v/>
      </c>
      <c r="G27" s="49" t="n">
        <f aca="false">-ROUND(SUMIFS(输入报销!$G:$G,输入报销!$A:$A,$A27,输入报销!$H:$H,参数!$B$8),2)</f>
        <v>-0</v>
      </c>
      <c r="H27" s="49" t="str">
        <f aca="false">IF(ROUND($G27,2)&gt;0,ROUND($G27,2),"")</f>
        <v/>
      </c>
      <c r="I27" s="49" t="str">
        <f aca="false">IF(ROUND($G27,2)&lt;0,-ROUND($G27,2),"")</f>
        <v/>
      </c>
      <c r="J27" s="20" t="n">
        <f aca="false">IF(ROUND($G27,2)=0,0,1)</f>
        <v>0</v>
      </c>
      <c r="K27" s="20" t="str">
        <f aca="false">IF($J27=0,"",SUM($J$15:$J27))</f>
        <v/>
      </c>
      <c r="L27" s="20" t="str">
        <f aca="false">IF($K27="","",$A27*100+$K27)</f>
        <v/>
      </c>
      <c r="M27" s="48" t="str">
        <f aca="false">""</f>
        <v/>
      </c>
    </row>
    <row r="28" customFormat="false" ht="13.5" hidden="false" customHeight="false" outlineLevel="0" collapsed="false">
      <c r="A28" s="47" t="n">
        <v>3</v>
      </c>
      <c r="C28" s="48" t="str">
        <f aca="false">助手报销!$C4</f>
        <v>康庄路店</v>
      </c>
      <c r="D28" s="81" t="s">
        <v>479</v>
      </c>
      <c r="E28" s="48" t="str">
        <f aca="false">IFERROR(INDEX(输入报销!$E:$E,MATCH($A28&amp;"-1",输入报销!$J:$J,0))&amp;"","")</f>
        <v>销售费用</v>
      </c>
      <c r="F28" s="48" t="str">
        <f aca="false">IFERROR(INDEX(输入报销!$F:$F,MATCH($A28&amp;"-1",输入报销!$J:$J,0))&amp;"","")</f>
        <v>电费</v>
      </c>
      <c r="G28" s="49" t="n">
        <f aca="false">IFERROR(ROUND(INDEX(输入报销!$G:$G,MATCH($A28&amp;"-1",输入报销!$J:$J,0)),2),0)</f>
        <v>1000</v>
      </c>
      <c r="H28" s="49" t="n">
        <f aca="false">IF(ROUND($G28,2)&gt;0,ROUND($G28,2),"")</f>
        <v>1000</v>
      </c>
      <c r="I28" s="49" t="str">
        <f aca="false">IF(ROUND($G28,2)&lt;0,-ROUND($G28,2),"")</f>
        <v/>
      </c>
      <c r="J28" s="20" t="n">
        <f aca="false">IF(ROUND($G28,2)=0,0,1)</f>
        <v>1</v>
      </c>
      <c r="K28" s="20" t="n">
        <f aca="false">IF($J28=0,"",SUM($J$28:$J28))</f>
        <v>1</v>
      </c>
      <c r="L28" s="20" t="n">
        <f aca="false">IF($K28="","",$A28*100+$K28)</f>
        <v>301</v>
      </c>
      <c r="M28" s="48" t="str">
        <f aca="false">IFERROR(INDEX(输入报销!$D:$D,MATCH($A28&amp;"-1",输入报销!$J:$J,0))&amp;"","")</f>
        <v>电费</v>
      </c>
    </row>
    <row r="29" customFormat="false" ht="13.5" hidden="false" customHeight="false" outlineLevel="0" collapsed="false">
      <c r="A29" s="47" t="n">
        <v>3</v>
      </c>
      <c r="C29" s="48" t="str">
        <f aca="false">助手报销!$C4</f>
        <v>康庄路店</v>
      </c>
      <c r="D29" s="81" t="s">
        <v>480</v>
      </c>
      <c r="E29" s="48" t="str">
        <f aca="false">IFERROR(INDEX(输入报销!$E:$E,MATCH($A29&amp;"-2",输入报销!$J:$J,0))&amp;"","")</f>
        <v>销售费用</v>
      </c>
      <c r="F29" s="48" t="str">
        <f aca="false">IFERROR(INDEX(输入报销!$F:$F,MATCH($A29&amp;"-2",输入报销!$J:$J,0))&amp;"","")</f>
        <v>办公费</v>
      </c>
      <c r="G29" s="49" t="n">
        <f aca="false">IFERROR(ROUND(INDEX(输入报销!$G:$G,MATCH($A29&amp;"-2",输入报销!$J:$J,0)),2),0)</f>
        <v>662</v>
      </c>
      <c r="H29" s="49" t="n">
        <f aca="false">IF(ROUND($G29,2)&gt;0,ROUND($G29,2),"")</f>
        <v>662</v>
      </c>
      <c r="I29" s="49" t="str">
        <f aca="false">IF(ROUND($G29,2)&lt;0,-ROUND($G29,2),"")</f>
        <v/>
      </c>
      <c r="J29" s="20" t="n">
        <f aca="false">IF(ROUND($G29,2)=0,0,1)</f>
        <v>1</v>
      </c>
      <c r="K29" s="20" t="n">
        <f aca="false">IF($J29=0,"",SUM($J$28:$J29))</f>
        <v>2</v>
      </c>
      <c r="L29" s="20" t="n">
        <f aca="false">IF($K29="","",$A29*100+$K29)</f>
        <v>302</v>
      </c>
      <c r="M29" s="48" t="str">
        <f aca="false">IFERROR(INDEX(输入报销!$D:$D,MATCH($A29&amp;"-2",输入报销!$J:$J,0))&amp;"","")</f>
        <v>灯锁胶布护套线</v>
      </c>
    </row>
    <row r="30" customFormat="false" ht="13.5" hidden="false" customHeight="false" outlineLevel="0" collapsed="false">
      <c r="A30" s="47" t="n">
        <v>3</v>
      </c>
      <c r="C30" s="48" t="str">
        <f aca="false">助手报销!$C4</f>
        <v>康庄路店</v>
      </c>
      <c r="D30" s="81" t="s">
        <v>481</v>
      </c>
      <c r="E30" s="48" t="str">
        <f aca="false">IFERROR(INDEX(输入报销!$E:$E,MATCH($A30&amp;"-3",输入报销!$J:$J,0))&amp;"","")</f>
        <v>财务费用</v>
      </c>
      <c r="F30" s="48" t="str">
        <f aca="false">IFERROR(INDEX(输入报销!$F:$F,MATCH($A30&amp;"-3",输入报销!$J:$J,0))&amp;"","")</f>
        <v>手续费</v>
      </c>
      <c r="G30" s="49" t="n">
        <f aca="false">IFERROR(ROUND(INDEX(输入报销!$G:$G,MATCH($A30&amp;"-3",输入报销!$J:$J,0)),2),0)</f>
        <v>43.38</v>
      </c>
      <c r="H30" s="49" t="n">
        <f aca="false">IF(ROUND($G30,2)&gt;0,ROUND($G30,2),"")</f>
        <v>43.38</v>
      </c>
      <c r="I30" s="49" t="str">
        <f aca="false">IF(ROUND($G30,2)&lt;0,-ROUND($G30,2),"")</f>
        <v/>
      </c>
      <c r="J30" s="20" t="n">
        <f aca="false">IF(ROUND($G30,2)=0,0,1)</f>
        <v>1</v>
      </c>
      <c r="K30" s="20" t="n">
        <f aca="false">IF($J30=0,"",SUM($J$28:$J30))</f>
        <v>3</v>
      </c>
      <c r="L30" s="20" t="n">
        <f aca="false">IF($K30="","",$A30*100+$K30)</f>
        <v>303</v>
      </c>
      <c r="M30" s="48" t="str">
        <f aca="false">IFERROR(INDEX(输入报销!$D:$D,MATCH($A30&amp;"-3",输入报销!$J:$J,0))&amp;"","")</f>
        <v>微信提现费</v>
      </c>
    </row>
    <row r="31" customFormat="false" ht="13.5" hidden="false" customHeight="false" outlineLevel="0" collapsed="false">
      <c r="A31" s="47" t="n">
        <v>3</v>
      </c>
      <c r="C31" s="48" t="str">
        <f aca="false">助手报销!$C4</f>
        <v>康庄路店</v>
      </c>
      <c r="D31" s="81" t="s">
        <v>482</v>
      </c>
      <c r="E31" s="48" t="str">
        <f aca="false">IFERROR(INDEX(输入报销!$E:$E,MATCH($A31&amp;"-4",输入报销!$J:$J,0))&amp;"","")</f>
        <v/>
      </c>
      <c r="F31" s="48" t="str">
        <f aca="false">IFERROR(INDEX(输入报销!$F:$F,MATCH($A31&amp;"-4",输入报销!$J:$J,0))&amp;"","")</f>
        <v/>
      </c>
      <c r="G31" s="49" t="n">
        <f aca="false">IFERROR(ROUND(INDEX(输入报销!$G:$G,MATCH($A31&amp;"-4",输入报销!$J:$J,0)),2),0)</f>
        <v>0</v>
      </c>
      <c r="H31" s="49" t="str">
        <f aca="false">IF(ROUND($G31,2)&gt;0,ROUND($G31,2),"")</f>
        <v/>
      </c>
      <c r="I31" s="49" t="str">
        <f aca="false">IF(ROUND($G31,2)&lt;0,-ROUND($G31,2),"")</f>
        <v/>
      </c>
      <c r="J31" s="20" t="n">
        <f aca="false">IF(ROUND($G31,2)=0,0,1)</f>
        <v>0</v>
      </c>
      <c r="K31" s="20" t="str">
        <f aca="false">IF($J31=0,"",SUM($J$28:$J31))</f>
        <v/>
      </c>
      <c r="L31" s="20" t="str">
        <f aca="false">IF($K31="","",$A31*100+$K31)</f>
        <v/>
      </c>
      <c r="M31" s="48" t="str">
        <f aca="false">IFERROR(INDEX(输入报销!$D:$D,MATCH($A31&amp;"-4",输入报销!$J:$J,0))&amp;"","")</f>
        <v/>
      </c>
    </row>
    <row r="32" customFormat="false" ht="13.5" hidden="false" customHeight="false" outlineLevel="0" collapsed="false">
      <c r="A32" s="47" t="n">
        <v>3</v>
      </c>
      <c r="C32" s="48" t="str">
        <f aca="false">助手报销!$C4</f>
        <v>康庄路店</v>
      </c>
      <c r="D32" s="81" t="s">
        <v>483</v>
      </c>
      <c r="E32" s="48" t="str">
        <f aca="false">IFERROR(INDEX(输入报销!$E:$E,MATCH($A32&amp;"-5",输入报销!$J:$J,0))&amp;"","")</f>
        <v/>
      </c>
      <c r="F32" s="48" t="str">
        <f aca="false">IFERROR(INDEX(输入报销!$F:$F,MATCH($A32&amp;"-5",输入报销!$J:$J,0))&amp;"","")</f>
        <v/>
      </c>
      <c r="G32" s="49" t="n">
        <f aca="false">IFERROR(ROUND(INDEX(输入报销!$G:$G,MATCH($A32&amp;"-5",输入报销!$J:$J,0)),2),0)</f>
        <v>0</v>
      </c>
      <c r="H32" s="49" t="str">
        <f aca="false">IF(ROUND($G32,2)&gt;0,ROUND($G32,2),"")</f>
        <v/>
      </c>
      <c r="I32" s="49" t="str">
        <f aca="false">IF(ROUND($G32,2)&lt;0,-ROUND($G32,2),"")</f>
        <v/>
      </c>
      <c r="J32" s="20" t="n">
        <f aca="false">IF(ROUND($G32,2)=0,0,1)</f>
        <v>0</v>
      </c>
      <c r="K32" s="20" t="str">
        <f aca="false">IF($J32=0,"",SUM($J$28:$J32))</f>
        <v/>
      </c>
      <c r="L32" s="20" t="str">
        <f aca="false">IF($K32="","",$A32*100+$K32)</f>
        <v/>
      </c>
      <c r="M32" s="48" t="str">
        <f aca="false">IFERROR(INDEX(输入报销!$D:$D,MATCH($A32&amp;"-5",输入报销!$J:$J,0))&amp;"","")</f>
        <v/>
      </c>
    </row>
    <row r="33" customFormat="false" ht="13.5" hidden="false" customHeight="false" outlineLevel="0" collapsed="false">
      <c r="A33" s="47" t="n">
        <v>3</v>
      </c>
      <c r="C33" s="48" t="str">
        <f aca="false">助手报销!$C4</f>
        <v>康庄路店</v>
      </c>
      <c r="D33" s="81" t="s">
        <v>484</v>
      </c>
      <c r="E33" s="48" t="str">
        <f aca="false">IFERROR(INDEX(输入报销!$E:$E,MATCH($A33&amp;"-6",输入报销!$J:$J,0))&amp;"","")</f>
        <v/>
      </c>
      <c r="F33" s="48" t="str">
        <f aca="false">IFERROR(INDEX(输入报销!$F:$F,MATCH($A33&amp;"-6",输入报销!$J:$J,0))&amp;"","")</f>
        <v/>
      </c>
      <c r="G33" s="49" t="n">
        <f aca="false">IFERROR(ROUND(INDEX(输入报销!$G:$G,MATCH($A33&amp;"-6",输入报销!$J:$J,0)),2),0)</f>
        <v>0</v>
      </c>
      <c r="H33" s="49" t="str">
        <f aca="false">IF(ROUND($G33,2)&gt;0,ROUND($G33,2),"")</f>
        <v/>
      </c>
      <c r="I33" s="49" t="str">
        <f aca="false">IF(ROUND($G33,2)&lt;0,-ROUND($G33,2),"")</f>
        <v/>
      </c>
      <c r="J33" s="20" t="n">
        <f aca="false">IF(ROUND($G33,2)=0,0,1)</f>
        <v>0</v>
      </c>
      <c r="K33" s="20" t="str">
        <f aca="false">IF($J33=0,"",SUM($J$28:$J33))</f>
        <v/>
      </c>
      <c r="L33" s="20" t="str">
        <f aca="false">IF($K33="","",$A33*100+$K33)</f>
        <v/>
      </c>
      <c r="M33" s="48" t="str">
        <f aca="false">IFERROR(INDEX(输入报销!$D:$D,MATCH($A33&amp;"-6",输入报销!$J:$J,0))&amp;"","")</f>
        <v/>
      </c>
    </row>
    <row r="34" customFormat="false" ht="13.5" hidden="false" customHeight="false" outlineLevel="0" collapsed="false">
      <c r="A34" s="47" t="n">
        <v>3</v>
      </c>
      <c r="C34" s="48" t="str">
        <f aca="false">助手报销!$C4</f>
        <v>康庄路店</v>
      </c>
      <c r="D34" s="81" t="s">
        <v>485</v>
      </c>
      <c r="E34" s="48" t="str">
        <f aca="false">IFERROR(INDEX(输入报销!$E:$E,MATCH($A34&amp;"-7",输入报销!$J:$J,0))&amp;"","")</f>
        <v/>
      </c>
      <c r="F34" s="48" t="str">
        <f aca="false">IFERROR(INDEX(输入报销!$F:$F,MATCH($A34&amp;"-7",输入报销!$J:$J,0))&amp;"","")</f>
        <v/>
      </c>
      <c r="G34" s="49" t="n">
        <f aca="false">IFERROR(ROUND(INDEX(输入报销!$G:$G,MATCH($A34&amp;"-7",输入报销!$J:$J,0)),2),0)</f>
        <v>0</v>
      </c>
      <c r="H34" s="49" t="str">
        <f aca="false">IF(ROUND($G34,2)&gt;0,ROUND($G34,2),"")</f>
        <v/>
      </c>
      <c r="I34" s="49" t="str">
        <f aca="false">IF(ROUND($G34,2)&lt;0,-ROUND($G34,2),"")</f>
        <v/>
      </c>
      <c r="J34" s="20" t="n">
        <f aca="false">IF(ROUND($G34,2)=0,0,1)</f>
        <v>0</v>
      </c>
      <c r="K34" s="20" t="str">
        <f aca="false">IF($J34=0,"",SUM($J$28:$J34))</f>
        <v/>
      </c>
      <c r="L34" s="20" t="str">
        <f aca="false">IF($K34="","",$A34*100+$K34)</f>
        <v/>
      </c>
      <c r="M34" s="48" t="str">
        <f aca="false">IFERROR(INDEX(输入报销!$D:$D,MATCH($A34&amp;"-7",输入报销!$J:$J,0))&amp;"","")</f>
        <v/>
      </c>
    </row>
    <row r="35" customFormat="false" ht="13.5" hidden="false" customHeight="false" outlineLevel="0" collapsed="false">
      <c r="A35" s="47" t="n">
        <v>3</v>
      </c>
      <c r="C35" s="48" t="str">
        <f aca="false">助手报销!$C4</f>
        <v>康庄路店</v>
      </c>
      <c r="D35" s="81" t="s">
        <v>486</v>
      </c>
      <c r="E35" s="48" t="str">
        <f aca="false">IFERROR(INDEX(输入报销!$E:$E,MATCH($A35&amp;"-8",输入报销!$J:$J,0))&amp;"","")</f>
        <v/>
      </c>
      <c r="F35" s="48" t="str">
        <f aca="false">IFERROR(INDEX(输入报销!$F:$F,MATCH($A35&amp;"-8",输入报销!$J:$J,0))&amp;"","")</f>
        <v/>
      </c>
      <c r="G35" s="49" t="n">
        <f aca="false">IFERROR(ROUND(INDEX(输入报销!$G:$G,MATCH($A35&amp;"-8",输入报销!$J:$J,0)),2),0)</f>
        <v>0</v>
      </c>
      <c r="H35" s="49" t="str">
        <f aca="false">IF(ROUND($G35,2)&gt;0,ROUND($G35,2),"")</f>
        <v/>
      </c>
      <c r="I35" s="49" t="str">
        <f aca="false">IF(ROUND($G35,2)&lt;0,-ROUND($G35,2),"")</f>
        <v/>
      </c>
      <c r="J35" s="20" t="n">
        <f aca="false">IF(ROUND($G35,2)=0,0,1)</f>
        <v>0</v>
      </c>
      <c r="K35" s="20" t="str">
        <f aca="false">IF($J35=0,"",SUM($J$28:$J35))</f>
        <v/>
      </c>
      <c r="L35" s="20" t="str">
        <f aca="false">IF($K35="","",$A35*100+$K35)</f>
        <v/>
      </c>
      <c r="M35" s="48" t="str">
        <f aca="false">IFERROR(INDEX(输入报销!$D:$D,MATCH($A35&amp;"-8",输入报销!$J:$J,0))&amp;"","")</f>
        <v/>
      </c>
    </row>
    <row r="36" customFormat="false" ht="13.5" hidden="false" customHeight="false" outlineLevel="0" collapsed="false">
      <c r="A36" s="47" t="n">
        <v>3</v>
      </c>
      <c r="C36" s="48" t="str">
        <f aca="false">助手报销!$C4</f>
        <v>康庄路店</v>
      </c>
      <c r="D36" s="81" t="s">
        <v>487</v>
      </c>
      <c r="E36" s="48" t="str">
        <f aca="false">IFERROR(INDEX(输入报销!$E:$E,MATCH($A36&amp;"-9",输入报销!$J:$J,0))&amp;"","")</f>
        <v/>
      </c>
      <c r="F36" s="48" t="str">
        <f aca="false">IFERROR(INDEX(输入报销!$F:$F,MATCH($A36&amp;"-9",输入报销!$J:$J,0))&amp;"","")</f>
        <v/>
      </c>
      <c r="G36" s="49" t="n">
        <f aca="false">IFERROR(ROUND(INDEX(输入报销!$G:$G,MATCH($A36&amp;"-9",输入报销!$J:$J,0)),2),0)</f>
        <v>0</v>
      </c>
      <c r="H36" s="49" t="str">
        <f aca="false">IF(ROUND($G36,2)&gt;0,ROUND($G36,2),"")</f>
        <v/>
      </c>
      <c r="I36" s="49" t="str">
        <f aca="false">IF(ROUND($G36,2)&lt;0,-ROUND($G36,2),"")</f>
        <v/>
      </c>
      <c r="J36" s="20" t="n">
        <f aca="false">IF(ROUND($G36,2)=0,0,1)</f>
        <v>0</v>
      </c>
      <c r="K36" s="20" t="str">
        <f aca="false">IF($J36=0,"",SUM($J$28:$J36))</f>
        <v/>
      </c>
      <c r="L36" s="20" t="str">
        <f aca="false">IF($K36="","",$A36*100+$K36)</f>
        <v/>
      </c>
      <c r="M36" s="48" t="str">
        <f aca="false">IFERROR(INDEX(输入报销!$D:$D,MATCH($A36&amp;"-9",输入报销!$J:$J,0))&amp;"","")</f>
        <v/>
      </c>
    </row>
    <row r="37" customFormat="false" ht="13.5" hidden="false" customHeight="false" outlineLevel="0" collapsed="false">
      <c r="A37" s="47" t="n">
        <v>3</v>
      </c>
      <c r="C37" s="48" t="str">
        <f aca="false">助手报销!$C4</f>
        <v>康庄路店</v>
      </c>
      <c r="D37" s="81" t="s">
        <v>488</v>
      </c>
      <c r="E37" s="48" t="str">
        <f aca="false">IFERROR(INDEX(输入报销!$E:$E,MATCH($A37&amp;"-10",输入报销!$J:$J,0))&amp;"","")</f>
        <v/>
      </c>
      <c r="F37" s="48" t="str">
        <f aca="false">IFERROR(INDEX(输入报销!$F:$F,MATCH($A37&amp;"-10",输入报销!$J:$J,0))&amp;"","")</f>
        <v/>
      </c>
      <c r="G37" s="49" t="n">
        <f aca="false">IFERROR(ROUND(INDEX(输入报销!$G:$G,MATCH($A37&amp;"-10",输入报销!$J:$J,0)),2),0)</f>
        <v>0</v>
      </c>
      <c r="H37" s="49" t="str">
        <f aca="false">IF(ROUND($G37,2)&gt;0,ROUND($G37,2),"")</f>
        <v/>
      </c>
      <c r="I37" s="49" t="str">
        <f aca="false">IF(ROUND($G37,2)&lt;0,-ROUND($G37,2),"")</f>
        <v/>
      </c>
      <c r="J37" s="20" t="n">
        <f aca="false">IF(ROUND($G37,2)=0,0,1)</f>
        <v>0</v>
      </c>
      <c r="K37" s="20" t="str">
        <f aca="false">IF($J37=0,"",SUM($J$28:$J37))</f>
        <v/>
      </c>
      <c r="L37" s="20" t="str">
        <f aca="false">IF($K37="","",$A37*100+$K37)</f>
        <v/>
      </c>
      <c r="M37" s="48" t="str">
        <f aca="false">IFERROR(INDEX(输入报销!$D:$D,MATCH($A37&amp;"-10",输入报销!$J:$J,0))&amp;"","")</f>
        <v/>
      </c>
    </row>
    <row r="38" customFormat="false" ht="13.5" hidden="false" customHeight="false" outlineLevel="0" collapsed="false">
      <c r="A38" s="47" t="n">
        <v>3</v>
      </c>
      <c r="C38" s="48" t="str">
        <f aca="false">助手报销!$C4</f>
        <v>康庄路店</v>
      </c>
      <c r="D38" s="81" t="s">
        <v>489</v>
      </c>
      <c r="E38" s="48" t="str">
        <f aca="false">参数!$B$6</f>
        <v>库存现金</v>
      </c>
      <c r="F38" s="48" t="str">
        <f aca="false">""</f>
        <v/>
      </c>
      <c r="G38" s="49" t="n">
        <f aca="false">-ROUND(SUMIFS(输入报销!$G:$G,输入报销!$A:$A,$A38,输入报销!$H:$H,参数!$B$6),2)</f>
        <v>-1705.38</v>
      </c>
      <c r="H38" s="49" t="str">
        <f aca="false">IF(ROUND($G38,2)&gt;0,ROUND($G38,2),"")</f>
        <v/>
      </c>
      <c r="I38" s="49" t="n">
        <f aca="false">IF(ROUND($G38,2)&lt;0,-ROUND($G38,2),"")</f>
        <v>1705.38</v>
      </c>
      <c r="J38" s="20" t="n">
        <f aca="false">IF(ROUND($G38,2)=0,0,1)</f>
        <v>1</v>
      </c>
      <c r="K38" s="20" t="n">
        <f aca="false">IF($J38=0,"",SUM($J$28:$J38))</f>
        <v>4</v>
      </c>
      <c r="L38" s="20" t="n">
        <f aca="false">IF($K38="","",$A38*100+$K38)</f>
        <v>304</v>
      </c>
      <c r="M38" s="48" t="str">
        <f aca="false">""</f>
        <v/>
      </c>
    </row>
    <row r="39" customFormat="false" ht="13.5" hidden="false" customHeight="false" outlineLevel="0" collapsed="false">
      <c r="A39" s="47" t="n">
        <v>3</v>
      </c>
      <c r="C39" s="48" t="str">
        <f aca="false">助手报销!$C4</f>
        <v>康庄路店</v>
      </c>
      <c r="D39" s="81" t="s">
        <v>490</v>
      </c>
      <c r="E39" s="48" t="str">
        <f aca="false">参数!$B$7</f>
        <v>银行存款</v>
      </c>
      <c r="F39" s="48" t="str">
        <f aca="false">""</f>
        <v/>
      </c>
      <c r="G39" s="49" t="n">
        <f aca="false">-ROUND(SUMIFS(输入报销!$G:$G,输入报销!$A:$A,$A39,输入报销!$H:$H,参数!$B$7),2)</f>
        <v>-0</v>
      </c>
      <c r="H39" s="49" t="str">
        <f aca="false">IF(ROUND($G39,2)&gt;0,ROUND($G39,2),"")</f>
        <v/>
      </c>
      <c r="I39" s="49" t="str">
        <f aca="false">IF(ROUND($G39,2)&lt;0,-ROUND($G39,2),"")</f>
        <v/>
      </c>
      <c r="J39" s="20" t="n">
        <f aca="false">IF(ROUND($G39,2)=0,0,1)</f>
        <v>0</v>
      </c>
      <c r="K39" s="20" t="str">
        <f aca="false">IF($J39=0,"",SUM($J$28:$J39))</f>
        <v/>
      </c>
      <c r="L39" s="20" t="str">
        <f aca="false">IF($K39="","",$A39*100+$K39)</f>
        <v/>
      </c>
      <c r="M39" s="48" t="str">
        <f aca="false">""</f>
        <v/>
      </c>
    </row>
    <row r="40" customFormat="false" ht="13.5" hidden="false" customHeight="false" outlineLevel="0" collapsed="false">
      <c r="A40" s="47" t="n">
        <v>3</v>
      </c>
      <c r="C40" s="48" t="str">
        <f aca="false">助手报销!$C4</f>
        <v>康庄路店</v>
      </c>
      <c r="D40" s="81" t="s">
        <v>491</v>
      </c>
      <c r="E40" s="48" t="str">
        <f aca="false">参数!$B$8</f>
        <v>其他应付款</v>
      </c>
      <c r="F40" s="48" t="str">
        <f aca="false">""</f>
        <v/>
      </c>
      <c r="G40" s="49" t="n">
        <f aca="false">-ROUND(SUMIFS(输入报销!$G:$G,输入报销!$A:$A,$A40,输入报销!$H:$H,参数!$B$8),2)</f>
        <v>-0</v>
      </c>
      <c r="H40" s="49" t="str">
        <f aca="false">IF(ROUND($G40,2)&gt;0,ROUND($G40,2),"")</f>
        <v/>
      </c>
      <c r="I40" s="49" t="str">
        <f aca="false">IF(ROUND($G40,2)&lt;0,-ROUND($G40,2),"")</f>
        <v/>
      </c>
      <c r="J40" s="20" t="n">
        <f aca="false">IF(ROUND($G40,2)=0,0,1)</f>
        <v>0</v>
      </c>
      <c r="K40" s="20" t="str">
        <f aca="false">IF($J40=0,"",SUM($J$28:$J40))</f>
        <v/>
      </c>
      <c r="L40" s="20" t="str">
        <f aca="false">IF($K40="","",$A40*100+$K40)</f>
        <v/>
      </c>
      <c r="M40" s="48" t="str">
        <f aca="false">""</f>
        <v/>
      </c>
    </row>
    <row r="41" customFormat="false" ht="13.5" hidden="false" customHeight="false" outlineLevel="0" collapsed="false">
      <c r="A41" s="47" t="n">
        <v>4</v>
      </c>
      <c r="C41" s="48" t="str">
        <f aca="false">助手报销!$C5</f>
        <v>东关店</v>
      </c>
      <c r="D41" s="81" t="s">
        <v>479</v>
      </c>
      <c r="E41" s="48" t="str">
        <f aca="false">IFERROR(INDEX(输入报销!$E:$E,MATCH($A41&amp;"-1",输入报销!$J:$J,0))&amp;"","")</f>
        <v>销售费用</v>
      </c>
      <c r="F41" s="48" t="str">
        <f aca="false">IFERROR(INDEX(输入报销!$F:$F,MATCH($A41&amp;"-1",输入报销!$J:$J,0))&amp;"","")</f>
        <v>办公费</v>
      </c>
      <c r="G41" s="49" t="n">
        <f aca="false">IFERROR(ROUND(INDEX(输入报销!$G:$G,MATCH($A41&amp;"-1",输入报销!$J:$J,0)),2),0)</f>
        <v>99.7</v>
      </c>
      <c r="H41" s="49" t="n">
        <f aca="false">IF(ROUND($G41,2)&gt;0,ROUND($G41,2),"")</f>
        <v>99.7</v>
      </c>
      <c r="I41" s="49" t="str">
        <f aca="false">IF(ROUND($G41,2)&lt;0,-ROUND($G41,2),"")</f>
        <v/>
      </c>
      <c r="J41" s="20" t="n">
        <f aca="false">IF(ROUND($G41,2)=0,0,1)</f>
        <v>1</v>
      </c>
      <c r="K41" s="20" t="n">
        <f aca="false">IF($J41=0,"",SUM($J$41:$J41))</f>
        <v>1</v>
      </c>
      <c r="L41" s="20" t="n">
        <f aca="false">IF($K41="","",$A41*100+$K41)</f>
        <v>401</v>
      </c>
      <c r="M41" s="48" t="str">
        <f aca="false">IFERROR(INDEX(输入报销!$D:$D,MATCH($A41&amp;"-1",输入报销!$J:$J,0))&amp;"","")</f>
        <v>色带慢病用品</v>
      </c>
    </row>
    <row r="42" customFormat="false" ht="13.5" hidden="false" customHeight="false" outlineLevel="0" collapsed="false">
      <c r="A42" s="47" t="n">
        <v>4</v>
      </c>
      <c r="C42" s="48" t="str">
        <f aca="false">助手报销!$C5</f>
        <v>东关店</v>
      </c>
      <c r="D42" s="81" t="s">
        <v>480</v>
      </c>
      <c r="E42" s="48" t="str">
        <f aca="false">IFERROR(INDEX(输入报销!$E:$E,MATCH($A42&amp;"-2",输入报销!$J:$J,0))&amp;"","")</f>
        <v>财务费用</v>
      </c>
      <c r="F42" s="48" t="str">
        <f aca="false">IFERROR(INDEX(输入报销!$F:$F,MATCH($A42&amp;"-2",输入报销!$J:$J,0))&amp;"","")</f>
        <v>手续费</v>
      </c>
      <c r="G42" s="49" t="n">
        <f aca="false">IFERROR(ROUND(INDEX(输入报销!$G:$G,MATCH($A42&amp;"-2",输入报销!$J:$J,0)),2),0)</f>
        <v>48.05</v>
      </c>
      <c r="H42" s="49" t="n">
        <f aca="false">IF(ROUND($G42,2)&gt;0,ROUND($G42,2),"")</f>
        <v>48.05</v>
      </c>
      <c r="I42" s="49" t="str">
        <f aca="false">IF(ROUND($G42,2)&lt;0,-ROUND($G42,2),"")</f>
        <v/>
      </c>
      <c r="J42" s="20" t="n">
        <f aca="false">IF(ROUND($G42,2)=0,0,1)</f>
        <v>1</v>
      </c>
      <c r="K42" s="20" t="n">
        <f aca="false">IF($J42=0,"",SUM($J$41:$J42))</f>
        <v>2</v>
      </c>
      <c r="L42" s="20" t="n">
        <f aca="false">IF($K42="","",$A42*100+$K42)</f>
        <v>402</v>
      </c>
      <c r="M42" s="48" t="str">
        <f aca="false">IFERROR(INDEX(输入报销!$D:$D,MATCH($A42&amp;"-2",输入报销!$J:$J,0))&amp;"","")</f>
        <v>微信提现费</v>
      </c>
    </row>
    <row r="43" customFormat="false" ht="13.5" hidden="false" customHeight="false" outlineLevel="0" collapsed="false">
      <c r="A43" s="47" t="n">
        <v>4</v>
      </c>
      <c r="C43" s="48" t="str">
        <f aca="false">助手报销!$C5</f>
        <v>东关店</v>
      </c>
      <c r="D43" s="81" t="s">
        <v>481</v>
      </c>
      <c r="E43" s="48" t="str">
        <f aca="false">IFERROR(INDEX(输入报销!$E:$E,MATCH($A43&amp;"-3",输入报销!$J:$J,0))&amp;"","")</f>
        <v/>
      </c>
      <c r="F43" s="48" t="str">
        <f aca="false">IFERROR(INDEX(输入报销!$F:$F,MATCH($A43&amp;"-3",输入报销!$J:$J,0))&amp;"","")</f>
        <v/>
      </c>
      <c r="G43" s="49" t="n">
        <f aca="false">IFERROR(ROUND(INDEX(输入报销!$G:$G,MATCH($A43&amp;"-3",输入报销!$J:$J,0)),2),0)</f>
        <v>0</v>
      </c>
      <c r="H43" s="49" t="str">
        <f aca="false">IF(ROUND($G43,2)&gt;0,ROUND($G43,2),"")</f>
        <v/>
      </c>
      <c r="I43" s="49" t="str">
        <f aca="false">IF(ROUND($G43,2)&lt;0,-ROUND($G43,2),"")</f>
        <v/>
      </c>
      <c r="J43" s="20" t="n">
        <f aca="false">IF(ROUND($G43,2)=0,0,1)</f>
        <v>0</v>
      </c>
      <c r="K43" s="20" t="str">
        <f aca="false">IF($J43=0,"",SUM($J$41:$J43))</f>
        <v/>
      </c>
      <c r="L43" s="20" t="str">
        <f aca="false">IF($K43="","",$A43*100+$K43)</f>
        <v/>
      </c>
      <c r="M43" s="48" t="str">
        <f aca="false">IFERROR(INDEX(输入报销!$D:$D,MATCH($A43&amp;"-3",输入报销!$J:$J,0))&amp;"","")</f>
        <v/>
      </c>
    </row>
    <row r="44" customFormat="false" ht="13.5" hidden="false" customHeight="false" outlineLevel="0" collapsed="false">
      <c r="A44" s="47" t="n">
        <v>4</v>
      </c>
      <c r="C44" s="48" t="str">
        <f aca="false">助手报销!$C5</f>
        <v>东关店</v>
      </c>
      <c r="D44" s="81" t="s">
        <v>482</v>
      </c>
      <c r="E44" s="48" t="str">
        <f aca="false">IFERROR(INDEX(输入报销!$E:$E,MATCH($A44&amp;"-4",输入报销!$J:$J,0))&amp;"","")</f>
        <v/>
      </c>
      <c r="F44" s="48" t="str">
        <f aca="false">IFERROR(INDEX(输入报销!$F:$F,MATCH($A44&amp;"-4",输入报销!$J:$J,0))&amp;"","")</f>
        <v/>
      </c>
      <c r="G44" s="49" t="n">
        <f aca="false">IFERROR(ROUND(INDEX(输入报销!$G:$G,MATCH($A44&amp;"-4",输入报销!$J:$J,0)),2),0)</f>
        <v>0</v>
      </c>
      <c r="H44" s="49" t="str">
        <f aca="false">IF(ROUND($G44,2)&gt;0,ROUND($G44,2),"")</f>
        <v/>
      </c>
      <c r="I44" s="49" t="str">
        <f aca="false">IF(ROUND($G44,2)&lt;0,-ROUND($G44,2),"")</f>
        <v/>
      </c>
      <c r="J44" s="20" t="n">
        <f aca="false">IF(ROUND($G44,2)=0,0,1)</f>
        <v>0</v>
      </c>
      <c r="K44" s="20" t="str">
        <f aca="false">IF($J44=0,"",SUM($J$41:$J44))</f>
        <v/>
      </c>
      <c r="L44" s="20" t="str">
        <f aca="false">IF($K44="","",$A44*100+$K44)</f>
        <v/>
      </c>
      <c r="M44" s="48" t="str">
        <f aca="false">IFERROR(INDEX(输入报销!$D:$D,MATCH($A44&amp;"-4",输入报销!$J:$J,0))&amp;"","")</f>
        <v/>
      </c>
    </row>
    <row r="45" customFormat="false" ht="13.5" hidden="false" customHeight="false" outlineLevel="0" collapsed="false">
      <c r="A45" s="47" t="n">
        <v>4</v>
      </c>
      <c r="C45" s="48" t="str">
        <f aca="false">助手报销!$C5</f>
        <v>东关店</v>
      </c>
      <c r="D45" s="81" t="s">
        <v>483</v>
      </c>
      <c r="E45" s="48" t="str">
        <f aca="false">IFERROR(INDEX(输入报销!$E:$E,MATCH($A45&amp;"-5",输入报销!$J:$J,0))&amp;"","")</f>
        <v/>
      </c>
      <c r="F45" s="48" t="str">
        <f aca="false">IFERROR(INDEX(输入报销!$F:$F,MATCH($A45&amp;"-5",输入报销!$J:$J,0))&amp;"","")</f>
        <v/>
      </c>
      <c r="G45" s="49" t="n">
        <f aca="false">IFERROR(ROUND(INDEX(输入报销!$G:$G,MATCH($A45&amp;"-5",输入报销!$J:$J,0)),2),0)</f>
        <v>0</v>
      </c>
      <c r="H45" s="49" t="str">
        <f aca="false">IF(ROUND($G45,2)&gt;0,ROUND($G45,2),"")</f>
        <v/>
      </c>
      <c r="I45" s="49" t="str">
        <f aca="false">IF(ROUND($G45,2)&lt;0,-ROUND($G45,2),"")</f>
        <v/>
      </c>
      <c r="J45" s="20" t="n">
        <f aca="false">IF(ROUND($G45,2)=0,0,1)</f>
        <v>0</v>
      </c>
      <c r="K45" s="20" t="str">
        <f aca="false">IF($J45=0,"",SUM($J$41:$J45))</f>
        <v/>
      </c>
      <c r="L45" s="20" t="str">
        <f aca="false">IF($K45="","",$A45*100+$K45)</f>
        <v/>
      </c>
      <c r="M45" s="48" t="str">
        <f aca="false">IFERROR(INDEX(输入报销!$D:$D,MATCH($A45&amp;"-5",输入报销!$J:$J,0))&amp;"","")</f>
        <v/>
      </c>
    </row>
    <row r="46" customFormat="false" ht="13.5" hidden="false" customHeight="false" outlineLevel="0" collapsed="false">
      <c r="A46" s="47" t="n">
        <v>4</v>
      </c>
      <c r="C46" s="48" t="str">
        <f aca="false">助手报销!$C5</f>
        <v>东关店</v>
      </c>
      <c r="D46" s="81" t="s">
        <v>484</v>
      </c>
      <c r="E46" s="48" t="str">
        <f aca="false">IFERROR(INDEX(输入报销!$E:$E,MATCH($A46&amp;"-6",输入报销!$J:$J,0))&amp;"","")</f>
        <v/>
      </c>
      <c r="F46" s="48" t="str">
        <f aca="false">IFERROR(INDEX(输入报销!$F:$F,MATCH($A46&amp;"-6",输入报销!$J:$J,0))&amp;"","")</f>
        <v/>
      </c>
      <c r="G46" s="49" t="n">
        <f aca="false">IFERROR(ROUND(INDEX(输入报销!$G:$G,MATCH($A46&amp;"-6",输入报销!$J:$J,0)),2),0)</f>
        <v>0</v>
      </c>
      <c r="H46" s="49" t="str">
        <f aca="false">IF(ROUND($G46,2)&gt;0,ROUND($G46,2),"")</f>
        <v/>
      </c>
      <c r="I46" s="49" t="str">
        <f aca="false">IF(ROUND($G46,2)&lt;0,-ROUND($G46,2),"")</f>
        <v/>
      </c>
      <c r="J46" s="20" t="n">
        <f aca="false">IF(ROUND($G46,2)=0,0,1)</f>
        <v>0</v>
      </c>
      <c r="K46" s="20" t="str">
        <f aca="false">IF($J46=0,"",SUM($J$41:$J46))</f>
        <v/>
      </c>
      <c r="L46" s="20" t="str">
        <f aca="false">IF($K46="","",$A46*100+$K46)</f>
        <v/>
      </c>
      <c r="M46" s="48" t="str">
        <f aca="false">IFERROR(INDEX(输入报销!$D:$D,MATCH($A46&amp;"-6",输入报销!$J:$J,0))&amp;"","")</f>
        <v/>
      </c>
    </row>
    <row r="47" customFormat="false" ht="13.5" hidden="false" customHeight="false" outlineLevel="0" collapsed="false">
      <c r="A47" s="47" t="n">
        <v>4</v>
      </c>
      <c r="C47" s="48" t="str">
        <f aca="false">助手报销!$C5</f>
        <v>东关店</v>
      </c>
      <c r="D47" s="81" t="s">
        <v>485</v>
      </c>
      <c r="E47" s="48" t="str">
        <f aca="false">IFERROR(INDEX(输入报销!$E:$E,MATCH($A47&amp;"-7",输入报销!$J:$J,0))&amp;"","")</f>
        <v/>
      </c>
      <c r="F47" s="48" t="str">
        <f aca="false">IFERROR(INDEX(输入报销!$F:$F,MATCH($A47&amp;"-7",输入报销!$J:$J,0))&amp;"","")</f>
        <v/>
      </c>
      <c r="G47" s="49" t="n">
        <f aca="false">IFERROR(ROUND(INDEX(输入报销!$G:$G,MATCH($A47&amp;"-7",输入报销!$J:$J,0)),2),0)</f>
        <v>0</v>
      </c>
      <c r="H47" s="49" t="str">
        <f aca="false">IF(ROUND($G47,2)&gt;0,ROUND($G47,2),"")</f>
        <v/>
      </c>
      <c r="I47" s="49" t="str">
        <f aca="false">IF(ROUND($G47,2)&lt;0,-ROUND($G47,2),"")</f>
        <v/>
      </c>
      <c r="J47" s="20" t="n">
        <f aca="false">IF(ROUND($G47,2)=0,0,1)</f>
        <v>0</v>
      </c>
      <c r="K47" s="20" t="str">
        <f aca="false">IF($J47=0,"",SUM($J$41:$J47))</f>
        <v/>
      </c>
      <c r="L47" s="20" t="str">
        <f aca="false">IF($K47="","",$A47*100+$K47)</f>
        <v/>
      </c>
      <c r="M47" s="48" t="str">
        <f aca="false">IFERROR(INDEX(输入报销!$D:$D,MATCH($A47&amp;"-7",输入报销!$J:$J,0))&amp;"","")</f>
        <v/>
      </c>
    </row>
    <row r="48" customFormat="false" ht="13.5" hidden="false" customHeight="false" outlineLevel="0" collapsed="false">
      <c r="A48" s="47" t="n">
        <v>4</v>
      </c>
      <c r="C48" s="48" t="str">
        <f aca="false">助手报销!$C5</f>
        <v>东关店</v>
      </c>
      <c r="D48" s="81" t="s">
        <v>486</v>
      </c>
      <c r="E48" s="48" t="str">
        <f aca="false">IFERROR(INDEX(输入报销!$E:$E,MATCH($A48&amp;"-8",输入报销!$J:$J,0))&amp;"","")</f>
        <v/>
      </c>
      <c r="F48" s="48" t="str">
        <f aca="false">IFERROR(INDEX(输入报销!$F:$F,MATCH($A48&amp;"-8",输入报销!$J:$J,0))&amp;"","")</f>
        <v/>
      </c>
      <c r="G48" s="49" t="n">
        <f aca="false">IFERROR(ROUND(INDEX(输入报销!$G:$G,MATCH($A48&amp;"-8",输入报销!$J:$J,0)),2),0)</f>
        <v>0</v>
      </c>
      <c r="H48" s="49" t="str">
        <f aca="false">IF(ROUND($G48,2)&gt;0,ROUND($G48,2),"")</f>
        <v/>
      </c>
      <c r="I48" s="49" t="str">
        <f aca="false">IF(ROUND($G48,2)&lt;0,-ROUND($G48,2),"")</f>
        <v/>
      </c>
      <c r="J48" s="20" t="n">
        <f aca="false">IF(ROUND($G48,2)=0,0,1)</f>
        <v>0</v>
      </c>
      <c r="K48" s="20" t="str">
        <f aca="false">IF($J48=0,"",SUM($J$41:$J48))</f>
        <v/>
      </c>
      <c r="L48" s="20" t="str">
        <f aca="false">IF($K48="","",$A48*100+$K48)</f>
        <v/>
      </c>
      <c r="M48" s="48" t="str">
        <f aca="false">IFERROR(INDEX(输入报销!$D:$D,MATCH($A48&amp;"-8",输入报销!$J:$J,0))&amp;"","")</f>
        <v/>
      </c>
    </row>
    <row r="49" customFormat="false" ht="13.5" hidden="false" customHeight="false" outlineLevel="0" collapsed="false">
      <c r="A49" s="47" t="n">
        <v>4</v>
      </c>
      <c r="C49" s="48" t="str">
        <f aca="false">助手报销!$C5</f>
        <v>东关店</v>
      </c>
      <c r="D49" s="81" t="s">
        <v>487</v>
      </c>
      <c r="E49" s="48" t="str">
        <f aca="false">IFERROR(INDEX(输入报销!$E:$E,MATCH($A49&amp;"-9",输入报销!$J:$J,0))&amp;"","")</f>
        <v/>
      </c>
      <c r="F49" s="48" t="str">
        <f aca="false">IFERROR(INDEX(输入报销!$F:$F,MATCH($A49&amp;"-9",输入报销!$J:$J,0))&amp;"","")</f>
        <v/>
      </c>
      <c r="G49" s="49" t="n">
        <f aca="false">IFERROR(ROUND(INDEX(输入报销!$G:$G,MATCH($A49&amp;"-9",输入报销!$J:$J,0)),2),0)</f>
        <v>0</v>
      </c>
      <c r="H49" s="49" t="str">
        <f aca="false">IF(ROUND($G49,2)&gt;0,ROUND($G49,2),"")</f>
        <v/>
      </c>
      <c r="I49" s="49" t="str">
        <f aca="false">IF(ROUND($G49,2)&lt;0,-ROUND($G49,2),"")</f>
        <v/>
      </c>
      <c r="J49" s="20" t="n">
        <f aca="false">IF(ROUND($G49,2)=0,0,1)</f>
        <v>0</v>
      </c>
      <c r="K49" s="20" t="str">
        <f aca="false">IF($J49=0,"",SUM($J$41:$J49))</f>
        <v/>
      </c>
      <c r="L49" s="20" t="str">
        <f aca="false">IF($K49="","",$A49*100+$K49)</f>
        <v/>
      </c>
      <c r="M49" s="48" t="str">
        <f aca="false">IFERROR(INDEX(输入报销!$D:$D,MATCH($A49&amp;"-9",输入报销!$J:$J,0))&amp;"","")</f>
        <v/>
      </c>
    </row>
    <row r="50" customFormat="false" ht="13.5" hidden="false" customHeight="false" outlineLevel="0" collapsed="false">
      <c r="A50" s="47" t="n">
        <v>4</v>
      </c>
      <c r="C50" s="48" t="str">
        <f aca="false">助手报销!$C5</f>
        <v>东关店</v>
      </c>
      <c r="D50" s="81" t="s">
        <v>488</v>
      </c>
      <c r="E50" s="48" t="str">
        <f aca="false">IFERROR(INDEX(输入报销!$E:$E,MATCH($A50&amp;"-10",输入报销!$J:$J,0))&amp;"","")</f>
        <v/>
      </c>
      <c r="F50" s="48" t="str">
        <f aca="false">IFERROR(INDEX(输入报销!$F:$F,MATCH($A50&amp;"-10",输入报销!$J:$J,0))&amp;"","")</f>
        <v/>
      </c>
      <c r="G50" s="49" t="n">
        <f aca="false">IFERROR(ROUND(INDEX(输入报销!$G:$G,MATCH($A50&amp;"-10",输入报销!$J:$J,0)),2),0)</f>
        <v>0</v>
      </c>
      <c r="H50" s="49" t="str">
        <f aca="false">IF(ROUND($G50,2)&gt;0,ROUND($G50,2),"")</f>
        <v/>
      </c>
      <c r="I50" s="49" t="str">
        <f aca="false">IF(ROUND($G50,2)&lt;0,-ROUND($G50,2),"")</f>
        <v/>
      </c>
      <c r="J50" s="20" t="n">
        <f aca="false">IF(ROUND($G50,2)=0,0,1)</f>
        <v>0</v>
      </c>
      <c r="K50" s="20" t="str">
        <f aca="false">IF($J50=0,"",SUM($J$41:$J50))</f>
        <v/>
      </c>
      <c r="L50" s="20" t="str">
        <f aca="false">IF($K50="","",$A50*100+$K50)</f>
        <v/>
      </c>
      <c r="M50" s="48" t="str">
        <f aca="false">IFERROR(INDEX(输入报销!$D:$D,MATCH($A50&amp;"-10",输入报销!$J:$J,0))&amp;"","")</f>
        <v/>
      </c>
    </row>
    <row r="51" customFormat="false" ht="13.5" hidden="false" customHeight="false" outlineLevel="0" collapsed="false">
      <c r="A51" s="47" t="n">
        <v>4</v>
      </c>
      <c r="C51" s="48" t="str">
        <f aca="false">助手报销!$C5</f>
        <v>东关店</v>
      </c>
      <c r="D51" s="81" t="s">
        <v>489</v>
      </c>
      <c r="E51" s="48" t="str">
        <f aca="false">参数!$B$6</f>
        <v>库存现金</v>
      </c>
      <c r="F51" s="48" t="str">
        <f aca="false">""</f>
        <v/>
      </c>
      <c r="G51" s="49" t="n">
        <f aca="false">-ROUND(SUMIFS(输入报销!$G:$G,输入报销!$A:$A,$A51,输入报销!$H:$H,参数!$B$6),2)</f>
        <v>-147.75</v>
      </c>
      <c r="H51" s="49" t="str">
        <f aca="false">IF(ROUND($G51,2)&gt;0,ROUND($G51,2),"")</f>
        <v/>
      </c>
      <c r="I51" s="49" t="n">
        <f aca="false">IF(ROUND($G51,2)&lt;0,-ROUND($G51,2),"")</f>
        <v>147.75</v>
      </c>
      <c r="J51" s="20" t="n">
        <f aca="false">IF(ROUND($G51,2)=0,0,1)</f>
        <v>1</v>
      </c>
      <c r="K51" s="20" t="n">
        <f aca="false">IF($J51=0,"",SUM($J$41:$J51))</f>
        <v>3</v>
      </c>
      <c r="L51" s="20" t="n">
        <f aca="false">IF($K51="","",$A51*100+$K51)</f>
        <v>403</v>
      </c>
      <c r="M51" s="48" t="str">
        <f aca="false">""</f>
        <v/>
      </c>
    </row>
    <row r="52" customFormat="false" ht="13.5" hidden="false" customHeight="false" outlineLevel="0" collapsed="false">
      <c r="A52" s="47" t="n">
        <v>4</v>
      </c>
      <c r="C52" s="48" t="str">
        <f aca="false">助手报销!$C5</f>
        <v>东关店</v>
      </c>
      <c r="D52" s="81" t="s">
        <v>490</v>
      </c>
      <c r="E52" s="48" t="str">
        <f aca="false">参数!$B$7</f>
        <v>银行存款</v>
      </c>
      <c r="F52" s="48" t="str">
        <f aca="false">""</f>
        <v/>
      </c>
      <c r="G52" s="49" t="n">
        <f aca="false">-ROUND(SUMIFS(输入报销!$G:$G,输入报销!$A:$A,$A52,输入报销!$H:$H,参数!$B$7),2)</f>
        <v>-0</v>
      </c>
      <c r="H52" s="49" t="str">
        <f aca="false">IF(ROUND($G52,2)&gt;0,ROUND($G52,2),"")</f>
        <v/>
      </c>
      <c r="I52" s="49" t="str">
        <f aca="false">IF(ROUND($G52,2)&lt;0,-ROUND($G52,2),"")</f>
        <v/>
      </c>
      <c r="J52" s="20" t="n">
        <f aca="false">IF(ROUND($G52,2)=0,0,1)</f>
        <v>0</v>
      </c>
      <c r="K52" s="20" t="str">
        <f aca="false">IF($J52=0,"",SUM($J$41:$J52))</f>
        <v/>
      </c>
      <c r="L52" s="20" t="str">
        <f aca="false">IF($K52="","",$A52*100+$K52)</f>
        <v/>
      </c>
      <c r="M52" s="48" t="str">
        <f aca="false">""</f>
        <v/>
      </c>
    </row>
    <row r="53" customFormat="false" ht="13.5" hidden="false" customHeight="false" outlineLevel="0" collapsed="false">
      <c r="A53" s="47" t="n">
        <v>4</v>
      </c>
      <c r="C53" s="48" t="str">
        <f aca="false">助手报销!$C5</f>
        <v>东关店</v>
      </c>
      <c r="D53" s="81" t="s">
        <v>491</v>
      </c>
      <c r="E53" s="48" t="str">
        <f aca="false">参数!$B$8</f>
        <v>其他应付款</v>
      </c>
      <c r="F53" s="48" t="str">
        <f aca="false">""</f>
        <v/>
      </c>
      <c r="G53" s="49" t="n">
        <f aca="false">-ROUND(SUMIFS(输入报销!$G:$G,输入报销!$A:$A,$A53,输入报销!$H:$H,参数!$B$8),2)</f>
        <v>-0</v>
      </c>
      <c r="H53" s="49" t="str">
        <f aca="false">IF(ROUND($G53,2)&gt;0,ROUND($G53,2),"")</f>
        <v/>
      </c>
      <c r="I53" s="49" t="str">
        <f aca="false">IF(ROUND($G53,2)&lt;0,-ROUND($G53,2),"")</f>
        <v/>
      </c>
      <c r="J53" s="20" t="n">
        <f aca="false">IF(ROUND($G53,2)=0,0,1)</f>
        <v>0</v>
      </c>
      <c r="K53" s="20" t="str">
        <f aca="false">IF($J53=0,"",SUM($J$41:$J53))</f>
        <v/>
      </c>
      <c r="L53" s="20" t="str">
        <f aca="false">IF($K53="","",$A53*100+$K53)</f>
        <v/>
      </c>
      <c r="M53" s="48" t="str">
        <f aca="false">""</f>
        <v/>
      </c>
    </row>
    <row r="54" customFormat="false" ht="13.5" hidden="false" customHeight="false" outlineLevel="0" collapsed="false">
      <c r="A54" s="47" t="n">
        <v>5</v>
      </c>
      <c r="C54" s="48" t="str">
        <f aca="false">助手报销!$C6</f>
        <v>象城街店</v>
      </c>
      <c r="D54" s="81" t="s">
        <v>479</v>
      </c>
      <c r="E54" s="48" t="str">
        <f aca="false">IFERROR(INDEX(输入报销!$E:$E,MATCH($A54&amp;"-1",输入报销!$J:$J,0))&amp;"","")</f>
        <v>销售费用</v>
      </c>
      <c r="F54" s="48" t="str">
        <f aca="false">IFERROR(INDEX(输入报销!$F:$F,MATCH($A54&amp;"-1",输入报销!$J:$J,0))&amp;"","")</f>
        <v>电费</v>
      </c>
      <c r="G54" s="49" t="n">
        <f aca="false">IFERROR(ROUND(INDEX(输入报销!$G:$G,MATCH($A54&amp;"-1",输入报销!$J:$J,0)),2),0)</f>
        <v>800</v>
      </c>
      <c r="H54" s="49" t="n">
        <f aca="false">IF(ROUND($G54,2)&gt;0,ROUND($G54,2),"")</f>
        <v>800</v>
      </c>
      <c r="I54" s="49" t="str">
        <f aca="false">IF(ROUND($G54,2)&lt;0,-ROUND($G54,2),"")</f>
        <v/>
      </c>
      <c r="J54" s="20" t="n">
        <f aca="false">IF(ROUND($G54,2)=0,0,1)</f>
        <v>1</v>
      </c>
      <c r="K54" s="20" t="n">
        <f aca="false">IF($J54=0,"",SUM($J$54:$J54))</f>
        <v>1</v>
      </c>
      <c r="L54" s="20" t="n">
        <f aca="false">IF($K54="","",$A54*100+$K54)</f>
        <v>501</v>
      </c>
      <c r="M54" s="48" t="str">
        <f aca="false">IFERROR(INDEX(输入报销!$D:$D,MATCH($A54&amp;"-1",输入报销!$J:$J,0))&amp;"","")</f>
        <v>电费</v>
      </c>
    </row>
    <row r="55" customFormat="false" ht="13.5" hidden="false" customHeight="false" outlineLevel="0" collapsed="false">
      <c r="A55" s="47" t="n">
        <v>5</v>
      </c>
      <c r="C55" s="48" t="str">
        <f aca="false">助手报销!$C6</f>
        <v>象城街店</v>
      </c>
      <c r="D55" s="81" t="s">
        <v>480</v>
      </c>
      <c r="E55" s="48" t="str">
        <f aca="false">IFERROR(INDEX(输入报销!$E:$E,MATCH($A55&amp;"-2",输入报销!$J:$J,0))&amp;"","")</f>
        <v>销售费用</v>
      </c>
      <c r="F55" s="48" t="str">
        <f aca="false">IFERROR(INDEX(输入报销!$F:$F,MATCH($A55&amp;"-2",输入报销!$J:$J,0))&amp;"","")</f>
        <v>办公费</v>
      </c>
      <c r="G55" s="49" t="n">
        <f aca="false">IFERROR(ROUND(INDEX(输入报销!$G:$G,MATCH($A55&amp;"-2",输入报销!$J:$J,0)),2),0)</f>
        <v>59.8</v>
      </c>
      <c r="H55" s="49" t="n">
        <f aca="false">IF(ROUND($G55,2)&gt;0,ROUND($G55,2),"")</f>
        <v>59.8</v>
      </c>
      <c r="I55" s="49" t="str">
        <f aca="false">IF(ROUND($G55,2)&lt;0,-ROUND($G55,2),"")</f>
        <v/>
      </c>
      <c r="J55" s="20" t="n">
        <f aca="false">IF(ROUND($G55,2)=0,0,1)</f>
        <v>1</v>
      </c>
      <c r="K55" s="20" t="n">
        <f aca="false">IF($J55=0,"",SUM($J$54:$J55))</f>
        <v>2</v>
      </c>
      <c r="L55" s="20" t="n">
        <f aca="false">IF($K55="","",$A55*100+$K55)</f>
        <v>502</v>
      </c>
      <c r="M55" s="48" t="str">
        <f aca="false">IFERROR(INDEX(输入报销!$D:$D,MATCH($A55&amp;"-2",输入报销!$J:$J,0))&amp;"","")</f>
        <v>慢病用品</v>
      </c>
    </row>
    <row r="56" customFormat="false" ht="13.5" hidden="false" customHeight="false" outlineLevel="0" collapsed="false">
      <c r="A56" s="47" t="n">
        <v>5</v>
      </c>
      <c r="C56" s="48" t="str">
        <f aca="false">助手报销!$C6</f>
        <v>象城街店</v>
      </c>
      <c r="D56" s="81" t="s">
        <v>481</v>
      </c>
      <c r="E56" s="48" t="str">
        <f aca="false">IFERROR(INDEX(输入报销!$E:$E,MATCH($A56&amp;"-3",输入报销!$J:$J,0))&amp;"","")</f>
        <v>销售费用</v>
      </c>
      <c r="F56" s="48" t="str">
        <f aca="false">IFERROR(INDEX(输入报销!$F:$F,MATCH($A56&amp;"-3",输入报销!$J:$J,0))&amp;"","")</f>
        <v>办公费</v>
      </c>
      <c r="G56" s="49" t="n">
        <f aca="false">IFERROR(ROUND(INDEX(输入报销!$G:$G,MATCH($A56&amp;"-3",输入报销!$J:$J,0)),2),0)</f>
        <v>10</v>
      </c>
      <c r="H56" s="49" t="n">
        <f aca="false">IF(ROUND($G56,2)&gt;0,ROUND($G56,2),"")</f>
        <v>10</v>
      </c>
      <c r="I56" s="49" t="str">
        <f aca="false">IF(ROUND($G56,2)&lt;0,-ROUND($G56,2),"")</f>
        <v/>
      </c>
      <c r="J56" s="20" t="n">
        <f aca="false">IF(ROUND($G56,2)=0,0,1)</f>
        <v>1</v>
      </c>
      <c r="K56" s="20" t="n">
        <f aca="false">IF($J56=0,"",SUM($J$54:$J56))</f>
        <v>3</v>
      </c>
      <c r="L56" s="20" t="n">
        <f aca="false">IF($K56="","",$A56*100+$K56)</f>
        <v>503</v>
      </c>
      <c r="M56" s="48" t="str">
        <f aca="false">IFERROR(INDEX(输入报销!$D:$D,MATCH($A56&amp;"-3",输入报销!$J:$J,0))&amp;"","")</f>
        <v>色带</v>
      </c>
    </row>
    <row r="57" customFormat="false" ht="13.5" hidden="false" customHeight="false" outlineLevel="0" collapsed="false">
      <c r="A57" s="47" t="n">
        <v>5</v>
      </c>
      <c r="C57" s="48" t="str">
        <f aca="false">助手报销!$C6</f>
        <v>象城街店</v>
      </c>
      <c r="D57" s="81" t="s">
        <v>482</v>
      </c>
      <c r="E57" s="48" t="str">
        <f aca="false">IFERROR(INDEX(输入报销!$E:$E,MATCH($A57&amp;"-4",输入报销!$J:$J,0))&amp;"","")</f>
        <v/>
      </c>
      <c r="F57" s="48" t="str">
        <f aca="false">IFERROR(INDEX(输入报销!$F:$F,MATCH($A57&amp;"-4",输入报销!$J:$J,0))&amp;"","")</f>
        <v/>
      </c>
      <c r="G57" s="49" t="n">
        <f aca="false">IFERROR(ROUND(INDEX(输入报销!$G:$G,MATCH($A57&amp;"-4",输入报销!$J:$J,0)),2),0)</f>
        <v>0</v>
      </c>
      <c r="H57" s="49" t="str">
        <f aca="false">IF(ROUND($G57,2)&gt;0,ROUND($G57,2),"")</f>
        <v/>
      </c>
      <c r="I57" s="49" t="str">
        <f aca="false">IF(ROUND($G57,2)&lt;0,-ROUND($G57,2),"")</f>
        <v/>
      </c>
      <c r="J57" s="20" t="n">
        <f aca="false">IF(ROUND($G57,2)=0,0,1)</f>
        <v>0</v>
      </c>
      <c r="K57" s="20" t="str">
        <f aca="false">IF($J57=0,"",SUM($J$54:$J57))</f>
        <v/>
      </c>
      <c r="L57" s="20" t="str">
        <f aca="false">IF($K57="","",$A57*100+$K57)</f>
        <v/>
      </c>
      <c r="M57" s="48" t="str">
        <f aca="false">IFERROR(INDEX(输入报销!$D:$D,MATCH($A57&amp;"-4",输入报销!$J:$J,0))&amp;"","")</f>
        <v/>
      </c>
    </row>
    <row r="58" customFormat="false" ht="13.5" hidden="false" customHeight="false" outlineLevel="0" collapsed="false">
      <c r="A58" s="47" t="n">
        <v>5</v>
      </c>
      <c r="C58" s="48" t="str">
        <f aca="false">助手报销!$C6</f>
        <v>象城街店</v>
      </c>
      <c r="D58" s="81" t="s">
        <v>483</v>
      </c>
      <c r="E58" s="48" t="str">
        <f aca="false">IFERROR(INDEX(输入报销!$E:$E,MATCH($A58&amp;"-5",输入报销!$J:$J,0))&amp;"","")</f>
        <v/>
      </c>
      <c r="F58" s="48" t="str">
        <f aca="false">IFERROR(INDEX(输入报销!$F:$F,MATCH($A58&amp;"-5",输入报销!$J:$J,0))&amp;"","")</f>
        <v/>
      </c>
      <c r="G58" s="49" t="n">
        <f aca="false">IFERROR(ROUND(INDEX(输入报销!$G:$G,MATCH($A58&amp;"-5",输入报销!$J:$J,0)),2),0)</f>
        <v>0</v>
      </c>
      <c r="H58" s="49" t="str">
        <f aca="false">IF(ROUND($G58,2)&gt;0,ROUND($G58,2),"")</f>
        <v/>
      </c>
      <c r="I58" s="49" t="str">
        <f aca="false">IF(ROUND($G58,2)&lt;0,-ROUND($G58,2),"")</f>
        <v/>
      </c>
      <c r="J58" s="20" t="n">
        <f aca="false">IF(ROUND($G58,2)=0,0,1)</f>
        <v>0</v>
      </c>
      <c r="K58" s="20" t="str">
        <f aca="false">IF($J58=0,"",SUM($J$54:$J58))</f>
        <v/>
      </c>
      <c r="L58" s="20" t="str">
        <f aca="false">IF($K58="","",$A58*100+$K58)</f>
        <v/>
      </c>
      <c r="M58" s="48" t="str">
        <f aca="false">IFERROR(INDEX(输入报销!$D:$D,MATCH($A58&amp;"-5",输入报销!$J:$J,0))&amp;"","")</f>
        <v/>
      </c>
    </row>
    <row r="59" customFormat="false" ht="13.5" hidden="false" customHeight="false" outlineLevel="0" collapsed="false">
      <c r="A59" s="47" t="n">
        <v>5</v>
      </c>
      <c r="C59" s="48" t="str">
        <f aca="false">助手报销!$C6</f>
        <v>象城街店</v>
      </c>
      <c r="D59" s="81" t="s">
        <v>484</v>
      </c>
      <c r="E59" s="48" t="str">
        <f aca="false">IFERROR(INDEX(输入报销!$E:$E,MATCH($A59&amp;"-6",输入报销!$J:$J,0))&amp;"","")</f>
        <v/>
      </c>
      <c r="F59" s="48" t="str">
        <f aca="false">IFERROR(INDEX(输入报销!$F:$F,MATCH($A59&amp;"-6",输入报销!$J:$J,0))&amp;"","")</f>
        <v/>
      </c>
      <c r="G59" s="49" t="n">
        <f aca="false">IFERROR(ROUND(INDEX(输入报销!$G:$G,MATCH($A59&amp;"-6",输入报销!$J:$J,0)),2),0)</f>
        <v>0</v>
      </c>
      <c r="H59" s="49" t="str">
        <f aca="false">IF(ROUND($G59,2)&gt;0,ROUND($G59,2),"")</f>
        <v/>
      </c>
      <c r="I59" s="49" t="str">
        <f aca="false">IF(ROUND($G59,2)&lt;0,-ROUND($G59,2),"")</f>
        <v/>
      </c>
      <c r="J59" s="20" t="n">
        <f aca="false">IF(ROUND($G59,2)=0,0,1)</f>
        <v>0</v>
      </c>
      <c r="K59" s="20" t="str">
        <f aca="false">IF($J59=0,"",SUM($J$54:$J59))</f>
        <v/>
      </c>
      <c r="L59" s="20" t="str">
        <f aca="false">IF($K59="","",$A59*100+$K59)</f>
        <v/>
      </c>
      <c r="M59" s="48" t="str">
        <f aca="false">IFERROR(INDEX(输入报销!$D:$D,MATCH($A59&amp;"-6",输入报销!$J:$J,0))&amp;"","")</f>
        <v/>
      </c>
    </row>
    <row r="60" customFormat="false" ht="13.5" hidden="false" customHeight="false" outlineLevel="0" collapsed="false">
      <c r="A60" s="47" t="n">
        <v>5</v>
      </c>
      <c r="C60" s="48" t="str">
        <f aca="false">助手报销!$C6</f>
        <v>象城街店</v>
      </c>
      <c r="D60" s="81" t="s">
        <v>485</v>
      </c>
      <c r="E60" s="48" t="str">
        <f aca="false">IFERROR(INDEX(输入报销!$E:$E,MATCH($A60&amp;"-7",输入报销!$J:$J,0))&amp;"","")</f>
        <v/>
      </c>
      <c r="F60" s="48" t="str">
        <f aca="false">IFERROR(INDEX(输入报销!$F:$F,MATCH($A60&amp;"-7",输入报销!$J:$J,0))&amp;"","")</f>
        <v/>
      </c>
      <c r="G60" s="49" t="n">
        <f aca="false">IFERROR(ROUND(INDEX(输入报销!$G:$G,MATCH($A60&amp;"-7",输入报销!$J:$J,0)),2),0)</f>
        <v>0</v>
      </c>
      <c r="H60" s="49" t="str">
        <f aca="false">IF(ROUND($G60,2)&gt;0,ROUND($G60,2),"")</f>
        <v/>
      </c>
      <c r="I60" s="49" t="str">
        <f aca="false">IF(ROUND($G60,2)&lt;0,-ROUND($G60,2),"")</f>
        <v/>
      </c>
      <c r="J60" s="20" t="n">
        <f aca="false">IF(ROUND($G60,2)=0,0,1)</f>
        <v>0</v>
      </c>
      <c r="K60" s="20" t="str">
        <f aca="false">IF($J60=0,"",SUM($J$54:$J60))</f>
        <v/>
      </c>
      <c r="L60" s="20" t="str">
        <f aca="false">IF($K60="","",$A60*100+$K60)</f>
        <v/>
      </c>
      <c r="M60" s="48" t="str">
        <f aca="false">IFERROR(INDEX(输入报销!$D:$D,MATCH($A60&amp;"-7",输入报销!$J:$J,0))&amp;"","")</f>
        <v/>
      </c>
    </row>
    <row r="61" customFormat="false" ht="13.5" hidden="false" customHeight="false" outlineLevel="0" collapsed="false">
      <c r="A61" s="47" t="n">
        <v>5</v>
      </c>
      <c r="C61" s="48" t="str">
        <f aca="false">助手报销!$C6</f>
        <v>象城街店</v>
      </c>
      <c r="D61" s="81" t="s">
        <v>486</v>
      </c>
      <c r="E61" s="48" t="str">
        <f aca="false">IFERROR(INDEX(输入报销!$E:$E,MATCH($A61&amp;"-8",输入报销!$J:$J,0))&amp;"","")</f>
        <v/>
      </c>
      <c r="F61" s="48" t="str">
        <f aca="false">IFERROR(INDEX(输入报销!$F:$F,MATCH($A61&amp;"-8",输入报销!$J:$J,0))&amp;"","")</f>
        <v/>
      </c>
      <c r="G61" s="49" t="n">
        <f aca="false">IFERROR(ROUND(INDEX(输入报销!$G:$G,MATCH($A61&amp;"-8",输入报销!$J:$J,0)),2),0)</f>
        <v>0</v>
      </c>
      <c r="H61" s="49" t="str">
        <f aca="false">IF(ROUND($G61,2)&gt;0,ROUND($G61,2),"")</f>
        <v/>
      </c>
      <c r="I61" s="49" t="str">
        <f aca="false">IF(ROUND($G61,2)&lt;0,-ROUND($G61,2),"")</f>
        <v/>
      </c>
      <c r="J61" s="20" t="n">
        <f aca="false">IF(ROUND($G61,2)=0,0,1)</f>
        <v>0</v>
      </c>
      <c r="K61" s="20" t="str">
        <f aca="false">IF($J61=0,"",SUM($J$54:$J61))</f>
        <v/>
      </c>
      <c r="L61" s="20" t="str">
        <f aca="false">IF($K61="","",$A61*100+$K61)</f>
        <v/>
      </c>
      <c r="M61" s="48" t="str">
        <f aca="false">IFERROR(INDEX(输入报销!$D:$D,MATCH($A61&amp;"-8",输入报销!$J:$J,0))&amp;"","")</f>
        <v/>
      </c>
    </row>
    <row r="62" customFormat="false" ht="13.5" hidden="false" customHeight="false" outlineLevel="0" collapsed="false">
      <c r="A62" s="47" t="n">
        <v>5</v>
      </c>
      <c r="C62" s="48" t="str">
        <f aca="false">助手报销!$C6</f>
        <v>象城街店</v>
      </c>
      <c r="D62" s="81" t="s">
        <v>487</v>
      </c>
      <c r="E62" s="48" t="str">
        <f aca="false">IFERROR(INDEX(输入报销!$E:$E,MATCH($A62&amp;"-9",输入报销!$J:$J,0))&amp;"","")</f>
        <v/>
      </c>
      <c r="F62" s="48" t="str">
        <f aca="false">IFERROR(INDEX(输入报销!$F:$F,MATCH($A62&amp;"-9",输入报销!$J:$J,0))&amp;"","")</f>
        <v/>
      </c>
      <c r="G62" s="49" t="n">
        <f aca="false">IFERROR(ROUND(INDEX(输入报销!$G:$G,MATCH($A62&amp;"-9",输入报销!$J:$J,0)),2),0)</f>
        <v>0</v>
      </c>
      <c r="H62" s="49" t="str">
        <f aca="false">IF(ROUND($G62,2)&gt;0,ROUND($G62,2),"")</f>
        <v/>
      </c>
      <c r="I62" s="49" t="str">
        <f aca="false">IF(ROUND($G62,2)&lt;0,-ROUND($G62,2),"")</f>
        <v/>
      </c>
      <c r="J62" s="20" t="n">
        <f aca="false">IF(ROUND($G62,2)=0,0,1)</f>
        <v>0</v>
      </c>
      <c r="K62" s="20" t="str">
        <f aca="false">IF($J62=0,"",SUM($J$54:$J62))</f>
        <v/>
      </c>
      <c r="L62" s="20" t="str">
        <f aca="false">IF($K62="","",$A62*100+$K62)</f>
        <v/>
      </c>
      <c r="M62" s="48" t="str">
        <f aca="false">IFERROR(INDEX(输入报销!$D:$D,MATCH($A62&amp;"-9",输入报销!$J:$J,0))&amp;"","")</f>
        <v/>
      </c>
    </row>
    <row r="63" customFormat="false" ht="13.5" hidden="false" customHeight="false" outlineLevel="0" collapsed="false">
      <c r="A63" s="47" t="n">
        <v>5</v>
      </c>
      <c r="C63" s="48" t="str">
        <f aca="false">助手报销!$C6</f>
        <v>象城街店</v>
      </c>
      <c r="D63" s="81" t="s">
        <v>488</v>
      </c>
      <c r="E63" s="48" t="str">
        <f aca="false">IFERROR(INDEX(输入报销!$E:$E,MATCH($A63&amp;"-10",输入报销!$J:$J,0))&amp;"","")</f>
        <v/>
      </c>
      <c r="F63" s="48" t="str">
        <f aca="false">IFERROR(INDEX(输入报销!$F:$F,MATCH($A63&amp;"-10",输入报销!$J:$J,0))&amp;"","")</f>
        <v/>
      </c>
      <c r="G63" s="49" t="n">
        <f aca="false">IFERROR(ROUND(INDEX(输入报销!$G:$G,MATCH($A63&amp;"-10",输入报销!$J:$J,0)),2),0)</f>
        <v>0</v>
      </c>
      <c r="H63" s="49" t="str">
        <f aca="false">IF(ROUND($G63,2)&gt;0,ROUND($G63,2),"")</f>
        <v/>
      </c>
      <c r="I63" s="49" t="str">
        <f aca="false">IF(ROUND($G63,2)&lt;0,-ROUND($G63,2),"")</f>
        <v/>
      </c>
      <c r="J63" s="20" t="n">
        <f aca="false">IF(ROUND($G63,2)=0,0,1)</f>
        <v>0</v>
      </c>
      <c r="K63" s="20" t="str">
        <f aca="false">IF($J63=0,"",SUM($J$54:$J63))</f>
        <v/>
      </c>
      <c r="L63" s="20" t="str">
        <f aca="false">IF($K63="","",$A63*100+$K63)</f>
        <v/>
      </c>
      <c r="M63" s="48" t="str">
        <f aca="false">IFERROR(INDEX(输入报销!$D:$D,MATCH($A63&amp;"-10",输入报销!$J:$J,0))&amp;"","")</f>
        <v/>
      </c>
    </row>
    <row r="64" customFormat="false" ht="13.5" hidden="false" customHeight="false" outlineLevel="0" collapsed="false">
      <c r="A64" s="47" t="n">
        <v>5</v>
      </c>
      <c r="C64" s="48" t="str">
        <f aca="false">助手报销!$C6</f>
        <v>象城街店</v>
      </c>
      <c r="D64" s="81" t="s">
        <v>489</v>
      </c>
      <c r="E64" s="48" t="str">
        <f aca="false">参数!$B$6</f>
        <v>库存现金</v>
      </c>
      <c r="F64" s="48" t="str">
        <f aca="false">""</f>
        <v/>
      </c>
      <c r="G64" s="49" t="n">
        <f aca="false">-ROUND(SUMIFS(输入报销!$G:$G,输入报销!$A:$A,$A64,输入报销!$H:$H,参数!$B$6),2)</f>
        <v>-869.8</v>
      </c>
      <c r="H64" s="49" t="str">
        <f aca="false">IF(ROUND($G64,2)&gt;0,ROUND($G64,2),"")</f>
        <v/>
      </c>
      <c r="I64" s="49" t="n">
        <f aca="false">IF(ROUND($G64,2)&lt;0,-ROUND($G64,2),"")</f>
        <v>869.8</v>
      </c>
      <c r="J64" s="20" t="n">
        <f aca="false">IF(ROUND($G64,2)=0,0,1)</f>
        <v>1</v>
      </c>
      <c r="K64" s="20" t="n">
        <f aca="false">IF($J64=0,"",SUM($J$54:$J64))</f>
        <v>4</v>
      </c>
      <c r="L64" s="20" t="n">
        <f aca="false">IF($K64="","",$A64*100+$K64)</f>
        <v>504</v>
      </c>
      <c r="M64" s="48" t="str">
        <f aca="false">""</f>
        <v/>
      </c>
    </row>
    <row r="65" customFormat="false" ht="13.5" hidden="false" customHeight="false" outlineLevel="0" collapsed="false">
      <c r="A65" s="47" t="n">
        <v>5</v>
      </c>
      <c r="C65" s="48" t="str">
        <f aca="false">助手报销!$C6</f>
        <v>象城街店</v>
      </c>
      <c r="D65" s="81" t="s">
        <v>490</v>
      </c>
      <c r="E65" s="48" t="str">
        <f aca="false">参数!$B$7</f>
        <v>银行存款</v>
      </c>
      <c r="F65" s="48" t="str">
        <f aca="false">""</f>
        <v/>
      </c>
      <c r="G65" s="49" t="n">
        <f aca="false">-ROUND(SUMIFS(输入报销!$G:$G,输入报销!$A:$A,$A65,输入报销!$H:$H,参数!$B$7),2)</f>
        <v>-0</v>
      </c>
      <c r="H65" s="49" t="str">
        <f aca="false">IF(ROUND($G65,2)&gt;0,ROUND($G65,2),"")</f>
        <v/>
      </c>
      <c r="I65" s="49" t="str">
        <f aca="false">IF(ROUND($G65,2)&lt;0,-ROUND($G65,2),"")</f>
        <v/>
      </c>
      <c r="J65" s="20" t="n">
        <f aca="false">IF(ROUND($G65,2)=0,0,1)</f>
        <v>0</v>
      </c>
      <c r="K65" s="20" t="str">
        <f aca="false">IF($J65=0,"",SUM($J$54:$J65))</f>
        <v/>
      </c>
      <c r="L65" s="20" t="str">
        <f aca="false">IF($K65="","",$A65*100+$K65)</f>
        <v/>
      </c>
      <c r="M65" s="48" t="str">
        <f aca="false">""</f>
        <v/>
      </c>
    </row>
    <row r="66" customFormat="false" ht="13.5" hidden="false" customHeight="false" outlineLevel="0" collapsed="false">
      <c r="A66" s="47" t="n">
        <v>5</v>
      </c>
      <c r="C66" s="48" t="str">
        <f aca="false">助手报销!$C6</f>
        <v>象城街店</v>
      </c>
      <c r="D66" s="81" t="s">
        <v>491</v>
      </c>
      <c r="E66" s="48" t="str">
        <f aca="false">参数!$B$8</f>
        <v>其他应付款</v>
      </c>
      <c r="F66" s="48" t="str">
        <f aca="false">""</f>
        <v/>
      </c>
      <c r="G66" s="49" t="n">
        <f aca="false">-ROUND(SUMIFS(输入报销!$G:$G,输入报销!$A:$A,$A66,输入报销!$H:$H,参数!$B$8),2)</f>
        <v>-0</v>
      </c>
      <c r="H66" s="49" t="str">
        <f aca="false">IF(ROUND($G66,2)&gt;0,ROUND($G66,2),"")</f>
        <v/>
      </c>
      <c r="I66" s="49" t="str">
        <f aca="false">IF(ROUND($G66,2)&lt;0,-ROUND($G66,2),"")</f>
        <v/>
      </c>
      <c r="J66" s="20" t="n">
        <f aca="false">IF(ROUND($G66,2)=0,0,1)</f>
        <v>0</v>
      </c>
      <c r="K66" s="20" t="str">
        <f aca="false">IF($J66=0,"",SUM($J$54:$J66))</f>
        <v/>
      </c>
      <c r="L66" s="20" t="str">
        <f aca="false">IF($K66="","",$A66*100+$K66)</f>
        <v/>
      </c>
      <c r="M66" s="48" t="str">
        <f aca="false">""</f>
        <v/>
      </c>
    </row>
    <row r="67" customFormat="false" ht="13.5" hidden="false" customHeight="false" outlineLevel="0" collapsed="false">
      <c r="A67" s="47" t="n">
        <v>6</v>
      </c>
      <c r="C67" s="48" t="str">
        <f aca="false">助手报销!$C7</f>
        <v>博荣店</v>
      </c>
      <c r="D67" s="81" t="s">
        <v>479</v>
      </c>
      <c r="E67" s="48" t="str">
        <f aca="false">IFERROR(INDEX(输入报销!$E:$E,MATCH($A67&amp;"-1",输入报销!$J:$J,0))&amp;"","")</f>
        <v>销售费用</v>
      </c>
      <c r="F67" s="48" t="str">
        <f aca="false">IFERROR(INDEX(输入报销!$F:$F,MATCH($A67&amp;"-1",输入报销!$J:$J,0))&amp;"","")</f>
        <v>电费</v>
      </c>
      <c r="G67" s="49" t="n">
        <f aca="false">IFERROR(ROUND(INDEX(输入报销!$G:$G,MATCH($A67&amp;"-1",输入报销!$J:$J,0)),2),0)</f>
        <v>500.48</v>
      </c>
      <c r="H67" s="49" t="n">
        <f aca="false">IF(ROUND($G67,2)&gt;0,ROUND($G67,2),"")</f>
        <v>500.48</v>
      </c>
      <c r="I67" s="49" t="str">
        <f aca="false">IF(ROUND($G67,2)&lt;0,-ROUND($G67,2),"")</f>
        <v/>
      </c>
      <c r="J67" s="20" t="n">
        <f aca="false">IF(ROUND($G67,2)=0,0,1)</f>
        <v>1</v>
      </c>
      <c r="K67" s="20" t="n">
        <f aca="false">IF($J67=0,"",SUM($J$67:$J67))</f>
        <v>1</v>
      </c>
      <c r="L67" s="20" t="n">
        <f aca="false">IF($K67="","",$A67*100+$K67)</f>
        <v>601</v>
      </c>
      <c r="M67" s="48" t="str">
        <f aca="false">IFERROR(INDEX(输入报销!$D:$D,MATCH($A67&amp;"-1",输入报销!$J:$J,0))&amp;"","")</f>
        <v>电费</v>
      </c>
    </row>
    <row r="68" customFormat="false" ht="13.5" hidden="false" customHeight="false" outlineLevel="0" collapsed="false">
      <c r="A68" s="47" t="n">
        <v>6</v>
      </c>
      <c r="C68" s="48" t="str">
        <f aca="false">助手报销!$C7</f>
        <v>博荣店</v>
      </c>
      <c r="D68" s="81" t="s">
        <v>480</v>
      </c>
      <c r="E68" s="48" t="str">
        <f aca="false">IFERROR(INDEX(输入报销!$E:$E,MATCH($A68&amp;"-2",输入报销!$J:$J,0))&amp;"","")</f>
        <v>待摊费用</v>
      </c>
      <c r="F68" s="48" t="str">
        <f aca="false">IFERROR(INDEX(输入报销!$F:$F,MATCH($A68&amp;"-2",输入报销!$J:$J,0))&amp;"","")</f>
        <v>物业费</v>
      </c>
      <c r="G68" s="49" t="n">
        <f aca="false">IFERROR(ROUND(INDEX(输入报销!$G:$G,MATCH($A68&amp;"-2",输入报销!$J:$J,0)),2),0)</f>
        <v>1314.7</v>
      </c>
      <c r="H68" s="49" t="n">
        <f aca="false">IF(ROUND($G68,2)&gt;0,ROUND($G68,2),"")</f>
        <v>1314.7</v>
      </c>
      <c r="I68" s="49" t="str">
        <f aca="false">IF(ROUND($G68,2)&lt;0,-ROUND($G68,2),"")</f>
        <v/>
      </c>
      <c r="J68" s="20" t="n">
        <f aca="false">IF(ROUND($G68,2)=0,0,1)</f>
        <v>1</v>
      </c>
      <c r="K68" s="20" t="n">
        <f aca="false">IF($J68=0,"",SUM($J$67:$J68))</f>
        <v>2</v>
      </c>
      <c r="L68" s="20" t="n">
        <f aca="false">IF($K68="","",$A68*100+$K68)</f>
        <v>602</v>
      </c>
      <c r="M68" s="48" t="str">
        <f aca="false">IFERROR(INDEX(输入报销!$D:$D,MATCH($A68&amp;"-2",输入报销!$J:$J,0))&amp;"","")</f>
        <v>物业费</v>
      </c>
    </row>
    <row r="69" customFormat="false" ht="13.5" hidden="false" customHeight="false" outlineLevel="0" collapsed="false">
      <c r="A69" s="47" t="n">
        <v>6</v>
      </c>
      <c r="C69" s="48" t="str">
        <f aca="false">助手报销!$C7</f>
        <v>博荣店</v>
      </c>
      <c r="D69" s="81" t="s">
        <v>481</v>
      </c>
      <c r="E69" s="48" t="str">
        <f aca="false">IFERROR(INDEX(输入报销!$E:$E,MATCH($A69&amp;"-3",输入报销!$J:$J,0))&amp;"","")</f>
        <v/>
      </c>
      <c r="F69" s="48" t="str">
        <f aca="false">IFERROR(INDEX(输入报销!$F:$F,MATCH($A69&amp;"-3",输入报销!$J:$J,0))&amp;"","")</f>
        <v/>
      </c>
      <c r="G69" s="49" t="n">
        <f aca="false">IFERROR(ROUND(INDEX(输入报销!$G:$G,MATCH($A69&amp;"-3",输入报销!$J:$J,0)),2),0)</f>
        <v>0</v>
      </c>
      <c r="H69" s="49" t="str">
        <f aca="false">IF(ROUND($G69,2)&gt;0,ROUND($G69,2),"")</f>
        <v/>
      </c>
      <c r="I69" s="49" t="str">
        <f aca="false">IF(ROUND($G69,2)&lt;0,-ROUND($G69,2),"")</f>
        <v/>
      </c>
      <c r="J69" s="20" t="n">
        <f aca="false">IF(ROUND($G69,2)=0,0,1)</f>
        <v>0</v>
      </c>
      <c r="K69" s="20" t="str">
        <f aca="false">IF($J69=0,"",SUM($J$67:$J69))</f>
        <v/>
      </c>
      <c r="L69" s="20" t="str">
        <f aca="false">IF($K69="","",$A69*100+$K69)</f>
        <v/>
      </c>
      <c r="M69" s="48" t="str">
        <f aca="false">IFERROR(INDEX(输入报销!$D:$D,MATCH($A69&amp;"-3",输入报销!$J:$J,0))&amp;"","")</f>
        <v/>
      </c>
    </row>
    <row r="70" customFormat="false" ht="13.5" hidden="false" customHeight="false" outlineLevel="0" collapsed="false">
      <c r="A70" s="47" t="n">
        <v>6</v>
      </c>
      <c r="C70" s="48" t="str">
        <f aca="false">助手报销!$C7</f>
        <v>博荣店</v>
      </c>
      <c r="D70" s="81" t="s">
        <v>482</v>
      </c>
      <c r="E70" s="48" t="str">
        <f aca="false">IFERROR(INDEX(输入报销!$E:$E,MATCH($A70&amp;"-4",输入报销!$J:$J,0))&amp;"","")</f>
        <v/>
      </c>
      <c r="F70" s="48" t="str">
        <f aca="false">IFERROR(INDEX(输入报销!$F:$F,MATCH($A70&amp;"-4",输入报销!$J:$J,0))&amp;"","")</f>
        <v/>
      </c>
      <c r="G70" s="49" t="n">
        <f aca="false">IFERROR(ROUND(INDEX(输入报销!$G:$G,MATCH($A70&amp;"-4",输入报销!$J:$J,0)),2),0)</f>
        <v>0</v>
      </c>
      <c r="H70" s="49" t="str">
        <f aca="false">IF(ROUND($G70,2)&gt;0,ROUND($G70,2),"")</f>
        <v/>
      </c>
      <c r="I70" s="49" t="str">
        <f aca="false">IF(ROUND($G70,2)&lt;0,-ROUND($G70,2),"")</f>
        <v/>
      </c>
      <c r="J70" s="20" t="n">
        <f aca="false">IF(ROUND($G70,2)=0,0,1)</f>
        <v>0</v>
      </c>
      <c r="K70" s="20" t="str">
        <f aca="false">IF($J70=0,"",SUM($J$67:$J70))</f>
        <v/>
      </c>
      <c r="L70" s="20" t="str">
        <f aca="false">IF($K70="","",$A70*100+$K70)</f>
        <v/>
      </c>
      <c r="M70" s="48" t="str">
        <f aca="false">IFERROR(INDEX(输入报销!$D:$D,MATCH($A70&amp;"-4",输入报销!$J:$J,0))&amp;"","")</f>
        <v/>
      </c>
    </row>
    <row r="71" customFormat="false" ht="13.5" hidden="false" customHeight="false" outlineLevel="0" collapsed="false">
      <c r="A71" s="47" t="n">
        <v>6</v>
      </c>
      <c r="C71" s="48" t="str">
        <f aca="false">助手报销!$C7</f>
        <v>博荣店</v>
      </c>
      <c r="D71" s="81" t="s">
        <v>483</v>
      </c>
      <c r="E71" s="48" t="str">
        <f aca="false">IFERROR(INDEX(输入报销!$E:$E,MATCH($A71&amp;"-5",输入报销!$J:$J,0))&amp;"","")</f>
        <v/>
      </c>
      <c r="F71" s="48" t="str">
        <f aca="false">IFERROR(INDEX(输入报销!$F:$F,MATCH($A71&amp;"-5",输入报销!$J:$J,0))&amp;"","")</f>
        <v/>
      </c>
      <c r="G71" s="49" t="n">
        <f aca="false">IFERROR(ROUND(INDEX(输入报销!$G:$G,MATCH($A71&amp;"-5",输入报销!$J:$J,0)),2),0)</f>
        <v>0</v>
      </c>
      <c r="H71" s="49" t="str">
        <f aca="false">IF(ROUND($G71,2)&gt;0,ROUND($G71,2),"")</f>
        <v/>
      </c>
      <c r="I71" s="49" t="str">
        <f aca="false">IF(ROUND($G71,2)&lt;0,-ROUND($G71,2),"")</f>
        <v/>
      </c>
      <c r="J71" s="20" t="n">
        <f aca="false">IF(ROUND($G71,2)=0,0,1)</f>
        <v>0</v>
      </c>
      <c r="K71" s="20" t="str">
        <f aca="false">IF($J71=0,"",SUM($J$67:$J71))</f>
        <v/>
      </c>
      <c r="L71" s="20" t="str">
        <f aca="false">IF($K71="","",$A71*100+$K71)</f>
        <v/>
      </c>
      <c r="M71" s="48" t="str">
        <f aca="false">IFERROR(INDEX(输入报销!$D:$D,MATCH($A71&amp;"-5",输入报销!$J:$J,0))&amp;"","")</f>
        <v/>
      </c>
    </row>
    <row r="72" customFormat="false" ht="13.5" hidden="false" customHeight="false" outlineLevel="0" collapsed="false">
      <c r="A72" s="47" t="n">
        <v>6</v>
      </c>
      <c r="C72" s="48" t="str">
        <f aca="false">助手报销!$C7</f>
        <v>博荣店</v>
      </c>
      <c r="D72" s="81" t="s">
        <v>484</v>
      </c>
      <c r="E72" s="48" t="str">
        <f aca="false">IFERROR(INDEX(输入报销!$E:$E,MATCH($A72&amp;"-6",输入报销!$J:$J,0))&amp;"","")</f>
        <v/>
      </c>
      <c r="F72" s="48" t="str">
        <f aca="false">IFERROR(INDEX(输入报销!$F:$F,MATCH($A72&amp;"-6",输入报销!$J:$J,0))&amp;"","")</f>
        <v/>
      </c>
      <c r="G72" s="49" t="n">
        <f aca="false">IFERROR(ROUND(INDEX(输入报销!$G:$G,MATCH($A72&amp;"-6",输入报销!$J:$J,0)),2),0)</f>
        <v>0</v>
      </c>
      <c r="H72" s="49" t="str">
        <f aca="false">IF(ROUND($G72,2)&gt;0,ROUND($G72,2),"")</f>
        <v/>
      </c>
      <c r="I72" s="49" t="str">
        <f aca="false">IF(ROUND($G72,2)&lt;0,-ROUND($G72,2),"")</f>
        <v/>
      </c>
      <c r="J72" s="20" t="n">
        <f aca="false">IF(ROUND($G72,2)=0,0,1)</f>
        <v>0</v>
      </c>
      <c r="K72" s="20" t="str">
        <f aca="false">IF($J72=0,"",SUM($J$67:$J72))</f>
        <v/>
      </c>
      <c r="L72" s="20" t="str">
        <f aca="false">IF($K72="","",$A72*100+$K72)</f>
        <v/>
      </c>
      <c r="M72" s="48" t="str">
        <f aca="false">IFERROR(INDEX(输入报销!$D:$D,MATCH($A72&amp;"-6",输入报销!$J:$J,0))&amp;"","")</f>
        <v/>
      </c>
    </row>
    <row r="73" customFormat="false" ht="13.5" hidden="false" customHeight="false" outlineLevel="0" collapsed="false">
      <c r="A73" s="47" t="n">
        <v>6</v>
      </c>
      <c r="C73" s="48" t="str">
        <f aca="false">助手报销!$C7</f>
        <v>博荣店</v>
      </c>
      <c r="D73" s="81" t="s">
        <v>485</v>
      </c>
      <c r="E73" s="48" t="str">
        <f aca="false">IFERROR(INDEX(输入报销!$E:$E,MATCH($A73&amp;"-7",输入报销!$J:$J,0))&amp;"","")</f>
        <v/>
      </c>
      <c r="F73" s="48" t="str">
        <f aca="false">IFERROR(INDEX(输入报销!$F:$F,MATCH($A73&amp;"-7",输入报销!$J:$J,0))&amp;"","")</f>
        <v/>
      </c>
      <c r="G73" s="49" t="n">
        <f aca="false">IFERROR(ROUND(INDEX(输入报销!$G:$G,MATCH($A73&amp;"-7",输入报销!$J:$J,0)),2),0)</f>
        <v>0</v>
      </c>
      <c r="H73" s="49" t="str">
        <f aca="false">IF(ROUND($G73,2)&gt;0,ROUND($G73,2),"")</f>
        <v/>
      </c>
      <c r="I73" s="49" t="str">
        <f aca="false">IF(ROUND($G73,2)&lt;0,-ROUND($G73,2),"")</f>
        <v/>
      </c>
      <c r="J73" s="20" t="n">
        <f aca="false">IF(ROUND($G73,2)=0,0,1)</f>
        <v>0</v>
      </c>
      <c r="K73" s="20" t="str">
        <f aca="false">IF($J73=0,"",SUM($J$67:$J73))</f>
        <v/>
      </c>
      <c r="L73" s="20" t="str">
        <f aca="false">IF($K73="","",$A73*100+$K73)</f>
        <v/>
      </c>
      <c r="M73" s="48" t="str">
        <f aca="false">IFERROR(INDEX(输入报销!$D:$D,MATCH($A73&amp;"-7",输入报销!$J:$J,0))&amp;"","")</f>
        <v/>
      </c>
    </row>
    <row r="74" customFormat="false" ht="13.5" hidden="false" customHeight="false" outlineLevel="0" collapsed="false">
      <c r="A74" s="47" t="n">
        <v>6</v>
      </c>
      <c r="C74" s="48" t="str">
        <f aca="false">助手报销!$C7</f>
        <v>博荣店</v>
      </c>
      <c r="D74" s="81" t="s">
        <v>486</v>
      </c>
      <c r="E74" s="48" t="str">
        <f aca="false">IFERROR(INDEX(输入报销!$E:$E,MATCH($A74&amp;"-8",输入报销!$J:$J,0))&amp;"","")</f>
        <v/>
      </c>
      <c r="F74" s="48" t="str">
        <f aca="false">IFERROR(INDEX(输入报销!$F:$F,MATCH($A74&amp;"-8",输入报销!$J:$J,0))&amp;"","")</f>
        <v/>
      </c>
      <c r="G74" s="49" t="n">
        <f aca="false">IFERROR(ROUND(INDEX(输入报销!$G:$G,MATCH($A74&amp;"-8",输入报销!$J:$J,0)),2),0)</f>
        <v>0</v>
      </c>
      <c r="H74" s="49" t="str">
        <f aca="false">IF(ROUND($G74,2)&gt;0,ROUND($G74,2),"")</f>
        <v/>
      </c>
      <c r="I74" s="49" t="str">
        <f aca="false">IF(ROUND($G74,2)&lt;0,-ROUND($G74,2),"")</f>
        <v/>
      </c>
      <c r="J74" s="20" t="n">
        <f aca="false">IF(ROUND($G74,2)=0,0,1)</f>
        <v>0</v>
      </c>
      <c r="K74" s="20" t="str">
        <f aca="false">IF($J74=0,"",SUM($J$67:$J74))</f>
        <v/>
      </c>
      <c r="L74" s="20" t="str">
        <f aca="false">IF($K74="","",$A74*100+$K74)</f>
        <v/>
      </c>
      <c r="M74" s="48" t="str">
        <f aca="false">IFERROR(INDEX(输入报销!$D:$D,MATCH($A74&amp;"-8",输入报销!$J:$J,0))&amp;"","")</f>
        <v/>
      </c>
    </row>
    <row r="75" customFormat="false" ht="13.5" hidden="false" customHeight="false" outlineLevel="0" collapsed="false">
      <c r="A75" s="47" t="n">
        <v>6</v>
      </c>
      <c r="C75" s="48" t="str">
        <f aca="false">助手报销!$C7</f>
        <v>博荣店</v>
      </c>
      <c r="D75" s="81" t="s">
        <v>487</v>
      </c>
      <c r="E75" s="48" t="str">
        <f aca="false">IFERROR(INDEX(输入报销!$E:$E,MATCH($A75&amp;"-9",输入报销!$J:$J,0))&amp;"","")</f>
        <v/>
      </c>
      <c r="F75" s="48" t="str">
        <f aca="false">IFERROR(INDEX(输入报销!$F:$F,MATCH($A75&amp;"-9",输入报销!$J:$J,0))&amp;"","")</f>
        <v/>
      </c>
      <c r="G75" s="49" t="n">
        <f aca="false">IFERROR(ROUND(INDEX(输入报销!$G:$G,MATCH($A75&amp;"-9",输入报销!$J:$J,0)),2),0)</f>
        <v>0</v>
      </c>
      <c r="H75" s="49" t="str">
        <f aca="false">IF(ROUND($G75,2)&gt;0,ROUND($G75,2),"")</f>
        <v/>
      </c>
      <c r="I75" s="49" t="str">
        <f aca="false">IF(ROUND($G75,2)&lt;0,-ROUND($G75,2),"")</f>
        <v/>
      </c>
      <c r="J75" s="20" t="n">
        <f aca="false">IF(ROUND($G75,2)=0,0,1)</f>
        <v>0</v>
      </c>
      <c r="K75" s="20" t="str">
        <f aca="false">IF($J75=0,"",SUM($J$67:$J75))</f>
        <v/>
      </c>
      <c r="L75" s="20" t="str">
        <f aca="false">IF($K75="","",$A75*100+$K75)</f>
        <v/>
      </c>
      <c r="M75" s="48" t="str">
        <f aca="false">IFERROR(INDEX(输入报销!$D:$D,MATCH($A75&amp;"-9",输入报销!$J:$J,0))&amp;"","")</f>
        <v/>
      </c>
    </row>
    <row r="76" customFormat="false" ht="13.5" hidden="false" customHeight="false" outlineLevel="0" collapsed="false">
      <c r="A76" s="47" t="n">
        <v>6</v>
      </c>
      <c r="C76" s="48" t="str">
        <f aca="false">助手报销!$C7</f>
        <v>博荣店</v>
      </c>
      <c r="D76" s="81" t="s">
        <v>488</v>
      </c>
      <c r="E76" s="48" t="str">
        <f aca="false">IFERROR(INDEX(输入报销!$E:$E,MATCH($A76&amp;"-10",输入报销!$J:$J,0))&amp;"","")</f>
        <v/>
      </c>
      <c r="F76" s="48" t="str">
        <f aca="false">IFERROR(INDEX(输入报销!$F:$F,MATCH($A76&amp;"-10",输入报销!$J:$J,0))&amp;"","")</f>
        <v/>
      </c>
      <c r="G76" s="49" t="n">
        <f aca="false">IFERROR(ROUND(INDEX(输入报销!$G:$G,MATCH($A76&amp;"-10",输入报销!$J:$J,0)),2),0)</f>
        <v>0</v>
      </c>
      <c r="H76" s="49" t="str">
        <f aca="false">IF(ROUND($G76,2)&gt;0,ROUND($G76,2),"")</f>
        <v/>
      </c>
      <c r="I76" s="49" t="str">
        <f aca="false">IF(ROUND($G76,2)&lt;0,-ROUND($G76,2),"")</f>
        <v/>
      </c>
      <c r="J76" s="20" t="n">
        <f aca="false">IF(ROUND($G76,2)=0,0,1)</f>
        <v>0</v>
      </c>
      <c r="K76" s="20" t="str">
        <f aca="false">IF($J76=0,"",SUM($J$67:$J76))</f>
        <v/>
      </c>
      <c r="L76" s="20" t="str">
        <f aca="false">IF($K76="","",$A76*100+$K76)</f>
        <v/>
      </c>
      <c r="M76" s="48" t="str">
        <f aca="false">IFERROR(INDEX(输入报销!$D:$D,MATCH($A76&amp;"-10",输入报销!$J:$J,0))&amp;"","")</f>
        <v/>
      </c>
    </row>
    <row r="77" customFormat="false" ht="13.5" hidden="false" customHeight="false" outlineLevel="0" collapsed="false">
      <c r="A77" s="47" t="n">
        <v>6</v>
      </c>
      <c r="C77" s="48" t="str">
        <f aca="false">助手报销!$C7</f>
        <v>博荣店</v>
      </c>
      <c r="D77" s="81" t="s">
        <v>489</v>
      </c>
      <c r="E77" s="48" t="str">
        <f aca="false">参数!$B$6</f>
        <v>库存现金</v>
      </c>
      <c r="F77" s="48" t="str">
        <f aca="false">""</f>
        <v/>
      </c>
      <c r="G77" s="49" t="n">
        <f aca="false">-ROUND(SUMIFS(输入报销!$G:$G,输入报销!$A:$A,$A77,输入报销!$H:$H,参数!$B$6),2)</f>
        <v>-1815.18</v>
      </c>
      <c r="H77" s="49" t="str">
        <f aca="false">IF(ROUND($G77,2)&gt;0,ROUND($G77,2),"")</f>
        <v/>
      </c>
      <c r="I77" s="49" t="n">
        <f aca="false">IF(ROUND($G77,2)&lt;0,-ROUND($G77,2),"")</f>
        <v>1815.18</v>
      </c>
      <c r="J77" s="20" t="n">
        <f aca="false">IF(ROUND($G77,2)=0,0,1)</f>
        <v>1</v>
      </c>
      <c r="K77" s="20" t="n">
        <f aca="false">IF($J77=0,"",SUM($J$67:$J77))</f>
        <v>3</v>
      </c>
      <c r="L77" s="20" t="n">
        <f aca="false">IF($K77="","",$A77*100+$K77)</f>
        <v>603</v>
      </c>
      <c r="M77" s="48" t="str">
        <f aca="false">""</f>
        <v/>
      </c>
    </row>
    <row r="78" customFormat="false" ht="13.5" hidden="false" customHeight="false" outlineLevel="0" collapsed="false">
      <c r="A78" s="47" t="n">
        <v>6</v>
      </c>
      <c r="C78" s="48" t="str">
        <f aca="false">助手报销!$C7</f>
        <v>博荣店</v>
      </c>
      <c r="D78" s="81" t="s">
        <v>490</v>
      </c>
      <c r="E78" s="48" t="str">
        <f aca="false">参数!$B$7</f>
        <v>银行存款</v>
      </c>
      <c r="F78" s="48" t="str">
        <f aca="false">""</f>
        <v/>
      </c>
      <c r="G78" s="49" t="n">
        <f aca="false">-ROUND(SUMIFS(输入报销!$G:$G,输入报销!$A:$A,$A78,输入报销!$H:$H,参数!$B$7),2)</f>
        <v>-0</v>
      </c>
      <c r="H78" s="49" t="str">
        <f aca="false">IF(ROUND($G78,2)&gt;0,ROUND($G78,2),"")</f>
        <v/>
      </c>
      <c r="I78" s="49" t="str">
        <f aca="false">IF(ROUND($G78,2)&lt;0,-ROUND($G78,2),"")</f>
        <v/>
      </c>
      <c r="J78" s="20" t="n">
        <f aca="false">IF(ROUND($G78,2)=0,0,1)</f>
        <v>0</v>
      </c>
      <c r="K78" s="20" t="str">
        <f aca="false">IF($J78=0,"",SUM($J$67:$J78))</f>
        <v/>
      </c>
      <c r="L78" s="20" t="str">
        <f aca="false">IF($K78="","",$A78*100+$K78)</f>
        <v/>
      </c>
      <c r="M78" s="48" t="str">
        <f aca="false">""</f>
        <v/>
      </c>
    </row>
    <row r="79" customFormat="false" ht="13.5" hidden="false" customHeight="false" outlineLevel="0" collapsed="false">
      <c r="A79" s="47" t="n">
        <v>6</v>
      </c>
      <c r="C79" s="48" t="str">
        <f aca="false">助手报销!$C7</f>
        <v>博荣店</v>
      </c>
      <c r="D79" s="81" t="s">
        <v>491</v>
      </c>
      <c r="E79" s="48" t="str">
        <f aca="false">参数!$B$8</f>
        <v>其他应付款</v>
      </c>
      <c r="F79" s="48" t="str">
        <f aca="false">""</f>
        <v/>
      </c>
      <c r="G79" s="49" t="n">
        <f aca="false">-ROUND(SUMIFS(输入报销!$G:$G,输入报销!$A:$A,$A79,输入报销!$H:$H,参数!$B$8),2)</f>
        <v>-0</v>
      </c>
      <c r="H79" s="49" t="str">
        <f aca="false">IF(ROUND($G79,2)&gt;0,ROUND($G79,2),"")</f>
        <v/>
      </c>
      <c r="I79" s="49" t="str">
        <f aca="false">IF(ROUND($G79,2)&lt;0,-ROUND($G79,2),"")</f>
        <v/>
      </c>
      <c r="J79" s="20" t="n">
        <f aca="false">IF(ROUND($G79,2)=0,0,1)</f>
        <v>0</v>
      </c>
      <c r="K79" s="20" t="str">
        <f aca="false">IF($J79=0,"",SUM($J$67:$J79))</f>
        <v/>
      </c>
      <c r="L79" s="20" t="str">
        <f aca="false">IF($K79="","",$A79*100+$K79)</f>
        <v/>
      </c>
      <c r="M79" s="48" t="str">
        <f aca="false">""</f>
        <v/>
      </c>
    </row>
    <row r="80" customFormat="false" ht="13.5" hidden="false" customHeight="false" outlineLevel="0" collapsed="false">
      <c r="A80" s="47" t="n">
        <v>7</v>
      </c>
      <c r="C80" s="48" t="str">
        <f aca="false">助手报销!$C8</f>
        <v>华鑫店</v>
      </c>
      <c r="D80" s="81" t="s">
        <v>479</v>
      </c>
      <c r="E80" s="48" t="str">
        <f aca="false">IFERROR(INDEX(输入报销!$E:$E,MATCH($A80&amp;"-1",输入报销!$J:$J,0))&amp;"","")</f>
        <v>销售费用</v>
      </c>
      <c r="F80" s="48" t="str">
        <f aca="false">IFERROR(INDEX(输入报销!$F:$F,MATCH($A80&amp;"-1",输入报销!$J:$J,0))&amp;"","")</f>
        <v>办公费</v>
      </c>
      <c r="G80" s="49" t="n">
        <f aca="false">IFERROR(ROUND(INDEX(输入报销!$G:$G,MATCH($A80&amp;"-1",输入报销!$J:$J,0)),2),0)</f>
        <v>61.4</v>
      </c>
      <c r="H80" s="49" t="n">
        <f aca="false">IF(ROUND($G80,2)&gt;0,ROUND($G80,2),"")</f>
        <v>61.4</v>
      </c>
      <c r="I80" s="49" t="str">
        <f aca="false">IF(ROUND($G80,2)&lt;0,-ROUND($G80,2),"")</f>
        <v/>
      </c>
      <c r="J80" s="20" t="n">
        <f aca="false">IF(ROUND($G80,2)=0,0,1)</f>
        <v>1</v>
      </c>
      <c r="K80" s="20" t="n">
        <f aca="false">IF($J80=0,"",SUM($J$80:$J80))</f>
        <v>1</v>
      </c>
      <c r="L80" s="20" t="n">
        <f aca="false">IF($K80="","",$A80*100+$K80)</f>
        <v>701</v>
      </c>
      <c r="M80" s="48" t="str">
        <f aca="false">IFERROR(INDEX(输入报销!$D:$D,MATCH($A80&amp;"-1",输入报销!$J:$J,0))&amp;"","")</f>
        <v>慢病用品</v>
      </c>
    </row>
    <row r="81" customFormat="false" ht="13.5" hidden="false" customHeight="false" outlineLevel="0" collapsed="false">
      <c r="A81" s="47" t="n">
        <v>7</v>
      </c>
      <c r="C81" s="48" t="str">
        <f aca="false">助手报销!$C8</f>
        <v>华鑫店</v>
      </c>
      <c r="D81" s="81" t="s">
        <v>480</v>
      </c>
      <c r="E81" s="48" t="str">
        <f aca="false">IFERROR(INDEX(输入报销!$E:$E,MATCH($A81&amp;"-2",输入报销!$J:$J,0))&amp;"","")</f>
        <v>销售费用</v>
      </c>
      <c r="F81" s="48" t="str">
        <f aca="false">IFERROR(INDEX(输入报销!$F:$F,MATCH($A81&amp;"-2",输入报销!$J:$J,0))&amp;"","")</f>
        <v>水费</v>
      </c>
      <c r="G81" s="49" t="n">
        <f aca="false">IFERROR(ROUND(INDEX(输入报销!$G:$G,MATCH($A81&amp;"-2",输入报销!$J:$J,0)),2),0)</f>
        <v>20</v>
      </c>
      <c r="H81" s="49" t="n">
        <f aca="false">IF(ROUND($G81,2)&gt;0,ROUND($G81,2),"")</f>
        <v>20</v>
      </c>
      <c r="I81" s="49" t="str">
        <f aca="false">IF(ROUND($G81,2)&lt;0,-ROUND($G81,2),"")</f>
        <v/>
      </c>
      <c r="J81" s="20" t="n">
        <f aca="false">IF(ROUND($G81,2)=0,0,1)</f>
        <v>1</v>
      </c>
      <c r="K81" s="20" t="n">
        <f aca="false">IF($J81=0,"",SUM($J$80:$J81))</f>
        <v>2</v>
      </c>
      <c r="L81" s="20" t="n">
        <f aca="false">IF($K81="","",$A81*100+$K81)</f>
        <v>702</v>
      </c>
      <c r="M81" s="48" t="str">
        <f aca="false">IFERROR(INDEX(输入报销!$D:$D,MATCH($A81&amp;"-2",输入报销!$J:$J,0))&amp;"","")</f>
        <v>水费</v>
      </c>
    </row>
    <row r="82" customFormat="false" ht="13.5" hidden="false" customHeight="false" outlineLevel="0" collapsed="false">
      <c r="A82" s="47" t="n">
        <v>7</v>
      </c>
      <c r="C82" s="48" t="str">
        <f aca="false">助手报销!$C8</f>
        <v>华鑫店</v>
      </c>
      <c r="D82" s="81" t="s">
        <v>481</v>
      </c>
      <c r="E82" s="48" t="str">
        <f aca="false">IFERROR(INDEX(输入报销!$E:$E,MATCH($A82&amp;"-3",输入报销!$J:$J,0))&amp;"","")</f>
        <v>销售费用</v>
      </c>
      <c r="F82" s="48" t="str">
        <f aca="false">IFERROR(INDEX(输入报销!$F:$F,MATCH($A82&amp;"-3",输入报销!$J:$J,0))&amp;"","")</f>
        <v>电费</v>
      </c>
      <c r="G82" s="49" t="n">
        <f aca="false">IFERROR(ROUND(INDEX(输入报销!$G:$G,MATCH($A82&amp;"-3",输入报销!$J:$J,0)),2),0)</f>
        <v>800</v>
      </c>
      <c r="H82" s="49" t="n">
        <f aca="false">IF(ROUND($G82,2)&gt;0,ROUND($G82,2),"")</f>
        <v>800</v>
      </c>
      <c r="I82" s="49" t="str">
        <f aca="false">IF(ROUND($G82,2)&lt;0,-ROUND($G82,2),"")</f>
        <v/>
      </c>
      <c r="J82" s="20" t="n">
        <f aca="false">IF(ROUND($G82,2)=0,0,1)</f>
        <v>1</v>
      </c>
      <c r="K82" s="20" t="n">
        <f aca="false">IF($J82=0,"",SUM($J$80:$J82))</f>
        <v>3</v>
      </c>
      <c r="L82" s="20" t="n">
        <f aca="false">IF($K82="","",$A82*100+$K82)</f>
        <v>703</v>
      </c>
      <c r="M82" s="48" t="str">
        <f aca="false">IFERROR(INDEX(输入报销!$D:$D,MATCH($A82&amp;"-3",输入报销!$J:$J,0))&amp;"","")</f>
        <v>电费</v>
      </c>
    </row>
    <row r="83" customFormat="false" ht="13.5" hidden="false" customHeight="false" outlineLevel="0" collapsed="false">
      <c r="A83" s="47" t="n">
        <v>7</v>
      </c>
      <c r="C83" s="48" t="str">
        <f aca="false">助手报销!$C8</f>
        <v>华鑫店</v>
      </c>
      <c r="D83" s="81" t="s">
        <v>482</v>
      </c>
      <c r="E83" s="48" t="str">
        <f aca="false">IFERROR(INDEX(输入报销!$E:$E,MATCH($A83&amp;"-4",输入报销!$J:$J,0))&amp;"","")</f>
        <v/>
      </c>
      <c r="F83" s="48" t="str">
        <f aca="false">IFERROR(INDEX(输入报销!$F:$F,MATCH($A83&amp;"-4",输入报销!$J:$J,0))&amp;"","")</f>
        <v/>
      </c>
      <c r="G83" s="49" t="n">
        <f aca="false">IFERROR(ROUND(INDEX(输入报销!$G:$G,MATCH($A83&amp;"-4",输入报销!$J:$J,0)),2),0)</f>
        <v>0</v>
      </c>
      <c r="H83" s="49" t="str">
        <f aca="false">IF(ROUND($G83,2)&gt;0,ROUND($G83,2),"")</f>
        <v/>
      </c>
      <c r="I83" s="49" t="str">
        <f aca="false">IF(ROUND($G83,2)&lt;0,-ROUND($G83,2),"")</f>
        <v/>
      </c>
      <c r="J83" s="20" t="n">
        <f aca="false">IF(ROUND($G83,2)=0,0,1)</f>
        <v>0</v>
      </c>
      <c r="K83" s="20" t="str">
        <f aca="false">IF($J83=0,"",SUM($J$80:$J83))</f>
        <v/>
      </c>
      <c r="L83" s="20" t="str">
        <f aca="false">IF($K83="","",$A83*100+$K83)</f>
        <v/>
      </c>
      <c r="M83" s="48" t="str">
        <f aca="false">IFERROR(INDEX(输入报销!$D:$D,MATCH($A83&amp;"-4",输入报销!$J:$J,0))&amp;"","")</f>
        <v/>
      </c>
    </row>
    <row r="84" customFormat="false" ht="13.5" hidden="false" customHeight="false" outlineLevel="0" collapsed="false">
      <c r="A84" s="47" t="n">
        <v>7</v>
      </c>
      <c r="C84" s="48" t="str">
        <f aca="false">助手报销!$C8</f>
        <v>华鑫店</v>
      </c>
      <c r="D84" s="81" t="s">
        <v>483</v>
      </c>
      <c r="E84" s="48" t="str">
        <f aca="false">IFERROR(INDEX(输入报销!$E:$E,MATCH($A84&amp;"-5",输入报销!$J:$J,0))&amp;"","")</f>
        <v/>
      </c>
      <c r="F84" s="48" t="str">
        <f aca="false">IFERROR(INDEX(输入报销!$F:$F,MATCH($A84&amp;"-5",输入报销!$J:$J,0))&amp;"","")</f>
        <v/>
      </c>
      <c r="G84" s="49" t="n">
        <f aca="false">IFERROR(ROUND(INDEX(输入报销!$G:$G,MATCH($A84&amp;"-5",输入报销!$J:$J,0)),2),0)</f>
        <v>0</v>
      </c>
      <c r="H84" s="49" t="str">
        <f aca="false">IF(ROUND($G84,2)&gt;0,ROUND($G84,2),"")</f>
        <v/>
      </c>
      <c r="I84" s="49" t="str">
        <f aca="false">IF(ROUND($G84,2)&lt;0,-ROUND($G84,2),"")</f>
        <v/>
      </c>
      <c r="J84" s="20" t="n">
        <f aca="false">IF(ROUND($G84,2)=0,0,1)</f>
        <v>0</v>
      </c>
      <c r="K84" s="20" t="str">
        <f aca="false">IF($J84=0,"",SUM($J$80:$J84))</f>
        <v/>
      </c>
      <c r="L84" s="20" t="str">
        <f aca="false">IF($K84="","",$A84*100+$K84)</f>
        <v/>
      </c>
      <c r="M84" s="48" t="str">
        <f aca="false">IFERROR(INDEX(输入报销!$D:$D,MATCH($A84&amp;"-5",输入报销!$J:$J,0))&amp;"","")</f>
        <v/>
      </c>
    </row>
    <row r="85" customFormat="false" ht="13.5" hidden="false" customHeight="false" outlineLevel="0" collapsed="false">
      <c r="A85" s="47" t="n">
        <v>7</v>
      </c>
      <c r="C85" s="48" t="str">
        <f aca="false">助手报销!$C8</f>
        <v>华鑫店</v>
      </c>
      <c r="D85" s="81" t="s">
        <v>484</v>
      </c>
      <c r="E85" s="48" t="str">
        <f aca="false">IFERROR(INDEX(输入报销!$E:$E,MATCH($A85&amp;"-6",输入报销!$J:$J,0))&amp;"","")</f>
        <v/>
      </c>
      <c r="F85" s="48" t="str">
        <f aca="false">IFERROR(INDEX(输入报销!$F:$F,MATCH($A85&amp;"-6",输入报销!$J:$J,0))&amp;"","")</f>
        <v/>
      </c>
      <c r="G85" s="49" t="n">
        <f aca="false">IFERROR(ROUND(INDEX(输入报销!$G:$G,MATCH($A85&amp;"-6",输入报销!$J:$J,0)),2),0)</f>
        <v>0</v>
      </c>
      <c r="H85" s="49" t="str">
        <f aca="false">IF(ROUND($G85,2)&gt;0,ROUND($G85,2),"")</f>
        <v/>
      </c>
      <c r="I85" s="49" t="str">
        <f aca="false">IF(ROUND($G85,2)&lt;0,-ROUND($G85,2),"")</f>
        <v/>
      </c>
      <c r="J85" s="20" t="n">
        <f aca="false">IF(ROUND($G85,2)=0,0,1)</f>
        <v>0</v>
      </c>
      <c r="K85" s="20" t="str">
        <f aca="false">IF($J85=0,"",SUM($J$80:$J85))</f>
        <v/>
      </c>
      <c r="L85" s="20" t="str">
        <f aca="false">IF($K85="","",$A85*100+$K85)</f>
        <v/>
      </c>
      <c r="M85" s="48" t="str">
        <f aca="false">IFERROR(INDEX(输入报销!$D:$D,MATCH($A85&amp;"-6",输入报销!$J:$J,0))&amp;"","")</f>
        <v/>
      </c>
    </row>
    <row r="86" customFormat="false" ht="13.5" hidden="false" customHeight="false" outlineLevel="0" collapsed="false">
      <c r="A86" s="47" t="n">
        <v>7</v>
      </c>
      <c r="C86" s="48" t="str">
        <f aca="false">助手报销!$C8</f>
        <v>华鑫店</v>
      </c>
      <c r="D86" s="81" t="s">
        <v>485</v>
      </c>
      <c r="E86" s="48" t="str">
        <f aca="false">IFERROR(INDEX(输入报销!$E:$E,MATCH($A86&amp;"-7",输入报销!$J:$J,0))&amp;"","")</f>
        <v/>
      </c>
      <c r="F86" s="48" t="str">
        <f aca="false">IFERROR(INDEX(输入报销!$F:$F,MATCH($A86&amp;"-7",输入报销!$J:$J,0))&amp;"","")</f>
        <v/>
      </c>
      <c r="G86" s="49" t="n">
        <f aca="false">IFERROR(ROUND(INDEX(输入报销!$G:$G,MATCH($A86&amp;"-7",输入报销!$J:$J,0)),2),0)</f>
        <v>0</v>
      </c>
      <c r="H86" s="49" t="str">
        <f aca="false">IF(ROUND($G86,2)&gt;0,ROUND($G86,2),"")</f>
        <v/>
      </c>
      <c r="I86" s="49" t="str">
        <f aca="false">IF(ROUND($G86,2)&lt;0,-ROUND($G86,2),"")</f>
        <v/>
      </c>
      <c r="J86" s="20" t="n">
        <f aca="false">IF(ROUND($G86,2)=0,0,1)</f>
        <v>0</v>
      </c>
      <c r="K86" s="20" t="str">
        <f aca="false">IF($J86=0,"",SUM($J$80:$J86))</f>
        <v/>
      </c>
      <c r="L86" s="20" t="str">
        <f aca="false">IF($K86="","",$A86*100+$K86)</f>
        <v/>
      </c>
      <c r="M86" s="48" t="str">
        <f aca="false">IFERROR(INDEX(输入报销!$D:$D,MATCH($A86&amp;"-7",输入报销!$J:$J,0))&amp;"","")</f>
        <v/>
      </c>
    </row>
    <row r="87" customFormat="false" ht="13.5" hidden="false" customHeight="false" outlineLevel="0" collapsed="false">
      <c r="A87" s="47" t="n">
        <v>7</v>
      </c>
      <c r="C87" s="48" t="str">
        <f aca="false">助手报销!$C8</f>
        <v>华鑫店</v>
      </c>
      <c r="D87" s="81" t="s">
        <v>486</v>
      </c>
      <c r="E87" s="48" t="str">
        <f aca="false">IFERROR(INDEX(输入报销!$E:$E,MATCH($A87&amp;"-8",输入报销!$J:$J,0))&amp;"","")</f>
        <v/>
      </c>
      <c r="F87" s="48" t="str">
        <f aca="false">IFERROR(INDEX(输入报销!$F:$F,MATCH($A87&amp;"-8",输入报销!$J:$J,0))&amp;"","")</f>
        <v/>
      </c>
      <c r="G87" s="49" t="n">
        <f aca="false">IFERROR(ROUND(INDEX(输入报销!$G:$G,MATCH($A87&amp;"-8",输入报销!$J:$J,0)),2),0)</f>
        <v>0</v>
      </c>
      <c r="H87" s="49" t="str">
        <f aca="false">IF(ROUND($G87,2)&gt;0,ROUND($G87,2),"")</f>
        <v/>
      </c>
      <c r="I87" s="49" t="str">
        <f aca="false">IF(ROUND($G87,2)&lt;0,-ROUND($G87,2),"")</f>
        <v/>
      </c>
      <c r="J87" s="20" t="n">
        <f aca="false">IF(ROUND($G87,2)=0,0,1)</f>
        <v>0</v>
      </c>
      <c r="K87" s="20" t="str">
        <f aca="false">IF($J87=0,"",SUM($J$80:$J87))</f>
        <v/>
      </c>
      <c r="L87" s="20" t="str">
        <f aca="false">IF($K87="","",$A87*100+$K87)</f>
        <v/>
      </c>
      <c r="M87" s="48" t="str">
        <f aca="false">IFERROR(INDEX(输入报销!$D:$D,MATCH($A87&amp;"-8",输入报销!$J:$J,0))&amp;"","")</f>
        <v/>
      </c>
    </row>
    <row r="88" customFormat="false" ht="13.5" hidden="false" customHeight="false" outlineLevel="0" collapsed="false">
      <c r="A88" s="47" t="n">
        <v>7</v>
      </c>
      <c r="C88" s="48" t="str">
        <f aca="false">助手报销!$C8</f>
        <v>华鑫店</v>
      </c>
      <c r="D88" s="81" t="s">
        <v>487</v>
      </c>
      <c r="E88" s="48" t="str">
        <f aca="false">IFERROR(INDEX(输入报销!$E:$E,MATCH($A88&amp;"-9",输入报销!$J:$J,0))&amp;"","")</f>
        <v/>
      </c>
      <c r="F88" s="48" t="str">
        <f aca="false">IFERROR(INDEX(输入报销!$F:$F,MATCH($A88&amp;"-9",输入报销!$J:$J,0))&amp;"","")</f>
        <v/>
      </c>
      <c r="G88" s="49" t="n">
        <f aca="false">IFERROR(ROUND(INDEX(输入报销!$G:$G,MATCH($A88&amp;"-9",输入报销!$J:$J,0)),2),0)</f>
        <v>0</v>
      </c>
      <c r="H88" s="49" t="str">
        <f aca="false">IF(ROUND($G88,2)&gt;0,ROUND($G88,2),"")</f>
        <v/>
      </c>
      <c r="I88" s="49" t="str">
        <f aca="false">IF(ROUND($G88,2)&lt;0,-ROUND($G88,2),"")</f>
        <v/>
      </c>
      <c r="J88" s="20" t="n">
        <f aca="false">IF(ROUND($G88,2)=0,0,1)</f>
        <v>0</v>
      </c>
      <c r="K88" s="20" t="str">
        <f aca="false">IF($J88=0,"",SUM($J$80:$J88))</f>
        <v/>
      </c>
      <c r="L88" s="20" t="str">
        <f aca="false">IF($K88="","",$A88*100+$K88)</f>
        <v/>
      </c>
      <c r="M88" s="48" t="str">
        <f aca="false">IFERROR(INDEX(输入报销!$D:$D,MATCH($A88&amp;"-9",输入报销!$J:$J,0))&amp;"","")</f>
        <v/>
      </c>
    </row>
    <row r="89" customFormat="false" ht="13.5" hidden="false" customHeight="false" outlineLevel="0" collapsed="false">
      <c r="A89" s="47" t="n">
        <v>7</v>
      </c>
      <c r="C89" s="48" t="str">
        <f aca="false">助手报销!$C8</f>
        <v>华鑫店</v>
      </c>
      <c r="D89" s="81" t="s">
        <v>488</v>
      </c>
      <c r="E89" s="48" t="str">
        <f aca="false">IFERROR(INDEX(输入报销!$E:$E,MATCH($A89&amp;"-10",输入报销!$J:$J,0))&amp;"","")</f>
        <v/>
      </c>
      <c r="F89" s="48" t="str">
        <f aca="false">IFERROR(INDEX(输入报销!$F:$F,MATCH($A89&amp;"-10",输入报销!$J:$J,0))&amp;"","")</f>
        <v/>
      </c>
      <c r="G89" s="49" t="n">
        <f aca="false">IFERROR(ROUND(INDEX(输入报销!$G:$G,MATCH($A89&amp;"-10",输入报销!$J:$J,0)),2),0)</f>
        <v>0</v>
      </c>
      <c r="H89" s="49" t="str">
        <f aca="false">IF(ROUND($G89,2)&gt;0,ROUND($G89,2),"")</f>
        <v/>
      </c>
      <c r="I89" s="49" t="str">
        <f aca="false">IF(ROUND($G89,2)&lt;0,-ROUND($G89,2),"")</f>
        <v/>
      </c>
      <c r="J89" s="20" t="n">
        <f aca="false">IF(ROUND($G89,2)=0,0,1)</f>
        <v>0</v>
      </c>
      <c r="K89" s="20" t="str">
        <f aca="false">IF($J89=0,"",SUM($J$80:$J89))</f>
        <v/>
      </c>
      <c r="L89" s="20" t="str">
        <f aca="false">IF($K89="","",$A89*100+$K89)</f>
        <v/>
      </c>
      <c r="M89" s="48" t="str">
        <f aca="false">IFERROR(INDEX(输入报销!$D:$D,MATCH($A89&amp;"-10",输入报销!$J:$J,0))&amp;"","")</f>
        <v/>
      </c>
    </row>
    <row r="90" customFormat="false" ht="13.5" hidden="false" customHeight="false" outlineLevel="0" collapsed="false">
      <c r="A90" s="47" t="n">
        <v>7</v>
      </c>
      <c r="C90" s="48" t="str">
        <f aca="false">助手报销!$C8</f>
        <v>华鑫店</v>
      </c>
      <c r="D90" s="81" t="s">
        <v>489</v>
      </c>
      <c r="E90" s="48" t="str">
        <f aca="false">参数!$B$6</f>
        <v>库存现金</v>
      </c>
      <c r="F90" s="48" t="str">
        <f aca="false">""</f>
        <v/>
      </c>
      <c r="G90" s="49" t="n">
        <f aca="false">-ROUND(SUMIFS(输入报销!$G:$G,输入报销!$A:$A,$A90,输入报销!$H:$H,参数!$B$6),2)</f>
        <v>-881.4</v>
      </c>
      <c r="H90" s="49" t="str">
        <f aca="false">IF(ROUND($G90,2)&gt;0,ROUND($G90,2),"")</f>
        <v/>
      </c>
      <c r="I90" s="49" t="n">
        <f aca="false">IF(ROUND($G90,2)&lt;0,-ROUND($G90,2),"")</f>
        <v>881.4</v>
      </c>
      <c r="J90" s="20" t="n">
        <f aca="false">IF(ROUND($G90,2)=0,0,1)</f>
        <v>1</v>
      </c>
      <c r="K90" s="20" t="n">
        <f aca="false">IF($J90=0,"",SUM($J$80:$J90))</f>
        <v>4</v>
      </c>
      <c r="L90" s="20" t="n">
        <f aca="false">IF($K90="","",$A90*100+$K90)</f>
        <v>704</v>
      </c>
      <c r="M90" s="48" t="str">
        <f aca="false">""</f>
        <v/>
      </c>
    </row>
    <row r="91" customFormat="false" ht="13.5" hidden="false" customHeight="false" outlineLevel="0" collapsed="false">
      <c r="A91" s="47" t="n">
        <v>7</v>
      </c>
      <c r="C91" s="48" t="str">
        <f aca="false">助手报销!$C8</f>
        <v>华鑫店</v>
      </c>
      <c r="D91" s="81" t="s">
        <v>490</v>
      </c>
      <c r="E91" s="48" t="str">
        <f aca="false">参数!$B$7</f>
        <v>银行存款</v>
      </c>
      <c r="F91" s="48" t="str">
        <f aca="false">""</f>
        <v/>
      </c>
      <c r="G91" s="49" t="n">
        <f aca="false">-ROUND(SUMIFS(输入报销!$G:$G,输入报销!$A:$A,$A91,输入报销!$H:$H,参数!$B$7),2)</f>
        <v>-0</v>
      </c>
      <c r="H91" s="49" t="str">
        <f aca="false">IF(ROUND($G91,2)&gt;0,ROUND($G91,2),"")</f>
        <v/>
      </c>
      <c r="I91" s="49" t="str">
        <f aca="false">IF(ROUND($G91,2)&lt;0,-ROUND($G91,2),"")</f>
        <v/>
      </c>
      <c r="J91" s="20" t="n">
        <f aca="false">IF(ROUND($G91,2)=0,0,1)</f>
        <v>0</v>
      </c>
      <c r="K91" s="20" t="str">
        <f aca="false">IF($J91=0,"",SUM($J$80:$J91))</f>
        <v/>
      </c>
      <c r="L91" s="20" t="str">
        <f aca="false">IF($K91="","",$A91*100+$K91)</f>
        <v/>
      </c>
      <c r="M91" s="48" t="str">
        <f aca="false">""</f>
        <v/>
      </c>
    </row>
    <row r="92" customFormat="false" ht="13.5" hidden="false" customHeight="false" outlineLevel="0" collapsed="false">
      <c r="A92" s="47" t="n">
        <v>7</v>
      </c>
      <c r="C92" s="48" t="str">
        <f aca="false">助手报销!$C8</f>
        <v>华鑫店</v>
      </c>
      <c r="D92" s="81" t="s">
        <v>491</v>
      </c>
      <c r="E92" s="48" t="str">
        <f aca="false">参数!$B$8</f>
        <v>其他应付款</v>
      </c>
      <c r="F92" s="48" t="str">
        <f aca="false">""</f>
        <v/>
      </c>
      <c r="G92" s="49" t="n">
        <f aca="false">-ROUND(SUMIFS(输入报销!$G:$G,输入报销!$A:$A,$A92,输入报销!$H:$H,参数!$B$8),2)</f>
        <v>-0</v>
      </c>
      <c r="H92" s="49" t="str">
        <f aca="false">IF(ROUND($G92,2)&gt;0,ROUND($G92,2),"")</f>
        <v/>
      </c>
      <c r="I92" s="49" t="str">
        <f aca="false">IF(ROUND($G92,2)&lt;0,-ROUND($G92,2),"")</f>
        <v/>
      </c>
      <c r="J92" s="20" t="n">
        <f aca="false">IF(ROUND($G92,2)=0,0,1)</f>
        <v>0</v>
      </c>
      <c r="K92" s="20" t="str">
        <f aca="false">IF($J92=0,"",SUM($J$80:$J92))</f>
        <v/>
      </c>
      <c r="L92" s="20" t="str">
        <f aca="false">IF($K92="","",$A92*100+$K92)</f>
        <v/>
      </c>
      <c r="M92" s="48" t="str">
        <f aca="false">""</f>
        <v/>
      </c>
    </row>
    <row r="93" customFormat="false" ht="13.5" hidden="false" customHeight="false" outlineLevel="0" collapsed="false">
      <c r="A93" s="47" t="n">
        <v>8</v>
      </c>
      <c r="C93" s="48" t="str">
        <f aca="false">助手报销!$C9</f>
        <v>大霍店</v>
      </c>
      <c r="D93" s="81" t="s">
        <v>479</v>
      </c>
      <c r="E93" s="48" t="str">
        <f aca="false">IFERROR(INDEX(输入报销!$E:$E,MATCH($A93&amp;"-1",输入报销!$J:$J,0))&amp;"","")</f>
        <v>销售费用</v>
      </c>
      <c r="F93" s="48" t="str">
        <f aca="false">IFERROR(INDEX(输入报销!$F:$F,MATCH($A93&amp;"-1",输入报销!$J:$J,0))&amp;"","")</f>
        <v>水费</v>
      </c>
      <c r="G93" s="49" t="n">
        <f aca="false">IFERROR(ROUND(INDEX(输入报销!$G:$G,MATCH($A93&amp;"-1",输入报销!$J:$J,0)),2),0)</f>
        <v>15</v>
      </c>
      <c r="H93" s="49" t="n">
        <f aca="false">IF(ROUND($G93,2)&gt;0,ROUND($G93,2),"")</f>
        <v>15</v>
      </c>
      <c r="I93" s="49" t="str">
        <f aca="false">IF(ROUND($G93,2)&lt;0,-ROUND($G93,2),"")</f>
        <v/>
      </c>
      <c r="J93" s="20" t="n">
        <f aca="false">IF(ROUND($G93,2)=0,0,1)</f>
        <v>1</v>
      </c>
      <c r="K93" s="20" t="n">
        <f aca="false">IF($J93=0,"",SUM($J$93:$J93))</f>
        <v>1</v>
      </c>
      <c r="L93" s="20" t="n">
        <f aca="false">IF($K93="","",$A93*100+$K93)</f>
        <v>801</v>
      </c>
      <c r="M93" s="48" t="str">
        <f aca="false">IFERROR(INDEX(输入报销!$D:$D,MATCH($A93&amp;"-1",输入报销!$J:$J,0))&amp;"","")</f>
        <v>水费</v>
      </c>
    </row>
    <row r="94" customFormat="false" ht="13.5" hidden="false" customHeight="false" outlineLevel="0" collapsed="false">
      <c r="A94" s="47" t="n">
        <v>8</v>
      </c>
      <c r="C94" s="48" t="str">
        <f aca="false">助手报销!$C9</f>
        <v>大霍店</v>
      </c>
      <c r="D94" s="81" t="s">
        <v>480</v>
      </c>
      <c r="E94" s="48" t="str">
        <f aca="false">IFERROR(INDEX(输入报销!$E:$E,MATCH($A94&amp;"-2",输入报销!$J:$J,0))&amp;"","")</f>
        <v/>
      </c>
      <c r="F94" s="48" t="str">
        <f aca="false">IFERROR(INDEX(输入报销!$F:$F,MATCH($A94&amp;"-2",输入报销!$J:$J,0))&amp;"","")</f>
        <v/>
      </c>
      <c r="G94" s="49" t="n">
        <f aca="false">IFERROR(ROUND(INDEX(输入报销!$G:$G,MATCH($A94&amp;"-2",输入报销!$J:$J,0)),2),0)</f>
        <v>0</v>
      </c>
      <c r="H94" s="49" t="str">
        <f aca="false">IF(ROUND($G94,2)&gt;0,ROUND($G94,2),"")</f>
        <v/>
      </c>
      <c r="I94" s="49" t="str">
        <f aca="false">IF(ROUND($G94,2)&lt;0,-ROUND($G94,2),"")</f>
        <v/>
      </c>
      <c r="J94" s="20" t="n">
        <f aca="false">IF(ROUND($G94,2)=0,0,1)</f>
        <v>0</v>
      </c>
      <c r="K94" s="20" t="str">
        <f aca="false">IF($J94=0,"",SUM($J$93:$J94))</f>
        <v/>
      </c>
      <c r="L94" s="20" t="str">
        <f aca="false">IF($K94="","",$A94*100+$K94)</f>
        <v/>
      </c>
      <c r="M94" s="48" t="str">
        <f aca="false">IFERROR(INDEX(输入报销!$D:$D,MATCH($A94&amp;"-2",输入报销!$J:$J,0))&amp;"","")</f>
        <v/>
      </c>
    </row>
    <row r="95" customFormat="false" ht="13.5" hidden="false" customHeight="false" outlineLevel="0" collapsed="false">
      <c r="A95" s="47" t="n">
        <v>8</v>
      </c>
      <c r="C95" s="48" t="str">
        <f aca="false">助手报销!$C9</f>
        <v>大霍店</v>
      </c>
      <c r="D95" s="81" t="s">
        <v>481</v>
      </c>
      <c r="E95" s="48" t="str">
        <f aca="false">IFERROR(INDEX(输入报销!$E:$E,MATCH($A95&amp;"-3",输入报销!$J:$J,0))&amp;"","")</f>
        <v/>
      </c>
      <c r="F95" s="48" t="str">
        <f aca="false">IFERROR(INDEX(输入报销!$F:$F,MATCH($A95&amp;"-3",输入报销!$J:$J,0))&amp;"","")</f>
        <v/>
      </c>
      <c r="G95" s="49" t="n">
        <f aca="false">IFERROR(ROUND(INDEX(输入报销!$G:$G,MATCH($A95&amp;"-3",输入报销!$J:$J,0)),2),0)</f>
        <v>0</v>
      </c>
      <c r="H95" s="49" t="str">
        <f aca="false">IF(ROUND($G95,2)&gt;0,ROUND($G95,2),"")</f>
        <v/>
      </c>
      <c r="I95" s="49" t="str">
        <f aca="false">IF(ROUND($G95,2)&lt;0,-ROUND($G95,2),"")</f>
        <v/>
      </c>
      <c r="J95" s="20" t="n">
        <f aca="false">IF(ROUND($G95,2)=0,0,1)</f>
        <v>0</v>
      </c>
      <c r="K95" s="20" t="str">
        <f aca="false">IF($J95=0,"",SUM($J$93:$J95))</f>
        <v/>
      </c>
      <c r="L95" s="20" t="str">
        <f aca="false">IF($K95="","",$A95*100+$K95)</f>
        <v/>
      </c>
      <c r="M95" s="48" t="str">
        <f aca="false">IFERROR(INDEX(输入报销!$D:$D,MATCH($A95&amp;"-3",输入报销!$J:$J,0))&amp;"","")</f>
        <v/>
      </c>
    </row>
    <row r="96" customFormat="false" ht="13.5" hidden="false" customHeight="false" outlineLevel="0" collapsed="false">
      <c r="A96" s="47" t="n">
        <v>8</v>
      </c>
      <c r="C96" s="48" t="str">
        <f aca="false">助手报销!$C9</f>
        <v>大霍店</v>
      </c>
      <c r="D96" s="81" t="s">
        <v>482</v>
      </c>
      <c r="E96" s="48" t="str">
        <f aca="false">IFERROR(INDEX(输入报销!$E:$E,MATCH($A96&amp;"-4",输入报销!$J:$J,0))&amp;"","")</f>
        <v/>
      </c>
      <c r="F96" s="48" t="str">
        <f aca="false">IFERROR(INDEX(输入报销!$F:$F,MATCH($A96&amp;"-4",输入报销!$J:$J,0))&amp;"","")</f>
        <v/>
      </c>
      <c r="G96" s="49" t="n">
        <f aca="false">IFERROR(ROUND(INDEX(输入报销!$G:$G,MATCH($A96&amp;"-4",输入报销!$J:$J,0)),2),0)</f>
        <v>0</v>
      </c>
      <c r="H96" s="49" t="str">
        <f aca="false">IF(ROUND($G96,2)&gt;0,ROUND($G96,2),"")</f>
        <v/>
      </c>
      <c r="I96" s="49" t="str">
        <f aca="false">IF(ROUND($G96,2)&lt;0,-ROUND($G96,2),"")</f>
        <v/>
      </c>
      <c r="J96" s="20" t="n">
        <f aca="false">IF(ROUND($G96,2)=0,0,1)</f>
        <v>0</v>
      </c>
      <c r="K96" s="20" t="str">
        <f aca="false">IF($J96=0,"",SUM($J$93:$J96))</f>
        <v/>
      </c>
      <c r="L96" s="20" t="str">
        <f aca="false">IF($K96="","",$A96*100+$K96)</f>
        <v/>
      </c>
      <c r="M96" s="48" t="str">
        <f aca="false">IFERROR(INDEX(输入报销!$D:$D,MATCH($A96&amp;"-4",输入报销!$J:$J,0))&amp;"","")</f>
        <v/>
      </c>
    </row>
    <row r="97" customFormat="false" ht="13.5" hidden="false" customHeight="false" outlineLevel="0" collapsed="false">
      <c r="A97" s="47" t="n">
        <v>8</v>
      </c>
      <c r="C97" s="48" t="str">
        <f aca="false">助手报销!$C9</f>
        <v>大霍店</v>
      </c>
      <c r="D97" s="81" t="s">
        <v>483</v>
      </c>
      <c r="E97" s="48" t="str">
        <f aca="false">IFERROR(INDEX(输入报销!$E:$E,MATCH($A97&amp;"-5",输入报销!$J:$J,0))&amp;"","")</f>
        <v/>
      </c>
      <c r="F97" s="48" t="str">
        <f aca="false">IFERROR(INDEX(输入报销!$F:$F,MATCH($A97&amp;"-5",输入报销!$J:$J,0))&amp;"","")</f>
        <v/>
      </c>
      <c r="G97" s="49" t="n">
        <f aca="false">IFERROR(ROUND(INDEX(输入报销!$G:$G,MATCH($A97&amp;"-5",输入报销!$J:$J,0)),2),0)</f>
        <v>0</v>
      </c>
      <c r="H97" s="49" t="str">
        <f aca="false">IF(ROUND($G97,2)&gt;0,ROUND($G97,2),"")</f>
        <v/>
      </c>
      <c r="I97" s="49" t="str">
        <f aca="false">IF(ROUND($G97,2)&lt;0,-ROUND($G97,2),"")</f>
        <v/>
      </c>
      <c r="J97" s="20" t="n">
        <f aca="false">IF(ROUND($G97,2)=0,0,1)</f>
        <v>0</v>
      </c>
      <c r="K97" s="20" t="str">
        <f aca="false">IF($J97=0,"",SUM($J$93:$J97))</f>
        <v/>
      </c>
      <c r="L97" s="20" t="str">
        <f aca="false">IF($K97="","",$A97*100+$K97)</f>
        <v/>
      </c>
      <c r="M97" s="48" t="str">
        <f aca="false">IFERROR(INDEX(输入报销!$D:$D,MATCH($A97&amp;"-5",输入报销!$J:$J,0))&amp;"","")</f>
        <v/>
      </c>
    </row>
    <row r="98" customFormat="false" ht="13.5" hidden="false" customHeight="false" outlineLevel="0" collapsed="false">
      <c r="A98" s="47" t="n">
        <v>8</v>
      </c>
      <c r="C98" s="48" t="str">
        <f aca="false">助手报销!$C9</f>
        <v>大霍店</v>
      </c>
      <c r="D98" s="81" t="s">
        <v>484</v>
      </c>
      <c r="E98" s="48" t="str">
        <f aca="false">IFERROR(INDEX(输入报销!$E:$E,MATCH($A98&amp;"-6",输入报销!$J:$J,0))&amp;"","")</f>
        <v/>
      </c>
      <c r="F98" s="48" t="str">
        <f aca="false">IFERROR(INDEX(输入报销!$F:$F,MATCH($A98&amp;"-6",输入报销!$J:$J,0))&amp;"","")</f>
        <v/>
      </c>
      <c r="G98" s="49" t="n">
        <f aca="false">IFERROR(ROUND(INDEX(输入报销!$G:$G,MATCH($A98&amp;"-6",输入报销!$J:$J,0)),2),0)</f>
        <v>0</v>
      </c>
      <c r="H98" s="49" t="str">
        <f aca="false">IF(ROUND($G98,2)&gt;0,ROUND($G98,2),"")</f>
        <v/>
      </c>
      <c r="I98" s="49" t="str">
        <f aca="false">IF(ROUND($G98,2)&lt;0,-ROUND($G98,2),"")</f>
        <v/>
      </c>
      <c r="J98" s="20" t="n">
        <f aca="false">IF(ROUND($G98,2)=0,0,1)</f>
        <v>0</v>
      </c>
      <c r="K98" s="20" t="str">
        <f aca="false">IF($J98=0,"",SUM($J$93:$J98))</f>
        <v/>
      </c>
      <c r="L98" s="20" t="str">
        <f aca="false">IF($K98="","",$A98*100+$K98)</f>
        <v/>
      </c>
      <c r="M98" s="48" t="str">
        <f aca="false">IFERROR(INDEX(输入报销!$D:$D,MATCH($A98&amp;"-6",输入报销!$J:$J,0))&amp;"","")</f>
        <v/>
      </c>
    </row>
    <row r="99" customFormat="false" ht="13.5" hidden="false" customHeight="false" outlineLevel="0" collapsed="false">
      <c r="A99" s="47" t="n">
        <v>8</v>
      </c>
      <c r="C99" s="48" t="str">
        <f aca="false">助手报销!$C9</f>
        <v>大霍店</v>
      </c>
      <c r="D99" s="81" t="s">
        <v>485</v>
      </c>
      <c r="E99" s="48" t="str">
        <f aca="false">IFERROR(INDEX(输入报销!$E:$E,MATCH($A99&amp;"-7",输入报销!$J:$J,0))&amp;"","")</f>
        <v/>
      </c>
      <c r="F99" s="48" t="str">
        <f aca="false">IFERROR(INDEX(输入报销!$F:$F,MATCH($A99&amp;"-7",输入报销!$J:$J,0))&amp;"","")</f>
        <v/>
      </c>
      <c r="G99" s="49" t="n">
        <f aca="false">IFERROR(ROUND(INDEX(输入报销!$G:$G,MATCH($A99&amp;"-7",输入报销!$J:$J,0)),2),0)</f>
        <v>0</v>
      </c>
      <c r="H99" s="49" t="str">
        <f aca="false">IF(ROUND($G99,2)&gt;0,ROUND($G99,2),"")</f>
        <v/>
      </c>
      <c r="I99" s="49" t="str">
        <f aca="false">IF(ROUND($G99,2)&lt;0,-ROUND($G99,2),"")</f>
        <v/>
      </c>
      <c r="J99" s="20" t="n">
        <f aca="false">IF(ROUND($G99,2)=0,0,1)</f>
        <v>0</v>
      </c>
      <c r="K99" s="20" t="str">
        <f aca="false">IF($J99=0,"",SUM($J$93:$J99))</f>
        <v/>
      </c>
      <c r="L99" s="20" t="str">
        <f aca="false">IF($K99="","",$A99*100+$K99)</f>
        <v/>
      </c>
      <c r="M99" s="48" t="str">
        <f aca="false">IFERROR(INDEX(输入报销!$D:$D,MATCH($A99&amp;"-7",输入报销!$J:$J,0))&amp;"","")</f>
        <v/>
      </c>
    </row>
    <row r="100" customFormat="false" ht="13.5" hidden="false" customHeight="false" outlineLevel="0" collapsed="false">
      <c r="A100" s="47" t="n">
        <v>8</v>
      </c>
      <c r="C100" s="48" t="str">
        <f aca="false">助手报销!$C9</f>
        <v>大霍店</v>
      </c>
      <c r="D100" s="81" t="s">
        <v>486</v>
      </c>
      <c r="E100" s="48" t="str">
        <f aca="false">IFERROR(INDEX(输入报销!$E:$E,MATCH($A100&amp;"-8",输入报销!$J:$J,0))&amp;"","")</f>
        <v/>
      </c>
      <c r="F100" s="48" t="str">
        <f aca="false">IFERROR(INDEX(输入报销!$F:$F,MATCH($A100&amp;"-8",输入报销!$J:$J,0))&amp;"","")</f>
        <v/>
      </c>
      <c r="G100" s="49" t="n">
        <f aca="false">IFERROR(ROUND(INDEX(输入报销!$G:$G,MATCH($A100&amp;"-8",输入报销!$J:$J,0)),2),0)</f>
        <v>0</v>
      </c>
      <c r="H100" s="49" t="str">
        <f aca="false">IF(ROUND($G100,2)&gt;0,ROUND($G100,2),"")</f>
        <v/>
      </c>
      <c r="I100" s="49" t="str">
        <f aca="false">IF(ROUND($G100,2)&lt;0,-ROUND($G100,2),"")</f>
        <v/>
      </c>
      <c r="J100" s="20" t="n">
        <f aca="false">IF(ROUND($G100,2)=0,0,1)</f>
        <v>0</v>
      </c>
      <c r="K100" s="20" t="str">
        <f aca="false">IF($J100=0,"",SUM($J$93:$J100))</f>
        <v/>
      </c>
      <c r="L100" s="20" t="str">
        <f aca="false">IF($K100="","",$A100*100+$K100)</f>
        <v/>
      </c>
      <c r="M100" s="48" t="str">
        <f aca="false">IFERROR(INDEX(输入报销!$D:$D,MATCH($A100&amp;"-8",输入报销!$J:$J,0))&amp;"","")</f>
        <v/>
      </c>
    </row>
    <row r="101" customFormat="false" ht="13.5" hidden="false" customHeight="false" outlineLevel="0" collapsed="false">
      <c r="A101" s="47" t="n">
        <v>8</v>
      </c>
      <c r="C101" s="48" t="str">
        <f aca="false">助手报销!$C9</f>
        <v>大霍店</v>
      </c>
      <c r="D101" s="81" t="s">
        <v>487</v>
      </c>
      <c r="E101" s="48" t="str">
        <f aca="false">IFERROR(INDEX(输入报销!$E:$E,MATCH($A101&amp;"-9",输入报销!$J:$J,0))&amp;"","")</f>
        <v/>
      </c>
      <c r="F101" s="48" t="str">
        <f aca="false">IFERROR(INDEX(输入报销!$F:$F,MATCH($A101&amp;"-9",输入报销!$J:$J,0))&amp;"","")</f>
        <v/>
      </c>
      <c r="G101" s="49" t="n">
        <f aca="false">IFERROR(ROUND(INDEX(输入报销!$G:$G,MATCH($A101&amp;"-9",输入报销!$J:$J,0)),2),0)</f>
        <v>0</v>
      </c>
      <c r="H101" s="49" t="str">
        <f aca="false">IF(ROUND($G101,2)&gt;0,ROUND($G101,2),"")</f>
        <v/>
      </c>
      <c r="I101" s="49" t="str">
        <f aca="false">IF(ROUND($G101,2)&lt;0,-ROUND($G101,2),"")</f>
        <v/>
      </c>
      <c r="J101" s="20" t="n">
        <f aca="false">IF(ROUND($G101,2)=0,0,1)</f>
        <v>0</v>
      </c>
      <c r="K101" s="20" t="str">
        <f aca="false">IF($J101=0,"",SUM($J$93:$J101))</f>
        <v/>
      </c>
      <c r="L101" s="20" t="str">
        <f aca="false">IF($K101="","",$A101*100+$K101)</f>
        <v/>
      </c>
      <c r="M101" s="48" t="str">
        <f aca="false">IFERROR(INDEX(输入报销!$D:$D,MATCH($A101&amp;"-9",输入报销!$J:$J,0))&amp;"","")</f>
        <v/>
      </c>
    </row>
    <row r="102" customFormat="false" ht="13.5" hidden="false" customHeight="false" outlineLevel="0" collapsed="false">
      <c r="A102" s="47" t="n">
        <v>8</v>
      </c>
      <c r="C102" s="48" t="str">
        <f aca="false">助手报销!$C9</f>
        <v>大霍店</v>
      </c>
      <c r="D102" s="81" t="s">
        <v>488</v>
      </c>
      <c r="E102" s="48" t="str">
        <f aca="false">IFERROR(INDEX(输入报销!$E:$E,MATCH($A102&amp;"-10",输入报销!$J:$J,0))&amp;"","")</f>
        <v/>
      </c>
      <c r="F102" s="48" t="str">
        <f aca="false">IFERROR(INDEX(输入报销!$F:$F,MATCH($A102&amp;"-10",输入报销!$J:$J,0))&amp;"","")</f>
        <v/>
      </c>
      <c r="G102" s="49" t="n">
        <f aca="false">IFERROR(ROUND(INDEX(输入报销!$G:$G,MATCH($A102&amp;"-10",输入报销!$J:$J,0)),2),0)</f>
        <v>0</v>
      </c>
      <c r="H102" s="49" t="str">
        <f aca="false">IF(ROUND($G102,2)&gt;0,ROUND($G102,2),"")</f>
        <v/>
      </c>
      <c r="I102" s="49" t="str">
        <f aca="false">IF(ROUND($G102,2)&lt;0,-ROUND($G102,2),"")</f>
        <v/>
      </c>
      <c r="J102" s="20" t="n">
        <f aca="false">IF(ROUND($G102,2)=0,0,1)</f>
        <v>0</v>
      </c>
      <c r="K102" s="20" t="str">
        <f aca="false">IF($J102=0,"",SUM($J$93:$J102))</f>
        <v/>
      </c>
      <c r="L102" s="20" t="str">
        <f aca="false">IF($K102="","",$A102*100+$K102)</f>
        <v/>
      </c>
      <c r="M102" s="48" t="str">
        <f aca="false">IFERROR(INDEX(输入报销!$D:$D,MATCH($A102&amp;"-10",输入报销!$J:$J,0))&amp;"","")</f>
        <v/>
      </c>
    </row>
    <row r="103" customFormat="false" ht="13.5" hidden="false" customHeight="false" outlineLevel="0" collapsed="false">
      <c r="A103" s="47" t="n">
        <v>8</v>
      </c>
      <c r="C103" s="48" t="str">
        <f aca="false">助手报销!$C9</f>
        <v>大霍店</v>
      </c>
      <c r="D103" s="81" t="s">
        <v>489</v>
      </c>
      <c r="E103" s="48" t="str">
        <f aca="false">参数!$B$6</f>
        <v>库存现金</v>
      </c>
      <c r="F103" s="48" t="str">
        <f aca="false">""</f>
        <v/>
      </c>
      <c r="G103" s="49" t="n">
        <f aca="false">-ROUND(SUMIFS(输入报销!$G:$G,输入报销!$A:$A,$A103,输入报销!$H:$H,参数!$B$6),2)</f>
        <v>-15</v>
      </c>
      <c r="H103" s="49" t="str">
        <f aca="false">IF(ROUND($G103,2)&gt;0,ROUND($G103,2),"")</f>
        <v/>
      </c>
      <c r="I103" s="49" t="n">
        <f aca="false">IF(ROUND($G103,2)&lt;0,-ROUND($G103,2),"")</f>
        <v>15</v>
      </c>
      <c r="J103" s="20" t="n">
        <f aca="false">IF(ROUND($G103,2)=0,0,1)</f>
        <v>1</v>
      </c>
      <c r="K103" s="20" t="n">
        <f aca="false">IF($J103=0,"",SUM($J$93:$J103))</f>
        <v>2</v>
      </c>
      <c r="L103" s="20" t="n">
        <f aca="false">IF($K103="","",$A103*100+$K103)</f>
        <v>802</v>
      </c>
      <c r="M103" s="48" t="str">
        <f aca="false">""</f>
        <v/>
      </c>
    </row>
    <row r="104" customFormat="false" ht="13.5" hidden="false" customHeight="false" outlineLevel="0" collapsed="false">
      <c r="A104" s="47" t="n">
        <v>8</v>
      </c>
      <c r="C104" s="48" t="str">
        <f aca="false">助手报销!$C9</f>
        <v>大霍店</v>
      </c>
      <c r="D104" s="81" t="s">
        <v>490</v>
      </c>
      <c r="E104" s="48" t="str">
        <f aca="false">参数!$B$7</f>
        <v>银行存款</v>
      </c>
      <c r="F104" s="48" t="str">
        <f aca="false">""</f>
        <v/>
      </c>
      <c r="G104" s="49" t="n">
        <f aca="false">-ROUND(SUMIFS(输入报销!$G:$G,输入报销!$A:$A,$A104,输入报销!$H:$H,参数!$B$7),2)</f>
        <v>-0</v>
      </c>
      <c r="H104" s="49" t="str">
        <f aca="false">IF(ROUND($G104,2)&gt;0,ROUND($G104,2),"")</f>
        <v/>
      </c>
      <c r="I104" s="49" t="str">
        <f aca="false">IF(ROUND($G104,2)&lt;0,-ROUND($G104,2),"")</f>
        <v/>
      </c>
      <c r="J104" s="20" t="n">
        <f aca="false">IF(ROUND($G104,2)=0,0,1)</f>
        <v>0</v>
      </c>
      <c r="K104" s="20" t="str">
        <f aca="false">IF($J104=0,"",SUM($J$93:$J104))</f>
        <v/>
      </c>
      <c r="L104" s="20" t="str">
        <f aca="false">IF($K104="","",$A104*100+$K104)</f>
        <v/>
      </c>
      <c r="M104" s="48" t="str">
        <f aca="false">""</f>
        <v/>
      </c>
    </row>
    <row r="105" customFormat="false" ht="13.5" hidden="false" customHeight="false" outlineLevel="0" collapsed="false">
      <c r="A105" s="47" t="n">
        <v>8</v>
      </c>
      <c r="C105" s="48" t="str">
        <f aca="false">助手报销!$C9</f>
        <v>大霍店</v>
      </c>
      <c r="D105" s="81" t="s">
        <v>491</v>
      </c>
      <c r="E105" s="48" t="str">
        <f aca="false">参数!$B$8</f>
        <v>其他应付款</v>
      </c>
      <c r="F105" s="48" t="str">
        <f aca="false">""</f>
        <v/>
      </c>
      <c r="G105" s="49" t="n">
        <f aca="false">-ROUND(SUMIFS(输入报销!$G:$G,输入报销!$A:$A,$A105,输入报销!$H:$H,参数!$B$8),2)</f>
        <v>-0</v>
      </c>
      <c r="H105" s="49" t="str">
        <f aca="false">IF(ROUND($G105,2)&gt;0,ROUND($G105,2),"")</f>
        <v/>
      </c>
      <c r="I105" s="49" t="str">
        <f aca="false">IF(ROUND($G105,2)&lt;0,-ROUND($G105,2),"")</f>
        <v/>
      </c>
      <c r="J105" s="20" t="n">
        <f aca="false">IF(ROUND($G105,2)=0,0,1)</f>
        <v>0</v>
      </c>
      <c r="K105" s="20" t="str">
        <f aca="false">IF($J105=0,"",SUM($J$93:$J105))</f>
        <v/>
      </c>
      <c r="L105" s="20" t="str">
        <f aca="false">IF($K105="","",$A105*100+$K105)</f>
        <v/>
      </c>
      <c r="M105" s="48" t="str">
        <f aca="false">""</f>
        <v/>
      </c>
    </row>
    <row r="106" customFormat="false" ht="13.5" hidden="false" customHeight="false" outlineLevel="0" collapsed="false">
      <c r="A106" s="47" t="n">
        <v>9</v>
      </c>
      <c r="C106" s="48" t="str">
        <f aca="false">助手报销!$C10</f>
        <v>莲子镇店</v>
      </c>
      <c r="D106" s="81" t="s">
        <v>479</v>
      </c>
      <c r="E106" s="48" t="str">
        <f aca="false">IFERROR(INDEX(输入报销!$E:$E,MATCH($A106&amp;"-1",输入报销!$J:$J,0))&amp;"","")</f>
        <v>销售费用</v>
      </c>
      <c r="F106" s="48" t="str">
        <f aca="false">IFERROR(INDEX(输入报销!$F:$F,MATCH($A106&amp;"-1",输入报销!$J:$J,0))&amp;"","")</f>
        <v>电费</v>
      </c>
      <c r="G106" s="49" t="n">
        <f aca="false">IFERROR(ROUND(INDEX(输入报销!$G:$G,MATCH($A106&amp;"-1",输入报销!$J:$J,0)),2),0)</f>
        <v>600</v>
      </c>
      <c r="H106" s="49" t="n">
        <f aca="false">IF(ROUND($G106,2)&gt;0,ROUND($G106,2),"")</f>
        <v>600</v>
      </c>
      <c r="I106" s="49" t="str">
        <f aca="false">IF(ROUND($G106,2)&lt;0,-ROUND($G106,2),"")</f>
        <v/>
      </c>
      <c r="J106" s="20" t="n">
        <f aca="false">IF(ROUND($G106,2)=0,0,1)</f>
        <v>1</v>
      </c>
      <c r="K106" s="20" t="n">
        <f aca="false">IF($J106=0,"",SUM($J$106:$J106))</f>
        <v>1</v>
      </c>
      <c r="L106" s="20" t="n">
        <f aca="false">IF($K106="","",$A106*100+$K106)</f>
        <v>901</v>
      </c>
      <c r="M106" s="48" t="str">
        <f aca="false">IFERROR(INDEX(输入报销!$D:$D,MATCH($A106&amp;"-1",输入报销!$J:$J,0))&amp;"","")</f>
        <v>电费</v>
      </c>
    </row>
    <row r="107" customFormat="false" ht="13.5" hidden="false" customHeight="false" outlineLevel="0" collapsed="false">
      <c r="A107" s="47" t="n">
        <v>9</v>
      </c>
      <c r="C107" s="48" t="str">
        <f aca="false">助手报销!$C10</f>
        <v>莲子镇店</v>
      </c>
      <c r="D107" s="81" t="s">
        <v>480</v>
      </c>
      <c r="E107" s="48" t="str">
        <f aca="false">IFERROR(INDEX(输入报销!$E:$E,MATCH($A107&amp;"-2",输入报销!$J:$J,0))&amp;"","")</f>
        <v>销售费用</v>
      </c>
      <c r="F107" s="48" t="str">
        <f aca="false">IFERROR(INDEX(输入报销!$F:$F,MATCH($A107&amp;"-2",输入报销!$J:$J,0))&amp;"","")</f>
        <v>办公费</v>
      </c>
      <c r="G107" s="49" t="n">
        <f aca="false">IFERROR(ROUND(INDEX(输入报销!$G:$G,MATCH($A107&amp;"-2",输入报销!$J:$J,0)),2),0)</f>
        <v>50</v>
      </c>
      <c r="H107" s="49" t="n">
        <f aca="false">IF(ROUND($G107,2)&gt;0,ROUND($G107,2),"")</f>
        <v>50</v>
      </c>
      <c r="I107" s="49" t="str">
        <f aca="false">IF(ROUND($G107,2)&lt;0,-ROUND($G107,2),"")</f>
        <v/>
      </c>
      <c r="J107" s="20" t="n">
        <f aca="false">IF(ROUND($G107,2)=0,0,1)</f>
        <v>1</v>
      </c>
      <c r="K107" s="20" t="n">
        <f aca="false">IF($J107=0,"",SUM($J$106:$J107))</f>
        <v>2</v>
      </c>
      <c r="L107" s="20" t="n">
        <f aca="false">IF($K107="","",$A107*100+$K107)</f>
        <v>902</v>
      </c>
      <c r="M107" s="48" t="str">
        <f aca="false">IFERROR(INDEX(输入报销!$D:$D,MATCH($A107&amp;"-2",输入报销!$J:$J,0))&amp;"","")</f>
        <v>插排饮水机阀</v>
      </c>
    </row>
    <row r="108" customFormat="false" ht="13.5" hidden="false" customHeight="false" outlineLevel="0" collapsed="false">
      <c r="A108" s="47" t="n">
        <v>9</v>
      </c>
      <c r="C108" s="48" t="str">
        <f aca="false">助手报销!$C10</f>
        <v>莲子镇店</v>
      </c>
      <c r="D108" s="81" t="s">
        <v>481</v>
      </c>
      <c r="E108" s="48" t="str">
        <f aca="false">IFERROR(INDEX(输入报销!$E:$E,MATCH($A108&amp;"-3",输入报销!$J:$J,0))&amp;"","")</f>
        <v>销售费用</v>
      </c>
      <c r="F108" s="48" t="str">
        <f aca="false">IFERROR(INDEX(输入报销!$F:$F,MATCH($A108&amp;"-3",输入报销!$J:$J,0))&amp;"","")</f>
        <v>水费</v>
      </c>
      <c r="G108" s="49" t="n">
        <f aca="false">IFERROR(ROUND(INDEX(输入报销!$G:$G,MATCH($A108&amp;"-3",输入报销!$J:$J,0)),2),0)</f>
        <v>40</v>
      </c>
      <c r="H108" s="49" t="n">
        <f aca="false">IF(ROUND($G108,2)&gt;0,ROUND($G108,2),"")</f>
        <v>40</v>
      </c>
      <c r="I108" s="49" t="str">
        <f aca="false">IF(ROUND($G108,2)&lt;0,-ROUND($G108,2),"")</f>
        <v/>
      </c>
      <c r="J108" s="20" t="n">
        <f aca="false">IF(ROUND($G108,2)=0,0,1)</f>
        <v>1</v>
      </c>
      <c r="K108" s="20" t="n">
        <f aca="false">IF($J108=0,"",SUM($J$106:$J108))</f>
        <v>3</v>
      </c>
      <c r="L108" s="20" t="n">
        <f aca="false">IF($K108="","",$A108*100+$K108)</f>
        <v>903</v>
      </c>
      <c r="M108" s="48" t="str">
        <f aca="false">IFERROR(INDEX(输入报销!$D:$D,MATCH($A108&amp;"-3",输入报销!$J:$J,0))&amp;"","")</f>
        <v>水费</v>
      </c>
    </row>
    <row r="109" customFormat="false" ht="13.5" hidden="false" customHeight="false" outlineLevel="0" collapsed="false">
      <c r="A109" s="47" t="n">
        <v>9</v>
      </c>
      <c r="C109" s="48" t="str">
        <f aca="false">助手报销!$C10</f>
        <v>莲子镇店</v>
      </c>
      <c r="D109" s="81" t="s">
        <v>482</v>
      </c>
      <c r="E109" s="48" t="str">
        <f aca="false">IFERROR(INDEX(输入报销!$E:$E,MATCH($A109&amp;"-4",输入报销!$J:$J,0))&amp;"","")</f>
        <v/>
      </c>
      <c r="F109" s="48" t="str">
        <f aca="false">IFERROR(INDEX(输入报销!$F:$F,MATCH($A109&amp;"-4",输入报销!$J:$J,0))&amp;"","")</f>
        <v/>
      </c>
      <c r="G109" s="49" t="n">
        <f aca="false">IFERROR(ROUND(INDEX(输入报销!$G:$G,MATCH($A109&amp;"-4",输入报销!$J:$J,0)),2),0)</f>
        <v>0</v>
      </c>
      <c r="H109" s="49" t="str">
        <f aca="false">IF(ROUND($G109,2)&gt;0,ROUND($G109,2),"")</f>
        <v/>
      </c>
      <c r="I109" s="49" t="str">
        <f aca="false">IF(ROUND($G109,2)&lt;0,-ROUND($G109,2),"")</f>
        <v/>
      </c>
      <c r="J109" s="20" t="n">
        <f aca="false">IF(ROUND($G109,2)=0,0,1)</f>
        <v>0</v>
      </c>
      <c r="K109" s="20" t="str">
        <f aca="false">IF($J109=0,"",SUM($J$106:$J109))</f>
        <v/>
      </c>
      <c r="L109" s="20" t="str">
        <f aca="false">IF($K109="","",$A109*100+$K109)</f>
        <v/>
      </c>
      <c r="M109" s="48" t="str">
        <f aca="false">IFERROR(INDEX(输入报销!$D:$D,MATCH($A109&amp;"-4",输入报销!$J:$J,0))&amp;"","")</f>
        <v/>
      </c>
    </row>
    <row r="110" customFormat="false" ht="13.5" hidden="false" customHeight="false" outlineLevel="0" collapsed="false">
      <c r="A110" s="47" t="n">
        <v>9</v>
      </c>
      <c r="C110" s="48" t="str">
        <f aca="false">助手报销!$C10</f>
        <v>莲子镇店</v>
      </c>
      <c r="D110" s="81" t="s">
        <v>483</v>
      </c>
      <c r="E110" s="48" t="str">
        <f aca="false">IFERROR(INDEX(输入报销!$E:$E,MATCH($A110&amp;"-5",输入报销!$J:$J,0))&amp;"","")</f>
        <v/>
      </c>
      <c r="F110" s="48" t="str">
        <f aca="false">IFERROR(INDEX(输入报销!$F:$F,MATCH($A110&amp;"-5",输入报销!$J:$J,0))&amp;"","")</f>
        <v/>
      </c>
      <c r="G110" s="49" t="n">
        <f aca="false">IFERROR(ROUND(INDEX(输入报销!$G:$G,MATCH($A110&amp;"-5",输入报销!$J:$J,0)),2),0)</f>
        <v>0</v>
      </c>
      <c r="H110" s="49" t="str">
        <f aca="false">IF(ROUND($G110,2)&gt;0,ROUND($G110,2),"")</f>
        <v/>
      </c>
      <c r="I110" s="49" t="str">
        <f aca="false">IF(ROUND($G110,2)&lt;0,-ROUND($G110,2),"")</f>
        <v/>
      </c>
      <c r="J110" s="20" t="n">
        <f aca="false">IF(ROUND($G110,2)=0,0,1)</f>
        <v>0</v>
      </c>
      <c r="K110" s="20" t="str">
        <f aca="false">IF($J110=0,"",SUM($J$106:$J110))</f>
        <v/>
      </c>
      <c r="L110" s="20" t="str">
        <f aca="false">IF($K110="","",$A110*100+$K110)</f>
        <v/>
      </c>
      <c r="M110" s="48" t="str">
        <f aca="false">IFERROR(INDEX(输入报销!$D:$D,MATCH($A110&amp;"-5",输入报销!$J:$J,0))&amp;"","")</f>
        <v/>
      </c>
    </row>
    <row r="111" customFormat="false" ht="13.5" hidden="false" customHeight="false" outlineLevel="0" collapsed="false">
      <c r="A111" s="47" t="n">
        <v>9</v>
      </c>
      <c r="C111" s="48" t="str">
        <f aca="false">助手报销!$C10</f>
        <v>莲子镇店</v>
      </c>
      <c r="D111" s="81" t="s">
        <v>484</v>
      </c>
      <c r="E111" s="48" t="str">
        <f aca="false">IFERROR(INDEX(输入报销!$E:$E,MATCH($A111&amp;"-6",输入报销!$J:$J,0))&amp;"","")</f>
        <v/>
      </c>
      <c r="F111" s="48" t="str">
        <f aca="false">IFERROR(INDEX(输入报销!$F:$F,MATCH($A111&amp;"-6",输入报销!$J:$J,0))&amp;"","")</f>
        <v/>
      </c>
      <c r="G111" s="49" t="n">
        <f aca="false">IFERROR(ROUND(INDEX(输入报销!$G:$G,MATCH($A111&amp;"-6",输入报销!$J:$J,0)),2),0)</f>
        <v>0</v>
      </c>
      <c r="H111" s="49" t="str">
        <f aca="false">IF(ROUND($G111,2)&gt;0,ROUND($G111,2),"")</f>
        <v/>
      </c>
      <c r="I111" s="49" t="str">
        <f aca="false">IF(ROUND($G111,2)&lt;0,-ROUND($G111,2),"")</f>
        <v/>
      </c>
      <c r="J111" s="20" t="n">
        <f aca="false">IF(ROUND($G111,2)=0,0,1)</f>
        <v>0</v>
      </c>
      <c r="K111" s="20" t="str">
        <f aca="false">IF($J111=0,"",SUM($J$106:$J111))</f>
        <v/>
      </c>
      <c r="L111" s="20" t="str">
        <f aca="false">IF($K111="","",$A111*100+$K111)</f>
        <v/>
      </c>
      <c r="M111" s="48" t="str">
        <f aca="false">IFERROR(INDEX(输入报销!$D:$D,MATCH($A111&amp;"-6",输入报销!$J:$J,0))&amp;"","")</f>
        <v/>
      </c>
    </row>
    <row r="112" customFormat="false" ht="13.5" hidden="false" customHeight="false" outlineLevel="0" collapsed="false">
      <c r="A112" s="47" t="n">
        <v>9</v>
      </c>
      <c r="C112" s="48" t="str">
        <f aca="false">助手报销!$C10</f>
        <v>莲子镇店</v>
      </c>
      <c r="D112" s="81" t="s">
        <v>485</v>
      </c>
      <c r="E112" s="48" t="str">
        <f aca="false">IFERROR(INDEX(输入报销!$E:$E,MATCH($A112&amp;"-7",输入报销!$J:$J,0))&amp;"","")</f>
        <v/>
      </c>
      <c r="F112" s="48" t="str">
        <f aca="false">IFERROR(INDEX(输入报销!$F:$F,MATCH($A112&amp;"-7",输入报销!$J:$J,0))&amp;"","")</f>
        <v/>
      </c>
      <c r="G112" s="49" t="n">
        <f aca="false">IFERROR(ROUND(INDEX(输入报销!$G:$G,MATCH($A112&amp;"-7",输入报销!$J:$J,0)),2),0)</f>
        <v>0</v>
      </c>
      <c r="H112" s="49" t="str">
        <f aca="false">IF(ROUND($G112,2)&gt;0,ROUND($G112,2),"")</f>
        <v/>
      </c>
      <c r="I112" s="49" t="str">
        <f aca="false">IF(ROUND($G112,2)&lt;0,-ROUND($G112,2),"")</f>
        <v/>
      </c>
      <c r="J112" s="20" t="n">
        <f aca="false">IF(ROUND($G112,2)=0,0,1)</f>
        <v>0</v>
      </c>
      <c r="K112" s="20" t="str">
        <f aca="false">IF($J112=0,"",SUM($J$106:$J112))</f>
        <v/>
      </c>
      <c r="L112" s="20" t="str">
        <f aca="false">IF($K112="","",$A112*100+$K112)</f>
        <v/>
      </c>
      <c r="M112" s="48" t="str">
        <f aca="false">IFERROR(INDEX(输入报销!$D:$D,MATCH($A112&amp;"-7",输入报销!$J:$J,0))&amp;"","")</f>
        <v/>
      </c>
    </row>
    <row r="113" customFormat="false" ht="13.5" hidden="false" customHeight="false" outlineLevel="0" collapsed="false">
      <c r="A113" s="47" t="n">
        <v>9</v>
      </c>
      <c r="C113" s="48" t="str">
        <f aca="false">助手报销!$C10</f>
        <v>莲子镇店</v>
      </c>
      <c r="D113" s="81" t="s">
        <v>486</v>
      </c>
      <c r="E113" s="48" t="str">
        <f aca="false">IFERROR(INDEX(输入报销!$E:$E,MATCH($A113&amp;"-8",输入报销!$J:$J,0))&amp;"","")</f>
        <v/>
      </c>
      <c r="F113" s="48" t="str">
        <f aca="false">IFERROR(INDEX(输入报销!$F:$F,MATCH($A113&amp;"-8",输入报销!$J:$J,0))&amp;"","")</f>
        <v/>
      </c>
      <c r="G113" s="49" t="n">
        <f aca="false">IFERROR(ROUND(INDEX(输入报销!$G:$G,MATCH($A113&amp;"-8",输入报销!$J:$J,0)),2),0)</f>
        <v>0</v>
      </c>
      <c r="H113" s="49" t="str">
        <f aca="false">IF(ROUND($G113,2)&gt;0,ROUND($G113,2),"")</f>
        <v/>
      </c>
      <c r="I113" s="49" t="str">
        <f aca="false">IF(ROUND($G113,2)&lt;0,-ROUND($G113,2),"")</f>
        <v/>
      </c>
      <c r="J113" s="20" t="n">
        <f aca="false">IF(ROUND($G113,2)=0,0,1)</f>
        <v>0</v>
      </c>
      <c r="K113" s="20" t="str">
        <f aca="false">IF($J113=0,"",SUM($J$106:$J113))</f>
        <v/>
      </c>
      <c r="L113" s="20" t="str">
        <f aca="false">IF($K113="","",$A113*100+$K113)</f>
        <v/>
      </c>
      <c r="M113" s="48" t="str">
        <f aca="false">IFERROR(INDEX(输入报销!$D:$D,MATCH($A113&amp;"-8",输入报销!$J:$J,0))&amp;"","")</f>
        <v/>
      </c>
    </row>
    <row r="114" customFormat="false" ht="13.5" hidden="false" customHeight="false" outlineLevel="0" collapsed="false">
      <c r="A114" s="47" t="n">
        <v>9</v>
      </c>
      <c r="C114" s="48" t="str">
        <f aca="false">助手报销!$C10</f>
        <v>莲子镇店</v>
      </c>
      <c r="D114" s="81" t="s">
        <v>487</v>
      </c>
      <c r="E114" s="48" t="str">
        <f aca="false">IFERROR(INDEX(输入报销!$E:$E,MATCH($A114&amp;"-9",输入报销!$J:$J,0))&amp;"","")</f>
        <v/>
      </c>
      <c r="F114" s="48" t="str">
        <f aca="false">IFERROR(INDEX(输入报销!$F:$F,MATCH($A114&amp;"-9",输入报销!$J:$J,0))&amp;"","")</f>
        <v/>
      </c>
      <c r="G114" s="49" t="n">
        <f aca="false">IFERROR(ROUND(INDEX(输入报销!$G:$G,MATCH($A114&amp;"-9",输入报销!$J:$J,0)),2),0)</f>
        <v>0</v>
      </c>
      <c r="H114" s="49" t="str">
        <f aca="false">IF(ROUND($G114,2)&gt;0,ROUND($G114,2),"")</f>
        <v/>
      </c>
      <c r="I114" s="49" t="str">
        <f aca="false">IF(ROUND($G114,2)&lt;0,-ROUND($G114,2),"")</f>
        <v/>
      </c>
      <c r="J114" s="20" t="n">
        <f aca="false">IF(ROUND($G114,2)=0,0,1)</f>
        <v>0</v>
      </c>
      <c r="K114" s="20" t="str">
        <f aca="false">IF($J114=0,"",SUM($J$106:$J114))</f>
        <v/>
      </c>
      <c r="L114" s="20" t="str">
        <f aca="false">IF($K114="","",$A114*100+$K114)</f>
        <v/>
      </c>
      <c r="M114" s="48" t="str">
        <f aca="false">IFERROR(INDEX(输入报销!$D:$D,MATCH($A114&amp;"-9",输入报销!$J:$J,0))&amp;"","")</f>
        <v/>
      </c>
    </row>
    <row r="115" customFormat="false" ht="13.5" hidden="false" customHeight="false" outlineLevel="0" collapsed="false">
      <c r="A115" s="47" t="n">
        <v>9</v>
      </c>
      <c r="C115" s="48" t="str">
        <f aca="false">助手报销!$C10</f>
        <v>莲子镇店</v>
      </c>
      <c r="D115" s="81" t="s">
        <v>488</v>
      </c>
      <c r="E115" s="48" t="str">
        <f aca="false">IFERROR(INDEX(输入报销!$E:$E,MATCH($A115&amp;"-10",输入报销!$J:$J,0))&amp;"","")</f>
        <v/>
      </c>
      <c r="F115" s="48" t="str">
        <f aca="false">IFERROR(INDEX(输入报销!$F:$F,MATCH($A115&amp;"-10",输入报销!$J:$J,0))&amp;"","")</f>
        <v/>
      </c>
      <c r="G115" s="49" t="n">
        <f aca="false">IFERROR(ROUND(INDEX(输入报销!$G:$G,MATCH($A115&amp;"-10",输入报销!$J:$J,0)),2),0)</f>
        <v>0</v>
      </c>
      <c r="H115" s="49" t="str">
        <f aca="false">IF(ROUND($G115,2)&gt;0,ROUND($G115,2),"")</f>
        <v/>
      </c>
      <c r="I115" s="49" t="str">
        <f aca="false">IF(ROUND($G115,2)&lt;0,-ROUND($G115,2),"")</f>
        <v/>
      </c>
      <c r="J115" s="20" t="n">
        <f aca="false">IF(ROUND($G115,2)=0,0,1)</f>
        <v>0</v>
      </c>
      <c r="K115" s="20" t="str">
        <f aca="false">IF($J115=0,"",SUM($J$106:$J115))</f>
        <v/>
      </c>
      <c r="L115" s="20" t="str">
        <f aca="false">IF($K115="","",$A115*100+$K115)</f>
        <v/>
      </c>
      <c r="M115" s="48" t="str">
        <f aca="false">IFERROR(INDEX(输入报销!$D:$D,MATCH($A115&amp;"-10",输入报销!$J:$J,0))&amp;"","")</f>
        <v/>
      </c>
    </row>
    <row r="116" customFormat="false" ht="13.5" hidden="false" customHeight="false" outlineLevel="0" collapsed="false">
      <c r="A116" s="47" t="n">
        <v>9</v>
      </c>
      <c r="C116" s="48" t="str">
        <f aca="false">助手报销!$C10</f>
        <v>莲子镇店</v>
      </c>
      <c r="D116" s="81" t="s">
        <v>489</v>
      </c>
      <c r="E116" s="48" t="str">
        <f aca="false">参数!$B$6</f>
        <v>库存现金</v>
      </c>
      <c r="F116" s="48" t="str">
        <f aca="false">""</f>
        <v/>
      </c>
      <c r="G116" s="49" t="n">
        <f aca="false">-ROUND(SUMIFS(输入报销!$G:$G,输入报销!$A:$A,$A116,输入报销!$H:$H,参数!$B$6),2)</f>
        <v>-690</v>
      </c>
      <c r="H116" s="49" t="str">
        <f aca="false">IF(ROUND($G116,2)&gt;0,ROUND($G116,2),"")</f>
        <v/>
      </c>
      <c r="I116" s="49" t="n">
        <f aca="false">IF(ROUND($G116,2)&lt;0,-ROUND($G116,2),"")</f>
        <v>690</v>
      </c>
      <c r="J116" s="20" t="n">
        <f aca="false">IF(ROUND($G116,2)=0,0,1)</f>
        <v>1</v>
      </c>
      <c r="K116" s="20" t="n">
        <f aca="false">IF($J116=0,"",SUM($J$106:$J116))</f>
        <v>4</v>
      </c>
      <c r="L116" s="20" t="n">
        <f aca="false">IF($K116="","",$A116*100+$K116)</f>
        <v>904</v>
      </c>
      <c r="M116" s="48" t="str">
        <f aca="false">""</f>
        <v/>
      </c>
    </row>
    <row r="117" customFormat="false" ht="13.5" hidden="false" customHeight="false" outlineLevel="0" collapsed="false">
      <c r="A117" s="47" t="n">
        <v>9</v>
      </c>
      <c r="C117" s="48" t="str">
        <f aca="false">助手报销!$C10</f>
        <v>莲子镇店</v>
      </c>
      <c r="D117" s="81" t="s">
        <v>490</v>
      </c>
      <c r="E117" s="48" t="str">
        <f aca="false">参数!$B$7</f>
        <v>银行存款</v>
      </c>
      <c r="F117" s="48" t="str">
        <f aca="false">""</f>
        <v/>
      </c>
      <c r="G117" s="49" t="n">
        <f aca="false">-ROUND(SUMIFS(输入报销!$G:$G,输入报销!$A:$A,$A117,输入报销!$H:$H,参数!$B$7),2)</f>
        <v>-0</v>
      </c>
      <c r="H117" s="49" t="str">
        <f aca="false">IF(ROUND($G117,2)&gt;0,ROUND($G117,2),"")</f>
        <v/>
      </c>
      <c r="I117" s="49" t="str">
        <f aca="false">IF(ROUND($G117,2)&lt;0,-ROUND($G117,2),"")</f>
        <v/>
      </c>
      <c r="J117" s="20" t="n">
        <f aca="false">IF(ROUND($G117,2)=0,0,1)</f>
        <v>0</v>
      </c>
      <c r="K117" s="20" t="str">
        <f aca="false">IF($J117=0,"",SUM($J$106:$J117))</f>
        <v/>
      </c>
      <c r="L117" s="20" t="str">
        <f aca="false">IF($K117="","",$A117*100+$K117)</f>
        <v/>
      </c>
      <c r="M117" s="48" t="str">
        <f aca="false">""</f>
        <v/>
      </c>
    </row>
    <row r="118" customFormat="false" ht="13.5" hidden="false" customHeight="false" outlineLevel="0" collapsed="false">
      <c r="A118" s="47" t="n">
        <v>9</v>
      </c>
      <c r="C118" s="48" t="str">
        <f aca="false">助手报销!$C10</f>
        <v>莲子镇店</v>
      </c>
      <c r="D118" s="81" t="s">
        <v>491</v>
      </c>
      <c r="E118" s="48" t="str">
        <f aca="false">参数!$B$8</f>
        <v>其他应付款</v>
      </c>
      <c r="F118" s="48" t="str">
        <f aca="false">""</f>
        <v/>
      </c>
      <c r="G118" s="49" t="n">
        <f aca="false">-ROUND(SUMIFS(输入报销!$G:$G,输入报销!$A:$A,$A118,输入报销!$H:$H,参数!$B$8),2)</f>
        <v>-0</v>
      </c>
      <c r="H118" s="49" t="str">
        <f aca="false">IF(ROUND($G118,2)&gt;0,ROUND($G118,2),"")</f>
        <v/>
      </c>
      <c r="I118" s="49" t="str">
        <f aca="false">IF(ROUND($G118,2)&lt;0,-ROUND($G118,2),"")</f>
        <v/>
      </c>
      <c r="J118" s="20" t="n">
        <f aca="false">IF(ROUND($G118,2)=0,0,1)</f>
        <v>0</v>
      </c>
      <c r="K118" s="20" t="str">
        <f aca="false">IF($J118=0,"",SUM($J$106:$J118))</f>
        <v/>
      </c>
      <c r="L118" s="20" t="str">
        <f aca="false">IF($K118="","",$A118*100+$K118)</f>
        <v/>
      </c>
      <c r="M118" s="48" t="str">
        <f aca="false">""</f>
        <v/>
      </c>
    </row>
    <row r="119" customFormat="false" ht="13.5" hidden="false" customHeight="false" outlineLevel="0" collapsed="false">
      <c r="A119" s="47" t="n">
        <v>10</v>
      </c>
      <c r="C119" s="48" t="str">
        <f aca="false">助手报销!$C11</f>
        <v>毛尔寨店</v>
      </c>
      <c r="D119" s="81" t="s">
        <v>479</v>
      </c>
      <c r="E119" s="48" t="str">
        <f aca="false">IFERROR(INDEX(输入报销!$E:$E,MATCH($A119&amp;"-1",输入报销!$J:$J,0))&amp;"","")</f>
        <v>销售费用</v>
      </c>
      <c r="F119" s="48" t="str">
        <f aca="false">IFERROR(INDEX(输入报销!$F:$F,MATCH($A119&amp;"-1",输入报销!$J:$J,0))&amp;"","")</f>
        <v>电费</v>
      </c>
      <c r="G119" s="49" t="n">
        <f aca="false">IFERROR(ROUND(INDEX(输入报销!$G:$G,MATCH($A119&amp;"-1",输入报销!$J:$J,0)),2),0)</f>
        <v>500</v>
      </c>
      <c r="H119" s="49" t="n">
        <f aca="false">IF(ROUND($G119,2)&gt;0,ROUND($G119,2),"")</f>
        <v>500</v>
      </c>
      <c r="I119" s="49" t="str">
        <f aca="false">IF(ROUND($G119,2)&lt;0,-ROUND($G119,2),"")</f>
        <v/>
      </c>
      <c r="J119" s="20" t="n">
        <f aca="false">IF(ROUND($G119,2)=0,0,1)</f>
        <v>1</v>
      </c>
      <c r="K119" s="20" t="n">
        <f aca="false">IF($J119=0,"",SUM($J$119:$J119))</f>
        <v>1</v>
      </c>
      <c r="L119" s="20" t="n">
        <f aca="false">IF($K119="","",$A119*100+$K119)</f>
        <v>1001</v>
      </c>
      <c r="M119" s="48" t="str">
        <f aca="false">IFERROR(INDEX(输入报销!$D:$D,MATCH($A119&amp;"-1",输入报销!$J:$J,0))&amp;"","")</f>
        <v>电费</v>
      </c>
    </row>
    <row r="120" customFormat="false" ht="13.5" hidden="false" customHeight="false" outlineLevel="0" collapsed="false">
      <c r="A120" s="47" t="n">
        <v>10</v>
      </c>
      <c r="C120" s="48" t="str">
        <f aca="false">助手报销!$C11</f>
        <v>毛尔寨店</v>
      </c>
      <c r="D120" s="81" t="s">
        <v>480</v>
      </c>
      <c r="E120" s="48" t="str">
        <f aca="false">IFERROR(INDEX(输入报销!$E:$E,MATCH($A120&amp;"-2",输入报销!$J:$J,0))&amp;"","")</f>
        <v>销售费用</v>
      </c>
      <c r="F120" s="48" t="str">
        <f aca="false">IFERROR(INDEX(输入报销!$F:$F,MATCH($A120&amp;"-2",输入报销!$J:$J,0))&amp;"","")</f>
        <v>办公费</v>
      </c>
      <c r="G120" s="49" t="n">
        <f aca="false">IFERROR(ROUND(INDEX(输入报销!$G:$G,MATCH($A120&amp;"-2",输入报销!$J:$J,0)),2),0)</f>
        <v>89.7</v>
      </c>
      <c r="H120" s="49" t="n">
        <f aca="false">IF(ROUND($G120,2)&gt;0,ROUND($G120,2),"")</f>
        <v>89.7</v>
      </c>
      <c r="I120" s="49" t="str">
        <f aca="false">IF(ROUND($G120,2)&lt;0,-ROUND($G120,2),"")</f>
        <v/>
      </c>
      <c r="J120" s="20" t="n">
        <f aca="false">IF(ROUND($G120,2)=0,0,1)</f>
        <v>1</v>
      </c>
      <c r="K120" s="20" t="n">
        <f aca="false">IF($J120=0,"",SUM($J$119:$J120))</f>
        <v>2</v>
      </c>
      <c r="L120" s="20" t="n">
        <f aca="false">IF($K120="","",$A120*100+$K120)</f>
        <v>1002</v>
      </c>
      <c r="M120" s="48" t="str">
        <f aca="false">IFERROR(INDEX(输入报销!$D:$D,MATCH($A120&amp;"-2",输入报销!$J:$J,0))&amp;"","")</f>
        <v>慢病用品</v>
      </c>
    </row>
    <row r="121" customFormat="false" ht="13.5" hidden="false" customHeight="false" outlineLevel="0" collapsed="false">
      <c r="A121" s="47" t="n">
        <v>10</v>
      </c>
      <c r="C121" s="48" t="str">
        <f aca="false">助手报销!$C11</f>
        <v>毛尔寨店</v>
      </c>
      <c r="D121" s="81" t="s">
        <v>481</v>
      </c>
      <c r="E121" s="48" t="str">
        <f aca="false">IFERROR(INDEX(输入报销!$E:$E,MATCH($A121&amp;"-3",输入报销!$J:$J,0))&amp;"","")</f>
        <v>销售费用</v>
      </c>
      <c r="F121" s="48" t="str">
        <f aca="false">IFERROR(INDEX(输入报销!$F:$F,MATCH($A121&amp;"-3",输入报销!$J:$J,0))&amp;"","")</f>
        <v>电话费</v>
      </c>
      <c r="G121" s="49" t="n">
        <f aca="false">IFERROR(ROUND(INDEX(输入报销!$G:$G,MATCH($A121&amp;"-3",输入报销!$J:$J,0)),2),0)</f>
        <v>100</v>
      </c>
      <c r="H121" s="49" t="n">
        <f aca="false">IF(ROUND($G121,2)&gt;0,ROUND($G121,2),"")</f>
        <v>100</v>
      </c>
      <c r="I121" s="49" t="str">
        <f aca="false">IF(ROUND($G121,2)&lt;0,-ROUND($G121,2),"")</f>
        <v/>
      </c>
      <c r="J121" s="20" t="n">
        <f aca="false">IF(ROUND($G121,2)=0,0,1)</f>
        <v>1</v>
      </c>
      <c r="K121" s="20" t="n">
        <f aca="false">IF($J121=0,"",SUM($J$119:$J121))</f>
        <v>3</v>
      </c>
      <c r="L121" s="20" t="n">
        <f aca="false">IF($K121="","",$A121*100+$K121)</f>
        <v>1003</v>
      </c>
      <c r="M121" s="48" t="str">
        <f aca="false">IFERROR(INDEX(输入报销!$D:$D,MATCH($A121&amp;"-3",输入报销!$J:$J,0))&amp;"","")</f>
        <v>电话费</v>
      </c>
    </row>
    <row r="122" customFormat="false" ht="13.5" hidden="false" customHeight="false" outlineLevel="0" collapsed="false">
      <c r="A122" s="47" t="n">
        <v>10</v>
      </c>
      <c r="C122" s="48" t="str">
        <f aca="false">助手报销!$C11</f>
        <v>毛尔寨店</v>
      </c>
      <c r="D122" s="81" t="s">
        <v>482</v>
      </c>
      <c r="E122" s="48" t="str">
        <f aca="false">IFERROR(INDEX(输入报销!$E:$E,MATCH($A122&amp;"-4",输入报销!$J:$J,0))&amp;"","")</f>
        <v>销售费用</v>
      </c>
      <c r="F122" s="48" t="str">
        <f aca="false">IFERROR(INDEX(输入报销!$F:$F,MATCH($A122&amp;"-4",输入报销!$J:$J,0))&amp;"","")</f>
        <v>办公费</v>
      </c>
      <c r="G122" s="49" t="n">
        <f aca="false">IFERROR(ROUND(INDEX(输入报销!$G:$G,MATCH($A122&amp;"-4",输入报销!$J:$J,0)),2),0)</f>
        <v>60</v>
      </c>
      <c r="H122" s="49" t="n">
        <f aca="false">IF(ROUND($G122,2)&gt;0,ROUND($G122,2),"")</f>
        <v>60</v>
      </c>
      <c r="I122" s="49" t="str">
        <f aca="false">IF(ROUND($G122,2)&lt;0,-ROUND($G122,2),"")</f>
        <v/>
      </c>
      <c r="J122" s="20" t="n">
        <f aca="false">IF(ROUND($G122,2)=0,0,1)</f>
        <v>1</v>
      </c>
      <c r="K122" s="20" t="n">
        <f aca="false">IF($J122=0,"",SUM($J$119:$J122))</f>
        <v>4</v>
      </c>
      <c r="L122" s="20" t="n">
        <f aca="false">IF($K122="","",$A122*100+$K122)</f>
        <v>1004</v>
      </c>
      <c r="M122" s="48" t="str">
        <f aca="false">IFERROR(INDEX(输入报销!$D:$D,MATCH($A122&amp;"-4",输入报销!$J:$J,0))&amp;"","")</f>
        <v>维修打印机</v>
      </c>
    </row>
    <row r="123" customFormat="false" ht="13.5" hidden="false" customHeight="false" outlineLevel="0" collapsed="false">
      <c r="A123" s="47" t="n">
        <v>10</v>
      </c>
      <c r="C123" s="48" t="str">
        <f aca="false">助手报销!$C11</f>
        <v>毛尔寨店</v>
      </c>
      <c r="D123" s="81" t="s">
        <v>483</v>
      </c>
      <c r="E123" s="48" t="str">
        <f aca="false">IFERROR(INDEX(输入报销!$E:$E,MATCH($A123&amp;"-5",输入报销!$J:$J,0))&amp;"","")</f>
        <v/>
      </c>
      <c r="F123" s="48" t="str">
        <f aca="false">IFERROR(INDEX(输入报销!$F:$F,MATCH($A123&amp;"-5",输入报销!$J:$J,0))&amp;"","")</f>
        <v/>
      </c>
      <c r="G123" s="49" t="n">
        <f aca="false">IFERROR(ROUND(INDEX(输入报销!$G:$G,MATCH($A123&amp;"-5",输入报销!$J:$J,0)),2),0)</f>
        <v>0</v>
      </c>
      <c r="H123" s="49" t="str">
        <f aca="false">IF(ROUND($G123,2)&gt;0,ROUND($G123,2),"")</f>
        <v/>
      </c>
      <c r="I123" s="49" t="str">
        <f aca="false">IF(ROUND($G123,2)&lt;0,-ROUND($G123,2),"")</f>
        <v/>
      </c>
      <c r="J123" s="20" t="n">
        <f aca="false">IF(ROUND($G123,2)=0,0,1)</f>
        <v>0</v>
      </c>
      <c r="K123" s="20" t="str">
        <f aca="false">IF($J123=0,"",SUM($J$119:$J123))</f>
        <v/>
      </c>
      <c r="L123" s="20" t="str">
        <f aca="false">IF($K123="","",$A123*100+$K123)</f>
        <v/>
      </c>
      <c r="M123" s="48" t="str">
        <f aca="false">IFERROR(INDEX(输入报销!$D:$D,MATCH($A123&amp;"-5",输入报销!$J:$J,0))&amp;"","")</f>
        <v/>
      </c>
    </row>
    <row r="124" customFormat="false" ht="13.5" hidden="false" customHeight="false" outlineLevel="0" collapsed="false">
      <c r="A124" s="47" t="n">
        <v>10</v>
      </c>
      <c r="C124" s="48" t="str">
        <f aca="false">助手报销!$C11</f>
        <v>毛尔寨店</v>
      </c>
      <c r="D124" s="81" t="s">
        <v>484</v>
      </c>
      <c r="E124" s="48" t="str">
        <f aca="false">IFERROR(INDEX(输入报销!$E:$E,MATCH($A124&amp;"-6",输入报销!$J:$J,0))&amp;"","")</f>
        <v/>
      </c>
      <c r="F124" s="48" t="str">
        <f aca="false">IFERROR(INDEX(输入报销!$F:$F,MATCH($A124&amp;"-6",输入报销!$J:$J,0))&amp;"","")</f>
        <v/>
      </c>
      <c r="G124" s="49" t="n">
        <f aca="false">IFERROR(ROUND(INDEX(输入报销!$G:$G,MATCH($A124&amp;"-6",输入报销!$J:$J,0)),2),0)</f>
        <v>0</v>
      </c>
      <c r="H124" s="49" t="str">
        <f aca="false">IF(ROUND($G124,2)&gt;0,ROUND($G124,2),"")</f>
        <v/>
      </c>
      <c r="I124" s="49" t="str">
        <f aca="false">IF(ROUND($G124,2)&lt;0,-ROUND($G124,2),"")</f>
        <v/>
      </c>
      <c r="J124" s="20" t="n">
        <f aca="false">IF(ROUND($G124,2)=0,0,1)</f>
        <v>0</v>
      </c>
      <c r="K124" s="20" t="str">
        <f aca="false">IF($J124=0,"",SUM($J$119:$J124))</f>
        <v/>
      </c>
      <c r="L124" s="20" t="str">
        <f aca="false">IF($K124="","",$A124*100+$K124)</f>
        <v/>
      </c>
      <c r="M124" s="48" t="str">
        <f aca="false">IFERROR(INDEX(输入报销!$D:$D,MATCH($A124&amp;"-6",输入报销!$J:$J,0))&amp;"","")</f>
        <v/>
      </c>
    </row>
    <row r="125" customFormat="false" ht="13.5" hidden="false" customHeight="false" outlineLevel="0" collapsed="false">
      <c r="A125" s="47" t="n">
        <v>10</v>
      </c>
      <c r="C125" s="48" t="str">
        <f aca="false">助手报销!$C11</f>
        <v>毛尔寨店</v>
      </c>
      <c r="D125" s="81" t="s">
        <v>485</v>
      </c>
      <c r="E125" s="48" t="str">
        <f aca="false">IFERROR(INDEX(输入报销!$E:$E,MATCH($A125&amp;"-7",输入报销!$J:$J,0))&amp;"","")</f>
        <v/>
      </c>
      <c r="F125" s="48" t="str">
        <f aca="false">IFERROR(INDEX(输入报销!$F:$F,MATCH($A125&amp;"-7",输入报销!$J:$J,0))&amp;"","")</f>
        <v/>
      </c>
      <c r="G125" s="49" t="n">
        <f aca="false">IFERROR(ROUND(INDEX(输入报销!$G:$G,MATCH($A125&amp;"-7",输入报销!$J:$J,0)),2),0)</f>
        <v>0</v>
      </c>
      <c r="H125" s="49" t="str">
        <f aca="false">IF(ROUND($G125,2)&gt;0,ROUND($G125,2),"")</f>
        <v/>
      </c>
      <c r="I125" s="49" t="str">
        <f aca="false">IF(ROUND($G125,2)&lt;0,-ROUND($G125,2),"")</f>
        <v/>
      </c>
      <c r="J125" s="20" t="n">
        <f aca="false">IF(ROUND($G125,2)=0,0,1)</f>
        <v>0</v>
      </c>
      <c r="K125" s="20" t="str">
        <f aca="false">IF($J125=0,"",SUM($J$119:$J125))</f>
        <v/>
      </c>
      <c r="L125" s="20" t="str">
        <f aca="false">IF($K125="","",$A125*100+$K125)</f>
        <v/>
      </c>
      <c r="M125" s="48" t="str">
        <f aca="false">IFERROR(INDEX(输入报销!$D:$D,MATCH($A125&amp;"-7",输入报销!$J:$J,0))&amp;"","")</f>
        <v/>
      </c>
    </row>
    <row r="126" customFormat="false" ht="13.5" hidden="false" customHeight="false" outlineLevel="0" collapsed="false">
      <c r="A126" s="47" t="n">
        <v>10</v>
      </c>
      <c r="C126" s="48" t="str">
        <f aca="false">助手报销!$C11</f>
        <v>毛尔寨店</v>
      </c>
      <c r="D126" s="81" t="s">
        <v>486</v>
      </c>
      <c r="E126" s="48" t="str">
        <f aca="false">IFERROR(INDEX(输入报销!$E:$E,MATCH($A126&amp;"-8",输入报销!$J:$J,0))&amp;"","")</f>
        <v/>
      </c>
      <c r="F126" s="48" t="str">
        <f aca="false">IFERROR(INDEX(输入报销!$F:$F,MATCH($A126&amp;"-8",输入报销!$J:$J,0))&amp;"","")</f>
        <v/>
      </c>
      <c r="G126" s="49" t="n">
        <f aca="false">IFERROR(ROUND(INDEX(输入报销!$G:$G,MATCH($A126&amp;"-8",输入报销!$J:$J,0)),2),0)</f>
        <v>0</v>
      </c>
      <c r="H126" s="49" t="str">
        <f aca="false">IF(ROUND($G126,2)&gt;0,ROUND($G126,2),"")</f>
        <v/>
      </c>
      <c r="I126" s="49" t="str">
        <f aca="false">IF(ROUND($G126,2)&lt;0,-ROUND($G126,2),"")</f>
        <v/>
      </c>
      <c r="J126" s="20" t="n">
        <f aca="false">IF(ROUND($G126,2)=0,0,1)</f>
        <v>0</v>
      </c>
      <c r="K126" s="20" t="str">
        <f aca="false">IF($J126=0,"",SUM($J$119:$J126))</f>
        <v/>
      </c>
      <c r="L126" s="20" t="str">
        <f aca="false">IF($K126="","",$A126*100+$K126)</f>
        <v/>
      </c>
      <c r="M126" s="48" t="str">
        <f aca="false">IFERROR(INDEX(输入报销!$D:$D,MATCH($A126&amp;"-8",输入报销!$J:$J,0))&amp;"","")</f>
        <v/>
      </c>
    </row>
    <row r="127" customFormat="false" ht="13.5" hidden="false" customHeight="false" outlineLevel="0" collapsed="false">
      <c r="A127" s="47" t="n">
        <v>10</v>
      </c>
      <c r="C127" s="48" t="str">
        <f aca="false">助手报销!$C11</f>
        <v>毛尔寨店</v>
      </c>
      <c r="D127" s="81" t="s">
        <v>487</v>
      </c>
      <c r="E127" s="48" t="str">
        <f aca="false">IFERROR(INDEX(输入报销!$E:$E,MATCH($A127&amp;"-9",输入报销!$J:$J,0))&amp;"","")</f>
        <v/>
      </c>
      <c r="F127" s="48" t="str">
        <f aca="false">IFERROR(INDEX(输入报销!$F:$F,MATCH($A127&amp;"-9",输入报销!$J:$J,0))&amp;"","")</f>
        <v/>
      </c>
      <c r="G127" s="49" t="n">
        <f aca="false">IFERROR(ROUND(INDEX(输入报销!$G:$G,MATCH($A127&amp;"-9",输入报销!$J:$J,0)),2),0)</f>
        <v>0</v>
      </c>
      <c r="H127" s="49" t="str">
        <f aca="false">IF(ROUND($G127,2)&gt;0,ROUND($G127,2),"")</f>
        <v/>
      </c>
      <c r="I127" s="49" t="str">
        <f aca="false">IF(ROUND($G127,2)&lt;0,-ROUND($G127,2),"")</f>
        <v/>
      </c>
      <c r="J127" s="20" t="n">
        <f aca="false">IF(ROUND($G127,2)=0,0,1)</f>
        <v>0</v>
      </c>
      <c r="K127" s="20" t="str">
        <f aca="false">IF($J127=0,"",SUM($J$119:$J127))</f>
        <v/>
      </c>
      <c r="L127" s="20" t="str">
        <f aca="false">IF($K127="","",$A127*100+$K127)</f>
        <v/>
      </c>
      <c r="M127" s="48" t="str">
        <f aca="false">IFERROR(INDEX(输入报销!$D:$D,MATCH($A127&amp;"-9",输入报销!$J:$J,0))&amp;"","")</f>
        <v/>
      </c>
    </row>
    <row r="128" customFormat="false" ht="13.5" hidden="false" customHeight="false" outlineLevel="0" collapsed="false">
      <c r="A128" s="47" t="n">
        <v>10</v>
      </c>
      <c r="C128" s="48" t="str">
        <f aca="false">助手报销!$C11</f>
        <v>毛尔寨店</v>
      </c>
      <c r="D128" s="81" t="s">
        <v>488</v>
      </c>
      <c r="E128" s="48" t="str">
        <f aca="false">IFERROR(INDEX(输入报销!$E:$E,MATCH($A128&amp;"-10",输入报销!$J:$J,0))&amp;"","")</f>
        <v/>
      </c>
      <c r="F128" s="48" t="str">
        <f aca="false">IFERROR(INDEX(输入报销!$F:$F,MATCH($A128&amp;"-10",输入报销!$J:$J,0))&amp;"","")</f>
        <v/>
      </c>
      <c r="G128" s="49" t="n">
        <f aca="false">IFERROR(ROUND(INDEX(输入报销!$G:$G,MATCH($A128&amp;"-10",输入报销!$J:$J,0)),2),0)</f>
        <v>0</v>
      </c>
      <c r="H128" s="49" t="str">
        <f aca="false">IF(ROUND($G128,2)&gt;0,ROUND($G128,2),"")</f>
        <v/>
      </c>
      <c r="I128" s="49" t="str">
        <f aca="false">IF(ROUND($G128,2)&lt;0,-ROUND($G128,2),"")</f>
        <v/>
      </c>
      <c r="J128" s="20" t="n">
        <f aca="false">IF(ROUND($G128,2)=0,0,1)</f>
        <v>0</v>
      </c>
      <c r="K128" s="20" t="str">
        <f aca="false">IF($J128=0,"",SUM($J$119:$J128))</f>
        <v/>
      </c>
      <c r="L128" s="20" t="str">
        <f aca="false">IF($K128="","",$A128*100+$K128)</f>
        <v/>
      </c>
      <c r="M128" s="48" t="str">
        <f aca="false">IFERROR(INDEX(输入报销!$D:$D,MATCH($A128&amp;"-10",输入报销!$J:$J,0))&amp;"","")</f>
        <v/>
      </c>
    </row>
    <row r="129" customFormat="false" ht="13.5" hidden="false" customHeight="false" outlineLevel="0" collapsed="false">
      <c r="A129" s="47" t="n">
        <v>10</v>
      </c>
      <c r="C129" s="48" t="str">
        <f aca="false">助手报销!$C11</f>
        <v>毛尔寨店</v>
      </c>
      <c r="D129" s="81" t="s">
        <v>489</v>
      </c>
      <c r="E129" s="48" t="str">
        <f aca="false">参数!$B$6</f>
        <v>库存现金</v>
      </c>
      <c r="F129" s="48" t="str">
        <f aca="false">""</f>
        <v/>
      </c>
      <c r="G129" s="49" t="n">
        <f aca="false">-ROUND(SUMIFS(输入报销!$G:$G,输入报销!$A:$A,$A129,输入报销!$H:$H,参数!$B$6),2)</f>
        <v>-749.7</v>
      </c>
      <c r="H129" s="49" t="str">
        <f aca="false">IF(ROUND($G129,2)&gt;0,ROUND($G129,2),"")</f>
        <v/>
      </c>
      <c r="I129" s="49" t="n">
        <f aca="false">IF(ROUND($G129,2)&lt;0,-ROUND($G129,2),"")</f>
        <v>749.7</v>
      </c>
      <c r="J129" s="20" t="n">
        <f aca="false">IF(ROUND($G129,2)=0,0,1)</f>
        <v>1</v>
      </c>
      <c r="K129" s="20" t="n">
        <f aca="false">IF($J129=0,"",SUM($J$119:$J129))</f>
        <v>5</v>
      </c>
      <c r="L129" s="20" t="n">
        <f aca="false">IF($K129="","",$A129*100+$K129)</f>
        <v>1005</v>
      </c>
      <c r="M129" s="48" t="str">
        <f aca="false">""</f>
        <v/>
      </c>
    </row>
    <row r="130" customFormat="false" ht="13.5" hidden="false" customHeight="false" outlineLevel="0" collapsed="false">
      <c r="A130" s="47" t="n">
        <v>10</v>
      </c>
      <c r="C130" s="48" t="str">
        <f aca="false">助手报销!$C11</f>
        <v>毛尔寨店</v>
      </c>
      <c r="D130" s="81" t="s">
        <v>490</v>
      </c>
      <c r="E130" s="48" t="str">
        <f aca="false">参数!$B$7</f>
        <v>银行存款</v>
      </c>
      <c r="F130" s="48" t="str">
        <f aca="false">""</f>
        <v/>
      </c>
      <c r="G130" s="49" t="n">
        <f aca="false">-ROUND(SUMIFS(输入报销!$G:$G,输入报销!$A:$A,$A130,输入报销!$H:$H,参数!$B$7),2)</f>
        <v>-0</v>
      </c>
      <c r="H130" s="49" t="str">
        <f aca="false">IF(ROUND($G130,2)&gt;0,ROUND($G130,2),"")</f>
        <v/>
      </c>
      <c r="I130" s="49" t="str">
        <f aca="false">IF(ROUND($G130,2)&lt;0,-ROUND($G130,2),"")</f>
        <v/>
      </c>
      <c r="J130" s="20" t="n">
        <f aca="false">IF(ROUND($G130,2)=0,0,1)</f>
        <v>0</v>
      </c>
      <c r="K130" s="20" t="str">
        <f aca="false">IF($J130=0,"",SUM($J$119:$J130))</f>
        <v/>
      </c>
      <c r="L130" s="20" t="str">
        <f aca="false">IF($K130="","",$A130*100+$K130)</f>
        <v/>
      </c>
      <c r="M130" s="48" t="str">
        <f aca="false">""</f>
        <v/>
      </c>
    </row>
    <row r="131" customFormat="false" ht="13.5" hidden="false" customHeight="false" outlineLevel="0" collapsed="false">
      <c r="A131" s="47" t="n">
        <v>10</v>
      </c>
      <c r="C131" s="48" t="str">
        <f aca="false">助手报销!$C11</f>
        <v>毛尔寨店</v>
      </c>
      <c r="D131" s="81" t="s">
        <v>491</v>
      </c>
      <c r="E131" s="48" t="str">
        <f aca="false">参数!$B$8</f>
        <v>其他应付款</v>
      </c>
      <c r="F131" s="48" t="str">
        <f aca="false">""</f>
        <v/>
      </c>
      <c r="G131" s="49" t="n">
        <f aca="false">-ROUND(SUMIFS(输入报销!$G:$G,输入报销!$A:$A,$A131,输入报销!$H:$H,参数!$B$8),2)</f>
        <v>-0</v>
      </c>
      <c r="H131" s="49" t="str">
        <f aca="false">IF(ROUND($G131,2)&gt;0,ROUND($G131,2),"")</f>
        <v/>
      </c>
      <c r="I131" s="49" t="str">
        <f aca="false">IF(ROUND($G131,2)&lt;0,-ROUND($G131,2),"")</f>
        <v/>
      </c>
      <c r="J131" s="20" t="n">
        <f aca="false">IF(ROUND($G131,2)=0,0,1)</f>
        <v>0</v>
      </c>
      <c r="K131" s="20" t="str">
        <f aca="false">IF($J131=0,"",SUM($J$119:$J131))</f>
        <v/>
      </c>
      <c r="L131" s="20" t="str">
        <f aca="false">IF($K131="","",$A131*100+$K131)</f>
        <v/>
      </c>
      <c r="M131" s="48" t="str">
        <f aca="false">""</f>
        <v/>
      </c>
    </row>
    <row r="132" customFormat="false" ht="13.5" hidden="false" customHeight="false" outlineLevel="0" collapsed="false">
      <c r="A132" s="47" t="n">
        <v>11</v>
      </c>
      <c r="C132" s="48" t="str">
        <f aca="false">助手报销!$C12</f>
        <v>泽畔店</v>
      </c>
      <c r="D132" s="81" t="s">
        <v>479</v>
      </c>
      <c r="E132" s="48" t="str">
        <f aca="false">IFERROR(INDEX(输入报销!$E:$E,MATCH($A132&amp;"-1",输入报销!$J:$J,0))&amp;"","")</f>
        <v>销售费用</v>
      </c>
      <c r="F132" s="48" t="str">
        <f aca="false">IFERROR(INDEX(输入报销!$F:$F,MATCH($A132&amp;"-1",输入报销!$J:$J,0))&amp;"","")</f>
        <v>电费</v>
      </c>
      <c r="G132" s="49" t="n">
        <f aca="false">IFERROR(ROUND(INDEX(输入报销!$G:$G,MATCH($A132&amp;"-1",输入报销!$J:$J,0)),2),0)</f>
        <v>500</v>
      </c>
      <c r="H132" s="49" t="n">
        <f aca="false">IF(ROUND($G132,2)&gt;0,ROUND($G132,2),"")</f>
        <v>500</v>
      </c>
      <c r="I132" s="49" t="str">
        <f aca="false">IF(ROUND($G132,2)&lt;0,-ROUND($G132,2),"")</f>
        <v/>
      </c>
      <c r="J132" s="20" t="n">
        <f aca="false">IF(ROUND($G132,2)=0,0,1)</f>
        <v>1</v>
      </c>
      <c r="K132" s="20" t="n">
        <f aca="false">IF($J132=0,"",SUM($J$132:$J132))</f>
        <v>1</v>
      </c>
      <c r="L132" s="20" t="n">
        <f aca="false">IF($K132="","",$A132*100+$K132)</f>
        <v>1101</v>
      </c>
      <c r="M132" s="48" t="str">
        <f aca="false">IFERROR(INDEX(输入报销!$D:$D,MATCH($A132&amp;"-1",输入报销!$J:$J,0))&amp;"","")</f>
        <v>电费</v>
      </c>
    </row>
    <row r="133" customFormat="false" ht="13.5" hidden="false" customHeight="false" outlineLevel="0" collapsed="false">
      <c r="A133" s="47" t="n">
        <v>11</v>
      </c>
      <c r="C133" s="48" t="str">
        <f aca="false">助手报销!$C12</f>
        <v>泽畔店</v>
      </c>
      <c r="D133" s="81" t="s">
        <v>480</v>
      </c>
      <c r="E133" s="48" t="str">
        <f aca="false">IFERROR(INDEX(输入报销!$E:$E,MATCH($A133&amp;"-2",输入报销!$J:$J,0))&amp;"","")</f>
        <v/>
      </c>
      <c r="F133" s="48" t="str">
        <f aca="false">IFERROR(INDEX(输入报销!$F:$F,MATCH($A133&amp;"-2",输入报销!$J:$J,0))&amp;"","")</f>
        <v/>
      </c>
      <c r="G133" s="49" t="n">
        <f aca="false">IFERROR(ROUND(INDEX(输入报销!$G:$G,MATCH($A133&amp;"-2",输入报销!$J:$J,0)),2),0)</f>
        <v>0</v>
      </c>
      <c r="H133" s="49" t="str">
        <f aca="false">IF(ROUND($G133,2)&gt;0,ROUND($G133,2),"")</f>
        <v/>
      </c>
      <c r="I133" s="49" t="str">
        <f aca="false">IF(ROUND($G133,2)&lt;0,-ROUND($G133,2),"")</f>
        <v/>
      </c>
      <c r="J133" s="20" t="n">
        <f aca="false">IF(ROUND($G133,2)=0,0,1)</f>
        <v>0</v>
      </c>
      <c r="K133" s="20" t="str">
        <f aca="false">IF($J133=0,"",SUM($J$132:$J133))</f>
        <v/>
      </c>
      <c r="L133" s="20" t="str">
        <f aca="false">IF($K133="","",$A133*100+$K133)</f>
        <v/>
      </c>
      <c r="M133" s="48" t="str">
        <f aca="false">IFERROR(INDEX(输入报销!$D:$D,MATCH($A133&amp;"-2",输入报销!$J:$J,0))&amp;"","")</f>
        <v/>
      </c>
    </row>
    <row r="134" customFormat="false" ht="13.5" hidden="false" customHeight="false" outlineLevel="0" collapsed="false">
      <c r="A134" s="47" t="n">
        <v>11</v>
      </c>
      <c r="C134" s="48" t="str">
        <f aca="false">助手报销!$C12</f>
        <v>泽畔店</v>
      </c>
      <c r="D134" s="81" t="s">
        <v>481</v>
      </c>
      <c r="E134" s="48" t="str">
        <f aca="false">IFERROR(INDEX(输入报销!$E:$E,MATCH($A134&amp;"-3",输入报销!$J:$J,0))&amp;"","")</f>
        <v/>
      </c>
      <c r="F134" s="48" t="str">
        <f aca="false">IFERROR(INDEX(输入报销!$F:$F,MATCH($A134&amp;"-3",输入报销!$J:$J,0))&amp;"","")</f>
        <v/>
      </c>
      <c r="G134" s="49" t="n">
        <f aca="false">IFERROR(ROUND(INDEX(输入报销!$G:$G,MATCH($A134&amp;"-3",输入报销!$J:$J,0)),2),0)</f>
        <v>0</v>
      </c>
      <c r="H134" s="49" t="str">
        <f aca="false">IF(ROUND($G134,2)&gt;0,ROUND($G134,2),"")</f>
        <v/>
      </c>
      <c r="I134" s="49" t="str">
        <f aca="false">IF(ROUND($G134,2)&lt;0,-ROUND($G134,2),"")</f>
        <v/>
      </c>
      <c r="J134" s="20" t="n">
        <f aca="false">IF(ROUND($G134,2)=0,0,1)</f>
        <v>0</v>
      </c>
      <c r="K134" s="20" t="str">
        <f aca="false">IF($J134=0,"",SUM($J$132:$J134))</f>
        <v/>
      </c>
      <c r="L134" s="20" t="str">
        <f aca="false">IF($K134="","",$A134*100+$K134)</f>
        <v/>
      </c>
      <c r="M134" s="48" t="str">
        <f aca="false">IFERROR(INDEX(输入报销!$D:$D,MATCH($A134&amp;"-3",输入报销!$J:$J,0))&amp;"","")</f>
        <v/>
      </c>
    </row>
    <row r="135" customFormat="false" ht="13.5" hidden="false" customHeight="false" outlineLevel="0" collapsed="false">
      <c r="A135" s="47" t="n">
        <v>11</v>
      </c>
      <c r="C135" s="48" t="str">
        <f aca="false">助手报销!$C12</f>
        <v>泽畔店</v>
      </c>
      <c r="D135" s="81" t="s">
        <v>482</v>
      </c>
      <c r="E135" s="48" t="str">
        <f aca="false">IFERROR(INDEX(输入报销!$E:$E,MATCH($A135&amp;"-4",输入报销!$J:$J,0))&amp;"","")</f>
        <v/>
      </c>
      <c r="F135" s="48" t="str">
        <f aca="false">IFERROR(INDEX(输入报销!$F:$F,MATCH($A135&amp;"-4",输入报销!$J:$J,0))&amp;"","")</f>
        <v/>
      </c>
      <c r="G135" s="49" t="n">
        <f aca="false">IFERROR(ROUND(INDEX(输入报销!$G:$G,MATCH($A135&amp;"-4",输入报销!$J:$J,0)),2),0)</f>
        <v>0</v>
      </c>
      <c r="H135" s="49" t="str">
        <f aca="false">IF(ROUND($G135,2)&gt;0,ROUND($G135,2),"")</f>
        <v/>
      </c>
      <c r="I135" s="49" t="str">
        <f aca="false">IF(ROUND($G135,2)&lt;0,-ROUND($G135,2),"")</f>
        <v/>
      </c>
      <c r="J135" s="20" t="n">
        <f aca="false">IF(ROUND($G135,2)=0,0,1)</f>
        <v>0</v>
      </c>
      <c r="K135" s="20" t="str">
        <f aca="false">IF($J135=0,"",SUM($J$132:$J135))</f>
        <v/>
      </c>
      <c r="L135" s="20" t="str">
        <f aca="false">IF($K135="","",$A135*100+$K135)</f>
        <v/>
      </c>
      <c r="M135" s="48" t="str">
        <f aca="false">IFERROR(INDEX(输入报销!$D:$D,MATCH($A135&amp;"-4",输入报销!$J:$J,0))&amp;"","")</f>
        <v/>
      </c>
    </row>
    <row r="136" customFormat="false" ht="13.5" hidden="false" customHeight="false" outlineLevel="0" collapsed="false">
      <c r="A136" s="47" t="n">
        <v>11</v>
      </c>
      <c r="C136" s="48" t="str">
        <f aca="false">助手报销!$C12</f>
        <v>泽畔店</v>
      </c>
      <c r="D136" s="81" t="s">
        <v>483</v>
      </c>
      <c r="E136" s="48" t="str">
        <f aca="false">IFERROR(INDEX(输入报销!$E:$E,MATCH($A136&amp;"-5",输入报销!$J:$J,0))&amp;"","")</f>
        <v/>
      </c>
      <c r="F136" s="48" t="str">
        <f aca="false">IFERROR(INDEX(输入报销!$F:$F,MATCH($A136&amp;"-5",输入报销!$J:$J,0))&amp;"","")</f>
        <v/>
      </c>
      <c r="G136" s="49" t="n">
        <f aca="false">IFERROR(ROUND(INDEX(输入报销!$G:$G,MATCH($A136&amp;"-5",输入报销!$J:$J,0)),2),0)</f>
        <v>0</v>
      </c>
      <c r="H136" s="49" t="str">
        <f aca="false">IF(ROUND($G136,2)&gt;0,ROUND($G136,2),"")</f>
        <v/>
      </c>
      <c r="I136" s="49" t="str">
        <f aca="false">IF(ROUND($G136,2)&lt;0,-ROUND($G136,2),"")</f>
        <v/>
      </c>
      <c r="J136" s="20" t="n">
        <f aca="false">IF(ROUND($G136,2)=0,0,1)</f>
        <v>0</v>
      </c>
      <c r="K136" s="20" t="str">
        <f aca="false">IF($J136=0,"",SUM($J$132:$J136))</f>
        <v/>
      </c>
      <c r="L136" s="20" t="str">
        <f aca="false">IF($K136="","",$A136*100+$K136)</f>
        <v/>
      </c>
      <c r="M136" s="48" t="str">
        <f aca="false">IFERROR(INDEX(输入报销!$D:$D,MATCH($A136&amp;"-5",输入报销!$J:$J,0))&amp;"","")</f>
        <v/>
      </c>
    </row>
    <row r="137" customFormat="false" ht="13.5" hidden="false" customHeight="false" outlineLevel="0" collapsed="false">
      <c r="A137" s="47" t="n">
        <v>11</v>
      </c>
      <c r="C137" s="48" t="str">
        <f aca="false">助手报销!$C12</f>
        <v>泽畔店</v>
      </c>
      <c r="D137" s="81" t="s">
        <v>484</v>
      </c>
      <c r="E137" s="48" t="str">
        <f aca="false">IFERROR(INDEX(输入报销!$E:$E,MATCH($A137&amp;"-6",输入报销!$J:$J,0))&amp;"","")</f>
        <v/>
      </c>
      <c r="F137" s="48" t="str">
        <f aca="false">IFERROR(INDEX(输入报销!$F:$F,MATCH($A137&amp;"-6",输入报销!$J:$J,0))&amp;"","")</f>
        <v/>
      </c>
      <c r="G137" s="49" t="n">
        <f aca="false">IFERROR(ROUND(INDEX(输入报销!$G:$G,MATCH($A137&amp;"-6",输入报销!$J:$J,0)),2),0)</f>
        <v>0</v>
      </c>
      <c r="H137" s="49" t="str">
        <f aca="false">IF(ROUND($G137,2)&gt;0,ROUND($G137,2),"")</f>
        <v/>
      </c>
      <c r="I137" s="49" t="str">
        <f aca="false">IF(ROUND($G137,2)&lt;0,-ROUND($G137,2),"")</f>
        <v/>
      </c>
      <c r="J137" s="20" t="n">
        <f aca="false">IF(ROUND($G137,2)=0,0,1)</f>
        <v>0</v>
      </c>
      <c r="K137" s="20" t="str">
        <f aca="false">IF($J137=0,"",SUM($J$132:$J137))</f>
        <v/>
      </c>
      <c r="L137" s="20" t="str">
        <f aca="false">IF($K137="","",$A137*100+$K137)</f>
        <v/>
      </c>
      <c r="M137" s="48" t="str">
        <f aca="false">IFERROR(INDEX(输入报销!$D:$D,MATCH($A137&amp;"-6",输入报销!$J:$J,0))&amp;"","")</f>
        <v/>
      </c>
    </row>
    <row r="138" customFormat="false" ht="13.5" hidden="false" customHeight="false" outlineLevel="0" collapsed="false">
      <c r="A138" s="47" t="n">
        <v>11</v>
      </c>
      <c r="C138" s="48" t="str">
        <f aca="false">助手报销!$C12</f>
        <v>泽畔店</v>
      </c>
      <c r="D138" s="81" t="s">
        <v>485</v>
      </c>
      <c r="E138" s="48" t="str">
        <f aca="false">IFERROR(INDEX(输入报销!$E:$E,MATCH($A138&amp;"-7",输入报销!$J:$J,0))&amp;"","")</f>
        <v/>
      </c>
      <c r="F138" s="48" t="str">
        <f aca="false">IFERROR(INDEX(输入报销!$F:$F,MATCH($A138&amp;"-7",输入报销!$J:$J,0))&amp;"","")</f>
        <v/>
      </c>
      <c r="G138" s="49" t="n">
        <f aca="false">IFERROR(ROUND(INDEX(输入报销!$G:$G,MATCH($A138&amp;"-7",输入报销!$J:$J,0)),2),0)</f>
        <v>0</v>
      </c>
      <c r="H138" s="49" t="str">
        <f aca="false">IF(ROUND($G138,2)&gt;0,ROUND($G138,2),"")</f>
        <v/>
      </c>
      <c r="I138" s="49" t="str">
        <f aca="false">IF(ROUND($G138,2)&lt;0,-ROUND($G138,2),"")</f>
        <v/>
      </c>
      <c r="J138" s="20" t="n">
        <f aca="false">IF(ROUND($G138,2)=0,0,1)</f>
        <v>0</v>
      </c>
      <c r="K138" s="20" t="str">
        <f aca="false">IF($J138=0,"",SUM($J$132:$J138))</f>
        <v/>
      </c>
      <c r="L138" s="20" t="str">
        <f aca="false">IF($K138="","",$A138*100+$K138)</f>
        <v/>
      </c>
      <c r="M138" s="48" t="str">
        <f aca="false">IFERROR(INDEX(输入报销!$D:$D,MATCH($A138&amp;"-7",输入报销!$J:$J,0))&amp;"","")</f>
        <v/>
      </c>
    </row>
    <row r="139" customFormat="false" ht="13.5" hidden="false" customHeight="false" outlineLevel="0" collapsed="false">
      <c r="A139" s="47" t="n">
        <v>11</v>
      </c>
      <c r="C139" s="48" t="str">
        <f aca="false">助手报销!$C12</f>
        <v>泽畔店</v>
      </c>
      <c r="D139" s="81" t="s">
        <v>486</v>
      </c>
      <c r="E139" s="48" t="str">
        <f aca="false">IFERROR(INDEX(输入报销!$E:$E,MATCH($A139&amp;"-8",输入报销!$J:$J,0))&amp;"","")</f>
        <v/>
      </c>
      <c r="F139" s="48" t="str">
        <f aca="false">IFERROR(INDEX(输入报销!$F:$F,MATCH($A139&amp;"-8",输入报销!$J:$J,0))&amp;"","")</f>
        <v/>
      </c>
      <c r="G139" s="49" t="n">
        <f aca="false">IFERROR(ROUND(INDEX(输入报销!$G:$G,MATCH($A139&amp;"-8",输入报销!$J:$J,0)),2),0)</f>
        <v>0</v>
      </c>
      <c r="H139" s="49" t="str">
        <f aca="false">IF(ROUND($G139,2)&gt;0,ROUND($G139,2),"")</f>
        <v/>
      </c>
      <c r="I139" s="49" t="str">
        <f aca="false">IF(ROUND($G139,2)&lt;0,-ROUND($G139,2),"")</f>
        <v/>
      </c>
      <c r="J139" s="20" t="n">
        <f aca="false">IF(ROUND($G139,2)=0,0,1)</f>
        <v>0</v>
      </c>
      <c r="K139" s="20" t="str">
        <f aca="false">IF($J139=0,"",SUM($J$132:$J139))</f>
        <v/>
      </c>
      <c r="L139" s="20" t="str">
        <f aca="false">IF($K139="","",$A139*100+$K139)</f>
        <v/>
      </c>
      <c r="M139" s="48" t="str">
        <f aca="false">IFERROR(INDEX(输入报销!$D:$D,MATCH($A139&amp;"-8",输入报销!$J:$J,0))&amp;"","")</f>
        <v/>
      </c>
    </row>
    <row r="140" customFormat="false" ht="13.5" hidden="false" customHeight="false" outlineLevel="0" collapsed="false">
      <c r="A140" s="47" t="n">
        <v>11</v>
      </c>
      <c r="C140" s="48" t="str">
        <f aca="false">助手报销!$C12</f>
        <v>泽畔店</v>
      </c>
      <c r="D140" s="81" t="s">
        <v>487</v>
      </c>
      <c r="E140" s="48" t="str">
        <f aca="false">IFERROR(INDEX(输入报销!$E:$E,MATCH($A140&amp;"-9",输入报销!$J:$J,0))&amp;"","")</f>
        <v/>
      </c>
      <c r="F140" s="48" t="str">
        <f aca="false">IFERROR(INDEX(输入报销!$F:$F,MATCH($A140&amp;"-9",输入报销!$J:$J,0))&amp;"","")</f>
        <v/>
      </c>
      <c r="G140" s="49" t="n">
        <f aca="false">IFERROR(ROUND(INDEX(输入报销!$G:$G,MATCH($A140&amp;"-9",输入报销!$J:$J,0)),2),0)</f>
        <v>0</v>
      </c>
      <c r="H140" s="49" t="str">
        <f aca="false">IF(ROUND($G140,2)&gt;0,ROUND($G140,2),"")</f>
        <v/>
      </c>
      <c r="I140" s="49" t="str">
        <f aca="false">IF(ROUND($G140,2)&lt;0,-ROUND($G140,2),"")</f>
        <v/>
      </c>
      <c r="J140" s="20" t="n">
        <f aca="false">IF(ROUND($G140,2)=0,0,1)</f>
        <v>0</v>
      </c>
      <c r="K140" s="20" t="str">
        <f aca="false">IF($J140=0,"",SUM($J$132:$J140))</f>
        <v/>
      </c>
      <c r="L140" s="20" t="str">
        <f aca="false">IF($K140="","",$A140*100+$K140)</f>
        <v/>
      </c>
      <c r="M140" s="48" t="str">
        <f aca="false">IFERROR(INDEX(输入报销!$D:$D,MATCH($A140&amp;"-9",输入报销!$J:$J,0))&amp;"","")</f>
        <v/>
      </c>
    </row>
    <row r="141" customFormat="false" ht="13.5" hidden="false" customHeight="false" outlineLevel="0" collapsed="false">
      <c r="A141" s="47" t="n">
        <v>11</v>
      </c>
      <c r="C141" s="48" t="str">
        <f aca="false">助手报销!$C12</f>
        <v>泽畔店</v>
      </c>
      <c r="D141" s="81" t="s">
        <v>488</v>
      </c>
      <c r="E141" s="48" t="str">
        <f aca="false">IFERROR(INDEX(输入报销!$E:$E,MATCH($A141&amp;"-10",输入报销!$J:$J,0))&amp;"","")</f>
        <v/>
      </c>
      <c r="F141" s="48" t="str">
        <f aca="false">IFERROR(INDEX(输入报销!$F:$F,MATCH($A141&amp;"-10",输入报销!$J:$J,0))&amp;"","")</f>
        <v/>
      </c>
      <c r="G141" s="49" t="n">
        <f aca="false">IFERROR(ROUND(INDEX(输入报销!$G:$G,MATCH($A141&amp;"-10",输入报销!$J:$J,0)),2),0)</f>
        <v>0</v>
      </c>
      <c r="H141" s="49" t="str">
        <f aca="false">IF(ROUND($G141,2)&gt;0,ROUND($G141,2),"")</f>
        <v/>
      </c>
      <c r="I141" s="49" t="str">
        <f aca="false">IF(ROUND($G141,2)&lt;0,-ROUND($G141,2),"")</f>
        <v/>
      </c>
      <c r="J141" s="20" t="n">
        <f aca="false">IF(ROUND($G141,2)=0,0,1)</f>
        <v>0</v>
      </c>
      <c r="K141" s="20" t="str">
        <f aca="false">IF($J141=0,"",SUM($J$132:$J141))</f>
        <v/>
      </c>
      <c r="L141" s="20" t="str">
        <f aca="false">IF($K141="","",$A141*100+$K141)</f>
        <v/>
      </c>
      <c r="M141" s="48" t="str">
        <f aca="false">IFERROR(INDEX(输入报销!$D:$D,MATCH($A141&amp;"-10",输入报销!$J:$J,0))&amp;"","")</f>
        <v/>
      </c>
    </row>
    <row r="142" customFormat="false" ht="13.5" hidden="false" customHeight="false" outlineLevel="0" collapsed="false">
      <c r="A142" s="47" t="n">
        <v>11</v>
      </c>
      <c r="C142" s="48" t="str">
        <f aca="false">助手报销!$C12</f>
        <v>泽畔店</v>
      </c>
      <c r="D142" s="81" t="s">
        <v>489</v>
      </c>
      <c r="E142" s="48" t="str">
        <f aca="false">参数!$B$6</f>
        <v>库存现金</v>
      </c>
      <c r="F142" s="48" t="str">
        <f aca="false">""</f>
        <v/>
      </c>
      <c r="G142" s="49" t="n">
        <f aca="false">-ROUND(SUMIFS(输入报销!$G:$G,输入报销!$A:$A,$A142,输入报销!$H:$H,参数!$B$6),2)</f>
        <v>-500</v>
      </c>
      <c r="H142" s="49" t="str">
        <f aca="false">IF(ROUND($G142,2)&gt;0,ROUND($G142,2),"")</f>
        <v/>
      </c>
      <c r="I142" s="49" t="n">
        <f aca="false">IF(ROUND($G142,2)&lt;0,-ROUND($G142,2),"")</f>
        <v>500</v>
      </c>
      <c r="J142" s="20" t="n">
        <f aca="false">IF(ROUND($G142,2)=0,0,1)</f>
        <v>1</v>
      </c>
      <c r="K142" s="20" t="n">
        <f aca="false">IF($J142=0,"",SUM($J$132:$J142))</f>
        <v>2</v>
      </c>
      <c r="L142" s="20" t="n">
        <f aca="false">IF($K142="","",$A142*100+$K142)</f>
        <v>1102</v>
      </c>
      <c r="M142" s="48" t="str">
        <f aca="false">""</f>
        <v/>
      </c>
    </row>
    <row r="143" customFormat="false" ht="13.5" hidden="false" customHeight="false" outlineLevel="0" collapsed="false">
      <c r="A143" s="47" t="n">
        <v>11</v>
      </c>
      <c r="C143" s="48" t="str">
        <f aca="false">助手报销!$C12</f>
        <v>泽畔店</v>
      </c>
      <c r="D143" s="81" t="s">
        <v>490</v>
      </c>
      <c r="E143" s="48" t="str">
        <f aca="false">参数!$B$7</f>
        <v>银行存款</v>
      </c>
      <c r="F143" s="48" t="str">
        <f aca="false">""</f>
        <v/>
      </c>
      <c r="G143" s="49" t="n">
        <f aca="false">-ROUND(SUMIFS(输入报销!$G:$G,输入报销!$A:$A,$A143,输入报销!$H:$H,参数!$B$7),2)</f>
        <v>-0</v>
      </c>
      <c r="H143" s="49" t="str">
        <f aca="false">IF(ROUND($G143,2)&gt;0,ROUND($G143,2),"")</f>
        <v/>
      </c>
      <c r="I143" s="49" t="str">
        <f aca="false">IF(ROUND($G143,2)&lt;0,-ROUND($G143,2),"")</f>
        <v/>
      </c>
      <c r="J143" s="20" t="n">
        <f aca="false">IF(ROUND($G143,2)=0,0,1)</f>
        <v>0</v>
      </c>
      <c r="K143" s="20" t="str">
        <f aca="false">IF($J143=0,"",SUM($J$132:$J143))</f>
        <v/>
      </c>
      <c r="L143" s="20" t="str">
        <f aca="false">IF($K143="","",$A143*100+$K143)</f>
        <v/>
      </c>
      <c r="M143" s="48" t="str">
        <f aca="false">""</f>
        <v/>
      </c>
    </row>
    <row r="144" customFormat="false" ht="13.5" hidden="false" customHeight="false" outlineLevel="0" collapsed="false">
      <c r="A144" s="47" t="n">
        <v>11</v>
      </c>
      <c r="C144" s="48" t="str">
        <f aca="false">助手报销!$C12</f>
        <v>泽畔店</v>
      </c>
      <c r="D144" s="81" t="s">
        <v>491</v>
      </c>
      <c r="E144" s="48" t="str">
        <f aca="false">参数!$B$8</f>
        <v>其他应付款</v>
      </c>
      <c r="F144" s="48" t="str">
        <f aca="false">""</f>
        <v/>
      </c>
      <c r="G144" s="49" t="n">
        <f aca="false">-ROUND(SUMIFS(输入报销!$G:$G,输入报销!$A:$A,$A144,输入报销!$H:$H,参数!$B$8),2)</f>
        <v>-0</v>
      </c>
      <c r="H144" s="49" t="str">
        <f aca="false">IF(ROUND($G144,2)&gt;0,ROUND($G144,2),"")</f>
        <v/>
      </c>
      <c r="I144" s="49" t="str">
        <f aca="false">IF(ROUND($G144,2)&lt;0,-ROUND($G144,2),"")</f>
        <v/>
      </c>
      <c r="J144" s="20" t="n">
        <f aca="false">IF(ROUND($G144,2)=0,0,1)</f>
        <v>0</v>
      </c>
      <c r="K144" s="20" t="str">
        <f aca="false">IF($J144=0,"",SUM($J$132:$J144))</f>
        <v/>
      </c>
      <c r="L144" s="20" t="str">
        <f aca="false">IF($K144="","",$A144*100+$K144)</f>
        <v/>
      </c>
      <c r="M144" s="48" t="str">
        <f aca="false">""</f>
        <v/>
      </c>
    </row>
    <row r="145" customFormat="false" ht="13.5" hidden="false" customHeight="false" outlineLevel="0" collapsed="false">
      <c r="A145" s="47" t="n">
        <v>12</v>
      </c>
      <c r="C145" s="48" t="str">
        <f aca="false">助手报销!$C13</f>
        <v>博天店</v>
      </c>
      <c r="D145" s="81" t="s">
        <v>479</v>
      </c>
      <c r="E145" s="48" t="str">
        <f aca="false">IFERROR(INDEX(输入报销!$E:$E,MATCH($A145&amp;"-1",输入报销!$J:$J,0))&amp;"","")</f>
        <v>销售费用</v>
      </c>
      <c r="F145" s="48" t="str">
        <f aca="false">IFERROR(INDEX(输入报销!$F:$F,MATCH($A145&amp;"-1",输入报销!$J:$J,0))&amp;"","")</f>
        <v>办公费</v>
      </c>
      <c r="G145" s="49" t="n">
        <f aca="false">IFERROR(ROUND(INDEX(输入报销!$G:$G,MATCH($A145&amp;"-1",输入报销!$J:$J,0)),2),0)</f>
        <v>29.9</v>
      </c>
      <c r="H145" s="49" t="n">
        <f aca="false">IF(ROUND($G145,2)&gt;0,ROUND($G145,2),"")</f>
        <v>29.9</v>
      </c>
      <c r="I145" s="49" t="str">
        <f aca="false">IF(ROUND($G145,2)&lt;0,-ROUND($G145,2),"")</f>
        <v/>
      </c>
      <c r="J145" s="20" t="n">
        <f aca="false">IF(ROUND($G145,2)=0,0,1)</f>
        <v>1</v>
      </c>
      <c r="K145" s="20" t="n">
        <f aca="false">IF($J145=0,"",SUM($J$145:$J145))</f>
        <v>1</v>
      </c>
      <c r="L145" s="20" t="n">
        <f aca="false">IF($K145="","",$A145*100+$K145)</f>
        <v>1201</v>
      </c>
      <c r="M145" s="48" t="str">
        <f aca="false">IFERROR(INDEX(输入报销!$D:$D,MATCH($A145&amp;"-1",输入报销!$J:$J,0))&amp;"","")</f>
        <v>慢病用品</v>
      </c>
    </row>
    <row r="146" customFormat="false" ht="13.5" hidden="false" customHeight="false" outlineLevel="0" collapsed="false">
      <c r="A146" s="47" t="n">
        <v>12</v>
      </c>
      <c r="C146" s="48" t="str">
        <f aca="false">助手报销!$C13</f>
        <v>博天店</v>
      </c>
      <c r="D146" s="81" t="s">
        <v>480</v>
      </c>
      <c r="E146" s="48" t="str">
        <f aca="false">IFERROR(INDEX(输入报销!$E:$E,MATCH($A146&amp;"-2",输入报销!$J:$J,0))&amp;"","")</f>
        <v/>
      </c>
      <c r="F146" s="48" t="str">
        <f aca="false">IFERROR(INDEX(输入报销!$F:$F,MATCH($A146&amp;"-2",输入报销!$J:$J,0))&amp;"","")</f>
        <v/>
      </c>
      <c r="G146" s="49" t="n">
        <f aca="false">IFERROR(ROUND(INDEX(输入报销!$G:$G,MATCH($A146&amp;"-2",输入报销!$J:$J,0)),2),0)</f>
        <v>0</v>
      </c>
      <c r="H146" s="49" t="str">
        <f aca="false">IF(ROUND($G146,2)&gt;0,ROUND($G146,2),"")</f>
        <v/>
      </c>
      <c r="I146" s="49" t="str">
        <f aca="false">IF(ROUND($G146,2)&lt;0,-ROUND($G146,2),"")</f>
        <v/>
      </c>
      <c r="J146" s="20" t="n">
        <f aca="false">IF(ROUND($G146,2)=0,0,1)</f>
        <v>0</v>
      </c>
      <c r="K146" s="20" t="str">
        <f aca="false">IF($J146=0,"",SUM($J$145:$J146))</f>
        <v/>
      </c>
      <c r="L146" s="20" t="str">
        <f aca="false">IF($K146="","",$A146*100+$K146)</f>
        <v/>
      </c>
      <c r="M146" s="48" t="str">
        <f aca="false">IFERROR(INDEX(输入报销!$D:$D,MATCH($A146&amp;"-2",输入报销!$J:$J,0))&amp;"","")</f>
        <v/>
      </c>
    </row>
    <row r="147" customFormat="false" ht="13.5" hidden="false" customHeight="false" outlineLevel="0" collapsed="false">
      <c r="A147" s="47" t="n">
        <v>12</v>
      </c>
      <c r="C147" s="48" t="str">
        <f aca="false">助手报销!$C13</f>
        <v>博天店</v>
      </c>
      <c r="D147" s="81" t="s">
        <v>481</v>
      </c>
      <c r="E147" s="48" t="str">
        <f aca="false">IFERROR(INDEX(输入报销!$E:$E,MATCH($A147&amp;"-3",输入报销!$J:$J,0))&amp;"","")</f>
        <v/>
      </c>
      <c r="F147" s="48" t="str">
        <f aca="false">IFERROR(INDEX(输入报销!$F:$F,MATCH($A147&amp;"-3",输入报销!$J:$J,0))&amp;"","")</f>
        <v/>
      </c>
      <c r="G147" s="49" t="n">
        <f aca="false">IFERROR(ROUND(INDEX(输入报销!$G:$G,MATCH($A147&amp;"-3",输入报销!$J:$J,0)),2),0)</f>
        <v>0</v>
      </c>
      <c r="H147" s="49" t="str">
        <f aca="false">IF(ROUND($G147,2)&gt;0,ROUND($G147,2),"")</f>
        <v/>
      </c>
      <c r="I147" s="49" t="str">
        <f aca="false">IF(ROUND($G147,2)&lt;0,-ROUND($G147,2),"")</f>
        <v/>
      </c>
      <c r="J147" s="20" t="n">
        <f aca="false">IF(ROUND($G147,2)=0,0,1)</f>
        <v>0</v>
      </c>
      <c r="K147" s="20" t="str">
        <f aca="false">IF($J147=0,"",SUM($J$145:$J147))</f>
        <v/>
      </c>
      <c r="L147" s="20" t="str">
        <f aca="false">IF($K147="","",$A147*100+$K147)</f>
        <v/>
      </c>
      <c r="M147" s="48" t="str">
        <f aca="false">IFERROR(INDEX(输入报销!$D:$D,MATCH($A147&amp;"-3",输入报销!$J:$J,0))&amp;"","")</f>
        <v/>
      </c>
    </row>
    <row r="148" customFormat="false" ht="13.5" hidden="false" customHeight="false" outlineLevel="0" collapsed="false">
      <c r="A148" s="47" t="n">
        <v>12</v>
      </c>
      <c r="C148" s="48" t="str">
        <f aca="false">助手报销!$C13</f>
        <v>博天店</v>
      </c>
      <c r="D148" s="81" t="s">
        <v>482</v>
      </c>
      <c r="E148" s="48" t="str">
        <f aca="false">IFERROR(INDEX(输入报销!$E:$E,MATCH($A148&amp;"-4",输入报销!$J:$J,0))&amp;"","")</f>
        <v/>
      </c>
      <c r="F148" s="48" t="str">
        <f aca="false">IFERROR(INDEX(输入报销!$F:$F,MATCH($A148&amp;"-4",输入报销!$J:$J,0))&amp;"","")</f>
        <v/>
      </c>
      <c r="G148" s="49" t="n">
        <f aca="false">IFERROR(ROUND(INDEX(输入报销!$G:$G,MATCH($A148&amp;"-4",输入报销!$J:$J,0)),2),0)</f>
        <v>0</v>
      </c>
      <c r="H148" s="49" t="str">
        <f aca="false">IF(ROUND($G148,2)&gt;0,ROUND($G148,2),"")</f>
        <v/>
      </c>
      <c r="I148" s="49" t="str">
        <f aca="false">IF(ROUND($G148,2)&lt;0,-ROUND($G148,2),"")</f>
        <v/>
      </c>
      <c r="J148" s="20" t="n">
        <f aca="false">IF(ROUND($G148,2)=0,0,1)</f>
        <v>0</v>
      </c>
      <c r="K148" s="20" t="str">
        <f aca="false">IF($J148=0,"",SUM($J$145:$J148))</f>
        <v/>
      </c>
      <c r="L148" s="20" t="str">
        <f aca="false">IF($K148="","",$A148*100+$K148)</f>
        <v/>
      </c>
      <c r="M148" s="48" t="str">
        <f aca="false">IFERROR(INDEX(输入报销!$D:$D,MATCH($A148&amp;"-4",输入报销!$J:$J,0))&amp;"","")</f>
        <v/>
      </c>
    </row>
    <row r="149" customFormat="false" ht="13.5" hidden="false" customHeight="false" outlineLevel="0" collapsed="false">
      <c r="A149" s="47" t="n">
        <v>12</v>
      </c>
      <c r="C149" s="48" t="str">
        <f aca="false">助手报销!$C13</f>
        <v>博天店</v>
      </c>
      <c r="D149" s="81" t="s">
        <v>483</v>
      </c>
      <c r="E149" s="48" t="str">
        <f aca="false">IFERROR(INDEX(输入报销!$E:$E,MATCH($A149&amp;"-5",输入报销!$J:$J,0))&amp;"","")</f>
        <v/>
      </c>
      <c r="F149" s="48" t="str">
        <f aca="false">IFERROR(INDEX(输入报销!$F:$F,MATCH($A149&amp;"-5",输入报销!$J:$J,0))&amp;"","")</f>
        <v/>
      </c>
      <c r="G149" s="49" t="n">
        <f aca="false">IFERROR(ROUND(INDEX(输入报销!$G:$G,MATCH($A149&amp;"-5",输入报销!$J:$J,0)),2),0)</f>
        <v>0</v>
      </c>
      <c r="H149" s="49" t="str">
        <f aca="false">IF(ROUND($G149,2)&gt;0,ROUND($G149,2),"")</f>
        <v/>
      </c>
      <c r="I149" s="49" t="str">
        <f aca="false">IF(ROUND($G149,2)&lt;0,-ROUND($G149,2),"")</f>
        <v/>
      </c>
      <c r="J149" s="20" t="n">
        <f aca="false">IF(ROUND($G149,2)=0,0,1)</f>
        <v>0</v>
      </c>
      <c r="K149" s="20" t="str">
        <f aca="false">IF($J149=0,"",SUM($J$145:$J149))</f>
        <v/>
      </c>
      <c r="L149" s="20" t="str">
        <f aca="false">IF($K149="","",$A149*100+$K149)</f>
        <v/>
      </c>
      <c r="M149" s="48" t="str">
        <f aca="false">IFERROR(INDEX(输入报销!$D:$D,MATCH($A149&amp;"-5",输入报销!$J:$J,0))&amp;"","")</f>
        <v/>
      </c>
    </row>
    <row r="150" customFormat="false" ht="13.5" hidden="false" customHeight="false" outlineLevel="0" collapsed="false">
      <c r="A150" s="47" t="n">
        <v>12</v>
      </c>
      <c r="C150" s="48" t="str">
        <f aca="false">助手报销!$C13</f>
        <v>博天店</v>
      </c>
      <c r="D150" s="81" t="s">
        <v>484</v>
      </c>
      <c r="E150" s="48" t="str">
        <f aca="false">IFERROR(INDEX(输入报销!$E:$E,MATCH($A150&amp;"-6",输入报销!$J:$J,0))&amp;"","")</f>
        <v/>
      </c>
      <c r="F150" s="48" t="str">
        <f aca="false">IFERROR(INDEX(输入报销!$F:$F,MATCH($A150&amp;"-6",输入报销!$J:$J,0))&amp;"","")</f>
        <v/>
      </c>
      <c r="G150" s="49" t="n">
        <f aca="false">IFERROR(ROUND(INDEX(输入报销!$G:$G,MATCH($A150&amp;"-6",输入报销!$J:$J,0)),2),0)</f>
        <v>0</v>
      </c>
      <c r="H150" s="49" t="str">
        <f aca="false">IF(ROUND($G150,2)&gt;0,ROUND($G150,2),"")</f>
        <v/>
      </c>
      <c r="I150" s="49" t="str">
        <f aca="false">IF(ROUND($G150,2)&lt;0,-ROUND($G150,2),"")</f>
        <v/>
      </c>
      <c r="J150" s="20" t="n">
        <f aca="false">IF(ROUND($G150,2)=0,0,1)</f>
        <v>0</v>
      </c>
      <c r="K150" s="20" t="str">
        <f aca="false">IF($J150=0,"",SUM($J$145:$J150))</f>
        <v/>
      </c>
      <c r="L150" s="20" t="str">
        <f aca="false">IF($K150="","",$A150*100+$K150)</f>
        <v/>
      </c>
      <c r="M150" s="48" t="str">
        <f aca="false">IFERROR(INDEX(输入报销!$D:$D,MATCH($A150&amp;"-6",输入报销!$J:$J,0))&amp;"","")</f>
        <v/>
      </c>
    </row>
    <row r="151" customFormat="false" ht="13.5" hidden="false" customHeight="false" outlineLevel="0" collapsed="false">
      <c r="A151" s="47" t="n">
        <v>12</v>
      </c>
      <c r="C151" s="48" t="str">
        <f aca="false">助手报销!$C13</f>
        <v>博天店</v>
      </c>
      <c r="D151" s="81" t="s">
        <v>485</v>
      </c>
      <c r="E151" s="48" t="str">
        <f aca="false">IFERROR(INDEX(输入报销!$E:$E,MATCH($A151&amp;"-7",输入报销!$J:$J,0))&amp;"","")</f>
        <v/>
      </c>
      <c r="F151" s="48" t="str">
        <f aca="false">IFERROR(INDEX(输入报销!$F:$F,MATCH($A151&amp;"-7",输入报销!$J:$J,0))&amp;"","")</f>
        <v/>
      </c>
      <c r="G151" s="49" t="n">
        <f aca="false">IFERROR(ROUND(INDEX(输入报销!$G:$G,MATCH($A151&amp;"-7",输入报销!$J:$J,0)),2),0)</f>
        <v>0</v>
      </c>
      <c r="H151" s="49" t="str">
        <f aca="false">IF(ROUND($G151,2)&gt;0,ROUND($G151,2),"")</f>
        <v/>
      </c>
      <c r="I151" s="49" t="str">
        <f aca="false">IF(ROUND($G151,2)&lt;0,-ROUND($G151,2),"")</f>
        <v/>
      </c>
      <c r="J151" s="20" t="n">
        <f aca="false">IF(ROUND($G151,2)=0,0,1)</f>
        <v>0</v>
      </c>
      <c r="K151" s="20" t="str">
        <f aca="false">IF($J151=0,"",SUM($J$145:$J151))</f>
        <v/>
      </c>
      <c r="L151" s="20" t="str">
        <f aca="false">IF($K151="","",$A151*100+$K151)</f>
        <v/>
      </c>
      <c r="M151" s="48" t="str">
        <f aca="false">IFERROR(INDEX(输入报销!$D:$D,MATCH($A151&amp;"-7",输入报销!$J:$J,0))&amp;"","")</f>
        <v/>
      </c>
    </row>
    <row r="152" customFormat="false" ht="13.5" hidden="false" customHeight="false" outlineLevel="0" collapsed="false">
      <c r="A152" s="47" t="n">
        <v>12</v>
      </c>
      <c r="C152" s="48" t="str">
        <f aca="false">助手报销!$C13</f>
        <v>博天店</v>
      </c>
      <c r="D152" s="81" t="s">
        <v>486</v>
      </c>
      <c r="E152" s="48" t="str">
        <f aca="false">IFERROR(INDEX(输入报销!$E:$E,MATCH($A152&amp;"-8",输入报销!$J:$J,0))&amp;"","")</f>
        <v/>
      </c>
      <c r="F152" s="48" t="str">
        <f aca="false">IFERROR(INDEX(输入报销!$F:$F,MATCH($A152&amp;"-8",输入报销!$J:$J,0))&amp;"","")</f>
        <v/>
      </c>
      <c r="G152" s="49" t="n">
        <f aca="false">IFERROR(ROUND(INDEX(输入报销!$G:$G,MATCH($A152&amp;"-8",输入报销!$J:$J,0)),2),0)</f>
        <v>0</v>
      </c>
      <c r="H152" s="49" t="str">
        <f aca="false">IF(ROUND($G152,2)&gt;0,ROUND($G152,2),"")</f>
        <v/>
      </c>
      <c r="I152" s="49" t="str">
        <f aca="false">IF(ROUND($G152,2)&lt;0,-ROUND($G152,2),"")</f>
        <v/>
      </c>
      <c r="J152" s="20" t="n">
        <f aca="false">IF(ROUND($G152,2)=0,0,1)</f>
        <v>0</v>
      </c>
      <c r="K152" s="20" t="str">
        <f aca="false">IF($J152=0,"",SUM($J$145:$J152))</f>
        <v/>
      </c>
      <c r="L152" s="20" t="str">
        <f aca="false">IF($K152="","",$A152*100+$K152)</f>
        <v/>
      </c>
      <c r="M152" s="48" t="str">
        <f aca="false">IFERROR(INDEX(输入报销!$D:$D,MATCH($A152&amp;"-8",输入报销!$J:$J,0))&amp;"","")</f>
        <v/>
      </c>
    </row>
    <row r="153" customFormat="false" ht="13.5" hidden="false" customHeight="false" outlineLevel="0" collapsed="false">
      <c r="A153" s="47" t="n">
        <v>12</v>
      </c>
      <c r="C153" s="48" t="str">
        <f aca="false">助手报销!$C13</f>
        <v>博天店</v>
      </c>
      <c r="D153" s="81" t="s">
        <v>487</v>
      </c>
      <c r="E153" s="48" t="str">
        <f aca="false">IFERROR(INDEX(输入报销!$E:$E,MATCH($A153&amp;"-9",输入报销!$J:$J,0))&amp;"","")</f>
        <v/>
      </c>
      <c r="F153" s="48" t="str">
        <f aca="false">IFERROR(INDEX(输入报销!$F:$F,MATCH($A153&amp;"-9",输入报销!$J:$J,0))&amp;"","")</f>
        <v/>
      </c>
      <c r="G153" s="49" t="n">
        <f aca="false">IFERROR(ROUND(INDEX(输入报销!$G:$G,MATCH($A153&amp;"-9",输入报销!$J:$J,0)),2),0)</f>
        <v>0</v>
      </c>
      <c r="H153" s="49" t="str">
        <f aca="false">IF(ROUND($G153,2)&gt;0,ROUND($G153,2),"")</f>
        <v/>
      </c>
      <c r="I153" s="49" t="str">
        <f aca="false">IF(ROUND($G153,2)&lt;0,-ROUND($G153,2),"")</f>
        <v/>
      </c>
      <c r="J153" s="20" t="n">
        <f aca="false">IF(ROUND($G153,2)=0,0,1)</f>
        <v>0</v>
      </c>
      <c r="K153" s="20" t="str">
        <f aca="false">IF($J153=0,"",SUM($J$145:$J153))</f>
        <v/>
      </c>
      <c r="L153" s="20" t="str">
        <f aca="false">IF($K153="","",$A153*100+$K153)</f>
        <v/>
      </c>
      <c r="M153" s="48" t="str">
        <f aca="false">IFERROR(INDEX(输入报销!$D:$D,MATCH($A153&amp;"-9",输入报销!$J:$J,0))&amp;"","")</f>
        <v/>
      </c>
    </row>
    <row r="154" customFormat="false" ht="13.5" hidden="false" customHeight="false" outlineLevel="0" collapsed="false">
      <c r="A154" s="47" t="n">
        <v>12</v>
      </c>
      <c r="C154" s="48" t="str">
        <f aca="false">助手报销!$C13</f>
        <v>博天店</v>
      </c>
      <c r="D154" s="81" t="s">
        <v>488</v>
      </c>
      <c r="E154" s="48" t="str">
        <f aca="false">IFERROR(INDEX(输入报销!$E:$E,MATCH($A154&amp;"-10",输入报销!$J:$J,0))&amp;"","")</f>
        <v/>
      </c>
      <c r="F154" s="48" t="str">
        <f aca="false">IFERROR(INDEX(输入报销!$F:$F,MATCH($A154&amp;"-10",输入报销!$J:$J,0))&amp;"","")</f>
        <v/>
      </c>
      <c r="G154" s="49" t="n">
        <f aca="false">IFERROR(ROUND(INDEX(输入报销!$G:$G,MATCH($A154&amp;"-10",输入报销!$J:$J,0)),2),0)</f>
        <v>0</v>
      </c>
      <c r="H154" s="49" t="str">
        <f aca="false">IF(ROUND($G154,2)&gt;0,ROUND($G154,2),"")</f>
        <v/>
      </c>
      <c r="I154" s="49" t="str">
        <f aca="false">IF(ROUND($G154,2)&lt;0,-ROUND($G154,2),"")</f>
        <v/>
      </c>
      <c r="J154" s="20" t="n">
        <f aca="false">IF(ROUND($G154,2)=0,0,1)</f>
        <v>0</v>
      </c>
      <c r="K154" s="20" t="str">
        <f aca="false">IF($J154=0,"",SUM($J$145:$J154))</f>
        <v/>
      </c>
      <c r="L154" s="20" t="str">
        <f aca="false">IF($K154="","",$A154*100+$K154)</f>
        <v/>
      </c>
      <c r="M154" s="48" t="str">
        <f aca="false">IFERROR(INDEX(输入报销!$D:$D,MATCH($A154&amp;"-10",输入报销!$J:$J,0))&amp;"","")</f>
        <v/>
      </c>
    </row>
    <row r="155" customFormat="false" ht="13.5" hidden="false" customHeight="false" outlineLevel="0" collapsed="false">
      <c r="A155" s="47" t="n">
        <v>12</v>
      </c>
      <c r="C155" s="48" t="str">
        <f aca="false">助手报销!$C13</f>
        <v>博天店</v>
      </c>
      <c r="D155" s="81" t="s">
        <v>489</v>
      </c>
      <c r="E155" s="48" t="str">
        <f aca="false">参数!$B$6</f>
        <v>库存现金</v>
      </c>
      <c r="F155" s="48" t="str">
        <f aca="false">""</f>
        <v/>
      </c>
      <c r="G155" s="49" t="n">
        <f aca="false">-ROUND(SUMIFS(输入报销!$G:$G,输入报销!$A:$A,$A155,输入报销!$H:$H,参数!$B$6),2)</f>
        <v>-29.9</v>
      </c>
      <c r="H155" s="49" t="str">
        <f aca="false">IF(ROUND($G155,2)&gt;0,ROUND($G155,2),"")</f>
        <v/>
      </c>
      <c r="I155" s="49" t="n">
        <f aca="false">IF(ROUND($G155,2)&lt;0,-ROUND($G155,2),"")</f>
        <v>29.9</v>
      </c>
      <c r="J155" s="20" t="n">
        <f aca="false">IF(ROUND($G155,2)=0,0,1)</f>
        <v>1</v>
      </c>
      <c r="K155" s="20" t="n">
        <f aca="false">IF($J155=0,"",SUM($J$145:$J155))</f>
        <v>2</v>
      </c>
      <c r="L155" s="20" t="n">
        <f aca="false">IF($K155="","",$A155*100+$K155)</f>
        <v>1202</v>
      </c>
      <c r="M155" s="48" t="str">
        <f aca="false">""</f>
        <v/>
      </c>
    </row>
    <row r="156" customFormat="false" ht="13.5" hidden="false" customHeight="false" outlineLevel="0" collapsed="false">
      <c r="A156" s="47" t="n">
        <v>12</v>
      </c>
      <c r="C156" s="48" t="str">
        <f aca="false">助手报销!$C13</f>
        <v>博天店</v>
      </c>
      <c r="D156" s="81" t="s">
        <v>490</v>
      </c>
      <c r="E156" s="48" t="str">
        <f aca="false">参数!$B$7</f>
        <v>银行存款</v>
      </c>
      <c r="F156" s="48" t="str">
        <f aca="false">""</f>
        <v/>
      </c>
      <c r="G156" s="49" t="n">
        <f aca="false">-ROUND(SUMIFS(输入报销!$G:$G,输入报销!$A:$A,$A156,输入报销!$H:$H,参数!$B$7),2)</f>
        <v>-0</v>
      </c>
      <c r="H156" s="49" t="str">
        <f aca="false">IF(ROUND($G156,2)&gt;0,ROUND($G156,2),"")</f>
        <v/>
      </c>
      <c r="I156" s="49" t="str">
        <f aca="false">IF(ROUND($G156,2)&lt;0,-ROUND($G156,2),"")</f>
        <v/>
      </c>
      <c r="J156" s="20" t="n">
        <f aca="false">IF(ROUND($G156,2)=0,0,1)</f>
        <v>0</v>
      </c>
      <c r="K156" s="20" t="str">
        <f aca="false">IF($J156=0,"",SUM($J$145:$J156))</f>
        <v/>
      </c>
      <c r="L156" s="20" t="str">
        <f aca="false">IF($K156="","",$A156*100+$K156)</f>
        <v/>
      </c>
      <c r="M156" s="48" t="str">
        <f aca="false">""</f>
        <v/>
      </c>
    </row>
    <row r="157" customFormat="false" ht="13.5" hidden="false" customHeight="false" outlineLevel="0" collapsed="false">
      <c r="A157" s="47" t="n">
        <v>12</v>
      </c>
      <c r="C157" s="48" t="str">
        <f aca="false">助手报销!$C13</f>
        <v>博天店</v>
      </c>
      <c r="D157" s="81" t="s">
        <v>491</v>
      </c>
      <c r="E157" s="48" t="str">
        <f aca="false">参数!$B$8</f>
        <v>其他应付款</v>
      </c>
      <c r="F157" s="48" t="str">
        <f aca="false">""</f>
        <v/>
      </c>
      <c r="G157" s="49" t="n">
        <f aca="false">-ROUND(SUMIFS(输入报销!$G:$G,输入报销!$A:$A,$A157,输入报销!$H:$H,参数!$B$8),2)</f>
        <v>-0</v>
      </c>
      <c r="H157" s="49" t="str">
        <f aca="false">IF(ROUND($G157,2)&gt;0,ROUND($G157,2),"")</f>
        <v/>
      </c>
      <c r="I157" s="49" t="str">
        <f aca="false">IF(ROUND($G157,2)&lt;0,-ROUND($G157,2),"")</f>
        <v/>
      </c>
      <c r="J157" s="20" t="n">
        <f aca="false">IF(ROUND($G157,2)=0,0,1)</f>
        <v>0</v>
      </c>
      <c r="K157" s="20" t="str">
        <f aca="false">IF($J157=0,"",SUM($J$145:$J157))</f>
        <v/>
      </c>
      <c r="L157" s="20" t="str">
        <f aca="false">IF($K157="","",$A157*100+$K157)</f>
        <v/>
      </c>
      <c r="M157" s="48" t="str">
        <f aca="false">""</f>
        <v/>
      </c>
    </row>
    <row r="158" customFormat="false" ht="13.5" hidden="false" customHeight="false" outlineLevel="0" collapsed="false">
      <c r="A158" s="47" t="n">
        <v>13</v>
      </c>
      <c r="C158" s="48" t="str">
        <f aca="false">助手报销!$C14</f>
        <v>魏家庄店</v>
      </c>
      <c r="D158" s="81" t="s">
        <v>479</v>
      </c>
      <c r="E158" s="48" t="str">
        <f aca="false">IFERROR(INDEX(输入报销!$E:$E,MATCH($A158&amp;"-1",输入报销!$J:$J,0))&amp;"","")</f>
        <v>销售费用</v>
      </c>
      <c r="F158" s="48" t="str">
        <f aca="false">IFERROR(INDEX(输入报销!$F:$F,MATCH($A158&amp;"-1",输入报销!$J:$J,0))&amp;"","")</f>
        <v>电费</v>
      </c>
      <c r="G158" s="49" t="n">
        <f aca="false">IFERROR(ROUND(INDEX(输入报销!$G:$G,MATCH($A158&amp;"-1",输入报销!$J:$J,0)),2),0)</f>
        <v>600</v>
      </c>
      <c r="H158" s="49" t="n">
        <f aca="false">IF(ROUND($G158,2)&gt;0,ROUND($G158,2),"")</f>
        <v>600</v>
      </c>
      <c r="I158" s="49" t="str">
        <f aca="false">IF(ROUND($G158,2)&lt;0,-ROUND($G158,2),"")</f>
        <v/>
      </c>
      <c r="J158" s="20" t="n">
        <f aca="false">IF(ROUND($G158,2)=0,0,1)</f>
        <v>1</v>
      </c>
      <c r="K158" s="20" t="n">
        <f aca="false">IF($J158=0,"",SUM($J$158:$J158))</f>
        <v>1</v>
      </c>
      <c r="L158" s="20" t="n">
        <f aca="false">IF($K158="","",$A158*100+$K158)</f>
        <v>1301</v>
      </c>
      <c r="M158" s="48" t="str">
        <f aca="false">IFERROR(INDEX(输入报销!$D:$D,MATCH($A158&amp;"-1",输入报销!$J:$J,0))&amp;"","")</f>
        <v>电费</v>
      </c>
    </row>
    <row r="159" customFormat="false" ht="13.5" hidden="false" customHeight="false" outlineLevel="0" collapsed="false">
      <c r="A159" s="47" t="n">
        <v>13</v>
      </c>
      <c r="C159" s="48" t="str">
        <f aca="false">助手报销!$C14</f>
        <v>魏家庄店</v>
      </c>
      <c r="D159" s="81" t="s">
        <v>480</v>
      </c>
      <c r="E159" s="48" t="str">
        <f aca="false">IFERROR(INDEX(输入报销!$E:$E,MATCH($A159&amp;"-2",输入报销!$J:$J,0))&amp;"","")</f>
        <v>销售费用</v>
      </c>
      <c r="F159" s="48" t="str">
        <f aca="false">IFERROR(INDEX(输入报销!$F:$F,MATCH($A159&amp;"-2",输入报销!$J:$J,0))&amp;"","")</f>
        <v>办公费</v>
      </c>
      <c r="G159" s="49" t="n">
        <f aca="false">IFERROR(ROUND(INDEX(输入报销!$G:$G,MATCH($A159&amp;"-2",输入报销!$J:$J,0)),2),0)</f>
        <v>31.4</v>
      </c>
      <c r="H159" s="49" t="n">
        <f aca="false">IF(ROUND($G159,2)&gt;0,ROUND($G159,2),"")</f>
        <v>31.4</v>
      </c>
      <c r="I159" s="49" t="str">
        <f aca="false">IF(ROUND($G159,2)&lt;0,-ROUND($G159,2),"")</f>
        <v/>
      </c>
      <c r="J159" s="20" t="n">
        <f aca="false">IF(ROUND($G159,2)=0,0,1)</f>
        <v>1</v>
      </c>
      <c r="K159" s="20" t="n">
        <f aca="false">IF($J159=0,"",SUM($J$158:$J159))</f>
        <v>2</v>
      </c>
      <c r="L159" s="20" t="n">
        <f aca="false">IF($K159="","",$A159*100+$K159)</f>
        <v>1302</v>
      </c>
      <c r="M159" s="48" t="str">
        <f aca="false">IFERROR(INDEX(输入报销!$D:$D,MATCH($A159&amp;"-2",输入报销!$J:$J,0))&amp;"","")</f>
        <v>慢病用品</v>
      </c>
    </row>
    <row r="160" customFormat="false" ht="13.5" hidden="false" customHeight="false" outlineLevel="0" collapsed="false">
      <c r="A160" s="47" t="n">
        <v>13</v>
      </c>
      <c r="C160" s="48" t="str">
        <f aca="false">助手报销!$C14</f>
        <v>魏家庄店</v>
      </c>
      <c r="D160" s="81" t="s">
        <v>481</v>
      </c>
      <c r="E160" s="48" t="str">
        <f aca="false">IFERROR(INDEX(输入报销!$E:$E,MATCH($A160&amp;"-3",输入报销!$J:$J,0))&amp;"","")</f>
        <v/>
      </c>
      <c r="F160" s="48" t="str">
        <f aca="false">IFERROR(INDEX(输入报销!$F:$F,MATCH($A160&amp;"-3",输入报销!$J:$J,0))&amp;"","")</f>
        <v/>
      </c>
      <c r="G160" s="49" t="n">
        <f aca="false">IFERROR(ROUND(INDEX(输入报销!$G:$G,MATCH($A160&amp;"-3",输入报销!$J:$J,0)),2),0)</f>
        <v>0</v>
      </c>
      <c r="H160" s="49" t="str">
        <f aca="false">IF(ROUND($G160,2)&gt;0,ROUND($G160,2),"")</f>
        <v/>
      </c>
      <c r="I160" s="49" t="str">
        <f aca="false">IF(ROUND($G160,2)&lt;0,-ROUND($G160,2),"")</f>
        <v/>
      </c>
      <c r="J160" s="20" t="n">
        <f aca="false">IF(ROUND($G160,2)=0,0,1)</f>
        <v>0</v>
      </c>
      <c r="K160" s="20" t="str">
        <f aca="false">IF($J160=0,"",SUM($J$158:$J160))</f>
        <v/>
      </c>
      <c r="L160" s="20" t="str">
        <f aca="false">IF($K160="","",$A160*100+$K160)</f>
        <v/>
      </c>
      <c r="M160" s="48" t="str">
        <f aca="false">IFERROR(INDEX(输入报销!$D:$D,MATCH($A160&amp;"-3",输入报销!$J:$J,0))&amp;"","")</f>
        <v/>
      </c>
    </row>
    <row r="161" customFormat="false" ht="13.5" hidden="false" customHeight="false" outlineLevel="0" collapsed="false">
      <c r="A161" s="47" t="n">
        <v>13</v>
      </c>
      <c r="C161" s="48" t="str">
        <f aca="false">助手报销!$C14</f>
        <v>魏家庄店</v>
      </c>
      <c r="D161" s="81" t="s">
        <v>482</v>
      </c>
      <c r="E161" s="48" t="str">
        <f aca="false">IFERROR(INDEX(输入报销!$E:$E,MATCH($A161&amp;"-4",输入报销!$J:$J,0))&amp;"","")</f>
        <v/>
      </c>
      <c r="F161" s="48" t="str">
        <f aca="false">IFERROR(INDEX(输入报销!$F:$F,MATCH($A161&amp;"-4",输入报销!$J:$J,0))&amp;"","")</f>
        <v/>
      </c>
      <c r="G161" s="49" t="n">
        <f aca="false">IFERROR(ROUND(INDEX(输入报销!$G:$G,MATCH($A161&amp;"-4",输入报销!$J:$J,0)),2),0)</f>
        <v>0</v>
      </c>
      <c r="H161" s="49" t="str">
        <f aca="false">IF(ROUND($G161,2)&gt;0,ROUND($G161,2),"")</f>
        <v/>
      </c>
      <c r="I161" s="49" t="str">
        <f aca="false">IF(ROUND($G161,2)&lt;0,-ROUND($G161,2),"")</f>
        <v/>
      </c>
      <c r="J161" s="20" t="n">
        <f aca="false">IF(ROUND($G161,2)=0,0,1)</f>
        <v>0</v>
      </c>
      <c r="K161" s="20" t="str">
        <f aca="false">IF($J161=0,"",SUM($J$158:$J161))</f>
        <v/>
      </c>
      <c r="L161" s="20" t="str">
        <f aca="false">IF($K161="","",$A161*100+$K161)</f>
        <v/>
      </c>
      <c r="M161" s="48" t="str">
        <f aca="false">IFERROR(INDEX(输入报销!$D:$D,MATCH($A161&amp;"-4",输入报销!$J:$J,0))&amp;"","")</f>
        <v/>
      </c>
    </row>
    <row r="162" customFormat="false" ht="13.5" hidden="false" customHeight="false" outlineLevel="0" collapsed="false">
      <c r="A162" s="47" t="n">
        <v>13</v>
      </c>
      <c r="C162" s="48" t="str">
        <f aca="false">助手报销!$C14</f>
        <v>魏家庄店</v>
      </c>
      <c r="D162" s="81" t="s">
        <v>483</v>
      </c>
      <c r="E162" s="48" t="str">
        <f aca="false">IFERROR(INDEX(输入报销!$E:$E,MATCH($A162&amp;"-5",输入报销!$J:$J,0))&amp;"","")</f>
        <v/>
      </c>
      <c r="F162" s="48" t="str">
        <f aca="false">IFERROR(INDEX(输入报销!$F:$F,MATCH($A162&amp;"-5",输入报销!$J:$J,0))&amp;"","")</f>
        <v/>
      </c>
      <c r="G162" s="49" t="n">
        <f aca="false">IFERROR(ROUND(INDEX(输入报销!$G:$G,MATCH($A162&amp;"-5",输入报销!$J:$J,0)),2),0)</f>
        <v>0</v>
      </c>
      <c r="H162" s="49" t="str">
        <f aca="false">IF(ROUND($G162,2)&gt;0,ROUND($G162,2),"")</f>
        <v/>
      </c>
      <c r="I162" s="49" t="str">
        <f aca="false">IF(ROUND($G162,2)&lt;0,-ROUND($G162,2),"")</f>
        <v/>
      </c>
      <c r="J162" s="20" t="n">
        <f aca="false">IF(ROUND($G162,2)=0,0,1)</f>
        <v>0</v>
      </c>
      <c r="K162" s="20" t="str">
        <f aca="false">IF($J162=0,"",SUM($J$158:$J162))</f>
        <v/>
      </c>
      <c r="L162" s="20" t="str">
        <f aca="false">IF($K162="","",$A162*100+$K162)</f>
        <v/>
      </c>
      <c r="M162" s="48" t="str">
        <f aca="false">IFERROR(INDEX(输入报销!$D:$D,MATCH($A162&amp;"-5",输入报销!$J:$J,0))&amp;"","")</f>
        <v/>
      </c>
    </row>
    <row r="163" customFormat="false" ht="13.5" hidden="false" customHeight="false" outlineLevel="0" collapsed="false">
      <c r="A163" s="47" t="n">
        <v>13</v>
      </c>
      <c r="C163" s="48" t="str">
        <f aca="false">助手报销!$C14</f>
        <v>魏家庄店</v>
      </c>
      <c r="D163" s="81" t="s">
        <v>484</v>
      </c>
      <c r="E163" s="48" t="str">
        <f aca="false">IFERROR(INDEX(输入报销!$E:$E,MATCH($A163&amp;"-6",输入报销!$J:$J,0))&amp;"","")</f>
        <v/>
      </c>
      <c r="F163" s="48" t="str">
        <f aca="false">IFERROR(INDEX(输入报销!$F:$F,MATCH($A163&amp;"-6",输入报销!$J:$J,0))&amp;"","")</f>
        <v/>
      </c>
      <c r="G163" s="49" t="n">
        <f aca="false">IFERROR(ROUND(INDEX(输入报销!$G:$G,MATCH($A163&amp;"-6",输入报销!$J:$J,0)),2),0)</f>
        <v>0</v>
      </c>
      <c r="H163" s="49" t="str">
        <f aca="false">IF(ROUND($G163,2)&gt;0,ROUND($G163,2),"")</f>
        <v/>
      </c>
      <c r="I163" s="49" t="str">
        <f aca="false">IF(ROUND($G163,2)&lt;0,-ROUND($G163,2),"")</f>
        <v/>
      </c>
      <c r="J163" s="20" t="n">
        <f aca="false">IF(ROUND($G163,2)=0,0,1)</f>
        <v>0</v>
      </c>
      <c r="K163" s="20" t="str">
        <f aca="false">IF($J163=0,"",SUM($J$158:$J163))</f>
        <v/>
      </c>
      <c r="L163" s="20" t="str">
        <f aca="false">IF($K163="","",$A163*100+$K163)</f>
        <v/>
      </c>
      <c r="M163" s="48" t="str">
        <f aca="false">IFERROR(INDEX(输入报销!$D:$D,MATCH($A163&amp;"-6",输入报销!$J:$J,0))&amp;"","")</f>
        <v/>
      </c>
    </row>
    <row r="164" customFormat="false" ht="13.5" hidden="false" customHeight="false" outlineLevel="0" collapsed="false">
      <c r="A164" s="47" t="n">
        <v>13</v>
      </c>
      <c r="C164" s="48" t="str">
        <f aca="false">助手报销!$C14</f>
        <v>魏家庄店</v>
      </c>
      <c r="D164" s="81" t="s">
        <v>485</v>
      </c>
      <c r="E164" s="48" t="str">
        <f aca="false">IFERROR(INDEX(输入报销!$E:$E,MATCH($A164&amp;"-7",输入报销!$J:$J,0))&amp;"","")</f>
        <v/>
      </c>
      <c r="F164" s="48" t="str">
        <f aca="false">IFERROR(INDEX(输入报销!$F:$F,MATCH($A164&amp;"-7",输入报销!$J:$J,0))&amp;"","")</f>
        <v/>
      </c>
      <c r="G164" s="49" t="n">
        <f aca="false">IFERROR(ROUND(INDEX(输入报销!$G:$G,MATCH($A164&amp;"-7",输入报销!$J:$J,0)),2),0)</f>
        <v>0</v>
      </c>
      <c r="H164" s="49" t="str">
        <f aca="false">IF(ROUND($G164,2)&gt;0,ROUND($G164,2),"")</f>
        <v/>
      </c>
      <c r="I164" s="49" t="str">
        <f aca="false">IF(ROUND($G164,2)&lt;0,-ROUND($G164,2),"")</f>
        <v/>
      </c>
      <c r="J164" s="20" t="n">
        <f aca="false">IF(ROUND($G164,2)=0,0,1)</f>
        <v>0</v>
      </c>
      <c r="K164" s="20" t="str">
        <f aca="false">IF($J164=0,"",SUM($J$158:$J164))</f>
        <v/>
      </c>
      <c r="L164" s="20" t="str">
        <f aca="false">IF($K164="","",$A164*100+$K164)</f>
        <v/>
      </c>
      <c r="M164" s="48" t="str">
        <f aca="false">IFERROR(INDEX(输入报销!$D:$D,MATCH($A164&amp;"-7",输入报销!$J:$J,0))&amp;"","")</f>
        <v/>
      </c>
    </row>
    <row r="165" customFormat="false" ht="13.5" hidden="false" customHeight="false" outlineLevel="0" collapsed="false">
      <c r="A165" s="47" t="n">
        <v>13</v>
      </c>
      <c r="C165" s="48" t="str">
        <f aca="false">助手报销!$C14</f>
        <v>魏家庄店</v>
      </c>
      <c r="D165" s="81" t="s">
        <v>486</v>
      </c>
      <c r="E165" s="48" t="str">
        <f aca="false">IFERROR(INDEX(输入报销!$E:$E,MATCH($A165&amp;"-8",输入报销!$J:$J,0))&amp;"","")</f>
        <v/>
      </c>
      <c r="F165" s="48" t="str">
        <f aca="false">IFERROR(INDEX(输入报销!$F:$F,MATCH($A165&amp;"-8",输入报销!$J:$J,0))&amp;"","")</f>
        <v/>
      </c>
      <c r="G165" s="49" t="n">
        <f aca="false">IFERROR(ROUND(INDEX(输入报销!$G:$G,MATCH($A165&amp;"-8",输入报销!$J:$J,0)),2),0)</f>
        <v>0</v>
      </c>
      <c r="H165" s="49" t="str">
        <f aca="false">IF(ROUND($G165,2)&gt;0,ROUND($G165,2),"")</f>
        <v/>
      </c>
      <c r="I165" s="49" t="str">
        <f aca="false">IF(ROUND($G165,2)&lt;0,-ROUND($G165,2),"")</f>
        <v/>
      </c>
      <c r="J165" s="20" t="n">
        <f aca="false">IF(ROUND($G165,2)=0,0,1)</f>
        <v>0</v>
      </c>
      <c r="K165" s="20" t="str">
        <f aca="false">IF($J165=0,"",SUM($J$158:$J165))</f>
        <v/>
      </c>
      <c r="L165" s="20" t="str">
        <f aca="false">IF($K165="","",$A165*100+$K165)</f>
        <v/>
      </c>
      <c r="M165" s="48" t="str">
        <f aca="false">IFERROR(INDEX(输入报销!$D:$D,MATCH($A165&amp;"-8",输入报销!$J:$J,0))&amp;"","")</f>
        <v/>
      </c>
    </row>
    <row r="166" customFormat="false" ht="13.5" hidden="false" customHeight="false" outlineLevel="0" collapsed="false">
      <c r="A166" s="47" t="n">
        <v>13</v>
      </c>
      <c r="C166" s="48" t="str">
        <f aca="false">助手报销!$C14</f>
        <v>魏家庄店</v>
      </c>
      <c r="D166" s="81" t="s">
        <v>487</v>
      </c>
      <c r="E166" s="48" t="str">
        <f aca="false">IFERROR(INDEX(输入报销!$E:$E,MATCH($A166&amp;"-9",输入报销!$J:$J,0))&amp;"","")</f>
        <v/>
      </c>
      <c r="F166" s="48" t="str">
        <f aca="false">IFERROR(INDEX(输入报销!$F:$F,MATCH($A166&amp;"-9",输入报销!$J:$J,0))&amp;"","")</f>
        <v/>
      </c>
      <c r="G166" s="49" t="n">
        <f aca="false">IFERROR(ROUND(INDEX(输入报销!$G:$G,MATCH($A166&amp;"-9",输入报销!$J:$J,0)),2),0)</f>
        <v>0</v>
      </c>
      <c r="H166" s="49" t="str">
        <f aca="false">IF(ROUND($G166,2)&gt;0,ROUND($G166,2),"")</f>
        <v/>
      </c>
      <c r="I166" s="49" t="str">
        <f aca="false">IF(ROUND($G166,2)&lt;0,-ROUND($G166,2),"")</f>
        <v/>
      </c>
      <c r="J166" s="20" t="n">
        <f aca="false">IF(ROUND($G166,2)=0,0,1)</f>
        <v>0</v>
      </c>
      <c r="K166" s="20" t="str">
        <f aca="false">IF($J166=0,"",SUM($J$158:$J166))</f>
        <v/>
      </c>
      <c r="L166" s="20" t="str">
        <f aca="false">IF($K166="","",$A166*100+$K166)</f>
        <v/>
      </c>
      <c r="M166" s="48" t="str">
        <f aca="false">IFERROR(INDEX(输入报销!$D:$D,MATCH($A166&amp;"-9",输入报销!$J:$J,0))&amp;"","")</f>
        <v/>
      </c>
    </row>
    <row r="167" customFormat="false" ht="13.5" hidden="false" customHeight="false" outlineLevel="0" collapsed="false">
      <c r="A167" s="47" t="n">
        <v>13</v>
      </c>
      <c r="C167" s="48" t="str">
        <f aca="false">助手报销!$C14</f>
        <v>魏家庄店</v>
      </c>
      <c r="D167" s="81" t="s">
        <v>488</v>
      </c>
      <c r="E167" s="48" t="str">
        <f aca="false">IFERROR(INDEX(输入报销!$E:$E,MATCH($A167&amp;"-10",输入报销!$J:$J,0))&amp;"","")</f>
        <v/>
      </c>
      <c r="F167" s="48" t="str">
        <f aca="false">IFERROR(INDEX(输入报销!$F:$F,MATCH($A167&amp;"-10",输入报销!$J:$J,0))&amp;"","")</f>
        <v/>
      </c>
      <c r="G167" s="49" t="n">
        <f aca="false">IFERROR(ROUND(INDEX(输入报销!$G:$G,MATCH($A167&amp;"-10",输入报销!$J:$J,0)),2),0)</f>
        <v>0</v>
      </c>
      <c r="H167" s="49" t="str">
        <f aca="false">IF(ROUND($G167,2)&gt;0,ROUND($G167,2),"")</f>
        <v/>
      </c>
      <c r="I167" s="49" t="str">
        <f aca="false">IF(ROUND($G167,2)&lt;0,-ROUND($G167,2),"")</f>
        <v/>
      </c>
      <c r="J167" s="20" t="n">
        <f aca="false">IF(ROUND($G167,2)=0,0,1)</f>
        <v>0</v>
      </c>
      <c r="K167" s="20" t="str">
        <f aca="false">IF($J167=0,"",SUM($J$158:$J167))</f>
        <v/>
      </c>
      <c r="L167" s="20" t="str">
        <f aca="false">IF($K167="","",$A167*100+$K167)</f>
        <v/>
      </c>
      <c r="M167" s="48" t="str">
        <f aca="false">IFERROR(INDEX(输入报销!$D:$D,MATCH($A167&amp;"-10",输入报销!$J:$J,0))&amp;"","")</f>
        <v/>
      </c>
    </row>
    <row r="168" customFormat="false" ht="13.5" hidden="false" customHeight="false" outlineLevel="0" collapsed="false">
      <c r="A168" s="47" t="n">
        <v>13</v>
      </c>
      <c r="C168" s="48" t="str">
        <f aca="false">助手报销!$C14</f>
        <v>魏家庄店</v>
      </c>
      <c r="D168" s="81" t="s">
        <v>489</v>
      </c>
      <c r="E168" s="48" t="str">
        <f aca="false">参数!$B$6</f>
        <v>库存现金</v>
      </c>
      <c r="F168" s="48" t="str">
        <f aca="false">""</f>
        <v/>
      </c>
      <c r="G168" s="49" t="n">
        <f aca="false">-ROUND(SUMIFS(输入报销!$G:$G,输入报销!$A:$A,$A168,输入报销!$H:$H,参数!$B$6),2)</f>
        <v>-631.4</v>
      </c>
      <c r="H168" s="49" t="str">
        <f aca="false">IF(ROUND($G168,2)&gt;0,ROUND($G168,2),"")</f>
        <v/>
      </c>
      <c r="I168" s="49" t="n">
        <f aca="false">IF(ROUND($G168,2)&lt;0,-ROUND($G168,2),"")</f>
        <v>631.4</v>
      </c>
      <c r="J168" s="20" t="n">
        <f aca="false">IF(ROUND($G168,2)=0,0,1)</f>
        <v>1</v>
      </c>
      <c r="K168" s="20" t="n">
        <f aca="false">IF($J168=0,"",SUM($J$158:$J168))</f>
        <v>3</v>
      </c>
      <c r="L168" s="20" t="n">
        <f aca="false">IF($K168="","",$A168*100+$K168)</f>
        <v>1303</v>
      </c>
      <c r="M168" s="48" t="str">
        <f aca="false">""</f>
        <v/>
      </c>
    </row>
    <row r="169" customFormat="false" ht="13.5" hidden="false" customHeight="false" outlineLevel="0" collapsed="false">
      <c r="A169" s="47" t="n">
        <v>13</v>
      </c>
      <c r="C169" s="48" t="str">
        <f aca="false">助手报销!$C14</f>
        <v>魏家庄店</v>
      </c>
      <c r="D169" s="81" t="s">
        <v>490</v>
      </c>
      <c r="E169" s="48" t="str">
        <f aca="false">参数!$B$7</f>
        <v>银行存款</v>
      </c>
      <c r="F169" s="48" t="str">
        <f aca="false">""</f>
        <v/>
      </c>
      <c r="G169" s="49" t="n">
        <f aca="false">-ROUND(SUMIFS(输入报销!$G:$G,输入报销!$A:$A,$A169,输入报销!$H:$H,参数!$B$7),2)</f>
        <v>-0</v>
      </c>
      <c r="H169" s="49" t="str">
        <f aca="false">IF(ROUND($G169,2)&gt;0,ROUND($G169,2),"")</f>
        <v/>
      </c>
      <c r="I169" s="49" t="str">
        <f aca="false">IF(ROUND($G169,2)&lt;0,-ROUND($G169,2),"")</f>
        <v/>
      </c>
      <c r="J169" s="20" t="n">
        <f aca="false">IF(ROUND($G169,2)=0,0,1)</f>
        <v>0</v>
      </c>
      <c r="K169" s="20" t="str">
        <f aca="false">IF($J169=0,"",SUM($J$158:$J169))</f>
        <v/>
      </c>
      <c r="L169" s="20" t="str">
        <f aca="false">IF($K169="","",$A169*100+$K169)</f>
        <v/>
      </c>
      <c r="M169" s="48" t="str">
        <f aca="false">""</f>
        <v/>
      </c>
    </row>
    <row r="170" customFormat="false" ht="13.5" hidden="false" customHeight="false" outlineLevel="0" collapsed="false">
      <c r="A170" s="47" t="n">
        <v>13</v>
      </c>
      <c r="C170" s="48" t="str">
        <f aca="false">助手报销!$C14</f>
        <v>魏家庄店</v>
      </c>
      <c r="D170" s="81" t="s">
        <v>491</v>
      </c>
      <c r="E170" s="48" t="str">
        <f aca="false">参数!$B$8</f>
        <v>其他应付款</v>
      </c>
      <c r="F170" s="48" t="str">
        <f aca="false">""</f>
        <v/>
      </c>
      <c r="G170" s="49" t="n">
        <f aca="false">-ROUND(SUMIFS(输入报销!$G:$G,输入报销!$A:$A,$A170,输入报销!$H:$H,参数!$B$8),2)</f>
        <v>-0</v>
      </c>
      <c r="H170" s="49" t="str">
        <f aca="false">IF(ROUND($G170,2)&gt;0,ROUND($G170,2),"")</f>
        <v/>
      </c>
      <c r="I170" s="49" t="str">
        <f aca="false">IF(ROUND($G170,2)&lt;0,-ROUND($G170,2),"")</f>
        <v/>
      </c>
      <c r="J170" s="20" t="n">
        <f aca="false">IF(ROUND($G170,2)=0,0,1)</f>
        <v>0</v>
      </c>
      <c r="K170" s="20" t="str">
        <f aca="false">IF($J170=0,"",SUM($J$158:$J170))</f>
        <v/>
      </c>
      <c r="L170" s="20" t="str">
        <f aca="false">IF($K170="","",$A170*100+$K170)</f>
        <v/>
      </c>
      <c r="M170" s="48" t="str">
        <f aca="false">""</f>
        <v/>
      </c>
    </row>
    <row r="171" customFormat="false" ht="13.5" hidden="false" customHeight="false" outlineLevel="0" collapsed="false">
      <c r="A171" s="47" t="n">
        <v>14</v>
      </c>
      <c r="C171" s="48" t="str">
        <f aca="false">助手报销!$C15</f>
        <v>北楼店</v>
      </c>
      <c r="D171" s="81" t="s">
        <v>479</v>
      </c>
      <c r="E171" s="48" t="str">
        <f aca="false">IFERROR(INDEX(输入报销!$E:$E,MATCH($A171&amp;"-1",输入报销!$J:$J,0))&amp;"","")</f>
        <v>销售费用</v>
      </c>
      <c r="F171" s="48" t="str">
        <f aca="false">IFERROR(INDEX(输入报销!$F:$F,MATCH($A171&amp;"-1",输入报销!$J:$J,0))&amp;"","")</f>
        <v>电费</v>
      </c>
      <c r="G171" s="49" t="n">
        <f aca="false">IFERROR(ROUND(INDEX(输入报销!$G:$G,MATCH($A171&amp;"-1",输入报销!$J:$J,0)),2),0)</f>
        <v>800</v>
      </c>
      <c r="H171" s="49" t="n">
        <f aca="false">IF(ROUND($G171,2)&gt;0,ROUND($G171,2),"")</f>
        <v>800</v>
      </c>
      <c r="I171" s="49" t="str">
        <f aca="false">IF(ROUND($G171,2)&lt;0,-ROUND($G171,2),"")</f>
        <v/>
      </c>
      <c r="J171" s="20" t="n">
        <f aca="false">IF(ROUND($G171,2)=0,0,1)</f>
        <v>1</v>
      </c>
      <c r="K171" s="20" t="n">
        <f aca="false">IF($J171=0,"",SUM($J$171:$J171))</f>
        <v>1</v>
      </c>
      <c r="L171" s="20" t="n">
        <f aca="false">IF($K171="","",$A171*100+$K171)</f>
        <v>1401</v>
      </c>
      <c r="M171" s="48" t="str">
        <f aca="false">IFERROR(INDEX(输入报销!$D:$D,MATCH($A171&amp;"-1",输入报销!$J:$J,0))&amp;"","")</f>
        <v>电费</v>
      </c>
    </row>
    <row r="172" customFormat="false" ht="13.5" hidden="false" customHeight="false" outlineLevel="0" collapsed="false">
      <c r="A172" s="47" t="n">
        <v>14</v>
      </c>
      <c r="C172" s="48" t="str">
        <f aca="false">助手报销!$C15</f>
        <v>北楼店</v>
      </c>
      <c r="D172" s="81" t="s">
        <v>480</v>
      </c>
      <c r="E172" s="48" t="str">
        <f aca="false">IFERROR(INDEX(输入报销!$E:$E,MATCH($A172&amp;"-2",输入报销!$J:$J,0))&amp;"","")</f>
        <v>销售费用</v>
      </c>
      <c r="F172" s="48" t="str">
        <f aca="false">IFERROR(INDEX(输入报销!$F:$F,MATCH($A172&amp;"-2",输入报销!$J:$J,0))&amp;"","")</f>
        <v>电话费</v>
      </c>
      <c r="G172" s="49" t="n">
        <f aca="false">IFERROR(ROUND(INDEX(输入报销!$G:$G,MATCH($A172&amp;"-2",输入报销!$J:$J,0)),2),0)</f>
        <v>100</v>
      </c>
      <c r="H172" s="49" t="n">
        <f aca="false">IF(ROUND($G172,2)&gt;0,ROUND($G172,2),"")</f>
        <v>100</v>
      </c>
      <c r="I172" s="49" t="str">
        <f aca="false">IF(ROUND($G172,2)&lt;0,-ROUND($G172,2),"")</f>
        <v/>
      </c>
      <c r="J172" s="20" t="n">
        <f aca="false">IF(ROUND($G172,2)=0,0,1)</f>
        <v>1</v>
      </c>
      <c r="K172" s="20" t="n">
        <f aca="false">IF($J172=0,"",SUM($J$171:$J172))</f>
        <v>2</v>
      </c>
      <c r="L172" s="20" t="n">
        <f aca="false">IF($K172="","",$A172*100+$K172)</f>
        <v>1402</v>
      </c>
      <c r="M172" s="48" t="str">
        <f aca="false">IFERROR(INDEX(输入报销!$D:$D,MATCH($A172&amp;"-2",输入报销!$J:$J,0))&amp;"","")</f>
        <v>电话费</v>
      </c>
    </row>
    <row r="173" customFormat="false" ht="13.5" hidden="false" customHeight="false" outlineLevel="0" collapsed="false">
      <c r="A173" s="47" t="n">
        <v>14</v>
      </c>
      <c r="C173" s="48" t="str">
        <f aca="false">助手报销!$C15</f>
        <v>北楼店</v>
      </c>
      <c r="D173" s="81" t="s">
        <v>481</v>
      </c>
      <c r="E173" s="48" t="str">
        <f aca="false">IFERROR(INDEX(输入报销!$E:$E,MATCH($A173&amp;"-3",输入报销!$J:$J,0))&amp;"","")</f>
        <v>销售费用</v>
      </c>
      <c r="F173" s="48" t="str">
        <f aca="false">IFERROR(INDEX(输入报销!$F:$F,MATCH($A173&amp;"-3",输入报销!$J:$J,0))&amp;"","")</f>
        <v>水费</v>
      </c>
      <c r="G173" s="49" t="n">
        <f aca="false">IFERROR(ROUND(INDEX(输入报销!$G:$G,MATCH($A173&amp;"-3",输入报销!$J:$J,0)),2),0)</f>
        <v>8</v>
      </c>
      <c r="H173" s="49" t="n">
        <f aca="false">IF(ROUND($G173,2)&gt;0,ROUND($G173,2),"")</f>
        <v>8</v>
      </c>
      <c r="I173" s="49" t="str">
        <f aca="false">IF(ROUND($G173,2)&lt;0,-ROUND($G173,2),"")</f>
        <v/>
      </c>
      <c r="J173" s="20" t="n">
        <f aca="false">IF(ROUND($G173,2)=0,0,1)</f>
        <v>1</v>
      </c>
      <c r="K173" s="20" t="n">
        <f aca="false">IF($J173=0,"",SUM($J$171:$J173))</f>
        <v>3</v>
      </c>
      <c r="L173" s="20" t="n">
        <f aca="false">IF($K173="","",$A173*100+$K173)</f>
        <v>1403</v>
      </c>
      <c r="M173" s="48" t="str">
        <f aca="false">IFERROR(INDEX(输入报销!$D:$D,MATCH($A173&amp;"-3",输入报销!$J:$J,0))&amp;"","")</f>
        <v>水费</v>
      </c>
    </row>
    <row r="174" customFormat="false" ht="13.5" hidden="false" customHeight="false" outlineLevel="0" collapsed="false">
      <c r="A174" s="47" t="n">
        <v>14</v>
      </c>
      <c r="C174" s="48" t="str">
        <f aca="false">助手报销!$C15</f>
        <v>北楼店</v>
      </c>
      <c r="D174" s="81" t="s">
        <v>482</v>
      </c>
      <c r="E174" s="48" t="str">
        <f aca="false">IFERROR(INDEX(输入报销!$E:$E,MATCH($A174&amp;"-4",输入报销!$J:$J,0))&amp;"","")</f>
        <v/>
      </c>
      <c r="F174" s="48" t="str">
        <f aca="false">IFERROR(INDEX(输入报销!$F:$F,MATCH($A174&amp;"-4",输入报销!$J:$J,0))&amp;"","")</f>
        <v/>
      </c>
      <c r="G174" s="49" t="n">
        <f aca="false">IFERROR(ROUND(INDEX(输入报销!$G:$G,MATCH($A174&amp;"-4",输入报销!$J:$J,0)),2),0)</f>
        <v>0</v>
      </c>
      <c r="H174" s="49" t="str">
        <f aca="false">IF(ROUND($G174,2)&gt;0,ROUND($G174,2),"")</f>
        <v/>
      </c>
      <c r="I174" s="49" t="str">
        <f aca="false">IF(ROUND($G174,2)&lt;0,-ROUND($G174,2),"")</f>
        <v/>
      </c>
      <c r="J174" s="20" t="n">
        <f aca="false">IF(ROUND($G174,2)=0,0,1)</f>
        <v>0</v>
      </c>
      <c r="K174" s="20" t="str">
        <f aca="false">IF($J174=0,"",SUM($J$171:$J174))</f>
        <v/>
      </c>
      <c r="L174" s="20" t="str">
        <f aca="false">IF($K174="","",$A174*100+$K174)</f>
        <v/>
      </c>
      <c r="M174" s="48" t="str">
        <f aca="false">IFERROR(INDEX(输入报销!$D:$D,MATCH($A174&amp;"-4",输入报销!$J:$J,0))&amp;"","")</f>
        <v/>
      </c>
    </row>
    <row r="175" customFormat="false" ht="13.5" hidden="false" customHeight="false" outlineLevel="0" collapsed="false">
      <c r="A175" s="47" t="n">
        <v>14</v>
      </c>
      <c r="C175" s="48" t="str">
        <f aca="false">助手报销!$C15</f>
        <v>北楼店</v>
      </c>
      <c r="D175" s="81" t="s">
        <v>483</v>
      </c>
      <c r="E175" s="48" t="str">
        <f aca="false">IFERROR(INDEX(输入报销!$E:$E,MATCH($A175&amp;"-5",输入报销!$J:$J,0))&amp;"","")</f>
        <v/>
      </c>
      <c r="F175" s="48" t="str">
        <f aca="false">IFERROR(INDEX(输入报销!$F:$F,MATCH($A175&amp;"-5",输入报销!$J:$J,0))&amp;"","")</f>
        <v/>
      </c>
      <c r="G175" s="49" t="n">
        <f aca="false">IFERROR(ROUND(INDEX(输入报销!$G:$G,MATCH($A175&amp;"-5",输入报销!$J:$J,0)),2),0)</f>
        <v>0</v>
      </c>
      <c r="H175" s="49" t="str">
        <f aca="false">IF(ROUND($G175,2)&gt;0,ROUND($G175,2),"")</f>
        <v/>
      </c>
      <c r="I175" s="49" t="str">
        <f aca="false">IF(ROUND($G175,2)&lt;0,-ROUND($G175,2),"")</f>
        <v/>
      </c>
      <c r="J175" s="20" t="n">
        <f aca="false">IF(ROUND($G175,2)=0,0,1)</f>
        <v>0</v>
      </c>
      <c r="K175" s="20" t="str">
        <f aca="false">IF($J175=0,"",SUM($J$171:$J175))</f>
        <v/>
      </c>
      <c r="L175" s="20" t="str">
        <f aca="false">IF($K175="","",$A175*100+$K175)</f>
        <v/>
      </c>
      <c r="M175" s="48" t="str">
        <f aca="false">IFERROR(INDEX(输入报销!$D:$D,MATCH($A175&amp;"-5",输入报销!$J:$J,0))&amp;"","")</f>
        <v/>
      </c>
    </row>
    <row r="176" customFormat="false" ht="13.5" hidden="false" customHeight="false" outlineLevel="0" collapsed="false">
      <c r="A176" s="47" t="n">
        <v>14</v>
      </c>
      <c r="C176" s="48" t="str">
        <f aca="false">助手报销!$C15</f>
        <v>北楼店</v>
      </c>
      <c r="D176" s="81" t="s">
        <v>484</v>
      </c>
      <c r="E176" s="48" t="str">
        <f aca="false">IFERROR(INDEX(输入报销!$E:$E,MATCH($A176&amp;"-6",输入报销!$J:$J,0))&amp;"","")</f>
        <v/>
      </c>
      <c r="F176" s="48" t="str">
        <f aca="false">IFERROR(INDEX(输入报销!$F:$F,MATCH($A176&amp;"-6",输入报销!$J:$J,0))&amp;"","")</f>
        <v/>
      </c>
      <c r="G176" s="49" t="n">
        <f aca="false">IFERROR(ROUND(INDEX(输入报销!$G:$G,MATCH($A176&amp;"-6",输入报销!$J:$J,0)),2),0)</f>
        <v>0</v>
      </c>
      <c r="H176" s="49" t="str">
        <f aca="false">IF(ROUND($G176,2)&gt;0,ROUND($G176,2),"")</f>
        <v/>
      </c>
      <c r="I176" s="49" t="str">
        <f aca="false">IF(ROUND($G176,2)&lt;0,-ROUND($G176,2),"")</f>
        <v/>
      </c>
      <c r="J176" s="20" t="n">
        <f aca="false">IF(ROUND($G176,2)=0,0,1)</f>
        <v>0</v>
      </c>
      <c r="K176" s="20" t="str">
        <f aca="false">IF($J176=0,"",SUM($J$171:$J176))</f>
        <v/>
      </c>
      <c r="L176" s="20" t="str">
        <f aca="false">IF($K176="","",$A176*100+$K176)</f>
        <v/>
      </c>
      <c r="M176" s="48" t="str">
        <f aca="false">IFERROR(INDEX(输入报销!$D:$D,MATCH($A176&amp;"-6",输入报销!$J:$J,0))&amp;"","")</f>
        <v/>
      </c>
    </row>
    <row r="177" customFormat="false" ht="13.5" hidden="false" customHeight="false" outlineLevel="0" collapsed="false">
      <c r="A177" s="47" t="n">
        <v>14</v>
      </c>
      <c r="C177" s="48" t="str">
        <f aca="false">助手报销!$C15</f>
        <v>北楼店</v>
      </c>
      <c r="D177" s="81" t="s">
        <v>485</v>
      </c>
      <c r="E177" s="48" t="str">
        <f aca="false">IFERROR(INDEX(输入报销!$E:$E,MATCH($A177&amp;"-7",输入报销!$J:$J,0))&amp;"","")</f>
        <v/>
      </c>
      <c r="F177" s="48" t="str">
        <f aca="false">IFERROR(INDEX(输入报销!$F:$F,MATCH($A177&amp;"-7",输入报销!$J:$J,0))&amp;"","")</f>
        <v/>
      </c>
      <c r="G177" s="49" t="n">
        <f aca="false">IFERROR(ROUND(INDEX(输入报销!$G:$G,MATCH($A177&amp;"-7",输入报销!$J:$J,0)),2),0)</f>
        <v>0</v>
      </c>
      <c r="H177" s="49" t="str">
        <f aca="false">IF(ROUND($G177,2)&gt;0,ROUND($G177,2),"")</f>
        <v/>
      </c>
      <c r="I177" s="49" t="str">
        <f aca="false">IF(ROUND($G177,2)&lt;0,-ROUND($G177,2),"")</f>
        <v/>
      </c>
      <c r="J177" s="20" t="n">
        <f aca="false">IF(ROUND($G177,2)=0,0,1)</f>
        <v>0</v>
      </c>
      <c r="K177" s="20" t="str">
        <f aca="false">IF($J177=0,"",SUM($J$171:$J177))</f>
        <v/>
      </c>
      <c r="L177" s="20" t="str">
        <f aca="false">IF($K177="","",$A177*100+$K177)</f>
        <v/>
      </c>
      <c r="M177" s="48" t="str">
        <f aca="false">IFERROR(INDEX(输入报销!$D:$D,MATCH($A177&amp;"-7",输入报销!$J:$J,0))&amp;"","")</f>
        <v/>
      </c>
    </row>
    <row r="178" customFormat="false" ht="13.5" hidden="false" customHeight="false" outlineLevel="0" collapsed="false">
      <c r="A178" s="47" t="n">
        <v>14</v>
      </c>
      <c r="C178" s="48" t="str">
        <f aca="false">助手报销!$C15</f>
        <v>北楼店</v>
      </c>
      <c r="D178" s="81" t="s">
        <v>486</v>
      </c>
      <c r="E178" s="48" t="str">
        <f aca="false">IFERROR(INDEX(输入报销!$E:$E,MATCH($A178&amp;"-8",输入报销!$J:$J,0))&amp;"","")</f>
        <v/>
      </c>
      <c r="F178" s="48" t="str">
        <f aca="false">IFERROR(INDEX(输入报销!$F:$F,MATCH($A178&amp;"-8",输入报销!$J:$J,0))&amp;"","")</f>
        <v/>
      </c>
      <c r="G178" s="49" t="n">
        <f aca="false">IFERROR(ROUND(INDEX(输入报销!$G:$G,MATCH($A178&amp;"-8",输入报销!$J:$J,0)),2),0)</f>
        <v>0</v>
      </c>
      <c r="H178" s="49" t="str">
        <f aca="false">IF(ROUND($G178,2)&gt;0,ROUND($G178,2),"")</f>
        <v/>
      </c>
      <c r="I178" s="49" t="str">
        <f aca="false">IF(ROUND($G178,2)&lt;0,-ROUND($G178,2),"")</f>
        <v/>
      </c>
      <c r="J178" s="20" t="n">
        <f aca="false">IF(ROUND($G178,2)=0,0,1)</f>
        <v>0</v>
      </c>
      <c r="K178" s="20" t="str">
        <f aca="false">IF($J178=0,"",SUM($J$171:$J178))</f>
        <v/>
      </c>
      <c r="L178" s="20" t="str">
        <f aca="false">IF($K178="","",$A178*100+$K178)</f>
        <v/>
      </c>
      <c r="M178" s="48" t="str">
        <f aca="false">IFERROR(INDEX(输入报销!$D:$D,MATCH($A178&amp;"-8",输入报销!$J:$J,0))&amp;"","")</f>
        <v/>
      </c>
    </row>
    <row r="179" customFormat="false" ht="13.5" hidden="false" customHeight="false" outlineLevel="0" collapsed="false">
      <c r="A179" s="47" t="n">
        <v>14</v>
      </c>
      <c r="C179" s="48" t="str">
        <f aca="false">助手报销!$C15</f>
        <v>北楼店</v>
      </c>
      <c r="D179" s="81" t="s">
        <v>487</v>
      </c>
      <c r="E179" s="48" t="str">
        <f aca="false">IFERROR(INDEX(输入报销!$E:$E,MATCH($A179&amp;"-9",输入报销!$J:$J,0))&amp;"","")</f>
        <v/>
      </c>
      <c r="F179" s="48" t="str">
        <f aca="false">IFERROR(INDEX(输入报销!$F:$F,MATCH($A179&amp;"-9",输入报销!$J:$J,0))&amp;"","")</f>
        <v/>
      </c>
      <c r="G179" s="49" t="n">
        <f aca="false">IFERROR(ROUND(INDEX(输入报销!$G:$G,MATCH($A179&amp;"-9",输入报销!$J:$J,0)),2),0)</f>
        <v>0</v>
      </c>
      <c r="H179" s="49" t="str">
        <f aca="false">IF(ROUND($G179,2)&gt;0,ROUND($G179,2),"")</f>
        <v/>
      </c>
      <c r="I179" s="49" t="str">
        <f aca="false">IF(ROUND($G179,2)&lt;0,-ROUND($G179,2),"")</f>
        <v/>
      </c>
      <c r="J179" s="20" t="n">
        <f aca="false">IF(ROUND($G179,2)=0,0,1)</f>
        <v>0</v>
      </c>
      <c r="K179" s="20" t="str">
        <f aca="false">IF($J179=0,"",SUM($J$171:$J179))</f>
        <v/>
      </c>
      <c r="L179" s="20" t="str">
        <f aca="false">IF($K179="","",$A179*100+$K179)</f>
        <v/>
      </c>
      <c r="M179" s="48" t="str">
        <f aca="false">IFERROR(INDEX(输入报销!$D:$D,MATCH($A179&amp;"-9",输入报销!$J:$J,0))&amp;"","")</f>
        <v/>
      </c>
    </row>
    <row r="180" customFormat="false" ht="13.5" hidden="false" customHeight="false" outlineLevel="0" collapsed="false">
      <c r="A180" s="47" t="n">
        <v>14</v>
      </c>
      <c r="C180" s="48" t="str">
        <f aca="false">助手报销!$C15</f>
        <v>北楼店</v>
      </c>
      <c r="D180" s="81" t="s">
        <v>488</v>
      </c>
      <c r="E180" s="48" t="str">
        <f aca="false">IFERROR(INDEX(输入报销!$E:$E,MATCH($A180&amp;"-10",输入报销!$J:$J,0))&amp;"","")</f>
        <v/>
      </c>
      <c r="F180" s="48" t="str">
        <f aca="false">IFERROR(INDEX(输入报销!$F:$F,MATCH($A180&amp;"-10",输入报销!$J:$J,0))&amp;"","")</f>
        <v/>
      </c>
      <c r="G180" s="49" t="n">
        <f aca="false">IFERROR(ROUND(INDEX(输入报销!$G:$G,MATCH($A180&amp;"-10",输入报销!$J:$J,0)),2),0)</f>
        <v>0</v>
      </c>
      <c r="H180" s="49" t="str">
        <f aca="false">IF(ROUND($G180,2)&gt;0,ROUND($G180,2),"")</f>
        <v/>
      </c>
      <c r="I180" s="49" t="str">
        <f aca="false">IF(ROUND($G180,2)&lt;0,-ROUND($G180,2),"")</f>
        <v/>
      </c>
      <c r="J180" s="20" t="n">
        <f aca="false">IF(ROUND($G180,2)=0,0,1)</f>
        <v>0</v>
      </c>
      <c r="K180" s="20" t="str">
        <f aca="false">IF($J180=0,"",SUM($J$171:$J180))</f>
        <v/>
      </c>
      <c r="L180" s="20" t="str">
        <f aca="false">IF($K180="","",$A180*100+$K180)</f>
        <v/>
      </c>
      <c r="M180" s="48" t="str">
        <f aca="false">IFERROR(INDEX(输入报销!$D:$D,MATCH($A180&amp;"-10",输入报销!$J:$J,0))&amp;"","")</f>
        <v/>
      </c>
    </row>
    <row r="181" customFormat="false" ht="13.5" hidden="false" customHeight="false" outlineLevel="0" collapsed="false">
      <c r="A181" s="47" t="n">
        <v>14</v>
      </c>
      <c r="C181" s="48" t="str">
        <f aca="false">助手报销!$C15</f>
        <v>北楼店</v>
      </c>
      <c r="D181" s="81" t="s">
        <v>489</v>
      </c>
      <c r="E181" s="48" t="str">
        <f aca="false">参数!$B$6</f>
        <v>库存现金</v>
      </c>
      <c r="F181" s="48" t="str">
        <f aca="false">""</f>
        <v/>
      </c>
      <c r="G181" s="49" t="n">
        <f aca="false">-ROUND(SUMIFS(输入报销!$G:$G,输入报销!$A:$A,$A181,输入报销!$H:$H,参数!$B$6),2)</f>
        <v>-908</v>
      </c>
      <c r="H181" s="49" t="str">
        <f aca="false">IF(ROUND($G181,2)&gt;0,ROUND($G181,2),"")</f>
        <v/>
      </c>
      <c r="I181" s="49" t="n">
        <f aca="false">IF(ROUND($G181,2)&lt;0,-ROUND($G181,2),"")</f>
        <v>908</v>
      </c>
      <c r="J181" s="20" t="n">
        <f aca="false">IF(ROUND($G181,2)=0,0,1)</f>
        <v>1</v>
      </c>
      <c r="K181" s="20" t="n">
        <f aca="false">IF($J181=0,"",SUM($J$171:$J181))</f>
        <v>4</v>
      </c>
      <c r="L181" s="20" t="n">
        <f aca="false">IF($K181="","",$A181*100+$K181)</f>
        <v>1404</v>
      </c>
      <c r="M181" s="48" t="str">
        <f aca="false">""</f>
        <v/>
      </c>
    </row>
    <row r="182" customFormat="false" ht="13.5" hidden="false" customHeight="false" outlineLevel="0" collapsed="false">
      <c r="A182" s="47" t="n">
        <v>14</v>
      </c>
      <c r="C182" s="48" t="str">
        <f aca="false">助手报销!$C15</f>
        <v>北楼店</v>
      </c>
      <c r="D182" s="81" t="s">
        <v>490</v>
      </c>
      <c r="E182" s="48" t="str">
        <f aca="false">参数!$B$7</f>
        <v>银行存款</v>
      </c>
      <c r="F182" s="48" t="str">
        <f aca="false">""</f>
        <v/>
      </c>
      <c r="G182" s="49" t="n">
        <f aca="false">-ROUND(SUMIFS(输入报销!$G:$G,输入报销!$A:$A,$A182,输入报销!$H:$H,参数!$B$7),2)</f>
        <v>-0</v>
      </c>
      <c r="H182" s="49" t="str">
        <f aca="false">IF(ROUND($G182,2)&gt;0,ROUND($G182,2),"")</f>
        <v/>
      </c>
      <c r="I182" s="49" t="str">
        <f aca="false">IF(ROUND($G182,2)&lt;0,-ROUND($G182,2),"")</f>
        <v/>
      </c>
      <c r="J182" s="20" t="n">
        <f aca="false">IF(ROUND($G182,2)=0,0,1)</f>
        <v>0</v>
      </c>
      <c r="K182" s="20" t="str">
        <f aca="false">IF($J182=0,"",SUM($J$171:$J182))</f>
        <v/>
      </c>
      <c r="L182" s="20" t="str">
        <f aca="false">IF($K182="","",$A182*100+$K182)</f>
        <v/>
      </c>
      <c r="M182" s="48" t="str">
        <f aca="false">""</f>
        <v/>
      </c>
    </row>
    <row r="183" customFormat="false" ht="13.5" hidden="false" customHeight="false" outlineLevel="0" collapsed="false">
      <c r="A183" s="47" t="n">
        <v>14</v>
      </c>
      <c r="C183" s="48" t="str">
        <f aca="false">助手报销!$C15</f>
        <v>北楼店</v>
      </c>
      <c r="D183" s="81" t="s">
        <v>491</v>
      </c>
      <c r="E183" s="48" t="str">
        <f aca="false">参数!$B$8</f>
        <v>其他应付款</v>
      </c>
      <c r="F183" s="48" t="str">
        <f aca="false">""</f>
        <v/>
      </c>
      <c r="G183" s="49" t="n">
        <f aca="false">-ROUND(SUMIFS(输入报销!$G:$G,输入报销!$A:$A,$A183,输入报销!$H:$H,参数!$B$8),2)</f>
        <v>-0</v>
      </c>
      <c r="H183" s="49" t="str">
        <f aca="false">IF(ROUND($G183,2)&gt;0,ROUND($G183,2),"")</f>
        <v/>
      </c>
      <c r="I183" s="49" t="str">
        <f aca="false">IF(ROUND($G183,2)&lt;0,-ROUND($G183,2),"")</f>
        <v/>
      </c>
      <c r="J183" s="20" t="n">
        <f aca="false">IF(ROUND($G183,2)=0,0,1)</f>
        <v>0</v>
      </c>
      <c r="K183" s="20" t="str">
        <f aca="false">IF($J183=0,"",SUM($J$171:$J183))</f>
        <v/>
      </c>
      <c r="L183" s="20" t="str">
        <f aca="false">IF($K183="","",$A183*100+$K183)</f>
        <v/>
      </c>
      <c r="M183" s="48" t="str">
        <f aca="false">""</f>
        <v/>
      </c>
    </row>
    <row r="184" customFormat="false" ht="13.5" hidden="false" customHeight="false" outlineLevel="0" collapsed="false">
      <c r="A184" s="47" t="n">
        <v>15</v>
      </c>
      <c r="C184" s="48" t="str">
        <f aca="false">助手报销!$C16</f>
        <v>尹村店</v>
      </c>
      <c r="D184" s="81" t="s">
        <v>479</v>
      </c>
      <c r="E184" s="48" t="str">
        <f aca="false">IFERROR(INDEX(输入报销!$E:$E,MATCH($A184&amp;"-1",输入报销!$J:$J,0))&amp;"","")</f>
        <v>销售费用</v>
      </c>
      <c r="F184" s="48" t="str">
        <f aca="false">IFERROR(INDEX(输入报销!$F:$F,MATCH($A184&amp;"-1",输入报销!$J:$J,0))&amp;"","")</f>
        <v>水费</v>
      </c>
      <c r="G184" s="49" t="n">
        <f aca="false">IFERROR(ROUND(INDEX(输入报销!$G:$G,MATCH($A184&amp;"-1",输入报销!$J:$J,0)),2),0)</f>
        <v>31.7</v>
      </c>
      <c r="H184" s="49" t="n">
        <f aca="false">IF(ROUND($G184,2)&gt;0,ROUND($G184,2),"")</f>
        <v>31.7</v>
      </c>
      <c r="I184" s="49" t="str">
        <f aca="false">IF(ROUND($G184,2)&lt;0,-ROUND($G184,2),"")</f>
        <v/>
      </c>
      <c r="J184" s="20" t="n">
        <f aca="false">IF(ROUND($G184,2)=0,0,1)</f>
        <v>1</v>
      </c>
      <c r="K184" s="20" t="n">
        <f aca="false">IF($J184=0,"",SUM($J$184:$J184))</f>
        <v>1</v>
      </c>
      <c r="L184" s="20" t="n">
        <f aca="false">IF($K184="","",$A184*100+$K184)</f>
        <v>1501</v>
      </c>
      <c r="M184" s="48" t="str">
        <f aca="false">IFERROR(INDEX(输入报销!$D:$D,MATCH($A184&amp;"-1",输入报销!$J:$J,0))&amp;"","")</f>
        <v>水费</v>
      </c>
    </row>
    <row r="185" customFormat="false" ht="13.5" hidden="false" customHeight="false" outlineLevel="0" collapsed="false">
      <c r="A185" s="47" t="n">
        <v>15</v>
      </c>
      <c r="C185" s="48" t="str">
        <f aca="false">助手报销!$C16</f>
        <v>尹村店</v>
      </c>
      <c r="D185" s="81" t="s">
        <v>480</v>
      </c>
      <c r="E185" s="48" t="str">
        <f aca="false">IFERROR(INDEX(输入报销!$E:$E,MATCH($A185&amp;"-2",输入报销!$J:$J,0))&amp;"","")</f>
        <v>销售费用</v>
      </c>
      <c r="F185" s="48" t="str">
        <f aca="false">IFERROR(INDEX(输入报销!$F:$F,MATCH($A185&amp;"-2",输入报销!$J:$J,0))&amp;"","")</f>
        <v>电费</v>
      </c>
      <c r="G185" s="49" t="n">
        <f aca="false">IFERROR(ROUND(INDEX(输入报销!$G:$G,MATCH($A185&amp;"-2",输入报销!$J:$J,0)),2),0)</f>
        <v>400</v>
      </c>
      <c r="H185" s="49" t="n">
        <f aca="false">IF(ROUND($G185,2)&gt;0,ROUND($G185,2),"")</f>
        <v>400</v>
      </c>
      <c r="I185" s="49" t="str">
        <f aca="false">IF(ROUND($G185,2)&lt;0,-ROUND($G185,2),"")</f>
        <v/>
      </c>
      <c r="J185" s="20" t="n">
        <f aca="false">IF(ROUND($G185,2)=0,0,1)</f>
        <v>1</v>
      </c>
      <c r="K185" s="20" t="n">
        <f aca="false">IF($J185=0,"",SUM($J$184:$J185))</f>
        <v>2</v>
      </c>
      <c r="L185" s="20" t="n">
        <f aca="false">IF($K185="","",$A185*100+$K185)</f>
        <v>1502</v>
      </c>
      <c r="M185" s="48" t="str">
        <f aca="false">IFERROR(INDEX(输入报销!$D:$D,MATCH($A185&amp;"-2",输入报销!$J:$J,0))&amp;"","")</f>
        <v>电费</v>
      </c>
    </row>
    <row r="186" customFormat="false" ht="13.5" hidden="false" customHeight="false" outlineLevel="0" collapsed="false">
      <c r="A186" s="47" t="n">
        <v>15</v>
      </c>
      <c r="C186" s="48" t="str">
        <f aca="false">助手报销!$C16</f>
        <v>尹村店</v>
      </c>
      <c r="D186" s="81" t="s">
        <v>481</v>
      </c>
      <c r="E186" s="48" t="str">
        <f aca="false">IFERROR(INDEX(输入报销!$E:$E,MATCH($A186&amp;"-3",输入报销!$J:$J,0))&amp;"","")</f>
        <v>销售费用</v>
      </c>
      <c r="F186" s="48" t="str">
        <f aca="false">IFERROR(INDEX(输入报销!$F:$F,MATCH($A186&amp;"-3",输入报销!$J:$J,0))&amp;"","")</f>
        <v>办公费</v>
      </c>
      <c r="G186" s="49" t="n">
        <f aca="false">IFERROR(ROUND(INDEX(输入报销!$G:$G,MATCH($A186&amp;"-3",输入报销!$J:$J,0)),2),0)</f>
        <v>48.7</v>
      </c>
      <c r="H186" s="49" t="n">
        <f aca="false">IF(ROUND($G186,2)&gt;0,ROUND($G186,2),"")</f>
        <v>48.7</v>
      </c>
      <c r="I186" s="49" t="str">
        <f aca="false">IF(ROUND($G186,2)&lt;0,-ROUND($G186,2),"")</f>
        <v/>
      </c>
      <c r="J186" s="20" t="n">
        <f aca="false">IF(ROUND($G186,2)=0,0,1)</f>
        <v>1</v>
      </c>
      <c r="K186" s="20" t="n">
        <f aca="false">IF($J186=0,"",SUM($J$184:$J186))</f>
        <v>3</v>
      </c>
      <c r="L186" s="20" t="n">
        <f aca="false">IF($K186="","",$A186*100+$K186)</f>
        <v>1503</v>
      </c>
      <c r="M186" s="48" t="str">
        <f aca="false">IFERROR(INDEX(输入报销!$D:$D,MATCH($A186&amp;"-3",输入报销!$J:$J,0))&amp;"","")</f>
        <v>色带慢病用品</v>
      </c>
    </row>
    <row r="187" customFormat="false" ht="13.5" hidden="false" customHeight="false" outlineLevel="0" collapsed="false">
      <c r="A187" s="47" t="n">
        <v>15</v>
      </c>
      <c r="C187" s="48" t="str">
        <f aca="false">助手报销!$C16</f>
        <v>尹村店</v>
      </c>
      <c r="D187" s="81" t="s">
        <v>482</v>
      </c>
      <c r="E187" s="48" t="str">
        <f aca="false">IFERROR(INDEX(输入报销!$E:$E,MATCH($A187&amp;"-4",输入报销!$J:$J,0))&amp;"","")</f>
        <v>销售费用</v>
      </c>
      <c r="F187" s="48" t="str">
        <f aca="false">IFERROR(INDEX(输入报销!$F:$F,MATCH($A187&amp;"-4",输入报销!$J:$J,0))&amp;"","")</f>
        <v>办公费</v>
      </c>
      <c r="G187" s="49" t="n">
        <f aca="false">IFERROR(ROUND(INDEX(输入报销!$G:$G,MATCH($A187&amp;"-4",输入报销!$J:$J,0)),2),0)</f>
        <v>20</v>
      </c>
      <c r="H187" s="49" t="n">
        <f aca="false">IF(ROUND($G187,2)&gt;0,ROUND($G187,2),"")</f>
        <v>20</v>
      </c>
      <c r="I187" s="49" t="str">
        <f aca="false">IF(ROUND($G187,2)&lt;0,-ROUND($G187,2),"")</f>
        <v/>
      </c>
      <c r="J187" s="20" t="n">
        <f aca="false">IF(ROUND($G187,2)=0,0,1)</f>
        <v>1</v>
      </c>
      <c r="K187" s="20" t="n">
        <f aca="false">IF($J187=0,"",SUM($J$184:$J187))</f>
        <v>4</v>
      </c>
      <c r="L187" s="20" t="n">
        <f aca="false">IF($K187="","",$A187*100+$K187)</f>
        <v>1504</v>
      </c>
      <c r="M187" s="48" t="str">
        <f aca="false">IFERROR(INDEX(输入报销!$D:$D,MATCH($A187&amp;"-4",输入报销!$J:$J,0))&amp;"","")</f>
        <v>修门</v>
      </c>
    </row>
    <row r="188" customFormat="false" ht="13.5" hidden="false" customHeight="false" outlineLevel="0" collapsed="false">
      <c r="A188" s="47" t="n">
        <v>15</v>
      </c>
      <c r="C188" s="48" t="str">
        <f aca="false">助手报销!$C16</f>
        <v>尹村店</v>
      </c>
      <c r="D188" s="81" t="s">
        <v>483</v>
      </c>
      <c r="E188" s="48" t="str">
        <f aca="false">IFERROR(INDEX(输入报销!$E:$E,MATCH($A188&amp;"-5",输入报销!$J:$J,0))&amp;"","")</f>
        <v/>
      </c>
      <c r="F188" s="48" t="str">
        <f aca="false">IFERROR(INDEX(输入报销!$F:$F,MATCH($A188&amp;"-5",输入报销!$J:$J,0))&amp;"","")</f>
        <v/>
      </c>
      <c r="G188" s="49" t="n">
        <f aca="false">IFERROR(ROUND(INDEX(输入报销!$G:$G,MATCH($A188&amp;"-5",输入报销!$J:$J,0)),2),0)</f>
        <v>0</v>
      </c>
      <c r="H188" s="49" t="str">
        <f aca="false">IF(ROUND($G188,2)&gt;0,ROUND($G188,2),"")</f>
        <v/>
      </c>
      <c r="I188" s="49" t="str">
        <f aca="false">IF(ROUND($G188,2)&lt;0,-ROUND($G188,2),"")</f>
        <v/>
      </c>
      <c r="J188" s="20" t="n">
        <f aca="false">IF(ROUND($G188,2)=0,0,1)</f>
        <v>0</v>
      </c>
      <c r="K188" s="20" t="str">
        <f aca="false">IF($J188=0,"",SUM($J$184:$J188))</f>
        <v/>
      </c>
      <c r="L188" s="20" t="str">
        <f aca="false">IF($K188="","",$A188*100+$K188)</f>
        <v/>
      </c>
      <c r="M188" s="48" t="str">
        <f aca="false">IFERROR(INDEX(输入报销!$D:$D,MATCH($A188&amp;"-5",输入报销!$J:$J,0))&amp;"","")</f>
        <v/>
      </c>
    </row>
    <row r="189" customFormat="false" ht="13.5" hidden="false" customHeight="false" outlineLevel="0" collapsed="false">
      <c r="A189" s="47" t="n">
        <v>15</v>
      </c>
      <c r="C189" s="48" t="str">
        <f aca="false">助手报销!$C16</f>
        <v>尹村店</v>
      </c>
      <c r="D189" s="81" t="s">
        <v>484</v>
      </c>
      <c r="E189" s="48" t="str">
        <f aca="false">IFERROR(INDEX(输入报销!$E:$E,MATCH($A189&amp;"-6",输入报销!$J:$J,0))&amp;"","")</f>
        <v/>
      </c>
      <c r="F189" s="48" t="str">
        <f aca="false">IFERROR(INDEX(输入报销!$F:$F,MATCH($A189&amp;"-6",输入报销!$J:$J,0))&amp;"","")</f>
        <v/>
      </c>
      <c r="G189" s="49" t="n">
        <f aca="false">IFERROR(ROUND(INDEX(输入报销!$G:$G,MATCH($A189&amp;"-6",输入报销!$J:$J,0)),2),0)</f>
        <v>0</v>
      </c>
      <c r="H189" s="49" t="str">
        <f aca="false">IF(ROUND($G189,2)&gt;0,ROUND($G189,2),"")</f>
        <v/>
      </c>
      <c r="I189" s="49" t="str">
        <f aca="false">IF(ROUND($G189,2)&lt;0,-ROUND($G189,2),"")</f>
        <v/>
      </c>
      <c r="J189" s="20" t="n">
        <f aca="false">IF(ROUND($G189,2)=0,0,1)</f>
        <v>0</v>
      </c>
      <c r="K189" s="20" t="str">
        <f aca="false">IF($J189=0,"",SUM($J$184:$J189))</f>
        <v/>
      </c>
      <c r="L189" s="20" t="str">
        <f aca="false">IF($K189="","",$A189*100+$K189)</f>
        <v/>
      </c>
      <c r="M189" s="48" t="str">
        <f aca="false">IFERROR(INDEX(输入报销!$D:$D,MATCH($A189&amp;"-6",输入报销!$J:$J,0))&amp;"","")</f>
        <v/>
      </c>
    </row>
    <row r="190" customFormat="false" ht="13.5" hidden="false" customHeight="false" outlineLevel="0" collapsed="false">
      <c r="A190" s="47" t="n">
        <v>15</v>
      </c>
      <c r="C190" s="48" t="str">
        <f aca="false">助手报销!$C16</f>
        <v>尹村店</v>
      </c>
      <c r="D190" s="81" t="s">
        <v>485</v>
      </c>
      <c r="E190" s="48" t="str">
        <f aca="false">IFERROR(INDEX(输入报销!$E:$E,MATCH($A190&amp;"-7",输入报销!$J:$J,0))&amp;"","")</f>
        <v/>
      </c>
      <c r="F190" s="48" t="str">
        <f aca="false">IFERROR(INDEX(输入报销!$F:$F,MATCH($A190&amp;"-7",输入报销!$J:$J,0))&amp;"","")</f>
        <v/>
      </c>
      <c r="G190" s="49" t="n">
        <f aca="false">IFERROR(ROUND(INDEX(输入报销!$G:$G,MATCH($A190&amp;"-7",输入报销!$J:$J,0)),2),0)</f>
        <v>0</v>
      </c>
      <c r="H190" s="49" t="str">
        <f aca="false">IF(ROUND($G190,2)&gt;0,ROUND($G190,2),"")</f>
        <v/>
      </c>
      <c r="I190" s="49" t="str">
        <f aca="false">IF(ROUND($G190,2)&lt;0,-ROUND($G190,2),"")</f>
        <v/>
      </c>
      <c r="J190" s="20" t="n">
        <f aca="false">IF(ROUND($G190,2)=0,0,1)</f>
        <v>0</v>
      </c>
      <c r="K190" s="20" t="str">
        <f aca="false">IF($J190=0,"",SUM($J$184:$J190))</f>
        <v/>
      </c>
      <c r="L190" s="20" t="str">
        <f aca="false">IF($K190="","",$A190*100+$K190)</f>
        <v/>
      </c>
      <c r="M190" s="48" t="str">
        <f aca="false">IFERROR(INDEX(输入报销!$D:$D,MATCH($A190&amp;"-7",输入报销!$J:$J,0))&amp;"","")</f>
        <v/>
      </c>
    </row>
    <row r="191" customFormat="false" ht="13.5" hidden="false" customHeight="false" outlineLevel="0" collapsed="false">
      <c r="A191" s="47" t="n">
        <v>15</v>
      </c>
      <c r="C191" s="48" t="str">
        <f aca="false">助手报销!$C16</f>
        <v>尹村店</v>
      </c>
      <c r="D191" s="81" t="s">
        <v>486</v>
      </c>
      <c r="E191" s="48" t="str">
        <f aca="false">IFERROR(INDEX(输入报销!$E:$E,MATCH($A191&amp;"-8",输入报销!$J:$J,0))&amp;"","")</f>
        <v/>
      </c>
      <c r="F191" s="48" t="str">
        <f aca="false">IFERROR(INDEX(输入报销!$F:$F,MATCH($A191&amp;"-8",输入报销!$J:$J,0))&amp;"","")</f>
        <v/>
      </c>
      <c r="G191" s="49" t="n">
        <f aca="false">IFERROR(ROUND(INDEX(输入报销!$G:$G,MATCH($A191&amp;"-8",输入报销!$J:$J,0)),2),0)</f>
        <v>0</v>
      </c>
      <c r="H191" s="49" t="str">
        <f aca="false">IF(ROUND($G191,2)&gt;0,ROUND($G191,2),"")</f>
        <v/>
      </c>
      <c r="I191" s="49" t="str">
        <f aca="false">IF(ROUND($G191,2)&lt;0,-ROUND($G191,2),"")</f>
        <v/>
      </c>
      <c r="J191" s="20" t="n">
        <f aca="false">IF(ROUND($G191,2)=0,0,1)</f>
        <v>0</v>
      </c>
      <c r="K191" s="20" t="str">
        <f aca="false">IF($J191=0,"",SUM($J$184:$J191))</f>
        <v/>
      </c>
      <c r="L191" s="20" t="str">
        <f aca="false">IF($K191="","",$A191*100+$K191)</f>
        <v/>
      </c>
      <c r="M191" s="48" t="str">
        <f aca="false">IFERROR(INDEX(输入报销!$D:$D,MATCH($A191&amp;"-8",输入报销!$J:$J,0))&amp;"","")</f>
        <v/>
      </c>
    </row>
    <row r="192" customFormat="false" ht="13.5" hidden="false" customHeight="false" outlineLevel="0" collapsed="false">
      <c r="A192" s="47" t="n">
        <v>15</v>
      </c>
      <c r="C192" s="48" t="str">
        <f aca="false">助手报销!$C16</f>
        <v>尹村店</v>
      </c>
      <c r="D192" s="81" t="s">
        <v>487</v>
      </c>
      <c r="E192" s="48" t="str">
        <f aca="false">IFERROR(INDEX(输入报销!$E:$E,MATCH($A192&amp;"-9",输入报销!$J:$J,0))&amp;"","")</f>
        <v/>
      </c>
      <c r="F192" s="48" t="str">
        <f aca="false">IFERROR(INDEX(输入报销!$F:$F,MATCH($A192&amp;"-9",输入报销!$J:$J,0))&amp;"","")</f>
        <v/>
      </c>
      <c r="G192" s="49" t="n">
        <f aca="false">IFERROR(ROUND(INDEX(输入报销!$G:$G,MATCH($A192&amp;"-9",输入报销!$J:$J,0)),2),0)</f>
        <v>0</v>
      </c>
      <c r="H192" s="49" t="str">
        <f aca="false">IF(ROUND($G192,2)&gt;0,ROUND($G192,2),"")</f>
        <v/>
      </c>
      <c r="I192" s="49" t="str">
        <f aca="false">IF(ROUND($G192,2)&lt;0,-ROUND($G192,2),"")</f>
        <v/>
      </c>
      <c r="J192" s="20" t="n">
        <f aca="false">IF(ROUND($G192,2)=0,0,1)</f>
        <v>0</v>
      </c>
      <c r="K192" s="20" t="str">
        <f aca="false">IF($J192=0,"",SUM($J$184:$J192))</f>
        <v/>
      </c>
      <c r="L192" s="20" t="str">
        <f aca="false">IF($K192="","",$A192*100+$K192)</f>
        <v/>
      </c>
      <c r="M192" s="48" t="str">
        <f aca="false">IFERROR(INDEX(输入报销!$D:$D,MATCH($A192&amp;"-9",输入报销!$J:$J,0))&amp;"","")</f>
        <v/>
      </c>
    </row>
    <row r="193" customFormat="false" ht="13.5" hidden="false" customHeight="false" outlineLevel="0" collapsed="false">
      <c r="A193" s="47" t="n">
        <v>15</v>
      </c>
      <c r="C193" s="48" t="str">
        <f aca="false">助手报销!$C16</f>
        <v>尹村店</v>
      </c>
      <c r="D193" s="81" t="s">
        <v>488</v>
      </c>
      <c r="E193" s="48" t="str">
        <f aca="false">IFERROR(INDEX(输入报销!$E:$E,MATCH($A193&amp;"-10",输入报销!$J:$J,0))&amp;"","")</f>
        <v/>
      </c>
      <c r="F193" s="48" t="str">
        <f aca="false">IFERROR(INDEX(输入报销!$F:$F,MATCH($A193&amp;"-10",输入报销!$J:$J,0))&amp;"","")</f>
        <v/>
      </c>
      <c r="G193" s="49" t="n">
        <f aca="false">IFERROR(ROUND(INDEX(输入报销!$G:$G,MATCH($A193&amp;"-10",输入报销!$J:$J,0)),2),0)</f>
        <v>0</v>
      </c>
      <c r="H193" s="49" t="str">
        <f aca="false">IF(ROUND($G193,2)&gt;0,ROUND($G193,2),"")</f>
        <v/>
      </c>
      <c r="I193" s="49" t="str">
        <f aca="false">IF(ROUND($G193,2)&lt;0,-ROUND($G193,2),"")</f>
        <v/>
      </c>
      <c r="J193" s="20" t="n">
        <f aca="false">IF(ROUND($G193,2)=0,0,1)</f>
        <v>0</v>
      </c>
      <c r="K193" s="20" t="str">
        <f aca="false">IF($J193=0,"",SUM($J$184:$J193))</f>
        <v/>
      </c>
      <c r="L193" s="20" t="str">
        <f aca="false">IF($K193="","",$A193*100+$K193)</f>
        <v/>
      </c>
      <c r="M193" s="48" t="str">
        <f aca="false">IFERROR(INDEX(输入报销!$D:$D,MATCH($A193&amp;"-10",输入报销!$J:$J,0))&amp;"","")</f>
        <v/>
      </c>
    </row>
    <row r="194" customFormat="false" ht="13.5" hidden="false" customHeight="false" outlineLevel="0" collapsed="false">
      <c r="A194" s="47" t="n">
        <v>15</v>
      </c>
      <c r="C194" s="48" t="str">
        <f aca="false">助手报销!$C16</f>
        <v>尹村店</v>
      </c>
      <c r="D194" s="81" t="s">
        <v>489</v>
      </c>
      <c r="E194" s="48" t="str">
        <f aca="false">参数!$B$6</f>
        <v>库存现金</v>
      </c>
      <c r="F194" s="48" t="str">
        <f aca="false">""</f>
        <v/>
      </c>
      <c r="G194" s="49" t="n">
        <f aca="false">-ROUND(SUMIFS(输入报销!$G:$G,输入报销!$A:$A,$A194,输入报销!$H:$H,参数!$B$6),2)</f>
        <v>-500.4</v>
      </c>
      <c r="H194" s="49" t="str">
        <f aca="false">IF(ROUND($G194,2)&gt;0,ROUND($G194,2),"")</f>
        <v/>
      </c>
      <c r="I194" s="49" t="n">
        <f aca="false">IF(ROUND($G194,2)&lt;0,-ROUND($G194,2),"")</f>
        <v>500.4</v>
      </c>
      <c r="J194" s="20" t="n">
        <f aca="false">IF(ROUND($G194,2)=0,0,1)</f>
        <v>1</v>
      </c>
      <c r="K194" s="20" t="n">
        <f aca="false">IF($J194=0,"",SUM($J$184:$J194))</f>
        <v>5</v>
      </c>
      <c r="L194" s="20" t="n">
        <f aca="false">IF($K194="","",$A194*100+$K194)</f>
        <v>1505</v>
      </c>
      <c r="M194" s="48" t="str">
        <f aca="false">""</f>
        <v/>
      </c>
    </row>
    <row r="195" customFormat="false" ht="13.5" hidden="false" customHeight="false" outlineLevel="0" collapsed="false">
      <c r="A195" s="47" t="n">
        <v>15</v>
      </c>
      <c r="C195" s="48" t="str">
        <f aca="false">助手报销!$C16</f>
        <v>尹村店</v>
      </c>
      <c r="D195" s="81" t="s">
        <v>490</v>
      </c>
      <c r="E195" s="48" t="str">
        <f aca="false">参数!$B$7</f>
        <v>银行存款</v>
      </c>
      <c r="F195" s="48" t="str">
        <f aca="false">""</f>
        <v/>
      </c>
      <c r="G195" s="49" t="n">
        <f aca="false">-ROUND(SUMIFS(输入报销!$G:$G,输入报销!$A:$A,$A195,输入报销!$H:$H,参数!$B$7),2)</f>
        <v>-0</v>
      </c>
      <c r="H195" s="49" t="str">
        <f aca="false">IF(ROUND($G195,2)&gt;0,ROUND($G195,2),"")</f>
        <v/>
      </c>
      <c r="I195" s="49" t="str">
        <f aca="false">IF(ROUND($G195,2)&lt;0,-ROUND($G195,2),"")</f>
        <v/>
      </c>
      <c r="J195" s="20" t="n">
        <f aca="false">IF(ROUND($G195,2)=0,0,1)</f>
        <v>0</v>
      </c>
      <c r="K195" s="20" t="str">
        <f aca="false">IF($J195=0,"",SUM($J$184:$J195))</f>
        <v/>
      </c>
      <c r="L195" s="20" t="str">
        <f aca="false">IF($K195="","",$A195*100+$K195)</f>
        <v/>
      </c>
      <c r="M195" s="48" t="str">
        <f aca="false">""</f>
        <v/>
      </c>
    </row>
    <row r="196" customFormat="false" ht="13.5" hidden="false" customHeight="false" outlineLevel="0" collapsed="false">
      <c r="A196" s="47" t="n">
        <v>15</v>
      </c>
      <c r="C196" s="48" t="str">
        <f aca="false">助手报销!$C16</f>
        <v>尹村店</v>
      </c>
      <c r="D196" s="81" t="s">
        <v>491</v>
      </c>
      <c r="E196" s="48" t="str">
        <f aca="false">参数!$B$8</f>
        <v>其他应付款</v>
      </c>
      <c r="F196" s="48" t="str">
        <f aca="false">""</f>
        <v/>
      </c>
      <c r="G196" s="49" t="n">
        <f aca="false">-ROUND(SUMIFS(输入报销!$G:$G,输入报销!$A:$A,$A196,输入报销!$H:$H,参数!$B$8),2)</f>
        <v>-0</v>
      </c>
      <c r="H196" s="49" t="str">
        <f aca="false">IF(ROUND($G196,2)&gt;0,ROUND($G196,2),"")</f>
        <v/>
      </c>
      <c r="I196" s="49" t="str">
        <f aca="false">IF(ROUND($G196,2)&lt;0,-ROUND($G196,2),"")</f>
        <v/>
      </c>
      <c r="J196" s="20" t="n">
        <f aca="false">IF(ROUND($G196,2)=0,0,1)</f>
        <v>0</v>
      </c>
      <c r="K196" s="20" t="str">
        <f aca="false">IF($J196=0,"",SUM($J$184:$J196))</f>
        <v/>
      </c>
      <c r="L196" s="20" t="str">
        <f aca="false">IF($K196="","",$A196*100+$K196)</f>
        <v/>
      </c>
      <c r="M196" s="48" t="str">
        <f aca="false">""</f>
        <v/>
      </c>
    </row>
    <row r="197" customFormat="false" ht="13.5" hidden="false" customHeight="false" outlineLevel="0" collapsed="false">
      <c r="A197" s="47" t="n">
        <v>16</v>
      </c>
      <c r="C197" s="48" t="str">
        <f aca="false">助手报销!$C17</f>
        <v>高村店</v>
      </c>
      <c r="D197" s="81" t="s">
        <v>479</v>
      </c>
      <c r="E197" s="48" t="str">
        <f aca="false">IFERROR(INDEX(输入报销!$E:$E,MATCH($A197&amp;"-1",输入报销!$J:$J,0))&amp;"","")</f>
        <v>销售费用</v>
      </c>
      <c r="F197" s="48" t="str">
        <f aca="false">IFERROR(INDEX(输入报销!$F:$F,MATCH($A197&amp;"-1",输入报销!$J:$J,0))&amp;"","")</f>
        <v>电费</v>
      </c>
      <c r="G197" s="49" t="n">
        <f aca="false">IFERROR(ROUND(INDEX(输入报销!$G:$G,MATCH($A197&amp;"-1",输入报销!$J:$J,0)),2),0)</f>
        <v>500</v>
      </c>
      <c r="H197" s="49" t="n">
        <f aca="false">IF(ROUND($G197,2)&gt;0,ROUND($G197,2),"")</f>
        <v>500</v>
      </c>
      <c r="I197" s="49" t="str">
        <f aca="false">IF(ROUND($G197,2)&lt;0,-ROUND($G197,2),"")</f>
        <v/>
      </c>
      <c r="J197" s="20" t="n">
        <f aca="false">IF(ROUND($G197,2)=0,0,1)</f>
        <v>1</v>
      </c>
      <c r="K197" s="20" t="n">
        <f aca="false">IF($J197=0,"",SUM($J$197:$J197))</f>
        <v>1</v>
      </c>
      <c r="L197" s="20" t="n">
        <f aca="false">IF($K197="","",$A197*100+$K197)</f>
        <v>1601</v>
      </c>
      <c r="M197" s="48" t="str">
        <f aca="false">IFERROR(INDEX(输入报销!$D:$D,MATCH($A197&amp;"-1",输入报销!$J:$J,0))&amp;"","")</f>
        <v>电费</v>
      </c>
    </row>
    <row r="198" customFormat="false" ht="13.5" hidden="false" customHeight="false" outlineLevel="0" collapsed="false">
      <c r="A198" s="47" t="n">
        <v>16</v>
      </c>
      <c r="C198" s="48" t="str">
        <f aca="false">助手报销!$C17</f>
        <v>高村店</v>
      </c>
      <c r="D198" s="81" t="s">
        <v>480</v>
      </c>
      <c r="E198" s="48" t="str">
        <f aca="false">IFERROR(INDEX(输入报销!$E:$E,MATCH($A198&amp;"-2",输入报销!$J:$J,0))&amp;"","")</f>
        <v/>
      </c>
      <c r="F198" s="48" t="str">
        <f aca="false">IFERROR(INDEX(输入报销!$F:$F,MATCH($A198&amp;"-2",输入报销!$J:$J,0))&amp;"","")</f>
        <v/>
      </c>
      <c r="G198" s="49" t="n">
        <f aca="false">IFERROR(ROUND(INDEX(输入报销!$G:$G,MATCH($A198&amp;"-2",输入报销!$J:$J,0)),2),0)</f>
        <v>0</v>
      </c>
      <c r="H198" s="49" t="str">
        <f aca="false">IF(ROUND($G198,2)&gt;0,ROUND($G198,2),"")</f>
        <v/>
      </c>
      <c r="I198" s="49" t="str">
        <f aca="false">IF(ROUND($G198,2)&lt;0,-ROUND($G198,2),"")</f>
        <v/>
      </c>
      <c r="J198" s="20" t="n">
        <f aca="false">IF(ROUND($G198,2)=0,0,1)</f>
        <v>0</v>
      </c>
      <c r="K198" s="20" t="str">
        <f aca="false">IF($J198=0,"",SUM($J$197:$J198))</f>
        <v/>
      </c>
      <c r="L198" s="20" t="str">
        <f aca="false">IF($K198="","",$A198*100+$K198)</f>
        <v/>
      </c>
      <c r="M198" s="48" t="str">
        <f aca="false">IFERROR(INDEX(输入报销!$D:$D,MATCH($A198&amp;"-2",输入报销!$J:$J,0))&amp;"","")</f>
        <v/>
      </c>
    </row>
    <row r="199" customFormat="false" ht="13.5" hidden="false" customHeight="false" outlineLevel="0" collapsed="false">
      <c r="A199" s="47" t="n">
        <v>16</v>
      </c>
      <c r="C199" s="48" t="str">
        <f aca="false">助手报销!$C17</f>
        <v>高村店</v>
      </c>
      <c r="D199" s="81" t="s">
        <v>481</v>
      </c>
      <c r="E199" s="48" t="str">
        <f aca="false">IFERROR(INDEX(输入报销!$E:$E,MATCH($A199&amp;"-3",输入报销!$J:$J,0))&amp;"","")</f>
        <v/>
      </c>
      <c r="F199" s="48" t="str">
        <f aca="false">IFERROR(INDEX(输入报销!$F:$F,MATCH($A199&amp;"-3",输入报销!$J:$J,0))&amp;"","")</f>
        <v/>
      </c>
      <c r="G199" s="49" t="n">
        <f aca="false">IFERROR(ROUND(INDEX(输入报销!$G:$G,MATCH($A199&amp;"-3",输入报销!$J:$J,0)),2),0)</f>
        <v>0</v>
      </c>
      <c r="H199" s="49" t="str">
        <f aca="false">IF(ROUND($G199,2)&gt;0,ROUND($G199,2),"")</f>
        <v/>
      </c>
      <c r="I199" s="49" t="str">
        <f aca="false">IF(ROUND($G199,2)&lt;0,-ROUND($G199,2),"")</f>
        <v/>
      </c>
      <c r="J199" s="20" t="n">
        <f aca="false">IF(ROUND($G199,2)=0,0,1)</f>
        <v>0</v>
      </c>
      <c r="K199" s="20" t="str">
        <f aca="false">IF($J199=0,"",SUM($J$197:$J199))</f>
        <v/>
      </c>
      <c r="L199" s="20" t="str">
        <f aca="false">IF($K199="","",$A199*100+$K199)</f>
        <v/>
      </c>
      <c r="M199" s="48" t="str">
        <f aca="false">IFERROR(INDEX(输入报销!$D:$D,MATCH($A199&amp;"-3",输入报销!$J:$J,0))&amp;"","")</f>
        <v/>
      </c>
    </row>
    <row r="200" customFormat="false" ht="13.5" hidden="false" customHeight="false" outlineLevel="0" collapsed="false">
      <c r="A200" s="47" t="n">
        <v>16</v>
      </c>
      <c r="C200" s="48" t="str">
        <f aca="false">助手报销!$C17</f>
        <v>高村店</v>
      </c>
      <c r="D200" s="81" t="s">
        <v>482</v>
      </c>
      <c r="E200" s="48" t="str">
        <f aca="false">IFERROR(INDEX(输入报销!$E:$E,MATCH($A200&amp;"-4",输入报销!$J:$J,0))&amp;"","")</f>
        <v/>
      </c>
      <c r="F200" s="48" t="str">
        <f aca="false">IFERROR(INDEX(输入报销!$F:$F,MATCH($A200&amp;"-4",输入报销!$J:$J,0))&amp;"","")</f>
        <v/>
      </c>
      <c r="G200" s="49" t="n">
        <f aca="false">IFERROR(ROUND(INDEX(输入报销!$G:$G,MATCH($A200&amp;"-4",输入报销!$J:$J,0)),2),0)</f>
        <v>0</v>
      </c>
      <c r="H200" s="49" t="str">
        <f aca="false">IF(ROUND($G200,2)&gt;0,ROUND($G200,2),"")</f>
        <v/>
      </c>
      <c r="I200" s="49" t="str">
        <f aca="false">IF(ROUND($G200,2)&lt;0,-ROUND($G200,2),"")</f>
        <v/>
      </c>
      <c r="J200" s="20" t="n">
        <f aca="false">IF(ROUND($G200,2)=0,0,1)</f>
        <v>0</v>
      </c>
      <c r="K200" s="20" t="str">
        <f aca="false">IF($J200=0,"",SUM($J$197:$J200))</f>
        <v/>
      </c>
      <c r="L200" s="20" t="str">
        <f aca="false">IF($K200="","",$A200*100+$K200)</f>
        <v/>
      </c>
      <c r="M200" s="48" t="str">
        <f aca="false">IFERROR(INDEX(输入报销!$D:$D,MATCH($A200&amp;"-4",输入报销!$J:$J,0))&amp;"","")</f>
        <v/>
      </c>
    </row>
    <row r="201" customFormat="false" ht="13.5" hidden="false" customHeight="false" outlineLevel="0" collapsed="false">
      <c r="A201" s="47" t="n">
        <v>16</v>
      </c>
      <c r="C201" s="48" t="str">
        <f aca="false">助手报销!$C17</f>
        <v>高村店</v>
      </c>
      <c r="D201" s="81" t="s">
        <v>483</v>
      </c>
      <c r="E201" s="48" t="str">
        <f aca="false">IFERROR(INDEX(输入报销!$E:$E,MATCH($A201&amp;"-5",输入报销!$J:$J,0))&amp;"","")</f>
        <v/>
      </c>
      <c r="F201" s="48" t="str">
        <f aca="false">IFERROR(INDEX(输入报销!$F:$F,MATCH($A201&amp;"-5",输入报销!$J:$J,0))&amp;"","")</f>
        <v/>
      </c>
      <c r="G201" s="49" t="n">
        <f aca="false">IFERROR(ROUND(INDEX(输入报销!$G:$G,MATCH($A201&amp;"-5",输入报销!$J:$J,0)),2),0)</f>
        <v>0</v>
      </c>
      <c r="H201" s="49" t="str">
        <f aca="false">IF(ROUND($G201,2)&gt;0,ROUND($G201,2),"")</f>
        <v/>
      </c>
      <c r="I201" s="49" t="str">
        <f aca="false">IF(ROUND($G201,2)&lt;0,-ROUND($G201,2),"")</f>
        <v/>
      </c>
      <c r="J201" s="20" t="n">
        <f aca="false">IF(ROUND($G201,2)=0,0,1)</f>
        <v>0</v>
      </c>
      <c r="K201" s="20" t="str">
        <f aca="false">IF($J201=0,"",SUM($J$197:$J201))</f>
        <v/>
      </c>
      <c r="L201" s="20" t="str">
        <f aca="false">IF($K201="","",$A201*100+$K201)</f>
        <v/>
      </c>
      <c r="M201" s="48" t="str">
        <f aca="false">IFERROR(INDEX(输入报销!$D:$D,MATCH($A201&amp;"-5",输入报销!$J:$J,0))&amp;"","")</f>
        <v/>
      </c>
    </row>
    <row r="202" customFormat="false" ht="13.5" hidden="false" customHeight="false" outlineLevel="0" collapsed="false">
      <c r="A202" s="47" t="n">
        <v>16</v>
      </c>
      <c r="C202" s="48" t="str">
        <f aca="false">助手报销!$C17</f>
        <v>高村店</v>
      </c>
      <c r="D202" s="81" t="s">
        <v>484</v>
      </c>
      <c r="E202" s="48" t="str">
        <f aca="false">IFERROR(INDEX(输入报销!$E:$E,MATCH($A202&amp;"-6",输入报销!$J:$J,0))&amp;"","")</f>
        <v/>
      </c>
      <c r="F202" s="48" t="str">
        <f aca="false">IFERROR(INDEX(输入报销!$F:$F,MATCH($A202&amp;"-6",输入报销!$J:$J,0))&amp;"","")</f>
        <v/>
      </c>
      <c r="G202" s="49" t="n">
        <f aca="false">IFERROR(ROUND(INDEX(输入报销!$G:$G,MATCH($A202&amp;"-6",输入报销!$J:$J,0)),2),0)</f>
        <v>0</v>
      </c>
      <c r="H202" s="49" t="str">
        <f aca="false">IF(ROUND($G202,2)&gt;0,ROUND($G202,2),"")</f>
        <v/>
      </c>
      <c r="I202" s="49" t="str">
        <f aca="false">IF(ROUND($G202,2)&lt;0,-ROUND($G202,2),"")</f>
        <v/>
      </c>
      <c r="J202" s="20" t="n">
        <f aca="false">IF(ROUND($G202,2)=0,0,1)</f>
        <v>0</v>
      </c>
      <c r="K202" s="20" t="str">
        <f aca="false">IF($J202=0,"",SUM($J$197:$J202))</f>
        <v/>
      </c>
      <c r="L202" s="20" t="str">
        <f aca="false">IF($K202="","",$A202*100+$K202)</f>
        <v/>
      </c>
      <c r="M202" s="48" t="str">
        <f aca="false">IFERROR(INDEX(输入报销!$D:$D,MATCH($A202&amp;"-6",输入报销!$J:$J,0))&amp;"","")</f>
        <v/>
      </c>
    </row>
    <row r="203" customFormat="false" ht="13.5" hidden="false" customHeight="false" outlineLevel="0" collapsed="false">
      <c r="A203" s="47" t="n">
        <v>16</v>
      </c>
      <c r="C203" s="48" t="str">
        <f aca="false">助手报销!$C17</f>
        <v>高村店</v>
      </c>
      <c r="D203" s="81" t="s">
        <v>485</v>
      </c>
      <c r="E203" s="48" t="str">
        <f aca="false">IFERROR(INDEX(输入报销!$E:$E,MATCH($A203&amp;"-7",输入报销!$J:$J,0))&amp;"","")</f>
        <v/>
      </c>
      <c r="F203" s="48" t="str">
        <f aca="false">IFERROR(INDEX(输入报销!$F:$F,MATCH($A203&amp;"-7",输入报销!$J:$J,0))&amp;"","")</f>
        <v/>
      </c>
      <c r="G203" s="49" t="n">
        <f aca="false">IFERROR(ROUND(INDEX(输入报销!$G:$G,MATCH($A203&amp;"-7",输入报销!$J:$J,0)),2),0)</f>
        <v>0</v>
      </c>
      <c r="H203" s="49" t="str">
        <f aca="false">IF(ROUND($G203,2)&gt;0,ROUND($G203,2),"")</f>
        <v/>
      </c>
      <c r="I203" s="49" t="str">
        <f aca="false">IF(ROUND($G203,2)&lt;0,-ROUND($G203,2),"")</f>
        <v/>
      </c>
      <c r="J203" s="20" t="n">
        <f aca="false">IF(ROUND($G203,2)=0,0,1)</f>
        <v>0</v>
      </c>
      <c r="K203" s="20" t="str">
        <f aca="false">IF($J203=0,"",SUM($J$197:$J203))</f>
        <v/>
      </c>
      <c r="L203" s="20" t="str">
        <f aca="false">IF($K203="","",$A203*100+$K203)</f>
        <v/>
      </c>
      <c r="M203" s="48" t="str">
        <f aca="false">IFERROR(INDEX(输入报销!$D:$D,MATCH($A203&amp;"-7",输入报销!$J:$J,0))&amp;"","")</f>
        <v/>
      </c>
    </row>
    <row r="204" customFormat="false" ht="13.5" hidden="false" customHeight="false" outlineLevel="0" collapsed="false">
      <c r="A204" s="47" t="n">
        <v>16</v>
      </c>
      <c r="C204" s="48" t="str">
        <f aca="false">助手报销!$C17</f>
        <v>高村店</v>
      </c>
      <c r="D204" s="81" t="s">
        <v>486</v>
      </c>
      <c r="E204" s="48" t="str">
        <f aca="false">IFERROR(INDEX(输入报销!$E:$E,MATCH($A204&amp;"-8",输入报销!$J:$J,0))&amp;"","")</f>
        <v/>
      </c>
      <c r="F204" s="48" t="str">
        <f aca="false">IFERROR(INDEX(输入报销!$F:$F,MATCH($A204&amp;"-8",输入报销!$J:$J,0))&amp;"","")</f>
        <v/>
      </c>
      <c r="G204" s="49" t="n">
        <f aca="false">IFERROR(ROUND(INDEX(输入报销!$G:$G,MATCH($A204&amp;"-8",输入报销!$J:$J,0)),2),0)</f>
        <v>0</v>
      </c>
      <c r="H204" s="49" t="str">
        <f aca="false">IF(ROUND($G204,2)&gt;0,ROUND($G204,2),"")</f>
        <v/>
      </c>
      <c r="I204" s="49" t="str">
        <f aca="false">IF(ROUND($G204,2)&lt;0,-ROUND($G204,2),"")</f>
        <v/>
      </c>
      <c r="J204" s="20" t="n">
        <f aca="false">IF(ROUND($G204,2)=0,0,1)</f>
        <v>0</v>
      </c>
      <c r="K204" s="20" t="str">
        <f aca="false">IF($J204=0,"",SUM($J$197:$J204))</f>
        <v/>
      </c>
      <c r="L204" s="20" t="str">
        <f aca="false">IF($K204="","",$A204*100+$K204)</f>
        <v/>
      </c>
      <c r="M204" s="48" t="str">
        <f aca="false">IFERROR(INDEX(输入报销!$D:$D,MATCH($A204&amp;"-8",输入报销!$J:$J,0))&amp;"","")</f>
        <v/>
      </c>
    </row>
    <row r="205" customFormat="false" ht="13.5" hidden="false" customHeight="false" outlineLevel="0" collapsed="false">
      <c r="A205" s="47" t="n">
        <v>16</v>
      </c>
      <c r="C205" s="48" t="str">
        <f aca="false">助手报销!$C17</f>
        <v>高村店</v>
      </c>
      <c r="D205" s="81" t="s">
        <v>487</v>
      </c>
      <c r="E205" s="48" t="str">
        <f aca="false">IFERROR(INDEX(输入报销!$E:$E,MATCH($A205&amp;"-9",输入报销!$J:$J,0))&amp;"","")</f>
        <v/>
      </c>
      <c r="F205" s="48" t="str">
        <f aca="false">IFERROR(INDEX(输入报销!$F:$F,MATCH($A205&amp;"-9",输入报销!$J:$J,0))&amp;"","")</f>
        <v/>
      </c>
      <c r="G205" s="49" t="n">
        <f aca="false">IFERROR(ROUND(INDEX(输入报销!$G:$G,MATCH($A205&amp;"-9",输入报销!$J:$J,0)),2),0)</f>
        <v>0</v>
      </c>
      <c r="H205" s="49" t="str">
        <f aca="false">IF(ROUND($G205,2)&gt;0,ROUND($G205,2),"")</f>
        <v/>
      </c>
      <c r="I205" s="49" t="str">
        <f aca="false">IF(ROUND($G205,2)&lt;0,-ROUND($G205,2),"")</f>
        <v/>
      </c>
      <c r="J205" s="20" t="n">
        <f aca="false">IF(ROUND($G205,2)=0,0,1)</f>
        <v>0</v>
      </c>
      <c r="K205" s="20" t="str">
        <f aca="false">IF($J205=0,"",SUM($J$197:$J205))</f>
        <v/>
      </c>
      <c r="L205" s="20" t="str">
        <f aca="false">IF($K205="","",$A205*100+$K205)</f>
        <v/>
      </c>
      <c r="M205" s="48" t="str">
        <f aca="false">IFERROR(INDEX(输入报销!$D:$D,MATCH($A205&amp;"-9",输入报销!$J:$J,0))&amp;"","")</f>
        <v/>
      </c>
    </row>
    <row r="206" customFormat="false" ht="13.5" hidden="false" customHeight="false" outlineLevel="0" collapsed="false">
      <c r="A206" s="47" t="n">
        <v>16</v>
      </c>
      <c r="C206" s="48" t="str">
        <f aca="false">助手报销!$C17</f>
        <v>高村店</v>
      </c>
      <c r="D206" s="81" t="s">
        <v>488</v>
      </c>
      <c r="E206" s="48" t="str">
        <f aca="false">IFERROR(INDEX(输入报销!$E:$E,MATCH($A206&amp;"-10",输入报销!$J:$J,0))&amp;"","")</f>
        <v/>
      </c>
      <c r="F206" s="48" t="str">
        <f aca="false">IFERROR(INDEX(输入报销!$F:$F,MATCH($A206&amp;"-10",输入报销!$J:$J,0))&amp;"","")</f>
        <v/>
      </c>
      <c r="G206" s="49" t="n">
        <f aca="false">IFERROR(ROUND(INDEX(输入报销!$G:$G,MATCH($A206&amp;"-10",输入报销!$J:$J,0)),2),0)</f>
        <v>0</v>
      </c>
      <c r="H206" s="49" t="str">
        <f aca="false">IF(ROUND($G206,2)&gt;0,ROUND($G206,2),"")</f>
        <v/>
      </c>
      <c r="I206" s="49" t="str">
        <f aca="false">IF(ROUND($G206,2)&lt;0,-ROUND($G206,2),"")</f>
        <v/>
      </c>
      <c r="J206" s="20" t="n">
        <f aca="false">IF(ROUND($G206,2)=0,0,1)</f>
        <v>0</v>
      </c>
      <c r="K206" s="20" t="str">
        <f aca="false">IF($J206=0,"",SUM($J$197:$J206))</f>
        <v/>
      </c>
      <c r="L206" s="20" t="str">
        <f aca="false">IF($K206="","",$A206*100+$K206)</f>
        <v/>
      </c>
      <c r="M206" s="48" t="str">
        <f aca="false">IFERROR(INDEX(输入报销!$D:$D,MATCH($A206&amp;"-10",输入报销!$J:$J,0))&amp;"","")</f>
        <v/>
      </c>
    </row>
    <row r="207" customFormat="false" ht="13.5" hidden="false" customHeight="false" outlineLevel="0" collapsed="false">
      <c r="A207" s="47" t="n">
        <v>16</v>
      </c>
      <c r="C207" s="48" t="str">
        <f aca="false">助手报销!$C17</f>
        <v>高村店</v>
      </c>
      <c r="D207" s="81" t="s">
        <v>489</v>
      </c>
      <c r="E207" s="48" t="str">
        <f aca="false">参数!$B$6</f>
        <v>库存现金</v>
      </c>
      <c r="F207" s="48" t="str">
        <f aca="false">""</f>
        <v/>
      </c>
      <c r="G207" s="49" t="n">
        <f aca="false">-ROUND(SUMIFS(输入报销!$G:$G,输入报销!$A:$A,$A207,输入报销!$H:$H,参数!$B$6),2)</f>
        <v>-500</v>
      </c>
      <c r="H207" s="49" t="str">
        <f aca="false">IF(ROUND($G207,2)&gt;0,ROUND($G207,2),"")</f>
        <v/>
      </c>
      <c r="I207" s="49" t="n">
        <f aca="false">IF(ROUND($G207,2)&lt;0,-ROUND($G207,2),"")</f>
        <v>500</v>
      </c>
      <c r="J207" s="20" t="n">
        <f aca="false">IF(ROUND($G207,2)=0,0,1)</f>
        <v>1</v>
      </c>
      <c r="K207" s="20" t="n">
        <f aca="false">IF($J207=0,"",SUM($J$197:$J207))</f>
        <v>2</v>
      </c>
      <c r="L207" s="20" t="n">
        <f aca="false">IF($K207="","",$A207*100+$K207)</f>
        <v>1602</v>
      </c>
      <c r="M207" s="48" t="str">
        <f aca="false">""</f>
        <v/>
      </c>
    </row>
    <row r="208" customFormat="false" ht="13.5" hidden="false" customHeight="false" outlineLevel="0" collapsed="false">
      <c r="A208" s="47" t="n">
        <v>16</v>
      </c>
      <c r="C208" s="48" t="str">
        <f aca="false">助手报销!$C17</f>
        <v>高村店</v>
      </c>
      <c r="D208" s="81" t="s">
        <v>490</v>
      </c>
      <c r="E208" s="48" t="str">
        <f aca="false">参数!$B$7</f>
        <v>银行存款</v>
      </c>
      <c r="F208" s="48" t="str">
        <f aca="false">""</f>
        <v/>
      </c>
      <c r="G208" s="49" t="n">
        <f aca="false">-ROUND(SUMIFS(输入报销!$G:$G,输入报销!$A:$A,$A208,输入报销!$H:$H,参数!$B$7),2)</f>
        <v>-0</v>
      </c>
      <c r="H208" s="49" t="str">
        <f aca="false">IF(ROUND($G208,2)&gt;0,ROUND($G208,2),"")</f>
        <v/>
      </c>
      <c r="I208" s="49" t="str">
        <f aca="false">IF(ROUND($G208,2)&lt;0,-ROUND($G208,2),"")</f>
        <v/>
      </c>
      <c r="J208" s="20" t="n">
        <f aca="false">IF(ROUND($G208,2)=0,0,1)</f>
        <v>0</v>
      </c>
      <c r="K208" s="20" t="str">
        <f aca="false">IF($J208=0,"",SUM($J$197:$J208))</f>
        <v/>
      </c>
      <c r="L208" s="20" t="str">
        <f aca="false">IF($K208="","",$A208*100+$K208)</f>
        <v/>
      </c>
      <c r="M208" s="48" t="str">
        <f aca="false">""</f>
        <v/>
      </c>
    </row>
    <row r="209" customFormat="false" ht="13.5" hidden="false" customHeight="false" outlineLevel="0" collapsed="false">
      <c r="A209" s="47" t="n">
        <v>16</v>
      </c>
      <c r="C209" s="48" t="str">
        <f aca="false">助手报销!$C17</f>
        <v>高村店</v>
      </c>
      <c r="D209" s="81" t="s">
        <v>491</v>
      </c>
      <c r="E209" s="48" t="str">
        <f aca="false">参数!$B$8</f>
        <v>其他应付款</v>
      </c>
      <c r="F209" s="48" t="str">
        <f aca="false">""</f>
        <v/>
      </c>
      <c r="G209" s="49" t="n">
        <f aca="false">-ROUND(SUMIFS(输入报销!$G:$G,输入报销!$A:$A,$A209,输入报销!$H:$H,参数!$B$8),2)</f>
        <v>-0</v>
      </c>
      <c r="H209" s="49" t="str">
        <f aca="false">IF(ROUND($G209,2)&gt;0,ROUND($G209,2),"")</f>
        <v/>
      </c>
      <c r="I209" s="49" t="str">
        <f aca="false">IF(ROUND($G209,2)&lt;0,-ROUND($G209,2),"")</f>
        <v/>
      </c>
      <c r="J209" s="20" t="n">
        <f aca="false">IF(ROUND($G209,2)=0,0,1)</f>
        <v>0</v>
      </c>
      <c r="K209" s="20" t="str">
        <f aca="false">IF($J209=0,"",SUM($J$197:$J209))</f>
        <v/>
      </c>
      <c r="L209" s="20" t="str">
        <f aca="false">IF($K209="","",$A209*100+$K209)</f>
        <v/>
      </c>
      <c r="M209" s="48" t="str">
        <f aca="false">""</f>
        <v/>
      </c>
    </row>
    <row r="210" customFormat="false" ht="13.5" hidden="false" customHeight="false" outlineLevel="0" collapsed="false">
      <c r="A210" s="47" t="n">
        <v>17</v>
      </c>
      <c r="C210" s="48" t="str">
        <f aca="false">助手报销!$C18</f>
        <v>彭村店</v>
      </c>
      <c r="D210" s="81" t="s">
        <v>479</v>
      </c>
      <c r="E210" s="48" t="str">
        <f aca="false">IFERROR(INDEX(输入报销!$E:$E,MATCH($A210&amp;"-1",输入报销!$J:$J,0))&amp;"","")</f>
        <v>销售费用</v>
      </c>
      <c r="F210" s="48" t="str">
        <f aca="false">IFERROR(INDEX(输入报销!$F:$F,MATCH($A210&amp;"-1",输入报销!$J:$J,0))&amp;"","")</f>
        <v>电费</v>
      </c>
      <c r="G210" s="49" t="n">
        <f aca="false">IFERROR(ROUND(INDEX(输入报销!$G:$G,MATCH($A210&amp;"-1",输入报销!$J:$J,0)),2),0)</f>
        <v>512</v>
      </c>
      <c r="H210" s="49" t="n">
        <f aca="false">IF(ROUND($G210,2)&gt;0,ROUND($G210,2),"")</f>
        <v>512</v>
      </c>
      <c r="I210" s="49" t="str">
        <f aca="false">IF(ROUND($G210,2)&lt;0,-ROUND($G210,2),"")</f>
        <v/>
      </c>
      <c r="J210" s="20" t="n">
        <f aca="false">IF(ROUND($G210,2)=0,0,1)</f>
        <v>1</v>
      </c>
      <c r="K210" s="20" t="n">
        <f aca="false">IF($J210=0,"",SUM($J$210:$J210))</f>
        <v>1</v>
      </c>
      <c r="L210" s="20" t="n">
        <f aca="false">IF($K210="","",$A210*100+$K210)</f>
        <v>1701</v>
      </c>
      <c r="M210" s="48" t="str">
        <f aca="false">IFERROR(INDEX(输入报销!$D:$D,MATCH($A210&amp;"-1",输入报销!$J:$J,0))&amp;"","")</f>
        <v>电费</v>
      </c>
    </row>
    <row r="211" customFormat="false" ht="13.5" hidden="false" customHeight="false" outlineLevel="0" collapsed="false">
      <c r="A211" s="47" t="n">
        <v>17</v>
      </c>
      <c r="C211" s="48" t="str">
        <f aca="false">助手报销!$C18</f>
        <v>彭村店</v>
      </c>
      <c r="D211" s="81" t="s">
        <v>480</v>
      </c>
      <c r="E211" s="48" t="str">
        <f aca="false">IFERROR(INDEX(输入报销!$E:$E,MATCH($A211&amp;"-2",输入报销!$J:$J,0))&amp;"","")</f>
        <v>销售费用</v>
      </c>
      <c r="F211" s="48" t="str">
        <f aca="false">IFERROR(INDEX(输入报销!$F:$F,MATCH($A211&amp;"-2",输入报销!$J:$J,0))&amp;"","")</f>
        <v>水费</v>
      </c>
      <c r="G211" s="49" t="n">
        <f aca="false">IFERROR(ROUND(INDEX(输入报销!$G:$G,MATCH($A211&amp;"-2",输入报销!$J:$J,0)),2),0)</f>
        <v>16</v>
      </c>
      <c r="H211" s="49" t="n">
        <f aca="false">IF(ROUND($G211,2)&gt;0,ROUND($G211,2),"")</f>
        <v>16</v>
      </c>
      <c r="I211" s="49" t="str">
        <f aca="false">IF(ROUND($G211,2)&lt;0,-ROUND($G211,2),"")</f>
        <v/>
      </c>
      <c r="J211" s="20" t="n">
        <f aca="false">IF(ROUND($G211,2)=0,0,1)</f>
        <v>1</v>
      </c>
      <c r="K211" s="20" t="n">
        <f aca="false">IF($J211=0,"",SUM($J$210:$J211))</f>
        <v>2</v>
      </c>
      <c r="L211" s="20" t="n">
        <f aca="false">IF($K211="","",$A211*100+$K211)</f>
        <v>1702</v>
      </c>
      <c r="M211" s="48" t="str">
        <f aca="false">IFERROR(INDEX(输入报销!$D:$D,MATCH($A211&amp;"-2",输入报销!$J:$J,0))&amp;"","")</f>
        <v>水费</v>
      </c>
    </row>
    <row r="212" customFormat="false" ht="13.5" hidden="false" customHeight="false" outlineLevel="0" collapsed="false">
      <c r="A212" s="47" t="n">
        <v>17</v>
      </c>
      <c r="C212" s="48" t="str">
        <f aca="false">助手报销!$C18</f>
        <v>彭村店</v>
      </c>
      <c r="D212" s="81" t="s">
        <v>481</v>
      </c>
      <c r="E212" s="48" t="str">
        <f aca="false">IFERROR(INDEX(输入报销!$E:$E,MATCH($A212&amp;"-3",输入报销!$J:$J,0))&amp;"","")</f>
        <v/>
      </c>
      <c r="F212" s="48" t="str">
        <f aca="false">IFERROR(INDEX(输入报销!$F:$F,MATCH($A212&amp;"-3",输入报销!$J:$J,0))&amp;"","")</f>
        <v/>
      </c>
      <c r="G212" s="49" t="n">
        <f aca="false">IFERROR(ROUND(INDEX(输入报销!$G:$G,MATCH($A212&amp;"-3",输入报销!$J:$J,0)),2),0)</f>
        <v>0</v>
      </c>
      <c r="H212" s="49" t="str">
        <f aca="false">IF(ROUND($G212,2)&gt;0,ROUND($G212,2),"")</f>
        <v/>
      </c>
      <c r="I212" s="49" t="str">
        <f aca="false">IF(ROUND($G212,2)&lt;0,-ROUND($G212,2),"")</f>
        <v/>
      </c>
      <c r="J212" s="20" t="n">
        <f aca="false">IF(ROUND($G212,2)=0,0,1)</f>
        <v>0</v>
      </c>
      <c r="K212" s="20" t="str">
        <f aca="false">IF($J212=0,"",SUM($J$210:$J212))</f>
        <v/>
      </c>
      <c r="L212" s="20" t="str">
        <f aca="false">IF($K212="","",$A212*100+$K212)</f>
        <v/>
      </c>
      <c r="M212" s="48" t="str">
        <f aca="false">IFERROR(INDEX(输入报销!$D:$D,MATCH($A212&amp;"-3",输入报销!$J:$J,0))&amp;"","")</f>
        <v/>
      </c>
    </row>
    <row r="213" customFormat="false" ht="13.5" hidden="false" customHeight="false" outlineLevel="0" collapsed="false">
      <c r="A213" s="47" t="n">
        <v>17</v>
      </c>
      <c r="C213" s="48" t="str">
        <f aca="false">助手报销!$C18</f>
        <v>彭村店</v>
      </c>
      <c r="D213" s="81" t="s">
        <v>482</v>
      </c>
      <c r="E213" s="48" t="str">
        <f aca="false">IFERROR(INDEX(输入报销!$E:$E,MATCH($A213&amp;"-4",输入报销!$J:$J,0))&amp;"","")</f>
        <v/>
      </c>
      <c r="F213" s="48" t="str">
        <f aca="false">IFERROR(INDEX(输入报销!$F:$F,MATCH($A213&amp;"-4",输入报销!$J:$J,0))&amp;"","")</f>
        <v/>
      </c>
      <c r="G213" s="49" t="n">
        <f aca="false">IFERROR(ROUND(INDEX(输入报销!$G:$G,MATCH($A213&amp;"-4",输入报销!$J:$J,0)),2),0)</f>
        <v>0</v>
      </c>
      <c r="H213" s="49" t="str">
        <f aca="false">IF(ROUND($G213,2)&gt;0,ROUND($G213,2),"")</f>
        <v/>
      </c>
      <c r="I213" s="49" t="str">
        <f aca="false">IF(ROUND($G213,2)&lt;0,-ROUND($G213,2),"")</f>
        <v/>
      </c>
      <c r="J213" s="20" t="n">
        <f aca="false">IF(ROUND($G213,2)=0,0,1)</f>
        <v>0</v>
      </c>
      <c r="K213" s="20" t="str">
        <f aca="false">IF($J213=0,"",SUM($J$210:$J213))</f>
        <v/>
      </c>
      <c r="L213" s="20" t="str">
        <f aca="false">IF($K213="","",$A213*100+$K213)</f>
        <v/>
      </c>
      <c r="M213" s="48" t="str">
        <f aca="false">IFERROR(INDEX(输入报销!$D:$D,MATCH($A213&amp;"-4",输入报销!$J:$J,0))&amp;"","")</f>
        <v/>
      </c>
    </row>
    <row r="214" customFormat="false" ht="13.5" hidden="false" customHeight="false" outlineLevel="0" collapsed="false">
      <c r="A214" s="47" t="n">
        <v>17</v>
      </c>
      <c r="C214" s="48" t="str">
        <f aca="false">助手报销!$C18</f>
        <v>彭村店</v>
      </c>
      <c r="D214" s="81" t="s">
        <v>483</v>
      </c>
      <c r="E214" s="48" t="str">
        <f aca="false">IFERROR(INDEX(输入报销!$E:$E,MATCH($A214&amp;"-5",输入报销!$J:$J,0))&amp;"","")</f>
        <v/>
      </c>
      <c r="F214" s="48" t="str">
        <f aca="false">IFERROR(INDEX(输入报销!$F:$F,MATCH($A214&amp;"-5",输入报销!$J:$J,0))&amp;"","")</f>
        <v/>
      </c>
      <c r="G214" s="49" t="n">
        <f aca="false">IFERROR(ROUND(INDEX(输入报销!$G:$G,MATCH($A214&amp;"-5",输入报销!$J:$J,0)),2),0)</f>
        <v>0</v>
      </c>
      <c r="H214" s="49" t="str">
        <f aca="false">IF(ROUND($G214,2)&gt;0,ROUND($G214,2),"")</f>
        <v/>
      </c>
      <c r="I214" s="49" t="str">
        <f aca="false">IF(ROUND($G214,2)&lt;0,-ROUND($G214,2),"")</f>
        <v/>
      </c>
      <c r="J214" s="20" t="n">
        <f aca="false">IF(ROUND($G214,2)=0,0,1)</f>
        <v>0</v>
      </c>
      <c r="K214" s="20" t="str">
        <f aca="false">IF($J214=0,"",SUM($J$210:$J214))</f>
        <v/>
      </c>
      <c r="L214" s="20" t="str">
        <f aca="false">IF($K214="","",$A214*100+$K214)</f>
        <v/>
      </c>
      <c r="M214" s="48" t="str">
        <f aca="false">IFERROR(INDEX(输入报销!$D:$D,MATCH($A214&amp;"-5",输入报销!$J:$J,0))&amp;"","")</f>
        <v/>
      </c>
    </row>
    <row r="215" customFormat="false" ht="13.5" hidden="false" customHeight="false" outlineLevel="0" collapsed="false">
      <c r="A215" s="47" t="n">
        <v>17</v>
      </c>
      <c r="C215" s="48" t="str">
        <f aca="false">助手报销!$C18</f>
        <v>彭村店</v>
      </c>
      <c r="D215" s="81" t="s">
        <v>484</v>
      </c>
      <c r="E215" s="48" t="str">
        <f aca="false">IFERROR(INDEX(输入报销!$E:$E,MATCH($A215&amp;"-6",输入报销!$J:$J,0))&amp;"","")</f>
        <v/>
      </c>
      <c r="F215" s="48" t="str">
        <f aca="false">IFERROR(INDEX(输入报销!$F:$F,MATCH($A215&amp;"-6",输入报销!$J:$J,0))&amp;"","")</f>
        <v/>
      </c>
      <c r="G215" s="49" t="n">
        <f aca="false">IFERROR(ROUND(INDEX(输入报销!$G:$G,MATCH($A215&amp;"-6",输入报销!$J:$J,0)),2),0)</f>
        <v>0</v>
      </c>
      <c r="H215" s="49" t="str">
        <f aca="false">IF(ROUND($G215,2)&gt;0,ROUND($G215,2),"")</f>
        <v/>
      </c>
      <c r="I215" s="49" t="str">
        <f aca="false">IF(ROUND($G215,2)&lt;0,-ROUND($G215,2),"")</f>
        <v/>
      </c>
      <c r="J215" s="20" t="n">
        <f aca="false">IF(ROUND($G215,2)=0,0,1)</f>
        <v>0</v>
      </c>
      <c r="K215" s="20" t="str">
        <f aca="false">IF($J215=0,"",SUM($J$210:$J215))</f>
        <v/>
      </c>
      <c r="L215" s="20" t="str">
        <f aca="false">IF($K215="","",$A215*100+$K215)</f>
        <v/>
      </c>
      <c r="M215" s="48" t="str">
        <f aca="false">IFERROR(INDEX(输入报销!$D:$D,MATCH($A215&amp;"-6",输入报销!$J:$J,0))&amp;"","")</f>
        <v/>
      </c>
    </row>
    <row r="216" customFormat="false" ht="13.5" hidden="false" customHeight="false" outlineLevel="0" collapsed="false">
      <c r="A216" s="47" t="n">
        <v>17</v>
      </c>
      <c r="C216" s="48" t="str">
        <f aca="false">助手报销!$C18</f>
        <v>彭村店</v>
      </c>
      <c r="D216" s="81" t="s">
        <v>485</v>
      </c>
      <c r="E216" s="48" t="str">
        <f aca="false">IFERROR(INDEX(输入报销!$E:$E,MATCH($A216&amp;"-7",输入报销!$J:$J,0))&amp;"","")</f>
        <v/>
      </c>
      <c r="F216" s="48" t="str">
        <f aca="false">IFERROR(INDEX(输入报销!$F:$F,MATCH($A216&amp;"-7",输入报销!$J:$J,0))&amp;"","")</f>
        <v/>
      </c>
      <c r="G216" s="49" t="n">
        <f aca="false">IFERROR(ROUND(INDEX(输入报销!$G:$G,MATCH($A216&amp;"-7",输入报销!$J:$J,0)),2),0)</f>
        <v>0</v>
      </c>
      <c r="H216" s="49" t="str">
        <f aca="false">IF(ROUND($G216,2)&gt;0,ROUND($G216,2),"")</f>
        <v/>
      </c>
      <c r="I216" s="49" t="str">
        <f aca="false">IF(ROUND($G216,2)&lt;0,-ROUND($G216,2),"")</f>
        <v/>
      </c>
      <c r="J216" s="20" t="n">
        <f aca="false">IF(ROUND($G216,2)=0,0,1)</f>
        <v>0</v>
      </c>
      <c r="K216" s="20" t="str">
        <f aca="false">IF($J216=0,"",SUM($J$210:$J216))</f>
        <v/>
      </c>
      <c r="L216" s="20" t="str">
        <f aca="false">IF($K216="","",$A216*100+$K216)</f>
        <v/>
      </c>
      <c r="M216" s="48" t="str">
        <f aca="false">IFERROR(INDEX(输入报销!$D:$D,MATCH($A216&amp;"-7",输入报销!$J:$J,0))&amp;"","")</f>
        <v/>
      </c>
    </row>
    <row r="217" customFormat="false" ht="13.5" hidden="false" customHeight="false" outlineLevel="0" collapsed="false">
      <c r="A217" s="47" t="n">
        <v>17</v>
      </c>
      <c r="C217" s="48" t="str">
        <f aca="false">助手报销!$C18</f>
        <v>彭村店</v>
      </c>
      <c r="D217" s="81" t="s">
        <v>486</v>
      </c>
      <c r="E217" s="48" t="str">
        <f aca="false">IFERROR(INDEX(输入报销!$E:$E,MATCH($A217&amp;"-8",输入报销!$J:$J,0))&amp;"","")</f>
        <v/>
      </c>
      <c r="F217" s="48" t="str">
        <f aca="false">IFERROR(INDEX(输入报销!$F:$F,MATCH($A217&amp;"-8",输入报销!$J:$J,0))&amp;"","")</f>
        <v/>
      </c>
      <c r="G217" s="49" t="n">
        <f aca="false">IFERROR(ROUND(INDEX(输入报销!$G:$G,MATCH($A217&amp;"-8",输入报销!$J:$J,0)),2),0)</f>
        <v>0</v>
      </c>
      <c r="H217" s="49" t="str">
        <f aca="false">IF(ROUND($G217,2)&gt;0,ROUND($G217,2),"")</f>
        <v/>
      </c>
      <c r="I217" s="49" t="str">
        <f aca="false">IF(ROUND($G217,2)&lt;0,-ROUND($G217,2),"")</f>
        <v/>
      </c>
      <c r="J217" s="20" t="n">
        <f aca="false">IF(ROUND($G217,2)=0,0,1)</f>
        <v>0</v>
      </c>
      <c r="K217" s="20" t="str">
        <f aca="false">IF($J217=0,"",SUM($J$210:$J217))</f>
        <v/>
      </c>
      <c r="L217" s="20" t="str">
        <f aca="false">IF($K217="","",$A217*100+$K217)</f>
        <v/>
      </c>
      <c r="M217" s="48" t="str">
        <f aca="false">IFERROR(INDEX(输入报销!$D:$D,MATCH($A217&amp;"-8",输入报销!$J:$J,0))&amp;"","")</f>
        <v/>
      </c>
    </row>
    <row r="218" customFormat="false" ht="13.5" hidden="false" customHeight="false" outlineLevel="0" collapsed="false">
      <c r="A218" s="47" t="n">
        <v>17</v>
      </c>
      <c r="C218" s="48" t="str">
        <f aca="false">助手报销!$C18</f>
        <v>彭村店</v>
      </c>
      <c r="D218" s="81" t="s">
        <v>487</v>
      </c>
      <c r="E218" s="48" t="str">
        <f aca="false">IFERROR(INDEX(输入报销!$E:$E,MATCH($A218&amp;"-9",输入报销!$J:$J,0))&amp;"","")</f>
        <v/>
      </c>
      <c r="F218" s="48" t="str">
        <f aca="false">IFERROR(INDEX(输入报销!$F:$F,MATCH($A218&amp;"-9",输入报销!$J:$J,0))&amp;"","")</f>
        <v/>
      </c>
      <c r="G218" s="49" t="n">
        <f aca="false">IFERROR(ROUND(INDEX(输入报销!$G:$G,MATCH($A218&amp;"-9",输入报销!$J:$J,0)),2),0)</f>
        <v>0</v>
      </c>
      <c r="H218" s="49" t="str">
        <f aca="false">IF(ROUND($G218,2)&gt;0,ROUND($G218,2),"")</f>
        <v/>
      </c>
      <c r="I218" s="49" t="str">
        <f aca="false">IF(ROUND($G218,2)&lt;0,-ROUND($G218,2),"")</f>
        <v/>
      </c>
      <c r="J218" s="20" t="n">
        <f aca="false">IF(ROUND($G218,2)=0,0,1)</f>
        <v>0</v>
      </c>
      <c r="K218" s="20" t="str">
        <f aca="false">IF($J218=0,"",SUM($J$210:$J218))</f>
        <v/>
      </c>
      <c r="L218" s="20" t="str">
        <f aca="false">IF($K218="","",$A218*100+$K218)</f>
        <v/>
      </c>
      <c r="M218" s="48" t="str">
        <f aca="false">IFERROR(INDEX(输入报销!$D:$D,MATCH($A218&amp;"-9",输入报销!$J:$J,0))&amp;"","")</f>
        <v/>
      </c>
    </row>
    <row r="219" customFormat="false" ht="13.5" hidden="false" customHeight="false" outlineLevel="0" collapsed="false">
      <c r="A219" s="47" t="n">
        <v>17</v>
      </c>
      <c r="C219" s="48" t="str">
        <f aca="false">助手报销!$C18</f>
        <v>彭村店</v>
      </c>
      <c r="D219" s="81" t="s">
        <v>488</v>
      </c>
      <c r="E219" s="48" t="str">
        <f aca="false">IFERROR(INDEX(输入报销!$E:$E,MATCH($A219&amp;"-10",输入报销!$J:$J,0))&amp;"","")</f>
        <v/>
      </c>
      <c r="F219" s="48" t="str">
        <f aca="false">IFERROR(INDEX(输入报销!$F:$F,MATCH($A219&amp;"-10",输入报销!$J:$J,0))&amp;"","")</f>
        <v/>
      </c>
      <c r="G219" s="49" t="n">
        <f aca="false">IFERROR(ROUND(INDEX(输入报销!$G:$G,MATCH($A219&amp;"-10",输入报销!$J:$J,0)),2),0)</f>
        <v>0</v>
      </c>
      <c r="H219" s="49" t="str">
        <f aca="false">IF(ROUND($G219,2)&gt;0,ROUND($G219,2),"")</f>
        <v/>
      </c>
      <c r="I219" s="49" t="str">
        <f aca="false">IF(ROUND($G219,2)&lt;0,-ROUND($G219,2),"")</f>
        <v/>
      </c>
      <c r="J219" s="20" t="n">
        <f aca="false">IF(ROUND($G219,2)=0,0,1)</f>
        <v>0</v>
      </c>
      <c r="K219" s="20" t="str">
        <f aca="false">IF($J219=0,"",SUM($J$210:$J219))</f>
        <v/>
      </c>
      <c r="L219" s="20" t="str">
        <f aca="false">IF($K219="","",$A219*100+$K219)</f>
        <v/>
      </c>
      <c r="M219" s="48" t="str">
        <f aca="false">IFERROR(INDEX(输入报销!$D:$D,MATCH($A219&amp;"-10",输入报销!$J:$J,0))&amp;"","")</f>
        <v/>
      </c>
    </row>
    <row r="220" customFormat="false" ht="13.5" hidden="false" customHeight="false" outlineLevel="0" collapsed="false">
      <c r="A220" s="47" t="n">
        <v>17</v>
      </c>
      <c r="C220" s="48" t="str">
        <f aca="false">助手报销!$C18</f>
        <v>彭村店</v>
      </c>
      <c r="D220" s="81" t="s">
        <v>489</v>
      </c>
      <c r="E220" s="48" t="str">
        <f aca="false">参数!$B$6</f>
        <v>库存现金</v>
      </c>
      <c r="F220" s="48" t="str">
        <f aca="false">""</f>
        <v/>
      </c>
      <c r="G220" s="49" t="n">
        <f aca="false">-ROUND(SUMIFS(输入报销!$G:$G,输入报销!$A:$A,$A220,输入报销!$H:$H,参数!$B$6),2)</f>
        <v>-528</v>
      </c>
      <c r="H220" s="49" t="str">
        <f aca="false">IF(ROUND($G220,2)&gt;0,ROUND($G220,2),"")</f>
        <v/>
      </c>
      <c r="I220" s="49" t="n">
        <f aca="false">IF(ROUND($G220,2)&lt;0,-ROUND($G220,2),"")</f>
        <v>528</v>
      </c>
      <c r="J220" s="20" t="n">
        <f aca="false">IF(ROUND($G220,2)=0,0,1)</f>
        <v>1</v>
      </c>
      <c r="K220" s="20" t="n">
        <f aca="false">IF($J220=0,"",SUM($J$210:$J220))</f>
        <v>3</v>
      </c>
      <c r="L220" s="20" t="n">
        <f aca="false">IF($K220="","",$A220*100+$K220)</f>
        <v>1703</v>
      </c>
      <c r="M220" s="48" t="str">
        <f aca="false">""</f>
        <v/>
      </c>
    </row>
    <row r="221" customFormat="false" ht="13.5" hidden="false" customHeight="false" outlineLevel="0" collapsed="false">
      <c r="A221" s="47" t="n">
        <v>17</v>
      </c>
      <c r="C221" s="48" t="str">
        <f aca="false">助手报销!$C18</f>
        <v>彭村店</v>
      </c>
      <c r="D221" s="81" t="s">
        <v>490</v>
      </c>
      <c r="E221" s="48" t="str">
        <f aca="false">参数!$B$7</f>
        <v>银行存款</v>
      </c>
      <c r="F221" s="48" t="str">
        <f aca="false">""</f>
        <v/>
      </c>
      <c r="G221" s="49" t="n">
        <f aca="false">-ROUND(SUMIFS(输入报销!$G:$G,输入报销!$A:$A,$A221,输入报销!$H:$H,参数!$B$7),2)</f>
        <v>-0</v>
      </c>
      <c r="H221" s="49" t="str">
        <f aca="false">IF(ROUND($G221,2)&gt;0,ROUND($G221,2),"")</f>
        <v/>
      </c>
      <c r="I221" s="49" t="str">
        <f aca="false">IF(ROUND($G221,2)&lt;0,-ROUND($G221,2),"")</f>
        <v/>
      </c>
      <c r="J221" s="20" t="n">
        <f aca="false">IF(ROUND($G221,2)=0,0,1)</f>
        <v>0</v>
      </c>
      <c r="K221" s="20" t="str">
        <f aca="false">IF($J221=0,"",SUM($J$210:$J221))</f>
        <v/>
      </c>
      <c r="L221" s="20" t="str">
        <f aca="false">IF($K221="","",$A221*100+$K221)</f>
        <v/>
      </c>
      <c r="M221" s="48" t="str">
        <f aca="false">""</f>
        <v/>
      </c>
    </row>
    <row r="222" customFormat="false" ht="13.5" hidden="false" customHeight="false" outlineLevel="0" collapsed="false">
      <c r="A222" s="47" t="n">
        <v>17</v>
      </c>
      <c r="C222" s="48" t="str">
        <f aca="false">助手报销!$C18</f>
        <v>彭村店</v>
      </c>
      <c r="D222" s="81" t="s">
        <v>491</v>
      </c>
      <c r="E222" s="48" t="str">
        <f aca="false">参数!$B$8</f>
        <v>其他应付款</v>
      </c>
      <c r="F222" s="48" t="str">
        <f aca="false">""</f>
        <v/>
      </c>
      <c r="G222" s="49" t="n">
        <f aca="false">-ROUND(SUMIFS(输入报销!$G:$G,输入报销!$A:$A,$A222,输入报销!$H:$H,参数!$B$8),2)</f>
        <v>-0</v>
      </c>
      <c r="H222" s="49" t="str">
        <f aca="false">IF(ROUND($G222,2)&gt;0,ROUND($G222,2),"")</f>
        <v/>
      </c>
      <c r="I222" s="49" t="str">
        <f aca="false">IF(ROUND($G222,2)&lt;0,-ROUND($G222,2),"")</f>
        <v/>
      </c>
      <c r="J222" s="20" t="n">
        <f aca="false">IF(ROUND($G222,2)=0,0,1)</f>
        <v>0</v>
      </c>
      <c r="K222" s="20" t="str">
        <f aca="false">IF($J222=0,"",SUM($J$210:$J222))</f>
        <v/>
      </c>
      <c r="L222" s="20" t="str">
        <f aca="false">IF($K222="","",$A222*100+$K222)</f>
        <v/>
      </c>
      <c r="M222" s="48" t="str">
        <f aca="false">""</f>
        <v/>
      </c>
    </row>
    <row r="223" customFormat="false" ht="13.5" hidden="false" customHeight="false" outlineLevel="0" collapsed="false">
      <c r="A223" s="47" t="n">
        <v>18</v>
      </c>
      <c r="C223" s="48" t="str">
        <f aca="false">助手报销!$C19</f>
        <v>南位店</v>
      </c>
      <c r="D223" s="81" t="s">
        <v>479</v>
      </c>
      <c r="E223" s="48" t="str">
        <f aca="false">IFERROR(INDEX(输入报销!$E:$E,MATCH($A223&amp;"-1",输入报销!$J:$J,0))&amp;"","")</f>
        <v>销售费用</v>
      </c>
      <c r="F223" s="48" t="str">
        <f aca="false">IFERROR(INDEX(输入报销!$F:$F,MATCH($A223&amp;"-1",输入报销!$J:$J,0))&amp;"","")</f>
        <v>水费</v>
      </c>
      <c r="G223" s="49" t="n">
        <f aca="false">IFERROR(ROUND(INDEX(输入报销!$G:$G,MATCH($A223&amp;"-1",输入报销!$J:$J,0)),2),0)</f>
        <v>6</v>
      </c>
      <c r="H223" s="49" t="n">
        <f aca="false">IF(ROUND($G223,2)&gt;0,ROUND($G223,2),"")</f>
        <v>6</v>
      </c>
      <c r="I223" s="49" t="str">
        <f aca="false">IF(ROUND($G223,2)&lt;0,-ROUND($G223,2),"")</f>
        <v/>
      </c>
      <c r="J223" s="20" t="n">
        <f aca="false">IF(ROUND($G223,2)=0,0,1)</f>
        <v>1</v>
      </c>
      <c r="K223" s="20" t="n">
        <f aca="false">IF($J223=0,"",SUM($J$223:$J223))</f>
        <v>1</v>
      </c>
      <c r="L223" s="20" t="n">
        <f aca="false">IF($K223="","",$A223*100+$K223)</f>
        <v>1801</v>
      </c>
      <c r="M223" s="48" t="str">
        <f aca="false">IFERROR(INDEX(输入报销!$D:$D,MATCH($A223&amp;"-1",输入报销!$J:$J,0))&amp;"","")</f>
        <v>水费</v>
      </c>
    </row>
    <row r="224" customFormat="false" ht="13.5" hidden="false" customHeight="false" outlineLevel="0" collapsed="false">
      <c r="A224" s="47" t="n">
        <v>18</v>
      </c>
      <c r="C224" s="48" t="str">
        <f aca="false">助手报销!$C19</f>
        <v>南位店</v>
      </c>
      <c r="D224" s="81" t="s">
        <v>480</v>
      </c>
      <c r="E224" s="48" t="str">
        <f aca="false">IFERROR(INDEX(输入报销!$E:$E,MATCH($A224&amp;"-2",输入报销!$J:$J,0))&amp;"","")</f>
        <v>销售费用</v>
      </c>
      <c r="F224" s="48" t="str">
        <f aca="false">IFERROR(INDEX(输入报销!$F:$F,MATCH($A224&amp;"-2",输入报销!$J:$J,0))&amp;"","")</f>
        <v>电费</v>
      </c>
      <c r="G224" s="49" t="n">
        <f aca="false">IFERROR(ROUND(INDEX(输入报销!$G:$G,MATCH($A224&amp;"-2",输入报销!$J:$J,0)),2),0)</f>
        <v>300</v>
      </c>
      <c r="H224" s="49" t="n">
        <f aca="false">IF(ROUND($G224,2)&gt;0,ROUND($G224,2),"")</f>
        <v>300</v>
      </c>
      <c r="I224" s="49" t="str">
        <f aca="false">IF(ROUND($G224,2)&lt;0,-ROUND($G224,2),"")</f>
        <v/>
      </c>
      <c r="J224" s="20" t="n">
        <f aca="false">IF(ROUND($G224,2)=0,0,1)</f>
        <v>1</v>
      </c>
      <c r="K224" s="20" t="n">
        <f aca="false">IF($J224=0,"",SUM($J$223:$J224))</f>
        <v>2</v>
      </c>
      <c r="L224" s="20" t="n">
        <f aca="false">IF($K224="","",$A224*100+$K224)</f>
        <v>1802</v>
      </c>
      <c r="M224" s="48" t="str">
        <f aca="false">IFERROR(INDEX(输入报销!$D:$D,MATCH($A224&amp;"-2",输入报销!$J:$J,0))&amp;"","")</f>
        <v>电费</v>
      </c>
    </row>
    <row r="225" customFormat="false" ht="13.5" hidden="false" customHeight="false" outlineLevel="0" collapsed="false">
      <c r="A225" s="47" t="n">
        <v>18</v>
      </c>
      <c r="C225" s="48" t="str">
        <f aca="false">助手报销!$C19</f>
        <v>南位店</v>
      </c>
      <c r="D225" s="81" t="s">
        <v>481</v>
      </c>
      <c r="E225" s="48" t="str">
        <f aca="false">IFERROR(INDEX(输入报销!$E:$E,MATCH($A225&amp;"-3",输入报销!$J:$J,0))&amp;"","")</f>
        <v>销售费用</v>
      </c>
      <c r="F225" s="48" t="str">
        <f aca="false">IFERROR(INDEX(输入报销!$F:$F,MATCH($A225&amp;"-3",输入报销!$J:$J,0))&amp;"","")</f>
        <v>办公费</v>
      </c>
      <c r="G225" s="49" t="n">
        <f aca="false">IFERROR(ROUND(INDEX(输入报销!$G:$G,MATCH($A225&amp;"-3",输入报销!$J:$J,0)),2),0)</f>
        <v>90.59</v>
      </c>
      <c r="H225" s="49" t="n">
        <f aca="false">IF(ROUND($G225,2)&gt;0,ROUND($G225,2),"")</f>
        <v>90.59</v>
      </c>
      <c r="I225" s="49" t="str">
        <f aca="false">IF(ROUND($G225,2)&lt;0,-ROUND($G225,2),"")</f>
        <v/>
      </c>
      <c r="J225" s="20" t="n">
        <f aca="false">IF(ROUND($G225,2)=0,0,1)</f>
        <v>1</v>
      </c>
      <c r="K225" s="20" t="n">
        <f aca="false">IF($J225=0,"",SUM($J$223:$J225))</f>
        <v>3</v>
      </c>
      <c r="L225" s="20" t="n">
        <f aca="false">IF($K225="","",$A225*100+$K225)</f>
        <v>1803</v>
      </c>
      <c r="M225" s="48" t="str">
        <f aca="false">IFERROR(INDEX(输入报销!$D:$D,MATCH($A225&amp;"-3",输入报销!$J:$J,0))&amp;"","")</f>
        <v>茶壶</v>
      </c>
    </row>
    <row r="226" customFormat="false" ht="13.5" hidden="false" customHeight="false" outlineLevel="0" collapsed="false">
      <c r="A226" s="47" t="n">
        <v>18</v>
      </c>
      <c r="C226" s="48" t="str">
        <f aca="false">助手报销!$C19</f>
        <v>南位店</v>
      </c>
      <c r="D226" s="81" t="s">
        <v>482</v>
      </c>
      <c r="E226" s="48" t="str">
        <f aca="false">IFERROR(INDEX(输入报销!$E:$E,MATCH($A226&amp;"-4",输入报销!$J:$J,0))&amp;"","")</f>
        <v/>
      </c>
      <c r="F226" s="48" t="str">
        <f aca="false">IFERROR(INDEX(输入报销!$F:$F,MATCH($A226&amp;"-4",输入报销!$J:$J,0))&amp;"","")</f>
        <v/>
      </c>
      <c r="G226" s="49" t="n">
        <f aca="false">IFERROR(ROUND(INDEX(输入报销!$G:$G,MATCH($A226&amp;"-4",输入报销!$J:$J,0)),2),0)</f>
        <v>0</v>
      </c>
      <c r="H226" s="49" t="str">
        <f aca="false">IF(ROUND($G226,2)&gt;0,ROUND($G226,2),"")</f>
        <v/>
      </c>
      <c r="I226" s="49" t="str">
        <f aca="false">IF(ROUND($G226,2)&lt;0,-ROUND($G226,2),"")</f>
        <v/>
      </c>
      <c r="J226" s="20" t="n">
        <f aca="false">IF(ROUND($G226,2)=0,0,1)</f>
        <v>0</v>
      </c>
      <c r="K226" s="20" t="str">
        <f aca="false">IF($J226=0,"",SUM($J$223:$J226))</f>
        <v/>
      </c>
      <c r="L226" s="20" t="str">
        <f aca="false">IF($K226="","",$A226*100+$K226)</f>
        <v/>
      </c>
      <c r="M226" s="48" t="str">
        <f aca="false">IFERROR(INDEX(输入报销!$D:$D,MATCH($A226&amp;"-4",输入报销!$J:$J,0))&amp;"","")</f>
        <v/>
      </c>
    </row>
    <row r="227" customFormat="false" ht="13.5" hidden="false" customHeight="false" outlineLevel="0" collapsed="false">
      <c r="A227" s="47" t="n">
        <v>18</v>
      </c>
      <c r="C227" s="48" t="str">
        <f aca="false">助手报销!$C19</f>
        <v>南位店</v>
      </c>
      <c r="D227" s="81" t="s">
        <v>483</v>
      </c>
      <c r="E227" s="48" t="str">
        <f aca="false">IFERROR(INDEX(输入报销!$E:$E,MATCH($A227&amp;"-5",输入报销!$J:$J,0))&amp;"","")</f>
        <v/>
      </c>
      <c r="F227" s="48" t="str">
        <f aca="false">IFERROR(INDEX(输入报销!$F:$F,MATCH($A227&amp;"-5",输入报销!$J:$J,0))&amp;"","")</f>
        <v/>
      </c>
      <c r="G227" s="49" t="n">
        <f aca="false">IFERROR(ROUND(INDEX(输入报销!$G:$G,MATCH($A227&amp;"-5",输入报销!$J:$J,0)),2),0)</f>
        <v>0</v>
      </c>
      <c r="H227" s="49" t="str">
        <f aca="false">IF(ROUND($G227,2)&gt;0,ROUND($G227,2),"")</f>
        <v/>
      </c>
      <c r="I227" s="49" t="str">
        <f aca="false">IF(ROUND($G227,2)&lt;0,-ROUND($G227,2),"")</f>
        <v/>
      </c>
      <c r="J227" s="20" t="n">
        <f aca="false">IF(ROUND($G227,2)=0,0,1)</f>
        <v>0</v>
      </c>
      <c r="K227" s="20" t="str">
        <f aca="false">IF($J227=0,"",SUM($J$223:$J227))</f>
        <v/>
      </c>
      <c r="L227" s="20" t="str">
        <f aca="false">IF($K227="","",$A227*100+$K227)</f>
        <v/>
      </c>
      <c r="M227" s="48" t="str">
        <f aca="false">IFERROR(INDEX(输入报销!$D:$D,MATCH($A227&amp;"-5",输入报销!$J:$J,0))&amp;"","")</f>
        <v/>
      </c>
    </row>
    <row r="228" customFormat="false" ht="13.5" hidden="false" customHeight="false" outlineLevel="0" collapsed="false">
      <c r="A228" s="47" t="n">
        <v>18</v>
      </c>
      <c r="C228" s="48" t="str">
        <f aca="false">助手报销!$C19</f>
        <v>南位店</v>
      </c>
      <c r="D228" s="81" t="s">
        <v>484</v>
      </c>
      <c r="E228" s="48" t="str">
        <f aca="false">IFERROR(INDEX(输入报销!$E:$E,MATCH($A228&amp;"-6",输入报销!$J:$J,0))&amp;"","")</f>
        <v/>
      </c>
      <c r="F228" s="48" t="str">
        <f aca="false">IFERROR(INDEX(输入报销!$F:$F,MATCH($A228&amp;"-6",输入报销!$J:$J,0))&amp;"","")</f>
        <v/>
      </c>
      <c r="G228" s="49" t="n">
        <f aca="false">IFERROR(ROUND(INDEX(输入报销!$G:$G,MATCH($A228&amp;"-6",输入报销!$J:$J,0)),2),0)</f>
        <v>0</v>
      </c>
      <c r="H228" s="49" t="str">
        <f aca="false">IF(ROUND($G228,2)&gt;0,ROUND($G228,2),"")</f>
        <v/>
      </c>
      <c r="I228" s="49" t="str">
        <f aca="false">IF(ROUND($G228,2)&lt;0,-ROUND($G228,2),"")</f>
        <v/>
      </c>
      <c r="J228" s="20" t="n">
        <f aca="false">IF(ROUND($G228,2)=0,0,1)</f>
        <v>0</v>
      </c>
      <c r="K228" s="20" t="str">
        <f aca="false">IF($J228=0,"",SUM($J$223:$J228))</f>
        <v/>
      </c>
      <c r="L228" s="20" t="str">
        <f aca="false">IF($K228="","",$A228*100+$K228)</f>
        <v/>
      </c>
      <c r="M228" s="48" t="str">
        <f aca="false">IFERROR(INDEX(输入报销!$D:$D,MATCH($A228&amp;"-6",输入报销!$J:$J,0))&amp;"","")</f>
        <v/>
      </c>
    </row>
    <row r="229" customFormat="false" ht="13.5" hidden="false" customHeight="false" outlineLevel="0" collapsed="false">
      <c r="A229" s="47" t="n">
        <v>18</v>
      </c>
      <c r="C229" s="48" t="str">
        <f aca="false">助手报销!$C19</f>
        <v>南位店</v>
      </c>
      <c r="D229" s="81" t="s">
        <v>485</v>
      </c>
      <c r="E229" s="48" t="str">
        <f aca="false">IFERROR(INDEX(输入报销!$E:$E,MATCH($A229&amp;"-7",输入报销!$J:$J,0))&amp;"","")</f>
        <v/>
      </c>
      <c r="F229" s="48" t="str">
        <f aca="false">IFERROR(INDEX(输入报销!$F:$F,MATCH($A229&amp;"-7",输入报销!$J:$J,0))&amp;"","")</f>
        <v/>
      </c>
      <c r="G229" s="49" t="n">
        <f aca="false">IFERROR(ROUND(INDEX(输入报销!$G:$G,MATCH($A229&amp;"-7",输入报销!$J:$J,0)),2),0)</f>
        <v>0</v>
      </c>
      <c r="H229" s="49" t="str">
        <f aca="false">IF(ROUND($G229,2)&gt;0,ROUND($G229,2),"")</f>
        <v/>
      </c>
      <c r="I229" s="49" t="str">
        <f aca="false">IF(ROUND($G229,2)&lt;0,-ROUND($G229,2),"")</f>
        <v/>
      </c>
      <c r="J229" s="20" t="n">
        <f aca="false">IF(ROUND($G229,2)=0,0,1)</f>
        <v>0</v>
      </c>
      <c r="K229" s="20" t="str">
        <f aca="false">IF($J229=0,"",SUM($J$223:$J229))</f>
        <v/>
      </c>
      <c r="L229" s="20" t="str">
        <f aca="false">IF($K229="","",$A229*100+$K229)</f>
        <v/>
      </c>
      <c r="M229" s="48" t="str">
        <f aca="false">IFERROR(INDEX(输入报销!$D:$D,MATCH($A229&amp;"-7",输入报销!$J:$J,0))&amp;"","")</f>
        <v/>
      </c>
    </row>
    <row r="230" customFormat="false" ht="13.5" hidden="false" customHeight="false" outlineLevel="0" collapsed="false">
      <c r="A230" s="47" t="n">
        <v>18</v>
      </c>
      <c r="C230" s="48" t="str">
        <f aca="false">助手报销!$C19</f>
        <v>南位店</v>
      </c>
      <c r="D230" s="81" t="s">
        <v>486</v>
      </c>
      <c r="E230" s="48" t="str">
        <f aca="false">IFERROR(INDEX(输入报销!$E:$E,MATCH($A230&amp;"-8",输入报销!$J:$J,0))&amp;"","")</f>
        <v/>
      </c>
      <c r="F230" s="48" t="str">
        <f aca="false">IFERROR(INDEX(输入报销!$F:$F,MATCH($A230&amp;"-8",输入报销!$J:$J,0))&amp;"","")</f>
        <v/>
      </c>
      <c r="G230" s="49" t="n">
        <f aca="false">IFERROR(ROUND(INDEX(输入报销!$G:$G,MATCH($A230&amp;"-8",输入报销!$J:$J,0)),2),0)</f>
        <v>0</v>
      </c>
      <c r="H230" s="49" t="str">
        <f aca="false">IF(ROUND($G230,2)&gt;0,ROUND($G230,2),"")</f>
        <v/>
      </c>
      <c r="I230" s="49" t="str">
        <f aca="false">IF(ROUND($G230,2)&lt;0,-ROUND($G230,2),"")</f>
        <v/>
      </c>
      <c r="J230" s="20" t="n">
        <f aca="false">IF(ROUND($G230,2)=0,0,1)</f>
        <v>0</v>
      </c>
      <c r="K230" s="20" t="str">
        <f aca="false">IF($J230=0,"",SUM($J$223:$J230))</f>
        <v/>
      </c>
      <c r="L230" s="20" t="str">
        <f aca="false">IF($K230="","",$A230*100+$K230)</f>
        <v/>
      </c>
      <c r="M230" s="48" t="str">
        <f aca="false">IFERROR(INDEX(输入报销!$D:$D,MATCH($A230&amp;"-8",输入报销!$J:$J,0))&amp;"","")</f>
        <v/>
      </c>
    </row>
    <row r="231" customFormat="false" ht="13.5" hidden="false" customHeight="false" outlineLevel="0" collapsed="false">
      <c r="A231" s="47" t="n">
        <v>18</v>
      </c>
      <c r="C231" s="48" t="str">
        <f aca="false">助手报销!$C19</f>
        <v>南位店</v>
      </c>
      <c r="D231" s="81" t="s">
        <v>487</v>
      </c>
      <c r="E231" s="48" t="str">
        <f aca="false">IFERROR(INDEX(输入报销!$E:$E,MATCH($A231&amp;"-9",输入报销!$J:$J,0))&amp;"","")</f>
        <v/>
      </c>
      <c r="F231" s="48" t="str">
        <f aca="false">IFERROR(INDEX(输入报销!$F:$F,MATCH($A231&amp;"-9",输入报销!$J:$J,0))&amp;"","")</f>
        <v/>
      </c>
      <c r="G231" s="49" t="n">
        <f aca="false">IFERROR(ROUND(INDEX(输入报销!$G:$G,MATCH($A231&amp;"-9",输入报销!$J:$J,0)),2),0)</f>
        <v>0</v>
      </c>
      <c r="H231" s="49" t="str">
        <f aca="false">IF(ROUND($G231,2)&gt;0,ROUND($G231,2),"")</f>
        <v/>
      </c>
      <c r="I231" s="49" t="str">
        <f aca="false">IF(ROUND($G231,2)&lt;0,-ROUND($G231,2),"")</f>
        <v/>
      </c>
      <c r="J231" s="20" t="n">
        <f aca="false">IF(ROUND($G231,2)=0,0,1)</f>
        <v>0</v>
      </c>
      <c r="K231" s="20" t="str">
        <f aca="false">IF($J231=0,"",SUM($J$223:$J231))</f>
        <v/>
      </c>
      <c r="L231" s="20" t="str">
        <f aca="false">IF($K231="","",$A231*100+$K231)</f>
        <v/>
      </c>
      <c r="M231" s="48" t="str">
        <f aca="false">IFERROR(INDEX(输入报销!$D:$D,MATCH($A231&amp;"-9",输入报销!$J:$J,0))&amp;"","")</f>
        <v/>
      </c>
    </row>
    <row r="232" customFormat="false" ht="13.5" hidden="false" customHeight="false" outlineLevel="0" collapsed="false">
      <c r="A232" s="47" t="n">
        <v>18</v>
      </c>
      <c r="C232" s="48" t="str">
        <f aca="false">助手报销!$C19</f>
        <v>南位店</v>
      </c>
      <c r="D232" s="81" t="s">
        <v>488</v>
      </c>
      <c r="E232" s="48" t="str">
        <f aca="false">IFERROR(INDEX(输入报销!$E:$E,MATCH($A232&amp;"-10",输入报销!$J:$J,0))&amp;"","")</f>
        <v/>
      </c>
      <c r="F232" s="48" t="str">
        <f aca="false">IFERROR(INDEX(输入报销!$F:$F,MATCH($A232&amp;"-10",输入报销!$J:$J,0))&amp;"","")</f>
        <v/>
      </c>
      <c r="G232" s="49" t="n">
        <f aca="false">IFERROR(ROUND(INDEX(输入报销!$G:$G,MATCH($A232&amp;"-10",输入报销!$J:$J,0)),2),0)</f>
        <v>0</v>
      </c>
      <c r="H232" s="49" t="str">
        <f aca="false">IF(ROUND($G232,2)&gt;0,ROUND($G232,2),"")</f>
        <v/>
      </c>
      <c r="I232" s="49" t="str">
        <f aca="false">IF(ROUND($G232,2)&lt;0,-ROUND($G232,2),"")</f>
        <v/>
      </c>
      <c r="J232" s="20" t="n">
        <f aca="false">IF(ROUND($G232,2)=0,0,1)</f>
        <v>0</v>
      </c>
      <c r="K232" s="20" t="str">
        <f aca="false">IF($J232=0,"",SUM($J$223:$J232))</f>
        <v/>
      </c>
      <c r="L232" s="20" t="str">
        <f aca="false">IF($K232="","",$A232*100+$K232)</f>
        <v/>
      </c>
      <c r="M232" s="48" t="str">
        <f aca="false">IFERROR(INDEX(输入报销!$D:$D,MATCH($A232&amp;"-10",输入报销!$J:$J,0))&amp;"","")</f>
        <v/>
      </c>
    </row>
    <row r="233" customFormat="false" ht="13.5" hidden="false" customHeight="false" outlineLevel="0" collapsed="false">
      <c r="A233" s="47" t="n">
        <v>18</v>
      </c>
      <c r="C233" s="48" t="str">
        <f aca="false">助手报销!$C19</f>
        <v>南位店</v>
      </c>
      <c r="D233" s="81" t="s">
        <v>489</v>
      </c>
      <c r="E233" s="48" t="str">
        <f aca="false">参数!$B$6</f>
        <v>库存现金</v>
      </c>
      <c r="F233" s="48" t="str">
        <f aca="false">""</f>
        <v/>
      </c>
      <c r="G233" s="49" t="n">
        <f aca="false">-ROUND(SUMIFS(输入报销!$G:$G,输入报销!$A:$A,$A233,输入报销!$H:$H,参数!$B$6),2)</f>
        <v>-396.59</v>
      </c>
      <c r="H233" s="49" t="str">
        <f aca="false">IF(ROUND($G233,2)&gt;0,ROUND($G233,2),"")</f>
        <v/>
      </c>
      <c r="I233" s="49" t="n">
        <f aca="false">IF(ROUND($G233,2)&lt;0,-ROUND($G233,2),"")</f>
        <v>396.59</v>
      </c>
      <c r="J233" s="20" t="n">
        <f aca="false">IF(ROUND($G233,2)=0,0,1)</f>
        <v>1</v>
      </c>
      <c r="K233" s="20" t="n">
        <f aca="false">IF($J233=0,"",SUM($J$223:$J233))</f>
        <v>4</v>
      </c>
      <c r="L233" s="20" t="n">
        <f aca="false">IF($K233="","",$A233*100+$K233)</f>
        <v>1804</v>
      </c>
      <c r="M233" s="48" t="str">
        <f aca="false">""</f>
        <v/>
      </c>
    </row>
    <row r="234" customFormat="false" ht="13.5" hidden="false" customHeight="false" outlineLevel="0" collapsed="false">
      <c r="A234" s="47" t="n">
        <v>18</v>
      </c>
      <c r="C234" s="48" t="str">
        <f aca="false">助手报销!$C19</f>
        <v>南位店</v>
      </c>
      <c r="D234" s="81" t="s">
        <v>490</v>
      </c>
      <c r="E234" s="48" t="str">
        <f aca="false">参数!$B$7</f>
        <v>银行存款</v>
      </c>
      <c r="F234" s="48" t="str">
        <f aca="false">""</f>
        <v/>
      </c>
      <c r="G234" s="49" t="n">
        <f aca="false">-ROUND(SUMIFS(输入报销!$G:$G,输入报销!$A:$A,$A234,输入报销!$H:$H,参数!$B$7),2)</f>
        <v>-0</v>
      </c>
      <c r="H234" s="49" t="str">
        <f aca="false">IF(ROUND($G234,2)&gt;0,ROUND($G234,2),"")</f>
        <v/>
      </c>
      <c r="I234" s="49" t="str">
        <f aca="false">IF(ROUND($G234,2)&lt;0,-ROUND($G234,2),"")</f>
        <v/>
      </c>
      <c r="J234" s="20" t="n">
        <f aca="false">IF(ROUND($G234,2)=0,0,1)</f>
        <v>0</v>
      </c>
      <c r="K234" s="20" t="str">
        <f aca="false">IF($J234=0,"",SUM($J$223:$J234))</f>
        <v/>
      </c>
      <c r="L234" s="20" t="str">
        <f aca="false">IF($K234="","",$A234*100+$K234)</f>
        <v/>
      </c>
      <c r="M234" s="48" t="str">
        <f aca="false">""</f>
        <v/>
      </c>
    </row>
    <row r="235" customFormat="false" ht="13.5" hidden="false" customHeight="false" outlineLevel="0" collapsed="false">
      <c r="A235" s="47" t="n">
        <v>18</v>
      </c>
      <c r="C235" s="48" t="str">
        <f aca="false">助手报销!$C19</f>
        <v>南位店</v>
      </c>
      <c r="D235" s="81" t="s">
        <v>491</v>
      </c>
      <c r="E235" s="48" t="str">
        <f aca="false">参数!$B$8</f>
        <v>其他应付款</v>
      </c>
      <c r="F235" s="48" t="str">
        <f aca="false">""</f>
        <v/>
      </c>
      <c r="G235" s="49" t="n">
        <f aca="false">-ROUND(SUMIFS(输入报销!$G:$G,输入报销!$A:$A,$A235,输入报销!$H:$H,参数!$B$8),2)</f>
        <v>-0</v>
      </c>
      <c r="H235" s="49" t="str">
        <f aca="false">IF(ROUND($G235,2)&gt;0,ROUND($G235,2),"")</f>
        <v/>
      </c>
      <c r="I235" s="49" t="str">
        <f aca="false">IF(ROUND($G235,2)&lt;0,-ROUND($G235,2),"")</f>
        <v/>
      </c>
      <c r="J235" s="20" t="n">
        <f aca="false">IF(ROUND($G235,2)=0,0,1)</f>
        <v>0</v>
      </c>
      <c r="K235" s="20" t="str">
        <f aca="false">IF($J235=0,"",SUM($J$223:$J235))</f>
        <v/>
      </c>
      <c r="L235" s="20" t="str">
        <f aca="false">IF($K235="","",$A235*100+$K235)</f>
        <v/>
      </c>
      <c r="M235" s="48" t="str">
        <f aca="false">""</f>
        <v/>
      </c>
    </row>
    <row r="236" customFormat="false" ht="13.5" hidden="false" customHeight="false" outlineLevel="0" collapsed="false">
      <c r="A236" s="47" t="n">
        <v>19</v>
      </c>
      <c r="C236" s="48" t="str">
        <f aca="false">助手报销!$C20</f>
        <v>博园店</v>
      </c>
      <c r="D236" s="81" t="s">
        <v>479</v>
      </c>
      <c r="E236" s="48" t="str">
        <f aca="false">IFERROR(INDEX(输入报销!$E:$E,MATCH($A236&amp;"-1",输入报销!$J:$J,0))&amp;"","")</f>
        <v>销售费用</v>
      </c>
      <c r="F236" s="48" t="str">
        <f aca="false">IFERROR(INDEX(输入报销!$F:$F,MATCH($A236&amp;"-1",输入报销!$J:$J,0))&amp;"","")</f>
        <v>办公费</v>
      </c>
      <c r="G236" s="49" t="n">
        <f aca="false">IFERROR(ROUND(INDEX(输入报销!$G:$G,MATCH($A236&amp;"-1",输入报销!$J:$J,0)),2),0)</f>
        <v>72.4</v>
      </c>
      <c r="H236" s="49" t="n">
        <f aca="false">IF(ROUND($G236,2)&gt;0,ROUND($G236,2),"")</f>
        <v>72.4</v>
      </c>
      <c r="I236" s="49" t="str">
        <f aca="false">IF(ROUND($G236,2)&lt;0,-ROUND($G236,2),"")</f>
        <v/>
      </c>
      <c r="J236" s="20" t="n">
        <f aca="false">IF(ROUND($G236,2)=0,0,1)</f>
        <v>1</v>
      </c>
      <c r="K236" s="20" t="n">
        <f aca="false">IF($J236=0,"",SUM($J$236:$J236))</f>
        <v>1</v>
      </c>
      <c r="L236" s="20" t="n">
        <f aca="false">IF($K236="","",$A236*100+$K236)</f>
        <v>1901</v>
      </c>
      <c r="M236" s="48" t="str">
        <f aca="false">IFERROR(INDEX(输入报销!$D:$D,MATCH($A236&amp;"-1",输入报销!$J:$J,0))&amp;"","")</f>
        <v>色带慢病用品</v>
      </c>
    </row>
    <row r="237" customFormat="false" ht="13.5" hidden="false" customHeight="false" outlineLevel="0" collapsed="false">
      <c r="A237" s="47" t="n">
        <v>19</v>
      </c>
      <c r="C237" s="48" t="str">
        <f aca="false">助手报销!$C20</f>
        <v>博园店</v>
      </c>
      <c r="D237" s="81" t="s">
        <v>480</v>
      </c>
      <c r="E237" s="48" t="str">
        <f aca="false">IFERROR(INDEX(输入报销!$E:$E,MATCH($A237&amp;"-2",输入报销!$J:$J,0))&amp;"","")</f>
        <v>销售费用</v>
      </c>
      <c r="F237" s="48" t="str">
        <f aca="false">IFERROR(INDEX(输入报销!$F:$F,MATCH($A237&amp;"-2",输入报销!$J:$J,0))&amp;"","")</f>
        <v>电费</v>
      </c>
      <c r="G237" s="49" t="n">
        <f aca="false">IFERROR(ROUND(INDEX(输入报销!$G:$G,MATCH($A237&amp;"-2",输入报销!$J:$J,0)),2),0)</f>
        <v>800</v>
      </c>
      <c r="H237" s="49" t="n">
        <f aca="false">IF(ROUND($G237,2)&gt;0,ROUND($G237,2),"")</f>
        <v>800</v>
      </c>
      <c r="I237" s="49" t="str">
        <f aca="false">IF(ROUND($G237,2)&lt;0,-ROUND($G237,2),"")</f>
        <v/>
      </c>
      <c r="J237" s="20" t="n">
        <f aca="false">IF(ROUND($G237,2)=0,0,1)</f>
        <v>1</v>
      </c>
      <c r="K237" s="20" t="n">
        <f aca="false">IF($J237=0,"",SUM($J$236:$J237))</f>
        <v>2</v>
      </c>
      <c r="L237" s="20" t="n">
        <f aca="false">IF($K237="","",$A237*100+$K237)</f>
        <v>1902</v>
      </c>
      <c r="M237" s="48" t="str">
        <f aca="false">IFERROR(INDEX(输入报销!$D:$D,MATCH($A237&amp;"-2",输入报销!$J:$J,0))&amp;"","")</f>
        <v>电费</v>
      </c>
    </row>
    <row r="238" customFormat="false" ht="13.5" hidden="false" customHeight="false" outlineLevel="0" collapsed="false">
      <c r="A238" s="47" t="n">
        <v>19</v>
      </c>
      <c r="C238" s="48" t="str">
        <f aca="false">助手报销!$C20</f>
        <v>博园店</v>
      </c>
      <c r="D238" s="81" t="s">
        <v>481</v>
      </c>
      <c r="E238" s="48" t="str">
        <f aca="false">IFERROR(INDEX(输入报销!$E:$E,MATCH($A238&amp;"-3",输入报销!$J:$J,0))&amp;"","")</f>
        <v/>
      </c>
      <c r="F238" s="48" t="str">
        <f aca="false">IFERROR(INDEX(输入报销!$F:$F,MATCH($A238&amp;"-3",输入报销!$J:$J,0))&amp;"","")</f>
        <v/>
      </c>
      <c r="G238" s="49" t="n">
        <f aca="false">IFERROR(ROUND(INDEX(输入报销!$G:$G,MATCH($A238&amp;"-3",输入报销!$J:$J,0)),2),0)</f>
        <v>0</v>
      </c>
      <c r="H238" s="49" t="str">
        <f aca="false">IF(ROUND($G238,2)&gt;0,ROUND($G238,2),"")</f>
        <v/>
      </c>
      <c r="I238" s="49" t="str">
        <f aca="false">IF(ROUND($G238,2)&lt;0,-ROUND($G238,2),"")</f>
        <v/>
      </c>
      <c r="J238" s="20" t="n">
        <f aca="false">IF(ROUND($G238,2)=0,0,1)</f>
        <v>0</v>
      </c>
      <c r="K238" s="20" t="str">
        <f aca="false">IF($J238=0,"",SUM($J$236:$J238))</f>
        <v/>
      </c>
      <c r="L238" s="20" t="str">
        <f aca="false">IF($K238="","",$A238*100+$K238)</f>
        <v/>
      </c>
      <c r="M238" s="48" t="str">
        <f aca="false">IFERROR(INDEX(输入报销!$D:$D,MATCH($A238&amp;"-3",输入报销!$J:$J,0))&amp;"","")</f>
        <v/>
      </c>
    </row>
    <row r="239" customFormat="false" ht="13.5" hidden="false" customHeight="false" outlineLevel="0" collapsed="false">
      <c r="A239" s="47" t="n">
        <v>19</v>
      </c>
      <c r="C239" s="48" t="str">
        <f aca="false">助手报销!$C20</f>
        <v>博园店</v>
      </c>
      <c r="D239" s="81" t="s">
        <v>482</v>
      </c>
      <c r="E239" s="48" t="str">
        <f aca="false">IFERROR(INDEX(输入报销!$E:$E,MATCH($A239&amp;"-4",输入报销!$J:$J,0))&amp;"","")</f>
        <v/>
      </c>
      <c r="F239" s="48" t="str">
        <f aca="false">IFERROR(INDEX(输入报销!$F:$F,MATCH($A239&amp;"-4",输入报销!$J:$J,0))&amp;"","")</f>
        <v/>
      </c>
      <c r="G239" s="49" t="n">
        <f aca="false">IFERROR(ROUND(INDEX(输入报销!$G:$G,MATCH($A239&amp;"-4",输入报销!$J:$J,0)),2),0)</f>
        <v>0</v>
      </c>
      <c r="H239" s="49" t="str">
        <f aca="false">IF(ROUND($G239,2)&gt;0,ROUND($G239,2),"")</f>
        <v/>
      </c>
      <c r="I239" s="49" t="str">
        <f aca="false">IF(ROUND($G239,2)&lt;0,-ROUND($G239,2),"")</f>
        <v/>
      </c>
      <c r="J239" s="20" t="n">
        <f aca="false">IF(ROUND($G239,2)=0,0,1)</f>
        <v>0</v>
      </c>
      <c r="K239" s="20" t="str">
        <f aca="false">IF($J239=0,"",SUM($J$236:$J239))</f>
        <v/>
      </c>
      <c r="L239" s="20" t="str">
        <f aca="false">IF($K239="","",$A239*100+$K239)</f>
        <v/>
      </c>
      <c r="M239" s="48" t="str">
        <f aca="false">IFERROR(INDEX(输入报销!$D:$D,MATCH($A239&amp;"-4",输入报销!$J:$J,0))&amp;"","")</f>
        <v/>
      </c>
    </row>
    <row r="240" customFormat="false" ht="13.5" hidden="false" customHeight="false" outlineLevel="0" collapsed="false">
      <c r="A240" s="47" t="n">
        <v>19</v>
      </c>
      <c r="C240" s="48" t="str">
        <f aca="false">助手报销!$C20</f>
        <v>博园店</v>
      </c>
      <c r="D240" s="81" t="s">
        <v>483</v>
      </c>
      <c r="E240" s="48" t="str">
        <f aca="false">IFERROR(INDEX(输入报销!$E:$E,MATCH($A240&amp;"-5",输入报销!$J:$J,0))&amp;"","")</f>
        <v/>
      </c>
      <c r="F240" s="48" t="str">
        <f aca="false">IFERROR(INDEX(输入报销!$F:$F,MATCH($A240&amp;"-5",输入报销!$J:$J,0))&amp;"","")</f>
        <v/>
      </c>
      <c r="G240" s="49" t="n">
        <f aca="false">IFERROR(ROUND(INDEX(输入报销!$G:$G,MATCH($A240&amp;"-5",输入报销!$J:$J,0)),2),0)</f>
        <v>0</v>
      </c>
      <c r="H240" s="49" t="str">
        <f aca="false">IF(ROUND($G240,2)&gt;0,ROUND($G240,2),"")</f>
        <v/>
      </c>
      <c r="I240" s="49" t="str">
        <f aca="false">IF(ROUND($G240,2)&lt;0,-ROUND($G240,2),"")</f>
        <v/>
      </c>
      <c r="J240" s="20" t="n">
        <f aca="false">IF(ROUND($G240,2)=0,0,1)</f>
        <v>0</v>
      </c>
      <c r="K240" s="20" t="str">
        <f aca="false">IF($J240=0,"",SUM($J$236:$J240))</f>
        <v/>
      </c>
      <c r="L240" s="20" t="str">
        <f aca="false">IF($K240="","",$A240*100+$K240)</f>
        <v/>
      </c>
      <c r="M240" s="48" t="str">
        <f aca="false">IFERROR(INDEX(输入报销!$D:$D,MATCH($A240&amp;"-5",输入报销!$J:$J,0))&amp;"","")</f>
        <v/>
      </c>
    </row>
    <row r="241" customFormat="false" ht="13.5" hidden="false" customHeight="false" outlineLevel="0" collapsed="false">
      <c r="A241" s="47" t="n">
        <v>19</v>
      </c>
      <c r="C241" s="48" t="str">
        <f aca="false">助手报销!$C20</f>
        <v>博园店</v>
      </c>
      <c r="D241" s="81" t="s">
        <v>484</v>
      </c>
      <c r="E241" s="48" t="str">
        <f aca="false">IFERROR(INDEX(输入报销!$E:$E,MATCH($A241&amp;"-6",输入报销!$J:$J,0))&amp;"","")</f>
        <v/>
      </c>
      <c r="F241" s="48" t="str">
        <f aca="false">IFERROR(INDEX(输入报销!$F:$F,MATCH($A241&amp;"-6",输入报销!$J:$J,0))&amp;"","")</f>
        <v/>
      </c>
      <c r="G241" s="49" t="n">
        <f aca="false">IFERROR(ROUND(INDEX(输入报销!$G:$G,MATCH($A241&amp;"-6",输入报销!$J:$J,0)),2),0)</f>
        <v>0</v>
      </c>
      <c r="H241" s="49" t="str">
        <f aca="false">IF(ROUND($G241,2)&gt;0,ROUND($G241,2),"")</f>
        <v/>
      </c>
      <c r="I241" s="49" t="str">
        <f aca="false">IF(ROUND($G241,2)&lt;0,-ROUND($G241,2),"")</f>
        <v/>
      </c>
      <c r="J241" s="20" t="n">
        <f aca="false">IF(ROUND($G241,2)=0,0,1)</f>
        <v>0</v>
      </c>
      <c r="K241" s="20" t="str">
        <f aca="false">IF($J241=0,"",SUM($J$236:$J241))</f>
        <v/>
      </c>
      <c r="L241" s="20" t="str">
        <f aca="false">IF($K241="","",$A241*100+$K241)</f>
        <v/>
      </c>
      <c r="M241" s="48" t="str">
        <f aca="false">IFERROR(INDEX(输入报销!$D:$D,MATCH($A241&amp;"-6",输入报销!$J:$J,0))&amp;"","")</f>
        <v/>
      </c>
    </row>
    <row r="242" customFormat="false" ht="13.5" hidden="false" customHeight="false" outlineLevel="0" collapsed="false">
      <c r="A242" s="47" t="n">
        <v>19</v>
      </c>
      <c r="C242" s="48" t="str">
        <f aca="false">助手报销!$C20</f>
        <v>博园店</v>
      </c>
      <c r="D242" s="81" t="s">
        <v>485</v>
      </c>
      <c r="E242" s="48" t="str">
        <f aca="false">IFERROR(INDEX(输入报销!$E:$E,MATCH($A242&amp;"-7",输入报销!$J:$J,0))&amp;"","")</f>
        <v/>
      </c>
      <c r="F242" s="48" t="str">
        <f aca="false">IFERROR(INDEX(输入报销!$F:$F,MATCH($A242&amp;"-7",输入报销!$J:$J,0))&amp;"","")</f>
        <v/>
      </c>
      <c r="G242" s="49" t="n">
        <f aca="false">IFERROR(ROUND(INDEX(输入报销!$G:$G,MATCH($A242&amp;"-7",输入报销!$J:$J,0)),2),0)</f>
        <v>0</v>
      </c>
      <c r="H242" s="49" t="str">
        <f aca="false">IF(ROUND($G242,2)&gt;0,ROUND($G242,2),"")</f>
        <v/>
      </c>
      <c r="I242" s="49" t="str">
        <f aca="false">IF(ROUND($G242,2)&lt;0,-ROUND($G242,2),"")</f>
        <v/>
      </c>
      <c r="J242" s="20" t="n">
        <f aca="false">IF(ROUND($G242,2)=0,0,1)</f>
        <v>0</v>
      </c>
      <c r="K242" s="20" t="str">
        <f aca="false">IF($J242=0,"",SUM($J$236:$J242))</f>
        <v/>
      </c>
      <c r="L242" s="20" t="str">
        <f aca="false">IF($K242="","",$A242*100+$K242)</f>
        <v/>
      </c>
      <c r="M242" s="48" t="str">
        <f aca="false">IFERROR(INDEX(输入报销!$D:$D,MATCH($A242&amp;"-7",输入报销!$J:$J,0))&amp;"","")</f>
        <v/>
      </c>
    </row>
    <row r="243" customFormat="false" ht="13.5" hidden="false" customHeight="false" outlineLevel="0" collapsed="false">
      <c r="A243" s="47" t="n">
        <v>19</v>
      </c>
      <c r="C243" s="48" t="str">
        <f aca="false">助手报销!$C20</f>
        <v>博园店</v>
      </c>
      <c r="D243" s="81" t="s">
        <v>486</v>
      </c>
      <c r="E243" s="48" t="str">
        <f aca="false">IFERROR(INDEX(输入报销!$E:$E,MATCH($A243&amp;"-8",输入报销!$J:$J,0))&amp;"","")</f>
        <v/>
      </c>
      <c r="F243" s="48" t="str">
        <f aca="false">IFERROR(INDEX(输入报销!$F:$F,MATCH($A243&amp;"-8",输入报销!$J:$J,0))&amp;"","")</f>
        <v/>
      </c>
      <c r="G243" s="49" t="n">
        <f aca="false">IFERROR(ROUND(INDEX(输入报销!$G:$G,MATCH($A243&amp;"-8",输入报销!$J:$J,0)),2),0)</f>
        <v>0</v>
      </c>
      <c r="H243" s="49" t="str">
        <f aca="false">IF(ROUND($G243,2)&gt;0,ROUND($G243,2),"")</f>
        <v/>
      </c>
      <c r="I243" s="49" t="str">
        <f aca="false">IF(ROUND($G243,2)&lt;0,-ROUND($G243,2),"")</f>
        <v/>
      </c>
      <c r="J243" s="20" t="n">
        <f aca="false">IF(ROUND($G243,2)=0,0,1)</f>
        <v>0</v>
      </c>
      <c r="K243" s="20" t="str">
        <f aca="false">IF($J243=0,"",SUM($J$236:$J243))</f>
        <v/>
      </c>
      <c r="L243" s="20" t="str">
        <f aca="false">IF($K243="","",$A243*100+$K243)</f>
        <v/>
      </c>
      <c r="M243" s="48" t="str">
        <f aca="false">IFERROR(INDEX(输入报销!$D:$D,MATCH($A243&amp;"-8",输入报销!$J:$J,0))&amp;"","")</f>
        <v/>
      </c>
    </row>
    <row r="244" customFormat="false" ht="13.5" hidden="false" customHeight="false" outlineLevel="0" collapsed="false">
      <c r="A244" s="47" t="n">
        <v>19</v>
      </c>
      <c r="C244" s="48" t="str">
        <f aca="false">助手报销!$C20</f>
        <v>博园店</v>
      </c>
      <c r="D244" s="81" t="s">
        <v>487</v>
      </c>
      <c r="E244" s="48" t="str">
        <f aca="false">IFERROR(INDEX(输入报销!$E:$E,MATCH($A244&amp;"-9",输入报销!$J:$J,0))&amp;"","")</f>
        <v/>
      </c>
      <c r="F244" s="48" t="str">
        <f aca="false">IFERROR(INDEX(输入报销!$F:$F,MATCH($A244&amp;"-9",输入报销!$J:$J,0))&amp;"","")</f>
        <v/>
      </c>
      <c r="G244" s="49" t="n">
        <f aca="false">IFERROR(ROUND(INDEX(输入报销!$G:$G,MATCH($A244&amp;"-9",输入报销!$J:$J,0)),2),0)</f>
        <v>0</v>
      </c>
      <c r="H244" s="49" t="str">
        <f aca="false">IF(ROUND($G244,2)&gt;0,ROUND($G244,2),"")</f>
        <v/>
      </c>
      <c r="I244" s="49" t="str">
        <f aca="false">IF(ROUND($G244,2)&lt;0,-ROUND($G244,2),"")</f>
        <v/>
      </c>
      <c r="J244" s="20" t="n">
        <f aca="false">IF(ROUND($G244,2)=0,0,1)</f>
        <v>0</v>
      </c>
      <c r="K244" s="20" t="str">
        <f aca="false">IF($J244=0,"",SUM($J$236:$J244))</f>
        <v/>
      </c>
      <c r="L244" s="20" t="str">
        <f aca="false">IF($K244="","",$A244*100+$K244)</f>
        <v/>
      </c>
      <c r="M244" s="48" t="str">
        <f aca="false">IFERROR(INDEX(输入报销!$D:$D,MATCH($A244&amp;"-9",输入报销!$J:$J,0))&amp;"","")</f>
        <v/>
      </c>
    </row>
    <row r="245" customFormat="false" ht="13.5" hidden="false" customHeight="false" outlineLevel="0" collapsed="false">
      <c r="A245" s="47" t="n">
        <v>19</v>
      </c>
      <c r="C245" s="48" t="str">
        <f aca="false">助手报销!$C20</f>
        <v>博园店</v>
      </c>
      <c r="D245" s="81" t="s">
        <v>488</v>
      </c>
      <c r="E245" s="48" t="str">
        <f aca="false">IFERROR(INDEX(输入报销!$E:$E,MATCH($A245&amp;"-10",输入报销!$J:$J,0))&amp;"","")</f>
        <v/>
      </c>
      <c r="F245" s="48" t="str">
        <f aca="false">IFERROR(INDEX(输入报销!$F:$F,MATCH($A245&amp;"-10",输入报销!$J:$J,0))&amp;"","")</f>
        <v/>
      </c>
      <c r="G245" s="49" t="n">
        <f aca="false">IFERROR(ROUND(INDEX(输入报销!$G:$G,MATCH($A245&amp;"-10",输入报销!$J:$J,0)),2),0)</f>
        <v>0</v>
      </c>
      <c r="H245" s="49" t="str">
        <f aca="false">IF(ROUND($G245,2)&gt;0,ROUND($G245,2),"")</f>
        <v/>
      </c>
      <c r="I245" s="49" t="str">
        <f aca="false">IF(ROUND($G245,2)&lt;0,-ROUND($G245,2),"")</f>
        <v/>
      </c>
      <c r="J245" s="20" t="n">
        <f aca="false">IF(ROUND($G245,2)=0,0,1)</f>
        <v>0</v>
      </c>
      <c r="K245" s="20" t="str">
        <f aca="false">IF($J245=0,"",SUM($J$236:$J245))</f>
        <v/>
      </c>
      <c r="L245" s="20" t="str">
        <f aca="false">IF($K245="","",$A245*100+$K245)</f>
        <v/>
      </c>
      <c r="M245" s="48" t="str">
        <f aca="false">IFERROR(INDEX(输入报销!$D:$D,MATCH($A245&amp;"-10",输入报销!$J:$J,0))&amp;"","")</f>
        <v/>
      </c>
    </row>
    <row r="246" customFormat="false" ht="13.5" hidden="false" customHeight="false" outlineLevel="0" collapsed="false">
      <c r="A246" s="47" t="n">
        <v>19</v>
      </c>
      <c r="C246" s="48" t="str">
        <f aca="false">助手报销!$C20</f>
        <v>博园店</v>
      </c>
      <c r="D246" s="81" t="s">
        <v>489</v>
      </c>
      <c r="E246" s="48" t="str">
        <f aca="false">参数!$B$6</f>
        <v>库存现金</v>
      </c>
      <c r="F246" s="48" t="str">
        <f aca="false">""</f>
        <v/>
      </c>
      <c r="G246" s="49" t="n">
        <f aca="false">-ROUND(SUMIFS(输入报销!$G:$G,输入报销!$A:$A,$A246,输入报销!$H:$H,参数!$B$6),2)</f>
        <v>-872.4</v>
      </c>
      <c r="H246" s="49" t="str">
        <f aca="false">IF(ROUND($G246,2)&gt;0,ROUND($G246,2),"")</f>
        <v/>
      </c>
      <c r="I246" s="49" t="n">
        <f aca="false">IF(ROUND($G246,2)&lt;0,-ROUND($G246,2),"")</f>
        <v>872.4</v>
      </c>
      <c r="J246" s="20" t="n">
        <f aca="false">IF(ROUND($G246,2)=0,0,1)</f>
        <v>1</v>
      </c>
      <c r="K246" s="20" t="n">
        <f aca="false">IF($J246=0,"",SUM($J$236:$J246))</f>
        <v>3</v>
      </c>
      <c r="L246" s="20" t="n">
        <f aca="false">IF($K246="","",$A246*100+$K246)</f>
        <v>1903</v>
      </c>
      <c r="M246" s="48" t="str">
        <f aca="false">""</f>
        <v/>
      </c>
    </row>
    <row r="247" customFormat="false" ht="13.5" hidden="false" customHeight="false" outlineLevel="0" collapsed="false">
      <c r="A247" s="47" t="n">
        <v>19</v>
      </c>
      <c r="C247" s="48" t="str">
        <f aca="false">助手报销!$C20</f>
        <v>博园店</v>
      </c>
      <c r="D247" s="81" t="s">
        <v>490</v>
      </c>
      <c r="E247" s="48" t="str">
        <f aca="false">参数!$B$7</f>
        <v>银行存款</v>
      </c>
      <c r="F247" s="48" t="str">
        <f aca="false">""</f>
        <v/>
      </c>
      <c r="G247" s="49" t="n">
        <f aca="false">-ROUND(SUMIFS(输入报销!$G:$G,输入报销!$A:$A,$A247,输入报销!$H:$H,参数!$B$7),2)</f>
        <v>-0</v>
      </c>
      <c r="H247" s="49" t="str">
        <f aca="false">IF(ROUND($G247,2)&gt;0,ROUND($G247,2),"")</f>
        <v/>
      </c>
      <c r="I247" s="49" t="str">
        <f aca="false">IF(ROUND($G247,2)&lt;0,-ROUND($G247,2),"")</f>
        <v/>
      </c>
      <c r="J247" s="20" t="n">
        <f aca="false">IF(ROUND($G247,2)=0,0,1)</f>
        <v>0</v>
      </c>
      <c r="K247" s="20" t="str">
        <f aca="false">IF($J247=0,"",SUM($J$236:$J247))</f>
        <v/>
      </c>
      <c r="L247" s="20" t="str">
        <f aca="false">IF($K247="","",$A247*100+$K247)</f>
        <v/>
      </c>
      <c r="M247" s="48" t="str">
        <f aca="false">""</f>
        <v/>
      </c>
    </row>
    <row r="248" customFormat="false" ht="13.5" hidden="false" customHeight="false" outlineLevel="0" collapsed="false">
      <c r="A248" s="47" t="n">
        <v>19</v>
      </c>
      <c r="C248" s="48" t="str">
        <f aca="false">助手报销!$C20</f>
        <v>博园店</v>
      </c>
      <c r="D248" s="81" t="s">
        <v>491</v>
      </c>
      <c r="E248" s="48" t="str">
        <f aca="false">参数!$B$8</f>
        <v>其他应付款</v>
      </c>
      <c r="F248" s="48" t="str">
        <f aca="false">""</f>
        <v/>
      </c>
      <c r="G248" s="49" t="n">
        <f aca="false">-ROUND(SUMIFS(输入报销!$G:$G,输入报销!$A:$A,$A248,输入报销!$H:$H,参数!$B$8),2)</f>
        <v>-0</v>
      </c>
      <c r="H248" s="49" t="str">
        <f aca="false">IF(ROUND($G248,2)&gt;0,ROUND($G248,2),"")</f>
        <v/>
      </c>
      <c r="I248" s="49" t="str">
        <f aca="false">IF(ROUND($G248,2)&lt;0,-ROUND($G248,2),"")</f>
        <v/>
      </c>
      <c r="J248" s="20" t="n">
        <f aca="false">IF(ROUND($G248,2)=0,0,1)</f>
        <v>0</v>
      </c>
      <c r="K248" s="20" t="str">
        <f aca="false">IF($J248=0,"",SUM($J$236:$J248))</f>
        <v/>
      </c>
      <c r="L248" s="20" t="str">
        <f aca="false">IF($K248="","",$A248*100+$K248)</f>
        <v/>
      </c>
      <c r="M248" s="48" t="str">
        <f aca="false">""</f>
        <v/>
      </c>
    </row>
    <row r="249" customFormat="false" ht="13.5" hidden="false" customHeight="false" outlineLevel="0" collapsed="false">
      <c r="A249" s="47" t="n">
        <v>20</v>
      </c>
      <c r="C249" s="48" t="str">
        <f aca="false">助手报销!$C21</f>
        <v>新华路店</v>
      </c>
      <c r="D249" s="81" t="s">
        <v>479</v>
      </c>
      <c r="E249" s="48" t="str">
        <f aca="false">IFERROR(INDEX(输入报销!$E:$E,MATCH($A249&amp;"-1",输入报销!$J:$J,0))&amp;"","")</f>
        <v>销售费用</v>
      </c>
      <c r="F249" s="48" t="str">
        <f aca="false">IFERROR(INDEX(输入报销!$F:$F,MATCH($A249&amp;"-1",输入报销!$J:$J,0))&amp;"","")</f>
        <v>水费</v>
      </c>
      <c r="G249" s="49" t="n">
        <f aca="false">IFERROR(ROUND(INDEX(输入报销!$G:$G,MATCH($A249&amp;"-1",输入报销!$J:$J,0)),2),0)</f>
        <v>27.54</v>
      </c>
      <c r="H249" s="49" t="n">
        <f aca="false">IF(ROUND($G249,2)&gt;0,ROUND($G249,2),"")</f>
        <v>27.54</v>
      </c>
      <c r="I249" s="49" t="str">
        <f aca="false">IF(ROUND($G249,2)&lt;0,-ROUND($G249,2),"")</f>
        <v/>
      </c>
      <c r="J249" s="20" t="n">
        <f aca="false">IF(ROUND($G249,2)=0,0,1)</f>
        <v>1</v>
      </c>
      <c r="K249" s="20" t="n">
        <f aca="false">IF($J249=0,"",SUM($J$249:$J249))</f>
        <v>1</v>
      </c>
      <c r="L249" s="20" t="n">
        <f aca="false">IF($K249="","",$A249*100+$K249)</f>
        <v>2001</v>
      </c>
      <c r="M249" s="48" t="str">
        <f aca="false">IFERROR(INDEX(输入报销!$D:$D,MATCH($A249&amp;"-1",输入报销!$J:$J,0))&amp;"","")</f>
        <v>水费</v>
      </c>
    </row>
    <row r="250" customFormat="false" ht="13.5" hidden="false" customHeight="false" outlineLevel="0" collapsed="false">
      <c r="A250" s="47" t="n">
        <v>20</v>
      </c>
      <c r="C250" s="48" t="str">
        <f aca="false">助手报销!$C21</f>
        <v>新华路店</v>
      </c>
      <c r="D250" s="81" t="s">
        <v>480</v>
      </c>
      <c r="E250" s="48" t="str">
        <f aca="false">IFERROR(INDEX(输入报销!$E:$E,MATCH($A250&amp;"-2",输入报销!$J:$J,0))&amp;"","")</f>
        <v>销售费用</v>
      </c>
      <c r="F250" s="48" t="str">
        <f aca="false">IFERROR(INDEX(输入报销!$F:$F,MATCH($A250&amp;"-2",输入报销!$J:$J,0))&amp;"","")</f>
        <v>办公费</v>
      </c>
      <c r="G250" s="49" t="n">
        <f aca="false">IFERROR(ROUND(INDEX(输入报销!$G:$G,MATCH($A250&amp;"-2",输入报销!$J:$J,0)),2),0)</f>
        <v>27</v>
      </c>
      <c r="H250" s="49" t="n">
        <f aca="false">IF(ROUND($G250,2)&gt;0,ROUND($G250,2),"")</f>
        <v>27</v>
      </c>
      <c r="I250" s="49" t="str">
        <f aca="false">IF(ROUND($G250,2)&lt;0,-ROUND($G250,2),"")</f>
        <v/>
      </c>
      <c r="J250" s="20" t="n">
        <f aca="false">IF(ROUND($G250,2)=0,0,1)</f>
        <v>1</v>
      </c>
      <c r="K250" s="20" t="n">
        <f aca="false">IF($J250=0,"",SUM($J$249:$J250))</f>
        <v>2</v>
      </c>
      <c r="L250" s="20" t="n">
        <f aca="false">IF($K250="","",$A250*100+$K250)</f>
        <v>2002</v>
      </c>
      <c r="M250" s="48" t="str">
        <f aca="false">IFERROR(INDEX(输入报销!$D:$D,MATCH($A250&amp;"-2",输入报销!$J:$J,0))&amp;"","")</f>
        <v>结构胶</v>
      </c>
    </row>
    <row r="251" customFormat="false" ht="13.5" hidden="false" customHeight="false" outlineLevel="0" collapsed="false">
      <c r="A251" s="47" t="n">
        <v>20</v>
      </c>
      <c r="C251" s="48" t="str">
        <f aca="false">助手报销!$C21</f>
        <v>新华路店</v>
      </c>
      <c r="D251" s="81" t="s">
        <v>481</v>
      </c>
      <c r="E251" s="48" t="str">
        <f aca="false">IFERROR(INDEX(输入报销!$E:$E,MATCH($A251&amp;"-3",输入报销!$J:$J,0))&amp;"","")</f>
        <v>销售费用</v>
      </c>
      <c r="F251" s="48" t="str">
        <f aca="false">IFERROR(INDEX(输入报销!$F:$F,MATCH($A251&amp;"-3",输入报销!$J:$J,0))&amp;"","")</f>
        <v>电费</v>
      </c>
      <c r="G251" s="49" t="n">
        <f aca="false">IFERROR(ROUND(INDEX(输入报销!$G:$G,MATCH($A251&amp;"-3",输入报销!$J:$J,0)),2),0)</f>
        <v>1000</v>
      </c>
      <c r="H251" s="49" t="n">
        <f aca="false">IF(ROUND($G251,2)&gt;0,ROUND($G251,2),"")</f>
        <v>1000</v>
      </c>
      <c r="I251" s="49" t="str">
        <f aca="false">IF(ROUND($G251,2)&lt;0,-ROUND($G251,2),"")</f>
        <v/>
      </c>
      <c r="J251" s="20" t="n">
        <f aca="false">IF(ROUND($G251,2)=0,0,1)</f>
        <v>1</v>
      </c>
      <c r="K251" s="20" t="n">
        <f aca="false">IF($J251=0,"",SUM($J$249:$J251))</f>
        <v>3</v>
      </c>
      <c r="L251" s="20" t="n">
        <f aca="false">IF($K251="","",$A251*100+$K251)</f>
        <v>2003</v>
      </c>
      <c r="M251" s="48" t="str">
        <f aca="false">IFERROR(INDEX(输入报销!$D:$D,MATCH($A251&amp;"-3",输入报销!$J:$J,0))&amp;"","")</f>
        <v>电费</v>
      </c>
    </row>
    <row r="252" customFormat="false" ht="13.5" hidden="false" customHeight="false" outlineLevel="0" collapsed="false">
      <c r="A252" s="47" t="n">
        <v>20</v>
      </c>
      <c r="C252" s="48" t="str">
        <f aca="false">助手报销!$C21</f>
        <v>新华路店</v>
      </c>
      <c r="D252" s="81" t="s">
        <v>482</v>
      </c>
      <c r="E252" s="48" t="str">
        <f aca="false">IFERROR(INDEX(输入报销!$E:$E,MATCH($A252&amp;"-4",输入报销!$J:$J,0))&amp;"","")</f>
        <v/>
      </c>
      <c r="F252" s="48" t="str">
        <f aca="false">IFERROR(INDEX(输入报销!$F:$F,MATCH($A252&amp;"-4",输入报销!$J:$J,0))&amp;"","")</f>
        <v/>
      </c>
      <c r="G252" s="49" t="n">
        <f aca="false">IFERROR(ROUND(INDEX(输入报销!$G:$G,MATCH($A252&amp;"-4",输入报销!$J:$J,0)),2),0)</f>
        <v>0</v>
      </c>
      <c r="H252" s="49" t="str">
        <f aca="false">IF(ROUND($G252,2)&gt;0,ROUND($G252,2),"")</f>
        <v/>
      </c>
      <c r="I252" s="49" t="str">
        <f aca="false">IF(ROUND($G252,2)&lt;0,-ROUND($G252,2),"")</f>
        <v/>
      </c>
      <c r="J252" s="20" t="n">
        <f aca="false">IF(ROUND($G252,2)=0,0,1)</f>
        <v>0</v>
      </c>
      <c r="K252" s="20" t="str">
        <f aca="false">IF($J252=0,"",SUM($J$249:$J252))</f>
        <v/>
      </c>
      <c r="L252" s="20" t="str">
        <f aca="false">IF($K252="","",$A252*100+$K252)</f>
        <v/>
      </c>
      <c r="M252" s="48" t="str">
        <f aca="false">IFERROR(INDEX(输入报销!$D:$D,MATCH($A252&amp;"-4",输入报销!$J:$J,0))&amp;"","")</f>
        <v/>
      </c>
    </row>
    <row r="253" customFormat="false" ht="13.5" hidden="false" customHeight="false" outlineLevel="0" collapsed="false">
      <c r="A253" s="47" t="n">
        <v>20</v>
      </c>
      <c r="C253" s="48" t="str">
        <f aca="false">助手报销!$C21</f>
        <v>新华路店</v>
      </c>
      <c r="D253" s="81" t="s">
        <v>483</v>
      </c>
      <c r="E253" s="48" t="str">
        <f aca="false">IFERROR(INDEX(输入报销!$E:$E,MATCH($A253&amp;"-5",输入报销!$J:$J,0))&amp;"","")</f>
        <v/>
      </c>
      <c r="F253" s="48" t="str">
        <f aca="false">IFERROR(INDEX(输入报销!$F:$F,MATCH($A253&amp;"-5",输入报销!$J:$J,0))&amp;"","")</f>
        <v/>
      </c>
      <c r="G253" s="49" t="n">
        <f aca="false">IFERROR(ROUND(INDEX(输入报销!$G:$G,MATCH($A253&amp;"-5",输入报销!$J:$J,0)),2),0)</f>
        <v>0</v>
      </c>
      <c r="H253" s="49" t="str">
        <f aca="false">IF(ROUND($G253,2)&gt;0,ROUND($G253,2),"")</f>
        <v/>
      </c>
      <c r="I253" s="49" t="str">
        <f aca="false">IF(ROUND($G253,2)&lt;0,-ROUND($G253,2),"")</f>
        <v/>
      </c>
      <c r="J253" s="20" t="n">
        <f aca="false">IF(ROUND($G253,2)=0,0,1)</f>
        <v>0</v>
      </c>
      <c r="K253" s="20" t="str">
        <f aca="false">IF($J253=0,"",SUM($J$249:$J253))</f>
        <v/>
      </c>
      <c r="L253" s="20" t="str">
        <f aca="false">IF($K253="","",$A253*100+$K253)</f>
        <v/>
      </c>
      <c r="M253" s="48" t="str">
        <f aca="false">IFERROR(INDEX(输入报销!$D:$D,MATCH($A253&amp;"-5",输入报销!$J:$J,0))&amp;"","")</f>
        <v/>
      </c>
    </row>
    <row r="254" customFormat="false" ht="13.5" hidden="false" customHeight="false" outlineLevel="0" collapsed="false">
      <c r="A254" s="47" t="n">
        <v>20</v>
      </c>
      <c r="C254" s="48" t="str">
        <f aca="false">助手报销!$C21</f>
        <v>新华路店</v>
      </c>
      <c r="D254" s="81" t="s">
        <v>484</v>
      </c>
      <c r="E254" s="48" t="str">
        <f aca="false">IFERROR(INDEX(输入报销!$E:$E,MATCH($A254&amp;"-6",输入报销!$J:$J,0))&amp;"","")</f>
        <v/>
      </c>
      <c r="F254" s="48" t="str">
        <f aca="false">IFERROR(INDEX(输入报销!$F:$F,MATCH($A254&amp;"-6",输入报销!$J:$J,0))&amp;"","")</f>
        <v/>
      </c>
      <c r="G254" s="49" t="n">
        <f aca="false">IFERROR(ROUND(INDEX(输入报销!$G:$G,MATCH($A254&amp;"-6",输入报销!$J:$J,0)),2),0)</f>
        <v>0</v>
      </c>
      <c r="H254" s="49" t="str">
        <f aca="false">IF(ROUND($G254,2)&gt;0,ROUND($G254,2),"")</f>
        <v/>
      </c>
      <c r="I254" s="49" t="str">
        <f aca="false">IF(ROUND($G254,2)&lt;0,-ROUND($G254,2),"")</f>
        <v/>
      </c>
      <c r="J254" s="20" t="n">
        <f aca="false">IF(ROUND($G254,2)=0,0,1)</f>
        <v>0</v>
      </c>
      <c r="K254" s="20" t="str">
        <f aca="false">IF($J254=0,"",SUM($J$249:$J254))</f>
        <v/>
      </c>
      <c r="L254" s="20" t="str">
        <f aca="false">IF($K254="","",$A254*100+$K254)</f>
        <v/>
      </c>
      <c r="M254" s="48" t="str">
        <f aca="false">IFERROR(INDEX(输入报销!$D:$D,MATCH($A254&amp;"-6",输入报销!$J:$J,0))&amp;"","")</f>
        <v/>
      </c>
    </row>
    <row r="255" customFormat="false" ht="13.5" hidden="false" customHeight="false" outlineLevel="0" collapsed="false">
      <c r="A255" s="47" t="n">
        <v>20</v>
      </c>
      <c r="C255" s="48" t="str">
        <f aca="false">助手报销!$C21</f>
        <v>新华路店</v>
      </c>
      <c r="D255" s="81" t="s">
        <v>485</v>
      </c>
      <c r="E255" s="48" t="str">
        <f aca="false">IFERROR(INDEX(输入报销!$E:$E,MATCH($A255&amp;"-7",输入报销!$J:$J,0))&amp;"","")</f>
        <v/>
      </c>
      <c r="F255" s="48" t="str">
        <f aca="false">IFERROR(INDEX(输入报销!$F:$F,MATCH($A255&amp;"-7",输入报销!$J:$J,0))&amp;"","")</f>
        <v/>
      </c>
      <c r="G255" s="49" t="n">
        <f aca="false">IFERROR(ROUND(INDEX(输入报销!$G:$G,MATCH($A255&amp;"-7",输入报销!$J:$J,0)),2),0)</f>
        <v>0</v>
      </c>
      <c r="H255" s="49" t="str">
        <f aca="false">IF(ROUND($G255,2)&gt;0,ROUND($G255,2),"")</f>
        <v/>
      </c>
      <c r="I255" s="49" t="str">
        <f aca="false">IF(ROUND($G255,2)&lt;0,-ROUND($G255,2),"")</f>
        <v/>
      </c>
      <c r="J255" s="20" t="n">
        <f aca="false">IF(ROUND($G255,2)=0,0,1)</f>
        <v>0</v>
      </c>
      <c r="K255" s="20" t="str">
        <f aca="false">IF($J255=0,"",SUM($J$249:$J255))</f>
        <v/>
      </c>
      <c r="L255" s="20" t="str">
        <f aca="false">IF($K255="","",$A255*100+$K255)</f>
        <v/>
      </c>
      <c r="M255" s="48" t="str">
        <f aca="false">IFERROR(INDEX(输入报销!$D:$D,MATCH($A255&amp;"-7",输入报销!$J:$J,0))&amp;"","")</f>
        <v/>
      </c>
    </row>
    <row r="256" customFormat="false" ht="13.5" hidden="false" customHeight="false" outlineLevel="0" collapsed="false">
      <c r="A256" s="47" t="n">
        <v>20</v>
      </c>
      <c r="C256" s="48" t="str">
        <f aca="false">助手报销!$C21</f>
        <v>新华路店</v>
      </c>
      <c r="D256" s="81" t="s">
        <v>486</v>
      </c>
      <c r="E256" s="48" t="str">
        <f aca="false">IFERROR(INDEX(输入报销!$E:$E,MATCH($A256&amp;"-8",输入报销!$J:$J,0))&amp;"","")</f>
        <v/>
      </c>
      <c r="F256" s="48" t="str">
        <f aca="false">IFERROR(INDEX(输入报销!$F:$F,MATCH($A256&amp;"-8",输入报销!$J:$J,0))&amp;"","")</f>
        <v/>
      </c>
      <c r="G256" s="49" t="n">
        <f aca="false">IFERROR(ROUND(INDEX(输入报销!$G:$G,MATCH($A256&amp;"-8",输入报销!$J:$J,0)),2),0)</f>
        <v>0</v>
      </c>
      <c r="H256" s="49" t="str">
        <f aca="false">IF(ROUND($G256,2)&gt;0,ROUND($G256,2),"")</f>
        <v/>
      </c>
      <c r="I256" s="49" t="str">
        <f aca="false">IF(ROUND($G256,2)&lt;0,-ROUND($G256,2),"")</f>
        <v/>
      </c>
      <c r="J256" s="20" t="n">
        <f aca="false">IF(ROUND($G256,2)=0,0,1)</f>
        <v>0</v>
      </c>
      <c r="K256" s="20" t="str">
        <f aca="false">IF($J256=0,"",SUM($J$249:$J256))</f>
        <v/>
      </c>
      <c r="L256" s="20" t="str">
        <f aca="false">IF($K256="","",$A256*100+$K256)</f>
        <v/>
      </c>
      <c r="M256" s="48" t="str">
        <f aca="false">IFERROR(INDEX(输入报销!$D:$D,MATCH($A256&amp;"-8",输入报销!$J:$J,0))&amp;"","")</f>
        <v/>
      </c>
    </row>
    <row r="257" customFormat="false" ht="13.5" hidden="false" customHeight="false" outlineLevel="0" collapsed="false">
      <c r="A257" s="47" t="n">
        <v>20</v>
      </c>
      <c r="C257" s="48" t="str">
        <f aca="false">助手报销!$C21</f>
        <v>新华路店</v>
      </c>
      <c r="D257" s="81" t="s">
        <v>487</v>
      </c>
      <c r="E257" s="48" t="str">
        <f aca="false">IFERROR(INDEX(输入报销!$E:$E,MATCH($A257&amp;"-9",输入报销!$J:$J,0))&amp;"","")</f>
        <v/>
      </c>
      <c r="F257" s="48" t="str">
        <f aca="false">IFERROR(INDEX(输入报销!$F:$F,MATCH($A257&amp;"-9",输入报销!$J:$J,0))&amp;"","")</f>
        <v/>
      </c>
      <c r="G257" s="49" t="n">
        <f aca="false">IFERROR(ROUND(INDEX(输入报销!$G:$G,MATCH($A257&amp;"-9",输入报销!$J:$J,0)),2),0)</f>
        <v>0</v>
      </c>
      <c r="H257" s="49" t="str">
        <f aca="false">IF(ROUND($G257,2)&gt;0,ROUND($G257,2),"")</f>
        <v/>
      </c>
      <c r="I257" s="49" t="str">
        <f aca="false">IF(ROUND($G257,2)&lt;0,-ROUND($G257,2),"")</f>
        <v/>
      </c>
      <c r="J257" s="20" t="n">
        <f aca="false">IF(ROUND($G257,2)=0,0,1)</f>
        <v>0</v>
      </c>
      <c r="K257" s="20" t="str">
        <f aca="false">IF($J257=0,"",SUM($J$249:$J257))</f>
        <v/>
      </c>
      <c r="L257" s="20" t="str">
        <f aca="false">IF($K257="","",$A257*100+$K257)</f>
        <v/>
      </c>
      <c r="M257" s="48" t="str">
        <f aca="false">IFERROR(INDEX(输入报销!$D:$D,MATCH($A257&amp;"-9",输入报销!$J:$J,0))&amp;"","")</f>
        <v/>
      </c>
    </row>
    <row r="258" customFormat="false" ht="13.5" hidden="false" customHeight="false" outlineLevel="0" collapsed="false">
      <c r="A258" s="47" t="n">
        <v>20</v>
      </c>
      <c r="C258" s="48" t="str">
        <f aca="false">助手报销!$C21</f>
        <v>新华路店</v>
      </c>
      <c r="D258" s="81" t="s">
        <v>488</v>
      </c>
      <c r="E258" s="48" t="str">
        <f aca="false">IFERROR(INDEX(输入报销!$E:$E,MATCH($A258&amp;"-10",输入报销!$J:$J,0))&amp;"","")</f>
        <v/>
      </c>
      <c r="F258" s="48" t="str">
        <f aca="false">IFERROR(INDEX(输入报销!$F:$F,MATCH($A258&amp;"-10",输入报销!$J:$J,0))&amp;"","")</f>
        <v/>
      </c>
      <c r="G258" s="49" t="n">
        <f aca="false">IFERROR(ROUND(INDEX(输入报销!$G:$G,MATCH($A258&amp;"-10",输入报销!$J:$J,0)),2),0)</f>
        <v>0</v>
      </c>
      <c r="H258" s="49" t="str">
        <f aca="false">IF(ROUND($G258,2)&gt;0,ROUND($G258,2),"")</f>
        <v/>
      </c>
      <c r="I258" s="49" t="str">
        <f aca="false">IF(ROUND($G258,2)&lt;0,-ROUND($G258,2),"")</f>
        <v/>
      </c>
      <c r="J258" s="20" t="n">
        <f aca="false">IF(ROUND($G258,2)=0,0,1)</f>
        <v>0</v>
      </c>
      <c r="K258" s="20" t="str">
        <f aca="false">IF($J258=0,"",SUM($J$249:$J258))</f>
        <v/>
      </c>
      <c r="L258" s="20" t="str">
        <f aca="false">IF($K258="","",$A258*100+$K258)</f>
        <v/>
      </c>
      <c r="M258" s="48" t="str">
        <f aca="false">IFERROR(INDEX(输入报销!$D:$D,MATCH($A258&amp;"-10",输入报销!$J:$J,0))&amp;"","")</f>
        <v/>
      </c>
    </row>
    <row r="259" customFormat="false" ht="13.5" hidden="false" customHeight="false" outlineLevel="0" collapsed="false">
      <c r="A259" s="47" t="n">
        <v>20</v>
      </c>
      <c r="C259" s="48" t="str">
        <f aca="false">助手报销!$C21</f>
        <v>新华路店</v>
      </c>
      <c r="D259" s="81" t="s">
        <v>489</v>
      </c>
      <c r="E259" s="48" t="str">
        <f aca="false">参数!$B$6</f>
        <v>库存现金</v>
      </c>
      <c r="F259" s="48" t="str">
        <f aca="false">""</f>
        <v/>
      </c>
      <c r="G259" s="49" t="n">
        <f aca="false">-ROUND(SUMIFS(输入报销!$G:$G,输入报销!$A:$A,$A259,输入报销!$H:$H,参数!$B$6),2)</f>
        <v>-1054.54</v>
      </c>
      <c r="H259" s="49" t="str">
        <f aca="false">IF(ROUND($G259,2)&gt;0,ROUND($G259,2),"")</f>
        <v/>
      </c>
      <c r="I259" s="49" t="n">
        <f aca="false">IF(ROUND($G259,2)&lt;0,-ROUND($G259,2),"")</f>
        <v>1054.54</v>
      </c>
      <c r="J259" s="20" t="n">
        <f aca="false">IF(ROUND($G259,2)=0,0,1)</f>
        <v>1</v>
      </c>
      <c r="K259" s="20" t="n">
        <f aca="false">IF($J259=0,"",SUM($J$249:$J259))</f>
        <v>4</v>
      </c>
      <c r="L259" s="20" t="n">
        <f aca="false">IF($K259="","",$A259*100+$K259)</f>
        <v>2004</v>
      </c>
      <c r="M259" s="48" t="str">
        <f aca="false">""</f>
        <v/>
      </c>
    </row>
    <row r="260" customFormat="false" ht="13.5" hidden="false" customHeight="false" outlineLevel="0" collapsed="false">
      <c r="A260" s="47" t="n">
        <v>20</v>
      </c>
      <c r="C260" s="48" t="str">
        <f aca="false">助手报销!$C21</f>
        <v>新华路店</v>
      </c>
      <c r="D260" s="81" t="s">
        <v>490</v>
      </c>
      <c r="E260" s="48" t="str">
        <f aca="false">参数!$B$7</f>
        <v>银行存款</v>
      </c>
      <c r="F260" s="48" t="str">
        <f aca="false">""</f>
        <v/>
      </c>
      <c r="G260" s="49" t="n">
        <f aca="false">-ROUND(SUMIFS(输入报销!$G:$G,输入报销!$A:$A,$A260,输入报销!$H:$H,参数!$B$7),2)</f>
        <v>-0</v>
      </c>
      <c r="H260" s="49" t="str">
        <f aca="false">IF(ROUND($G260,2)&gt;0,ROUND($G260,2),"")</f>
        <v/>
      </c>
      <c r="I260" s="49" t="str">
        <f aca="false">IF(ROUND($G260,2)&lt;0,-ROUND($G260,2),"")</f>
        <v/>
      </c>
      <c r="J260" s="20" t="n">
        <f aca="false">IF(ROUND($G260,2)=0,0,1)</f>
        <v>0</v>
      </c>
      <c r="K260" s="20" t="str">
        <f aca="false">IF($J260=0,"",SUM($J$249:$J260))</f>
        <v/>
      </c>
      <c r="L260" s="20" t="str">
        <f aca="false">IF($K260="","",$A260*100+$K260)</f>
        <v/>
      </c>
      <c r="M260" s="48" t="str">
        <f aca="false">""</f>
        <v/>
      </c>
    </row>
    <row r="261" customFormat="false" ht="13.5" hidden="false" customHeight="false" outlineLevel="0" collapsed="false">
      <c r="A261" s="47" t="n">
        <v>20</v>
      </c>
      <c r="C261" s="48" t="str">
        <f aca="false">助手报销!$C21</f>
        <v>新华路店</v>
      </c>
      <c r="D261" s="81" t="s">
        <v>491</v>
      </c>
      <c r="E261" s="48" t="str">
        <f aca="false">参数!$B$8</f>
        <v>其他应付款</v>
      </c>
      <c r="F261" s="48" t="str">
        <f aca="false">""</f>
        <v/>
      </c>
      <c r="G261" s="49" t="n">
        <f aca="false">-ROUND(SUMIFS(输入报销!$G:$G,输入报销!$A:$A,$A261,输入报销!$H:$H,参数!$B$8),2)</f>
        <v>-0</v>
      </c>
      <c r="H261" s="49" t="str">
        <f aca="false">IF(ROUND($G261,2)&gt;0,ROUND($G261,2),"")</f>
        <v/>
      </c>
      <c r="I261" s="49" t="str">
        <f aca="false">IF(ROUND($G261,2)&lt;0,-ROUND($G261,2),"")</f>
        <v/>
      </c>
      <c r="J261" s="20" t="n">
        <f aca="false">IF(ROUND($G261,2)=0,0,1)</f>
        <v>0</v>
      </c>
      <c r="K261" s="20" t="str">
        <f aca="false">IF($J261=0,"",SUM($J$249:$J261))</f>
        <v/>
      </c>
      <c r="L261" s="20" t="str">
        <f aca="false">IF($K261="","",$A261*100+$K261)</f>
        <v/>
      </c>
      <c r="M261" s="48" t="str">
        <f aca="false">""</f>
        <v/>
      </c>
    </row>
    <row r="262" customFormat="false" ht="13.5" hidden="false" customHeight="false" outlineLevel="0" collapsed="false">
      <c r="A262" s="47" t="n">
        <v>21</v>
      </c>
      <c r="C262" s="48" t="str">
        <f aca="false">助手报销!$C22</f>
        <v>杨村王街店</v>
      </c>
      <c r="D262" s="81" t="s">
        <v>479</v>
      </c>
      <c r="E262" s="48" t="str">
        <f aca="false">IFERROR(INDEX(输入报销!$E:$E,MATCH($A262&amp;"-1",输入报销!$J:$J,0))&amp;"","")</f>
        <v>销售费用</v>
      </c>
      <c r="F262" s="48" t="str">
        <f aca="false">IFERROR(INDEX(输入报销!$F:$F,MATCH($A262&amp;"-1",输入报销!$J:$J,0))&amp;"","")</f>
        <v>水费</v>
      </c>
      <c r="G262" s="49" t="n">
        <f aca="false">IFERROR(ROUND(INDEX(输入报销!$G:$G,MATCH($A262&amp;"-1",输入报销!$J:$J,0)),2),0)</f>
        <v>20</v>
      </c>
      <c r="H262" s="49" t="n">
        <f aca="false">IF(ROUND($G262,2)&gt;0,ROUND($G262,2),"")</f>
        <v>20</v>
      </c>
      <c r="I262" s="49" t="str">
        <f aca="false">IF(ROUND($G262,2)&lt;0,-ROUND($G262,2),"")</f>
        <v/>
      </c>
      <c r="J262" s="20" t="n">
        <f aca="false">IF(ROUND($G262,2)=0,0,1)</f>
        <v>1</v>
      </c>
      <c r="K262" s="20" t="n">
        <f aca="false">IF($J262=0,"",SUM($J$262:$J262))</f>
        <v>1</v>
      </c>
      <c r="L262" s="20" t="n">
        <f aca="false">IF($K262="","",$A262*100+$K262)</f>
        <v>2101</v>
      </c>
      <c r="M262" s="48" t="str">
        <f aca="false">IFERROR(INDEX(输入报销!$D:$D,MATCH($A262&amp;"-1",输入报销!$J:$J,0))&amp;"","")</f>
        <v>水费</v>
      </c>
    </row>
    <row r="263" customFormat="false" ht="13.5" hidden="false" customHeight="false" outlineLevel="0" collapsed="false">
      <c r="A263" s="47" t="n">
        <v>21</v>
      </c>
      <c r="C263" s="48" t="str">
        <f aca="false">助手报销!$C22</f>
        <v>杨村王街店</v>
      </c>
      <c r="D263" s="81" t="s">
        <v>480</v>
      </c>
      <c r="E263" s="48" t="str">
        <f aca="false">IFERROR(INDEX(输入报销!$E:$E,MATCH($A263&amp;"-2",输入报销!$J:$J,0))&amp;"","")</f>
        <v>销售费用</v>
      </c>
      <c r="F263" s="48" t="str">
        <f aca="false">IFERROR(INDEX(输入报销!$F:$F,MATCH($A263&amp;"-2",输入报销!$J:$J,0))&amp;"","")</f>
        <v>办公费</v>
      </c>
      <c r="G263" s="49" t="n">
        <f aca="false">IFERROR(ROUND(INDEX(输入报销!$G:$G,MATCH($A263&amp;"-2",输入报销!$J:$J,0)),2),0)</f>
        <v>59.8</v>
      </c>
      <c r="H263" s="49" t="n">
        <f aca="false">IF(ROUND($G263,2)&gt;0,ROUND($G263,2),"")</f>
        <v>59.8</v>
      </c>
      <c r="I263" s="49" t="str">
        <f aca="false">IF(ROUND($G263,2)&lt;0,-ROUND($G263,2),"")</f>
        <v/>
      </c>
      <c r="J263" s="20" t="n">
        <f aca="false">IF(ROUND($G263,2)=0,0,1)</f>
        <v>1</v>
      </c>
      <c r="K263" s="20" t="n">
        <f aca="false">IF($J263=0,"",SUM($J$262:$J263))</f>
        <v>2</v>
      </c>
      <c r="L263" s="20" t="n">
        <f aca="false">IF($K263="","",$A263*100+$K263)</f>
        <v>2102</v>
      </c>
      <c r="M263" s="48" t="str">
        <f aca="false">IFERROR(INDEX(输入报销!$D:$D,MATCH($A263&amp;"-2",输入报销!$J:$J,0))&amp;"","")</f>
        <v>慢病用品</v>
      </c>
    </row>
    <row r="264" customFormat="false" ht="13.5" hidden="false" customHeight="false" outlineLevel="0" collapsed="false">
      <c r="A264" s="47" t="n">
        <v>21</v>
      </c>
      <c r="C264" s="48" t="str">
        <f aca="false">助手报销!$C22</f>
        <v>杨村王街店</v>
      </c>
      <c r="D264" s="81" t="s">
        <v>481</v>
      </c>
      <c r="E264" s="48" t="str">
        <f aca="false">IFERROR(INDEX(输入报销!$E:$E,MATCH($A264&amp;"-3",输入报销!$J:$J,0))&amp;"","")</f>
        <v/>
      </c>
      <c r="F264" s="48" t="str">
        <f aca="false">IFERROR(INDEX(输入报销!$F:$F,MATCH($A264&amp;"-3",输入报销!$J:$J,0))&amp;"","")</f>
        <v/>
      </c>
      <c r="G264" s="49" t="n">
        <f aca="false">IFERROR(ROUND(INDEX(输入报销!$G:$G,MATCH($A264&amp;"-3",输入报销!$J:$J,0)),2),0)</f>
        <v>0</v>
      </c>
      <c r="H264" s="49" t="str">
        <f aca="false">IF(ROUND($G264,2)&gt;0,ROUND($G264,2),"")</f>
        <v/>
      </c>
      <c r="I264" s="49" t="str">
        <f aca="false">IF(ROUND($G264,2)&lt;0,-ROUND($G264,2),"")</f>
        <v/>
      </c>
      <c r="J264" s="20" t="n">
        <f aca="false">IF(ROUND($G264,2)=0,0,1)</f>
        <v>0</v>
      </c>
      <c r="K264" s="20" t="str">
        <f aca="false">IF($J264=0,"",SUM($J$262:$J264))</f>
        <v/>
      </c>
      <c r="L264" s="20" t="str">
        <f aca="false">IF($K264="","",$A264*100+$K264)</f>
        <v/>
      </c>
      <c r="M264" s="48" t="str">
        <f aca="false">IFERROR(INDEX(输入报销!$D:$D,MATCH($A264&amp;"-3",输入报销!$J:$J,0))&amp;"","")</f>
        <v/>
      </c>
    </row>
    <row r="265" customFormat="false" ht="13.5" hidden="false" customHeight="false" outlineLevel="0" collapsed="false">
      <c r="A265" s="47" t="n">
        <v>21</v>
      </c>
      <c r="C265" s="48" t="str">
        <f aca="false">助手报销!$C22</f>
        <v>杨村王街店</v>
      </c>
      <c r="D265" s="81" t="s">
        <v>482</v>
      </c>
      <c r="E265" s="48" t="str">
        <f aca="false">IFERROR(INDEX(输入报销!$E:$E,MATCH($A265&amp;"-4",输入报销!$J:$J,0))&amp;"","")</f>
        <v/>
      </c>
      <c r="F265" s="48" t="str">
        <f aca="false">IFERROR(INDEX(输入报销!$F:$F,MATCH($A265&amp;"-4",输入报销!$J:$J,0))&amp;"","")</f>
        <v/>
      </c>
      <c r="G265" s="49" t="n">
        <f aca="false">IFERROR(ROUND(INDEX(输入报销!$G:$G,MATCH($A265&amp;"-4",输入报销!$J:$J,0)),2),0)</f>
        <v>0</v>
      </c>
      <c r="H265" s="49" t="str">
        <f aca="false">IF(ROUND($G265,2)&gt;0,ROUND($G265,2),"")</f>
        <v/>
      </c>
      <c r="I265" s="49" t="str">
        <f aca="false">IF(ROUND($G265,2)&lt;0,-ROUND($G265,2),"")</f>
        <v/>
      </c>
      <c r="J265" s="20" t="n">
        <f aca="false">IF(ROUND($G265,2)=0,0,1)</f>
        <v>0</v>
      </c>
      <c r="K265" s="20" t="str">
        <f aca="false">IF($J265=0,"",SUM($J$262:$J265))</f>
        <v/>
      </c>
      <c r="L265" s="20" t="str">
        <f aca="false">IF($K265="","",$A265*100+$K265)</f>
        <v/>
      </c>
      <c r="M265" s="48" t="str">
        <f aca="false">IFERROR(INDEX(输入报销!$D:$D,MATCH($A265&amp;"-4",输入报销!$J:$J,0))&amp;"","")</f>
        <v/>
      </c>
    </row>
    <row r="266" customFormat="false" ht="13.5" hidden="false" customHeight="false" outlineLevel="0" collapsed="false">
      <c r="A266" s="47" t="n">
        <v>21</v>
      </c>
      <c r="C266" s="48" t="str">
        <f aca="false">助手报销!$C22</f>
        <v>杨村王街店</v>
      </c>
      <c r="D266" s="81" t="s">
        <v>483</v>
      </c>
      <c r="E266" s="48" t="str">
        <f aca="false">IFERROR(INDEX(输入报销!$E:$E,MATCH($A266&amp;"-5",输入报销!$J:$J,0))&amp;"","")</f>
        <v/>
      </c>
      <c r="F266" s="48" t="str">
        <f aca="false">IFERROR(INDEX(输入报销!$F:$F,MATCH($A266&amp;"-5",输入报销!$J:$J,0))&amp;"","")</f>
        <v/>
      </c>
      <c r="G266" s="49" t="n">
        <f aca="false">IFERROR(ROUND(INDEX(输入报销!$G:$G,MATCH($A266&amp;"-5",输入报销!$J:$J,0)),2),0)</f>
        <v>0</v>
      </c>
      <c r="H266" s="49" t="str">
        <f aca="false">IF(ROUND($G266,2)&gt;0,ROUND($G266,2),"")</f>
        <v/>
      </c>
      <c r="I266" s="49" t="str">
        <f aca="false">IF(ROUND($G266,2)&lt;0,-ROUND($G266,2),"")</f>
        <v/>
      </c>
      <c r="J266" s="20" t="n">
        <f aca="false">IF(ROUND($G266,2)=0,0,1)</f>
        <v>0</v>
      </c>
      <c r="K266" s="20" t="str">
        <f aca="false">IF($J266=0,"",SUM($J$262:$J266))</f>
        <v/>
      </c>
      <c r="L266" s="20" t="str">
        <f aca="false">IF($K266="","",$A266*100+$K266)</f>
        <v/>
      </c>
      <c r="M266" s="48" t="str">
        <f aca="false">IFERROR(INDEX(输入报销!$D:$D,MATCH($A266&amp;"-5",输入报销!$J:$J,0))&amp;"","")</f>
        <v/>
      </c>
    </row>
    <row r="267" customFormat="false" ht="13.5" hidden="false" customHeight="false" outlineLevel="0" collapsed="false">
      <c r="A267" s="47" t="n">
        <v>21</v>
      </c>
      <c r="C267" s="48" t="str">
        <f aca="false">助手报销!$C22</f>
        <v>杨村王街店</v>
      </c>
      <c r="D267" s="81" t="s">
        <v>484</v>
      </c>
      <c r="E267" s="48" t="str">
        <f aca="false">IFERROR(INDEX(输入报销!$E:$E,MATCH($A267&amp;"-6",输入报销!$J:$J,0))&amp;"","")</f>
        <v/>
      </c>
      <c r="F267" s="48" t="str">
        <f aca="false">IFERROR(INDEX(输入报销!$F:$F,MATCH($A267&amp;"-6",输入报销!$J:$J,0))&amp;"","")</f>
        <v/>
      </c>
      <c r="G267" s="49" t="n">
        <f aca="false">IFERROR(ROUND(INDEX(输入报销!$G:$G,MATCH($A267&amp;"-6",输入报销!$J:$J,0)),2),0)</f>
        <v>0</v>
      </c>
      <c r="H267" s="49" t="str">
        <f aca="false">IF(ROUND($G267,2)&gt;0,ROUND($G267,2),"")</f>
        <v/>
      </c>
      <c r="I267" s="49" t="str">
        <f aca="false">IF(ROUND($G267,2)&lt;0,-ROUND($G267,2),"")</f>
        <v/>
      </c>
      <c r="J267" s="20" t="n">
        <f aca="false">IF(ROUND($G267,2)=0,0,1)</f>
        <v>0</v>
      </c>
      <c r="K267" s="20" t="str">
        <f aca="false">IF($J267=0,"",SUM($J$262:$J267))</f>
        <v/>
      </c>
      <c r="L267" s="20" t="str">
        <f aca="false">IF($K267="","",$A267*100+$K267)</f>
        <v/>
      </c>
      <c r="M267" s="48" t="str">
        <f aca="false">IFERROR(INDEX(输入报销!$D:$D,MATCH($A267&amp;"-6",输入报销!$J:$J,0))&amp;"","")</f>
        <v/>
      </c>
    </row>
    <row r="268" customFormat="false" ht="13.5" hidden="false" customHeight="false" outlineLevel="0" collapsed="false">
      <c r="A268" s="47" t="n">
        <v>21</v>
      </c>
      <c r="C268" s="48" t="str">
        <f aca="false">助手报销!$C22</f>
        <v>杨村王街店</v>
      </c>
      <c r="D268" s="81" t="s">
        <v>485</v>
      </c>
      <c r="E268" s="48" t="str">
        <f aca="false">IFERROR(INDEX(输入报销!$E:$E,MATCH($A268&amp;"-7",输入报销!$J:$J,0))&amp;"","")</f>
        <v/>
      </c>
      <c r="F268" s="48" t="str">
        <f aca="false">IFERROR(INDEX(输入报销!$F:$F,MATCH($A268&amp;"-7",输入报销!$J:$J,0))&amp;"","")</f>
        <v/>
      </c>
      <c r="G268" s="49" t="n">
        <f aca="false">IFERROR(ROUND(INDEX(输入报销!$G:$G,MATCH($A268&amp;"-7",输入报销!$J:$J,0)),2),0)</f>
        <v>0</v>
      </c>
      <c r="H268" s="49" t="str">
        <f aca="false">IF(ROUND($G268,2)&gt;0,ROUND($G268,2),"")</f>
        <v/>
      </c>
      <c r="I268" s="49" t="str">
        <f aca="false">IF(ROUND($G268,2)&lt;0,-ROUND($G268,2),"")</f>
        <v/>
      </c>
      <c r="J268" s="20" t="n">
        <f aca="false">IF(ROUND($G268,2)=0,0,1)</f>
        <v>0</v>
      </c>
      <c r="K268" s="20" t="str">
        <f aca="false">IF($J268=0,"",SUM($J$262:$J268))</f>
        <v/>
      </c>
      <c r="L268" s="20" t="str">
        <f aca="false">IF($K268="","",$A268*100+$K268)</f>
        <v/>
      </c>
      <c r="M268" s="48" t="str">
        <f aca="false">IFERROR(INDEX(输入报销!$D:$D,MATCH($A268&amp;"-7",输入报销!$J:$J,0))&amp;"","")</f>
        <v/>
      </c>
    </row>
    <row r="269" customFormat="false" ht="13.5" hidden="false" customHeight="false" outlineLevel="0" collapsed="false">
      <c r="A269" s="47" t="n">
        <v>21</v>
      </c>
      <c r="C269" s="48" t="str">
        <f aca="false">助手报销!$C22</f>
        <v>杨村王街店</v>
      </c>
      <c r="D269" s="81" t="s">
        <v>486</v>
      </c>
      <c r="E269" s="48" t="str">
        <f aca="false">IFERROR(INDEX(输入报销!$E:$E,MATCH($A269&amp;"-8",输入报销!$J:$J,0))&amp;"","")</f>
        <v/>
      </c>
      <c r="F269" s="48" t="str">
        <f aca="false">IFERROR(INDEX(输入报销!$F:$F,MATCH($A269&amp;"-8",输入报销!$J:$J,0))&amp;"","")</f>
        <v/>
      </c>
      <c r="G269" s="49" t="n">
        <f aca="false">IFERROR(ROUND(INDEX(输入报销!$G:$G,MATCH($A269&amp;"-8",输入报销!$J:$J,0)),2),0)</f>
        <v>0</v>
      </c>
      <c r="H269" s="49" t="str">
        <f aca="false">IF(ROUND($G269,2)&gt;0,ROUND($G269,2),"")</f>
        <v/>
      </c>
      <c r="I269" s="49" t="str">
        <f aca="false">IF(ROUND($G269,2)&lt;0,-ROUND($G269,2),"")</f>
        <v/>
      </c>
      <c r="J269" s="20" t="n">
        <f aca="false">IF(ROUND($G269,2)=0,0,1)</f>
        <v>0</v>
      </c>
      <c r="K269" s="20" t="str">
        <f aca="false">IF($J269=0,"",SUM($J$262:$J269))</f>
        <v/>
      </c>
      <c r="L269" s="20" t="str">
        <f aca="false">IF($K269="","",$A269*100+$K269)</f>
        <v/>
      </c>
      <c r="M269" s="48" t="str">
        <f aca="false">IFERROR(INDEX(输入报销!$D:$D,MATCH($A269&amp;"-8",输入报销!$J:$J,0))&amp;"","")</f>
        <v/>
      </c>
    </row>
    <row r="270" customFormat="false" ht="13.5" hidden="false" customHeight="false" outlineLevel="0" collapsed="false">
      <c r="A270" s="47" t="n">
        <v>21</v>
      </c>
      <c r="C270" s="48" t="str">
        <f aca="false">助手报销!$C22</f>
        <v>杨村王街店</v>
      </c>
      <c r="D270" s="81" t="s">
        <v>487</v>
      </c>
      <c r="E270" s="48" t="str">
        <f aca="false">IFERROR(INDEX(输入报销!$E:$E,MATCH($A270&amp;"-9",输入报销!$J:$J,0))&amp;"","")</f>
        <v/>
      </c>
      <c r="F270" s="48" t="str">
        <f aca="false">IFERROR(INDEX(输入报销!$F:$F,MATCH($A270&amp;"-9",输入报销!$J:$J,0))&amp;"","")</f>
        <v/>
      </c>
      <c r="G270" s="49" t="n">
        <f aca="false">IFERROR(ROUND(INDEX(输入报销!$G:$G,MATCH($A270&amp;"-9",输入报销!$J:$J,0)),2),0)</f>
        <v>0</v>
      </c>
      <c r="H270" s="49" t="str">
        <f aca="false">IF(ROUND($G270,2)&gt;0,ROUND($G270,2),"")</f>
        <v/>
      </c>
      <c r="I270" s="49" t="str">
        <f aca="false">IF(ROUND($G270,2)&lt;0,-ROUND($G270,2),"")</f>
        <v/>
      </c>
      <c r="J270" s="20" t="n">
        <f aca="false">IF(ROUND($G270,2)=0,0,1)</f>
        <v>0</v>
      </c>
      <c r="K270" s="20" t="str">
        <f aca="false">IF($J270=0,"",SUM($J$262:$J270))</f>
        <v/>
      </c>
      <c r="L270" s="20" t="str">
        <f aca="false">IF($K270="","",$A270*100+$K270)</f>
        <v/>
      </c>
      <c r="M270" s="48" t="str">
        <f aca="false">IFERROR(INDEX(输入报销!$D:$D,MATCH($A270&amp;"-9",输入报销!$J:$J,0))&amp;"","")</f>
        <v/>
      </c>
    </row>
    <row r="271" customFormat="false" ht="13.5" hidden="false" customHeight="false" outlineLevel="0" collapsed="false">
      <c r="A271" s="47" t="n">
        <v>21</v>
      </c>
      <c r="C271" s="48" t="str">
        <f aca="false">助手报销!$C22</f>
        <v>杨村王街店</v>
      </c>
      <c r="D271" s="81" t="s">
        <v>488</v>
      </c>
      <c r="E271" s="48" t="str">
        <f aca="false">IFERROR(INDEX(输入报销!$E:$E,MATCH($A271&amp;"-10",输入报销!$J:$J,0))&amp;"","")</f>
        <v/>
      </c>
      <c r="F271" s="48" t="str">
        <f aca="false">IFERROR(INDEX(输入报销!$F:$F,MATCH($A271&amp;"-10",输入报销!$J:$J,0))&amp;"","")</f>
        <v/>
      </c>
      <c r="G271" s="49" t="n">
        <f aca="false">IFERROR(ROUND(INDEX(输入报销!$G:$G,MATCH($A271&amp;"-10",输入报销!$J:$J,0)),2),0)</f>
        <v>0</v>
      </c>
      <c r="H271" s="49" t="str">
        <f aca="false">IF(ROUND($G271,2)&gt;0,ROUND($G271,2),"")</f>
        <v/>
      </c>
      <c r="I271" s="49" t="str">
        <f aca="false">IF(ROUND($G271,2)&lt;0,-ROUND($G271,2),"")</f>
        <v/>
      </c>
      <c r="J271" s="20" t="n">
        <f aca="false">IF(ROUND($G271,2)=0,0,1)</f>
        <v>0</v>
      </c>
      <c r="K271" s="20" t="str">
        <f aca="false">IF($J271=0,"",SUM($J$262:$J271))</f>
        <v/>
      </c>
      <c r="L271" s="20" t="str">
        <f aca="false">IF($K271="","",$A271*100+$K271)</f>
        <v/>
      </c>
      <c r="M271" s="48" t="str">
        <f aca="false">IFERROR(INDEX(输入报销!$D:$D,MATCH($A271&amp;"-10",输入报销!$J:$J,0))&amp;"","")</f>
        <v/>
      </c>
    </row>
    <row r="272" customFormat="false" ht="13.5" hidden="false" customHeight="false" outlineLevel="0" collapsed="false">
      <c r="A272" s="47" t="n">
        <v>21</v>
      </c>
      <c r="C272" s="48" t="str">
        <f aca="false">助手报销!$C22</f>
        <v>杨村王街店</v>
      </c>
      <c r="D272" s="81" t="s">
        <v>489</v>
      </c>
      <c r="E272" s="48" t="str">
        <f aca="false">参数!$B$6</f>
        <v>库存现金</v>
      </c>
      <c r="F272" s="48" t="str">
        <f aca="false">""</f>
        <v/>
      </c>
      <c r="G272" s="49" t="n">
        <f aca="false">-ROUND(SUMIFS(输入报销!$G:$G,输入报销!$A:$A,$A272,输入报销!$H:$H,参数!$B$6),2)</f>
        <v>-79.8</v>
      </c>
      <c r="H272" s="49" t="str">
        <f aca="false">IF(ROUND($G272,2)&gt;0,ROUND($G272,2),"")</f>
        <v/>
      </c>
      <c r="I272" s="49" t="n">
        <f aca="false">IF(ROUND($G272,2)&lt;0,-ROUND($G272,2),"")</f>
        <v>79.8</v>
      </c>
      <c r="J272" s="20" t="n">
        <f aca="false">IF(ROUND($G272,2)=0,0,1)</f>
        <v>1</v>
      </c>
      <c r="K272" s="20" t="n">
        <f aca="false">IF($J272=0,"",SUM($J$262:$J272))</f>
        <v>3</v>
      </c>
      <c r="L272" s="20" t="n">
        <f aca="false">IF($K272="","",$A272*100+$K272)</f>
        <v>2103</v>
      </c>
      <c r="M272" s="48" t="str">
        <f aca="false">""</f>
        <v/>
      </c>
    </row>
    <row r="273" customFormat="false" ht="13.5" hidden="false" customHeight="false" outlineLevel="0" collapsed="false">
      <c r="A273" s="47" t="n">
        <v>21</v>
      </c>
      <c r="C273" s="48" t="str">
        <f aca="false">助手报销!$C22</f>
        <v>杨村王街店</v>
      </c>
      <c r="D273" s="81" t="s">
        <v>490</v>
      </c>
      <c r="E273" s="48" t="str">
        <f aca="false">参数!$B$7</f>
        <v>银行存款</v>
      </c>
      <c r="F273" s="48" t="str">
        <f aca="false">""</f>
        <v/>
      </c>
      <c r="G273" s="49" t="n">
        <f aca="false">-ROUND(SUMIFS(输入报销!$G:$G,输入报销!$A:$A,$A273,输入报销!$H:$H,参数!$B$7),2)</f>
        <v>-0</v>
      </c>
      <c r="H273" s="49" t="str">
        <f aca="false">IF(ROUND($G273,2)&gt;0,ROUND($G273,2),"")</f>
        <v/>
      </c>
      <c r="I273" s="49" t="str">
        <f aca="false">IF(ROUND($G273,2)&lt;0,-ROUND($G273,2),"")</f>
        <v/>
      </c>
      <c r="J273" s="20" t="n">
        <f aca="false">IF(ROUND($G273,2)=0,0,1)</f>
        <v>0</v>
      </c>
      <c r="K273" s="20" t="str">
        <f aca="false">IF($J273=0,"",SUM($J$262:$J273))</f>
        <v/>
      </c>
      <c r="L273" s="20" t="str">
        <f aca="false">IF($K273="","",$A273*100+$K273)</f>
        <v/>
      </c>
      <c r="M273" s="48" t="str">
        <f aca="false">""</f>
        <v/>
      </c>
    </row>
    <row r="274" customFormat="false" ht="13.5" hidden="false" customHeight="false" outlineLevel="0" collapsed="false">
      <c r="A274" s="47" t="n">
        <v>21</v>
      </c>
      <c r="C274" s="48" t="str">
        <f aca="false">助手报销!$C22</f>
        <v>杨村王街店</v>
      </c>
      <c r="D274" s="81" t="s">
        <v>491</v>
      </c>
      <c r="E274" s="48" t="str">
        <f aca="false">参数!$B$8</f>
        <v>其他应付款</v>
      </c>
      <c r="F274" s="48" t="str">
        <f aca="false">""</f>
        <v/>
      </c>
      <c r="G274" s="49" t="n">
        <f aca="false">-ROUND(SUMIFS(输入报销!$G:$G,输入报销!$A:$A,$A274,输入报销!$H:$H,参数!$B$8),2)</f>
        <v>-0</v>
      </c>
      <c r="H274" s="49" t="str">
        <f aca="false">IF(ROUND($G274,2)&gt;0,ROUND($G274,2),"")</f>
        <v/>
      </c>
      <c r="I274" s="49" t="str">
        <f aca="false">IF(ROUND($G274,2)&lt;0,-ROUND($G274,2),"")</f>
        <v/>
      </c>
      <c r="J274" s="20" t="n">
        <f aca="false">IF(ROUND($G274,2)=0,0,1)</f>
        <v>0</v>
      </c>
      <c r="K274" s="20" t="str">
        <f aca="false">IF($J274=0,"",SUM($J$262:$J274))</f>
        <v/>
      </c>
      <c r="L274" s="20" t="str">
        <f aca="false">IF($K274="","",$A274*100+$K274)</f>
        <v/>
      </c>
      <c r="M274" s="48" t="str">
        <f aca="false">""</f>
        <v/>
      </c>
    </row>
    <row r="275" customFormat="false" ht="13.5" hidden="false" customHeight="false" outlineLevel="0" collapsed="false">
      <c r="A275" s="47" t="n">
        <v>22</v>
      </c>
      <c r="C275" s="48" t="str">
        <f aca="false">助手报销!$C23</f>
        <v>千户营店</v>
      </c>
      <c r="D275" s="81" t="s">
        <v>479</v>
      </c>
      <c r="E275" s="48" t="str">
        <f aca="false">IFERROR(INDEX(输入报销!$E:$E,MATCH($A275&amp;"-1",输入报销!$J:$J,0))&amp;"","")</f>
        <v>销售费用</v>
      </c>
      <c r="F275" s="48" t="str">
        <f aca="false">IFERROR(INDEX(输入报销!$F:$F,MATCH($A275&amp;"-1",输入报销!$J:$J,0))&amp;"","")</f>
        <v>电费</v>
      </c>
      <c r="G275" s="49" t="n">
        <f aca="false">IFERROR(ROUND(INDEX(输入报销!$G:$G,MATCH($A275&amp;"-1",输入报销!$J:$J,0)),2),0)</f>
        <v>499.82</v>
      </c>
      <c r="H275" s="49" t="n">
        <f aca="false">IF(ROUND($G275,2)&gt;0,ROUND($G275,2),"")</f>
        <v>499.82</v>
      </c>
      <c r="I275" s="49" t="str">
        <f aca="false">IF(ROUND($G275,2)&lt;0,-ROUND($G275,2),"")</f>
        <v/>
      </c>
      <c r="J275" s="20" t="n">
        <f aca="false">IF(ROUND($G275,2)=0,0,1)</f>
        <v>1</v>
      </c>
      <c r="K275" s="20" t="n">
        <f aca="false">IF($J275=0,"",SUM($J$275:$J275))</f>
        <v>1</v>
      </c>
      <c r="L275" s="20" t="n">
        <f aca="false">IF($K275="","",$A275*100+$K275)</f>
        <v>2201</v>
      </c>
      <c r="M275" s="48" t="str">
        <f aca="false">IFERROR(INDEX(输入报销!$D:$D,MATCH($A275&amp;"-1",输入报销!$J:$J,0))&amp;"","")</f>
        <v>电费</v>
      </c>
    </row>
    <row r="276" customFormat="false" ht="13.5" hidden="false" customHeight="false" outlineLevel="0" collapsed="false">
      <c r="A276" s="47" t="n">
        <v>22</v>
      </c>
      <c r="C276" s="48" t="str">
        <f aca="false">助手报销!$C23</f>
        <v>千户营店</v>
      </c>
      <c r="D276" s="81" t="s">
        <v>480</v>
      </c>
      <c r="E276" s="48" t="str">
        <f aca="false">IFERROR(INDEX(输入报销!$E:$E,MATCH($A276&amp;"-2",输入报销!$J:$J,0))&amp;"","")</f>
        <v/>
      </c>
      <c r="F276" s="48" t="str">
        <f aca="false">IFERROR(INDEX(输入报销!$F:$F,MATCH($A276&amp;"-2",输入报销!$J:$J,0))&amp;"","")</f>
        <v/>
      </c>
      <c r="G276" s="49" t="n">
        <f aca="false">IFERROR(ROUND(INDEX(输入报销!$G:$G,MATCH($A276&amp;"-2",输入报销!$J:$J,0)),2),0)</f>
        <v>0</v>
      </c>
      <c r="H276" s="49" t="str">
        <f aca="false">IF(ROUND($G276,2)&gt;0,ROUND($G276,2),"")</f>
        <v/>
      </c>
      <c r="I276" s="49" t="str">
        <f aca="false">IF(ROUND($G276,2)&lt;0,-ROUND($G276,2),"")</f>
        <v/>
      </c>
      <c r="J276" s="20" t="n">
        <f aca="false">IF(ROUND($G276,2)=0,0,1)</f>
        <v>0</v>
      </c>
      <c r="K276" s="20" t="str">
        <f aca="false">IF($J276=0,"",SUM($J$275:$J276))</f>
        <v/>
      </c>
      <c r="L276" s="20" t="str">
        <f aca="false">IF($K276="","",$A276*100+$K276)</f>
        <v/>
      </c>
      <c r="M276" s="48" t="str">
        <f aca="false">IFERROR(INDEX(输入报销!$D:$D,MATCH($A276&amp;"-2",输入报销!$J:$J,0))&amp;"","")</f>
        <v/>
      </c>
    </row>
    <row r="277" customFormat="false" ht="13.5" hidden="false" customHeight="false" outlineLevel="0" collapsed="false">
      <c r="A277" s="47" t="n">
        <v>22</v>
      </c>
      <c r="C277" s="48" t="str">
        <f aca="false">助手报销!$C23</f>
        <v>千户营店</v>
      </c>
      <c r="D277" s="81" t="s">
        <v>481</v>
      </c>
      <c r="E277" s="48" t="str">
        <f aca="false">IFERROR(INDEX(输入报销!$E:$E,MATCH($A277&amp;"-3",输入报销!$J:$J,0))&amp;"","")</f>
        <v/>
      </c>
      <c r="F277" s="48" t="str">
        <f aca="false">IFERROR(INDEX(输入报销!$F:$F,MATCH($A277&amp;"-3",输入报销!$J:$J,0))&amp;"","")</f>
        <v/>
      </c>
      <c r="G277" s="49" t="n">
        <f aca="false">IFERROR(ROUND(INDEX(输入报销!$G:$G,MATCH($A277&amp;"-3",输入报销!$J:$J,0)),2),0)</f>
        <v>0</v>
      </c>
      <c r="H277" s="49" t="str">
        <f aca="false">IF(ROUND($G277,2)&gt;0,ROUND($G277,2),"")</f>
        <v/>
      </c>
      <c r="I277" s="49" t="str">
        <f aca="false">IF(ROUND($G277,2)&lt;0,-ROUND($G277,2),"")</f>
        <v/>
      </c>
      <c r="J277" s="20" t="n">
        <f aca="false">IF(ROUND($G277,2)=0,0,1)</f>
        <v>0</v>
      </c>
      <c r="K277" s="20" t="str">
        <f aca="false">IF($J277=0,"",SUM($J$275:$J277))</f>
        <v/>
      </c>
      <c r="L277" s="20" t="str">
        <f aca="false">IF($K277="","",$A277*100+$K277)</f>
        <v/>
      </c>
      <c r="M277" s="48" t="str">
        <f aca="false">IFERROR(INDEX(输入报销!$D:$D,MATCH($A277&amp;"-3",输入报销!$J:$J,0))&amp;"","")</f>
        <v/>
      </c>
    </row>
    <row r="278" customFormat="false" ht="13.5" hidden="false" customHeight="false" outlineLevel="0" collapsed="false">
      <c r="A278" s="47" t="n">
        <v>22</v>
      </c>
      <c r="C278" s="48" t="str">
        <f aca="false">助手报销!$C23</f>
        <v>千户营店</v>
      </c>
      <c r="D278" s="81" t="s">
        <v>482</v>
      </c>
      <c r="E278" s="48" t="str">
        <f aca="false">IFERROR(INDEX(输入报销!$E:$E,MATCH($A278&amp;"-4",输入报销!$J:$J,0))&amp;"","")</f>
        <v/>
      </c>
      <c r="F278" s="48" t="str">
        <f aca="false">IFERROR(INDEX(输入报销!$F:$F,MATCH($A278&amp;"-4",输入报销!$J:$J,0))&amp;"","")</f>
        <v/>
      </c>
      <c r="G278" s="49" t="n">
        <f aca="false">IFERROR(ROUND(INDEX(输入报销!$G:$G,MATCH($A278&amp;"-4",输入报销!$J:$J,0)),2),0)</f>
        <v>0</v>
      </c>
      <c r="H278" s="49" t="str">
        <f aca="false">IF(ROUND($G278,2)&gt;0,ROUND($G278,2),"")</f>
        <v/>
      </c>
      <c r="I278" s="49" t="str">
        <f aca="false">IF(ROUND($G278,2)&lt;0,-ROUND($G278,2),"")</f>
        <v/>
      </c>
      <c r="J278" s="20" t="n">
        <f aca="false">IF(ROUND($G278,2)=0,0,1)</f>
        <v>0</v>
      </c>
      <c r="K278" s="20" t="str">
        <f aca="false">IF($J278=0,"",SUM($J$275:$J278))</f>
        <v/>
      </c>
      <c r="L278" s="20" t="str">
        <f aca="false">IF($K278="","",$A278*100+$K278)</f>
        <v/>
      </c>
      <c r="M278" s="48" t="str">
        <f aca="false">IFERROR(INDEX(输入报销!$D:$D,MATCH($A278&amp;"-4",输入报销!$J:$J,0))&amp;"","")</f>
        <v/>
      </c>
    </row>
    <row r="279" customFormat="false" ht="13.5" hidden="false" customHeight="false" outlineLevel="0" collapsed="false">
      <c r="A279" s="47" t="n">
        <v>22</v>
      </c>
      <c r="C279" s="48" t="str">
        <f aca="false">助手报销!$C23</f>
        <v>千户营店</v>
      </c>
      <c r="D279" s="81" t="s">
        <v>483</v>
      </c>
      <c r="E279" s="48" t="str">
        <f aca="false">IFERROR(INDEX(输入报销!$E:$E,MATCH($A279&amp;"-5",输入报销!$J:$J,0))&amp;"","")</f>
        <v/>
      </c>
      <c r="F279" s="48" t="str">
        <f aca="false">IFERROR(INDEX(输入报销!$F:$F,MATCH($A279&amp;"-5",输入报销!$J:$J,0))&amp;"","")</f>
        <v/>
      </c>
      <c r="G279" s="49" t="n">
        <f aca="false">IFERROR(ROUND(INDEX(输入报销!$G:$G,MATCH($A279&amp;"-5",输入报销!$J:$J,0)),2),0)</f>
        <v>0</v>
      </c>
      <c r="H279" s="49" t="str">
        <f aca="false">IF(ROUND($G279,2)&gt;0,ROUND($G279,2),"")</f>
        <v/>
      </c>
      <c r="I279" s="49" t="str">
        <f aca="false">IF(ROUND($G279,2)&lt;0,-ROUND($G279,2),"")</f>
        <v/>
      </c>
      <c r="J279" s="20" t="n">
        <f aca="false">IF(ROUND($G279,2)=0,0,1)</f>
        <v>0</v>
      </c>
      <c r="K279" s="20" t="str">
        <f aca="false">IF($J279=0,"",SUM($J$275:$J279))</f>
        <v/>
      </c>
      <c r="L279" s="20" t="str">
        <f aca="false">IF($K279="","",$A279*100+$K279)</f>
        <v/>
      </c>
      <c r="M279" s="48" t="str">
        <f aca="false">IFERROR(INDEX(输入报销!$D:$D,MATCH($A279&amp;"-5",输入报销!$J:$J,0))&amp;"","")</f>
        <v/>
      </c>
    </row>
    <row r="280" customFormat="false" ht="13.5" hidden="false" customHeight="false" outlineLevel="0" collapsed="false">
      <c r="A280" s="47" t="n">
        <v>22</v>
      </c>
      <c r="C280" s="48" t="str">
        <f aca="false">助手报销!$C23</f>
        <v>千户营店</v>
      </c>
      <c r="D280" s="81" t="s">
        <v>484</v>
      </c>
      <c r="E280" s="48" t="str">
        <f aca="false">IFERROR(INDEX(输入报销!$E:$E,MATCH($A280&amp;"-6",输入报销!$J:$J,0))&amp;"","")</f>
        <v/>
      </c>
      <c r="F280" s="48" t="str">
        <f aca="false">IFERROR(INDEX(输入报销!$F:$F,MATCH($A280&amp;"-6",输入报销!$J:$J,0))&amp;"","")</f>
        <v/>
      </c>
      <c r="G280" s="49" t="n">
        <f aca="false">IFERROR(ROUND(INDEX(输入报销!$G:$G,MATCH($A280&amp;"-6",输入报销!$J:$J,0)),2),0)</f>
        <v>0</v>
      </c>
      <c r="H280" s="49" t="str">
        <f aca="false">IF(ROUND($G280,2)&gt;0,ROUND($G280,2),"")</f>
        <v/>
      </c>
      <c r="I280" s="49" t="str">
        <f aca="false">IF(ROUND($G280,2)&lt;0,-ROUND($G280,2),"")</f>
        <v/>
      </c>
      <c r="J280" s="20" t="n">
        <f aca="false">IF(ROUND($G280,2)=0,0,1)</f>
        <v>0</v>
      </c>
      <c r="K280" s="20" t="str">
        <f aca="false">IF($J280=0,"",SUM($J$275:$J280))</f>
        <v/>
      </c>
      <c r="L280" s="20" t="str">
        <f aca="false">IF($K280="","",$A280*100+$K280)</f>
        <v/>
      </c>
      <c r="M280" s="48" t="str">
        <f aca="false">IFERROR(INDEX(输入报销!$D:$D,MATCH($A280&amp;"-6",输入报销!$J:$J,0))&amp;"","")</f>
        <v/>
      </c>
    </row>
    <row r="281" customFormat="false" ht="13.5" hidden="false" customHeight="false" outlineLevel="0" collapsed="false">
      <c r="A281" s="47" t="n">
        <v>22</v>
      </c>
      <c r="C281" s="48" t="str">
        <f aca="false">助手报销!$C23</f>
        <v>千户营店</v>
      </c>
      <c r="D281" s="81" t="s">
        <v>485</v>
      </c>
      <c r="E281" s="48" t="str">
        <f aca="false">IFERROR(INDEX(输入报销!$E:$E,MATCH($A281&amp;"-7",输入报销!$J:$J,0))&amp;"","")</f>
        <v/>
      </c>
      <c r="F281" s="48" t="str">
        <f aca="false">IFERROR(INDEX(输入报销!$F:$F,MATCH($A281&amp;"-7",输入报销!$J:$J,0))&amp;"","")</f>
        <v/>
      </c>
      <c r="G281" s="49" t="n">
        <f aca="false">IFERROR(ROUND(INDEX(输入报销!$G:$G,MATCH($A281&amp;"-7",输入报销!$J:$J,0)),2),0)</f>
        <v>0</v>
      </c>
      <c r="H281" s="49" t="str">
        <f aca="false">IF(ROUND($G281,2)&gt;0,ROUND($G281,2),"")</f>
        <v/>
      </c>
      <c r="I281" s="49" t="str">
        <f aca="false">IF(ROUND($G281,2)&lt;0,-ROUND($G281,2),"")</f>
        <v/>
      </c>
      <c r="J281" s="20" t="n">
        <f aca="false">IF(ROUND($G281,2)=0,0,1)</f>
        <v>0</v>
      </c>
      <c r="K281" s="20" t="str">
        <f aca="false">IF($J281=0,"",SUM($J$275:$J281))</f>
        <v/>
      </c>
      <c r="L281" s="20" t="str">
        <f aca="false">IF($K281="","",$A281*100+$K281)</f>
        <v/>
      </c>
      <c r="M281" s="48" t="str">
        <f aca="false">IFERROR(INDEX(输入报销!$D:$D,MATCH($A281&amp;"-7",输入报销!$J:$J,0))&amp;"","")</f>
        <v/>
      </c>
    </row>
    <row r="282" customFormat="false" ht="13.5" hidden="false" customHeight="false" outlineLevel="0" collapsed="false">
      <c r="A282" s="47" t="n">
        <v>22</v>
      </c>
      <c r="C282" s="48" t="str">
        <f aca="false">助手报销!$C23</f>
        <v>千户营店</v>
      </c>
      <c r="D282" s="81" t="s">
        <v>486</v>
      </c>
      <c r="E282" s="48" t="str">
        <f aca="false">IFERROR(INDEX(输入报销!$E:$E,MATCH($A282&amp;"-8",输入报销!$J:$J,0))&amp;"","")</f>
        <v/>
      </c>
      <c r="F282" s="48" t="str">
        <f aca="false">IFERROR(INDEX(输入报销!$F:$F,MATCH($A282&amp;"-8",输入报销!$J:$J,0))&amp;"","")</f>
        <v/>
      </c>
      <c r="G282" s="49" t="n">
        <f aca="false">IFERROR(ROUND(INDEX(输入报销!$G:$G,MATCH($A282&amp;"-8",输入报销!$J:$J,0)),2),0)</f>
        <v>0</v>
      </c>
      <c r="H282" s="49" t="str">
        <f aca="false">IF(ROUND($G282,2)&gt;0,ROUND($G282,2),"")</f>
        <v/>
      </c>
      <c r="I282" s="49" t="str">
        <f aca="false">IF(ROUND($G282,2)&lt;0,-ROUND($G282,2),"")</f>
        <v/>
      </c>
      <c r="J282" s="20" t="n">
        <f aca="false">IF(ROUND($G282,2)=0,0,1)</f>
        <v>0</v>
      </c>
      <c r="K282" s="20" t="str">
        <f aca="false">IF($J282=0,"",SUM($J$275:$J282))</f>
        <v/>
      </c>
      <c r="L282" s="20" t="str">
        <f aca="false">IF($K282="","",$A282*100+$K282)</f>
        <v/>
      </c>
      <c r="M282" s="48" t="str">
        <f aca="false">IFERROR(INDEX(输入报销!$D:$D,MATCH($A282&amp;"-8",输入报销!$J:$J,0))&amp;"","")</f>
        <v/>
      </c>
    </row>
    <row r="283" customFormat="false" ht="13.5" hidden="false" customHeight="false" outlineLevel="0" collapsed="false">
      <c r="A283" s="47" t="n">
        <v>22</v>
      </c>
      <c r="C283" s="48" t="str">
        <f aca="false">助手报销!$C23</f>
        <v>千户营店</v>
      </c>
      <c r="D283" s="81" t="s">
        <v>487</v>
      </c>
      <c r="E283" s="48" t="str">
        <f aca="false">IFERROR(INDEX(输入报销!$E:$E,MATCH($A283&amp;"-9",输入报销!$J:$J,0))&amp;"","")</f>
        <v/>
      </c>
      <c r="F283" s="48" t="str">
        <f aca="false">IFERROR(INDEX(输入报销!$F:$F,MATCH($A283&amp;"-9",输入报销!$J:$J,0))&amp;"","")</f>
        <v/>
      </c>
      <c r="G283" s="49" t="n">
        <f aca="false">IFERROR(ROUND(INDEX(输入报销!$G:$G,MATCH($A283&amp;"-9",输入报销!$J:$J,0)),2),0)</f>
        <v>0</v>
      </c>
      <c r="H283" s="49" t="str">
        <f aca="false">IF(ROUND($G283,2)&gt;0,ROUND($G283,2),"")</f>
        <v/>
      </c>
      <c r="I283" s="49" t="str">
        <f aca="false">IF(ROUND($G283,2)&lt;0,-ROUND($G283,2),"")</f>
        <v/>
      </c>
      <c r="J283" s="20" t="n">
        <f aca="false">IF(ROUND($G283,2)=0,0,1)</f>
        <v>0</v>
      </c>
      <c r="K283" s="20" t="str">
        <f aca="false">IF($J283=0,"",SUM($J$275:$J283))</f>
        <v/>
      </c>
      <c r="L283" s="20" t="str">
        <f aca="false">IF($K283="","",$A283*100+$K283)</f>
        <v/>
      </c>
      <c r="M283" s="48" t="str">
        <f aca="false">IFERROR(INDEX(输入报销!$D:$D,MATCH($A283&amp;"-9",输入报销!$J:$J,0))&amp;"","")</f>
        <v/>
      </c>
    </row>
    <row r="284" customFormat="false" ht="13.5" hidden="false" customHeight="false" outlineLevel="0" collapsed="false">
      <c r="A284" s="47" t="n">
        <v>22</v>
      </c>
      <c r="C284" s="48" t="str">
        <f aca="false">助手报销!$C23</f>
        <v>千户营店</v>
      </c>
      <c r="D284" s="81" t="s">
        <v>488</v>
      </c>
      <c r="E284" s="48" t="str">
        <f aca="false">IFERROR(INDEX(输入报销!$E:$E,MATCH($A284&amp;"-10",输入报销!$J:$J,0))&amp;"","")</f>
        <v/>
      </c>
      <c r="F284" s="48" t="str">
        <f aca="false">IFERROR(INDEX(输入报销!$F:$F,MATCH($A284&amp;"-10",输入报销!$J:$J,0))&amp;"","")</f>
        <v/>
      </c>
      <c r="G284" s="49" t="n">
        <f aca="false">IFERROR(ROUND(INDEX(输入报销!$G:$G,MATCH($A284&amp;"-10",输入报销!$J:$J,0)),2),0)</f>
        <v>0</v>
      </c>
      <c r="H284" s="49" t="str">
        <f aca="false">IF(ROUND($G284,2)&gt;0,ROUND($G284,2),"")</f>
        <v/>
      </c>
      <c r="I284" s="49" t="str">
        <f aca="false">IF(ROUND($G284,2)&lt;0,-ROUND($G284,2),"")</f>
        <v/>
      </c>
      <c r="J284" s="20" t="n">
        <f aca="false">IF(ROUND($G284,2)=0,0,1)</f>
        <v>0</v>
      </c>
      <c r="K284" s="20" t="str">
        <f aca="false">IF($J284=0,"",SUM($J$275:$J284))</f>
        <v/>
      </c>
      <c r="L284" s="20" t="str">
        <f aca="false">IF($K284="","",$A284*100+$K284)</f>
        <v/>
      </c>
      <c r="M284" s="48" t="str">
        <f aca="false">IFERROR(INDEX(输入报销!$D:$D,MATCH($A284&amp;"-10",输入报销!$J:$J,0))&amp;"","")</f>
        <v/>
      </c>
    </row>
    <row r="285" customFormat="false" ht="13.5" hidden="false" customHeight="false" outlineLevel="0" collapsed="false">
      <c r="A285" s="47" t="n">
        <v>22</v>
      </c>
      <c r="C285" s="48" t="str">
        <f aca="false">助手报销!$C23</f>
        <v>千户营店</v>
      </c>
      <c r="D285" s="81" t="s">
        <v>489</v>
      </c>
      <c r="E285" s="48" t="str">
        <f aca="false">参数!$B$6</f>
        <v>库存现金</v>
      </c>
      <c r="F285" s="48" t="str">
        <f aca="false">""</f>
        <v/>
      </c>
      <c r="G285" s="49" t="n">
        <f aca="false">-ROUND(SUMIFS(输入报销!$G:$G,输入报销!$A:$A,$A285,输入报销!$H:$H,参数!$B$6),2)</f>
        <v>-499.82</v>
      </c>
      <c r="H285" s="49" t="str">
        <f aca="false">IF(ROUND($G285,2)&gt;0,ROUND($G285,2),"")</f>
        <v/>
      </c>
      <c r="I285" s="49" t="n">
        <f aca="false">IF(ROUND($G285,2)&lt;0,-ROUND($G285,2),"")</f>
        <v>499.82</v>
      </c>
      <c r="J285" s="20" t="n">
        <f aca="false">IF(ROUND($G285,2)=0,0,1)</f>
        <v>1</v>
      </c>
      <c r="K285" s="20" t="n">
        <f aca="false">IF($J285=0,"",SUM($J$275:$J285))</f>
        <v>2</v>
      </c>
      <c r="L285" s="20" t="n">
        <f aca="false">IF($K285="","",$A285*100+$K285)</f>
        <v>2202</v>
      </c>
      <c r="M285" s="48" t="str">
        <f aca="false">""</f>
        <v/>
      </c>
    </row>
    <row r="286" customFormat="false" ht="13.5" hidden="false" customHeight="false" outlineLevel="0" collapsed="false">
      <c r="A286" s="47" t="n">
        <v>22</v>
      </c>
      <c r="C286" s="48" t="str">
        <f aca="false">助手报销!$C23</f>
        <v>千户营店</v>
      </c>
      <c r="D286" s="81" t="s">
        <v>490</v>
      </c>
      <c r="E286" s="48" t="str">
        <f aca="false">参数!$B$7</f>
        <v>银行存款</v>
      </c>
      <c r="F286" s="48" t="str">
        <f aca="false">""</f>
        <v/>
      </c>
      <c r="G286" s="49" t="n">
        <f aca="false">-ROUND(SUMIFS(输入报销!$G:$G,输入报销!$A:$A,$A286,输入报销!$H:$H,参数!$B$7),2)</f>
        <v>-0</v>
      </c>
      <c r="H286" s="49" t="str">
        <f aca="false">IF(ROUND($G286,2)&gt;0,ROUND($G286,2),"")</f>
        <v/>
      </c>
      <c r="I286" s="49" t="str">
        <f aca="false">IF(ROUND($G286,2)&lt;0,-ROUND($G286,2),"")</f>
        <v/>
      </c>
      <c r="J286" s="20" t="n">
        <f aca="false">IF(ROUND($G286,2)=0,0,1)</f>
        <v>0</v>
      </c>
      <c r="K286" s="20" t="str">
        <f aca="false">IF($J286=0,"",SUM($J$275:$J286))</f>
        <v/>
      </c>
      <c r="L286" s="20" t="str">
        <f aca="false">IF($K286="","",$A286*100+$K286)</f>
        <v/>
      </c>
      <c r="M286" s="48" t="str">
        <f aca="false">""</f>
        <v/>
      </c>
    </row>
    <row r="287" customFormat="false" ht="13.5" hidden="false" customHeight="false" outlineLevel="0" collapsed="false">
      <c r="A287" s="47" t="n">
        <v>22</v>
      </c>
      <c r="C287" s="48" t="str">
        <f aca="false">助手报销!$C23</f>
        <v>千户营店</v>
      </c>
      <c r="D287" s="81" t="s">
        <v>491</v>
      </c>
      <c r="E287" s="48" t="str">
        <f aca="false">参数!$B$8</f>
        <v>其他应付款</v>
      </c>
      <c r="F287" s="48" t="str">
        <f aca="false">""</f>
        <v/>
      </c>
      <c r="G287" s="49" t="n">
        <f aca="false">-ROUND(SUMIFS(输入报销!$G:$G,输入报销!$A:$A,$A287,输入报销!$H:$H,参数!$B$8),2)</f>
        <v>-0</v>
      </c>
      <c r="H287" s="49" t="str">
        <f aca="false">IF(ROUND($G287,2)&gt;0,ROUND($G287,2),"")</f>
        <v/>
      </c>
      <c r="I287" s="49" t="str">
        <f aca="false">IF(ROUND($G287,2)&lt;0,-ROUND($G287,2),"")</f>
        <v/>
      </c>
      <c r="J287" s="20" t="n">
        <f aca="false">IF(ROUND($G287,2)=0,0,1)</f>
        <v>0</v>
      </c>
      <c r="K287" s="20" t="str">
        <f aca="false">IF($J287=0,"",SUM($J$275:$J287))</f>
        <v/>
      </c>
      <c r="L287" s="20" t="str">
        <f aca="false">IF($K287="","",$A287*100+$K287)</f>
        <v/>
      </c>
      <c r="M287" s="48" t="str">
        <f aca="false">""</f>
        <v/>
      </c>
    </row>
    <row r="288" customFormat="false" ht="13.5" hidden="false" customHeight="false" outlineLevel="0" collapsed="false">
      <c r="A288" s="47" t="n">
        <v>23</v>
      </c>
      <c r="C288" s="48" t="str">
        <f aca="false">助手报销!$C24</f>
        <v>大张庄店</v>
      </c>
      <c r="D288" s="81" t="s">
        <v>479</v>
      </c>
      <c r="E288" s="48" t="str">
        <f aca="false">IFERROR(INDEX(输入报销!$E:$E,MATCH($A288&amp;"-1",输入报销!$J:$J,0))&amp;"","")</f>
        <v>销售费用</v>
      </c>
      <c r="F288" s="48" t="str">
        <f aca="false">IFERROR(INDEX(输入报销!$F:$F,MATCH($A288&amp;"-1",输入报销!$J:$J,0))&amp;"","")</f>
        <v>电费</v>
      </c>
      <c r="G288" s="49" t="n">
        <f aca="false">IFERROR(ROUND(INDEX(输入报销!$G:$G,MATCH($A288&amp;"-1",输入报销!$J:$J,0)),2),0)</f>
        <v>500</v>
      </c>
      <c r="H288" s="49" t="n">
        <f aca="false">IF(ROUND($G288,2)&gt;0,ROUND($G288,2),"")</f>
        <v>500</v>
      </c>
      <c r="I288" s="49" t="str">
        <f aca="false">IF(ROUND($G288,2)&lt;0,-ROUND($G288,2),"")</f>
        <v/>
      </c>
      <c r="J288" s="20" t="n">
        <f aca="false">IF(ROUND($G288,2)=0,0,1)</f>
        <v>1</v>
      </c>
      <c r="K288" s="20" t="n">
        <f aca="false">IF($J288=0,"",SUM($J$288:$J288))</f>
        <v>1</v>
      </c>
      <c r="L288" s="20" t="n">
        <f aca="false">IF($K288="","",$A288*100+$K288)</f>
        <v>2301</v>
      </c>
      <c r="M288" s="48" t="str">
        <f aca="false">IFERROR(INDEX(输入报销!$D:$D,MATCH($A288&amp;"-1",输入报销!$J:$J,0))&amp;"","")</f>
        <v>电费</v>
      </c>
    </row>
    <row r="289" customFormat="false" ht="13.5" hidden="false" customHeight="false" outlineLevel="0" collapsed="false">
      <c r="A289" s="47" t="n">
        <v>23</v>
      </c>
      <c r="C289" s="48" t="str">
        <f aca="false">助手报销!$C24</f>
        <v>大张庄店</v>
      </c>
      <c r="D289" s="81" t="s">
        <v>480</v>
      </c>
      <c r="E289" s="48" t="str">
        <f aca="false">IFERROR(INDEX(输入报销!$E:$E,MATCH($A289&amp;"-2",输入报销!$J:$J,0))&amp;"","")</f>
        <v>销售费用</v>
      </c>
      <c r="F289" s="48" t="str">
        <f aca="false">IFERROR(INDEX(输入报销!$F:$F,MATCH($A289&amp;"-2",输入报销!$J:$J,0))&amp;"","")</f>
        <v>水费</v>
      </c>
      <c r="G289" s="49" t="n">
        <f aca="false">IFERROR(ROUND(INDEX(输入报销!$G:$G,MATCH($A289&amp;"-2",输入报销!$J:$J,0)),2),0)</f>
        <v>12</v>
      </c>
      <c r="H289" s="49" t="n">
        <f aca="false">IF(ROUND($G289,2)&gt;0,ROUND($G289,2),"")</f>
        <v>12</v>
      </c>
      <c r="I289" s="49" t="str">
        <f aca="false">IF(ROUND($G289,2)&lt;0,-ROUND($G289,2),"")</f>
        <v/>
      </c>
      <c r="J289" s="20" t="n">
        <f aca="false">IF(ROUND($G289,2)=0,0,1)</f>
        <v>1</v>
      </c>
      <c r="K289" s="20" t="n">
        <f aca="false">IF($J289=0,"",SUM($J$288:$J289))</f>
        <v>2</v>
      </c>
      <c r="L289" s="20" t="n">
        <f aca="false">IF($K289="","",$A289*100+$K289)</f>
        <v>2302</v>
      </c>
      <c r="M289" s="48" t="str">
        <f aca="false">IFERROR(INDEX(输入报销!$D:$D,MATCH($A289&amp;"-2",输入报销!$J:$J,0))&amp;"","")</f>
        <v>水费</v>
      </c>
    </row>
    <row r="290" customFormat="false" ht="13.5" hidden="false" customHeight="false" outlineLevel="0" collapsed="false">
      <c r="A290" s="47" t="n">
        <v>23</v>
      </c>
      <c r="C290" s="48" t="str">
        <f aca="false">助手报销!$C24</f>
        <v>大张庄店</v>
      </c>
      <c r="D290" s="81" t="s">
        <v>481</v>
      </c>
      <c r="E290" s="48" t="str">
        <f aca="false">IFERROR(INDEX(输入报销!$E:$E,MATCH($A290&amp;"-3",输入报销!$J:$J,0))&amp;"","")</f>
        <v/>
      </c>
      <c r="F290" s="48" t="str">
        <f aca="false">IFERROR(INDEX(输入报销!$F:$F,MATCH($A290&amp;"-3",输入报销!$J:$J,0))&amp;"","")</f>
        <v/>
      </c>
      <c r="G290" s="49" t="n">
        <f aca="false">IFERROR(ROUND(INDEX(输入报销!$G:$G,MATCH($A290&amp;"-3",输入报销!$J:$J,0)),2),0)</f>
        <v>0</v>
      </c>
      <c r="H290" s="49" t="str">
        <f aca="false">IF(ROUND($G290,2)&gt;0,ROUND($G290,2),"")</f>
        <v/>
      </c>
      <c r="I290" s="49" t="str">
        <f aca="false">IF(ROUND($G290,2)&lt;0,-ROUND($G290,2),"")</f>
        <v/>
      </c>
      <c r="J290" s="20" t="n">
        <f aca="false">IF(ROUND($G290,2)=0,0,1)</f>
        <v>0</v>
      </c>
      <c r="K290" s="20" t="str">
        <f aca="false">IF($J290=0,"",SUM($J$288:$J290))</f>
        <v/>
      </c>
      <c r="L290" s="20" t="str">
        <f aca="false">IF($K290="","",$A290*100+$K290)</f>
        <v/>
      </c>
      <c r="M290" s="48" t="str">
        <f aca="false">IFERROR(INDEX(输入报销!$D:$D,MATCH($A290&amp;"-3",输入报销!$J:$J,0))&amp;"","")</f>
        <v/>
      </c>
    </row>
    <row r="291" customFormat="false" ht="13.5" hidden="false" customHeight="false" outlineLevel="0" collapsed="false">
      <c r="A291" s="47" t="n">
        <v>23</v>
      </c>
      <c r="C291" s="48" t="str">
        <f aca="false">助手报销!$C24</f>
        <v>大张庄店</v>
      </c>
      <c r="D291" s="81" t="s">
        <v>482</v>
      </c>
      <c r="E291" s="48" t="str">
        <f aca="false">IFERROR(INDEX(输入报销!$E:$E,MATCH($A291&amp;"-4",输入报销!$J:$J,0))&amp;"","")</f>
        <v/>
      </c>
      <c r="F291" s="48" t="str">
        <f aca="false">IFERROR(INDEX(输入报销!$F:$F,MATCH($A291&amp;"-4",输入报销!$J:$J,0))&amp;"","")</f>
        <v/>
      </c>
      <c r="G291" s="49" t="n">
        <f aca="false">IFERROR(ROUND(INDEX(输入报销!$G:$G,MATCH($A291&amp;"-4",输入报销!$J:$J,0)),2),0)</f>
        <v>0</v>
      </c>
      <c r="H291" s="49" t="str">
        <f aca="false">IF(ROUND($G291,2)&gt;0,ROUND($G291,2),"")</f>
        <v/>
      </c>
      <c r="I291" s="49" t="str">
        <f aca="false">IF(ROUND($G291,2)&lt;0,-ROUND($G291,2),"")</f>
        <v/>
      </c>
      <c r="J291" s="20" t="n">
        <f aca="false">IF(ROUND($G291,2)=0,0,1)</f>
        <v>0</v>
      </c>
      <c r="K291" s="20" t="str">
        <f aca="false">IF($J291=0,"",SUM($J$288:$J291))</f>
        <v/>
      </c>
      <c r="L291" s="20" t="str">
        <f aca="false">IF($K291="","",$A291*100+$K291)</f>
        <v/>
      </c>
      <c r="M291" s="48" t="str">
        <f aca="false">IFERROR(INDEX(输入报销!$D:$D,MATCH($A291&amp;"-4",输入报销!$J:$J,0))&amp;"","")</f>
        <v/>
      </c>
    </row>
    <row r="292" customFormat="false" ht="13.5" hidden="false" customHeight="false" outlineLevel="0" collapsed="false">
      <c r="A292" s="47" t="n">
        <v>23</v>
      </c>
      <c r="C292" s="48" t="str">
        <f aca="false">助手报销!$C24</f>
        <v>大张庄店</v>
      </c>
      <c r="D292" s="81" t="s">
        <v>483</v>
      </c>
      <c r="E292" s="48" t="str">
        <f aca="false">IFERROR(INDEX(输入报销!$E:$E,MATCH($A292&amp;"-5",输入报销!$J:$J,0))&amp;"","")</f>
        <v/>
      </c>
      <c r="F292" s="48" t="str">
        <f aca="false">IFERROR(INDEX(输入报销!$F:$F,MATCH($A292&amp;"-5",输入报销!$J:$J,0))&amp;"","")</f>
        <v/>
      </c>
      <c r="G292" s="49" t="n">
        <f aca="false">IFERROR(ROUND(INDEX(输入报销!$G:$G,MATCH($A292&amp;"-5",输入报销!$J:$J,0)),2),0)</f>
        <v>0</v>
      </c>
      <c r="H292" s="49" t="str">
        <f aca="false">IF(ROUND($G292,2)&gt;0,ROUND($G292,2),"")</f>
        <v/>
      </c>
      <c r="I292" s="49" t="str">
        <f aca="false">IF(ROUND($G292,2)&lt;0,-ROUND($G292,2),"")</f>
        <v/>
      </c>
      <c r="J292" s="20" t="n">
        <f aca="false">IF(ROUND($G292,2)=0,0,1)</f>
        <v>0</v>
      </c>
      <c r="K292" s="20" t="str">
        <f aca="false">IF($J292=0,"",SUM($J$288:$J292))</f>
        <v/>
      </c>
      <c r="L292" s="20" t="str">
        <f aca="false">IF($K292="","",$A292*100+$K292)</f>
        <v/>
      </c>
      <c r="M292" s="48" t="str">
        <f aca="false">IFERROR(INDEX(输入报销!$D:$D,MATCH($A292&amp;"-5",输入报销!$J:$J,0))&amp;"","")</f>
        <v/>
      </c>
    </row>
    <row r="293" customFormat="false" ht="13.5" hidden="false" customHeight="false" outlineLevel="0" collapsed="false">
      <c r="A293" s="47" t="n">
        <v>23</v>
      </c>
      <c r="C293" s="48" t="str">
        <f aca="false">助手报销!$C24</f>
        <v>大张庄店</v>
      </c>
      <c r="D293" s="81" t="s">
        <v>484</v>
      </c>
      <c r="E293" s="48" t="str">
        <f aca="false">IFERROR(INDEX(输入报销!$E:$E,MATCH($A293&amp;"-6",输入报销!$J:$J,0))&amp;"","")</f>
        <v/>
      </c>
      <c r="F293" s="48" t="str">
        <f aca="false">IFERROR(INDEX(输入报销!$F:$F,MATCH($A293&amp;"-6",输入报销!$J:$J,0))&amp;"","")</f>
        <v/>
      </c>
      <c r="G293" s="49" t="n">
        <f aca="false">IFERROR(ROUND(INDEX(输入报销!$G:$G,MATCH($A293&amp;"-6",输入报销!$J:$J,0)),2),0)</f>
        <v>0</v>
      </c>
      <c r="H293" s="49" t="str">
        <f aca="false">IF(ROUND($G293,2)&gt;0,ROUND($G293,2),"")</f>
        <v/>
      </c>
      <c r="I293" s="49" t="str">
        <f aca="false">IF(ROUND($G293,2)&lt;0,-ROUND($G293,2),"")</f>
        <v/>
      </c>
      <c r="J293" s="20" t="n">
        <f aca="false">IF(ROUND($G293,2)=0,0,1)</f>
        <v>0</v>
      </c>
      <c r="K293" s="20" t="str">
        <f aca="false">IF($J293=0,"",SUM($J$288:$J293))</f>
        <v/>
      </c>
      <c r="L293" s="20" t="str">
        <f aca="false">IF($K293="","",$A293*100+$K293)</f>
        <v/>
      </c>
      <c r="M293" s="48" t="str">
        <f aca="false">IFERROR(INDEX(输入报销!$D:$D,MATCH($A293&amp;"-6",输入报销!$J:$J,0))&amp;"","")</f>
        <v/>
      </c>
    </row>
    <row r="294" customFormat="false" ht="13.5" hidden="false" customHeight="false" outlineLevel="0" collapsed="false">
      <c r="A294" s="47" t="n">
        <v>23</v>
      </c>
      <c r="C294" s="48" t="str">
        <f aca="false">助手报销!$C24</f>
        <v>大张庄店</v>
      </c>
      <c r="D294" s="81" t="s">
        <v>485</v>
      </c>
      <c r="E294" s="48" t="str">
        <f aca="false">IFERROR(INDEX(输入报销!$E:$E,MATCH($A294&amp;"-7",输入报销!$J:$J,0))&amp;"","")</f>
        <v/>
      </c>
      <c r="F294" s="48" t="str">
        <f aca="false">IFERROR(INDEX(输入报销!$F:$F,MATCH($A294&amp;"-7",输入报销!$J:$J,0))&amp;"","")</f>
        <v/>
      </c>
      <c r="G294" s="49" t="n">
        <f aca="false">IFERROR(ROUND(INDEX(输入报销!$G:$G,MATCH($A294&amp;"-7",输入报销!$J:$J,0)),2),0)</f>
        <v>0</v>
      </c>
      <c r="H294" s="49" t="str">
        <f aca="false">IF(ROUND($G294,2)&gt;0,ROUND($G294,2),"")</f>
        <v/>
      </c>
      <c r="I294" s="49" t="str">
        <f aca="false">IF(ROUND($G294,2)&lt;0,-ROUND($G294,2),"")</f>
        <v/>
      </c>
      <c r="J294" s="20" t="n">
        <f aca="false">IF(ROUND($G294,2)=0,0,1)</f>
        <v>0</v>
      </c>
      <c r="K294" s="20" t="str">
        <f aca="false">IF($J294=0,"",SUM($J$288:$J294))</f>
        <v/>
      </c>
      <c r="L294" s="20" t="str">
        <f aca="false">IF($K294="","",$A294*100+$K294)</f>
        <v/>
      </c>
      <c r="M294" s="48" t="str">
        <f aca="false">IFERROR(INDEX(输入报销!$D:$D,MATCH($A294&amp;"-7",输入报销!$J:$J,0))&amp;"","")</f>
        <v/>
      </c>
    </row>
    <row r="295" customFormat="false" ht="13.5" hidden="false" customHeight="false" outlineLevel="0" collapsed="false">
      <c r="A295" s="47" t="n">
        <v>23</v>
      </c>
      <c r="C295" s="48" t="str">
        <f aca="false">助手报销!$C24</f>
        <v>大张庄店</v>
      </c>
      <c r="D295" s="81" t="s">
        <v>486</v>
      </c>
      <c r="E295" s="48" t="str">
        <f aca="false">IFERROR(INDEX(输入报销!$E:$E,MATCH($A295&amp;"-8",输入报销!$J:$J,0))&amp;"","")</f>
        <v/>
      </c>
      <c r="F295" s="48" t="str">
        <f aca="false">IFERROR(INDEX(输入报销!$F:$F,MATCH($A295&amp;"-8",输入报销!$J:$J,0))&amp;"","")</f>
        <v/>
      </c>
      <c r="G295" s="49" t="n">
        <f aca="false">IFERROR(ROUND(INDEX(输入报销!$G:$G,MATCH($A295&amp;"-8",输入报销!$J:$J,0)),2),0)</f>
        <v>0</v>
      </c>
      <c r="H295" s="49" t="str">
        <f aca="false">IF(ROUND($G295,2)&gt;0,ROUND($G295,2),"")</f>
        <v/>
      </c>
      <c r="I295" s="49" t="str">
        <f aca="false">IF(ROUND($G295,2)&lt;0,-ROUND($G295,2),"")</f>
        <v/>
      </c>
      <c r="J295" s="20" t="n">
        <f aca="false">IF(ROUND($G295,2)=0,0,1)</f>
        <v>0</v>
      </c>
      <c r="K295" s="20" t="str">
        <f aca="false">IF($J295=0,"",SUM($J$288:$J295))</f>
        <v/>
      </c>
      <c r="L295" s="20" t="str">
        <f aca="false">IF($K295="","",$A295*100+$K295)</f>
        <v/>
      </c>
      <c r="M295" s="48" t="str">
        <f aca="false">IFERROR(INDEX(输入报销!$D:$D,MATCH($A295&amp;"-8",输入报销!$J:$J,0))&amp;"","")</f>
        <v/>
      </c>
    </row>
    <row r="296" customFormat="false" ht="13.5" hidden="false" customHeight="false" outlineLevel="0" collapsed="false">
      <c r="A296" s="47" t="n">
        <v>23</v>
      </c>
      <c r="C296" s="48" t="str">
        <f aca="false">助手报销!$C24</f>
        <v>大张庄店</v>
      </c>
      <c r="D296" s="81" t="s">
        <v>487</v>
      </c>
      <c r="E296" s="48" t="str">
        <f aca="false">IFERROR(INDEX(输入报销!$E:$E,MATCH($A296&amp;"-9",输入报销!$J:$J,0))&amp;"","")</f>
        <v/>
      </c>
      <c r="F296" s="48" t="str">
        <f aca="false">IFERROR(INDEX(输入报销!$F:$F,MATCH($A296&amp;"-9",输入报销!$J:$J,0))&amp;"","")</f>
        <v/>
      </c>
      <c r="G296" s="49" t="n">
        <f aca="false">IFERROR(ROUND(INDEX(输入报销!$G:$G,MATCH($A296&amp;"-9",输入报销!$J:$J,0)),2),0)</f>
        <v>0</v>
      </c>
      <c r="H296" s="49" t="str">
        <f aca="false">IF(ROUND($G296,2)&gt;0,ROUND($G296,2),"")</f>
        <v/>
      </c>
      <c r="I296" s="49" t="str">
        <f aca="false">IF(ROUND($G296,2)&lt;0,-ROUND($G296,2),"")</f>
        <v/>
      </c>
      <c r="J296" s="20" t="n">
        <f aca="false">IF(ROUND($G296,2)=0,0,1)</f>
        <v>0</v>
      </c>
      <c r="K296" s="20" t="str">
        <f aca="false">IF($J296=0,"",SUM($J$288:$J296))</f>
        <v/>
      </c>
      <c r="L296" s="20" t="str">
        <f aca="false">IF($K296="","",$A296*100+$K296)</f>
        <v/>
      </c>
      <c r="M296" s="48" t="str">
        <f aca="false">IFERROR(INDEX(输入报销!$D:$D,MATCH($A296&amp;"-9",输入报销!$J:$J,0))&amp;"","")</f>
        <v/>
      </c>
    </row>
    <row r="297" customFormat="false" ht="13.5" hidden="false" customHeight="false" outlineLevel="0" collapsed="false">
      <c r="A297" s="47" t="n">
        <v>23</v>
      </c>
      <c r="C297" s="48" t="str">
        <f aca="false">助手报销!$C24</f>
        <v>大张庄店</v>
      </c>
      <c r="D297" s="81" t="s">
        <v>488</v>
      </c>
      <c r="E297" s="48" t="str">
        <f aca="false">IFERROR(INDEX(输入报销!$E:$E,MATCH($A297&amp;"-10",输入报销!$J:$J,0))&amp;"","")</f>
        <v/>
      </c>
      <c r="F297" s="48" t="str">
        <f aca="false">IFERROR(INDEX(输入报销!$F:$F,MATCH($A297&amp;"-10",输入报销!$J:$J,0))&amp;"","")</f>
        <v/>
      </c>
      <c r="G297" s="49" t="n">
        <f aca="false">IFERROR(ROUND(INDEX(输入报销!$G:$G,MATCH($A297&amp;"-10",输入报销!$J:$J,0)),2),0)</f>
        <v>0</v>
      </c>
      <c r="H297" s="49" t="str">
        <f aca="false">IF(ROUND($G297,2)&gt;0,ROUND($G297,2),"")</f>
        <v/>
      </c>
      <c r="I297" s="49" t="str">
        <f aca="false">IF(ROUND($G297,2)&lt;0,-ROUND($G297,2),"")</f>
        <v/>
      </c>
      <c r="J297" s="20" t="n">
        <f aca="false">IF(ROUND($G297,2)=0,0,1)</f>
        <v>0</v>
      </c>
      <c r="K297" s="20" t="str">
        <f aca="false">IF($J297=0,"",SUM($J$288:$J297))</f>
        <v/>
      </c>
      <c r="L297" s="20" t="str">
        <f aca="false">IF($K297="","",$A297*100+$K297)</f>
        <v/>
      </c>
      <c r="M297" s="48" t="str">
        <f aca="false">IFERROR(INDEX(输入报销!$D:$D,MATCH($A297&amp;"-10",输入报销!$J:$J,0))&amp;"","")</f>
        <v/>
      </c>
    </row>
    <row r="298" customFormat="false" ht="13.5" hidden="false" customHeight="false" outlineLevel="0" collapsed="false">
      <c r="A298" s="47" t="n">
        <v>23</v>
      </c>
      <c r="C298" s="48" t="str">
        <f aca="false">助手报销!$C24</f>
        <v>大张庄店</v>
      </c>
      <c r="D298" s="81" t="s">
        <v>489</v>
      </c>
      <c r="E298" s="48" t="str">
        <f aca="false">参数!$B$6</f>
        <v>库存现金</v>
      </c>
      <c r="F298" s="48" t="str">
        <f aca="false">""</f>
        <v/>
      </c>
      <c r="G298" s="49" t="n">
        <f aca="false">-ROUND(SUMIFS(输入报销!$G:$G,输入报销!$A:$A,$A298,输入报销!$H:$H,参数!$B$6),2)</f>
        <v>-512</v>
      </c>
      <c r="H298" s="49" t="str">
        <f aca="false">IF(ROUND($G298,2)&gt;0,ROUND($G298,2),"")</f>
        <v/>
      </c>
      <c r="I298" s="49" t="n">
        <f aca="false">IF(ROUND($G298,2)&lt;0,-ROUND($G298,2),"")</f>
        <v>512</v>
      </c>
      <c r="J298" s="20" t="n">
        <f aca="false">IF(ROUND($G298,2)=0,0,1)</f>
        <v>1</v>
      </c>
      <c r="K298" s="20" t="n">
        <f aca="false">IF($J298=0,"",SUM($J$288:$J298))</f>
        <v>3</v>
      </c>
      <c r="L298" s="20" t="n">
        <f aca="false">IF($K298="","",$A298*100+$K298)</f>
        <v>2303</v>
      </c>
      <c r="M298" s="48" t="str">
        <f aca="false">""</f>
        <v/>
      </c>
    </row>
    <row r="299" customFormat="false" ht="13.5" hidden="false" customHeight="false" outlineLevel="0" collapsed="false">
      <c r="A299" s="47" t="n">
        <v>23</v>
      </c>
      <c r="C299" s="48" t="str">
        <f aca="false">助手报销!$C24</f>
        <v>大张庄店</v>
      </c>
      <c r="D299" s="81" t="s">
        <v>490</v>
      </c>
      <c r="E299" s="48" t="str">
        <f aca="false">参数!$B$7</f>
        <v>银行存款</v>
      </c>
      <c r="F299" s="48" t="str">
        <f aca="false">""</f>
        <v/>
      </c>
      <c r="G299" s="49" t="n">
        <f aca="false">-ROUND(SUMIFS(输入报销!$G:$G,输入报销!$A:$A,$A299,输入报销!$H:$H,参数!$B$7),2)</f>
        <v>-0</v>
      </c>
      <c r="H299" s="49" t="str">
        <f aca="false">IF(ROUND($G299,2)&gt;0,ROUND($G299,2),"")</f>
        <v/>
      </c>
      <c r="I299" s="49" t="str">
        <f aca="false">IF(ROUND($G299,2)&lt;0,-ROUND($G299,2),"")</f>
        <v/>
      </c>
      <c r="J299" s="20" t="n">
        <f aca="false">IF(ROUND($G299,2)=0,0,1)</f>
        <v>0</v>
      </c>
      <c r="K299" s="20" t="str">
        <f aca="false">IF($J299=0,"",SUM($J$288:$J299))</f>
        <v/>
      </c>
      <c r="L299" s="20" t="str">
        <f aca="false">IF($K299="","",$A299*100+$K299)</f>
        <v/>
      </c>
      <c r="M299" s="48" t="str">
        <f aca="false">""</f>
        <v/>
      </c>
    </row>
    <row r="300" customFormat="false" ht="13.5" hidden="false" customHeight="false" outlineLevel="0" collapsed="false">
      <c r="A300" s="47" t="n">
        <v>23</v>
      </c>
      <c r="C300" s="48" t="str">
        <f aca="false">助手报销!$C24</f>
        <v>大张庄店</v>
      </c>
      <c r="D300" s="81" t="s">
        <v>491</v>
      </c>
      <c r="E300" s="48" t="str">
        <f aca="false">参数!$B$8</f>
        <v>其他应付款</v>
      </c>
      <c r="F300" s="48" t="str">
        <f aca="false">""</f>
        <v/>
      </c>
      <c r="G300" s="49" t="n">
        <f aca="false">-ROUND(SUMIFS(输入报销!$G:$G,输入报销!$A:$A,$A300,输入报销!$H:$H,参数!$B$8),2)</f>
        <v>-0</v>
      </c>
      <c r="H300" s="49" t="str">
        <f aca="false">IF(ROUND($G300,2)&gt;0,ROUND($G300,2),"")</f>
        <v/>
      </c>
      <c r="I300" s="49" t="str">
        <f aca="false">IF(ROUND($G300,2)&lt;0,-ROUND($G300,2),"")</f>
        <v/>
      </c>
      <c r="J300" s="20" t="n">
        <f aca="false">IF(ROUND($G300,2)=0,0,1)</f>
        <v>0</v>
      </c>
      <c r="K300" s="20" t="str">
        <f aca="false">IF($J300=0,"",SUM($J$288:$J300))</f>
        <v/>
      </c>
      <c r="L300" s="20" t="str">
        <f aca="false">IF($K300="","",$A300*100+$K300)</f>
        <v/>
      </c>
      <c r="M300" s="48" t="str">
        <f aca="false">""</f>
        <v/>
      </c>
    </row>
    <row r="301" customFormat="false" ht="13.5" hidden="false" customHeight="false" outlineLevel="0" collapsed="false">
      <c r="A301" s="47" t="n">
        <v>24</v>
      </c>
      <c r="C301" s="48" t="str">
        <f aca="false">助手报销!$C25</f>
        <v>郝庄店</v>
      </c>
      <c r="D301" s="81" t="s">
        <v>479</v>
      </c>
      <c r="E301" s="48" t="str">
        <f aca="false">IFERROR(INDEX(输入报销!$E:$E,MATCH($A301&amp;"-1",输入报销!$J:$J,0))&amp;"","")</f>
        <v>销售费用</v>
      </c>
      <c r="F301" s="48" t="str">
        <f aca="false">IFERROR(INDEX(输入报销!$F:$F,MATCH($A301&amp;"-1",输入报销!$J:$J,0))&amp;"","")</f>
        <v>电费</v>
      </c>
      <c r="G301" s="49" t="n">
        <f aca="false">IFERROR(ROUND(INDEX(输入报销!$G:$G,MATCH($A301&amp;"-1",输入报销!$J:$J,0)),2),0)</f>
        <v>300</v>
      </c>
      <c r="H301" s="49" t="n">
        <f aca="false">IF(ROUND($G301,2)&gt;0,ROUND($G301,2),"")</f>
        <v>300</v>
      </c>
      <c r="I301" s="49" t="str">
        <f aca="false">IF(ROUND($G301,2)&lt;0,-ROUND($G301,2),"")</f>
        <v/>
      </c>
      <c r="J301" s="20" t="n">
        <f aca="false">IF(ROUND($G301,2)=0,0,1)</f>
        <v>1</v>
      </c>
      <c r="K301" s="20" t="n">
        <f aca="false">IF($J301=0,"",SUM($J$301:$J301))</f>
        <v>1</v>
      </c>
      <c r="L301" s="20" t="n">
        <f aca="false">IF($K301="","",$A301*100+$K301)</f>
        <v>2401</v>
      </c>
      <c r="M301" s="48" t="str">
        <f aca="false">IFERROR(INDEX(输入报销!$D:$D,MATCH($A301&amp;"-1",输入报销!$J:$J,0))&amp;"","")</f>
        <v>电费</v>
      </c>
    </row>
    <row r="302" customFormat="false" ht="13.5" hidden="false" customHeight="false" outlineLevel="0" collapsed="false">
      <c r="A302" s="47" t="n">
        <v>24</v>
      </c>
      <c r="C302" s="48" t="str">
        <f aca="false">助手报销!$C25</f>
        <v>郝庄店</v>
      </c>
      <c r="D302" s="81" t="s">
        <v>480</v>
      </c>
      <c r="E302" s="48" t="str">
        <f aca="false">IFERROR(INDEX(输入报销!$E:$E,MATCH($A302&amp;"-2",输入报销!$J:$J,0))&amp;"","")</f>
        <v>销售费用</v>
      </c>
      <c r="F302" s="48" t="str">
        <f aca="false">IFERROR(INDEX(输入报销!$F:$F,MATCH($A302&amp;"-2",输入报销!$J:$J,0))&amp;"","")</f>
        <v>电话费</v>
      </c>
      <c r="G302" s="49" t="n">
        <f aca="false">IFERROR(ROUND(INDEX(输入报销!$G:$G,MATCH($A302&amp;"-2",输入报销!$J:$J,0)),2),0)</f>
        <v>100</v>
      </c>
      <c r="H302" s="49" t="n">
        <f aca="false">IF(ROUND($G302,2)&gt;0,ROUND($G302,2),"")</f>
        <v>100</v>
      </c>
      <c r="I302" s="49" t="str">
        <f aca="false">IF(ROUND($G302,2)&lt;0,-ROUND($G302,2),"")</f>
        <v/>
      </c>
      <c r="J302" s="20" t="n">
        <f aca="false">IF(ROUND($G302,2)=0,0,1)</f>
        <v>1</v>
      </c>
      <c r="K302" s="20" t="n">
        <f aca="false">IF($J302=0,"",SUM($J$301:$J302))</f>
        <v>2</v>
      </c>
      <c r="L302" s="20" t="n">
        <f aca="false">IF($K302="","",$A302*100+$K302)</f>
        <v>2402</v>
      </c>
      <c r="M302" s="48" t="str">
        <f aca="false">IFERROR(INDEX(输入报销!$D:$D,MATCH($A302&amp;"-2",输入报销!$J:$J,0))&amp;"","")</f>
        <v>电话费</v>
      </c>
    </row>
    <row r="303" customFormat="false" ht="13.5" hidden="false" customHeight="false" outlineLevel="0" collapsed="false">
      <c r="A303" s="47" t="n">
        <v>24</v>
      </c>
      <c r="C303" s="48" t="str">
        <f aca="false">助手报销!$C25</f>
        <v>郝庄店</v>
      </c>
      <c r="D303" s="81" t="s">
        <v>481</v>
      </c>
      <c r="E303" s="48" t="str">
        <f aca="false">IFERROR(INDEX(输入报销!$E:$E,MATCH($A303&amp;"-3",输入报销!$J:$J,0))&amp;"","")</f>
        <v>销售费用</v>
      </c>
      <c r="F303" s="48" t="str">
        <f aca="false">IFERROR(INDEX(输入报销!$F:$F,MATCH($A303&amp;"-3",输入报销!$J:$J,0))&amp;"","")</f>
        <v>水费</v>
      </c>
      <c r="G303" s="49" t="n">
        <f aca="false">IFERROR(ROUND(INDEX(输入报销!$G:$G,MATCH($A303&amp;"-3",输入报销!$J:$J,0)),2),0)</f>
        <v>4</v>
      </c>
      <c r="H303" s="49" t="n">
        <f aca="false">IF(ROUND($G303,2)&gt;0,ROUND($G303,2),"")</f>
        <v>4</v>
      </c>
      <c r="I303" s="49" t="str">
        <f aca="false">IF(ROUND($G303,2)&lt;0,-ROUND($G303,2),"")</f>
        <v/>
      </c>
      <c r="J303" s="20" t="n">
        <f aca="false">IF(ROUND($G303,2)=0,0,1)</f>
        <v>1</v>
      </c>
      <c r="K303" s="20" t="n">
        <f aca="false">IF($J303=0,"",SUM($J$301:$J303))</f>
        <v>3</v>
      </c>
      <c r="L303" s="20" t="n">
        <f aca="false">IF($K303="","",$A303*100+$K303)</f>
        <v>2403</v>
      </c>
      <c r="M303" s="48" t="str">
        <f aca="false">IFERROR(INDEX(输入报销!$D:$D,MATCH($A303&amp;"-3",输入报销!$J:$J,0))&amp;"","")</f>
        <v>水费</v>
      </c>
    </row>
    <row r="304" customFormat="false" ht="13.5" hidden="false" customHeight="false" outlineLevel="0" collapsed="false">
      <c r="A304" s="47" t="n">
        <v>24</v>
      </c>
      <c r="C304" s="48" t="str">
        <f aca="false">助手报销!$C25</f>
        <v>郝庄店</v>
      </c>
      <c r="D304" s="81" t="s">
        <v>482</v>
      </c>
      <c r="E304" s="48" t="str">
        <f aca="false">IFERROR(INDEX(输入报销!$E:$E,MATCH($A304&amp;"-4",输入报销!$J:$J,0))&amp;"","")</f>
        <v>销售费用</v>
      </c>
      <c r="F304" s="48" t="str">
        <f aca="false">IFERROR(INDEX(输入报销!$F:$F,MATCH($A304&amp;"-4",输入报销!$J:$J,0))&amp;"","")</f>
        <v>办公费</v>
      </c>
      <c r="G304" s="49" t="n">
        <f aca="false">IFERROR(ROUND(INDEX(输入报销!$G:$G,MATCH($A304&amp;"-4",输入报销!$J:$J,0)),2),0)</f>
        <v>73.47</v>
      </c>
      <c r="H304" s="49" t="n">
        <f aca="false">IF(ROUND($G304,2)&gt;0,ROUND($G304,2),"")</f>
        <v>73.47</v>
      </c>
      <c r="I304" s="49" t="str">
        <f aca="false">IF(ROUND($G304,2)&lt;0,-ROUND($G304,2),"")</f>
        <v/>
      </c>
      <c r="J304" s="20" t="n">
        <f aca="false">IF(ROUND($G304,2)=0,0,1)</f>
        <v>1</v>
      </c>
      <c r="K304" s="20" t="n">
        <f aca="false">IF($J304=0,"",SUM($J$301:$J304))</f>
        <v>4</v>
      </c>
      <c r="L304" s="20" t="n">
        <f aca="false">IF($K304="","",$A304*100+$K304)</f>
        <v>2404</v>
      </c>
      <c r="M304" s="48" t="str">
        <f aca="false">IFERROR(INDEX(输入报销!$D:$D,MATCH($A304&amp;"-4",输入报销!$J:$J,0))&amp;"","")</f>
        <v>慢病用品马克笔</v>
      </c>
    </row>
    <row r="305" customFormat="false" ht="13.5" hidden="false" customHeight="false" outlineLevel="0" collapsed="false">
      <c r="A305" s="47" t="n">
        <v>24</v>
      </c>
      <c r="C305" s="48" t="str">
        <f aca="false">助手报销!$C25</f>
        <v>郝庄店</v>
      </c>
      <c r="D305" s="81" t="s">
        <v>483</v>
      </c>
      <c r="E305" s="48" t="str">
        <f aca="false">IFERROR(INDEX(输入报销!$E:$E,MATCH($A305&amp;"-5",输入报销!$J:$J,0))&amp;"","")</f>
        <v>销售费用</v>
      </c>
      <c r="F305" s="48" t="str">
        <f aca="false">IFERROR(INDEX(输入报销!$F:$F,MATCH($A305&amp;"-5",输入报销!$J:$J,0))&amp;"","")</f>
        <v>促销费</v>
      </c>
      <c r="G305" s="49" t="n">
        <f aca="false">IFERROR(ROUND(INDEX(输入报销!$G:$G,MATCH($A305&amp;"-5",输入报销!$J:$J,0)),2),0)</f>
        <v>96</v>
      </c>
      <c r="H305" s="49" t="n">
        <f aca="false">IF(ROUND($G305,2)&gt;0,ROUND($G305,2),"")</f>
        <v>96</v>
      </c>
      <c r="I305" s="49" t="str">
        <f aca="false">IF(ROUND($G305,2)&lt;0,-ROUND($G305,2),"")</f>
        <v/>
      </c>
      <c r="J305" s="20" t="n">
        <f aca="false">IF(ROUND($G305,2)=0,0,1)</f>
        <v>1</v>
      </c>
      <c r="K305" s="20" t="n">
        <f aca="false">IF($J305=0,"",SUM($J$301:$J305))</f>
        <v>5</v>
      </c>
      <c r="L305" s="20" t="n">
        <f aca="false">IF($K305="","",$A305*100+$K305)</f>
        <v>2405</v>
      </c>
      <c r="M305" s="48" t="str">
        <f aca="false">IFERROR(INDEX(输入报销!$D:$D,MATCH($A305&amp;"-5",输入报销!$J:$J,0))&amp;"","")</f>
        <v>鸡蛋</v>
      </c>
    </row>
    <row r="306" customFormat="false" ht="13.5" hidden="false" customHeight="false" outlineLevel="0" collapsed="false">
      <c r="A306" s="47" t="n">
        <v>24</v>
      </c>
      <c r="C306" s="48" t="str">
        <f aca="false">助手报销!$C25</f>
        <v>郝庄店</v>
      </c>
      <c r="D306" s="81" t="s">
        <v>484</v>
      </c>
      <c r="E306" s="48" t="str">
        <f aca="false">IFERROR(INDEX(输入报销!$E:$E,MATCH($A306&amp;"-6",输入报销!$J:$J,0))&amp;"","")</f>
        <v>销售费用</v>
      </c>
      <c r="F306" s="48" t="str">
        <f aca="false">IFERROR(INDEX(输入报销!$F:$F,MATCH($A306&amp;"-6",输入报销!$J:$J,0))&amp;"","")</f>
        <v>办公费</v>
      </c>
      <c r="G306" s="49" t="n">
        <f aca="false">IFERROR(ROUND(INDEX(输入报销!$G:$G,MATCH($A306&amp;"-6",输入报销!$J:$J,0)),2),0)</f>
        <v>38.3</v>
      </c>
      <c r="H306" s="49" t="n">
        <f aca="false">IF(ROUND($G306,2)&gt;0,ROUND($G306,2),"")</f>
        <v>38.3</v>
      </c>
      <c r="I306" s="49" t="str">
        <f aca="false">IF(ROUND($G306,2)&lt;0,-ROUND($G306,2),"")</f>
        <v/>
      </c>
      <c r="J306" s="20" t="n">
        <f aca="false">IF(ROUND($G306,2)=0,0,1)</f>
        <v>1</v>
      </c>
      <c r="K306" s="20" t="n">
        <f aca="false">IF($J306=0,"",SUM($J$301:$J306))</f>
        <v>6</v>
      </c>
      <c r="L306" s="20" t="n">
        <f aca="false">IF($K306="","",$A306*100+$K306)</f>
        <v>2406</v>
      </c>
      <c r="M306" s="48" t="str">
        <f aca="false">IFERROR(INDEX(输入报销!$D:$D,MATCH($A306&amp;"-6",输入报销!$J:$J,0))&amp;"","")</f>
        <v>蒿白伤湿气雾剂</v>
      </c>
    </row>
    <row r="307" customFormat="false" ht="13.5" hidden="false" customHeight="false" outlineLevel="0" collapsed="false">
      <c r="A307" s="47" t="n">
        <v>24</v>
      </c>
      <c r="C307" s="48" t="str">
        <f aca="false">助手报销!$C25</f>
        <v>郝庄店</v>
      </c>
      <c r="D307" s="81" t="s">
        <v>485</v>
      </c>
      <c r="E307" s="48" t="str">
        <f aca="false">IFERROR(INDEX(输入报销!$E:$E,MATCH($A307&amp;"-7",输入报销!$J:$J,0))&amp;"","")</f>
        <v>销售费用</v>
      </c>
      <c r="F307" s="48" t="str">
        <f aca="false">IFERROR(INDEX(输入报销!$F:$F,MATCH($A307&amp;"-7",输入报销!$J:$J,0))&amp;"","")</f>
        <v>福利费</v>
      </c>
      <c r="G307" s="49" t="n">
        <f aca="false">IFERROR(ROUND(INDEX(输入报销!$G:$G,MATCH($A307&amp;"-7",输入报销!$J:$J,0)),2),0)</f>
        <v>74</v>
      </c>
      <c r="H307" s="49" t="n">
        <f aca="false">IF(ROUND($G307,2)&gt;0,ROUND($G307,2),"")</f>
        <v>74</v>
      </c>
      <c r="I307" s="49" t="str">
        <f aca="false">IF(ROUND($G307,2)&lt;0,-ROUND($G307,2),"")</f>
        <v/>
      </c>
      <c r="J307" s="20" t="n">
        <f aca="false">IF(ROUND($G307,2)=0,0,1)</f>
        <v>1</v>
      </c>
      <c r="K307" s="20" t="n">
        <f aca="false">IF($J307=0,"",SUM($J$301:$J307))</f>
        <v>7</v>
      </c>
      <c r="L307" s="20" t="n">
        <f aca="false">IF($K307="","",$A307*100+$K307)</f>
        <v>2407</v>
      </c>
      <c r="M307" s="48" t="str">
        <f aca="false">IFERROR(INDEX(输入报销!$D:$D,MATCH($A307&amp;"-7",输入报销!$J:$J,0))&amp;"","")</f>
        <v>车费</v>
      </c>
    </row>
    <row r="308" customFormat="false" ht="13.5" hidden="false" customHeight="false" outlineLevel="0" collapsed="false">
      <c r="A308" s="47" t="n">
        <v>24</v>
      </c>
      <c r="C308" s="48" t="str">
        <f aca="false">助手报销!$C25</f>
        <v>郝庄店</v>
      </c>
      <c r="D308" s="81" t="s">
        <v>486</v>
      </c>
      <c r="E308" s="48" t="str">
        <f aca="false">IFERROR(INDEX(输入报销!$E:$E,MATCH($A308&amp;"-8",输入报销!$J:$J,0))&amp;"","")</f>
        <v/>
      </c>
      <c r="F308" s="48" t="str">
        <f aca="false">IFERROR(INDEX(输入报销!$F:$F,MATCH($A308&amp;"-8",输入报销!$J:$J,0))&amp;"","")</f>
        <v/>
      </c>
      <c r="G308" s="49" t="n">
        <f aca="false">IFERROR(ROUND(INDEX(输入报销!$G:$G,MATCH($A308&amp;"-8",输入报销!$J:$J,0)),2),0)</f>
        <v>0</v>
      </c>
      <c r="H308" s="49" t="str">
        <f aca="false">IF(ROUND($G308,2)&gt;0,ROUND($G308,2),"")</f>
        <v/>
      </c>
      <c r="I308" s="49" t="str">
        <f aca="false">IF(ROUND($G308,2)&lt;0,-ROUND($G308,2),"")</f>
        <v/>
      </c>
      <c r="J308" s="20" t="n">
        <f aca="false">IF(ROUND($G308,2)=0,0,1)</f>
        <v>0</v>
      </c>
      <c r="K308" s="20" t="str">
        <f aca="false">IF($J308=0,"",SUM($J$301:$J308))</f>
        <v/>
      </c>
      <c r="L308" s="20" t="str">
        <f aca="false">IF($K308="","",$A308*100+$K308)</f>
        <v/>
      </c>
      <c r="M308" s="48" t="str">
        <f aca="false">IFERROR(INDEX(输入报销!$D:$D,MATCH($A308&amp;"-8",输入报销!$J:$J,0))&amp;"","")</f>
        <v/>
      </c>
    </row>
    <row r="309" customFormat="false" ht="13.5" hidden="false" customHeight="false" outlineLevel="0" collapsed="false">
      <c r="A309" s="47" t="n">
        <v>24</v>
      </c>
      <c r="C309" s="48" t="str">
        <f aca="false">助手报销!$C25</f>
        <v>郝庄店</v>
      </c>
      <c r="D309" s="81" t="s">
        <v>487</v>
      </c>
      <c r="E309" s="48" t="str">
        <f aca="false">IFERROR(INDEX(输入报销!$E:$E,MATCH($A309&amp;"-9",输入报销!$J:$J,0))&amp;"","")</f>
        <v/>
      </c>
      <c r="F309" s="48" t="str">
        <f aca="false">IFERROR(INDEX(输入报销!$F:$F,MATCH($A309&amp;"-9",输入报销!$J:$J,0))&amp;"","")</f>
        <v/>
      </c>
      <c r="G309" s="49" t="n">
        <f aca="false">IFERROR(ROUND(INDEX(输入报销!$G:$G,MATCH($A309&amp;"-9",输入报销!$J:$J,0)),2),0)</f>
        <v>0</v>
      </c>
      <c r="H309" s="49" t="str">
        <f aca="false">IF(ROUND($G309,2)&gt;0,ROUND($G309,2),"")</f>
        <v/>
      </c>
      <c r="I309" s="49" t="str">
        <f aca="false">IF(ROUND($G309,2)&lt;0,-ROUND($G309,2),"")</f>
        <v/>
      </c>
      <c r="J309" s="20" t="n">
        <f aca="false">IF(ROUND($G309,2)=0,0,1)</f>
        <v>0</v>
      </c>
      <c r="K309" s="20" t="str">
        <f aca="false">IF($J309=0,"",SUM($J$301:$J309))</f>
        <v/>
      </c>
      <c r="L309" s="20" t="str">
        <f aca="false">IF($K309="","",$A309*100+$K309)</f>
        <v/>
      </c>
      <c r="M309" s="48" t="str">
        <f aca="false">IFERROR(INDEX(输入报销!$D:$D,MATCH($A309&amp;"-9",输入报销!$J:$J,0))&amp;"","")</f>
        <v/>
      </c>
    </row>
    <row r="310" customFormat="false" ht="13.5" hidden="false" customHeight="false" outlineLevel="0" collapsed="false">
      <c r="A310" s="47" t="n">
        <v>24</v>
      </c>
      <c r="C310" s="48" t="str">
        <f aca="false">助手报销!$C25</f>
        <v>郝庄店</v>
      </c>
      <c r="D310" s="81" t="s">
        <v>488</v>
      </c>
      <c r="E310" s="48" t="str">
        <f aca="false">IFERROR(INDEX(输入报销!$E:$E,MATCH($A310&amp;"-10",输入报销!$J:$J,0))&amp;"","")</f>
        <v/>
      </c>
      <c r="F310" s="48" t="str">
        <f aca="false">IFERROR(INDEX(输入报销!$F:$F,MATCH($A310&amp;"-10",输入报销!$J:$J,0))&amp;"","")</f>
        <v/>
      </c>
      <c r="G310" s="49" t="n">
        <f aca="false">IFERROR(ROUND(INDEX(输入报销!$G:$G,MATCH($A310&amp;"-10",输入报销!$J:$J,0)),2),0)</f>
        <v>0</v>
      </c>
      <c r="H310" s="49" t="str">
        <f aca="false">IF(ROUND($G310,2)&gt;0,ROUND($G310,2),"")</f>
        <v/>
      </c>
      <c r="I310" s="49" t="str">
        <f aca="false">IF(ROUND($G310,2)&lt;0,-ROUND($G310,2),"")</f>
        <v/>
      </c>
      <c r="J310" s="20" t="n">
        <f aca="false">IF(ROUND($G310,2)=0,0,1)</f>
        <v>0</v>
      </c>
      <c r="K310" s="20" t="str">
        <f aca="false">IF($J310=0,"",SUM($J$301:$J310))</f>
        <v/>
      </c>
      <c r="L310" s="20" t="str">
        <f aca="false">IF($K310="","",$A310*100+$K310)</f>
        <v/>
      </c>
      <c r="M310" s="48" t="str">
        <f aca="false">IFERROR(INDEX(输入报销!$D:$D,MATCH($A310&amp;"-10",输入报销!$J:$J,0))&amp;"","")</f>
        <v/>
      </c>
    </row>
    <row r="311" customFormat="false" ht="13.5" hidden="false" customHeight="false" outlineLevel="0" collapsed="false">
      <c r="A311" s="47" t="n">
        <v>24</v>
      </c>
      <c r="C311" s="48" t="str">
        <f aca="false">助手报销!$C25</f>
        <v>郝庄店</v>
      </c>
      <c r="D311" s="81" t="s">
        <v>489</v>
      </c>
      <c r="E311" s="48" t="str">
        <f aca="false">参数!$B$6</f>
        <v>库存现金</v>
      </c>
      <c r="F311" s="48" t="str">
        <f aca="false">""</f>
        <v/>
      </c>
      <c r="G311" s="49" t="n">
        <f aca="false">-ROUND(SUMIFS(输入报销!$G:$G,输入报销!$A:$A,$A311,输入报销!$H:$H,参数!$B$6),2)</f>
        <v>-685.77</v>
      </c>
      <c r="H311" s="49" t="str">
        <f aca="false">IF(ROUND($G311,2)&gt;0,ROUND($G311,2),"")</f>
        <v/>
      </c>
      <c r="I311" s="49" t="n">
        <f aca="false">IF(ROUND($G311,2)&lt;0,-ROUND($G311,2),"")</f>
        <v>685.77</v>
      </c>
      <c r="J311" s="20" t="n">
        <f aca="false">IF(ROUND($G311,2)=0,0,1)</f>
        <v>1</v>
      </c>
      <c r="K311" s="20" t="n">
        <f aca="false">IF($J311=0,"",SUM($J$301:$J311))</f>
        <v>8</v>
      </c>
      <c r="L311" s="20" t="n">
        <f aca="false">IF($K311="","",$A311*100+$K311)</f>
        <v>2408</v>
      </c>
      <c r="M311" s="48" t="str">
        <f aca="false">""</f>
        <v/>
      </c>
    </row>
    <row r="312" customFormat="false" ht="13.5" hidden="false" customHeight="false" outlineLevel="0" collapsed="false">
      <c r="A312" s="47" t="n">
        <v>24</v>
      </c>
      <c r="C312" s="48" t="str">
        <f aca="false">助手报销!$C25</f>
        <v>郝庄店</v>
      </c>
      <c r="D312" s="81" t="s">
        <v>490</v>
      </c>
      <c r="E312" s="48" t="str">
        <f aca="false">参数!$B$7</f>
        <v>银行存款</v>
      </c>
      <c r="F312" s="48" t="str">
        <f aca="false">""</f>
        <v/>
      </c>
      <c r="G312" s="49" t="n">
        <f aca="false">-ROUND(SUMIFS(输入报销!$G:$G,输入报销!$A:$A,$A312,输入报销!$H:$H,参数!$B$7),2)</f>
        <v>-0</v>
      </c>
      <c r="H312" s="49" t="str">
        <f aca="false">IF(ROUND($G312,2)&gt;0,ROUND($G312,2),"")</f>
        <v/>
      </c>
      <c r="I312" s="49" t="str">
        <f aca="false">IF(ROUND($G312,2)&lt;0,-ROUND($G312,2),"")</f>
        <v/>
      </c>
      <c r="J312" s="20" t="n">
        <f aca="false">IF(ROUND($G312,2)=0,0,1)</f>
        <v>0</v>
      </c>
      <c r="K312" s="20" t="str">
        <f aca="false">IF($J312=0,"",SUM($J$301:$J312))</f>
        <v/>
      </c>
      <c r="L312" s="20" t="str">
        <f aca="false">IF($K312="","",$A312*100+$K312)</f>
        <v/>
      </c>
      <c r="M312" s="48" t="str">
        <f aca="false">""</f>
        <v/>
      </c>
    </row>
    <row r="313" customFormat="false" ht="13.5" hidden="false" customHeight="false" outlineLevel="0" collapsed="false">
      <c r="A313" s="47" t="n">
        <v>24</v>
      </c>
      <c r="C313" s="48" t="str">
        <f aca="false">助手报销!$C25</f>
        <v>郝庄店</v>
      </c>
      <c r="D313" s="81" t="s">
        <v>491</v>
      </c>
      <c r="E313" s="48" t="str">
        <f aca="false">参数!$B$8</f>
        <v>其他应付款</v>
      </c>
      <c r="F313" s="48" t="str">
        <f aca="false">""</f>
        <v/>
      </c>
      <c r="G313" s="49" t="n">
        <f aca="false">-ROUND(SUMIFS(输入报销!$G:$G,输入报销!$A:$A,$A313,输入报销!$H:$H,参数!$B$8),2)</f>
        <v>-0</v>
      </c>
      <c r="H313" s="49" t="str">
        <f aca="false">IF(ROUND($G313,2)&gt;0,ROUND($G313,2),"")</f>
        <v/>
      </c>
      <c r="I313" s="49" t="str">
        <f aca="false">IF(ROUND($G313,2)&lt;0,-ROUND($G313,2),"")</f>
        <v/>
      </c>
      <c r="J313" s="20" t="n">
        <f aca="false">IF(ROUND($G313,2)=0,0,1)</f>
        <v>0</v>
      </c>
      <c r="K313" s="20" t="str">
        <f aca="false">IF($J313=0,"",SUM($J$301:$J313))</f>
        <v/>
      </c>
      <c r="L313" s="20" t="str">
        <f aca="false">IF($K313="","",$A313*100+$K313)</f>
        <v/>
      </c>
      <c r="M313" s="48" t="str">
        <f aca="false">""</f>
        <v/>
      </c>
    </row>
    <row r="314" customFormat="false" ht="13.5" hidden="false" customHeight="false" outlineLevel="0" collapsed="false">
      <c r="A314" s="47" t="n">
        <v>25</v>
      </c>
      <c r="C314" s="48" t="str">
        <f aca="false">助手报销!$C26</f>
        <v>白家寨店</v>
      </c>
      <c r="D314" s="81" t="s">
        <v>479</v>
      </c>
      <c r="E314" s="48" t="str">
        <f aca="false">IFERROR(INDEX(输入报销!$E:$E,MATCH($A314&amp;"-1",输入报销!$J:$J,0))&amp;"","")</f>
        <v>销售费用</v>
      </c>
      <c r="F314" s="48" t="str">
        <f aca="false">IFERROR(INDEX(输入报销!$F:$F,MATCH($A314&amp;"-1",输入报销!$J:$J,0))&amp;"","")</f>
        <v>水费</v>
      </c>
      <c r="G314" s="49" t="n">
        <f aca="false">IFERROR(ROUND(INDEX(输入报销!$G:$G,MATCH($A314&amp;"-1",输入报销!$J:$J,0)),2),0)</f>
        <v>12</v>
      </c>
      <c r="H314" s="49" t="n">
        <f aca="false">IF(ROUND($G314,2)&gt;0,ROUND($G314,2),"")</f>
        <v>12</v>
      </c>
      <c r="I314" s="49" t="str">
        <f aca="false">IF(ROUND($G314,2)&lt;0,-ROUND($G314,2),"")</f>
        <v/>
      </c>
      <c r="J314" s="20" t="n">
        <f aca="false">IF(ROUND($G314,2)=0,0,1)</f>
        <v>1</v>
      </c>
      <c r="K314" s="20" t="n">
        <f aca="false">IF($J314=0,"",SUM($J$314:$J314))</f>
        <v>1</v>
      </c>
      <c r="L314" s="20" t="n">
        <f aca="false">IF($K314="","",$A314*100+$K314)</f>
        <v>2501</v>
      </c>
      <c r="M314" s="48" t="str">
        <f aca="false">IFERROR(INDEX(输入报销!$D:$D,MATCH($A314&amp;"-1",输入报销!$J:$J,0))&amp;"","")</f>
        <v>水费</v>
      </c>
    </row>
    <row r="315" customFormat="false" ht="13.5" hidden="false" customHeight="false" outlineLevel="0" collapsed="false">
      <c r="A315" s="47" t="n">
        <v>25</v>
      </c>
      <c r="C315" s="48" t="str">
        <f aca="false">助手报销!$C26</f>
        <v>白家寨店</v>
      </c>
      <c r="D315" s="81" t="s">
        <v>480</v>
      </c>
      <c r="E315" s="48" t="str">
        <f aca="false">IFERROR(INDEX(输入报销!$E:$E,MATCH($A315&amp;"-2",输入报销!$J:$J,0))&amp;"","")</f>
        <v>销售费用</v>
      </c>
      <c r="F315" s="48" t="str">
        <f aca="false">IFERROR(INDEX(输入报销!$F:$F,MATCH($A315&amp;"-2",输入报销!$J:$J,0))&amp;"","")</f>
        <v>办公费</v>
      </c>
      <c r="G315" s="49" t="n">
        <f aca="false">IFERROR(ROUND(INDEX(输入报销!$G:$G,MATCH($A315&amp;"-2",输入报销!$J:$J,0)),2),0)</f>
        <v>1.6</v>
      </c>
      <c r="H315" s="49" t="n">
        <f aca="false">IF(ROUND($G315,2)&gt;0,ROUND($G315,2),"")</f>
        <v>1.6</v>
      </c>
      <c r="I315" s="49" t="str">
        <f aca="false">IF(ROUND($G315,2)&lt;0,-ROUND($G315,2),"")</f>
        <v/>
      </c>
      <c r="J315" s="20" t="n">
        <f aca="false">IF(ROUND($G315,2)=0,0,1)</f>
        <v>1</v>
      </c>
      <c r="K315" s="20" t="n">
        <f aca="false">IF($J315=0,"",SUM($J$314:$J315))</f>
        <v>2</v>
      </c>
      <c r="L315" s="20" t="n">
        <f aca="false">IF($K315="","",$A315*100+$K315)</f>
        <v>2502</v>
      </c>
      <c r="M315" s="48" t="str">
        <f aca="false">IFERROR(INDEX(输入报销!$D:$D,MATCH($A315&amp;"-2",输入报销!$J:$J,0))&amp;"","")</f>
        <v>慢病用品</v>
      </c>
    </row>
    <row r="316" customFormat="false" ht="13.5" hidden="false" customHeight="false" outlineLevel="0" collapsed="false">
      <c r="A316" s="47" t="n">
        <v>25</v>
      </c>
      <c r="C316" s="48" t="str">
        <f aca="false">助手报销!$C26</f>
        <v>白家寨店</v>
      </c>
      <c r="D316" s="81" t="s">
        <v>481</v>
      </c>
      <c r="E316" s="48" t="str">
        <f aca="false">IFERROR(INDEX(输入报销!$E:$E,MATCH($A316&amp;"-3",输入报销!$J:$J,0))&amp;"","")</f>
        <v/>
      </c>
      <c r="F316" s="48" t="str">
        <f aca="false">IFERROR(INDEX(输入报销!$F:$F,MATCH($A316&amp;"-3",输入报销!$J:$J,0))&amp;"","")</f>
        <v/>
      </c>
      <c r="G316" s="49" t="n">
        <f aca="false">IFERROR(ROUND(INDEX(输入报销!$G:$G,MATCH($A316&amp;"-3",输入报销!$J:$J,0)),2),0)</f>
        <v>0</v>
      </c>
      <c r="H316" s="49" t="str">
        <f aca="false">IF(ROUND($G316,2)&gt;0,ROUND($G316,2),"")</f>
        <v/>
      </c>
      <c r="I316" s="49" t="str">
        <f aca="false">IF(ROUND($G316,2)&lt;0,-ROUND($G316,2),"")</f>
        <v/>
      </c>
      <c r="J316" s="20" t="n">
        <f aca="false">IF(ROUND($G316,2)=0,0,1)</f>
        <v>0</v>
      </c>
      <c r="K316" s="20" t="str">
        <f aca="false">IF($J316=0,"",SUM($J$314:$J316))</f>
        <v/>
      </c>
      <c r="L316" s="20" t="str">
        <f aca="false">IF($K316="","",$A316*100+$K316)</f>
        <v/>
      </c>
      <c r="M316" s="48" t="str">
        <f aca="false">IFERROR(INDEX(输入报销!$D:$D,MATCH($A316&amp;"-3",输入报销!$J:$J,0))&amp;"","")</f>
        <v/>
      </c>
    </row>
    <row r="317" customFormat="false" ht="13.5" hidden="false" customHeight="false" outlineLevel="0" collapsed="false">
      <c r="A317" s="47" t="n">
        <v>25</v>
      </c>
      <c r="C317" s="48" t="str">
        <f aca="false">助手报销!$C26</f>
        <v>白家寨店</v>
      </c>
      <c r="D317" s="81" t="s">
        <v>482</v>
      </c>
      <c r="E317" s="48" t="str">
        <f aca="false">IFERROR(INDEX(输入报销!$E:$E,MATCH($A317&amp;"-4",输入报销!$J:$J,0))&amp;"","")</f>
        <v/>
      </c>
      <c r="F317" s="48" t="str">
        <f aca="false">IFERROR(INDEX(输入报销!$F:$F,MATCH($A317&amp;"-4",输入报销!$J:$J,0))&amp;"","")</f>
        <v/>
      </c>
      <c r="G317" s="49" t="n">
        <f aca="false">IFERROR(ROUND(INDEX(输入报销!$G:$G,MATCH($A317&amp;"-4",输入报销!$J:$J,0)),2),0)</f>
        <v>0</v>
      </c>
      <c r="H317" s="49" t="str">
        <f aca="false">IF(ROUND($G317,2)&gt;0,ROUND($G317,2),"")</f>
        <v/>
      </c>
      <c r="I317" s="49" t="str">
        <f aca="false">IF(ROUND($G317,2)&lt;0,-ROUND($G317,2),"")</f>
        <v/>
      </c>
      <c r="J317" s="20" t="n">
        <f aca="false">IF(ROUND($G317,2)=0,0,1)</f>
        <v>0</v>
      </c>
      <c r="K317" s="20" t="str">
        <f aca="false">IF($J317=0,"",SUM($J$314:$J317))</f>
        <v/>
      </c>
      <c r="L317" s="20" t="str">
        <f aca="false">IF($K317="","",$A317*100+$K317)</f>
        <v/>
      </c>
      <c r="M317" s="48" t="str">
        <f aca="false">IFERROR(INDEX(输入报销!$D:$D,MATCH($A317&amp;"-4",输入报销!$J:$J,0))&amp;"","")</f>
        <v/>
      </c>
    </row>
    <row r="318" customFormat="false" ht="13.5" hidden="false" customHeight="false" outlineLevel="0" collapsed="false">
      <c r="A318" s="47" t="n">
        <v>25</v>
      </c>
      <c r="C318" s="48" t="str">
        <f aca="false">助手报销!$C26</f>
        <v>白家寨店</v>
      </c>
      <c r="D318" s="81" t="s">
        <v>483</v>
      </c>
      <c r="E318" s="48" t="str">
        <f aca="false">IFERROR(INDEX(输入报销!$E:$E,MATCH($A318&amp;"-5",输入报销!$J:$J,0))&amp;"","")</f>
        <v/>
      </c>
      <c r="F318" s="48" t="str">
        <f aca="false">IFERROR(INDEX(输入报销!$F:$F,MATCH($A318&amp;"-5",输入报销!$J:$J,0))&amp;"","")</f>
        <v/>
      </c>
      <c r="G318" s="49" t="n">
        <f aca="false">IFERROR(ROUND(INDEX(输入报销!$G:$G,MATCH($A318&amp;"-5",输入报销!$J:$J,0)),2),0)</f>
        <v>0</v>
      </c>
      <c r="H318" s="49" t="str">
        <f aca="false">IF(ROUND($G318,2)&gt;0,ROUND($G318,2),"")</f>
        <v/>
      </c>
      <c r="I318" s="49" t="str">
        <f aca="false">IF(ROUND($G318,2)&lt;0,-ROUND($G318,2),"")</f>
        <v/>
      </c>
      <c r="J318" s="20" t="n">
        <f aca="false">IF(ROUND($G318,2)=0,0,1)</f>
        <v>0</v>
      </c>
      <c r="K318" s="20" t="str">
        <f aca="false">IF($J318=0,"",SUM($J$314:$J318))</f>
        <v/>
      </c>
      <c r="L318" s="20" t="str">
        <f aca="false">IF($K318="","",$A318*100+$K318)</f>
        <v/>
      </c>
      <c r="M318" s="48" t="str">
        <f aca="false">IFERROR(INDEX(输入报销!$D:$D,MATCH($A318&amp;"-5",输入报销!$J:$J,0))&amp;"","")</f>
        <v/>
      </c>
    </row>
    <row r="319" customFormat="false" ht="13.5" hidden="false" customHeight="false" outlineLevel="0" collapsed="false">
      <c r="A319" s="47" t="n">
        <v>25</v>
      </c>
      <c r="C319" s="48" t="str">
        <f aca="false">助手报销!$C26</f>
        <v>白家寨店</v>
      </c>
      <c r="D319" s="81" t="s">
        <v>484</v>
      </c>
      <c r="E319" s="48" t="str">
        <f aca="false">IFERROR(INDEX(输入报销!$E:$E,MATCH($A319&amp;"-6",输入报销!$J:$J,0))&amp;"","")</f>
        <v/>
      </c>
      <c r="F319" s="48" t="str">
        <f aca="false">IFERROR(INDEX(输入报销!$F:$F,MATCH($A319&amp;"-6",输入报销!$J:$J,0))&amp;"","")</f>
        <v/>
      </c>
      <c r="G319" s="49" t="n">
        <f aca="false">IFERROR(ROUND(INDEX(输入报销!$G:$G,MATCH($A319&amp;"-6",输入报销!$J:$J,0)),2),0)</f>
        <v>0</v>
      </c>
      <c r="H319" s="49" t="str">
        <f aca="false">IF(ROUND($G319,2)&gt;0,ROUND($G319,2),"")</f>
        <v/>
      </c>
      <c r="I319" s="49" t="str">
        <f aca="false">IF(ROUND($G319,2)&lt;0,-ROUND($G319,2),"")</f>
        <v/>
      </c>
      <c r="J319" s="20" t="n">
        <f aca="false">IF(ROUND($G319,2)=0,0,1)</f>
        <v>0</v>
      </c>
      <c r="K319" s="20" t="str">
        <f aca="false">IF($J319=0,"",SUM($J$314:$J319))</f>
        <v/>
      </c>
      <c r="L319" s="20" t="str">
        <f aca="false">IF($K319="","",$A319*100+$K319)</f>
        <v/>
      </c>
      <c r="M319" s="48" t="str">
        <f aca="false">IFERROR(INDEX(输入报销!$D:$D,MATCH($A319&amp;"-6",输入报销!$J:$J,0))&amp;"","")</f>
        <v/>
      </c>
    </row>
    <row r="320" customFormat="false" ht="13.5" hidden="false" customHeight="false" outlineLevel="0" collapsed="false">
      <c r="A320" s="47" t="n">
        <v>25</v>
      </c>
      <c r="C320" s="48" t="str">
        <f aca="false">助手报销!$C26</f>
        <v>白家寨店</v>
      </c>
      <c r="D320" s="81" t="s">
        <v>485</v>
      </c>
      <c r="E320" s="48" t="str">
        <f aca="false">IFERROR(INDEX(输入报销!$E:$E,MATCH($A320&amp;"-7",输入报销!$J:$J,0))&amp;"","")</f>
        <v/>
      </c>
      <c r="F320" s="48" t="str">
        <f aca="false">IFERROR(INDEX(输入报销!$F:$F,MATCH($A320&amp;"-7",输入报销!$J:$J,0))&amp;"","")</f>
        <v/>
      </c>
      <c r="G320" s="49" t="n">
        <f aca="false">IFERROR(ROUND(INDEX(输入报销!$G:$G,MATCH($A320&amp;"-7",输入报销!$J:$J,0)),2),0)</f>
        <v>0</v>
      </c>
      <c r="H320" s="49" t="str">
        <f aca="false">IF(ROUND($G320,2)&gt;0,ROUND($G320,2),"")</f>
        <v/>
      </c>
      <c r="I320" s="49" t="str">
        <f aca="false">IF(ROUND($G320,2)&lt;0,-ROUND($G320,2),"")</f>
        <v/>
      </c>
      <c r="J320" s="20" t="n">
        <f aca="false">IF(ROUND($G320,2)=0,0,1)</f>
        <v>0</v>
      </c>
      <c r="K320" s="20" t="str">
        <f aca="false">IF($J320=0,"",SUM($J$314:$J320))</f>
        <v/>
      </c>
      <c r="L320" s="20" t="str">
        <f aca="false">IF($K320="","",$A320*100+$K320)</f>
        <v/>
      </c>
      <c r="M320" s="48" t="str">
        <f aca="false">IFERROR(INDEX(输入报销!$D:$D,MATCH($A320&amp;"-7",输入报销!$J:$J,0))&amp;"","")</f>
        <v/>
      </c>
    </row>
    <row r="321" customFormat="false" ht="13.5" hidden="false" customHeight="false" outlineLevel="0" collapsed="false">
      <c r="A321" s="47" t="n">
        <v>25</v>
      </c>
      <c r="C321" s="48" t="str">
        <f aca="false">助手报销!$C26</f>
        <v>白家寨店</v>
      </c>
      <c r="D321" s="81" t="s">
        <v>486</v>
      </c>
      <c r="E321" s="48" t="str">
        <f aca="false">IFERROR(INDEX(输入报销!$E:$E,MATCH($A321&amp;"-8",输入报销!$J:$J,0))&amp;"","")</f>
        <v/>
      </c>
      <c r="F321" s="48" t="str">
        <f aca="false">IFERROR(INDEX(输入报销!$F:$F,MATCH($A321&amp;"-8",输入报销!$J:$J,0))&amp;"","")</f>
        <v/>
      </c>
      <c r="G321" s="49" t="n">
        <f aca="false">IFERROR(ROUND(INDEX(输入报销!$G:$G,MATCH($A321&amp;"-8",输入报销!$J:$J,0)),2),0)</f>
        <v>0</v>
      </c>
      <c r="H321" s="49" t="str">
        <f aca="false">IF(ROUND($G321,2)&gt;0,ROUND($G321,2),"")</f>
        <v/>
      </c>
      <c r="I321" s="49" t="str">
        <f aca="false">IF(ROUND($G321,2)&lt;0,-ROUND($G321,2),"")</f>
        <v/>
      </c>
      <c r="J321" s="20" t="n">
        <f aca="false">IF(ROUND($G321,2)=0,0,1)</f>
        <v>0</v>
      </c>
      <c r="K321" s="20" t="str">
        <f aca="false">IF($J321=0,"",SUM($J$314:$J321))</f>
        <v/>
      </c>
      <c r="L321" s="20" t="str">
        <f aca="false">IF($K321="","",$A321*100+$K321)</f>
        <v/>
      </c>
      <c r="M321" s="48" t="str">
        <f aca="false">IFERROR(INDEX(输入报销!$D:$D,MATCH($A321&amp;"-8",输入报销!$J:$J,0))&amp;"","")</f>
        <v/>
      </c>
    </row>
    <row r="322" customFormat="false" ht="13.5" hidden="false" customHeight="false" outlineLevel="0" collapsed="false">
      <c r="A322" s="47" t="n">
        <v>25</v>
      </c>
      <c r="C322" s="48" t="str">
        <f aca="false">助手报销!$C26</f>
        <v>白家寨店</v>
      </c>
      <c r="D322" s="81" t="s">
        <v>487</v>
      </c>
      <c r="E322" s="48" t="str">
        <f aca="false">IFERROR(INDEX(输入报销!$E:$E,MATCH($A322&amp;"-9",输入报销!$J:$J,0))&amp;"","")</f>
        <v/>
      </c>
      <c r="F322" s="48" t="str">
        <f aca="false">IFERROR(INDEX(输入报销!$F:$F,MATCH($A322&amp;"-9",输入报销!$J:$J,0))&amp;"","")</f>
        <v/>
      </c>
      <c r="G322" s="49" t="n">
        <f aca="false">IFERROR(ROUND(INDEX(输入报销!$G:$G,MATCH($A322&amp;"-9",输入报销!$J:$J,0)),2),0)</f>
        <v>0</v>
      </c>
      <c r="H322" s="49" t="str">
        <f aca="false">IF(ROUND($G322,2)&gt;0,ROUND($G322,2),"")</f>
        <v/>
      </c>
      <c r="I322" s="49" t="str">
        <f aca="false">IF(ROUND($G322,2)&lt;0,-ROUND($G322,2),"")</f>
        <v/>
      </c>
      <c r="J322" s="20" t="n">
        <f aca="false">IF(ROUND($G322,2)=0,0,1)</f>
        <v>0</v>
      </c>
      <c r="K322" s="20" t="str">
        <f aca="false">IF($J322=0,"",SUM($J$314:$J322))</f>
        <v/>
      </c>
      <c r="L322" s="20" t="str">
        <f aca="false">IF($K322="","",$A322*100+$K322)</f>
        <v/>
      </c>
      <c r="M322" s="48" t="str">
        <f aca="false">IFERROR(INDEX(输入报销!$D:$D,MATCH($A322&amp;"-9",输入报销!$J:$J,0))&amp;"","")</f>
        <v/>
      </c>
    </row>
    <row r="323" customFormat="false" ht="13.5" hidden="false" customHeight="false" outlineLevel="0" collapsed="false">
      <c r="A323" s="47" t="n">
        <v>25</v>
      </c>
      <c r="C323" s="48" t="str">
        <f aca="false">助手报销!$C26</f>
        <v>白家寨店</v>
      </c>
      <c r="D323" s="81" t="s">
        <v>488</v>
      </c>
      <c r="E323" s="48" t="str">
        <f aca="false">IFERROR(INDEX(输入报销!$E:$E,MATCH($A323&amp;"-10",输入报销!$J:$J,0))&amp;"","")</f>
        <v/>
      </c>
      <c r="F323" s="48" t="str">
        <f aca="false">IFERROR(INDEX(输入报销!$F:$F,MATCH($A323&amp;"-10",输入报销!$J:$J,0))&amp;"","")</f>
        <v/>
      </c>
      <c r="G323" s="49" t="n">
        <f aca="false">IFERROR(ROUND(INDEX(输入报销!$G:$G,MATCH($A323&amp;"-10",输入报销!$J:$J,0)),2),0)</f>
        <v>0</v>
      </c>
      <c r="H323" s="49" t="str">
        <f aca="false">IF(ROUND($G323,2)&gt;0,ROUND($G323,2),"")</f>
        <v/>
      </c>
      <c r="I323" s="49" t="str">
        <f aca="false">IF(ROUND($G323,2)&lt;0,-ROUND($G323,2),"")</f>
        <v/>
      </c>
      <c r="J323" s="20" t="n">
        <f aca="false">IF(ROUND($G323,2)=0,0,1)</f>
        <v>0</v>
      </c>
      <c r="K323" s="20" t="str">
        <f aca="false">IF($J323=0,"",SUM($J$314:$J323))</f>
        <v/>
      </c>
      <c r="L323" s="20" t="str">
        <f aca="false">IF($K323="","",$A323*100+$K323)</f>
        <v/>
      </c>
      <c r="M323" s="48" t="str">
        <f aca="false">IFERROR(INDEX(输入报销!$D:$D,MATCH($A323&amp;"-10",输入报销!$J:$J,0))&amp;"","")</f>
        <v/>
      </c>
    </row>
    <row r="324" customFormat="false" ht="13.5" hidden="false" customHeight="false" outlineLevel="0" collapsed="false">
      <c r="A324" s="47" t="n">
        <v>25</v>
      </c>
      <c r="C324" s="48" t="str">
        <f aca="false">助手报销!$C26</f>
        <v>白家寨店</v>
      </c>
      <c r="D324" s="81" t="s">
        <v>489</v>
      </c>
      <c r="E324" s="48" t="str">
        <f aca="false">参数!$B$6</f>
        <v>库存现金</v>
      </c>
      <c r="F324" s="48" t="str">
        <f aca="false">""</f>
        <v/>
      </c>
      <c r="G324" s="49" t="n">
        <f aca="false">-ROUND(SUMIFS(输入报销!$G:$G,输入报销!$A:$A,$A324,输入报销!$H:$H,参数!$B$6),2)</f>
        <v>-13.6</v>
      </c>
      <c r="H324" s="49" t="str">
        <f aca="false">IF(ROUND($G324,2)&gt;0,ROUND($G324,2),"")</f>
        <v/>
      </c>
      <c r="I324" s="49" t="n">
        <f aca="false">IF(ROUND($G324,2)&lt;0,-ROUND($G324,2),"")</f>
        <v>13.6</v>
      </c>
      <c r="J324" s="20" t="n">
        <f aca="false">IF(ROUND($G324,2)=0,0,1)</f>
        <v>1</v>
      </c>
      <c r="K324" s="20" t="n">
        <f aca="false">IF($J324=0,"",SUM($J$314:$J324))</f>
        <v>3</v>
      </c>
      <c r="L324" s="20" t="n">
        <f aca="false">IF($K324="","",$A324*100+$K324)</f>
        <v>2503</v>
      </c>
      <c r="M324" s="48" t="str">
        <f aca="false">""</f>
        <v/>
      </c>
    </row>
    <row r="325" customFormat="false" ht="13.5" hidden="false" customHeight="false" outlineLevel="0" collapsed="false">
      <c r="A325" s="47" t="n">
        <v>25</v>
      </c>
      <c r="C325" s="48" t="str">
        <f aca="false">助手报销!$C26</f>
        <v>白家寨店</v>
      </c>
      <c r="D325" s="81" t="s">
        <v>490</v>
      </c>
      <c r="E325" s="48" t="str">
        <f aca="false">参数!$B$7</f>
        <v>银行存款</v>
      </c>
      <c r="F325" s="48" t="str">
        <f aca="false">""</f>
        <v/>
      </c>
      <c r="G325" s="49" t="n">
        <f aca="false">-ROUND(SUMIFS(输入报销!$G:$G,输入报销!$A:$A,$A325,输入报销!$H:$H,参数!$B$7),2)</f>
        <v>-0</v>
      </c>
      <c r="H325" s="49" t="str">
        <f aca="false">IF(ROUND($G325,2)&gt;0,ROUND($G325,2),"")</f>
        <v/>
      </c>
      <c r="I325" s="49" t="str">
        <f aca="false">IF(ROUND($G325,2)&lt;0,-ROUND($G325,2),"")</f>
        <v/>
      </c>
      <c r="J325" s="20" t="n">
        <f aca="false">IF(ROUND($G325,2)=0,0,1)</f>
        <v>0</v>
      </c>
      <c r="K325" s="20" t="str">
        <f aca="false">IF($J325=0,"",SUM($J$314:$J325))</f>
        <v/>
      </c>
      <c r="L325" s="20" t="str">
        <f aca="false">IF($K325="","",$A325*100+$K325)</f>
        <v/>
      </c>
      <c r="M325" s="48" t="str">
        <f aca="false">""</f>
        <v/>
      </c>
    </row>
    <row r="326" customFormat="false" ht="13.5" hidden="false" customHeight="false" outlineLevel="0" collapsed="false">
      <c r="A326" s="47" t="n">
        <v>25</v>
      </c>
      <c r="C326" s="48" t="str">
        <f aca="false">助手报销!$C26</f>
        <v>白家寨店</v>
      </c>
      <c r="D326" s="81" t="s">
        <v>491</v>
      </c>
      <c r="E326" s="48" t="str">
        <f aca="false">参数!$B$8</f>
        <v>其他应付款</v>
      </c>
      <c r="F326" s="48" t="str">
        <f aca="false">""</f>
        <v/>
      </c>
      <c r="G326" s="49" t="n">
        <f aca="false">-ROUND(SUMIFS(输入报销!$G:$G,输入报销!$A:$A,$A326,输入报销!$H:$H,参数!$B$8),2)</f>
        <v>-0</v>
      </c>
      <c r="H326" s="49" t="str">
        <f aca="false">IF(ROUND($G326,2)&gt;0,ROUND($G326,2),"")</f>
        <v/>
      </c>
      <c r="I326" s="49" t="str">
        <f aca="false">IF(ROUND($G326,2)&lt;0,-ROUND($G326,2),"")</f>
        <v/>
      </c>
      <c r="J326" s="20" t="n">
        <f aca="false">IF(ROUND($G326,2)=0,0,1)</f>
        <v>0</v>
      </c>
      <c r="K326" s="20" t="str">
        <f aca="false">IF($J326=0,"",SUM($J$314:$J326))</f>
        <v/>
      </c>
      <c r="L326" s="20" t="str">
        <f aca="false">IF($K326="","",$A326*100+$K326)</f>
        <v/>
      </c>
      <c r="M326" s="48" t="str">
        <f aca="false">""</f>
        <v/>
      </c>
    </row>
    <row r="327" customFormat="false" ht="13.5" hidden="false" customHeight="false" outlineLevel="0" collapsed="false">
      <c r="A327" s="47" t="n">
        <v>26</v>
      </c>
      <c r="C327" s="48" t="str">
        <f aca="false">助手报销!$C27</f>
        <v>博福店</v>
      </c>
      <c r="D327" s="81" t="s">
        <v>479</v>
      </c>
      <c r="E327" s="48" t="str">
        <f aca="false">IFERROR(INDEX(输入报销!$E:$E,MATCH($A327&amp;"-1",输入报销!$J:$J,0))&amp;"","")</f>
        <v>销售费用</v>
      </c>
      <c r="F327" s="48" t="str">
        <f aca="false">IFERROR(INDEX(输入报销!$F:$F,MATCH($A327&amp;"-1",输入报销!$J:$J,0))&amp;"","")</f>
        <v>水费</v>
      </c>
      <c r="G327" s="49" t="n">
        <f aca="false">IFERROR(ROUND(INDEX(输入报销!$G:$G,MATCH($A327&amp;"-1",输入报销!$J:$J,0)),2),0)</f>
        <v>15</v>
      </c>
      <c r="H327" s="49" t="n">
        <f aca="false">IF(ROUND($G327,2)&gt;0,ROUND($G327,2),"")</f>
        <v>15</v>
      </c>
      <c r="I327" s="49" t="str">
        <f aca="false">IF(ROUND($G327,2)&lt;0,-ROUND($G327,2),"")</f>
        <v/>
      </c>
      <c r="J327" s="20" t="n">
        <f aca="false">IF(ROUND($G327,2)=0,0,1)</f>
        <v>1</v>
      </c>
      <c r="K327" s="20" t="n">
        <f aca="false">IF($J327=0,"",SUM($J$327:$J327))</f>
        <v>1</v>
      </c>
      <c r="L327" s="20" t="n">
        <f aca="false">IF($K327="","",$A327*100+$K327)</f>
        <v>2601</v>
      </c>
      <c r="M327" s="48" t="str">
        <f aca="false">IFERROR(INDEX(输入报销!$D:$D,MATCH($A327&amp;"-1",输入报销!$J:$J,0))&amp;"","")</f>
        <v>水费</v>
      </c>
    </row>
    <row r="328" customFormat="false" ht="13.5" hidden="false" customHeight="false" outlineLevel="0" collapsed="false">
      <c r="A328" s="47" t="n">
        <v>26</v>
      </c>
      <c r="C328" s="48" t="str">
        <f aca="false">助手报销!$C27</f>
        <v>博福店</v>
      </c>
      <c r="D328" s="81" t="s">
        <v>480</v>
      </c>
      <c r="E328" s="48" t="str">
        <f aca="false">IFERROR(INDEX(输入报销!$E:$E,MATCH($A328&amp;"-2",输入报销!$J:$J,0))&amp;"","")</f>
        <v>销售费用</v>
      </c>
      <c r="F328" s="48" t="str">
        <f aca="false">IFERROR(INDEX(输入报销!$F:$F,MATCH($A328&amp;"-2",输入报销!$J:$J,0))&amp;"","")</f>
        <v>福利费</v>
      </c>
      <c r="G328" s="49" t="n">
        <f aca="false">IFERROR(ROUND(INDEX(输入报销!$G:$G,MATCH($A328&amp;"-2",输入报销!$J:$J,0)),2),0)</f>
        <v>100</v>
      </c>
      <c r="H328" s="49" t="n">
        <f aca="false">IF(ROUND($G328,2)&gt;0,ROUND($G328,2),"")</f>
        <v>100</v>
      </c>
      <c r="I328" s="49" t="str">
        <f aca="false">IF(ROUND($G328,2)&lt;0,-ROUND($G328,2),"")</f>
        <v/>
      </c>
      <c r="J328" s="20" t="n">
        <f aca="false">IF(ROUND($G328,2)=0,0,1)</f>
        <v>1</v>
      </c>
      <c r="K328" s="20" t="n">
        <f aca="false">IF($J328=0,"",SUM($J$327:$J328))</f>
        <v>2</v>
      </c>
      <c r="L328" s="20" t="n">
        <f aca="false">IF($K328="","",$A328*100+$K328)</f>
        <v>2602</v>
      </c>
      <c r="M328" s="48" t="str">
        <f aca="false">IFERROR(INDEX(输入报销!$D:$D,MATCH($A328&amp;"-2",输入报销!$J:$J,0))&amp;"","")</f>
        <v>车费</v>
      </c>
    </row>
    <row r="329" customFormat="false" ht="13.5" hidden="false" customHeight="false" outlineLevel="0" collapsed="false">
      <c r="A329" s="47" t="n">
        <v>26</v>
      </c>
      <c r="C329" s="48" t="str">
        <f aca="false">助手报销!$C27</f>
        <v>博福店</v>
      </c>
      <c r="D329" s="81" t="s">
        <v>481</v>
      </c>
      <c r="E329" s="48" t="str">
        <f aca="false">IFERROR(INDEX(输入报销!$E:$E,MATCH($A329&amp;"-3",输入报销!$J:$J,0))&amp;"","")</f>
        <v>销售费用</v>
      </c>
      <c r="F329" s="48" t="str">
        <f aca="false">IFERROR(INDEX(输入报销!$F:$F,MATCH($A329&amp;"-3",输入报销!$J:$J,0))&amp;"","")</f>
        <v>电话费</v>
      </c>
      <c r="G329" s="49" t="n">
        <f aca="false">IFERROR(ROUND(INDEX(输入报销!$G:$G,MATCH($A329&amp;"-3",输入报销!$J:$J,0)),2),0)</f>
        <v>100</v>
      </c>
      <c r="H329" s="49" t="n">
        <f aca="false">IF(ROUND($G329,2)&gt;0,ROUND($G329,2),"")</f>
        <v>100</v>
      </c>
      <c r="I329" s="49" t="str">
        <f aca="false">IF(ROUND($G329,2)&lt;0,-ROUND($G329,2),"")</f>
        <v/>
      </c>
      <c r="J329" s="20" t="n">
        <f aca="false">IF(ROUND($G329,2)=0,0,1)</f>
        <v>1</v>
      </c>
      <c r="K329" s="20" t="n">
        <f aca="false">IF($J329=0,"",SUM($J$327:$J329))</f>
        <v>3</v>
      </c>
      <c r="L329" s="20" t="n">
        <f aca="false">IF($K329="","",$A329*100+$K329)</f>
        <v>2603</v>
      </c>
      <c r="M329" s="48" t="str">
        <f aca="false">IFERROR(INDEX(输入报销!$D:$D,MATCH($A329&amp;"-3",输入报销!$J:$J,0))&amp;"","")</f>
        <v>电话费</v>
      </c>
    </row>
    <row r="330" customFormat="false" ht="13.5" hidden="false" customHeight="false" outlineLevel="0" collapsed="false">
      <c r="A330" s="47" t="n">
        <v>26</v>
      </c>
      <c r="C330" s="48" t="str">
        <f aca="false">助手报销!$C27</f>
        <v>博福店</v>
      </c>
      <c r="D330" s="81" t="s">
        <v>482</v>
      </c>
      <c r="E330" s="48" t="str">
        <f aca="false">IFERROR(INDEX(输入报销!$E:$E,MATCH($A330&amp;"-4",输入报销!$J:$J,0))&amp;"","")</f>
        <v>销售费用</v>
      </c>
      <c r="F330" s="48" t="str">
        <f aca="false">IFERROR(INDEX(输入报销!$F:$F,MATCH($A330&amp;"-4",输入报销!$J:$J,0))&amp;"","")</f>
        <v>办公费</v>
      </c>
      <c r="G330" s="49" t="n">
        <f aca="false">IFERROR(ROUND(INDEX(输入报销!$G:$G,MATCH($A330&amp;"-4",输入报销!$J:$J,0)),2),0)</f>
        <v>45</v>
      </c>
      <c r="H330" s="49" t="n">
        <f aca="false">IF(ROUND($G330,2)&gt;0,ROUND($G330,2),"")</f>
        <v>45</v>
      </c>
      <c r="I330" s="49" t="str">
        <f aca="false">IF(ROUND($G330,2)&lt;0,-ROUND($G330,2),"")</f>
        <v/>
      </c>
      <c r="J330" s="20" t="n">
        <f aca="false">IF(ROUND($G330,2)=0,0,1)</f>
        <v>1</v>
      </c>
      <c r="K330" s="20" t="n">
        <f aca="false">IF($J330=0,"",SUM($J$327:$J330))</f>
        <v>4</v>
      </c>
      <c r="L330" s="20" t="n">
        <f aca="false">IF($K330="","",$A330*100+$K330)</f>
        <v>2604</v>
      </c>
      <c r="M330" s="48" t="str">
        <f aca="false">IFERROR(INDEX(输入报销!$D:$D,MATCH($A330&amp;"-4",输入报销!$J:$J,0))&amp;"","")</f>
        <v>蒿白伤湿气雾剂</v>
      </c>
    </row>
    <row r="331" customFormat="false" ht="13.5" hidden="false" customHeight="false" outlineLevel="0" collapsed="false">
      <c r="A331" s="47" t="n">
        <v>26</v>
      </c>
      <c r="C331" s="48" t="str">
        <f aca="false">助手报销!$C27</f>
        <v>博福店</v>
      </c>
      <c r="D331" s="81" t="s">
        <v>483</v>
      </c>
      <c r="E331" s="48" t="str">
        <f aca="false">IFERROR(INDEX(输入报销!$E:$E,MATCH($A331&amp;"-5",输入报销!$J:$J,0))&amp;"","")</f>
        <v>销售费用</v>
      </c>
      <c r="F331" s="48" t="str">
        <f aca="false">IFERROR(INDEX(输入报销!$F:$F,MATCH($A331&amp;"-5",输入报销!$J:$J,0))&amp;"","")</f>
        <v>办公费</v>
      </c>
      <c r="G331" s="49" t="n">
        <f aca="false">IFERROR(ROUND(INDEX(输入报销!$G:$G,MATCH($A331&amp;"-5",输入报销!$J:$J,0)),2),0)</f>
        <v>61.4</v>
      </c>
      <c r="H331" s="49" t="n">
        <f aca="false">IF(ROUND($G331,2)&gt;0,ROUND($G331,2),"")</f>
        <v>61.4</v>
      </c>
      <c r="I331" s="49" t="str">
        <f aca="false">IF(ROUND($G331,2)&lt;0,-ROUND($G331,2),"")</f>
        <v/>
      </c>
      <c r="J331" s="20" t="n">
        <f aca="false">IF(ROUND($G331,2)=0,0,1)</f>
        <v>1</v>
      </c>
      <c r="K331" s="20" t="n">
        <f aca="false">IF($J331=0,"",SUM($J$327:$J331))</f>
        <v>5</v>
      </c>
      <c r="L331" s="20" t="n">
        <f aca="false">IF($K331="","",$A331*100+$K331)</f>
        <v>2605</v>
      </c>
      <c r="M331" s="48" t="str">
        <f aca="false">IFERROR(INDEX(输入报销!$D:$D,MATCH($A331&amp;"-5",输入报销!$J:$J,0))&amp;"","")</f>
        <v>慢病用品</v>
      </c>
    </row>
    <row r="332" customFormat="false" ht="13.5" hidden="false" customHeight="false" outlineLevel="0" collapsed="false">
      <c r="A332" s="47" t="n">
        <v>26</v>
      </c>
      <c r="C332" s="48" t="str">
        <f aca="false">助手报销!$C27</f>
        <v>博福店</v>
      </c>
      <c r="D332" s="81" t="s">
        <v>484</v>
      </c>
      <c r="E332" s="48" t="str">
        <f aca="false">IFERROR(INDEX(输入报销!$E:$E,MATCH($A332&amp;"-6",输入报销!$J:$J,0))&amp;"","")</f>
        <v>销售费用</v>
      </c>
      <c r="F332" s="48" t="str">
        <f aca="false">IFERROR(INDEX(输入报销!$F:$F,MATCH($A332&amp;"-6",输入报销!$J:$J,0))&amp;"","")</f>
        <v>办公费</v>
      </c>
      <c r="G332" s="49" t="n">
        <f aca="false">IFERROR(ROUND(INDEX(输入报销!$G:$G,MATCH($A332&amp;"-6",输入报销!$J:$J,0)),2),0)</f>
        <v>40</v>
      </c>
      <c r="H332" s="49" t="n">
        <f aca="false">IF(ROUND($G332,2)&gt;0,ROUND($G332,2),"")</f>
        <v>40</v>
      </c>
      <c r="I332" s="49" t="str">
        <f aca="false">IF(ROUND($G332,2)&lt;0,-ROUND($G332,2),"")</f>
        <v/>
      </c>
      <c r="J332" s="20" t="n">
        <f aca="false">IF(ROUND($G332,2)=0,0,1)</f>
        <v>1</v>
      </c>
      <c r="K332" s="20" t="n">
        <f aca="false">IF($J332=0,"",SUM($J$327:$J332))</f>
        <v>6</v>
      </c>
      <c r="L332" s="20" t="n">
        <f aca="false">IF($K332="","",$A332*100+$K332)</f>
        <v>2606</v>
      </c>
      <c r="M332" s="48" t="str">
        <f aca="false">IFERROR(INDEX(输入报销!$D:$D,MATCH($A332&amp;"-6",输入报销!$J:$J,0))&amp;"","")</f>
        <v>灭火器检测</v>
      </c>
    </row>
    <row r="333" customFormat="false" ht="13.5" hidden="false" customHeight="false" outlineLevel="0" collapsed="false">
      <c r="A333" s="47" t="n">
        <v>26</v>
      </c>
      <c r="C333" s="48" t="str">
        <f aca="false">助手报销!$C27</f>
        <v>博福店</v>
      </c>
      <c r="D333" s="81" t="s">
        <v>485</v>
      </c>
      <c r="E333" s="48" t="str">
        <f aca="false">IFERROR(INDEX(输入报销!$E:$E,MATCH($A333&amp;"-7",输入报销!$J:$J,0))&amp;"","")</f>
        <v>销售费用</v>
      </c>
      <c r="F333" s="48" t="str">
        <f aca="false">IFERROR(INDEX(输入报销!$F:$F,MATCH($A333&amp;"-7",输入报销!$J:$J,0))&amp;"","")</f>
        <v>电费</v>
      </c>
      <c r="G333" s="49" t="n">
        <f aca="false">IFERROR(ROUND(INDEX(输入报销!$G:$G,MATCH($A333&amp;"-7",输入报销!$J:$J,0)),2),0)</f>
        <v>810.75</v>
      </c>
      <c r="H333" s="49" t="n">
        <f aca="false">IF(ROUND($G333,2)&gt;0,ROUND($G333,2),"")</f>
        <v>810.75</v>
      </c>
      <c r="I333" s="49" t="str">
        <f aca="false">IF(ROUND($G333,2)&lt;0,-ROUND($G333,2),"")</f>
        <v/>
      </c>
      <c r="J333" s="20" t="n">
        <f aca="false">IF(ROUND($G333,2)=0,0,1)</f>
        <v>1</v>
      </c>
      <c r="K333" s="20" t="n">
        <f aca="false">IF($J333=0,"",SUM($J$327:$J333))</f>
        <v>7</v>
      </c>
      <c r="L333" s="20" t="n">
        <f aca="false">IF($K333="","",$A333*100+$K333)</f>
        <v>2607</v>
      </c>
      <c r="M333" s="48" t="str">
        <f aca="false">IFERROR(INDEX(输入报销!$D:$D,MATCH($A333&amp;"-7",输入报销!$J:$J,0))&amp;"","")</f>
        <v>电费</v>
      </c>
    </row>
    <row r="334" customFormat="false" ht="13.5" hidden="false" customHeight="false" outlineLevel="0" collapsed="false">
      <c r="A334" s="47" t="n">
        <v>26</v>
      </c>
      <c r="C334" s="48" t="str">
        <f aca="false">助手报销!$C27</f>
        <v>博福店</v>
      </c>
      <c r="D334" s="81" t="s">
        <v>486</v>
      </c>
      <c r="E334" s="48" t="str">
        <f aca="false">IFERROR(INDEX(输入报销!$E:$E,MATCH($A334&amp;"-8",输入报销!$J:$J,0))&amp;"","")</f>
        <v/>
      </c>
      <c r="F334" s="48" t="str">
        <f aca="false">IFERROR(INDEX(输入报销!$F:$F,MATCH($A334&amp;"-8",输入报销!$J:$J,0))&amp;"","")</f>
        <v/>
      </c>
      <c r="G334" s="49" t="n">
        <f aca="false">IFERROR(ROUND(INDEX(输入报销!$G:$G,MATCH($A334&amp;"-8",输入报销!$J:$J,0)),2),0)</f>
        <v>0</v>
      </c>
      <c r="H334" s="49" t="str">
        <f aca="false">IF(ROUND($G334,2)&gt;0,ROUND($G334,2),"")</f>
        <v/>
      </c>
      <c r="I334" s="49" t="str">
        <f aca="false">IF(ROUND($G334,2)&lt;0,-ROUND($G334,2),"")</f>
        <v/>
      </c>
      <c r="J334" s="20" t="n">
        <f aca="false">IF(ROUND($G334,2)=0,0,1)</f>
        <v>0</v>
      </c>
      <c r="K334" s="20" t="str">
        <f aca="false">IF($J334=0,"",SUM($J$327:$J334))</f>
        <v/>
      </c>
      <c r="L334" s="20" t="str">
        <f aca="false">IF($K334="","",$A334*100+$K334)</f>
        <v/>
      </c>
      <c r="M334" s="48" t="str">
        <f aca="false">IFERROR(INDEX(输入报销!$D:$D,MATCH($A334&amp;"-8",输入报销!$J:$J,0))&amp;"","")</f>
        <v/>
      </c>
    </row>
    <row r="335" customFormat="false" ht="13.5" hidden="false" customHeight="false" outlineLevel="0" collapsed="false">
      <c r="A335" s="47" t="n">
        <v>26</v>
      </c>
      <c r="C335" s="48" t="str">
        <f aca="false">助手报销!$C27</f>
        <v>博福店</v>
      </c>
      <c r="D335" s="81" t="s">
        <v>487</v>
      </c>
      <c r="E335" s="48" t="str">
        <f aca="false">IFERROR(INDEX(输入报销!$E:$E,MATCH($A335&amp;"-9",输入报销!$J:$J,0))&amp;"","")</f>
        <v/>
      </c>
      <c r="F335" s="48" t="str">
        <f aca="false">IFERROR(INDEX(输入报销!$F:$F,MATCH($A335&amp;"-9",输入报销!$J:$J,0))&amp;"","")</f>
        <v/>
      </c>
      <c r="G335" s="49" t="n">
        <f aca="false">IFERROR(ROUND(INDEX(输入报销!$G:$G,MATCH($A335&amp;"-9",输入报销!$J:$J,0)),2),0)</f>
        <v>0</v>
      </c>
      <c r="H335" s="49" t="str">
        <f aca="false">IF(ROUND($G335,2)&gt;0,ROUND($G335,2),"")</f>
        <v/>
      </c>
      <c r="I335" s="49" t="str">
        <f aca="false">IF(ROUND($G335,2)&lt;0,-ROUND($G335,2),"")</f>
        <v/>
      </c>
      <c r="J335" s="20" t="n">
        <f aca="false">IF(ROUND($G335,2)=0,0,1)</f>
        <v>0</v>
      </c>
      <c r="K335" s="20" t="str">
        <f aca="false">IF($J335=0,"",SUM($J$327:$J335))</f>
        <v/>
      </c>
      <c r="L335" s="20" t="str">
        <f aca="false">IF($K335="","",$A335*100+$K335)</f>
        <v/>
      </c>
      <c r="M335" s="48" t="str">
        <f aca="false">IFERROR(INDEX(输入报销!$D:$D,MATCH($A335&amp;"-9",输入报销!$J:$J,0))&amp;"","")</f>
        <v/>
      </c>
    </row>
    <row r="336" customFormat="false" ht="13.5" hidden="false" customHeight="false" outlineLevel="0" collapsed="false">
      <c r="A336" s="47" t="n">
        <v>26</v>
      </c>
      <c r="C336" s="48" t="str">
        <f aca="false">助手报销!$C27</f>
        <v>博福店</v>
      </c>
      <c r="D336" s="81" t="s">
        <v>488</v>
      </c>
      <c r="E336" s="48" t="str">
        <f aca="false">IFERROR(INDEX(输入报销!$E:$E,MATCH($A336&amp;"-10",输入报销!$J:$J,0))&amp;"","")</f>
        <v/>
      </c>
      <c r="F336" s="48" t="str">
        <f aca="false">IFERROR(INDEX(输入报销!$F:$F,MATCH($A336&amp;"-10",输入报销!$J:$J,0))&amp;"","")</f>
        <v/>
      </c>
      <c r="G336" s="49" t="n">
        <f aca="false">IFERROR(ROUND(INDEX(输入报销!$G:$G,MATCH($A336&amp;"-10",输入报销!$J:$J,0)),2),0)</f>
        <v>0</v>
      </c>
      <c r="H336" s="49" t="str">
        <f aca="false">IF(ROUND($G336,2)&gt;0,ROUND($G336,2),"")</f>
        <v/>
      </c>
      <c r="I336" s="49" t="str">
        <f aca="false">IF(ROUND($G336,2)&lt;0,-ROUND($G336,2),"")</f>
        <v/>
      </c>
      <c r="J336" s="20" t="n">
        <f aca="false">IF(ROUND($G336,2)=0,0,1)</f>
        <v>0</v>
      </c>
      <c r="K336" s="20" t="str">
        <f aca="false">IF($J336=0,"",SUM($J$327:$J336))</f>
        <v/>
      </c>
      <c r="L336" s="20" t="str">
        <f aca="false">IF($K336="","",$A336*100+$K336)</f>
        <v/>
      </c>
      <c r="M336" s="48" t="str">
        <f aca="false">IFERROR(INDEX(输入报销!$D:$D,MATCH($A336&amp;"-10",输入报销!$J:$J,0))&amp;"","")</f>
        <v/>
      </c>
    </row>
    <row r="337" customFormat="false" ht="13.5" hidden="false" customHeight="false" outlineLevel="0" collapsed="false">
      <c r="A337" s="47" t="n">
        <v>26</v>
      </c>
      <c r="C337" s="48" t="str">
        <f aca="false">助手报销!$C27</f>
        <v>博福店</v>
      </c>
      <c r="D337" s="81" t="s">
        <v>489</v>
      </c>
      <c r="E337" s="48" t="str">
        <f aca="false">参数!$B$6</f>
        <v>库存现金</v>
      </c>
      <c r="F337" s="48" t="str">
        <f aca="false">""</f>
        <v/>
      </c>
      <c r="G337" s="49" t="n">
        <f aca="false">-ROUND(SUMIFS(输入报销!$G:$G,输入报销!$A:$A,$A337,输入报销!$H:$H,参数!$B$6),2)</f>
        <v>-1172.15</v>
      </c>
      <c r="H337" s="49" t="str">
        <f aca="false">IF(ROUND($G337,2)&gt;0,ROUND($G337,2),"")</f>
        <v/>
      </c>
      <c r="I337" s="49" t="n">
        <f aca="false">IF(ROUND($G337,2)&lt;0,-ROUND($G337,2),"")</f>
        <v>1172.15</v>
      </c>
      <c r="J337" s="20" t="n">
        <f aca="false">IF(ROUND($G337,2)=0,0,1)</f>
        <v>1</v>
      </c>
      <c r="K337" s="20" t="n">
        <f aca="false">IF($J337=0,"",SUM($J$327:$J337))</f>
        <v>8</v>
      </c>
      <c r="L337" s="20" t="n">
        <f aca="false">IF($K337="","",$A337*100+$K337)</f>
        <v>2608</v>
      </c>
      <c r="M337" s="48" t="str">
        <f aca="false">""</f>
        <v/>
      </c>
    </row>
    <row r="338" customFormat="false" ht="13.5" hidden="false" customHeight="false" outlineLevel="0" collapsed="false">
      <c r="A338" s="47" t="n">
        <v>26</v>
      </c>
      <c r="C338" s="48" t="str">
        <f aca="false">助手报销!$C27</f>
        <v>博福店</v>
      </c>
      <c r="D338" s="81" t="s">
        <v>490</v>
      </c>
      <c r="E338" s="48" t="str">
        <f aca="false">参数!$B$7</f>
        <v>银行存款</v>
      </c>
      <c r="F338" s="48" t="str">
        <f aca="false">""</f>
        <v/>
      </c>
      <c r="G338" s="49" t="n">
        <f aca="false">-ROUND(SUMIFS(输入报销!$G:$G,输入报销!$A:$A,$A338,输入报销!$H:$H,参数!$B$7),2)</f>
        <v>-0</v>
      </c>
      <c r="H338" s="49" t="str">
        <f aca="false">IF(ROUND($G338,2)&gt;0,ROUND($G338,2),"")</f>
        <v/>
      </c>
      <c r="I338" s="49" t="str">
        <f aca="false">IF(ROUND($G338,2)&lt;0,-ROUND($G338,2),"")</f>
        <v/>
      </c>
      <c r="J338" s="20" t="n">
        <f aca="false">IF(ROUND($G338,2)=0,0,1)</f>
        <v>0</v>
      </c>
      <c r="K338" s="20" t="str">
        <f aca="false">IF($J338=0,"",SUM($J$327:$J338))</f>
        <v/>
      </c>
      <c r="L338" s="20" t="str">
        <f aca="false">IF($K338="","",$A338*100+$K338)</f>
        <v/>
      </c>
      <c r="M338" s="48" t="str">
        <f aca="false">""</f>
        <v/>
      </c>
    </row>
    <row r="339" customFormat="false" ht="13.5" hidden="false" customHeight="false" outlineLevel="0" collapsed="false">
      <c r="A339" s="47" t="n">
        <v>26</v>
      </c>
      <c r="C339" s="48" t="str">
        <f aca="false">助手报销!$C27</f>
        <v>博福店</v>
      </c>
      <c r="D339" s="81" t="s">
        <v>491</v>
      </c>
      <c r="E339" s="48" t="str">
        <f aca="false">参数!$B$8</f>
        <v>其他应付款</v>
      </c>
      <c r="F339" s="48" t="str">
        <f aca="false">""</f>
        <v/>
      </c>
      <c r="G339" s="49" t="n">
        <f aca="false">-ROUND(SUMIFS(输入报销!$G:$G,输入报销!$A:$A,$A339,输入报销!$H:$H,参数!$B$8),2)</f>
        <v>-0</v>
      </c>
      <c r="H339" s="49" t="str">
        <f aca="false">IF(ROUND($G339,2)&gt;0,ROUND($G339,2),"")</f>
        <v/>
      </c>
      <c r="I339" s="49" t="str">
        <f aca="false">IF(ROUND($G339,2)&lt;0,-ROUND($G339,2),"")</f>
        <v/>
      </c>
      <c r="J339" s="20" t="n">
        <f aca="false">IF(ROUND($G339,2)=0,0,1)</f>
        <v>0</v>
      </c>
      <c r="K339" s="20" t="str">
        <f aca="false">IF($J339=0,"",SUM($J$327:$J339))</f>
        <v/>
      </c>
      <c r="L339" s="20" t="str">
        <f aca="false">IF($K339="","",$A339*100+$K339)</f>
        <v/>
      </c>
      <c r="M339" s="48" t="str">
        <f aca="false">""</f>
        <v/>
      </c>
    </row>
    <row r="340" customFormat="false" ht="13.5" hidden="false" customHeight="false" outlineLevel="0" collapsed="false">
      <c r="A340" s="47" t="n">
        <v>27</v>
      </c>
      <c r="C340" s="48" t="str">
        <f aca="false">助手报销!$C28</f>
        <v>博营店</v>
      </c>
      <c r="D340" s="81" t="s">
        <v>479</v>
      </c>
      <c r="E340" s="48" t="str">
        <f aca="false">IFERROR(INDEX(输入报销!$E:$E,MATCH($A340&amp;"-1",输入报销!$J:$J,0))&amp;"","")</f>
        <v>销售费用</v>
      </c>
      <c r="F340" s="48" t="str">
        <f aca="false">IFERROR(INDEX(输入报销!$F:$F,MATCH($A340&amp;"-1",输入报销!$J:$J,0))&amp;"","")</f>
        <v>电话费</v>
      </c>
      <c r="G340" s="49" t="n">
        <f aca="false">IFERROR(ROUND(INDEX(输入报销!$G:$G,MATCH($A340&amp;"-1",输入报销!$J:$J,0)),2),0)</f>
        <v>200</v>
      </c>
      <c r="H340" s="49" t="n">
        <f aca="false">IF(ROUND($G340,2)&gt;0,ROUND($G340,2),"")</f>
        <v>200</v>
      </c>
      <c r="I340" s="49" t="str">
        <f aca="false">IF(ROUND($G340,2)&lt;0,-ROUND($G340,2),"")</f>
        <v/>
      </c>
      <c r="J340" s="20" t="n">
        <f aca="false">IF(ROUND($G340,2)=0,0,1)</f>
        <v>1</v>
      </c>
      <c r="K340" s="20" t="n">
        <f aca="false">IF($J340=0,"",SUM($J$340:$J340))</f>
        <v>1</v>
      </c>
      <c r="L340" s="20" t="n">
        <f aca="false">IF($K340="","",$A340*100+$K340)</f>
        <v>2701</v>
      </c>
      <c r="M340" s="48" t="str">
        <f aca="false">IFERROR(INDEX(输入报销!$D:$D,MATCH($A340&amp;"-1",输入报销!$J:$J,0))&amp;"","")</f>
        <v>电话费</v>
      </c>
    </row>
    <row r="341" customFormat="false" ht="13.5" hidden="false" customHeight="false" outlineLevel="0" collapsed="false">
      <c r="A341" s="47" t="n">
        <v>27</v>
      </c>
      <c r="C341" s="48" t="str">
        <f aca="false">助手报销!$C28</f>
        <v>博营店</v>
      </c>
      <c r="D341" s="81" t="s">
        <v>480</v>
      </c>
      <c r="E341" s="48" t="str">
        <f aca="false">IFERROR(INDEX(输入报销!$E:$E,MATCH($A341&amp;"-2",输入报销!$J:$J,0))&amp;"","")</f>
        <v>销售费用</v>
      </c>
      <c r="F341" s="48" t="str">
        <f aca="false">IFERROR(INDEX(输入报销!$F:$F,MATCH($A341&amp;"-2",输入报销!$J:$J,0))&amp;"","")</f>
        <v>电费</v>
      </c>
      <c r="G341" s="49" t="n">
        <f aca="false">IFERROR(ROUND(INDEX(输入报销!$G:$G,MATCH($A341&amp;"-2",输入报销!$J:$J,0)),2),0)</f>
        <v>500</v>
      </c>
      <c r="H341" s="49" t="n">
        <f aca="false">IF(ROUND($G341,2)&gt;0,ROUND($G341,2),"")</f>
        <v>500</v>
      </c>
      <c r="I341" s="49" t="str">
        <f aca="false">IF(ROUND($G341,2)&lt;0,-ROUND($G341,2),"")</f>
        <v/>
      </c>
      <c r="J341" s="20" t="n">
        <f aca="false">IF(ROUND($G341,2)=0,0,1)</f>
        <v>1</v>
      </c>
      <c r="K341" s="20" t="n">
        <f aca="false">IF($J341=0,"",SUM($J$340:$J341))</f>
        <v>2</v>
      </c>
      <c r="L341" s="20" t="n">
        <f aca="false">IF($K341="","",$A341*100+$K341)</f>
        <v>2702</v>
      </c>
      <c r="M341" s="48" t="str">
        <f aca="false">IFERROR(INDEX(输入报销!$D:$D,MATCH($A341&amp;"-2",输入报销!$J:$J,0))&amp;"","")</f>
        <v>电费</v>
      </c>
    </row>
    <row r="342" customFormat="false" ht="13.5" hidden="false" customHeight="false" outlineLevel="0" collapsed="false">
      <c r="A342" s="47" t="n">
        <v>27</v>
      </c>
      <c r="C342" s="48" t="str">
        <f aca="false">助手报销!$C28</f>
        <v>博营店</v>
      </c>
      <c r="D342" s="81" t="s">
        <v>481</v>
      </c>
      <c r="E342" s="48" t="str">
        <f aca="false">IFERROR(INDEX(输入报销!$E:$E,MATCH($A342&amp;"-3",输入报销!$J:$J,0))&amp;"","")</f>
        <v>销售费用</v>
      </c>
      <c r="F342" s="48" t="str">
        <f aca="false">IFERROR(INDEX(输入报销!$F:$F,MATCH($A342&amp;"-3",输入报销!$J:$J,0))&amp;"","")</f>
        <v>福利费</v>
      </c>
      <c r="G342" s="49" t="n">
        <f aca="false">IFERROR(ROUND(INDEX(输入报销!$G:$G,MATCH($A342&amp;"-3",输入报销!$J:$J,0)),2),0)</f>
        <v>60</v>
      </c>
      <c r="H342" s="49" t="n">
        <f aca="false">IF(ROUND($G342,2)&gt;0,ROUND($G342,2),"")</f>
        <v>60</v>
      </c>
      <c r="I342" s="49" t="str">
        <f aca="false">IF(ROUND($G342,2)&lt;0,-ROUND($G342,2),"")</f>
        <v/>
      </c>
      <c r="J342" s="20" t="n">
        <f aca="false">IF(ROUND($G342,2)=0,0,1)</f>
        <v>1</v>
      </c>
      <c r="K342" s="20" t="n">
        <f aca="false">IF($J342=0,"",SUM($J$340:$J342))</f>
        <v>3</v>
      </c>
      <c r="L342" s="20" t="n">
        <f aca="false">IF($K342="","",$A342*100+$K342)</f>
        <v>2703</v>
      </c>
      <c r="M342" s="48" t="str">
        <f aca="false">IFERROR(INDEX(输入报销!$D:$D,MATCH($A342&amp;"-3",输入报销!$J:$J,0))&amp;"","")</f>
        <v>车费</v>
      </c>
    </row>
    <row r="343" customFormat="false" ht="13.5" hidden="false" customHeight="false" outlineLevel="0" collapsed="false">
      <c r="A343" s="47" t="n">
        <v>27</v>
      </c>
      <c r="C343" s="48" t="str">
        <f aca="false">助手报销!$C28</f>
        <v>博营店</v>
      </c>
      <c r="D343" s="81" t="s">
        <v>482</v>
      </c>
      <c r="E343" s="48" t="str">
        <f aca="false">IFERROR(INDEX(输入报销!$E:$E,MATCH($A343&amp;"-4",输入报销!$J:$J,0))&amp;"","")</f>
        <v>销售费用</v>
      </c>
      <c r="F343" s="48" t="str">
        <f aca="false">IFERROR(INDEX(输入报销!$F:$F,MATCH($A343&amp;"-4",输入报销!$J:$J,0))&amp;"","")</f>
        <v>办公费</v>
      </c>
      <c r="G343" s="49" t="n">
        <f aca="false">IFERROR(ROUND(INDEX(输入报销!$G:$G,MATCH($A343&amp;"-4",输入报销!$J:$J,0)),2),0)</f>
        <v>30</v>
      </c>
      <c r="H343" s="49" t="n">
        <f aca="false">IF(ROUND($G343,2)&gt;0,ROUND($G343,2),"")</f>
        <v>30</v>
      </c>
      <c r="I343" s="49" t="str">
        <f aca="false">IF(ROUND($G343,2)&lt;0,-ROUND($G343,2),"")</f>
        <v/>
      </c>
      <c r="J343" s="20" t="n">
        <f aca="false">IF(ROUND($G343,2)=0,0,1)</f>
        <v>1</v>
      </c>
      <c r="K343" s="20" t="n">
        <f aca="false">IF($J343=0,"",SUM($J$340:$J343))</f>
        <v>4</v>
      </c>
      <c r="L343" s="20" t="n">
        <f aca="false">IF($K343="","",$A343*100+$K343)</f>
        <v>2704</v>
      </c>
      <c r="M343" s="48" t="str">
        <f aca="false">IFERROR(INDEX(输入报销!$D:$D,MATCH($A343&amp;"-4",输入报销!$J:$J,0))&amp;"","")</f>
        <v>插座</v>
      </c>
    </row>
    <row r="344" customFormat="false" ht="13.5" hidden="false" customHeight="false" outlineLevel="0" collapsed="false">
      <c r="A344" s="47" t="n">
        <v>27</v>
      </c>
      <c r="C344" s="48" t="str">
        <f aca="false">助手报销!$C28</f>
        <v>博营店</v>
      </c>
      <c r="D344" s="81" t="s">
        <v>483</v>
      </c>
      <c r="E344" s="48" t="str">
        <f aca="false">IFERROR(INDEX(输入报销!$E:$E,MATCH($A344&amp;"-5",输入报销!$J:$J,0))&amp;"","")</f>
        <v>销售费用</v>
      </c>
      <c r="F344" s="48" t="str">
        <f aca="false">IFERROR(INDEX(输入报销!$F:$F,MATCH($A344&amp;"-5",输入报销!$J:$J,0))&amp;"","")</f>
        <v>办公费</v>
      </c>
      <c r="G344" s="49" t="n">
        <f aca="false">IFERROR(ROUND(INDEX(输入报销!$G:$G,MATCH($A344&amp;"-5",输入报销!$J:$J,0)),2),0)</f>
        <v>29.9</v>
      </c>
      <c r="H344" s="49" t="n">
        <f aca="false">IF(ROUND($G344,2)&gt;0,ROUND($G344,2),"")</f>
        <v>29.9</v>
      </c>
      <c r="I344" s="49" t="str">
        <f aca="false">IF(ROUND($G344,2)&lt;0,-ROUND($G344,2),"")</f>
        <v/>
      </c>
      <c r="J344" s="20" t="n">
        <f aca="false">IF(ROUND($G344,2)=0,0,1)</f>
        <v>1</v>
      </c>
      <c r="K344" s="20" t="n">
        <f aca="false">IF($J344=0,"",SUM($J$340:$J344))</f>
        <v>5</v>
      </c>
      <c r="L344" s="20" t="n">
        <f aca="false">IF($K344="","",$A344*100+$K344)</f>
        <v>2705</v>
      </c>
      <c r="M344" s="48" t="str">
        <f aca="false">IFERROR(INDEX(输入报销!$D:$D,MATCH($A344&amp;"-5",输入报销!$J:$J,0))&amp;"","")</f>
        <v>慢病用品</v>
      </c>
    </row>
    <row r="345" customFormat="false" ht="13.5" hidden="false" customHeight="false" outlineLevel="0" collapsed="false">
      <c r="A345" s="47" t="n">
        <v>27</v>
      </c>
      <c r="C345" s="48" t="str">
        <f aca="false">助手报销!$C28</f>
        <v>博营店</v>
      </c>
      <c r="D345" s="81" t="s">
        <v>484</v>
      </c>
      <c r="E345" s="48" t="str">
        <f aca="false">IFERROR(INDEX(输入报销!$E:$E,MATCH($A345&amp;"-6",输入报销!$J:$J,0))&amp;"","")</f>
        <v/>
      </c>
      <c r="F345" s="48" t="str">
        <f aca="false">IFERROR(INDEX(输入报销!$F:$F,MATCH($A345&amp;"-6",输入报销!$J:$J,0))&amp;"","")</f>
        <v/>
      </c>
      <c r="G345" s="49" t="n">
        <f aca="false">IFERROR(ROUND(INDEX(输入报销!$G:$G,MATCH($A345&amp;"-6",输入报销!$J:$J,0)),2),0)</f>
        <v>0</v>
      </c>
      <c r="H345" s="49" t="str">
        <f aca="false">IF(ROUND($G345,2)&gt;0,ROUND($G345,2),"")</f>
        <v/>
      </c>
      <c r="I345" s="49" t="str">
        <f aca="false">IF(ROUND($G345,2)&lt;0,-ROUND($G345,2),"")</f>
        <v/>
      </c>
      <c r="J345" s="20" t="n">
        <f aca="false">IF(ROUND($G345,2)=0,0,1)</f>
        <v>0</v>
      </c>
      <c r="K345" s="20" t="str">
        <f aca="false">IF($J345=0,"",SUM($J$340:$J345))</f>
        <v/>
      </c>
      <c r="L345" s="20" t="str">
        <f aca="false">IF($K345="","",$A345*100+$K345)</f>
        <v/>
      </c>
      <c r="M345" s="48" t="str">
        <f aca="false">IFERROR(INDEX(输入报销!$D:$D,MATCH($A345&amp;"-6",输入报销!$J:$J,0))&amp;"","")</f>
        <v/>
      </c>
    </row>
    <row r="346" customFormat="false" ht="13.5" hidden="false" customHeight="false" outlineLevel="0" collapsed="false">
      <c r="A346" s="47" t="n">
        <v>27</v>
      </c>
      <c r="C346" s="48" t="str">
        <f aca="false">助手报销!$C28</f>
        <v>博营店</v>
      </c>
      <c r="D346" s="81" t="s">
        <v>485</v>
      </c>
      <c r="E346" s="48" t="str">
        <f aca="false">IFERROR(INDEX(输入报销!$E:$E,MATCH($A346&amp;"-7",输入报销!$J:$J,0))&amp;"","")</f>
        <v/>
      </c>
      <c r="F346" s="48" t="str">
        <f aca="false">IFERROR(INDEX(输入报销!$F:$F,MATCH($A346&amp;"-7",输入报销!$J:$J,0))&amp;"","")</f>
        <v/>
      </c>
      <c r="G346" s="49" t="n">
        <f aca="false">IFERROR(ROUND(INDEX(输入报销!$G:$G,MATCH($A346&amp;"-7",输入报销!$J:$J,0)),2),0)</f>
        <v>0</v>
      </c>
      <c r="H346" s="49" t="str">
        <f aca="false">IF(ROUND($G346,2)&gt;0,ROUND($G346,2),"")</f>
        <v/>
      </c>
      <c r="I346" s="49" t="str">
        <f aca="false">IF(ROUND($G346,2)&lt;0,-ROUND($G346,2),"")</f>
        <v/>
      </c>
      <c r="J346" s="20" t="n">
        <f aca="false">IF(ROUND($G346,2)=0,0,1)</f>
        <v>0</v>
      </c>
      <c r="K346" s="20" t="str">
        <f aca="false">IF($J346=0,"",SUM($J$340:$J346))</f>
        <v/>
      </c>
      <c r="L346" s="20" t="str">
        <f aca="false">IF($K346="","",$A346*100+$K346)</f>
        <v/>
      </c>
      <c r="M346" s="48" t="str">
        <f aca="false">IFERROR(INDEX(输入报销!$D:$D,MATCH($A346&amp;"-7",输入报销!$J:$J,0))&amp;"","")</f>
        <v/>
      </c>
    </row>
    <row r="347" customFormat="false" ht="13.5" hidden="false" customHeight="false" outlineLevel="0" collapsed="false">
      <c r="A347" s="47" t="n">
        <v>27</v>
      </c>
      <c r="C347" s="48" t="str">
        <f aca="false">助手报销!$C28</f>
        <v>博营店</v>
      </c>
      <c r="D347" s="81" t="s">
        <v>486</v>
      </c>
      <c r="E347" s="48" t="str">
        <f aca="false">IFERROR(INDEX(输入报销!$E:$E,MATCH($A347&amp;"-8",输入报销!$J:$J,0))&amp;"","")</f>
        <v/>
      </c>
      <c r="F347" s="48" t="str">
        <f aca="false">IFERROR(INDEX(输入报销!$F:$F,MATCH($A347&amp;"-8",输入报销!$J:$J,0))&amp;"","")</f>
        <v/>
      </c>
      <c r="G347" s="49" t="n">
        <f aca="false">IFERROR(ROUND(INDEX(输入报销!$G:$G,MATCH($A347&amp;"-8",输入报销!$J:$J,0)),2),0)</f>
        <v>0</v>
      </c>
      <c r="H347" s="49" t="str">
        <f aca="false">IF(ROUND($G347,2)&gt;0,ROUND($G347,2),"")</f>
        <v/>
      </c>
      <c r="I347" s="49" t="str">
        <f aca="false">IF(ROUND($G347,2)&lt;0,-ROUND($G347,2),"")</f>
        <v/>
      </c>
      <c r="J347" s="20" t="n">
        <f aca="false">IF(ROUND($G347,2)=0,0,1)</f>
        <v>0</v>
      </c>
      <c r="K347" s="20" t="str">
        <f aca="false">IF($J347=0,"",SUM($J$340:$J347))</f>
        <v/>
      </c>
      <c r="L347" s="20" t="str">
        <f aca="false">IF($K347="","",$A347*100+$K347)</f>
        <v/>
      </c>
      <c r="M347" s="48" t="str">
        <f aca="false">IFERROR(INDEX(输入报销!$D:$D,MATCH($A347&amp;"-8",输入报销!$J:$J,0))&amp;"","")</f>
        <v/>
      </c>
    </row>
    <row r="348" customFormat="false" ht="13.5" hidden="false" customHeight="false" outlineLevel="0" collapsed="false">
      <c r="A348" s="47" t="n">
        <v>27</v>
      </c>
      <c r="C348" s="48" t="str">
        <f aca="false">助手报销!$C28</f>
        <v>博营店</v>
      </c>
      <c r="D348" s="81" t="s">
        <v>487</v>
      </c>
      <c r="E348" s="48" t="str">
        <f aca="false">IFERROR(INDEX(输入报销!$E:$E,MATCH($A348&amp;"-9",输入报销!$J:$J,0))&amp;"","")</f>
        <v/>
      </c>
      <c r="F348" s="48" t="str">
        <f aca="false">IFERROR(INDEX(输入报销!$F:$F,MATCH($A348&amp;"-9",输入报销!$J:$J,0))&amp;"","")</f>
        <v/>
      </c>
      <c r="G348" s="49" t="n">
        <f aca="false">IFERROR(ROUND(INDEX(输入报销!$G:$G,MATCH($A348&amp;"-9",输入报销!$J:$J,0)),2),0)</f>
        <v>0</v>
      </c>
      <c r="H348" s="49" t="str">
        <f aca="false">IF(ROUND($G348,2)&gt;0,ROUND($G348,2),"")</f>
        <v/>
      </c>
      <c r="I348" s="49" t="str">
        <f aca="false">IF(ROUND($G348,2)&lt;0,-ROUND($G348,2),"")</f>
        <v/>
      </c>
      <c r="J348" s="20" t="n">
        <f aca="false">IF(ROUND($G348,2)=0,0,1)</f>
        <v>0</v>
      </c>
      <c r="K348" s="20" t="str">
        <f aca="false">IF($J348=0,"",SUM($J$340:$J348))</f>
        <v/>
      </c>
      <c r="L348" s="20" t="str">
        <f aca="false">IF($K348="","",$A348*100+$K348)</f>
        <v/>
      </c>
      <c r="M348" s="48" t="str">
        <f aca="false">IFERROR(INDEX(输入报销!$D:$D,MATCH($A348&amp;"-9",输入报销!$J:$J,0))&amp;"","")</f>
        <v/>
      </c>
    </row>
    <row r="349" customFormat="false" ht="13.5" hidden="false" customHeight="false" outlineLevel="0" collapsed="false">
      <c r="A349" s="47" t="n">
        <v>27</v>
      </c>
      <c r="C349" s="48" t="str">
        <f aca="false">助手报销!$C28</f>
        <v>博营店</v>
      </c>
      <c r="D349" s="81" t="s">
        <v>488</v>
      </c>
      <c r="E349" s="48" t="str">
        <f aca="false">IFERROR(INDEX(输入报销!$E:$E,MATCH($A349&amp;"-10",输入报销!$J:$J,0))&amp;"","")</f>
        <v/>
      </c>
      <c r="F349" s="48" t="str">
        <f aca="false">IFERROR(INDEX(输入报销!$F:$F,MATCH($A349&amp;"-10",输入报销!$J:$J,0))&amp;"","")</f>
        <v/>
      </c>
      <c r="G349" s="49" t="n">
        <f aca="false">IFERROR(ROUND(INDEX(输入报销!$G:$G,MATCH($A349&amp;"-10",输入报销!$J:$J,0)),2),0)</f>
        <v>0</v>
      </c>
      <c r="H349" s="49" t="str">
        <f aca="false">IF(ROUND($G349,2)&gt;0,ROUND($G349,2),"")</f>
        <v/>
      </c>
      <c r="I349" s="49" t="str">
        <f aca="false">IF(ROUND($G349,2)&lt;0,-ROUND($G349,2),"")</f>
        <v/>
      </c>
      <c r="J349" s="20" t="n">
        <f aca="false">IF(ROUND($G349,2)=0,0,1)</f>
        <v>0</v>
      </c>
      <c r="K349" s="20" t="str">
        <f aca="false">IF($J349=0,"",SUM($J$340:$J349))</f>
        <v/>
      </c>
      <c r="L349" s="20" t="str">
        <f aca="false">IF($K349="","",$A349*100+$K349)</f>
        <v/>
      </c>
      <c r="M349" s="48" t="str">
        <f aca="false">IFERROR(INDEX(输入报销!$D:$D,MATCH($A349&amp;"-10",输入报销!$J:$J,0))&amp;"","")</f>
        <v/>
      </c>
    </row>
    <row r="350" customFormat="false" ht="13.5" hidden="false" customHeight="false" outlineLevel="0" collapsed="false">
      <c r="A350" s="47" t="n">
        <v>27</v>
      </c>
      <c r="C350" s="48" t="str">
        <f aca="false">助手报销!$C28</f>
        <v>博营店</v>
      </c>
      <c r="D350" s="81" t="s">
        <v>489</v>
      </c>
      <c r="E350" s="48" t="str">
        <f aca="false">参数!$B$6</f>
        <v>库存现金</v>
      </c>
      <c r="F350" s="48" t="str">
        <f aca="false">""</f>
        <v/>
      </c>
      <c r="G350" s="49" t="n">
        <f aca="false">-ROUND(SUMIFS(输入报销!$G:$G,输入报销!$A:$A,$A350,输入报销!$H:$H,参数!$B$6),2)</f>
        <v>-819.9</v>
      </c>
      <c r="H350" s="49" t="str">
        <f aca="false">IF(ROUND($G350,2)&gt;0,ROUND($G350,2),"")</f>
        <v/>
      </c>
      <c r="I350" s="49" t="n">
        <f aca="false">IF(ROUND($G350,2)&lt;0,-ROUND($G350,2),"")</f>
        <v>819.9</v>
      </c>
      <c r="J350" s="20" t="n">
        <f aca="false">IF(ROUND($G350,2)=0,0,1)</f>
        <v>1</v>
      </c>
      <c r="K350" s="20" t="n">
        <f aca="false">IF($J350=0,"",SUM($J$340:$J350))</f>
        <v>6</v>
      </c>
      <c r="L350" s="20" t="n">
        <f aca="false">IF($K350="","",$A350*100+$K350)</f>
        <v>2706</v>
      </c>
      <c r="M350" s="48" t="str">
        <f aca="false">""</f>
        <v/>
      </c>
    </row>
    <row r="351" customFormat="false" ht="13.5" hidden="false" customHeight="false" outlineLevel="0" collapsed="false">
      <c r="A351" s="47" t="n">
        <v>27</v>
      </c>
      <c r="C351" s="48" t="str">
        <f aca="false">助手报销!$C28</f>
        <v>博营店</v>
      </c>
      <c r="D351" s="81" t="s">
        <v>490</v>
      </c>
      <c r="E351" s="48" t="str">
        <f aca="false">参数!$B$7</f>
        <v>银行存款</v>
      </c>
      <c r="F351" s="48" t="str">
        <f aca="false">""</f>
        <v/>
      </c>
      <c r="G351" s="49" t="n">
        <f aca="false">-ROUND(SUMIFS(输入报销!$G:$G,输入报销!$A:$A,$A351,输入报销!$H:$H,参数!$B$7),2)</f>
        <v>-0</v>
      </c>
      <c r="H351" s="49" t="str">
        <f aca="false">IF(ROUND($G351,2)&gt;0,ROUND($G351,2),"")</f>
        <v/>
      </c>
      <c r="I351" s="49" t="str">
        <f aca="false">IF(ROUND($G351,2)&lt;0,-ROUND($G351,2),"")</f>
        <v/>
      </c>
      <c r="J351" s="20" t="n">
        <f aca="false">IF(ROUND($G351,2)=0,0,1)</f>
        <v>0</v>
      </c>
      <c r="K351" s="20" t="str">
        <f aca="false">IF($J351=0,"",SUM($J$340:$J351))</f>
        <v/>
      </c>
      <c r="L351" s="20" t="str">
        <f aca="false">IF($K351="","",$A351*100+$K351)</f>
        <v/>
      </c>
      <c r="M351" s="48" t="str">
        <f aca="false">""</f>
        <v/>
      </c>
    </row>
    <row r="352" customFormat="false" ht="13.5" hidden="false" customHeight="false" outlineLevel="0" collapsed="false">
      <c r="A352" s="47" t="n">
        <v>27</v>
      </c>
      <c r="C352" s="48" t="str">
        <f aca="false">助手报销!$C28</f>
        <v>博营店</v>
      </c>
      <c r="D352" s="81" t="s">
        <v>491</v>
      </c>
      <c r="E352" s="48" t="str">
        <f aca="false">参数!$B$8</f>
        <v>其他应付款</v>
      </c>
      <c r="F352" s="48" t="str">
        <f aca="false">""</f>
        <v/>
      </c>
      <c r="G352" s="49" t="n">
        <f aca="false">-ROUND(SUMIFS(输入报销!$G:$G,输入报销!$A:$A,$A352,输入报销!$H:$H,参数!$B$8),2)</f>
        <v>-0</v>
      </c>
      <c r="H352" s="49" t="str">
        <f aca="false">IF(ROUND($G352,2)&gt;0,ROUND($G352,2),"")</f>
        <v/>
      </c>
      <c r="I352" s="49" t="str">
        <f aca="false">IF(ROUND($G352,2)&lt;0,-ROUND($G352,2),"")</f>
        <v/>
      </c>
      <c r="J352" s="20" t="n">
        <f aca="false">IF(ROUND($G352,2)=0,0,1)</f>
        <v>0</v>
      </c>
      <c r="K352" s="20" t="str">
        <f aca="false">IF($J352=0,"",SUM($J$340:$J352))</f>
        <v/>
      </c>
      <c r="L352" s="20" t="str">
        <f aca="false">IF($K352="","",$A352*100+$K352)</f>
        <v/>
      </c>
      <c r="M352" s="48" t="str">
        <f aca="false">""</f>
        <v/>
      </c>
    </row>
    <row r="353" customFormat="false" ht="13.5" hidden="false" customHeight="false" outlineLevel="0" collapsed="false">
      <c r="A353" s="47" t="n">
        <v>28</v>
      </c>
      <c r="C353" s="48" t="str">
        <f aca="false">助手报销!$C29</f>
        <v>博康店</v>
      </c>
      <c r="D353" s="81" t="s">
        <v>479</v>
      </c>
      <c r="E353" s="48" t="str">
        <f aca="false">IFERROR(INDEX(输入报销!$E:$E,MATCH($A353&amp;"-1",输入报销!$J:$J,0))&amp;"","")</f>
        <v>销售费用</v>
      </c>
      <c r="F353" s="48" t="str">
        <f aca="false">IFERROR(INDEX(输入报销!$F:$F,MATCH($A353&amp;"-1",输入报销!$J:$J,0))&amp;"","")</f>
        <v>水费</v>
      </c>
      <c r="G353" s="49" t="n">
        <f aca="false">IFERROR(ROUND(INDEX(输入报销!$G:$G,MATCH($A353&amp;"-1",输入报销!$J:$J,0)),2),0)</f>
        <v>23.3</v>
      </c>
      <c r="H353" s="49" t="n">
        <f aca="false">IF(ROUND($G353,2)&gt;0,ROUND($G353,2),"")</f>
        <v>23.3</v>
      </c>
      <c r="I353" s="49" t="str">
        <f aca="false">IF(ROUND($G353,2)&lt;0,-ROUND($G353,2),"")</f>
        <v/>
      </c>
      <c r="J353" s="20" t="n">
        <f aca="false">IF(ROUND($G353,2)=0,0,1)</f>
        <v>1</v>
      </c>
      <c r="K353" s="20" t="n">
        <f aca="false">IF($J353=0,"",SUM($J$353:$J353))</f>
        <v>1</v>
      </c>
      <c r="L353" s="20" t="n">
        <f aca="false">IF($K353="","",$A353*100+$K353)</f>
        <v>2801</v>
      </c>
      <c r="M353" s="48" t="str">
        <f aca="false">IFERROR(INDEX(输入报销!$D:$D,MATCH($A353&amp;"-1",输入报销!$J:$J,0))&amp;"","")</f>
        <v>水费</v>
      </c>
    </row>
    <row r="354" customFormat="false" ht="13.5" hidden="false" customHeight="false" outlineLevel="0" collapsed="false">
      <c r="A354" s="47" t="n">
        <v>28</v>
      </c>
      <c r="C354" s="48" t="str">
        <f aca="false">助手报销!$C29</f>
        <v>博康店</v>
      </c>
      <c r="D354" s="81" t="s">
        <v>480</v>
      </c>
      <c r="E354" s="48" t="str">
        <f aca="false">IFERROR(INDEX(输入报销!$E:$E,MATCH($A354&amp;"-2",输入报销!$J:$J,0))&amp;"","")</f>
        <v>销售费用</v>
      </c>
      <c r="F354" s="48" t="str">
        <f aca="false">IFERROR(INDEX(输入报销!$F:$F,MATCH($A354&amp;"-2",输入报销!$J:$J,0))&amp;"","")</f>
        <v>办公费</v>
      </c>
      <c r="G354" s="49" t="n">
        <f aca="false">IFERROR(ROUND(INDEX(输入报销!$G:$G,MATCH($A354&amp;"-2",输入报销!$J:$J,0)),2),0)</f>
        <v>30.9</v>
      </c>
      <c r="H354" s="49" t="n">
        <f aca="false">IF(ROUND($G354,2)&gt;0,ROUND($G354,2),"")</f>
        <v>30.9</v>
      </c>
      <c r="I354" s="49" t="str">
        <f aca="false">IF(ROUND($G354,2)&lt;0,-ROUND($G354,2),"")</f>
        <v/>
      </c>
      <c r="J354" s="20" t="n">
        <f aca="false">IF(ROUND($G354,2)=0,0,1)</f>
        <v>1</v>
      </c>
      <c r="K354" s="20" t="n">
        <f aca="false">IF($J354=0,"",SUM($J$353:$J354))</f>
        <v>2</v>
      </c>
      <c r="L354" s="20" t="n">
        <f aca="false">IF($K354="","",$A354*100+$K354)</f>
        <v>2802</v>
      </c>
      <c r="M354" s="48" t="str">
        <f aca="false">IFERROR(INDEX(输入报销!$D:$D,MATCH($A354&amp;"-2",输入报销!$J:$J,0))&amp;"","")</f>
        <v>慢病用品</v>
      </c>
    </row>
    <row r="355" customFormat="false" ht="13.5" hidden="false" customHeight="false" outlineLevel="0" collapsed="false">
      <c r="A355" s="47" t="n">
        <v>28</v>
      </c>
      <c r="C355" s="48" t="str">
        <f aca="false">助手报销!$C29</f>
        <v>博康店</v>
      </c>
      <c r="D355" s="81" t="s">
        <v>481</v>
      </c>
      <c r="E355" s="48" t="str">
        <f aca="false">IFERROR(INDEX(输入报销!$E:$E,MATCH($A355&amp;"-3",输入报销!$J:$J,0))&amp;"","")</f>
        <v>销售费用</v>
      </c>
      <c r="F355" s="48" t="str">
        <f aca="false">IFERROR(INDEX(输入报销!$F:$F,MATCH($A355&amp;"-3",输入报销!$J:$J,0))&amp;"","")</f>
        <v>福利费</v>
      </c>
      <c r="G355" s="49" t="n">
        <f aca="false">IFERROR(ROUND(INDEX(输入报销!$G:$G,MATCH($A355&amp;"-3",输入报销!$J:$J,0)),2),0)</f>
        <v>50</v>
      </c>
      <c r="H355" s="49" t="n">
        <f aca="false">IF(ROUND($G355,2)&gt;0,ROUND($G355,2),"")</f>
        <v>50</v>
      </c>
      <c r="I355" s="49" t="str">
        <f aca="false">IF(ROUND($G355,2)&lt;0,-ROUND($G355,2),"")</f>
        <v/>
      </c>
      <c r="J355" s="20" t="n">
        <f aca="false">IF(ROUND($G355,2)=0,0,1)</f>
        <v>1</v>
      </c>
      <c r="K355" s="20" t="n">
        <f aca="false">IF($J355=0,"",SUM($J$353:$J355))</f>
        <v>3</v>
      </c>
      <c r="L355" s="20" t="n">
        <f aca="false">IF($K355="","",$A355*100+$K355)</f>
        <v>2803</v>
      </c>
      <c r="M355" s="48" t="str">
        <f aca="false">IFERROR(INDEX(输入报销!$D:$D,MATCH($A355&amp;"-3",输入报销!$J:$J,0))&amp;"","")</f>
        <v>车费</v>
      </c>
    </row>
    <row r="356" customFormat="false" ht="13.5" hidden="false" customHeight="false" outlineLevel="0" collapsed="false">
      <c r="A356" s="47" t="n">
        <v>28</v>
      </c>
      <c r="C356" s="48" t="str">
        <f aca="false">助手报销!$C29</f>
        <v>博康店</v>
      </c>
      <c r="D356" s="81" t="s">
        <v>482</v>
      </c>
      <c r="E356" s="48" t="str">
        <f aca="false">IFERROR(INDEX(输入报销!$E:$E,MATCH($A356&amp;"-4",输入报销!$J:$J,0))&amp;"","")</f>
        <v>销售费用</v>
      </c>
      <c r="F356" s="48" t="str">
        <f aca="false">IFERROR(INDEX(输入报销!$F:$F,MATCH($A356&amp;"-4",输入报销!$J:$J,0))&amp;"","")</f>
        <v>办公费</v>
      </c>
      <c r="G356" s="49" t="n">
        <f aca="false">IFERROR(ROUND(INDEX(输入报销!$G:$G,MATCH($A356&amp;"-4",输入报销!$J:$J,0)),2),0)</f>
        <v>40</v>
      </c>
      <c r="H356" s="49" t="n">
        <f aca="false">IF(ROUND($G356,2)&gt;0,ROUND($G356,2),"")</f>
        <v>40</v>
      </c>
      <c r="I356" s="49" t="str">
        <f aca="false">IF(ROUND($G356,2)&lt;0,-ROUND($G356,2),"")</f>
        <v/>
      </c>
      <c r="J356" s="20" t="n">
        <f aca="false">IF(ROUND($G356,2)=0,0,1)</f>
        <v>1</v>
      </c>
      <c r="K356" s="20" t="n">
        <f aca="false">IF($J356=0,"",SUM($J$353:$J356))</f>
        <v>4</v>
      </c>
      <c r="L356" s="20" t="n">
        <f aca="false">IF($K356="","",$A356*100+$K356)</f>
        <v>2804</v>
      </c>
      <c r="M356" s="48" t="str">
        <f aca="false">IFERROR(INDEX(输入报销!$D:$D,MATCH($A356&amp;"-4",输入报销!$J:$J,0))&amp;"","")</f>
        <v>灭火器检测</v>
      </c>
    </row>
    <row r="357" customFormat="false" ht="13.5" hidden="false" customHeight="false" outlineLevel="0" collapsed="false">
      <c r="A357" s="47" t="n">
        <v>28</v>
      </c>
      <c r="C357" s="48" t="str">
        <f aca="false">助手报销!$C29</f>
        <v>博康店</v>
      </c>
      <c r="D357" s="81" t="s">
        <v>483</v>
      </c>
      <c r="E357" s="48" t="str">
        <f aca="false">IFERROR(INDEX(输入报销!$E:$E,MATCH($A357&amp;"-5",输入报销!$J:$J,0))&amp;"","")</f>
        <v>销售费用</v>
      </c>
      <c r="F357" s="48" t="str">
        <f aca="false">IFERROR(INDEX(输入报销!$F:$F,MATCH($A357&amp;"-5",输入报销!$J:$J,0))&amp;"","")</f>
        <v>电费</v>
      </c>
      <c r="G357" s="49" t="n">
        <f aca="false">IFERROR(ROUND(INDEX(输入报销!$G:$G,MATCH($A357&amp;"-5",输入报销!$J:$J,0)),2),0)</f>
        <v>500</v>
      </c>
      <c r="H357" s="49" t="n">
        <f aca="false">IF(ROUND($G357,2)&gt;0,ROUND($G357,2),"")</f>
        <v>500</v>
      </c>
      <c r="I357" s="49" t="str">
        <f aca="false">IF(ROUND($G357,2)&lt;0,-ROUND($G357,2),"")</f>
        <v/>
      </c>
      <c r="J357" s="20" t="n">
        <f aca="false">IF(ROUND($G357,2)=0,0,1)</f>
        <v>1</v>
      </c>
      <c r="K357" s="20" t="n">
        <f aca="false">IF($J357=0,"",SUM($J$353:$J357))</f>
        <v>5</v>
      </c>
      <c r="L357" s="20" t="n">
        <f aca="false">IF($K357="","",$A357*100+$K357)</f>
        <v>2805</v>
      </c>
      <c r="M357" s="48" t="str">
        <f aca="false">IFERROR(INDEX(输入报销!$D:$D,MATCH($A357&amp;"-5",输入报销!$J:$J,0))&amp;"","")</f>
        <v>电费</v>
      </c>
    </row>
    <row r="358" customFormat="false" ht="13.5" hidden="false" customHeight="false" outlineLevel="0" collapsed="false">
      <c r="A358" s="47" t="n">
        <v>28</v>
      </c>
      <c r="C358" s="48" t="str">
        <f aca="false">助手报销!$C29</f>
        <v>博康店</v>
      </c>
      <c r="D358" s="81" t="s">
        <v>484</v>
      </c>
      <c r="E358" s="48" t="str">
        <f aca="false">IFERROR(INDEX(输入报销!$E:$E,MATCH($A358&amp;"-6",输入报销!$J:$J,0))&amp;"","")</f>
        <v/>
      </c>
      <c r="F358" s="48" t="str">
        <f aca="false">IFERROR(INDEX(输入报销!$F:$F,MATCH($A358&amp;"-6",输入报销!$J:$J,0))&amp;"","")</f>
        <v/>
      </c>
      <c r="G358" s="49" t="n">
        <f aca="false">IFERROR(ROUND(INDEX(输入报销!$G:$G,MATCH($A358&amp;"-6",输入报销!$J:$J,0)),2),0)</f>
        <v>0</v>
      </c>
      <c r="H358" s="49" t="str">
        <f aca="false">IF(ROUND($G358,2)&gt;0,ROUND($G358,2),"")</f>
        <v/>
      </c>
      <c r="I358" s="49" t="str">
        <f aca="false">IF(ROUND($G358,2)&lt;0,-ROUND($G358,2),"")</f>
        <v/>
      </c>
      <c r="J358" s="20" t="n">
        <f aca="false">IF(ROUND($G358,2)=0,0,1)</f>
        <v>0</v>
      </c>
      <c r="K358" s="20" t="str">
        <f aca="false">IF($J358=0,"",SUM($J$353:$J358))</f>
        <v/>
      </c>
      <c r="L358" s="20" t="str">
        <f aca="false">IF($K358="","",$A358*100+$K358)</f>
        <v/>
      </c>
      <c r="M358" s="48" t="str">
        <f aca="false">IFERROR(INDEX(输入报销!$D:$D,MATCH($A358&amp;"-6",输入报销!$J:$J,0))&amp;"","")</f>
        <v/>
      </c>
    </row>
    <row r="359" customFormat="false" ht="13.5" hidden="false" customHeight="false" outlineLevel="0" collapsed="false">
      <c r="A359" s="47" t="n">
        <v>28</v>
      </c>
      <c r="C359" s="48" t="str">
        <f aca="false">助手报销!$C29</f>
        <v>博康店</v>
      </c>
      <c r="D359" s="81" t="s">
        <v>485</v>
      </c>
      <c r="E359" s="48" t="str">
        <f aca="false">IFERROR(INDEX(输入报销!$E:$E,MATCH($A359&amp;"-7",输入报销!$J:$J,0))&amp;"","")</f>
        <v/>
      </c>
      <c r="F359" s="48" t="str">
        <f aca="false">IFERROR(INDEX(输入报销!$F:$F,MATCH($A359&amp;"-7",输入报销!$J:$J,0))&amp;"","")</f>
        <v/>
      </c>
      <c r="G359" s="49" t="n">
        <f aca="false">IFERROR(ROUND(INDEX(输入报销!$G:$G,MATCH($A359&amp;"-7",输入报销!$J:$J,0)),2),0)</f>
        <v>0</v>
      </c>
      <c r="H359" s="49" t="str">
        <f aca="false">IF(ROUND($G359,2)&gt;0,ROUND($G359,2),"")</f>
        <v/>
      </c>
      <c r="I359" s="49" t="str">
        <f aca="false">IF(ROUND($G359,2)&lt;0,-ROUND($G359,2),"")</f>
        <v/>
      </c>
      <c r="J359" s="20" t="n">
        <f aca="false">IF(ROUND($G359,2)=0,0,1)</f>
        <v>0</v>
      </c>
      <c r="K359" s="20" t="str">
        <f aca="false">IF($J359=0,"",SUM($J$353:$J359))</f>
        <v/>
      </c>
      <c r="L359" s="20" t="str">
        <f aca="false">IF($K359="","",$A359*100+$K359)</f>
        <v/>
      </c>
      <c r="M359" s="48" t="str">
        <f aca="false">IFERROR(INDEX(输入报销!$D:$D,MATCH($A359&amp;"-7",输入报销!$J:$J,0))&amp;"","")</f>
        <v/>
      </c>
    </row>
    <row r="360" customFormat="false" ht="13.5" hidden="false" customHeight="false" outlineLevel="0" collapsed="false">
      <c r="A360" s="47" t="n">
        <v>28</v>
      </c>
      <c r="C360" s="48" t="str">
        <f aca="false">助手报销!$C29</f>
        <v>博康店</v>
      </c>
      <c r="D360" s="81" t="s">
        <v>486</v>
      </c>
      <c r="E360" s="48" t="str">
        <f aca="false">IFERROR(INDEX(输入报销!$E:$E,MATCH($A360&amp;"-8",输入报销!$J:$J,0))&amp;"","")</f>
        <v/>
      </c>
      <c r="F360" s="48" t="str">
        <f aca="false">IFERROR(INDEX(输入报销!$F:$F,MATCH($A360&amp;"-8",输入报销!$J:$J,0))&amp;"","")</f>
        <v/>
      </c>
      <c r="G360" s="49" t="n">
        <f aca="false">IFERROR(ROUND(INDEX(输入报销!$G:$G,MATCH($A360&amp;"-8",输入报销!$J:$J,0)),2),0)</f>
        <v>0</v>
      </c>
      <c r="H360" s="49" t="str">
        <f aca="false">IF(ROUND($G360,2)&gt;0,ROUND($G360,2),"")</f>
        <v/>
      </c>
      <c r="I360" s="49" t="str">
        <f aca="false">IF(ROUND($G360,2)&lt;0,-ROUND($G360,2),"")</f>
        <v/>
      </c>
      <c r="J360" s="20" t="n">
        <f aca="false">IF(ROUND($G360,2)=0,0,1)</f>
        <v>0</v>
      </c>
      <c r="K360" s="20" t="str">
        <f aca="false">IF($J360=0,"",SUM($J$353:$J360))</f>
        <v/>
      </c>
      <c r="L360" s="20" t="str">
        <f aca="false">IF($K360="","",$A360*100+$K360)</f>
        <v/>
      </c>
      <c r="M360" s="48" t="str">
        <f aca="false">IFERROR(INDEX(输入报销!$D:$D,MATCH($A360&amp;"-8",输入报销!$J:$J,0))&amp;"","")</f>
        <v/>
      </c>
    </row>
    <row r="361" customFormat="false" ht="13.5" hidden="false" customHeight="false" outlineLevel="0" collapsed="false">
      <c r="A361" s="47" t="n">
        <v>28</v>
      </c>
      <c r="C361" s="48" t="str">
        <f aca="false">助手报销!$C29</f>
        <v>博康店</v>
      </c>
      <c r="D361" s="81" t="s">
        <v>487</v>
      </c>
      <c r="E361" s="48" t="str">
        <f aca="false">IFERROR(INDEX(输入报销!$E:$E,MATCH($A361&amp;"-9",输入报销!$J:$J,0))&amp;"","")</f>
        <v/>
      </c>
      <c r="F361" s="48" t="str">
        <f aca="false">IFERROR(INDEX(输入报销!$F:$F,MATCH($A361&amp;"-9",输入报销!$J:$J,0))&amp;"","")</f>
        <v/>
      </c>
      <c r="G361" s="49" t="n">
        <f aca="false">IFERROR(ROUND(INDEX(输入报销!$G:$G,MATCH($A361&amp;"-9",输入报销!$J:$J,0)),2),0)</f>
        <v>0</v>
      </c>
      <c r="H361" s="49" t="str">
        <f aca="false">IF(ROUND($G361,2)&gt;0,ROUND($G361,2),"")</f>
        <v/>
      </c>
      <c r="I361" s="49" t="str">
        <f aca="false">IF(ROUND($G361,2)&lt;0,-ROUND($G361,2),"")</f>
        <v/>
      </c>
      <c r="J361" s="20" t="n">
        <f aca="false">IF(ROUND($G361,2)=0,0,1)</f>
        <v>0</v>
      </c>
      <c r="K361" s="20" t="str">
        <f aca="false">IF($J361=0,"",SUM($J$353:$J361))</f>
        <v/>
      </c>
      <c r="L361" s="20" t="str">
        <f aca="false">IF($K361="","",$A361*100+$K361)</f>
        <v/>
      </c>
      <c r="M361" s="48" t="str">
        <f aca="false">IFERROR(INDEX(输入报销!$D:$D,MATCH($A361&amp;"-9",输入报销!$J:$J,0))&amp;"","")</f>
        <v/>
      </c>
    </row>
    <row r="362" customFormat="false" ht="13.5" hidden="false" customHeight="false" outlineLevel="0" collapsed="false">
      <c r="A362" s="47" t="n">
        <v>28</v>
      </c>
      <c r="C362" s="48" t="str">
        <f aca="false">助手报销!$C29</f>
        <v>博康店</v>
      </c>
      <c r="D362" s="81" t="s">
        <v>488</v>
      </c>
      <c r="E362" s="48" t="str">
        <f aca="false">IFERROR(INDEX(输入报销!$E:$E,MATCH($A362&amp;"-10",输入报销!$J:$J,0))&amp;"","")</f>
        <v/>
      </c>
      <c r="F362" s="48" t="str">
        <f aca="false">IFERROR(INDEX(输入报销!$F:$F,MATCH($A362&amp;"-10",输入报销!$J:$J,0))&amp;"","")</f>
        <v/>
      </c>
      <c r="G362" s="49" t="n">
        <f aca="false">IFERROR(ROUND(INDEX(输入报销!$G:$G,MATCH($A362&amp;"-10",输入报销!$J:$J,0)),2),0)</f>
        <v>0</v>
      </c>
      <c r="H362" s="49" t="str">
        <f aca="false">IF(ROUND($G362,2)&gt;0,ROUND($G362,2),"")</f>
        <v/>
      </c>
      <c r="I362" s="49" t="str">
        <f aca="false">IF(ROUND($G362,2)&lt;0,-ROUND($G362,2),"")</f>
        <v/>
      </c>
      <c r="J362" s="20" t="n">
        <f aca="false">IF(ROUND($G362,2)=0,0,1)</f>
        <v>0</v>
      </c>
      <c r="K362" s="20" t="str">
        <f aca="false">IF($J362=0,"",SUM($J$353:$J362))</f>
        <v/>
      </c>
      <c r="L362" s="20" t="str">
        <f aca="false">IF($K362="","",$A362*100+$K362)</f>
        <v/>
      </c>
      <c r="M362" s="48" t="str">
        <f aca="false">IFERROR(INDEX(输入报销!$D:$D,MATCH($A362&amp;"-10",输入报销!$J:$J,0))&amp;"","")</f>
        <v/>
      </c>
    </row>
    <row r="363" customFormat="false" ht="13.5" hidden="false" customHeight="false" outlineLevel="0" collapsed="false">
      <c r="A363" s="47" t="n">
        <v>28</v>
      </c>
      <c r="C363" s="48" t="str">
        <f aca="false">助手报销!$C29</f>
        <v>博康店</v>
      </c>
      <c r="D363" s="81" t="s">
        <v>489</v>
      </c>
      <c r="E363" s="48" t="str">
        <f aca="false">参数!$B$6</f>
        <v>库存现金</v>
      </c>
      <c r="F363" s="48" t="str">
        <f aca="false">""</f>
        <v/>
      </c>
      <c r="G363" s="49" t="n">
        <f aca="false">-ROUND(SUMIFS(输入报销!$G:$G,输入报销!$A:$A,$A363,输入报销!$H:$H,参数!$B$6),2)</f>
        <v>-644.2</v>
      </c>
      <c r="H363" s="49" t="str">
        <f aca="false">IF(ROUND($G363,2)&gt;0,ROUND($G363,2),"")</f>
        <v/>
      </c>
      <c r="I363" s="49" t="n">
        <f aca="false">IF(ROUND($G363,2)&lt;0,-ROUND($G363,2),"")</f>
        <v>644.2</v>
      </c>
      <c r="J363" s="20" t="n">
        <f aca="false">IF(ROUND($G363,2)=0,0,1)</f>
        <v>1</v>
      </c>
      <c r="K363" s="20" t="n">
        <f aca="false">IF($J363=0,"",SUM($J$353:$J363))</f>
        <v>6</v>
      </c>
      <c r="L363" s="20" t="n">
        <f aca="false">IF($K363="","",$A363*100+$K363)</f>
        <v>2806</v>
      </c>
      <c r="M363" s="48" t="str">
        <f aca="false">""</f>
        <v/>
      </c>
    </row>
    <row r="364" customFormat="false" ht="13.5" hidden="false" customHeight="false" outlineLevel="0" collapsed="false">
      <c r="A364" s="47" t="n">
        <v>28</v>
      </c>
      <c r="C364" s="48" t="str">
        <f aca="false">助手报销!$C29</f>
        <v>博康店</v>
      </c>
      <c r="D364" s="81" t="s">
        <v>490</v>
      </c>
      <c r="E364" s="48" t="str">
        <f aca="false">参数!$B$7</f>
        <v>银行存款</v>
      </c>
      <c r="F364" s="48" t="str">
        <f aca="false">""</f>
        <v/>
      </c>
      <c r="G364" s="49" t="n">
        <f aca="false">-ROUND(SUMIFS(输入报销!$G:$G,输入报销!$A:$A,$A364,输入报销!$H:$H,参数!$B$7),2)</f>
        <v>-0</v>
      </c>
      <c r="H364" s="49" t="str">
        <f aca="false">IF(ROUND($G364,2)&gt;0,ROUND($G364,2),"")</f>
        <v/>
      </c>
      <c r="I364" s="49" t="str">
        <f aca="false">IF(ROUND($G364,2)&lt;0,-ROUND($G364,2),"")</f>
        <v/>
      </c>
      <c r="J364" s="20" t="n">
        <f aca="false">IF(ROUND($G364,2)=0,0,1)</f>
        <v>0</v>
      </c>
      <c r="K364" s="20" t="str">
        <f aca="false">IF($J364=0,"",SUM($J$353:$J364))</f>
        <v/>
      </c>
      <c r="L364" s="20" t="str">
        <f aca="false">IF($K364="","",$A364*100+$K364)</f>
        <v/>
      </c>
      <c r="M364" s="48" t="str">
        <f aca="false">""</f>
        <v/>
      </c>
    </row>
    <row r="365" customFormat="false" ht="13.5" hidden="false" customHeight="false" outlineLevel="0" collapsed="false">
      <c r="A365" s="47" t="n">
        <v>28</v>
      </c>
      <c r="C365" s="48" t="str">
        <f aca="false">助手报销!$C29</f>
        <v>博康店</v>
      </c>
      <c r="D365" s="81" t="s">
        <v>491</v>
      </c>
      <c r="E365" s="48" t="str">
        <f aca="false">参数!$B$8</f>
        <v>其他应付款</v>
      </c>
      <c r="F365" s="48" t="str">
        <f aca="false">""</f>
        <v/>
      </c>
      <c r="G365" s="49" t="n">
        <f aca="false">-ROUND(SUMIFS(输入报销!$G:$G,输入报销!$A:$A,$A365,输入报销!$H:$H,参数!$B$8),2)</f>
        <v>-0</v>
      </c>
      <c r="H365" s="49" t="str">
        <f aca="false">IF(ROUND($G365,2)&gt;0,ROUND($G365,2),"")</f>
        <v/>
      </c>
      <c r="I365" s="49" t="str">
        <f aca="false">IF(ROUND($G365,2)&lt;0,-ROUND($G365,2),"")</f>
        <v/>
      </c>
      <c r="J365" s="20" t="n">
        <f aca="false">IF(ROUND($G365,2)=0,0,1)</f>
        <v>0</v>
      </c>
      <c r="K365" s="20" t="str">
        <f aca="false">IF($J365=0,"",SUM($J$353:$J365))</f>
        <v/>
      </c>
      <c r="L365" s="20" t="str">
        <f aca="false">IF($K365="","",$A365*100+$K365)</f>
        <v/>
      </c>
      <c r="M365" s="48" t="str">
        <f aca="false">""</f>
        <v/>
      </c>
    </row>
    <row r="366" customFormat="false" ht="13.5" hidden="false" customHeight="false" outlineLevel="0" collapsed="false">
      <c r="A366" s="47" t="n">
        <v>29</v>
      </c>
      <c r="C366" s="48" t="str">
        <f aca="false">助手报销!$C30</f>
        <v>博联店</v>
      </c>
      <c r="D366" s="81" t="s">
        <v>479</v>
      </c>
      <c r="E366" s="48" t="str">
        <f aca="false">IFERROR(INDEX(输入报销!$E:$E,MATCH($A366&amp;"-1",输入报销!$J:$J,0))&amp;"","")</f>
        <v>销售费用</v>
      </c>
      <c r="F366" s="48" t="str">
        <f aca="false">IFERROR(INDEX(输入报销!$F:$F,MATCH($A366&amp;"-1",输入报销!$J:$J,0))&amp;"","")</f>
        <v>电费</v>
      </c>
      <c r="G366" s="49" t="n">
        <f aca="false">IFERROR(ROUND(INDEX(输入报销!$G:$G,MATCH($A366&amp;"-1",输入报销!$J:$J,0)),2),0)</f>
        <v>819</v>
      </c>
      <c r="H366" s="49" t="n">
        <f aca="false">IF(ROUND($G366,2)&gt;0,ROUND($G366,2),"")</f>
        <v>819</v>
      </c>
      <c r="I366" s="49" t="str">
        <f aca="false">IF(ROUND($G366,2)&lt;0,-ROUND($G366,2),"")</f>
        <v/>
      </c>
      <c r="J366" s="20" t="n">
        <f aca="false">IF(ROUND($G366,2)=0,0,1)</f>
        <v>1</v>
      </c>
      <c r="K366" s="20" t="n">
        <f aca="false">IF($J366=0,"",SUM($J$366:$J366))</f>
        <v>1</v>
      </c>
      <c r="L366" s="20" t="n">
        <f aca="false">IF($K366="","",$A366*100+$K366)</f>
        <v>2901</v>
      </c>
      <c r="M366" s="48" t="str">
        <f aca="false">IFERROR(INDEX(输入报销!$D:$D,MATCH($A366&amp;"-1",输入报销!$J:$J,0))&amp;"","")</f>
        <v>电费</v>
      </c>
    </row>
    <row r="367" customFormat="false" ht="13.5" hidden="false" customHeight="false" outlineLevel="0" collapsed="false">
      <c r="A367" s="47" t="n">
        <v>29</v>
      </c>
      <c r="C367" s="48" t="str">
        <f aca="false">助手报销!$C30</f>
        <v>博联店</v>
      </c>
      <c r="D367" s="81" t="s">
        <v>480</v>
      </c>
      <c r="E367" s="48" t="str">
        <f aca="false">IFERROR(INDEX(输入报销!$E:$E,MATCH($A367&amp;"-2",输入报销!$J:$J,0))&amp;"","")</f>
        <v>销售费用</v>
      </c>
      <c r="F367" s="48" t="str">
        <f aca="false">IFERROR(INDEX(输入报销!$F:$F,MATCH($A367&amp;"-2",输入报销!$J:$J,0))&amp;"","")</f>
        <v>水费</v>
      </c>
      <c r="G367" s="49" t="n">
        <f aca="false">IFERROR(ROUND(INDEX(输入报销!$G:$G,MATCH($A367&amp;"-2",输入报销!$J:$J,0)),2),0)</f>
        <v>20</v>
      </c>
      <c r="H367" s="49" t="n">
        <f aca="false">IF(ROUND($G367,2)&gt;0,ROUND($G367,2),"")</f>
        <v>20</v>
      </c>
      <c r="I367" s="49" t="str">
        <f aca="false">IF(ROUND($G367,2)&lt;0,-ROUND($G367,2),"")</f>
        <v/>
      </c>
      <c r="J367" s="20" t="n">
        <f aca="false">IF(ROUND($G367,2)=0,0,1)</f>
        <v>1</v>
      </c>
      <c r="K367" s="20" t="n">
        <f aca="false">IF($J367=0,"",SUM($J$366:$J367))</f>
        <v>2</v>
      </c>
      <c r="L367" s="20" t="n">
        <f aca="false">IF($K367="","",$A367*100+$K367)</f>
        <v>2902</v>
      </c>
      <c r="M367" s="48" t="str">
        <f aca="false">IFERROR(INDEX(输入报销!$D:$D,MATCH($A367&amp;"-2",输入报销!$J:$J,0))&amp;"","")</f>
        <v>水费</v>
      </c>
    </row>
    <row r="368" customFormat="false" ht="13.5" hidden="false" customHeight="false" outlineLevel="0" collapsed="false">
      <c r="A368" s="47" t="n">
        <v>29</v>
      </c>
      <c r="C368" s="48" t="str">
        <f aca="false">助手报销!$C30</f>
        <v>博联店</v>
      </c>
      <c r="D368" s="81" t="s">
        <v>481</v>
      </c>
      <c r="E368" s="48" t="str">
        <f aca="false">IFERROR(INDEX(输入报销!$E:$E,MATCH($A368&amp;"-3",输入报销!$J:$J,0))&amp;"","")</f>
        <v/>
      </c>
      <c r="F368" s="48" t="str">
        <f aca="false">IFERROR(INDEX(输入报销!$F:$F,MATCH($A368&amp;"-3",输入报销!$J:$J,0))&amp;"","")</f>
        <v/>
      </c>
      <c r="G368" s="49" t="n">
        <f aca="false">IFERROR(ROUND(INDEX(输入报销!$G:$G,MATCH($A368&amp;"-3",输入报销!$J:$J,0)),2),0)</f>
        <v>0</v>
      </c>
      <c r="H368" s="49" t="str">
        <f aca="false">IF(ROUND($G368,2)&gt;0,ROUND($G368,2),"")</f>
        <v/>
      </c>
      <c r="I368" s="49" t="str">
        <f aca="false">IF(ROUND($G368,2)&lt;0,-ROUND($G368,2),"")</f>
        <v/>
      </c>
      <c r="J368" s="20" t="n">
        <f aca="false">IF(ROUND($G368,2)=0,0,1)</f>
        <v>0</v>
      </c>
      <c r="K368" s="20" t="str">
        <f aca="false">IF($J368=0,"",SUM($J$366:$J368))</f>
        <v/>
      </c>
      <c r="L368" s="20" t="str">
        <f aca="false">IF($K368="","",$A368*100+$K368)</f>
        <v/>
      </c>
      <c r="M368" s="48" t="str">
        <f aca="false">IFERROR(INDEX(输入报销!$D:$D,MATCH($A368&amp;"-3",输入报销!$J:$J,0))&amp;"","")</f>
        <v/>
      </c>
    </row>
    <row r="369" customFormat="false" ht="13.5" hidden="false" customHeight="false" outlineLevel="0" collapsed="false">
      <c r="A369" s="47" t="n">
        <v>29</v>
      </c>
      <c r="C369" s="48" t="str">
        <f aca="false">助手报销!$C30</f>
        <v>博联店</v>
      </c>
      <c r="D369" s="81" t="s">
        <v>482</v>
      </c>
      <c r="E369" s="48" t="str">
        <f aca="false">IFERROR(INDEX(输入报销!$E:$E,MATCH($A369&amp;"-4",输入报销!$J:$J,0))&amp;"","")</f>
        <v/>
      </c>
      <c r="F369" s="48" t="str">
        <f aca="false">IFERROR(INDEX(输入报销!$F:$F,MATCH($A369&amp;"-4",输入报销!$J:$J,0))&amp;"","")</f>
        <v/>
      </c>
      <c r="G369" s="49" t="n">
        <f aca="false">IFERROR(ROUND(INDEX(输入报销!$G:$G,MATCH($A369&amp;"-4",输入报销!$J:$J,0)),2),0)</f>
        <v>0</v>
      </c>
      <c r="H369" s="49" t="str">
        <f aca="false">IF(ROUND($G369,2)&gt;0,ROUND($G369,2),"")</f>
        <v/>
      </c>
      <c r="I369" s="49" t="str">
        <f aca="false">IF(ROUND($G369,2)&lt;0,-ROUND($G369,2),"")</f>
        <v/>
      </c>
      <c r="J369" s="20" t="n">
        <f aca="false">IF(ROUND($G369,2)=0,0,1)</f>
        <v>0</v>
      </c>
      <c r="K369" s="20" t="str">
        <f aca="false">IF($J369=0,"",SUM($J$366:$J369))</f>
        <v/>
      </c>
      <c r="L369" s="20" t="str">
        <f aca="false">IF($K369="","",$A369*100+$K369)</f>
        <v/>
      </c>
      <c r="M369" s="48" t="str">
        <f aca="false">IFERROR(INDEX(输入报销!$D:$D,MATCH($A369&amp;"-4",输入报销!$J:$J,0))&amp;"","")</f>
        <v/>
      </c>
    </row>
    <row r="370" customFormat="false" ht="13.5" hidden="false" customHeight="false" outlineLevel="0" collapsed="false">
      <c r="A370" s="47" t="n">
        <v>29</v>
      </c>
      <c r="C370" s="48" t="str">
        <f aca="false">助手报销!$C30</f>
        <v>博联店</v>
      </c>
      <c r="D370" s="81" t="s">
        <v>483</v>
      </c>
      <c r="E370" s="48" t="str">
        <f aca="false">IFERROR(INDEX(输入报销!$E:$E,MATCH($A370&amp;"-5",输入报销!$J:$J,0))&amp;"","")</f>
        <v/>
      </c>
      <c r="F370" s="48" t="str">
        <f aca="false">IFERROR(INDEX(输入报销!$F:$F,MATCH($A370&amp;"-5",输入报销!$J:$J,0))&amp;"","")</f>
        <v/>
      </c>
      <c r="G370" s="49" t="n">
        <f aca="false">IFERROR(ROUND(INDEX(输入报销!$G:$G,MATCH($A370&amp;"-5",输入报销!$J:$J,0)),2),0)</f>
        <v>0</v>
      </c>
      <c r="H370" s="49" t="str">
        <f aca="false">IF(ROUND($G370,2)&gt;0,ROUND($G370,2),"")</f>
        <v/>
      </c>
      <c r="I370" s="49" t="str">
        <f aca="false">IF(ROUND($G370,2)&lt;0,-ROUND($G370,2),"")</f>
        <v/>
      </c>
      <c r="J370" s="20" t="n">
        <f aca="false">IF(ROUND($G370,2)=0,0,1)</f>
        <v>0</v>
      </c>
      <c r="K370" s="20" t="str">
        <f aca="false">IF($J370=0,"",SUM($J$366:$J370))</f>
        <v/>
      </c>
      <c r="L370" s="20" t="str">
        <f aca="false">IF($K370="","",$A370*100+$K370)</f>
        <v/>
      </c>
      <c r="M370" s="48" t="str">
        <f aca="false">IFERROR(INDEX(输入报销!$D:$D,MATCH($A370&amp;"-5",输入报销!$J:$J,0))&amp;"","")</f>
        <v/>
      </c>
    </row>
    <row r="371" customFormat="false" ht="13.5" hidden="false" customHeight="false" outlineLevel="0" collapsed="false">
      <c r="A371" s="47" t="n">
        <v>29</v>
      </c>
      <c r="C371" s="48" t="str">
        <f aca="false">助手报销!$C30</f>
        <v>博联店</v>
      </c>
      <c r="D371" s="81" t="s">
        <v>484</v>
      </c>
      <c r="E371" s="48" t="str">
        <f aca="false">IFERROR(INDEX(输入报销!$E:$E,MATCH($A371&amp;"-6",输入报销!$J:$J,0))&amp;"","")</f>
        <v/>
      </c>
      <c r="F371" s="48" t="str">
        <f aca="false">IFERROR(INDEX(输入报销!$F:$F,MATCH($A371&amp;"-6",输入报销!$J:$J,0))&amp;"","")</f>
        <v/>
      </c>
      <c r="G371" s="49" t="n">
        <f aca="false">IFERROR(ROUND(INDEX(输入报销!$G:$G,MATCH($A371&amp;"-6",输入报销!$J:$J,0)),2),0)</f>
        <v>0</v>
      </c>
      <c r="H371" s="49" t="str">
        <f aca="false">IF(ROUND($G371,2)&gt;0,ROUND($G371,2),"")</f>
        <v/>
      </c>
      <c r="I371" s="49" t="str">
        <f aca="false">IF(ROUND($G371,2)&lt;0,-ROUND($G371,2),"")</f>
        <v/>
      </c>
      <c r="J371" s="20" t="n">
        <f aca="false">IF(ROUND($G371,2)=0,0,1)</f>
        <v>0</v>
      </c>
      <c r="K371" s="20" t="str">
        <f aca="false">IF($J371=0,"",SUM($J$366:$J371))</f>
        <v/>
      </c>
      <c r="L371" s="20" t="str">
        <f aca="false">IF($K371="","",$A371*100+$K371)</f>
        <v/>
      </c>
      <c r="M371" s="48" t="str">
        <f aca="false">IFERROR(INDEX(输入报销!$D:$D,MATCH($A371&amp;"-6",输入报销!$J:$J,0))&amp;"","")</f>
        <v/>
      </c>
    </row>
    <row r="372" customFormat="false" ht="13.5" hidden="false" customHeight="false" outlineLevel="0" collapsed="false">
      <c r="A372" s="47" t="n">
        <v>29</v>
      </c>
      <c r="C372" s="48" t="str">
        <f aca="false">助手报销!$C30</f>
        <v>博联店</v>
      </c>
      <c r="D372" s="81" t="s">
        <v>485</v>
      </c>
      <c r="E372" s="48" t="str">
        <f aca="false">IFERROR(INDEX(输入报销!$E:$E,MATCH($A372&amp;"-7",输入报销!$J:$J,0))&amp;"","")</f>
        <v/>
      </c>
      <c r="F372" s="48" t="str">
        <f aca="false">IFERROR(INDEX(输入报销!$F:$F,MATCH($A372&amp;"-7",输入报销!$J:$J,0))&amp;"","")</f>
        <v/>
      </c>
      <c r="G372" s="49" t="n">
        <f aca="false">IFERROR(ROUND(INDEX(输入报销!$G:$G,MATCH($A372&amp;"-7",输入报销!$J:$J,0)),2),0)</f>
        <v>0</v>
      </c>
      <c r="H372" s="49" t="str">
        <f aca="false">IF(ROUND($G372,2)&gt;0,ROUND($G372,2),"")</f>
        <v/>
      </c>
      <c r="I372" s="49" t="str">
        <f aca="false">IF(ROUND($G372,2)&lt;0,-ROUND($G372,2),"")</f>
        <v/>
      </c>
      <c r="J372" s="20" t="n">
        <f aca="false">IF(ROUND($G372,2)=0,0,1)</f>
        <v>0</v>
      </c>
      <c r="K372" s="20" t="str">
        <f aca="false">IF($J372=0,"",SUM($J$366:$J372))</f>
        <v/>
      </c>
      <c r="L372" s="20" t="str">
        <f aca="false">IF($K372="","",$A372*100+$K372)</f>
        <v/>
      </c>
      <c r="M372" s="48" t="str">
        <f aca="false">IFERROR(INDEX(输入报销!$D:$D,MATCH($A372&amp;"-7",输入报销!$J:$J,0))&amp;"","")</f>
        <v/>
      </c>
    </row>
    <row r="373" customFormat="false" ht="13.5" hidden="false" customHeight="false" outlineLevel="0" collapsed="false">
      <c r="A373" s="47" t="n">
        <v>29</v>
      </c>
      <c r="C373" s="48" t="str">
        <f aca="false">助手报销!$C30</f>
        <v>博联店</v>
      </c>
      <c r="D373" s="81" t="s">
        <v>486</v>
      </c>
      <c r="E373" s="48" t="str">
        <f aca="false">IFERROR(INDEX(输入报销!$E:$E,MATCH($A373&amp;"-8",输入报销!$J:$J,0))&amp;"","")</f>
        <v/>
      </c>
      <c r="F373" s="48" t="str">
        <f aca="false">IFERROR(INDEX(输入报销!$F:$F,MATCH($A373&amp;"-8",输入报销!$J:$J,0))&amp;"","")</f>
        <v/>
      </c>
      <c r="G373" s="49" t="n">
        <f aca="false">IFERROR(ROUND(INDEX(输入报销!$G:$G,MATCH($A373&amp;"-8",输入报销!$J:$J,0)),2),0)</f>
        <v>0</v>
      </c>
      <c r="H373" s="49" t="str">
        <f aca="false">IF(ROUND($G373,2)&gt;0,ROUND($G373,2),"")</f>
        <v/>
      </c>
      <c r="I373" s="49" t="str">
        <f aca="false">IF(ROUND($G373,2)&lt;0,-ROUND($G373,2),"")</f>
        <v/>
      </c>
      <c r="J373" s="20" t="n">
        <f aca="false">IF(ROUND($G373,2)=0,0,1)</f>
        <v>0</v>
      </c>
      <c r="K373" s="20" t="str">
        <f aca="false">IF($J373=0,"",SUM($J$366:$J373))</f>
        <v/>
      </c>
      <c r="L373" s="20" t="str">
        <f aca="false">IF($K373="","",$A373*100+$K373)</f>
        <v/>
      </c>
      <c r="M373" s="48" t="str">
        <f aca="false">IFERROR(INDEX(输入报销!$D:$D,MATCH($A373&amp;"-8",输入报销!$J:$J,0))&amp;"","")</f>
        <v/>
      </c>
    </row>
    <row r="374" customFormat="false" ht="13.5" hidden="false" customHeight="false" outlineLevel="0" collapsed="false">
      <c r="A374" s="47" t="n">
        <v>29</v>
      </c>
      <c r="C374" s="48" t="str">
        <f aca="false">助手报销!$C30</f>
        <v>博联店</v>
      </c>
      <c r="D374" s="81" t="s">
        <v>487</v>
      </c>
      <c r="E374" s="48" t="str">
        <f aca="false">IFERROR(INDEX(输入报销!$E:$E,MATCH($A374&amp;"-9",输入报销!$J:$J,0))&amp;"","")</f>
        <v/>
      </c>
      <c r="F374" s="48" t="str">
        <f aca="false">IFERROR(INDEX(输入报销!$F:$F,MATCH($A374&amp;"-9",输入报销!$J:$J,0))&amp;"","")</f>
        <v/>
      </c>
      <c r="G374" s="49" t="n">
        <f aca="false">IFERROR(ROUND(INDEX(输入报销!$G:$G,MATCH($A374&amp;"-9",输入报销!$J:$J,0)),2),0)</f>
        <v>0</v>
      </c>
      <c r="H374" s="49" t="str">
        <f aca="false">IF(ROUND($G374,2)&gt;0,ROUND($G374,2),"")</f>
        <v/>
      </c>
      <c r="I374" s="49" t="str">
        <f aca="false">IF(ROUND($G374,2)&lt;0,-ROUND($G374,2),"")</f>
        <v/>
      </c>
      <c r="J374" s="20" t="n">
        <f aca="false">IF(ROUND($G374,2)=0,0,1)</f>
        <v>0</v>
      </c>
      <c r="K374" s="20" t="str">
        <f aca="false">IF($J374=0,"",SUM($J$366:$J374))</f>
        <v/>
      </c>
      <c r="L374" s="20" t="str">
        <f aca="false">IF($K374="","",$A374*100+$K374)</f>
        <v/>
      </c>
      <c r="M374" s="48" t="str">
        <f aca="false">IFERROR(INDEX(输入报销!$D:$D,MATCH($A374&amp;"-9",输入报销!$J:$J,0))&amp;"","")</f>
        <v/>
      </c>
    </row>
    <row r="375" customFormat="false" ht="13.5" hidden="false" customHeight="false" outlineLevel="0" collapsed="false">
      <c r="A375" s="47" t="n">
        <v>29</v>
      </c>
      <c r="C375" s="48" t="str">
        <f aca="false">助手报销!$C30</f>
        <v>博联店</v>
      </c>
      <c r="D375" s="81" t="s">
        <v>488</v>
      </c>
      <c r="E375" s="48" t="str">
        <f aca="false">IFERROR(INDEX(输入报销!$E:$E,MATCH($A375&amp;"-10",输入报销!$J:$J,0))&amp;"","")</f>
        <v/>
      </c>
      <c r="F375" s="48" t="str">
        <f aca="false">IFERROR(INDEX(输入报销!$F:$F,MATCH($A375&amp;"-10",输入报销!$J:$J,0))&amp;"","")</f>
        <v/>
      </c>
      <c r="G375" s="49" t="n">
        <f aca="false">IFERROR(ROUND(INDEX(输入报销!$G:$G,MATCH($A375&amp;"-10",输入报销!$J:$J,0)),2),0)</f>
        <v>0</v>
      </c>
      <c r="H375" s="49" t="str">
        <f aca="false">IF(ROUND($G375,2)&gt;0,ROUND($G375,2),"")</f>
        <v/>
      </c>
      <c r="I375" s="49" t="str">
        <f aca="false">IF(ROUND($G375,2)&lt;0,-ROUND($G375,2),"")</f>
        <v/>
      </c>
      <c r="J375" s="20" t="n">
        <f aca="false">IF(ROUND($G375,2)=0,0,1)</f>
        <v>0</v>
      </c>
      <c r="K375" s="20" t="str">
        <f aca="false">IF($J375=0,"",SUM($J$366:$J375))</f>
        <v/>
      </c>
      <c r="L375" s="20" t="str">
        <f aca="false">IF($K375="","",$A375*100+$K375)</f>
        <v/>
      </c>
      <c r="M375" s="48" t="str">
        <f aca="false">IFERROR(INDEX(输入报销!$D:$D,MATCH($A375&amp;"-10",输入报销!$J:$J,0))&amp;"","")</f>
        <v/>
      </c>
    </row>
    <row r="376" customFormat="false" ht="13.5" hidden="false" customHeight="false" outlineLevel="0" collapsed="false">
      <c r="A376" s="47" t="n">
        <v>29</v>
      </c>
      <c r="C376" s="48" t="str">
        <f aca="false">助手报销!$C30</f>
        <v>博联店</v>
      </c>
      <c r="D376" s="81" t="s">
        <v>489</v>
      </c>
      <c r="E376" s="48" t="str">
        <f aca="false">参数!$B$6</f>
        <v>库存现金</v>
      </c>
      <c r="F376" s="48" t="str">
        <f aca="false">""</f>
        <v/>
      </c>
      <c r="G376" s="49" t="n">
        <f aca="false">-ROUND(SUMIFS(输入报销!$G:$G,输入报销!$A:$A,$A376,输入报销!$H:$H,参数!$B$6),2)</f>
        <v>-839</v>
      </c>
      <c r="H376" s="49" t="str">
        <f aca="false">IF(ROUND($G376,2)&gt;0,ROUND($G376,2),"")</f>
        <v/>
      </c>
      <c r="I376" s="49" t="n">
        <f aca="false">IF(ROUND($G376,2)&lt;0,-ROUND($G376,2),"")</f>
        <v>839</v>
      </c>
      <c r="J376" s="20" t="n">
        <f aca="false">IF(ROUND($G376,2)=0,0,1)</f>
        <v>1</v>
      </c>
      <c r="K376" s="20" t="n">
        <f aca="false">IF($J376=0,"",SUM($J$366:$J376))</f>
        <v>3</v>
      </c>
      <c r="L376" s="20" t="n">
        <f aca="false">IF($K376="","",$A376*100+$K376)</f>
        <v>2903</v>
      </c>
      <c r="M376" s="48" t="str">
        <f aca="false">""</f>
        <v/>
      </c>
    </row>
    <row r="377" customFormat="false" ht="13.5" hidden="false" customHeight="false" outlineLevel="0" collapsed="false">
      <c r="A377" s="47" t="n">
        <v>29</v>
      </c>
      <c r="C377" s="48" t="str">
        <f aca="false">助手报销!$C30</f>
        <v>博联店</v>
      </c>
      <c r="D377" s="81" t="s">
        <v>490</v>
      </c>
      <c r="E377" s="48" t="str">
        <f aca="false">参数!$B$7</f>
        <v>银行存款</v>
      </c>
      <c r="F377" s="48" t="str">
        <f aca="false">""</f>
        <v/>
      </c>
      <c r="G377" s="49" t="n">
        <f aca="false">-ROUND(SUMIFS(输入报销!$G:$G,输入报销!$A:$A,$A377,输入报销!$H:$H,参数!$B$7),2)</f>
        <v>-0</v>
      </c>
      <c r="H377" s="49" t="str">
        <f aca="false">IF(ROUND($G377,2)&gt;0,ROUND($G377,2),"")</f>
        <v/>
      </c>
      <c r="I377" s="49" t="str">
        <f aca="false">IF(ROUND($G377,2)&lt;0,-ROUND($G377,2),"")</f>
        <v/>
      </c>
      <c r="J377" s="20" t="n">
        <f aca="false">IF(ROUND($G377,2)=0,0,1)</f>
        <v>0</v>
      </c>
      <c r="K377" s="20" t="str">
        <f aca="false">IF($J377=0,"",SUM($J$366:$J377))</f>
        <v/>
      </c>
      <c r="L377" s="20" t="str">
        <f aca="false">IF($K377="","",$A377*100+$K377)</f>
        <v/>
      </c>
      <c r="M377" s="48" t="str">
        <f aca="false">""</f>
        <v/>
      </c>
    </row>
    <row r="378" customFormat="false" ht="13.5" hidden="false" customHeight="false" outlineLevel="0" collapsed="false">
      <c r="A378" s="47" t="n">
        <v>29</v>
      </c>
      <c r="C378" s="48" t="str">
        <f aca="false">助手报销!$C30</f>
        <v>博联店</v>
      </c>
      <c r="D378" s="81" t="s">
        <v>491</v>
      </c>
      <c r="E378" s="48" t="str">
        <f aca="false">参数!$B$8</f>
        <v>其他应付款</v>
      </c>
      <c r="F378" s="48" t="str">
        <f aca="false">""</f>
        <v/>
      </c>
      <c r="G378" s="49" t="n">
        <f aca="false">-ROUND(SUMIFS(输入报销!$G:$G,输入报销!$A:$A,$A378,输入报销!$H:$H,参数!$B$8),2)</f>
        <v>-0</v>
      </c>
      <c r="H378" s="49" t="str">
        <f aca="false">IF(ROUND($G378,2)&gt;0,ROUND($G378,2),"")</f>
        <v/>
      </c>
      <c r="I378" s="49" t="str">
        <f aca="false">IF(ROUND($G378,2)&lt;0,-ROUND($G378,2),"")</f>
        <v/>
      </c>
      <c r="J378" s="20" t="n">
        <f aca="false">IF(ROUND($G378,2)=0,0,1)</f>
        <v>0</v>
      </c>
      <c r="K378" s="20" t="str">
        <f aca="false">IF($J378=0,"",SUM($J$366:$J378))</f>
        <v/>
      </c>
      <c r="L378" s="20" t="str">
        <f aca="false">IF($K378="","",$A378*100+$K378)</f>
        <v/>
      </c>
      <c r="M378" s="48" t="str">
        <f aca="false">""</f>
        <v/>
      </c>
    </row>
    <row r="379" customFormat="false" ht="13.5" hidden="false" customHeight="false" outlineLevel="0" collapsed="false">
      <c r="A379" s="47" t="n">
        <v>30</v>
      </c>
      <c r="C379" s="48" t="str">
        <f aca="false">助手报销!$C31</f>
        <v>博尚店</v>
      </c>
      <c r="D379" s="81" t="s">
        <v>479</v>
      </c>
      <c r="E379" s="48" t="str">
        <f aca="false">IFERROR(INDEX(输入报销!$E:$E,MATCH($A379&amp;"-1",输入报销!$J:$J,0))&amp;"","")</f>
        <v>销售费用</v>
      </c>
      <c r="F379" s="48" t="str">
        <f aca="false">IFERROR(INDEX(输入报销!$F:$F,MATCH($A379&amp;"-1",输入报销!$J:$J,0))&amp;"","")</f>
        <v>电费</v>
      </c>
      <c r="G379" s="49" t="n">
        <f aca="false">IFERROR(ROUND(INDEX(输入报销!$G:$G,MATCH($A379&amp;"-1",输入报销!$J:$J,0)),2),0)</f>
        <v>300</v>
      </c>
      <c r="H379" s="49" t="n">
        <f aca="false">IF(ROUND($G379,2)&gt;0,ROUND($G379,2),"")</f>
        <v>300</v>
      </c>
      <c r="I379" s="49" t="str">
        <f aca="false">IF(ROUND($G379,2)&lt;0,-ROUND($G379,2),"")</f>
        <v/>
      </c>
      <c r="J379" s="20" t="n">
        <f aca="false">IF(ROUND($G379,2)=0,0,1)</f>
        <v>1</v>
      </c>
      <c r="K379" s="20" t="n">
        <f aca="false">IF($J379=0,"",SUM($J$379:$J379))</f>
        <v>1</v>
      </c>
      <c r="L379" s="20" t="n">
        <f aca="false">IF($K379="","",$A379*100+$K379)</f>
        <v>3001</v>
      </c>
      <c r="M379" s="48" t="str">
        <f aca="false">IFERROR(INDEX(输入报销!$D:$D,MATCH($A379&amp;"-1",输入报销!$J:$J,0))&amp;"","")</f>
        <v>电费</v>
      </c>
    </row>
    <row r="380" customFormat="false" ht="13.5" hidden="false" customHeight="false" outlineLevel="0" collapsed="false">
      <c r="A380" s="47" t="n">
        <v>30</v>
      </c>
      <c r="C380" s="48" t="str">
        <f aca="false">助手报销!$C31</f>
        <v>博尚店</v>
      </c>
      <c r="D380" s="81" t="s">
        <v>480</v>
      </c>
      <c r="E380" s="48" t="str">
        <f aca="false">IFERROR(INDEX(输入报销!$E:$E,MATCH($A380&amp;"-2",输入报销!$J:$J,0))&amp;"","")</f>
        <v>销售费用</v>
      </c>
      <c r="F380" s="48" t="str">
        <f aca="false">IFERROR(INDEX(输入报销!$F:$F,MATCH($A380&amp;"-2",输入报销!$J:$J,0))&amp;"","")</f>
        <v>电话费</v>
      </c>
      <c r="G380" s="49" t="n">
        <f aca="false">IFERROR(ROUND(INDEX(输入报销!$G:$G,MATCH($A380&amp;"-2",输入报销!$J:$J,0)),2),0)</f>
        <v>100</v>
      </c>
      <c r="H380" s="49" t="n">
        <f aca="false">IF(ROUND($G380,2)&gt;0,ROUND($G380,2),"")</f>
        <v>100</v>
      </c>
      <c r="I380" s="49" t="str">
        <f aca="false">IF(ROUND($G380,2)&lt;0,-ROUND($G380,2),"")</f>
        <v/>
      </c>
      <c r="J380" s="20" t="n">
        <f aca="false">IF(ROUND($G380,2)=0,0,1)</f>
        <v>1</v>
      </c>
      <c r="K380" s="20" t="n">
        <f aca="false">IF($J380=0,"",SUM($J$379:$J380))</f>
        <v>2</v>
      </c>
      <c r="L380" s="20" t="n">
        <f aca="false">IF($K380="","",$A380*100+$K380)</f>
        <v>3002</v>
      </c>
      <c r="M380" s="48" t="str">
        <f aca="false">IFERROR(INDEX(输入报销!$D:$D,MATCH($A380&amp;"-2",输入报销!$J:$J,0))&amp;"","")</f>
        <v>电话费</v>
      </c>
    </row>
    <row r="381" customFormat="false" ht="13.5" hidden="false" customHeight="false" outlineLevel="0" collapsed="false">
      <c r="A381" s="47" t="n">
        <v>30</v>
      </c>
      <c r="C381" s="48" t="str">
        <f aca="false">助手报销!$C31</f>
        <v>博尚店</v>
      </c>
      <c r="D381" s="81" t="s">
        <v>481</v>
      </c>
      <c r="E381" s="48" t="str">
        <f aca="false">IFERROR(INDEX(输入报销!$E:$E,MATCH($A381&amp;"-3",输入报销!$J:$J,0))&amp;"","")</f>
        <v>销售费用</v>
      </c>
      <c r="F381" s="48" t="str">
        <f aca="false">IFERROR(INDEX(输入报销!$F:$F,MATCH($A381&amp;"-3",输入报销!$J:$J,0))&amp;"","")</f>
        <v>办公费</v>
      </c>
      <c r="G381" s="49" t="n">
        <f aca="false">IFERROR(ROUND(INDEX(输入报销!$G:$G,MATCH($A381&amp;"-3",输入报销!$J:$J,0)),2),0)</f>
        <v>41.9</v>
      </c>
      <c r="H381" s="49" t="n">
        <f aca="false">IF(ROUND($G381,2)&gt;0,ROUND($G381,2),"")</f>
        <v>41.9</v>
      </c>
      <c r="I381" s="49" t="str">
        <f aca="false">IF(ROUND($G381,2)&lt;0,-ROUND($G381,2),"")</f>
        <v/>
      </c>
      <c r="J381" s="20" t="n">
        <f aca="false">IF(ROUND($G381,2)=0,0,1)</f>
        <v>1</v>
      </c>
      <c r="K381" s="20" t="n">
        <f aca="false">IF($J381=0,"",SUM($J$379:$J381))</f>
        <v>3</v>
      </c>
      <c r="L381" s="20" t="n">
        <f aca="false">IF($K381="","",$A381*100+$K381)</f>
        <v>3003</v>
      </c>
      <c r="M381" s="48" t="str">
        <f aca="false">IFERROR(INDEX(输入报销!$D:$D,MATCH($A381&amp;"-3",输入报销!$J:$J,0))&amp;"","")</f>
        <v>色带慢病用品</v>
      </c>
    </row>
    <row r="382" customFormat="false" ht="13.5" hidden="false" customHeight="false" outlineLevel="0" collapsed="false">
      <c r="A382" s="47" t="n">
        <v>30</v>
      </c>
      <c r="C382" s="48" t="str">
        <f aca="false">助手报销!$C31</f>
        <v>博尚店</v>
      </c>
      <c r="D382" s="81" t="s">
        <v>482</v>
      </c>
      <c r="E382" s="48" t="str">
        <f aca="false">IFERROR(INDEX(输入报销!$E:$E,MATCH($A382&amp;"-4",输入报销!$J:$J,0))&amp;"","")</f>
        <v>销售费用</v>
      </c>
      <c r="F382" s="48" t="str">
        <f aca="false">IFERROR(INDEX(输入报销!$F:$F,MATCH($A382&amp;"-4",输入报销!$J:$J,0))&amp;"","")</f>
        <v>水费</v>
      </c>
      <c r="G382" s="49" t="n">
        <f aca="false">IFERROR(ROUND(INDEX(输入报销!$G:$G,MATCH($A382&amp;"-4",输入报销!$J:$J,0)),2),0)</f>
        <v>10</v>
      </c>
      <c r="H382" s="49" t="n">
        <f aca="false">IF(ROUND($G382,2)&gt;0,ROUND($G382,2),"")</f>
        <v>10</v>
      </c>
      <c r="I382" s="49" t="str">
        <f aca="false">IF(ROUND($G382,2)&lt;0,-ROUND($G382,2),"")</f>
        <v/>
      </c>
      <c r="J382" s="20" t="n">
        <f aca="false">IF(ROUND($G382,2)=0,0,1)</f>
        <v>1</v>
      </c>
      <c r="K382" s="20" t="n">
        <f aca="false">IF($J382=0,"",SUM($J$379:$J382))</f>
        <v>4</v>
      </c>
      <c r="L382" s="20" t="n">
        <f aca="false">IF($K382="","",$A382*100+$K382)</f>
        <v>3004</v>
      </c>
      <c r="M382" s="48" t="str">
        <f aca="false">IFERROR(INDEX(输入报销!$D:$D,MATCH($A382&amp;"-4",输入报销!$J:$J,0))&amp;"","")</f>
        <v>水费</v>
      </c>
    </row>
    <row r="383" customFormat="false" ht="13.5" hidden="false" customHeight="false" outlineLevel="0" collapsed="false">
      <c r="A383" s="47" t="n">
        <v>30</v>
      </c>
      <c r="C383" s="48" t="str">
        <f aca="false">助手报销!$C31</f>
        <v>博尚店</v>
      </c>
      <c r="D383" s="81" t="s">
        <v>483</v>
      </c>
      <c r="E383" s="48" t="str">
        <f aca="false">IFERROR(INDEX(输入报销!$E:$E,MATCH($A383&amp;"-5",输入报销!$J:$J,0))&amp;"","")</f>
        <v>销售费用</v>
      </c>
      <c r="F383" s="48" t="str">
        <f aca="false">IFERROR(INDEX(输入报销!$F:$F,MATCH($A383&amp;"-5",输入报销!$J:$J,0))&amp;"","")</f>
        <v>办公费</v>
      </c>
      <c r="G383" s="49" t="n">
        <f aca="false">IFERROR(ROUND(INDEX(输入报销!$G:$G,MATCH($A383&amp;"-5",输入报销!$J:$J,0)),2),0)</f>
        <v>40</v>
      </c>
      <c r="H383" s="49" t="n">
        <f aca="false">IF(ROUND($G383,2)&gt;0,ROUND($G383,2),"")</f>
        <v>40</v>
      </c>
      <c r="I383" s="49" t="str">
        <f aca="false">IF(ROUND($G383,2)&lt;0,-ROUND($G383,2),"")</f>
        <v/>
      </c>
      <c r="J383" s="20" t="n">
        <f aca="false">IF(ROUND($G383,2)=0,0,1)</f>
        <v>1</v>
      </c>
      <c r="K383" s="20" t="n">
        <f aca="false">IF($J383=0,"",SUM($J$379:$J383))</f>
        <v>5</v>
      </c>
      <c r="L383" s="20" t="n">
        <f aca="false">IF($K383="","",$A383*100+$K383)</f>
        <v>3005</v>
      </c>
      <c r="M383" s="48" t="str">
        <f aca="false">IFERROR(INDEX(输入报销!$D:$D,MATCH($A383&amp;"-5",输入报销!$J:$J,0))&amp;"","")</f>
        <v>灭火器检测</v>
      </c>
    </row>
    <row r="384" customFormat="false" ht="13.5" hidden="false" customHeight="false" outlineLevel="0" collapsed="false">
      <c r="A384" s="47" t="n">
        <v>30</v>
      </c>
      <c r="C384" s="48" t="str">
        <f aca="false">助手报销!$C31</f>
        <v>博尚店</v>
      </c>
      <c r="D384" s="81" t="s">
        <v>484</v>
      </c>
      <c r="E384" s="48" t="str">
        <f aca="false">IFERROR(INDEX(输入报销!$E:$E,MATCH($A384&amp;"-6",输入报销!$J:$J,0))&amp;"","")</f>
        <v/>
      </c>
      <c r="F384" s="48" t="str">
        <f aca="false">IFERROR(INDEX(输入报销!$F:$F,MATCH($A384&amp;"-6",输入报销!$J:$J,0))&amp;"","")</f>
        <v/>
      </c>
      <c r="G384" s="49" t="n">
        <f aca="false">IFERROR(ROUND(INDEX(输入报销!$G:$G,MATCH($A384&amp;"-6",输入报销!$J:$J,0)),2),0)</f>
        <v>0</v>
      </c>
      <c r="H384" s="49" t="str">
        <f aca="false">IF(ROUND($G384,2)&gt;0,ROUND($G384,2),"")</f>
        <v/>
      </c>
      <c r="I384" s="49" t="str">
        <f aca="false">IF(ROUND($G384,2)&lt;0,-ROUND($G384,2),"")</f>
        <v/>
      </c>
      <c r="J384" s="20" t="n">
        <f aca="false">IF(ROUND($G384,2)=0,0,1)</f>
        <v>0</v>
      </c>
      <c r="K384" s="20" t="str">
        <f aca="false">IF($J384=0,"",SUM($J$379:$J384))</f>
        <v/>
      </c>
      <c r="L384" s="20" t="str">
        <f aca="false">IF($K384="","",$A384*100+$K384)</f>
        <v/>
      </c>
      <c r="M384" s="48" t="str">
        <f aca="false">IFERROR(INDEX(输入报销!$D:$D,MATCH($A384&amp;"-6",输入报销!$J:$J,0))&amp;"","")</f>
        <v/>
      </c>
    </row>
    <row r="385" customFormat="false" ht="13.5" hidden="false" customHeight="false" outlineLevel="0" collapsed="false">
      <c r="A385" s="47" t="n">
        <v>30</v>
      </c>
      <c r="C385" s="48" t="str">
        <f aca="false">助手报销!$C31</f>
        <v>博尚店</v>
      </c>
      <c r="D385" s="81" t="s">
        <v>485</v>
      </c>
      <c r="E385" s="48" t="str">
        <f aca="false">IFERROR(INDEX(输入报销!$E:$E,MATCH($A385&amp;"-7",输入报销!$J:$J,0))&amp;"","")</f>
        <v/>
      </c>
      <c r="F385" s="48" t="str">
        <f aca="false">IFERROR(INDEX(输入报销!$F:$F,MATCH($A385&amp;"-7",输入报销!$J:$J,0))&amp;"","")</f>
        <v/>
      </c>
      <c r="G385" s="49" t="n">
        <f aca="false">IFERROR(ROUND(INDEX(输入报销!$G:$G,MATCH($A385&amp;"-7",输入报销!$J:$J,0)),2),0)</f>
        <v>0</v>
      </c>
      <c r="H385" s="49" t="str">
        <f aca="false">IF(ROUND($G385,2)&gt;0,ROUND($G385,2),"")</f>
        <v/>
      </c>
      <c r="I385" s="49" t="str">
        <f aca="false">IF(ROUND($G385,2)&lt;0,-ROUND($G385,2),"")</f>
        <v/>
      </c>
      <c r="J385" s="20" t="n">
        <f aca="false">IF(ROUND($G385,2)=0,0,1)</f>
        <v>0</v>
      </c>
      <c r="K385" s="20" t="str">
        <f aca="false">IF($J385=0,"",SUM($J$379:$J385))</f>
        <v/>
      </c>
      <c r="L385" s="20" t="str">
        <f aca="false">IF($K385="","",$A385*100+$K385)</f>
        <v/>
      </c>
      <c r="M385" s="48" t="str">
        <f aca="false">IFERROR(INDEX(输入报销!$D:$D,MATCH($A385&amp;"-7",输入报销!$J:$J,0))&amp;"","")</f>
        <v/>
      </c>
    </row>
    <row r="386" customFormat="false" ht="13.5" hidden="false" customHeight="false" outlineLevel="0" collapsed="false">
      <c r="A386" s="47" t="n">
        <v>30</v>
      </c>
      <c r="C386" s="48" t="str">
        <f aca="false">助手报销!$C31</f>
        <v>博尚店</v>
      </c>
      <c r="D386" s="81" t="s">
        <v>486</v>
      </c>
      <c r="E386" s="48" t="str">
        <f aca="false">IFERROR(INDEX(输入报销!$E:$E,MATCH($A386&amp;"-8",输入报销!$J:$J,0))&amp;"","")</f>
        <v/>
      </c>
      <c r="F386" s="48" t="str">
        <f aca="false">IFERROR(INDEX(输入报销!$F:$F,MATCH($A386&amp;"-8",输入报销!$J:$J,0))&amp;"","")</f>
        <v/>
      </c>
      <c r="G386" s="49" t="n">
        <f aca="false">IFERROR(ROUND(INDEX(输入报销!$G:$G,MATCH($A386&amp;"-8",输入报销!$J:$J,0)),2),0)</f>
        <v>0</v>
      </c>
      <c r="H386" s="49" t="str">
        <f aca="false">IF(ROUND($G386,2)&gt;0,ROUND($G386,2),"")</f>
        <v/>
      </c>
      <c r="I386" s="49" t="str">
        <f aca="false">IF(ROUND($G386,2)&lt;0,-ROUND($G386,2),"")</f>
        <v/>
      </c>
      <c r="J386" s="20" t="n">
        <f aca="false">IF(ROUND($G386,2)=0,0,1)</f>
        <v>0</v>
      </c>
      <c r="K386" s="20" t="str">
        <f aca="false">IF($J386=0,"",SUM($J$379:$J386))</f>
        <v/>
      </c>
      <c r="L386" s="20" t="str">
        <f aca="false">IF($K386="","",$A386*100+$K386)</f>
        <v/>
      </c>
      <c r="M386" s="48" t="str">
        <f aca="false">IFERROR(INDEX(输入报销!$D:$D,MATCH($A386&amp;"-8",输入报销!$J:$J,0))&amp;"","")</f>
        <v/>
      </c>
    </row>
    <row r="387" customFormat="false" ht="13.5" hidden="false" customHeight="false" outlineLevel="0" collapsed="false">
      <c r="A387" s="47" t="n">
        <v>30</v>
      </c>
      <c r="C387" s="48" t="str">
        <f aca="false">助手报销!$C31</f>
        <v>博尚店</v>
      </c>
      <c r="D387" s="81" t="s">
        <v>487</v>
      </c>
      <c r="E387" s="48" t="str">
        <f aca="false">IFERROR(INDEX(输入报销!$E:$E,MATCH($A387&amp;"-9",输入报销!$J:$J,0))&amp;"","")</f>
        <v/>
      </c>
      <c r="F387" s="48" t="str">
        <f aca="false">IFERROR(INDEX(输入报销!$F:$F,MATCH($A387&amp;"-9",输入报销!$J:$J,0))&amp;"","")</f>
        <v/>
      </c>
      <c r="G387" s="49" t="n">
        <f aca="false">IFERROR(ROUND(INDEX(输入报销!$G:$G,MATCH($A387&amp;"-9",输入报销!$J:$J,0)),2),0)</f>
        <v>0</v>
      </c>
      <c r="H387" s="49" t="str">
        <f aca="false">IF(ROUND($G387,2)&gt;0,ROUND($G387,2),"")</f>
        <v/>
      </c>
      <c r="I387" s="49" t="str">
        <f aca="false">IF(ROUND($G387,2)&lt;0,-ROUND($G387,2),"")</f>
        <v/>
      </c>
      <c r="J387" s="20" t="n">
        <f aca="false">IF(ROUND($G387,2)=0,0,1)</f>
        <v>0</v>
      </c>
      <c r="K387" s="20" t="str">
        <f aca="false">IF($J387=0,"",SUM($J$379:$J387))</f>
        <v/>
      </c>
      <c r="L387" s="20" t="str">
        <f aca="false">IF($K387="","",$A387*100+$K387)</f>
        <v/>
      </c>
      <c r="M387" s="48" t="str">
        <f aca="false">IFERROR(INDEX(输入报销!$D:$D,MATCH($A387&amp;"-9",输入报销!$J:$J,0))&amp;"","")</f>
        <v/>
      </c>
    </row>
    <row r="388" customFormat="false" ht="13.5" hidden="false" customHeight="false" outlineLevel="0" collapsed="false">
      <c r="A388" s="47" t="n">
        <v>30</v>
      </c>
      <c r="C388" s="48" t="str">
        <f aca="false">助手报销!$C31</f>
        <v>博尚店</v>
      </c>
      <c r="D388" s="81" t="s">
        <v>488</v>
      </c>
      <c r="E388" s="48" t="str">
        <f aca="false">IFERROR(INDEX(输入报销!$E:$E,MATCH($A388&amp;"-10",输入报销!$J:$J,0))&amp;"","")</f>
        <v/>
      </c>
      <c r="F388" s="48" t="str">
        <f aca="false">IFERROR(INDEX(输入报销!$F:$F,MATCH($A388&amp;"-10",输入报销!$J:$J,0))&amp;"","")</f>
        <v/>
      </c>
      <c r="G388" s="49" t="n">
        <f aca="false">IFERROR(ROUND(INDEX(输入报销!$G:$G,MATCH($A388&amp;"-10",输入报销!$J:$J,0)),2),0)</f>
        <v>0</v>
      </c>
      <c r="H388" s="49" t="str">
        <f aca="false">IF(ROUND($G388,2)&gt;0,ROUND($G388,2),"")</f>
        <v/>
      </c>
      <c r="I388" s="49" t="str">
        <f aca="false">IF(ROUND($G388,2)&lt;0,-ROUND($G388,2),"")</f>
        <v/>
      </c>
      <c r="J388" s="20" t="n">
        <f aca="false">IF(ROUND($G388,2)=0,0,1)</f>
        <v>0</v>
      </c>
      <c r="K388" s="20" t="str">
        <f aca="false">IF($J388=0,"",SUM($J$379:$J388))</f>
        <v/>
      </c>
      <c r="L388" s="20" t="str">
        <f aca="false">IF($K388="","",$A388*100+$K388)</f>
        <v/>
      </c>
      <c r="M388" s="48" t="str">
        <f aca="false">IFERROR(INDEX(输入报销!$D:$D,MATCH($A388&amp;"-10",输入报销!$J:$J,0))&amp;"","")</f>
        <v/>
      </c>
    </row>
    <row r="389" customFormat="false" ht="13.5" hidden="false" customHeight="false" outlineLevel="0" collapsed="false">
      <c r="A389" s="47" t="n">
        <v>30</v>
      </c>
      <c r="C389" s="48" t="str">
        <f aca="false">助手报销!$C31</f>
        <v>博尚店</v>
      </c>
      <c r="D389" s="81" t="s">
        <v>489</v>
      </c>
      <c r="E389" s="48" t="str">
        <f aca="false">参数!$B$6</f>
        <v>库存现金</v>
      </c>
      <c r="F389" s="48" t="str">
        <f aca="false">""</f>
        <v/>
      </c>
      <c r="G389" s="49" t="n">
        <f aca="false">-ROUND(SUMIFS(输入报销!$G:$G,输入报销!$A:$A,$A389,输入报销!$H:$H,参数!$B$6),2)</f>
        <v>-491.9</v>
      </c>
      <c r="H389" s="49" t="str">
        <f aca="false">IF(ROUND($G389,2)&gt;0,ROUND($G389,2),"")</f>
        <v/>
      </c>
      <c r="I389" s="49" t="n">
        <f aca="false">IF(ROUND($G389,2)&lt;0,-ROUND($G389,2),"")</f>
        <v>491.9</v>
      </c>
      <c r="J389" s="20" t="n">
        <f aca="false">IF(ROUND($G389,2)=0,0,1)</f>
        <v>1</v>
      </c>
      <c r="K389" s="20" t="n">
        <f aca="false">IF($J389=0,"",SUM($J$379:$J389))</f>
        <v>6</v>
      </c>
      <c r="L389" s="20" t="n">
        <f aca="false">IF($K389="","",$A389*100+$K389)</f>
        <v>3006</v>
      </c>
      <c r="M389" s="48" t="str">
        <f aca="false">""</f>
        <v/>
      </c>
    </row>
    <row r="390" customFormat="false" ht="13.5" hidden="false" customHeight="false" outlineLevel="0" collapsed="false">
      <c r="A390" s="47" t="n">
        <v>30</v>
      </c>
      <c r="C390" s="48" t="str">
        <f aca="false">助手报销!$C31</f>
        <v>博尚店</v>
      </c>
      <c r="D390" s="81" t="s">
        <v>490</v>
      </c>
      <c r="E390" s="48" t="str">
        <f aca="false">参数!$B$7</f>
        <v>银行存款</v>
      </c>
      <c r="F390" s="48" t="str">
        <f aca="false">""</f>
        <v/>
      </c>
      <c r="G390" s="49" t="n">
        <f aca="false">-ROUND(SUMIFS(输入报销!$G:$G,输入报销!$A:$A,$A390,输入报销!$H:$H,参数!$B$7),2)</f>
        <v>-0</v>
      </c>
      <c r="H390" s="49" t="str">
        <f aca="false">IF(ROUND($G390,2)&gt;0,ROUND($G390,2),"")</f>
        <v/>
      </c>
      <c r="I390" s="49" t="str">
        <f aca="false">IF(ROUND($G390,2)&lt;0,-ROUND($G390,2),"")</f>
        <v/>
      </c>
      <c r="J390" s="20" t="n">
        <f aca="false">IF(ROUND($G390,2)=0,0,1)</f>
        <v>0</v>
      </c>
      <c r="K390" s="20" t="str">
        <f aca="false">IF($J390=0,"",SUM($J$379:$J390))</f>
        <v/>
      </c>
      <c r="L390" s="20" t="str">
        <f aca="false">IF($K390="","",$A390*100+$K390)</f>
        <v/>
      </c>
      <c r="M390" s="48" t="str">
        <f aca="false">""</f>
        <v/>
      </c>
    </row>
    <row r="391" customFormat="false" ht="13.5" hidden="false" customHeight="false" outlineLevel="0" collapsed="false">
      <c r="A391" s="47" t="n">
        <v>30</v>
      </c>
      <c r="C391" s="48" t="str">
        <f aca="false">助手报销!$C31</f>
        <v>博尚店</v>
      </c>
      <c r="D391" s="81" t="s">
        <v>491</v>
      </c>
      <c r="E391" s="48" t="str">
        <f aca="false">参数!$B$8</f>
        <v>其他应付款</v>
      </c>
      <c r="F391" s="48" t="str">
        <f aca="false">""</f>
        <v/>
      </c>
      <c r="G391" s="49" t="n">
        <f aca="false">-ROUND(SUMIFS(输入报销!$G:$G,输入报销!$A:$A,$A391,输入报销!$H:$H,参数!$B$8),2)</f>
        <v>-0</v>
      </c>
      <c r="H391" s="49" t="str">
        <f aca="false">IF(ROUND($G391,2)&gt;0,ROUND($G391,2),"")</f>
        <v/>
      </c>
      <c r="I391" s="49" t="str">
        <f aca="false">IF(ROUND($G391,2)&lt;0,-ROUND($G391,2),"")</f>
        <v/>
      </c>
      <c r="J391" s="20" t="n">
        <f aca="false">IF(ROUND($G391,2)=0,0,1)</f>
        <v>0</v>
      </c>
      <c r="K391" s="20" t="str">
        <f aca="false">IF($J391=0,"",SUM($J$379:$J391))</f>
        <v/>
      </c>
      <c r="L391" s="20" t="str">
        <f aca="false">IF($K391="","",$A391*100+$K391)</f>
        <v/>
      </c>
      <c r="M391" s="48" t="str">
        <f aca="false">""</f>
        <v/>
      </c>
    </row>
    <row r="392" customFormat="false" ht="13.5" hidden="false" customHeight="false" outlineLevel="0" collapsed="false">
      <c r="A392" s="47" t="n">
        <v>31</v>
      </c>
      <c r="C392" s="48" t="str">
        <f aca="false">助手报销!$C32</f>
        <v>博魏店</v>
      </c>
      <c r="D392" s="81" t="s">
        <v>479</v>
      </c>
      <c r="E392" s="48" t="str">
        <f aca="false">IFERROR(INDEX(输入报销!$E:$E,MATCH($A392&amp;"-1",输入报销!$J:$J,0))&amp;"","")</f>
        <v>销售费用</v>
      </c>
      <c r="F392" s="48" t="str">
        <f aca="false">IFERROR(INDEX(输入报销!$F:$F,MATCH($A392&amp;"-1",输入报销!$J:$J,0))&amp;"","")</f>
        <v>水费</v>
      </c>
      <c r="G392" s="49" t="n">
        <f aca="false">IFERROR(ROUND(INDEX(输入报销!$G:$G,MATCH($A392&amp;"-1",输入报销!$J:$J,0)),2),0)</f>
        <v>6</v>
      </c>
      <c r="H392" s="49" t="n">
        <f aca="false">IF(ROUND($G392,2)&gt;0,ROUND($G392,2),"")</f>
        <v>6</v>
      </c>
      <c r="I392" s="49" t="str">
        <f aca="false">IF(ROUND($G392,2)&lt;0,-ROUND($G392,2),"")</f>
        <v/>
      </c>
      <c r="J392" s="20" t="n">
        <f aca="false">IF(ROUND($G392,2)=0,0,1)</f>
        <v>1</v>
      </c>
      <c r="K392" s="20" t="n">
        <f aca="false">IF($J392=0,"",SUM($J$392:$J392))</f>
        <v>1</v>
      </c>
      <c r="L392" s="20" t="n">
        <f aca="false">IF($K392="","",$A392*100+$K392)</f>
        <v>3101</v>
      </c>
      <c r="M392" s="48" t="str">
        <f aca="false">IFERROR(INDEX(输入报销!$D:$D,MATCH($A392&amp;"-1",输入报销!$J:$J,0))&amp;"","")</f>
        <v>水费</v>
      </c>
    </row>
    <row r="393" customFormat="false" ht="13.5" hidden="false" customHeight="false" outlineLevel="0" collapsed="false">
      <c r="A393" s="47" t="n">
        <v>31</v>
      </c>
      <c r="C393" s="48" t="str">
        <f aca="false">助手报销!$C32</f>
        <v>博魏店</v>
      </c>
      <c r="D393" s="81" t="s">
        <v>480</v>
      </c>
      <c r="E393" s="48" t="str">
        <f aca="false">IFERROR(INDEX(输入报销!$E:$E,MATCH($A393&amp;"-2",输入报销!$J:$J,0))&amp;"","")</f>
        <v>销售费用</v>
      </c>
      <c r="F393" s="48" t="str">
        <f aca="false">IFERROR(INDEX(输入报销!$F:$F,MATCH($A393&amp;"-2",输入报销!$J:$J,0))&amp;"","")</f>
        <v>电话费</v>
      </c>
      <c r="G393" s="49" t="n">
        <f aca="false">IFERROR(ROUND(INDEX(输入报销!$G:$G,MATCH($A393&amp;"-2",输入报销!$J:$J,0)),2),0)</f>
        <v>100</v>
      </c>
      <c r="H393" s="49" t="n">
        <f aca="false">IF(ROUND($G393,2)&gt;0,ROUND($G393,2),"")</f>
        <v>100</v>
      </c>
      <c r="I393" s="49" t="str">
        <f aca="false">IF(ROUND($G393,2)&lt;0,-ROUND($G393,2),"")</f>
        <v/>
      </c>
      <c r="J393" s="20" t="n">
        <f aca="false">IF(ROUND($G393,2)=0,0,1)</f>
        <v>1</v>
      </c>
      <c r="K393" s="20" t="n">
        <f aca="false">IF($J393=0,"",SUM($J$392:$J393))</f>
        <v>2</v>
      </c>
      <c r="L393" s="20" t="n">
        <f aca="false">IF($K393="","",$A393*100+$K393)</f>
        <v>3102</v>
      </c>
      <c r="M393" s="48" t="str">
        <f aca="false">IFERROR(INDEX(输入报销!$D:$D,MATCH($A393&amp;"-2",输入报销!$J:$J,0))&amp;"","")</f>
        <v>电话费</v>
      </c>
    </row>
    <row r="394" customFormat="false" ht="13.5" hidden="false" customHeight="false" outlineLevel="0" collapsed="false">
      <c r="A394" s="47" t="n">
        <v>31</v>
      </c>
      <c r="C394" s="48" t="str">
        <f aca="false">助手报销!$C32</f>
        <v>博魏店</v>
      </c>
      <c r="D394" s="81" t="s">
        <v>481</v>
      </c>
      <c r="E394" s="48" t="str">
        <f aca="false">IFERROR(INDEX(输入报销!$E:$E,MATCH($A394&amp;"-3",输入报销!$J:$J,0))&amp;"","")</f>
        <v>销售费用</v>
      </c>
      <c r="F394" s="48" t="str">
        <f aca="false">IFERROR(INDEX(输入报销!$F:$F,MATCH($A394&amp;"-3",输入报销!$J:$J,0))&amp;"","")</f>
        <v>电费</v>
      </c>
      <c r="G394" s="49" t="n">
        <f aca="false">IFERROR(ROUND(INDEX(输入报销!$G:$G,MATCH($A394&amp;"-3",输入报销!$J:$J,0)),2),0)</f>
        <v>300</v>
      </c>
      <c r="H394" s="49" t="n">
        <f aca="false">IF(ROUND($G394,2)&gt;0,ROUND($G394,2),"")</f>
        <v>300</v>
      </c>
      <c r="I394" s="49" t="str">
        <f aca="false">IF(ROUND($G394,2)&lt;0,-ROUND($G394,2),"")</f>
        <v/>
      </c>
      <c r="J394" s="20" t="n">
        <f aca="false">IF(ROUND($G394,2)=0,0,1)</f>
        <v>1</v>
      </c>
      <c r="K394" s="20" t="n">
        <f aca="false">IF($J394=0,"",SUM($J$392:$J394))</f>
        <v>3</v>
      </c>
      <c r="L394" s="20" t="n">
        <f aca="false">IF($K394="","",$A394*100+$K394)</f>
        <v>3103</v>
      </c>
      <c r="M394" s="48" t="str">
        <f aca="false">IFERROR(INDEX(输入报销!$D:$D,MATCH($A394&amp;"-3",输入报销!$J:$J,0))&amp;"","")</f>
        <v>电费</v>
      </c>
    </row>
    <row r="395" customFormat="false" ht="13.5" hidden="false" customHeight="false" outlineLevel="0" collapsed="false">
      <c r="A395" s="47" t="n">
        <v>31</v>
      </c>
      <c r="C395" s="48" t="str">
        <f aca="false">助手报销!$C32</f>
        <v>博魏店</v>
      </c>
      <c r="D395" s="81" t="s">
        <v>482</v>
      </c>
      <c r="E395" s="48" t="str">
        <f aca="false">IFERROR(INDEX(输入报销!$E:$E,MATCH($A395&amp;"-4",输入报销!$J:$J,0))&amp;"","")</f>
        <v/>
      </c>
      <c r="F395" s="48" t="str">
        <f aca="false">IFERROR(INDEX(输入报销!$F:$F,MATCH($A395&amp;"-4",输入报销!$J:$J,0))&amp;"","")</f>
        <v/>
      </c>
      <c r="G395" s="49" t="n">
        <f aca="false">IFERROR(ROUND(INDEX(输入报销!$G:$G,MATCH($A395&amp;"-4",输入报销!$J:$J,0)),2),0)</f>
        <v>0</v>
      </c>
      <c r="H395" s="49" t="str">
        <f aca="false">IF(ROUND($G395,2)&gt;0,ROUND($G395,2),"")</f>
        <v/>
      </c>
      <c r="I395" s="49" t="str">
        <f aca="false">IF(ROUND($G395,2)&lt;0,-ROUND($G395,2),"")</f>
        <v/>
      </c>
      <c r="J395" s="20" t="n">
        <f aca="false">IF(ROUND($G395,2)=0,0,1)</f>
        <v>0</v>
      </c>
      <c r="K395" s="20" t="str">
        <f aca="false">IF($J395=0,"",SUM($J$392:$J395))</f>
        <v/>
      </c>
      <c r="L395" s="20" t="str">
        <f aca="false">IF($K395="","",$A395*100+$K395)</f>
        <v/>
      </c>
      <c r="M395" s="48" t="str">
        <f aca="false">IFERROR(INDEX(输入报销!$D:$D,MATCH($A395&amp;"-4",输入报销!$J:$J,0))&amp;"","")</f>
        <v/>
      </c>
    </row>
    <row r="396" customFormat="false" ht="13.5" hidden="false" customHeight="false" outlineLevel="0" collapsed="false">
      <c r="A396" s="47" t="n">
        <v>31</v>
      </c>
      <c r="C396" s="48" t="str">
        <f aca="false">助手报销!$C32</f>
        <v>博魏店</v>
      </c>
      <c r="D396" s="81" t="s">
        <v>483</v>
      </c>
      <c r="E396" s="48" t="str">
        <f aca="false">IFERROR(INDEX(输入报销!$E:$E,MATCH($A396&amp;"-5",输入报销!$J:$J,0))&amp;"","")</f>
        <v/>
      </c>
      <c r="F396" s="48" t="str">
        <f aca="false">IFERROR(INDEX(输入报销!$F:$F,MATCH($A396&amp;"-5",输入报销!$J:$J,0))&amp;"","")</f>
        <v/>
      </c>
      <c r="G396" s="49" t="n">
        <f aca="false">IFERROR(ROUND(INDEX(输入报销!$G:$G,MATCH($A396&amp;"-5",输入报销!$J:$J,0)),2),0)</f>
        <v>0</v>
      </c>
      <c r="H396" s="49" t="str">
        <f aca="false">IF(ROUND($G396,2)&gt;0,ROUND($G396,2),"")</f>
        <v/>
      </c>
      <c r="I396" s="49" t="str">
        <f aca="false">IF(ROUND($G396,2)&lt;0,-ROUND($G396,2),"")</f>
        <v/>
      </c>
      <c r="J396" s="20" t="n">
        <f aca="false">IF(ROUND($G396,2)=0,0,1)</f>
        <v>0</v>
      </c>
      <c r="K396" s="20" t="str">
        <f aca="false">IF($J396=0,"",SUM($J$392:$J396))</f>
        <v/>
      </c>
      <c r="L396" s="20" t="str">
        <f aca="false">IF($K396="","",$A396*100+$K396)</f>
        <v/>
      </c>
      <c r="M396" s="48" t="str">
        <f aca="false">IFERROR(INDEX(输入报销!$D:$D,MATCH($A396&amp;"-5",输入报销!$J:$J,0))&amp;"","")</f>
        <v/>
      </c>
    </row>
    <row r="397" customFormat="false" ht="13.5" hidden="false" customHeight="false" outlineLevel="0" collapsed="false">
      <c r="A397" s="47" t="n">
        <v>31</v>
      </c>
      <c r="C397" s="48" t="str">
        <f aca="false">助手报销!$C32</f>
        <v>博魏店</v>
      </c>
      <c r="D397" s="81" t="s">
        <v>484</v>
      </c>
      <c r="E397" s="48" t="str">
        <f aca="false">IFERROR(INDEX(输入报销!$E:$E,MATCH($A397&amp;"-6",输入报销!$J:$J,0))&amp;"","")</f>
        <v/>
      </c>
      <c r="F397" s="48" t="str">
        <f aca="false">IFERROR(INDEX(输入报销!$F:$F,MATCH($A397&amp;"-6",输入报销!$J:$J,0))&amp;"","")</f>
        <v/>
      </c>
      <c r="G397" s="49" t="n">
        <f aca="false">IFERROR(ROUND(INDEX(输入报销!$G:$G,MATCH($A397&amp;"-6",输入报销!$J:$J,0)),2),0)</f>
        <v>0</v>
      </c>
      <c r="H397" s="49" t="str">
        <f aca="false">IF(ROUND($G397,2)&gt;0,ROUND($G397,2),"")</f>
        <v/>
      </c>
      <c r="I397" s="49" t="str">
        <f aca="false">IF(ROUND($G397,2)&lt;0,-ROUND($G397,2),"")</f>
        <v/>
      </c>
      <c r="J397" s="20" t="n">
        <f aca="false">IF(ROUND($G397,2)=0,0,1)</f>
        <v>0</v>
      </c>
      <c r="K397" s="20" t="str">
        <f aca="false">IF($J397=0,"",SUM($J$392:$J397))</f>
        <v/>
      </c>
      <c r="L397" s="20" t="str">
        <f aca="false">IF($K397="","",$A397*100+$K397)</f>
        <v/>
      </c>
      <c r="M397" s="48" t="str">
        <f aca="false">IFERROR(INDEX(输入报销!$D:$D,MATCH($A397&amp;"-6",输入报销!$J:$J,0))&amp;"","")</f>
        <v/>
      </c>
    </row>
    <row r="398" customFormat="false" ht="13.5" hidden="false" customHeight="false" outlineLevel="0" collapsed="false">
      <c r="A398" s="47" t="n">
        <v>31</v>
      </c>
      <c r="C398" s="48" t="str">
        <f aca="false">助手报销!$C32</f>
        <v>博魏店</v>
      </c>
      <c r="D398" s="81" t="s">
        <v>485</v>
      </c>
      <c r="E398" s="48" t="str">
        <f aca="false">IFERROR(INDEX(输入报销!$E:$E,MATCH($A398&amp;"-7",输入报销!$J:$J,0))&amp;"","")</f>
        <v/>
      </c>
      <c r="F398" s="48" t="str">
        <f aca="false">IFERROR(INDEX(输入报销!$F:$F,MATCH($A398&amp;"-7",输入报销!$J:$J,0))&amp;"","")</f>
        <v/>
      </c>
      <c r="G398" s="49" t="n">
        <f aca="false">IFERROR(ROUND(INDEX(输入报销!$G:$G,MATCH($A398&amp;"-7",输入报销!$J:$J,0)),2),0)</f>
        <v>0</v>
      </c>
      <c r="H398" s="49" t="str">
        <f aca="false">IF(ROUND($G398,2)&gt;0,ROUND($G398,2),"")</f>
        <v/>
      </c>
      <c r="I398" s="49" t="str">
        <f aca="false">IF(ROUND($G398,2)&lt;0,-ROUND($G398,2),"")</f>
        <v/>
      </c>
      <c r="J398" s="20" t="n">
        <f aca="false">IF(ROUND($G398,2)=0,0,1)</f>
        <v>0</v>
      </c>
      <c r="K398" s="20" t="str">
        <f aca="false">IF($J398=0,"",SUM($J$392:$J398))</f>
        <v/>
      </c>
      <c r="L398" s="20" t="str">
        <f aca="false">IF($K398="","",$A398*100+$K398)</f>
        <v/>
      </c>
      <c r="M398" s="48" t="str">
        <f aca="false">IFERROR(INDEX(输入报销!$D:$D,MATCH($A398&amp;"-7",输入报销!$J:$J,0))&amp;"","")</f>
        <v/>
      </c>
    </row>
    <row r="399" customFormat="false" ht="13.5" hidden="false" customHeight="false" outlineLevel="0" collapsed="false">
      <c r="A399" s="47" t="n">
        <v>31</v>
      </c>
      <c r="C399" s="48" t="str">
        <f aca="false">助手报销!$C32</f>
        <v>博魏店</v>
      </c>
      <c r="D399" s="81" t="s">
        <v>486</v>
      </c>
      <c r="E399" s="48" t="str">
        <f aca="false">IFERROR(INDEX(输入报销!$E:$E,MATCH($A399&amp;"-8",输入报销!$J:$J,0))&amp;"","")</f>
        <v/>
      </c>
      <c r="F399" s="48" t="str">
        <f aca="false">IFERROR(INDEX(输入报销!$F:$F,MATCH($A399&amp;"-8",输入报销!$J:$J,0))&amp;"","")</f>
        <v/>
      </c>
      <c r="G399" s="49" t="n">
        <f aca="false">IFERROR(ROUND(INDEX(输入报销!$G:$G,MATCH($A399&amp;"-8",输入报销!$J:$J,0)),2),0)</f>
        <v>0</v>
      </c>
      <c r="H399" s="49" t="str">
        <f aca="false">IF(ROUND($G399,2)&gt;0,ROUND($G399,2),"")</f>
        <v/>
      </c>
      <c r="I399" s="49" t="str">
        <f aca="false">IF(ROUND($G399,2)&lt;0,-ROUND($G399,2),"")</f>
        <v/>
      </c>
      <c r="J399" s="20" t="n">
        <f aca="false">IF(ROUND($G399,2)=0,0,1)</f>
        <v>0</v>
      </c>
      <c r="K399" s="20" t="str">
        <f aca="false">IF($J399=0,"",SUM($J$392:$J399))</f>
        <v/>
      </c>
      <c r="L399" s="20" t="str">
        <f aca="false">IF($K399="","",$A399*100+$K399)</f>
        <v/>
      </c>
      <c r="M399" s="48" t="str">
        <f aca="false">IFERROR(INDEX(输入报销!$D:$D,MATCH($A399&amp;"-8",输入报销!$J:$J,0))&amp;"","")</f>
        <v/>
      </c>
    </row>
    <row r="400" customFormat="false" ht="13.5" hidden="false" customHeight="false" outlineLevel="0" collapsed="false">
      <c r="A400" s="47" t="n">
        <v>31</v>
      </c>
      <c r="C400" s="48" t="str">
        <f aca="false">助手报销!$C32</f>
        <v>博魏店</v>
      </c>
      <c r="D400" s="81" t="s">
        <v>487</v>
      </c>
      <c r="E400" s="48" t="str">
        <f aca="false">IFERROR(INDEX(输入报销!$E:$E,MATCH($A400&amp;"-9",输入报销!$J:$J,0))&amp;"","")</f>
        <v/>
      </c>
      <c r="F400" s="48" t="str">
        <f aca="false">IFERROR(INDEX(输入报销!$F:$F,MATCH($A400&amp;"-9",输入报销!$J:$J,0))&amp;"","")</f>
        <v/>
      </c>
      <c r="G400" s="49" t="n">
        <f aca="false">IFERROR(ROUND(INDEX(输入报销!$G:$G,MATCH($A400&amp;"-9",输入报销!$J:$J,0)),2),0)</f>
        <v>0</v>
      </c>
      <c r="H400" s="49" t="str">
        <f aca="false">IF(ROUND($G400,2)&gt;0,ROUND($G400,2),"")</f>
        <v/>
      </c>
      <c r="I400" s="49" t="str">
        <f aca="false">IF(ROUND($G400,2)&lt;0,-ROUND($G400,2),"")</f>
        <v/>
      </c>
      <c r="J400" s="20" t="n">
        <f aca="false">IF(ROUND($G400,2)=0,0,1)</f>
        <v>0</v>
      </c>
      <c r="K400" s="20" t="str">
        <f aca="false">IF($J400=0,"",SUM($J$392:$J400))</f>
        <v/>
      </c>
      <c r="L400" s="20" t="str">
        <f aca="false">IF($K400="","",$A400*100+$K400)</f>
        <v/>
      </c>
      <c r="M400" s="48" t="str">
        <f aca="false">IFERROR(INDEX(输入报销!$D:$D,MATCH($A400&amp;"-9",输入报销!$J:$J,0))&amp;"","")</f>
        <v/>
      </c>
    </row>
    <row r="401" customFormat="false" ht="13.5" hidden="false" customHeight="false" outlineLevel="0" collapsed="false">
      <c r="A401" s="47" t="n">
        <v>31</v>
      </c>
      <c r="C401" s="48" t="str">
        <f aca="false">助手报销!$C32</f>
        <v>博魏店</v>
      </c>
      <c r="D401" s="81" t="s">
        <v>488</v>
      </c>
      <c r="E401" s="48" t="str">
        <f aca="false">IFERROR(INDEX(输入报销!$E:$E,MATCH($A401&amp;"-10",输入报销!$J:$J,0))&amp;"","")</f>
        <v/>
      </c>
      <c r="F401" s="48" t="str">
        <f aca="false">IFERROR(INDEX(输入报销!$F:$F,MATCH($A401&amp;"-10",输入报销!$J:$J,0))&amp;"","")</f>
        <v/>
      </c>
      <c r="G401" s="49" t="n">
        <f aca="false">IFERROR(ROUND(INDEX(输入报销!$G:$G,MATCH($A401&amp;"-10",输入报销!$J:$J,0)),2),0)</f>
        <v>0</v>
      </c>
      <c r="H401" s="49" t="str">
        <f aca="false">IF(ROUND($G401,2)&gt;0,ROUND($G401,2),"")</f>
        <v/>
      </c>
      <c r="I401" s="49" t="str">
        <f aca="false">IF(ROUND($G401,2)&lt;0,-ROUND($G401,2),"")</f>
        <v/>
      </c>
      <c r="J401" s="20" t="n">
        <f aca="false">IF(ROUND($G401,2)=0,0,1)</f>
        <v>0</v>
      </c>
      <c r="K401" s="20" t="str">
        <f aca="false">IF($J401=0,"",SUM($J$392:$J401))</f>
        <v/>
      </c>
      <c r="L401" s="20" t="str">
        <f aca="false">IF($K401="","",$A401*100+$K401)</f>
        <v/>
      </c>
      <c r="M401" s="48" t="str">
        <f aca="false">IFERROR(INDEX(输入报销!$D:$D,MATCH($A401&amp;"-10",输入报销!$J:$J,0))&amp;"","")</f>
        <v/>
      </c>
    </row>
    <row r="402" customFormat="false" ht="13.5" hidden="false" customHeight="false" outlineLevel="0" collapsed="false">
      <c r="A402" s="47" t="n">
        <v>31</v>
      </c>
      <c r="C402" s="48" t="str">
        <f aca="false">助手报销!$C32</f>
        <v>博魏店</v>
      </c>
      <c r="D402" s="81" t="s">
        <v>489</v>
      </c>
      <c r="E402" s="48" t="str">
        <f aca="false">参数!$B$6</f>
        <v>库存现金</v>
      </c>
      <c r="F402" s="48" t="str">
        <f aca="false">""</f>
        <v/>
      </c>
      <c r="G402" s="49" t="n">
        <f aca="false">-ROUND(SUMIFS(输入报销!$G:$G,输入报销!$A:$A,$A402,输入报销!$H:$H,参数!$B$6),2)</f>
        <v>-406</v>
      </c>
      <c r="H402" s="49" t="str">
        <f aca="false">IF(ROUND($G402,2)&gt;0,ROUND($G402,2),"")</f>
        <v/>
      </c>
      <c r="I402" s="49" t="n">
        <f aca="false">IF(ROUND($G402,2)&lt;0,-ROUND($G402,2),"")</f>
        <v>406</v>
      </c>
      <c r="J402" s="20" t="n">
        <f aca="false">IF(ROUND($G402,2)=0,0,1)</f>
        <v>1</v>
      </c>
      <c r="K402" s="20" t="n">
        <f aca="false">IF($J402=0,"",SUM($J$392:$J402))</f>
        <v>4</v>
      </c>
      <c r="L402" s="20" t="n">
        <f aca="false">IF($K402="","",$A402*100+$K402)</f>
        <v>3104</v>
      </c>
      <c r="M402" s="48" t="str">
        <f aca="false">""</f>
        <v/>
      </c>
    </row>
    <row r="403" customFormat="false" ht="13.5" hidden="false" customHeight="false" outlineLevel="0" collapsed="false">
      <c r="A403" s="47" t="n">
        <v>31</v>
      </c>
      <c r="C403" s="48" t="str">
        <f aca="false">助手报销!$C32</f>
        <v>博魏店</v>
      </c>
      <c r="D403" s="81" t="s">
        <v>490</v>
      </c>
      <c r="E403" s="48" t="str">
        <f aca="false">参数!$B$7</f>
        <v>银行存款</v>
      </c>
      <c r="F403" s="48" t="str">
        <f aca="false">""</f>
        <v/>
      </c>
      <c r="G403" s="49" t="n">
        <f aca="false">-ROUND(SUMIFS(输入报销!$G:$G,输入报销!$A:$A,$A403,输入报销!$H:$H,参数!$B$7),2)</f>
        <v>-0</v>
      </c>
      <c r="H403" s="49" t="str">
        <f aca="false">IF(ROUND($G403,2)&gt;0,ROUND($G403,2),"")</f>
        <v/>
      </c>
      <c r="I403" s="49" t="str">
        <f aca="false">IF(ROUND($G403,2)&lt;0,-ROUND($G403,2),"")</f>
        <v/>
      </c>
      <c r="J403" s="20" t="n">
        <f aca="false">IF(ROUND($G403,2)=0,0,1)</f>
        <v>0</v>
      </c>
      <c r="K403" s="20" t="str">
        <f aca="false">IF($J403=0,"",SUM($J$392:$J403))</f>
        <v/>
      </c>
      <c r="L403" s="20" t="str">
        <f aca="false">IF($K403="","",$A403*100+$K403)</f>
        <v/>
      </c>
      <c r="M403" s="48" t="str">
        <f aca="false">""</f>
        <v/>
      </c>
    </row>
    <row r="404" customFormat="false" ht="13.5" hidden="false" customHeight="false" outlineLevel="0" collapsed="false">
      <c r="A404" s="47" t="n">
        <v>31</v>
      </c>
      <c r="C404" s="48" t="str">
        <f aca="false">助手报销!$C32</f>
        <v>博魏店</v>
      </c>
      <c r="D404" s="81" t="s">
        <v>491</v>
      </c>
      <c r="E404" s="48" t="str">
        <f aca="false">参数!$B$8</f>
        <v>其他应付款</v>
      </c>
      <c r="F404" s="48" t="str">
        <f aca="false">""</f>
        <v/>
      </c>
      <c r="G404" s="49" t="n">
        <f aca="false">-ROUND(SUMIFS(输入报销!$G:$G,输入报销!$A:$A,$A404,输入报销!$H:$H,参数!$B$8),2)</f>
        <v>-0</v>
      </c>
      <c r="H404" s="49" t="str">
        <f aca="false">IF(ROUND($G404,2)&gt;0,ROUND($G404,2),"")</f>
        <v/>
      </c>
      <c r="I404" s="49" t="str">
        <f aca="false">IF(ROUND($G404,2)&lt;0,-ROUND($G404,2),"")</f>
        <v/>
      </c>
      <c r="J404" s="20" t="n">
        <f aca="false">IF(ROUND($G404,2)=0,0,1)</f>
        <v>0</v>
      </c>
      <c r="K404" s="20" t="str">
        <f aca="false">IF($J404=0,"",SUM($J$392:$J404))</f>
        <v/>
      </c>
      <c r="L404" s="20" t="str">
        <f aca="false">IF($K404="","",$A404*100+$K404)</f>
        <v/>
      </c>
      <c r="M404" s="48" t="str">
        <f aca="false">""</f>
        <v/>
      </c>
    </row>
    <row r="405" customFormat="false" ht="13.5" hidden="false" customHeight="false" outlineLevel="0" collapsed="false">
      <c r="A405" s="47" t="n">
        <v>32</v>
      </c>
      <c r="C405" s="48" t="str">
        <f aca="false">助手报销!$C33</f>
        <v>博城店</v>
      </c>
      <c r="D405" s="81" t="s">
        <v>479</v>
      </c>
      <c r="E405" s="48" t="str">
        <f aca="false">IFERROR(INDEX(输入报销!$E:$E,MATCH($A405&amp;"-1",输入报销!$J:$J,0))&amp;"","")</f>
        <v>销售费用</v>
      </c>
      <c r="F405" s="48" t="str">
        <f aca="false">IFERROR(INDEX(输入报销!$F:$F,MATCH($A405&amp;"-1",输入报销!$J:$J,0))&amp;"","")</f>
        <v>电费</v>
      </c>
      <c r="G405" s="49" t="n">
        <f aca="false">IFERROR(ROUND(INDEX(输入报销!$G:$G,MATCH($A405&amp;"-1",输入报销!$J:$J,0)),2),0)</f>
        <v>600</v>
      </c>
      <c r="H405" s="49" t="n">
        <f aca="false">IF(ROUND($G405,2)&gt;0,ROUND($G405,2),"")</f>
        <v>600</v>
      </c>
      <c r="I405" s="49" t="str">
        <f aca="false">IF(ROUND($G405,2)&lt;0,-ROUND($G405,2),"")</f>
        <v/>
      </c>
      <c r="J405" s="20" t="n">
        <f aca="false">IF(ROUND($G405,2)=0,0,1)</f>
        <v>1</v>
      </c>
      <c r="K405" s="20" t="n">
        <f aca="false">IF($J405=0,"",SUM($J$405:$J405))</f>
        <v>1</v>
      </c>
      <c r="L405" s="20" t="n">
        <f aca="false">IF($K405="","",$A405*100+$K405)</f>
        <v>3201</v>
      </c>
      <c r="M405" s="48" t="str">
        <f aca="false">IFERROR(INDEX(输入报销!$D:$D,MATCH($A405&amp;"-1",输入报销!$J:$J,0))&amp;"","")</f>
        <v>电费</v>
      </c>
    </row>
    <row r="406" customFormat="false" ht="13.5" hidden="false" customHeight="false" outlineLevel="0" collapsed="false">
      <c r="A406" s="47" t="n">
        <v>32</v>
      </c>
      <c r="C406" s="48" t="str">
        <f aca="false">助手报销!$C33</f>
        <v>博城店</v>
      </c>
      <c r="D406" s="81" t="s">
        <v>480</v>
      </c>
      <c r="E406" s="48" t="str">
        <f aca="false">IFERROR(INDEX(输入报销!$E:$E,MATCH($A406&amp;"-2",输入报销!$J:$J,0))&amp;"","")</f>
        <v>销售费用</v>
      </c>
      <c r="F406" s="48" t="str">
        <f aca="false">IFERROR(INDEX(输入报销!$F:$F,MATCH($A406&amp;"-2",输入报销!$J:$J,0))&amp;"","")</f>
        <v>福利费</v>
      </c>
      <c r="G406" s="49" t="n">
        <f aca="false">IFERROR(ROUND(INDEX(输入报销!$G:$G,MATCH($A406&amp;"-2",输入报销!$J:$J,0)),2),0)</f>
        <v>80</v>
      </c>
      <c r="H406" s="49" t="n">
        <f aca="false">IF(ROUND($G406,2)&gt;0,ROUND($G406,2),"")</f>
        <v>80</v>
      </c>
      <c r="I406" s="49" t="str">
        <f aca="false">IF(ROUND($G406,2)&lt;0,-ROUND($G406,2),"")</f>
        <v/>
      </c>
      <c r="J406" s="20" t="n">
        <f aca="false">IF(ROUND($G406,2)=0,0,1)</f>
        <v>1</v>
      </c>
      <c r="K406" s="20" t="n">
        <f aca="false">IF($J406=0,"",SUM($J$405:$J406))</f>
        <v>2</v>
      </c>
      <c r="L406" s="20" t="n">
        <f aca="false">IF($K406="","",$A406*100+$K406)</f>
        <v>3202</v>
      </c>
      <c r="M406" s="48" t="str">
        <f aca="false">IFERROR(INDEX(输入报销!$D:$D,MATCH($A406&amp;"-2",输入报销!$J:$J,0))&amp;"","")</f>
        <v>车费</v>
      </c>
    </row>
    <row r="407" customFormat="false" ht="13.5" hidden="false" customHeight="false" outlineLevel="0" collapsed="false">
      <c r="A407" s="47" t="n">
        <v>32</v>
      </c>
      <c r="C407" s="48" t="str">
        <f aca="false">助手报销!$C33</f>
        <v>博城店</v>
      </c>
      <c r="D407" s="81" t="s">
        <v>481</v>
      </c>
      <c r="E407" s="48" t="str">
        <f aca="false">IFERROR(INDEX(输入报销!$E:$E,MATCH($A407&amp;"-3",输入报销!$J:$J,0))&amp;"","")</f>
        <v>销售费用</v>
      </c>
      <c r="F407" s="48" t="str">
        <f aca="false">IFERROR(INDEX(输入报销!$F:$F,MATCH($A407&amp;"-3",输入报销!$J:$J,0))&amp;"","")</f>
        <v>水费</v>
      </c>
      <c r="G407" s="49" t="n">
        <f aca="false">IFERROR(ROUND(INDEX(输入报销!$G:$G,MATCH($A407&amp;"-3",输入报销!$J:$J,0)),2),0)</f>
        <v>20</v>
      </c>
      <c r="H407" s="49" t="n">
        <f aca="false">IF(ROUND($G407,2)&gt;0,ROUND($G407,2),"")</f>
        <v>20</v>
      </c>
      <c r="I407" s="49" t="str">
        <f aca="false">IF(ROUND($G407,2)&lt;0,-ROUND($G407,2),"")</f>
        <v/>
      </c>
      <c r="J407" s="20" t="n">
        <f aca="false">IF(ROUND($G407,2)=0,0,1)</f>
        <v>1</v>
      </c>
      <c r="K407" s="20" t="n">
        <f aca="false">IF($J407=0,"",SUM($J$405:$J407))</f>
        <v>3</v>
      </c>
      <c r="L407" s="20" t="n">
        <f aca="false">IF($K407="","",$A407*100+$K407)</f>
        <v>3203</v>
      </c>
      <c r="M407" s="48" t="str">
        <f aca="false">IFERROR(INDEX(输入报销!$D:$D,MATCH($A407&amp;"-3",输入报销!$J:$J,0))&amp;"","")</f>
        <v>水费</v>
      </c>
    </row>
    <row r="408" customFormat="false" ht="13.5" hidden="false" customHeight="false" outlineLevel="0" collapsed="false">
      <c r="A408" s="47" t="n">
        <v>32</v>
      </c>
      <c r="C408" s="48" t="str">
        <f aca="false">助手报销!$C33</f>
        <v>博城店</v>
      </c>
      <c r="D408" s="81" t="s">
        <v>482</v>
      </c>
      <c r="E408" s="48" t="str">
        <f aca="false">IFERROR(INDEX(输入报销!$E:$E,MATCH($A408&amp;"-4",输入报销!$J:$J,0))&amp;"","")</f>
        <v>销售费用</v>
      </c>
      <c r="F408" s="48" t="str">
        <f aca="false">IFERROR(INDEX(输入报销!$F:$F,MATCH($A408&amp;"-4",输入报销!$J:$J,0))&amp;"","")</f>
        <v>电话费</v>
      </c>
      <c r="G408" s="49" t="n">
        <f aca="false">IFERROR(ROUND(INDEX(输入报销!$G:$G,MATCH($A408&amp;"-4",输入报销!$J:$J,0)),2),0)</f>
        <v>100</v>
      </c>
      <c r="H408" s="49" t="n">
        <f aca="false">IF(ROUND($G408,2)&gt;0,ROUND($G408,2),"")</f>
        <v>100</v>
      </c>
      <c r="I408" s="49" t="str">
        <f aca="false">IF(ROUND($G408,2)&lt;0,-ROUND($G408,2),"")</f>
        <v/>
      </c>
      <c r="J408" s="20" t="n">
        <f aca="false">IF(ROUND($G408,2)=0,0,1)</f>
        <v>1</v>
      </c>
      <c r="K408" s="20" t="n">
        <f aca="false">IF($J408=0,"",SUM($J$405:$J408))</f>
        <v>4</v>
      </c>
      <c r="L408" s="20" t="n">
        <f aca="false">IF($K408="","",$A408*100+$K408)</f>
        <v>3204</v>
      </c>
      <c r="M408" s="48" t="str">
        <f aca="false">IFERROR(INDEX(输入报销!$D:$D,MATCH($A408&amp;"-4",输入报销!$J:$J,0))&amp;"","")</f>
        <v>电话费</v>
      </c>
    </row>
    <row r="409" customFormat="false" ht="13.5" hidden="false" customHeight="false" outlineLevel="0" collapsed="false">
      <c r="A409" s="47" t="n">
        <v>32</v>
      </c>
      <c r="C409" s="48" t="str">
        <f aca="false">助手报销!$C33</f>
        <v>博城店</v>
      </c>
      <c r="D409" s="81" t="s">
        <v>483</v>
      </c>
      <c r="E409" s="48" t="str">
        <f aca="false">IFERROR(INDEX(输入报销!$E:$E,MATCH($A409&amp;"-5",输入报销!$J:$J,0))&amp;"","")</f>
        <v/>
      </c>
      <c r="F409" s="48" t="str">
        <f aca="false">IFERROR(INDEX(输入报销!$F:$F,MATCH($A409&amp;"-5",输入报销!$J:$J,0))&amp;"","")</f>
        <v/>
      </c>
      <c r="G409" s="49" t="n">
        <f aca="false">IFERROR(ROUND(INDEX(输入报销!$G:$G,MATCH($A409&amp;"-5",输入报销!$J:$J,0)),2),0)</f>
        <v>0</v>
      </c>
      <c r="H409" s="49" t="str">
        <f aca="false">IF(ROUND($G409,2)&gt;0,ROUND($G409,2),"")</f>
        <v/>
      </c>
      <c r="I409" s="49" t="str">
        <f aca="false">IF(ROUND($G409,2)&lt;0,-ROUND($G409,2),"")</f>
        <v/>
      </c>
      <c r="J409" s="20" t="n">
        <f aca="false">IF(ROUND($G409,2)=0,0,1)</f>
        <v>0</v>
      </c>
      <c r="K409" s="20" t="str">
        <f aca="false">IF($J409=0,"",SUM($J$405:$J409))</f>
        <v/>
      </c>
      <c r="L409" s="20" t="str">
        <f aca="false">IF($K409="","",$A409*100+$K409)</f>
        <v/>
      </c>
      <c r="M409" s="48" t="str">
        <f aca="false">IFERROR(INDEX(输入报销!$D:$D,MATCH($A409&amp;"-5",输入报销!$J:$J,0))&amp;"","")</f>
        <v/>
      </c>
    </row>
    <row r="410" customFormat="false" ht="13.5" hidden="false" customHeight="false" outlineLevel="0" collapsed="false">
      <c r="A410" s="47" t="n">
        <v>32</v>
      </c>
      <c r="C410" s="48" t="str">
        <f aca="false">助手报销!$C33</f>
        <v>博城店</v>
      </c>
      <c r="D410" s="81" t="s">
        <v>484</v>
      </c>
      <c r="E410" s="48" t="str">
        <f aca="false">IFERROR(INDEX(输入报销!$E:$E,MATCH($A410&amp;"-6",输入报销!$J:$J,0))&amp;"","")</f>
        <v/>
      </c>
      <c r="F410" s="48" t="str">
        <f aca="false">IFERROR(INDEX(输入报销!$F:$F,MATCH($A410&amp;"-6",输入报销!$J:$J,0))&amp;"","")</f>
        <v/>
      </c>
      <c r="G410" s="49" t="n">
        <f aca="false">IFERROR(ROUND(INDEX(输入报销!$G:$G,MATCH($A410&amp;"-6",输入报销!$J:$J,0)),2),0)</f>
        <v>0</v>
      </c>
      <c r="H410" s="49" t="str">
        <f aca="false">IF(ROUND($G410,2)&gt;0,ROUND($G410,2),"")</f>
        <v/>
      </c>
      <c r="I410" s="49" t="str">
        <f aca="false">IF(ROUND($G410,2)&lt;0,-ROUND($G410,2),"")</f>
        <v/>
      </c>
      <c r="J410" s="20" t="n">
        <f aca="false">IF(ROUND($G410,2)=0,0,1)</f>
        <v>0</v>
      </c>
      <c r="K410" s="20" t="str">
        <f aca="false">IF($J410=0,"",SUM($J$405:$J410))</f>
        <v/>
      </c>
      <c r="L410" s="20" t="str">
        <f aca="false">IF($K410="","",$A410*100+$K410)</f>
        <v/>
      </c>
      <c r="M410" s="48" t="str">
        <f aca="false">IFERROR(INDEX(输入报销!$D:$D,MATCH($A410&amp;"-6",输入报销!$J:$J,0))&amp;"","")</f>
        <v/>
      </c>
    </row>
    <row r="411" customFormat="false" ht="13.5" hidden="false" customHeight="false" outlineLevel="0" collapsed="false">
      <c r="A411" s="47" t="n">
        <v>32</v>
      </c>
      <c r="C411" s="48" t="str">
        <f aca="false">助手报销!$C33</f>
        <v>博城店</v>
      </c>
      <c r="D411" s="81" t="s">
        <v>485</v>
      </c>
      <c r="E411" s="48" t="str">
        <f aca="false">IFERROR(INDEX(输入报销!$E:$E,MATCH($A411&amp;"-7",输入报销!$J:$J,0))&amp;"","")</f>
        <v/>
      </c>
      <c r="F411" s="48" t="str">
        <f aca="false">IFERROR(INDEX(输入报销!$F:$F,MATCH($A411&amp;"-7",输入报销!$J:$J,0))&amp;"","")</f>
        <v/>
      </c>
      <c r="G411" s="49" t="n">
        <f aca="false">IFERROR(ROUND(INDEX(输入报销!$G:$G,MATCH($A411&amp;"-7",输入报销!$J:$J,0)),2),0)</f>
        <v>0</v>
      </c>
      <c r="H411" s="49" t="str">
        <f aca="false">IF(ROUND($G411,2)&gt;0,ROUND($G411,2),"")</f>
        <v/>
      </c>
      <c r="I411" s="49" t="str">
        <f aca="false">IF(ROUND($G411,2)&lt;0,-ROUND($G411,2),"")</f>
        <v/>
      </c>
      <c r="J411" s="20" t="n">
        <f aca="false">IF(ROUND($G411,2)=0,0,1)</f>
        <v>0</v>
      </c>
      <c r="K411" s="20" t="str">
        <f aca="false">IF($J411=0,"",SUM($J$405:$J411))</f>
        <v/>
      </c>
      <c r="L411" s="20" t="str">
        <f aca="false">IF($K411="","",$A411*100+$K411)</f>
        <v/>
      </c>
      <c r="M411" s="48" t="str">
        <f aca="false">IFERROR(INDEX(输入报销!$D:$D,MATCH($A411&amp;"-7",输入报销!$J:$J,0))&amp;"","")</f>
        <v/>
      </c>
    </row>
    <row r="412" customFormat="false" ht="13.5" hidden="false" customHeight="false" outlineLevel="0" collapsed="false">
      <c r="A412" s="47" t="n">
        <v>32</v>
      </c>
      <c r="C412" s="48" t="str">
        <f aca="false">助手报销!$C33</f>
        <v>博城店</v>
      </c>
      <c r="D412" s="81" t="s">
        <v>486</v>
      </c>
      <c r="E412" s="48" t="str">
        <f aca="false">IFERROR(INDEX(输入报销!$E:$E,MATCH($A412&amp;"-8",输入报销!$J:$J,0))&amp;"","")</f>
        <v/>
      </c>
      <c r="F412" s="48" t="str">
        <f aca="false">IFERROR(INDEX(输入报销!$F:$F,MATCH($A412&amp;"-8",输入报销!$J:$J,0))&amp;"","")</f>
        <v/>
      </c>
      <c r="G412" s="49" t="n">
        <f aca="false">IFERROR(ROUND(INDEX(输入报销!$G:$G,MATCH($A412&amp;"-8",输入报销!$J:$J,0)),2),0)</f>
        <v>0</v>
      </c>
      <c r="H412" s="49" t="str">
        <f aca="false">IF(ROUND($G412,2)&gt;0,ROUND($G412,2),"")</f>
        <v/>
      </c>
      <c r="I412" s="49" t="str">
        <f aca="false">IF(ROUND($G412,2)&lt;0,-ROUND($G412,2),"")</f>
        <v/>
      </c>
      <c r="J412" s="20" t="n">
        <f aca="false">IF(ROUND($G412,2)=0,0,1)</f>
        <v>0</v>
      </c>
      <c r="K412" s="20" t="str">
        <f aca="false">IF($J412=0,"",SUM($J$405:$J412))</f>
        <v/>
      </c>
      <c r="L412" s="20" t="str">
        <f aca="false">IF($K412="","",$A412*100+$K412)</f>
        <v/>
      </c>
      <c r="M412" s="48" t="str">
        <f aca="false">IFERROR(INDEX(输入报销!$D:$D,MATCH($A412&amp;"-8",输入报销!$J:$J,0))&amp;"","")</f>
        <v/>
      </c>
    </row>
    <row r="413" customFormat="false" ht="13.5" hidden="false" customHeight="false" outlineLevel="0" collapsed="false">
      <c r="A413" s="47" t="n">
        <v>32</v>
      </c>
      <c r="C413" s="48" t="str">
        <f aca="false">助手报销!$C33</f>
        <v>博城店</v>
      </c>
      <c r="D413" s="81" t="s">
        <v>487</v>
      </c>
      <c r="E413" s="48" t="str">
        <f aca="false">IFERROR(INDEX(输入报销!$E:$E,MATCH($A413&amp;"-9",输入报销!$J:$J,0))&amp;"","")</f>
        <v/>
      </c>
      <c r="F413" s="48" t="str">
        <f aca="false">IFERROR(INDEX(输入报销!$F:$F,MATCH($A413&amp;"-9",输入报销!$J:$J,0))&amp;"","")</f>
        <v/>
      </c>
      <c r="G413" s="49" t="n">
        <f aca="false">IFERROR(ROUND(INDEX(输入报销!$G:$G,MATCH($A413&amp;"-9",输入报销!$J:$J,0)),2),0)</f>
        <v>0</v>
      </c>
      <c r="H413" s="49" t="str">
        <f aca="false">IF(ROUND($G413,2)&gt;0,ROUND($G413,2),"")</f>
        <v/>
      </c>
      <c r="I413" s="49" t="str">
        <f aca="false">IF(ROUND($G413,2)&lt;0,-ROUND($G413,2),"")</f>
        <v/>
      </c>
      <c r="J413" s="20" t="n">
        <f aca="false">IF(ROUND($G413,2)=0,0,1)</f>
        <v>0</v>
      </c>
      <c r="K413" s="20" t="str">
        <f aca="false">IF($J413=0,"",SUM($J$405:$J413))</f>
        <v/>
      </c>
      <c r="L413" s="20" t="str">
        <f aca="false">IF($K413="","",$A413*100+$K413)</f>
        <v/>
      </c>
      <c r="M413" s="48" t="str">
        <f aca="false">IFERROR(INDEX(输入报销!$D:$D,MATCH($A413&amp;"-9",输入报销!$J:$J,0))&amp;"","")</f>
        <v/>
      </c>
    </row>
    <row r="414" customFormat="false" ht="13.5" hidden="false" customHeight="false" outlineLevel="0" collapsed="false">
      <c r="A414" s="47" t="n">
        <v>32</v>
      </c>
      <c r="C414" s="48" t="str">
        <f aca="false">助手报销!$C33</f>
        <v>博城店</v>
      </c>
      <c r="D414" s="81" t="s">
        <v>488</v>
      </c>
      <c r="E414" s="48" t="str">
        <f aca="false">IFERROR(INDEX(输入报销!$E:$E,MATCH($A414&amp;"-10",输入报销!$J:$J,0))&amp;"","")</f>
        <v/>
      </c>
      <c r="F414" s="48" t="str">
        <f aca="false">IFERROR(INDEX(输入报销!$F:$F,MATCH($A414&amp;"-10",输入报销!$J:$J,0))&amp;"","")</f>
        <v/>
      </c>
      <c r="G414" s="49" t="n">
        <f aca="false">IFERROR(ROUND(INDEX(输入报销!$G:$G,MATCH($A414&amp;"-10",输入报销!$J:$J,0)),2),0)</f>
        <v>0</v>
      </c>
      <c r="H414" s="49" t="str">
        <f aca="false">IF(ROUND($G414,2)&gt;0,ROUND($G414,2),"")</f>
        <v/>
      </c>
      <c r="I414" s="49" t="str">
        <f aca="false">IF(ROUND($G414,2)&lt;0,-ROUND($G414,2),"")</f>
        <v/>
      </c>
      <c r="J414" s="20" t="n">
        <f aca="false">IF(ROUND($G414,2)=0,0,1)</f>
        <v>0</v>
      </c>
      <c r="K414" s="20" t="str">
        <f aca="false">IF($J414=0,"",SUM($J$405:$J414))</f>
        <v/>
      </c>
      <c r="L414" s="20" t="str">
        <f aca="false">IF($K414="","",$A414*100+$K414)</f>
        <v/>
      </c>
      <c r="M414" s="48" t="str">
        <f aca="false">IFERROR(INDEX(输入报销!$D:$D,MATCH($A414&amp;"-10",输入报销!$J:$J,0))&amp;"","")</f>
        <v/>
      </c>
    </row>
    <row r="415" customFormat="false" ht="13.5" hidden="false" customHeight="false" outlineLevel="0" collapsed="false">
      <c r="A415" s="47" t="n">
        <v>32</v>
      </c>
      <c r="C415" s="48" t="str">
        <f aca="false">助手报销!$C33</f>
        <v>博城店</v>
      </c>
      <c r="D415" s="81" t="s">
        <v>489</v>
      </c>
      <c r="E415" s="48" t="str">
        <f aca="false">参数!$B$6</f>
        <v>库存现金</v>
      </c>
      <c r="F415" s="48" t="str">
        <f aca="false">""</f>
        <v/>
      </c>
      <c r="G415" s="49" t="n">
        <f aca="false">-ROUND(SUMIFS(输入报销!$G:$G,输入报销!$A:$A,$A415,输入报销!$H:$H,参数!$B$6),2)</f>
        <v>-800</v>
      </c>
      <c r="H415" s="49" t="str">
        <f aca="false">IF(ROUND($G415,2)&gt;0,ROUND($G415,2),"")</f>
        <v/>
      </c>
      <c r="I415" s="49" t="n">
        <f aca="false">IF(ROUND($G415,2)&lt;0,-ROUND($G415,2),"")</f>
        <v>800</v>
      </c>
      <c r="J415" s="20" t="n">
        <f aca="false">IF(ROUND($G415,2)=0,0,1)</f>
        <v>1</v>
      </c>
      <c r="K415" s="20" t="n">
        <f aca="false">IF($J415=0,"",SUM($J$405:$J415))</f>
        <v>5</v>
      </c>
      <c r="L415" s="20" t="n">
        <f aca="false">IF($K415="","",$A415*100+$K415)</f>
        <v>3205</v>
      </c>
      <c r="M415" s="48" t="str">
        <f aca="false">""</f>
        <v/>
      </c>
    </row>
    <row r="416" customFormat="false" ht="13.5" hidden="false" customHeight="false" outlineLevel="0" collapsed="false">
      <c r="A416" s="47" t="n">
        <v>32</v>
      </c>
      <c r="C416" s="48" t="str">
        <f aca="false">助手报销!$C33</f>
        <v>博城店</v>
      </c>
      <c r="D416" s="81" t="s">
        <v>490</v>
      </c>
      <c r="E416" s="48" t="str">
        <f aca="false">参数!$B$7</f>
        <v>银行存款</v>
      </c>
      <c r="F416" s="48" t="str">
        <f aca="false">""</f>
        <v/>
      </c>
      <c r="G416" s="49" t="n">
        <f aca="false">-ROUND(SUMIFS(输入报销!$G:$G,输入报销!$A:$A,$A416,输入报销!$H:$H,参数!$B$7),2)</f>
        <v>-0</v>
      </c>
      <c r="H416" s="49" t="str">
        <f aca="false">IF(ROUND($G416,2)&gt;0,ROUND($G416,2),"")</f>
        <v/>
      </c>
      <c r="I416" s="49" t="str">
        <f aca="false">IF(ROUND($G416,2)&lt;0,-ROUND($G416,2),"")</f>
        <v/>
      </c>
      <c r="J416" s="20" t="n">
        <f aca="false">IF(ROUND($G416,2)=0,0,1)</f>
        <v>0</v>
      </c>
      <c r="K416" s="20" t="str">
        <f aca="false">IF($J416=0,"",SUM($J$405:$J416))</f>
        <v/>
      </c>
      <c r="L416" s="20" t="str">
        <f aca="false">IF($K416="","",$A416*100+$K416)</f>
        <v/>
      </c>
      <c r="M416" s="48" t="str">
        <f aca="false">""</f>
        <v/>
      </c>
    </row>
    <row r="417" customFormat="false" ht="13.5" hidden="false" customHeight="false" outlineLevel="0" collapsed="false">
      <c r="A417" s="47" t="n">
        <v>32</v>
      </c>
      <c r="C417" s="48" t="str">
        <f aca="false">助手报销!$C33</f>
        <v>博城店</v>
      </c>
      <c r="D417" s="81" t="s">
        <v>491</v>
      </c>
      <c r="E417" s="48" t="str">
        <f aca="false">参数!$B$8</f>
        <v>其他应付款</v>
      </c>
      <c r="F417" s="48" t="str">
        <f aca="false">""</f>
        <v/>
      </c>
      <c r="G417" s="49" t="n">
        <f aca="false">-ROUND(SUMIFS(输入报销!$G:$G,输入报销!$A:$A,$A417,输入报销!$H:$H,参数!$B$8),2)</f>
        <v>-0</v>
      </c>
      <c r="H417" s="49" t="str">
        <f aca="false">IF(ROUND($G417,2)&gt;0,ROUND($G417,2),"")</f>
        <v/>
      </c>
      <c r="I417" s="49" t="str">
        <f aca="false">IF(ROUND($G417,2)&lt;0,-ROUND($G417,2),"")</f>
        <v/>
      </c>
      <c r="J417" s="20" t="n">
        <f aca="false">IF(ROUND($G417,2)=0,0,1)</f>
        <v>0</v>
      </c>
      <c r="K417" s="20" t="str">
        <f aca="false">IF($J417=0,"",SUM($J$405:$J417))</f>
        <v/>
      </c>
      <c r="L417" s="20" t="str">
        <f aca="false">IF($K417="","",$A417*100+$K417)</f>
        <v/>
      </c>
      <c r="M417" s="48" t="str">
        <f aca="false">""</f>
        <v/>
      </c>
    </row>
    <row r="418" customFormat="false" ht="13.5" hidden="false" customHeight="false" outlineLevel="0" collapsed="false">
      <c r="A418" s="47" t="n">
        <v>33</v>
      </c>
      <c r="C418" s="48" t="str">
        <f aca="false">助手报销!$C34</f>
        <v>西范村店</v>
      </c>
      <c r="D418" s="81" t="s">
        <v>479</v>
      </c>
      <c r="E418" s="48" t="str">
        <f aca="false">IFERROR(INDEX(输入报销!$E:$E,MATCH($A418&amp;"-1",输入报销!$J:$J,0))&amp;"","")</f>
        <v>销售费用</v>
      </c>
      <c r="F418" s="48" t="str">
        <f aca="false">IFERROR(INDEX(输入报销!$F:$F,MATCH($A418&amp;"-1",输入报销!$J:$J,0))&amp;"","")</f>
        <v>水费</v>
      </c>
      <c r="G418" s="49" t="n">
        <f aca="false">IFERROR(ROUND(INDEX(输入报销!$G:$G,MATCH($A418&amp;"-1",输入报销!$J:$J,0)),2),0)</f>
        <v>25</v>
      </c>
      <c r="H418" s="49" t="n">
        <f aca="false">IF(ROUND($G418,2)&gt;0,ROUND($G418,2),"")</f>
        <v>25</v>
      </c>
      <c r="I418" s="49" t="str">
        <f aca="false">IF(ROUND($G418,2)&lt;0,-ROUND($G418,2),"")</f>
        <v/>
      </c>
      <c r="J418" s="20" t="n">
        <f aca="false">IF(ROUND($G418,2)=0,0,1)</f>
        <v>1</v>
      </c>
      <c r="K418" s="20" t="n">
        <f aca="false">IF($J418=0,"",SUM($J$418:$J418))</f>
        <v>1</v>
      </c>
      <c r="L418" s="20" t="n">
        <f aca="false">IF($K418="","",$A418*100+$K418)</f>
        <v>3301</v>
      </c>
      <c r="M418" s="48" t="str">
        <f aca="false">IFERROR(INDEX(输入报销!$D:$D,MATCH($A418&amp;"-1",输入报销!$J:$J,0))&amp;"","")</f>
        <v>水费</v>
      </c>
    </row>
    <row r="419" customFormat="false" ht="13.5" hidden="false" customHeight="false" outlineLevel="0" collapsed="false">
      <c r="A419" s="47" t="n">
        <v>33</v>
      </c>
      <c r="C419" s="48" t="str">
        <f aca="false">助手报销!$C34</f>
        <v>西范村店</v>
      </c>
      <c r="D419" s="81" t="s">
        <v>480</v>
      </c>
      <c r="E419" s="48" t="str">
        <f aca="false">IFERROR(INDEX(输入报销!$E:$E,MATCH($A419&amp;"-2",输入报销!$J:$J,0))&amp;"","")</f>
        <v>销售费用</v>
      </c>
      <c r="F419" s="48" t="str">
        <f aca="false">IFERROR(INDEX(输入报销!$F:$F,MATCH($A419&amp;"-2",输入报销!$J:$J,0))&amp;"","")</f>
        <v>办公费</v>
      </c>
      <c r="G419" s="49" t="n">
        <f aca="false">IFERROR(ROUND(INDEX(输入报销!$G:$G,MATCH($A419&amp;"-2",输入报销!$J:$J,0)),2),0)</f>
        <v>45</v>
      </c>
      <c r="H419" s="49" t="n">
        <f aca="false">IF(ROUND($G419,2)&gt;0,ROUND($G419,2),"")</f>
        <v>45</v>
      </c>
      <c r="I419" s="49" t="str">
        <f aca="false">IF(ROUND($G419,2)&lt;0,-ROUND($G419,2),"")</f>
        <v/>
      </c>
      <c r="J419" s="20" t="n">
        <f aca="false">IF(ROUND($G419,2)=0,0,1)</f>
        <v>1</v>
      </c>
      <c r="K419" s="20" t="n">
        <f aca="false">IF($J419=0,"",SUM($J$418:$J419))</f>
        <v>2</v>
      </c>
      <c r="L419" s="20" t="n">
        <f aca="false">IF($K419="","",$A419*100+$K419)</f>
        <v>3302</v>
      </c>
      <c r="M419" s="48" t="str">
        <f aca="false">IFERROR(INDEX(输入报销!$D:$D,MATCH($A419&amp;"-2",输入报销!$J:$J,0))&amp;"","")</f>
        <v>灯管</v>
      </c>
    </row>
    <row r="420" customFormat="false" ht="13.5" hidden="false" customHeight="false" outlineLevel="0" collapsed="false">
      <c r="A420" s="47" t="n">
        <v>33</v>
      </c>
      <c r="C420" s="48" t="str">
        <f aca="false">助手报销!$C34</f>
        <v>西范村店</v>
      </c>
      <c r="D420" s="81" t="s">
        <v>481</v>
      </c>
      <c r="E420" s="48" t="str">
        <f aca="false">IFERROR(INDEX(输入报销!$E:$E,MATCH($A420&amp;"-3",输入报销!$J:$J,0))&amp;"","")</f>
        <v>销售费用</v>
      </c>
      <c r="F420" s="48" t="str">
        <f aca="false">IFERROR(INDEX(输入报销!$F:$F,MATCH($A420&amp;"-3",输入报销!$J:$J,0))&amp;"","")</f>
        <v>水费</v>
      </c>
      <c r="G420" s="49" t="n">
        <f aca="false">IFERROR(ROUND(INDEX(输入报销!$G:$G,MATCH($A420&amp;"-3",输入报销!$J:$J,0)),2),0)</f>
        <v>7.98</v>
      </c>
      <c r="H420" s="49" t="n">
        <f aca="false">IF(ROUND($G420,2)&gt;0,ROUND($G420,2),"")</f>
        <v>7.98</v>
      </c>
      <c r="I420" s="49" t="str">
        <f aca="false">IF(ROUND($G420,2)&lt;0,-ROUND($G420,2),"")</f>
        <v/>
      </c>
      <c r="J420" s="20" t="n">
        <f aca="false">IF(ROUND($G420,2)=0,0,1)</f>
        <v>1</v>
      </c>
      <c r="K420" s="20" t="n">
        <f aca="false">IF($J420=0,"",SUM($J$418:$J420))</f>
        <v>3</v>
      </c>
      <c r="L420" s="20" t="n">
        <f aca="false">IF($K420="","",$A420*100+$K420)</f>
        <v>3303</v>
      </c>
      <c r="M420" s="48" t="str">
        <f aca="false">IFERROR(INDEX(输入报销!$D:$D,MATCH($A420&amp;"-3",输入报销!$J:$J,0))&amp;"","")</f>
        <v>水费</v>
      </c>
    </row>
    <row r="421" customFormat="false" ht="13.5" hidden="false" customHeight="false" outlineLevel="0" collapsed="false">
      <c r="A421" s="47" t="n">
        <v>33</v>
      </c>
      <c r="C421" s="48" t="str">
        <f aca="false">助手报销!$C34</f>
        <v>西范村店</v>
      </c>
      <c r="D421" s="81" t="s">
        <v>482</v>
      </c>
      <c r="E421" s="48" t="str">
        <f aca="false">IFERROR(INDEX(输入报销!$E:$E,MATCH($A421&amp;"-4",输入报销!$J:$J,0))&amp;"","")</f>
        <v>销售费用</v>
      </c>
      <c r="F421" s="48" t="str">
        <f aca="false">IFERROR(INDEX(输入报销!$F:$F,MATCH($A421&amp;"-4",输入报销!$J:$J,0))&amp;"","")</f>
        <v>电费</v>
      </c>
      <c r="G421" s="49" t="n">
        <f aca="false">IFERROR(ROUND(INDEX(输入报销!$G:$G,MATCH($A421&amp;"-4",输入报销!$J:$J,0)),2),0)</f>
        <v>600</v>
      </c>
      <c r="H421" s="49" t="n">
        <f aca="false">IF(ROUND($G421,2)&gt;0,ROUND($G421,2),"")</f>
        <v>600</v>
      </c>
      <c r="I421" s="49" t="str">
        <f aca="false">IF(ROUND($G421,2)&lt;0,-ROUND($G421,2),"")</f>
        <v/>
      </c>
      <c r="J421" s="20" t="n">
        <f aca="false">IF(ROUND($G421,2)=0,0,1)</f>
        <v>1</v>
      </c>
      <c r="K421" s="20" t="n">
        <f aca="false">IF($J421=0,"",SUM($J$418:$J421))</f>
        <v>4</v>
      </c>
      <c r="L421" s="20" t="n">
        <f aca="false">IF($K421="","",$A421*100+$K421)</f>
        <v>3304</v>
      </c>
      <c r="M421" s="48" t="str">
        <f aca="false">IFERROR(INDEX(输入报销!$D:$D,MATCH($A421&amp;"-4",输入报销!$J:$J,0))&amp;"","")</f>
        <v>电费</v>
      </c>
    </row>
    <row r="422" customFormat="false" ht="13.5" hidden="false" customHeight="false" outlineLevel="0" collapsed="false">
      <c r="A422" s="47" t="n">
        <v>33</v>
      </c>
      <c r="C422" s="48" t="str">
        <f aca="false">助手报销!$C34</f>
        <v>西范村店</v>
      </c>
      <c r="D422" s="81" t="s">
        <v>483</v>
      </c>
      <c r="E422" s="48" t="str">
        <f aca="false">IFERROR(INDEX(输入报销!$E:$E,MATCH($A422&amp;"-5",输入报销!$J:$J,0))&amp;"","")</f>
        <v/>
      </c>
      <c r="F422" s="48" t="str">
        <f aca="false">IFERROR(INDEX(输入报销!$F:$F,MATCH($A422&amp;"-5",输入报销!$J:$J,0))&amp;"","")</f>
        <v/>
      </c>
      <c r="G422" s="49" t="n">
        <f aca="false">IFERROR(ROUND(INDEX(输入报销!$G:$G,MATCH($A422&amp;"-5",输入报销!$J:$J,0)),2),0)</f>
        <v>0</v>
      </c>
      <c r="H422" s="49" t="str">
        <f aca="false">IF(ROUND($G422,2)&gt;0,ROUND($G422,2),"")</f>
        <v/>
      </c>
      <c r="I422" s="49" t="str">
        <f aca="false">IF(ROUND($G422,2)&lt;0,-ROUND($G422,2),"")</f>
        <v/>
      </c>
      <c r="J422" s="20" t="n">
        <f aca="false">IF(ROUND($G422,2)=0,0,1)</f>
        <v>0</v>
      </c>
      <c r="K422" s="20" t="str">
        <f aca="false">IF($J422=0,"",SUM($J$418:$J422))</f>
        <v/>
      </c>
      <c r="L422" s="20" t="str">
        <f aca="false">IF($K422="","",$A422*100+$K422)</f>
        <v/>
      </c>
      <c r="M422" s="48" t="str">
        <f aca="false">IFERROR(INDEX(输入报销!$D:$D,MATCH($A422&amp;"-5",输入报销!$J:$J,0))&amp;"","")</f>
        <v/>
      </c>
    </row>
    <row r="423" customFormat="false" ht="13.5" hidden="false" customHeight="false" outlineLevel="0" collapsed="false">
      <c r="A423" s="47" t="n">
        <v>33</v>
      </c>
      <c r="C423" s="48" t="str">
        <f aca="false">助手报销!$C34</f>
        <v>西范村店</v>
      </c>
      <c r="D423" s="81" t="s">
        <v>484</v>
      </c>
      <c r="E423" s="48" t="str">
        <f aca="false">IFERROR(INDEX(输入报销!$E:$E,MATCH($A423&amp;"-6",输入报销!$J:$J,0))&amp;"","")</f>
        <v/>
      </c>
      <c r="F423" s="48" t="str">
        <f aca="false">IFERROR(INDEX(输入报销!$F:$F,MATCH($A423&amp;"-6",输入报销!$J:$J,0))&amp;"","")</f>
        <v/>
      </c>
      <c r="G423" s="49" t="n">
        <f aca="false">IFERROR(ROUND(INDEX(输入报销!$G:$G,MATCH($A423&amp;"-6",输入报销!$J:$J,0)),2),0)</f>
        <v>0</v>
      </c>
      <c r="H423" s="49" t="str">
        <f aca="false">IF(ROUND($G423,2)&gt;0,ROUND($G423,2),"")</f>
        <v/>
      </c>
      <c r="I423" s="49" t="str">
        <f aca="false">IF(ROUND($G423,2)&lt;0,-ROUND($G423,2),"")</f>
        <v/>
      </c>
      <c r="J423" s="20" t="n">
        <f aca="false">IF(ROUND($G423,2)=0,0,1)</f>
        <v>0</v>
      </c>
      <c r="K423" s="20" t="str">
        <f aca="false">IF($J423=0,"",SUM($J$418:$J423))</f>
        <v/>
      </c>
      <c r="L423" s="20" t="str">
        <f aca="false">IF($K423="","",$A423*100+$K423)</f>
        <v/>
      </c>
      <c r="M423" s="48" t="str">
        <f aca="false">IFERROR(INDEX(输入报销!$D:$D,MATCH($A423&amp;"-6",输入报销!$J:$J,0))&amp;"","")</f>
        <v/>
      </c>
    </row>
    <row r="424" customFormat="false" ht="13.5" hidden="false" customHeight="false" outlineLevel="0" collapsed="false">
      <c r="A424" s="47" t="n">
        <v>33</v>
      </c>
      <c r="C424" s="48" t="str">
        <f aca="false">助手报销!$C34</f>
        <v>西范村店</v>
      </c>
      <c r="D424" s="81" t="s">
        <v>485</v>
      </c>
      <c r="E424" s="48" t="str">
        <f aca="false">IFERROR(INDEX(输入报销!$E:$E,MATCH($A424&amp;"-7",输入报销!$J:$J,0))&amp;"","")</f>
        <v/>
      </c>
      <c r="F424" s="48" t="str">
        <f aca="false">IFERROR(INDEX(输入报销!$F:$F,MATCH($A424&amp;"-7",输入报销!$J:$J,0))&amp;"","")</f>
        <v/>
      </c>
      <c r="G424" s="49" t="n">
        <f aca="false">IFERROR(ROUND(INDEX(输入报销!$G:$G,MATCH($A424&amp;"-7",输入报销!$J:$J,0)),2),0)</f>
        <v>0</v>
      </c>
      <c r="H424" s="49" t="str">
        <f aca="false">IF(ROUND($G424,2)&gt;0,ROUND($G424,2),"")</f>
        <v/>
      </c>
      <c r="I424" s="49" t="str">
        <f aca="false">IF(ROUND($G424,2)&lt;0,-ROUND($G424,2),"")</f>
        <v/>
      </c>
      <c r="J424" s="20" t="n">
        <f aca="false">IF(ROUND($G424,2)=0,0,1)</f>
        <v>0</v>
      </c>
      <c r="K424" s="20" t="str">
        <f aca="false">IF($J424=0,"",SUM($J$418:$J424))</f>
        <v/>
      </c>
      <c r="L424" s="20" t="str">
        <f aca="false">IF($K424="","",$A424*100+$K424)</f>
        <v/>
      </c>
      <c r="M424" s="48" t="str">
        <f aca="false">IFERROR(INDEX(输入报销!$D:$D,MATCH($A424&amp;"-7",输入报销!$J:$J,0))&amp;"","")</f>
        <v/>
      </c>
    </row>
    <row r="425" customFormat="false" ht="13.5" hidden="false" customHeight="false" outlineLevel="0" collapsed="false">
      <c r="A425" s="47" t="n">
        <v>33</v>
      </c>
      <c r="C425" s="48" t="str">
        <f aca="false">助手报销!$C34</f>
        <v>西范村店</v>
      </c>
      <c r="D425" s="81" t="s">
        <v>486</v>
      </c>
      <c r="E425" s="48" t="str">
        <f aca="false">IFERROR(INDEX(输入报销!$E:$E,MATCH($A425&amp;"-8",输入报销!$J:$J,0))&amp;"","")</f>
        <v/>
      </c>
      <c r="F425" s="48" t="str">
        <f aca="false">IFERROR(INDEX(输入报销!$F:$F,MATCH($A425&amp;"-8",输入报销!$J:$J,0))&amp;"","")</f>
        <v/>
      </c>
      <c r="G425" s="49" t="n">
        <f aca="false">IFERROR(ROUND(INDEX(输入报销!$G:$G,MATCH($A425&amp;"-8",输入报销!$J:$J,0)),2),0)</f>
        <v>0</v>
      </c>
      <c r="H425" s="49" t="str">
        <f aca="false">IF(ROUND($G425,2)&gt;0,ROUND($G425,2),"")</f>
        <v/>
      </c>
      <c r="I425" s="49" t="str">
        <f aca="false">IF(ROUND($G425,2)&lt;0,-ROUND($G425,2),"")</f>
        <v/>
      </c>
      <c r="J425" s="20" t="n">
        <f aca="false">IF(ROUND($G425,2)=0,0,1)</f>
        <v>0</v>
      </c>
      <c r="K425" s="20" t="str">
        <f aca="false">IF($J425=0,"",SUM($J$418:$J425))</f>
        <v/>
      </c>
      <c r="L425" s="20" t="str">
        <f aca="false">IF($K425="","",$A425*100+$K425)</f>
        <v/>
      </c>
      <c r="M425" s="48" t="str">
        <f aca="false">IFERROR(INDEX(输入报销!$D:$D,MATCH($A425&amp;"-8",输入报销!$J:$J,0))&amp;"","")</f>
        <v/>
      </c>
    </row>
    <row r="426" customFormat="false" ht="13.5" hidden="false" customHeight="false" outlineLevel="0" collapsed="false">
      <c r="A426" s="47" t="n">
        <v>33</v>
      </c>
      <c r="C426" s="48" t="str">
        <f aca="false">助手报销!$C34</f>
        <v>西范村店</v>
      </c>
      <c r="D426" s="81" t="s">
        <v>487</v>
      </c>
      <c r="E426" s="48" t="str">
        <f aca="false">IFERROR(INDEX(输入报销!$E:$E,MATCH($A426&amp;"-9",输入报销!$J:$J,0))&amp;"","")</f>
        <v/>
      </c>
      <c r="F426" s="48" t="str">
        <f aca="false">IFERROR(INDEX(输入报销!$F:$F,MATCH($A426&amp;"-9",输入报销!$J:$J,0))&amp;"","")</f>
        <v/>
      </c>
      <c r="G426" s="49" t="n">
        <f aca="false">IFERROR(ROUND(INDEX(输入报销!$G:$G,MATCH($A426&amp;"-9",输入报销!$J:$J,0)),2),0)</f>
        <v>0</v>
      </c>
      <c r="H426" s="49" t="str">
        <f aca="false">IF(ROUND($G426,2)&gt;0,ROUND($G426,2),"")</f>
        <v/>
      </c>
      <c r="I426" s="49" t="str">
        <f aca="false">IF(ROUND($G426,2)&lt;0,-ROUND($G426,2),"")</f>
        <v/>
      </c>
      <c r="J426" s="20" t="n">
        <f aca="false">IF(ROUND($G426,2)=0,0,1)</f>
        <v>0</v>
      </c>
      <c r="K426" s="20" t="str">
        <f aca="false">IF($J426=0,"",SUM($J$418:$J426))</f>
        <v/>
      </c>
      <c r="L426" s="20" t="str">
        <f aca="false">IF($K426="","",$A426*100+$K426)</f>
        <v/>
      </c>
      <c r="M426" s="48" t="str">
        <f aca="false">IFERROR(INDEX(输入报销!$D:$D,MATCH($A426&amp;"-9",输入报销!$J:$J,0))&amp;"","")</f>
        <v/>
      </c>
    </row>
    <row r="427" customFormat="false" ht="13.5" hidden="false" customHeight="false" outlineLevel="0" collapsed="false">
      <c r="A427" s="47" t="n">
        <v>33</v>
      </c>
      <c r="C427" s="48" t="str">
        <f aca="false">助手报销!$C34</f>
        <v>西范村店</v>
      </c>
      <c r="D427" s="81" t="s">
        <v>488</v>
      </c>
      <c r="E427" s="48" t="str">
        <f aca="false">IFERROR(INDEX(输入报销!$E:$E,MATCH($A427&amp;"-10",输入报销!$J:$J,0))&amp;"","")</f>
        <v/>
      </c>
      <c r="F427" s="48" t="str">
        <f aca="false">IFERROR(INDEX(输入报销!$F:$F,MATCH($A427&amp;"-10",输入报销!$J:$J,0))&amp;"","")</f>
        <v/>
      </c>
      <c r="G427" s="49" t="n">
        <f aca="false">IFERROR(ROUND(INDEX(输入报销!$G:$G,MATCH($A427&amp;"-10",输入报销!$J:$J,0)),2),0)</f>
        <v>0</v>
      </c>
      <c r="H427" s="49" t="str">
        <f aca="false">IF(ROUND($G427,2)&gt;0,ROUND($G427,2),"")</f>
        <v/>
      </c>
      <c r="I427" s="49" t="str">
        <f aca="false">IF(ROUND($G427,2)&lt;0,-ROUND($G427,2),"")</f>
        <v/>
      </c>
      <c r="J427" s="20" t="n">
        <f aca="false">IF(ROUND($G427,2)=0,0,1)</f>
        <v>0</v>
      </c>
      <c r="K427" s="20" t="str">
        <f aca="false">IF($J427=0,"",SUM($J$418:$J427))</f>
        <v/>
      </c>
      <c r="L427" s="20" t="str">
        <f aca="false">IF($K427="","",$A427*100+$K427)</f>
        <v/>
      </c>
      <c r="M427" s="48" t="str">
        <f aca="false">IFERROR(INDEX(输入报销!$D:$D,MATCH($A427&amp;"-10",输入报销!$J:$J,0))&amp;"","")</f>
        <v/>
      </c>
    </row>
    <row r="428" customFormat="false" ht="13.5" hidden="false" customHeight="false" outlineLevel="0" collapsed="false">
      <c r="A428" s="47" t="n">
        <v>33</v>
      </c>
      <c r="C428" s="48" t="str">
        <f aca="false">助手报销!$C34</f>
        <v>西范村店</v>
      </c>
      <c r="D428" s="81" t="s">
        <v>489</v>
      </c>
      <c r="E428" s="48" t="str">
        <f aca="false">参数!$B$6</f>
        <v>库存现金</v>
      </c>
      <c r="F428" s="48" t="str">
        <f aca="false">""</f>
        <v/>
      </c>
      <c r="G428" s="49" t="n">
        <f aca="false">-ROUND(SUMIFS(输入报销!$G:$G,输入报销!$A:$A,$A428,输入报销!$H:$H,参数!$B$6),2)</f>
        <v>-677.98</v>
      </c>
      <c r="H428" s="49" t="str">
        <f aca="false">IF(ROUND($G428,2)&gt;0,ROUND($G428,2),"")</f>
        <v/>
      </c>
      <c r="I428" s="49" t="n">
        <f aca="false">IF(ROUND($G428,2)&lt;0,-ROUND($G428,2),"")</f>
        <v>677.98</v>
      </c>
      <c r="J428" s="20" t="n">
        <f aca="false">IF(ROUND($G428,2)=0,0,1)</f>
        <v>1</v>
      </c>
      <c r="K428" s="20" t="n">
        <f aca="false">IF($J428=0,"",SUM($J$418:$J428))</f>
        <v>5</v>
      </c>
      <c r="L428" s="20" t="n">
        <f aca="false">IF($K428="","",$A428*100+$K428)</f>
        <v>3305</v>
      </c>
      <c r="M428" s="48" t="str">
        <f aca="false">""</f>
        <v/>
      </c>
    </row>
    <row r="429" customFormat="false" ht="13.5" hidden="false" customHeight="false" outlineLevel="0" collapsed="false">
      <c r="A429" s="47" t="n">
        <v>33</v>
      </c>
      <c r="C429" s="48" t="str">
        <f aca="false">助手报销!$C34</f>
        <v>西范村店</v>
      </c>
      <c r="D429" s="81" t="s">
        <v>490</v>
      </c>
      <c r="E429" s="48" t="str">
        <f aca="false">参数!$B$7</f>
        <v>银行存款</v>
      </c>
      <c r="F429" s="48" t="str">
        <f aca="false">""</f>
        <v/>
      </c>
      <c r="G429" s="49" t="n">
        <f aca="false">-ROUND(SUMIFS(输入报销!$G:$G,输入报销!$A:$A,$A429,输入报销!$H:$H,参数!$B$7),2)</f>
        <v>-0</v>
      </c>
      <c r="H429" s="49" t="str">
        <f aca="false">IF(ROUND($G429,2)&gt;0,ROUND($G429,2),"")</f>
        <v/>
      </c>
      <c r="I429" s="49" t="str">
        <f aca="false">IF(ROUND($G429,2)&lt;0,-ROUND($G429,2),"")</f>
        <v/>
      </c>
      <c r="J429" s="20" t="n">
        <f aca="false">IF(ROUND($G429,2)=0,0,1)</f>
        <v>0</v>
      </c>
      <c r="K429" s="20" t="str">
        <f aca="false">IF($J429=0,"",SUM($J$418:$J429))</f>
        <v/>
      </c>
      <c r="L429" s="20" t="str">
        <f aca="false">IF($K429="","",$A429*100+$K429)</f>
        <v/>
      </c>
      <c r="M429" s="48" t="str">
        <f aca="false">""</f>
        <v/>
      </c>
    </row>
    <row r="430" customFormat="false" ht="13.5" hidden="false" customHeight="false" outlineLevel="0" collapsed="false">
      <c r="A430" s="47" t="n">
        <v>33</v>
      </c>
      <c r="C430" s="48" t="str">
        <f aca="false">助手报销!$C34</f>
        <v>西范村店</v>
      </c>
      <c r="D430" s="81" t="s">
        <v>491</v>
      </c>
      <c r="E430" s="48" t="str">
        <f aca="false">参数!$B$8</f>
        <v>其他应付款</v>
      </c>
      <c r="F430" s="48" t="str">
        <f aca="false">""</f>
        <v/>
      </c>
      <c r="G430" s="49" t="n">
        <f aca="false">-ROUND(SUMIFS(输入报销!$G:$G,输入报销!$A:$A,$A430,输入报销!$H:$H,参数!$B$8),2)</f>
        <v>-0</v>
      </c>
      <c r="H430" s="49" t="str">
        <f aca="false">IF(ROUND($G430,2)&gt;0,ROUND($G430,2),"")</f>
        <v/>
      </c>
      <c r="I430" s="49" t="str">
        <f aca="false">IF(ROUND($G430,2)&lt;0,-ROUND($G430,2),"")</f>
        <v/>
      </c>
      <c r="J430" s="20" t="n">
        <f aca="false">IF(ROUND($G430,2)=0,0,1)</f>
        <v>0</v>
      </c>
      <c r="K430" s="20" t="str">
        <f aca="false">IF($J430=0,"",SUM($J$418:$J430))</f>
        <v/>
      </c>
      <c r="L430" s="20" t="str">
        <f aca="false">IF($K430="","",$A430*100+$K430)</f>
        <v/>
      </c>
      <c r="M430" s="48" t="str">
        <f aca="false">""</f>
        <v/>
      </c>
    </row>
    <row r="431" customFormat="false" ht="13.5" hidden="false" customHeight="false" outlineLevel="0" collapsed="false">
      <c r="A431" s="47" t="n">
        <v>34</v>
      </c>
      <c r="C431" s="48" t="str">
        <f aca="false">助手报销!$C35</f>
        <v>博医店</v>
      </c>
      <c r="D431" s="81" t="s">
        <v>479</v>
      </c>
      <c r="E431" s="48" t="str">
        <f aca="false">IFERROR(INDEX(输入报销!$E:$E,MATCH($A431&amp;"-1",输入报销!$J:$J,0))&amp;"","")</f>
        <v>销售费用</v>
      </c>
      <c r="F431" s="48" t="str">
        <f aca="false">IFERROR(INDEX(输入报销!$F:$F,MATCH($A431&amp;"-1",输入报销!$J:$J,0))&amp;"","")</f>
        <v>办公费</v>
      </c>
      <c r="G431" s="49" t="n">
        <f aca="false">IFERROR(ROUND(INDEX(输入报销!$G:$G,MATCH($A431&amp;"-1",输入报销!$J:$J,0)),2),0)</f>
        <v>145</v>
      </c>
      <c r="H431" s="49" t="n">
        <f aca="false">IF(ROUND($G431,2)&gt;0,ROUND($G431,2),"")</f>
        <v>145</v>
      </c>
      <c r="I431" s="49" t="str">
        <f aca="false">IF(ROUND($G431,2)&lt;0,-ROUND($G431,2),"")</f>
        <v/>
      </c>
      <c r="J431" s="20" t="n">
        <f aca="false">IF(ROUND($G431,2)=0,0,1)</f>
        <v>1</v>
      </c>
      <c r="K431" s="20" t="n">
        <f aca="false">IF($J431=0,"",SUM($J$431:$J431))</f>
        <v>1</v>
      </c>
      <c r="L431" s="20" t="n">
        <f aca="false">IF($K431="","",$A431*100+$K431)</f>
        <v>3401</v>
      </c>
      <c r="M431" s="48" t="str">
        <f aca="false">IFERROR(INDEX(输入报销!$D:$D,MATCH($A431&amp;"-1",输入报销!$J:$J,0))&amp;"","")</f>
        <v>色带扫描盒</v>
      </c>
    </row>
    <row r="432" customFormat="false" ht="13.5" hidden="false" customHeight="false" outlineLevel="0" collapsed="false">
      <c r="A432" s="47" t="n">
        <v>34</v>
      </c>
      <c r="C432" s="48" t="str">
        <f aca="false">助手报销!$C35</f>
        <v>博医店</v>
      </c>
      <c r="D432" s="81" t="s">
        <v>480</v>
      </c>
      <c r="E432" s="48" t="str">
        <f aca="false">IFERROR(INDEX(输入报销!$E:$E,MATCH($A432&amp;"-2",输入报销!$J:$J,0))&amp;"","")</f>
        <v>销售费用</v>
      </c>
      <c r="F432" s="48" t="str">
        <f aca="false">IFERROR(INDEX(输入报销!$F:$F,MATCH($A432&amp;"-2",输入报销!$J:$J,0))&amp;"","")</f>
        <v>电费</v>
      </c>
      <c r="G432" s="49" t="n">
        <f aca="false">IFERROR(ROUND(INDEX(输入报销!$G:$G,MATCH($A432&amp;"-2",输入报销!$J:$J,0)),2),0)</f>
        <v>1000</v>
      </c>
      <c r="H432" s="49" t="n">
        <f aca="false">IF(ROUND($G432,2)&gt;0,ROUND($G432,2),"")</f>
        <v>1000</v>
      </c>
      <c r="I432" s="49" t="str">
        <f aca="false">IF(ROUND($G432,2)&lt;0,-ROUND($G432,2),"")</f>
        <v/>
      </c>
      <c r="J432" s="20" t="n">
        <f aca="false">IF(ROUND($G432,2)=0,0,1)</f>
        <v>1</v>
      </c>
      <c r="K432" s="20" t="n">
        <f aca="false">IF($J432=0,"",SUM($J$431:$J432))</f>
        <v>2</v>
      </c>
      <c r="L432" s="20" t="n">
        <f aca="false">IF($K432="","",$A432*100+$K432)</f>
        <v>3402</v>
      </c>
      <c r="M432" s="48" t="str">
        <f aca="false">IFERROR(INDEX(输入报销!$D:$D,MATCH($A432&amp;"-2",输入报销!$J:$J,0))&amp;"","")</f>
        <v>电费</v>
      </c>
    </row>
    <row r="433" customFormat="false" ht="13.5" hidden="false" customHeight="false" outlineLevel="0" collapsed="false">
      <c r="A433" s="47" t="n">
        <v>34</v>
      </c>
      <c r="C433" s="48" t="str">
        <f aca="false">助手报销!$C35</f>
        <v>博医店</v>
      </c>
      <c r="D433" s="81" t="s">
        <v>481</v>
      </c>
      <c r="E433" s="48" t="str">
        <f aca="false">IFERROR(INDEX(输入报销!$E:$E,MATCH($A433&amp;"-3",输入报销!$J:$J,0))&amp;"","")</f>
        <v>销售费用</v>
      </c>
      <c r="F433" s="48" t="str">
        <f aca="false">IFERROR(INDEX(输入报销!$F:$F,MATCH($A433&amp;"-3",输入报销!$J:$J,0))&amp;"","")</f>
        <v>水费</v>
      </c>
      <c r="G433" s="49" t="n">
        <f aca="false">IFERROR(ROUND(INDEX(输入报销!$G:$G,MATCH($A433&amp;"-3",输入报销!$J:$J,0)),2),0)</f>
        <v>13</v>
      </c>
      <c r="H433" s="49" t="n">
        <f aca="false">IF(ROUND($G433,2)&gt;0,ROUND($G433,2),"")</f>
        <v>13</v>
      </c>
      <c r="I433" s="49" t="str">
        <f aca="false">IF(ROUND($G433,2)&lt;0,-ROUND($G433,2),"")</f>
        <v/>
      </c>
      <c r="J433" s="20" t="n">
        <f aca="false">IF(ROUND($G433,2)=0,0,1)</f>
        <v>1</v>
      </c>
      <c r="K433" s="20" t="n">
        <f aca="false">IF($J433=0,"",SUM($J$431:$J433))</f>
        <v>3</v>
      </c>
      <c r="L433" s="20" t="n">
        <f aca="false">IF($K433="","",$A433*100+$K433)</f>
        <v>3403</v>
      </c>
      <c r="M433" s="48" t="str">
        <f aca="false">IFERROR(INDEX(输入报销!$D:$D,MATCH($A433&amp;"-3",输入报销!$J:$J,0))&amp;"","")</f>
        <v>水费</v>
      </c>
    </row>
    <row r="434" customFormat="false" ht="13.5" hidden="false" customHeight="false" outlineLevel="0" collapsed="false">
      <c r="A434" s="47" t="n">
        <v>34</v>
      </c>
      <c r="C434" s="48" t="str">
        <f aca="false">助手报销!$C35</f>
        <v>博医店</v>
      </c>
      <c r="D434" s="81" t="s">
        <v>482</v>
      </c>
      <c r="E434" s="48" t="str">
        <f aca="false">IFERROR(INDEX(输入报销!$E:$E,MATCH($A434&amp;"-4",输入报销!$J:$J,0))&amp;"","")</f>
        <v>财务费用</v>
      </c>
      <c r="F434" s="48" t="str">
        <f aca="false">IFERROR(INDEX(输入报销!$F:$F,MATCH($A434&amp;"-4",输入报销!$J:$J,0))&amp;"","")</f>
        <v>手续费</v>
      </c>
      <c r="G434" s="49" t="n">
        <f aca="false">IFERROR(ROUND(INDEX(输入报销!$G:$G,MATCH($A434&amp;"-4",输入报销!$J:$J,0)),2),0)</f>
        <v>35.7</v>
      </c>
      <c r="H434" s="49" t="n">
        <f aca="false">IF(ROUND($G434,2)&gt;0,ROUND($G434,2),"")</f>
        <v>35.7</v>
      </c>
      <c r="I434" s="49" t="str">
        <f aca="false">IF(ROUND($G434,2)&lt;0,-ROUND($G434,2),"")</f>
        <v/>
      </c>
      <c r="J434" s="20" t="n">
        <f aca="false">IF(ROUND($G434,2)=0,0,1)</f>
        <v>1</v>
      </c>
      <c r="K434" s="20" t="n">
        <f aca="false">IF($J434=0,"",SUM($J$431:$J434))</f>
        <v>4</v>
      </c>
      <c r="L434" s="20" t="n">
        <f aca="false">IF($K434="","",$A434*100+$K434)</f>
        <v>3404</v>
      </c>
      <c r="M434" s="48" t="str">
        <f aca="false">IFERROR(INDEX(输入报销!$D:$D,MATCH($A434&amp;"-4",输入报销!$J:$J,0))&amp;"","")</f>
        <v>微信提现费</v>
      </c>
    </row>
    <row r="435" customFormat="false" ht="13.5" hidden="false" customHeight="false" outlineLevel="0" collapsed="false">
      <c r="A435" s="47" t="n">
        <v>34</v>
      </c>
      <c r="C435" s="48" t="str">
        <f aca="false">助手报销!$C35</f>
        <v>博医店</v>
      </c>
      <c r="D435" s="81" t="s">
        <v>483</v>
      </c>
      <c r="E435" s="48" t="str">
        <f aca="false">IFERROR(INDEX(输入报销!$E:$E,MATCH($A435&amp;"-5",输入报销!$J:$J,0))&amp;"","")</f>
        <v/>
      </c>
      <c r="F435" s="48" t="str">
        <f aca="false">IFERROR(INDEX(输入报销!$F:$F,MATCH($A435&amp;"-5",输入报销!$J:$J,0))&amp;"","")</f>
        <v/>
      </c>
      <c r="G435" s="49" t="n">
        <f aca="false">IFERROR(ROUND(INDEX(输入报销!$G:$G,MATCH($A435&amp;"-5",输入报销!$J:$J,0)),2),0)</f>
        <v>0</v>
      </c>
      <c r="H435" s="49" t="str">
        <f aca="false">IF(ROUND($G435,2)&gt;0,ROUND($G435,2),"")</f>
        <v/>
      </c>
      <c r="I435" s="49" t="str">
        <f aca="false">IF(ROUND($G435,2)&lt;0,-ROUND($G435,2),"")</f>
        <v/>
      </c>
      <c r="J435" s="20" t="n">
        <f aca="false">IF(ROUND($G435,2)=0,0,1)</f>
        <v>0</v>
      </c>
      <c r="K435" s="20" t="str">
        <f aca="false">IF($J435=0,"",SUM($J$431:$J435))</f>
        <v/>
      </c>
      <c r="L435" s="20" t="str">
        <f aca="false">IF($K435="","",$A435*100+$K435)</f>
        <v/>
      </c>
      <c r="M435" s="48" t="str">
        <f aca="false">IFERROR(INDEX(输入报销!$D:$D,MATCH($A435&amp;"-5",输入报销!$J:$J,0))&amp;"","")</f>
        <v/>
      </c>
    </row>
    <row r="436" customFormat="false" ht="13.5" hidden="false" customHeight="false" outlineLevel="0" collapsed="false">
      <c r="A436" s="47" t="n">
        <v>34</v>
      </c>
      <c r="C436" s="48" t="str">
        <f aca="false">助手报销!$C35</f>
        <v>博医店</v>
      </c>
      <c r="D436" s="81" t="s">
        <v>484</v>
      </c>
      <c r="E436" s="48" t="str">
        <f aca="false">IFERROR(INDEX(输入报销!$E:$E,MATCH($A436&amp;"-6",输入报销!$J:$J,0))&amp;"","")</f>
        <v/>
      </c>
      <c r="F436" s="48" t="str">
        <f aca="false">IFERROR(INDEX(输入报销!$F:$F,MATCH($A436&amp;"-6",输入报销!$J:$J,0))&amp;"","")</f>
        <v/>
      </c>
      <c r="G436" s="49" t="n">
        <f aca="false">IFERROR(ROUND(INDEX(输入报销!$G:$G,MATCH($A436&amp;"-6",输入报销!$J:$J,0)),2),0)</f>
        <v>0</v>
      </c>
      <c r="H436" s="49" t="str">
        <f aca="false">IF(ROUND($G436,2)&gt;0,ROUND($G436,2),"")</f>
        <v/>
      </c>
      <c r="I436" s="49" t="str">
        <f aca="false">IF(ROUND($G436,2)&lt;0,-ROUND($G436,2),"")</f>
        <v/>
      </c>
      <c r="J436" s="20" t="n">
        <f aca="false">IF(ROUND($G436,2)=0,0,1)</f>
        <v>0</v>
      </c>
      <c r="K436" s="20" t="str">
        <f aca="false">IF($J436=0,"",SUM($J$431:$J436))</f>
        <v/>
      </c>
      <c r="L436" s="20" t="str">
        <f aca="false">IF($K436="","",$A436*100+$K436)</f>
        <v/>
      </c>
      <c r="M436" s="48" t="str">
        <f aca="false">IFERROR(INDEX(输入报销!$D:$D,MATCH($A436&amp;"-6",输入报销!$J:$J,0))&amp;"","")</f>
        <v/>
      </c>
    </row>
    <row r="437" customFormat="false" ht="13.5" hidden="false" customHeight="false" outlineLevel="0" collapsed="false">
      <c r="A437" s="47" t="n">
        <v>34</v>
      </c>
      <c r="C437" s="48" t="str">
        <f aca="false">助手报销!$C35</f>
        <v>博医店</v>
      </c>
      <c r="D437" s="81" t="s">
        <v>485</v>
      </c>
      <c r="E437" s="48" t="str">
        <f aca="false">IFERROR(INDEX(输入报销!$E:$E,MATCH($A437&amp;"-7",输入报销!$J:$J,0))&amp;"","")</f>
        <v/>
      </c>
      <c r="F437" s="48" t="str">
        <f aca="false">IFERROR(INDEX(输入报销!$F:$F,MATCH($A437&amp;"-7",输入报销!$J:$J,0))&amp;"","")</f>
        <v/>
      </c>
      <c r="G437" s="49" t="n">
        <f aca="false">IFERROR(ROUND(INDEX(输入报销!$G:$G,MATCH($A437&amp;"-7",输入报销!$J:$J,0)),2),0)</f>
        <v>0</v>
      </c>
      <c r="H437" s="49" t="str">
        <f aca="false">IF(ROUND($G437,2)&gt;0,ROUND($G437,2),"")</f>
        <v/>
      </c>
      <c r="I437" s="49" t="str">
        <f aca="false">IF(ROUND($G437,2)&lt;0,-ROUND($G437,2),"")</f>
        <v/>
      </c>
      <c r="J437" s="20" t="n">
        <f aca="false">IF(ROUND($G437,2)=0,0,1)</f>
        <v>0</v>
      </c>
      <c r="K437" s="20" t="str">
        <f aca="false">IF($J437=0,"",SUM($J$431:$J437))</f>
        <v/>
      </c>
      <c r="L437" s="20" t="str">
        <f aca="false">IF($K437="","",$A437*100+$K437)</f>
        <v/>
      </c>
      <c r="M437" s="48" t="str">
        <f aca="false">IFERROR(INDEX(输入报销!$D:$D,MATCH($A437&amp;"-7",输入报销!$J:$J,0))&amp;"","")</f>
        <v/>
      </c>
    </row>
    <row r="438" customFormat="false" ht="13.5" hidden="false" customHeight="false" outlineLevel="0" collapsed="false">
      <c r="A438" s="47" t="n">
        <v>34</v>
      </c>
      <c r="C438" s="48" t="str">
        <f aca="false">助手报销!$C35</f>
        <v>博医店</v>
      </c>
      <c r="D438" s="81" t="s">
        <v>486</v>
      </c>
      <c r="E438" s="48" t="str">
        <f aca="false">IFERROR(INDEX(输入报销!$E:$E,MATCH($A438&amp;"-8",输入报销!$J:$J,0))&amp;"","")</f>
        <v/>
      </c>
      <c r="F438" s="48" t="str">
        <f aca="false">IFERROR(INDEX(输入报销!$F:$F,MATCH($A438&amp;"-8",输入报销!$J:$J,0))&amp;"","")</f>
        <v/>
      </c>
      <c r="G438" s="49" t="n">
        <f aca="false">IFERROR(ROUND(INDEX(输入报销!$G:$G,MATCH($A438&amp;"-8",输入报销!$J:$J,0)),2),0)</f>
        <v>0</v>
      </c>
      <c r="H438" s="49" t="str">
        <f aca="false">IF(ROUND($G438,2)&gt;0,ROUND($G438,2),"")</f>
        <v/>
      </c>
      <c r="I438" s="49" t="str">
        <f aca="false">IF(ROUND($G438,2)&lt;0,-ROUND($G438,2),"")</f>
        <v/>
      </c>
      <c r="J438" s="20" t="n">
        <f aca="false">IF(ROUND($G438,2)=0,0,1)</f>
        <v>0</v>
      </c>
      <c r="K438" s="20" t="str">
        <f aca="false">IF($J438=0,"",SUM($J$431:$J438))</f>
        <v/>
      </c>
      <c r="L438" s="20" t="str">
        <f aca="false">IF($K438="","",$A438*100+$K438)</f>
        <v/>
      </c>
      <c r="M438" s="48" t="str">
        <f aca="false">IFERROR(INDEX(输入报销!$D:$D,MATCH($A438&amp;"-8",输入报销!$J:$J,0))&amp;"","")</f>
        <v/>
      </c>
    </row>
    <row r="439" customFormat="false" ht="13.5" hidden="false" customHeight="false" outlineLevel="0" collapsed="false">
      <c r="A439" s="47" t="n">
        <v>34</v>
      </c>
      <c r="C439" s="48" t="str">
        <f aca="false">助手报销!$C35</f>
        <v>博医店</v>
      </c>
      <c r="D439" s="81" t="s">
        <v>487</v>
      </c>
      <c r="E439" s="48" t="str">
        <f aca="false">IFERROR(INDEX(输入报销!$E:$E,MATCH($A439&amp;"-9",输入报销!$J:$J,0))&amp;"","")</f>
        <v/>
      </c>
      <c r="F439" s="48" t="str">
        <f aca="false">IFERROR(INDEX(输入报销!$F:$F,MATCH($A439&amp;"-9",输入报销!$J:$J,0))&amp;"","")</f>
        <v/>
      </c>
      <c r="G439" s="49" t="n">
        <f aca="false">IFERROR(ROUND(INDEX(输入报销!$G:$G,MATCH($A439&amp;"-9",输入报销!$J:$J,0)),2),0)</f>
        <v>0</v>
      </c>
      <c r="H439" s="49" t="str">
        <f aca="false">IF(ROUND($G439,2)&gt;0,ROUND($G439,2),"")</f>
        <v/>
      </c>
      <c r="I439" s="49" t="str">
        <f aca="false">IF(ROUND($G439,2)&lt;0,-ROUND($G439,2),"")</f>
        <v/>
      </c>
      <c r="J439" s="20" t="n">
        <f aca="false">IF(ROUND($G439,2)=0,0,1)</f>
        <v>0</v>
      </c>
      <c r="K439" s="20" t="str">
        <f aca="false">IF($J439=0,"",SUM($J$431:$J439))</f>
        <v/>
      </c>
      <c r="L439" s="20" t="str">
        <f aca="false">IF($K439="","",$A439*100+$K439)</f>
        <v/>
      </c>
      <c r="M439" s="48" t="str">
        <f aca="false">IFERROR(INDEX(输入报销!$D:$D,MATCH($A439&amp;"-9",输入报销!$J:$J,0))&amp;"","")</f>
        <v/>
      </c>
    </row>
    <row r="440" customFormat="false" ht="13.5" hidden="false" customHeight="false" outlineLevel="0" collapsed="false">
      <c r="A440" s="47" t="n">
        <v>34</v>
      </c>
      <c r="C440" s="48" t="str">
        <f aca="false">助手报销!$C35</f>
        <v>博医店</v>
      </c>
      <c r="D440" s="81" t="s">
        <v>488</v>
      </c>
      <c r="E440" s="48" t="str">
        <f aca="false">IFERROR(INDEX(输入报销!$E:$E,MATCH($A440&amp;"-10",输入报销!$J:$J,0))&amp;"","")</f>
        <v/>
      </c>
      <c r="F440" s="48" t="str">
        <f aca="false">IFERROR(INDEX(输入报销!$F:$F,MATCH($A440&amp;"-10",输入报销!$J:$J,0))&amp;"","")</f>
        <v/>
      </c>
      <c r="G440" s="49" t="n">
        <f aca="false">IFERROR(ROUND(INDEX(输入报销!$G:$G,MATCH($A440&amp;"-10",输入报销!$J:$J,0)),2),0)</f>
        <v>0</v>
      </c>
      <c r="H440" s="49" t="str">
        <f aca="false">IF(ROUND($G440,2)&gt;0,ROUND($G440,2),"")</f>
        <v/>
      </c>
      <c r="I440" s="49" t="str">
        <f aca="false">IF(ROUND($G440,2)&lt;0,-ROUND($G440,2),"")</f>
        <v/>
      </c>
      <c r="J440" s="20" t="n">
        <f aca="false">IF(ROUND($G440,2)=0,0,1)</f>
        <v>0</v>
      </c>
      <c r="K440" s="20" t="str">
        <f aca="false">IF($J440=0,"",SUM($J$431:$J440))</f>
        <v/>
      </c>
      <c r="L440" s="20" t="str">
        <f aca="false">IF($K440="","",$A440*100+$K440)</f>
        <v/>
      </c>
      <c r="M440" s="48" t="str">
        <f aca="false">IFERROR(INDEX(输入报销!$D:$D,MATCH($A440&amp;"-10",输入报销!$J:$J,0))&amp;"","")</f>
        <v/>
      </c>
    </row>
    <row r="441" customFormat="false" ht="13.5" hidden="false" customHeight="false" outlineLevel="0" collapsed="false">
      <c r="A441" s="47" t="n">
        <v>34</v>
      </c>
      <c r="C441" s="48" t="str">
        <f aca="false">助手报销!$C35</f>
        <v>博医店</v>
      </c>
      <c r="D441" s="81" t="s">
        <v>489</v>
      </c>
      <c r="E441" s="48" t="str">
        <f aca="false">参数!$B$6</f>
        <v>库存现金</v>
      </c>
      <c r="F441" s="48" t="str">
        <f aca="false">""</f>
        <v/>
      </c>
      <c r="G441" s="49" t="n">
        <f aca="false">-ROUND(SUMIFS(输入报销!$G:$G,输入报销!$A:$A,$A441,输入报销!$H:$H,参数!$B$6),2)</f>
        <v>-1193.7</v>
      </c>
      <c r="H441" s="49" t="str">
        <f aca="false">IF(ROUND($G441,2)&gt;0,ROUND($G441,2),"")</f>
        <v/>
      </c>
      <c r="I441" s="49" t="n">
        <f aca="false">IF(ROUND($G441,2)&lt;0,-ROUND($G441,2),"")</f>
        <v>1193.7</v>
      </c>
      <c r="J441" s="20" t="n">
        <f aca="false">IF(ROUND($G441,2)=0,0,1)</f>
        <v>1</v>
      </c>
      <c r="K441" s="20" t="n">
        <f aca="false">IF($J441=0,"",SUM($J$431:$J441))</f>
        <v>5</v>
      </c>
      <c r="L441" s="20" t="n">
        <f aca="false">IF($K441="","",$A441*100+$K441)</f>
        <v>3405</v>
      </c>
      <c r="M441" s="48" t="str">
        <f aca="false">""</f>
        <v/>
      </c>
    </row>
    <row r="442" customFormat="false" ht="13.5" hidden="false" customHeight="false" outlineLevel="0" collapsed="false">
      <c r="A442" s="47" t="n">
        <v>34</v>
      </c>
      <c r="C442" s="48" t="str">
        <f aca="false">助手报销!$C35</f>
        <v>博医店</v>
      </c>
      <c r="D442" s="81" t="s">
        <v>490</v>
      </c>
      <c r="E442" s="48" t="str">
        <f aca="false">参数!$B$7</f>
        <v>银行存款</v>
      </c>
      <c r="F442" s="48" t="str">
        <f aca="false">""</f>
        <v/>
      </c>
      <c r="G442" s="49" t="n">
        <f aca="false">-ROUND(SUMIFS(输入报销!$G:$G,输入报销!$A:$A,$A442,输入报销!$H:$H,参数!$B$7),2)</f>
        <v>-0</v>
      </c>
      <c r="H442" s="49" t="str">
        <f aca="false">IF(ROUND($G442,2)&gt;0,ROUND($G442,2),"")</f>
        <v/>
      </c>
      <c r="I442" s="49" t="str">
        <f aca="false">IF(ROUND($G442,2)&lt;0,-ROUND($G442,2),"")</f>
        <v/>
      </c>
      <c r="J442" s="20" t="n">
        <f aca="false">IF(ROUND($G442,2)=0,0,1)</f>
        <v>0</v>
      </c>
      <c r="K442" s="20" t="str">
        <f aca="false">IF($J442=0,"",SUM($J$431:$J442))</f>
        <v/>
      </c>
      <c r="L442" s="20" t="str">
        <f aca="false">IF($K442="","",$A442*100+$K442)</f>
        <v/>
      </c>
      <c r="M442" s="48" t="str">
        <f aca="false">""</f>
        <v/>
      </c>
    </row>
    <row r="443" customFormat="false" ht="13.5" hidden="false" customHeight="false" outlineLevel="0" collapsed="false">
      <c r="A443" s="47" t="n">
        <v>34</v>
      </c>
      <c r="C443" s="48" t="str">
        <f aca="false">助手报销!$C35</f>
        <v>博医店</v>
      </c>
      <c r="D443" s="81" t="s">
        <v>491</v>
      </c>
      <c r="E443" s="48" t="str">
        <f aca="false">参数!$B$8</f>
        <v>其他应付款</v>
      </c>
      <c r="F443" s="48" t="str">
        <f aca="false">""</f>
        <v/>
      </c>
      <c r="G443" s="49" t="n">
        <f aca="false">-ROUND(SUMIFS(输入报销!$G:$G,输入报销!$A:$A,$A443,输入报销!$H:$H,参数!$B$8),2)</f>
        <v>-0</v>
      </c>
      <c r="H443" s="49" t="str">
        <f aca="false">IF(ROUND($G443,2)&gt;0,ROUND($G443,2),"")</f>
        <v/>
      </c>
      <c r="I443" s="49" t="str">
        <f aca="false">IF(ROUND($G443,2)&lt;0,-ROUND($G443,2),"")</f>
        <v/>
      </c>
      <c r="J443" s="20" t="n">
        <f aca="false">IF(ROUND($G443,2)=0,0,1)</f>
        <v>0</v>
      </c>
      <c r="K443" s="20" t="str">
        <f aca="false">IF($J443=0,"",SUM($J$431:$J443))</f>
        <v/>
      </c>
      <c r="L443" s="20" t="str">
        <f aca="false">IF($K443="","",$A443*100+$K443)</f>
        <v/>
      </c>
      <c r="M443" s="48" t="str">
        <f aca="false">""</f>
        <v/>
      </c>
    </row>
    <row r="444" customFormat="false" ht="13.5" hidden="false" customHeight="false" outlineLevel="0" collapsed="false">
      <c r="A444" s="47" t="n">
        <v>35</v>
      </c>
      <c r="C444" s="48" t="str">
        <f aca="false">助手报销!$C36</f>
        <v>博实店</v>
      </c>
      <c r="D444" s="81" t="s">
        <v>479</v>
      </c>
      <c r="E444" s="48" t="str">
        <f aca="false">IFERROR(INDEX(输入报销!$E:$E,MATCH($A444&amp;"-1",输入报销!$J:$J,0))&amp;"","")</f>
        <v>销售费用</v>
      </c>
      <c r="F444" s="48" t="str">
        <f aca="false">IFERROR(INDEX(输入报销!$F:$F,MATCH($A444&amp;"-1",输入报销!$J:$J,0))&amp;"","")</f>
        <v>电费</v>
      </c>
      <c r="G444" s="49" t="n">
        <f aca="false">IFERROR(ROUND(INDEX(输入报销!$G:$G,MATCH($A444&amp;"-1",输入报销!$J:$J,0)),2),0)</f>
        <v>500</v>
      </c>
      <c r="H444" s="49" t="n">
        <f aca="false">IF(ROUND($G444,2)&gt;0,ROUND($G444,2),"")</f>
        <v>500</v>
      </c>
      <c r="I444" s="49" t="str">
        <f aca="false">IF(ROUND($G444,2)&lt;0,-ROUND($G444,2),"")</f>
        <v/>
      </c>
      <c r="J444" s="20" t="n">
        <f aca="false">IF(ROUND($G444,2)=0,0,1)</f>
        <v>1</v>
      </c>
      <c r="K444" s="20" t="n">
        <f aca="false">IF($J444=0,"",SUM($J$444:$J444))</f>
        <v>1</v>
      </c>
      <c r="L444" s="20" t="n">
        <f aca="false">IF($K444="","",$A444*100+$K444)</f>
        <v>3501</v>
      </c>
      <c r="M444" s="48" t="str">
        <f aca="false">IFERROR(INDEX(输入报销!$D:$D,MATCH($A444&amp;"-1",输入报销!$J:$J,0))&amp;"","")</f>
        <v>电费</v>
      </c>
    </row>
    <row r="445" customFormat="false" ht="13.5" hidden="false" customHeight="false" outlineLevel="0" collapsed="false">
      <c r="A445" s="47" t="n">
        <v>35</v>
      </c>
      <c r="C445" s="48" t="str">
        <f aca="false">助手报销!$C36</f>
        <v>博实店</v>
      </c>
      <c r="D445" s="81" t="s">
        <v>480</v>
      </c>
      <c r="E445" s="48" t="str">
        <f aca="false">IFERROR(INDEX(输入报销!$E:$E,MATCH($A445&amp;"-2",输入报销!$J:$J,0))&amp;"","")</f>
        <v>销售费用</v>
      </c>
      <c r="F445" s="48" t="str">
        <f aca="false">IFERROR(INDEX(输入报销!$F:$F,MATCH($A445&amp;"-2",输入报销!$J:$J,0))&amp;"","")</f>
        <v>电话费</v>
      </c>
      <c r="G445" s="49" t="n">
        <f aca="false">IFERROR(ROUND(INDEX(输入报销!$G:$G,MATCH($A445&amp;"-2",输入报销!$J:$J,0)),2),0)</f>
        <v>100</v>
      </c>
      <c r="H445" s="49" t="n">
        <f aca="false">IF(ROUND($G445,2)&gt;0,ROUND($G445,2),"")</f>
        <v>100</v>
      </c>
      <c r="I445" s="49" t="str">
        <f aca="false">IF(ROUND($G445,2)&lt;0,-ROUND($G445,2),"")</f>
        <v/>
      </c>
      <c r="J445" s="20" t="n">
        <f aca="false">IF(ROUND($G445,2)=0,0,1)</f>
        <v>1</v>
      </c>
      <c r="K445" s="20" t="n">
        <f aca="false">IF($J445=0,"",SUM($J$444:$J445))</f>
        <v>2</v>
      </c>
      <c r="L445" s="20" t="n">
        <f aca="false">IF($K445="","",$A445*100+$K445)</f>
        <v>3502</v>
      </c>
      <c r="M445" s="48" t="str">
        <f aca="false">IFERROR(INDEX(输入报销!$D:$D,MATCH($A445&amp;"-2",输入报销!$J:$J,0))&amp;"","")</f>
        <v>电话费</v>
      </c>
    </row>
    <row r="446" customFormat="false" ht="13.5" hidden="false" customHeight="false" outlineLevel="0" collapsed="false">
      <c r="A446" s="47" t="n">
        <v>35</v>
      </c>
      <c r="C446" s="48" t="str">
        <f aca="false">助手报销!$C36</f>
        <v>博实店</v>
      </c>
      <c r="D446" s="81" t="s">
        <v>481</v>
      </c>
      <c r="E446" s="48" t="str">
        <f aca="false">IFERROR(INDEX(输入报销!$E:$E,MATCH($A446&amp;"-3",输入报销!$J:$J,0))&amp;"","")</f>
        <v/>
      </c>
      <c r="F446" s="48" t="str">
        <f aca="false">IFERROR(INDEX(输入报销!$F:$F,MATCH($A446&amp;"-3",输入报销!$J:$J,0))&amp;"","")</f>
        <v/>
      </c>
      <c r="G446" s="49" t="n">
        <f aca="false">IFERROR(ROUND(INDEX(输入报销!$G:$G,MATCH($A446&amp;"-3",输入报销!$J:$J,0)),2),0)</f>
        <v>0</v>
      </c>
      <c r="H446" s="49" t="str">
        <f aca="false">IF(ROUND($G446,2)&gt;0,ROUND($G446,2),"")</f>
        <v/>
      </c>
      <c r="I446" s="49" t="str">
        <f aca="false">IF(ROUND($G446,2)&lt;0,-ROUND($G446,2),"")</f>
        <v/>
      </c>
      <c r="J446" s="20" t="n">
        <f aca="false">IF(ROUND($G446,2)=0,0,1)</f>
        <v>0</v>
      </c>
      <c r="K446" s="20" t="str">
        <f aca="false">IF($J446=0,"",SUM($J$444:$J446))</f>
        <v/>
      </c>
      <c r="L446" s="20" t="str">
        <f aca="false">IF($K446="","",$A446*100+$K446)</f>
        <v/>
      </c>
      <c r="M446" s="48" t="str">
        <f aca="false">IFERROR(INDEX(输入报销!$D:$D,MATCH($A446&amp;"-3",输入报销!$J:$J,0))&amp;"","")</f>
        <v/>
      </c>
    </row>
    <row r="447" customFormat="false" ht="13.5" hidden="false" customHeight="false" outlineLevel="0" collapsed="false">
      <c r="A447" s="47" t="n">
        <v>35</v>
      </c>
      <c r="C447" s="48" t="str">
        <f aca="false">助手报销!$C36</f>
        <v>博实店</v>
      </c>
      <c r="D447" s="81" t="s">
        <v>482</v>
      </c>
      <c r="E447" s="48" t="str">
        <f aca="false">IFERROR(INDEX(输入报销!$E:$E,MATCH($A447&amp;"-4",输入报销!$J:$J,0))&amp;"","")</f>
        <v/>
      </c>
      <c r="F447" s="48" t="str">
        <f aca="false">IFERROR(INDEX(输入报销!$F:$F,MATCH($A447&amp;"-4",输入报销!$J:$J,0))&amp;"","")</f>
        <v/>
      </c>
      <c r="G447" s="49" t="n">
        <f aca="false">IFERROR(ROUND(INDEX(输入报销!$G:$G,MATCH($A447&amp;"-4",输入报销!$J:$J,0)),2),0)</f>
        <v>0</v>
      </c>
      <c r="H447" s="49" t="str">
        <f aca="false">IF(ROUND($G447,2)&gt;0,ROUND($G447,2),"")</f>
        <v/>
      </c>
      <c r="I447" s="49" t="str">
        <f aca="false">IF(ROUND($G447,2)&lt;0,-ROUND($G447,2),"")</f>
        <v/>
      </c>
      <c r="J447" s="20" t="n">
        <f aca="false">IF(ROUND($G447,2)=0,0,1)</f>
        <v>0</v>
      </c>
      <c r="K447" s="20" t="str">
        <f aca="false">IF($J447=0,"",SUM($J$444:$J447))</f>
        <v/>
      </c>
      <c r="L447" s="20" t="str">
        <f aca="false">IF($K447="","",$A447*100+$K447)</f>
        <v/>
      </c>
      <c r="M447" s="48" t="str">
        <f aca="false">IFERROR(INDEX(输入报销!$D:$D,MATCH($A447&amp;"-4",输入报销!$J:$J,0))&amp;"","")</f>
        <v/>
      </c>
    </row>
    <row r="448" customFormat="false" ht="13.5" hidden="false" customHeight="false" outlineLevel="0" collapsed="false">
      <c r="A448" s="47" t="n">
        <v>35</v>
      </c>
      <c r="C448" s="48" t="str">
        <f aca="false">助手报销!$C36</f>
        <v>博实店</v>
      </c>
      <c r="D448" s="81" t="s">
        <v>483</v>
      </c>
      <c r="E448" s="48" t="str">
        <f aca="false">IFERROR(INDEX(输入报销!$E:$E,MATCH($A448&amp;"-5",输入报销!$J:$J,0))&amp;"","")</f>
        <v/>
      </c>
      <c r="F448" s="48" t="str">
        <f aca="false">IFERROR(INDEX(输入报销!$F:$F,MATCH($A448&amp;"-5",输入报销!$J:$J,0))&amp;"","")</f>
        <v/>
      </c>
      <c r="G448" s="49" t="n">
        <f aca="false">IFERROR(ROUND(INDEX(输入报销!$G:$G,MATCH($A448&amp;"-5",输入报销!$J:$J,0)),2),0)</f>
        <v>0</v>
      </c>
      <c r="H448" s="49" t="str">
        <f aca="false">IF(ROUND($G448,2)&gt;0,ROUND($G448,2),"")</f>
        <v/>
      </c>
      <c r="I448" s="49" t="str">
        <f aca="false">IF(ROUND($G448,2)&lt;0,-ROUND($G448,2),"")</f>
        <v/>
      </c>
      <c r="J448" s="20" t="n">
        <f aca="false">IF(ROUND($G448,2)=0,0,1)</f>
        <v>0</v>
      </c>
      <c r="K448" s="20" t="str">
        <f aca="false">IF($J448=0,"",SUM($J$444:$J448))</f>
        <v/>
      </c>
      <c r="L448" s="20" t="str">
        <f aca="false">IF($K448="","",$A448*100+$K448)</f>
        <v/>
      </c>
      <c r="M448" s="48" t="str">
        <f aca="false">IFERROR(INDEX(输入报销!$D:$D,MATCH($A448&amp;"-5",输入报销!$J:$J,0))&amp;"","")</f>
        <v/>
      </c>
    </row>
    <row r="449" customFormat="false" ht="13.5" hidden="false" customHeight="false" outlineLevel="0" collapsed="false">
      <c r="A449" s="47" t="n">
        <v>35</v>
      </c>
      <c r="C449" s="48" t="str">
        <f aca="false">助手报销!$C36</f>
        <v>博实店</v>
      </c>
      <c r="D449" s="81" t="s">
        <v>484</v>
      </c>
      <c r="E449" s="48" t="str">
        <f aca="false">IFERROR(INDEX(输入报销!$E:$E,MATCH($A449&amp;"-6",输入报销!$J:$J,0))&amp;"","")</f>
        <v/>
      </c>
      <c r="F449" s="48" t="str">
        <f aca="false">IFERROR(INDEX(输入报销!$F:$F,MATCH($A449&amp;"-6",输入报销!$J:$J,0))&amp;"","")</f>
        <v/>
      </c>
      <c r="G449" s="49" t="n">
        <f aca="false">IFERROR(ROUND(INDEX(输入报销!$G:$G,MATCH($A449&amp;"-6",输入报销!$J:$J,0)),2),0)</f>
        <v>0</v>
      </c>
      <c r="H449" s="49" t="str">
        <f aca="false">IF(ROUND($G449,2)&gt;0,ROUND($G449,2),"")</f>
        <v/>
      </c>
      <c r="I449" s="49" t="str">
        <f aca="false">IF(ROUND($G449,2)&lt;0,-ROUND($G449,2),"")</f>
        <v/>
      </c>
      <c r="J449" s="20" t="n">
        <f aca="false">IF(ROUND($G449,2)=0,0,1)</f>
        <v>0</v>
      </c>
      <c r="K449" s="20" t="str">
        <f aca="false">IF($J449=0,"",SUM($J$444:$J449))</f>
        <v/>
      </c>
      <c r="L449" s="20" t="str">
        <f aca="false">IF($K449="","",$A449*100+$K449)</f>
        <v/>
      </c>
      <c r="M449" s="48" t="str">
        <f aca="false">IFERROR(INDEX(输入报销!$D:$D,MATCH($A449&amp;"-6",输入报销!$J:$J,0))&amp;"","")</f>
        <v/>
      </c>
    </row>
    <row r="450" customFormat="false" ht="13.5" hidden="false" customHeight="false" outlineLevel="0" collapsed="false">
      <c r="A450" s="47" t="n">
        <v>35</v>
      </c>
      <c r="C450" s="48" t="str">
        <f aca="false">助手报销!$C36</f>
        <v>博实店</v>
      </c>
      <c r="D450" s="81" t="s">
        <v>485</v>
      </c>
      <c r="E450" s="48" t="str">
        <f aca="false">IFERROR(INDEX(输入报销!$E:$E,MATCH($A450&amp;"-7",输入报销!$J:$J,0))&amp;"","")</f>
        <v/>
      </c>
      <c r="F450" s="48" t="str">
        <f aca="false">IFERROR(INDEX(输入报销!$F:$F,MATCH($A450&amp;"-7",输入报销!$J:$J,0))&amp;"","")</f>
        <v/>
      </c>
      <c r="G450" s="49" t="n">
        <f aca="false">IFERROR(ROUND(INDEX(输入报销!$G:$G,MATCH($A450&amp;"-7",输入报销!$J:$J,0)),2),0)</f>
        <v>0</v>
      </c>
      <c r="H450" s="49" t="str">
        <f aca="false">IF(ROUND($G450,2)&gt;0,ROUND($G450,2),"")</f>
        <v/>
      </c>
      <c r="I450" s="49" t="str">
        <f aca="false">IF(ROUND($G450,2)&lt;0,-ROUND($G450,2),"")</f>
        <v/>
      </c>
      <c r="J450" s="20" t="n">
        <f aca="false">IF(ROUND($G450,2)=0,0,1)</f>
        <v>0</v>
      </c>
      <c r="K450" s="20" t="str">
        <f aca="false">IF($J450=0,"",SUM($J$444:$J450))</f>
        <v/>
      </c>
      <c r="L450" s="20" t="str">
        <f aca="false">IF($K450="","",$A450*100+$K450)</f>
        <v/>
      </c>
      <c r="M450" s="48" t="str">
        <f aca="false">IFERROR(INDEX(输入报销!$D:$D,MATCH($A450&amp;"-7",输入报销!$J:$J,0))&amp;"","")</f>
        <v/>
      </c>
    </row>
    <row r="451" customFormat="false" ht="13.5" hidden="false" customHeight="false" outlineLevel="0" collapsed="false">
      <c r="A451" s="47" t="n">
        <v>35</v>
      </c>
      <c r="C451" s="48" t="str">
        <f aca="false">助手报销!$C36</f>
        <v>博实店</v>
      </c>
      <c r="D451" s="81" t="s">
        <v>486</v>
      </c>
      <c r="E451" s="48" t="str">
        <f aca="false">IFERROR(INDEX(输入报销!$E:$E,MATCH($A451&amp;"-8",输入报销!$J:$J,0))&amp;"","")</f>
        <v/>
      </c>
      <c r="F451" s="48" t="str">
        <f aca="false">IFERROR(INDEX(输入报销!$F:$F,MATCH($A451&amp;"-8",输入报销!$J:$J,0))&amp;"","")</f>
        <v/>
      </c>
      <c r="G451" s="49" t="n">
        <f aca="false">IFERROR(ROUND(INDEX(输入报销!$G:$G,MATCH($A451&amp;"-8",输入报销!$J:$J,0)),2),0)</f>
        <v>0</v>
      </c>
      <c r="H451" s="49" t="str">
        <f aca="false">IF(ROUND($G451,2)&gt;0,ROUND($G451,2),"")</f>
        <v/>
      </c>
      <c r="I451" s="49" t="str">
        <f aca="false">IF(ROUND($G451,2)&lt;0,-ROUND($G451,2),"")</f>
        <v/>
      </c>
      <c r="J451" s="20" t="n">
        <f aca="false">IF(ROUND($G451,2)=0,0,1)</f>
        <v>0</v>
      </c>
      <c r="K451" s="20" t="str">
        <f aca="false">IF($J451=0,"",SUM($J$444:$J451))</f>
        <v/>
      </c>
      <c r="L451" s="20" t="str">
        <f aca="false">IF($K451="","",$A451*100+$K451)</f>
        <v/>
      </c>
      <c r="M451" s="48" t="str">
        <f aca="false">IFERROR(INDEX(输入报销!$D:$D,MATCH($A451&amp;"-8",输入报销!$J:$J,0))&amp;"","")</f>
        <v/>
      </c>
    </row>
    <row r="452" customFormat="false" ht="13.5" hidden="false" customHeight="false" outlineLevel="0" collapsed="false">
      <c r="A452" s="47" t="n">
        <v>35</v>
      </c>
      <c r="C452" s="48" t="str">
        <f aca="false">助手报销!$C36</f>
        <v>博实店</v>
      </c>
      <c r="D452" s="81" t="s">
        <v>487</v>
      </c>
      <c r="E452" s="48" t="str">
        <f aca="false">IFERROR(INDEX(输入报销!$E:$E,MATCH($A452&amp;"-9",输入报销!$J:$J,0))&amp;"","")</f>
        <v/>
      </c>
      <c r="F452" s="48" t="str">
        <f aca="false">IFERROR(INDEX(输入报销!$F:$F,MATCH($A452&amp;"-9",输入报销!$J:$J,0))&amp;"","")</f>
        <v/>
      </c>
      <c r="G452" s="49" t="n">
        <f aca="false">IFERROR(ROUND(INDEX(输入报销!$G:$G,MATCH($A452&amp;"-9",输入报销!$J:$J,0)),2),0)</f>
        <v>0</v>
      </c>
      <c r="H452" s="49" t="str">
        <f aca="false">IF(ROUND($G452,2)&gt;0,ROUND($G452,2),"")</f>
        <v/>
      </c>
      <c r="I452" s="49" t="str">
        <f aca="false">IF(ROUND($G452,2)&lt;0,-ROUND($G452,2),"")</f>
        <v/>
      </c>
      <c r="J452" s="20" t="n">
        <f aca="false">IF(ROUND($G452,2)=0,0,1)</f>
        <v>0</v>
      </c>
      <c r="K452" s="20" t="str">
        <f aca="false">IF($J452=0,"",SUM($J$444:$J452))</f>
        <v/>
      </c>
      <c r="L452" s="20" t="str">
        <f aca="false">IF($K452="","",$A452*100+$K452)</f>
        <v/>
      </c>
      <c r="M452" s="48" t="str">
        <f aca="false">IFERROR(INDEX(输入报销!$D:$D,MATCH($A452&amp;"-9",输入报销!$J:$J,0))&amp;"","")</f>
        <v/>
      </c>
    </row>
    <row r="453" customFormat="false" ht="13.5" hidden="false" customHeight="false" outlineLevel="0" collapsed="false">
      <c r="A453" s="47" t="n">
        <v>35</v>
      </c>
      <c r="C453" s="48" t="str">
        <f aca="false">助手报销!$C36</f>
        <v>博实店</v>
      </c>
      <c r="D453" s="81" t="s">
        <v>488</v>
      </c>
      <c r="E453" s="48" t="str">
        <f aca="false">IFERROR(INDEX(输入报销!$E:$E,MATCH($A453&amp;"-10",输入报销!$J:$J,0))&amp;"","")</f>
        <v/>
      </c>
      <c r="F453" s="48" t="str">
        <f aca="false">IFERROR(INDEX(输入报销!$F:$F,MATCH($A453&amp;"-10",输入报销!$J:$J,0))&amp;"","")</f>
        <v/>
      </c>
      <c r="G453" s="49" t="n">
        <f aca="false">IFERROR(ROUND(INDEX(输入报销!$G:$G,MATCH($A453&amp;"-10",输入报销!$J:$J,0)),2),0)</f>
        <v>0</v>
      </c>
      <c r="H453" s="49" t="str">
        <f aca="false">IF(ROUND($G453,2)&gt;0,ROUND($G453,2),"")</f>
        <v/>
      </c>
      <c r="I453" s="49" t="str">
        <f aca="false">IF(ROUND($G453,2)&lt;0,-ROUND($G453,2),"")</f>
        <v/>
      </c>
      <c r="J453" s="20" t="n">
        <f aca="false">IF(ROUND($G453,2)=0,0,1)</f>
        <v>0</v>
      </c>
      <c r="K453" s="20" t="str">
        <f aca="false">IF($J453=0,"",SUM($J$444:$J453))</f>
        <v/>
      </c>
      <c r="L453" s="20" t="str">
        <f aca="false">IF($K453="","",$A453*100+$K453)</f>
        <v/>
      </c>
      <c r="M453" s="48" t="str">
        <f aca="false">IFERROR(INDEX(输入报销!$D:$D,MATCH($A453&amp;"-10",输入报销!$J:$J,0))&amp;"","")</f>
        <v/>
      </c>
    </row>
    <row r="454" customFormat="false" ht="13.5" hidden="false" customHeight="false" outlineLevel="0" collapsed="false">
      <c r="A454" s="47" t="n">
        <v>35</v>
      </c>
      <c r="C454" s="48" t="str">
        <f aca="false">助手报销!$C36</f>
        <v>博实店</v>
      </c>
      <c r="D454" s="81" t="s">
        <v>489</v>
      </c>
      <c r="E454" s="48" t="str">
        <f aca="false">参数!$B$6</f>
        <v>库存现金</v>
      </c>
      <c r="F454" s="48" t="str">
        <f aca="false">""</f>
        <v/>
      </c>
      <c r="G454" s="49" t="n">
        <f aca="false">-ROUND(SUMIFS(输入报销!$G:$G,输入报销!$A:$A,$A454,输入报销!$H:$H,参数!$B$6),2)</f>
        <v>-600</v>
      </c>
      <c r="H454" s="49" t="str">
        <f aca="false">IF(ROUND($G454,2)&gt;0,ROUND($G454,2),"")</f>
        <v/>
      </c>
      <c r="I454" s="49" t="n">
        <f aca="false">IF(ROUND($G454,2)&lt;0,-ROUND($G454,2),"")</f>
        <v>600</v>
      </c>
      <c r="J454" s="20" t="n">
        <f aca="false">IF(ROUND($G454,2)=0,0,1)</f>
        <v>1</v>
      </c>
      <c r="K454" s="20" t="n">
        <f aca="false">IF($J454=0,"",SUM($J$444:$J454))</f>
        <v>3</v>
      </c>
      <c r="L454" s="20" t="n">
        <f aca="false">IF($K454="","",$A454*100+$K454)</f>
        <v>3503</v>
      </c>
      <c r="M454" s="48" t="str">
        <f aca="false">""</f>
        <v/>
      </c>
    </row>
    <row r="455" customFormat="false" ht="13.5" hidden="false" customHeight="false" outlineLevel="0" collapsed="false">
      <c r="A455" s="47" t="n">
        <v>35</v>
      </c>
      <c r="C455" s="48" t="str">
        <f aca="false">助手报销!$C36</f>
        <v>博实店</v>
      </c>
      <c r="D455" s="81" t="s">
        <v>490</v>
      </c>
      <c r="E455" s="48" t="str">
        <f aca="false">参数!$B$7</f>
        <v>银行存款</v>
      </c>
      <c r="F455" s="48" t="str">
        <f aca="false">""</f>
        <v/>
      </c>
      <c r="G455" s="49" t="n">
        <f aca="false">-ROUND(SUMIFS(输入报销!$G:$G,输入报销!$A:$A,$A455,输入报销!$H:$H,参数!$B$7),2)</f>
        <v>-0</v>
      </c>
      <c r="H455" s="49" t="str">
        <f aca="false">IF(ROUND($G455,2)&gt;0,ROUND($G455,2),"")</f>
        <v/>
      </c>
      <c r="I455" s="49" t="str">
        <f aca="false">IF(ROUND($G455,2)&lt;0,-ROUND($G455,2),"")</f>
        <v/>
      </c>
      <c r="J455" s="20" t="n">
        <f aca="false">IF(ROUND($G455,2)=0,0,1)</f>
        <v>0</v>
      </c>
      <c r="K455" s="20" t="str">
        <f aca="false">IF($J455=0,"",SUM($J$444:$J455))</f>
        <v/>
      </c>
      <c r="L455" s="20" t="str">
        <f aca="false">IF($K455="","",$A455*100+$K455)</f>
        <v/>
      </c>
      <c r="M455" s="48" t="str">
        <f aca="false">""</f>
        <v/>
      </c>
    </row>
    <row r="456" customFormat="false" ht="13.5" hidden="false" customHeight="false" outlineLevel="0" collapsed="false">
      <c r="A456" s="47" t="n">
        <v>35</v>
      </c>
      <c r="C456" s="48" t="str">
        <f aca="false">助手报销!$C36</f>
        <v>博实店</v>
      </c>
      <c r="D456" s="81" t="s">
        <v>491</v>
      </c>
      <c r="E456" s="48" t="str">
        <f aca="false">参数!$B$8</f>
        <v>其他应付款</v>
      </c>
      <c r="F456" s="48" t="str">
        <f aca="false">""</f>
        <v/>
      </c>
      <c r="G456" s="49" t="n">
        <f aca="false">-ROUND(SUMIFS(输入报销!$G:$G,输入报销!$A:$A,$A456,输入报销!$H:$H,参数!$B$8),2)</f>
        <v>-0</v>
      </c>
      <c r="H456" s="49" t="str">
        <f aca="false">IF(ROUND($G456,2)&gt;0,ROUND($G456,2),"")</f>
        <v/>
      </c>
      <c r="I456" s="49" t="str">
        <f aca="false">IF(ROUND($G456,2)&lt;0,-ROUND($G456,2),"")</f>
        <v/>
      </c>
      <c r="J456" s="20" t="n">
        <f aca="false">IF(ROUND($G456,2)=0,0,1)</f>
        <v>0</v>
      </c>
      <c r="K456" s="20" t="str">
        <f aca="false">IF($J456=0,"",SUM($J$444:$J456))</f>
        <v/>
      </c>
      <c r="L456" s="20" t="str">
        <f aca="false">IF($K456="","",$A456*100+$K456)</f>
        <v/>
      </c>
      <c r="M456" s="48" t="str">
        <f aca="false">""</f>
        <v/>
      </c>
    </row>
    <row r="457" customFormat="false" ht="13.5" hidden="false" customHeight="false" outlineLevel="0" collapsed="false">
      <c r="A457" s="47" t="n">
        <v>36</v>
      </c>
      <c r="C457" s="48" t="str">
        <f aca="false">助手报销!$C37</f>
        <v>博亮店</v>
      </c>
      <c r="D457" s="81" t="s">
        <v>479</v>
      </c>
      <c r="E457" s="48" t="str">
        <f aca="false">IFERROR(INDEX(输入报销!$E:$E,MATCH($A457&amp;"-1",输入报销!$J:$J,0))&amp;"","")</f>
        <v>销售费用</v>
      </c>
      <c r="F457" s="48" t="str">
        <f aca="false">IFERROR(INDEX(输入报销!$F:$F,MATCH($A457&amp;"-1",输入报销!$J:$J,0))&amp;"","")</f>
        <v>电费</v>
      </c>
      <c r="G457" s="49" t="n">
        <f aca="false">IFERROR(ROUND(INDEX(输入报销!$G:$G,MATCH($A457&amp;"-1",输入报销!$J:$J,0)),2),0)</f>
        <v>300</v>
      </c>
      <c r="H457" s="49" t="n">
        <f aca="false">IF(ROUND($G457,2)&gt;0,ROUND($G457,2),"")</f>
        <v>300</v>
      </c>
      <c r="I457" s="49" t="str">
        <f aca="false">IF(ROUND($G457,2)&lt;0,-ROUND($G457,2),"")</f>
        <v/>
      </c>
      <c r="J457" s="20" t="n">
        <f aca="false">IF(ROUND($G457,2)=0,0,1)</f>
        <v>1</v>
      </c>
      <c r="K457" s="20" t="n">
        <f aca="false">IF($J457=0,"",SUM($J$457:$J457))</f>
        <v>1</v>
      </c>
      <c r="L457" s="20" t="n">
        <f aca="false">IF($K457="","",$A457*100+$K457)</f>
        <v>3601</v>
      </c>
      <c r="M457" s="48" t="str">
        <f aca="false">IFERROR(INDEX(输入报销!$D:$D,MATCH($A457&amp;"-1",输入报销!$J:$J,0))&amp;"","")</f>
        <v>电费</v>
      </c>
    </row>
    <row r="458" customFormat="false" ht="13.5" hidden="false" customHeight="false" outlineLevel="0" collapsed="false">
      <c r="A458" s="47" t="n">
        <v>36</v>
      </c>
      <c r="C458" s="48" t="str">
        <f aca="false">助手报销!$C37</f>
        <v>博亮店</v>
      </c>
      <c r="D458" s="81" t="s">
        <v>480</v>
      </c>
      <c r="E458" s="48" t="str">
        <f aca="false">IFERROR(INDEX(输入报销!$E:$E,MATCH($A458&amp;"-2",输入报销!$J:$J,0))&amp;"","")</f>
        <v>销售费用</v>
      </c>
      <c r="F458" s="48" t="str">
        <f aca="false">IFERROR(INDEX(输入报销!$F:$F,MATCH($A458&amp;"-2",输入报销!$J:$J,0))&amp;"","")</f>
        <v>办公费</v>
      </c>
      <c r="G458" s="49" t="n">
        <f aca="false">IFERROR(ROUND(INDEX(输入报销!$G:$G,MATCH($A458&amp;"-2",输入报销!$J:$J,0)),2),0)</f>
        <v>50</v>
      </c>
      <c r="H458" s="49" t="n">
        <f aca="false">IF(ROUND($G458,2)&gt;0,ROUND($G458,2),"")</f>
        <v>50</v>
      </c>
      <c r="I458" s="49" t="str">
        <f aca="false">IF(ROUND($G458,2)&lt;0,-ROUND($G458,2),"")</f>
        <v/>
      </c>
      <c r="J458" s="20" t="n">
        <f aca="false">IF(ROUND($G458,2)=0,0,1)</f>
        <v>1</v>
      </c>
      <c r="K458" s="20" t="n">
        <f aca="false">IF($J458=0,"",SUM($J$457:$J458))</f>
        <v>2</v>
      </c>
      <c r="L458" s="20" t="n">
        <f aca="false">IF($K458="","",$A458*100+$K458)</f>
        <v>3602</v>
      </c>
      <c r="M458" s="48" t="str">
        <f aca="false">IFERROR(INDEX(输入报销!$D:$D,MATCH($A458&amp;"-2",输入报销!$J:$J,0))&amp;"","")</f>
        <v>灭火器检测，录像机维修</v>
      </c>
    </row>
    <row r="459" customFormat="false" ht="13.5" hidden="false" customHeight="false" outlineLevel="0" collapsed="false">
      <c r="A459" s="47" t="n">
        <v>36</v>
      </c>
      <c r="C459" s="48" t="str">
        <f aca="false">助手报销!$C37</f>
        <v>博亮店</v>
      </c>
      <c r="D459" s="81" t="s">
        <v>481</v>
      </c>
      <c r="E459" s="48" t="str">
        <f aca="false">IFERROR(INDEX(输入报销!$E:$E,MATCH($A459&amp;"-3",输入报销!$J:$J,0))&amp;"","")</f>
        <v>销售费用</v>
      </c>
      <c r="F459" s="48" t="str">
        <f aca="false">IFERROR(INDEX(输入报销!$F:$F,MATCH($A459&amp;"-3",输入报销!$J:$J,0))&amp;"","")</f>
        <v>水费</v>
      </c>
      <c r="G459" s="49" t="n">
        <f aca="false">IFERROR(ROUND(INDEX(输入报销!$G:$G,MATCH($A459&amp;"-3",输入报销!$J:$J,0)),2),0)</f>
        <v>5</v>
      </c>
      <c r="H459" s="49" t="n">
        <f aca="false">IF(ROUND($G459,2)&gt;0,ROUND($G459,2),"")</f>
        <v>5</v>
      </c>
      <c r="I459" s="49" t="str">
        <f aca="false">IF(ROUND($G459,2)&lt;0,-ROUND($G459,2),"")</f>
        <v/>
      </c>
      <c r="J459" s="20" t="n">
        <f aca="false">IF(ROUND($G459,2)=0,0,1)</f>
        <v>1</v>
      </c>
      <c r="K459" s="20" t="n">
        <f aca="false">IF($J459=0,"",SUM($J$457:$J459))</f>
        <v>3</v>
      </c>
      <c r="L459" s="20" t="n">
        <f aca="false">IF($K459="","",$A459*100+$K459)</f>
        <v>3603</v>
      </c>
      <c r="M459" s="48" t="str">
        <f aca="false">IFERROR(INDEX(输入报销!$D:$D,MATCH($A459&amp;"-3",输入报销!$J:$J,0))&amp;"","")</f>
        <v>水费</v>
      </c>
    </row>
    <row r="460" customFormat="false" ht="13.5" hidden="false" customHeight="false" outlineLevel="0" collapsed="false">
      <c r="A460" s="47" t="n">
        <v>36</v>
      </c>
      <c r="C460" s="48" t="str">
        <f aca="false">助手报销!$C37</f>
        <v>博亮店</v>
      </c>
      <c r="D460" s="81" t="s">
        <v>482</v>
      </c>
      <c r="E460" s="48" t="str">
        <f aca="false">IFERROR(INDEX(输入报销!$E:$E,MATCH($A460&amp;"-4",输入报销!$J:$J,0))&amp;"","")</f>
        <v/>
      </c>
      <c r="F460" s="48" t="str">
        <f aca="false">IFERROR(INDEX(输入报销!$F:$F,MATCH($A460&amp;"-4",输入报销!$J:$J,0))&amp;"","")</f>
        <v/>
      </c>
      <c r="G460" s="49" t="n">
        <f aca="false">IFERROR(ROUND(INDEX(输入报销!$G:$G,MATCH($A460&amp;"-4",输入报销!$J:$J,0)),2),0)</f>
        <v>0</v>
      </c>
      <c r="H460" s="49" t="str">
        <f aca="false">IF(ROUND($G460,2)&gt;0,ROUND($G460,2),"")</f>
        <v/>
      </c>
      <c r="I460" s="49" t="str">
        <f aca="false">IF(ROUND($G460,2)&lt;0,-ROUND($G460,2),"")</f>
        <v/>
      </c>
      <c r="J460" s="20" t="n">
        <f aca="false">IF(ROUND($G460,2)=0,0,1)</f>
        <v>0</v>
      </c>
      <c r="K460" s="20" t="str">
        <f aca="false">IF($J460=0,"",SUM($J$457:$J460))</f>
        <v/>
      </c>
      <c r="L460" s="20" t="str">
        <f aca="false">IF($K460="","",$A460*100+$K460)</f>
        <v/>
      </c>
      <c r="M460" s="48" t="str">
        <f aca="false">IFERROR(INDEX(输入报销!$D:$D,MATCH($A460&amp;"-4",输入报销!$J:$J,0))&amp;"","")</f>
        <v/>
      </c>
    </row>
    <row r="461" customFormat="false" ht="13.5" hidden="false" customHeight="false" outlineLevel="0" collapsed="false">
      <c r="A461" s="47" t="n">
        <v>36</v>
      </c>
      <c r="C461" s="48" t="str">
        <f aca="false">助手报销!$C37</f>
        <v>博亮店</v>
      </c>
      <c r="D461" s="81" t="s">
        <v>483</v>
      </c>
      <c r="E461" s="48" t="str">
        <f aca="false">IFERROR(INDEX(输入报销!$E:$E,MATCH($A461&amp;"-5",输入报销!$J:$J,0))&amp;"","")</f>
        <v/>
      </c>
      <c r="F461" s="48" t="str">
        <f aca="false">IFERROR(INDEX(输入报销!$F:$F,MATCH($A461&amp;"-5",输入报销!$J:$J,0))&amp;"","")</f>
        <v/>
      </c>
      <c r="G461" s="49" t="n">
        <f aca="false">IFERROR(ROUND(INDEX(输入报销!$G:$G,MATCH($A461&amp;"-5",输入报销!$J:$J,0)),2),0)</f>
        <v>0</v>
      </c>
      <c r="H461" s="49" t="str">
        <f aca="false">IF(ROUND($G461,2)&gt;0,ROUND($G461,2),"")</f>
        <v/>
      </c>
      <c r="I461" s="49" t="str">
        <f aca="false">IF(ROUND($G461,2)&lt;0,-ROUND($G461,2),"")</f>
        <v/>
      </c>
      <c r="J461" s="20" t="n">
        <f aca="false">IF(ROUND($G461,2)=0,0,1)</f>
        <v>0</v>
      </c>
      <c r="K461" s="20" t="str">
        <f aca="false">IF($J461=0,"",SUM($J$457:$J461))</f>
        <v/>
      </c>
      <c r="L461" s="20" t="str">
        <f aca="false">IF($K461="","",$A461*100+$K461)</f>
        <v/>
      </c>
      <c r="M461" s="48" t="str">
        <f aca="false">IFERROR(INDEX(输入报销!$D:$D,MATCH($A461&amp;"-5",输入报销!$J:$J,0))&amp;"","")</f>
        <v/>
      </c>
    </row>
    <row r="462" customFormat="false" ht="13.5" hidden="false" customHeight="false" outlineLevel="0" collapsed="false">
      <c r="A462" s="47" t="n">
        <v>36</v>
      </c>
      <c r="C462" s="48" t="str">
        <f aca="false">助手报销!$C37</f>
        <v>博亮店</v>
      </c>
      <c r="D462" s="81" t="s">
        <v>484</v>
      </c>
      <c r="E462" s="48" t="str">
        <f aca="false">IFERROR(INDEX(输入报销!$E:$E,MATCH($A462&amp;"-6",输入报销!$J:$J,0))&amp;"","")</f>
        <v/>
      </c>
      <c r="F462" s="48" t="str">
        <f aca="false">IFERROR(INDEX(输入报销!$F:$F,MATCH($A462&amp;"-6",输入报销!$J:$J,0))&amp;"","")</f>
        <v/>
      </c>
      <c r="G462" s="49" t="n">
        <f aca="false">IFERROR(ROUND(INDEX(输入报销!$G:$G,MATCH($A462&amp;"-6",输入报销!$J:$J,0)),2),0)</f>
        <v>0</v>
      </c>
      <c r="H462" s="49" t="str">
        <f aca="false">IF(ROUND($G462,2)&gt;0,ROUND($G462,2),"")</f>
        <v/>
      </c>
      <c r="I462" s="49" t="str">
        <f aca="false">IF(ROUND($G462,2)&lt;0,-ROUND($G462,2),"")</f>
        <v/>
      </c>
      <c r="J462" s="20" t="n">
        <f aca="false">IF(ROUND($G462,2)=0,0,1)</f>
        <v>0</v>
      </c>
      <c r="K462" s="20" t="str">
        <f aca="false">IF($J462=0,"",SUM($J$457:$J462))</f>
        <v/>
      </c>
      <c r="L462" s="20" t="str">
        <f aca="false">IF($K462="","",$A462*100+$K462)</f>
        <v/>
      </c>
      <c r="M462" s="48" t="str">
        <f aca="false">IFERROR(INDEX(输入报销!$D:$D,MATCH($A462&amp;"-6",输入报销!$J:$J,0))&amp;"","")</f>
        <v/>
      </c>
    </row>
    <row r="463" customFormat="false" ht="13.5" hidden="false" customHeight="false" outlineLevel="0" collapsed="false">
      <c r="A463" s="47" t="n">
        <v>36</v>
      </c>
      <c r="C463" s="48" t="str">
        <f aca="false">助手报销!$C37</f>
        <v>博亮店</v>
      </c>
      <c r="D463" s="81" t="s">
        <v>485</v>
      </c>
      <c r="E463" s="48" t="str">
        <f aca="false">IFERROR(INDEX(输入报销!$E:$E,MATCH($A463&amp;"-7",输入报销!$J:$J,0))&amp;"","")</f>
        <v/>
      </c>
      <c r="F463" s="48" t="str">
        <f aca="false">IFERROR(INDEX(输入报销!$F:$F,MATCH($A463&amp;"-7",输入报销!$J:$J,0))&amp;"","")</f>
        <v/>
      </c>
      <c r="G463" s="49" t="n">
        <f aca="false">IFERROR(ROUND(INDEX(输入报销!$G:$G,MATCH($A463&amp;"-7",输入报销!$J:$J,0)),2),0)</f>
        <v>0</v>
      </c>
      <c r="H463" s="49" t="str">
        <f aca="false">IF(ROUND($G463,2)&gt;0,ROUND($G463,2),"")</f>
        <v/>
      </c>
      <c r="I463" s="49" t="str">
        <f aca="false">IF(ROUND($G463,2)&lt;0,-ROUND($G463,2),"")</f>
        <v/>
      </c>
      <c r="J463" s="20" t="n">
        <f aca="false">IF(ROUND($G463,2)=0,0,1)</f>
        <v>0</v>
      </c>
      <c r="K463" s="20" t="str">
        <f aca="false">IF($J463=0,"",SUM($J$457:$J463))</f>
        <v/>
      </c>
      <c r="L463" s="20" t="str">
        <f aca="false">IF($K463="","",$A463*100+$K463)</f>
        <v/>
      </c>
      <c r="M463" s="48" t="str">
        <f aca="false">IFERROR(INDEX(输入报销!$D:$D,MATCH($A463&amp;"-7",输入报销!$J:$J,0))&amp;"","")</f>
        <v/>
      </c>
    </row>
    <row r="464" customFormat="false" ht="13.5" hidden="false" customHeight="false" outlineLevel="0" collapsed="false">
      <c r="A464" s="47" t="n">
        <v>36</v>
      </c>
      <c r="C464" s="48" t="str">
        <f aca="false">助手报销!$C37</f>
        <v>博亮店</v>
      </c>
      <c r="D464" s="81" t="s">
        <v>486</v>
      </c>
      <c r="E464" s="48" t="str">
        <f aca="false">IFERROR(INDEX(输入报销!$E:$E,MATCH($A464&amp;"-8",输入报销!$J:$J,0))&amp;"","")</f>
        <v/>
      </c>
      <c r="F464" s="48" t="str">
        <f aca="false">IFERROR(INDEX(输入报销!$F:$F,MATCH($A464&amp;"-8",输入报销!$J:$J,0))&amp;"","")</f>
        <v/>
      </c>
      <c r="G464" s="49" t="n">
        <f aca="false">IFERROR(ROUND(INDEX(输入报销!$G:$G,MATCH($A464&amp;"-8",输入报销!$J:$J,0)),2),0)</f>
        <v>0</v>
      </c>
      <c r="H464" s="49" t="str">
        <f aca="false">IF(ROUND($G464,2)&gt;0,ROUND($G464,2),"")</f>
        <v/>
      </c>
      <c r="I464" s="49" t="str">
        <f aca="false">IF(ROUND($G464,2)&lt;0,-ROUND($G464,2),"")</f>
        <v/>
      </c>
      <c r="J464" s="20" t="n">
        <f aca="false">IF(ROUND($G464,2)=0,0,1)</f>
        <v>0</v>
      </c>
      <c r="K464" s="20" t="str">
        <f aca="false">IF($J464=0,"",SUM($J$457:$J464))</f>
        <v/>
      </c>
      <c r="L464" s="20" t="str">
        <f aca="false">IF($K464="","",$A464*100+$K464)</f>
        <v/>
      </c>
      <c r="M464" s="48" t="str">
        <f aca="false">IFERROR(INDEX(输入报销!$D:$D,MATCH($A464&amp;"-8",输入报销!$J:$J,0))&amp;"","")</f>
        <v/>
      </c>
    </row>
    <row r="465" customFormat="false" ht="13.5" hidden="false" customHeight="false" outlineLevel="0" collapsed="false">
      <c r="A465" s="47" t="n">
        <v>36</v>
      </c>
      <c r="C465" s="48" t="str">
        <f aca="false">助手报销!$C37</f>
        <v>博亮店</v>
      </c>
      <c r="D465" s="81" t="s">
        <v>487</v>
      </c>
      <c r="E465" s="48" t="str">
        <f aca="false">IFERROR(INDEX(输入报销!$E:$E,MATCH($A465&amp;"-9",输入报销!$J:$J,0))&amp;"","")</f>
        <v/>
      </c>
      <c r="F465" s="48" t="str">
        <f aca="false">IFERROR(INDEX(输入报销!$F:$F,MATCH($A465&amp;"-9",输入报销!$J:$J,0))&amp;"","")</f>
        <v/>
      </c>
      <c r="G465" s="49" t="n">
        <f aca="false">IFERROR(ROUND(INDEX(输入报销!$G:$G,MATCH($A465&amp;"-9",输入报销!$J:$J,0)),2),0)</f>
        <v>0</v>
      </c>
      <c r="H465" s="49" t="str">
        <f aca="false">IF(ROUND($G465,2)&gt;0,ROUND($G465,2),"")</f>
        <v/>
      </c>
      <c r="I465" s="49" t="str">
        <f aca="false">IF(ROUND($G465,2)&lt;0,-ROUND($G465,2),"")</f>
        <v/>
      </c>
      <c r="J465" s="20" t="n">
        <f aca="false">IF(ROUND($G465,2)=0,0,1)</f>
        <v>0</v>
      </c>
      <c r="K465" s="20" t="str">
        <f aca="false">IF($J465=0,"",SUM($J$457:$J465))</f>
        <v/>
      </c>
      <c r="L465" s="20" t="str">
        <f aca="false">IF($K465="","",$A465*100+$K465)</f>
        <v/>
      </c>
      <c r="M465" s="48" t="str">
        <f aca="false">IFERROR(INDEX(输入报销!$D:$D,MATCH($A465&amp;"-9",输入报销!$J:$J,0))&amp;"","")</f>
        <v/>
      </c>
    </row>
    <row r="466" customFormat="false" ht="13.5" hidden="false" customHeight="false" outlineLevel="0" collapsed="false">
      <c r="A466" s="47" t="n">
        <v>36</v>
      </c>
      <c r="C466" s="48" t="str">
        <f aca="false">助手报销!$C37</f>
        <v>博亮店</v>
      </c>
      <c r="D466" s="81" t="s">
        <v>488</v>
      </c>
      <c r="E466" s="48" t="str">
        <f aca="false">IFERROR(INDEX(输入报销!$E:$E,MATCH($A466&amp;"-10",输入报销!$J:$J,0))&amp;"","")</f>
        <v/>
      </c>
      <c r="F466" s="48" t="str">
        <f aca="false">IFERROR(INDEX(输入报销!$F:$F,MATCH($A466&amp;"-10",输入报销!$J:$J,0))&amp;"","")</f>
        <v/>
      </c>
      <c r="G466" s="49" t="n">
        <f aca="false">IFERROR(ROUND(INDEX(输入报销!$G:$G,MATCH($A466&amp;"-10",输入报销!$J:$J,0)),2),0)</f>
        <v>0</v>
      </c>
      <c r="H466" s="49" t="str">
        <f aca="false">IF(ROUND($G466,2)&gt;0,ROUND($G466,2),"")</f>
        <v/>
      </c>
      <c r="I466" s="49" t="str">
        <f aca="false">IF(ROUND($G466,2)&lt;0,-ROUND($G466,2),"")</f>
        <v/>
      </c>
      <c r="J466" s="20" t="n">
        <f aca="false">IF(ROUND($G466,2)=0,0,1)</f>
        <v>0</v>
      </c>
      <c r="K466" s="20" t="str">
        <f aca="false">IF($J466=0,"",SUM($J$457:$J466))</f>
        <v/>
      </c>
      <c r="L466" s="20" t="str">
        <f aca="false">IF($K466="","",$A466*100+$K466)</f>
        <v/>
      </c>
      <c r="M466" s="48" t="str">
        <f aca="false">IFERROR(INDEX(输入报销!$D:$D,MATCH($A466&amp;"-10",输入报销!$J:$J,0))&amp;"","")</f>
        <v/>
      </c>
    </row>
    <row r="467" customFormat="false" ht="13.5" hidden="false" customHeight="false" outlineLevel="0" collapsed="false">
      <c r="A467" s="47" t="n">
        <v>36</v>
      </c>
      <c r="C467" s="48" t="str">
        <f aca="false">助手报销!$C37</f>
        <v>博亮店</v>
      </c>
      <c r="D467" s="81" t="s">
        <v>489</v>
      </c>
      <c r="E467" s="48" t="str">
        <f aca="false">参数!$B$6</f>
        <v>库存现金</v>
      </c>
      <c r="F467" s="48" t="str">
        <f aca="false">""</f>
        <v/>
      </c>
      <c r="G467" s="49" t="n">
        <f aca="false">-ROUND(SUMIFS(输入报销!$G:$G,输入报销!$A:$A,$A467,输入报销!$H:$H,参数!$B$6),2)</f>
        <v>-355</v>
      </c>
      <c r="H467" s="49" t="str">
        <f aca="false">IF(ROUND($G467,2)&gt;0,ROUND($G467,2),"")</f>
        <v/>
      </c>
      <c r="I467" s="49" t="n">
        <f aca="false">IF(ROUND($G467,2)&lt;0,-ROUND($G467,2),"")</f>
        <v>355</v>
      </c>
      <c r="J467" s="20" t="n">
        <f aca="false">IF(ROUND($G467,2)=0,0,1)</f>
        <v>1</v>
      </c>
      <c r="K467" s="20" t="n">
        <f aca="false">IF($J467=0,"",SUM($J$457:$J467))</f>
        <v>4</v>
      </c>
      <c r="L467" s="20" t="n">
        <f aca="false">IF($K467="","",$A467*100+$K467)</f>
        <v>3604</v>
      </c>
      <c r="M467" s="48" t="str">
        <f aca="false">""</f>
        <v/>
      </c>
    </row>
    <row r="468" customFormat="false" ht="13.5" hidden="false" customHeight="false" outlineLevel="0" collapsed="false">
      <c r="A468" s="47" t="n">
        <v>36</v>
      </c>
      <c r="C468" s="48" t="str">
        <f aca="false">助手报销!$C37</f>
        <v>博亮店</v>
      </c>
      <c r="D468" s="81" t="s">
        <v>490</v>
      </c>
      <c r="E468" s="48" t="str">
        <f aca="false">参数!$B$7</f>
        <v>银行存款</v>
      </c>
      <c r="F468" s="48" t="str">
        <f aca="false">""</f>
        <v/>
      </c>
      <c r="G468" s="49" t="n">
        <f aca="false">-ROUND(SUMIFS(输入报销!$G:$G,输入报销!$A:$A,$A468,输入报销!$H:$H,参数!$B$7),2)</f>
        <v>-0</v>
      </c>
      <c r="H468" s="49" t="str">
        <f aca="false">IF(ROUND($G468,2)&gt;0,ROUND($G468,2),"")</f>
        <v/>
      </c>
      <c r="I468" s="49" t="str">
        <f aca="false">IF(ROUND($G468,2)&lt;0,-ROUND($G468,2),"")</f>
        <v/>
      </c>
      <c r="J468" s="20" t="n">
        <f aca="false">IF(ROUND($G468,2)=0,0,1)</f>
        <v>0</v>
      </c>
      <c r="K468" s="20" t="str">
        <f aca="false">IF($J468=0,"",SUM($J$457:$J468))</f>
        <v/>
      </c>
      <c r="L468" s="20" t="str">
        <f aca="false">IF($K468="","",$A468*100+$K468)</f>
        <v/>
      </c>
      <c r="M468" s="48" t="str">
        <f aca="false">""</f>
        <v/>
      </c>
    </row>
    <row r="469" customFormat="false" ht="13.5" hidden="false" customHeight="false" outlineLevel="0" collapsed="false">
      <c r="A469" s="47" t="n">
        <v>36</v>
      </c>
      <c r="C469" s="48" t="str">
        <f aca="false">助手报销!$C37</f>
        <v>博亮店</v>
      </c>
      <c r="D469" s="81" t="s">
        <v>491</v>
      </c>
      <c r="E469" s="48" t="str">
        <f aca="false">参数!$B$8</f>
        <v>其他应付款</v>
      </c>
      <c r="F469" s="48" t="str">
        <f aca="false">""</f>
        <v/>
      </c>
      <c r="G469" s="49" t="n">
        <f aca="false">-ROUND(SUMIFS(输入报销!$G:$G,输入报销!$A:$A,$A469,输入报销!$H:$H,参数!$B$8),2)</f>
        <v>-0</v>
      </c>
      <c r="H469" s="49" t="str">
        <f aca="false">IF(ROUND($G469,2)&gt;0,ROUND($G469,2),"")</f>
        <v/>
      </c>
      <c r="I469" s="49" t="str">
        <f aca="false">IF(ROUND($G469,2)&lt;0,-ROUND($G469,2),"")</f>
        <v/>
      </c>
      <c r="J469" s="20" t="n">
        <f aca="false">IF(ROUND($G469,2)=0,0,1)</f>
        <v>0</v>
      </c>
      <c r="K469" s="20" t="str">
        <f aca="false">IF($J469=0,"",SUM($J$457:$J469))</f>
        <v/>
      </c>
      <c r="L469" s="20" t="str">
        <f aca="false">IF($K469="","",$A469*100+$K469)</f>
        <v/>
      </c>
      <c r="M469" s="48" t="str">
        <f aca="false">""</f>
        <v/>
      </c>
    </row>
    <row r="470" customFormat="false" ht="13.5" hidden="false" customHeight="false" outlineLevel="0" collapsed="false">
      <c r="A470" s="47" t="n">
        <v>37</v>
      </c>
      <c r="C470" s="48" t="str">
        <f aca="false">助手报销!$C38</f>
        <v>博山店</v>
      </c>
      <c r="D470" s="81" t="s">
        <v>479</v>
      </c>
      <c r="E470" s="48" t="str">
        <f aca="false">IFERROR(INDEX(输入报销!$E:$E,MATCH($A470&amp;"-1",输入报销!$J:$J,0))&amp;"","")</f>
        <v>销售费用</v>
      </c>
      <c r="F470" s="48" t="str">
        <f aca="false">IFERROR(INDEX(输入报销!$F:$F,MATCH($A470&amp;"-1",输入报销!$J:$J,0))&amp;"","")</f>
        <v>电费</v>
      </c>
      <c r="G470" s="49" t="n">
        <f aca="false">IFERROR(ROUND(INDEX(输入报销!$G:$G,MATCH($A470&amp;"-1",输入报销!$J:$J,0)),2),0)</f>
        <v>4000</v>
      </c>
      <c r="H470" s="49" t="n">
        <f aca="false">IF(ROUND($G470,2)&gt;0,ROUND($G470,2),"")</f>
        <v>4000</v>
      </c>
      <c r="I470" s="49" t="str">
        <f aca="false">IF(ROUND($G470,2)&lt;0,-ROUND($G470,2),"")</f>
        <v/>
      </c>
      <c r="J470" s="20" t="n">
        <f aca="false">IF(ROUND($G470,2)=0,0,1)</f>
        <v>1</v>
      </c>
      <c r="K470" s="20" t="n">
        <f aca="false">IF($J470=0,"",SUM($J$470:$J470))</f>
        <v>1</v>
      </c>
      <c r="L470" s="20" t="n">
        <f aca="false">IF($K470="","",$A470*100+$K470)</f>
        <v>3701</v>
      </c>
      <c r="M470" s="48" t="str">
        <f aca="false">IFERROR(INDEX(输入报销!$D:$D,MATCH($A470&amp;"-1",输入报销!$J:$J,0))&amp;"","")</f>
        <v>电费</v>
      </c>
    </row>
    <row r="471" customFormat="false" ht="13.5" hidden="false" customHeight="false" outlineLevel="0" collapsed="false">
      <c r="A471" s="47" t="n">
        <v>37</v>
      </c>
      <c r="C471" s="48" t="str">
        <f aca="false">助手报销!$C38</f>
        <v>博山店</v>
      </c>
      <c r="D471" s="81" t="s">
        <v>480</v>
      </c>
      <c r="E471" s="48" t="str">
        <f aca="false">IFERROR(INDEX(输入报销!$E:$E,MATCH($A471&amp;"-2",输入报销!$J:$J,0))&amp;"","")</f>
        <v>销售费用</v>
      </c>
      <c r="F471" s="48" t="str">
        <f aca="false">IFERROR(INDEX(输入报销!$F:$F,MATCH($A471&amp;"-2",输入报销!$J:$J,0))&amp;"","")</f>
        <v/>
      </c>
      <c r="G471" s="49" t="n">
        <f aca="false">IFERROR(ROUND(INDEX(输入报销!$G:$G,MATCH($A471&amp;"-2",输入报销!$J:$J,0)),2),0)</f>
        <v>36.9</v>
      </c>
      <c r="H471" s="49" t="n">
        <f aca="false">IF(ROUND($G471,2)&gt;0,ROUND($G471,2),"")</f>
        <v>36.9</v>
      </c>
      <c r="I471" s="49" t="str">
        <f aca="false">IF(ROUND($G471,2)&lt;0,-ROUND($G471,2),"")</f>
        <v/>
      </c>
      <c r="J471" s="20" t="n">
        <f aca="false">IF(ROUND($G471,2)=0,0,1)</f>
        <v>1</v>
      </c>
      <c r="K471" s="20" t="n">
        <f aca="false">IF($J471=0,"",SUM($J$470:$J471))</f>
        <v>2</v>
      </c>
      <c r="L471" s="20" t="n">
        <f aca="false">IF($K471="","",$A471*100+$K471)</f>
        <v>3702</v>
      </c>
      <c r="M471" s="48" t="str">
        <f aca="false">IFERROR(INDEX(输入报销!$D:$D,MATCH($A471&amp;"-2",输入报销!$J:$J,0))&amp;"","")</f>
        <v>慢病用品</v>
      </c>
    </row>
    <row r="472" customFormat="false" ht="13.5" hidden="false" customHeight="false" outlineLevel="0" collapsed="false">
      <c r="A472" s="47" t="n">
        <v>37</v>
      </c>
      <c r="C472" s="48" t="str">
        <f aca="false">助手报销!$C38</f>
        <v>博山店</v>
      </c>
      <c r="D472" s="81" t="s">
        <v>481</v>
      </c>
      <c r="E472" s="48" t="str">
        <f aca="false">IFERROR(INDEX(输入报销!$E:$E,MATCH($A472&amp;"-3",输入报销!$J:$J,0))&amp;"","")</f>
        <v/>
      </c>
      <c r="F472" s="48" t="str">
        <f aca="false">IFERROR(INDEX(输入报销!$F:$F,MATCH($A472&amp;"-3",输入报销!$J:$J,0))&amp;"","")</f>
        <v/>
      </c>
      <c r="G472" s="49" t="n">
        <f aca="false">IFERROR(ROUND(INDEX(输入报销!$G:$G,MATCH($A472&amp;"-3",输入报销!$J:$J,0)),2),0)</f>
        <v>0</v>
      </c>
      <c r="H472" s="49" t="str">
        <f aca="false">IF(ROUND($G472,2)&gt;0,ROUND($G472,2),"")</f>
        <v/>
      </c>
      <c r="I472" s="49" t="str">
        <f aca="false">IF(ROUND($G472,2)&lt;0,-ROUND($G472,2),"")</f>
        <v/>
      </c>
      <c r="J472" s="20" t="n">
        <f aca="false">IF(ROUND($G472,2)=0,0,1)</f>
        <v>0</v>
      </c>
      <c r="K472" s="20" t="str">
        <f aca="false">IF($J472=0,"",SUM($J$470:$J472))</f>
        <v/>
      </c>
      <c r="L472" s="20" t="str">
        <f aca="false">IF($K472="","",$A472*100+$K472)</f>
        <v/>
      </c>
      <c r="M472" s="48" t="str">
        <f aca="false">IFERROR(INDEX(输入报销!$D:$D,MATCH($A472&amp;"-3",输入报销!$J:$J,0))&amp;"","")</f>
        <v/>
      </c>
    </row>
    <row r="473" customFormat="false" ht="13.5" hidden="false" customHeight="false" outlineLevel="0" collapsed="false">
      <c r="A473" s="47" t="n">
        <v>37</v>
      </c>
      <c r="C473" s="48" t="str">
        <f aca="false">助手报销!$C38</f>
        <v>博山店</v>
      </c>
      <c r="D473" s="81" t="s">
        <v>482</v>
      </c>
      <c r="E473" s="48" t="str">
        <f aca="false">IFERROR(INDEX(输入报销!$E:$E,MATCH($A473&amp;"-4",输入报销!$J:$J,0))&amp;"","")</f>
        <v/>
      </c>
      <c r="F473" s="48" t="str">
        <f aca="false">IFERROR(INDEX(输入报销!$F:$F,MATCH($A473&amp;"-4",输入报销!$J:$J,0))&amp;"","")</f>
        <v/>
      </c>
      <c r="G473" s="49" t="n">
        <f aca="false">IFERROR(ROUND(INDEX(输入报销!$G:$G,MATCH($A473&amp;"-4",输入报销!$J:$J,0)),2),0)</f>
        <v>0</v>
      </c>
      <c r="H473" s="49" t="str">
        <f aca="false">IF(ROUND($G473,2)&gt;0,ROUND($G473,2),"")</f>
        <v/>
      </c>
      <c r="I473" s="49" t="str">
        <f aca="false">IF(ROUND($G473,2)&lt;0,-ROUND($G473,2),"")</f>
        <v/>
      </c>
      <c r="J473" s="20" t="n">
        <f aca="false">IF(ROUND($G473,2)=0,0,1)</f>
        <v>0</v>
      </c>
      <c r="K473" s="20" t="str">
        <f aca="false">IF($J473=0,"",SUM($J$470:$J473))</f>
        <v/>
      </c>
      <c r="L473" s="20" t="str">
        <f aca="false">IF($K473="","",$A473*100+$K473)</f>
        <v/>
      </c>
      <c r="M473" s="48" t="str">
        <f aca="false">IFERROR(INDEX(输入报销!$D:$D,MATCH($A473&amp;"-4",输入报销!$J:$J,0))&amp;"","")</f>
        <v/>
      </c>
    </row>
    <row r="474" customFormat="false" ht="13.5" hidden="false" customHeight="false" outlineLevel="0" collapsed="false">
      <c r="A474" s="47" t="n">
        <v>37</v>
      </c>
      <c r="C474" s="48" t="str">
        <f aca="false">助手报销!$C38</f>
        <v>博山店</v>
      </c>
      <c r="D474" s="81" t="s">
        <v>483</v>
      </c>
      <c r="E474" s="48" t="str">
        <f aca="false">IFERROR(INDEX(输入报销!$E:$E,MATCH($A474&amp;"-5",输入报销!$J:$J,0))&amp;"","")</f>
        <v/>
      </c>
      <c r="F474" s="48" t="str">
        <f aca="false">IFERROR(INDEX(输入报销!$F:$F,MATCH($A474&amp;"-5",输入报销!$J:$J,0))&amp;"","")</f>
        <v/>
      </c>
      <c r="G474" s="49" t="n">
        <f aca="false">IFERROR(ROUND(INDEX(输入报销!$G:$G,MATCH($A474&amp;"-5",输入报销!$J:$J,0)),2),0)</f>
        <v>0</v>
      </c>
      <c r="H474" s="49" t="str">
        <f aca="false">IF(ROUND($G474,2)&gt;0,ROUND($G474,2),"")</f>
        <v/>
      </c>
      <c r="I474" s="49" t="str">
        <f aca="false">IF(ROUND($G474,2)&lt;0,-ROUND($G474,2),"")</f>
        <v/>
      </c>
      <c r="J474" s="20" t="n">
        <f aca="false">IF(ROUND($G474,2)=0,0,1)</f>
        <v>0</v>
      </c>
      <c r="K474" s="20" t="str">
        <f aca="false">IF($J474=0,"",SUM($J$470:$J474))</f>
        <v/>
      </c>
      <c r="L474" s="20" t="str">
        <f aca="false">IF($K474="","",$A474*100+$K474)</f>
        <v/>
      </c>
      <c r="M474" s="48" t="str">
        <f aca="false">IFERROR(INDEX(输入报销!$D:$D,MATCH($A474&amp;"-5",输入报销!$J:$J,0))&amp;"","")</f>
        <v/>
      </c>
    </row>
    <row r="475" customFormat="false" ht="13.5" hidden="false" customHeight="false" outlineLevel="0" collapsed="false">
      <c r="A475" s="47" t="n">
        <v>37</v>
      </c>
      <c r="C475" s="48" t="str">
        <f aca="false">助手报销!$C38</f>
        <v>博山店</v>
      </c>
      <c r="D475" s="81" t="s">
        <v>484</v>
      </c>
      <c r="E475" s="48" t="str">
        <f aca="false">IFERROR(INDEX(输入报销!$E:$E,MATCH($A475&amp;"-6",输入报销!$J:$J,0))&amp;"","")</f>
        <v/>
      </c>
      <c r="F475" s="48" t="str">
        <f aca="false">IFERROR(INDEX(输入报销!$F:$F,MATCH($A475&amp;"-6",输入报销!$J:$J,0))&amp;"","")</f>
        <v/>
      </c>
      <c r="G475" s="49" t="n">
        <f aca="false">IFERROR(ROUND(INDEX(输入报销!$G:$G,MATCH($A475&amp;"-6",输入报销!$J:$J,0)),2),0)</f>
        <v>0</v>
      </c>
      <c r="H475" s="49" t="str">
        <f aca="false">IF(ROUND($G475,2)&gt;0,ROUND($G475,2),"")</f>
        <v/>
      </c>
      <c r="I475" s="49" t="str">
        <f aca="false">IF(ROUND($G475,2)&lt;0,-ROUND($G475,2),"")</f>
        <v/>
      </c>
      <c r="J475" s="20" t="n">
        <f aca="false">IF(ROUND($G475,2)=0,0,1)</f>
        <v>0</v>
      </c>
      <c r="K475" s="20" t="str">
        <f aca="false">IF($J475=0,"",SUM($J$470:$J475))</f>
        <v/>
      </c>
      <c r="L475" s="20" t="str">
        <f aca="false">IF($K475="","",$A475*100+$K475)</f>
        <v/>
      </c>
      <c r="M475" s="48" t="str">
        <f aca="false">IFERROR(INDEX(输入报销!$D:$D,MATCH($A475&amp;"-6",输入报销!$J:$J,0))&amp;"","")</f>
        <v/>
      </c>
    </row>
    <row r="476" customFormat="false" ht="13.5" hidden="false" customHeight="false" outlineLevel="0" collapsed="false">
      <c r="A476" s="47" t="n">
        <v>37</v>
      </c>
      <c r="C476" s="48" t="str">
        <f aca="false">助手报销!$C38</f>
        <v>博山店</v>
      </c>
      <c r="D476" s="81" t="s">
        <v>485</v>
      </c>
      <c r="E476" s="48" t="str">
        <f aca="false">IFERROR(INDEX(输入报销!$E:$E,MATCH($A476&amp;"-7",输入报销!$J:$J,0))&amp;"","")</f>
        <v/>
      </c>
      <c r="F476" s="48" t="str">
        <f aca="false">IFERROR(INDEX(输入报销!$F:$F,MATCH($A476&amp;"-7",输入报销!$J:$J,0))&amp;"","")</f>
        <v/>
      </c>
      <c r="G476" s="49" t="n">
        <f aca="false">IFERROR(ROUND(INDEX(输入报销!$G:$G,MATCH($A476&amp;"-7",输入报销!$J:$J,0)),2),0)</f>
        <v>0</v>
      </c>
      <c r="H476" s="49" t="str">
        <f aca="false">IF(ROUND($G476,2)&gt;0,ROUND($G476,2),"")</f>
        <v/>
      </c>
      <c r="I476" s="49" t="str">
        <f aca="false">IF(ROUND($G476,2)&lt;0,-ROUND($G476,2),"")</f>
        <v/>
      </c>
      <c r="J476" s="20" t="n">
        <f aca="false">IF(ROUND($G476,2)=0,0,1)</f>
        <v>0</v>
      </c>
      <c r="K476" s="20" t="str">
        <f aca="false">IF($J476=0,"",SUM($J$470:$J476))</f>
        <v/>
      </c>
      <c r="L476" s="20" t="str">
        <f aca="false">IF($K476="","",$A476*100+$K476)</f>
        <v/>
      </c>
      <c r="M476" s="48" t="str">
        <f aca="false">IFERROR(INDEX(输入报销!$D:$D,MATCH($A476&amp;"-7",输入报销!$J:$J,0))&amp;"","")</f>
        <v/>
      </c>
    </row>
    <row r="477" customFormat="false" ht="13.5" hidden="false" customHeight="false" outlineLevel="0" collapsed="false">
      <c r="A477" s="47" t="n">
        <v>37</v>
      </c>
      <c r="C477" s="48" t="str">
        <f aca="false">助手报销!$C38</f>
        <v>博山店</v>
      </c>
      <c r="D477" s="81" t="s">
        <v>486</v>
      </c>
      <c r="E477" s="48" t="str">
        <f aca="false">IFERROR(INDEX(输入报销!$E:$E,MATCH($A477&amp;"-8",输入报销!$J:$J,0))&amp;"","")</f>
        <v/>
      </c>
      <c r="F477" s="48" t="str">
        <f aca="false">IFERROR(INDEX(输入报销!$F:$F,MATCH($A477&amp;"-8",输入报销!$J:$J,0))&amp;"","")</f>
        <v/>
      </c>
      <c r="G477" s="49" t="n">
        <f aca="false">IFERROR(ROUND(INDEX(输入报销!$G:$G,MATCH($A477&amp;"-8",输入报销!$J:$J,0)),2),0)</f>
        <v>0</v>
      </c>
      <c r="H477" s="49" t="str">
        <f aca="false">IF(ROUND($G477,2)&gt;0,ROUND($G477,2),"")</f>
        <v/>
      </c>
      <c r="I477" s="49" t="str">
        <f aca="false">IF(ROUND($G477,2)&lt;0,-ROUND($G477,2),"")</f>
        <v/>
      </c>
      <c r="J477" s="20" t="n">
        <f aca="false">IF(ROUND($G477,2)=0,0,1)</f>
        <v>0</v>
      </c>
      <c r="K477" s="20" t="str">
        <f aca="false">IF($J477=0,"",SUM($J$470:$J477))</f>
        <v/>
      </c>
      <c r="L477" s="20" t="str">
        <f aca="false">IF($K477="","",$A477*100+$K477)</f>
        <v/>
      </c>
      <c r="M477" s="48" t="str">
        <f aca="false">IFERROR(INDEX(输入报销!$D:$D,MATCH($A477&amp;"-8",输入报销!$J:$J,0))&amp;"","")</f>
        <v/>
      </c>
    </row>
    <row r="478" customFormat="false" ht="13.5" hidden="false" customHeight="false" outlineLevel="0" collapsed="false">
      <c r="A478" s="47" t="n">
        <v>37</v>
      </c>
      <c r="C478" s="48" t="str">
        <f aca="false">助手报销!$C38</f>
        <v>博山店</v>
      </c>
      <c r="D478" s="81" t="s">
        <v>487</v>
      </c>
      <c r="E478" s="48" t="str">
        <f aca="false">IFERROR(INDEX(输入报销!$E:$E,MATCH($A478&amp;"-9",输入报销!$J:$J,0))&amp;"","")</f>
        <v/>
      </c>
      <c r="F478" s="48" t="str">
        <f aca="false">IFERROR(INDEX(输入报销!$F:$F,MATCH($A478&amp;"-9",输入报销!$J:$J,0))&amp;"","")</f>
        <v/>
      </c>
      <c r="G478" s="49" t="n">
        <f aca="false">IFERROR(ROUND(INDEX(输入报销!$G:$G,MATCH($A478&amp;"-9",输入报销!$J:$J,0)),2),0)</f>
        <v>0</v>
      </c>
      <c r="H478" s="49" t="str">
        <f aca="false">IF(ROUND($G478,2)&gt;0,ROUND($G478,2),"")</f>
        <v/>
      </c>
      <c r="I478" s="49" t="str">
        <f aca="false">IF(ROUND($G478,2)&lt;0,-ROUND($G478,2),"")</f>
        <v/>
      </c>
      <c r="J478" s="20" t="n">
        <f aca="false">IF(ROUND($G478,2)=0,0,1)</f>
        <v>0</v>
      </c>
      <c r="K478" s="20" t="str">
        <f aca="false">IF($J478=0,"",SUM($J$470:$J478))</f>
        <v/>
      </c>
      <c r="L478" s="20" t="str">
        <f aca="false">IF($K478="","",$A478*100+$K478)</f>
        <v/>
      </c>
      <c r="M478" s="48" t="str">
        <f aca="false">IFERROR(INDEX(输入报销!$D:$D,MATCH($A478&amp;"-9",输入报销!$J:$J,0))&amp;"","")</f>
        <v/>
      </c>
    </row>
    <row r="479" customFormat="false" ht="13.5" hidden="false" customHeight="false" outlineLevel="0" collapsed="false">
      <c r="A479" s="47" t="n">
        <v>37</v>
      </c>
      <c r="C479" s="48" t="str">
        <f aca="false">助手报销!$C38</f>
        <v>博山店</v>
      </c>
      <c r="D479" s="81" t="s">
        <v>488</v>
      </c>
      <c r="E479" s="48" t="str">
        <f aca="false">IFERROR(INDEX(输入报销!$E:$E,MATCH($A479&amp;"-10",输入报销!$J:$J,0))&amp;"","")</f>
        <v/>
      </c>
      <c r="F479" s="48" t="str">
        <f aca="false">IFERROR(INDEX(输入报销!$F:$F,MATCH($A479&amp;"-10",输入报销!$J:$J,0))&amp;"","")</f>
        <v/>
      </c>
      <c r="G479" s="49" t="n">
        <f aca="false">IFERROR(ROUND(INDEX(输入报销!$G:$G,MATCH($A479&amp;"-10",输入报销!$J:$J,0)),2),0)</f>
        <v>0</v>
      </c>
      <c r="H479" s="49" t="str">
        <f aca="false">IF(ROUND($G479,2)&gt;0,ROUND($G479,2),"")</f>
        <v/>
      </c>
      <c r="I479" s="49" t="str">
        <f aca="false">IF(ROUND($G479,2)&lt;0,-ROUND($G479,2),"")</f>
        <v/>
      </c>
      <c r="J479" s="20" t="n">
        <f aca="false">IF(ROUND($G479,2)=0,0,1)</f>
        <v>0</v>
      </c>
      <c r="K479" s="20" t="str">
        <f aca="false">IF($J479=0,"",SUM($J$470:$J479))</f>
        <v/>
      </c>
      <c r="L479" s="20" t="str">
        <f aca="false">IF($K479="","",$A479*100+$K479)</f>
        <v/>
      </c>
      <c r="M479" s="48" t="str">
        <f aca="false">IFERROR(INDEX(输入报销!$D:$D,MATCH($A479&amp;"-10",输入报销!$J:$J,0))&amp;"","")</f>
        <v/>
      </c>
    </row>
    <row r="480" customFormat="false" ht="13.5" hidden="false" customHeight="false" outlineLevel="0" collapsed="false">
      <c r="A480" s="47" t="n">
        <v>37</v>
      </c>
      <c r="C480" s="48" t="str">
        <f aca="false">助手报销!$C38</f>
        <v>博山店</v>
      </c>
      <c r="D480" s="81" t="s">
        <v>489</v>
      </c>
      <c r="E480" s="48" t="str">
        <f aca="false">参数!$B$6</f>
        <v>库存现金</v>
      </c>
      <c r="F480" s="48" t="str">
        <f aca="false">""</f>
        <v/>
      </c>
      <c r="G480" s="49" t="n">
        <f aca="false">-ROUND(SUMIFS(输入报销!$G:$G,输入报销!$A:$A,$A480,输入报销!$H:$H,参数!$B$6),2)</f>
        <v>-4036.9</v>
      </c>
      <c r="H480" s="49" t="str">
        <f aca="false">IF(ROUND($G480,2)&gt;0,ROUND($G480,2),"")</f>
        <v/>
      </c>
      <c r="I480" s="49" t="n">
        <f aca="false">IF(ROUND($G480,2)&lt;0,-ROUND($G480,2),"")</f>
        <v>4036.9</v>
      </c>
      <c r="J480" s="20" t="n">
        <f aca="false">IF(ROUND($G480,2)=0,0,1)</f>
        <v>1</v>
      </c>
      <c r="K480" s="20" t="n">
        <f aca="false">IF($J480=0,"",SUM($J$470:$J480))</f>
        <v>3</v>
      </c>
      <c r="L480" s="20" t="n">
        <f aca="false">IF($K480="","",$A480*100+$K480)</f>
        <v>3703</v>
      </c>
      <c r="M480" s="48" t="str">
        <f aca="false">""</f>
        <v/>
      </c>
    </row>
    <row r="481" customFormat="false" ht="13.5" hidden="false" customHeight="false" outlineLevel="0" collapsed="false">
      <c r="A481" s="47" t="n">
        <v>37</v>
      </c>
      <c r="C481" s="48" t="str">
        <f aca="false">助手报销!$C38</f>
        <v>博山店</v>
      </c>
      <c r="D481" s="81" t="s">
        <v>490</v>
      </c>
      <c r="E481" s="48" t="str">
        <f aca="false">参数!$B$7</f>
        <v>银行存款</v>
      </c>
      <c r="F481" s="48" t="str">
        <f aca="false">""</f>
        <v/>
      </c>
      <c r="G481" s="49" t="n">
        <f aca="false">-ROUND(SUMIFS(输入报销!$G:$G,输入报销!$A:$A,$A481,输入报销!$H:$H,参数!$B$7),2)</f>
        <v>-0</v>
      </c>
      <c r="H481" s="49" t="str">
        <f aca="false">IF(ROUND($G481,2)&gt;0,ROUND($G481,2),"")</f>
        <v/>
      </c>
      <c r="I481" s="49" t="str">
        <f aca="false">IF(ROUND($G481,2)&lt;0,-ROUND($G481,2),"")</f>
        <v/>
      </c>
      <c r="J481" s="20" t="n">
        <f aca="false">IF(ROUND($G481,2)=0,0,1)</f>
        <v>0</v>
      </c>
      <c r="K481" s="20" t="str">
        <f aca="false">IF($J481=0,"",SUM($J$470:$J481))</f>
        <v/>
      </c>
      <c r="L481" s="20" t="str">
        <f aca="false">IF($K481="","",$A481*100+$K481)</f>
        <v/>
      </c>
      <c r="M481" s="48" t="str">
        <f aca="false">""</f>
        <v/>
      </c>
    </row>
    <row r="482" customFormat="false" ht="13.5" hidden="false" customHeight="false" outlineLevel="0" collapsed="false">
      <c r="A482" s="47" t="n">
        <v>37</v>
      </c>
      <c r="C482" s="48" t="str">
        <f aca="false">助手报销!$C38</f>
        <v>博山店</v>
      </c>
      <c r="D482" s="81" t="s">
        <v>491</v>
      </c>
      <c r="E482" s="48" t="str">
        <f aca="false">参数!$B$8</f>
        <v>其他应付款</v>
      </c>
      <c r="F482" s="48" t="str">
        <f aca="false">""</f>
        <v/>
      </c>
      <c r="G482" s="49" t="n">
        <f aca="false">-ROUND(SUMIFS(输入报销!$G:$G,输入报销!$A:$A,$A482,输入报销!$H:$H,参数!$B$8),2)</f>
        <v>-0</v>
      </c>
      <c r="H482" s="49" t="str">
        <f aca="false">IF(ROUND($G482,2)&gt;0,ROUND($G482,2),"")</f>
        <v/>
      </c>
      <c r="I482" s="49" t="str">
        <f aca="false">IF(ROUND($G482,2)&lt;0,-ROUND($G482,2),"")</f>
        <v/>
      </c>
      <c r="J482" s="20" t="n">
        <f aca="false">IF(ROUND($G482,2)=0,0,1)</f>
        <v>0</v>
      </c>
      <c r="K482" s="20" t="str">
        <f aca="false">IF($J482=0,"",SUM($J$470:$J482))</f>
        <v/>
      </c>
      <c r="L482" s="20" t="str">
        <f aca="false">IF($K482="","",$A482*100+$K482)</f>
        <v/>
      </c>
      <c r="M482" s="48" t="str">
        <f aca="false">""</f>
        <v/>
      </c>
    </row>
    <row r="483" customFormat="false" ht="13.5" hidden="false" customHeight="false" outlineLevel="0" collapsed="false">
      <c r="A483" s="47" t="n">
        <v>38</v>
      </c>
      <c r="C483" s="48" t="str">
        <f aca="false">助手报销!$C39</f>
        <v/>
      </c>
      <c r="D483" s="81" t="s">
        <v>479</v>
      </c>
      <c r="E483" s="48" t="str">
        <f aca="false">IFERROR(INDEX(输入报销!$E:$E,MATCH($A483&amp;"-1",输入报销!$J:$J,0))&amp;"","")</f>
        <v/>
      </c>
      <c r="F483" s="48" t="str">
        <f aca="false">IFERROR(INDEX(输入报销!$F:$F,MATCH($A483&amp;"-1",输入报销!$J:$J,0))&amp;"","")</f>
        <v/>
      </c>
      <c r="G483" s="49" t="n">
        <f aca="false">IFERROR(ROUND(INDEX(输入报销!$G:$G,MATCH($A483&amp;"-1",输入报销!$J:$J,0)),2),0)</f>
        <v>0</v>
      </c>
      <c r="H483" s="49" t="str">
        <f aca="false">IF(ROUND($G483,2)&gt;0,ROUND($G483,2),"")</f>
        <v/>
      </c>
      <c r="I483" s="49" t="str">
        <f aca="false">IF(ROUND($G483,2)&lt;0,-ROUND($G483,2),"")</f>
        <v/>
      </c>
      <c r="J483" s="20" t="n">
        <f aca="false">IF(ROUND($G483,2)=0,0,1)</f>
        <v>0</v>
      </c>
      <c r="K483" s="20" t="str">
        <f aca="false">IF($J483=0,"",SUM($J$483:$J483))</f>
        <v/>
      </c>
      <c r="L483" s="20" t="str">
        <f aca="false">IF($K483="","",$A483*100+$K483)</f>
        <v/>
      </c>
      <c r="M483" s="48" t="str">
        <f aca="false">IFERROR(INDEX(输入报销!$D:$D,MATCH($A483&amp;"-1",输入报销!$J:$J,0))&amp;"","")</f>
        <v/>
      </c>
    </row>
    <row r="484" customFormat="false" ht="13.5" hidden="false" customHeight="false" outlineLevel="0" collapsed="false">
      <c r="A484" s="47" t="n">
        <v>38</v>
      </c>
      <c r="C484" s="48" t="str">
        <f aca="false">助手报销!$C39</f>
        <v/>
      </c>
      <c r="D484" s="81" t="s">
        <v>480</v>
      </c>
      <c r="E484" s="48" t="str">
        <f aca="false">IFERROR(INDEX(输入报销!$E:$E,MATCH($A484&amp;"-2",输入报销!$J:$J,0))&amp;"","")</f>
        <v/>
      </c>
      <c r="F484" s="48" t="str">
        <f aca="false">IFERROR(INDEX(输入报销!$F:$F,MATCH($A484&amp;"-2",输入报销!$J:$J,0))&amp;"","")</f>
        <v/>
      </c>
      <c r="G484" s="49" t="n">
        <f aca="false">IFERROR(ROUND(INDEX(输入报销!$G:$G,MATCH($A484&amp;"-2",输入报销!$J:$J,0)),2),0)</f>
        <v>0</v>
      </c>
      <c r="H484" s="49" t="str">
        <f aca="false">IF(ROUND($G484,2)&gt;0,ROUND($G484,2),"")</f>
        <v/>
      </c>
      <c r="I484" s="49" t="str">
        <f aca="false">IF(ROUND($G484,2)&lt;0,-ROUND($G484,2),"")</f>
        <v/>
      </c>
      <c r="J484" s="20" t="n">
        <f aca="false">IF(ROUND($G484,2)=0,0,1)</f>
        <v>0</v>
      </c>
      <c r="K484" s="20" t="str">
        <f aca="false">IF($J484=0,"",SUM($J$483:$J484))</f>
        <v/>
      </c>
      <c r="L484" s="20" t="str">
        <f aca="false">IF($K484="","",$A484*100+$K484)</f>
        <v/>
      </c>
      <c r="M484" s="48" t="str">
        <f aca="false">IFERROR(INDEX(输入报销!$D:$D,MATCH($A484&amp;"-2",输入报销!$J:$J,0))&amp;"","")</f>
        <v/>
      </c>
    </row>
    <row r="485" customFormat="false" ht="13.5" hidden="false" customHeight="false" outlineLevel="0" collapsed="false">
      <c r="A485" s="47" t="n">
        <v>38</v>
      </c>
      <c r="C485" s="48" t="str">
        <f aca="false">助手报销!$C39</f>
        <v/>
      </c>
      <c r="D485" s="81" t="s">
        <v>481</v>
      </c>
      <c r="E485" s="48" t="str">
        <f aca="false">IFERROR(INDEX(输入报销!$E:$E,MATCH($A485&amp;"-3",输入报销!$J:$J,0))&amp;"","")</f>
        <v/>
      </c>
      <c r="F485" s="48" t="str">
        <f aca="false">IFERROR(INDEX(输入报销!$F:$F,MATCH($A485&amp;"-3",输入报销!$J:$J,0))&amp;"","")</f>
        <v/>
      </c>
      <c r="G485" s="49" t="n">
        <f aca="false">IFERROR(ROUND(INDEX(输入报销!$G:$G,MATCH($A485&amp;"-3",输入报销!$J:$J,0)),2),0)</f>
        <v>0</v>
      </c>
      <c r="H485" s="49" t="str">
        <f aca="false">IF(ROUND($G485,2)&gt;0,ROUND($G485,2),"")</f>
        <v/>
      </c>
      <c r="I485" s="49" t="str">
        <f aca="false">IF(ROUND($G485,2)&lt;0,-ROUND($G485,2),"")</f>
        <v/>
      </c>
      <c r="J485" s="20" t="n">
        <f aca="false">IF(ROUND($G485,2)=0,0,1)</f>
        <v>0</v>
      </c>
      <c r="K485" s="20" t="str">
        <f aca="false">IF($J485=0,"",SUM($J$483:$J485))</f>
        <v/>
      </c>
      <c r="L485" s="20" t="str">
        <f aca="false">IF($K485="","",$A485*100+$K485)</f>
        <v/>
      </c>
      <c r="M485" s="48" t="str">
        <f aca="false">IFERROR(INDEX(输入报销!$D:$D,MATCH($A485&amp;"-3",输入报销!$J:$J,0))&amp;"","")</f>
        <v/>
      </c>
    </row>
    <row r="486" customFormat="false" ht="13.5" hidden="false" customHeight="false" outlineLevel="0" collapsed="false">
      <c r="A486" s="47" t="n">
        <v>38</v>
      </c>
      <c r="C486" s="48" t="str">
        <f aca="false">助手报销!$C39</f>
        <v/>
      </c>
      <c r="D486" s="81" t="s">
        <v>482</v>
      </c>
      <c r="E486" s="48" t="str">
        <f aca="false">IFERROR(INDEX(输入报销!$E:$E,MATCH($A486&amp;"-4",输入报销!$J:$J,0))&amp;"","")</f>
        <v/>
      </c>
      <c r="F486" s="48" t="str">
        <f aca="false">IFERROR(INDEX(输入报销!$F:$F,MATCH($A486&amp;"-4",输入报销!$J:$J,0))&amp;"","")</f>
        <v/>
      </c>
      <c r="G486" s="49" t="n">
        <f aca="false">IFERROR(ROUND(INDEX(输入报销!$G:$G,MATCH($A486&amp;"-4",输入报销!$J:$J,0)),2),0)</f>
        <v>0</v>
      </c>
      <c r="H486" s="49" t="str">
        <f aca="false">IF(ROUND($G486,2)&gt;0,ROUND($G486,2),"")</f>
        <v/>
      </c>
      <c r="I486" s="49" t="str">
        <f aca="false">IF(ROUND($G486,2)&lt;0,-ROUND($G486,2),"")</f>
        <v/>
      </c>
      <c r="J486" s="20" t="n">
        <f aca="false">IF(ROUND($G486,2)=0,0,1)</f>
        <v>0</v>
      </c>
      <c r="K486" s="20" t="str">
        <f aca="false">IF($J486=0,"",SUM($J$483:$J486))</f>
        <v/>
      </c>
      <c r="L486" s="20" t="str">
        <f aca="false">IF($K486="","",$A486*100+$K486)</f>
        <v/>
      </c>
      <c r="M486" s="48" t="str">
        <f aca="false">IFERROR(INDEX(输入报销!$D:$D,MATCH($A486&amp;"-4",输入报销!$J:$J,0))&amp;"","")</f>
        <v/>
      </c>
    </row>
    <row r="487" customFormat="false" ht="13.5" hidden="false" customHeight="false" outlineLevel="0" collapsed="false">
      <c r="A487" s="47" t="n">
        <v>38</v>
      </c>
      <c r="C487" s="48" t="str">
        <f aca="false">助手报销!$C39</f>
        <v/>
      </c>
      <c r="D487" s="81" t="s">
        <v>483</v>
      </c>
      <c r="E487" s="48" t="str">
        <f aca="false">IFERROR(INDEX(输入报销!$E:$E,MATCH($A487&amp;"-5",输入报销!$J:$J,0))&amp;"","")</f>
        <v/>
      </c>
      <c r="F487" s="48" t="str">
        <f aca="false">IFERROR(INDEX(输入报销!$F:$F,MATCH($A487&amp;"-5",输入报销!$J:$J,0))&amp;"","")</f>
        <v/>
      </c>
      <c r="G487" s="49" t="n">
        <f aca="false">IFERROR(ROUND(INDEX(输入报销!$G:$G,MATCH($A487&amp;"-5",输入报销!$J:$J,0)),2),0)</f>
        <v>0</v>
      </c>
      <c r="H487" s="49" t="str">
        <f aca="false">IF(ROUND($G487,2)&gt;0,ROUND($G487,2),"")</f>
        <v/>
      </c>
      <c r="I487" s="49" t="str">
        <f aca="false">IF(ROUND($G487,2)&lt;0,-ROUND($G487,2),"")</f>
        <v/>
      </c>
      <c r="J487" s="20" t="n">
        <f aca="false">IF(ROUND($G487,2)=0,0,1)</f>
        <v>0</v>
      </c>
      <c r="K487" s="20" t="str">
        <f aca="false">IF($J487=0,"",SUM($J$483:$J487))</f>
        <v/>
      </c>
      <c r="L487" s="20" t="str">
        <f aca="false">IF($K487="","",$A487*100+$K487)</f>
        <v/>
      </c>
      <c r="M487" s="48" t="str">
        <f aca="false">IFERROR(INDEX(输入报销!$D:$D,MATCH($A487&amp;"-5",输入报销!$J:$J,0))&amp;"","")</f>
        <v/>
      </c>
    </row>
    <row r="488" customFormat="false" ht="13.5" hidden="false" customHeight="false" outlineLevel="0" collapsed="false">
      <c r="A488" s="47" t="n">
        <v>38</v>
      </c>
      <c r="C488" s="48" t="str">
        <f aca="false">助手报销!$C39</f>
        <v/>
      </c>
      <c r="D488" s="81" t="s">
        <v>484</v>
      </c>
      <c r="E488" s="48" t="str">
        <f aca="false">IFERROR(INDEX(输入报销!$E:$E,MATCH($A488&amp;"-6",输入报销!$J:$J,0))&amp;"","")</f>
        <v/>
      </c>
      <c r="F488" s="48" t="str">
        <f aca="false">IFERROR(INDEX(输入报销!$F:$F,MATCH($A488&amp;"-6",输入报销!$J:$J,0))&amp;"","")</f>
        <v/>
      </c>
      <c r="G488" s="49" t="n">
        <f aca="false">IFERROR(ROUND(INDEX(输入报销!$G:$G,MATCH($A488&amp;"-6",输入报销!$J:$J,0)),2),0)</f>
        <v>0</v>
      </c>
      <c r="H488" s="49" t="str">
        <f aca="false">IF(ROUND($G488,2)&gt;0,ROUND($G488,2),"")</f>
        <v/>
      </c>
      <c r="I488" s="49" t="str">
        <f aca="false">IF(ROUND($G488,2)&lt;0,-ROUND($G488,2),"")</f>
        <v/>
      </c>
      <c r="J488" s="20" t="n">
        <f aca="false">IF(ROUND($G488,2)=0,0,1)</f>
        <v>0</v>
      </c>
      <c r="K488" s="20" t="str">
        <f aca="false">IF($J488=0,"",SUM($J$483:$J488))</f>
        <v/>
      </c>
      <c r="L488" s="20" t="str">
        <f aca="false">IF($K488="","",$A488*100+$K488)</f>
        <v/>
      </c>
      <c r="M488" s="48" t="str">
        <f aca="false">IFERROR(INDEX(输入报销!$D:$D,MATCH($A488&amp;"-6",输入报销!$J:$J,0))&amp;"","")</f>
        <v/>
      </c>
    </row>
    <row r="489" customFormat="false" ht="13.5" hidden="false" customHeight="false" outlineLevel="0" collapsed="false">
      <c r="A489" s="47" t="n">
        <v>38</v>
      </c>
      <c r="C489" s="48" t="str">
        <f aca="false">助手报销!$C39</f>
        <v/>
      </c>
      <c r="D489" s="81" t="s">
        <v>485</v>
      </c>
      <c r="E489" s="48" t="str">
        <f aca="false">IFERROR(INDEX(输入报销!$E:$E,MATCH($A489&amp;"-7",输入报销!$J:$J,0))&amp;"","")</f>
        <v/>
      </c>
      <c r="F489" s="48" t="str">
        <f aca="false">IFERROR(INDEX(输入报销!$F:$F,MATCH($A489&amp;"-7",输入报销!$J:$J,0))&amp;"","")</f>
        <v/>
      </c>
      <c r="G489" s="49" t="n">
        <f aca="false">IFERROR(ROUND(INDEX(输入报销!$G:$G,MATCH($A489&amp;"-7",输入报销!$J:$J,0)),2),0)</f>
        <v>0</v>
      </c>
      <c r="H489" s="49" t="str">
        <f aca="false">IF(ROUND($G489,2)&gt;0,ROUND($G489,2),"")</f>
        <v/>
      </c>
      <c r="I489" s="49" t="str">
        <f aca="false">IF(ROUND($G489,2)&lt;0,-ROUND($G489,2),"")</f>
        <v/>
      </c>
      <c r="J489" s="20" t="n">
        <f aca="false">IF(ROUND($G489,2)=0,0,1)</f>
        <v>0</v>
      </c>
      <c r="K489" s="20" t="str">
        <f aca="false">IF($J489=0,"",SUM($J$483:$J489))</f>
        <v/>
      </c>
      <c r="L489" s="20" t="str">
        <f aca="false">IF($K489="","",$A489*100+$K489)</f>
        <v/>
      </c>
      <c r="M489" s="48" t="str">
        <f aca="false">IFERROR(INDEX(输入报销!$D:$D,MATCH($A489&amp;"-7",输入报销!$J:$J,0))&amp;"","")</f>
        <v/>
      </c>
    </row>
    <row r="490" customFormat="false" ht="13.5" hidden="false" customHeight="false" outlineLevel="0" collapsed="false">
      <c r="A490" s="47" t="n">
        <v>38</v>
      </c>
      <c r="C490" s="48" t="str">
        <f aca="false">助手报销!$C39</f>
        <v/>
      </c>
      <c r="D490" s="81" t="s">
        <v>486</v>
      </c>
      <c r="E490" s="48" t="str">
        <f aca="false">IFERROR(INDEX(输入报销!$E:$E,MATCH($A490&amp;"-8",输入报销!$J:$J,0))&amp;"","")</f>
        <v/>
      </c>
      <c r="F490" s="48" t="str">
        <f aca="false">IFERROR(INDEX(输入报销!$F:$F,MATCH($A490&amp;"-8",输入报销!$J:$J,0))&amp;"","")</f>
        <v/>
      </c>
      <c r="G490" s="49" t="n">
        <f aca="false">IFERROR(ROUND(INDEX(输入报销!$G:$G,MATCH($A490&amp;"-8",输入报销!$J:$J,0)),2),0)</f>
        <v>0</v>
      </c>
      <c r="H490" s="49" t="str">
        <f aca="false">IF(ROUND($G490,2)&gt;0,ROUND($G490,2),"")</f>
        <v/>
      </c>
      <c r="I490" s="49" t="str">
        <f aca="false">IF(ROUND($G490,2)&lt;0,-ROUND($G490,2),"")</f>
        <v/>
      </c>
      <c r="J490" s="20" t="n">
        <f aca="false">IF(ROUND($G490,2)=0,0,1)</f>
        <v>0</v>
      </c>
      <c r="K490" s="20" t="str">
        <f aca="false">IF($J490=0,"",SUM($J$483:$J490))</f>
        <v/>
      </c>
      <c r="L490" s="20" t="str">
        <f aca="false">IF($K490="","",$A490*100+$K490)</f>
        <v/>
      </c>
      <c r="M490" s="48" t="str">
        <f aca="false">IFERROR(INDEX(输入报销!$D:$D,MATCH($A490&amp;"-8",输入报销!$J:$J,0))&amp;"","")</f>
        <v/>
      </c>
    </row>
    <row r="491" customFormat="false" ht="13.5" hidden="false" customHeight="false" outlineLevel="0" collapsed="false">
      <c r="A491" s="47" t="n">
        <v>38</v>
      </c>
      <c r="C491" s="48" t="str">
        <f aca="false">助手报销!$C39</f>
        <v/>
      </c>
      <c r="D491" s="81" t="s">
        <v>487</v>
      </c>
      <c r="E491" s="48" t="str">
        <f aca="false">IFERROR(INDEX(输入报销!$E:$E,MATCH($A491&amp;"-9",输入报销!$J:$J,0))&amp;"","")</f>
        <v/>
      </c>
      <c r="F491" s="48" t="str">
        <f aca="false">IFERROR(INDEX(输入报销!$F:$F,MATCH($A491&amp;"-9",输入报销!$J:$J,0))&amp;"","")</f>
        <v/>
      </c>
      <c r="G491" s="49" t="n">
        <f aca="false">IFERROR(ROUND(INDEX(输入报销!$G:$G,MATCH($A491&amp;"-9",输入报销!$J:$J,0)),2),0)</f>
        <v>0</v>
      </c>
      <c r="H491" s="49" t="str">
        <f aca="false">IF(ROUND($G491,2)&gt;0,ROUND($G491,2),"")</f>
        <v/>
      </c>
      <c r="I491" s="49" t="str">
        <f aca="false">IF(ROUND($G491,2)&lt;0,-ROUND($G491,2),"")</f>
        <v/>
      </c>
      <c r="J491" s="20" t="n">
        <f aca="false">IF(ROUND($G491,2)=0,0,1)</f>
        <v>0</v>
      </c>
      <c r="K491" s="20" t="str">
        <f aca="false">IF($J491=0,"",SUM($J$483:$J491))</f>
        <v/>
      </c>
      <c r="L491" s="20" t="str">
        <f aca="false">IF($K491="","",$A491*100+$K491)</f>
        <v/>
      </c>
      <c r="M491" s="48" t="str">
        <f aca="false">IFERROR(INDEX(输入报销!$D:$D,MATCH($A491&amp;"-9",输入报销!$J:$J,0))&amp;"","")</f>
        <v/>
      </c>
    </row>
    <row r="492" customFormat="false" ht="13.5" hidden="false" customHeight="false" outlineLevel="0" collapsed="false">
      <c r="A492" s="47" t="n">
        <v>38</v>
      </c>
      <c r="C492" s="48" t="str">
        <f aca="false">助手报销!$C39</f>
        <v/>
      </c>
      <c r="D492" s="81" t="s">
        <v>488</v>
      </c>
      <c r="E492" s="48" t="str">
        <f aca="false">IFERROR(INDEX(输入报销!$E:$E,MATCH($A492&amp;"-10",输入报销!$J:$J,0))&amp;"","")</f>
        <v/>
      </c>
      <c r="F492" s="48" t="str">
        <f aca="false">IFERROR(INDEX(输入报销!$F:$F,MATCH($A492&amp;"-10",输入报销!$J:$J,0))&amp;"","")</f>
        <v/>
      </c>
      <c r="G492" s="49" t="n">
        <f aca="false">IFERROR(ROUND(INDEX(输入报销!$G:$G,MATCH($A492&amp;"-10",输入报销!$J:$J,0)),2),0)</f>
        <v>0</v>
      </c>
      <c r="H492" s="49" t="str">
        <f aca="false">IF(ROUND($G492,2)&gt;0,ROUND($G492,2),"")</f>
        <v/>
      </c>
      <c r="I492" s="49" t="str">
        <f aca="false">IF(ROUND($G492,2)&lt;0,-ROUND($G492,2),"")</f>
        <v/>
      </c>
      <c r="J492" s="20" t="n">
        <f aca="false">IF(ROUND($G492,2)=0,0,1)</f>
        <v>0</v>
      </c>
      <c r="K492" s="20" t="str">
        <f aca="false">IF($J492=0,"",SUM($J$483:$J492))</f>
        <v/>
      </c>
      <c r="L492" s="20" t="str">
        <f aca="false">IF($K492="","",$A492*100+$K492)</f>
        <v/>
      </c>
      <c r="M492" s="48" t="str">
        <f aca="false">IFERROR(INDEX(输入报销!$D:$D,MATCH($A492&amp;"-10",输入报销!$J:$J,0))&amp;"","")</f>
        <v/>
      </c>
    </row>
    <row r="493" customFormat="false" ht="13.5" hidden="false" customHeight="false" outlineLevel="0" collapsed="false">
      <c r="A493" s="47" t="n">
        <v>38</v>
      </c>
      <c r="C493" s="48" t="str">
        <f aca="false">助手报销!$C39</f>
        <v/>
      </c>
      <c r="D493" s="81" t="s">
        <v>489</v>
      </c>
      <c r="E493" s="48" t="str">
        <f aca="false">参数!$B$6</f>
        <v>库存现金</v>
      </c>
      <c r="F493" s="48" t="str">
        <f aca="false">""</f>
        <v/>
      </c>
      <c r="G493" s="49" t="n">
        <f aca="false">-ROUND(SUMIFS(输入报销!$G:$G,输入报销!$A:$A,$A493,输入报销!$H:$H,参数!$B$6),2)</f>
        <v>-0</v>
      </c>
      <c r="H493" s="49" t="str">
        <f aca="false">IF(ROUND($G493,2)&gt;0,ROUND($G493,2),"")</f>
        <v/>
      </c>
      <c r="I493" s="49" t="str">
        <f aca="false">IF(ROUND($G493,2)&lt;0,-ROUND($G493,2),"")</f>
        <v/>
      </c>
      <c r="J493" s="20" t="n">
        <f aca="false">IF(ROUND($G493,2)=0,0,1)</f>
        <v>0</v>
      </c>
      <c r="K493" s="20" t="str">
        <f aca="false">IF($J493=0,"",SUM($J$483:$J493))</f>
        <v/>
      </c>
      <c r="L493" s="20" t="str">
        <f aca="false">IF($K493="","",$A493*100+$K493)</f>
        <v/>
      </c>
      <c r="M493" s="48" t="str">
        <f aca="false">""</f>
        <v/>
      </c>
    </row>
    <row r="494" customFormat="false" ht="13.5" hidden="false" customHeight="false" outlineLevel="0" collapsed="false">
      <c r="A494" s="47" t="n">
        <v>38</v>
      </c>
      <c r="C494" s="48" t="str">
        <f aca="false">助手报销!$C39</f>
        <v/>
      </c>
      <c r="D494" s="81" t="s">
        <v>490</v>
      </c>
      <c r="E494" s="48" t="str">
        <f aca="false">参数!$B$7</f>
        <v>银行存款</v>
      </c>
      <c r="F494" s="48" t="str">
        <f aca="false">""</f>
        <v/>
      </c>
      <c r="G494" s="49" t="n">
        <f aca="false">-ROUND(SUMIFS(输入报销!$G:$G,输入报销!$A:$A,$A494,输入报销!$H:$H,参数!$B$7),2)</f>
        <v>-0</v>
      </c>
      <c r="H494" s="49" t="str">
        <f aca="false">IF(ROUND($G494,2)&gt;0,ROUND($G494,2),"")</f>
        <v/>
      </c>
      <c r="I494" s="49" t="str">
        <f aca="false">IF(ROUND($G494,2)&lt;0,-ROUND($G494,2),"")</f>
        <v/>
      </c>
      <c r="J494" s="20" t="n">
        <f aca="false">IF(ROUND($G494,2)=0,0,1)</f>
        <v>0</v>
      </c>
      <c r="K494" s="20" t="str">
        <f aca="false">IF($J494=0,"",SUM($J$483:$J494))</f>
        <v/>
      </c>
      <c r="L494" s="20" t="str">
        <f aca="false">IF($K494="","",$A494*100+$K494)</f>
        <v/>
      </c>
      <c r="M494" s="48" t="str">
        <f aca="false">""</f>
        <v/>
      </c>
    </row>
    <row r="495" customFormat="false" ht="13.5" hidden="false" customHeight="false" outlineLevel="0" collapsed="false">
      <c r="A495" s="47" t="n">
        <v>38</v>
      </c>
      <c r="C495" s="48" t="str">
        <f aca="false">助手报销!$C39</f>
        <v/>
      </c>
      <c r="D495" s="81" t="s">
        <v>491</v>
      </c>
      <c r="E495" s="48" t="str">
        <f aca="false">参数!$B$8</f>
        <v>其他应付款</v>
      </c>
      <c r="F495" s="48" t="str">
        <f aca="false">""</f>
        <v/>
      </c>
      <c r="G495" s="49" t="n">
        <f aca="false">-ROUND(SUMIFS(输入报销!$G:$G,输入报销!$A:$A,$A495,输入报销!$H:$H,参数!$B$8),2)</f>
        <v>-0</v>
      </c>
      <c r="H495" s="49" t="str">
        <f aca="false">IF(ROUND($G495,2)&gt;0,ROUND($G495,2),"")</f>
        <v/>
      </c>
      <c r="I495" s="49" t="str">
        <f aca="false">IF(ROUND($G495,2)&lt;0,-ROUND($G495,2),"")</f>
        <v/>
      </c>
      <c r="J495" s="20" t="n">
        <f aca="false">IF(ROUND($G495,2)=0,0,1)</f>
        <v>0</v>
      </c>
      <c r="K495" s="20" t="str">
        <f aca="false">IF($J495=0,"",SUM($J$483:$J495))</f>
        <v/>
      </c>
      <c r="L495" s="20" t="str">
        <f aca="false">IF($K495="","",$A495*100+$K495)</f>
        <v/>
      </c>
      <c r="M495" s="48" t="str">
        <f aca="false">""</f>
        <v/>
      </c>
    </row>
    <row r="496" customFormat="false" ht="13.5" hidden="false" customHeight="false" outlineLevel="0" collapsed="false">
      <c r="A496" s="47" t="n">
        <v>39</v>
      </c>
      <c r="C496" s="48" t="str">
        <f aca="false">助手报销!$C40</f>
        <v/>
      </c>
      <c r="D496" s="81" t="s">
        <v>479</v>
      </c>
      <c r="E496" s="48" t="str">
        <f aca="false">IFERROR(INDEX(输入报销!$E:$E,MATCH($A496&amp;"-1",输入报销!$J:$J,0))&amp;"","")</f>
        <v/>
      </c>
      <c r="F496" s="48" t="str">
        <f aca="false">IFERROR(INDEX(输入报销!$F:$F,MATCH($A496&amp;"-1",输入报销!$J:$J,0))&amp;"","")</f>
        <v/>
      </c>
      <c r="G496" s="49" t="n">
        <f aca="false">IFERROR(ROUND(INDEX(输入报销!$G:$G,MATCH($A496&amp;"-1",输入报销!$J:$J,0)),2),0)</f>
        <v>0</v>
      </c>
      <c r="H496" s="49" t="str">
        <f aca="false">IF(ROUND($G496,2)&gt;0,ROUND($G496,2),"")</f>
        <v/>
      </c>
      <c r="I496" s="49" t="str">
        <f aca="false">IF(ROUND($G496,2)&lt;0,-ROUND($G496,2),"")</f>
        <v/>
      </c>
      <c r="J496" s="20" t="n">
        <f aca="false">IF(ROUND($G496,2)=0,0,1)</f>
        <v>0</v>
      </c>
      <c r="K496" s="20" t="str">
        <f aca="false">IF($J496=0,"",SUM($J$496:$J496))</f>
        <v/>
      </c>
      <c r="L496" s="20" t="str">
        <f aca="false">IF($K496="","",$A496*100+$K496)</f>
        <v/>
      </c>
      <c r="M496" s="48" t="str">
        <f aca="false">IFERROR(INDEX(输入报销!$D:$D,MATCH($A496&amp;"-1",输入报销!$J:$J,0))&amp;"","")</f>
        <v/>
      </c>
    </row>
    <row r="497" customFormat="false" ht="13.5" hidden="false" customHeight="false" outlineLevel="0" collapsed="false">
      <c r="A497" s="47" t="n">
        <v>39</v>
      </c>
      <c r="C497" s="48" t="str">
        <f aca="false">助手报销!$C40</f>
        <v/>
      </c>
      <c r="D497" s="81" t="s">
        <v>480</v>
      </c>
      <c r="E497" s="48" t="str">
        <f aca="false">IFERROR(INDEX(输入报销!$E:$E,MATCH($A497&amp;"-2",输入报销!$J:$J,0))&amp;"","")</f>
        <v/>
      </c>
      <c r="F497" s="48" t="str">
        <f aca="false">IFERROR(INDEX(输入报销!$F:$F,MATCH($A497&amp;"-2",输入报销!$J:$J,0))&amp;"","")</f>
        <v/>
      </c>
      <c r="G497" s="49" t="n">
        <f aca="false">IFERROR(ROUND(INDEX(输入报销!$G:$G,MATCH($A497&amp;"-2",输入报销!$J:$J,0)),2),0)</f>
        <v>0</v>
      </c>
      <c r="H497" s="49" t="str">
        <f aca="false">IF(ROUND($G497,2)&gt;0,ROUND($G497,2),"")</f>
        <v/>
      </c>
      <c r="I497" s="49" t="str">
        <f aca="false">IF(ROUND($G497,2)&lt;0,-ROUND($G497,2),"")</f>
        <v/>
      </c>
      <c r="J497" s="20" t="n">
        <f aca="false">IF(ROUND($G497,2)=0,0,1)</f>
        <v>0</v>
      </c>
      <c r="K497" s="20" t="str">
        <f aca="false">IF($J497=0,"",SUM($J$496:$J497))</f>
        <v/>
      </c>
      <c r="L497" s="20" t="str">
        <f aca="false">IF($K497="","",$A497*100+$K497)</f>
        <v/>
      </c>
      <c r="M497" s="48" t="str">
        <f aca="false">IFERROR(INDEX(输入报销!$D:$D,MATCH($A497&amp;"-2",输入报销!$J:$J,0))&amp;"","")</f>
        <v/>
      </c>
    </row>
    <row r="498" customFormat="false" ht="13.5" hidden="false" customHeight="false" outlineLevel="0" collapsed="false">
      <c r="A498" s="47" t="n">
        <v>39</v>
      </c>
      <c r="C498" s="48" t="str">
        <f aca="false">助手报销!$C40</f>
        <v/>
      </c>
      <c r="D498" s="81" t="s">
        <v>481</v>
      </c>
      <c r="E498" s="48" t="str">
        <f aca="false">IFERROR(INDEX(输入报销!$E:$E,MATCH($A498&amp;"-3",输入报销!$J:$J,0))&amp;"","")</f>
        <v/>
      </c>
      <c r="F498" s="48" t="str">
        <f aca="false">IFERROR(INDEX(输入报销!$F:$F,MATCH($A498&amp;"-3",输入报销!$J:$J,0))&amp;"","")</f>
        <v/>
      </c>
      <c r="G498" s="49" t="n">
        <f aca="false">IFERROR(ROUND(INDEX(输入报销!$G:$G,MATCH($A498&amp;"-3",输入报销!$J:$J,0)),2),0)</f>
        <v>0</v>
      </c>
      <c r="H498" s="49" t="str">
        <f aca="false">IF(ROUND($G498,2)&gt;0,ROUND($G498,2),"")</f>
        <v/>
      </c>
      <c r="I498" s="49" t="str">
        <f aca="false">IF(ROUND($G498,2)&lt;0,-ROUND($G498,2),"")</f>
        <v/>
      </c>
      <c r="J498" s="20" t="n">
        <f aca="false">IF(ROUND($G498,2)=0,0,1)</f>
        <v>0</v>
      </c>
      <c r="K498" s="20" t="str">
        <f aca="false">IF($J498=0,"",SUM($J$496:$J498))</f>
        <v/>
      </c>
      <c r="L498" s="20" t="str">
        <f aca="false">IF($K498="","",$A498*100+$K498)</f>
        <v/>
      </c>
      <c r="M498" s="48" t="str">
        <f aca="false">IFERROR(INDEX(输入报销!$D:$D,MATCH($A498&amp;"-3",输入报销!$J:$J,0))&amp;"","")</f>
        <v/>
      </c>
    </row>
    <row r="499" customFormat="false" ht="13.5" hidden="false" customHeight="false" outlineLevel="0" collapsed="false">
      <c r="A499" s="47" t="n">
        <v>39</v>
      </c>
      <c r="C499" s="48" t="str">
        <f aca="false">助手报销!$C40</f>
        <v/>
      </c>
      <c r="D499" s="81" t="s">
        <v>482</v>
      </c>
      <c r="E499" s="48" t="str">
        <f aca="false">IFERROR(INDEX(输入报销!$E:$E,MATCH($A499&amp;"-4",输入报销!$J:$J,0))&amp;"","")</f>
        <v/>
      </c>
      <c r="F499" s="48" t="str">
        <f aca="false">IFERROR(INDEX(输入报销!$F:$F,MATCH($A499&amp;"-4",输入报销!$J:$J,0))&amp;"","")</f>
        <v/>
      </c>
      <c r="G499" s="49" t="n">
        <f aca="false">IFERROR(ROUND(INDEX(输入报销!$G:$G,MATCH($A499&amp;"-4",输入报销!$J:$J,0)),2),0)</f>
        <v>0</v>
      </c>
      <c r="H499" s="49" t="str">
        <f aca="false">IF(ROUND($G499,2)&gt;0,ROUND($G499,2),"")</f>
        <v/>
      </c>
      <c r="I499" s="49" t="str">
        <f aca="false">IF(ROUND($G499,2)&lt;0,-ROUND($G499,2),"")</f>
        <v/>
      </c>
      <c r="J499" s="20" t="n">
        <f aca="false">IF(ROUND($G499,2)=0,0,1)</f>
        <v>0</v>
      </c>
      <c r="K499" s="20" t="str">
        <f aca="false">IF($J499=0,"",SUM($J$496:$J499))</f>
        <v/>
      </c>
      <c r="L499" s="20" t="str">
        <f aca="false">IF($K499="","",$A499*100+$K499)</f>
        <v/>
      </c>
      <c r="M499" s="48" t="str">
        <f aca="false">IFERROR(INDEX(输入报销!$D:$D,MATCH($A499&amp;"-4",输入报销!$J:$J,0))&amp;"","")</f>
        <v/>
      </c>
    </row>
    <row r="500" customFormat="false" ht="13.5" hidden="false" customHeight="false" outlineLevel="0" collapsed="false">
      <c r="A500" s="47" t="n">
        <v>39</v>
      </c>
      <c r="C500" s="48" t="str">
        <f aca="false">助手报销!$C40</f>
        <v/>
      </c>
      <c r="D500" s="81" t="s">
        <v>483</v>
      </c>
      <c r="E500" s="48" t="str">
        <f aca="false">IFERROR(INDEX(输入报销!$E:$E,MATCH($A500&amp;"-5",输入报销!$J:$J,0))&amp;"","")</f>
        <v/>
      </c>
      <c r="F500" s="48" t="str">
        <f aca="false">IFERROR(INDEX(输入报销!$F:$F,MATCH($A500&amp;"-5",输入报销!$J:$J,0))&amp;"","")</f>
        <v/>
      </c>
      <c r="G500" s="49" t="n">
        <f aca="false">IFERROR(ROUND(INDEX(输入报销!$G:$G,MATCH($A500&amp;"-5",输入报销!$J:$J,0)),2),0)</f>
        <v>0</v>
      </c>
      <c r="H500" s="49" t="str">
        <f aca="false">IF(ROUND($G500,2)&gt;0,ROUND($G500,2),"")</f>
        <v/>
      </c>
      <c r="I500" s="49" t="str">
        <f aca="false">IF(ROUND($G500,2)&lt;0,-ROUND($G500,2),"")</f>
        <v/>
      </c>
      <c r="J500" s="20" t="n">
        <f aca="false">IF(ROUND($G500,2)=0,0,1)</f>
        <v>0</v>
      </c>
      <c r="K500" s="20" t="str">
        <f aca="false">IF($J500=0,"",SUM($J$496:$J500))</f>
        <v/>
      </c>
      <c r="L500" s="20" t="str">
        <f aca="false">IF($K500="","",$A500*100+$K500)</f>
        <v/>
      </c>
      <c r="M500" s="48" t="str">
        <f aca="false">IFERROR(INDEX(输入报销!$D:$D,MATCH($A500&amp;"-5",输入报销!$J:$J,0))&amp;"","")</f>
        <v/>
      </c>
    </row>
    <row r="501" customFormat="false" ht="13.5" hidden="false" customHeight="false" outlineLevel="0" collapsed="false">
      <c r="A501" s="47" t="n">
        <v>39</v>
      </c>
      <c r="C501" s="48" t="str">
        <f aca="false">助手报销!$C40</f>
        <v/>
      </c>
      <c r="D501" s="81" t="s">
        <v>484</v>
      </c>
      <c r="E501" s="48" t="str">
        <f aca="false">IFERROR(INDEX(输入报销!$E:$E,MATCH($A501&amp;"-6",输入报销!$J:$J,0))&amp;"","")</f>
        <v/>
      </c>
      <c r="F501" s="48" t="str">
        <f aca="false">IFERROR(INDEX(输入报销!$F:$F,MATCH($A501&amp;"-6",输入报销!$J:$J,0))&amp;"","")</f>
        <v/>
      </c>
      <c r="G501" s="49" t="n">
        <f aca="false">IFERROR(ROUND(INDEX(输入报销!$G:$G,MATCH($A501&amp;"-6",输入报销!$J:$J,0)),2),0)</f>
        <v>0</v>
      </c>
      <c r="H501" s="49" t="str">
        <f aca="false">IF(ROUND($G501,2)&gt;0,ROUND($G501,2),"")</f>
        <v/>
      </c>
      <c r="I501" s="49" t="str">
        <f aca="false">IF(ROUND($G501,2)&lt;0,-ROUND($G501,2),"")</f>
        <v/>
      </c>
      <c r="J501" s="20" t="n">
        <f aca="false">IF(ROUND($G501,2)=0,0,1)</f>
        <v>0</v>
      </c>
      <c r="K501" s="20" t="str">
        <f aca="false">IF($J501=0,"",SUM($J$496:$J501))</f>
        <v/>
      </c>
      <c r="L501" s="20" t="str">
        <f aca="false">IF($K501="","",$A501*100+$K501)</f>
        <v/>
      </c>
      <c r="M501" s="48" t="str">
        <f aca="false">IFERROR(INDEX(输入报销!$D:$D,MATCH($A501&amp;"-6",输入报销!$J:$J,0))&amp;"","")</f>
        <v/>
      </c>
    </row>
    <row r="502" customFormat="false" ht="13.5" hidden="false" customHeight="false" outlineLevel="0" collapsed="false">
      <c r="A502" s="47" t="n">
        <v>39</v>
      </c>
      <c r="C502" s="48" t="str">
        <f aca="false">助手报销!$C40</f>
        <v/>
      </c>
      <c r="D502" s="81" t="s">
        <v>485</v>
      </c>
      <c r="E502" s="48" t="str">
        <f aca="false">IFERROR(INDEX(输入报销!$E:$E,MATCH($A502&amp;"-7",输入报销!$J:$J,0))&amp;"","")</f>
        <v/>
      </c>
      <c r="F502" s="48" t="str">
        <f aca="false">IFERROR(INDEX(输入报销!$F:$F,MATCH($A502&amp;"-7",输入报销!$J:$J,0))&amp;"","")</f>
        <v/>
      </c>
      <c r="G502" s="49" t="n">
        <f aca="false">IFERROR(ROUND(INDEX(输入报销!$G:$G,MATCH($A502&amp;"-7",输入报销!$J:$J,0)),2),0)</f>
        <v>0</v>
      </c>
      <c r="H502" s="49" t="str">
        <f aca="false">IF(ROUND($G502,2)&gt;0,ROUND($G502,2),"")</f>
        <v/>
      </c>
      <c r="I502" s="49" t="str">
        <f aca="false">IF(ROUND($G502,2)&lt;0,-ROUND($G502,2),"")</f>
        <v/>
      </c>
      <c r="J502" s="20" t="n">
        <f aca="false">IF(ROUND($G502,2)=0,0,1)</f>
        <v>0</v>
      </c>
      <c r="K502" s="20" t="str">
        <f aca="false">IF($J502=0,"",SUM($J$496:$J502))</f>
        <v/>
      </c>
      <c r="L502" s="20" t="str">
        <f aca="false">IF($K502="","",$A502*100+$K502)</f>
        <v/>
      </c>
      <c r="M502" s="48" t="str">
        <f aca="false">IFERROR(INDEX(输入报销!$D:$D,MATCH($A502&amp;"-7",输入报销!$J:$J,0))&amp;"","")</f>
        <v/>
      </c>
    </row>
    <row r="503" customFormat="false" ht="13.5" hidden="false" customHeight="false" outlineLevel="0" collapsed="false">
      <c r="A503" s="47" t="n">
        <v>39</v>
      </c>
      <c r="C503" s="48" t="str">
        <f aca="false">助手报销!$C40</f>
        <v/>
      </c>
      <c r="D503" s="81" t="s">
        <v>486</v>
      </c>
      <c r="E503" s="48" t="str">
        <f aca="false">IFERROR(INDEX(输入报销!$E:$E,MATCH($A503&amp;"-8",输入报销!$J:$J,0))&amp;"","")</f>
        <v/>
      </c>
      <c r="F503" s="48" t="str">
        <f aca="false">IFERROR(INDEX(输入报销!$F:$F,MATCH($A503&amp;"-8",输入报销!$J:$J,0))&amp;"","")</f>
        <v/>
      </c>
      <c r="G503" s="49" t="n">
        <f aca="false">IFERROR(ROUND(INDEX(输入报销!$G:$G,MATCH($A503&amp;"-8",输入报销!$J:$J,0)),2),0)</f>
        <v>0</v>
      </c>
      <c r="H503" s="49" t="str">
        <f aca="false">IF(ROUND($G503,2)&gt;0,ROUND($G503,2),"")</f>
        <v/>
      </c>
      <c r="I503" s="49" t="str">
        <f aca="false">IF(ROUND($G503,2)&lt;0,-ROUND($G503,2),"")</f>
        <v/>
      </c>
      <c r="J503" s="20" t="n">
        <f aca="false">IF(ROUND($G503,2)=0,0,1)</f>
        <v>0</v>
      </c>
      <c r="K503" s="20" t="str">
        <f aca="false">IF($J503=0,"",SUM($J$496:$J503))</f>
        <v/>
      </c>
      <c r="L503" s="20" t="str">
        <f aca="false">IF($K503="","",$A503*100+$K503)</f>
        <v/>
      </c>
      <c r="M503" s="48" t="str">
        <f aca="false">IFERROR(INDEX(输入报销!$D:$D,MATCH($A503&amp;"-8",输入报销!$J:$J,0))&amp;"","")</f>
        <v/>
      </c>
    </row>
    <row r="504" customFormat="false" ht="13.5" hidden="false" customHeight="false" outlineLevel="0" collapsed="false">
      <c r="A504" s="47" t="n">
        <v>39</v>
      </c>
      <c r="C504" s="48" t="str">
        <f aca="false">助手报销!$C40</f>
        <v/>
      </c>
      <c r="D504" s="81" t="s">
        <v>487</v>
      </c>
      <c r="E504" s="48" t="str">
        <f aca="false">IFERROR(INDEX(输入报销!$E:$E,MATCH($A504&amp;"-9",输入报销!$J:$J,0))&amp;"","")</f>
        <v/>
      </c>
      <c r="F504" s="48" t="str">
        <f aca="false">IFERROR(INDEX(输入报销!$F:$F,MATCH($A504&amp;"-9",输入报销!$J:$J,0))&amp;"","")</f>
        <v/>
      </c>
      <c r="G504" s="49" t="n">
        <f aca="false">IFERROR(ROUND(INDEX(输入报销!$G:$G,MATCH($A504&amp;"-9",输入报销!$J:$J,0)),2),0)</f>
        <v>0</v>
      </c>
      <c r="H504" s="49" t="str">
        <f aca="false">IF(ROUND($G504,2)&gt;0,ROUND($G504,2),"")</f>
        <v/>
      </c>
      <c r="I504" s="49" t="str">
        <f aca="false">IF(ROUND($G504,2)&lt;0,-ROUND($G504,2),"")</f>
        <v/>
      </c>
      <c r="J504" s="20" t="n">
        <f aca="false">IF(ROUND($G504,2)=0,0,1)</f>
        <v>0</v>
      </c>
      <c r="K504" s="20" t="str">
        <f aca="false">IF($J504=0,"",SUM($J$496:$J504))</f>
        <v/>
      </c>
      <c r="L504" s="20" t="str">
        <f aca="false">IF($K504="","",$A504*100+$K504)</f>
        <v/>
      </c>
      <c r="M504" s="48" t="str">
        <f aca="false">IFERROR(INDEX(输入报销!$D:$D,MATCH($A504&amp;"-9",输入报销!$J:$J,0))&amp;"","")</f>
        <v/>
      </c>
    </row>
    <row r="505" customFormat="false" ht="13.5" hidden="false" customHeight="false" outlineLevel="0" collapsed="false">
      <c r="A505" s="47" t="n">
        <v>39</v>
      </c>
      <c r="C505" s="48" t="str">
        <f aca="false">助手报销!$C40</f>
        <v/>
      </c>
      <c r="D505" s="81" t="s">
        <v>488</v>
      </c>
      <c r="E505" s="48" t="str">
        <f aca="false">IFERROR(INDEX(输入报销!$E:$E,MATCH($A505&amp;"-10",输入报销!$J:$J,0))&amp;"","")</f>
        <v/>
      </c>
      <c r="F505" s="48" t="str">
        <f aca="false">IFERROR(INDEX(输入报销!$F:$F,MATCH($A505&amp;"-10",输入报销!$J:$J,0))&amp;"","")</f>
        <v/>
      </c>
      <c r="G505" s="49" t="n">
        <f aca="false">IFERROR(ROUND(INDEX(输入报销!$G:$G,MATCH($A505&amp;"-10",输入报销!$J:$J,0)),2),0)</f>
        <v>0</v>
      </c>
      <c r="H505" s="49" t="str">
        <f aca="false">IF(ROUND($G505,2)&gt;0,ROUND($G505,2),"")</f>
        <v/>
      </c>
      <c r="I505" s="49" t="str">
        <f aca="false">IF(ROUND($G505,2)&lt;0,-ROUND($G505,2),"")</f>
        <v/>
      </c>
      <c r="J505" s="20" t="n">
        <f aca="false">IF(ROUND($G505,2)=0,0,1)</f>
        <v>0</v>
      </c>
      <c r="K505" s="20" t="str">
        <f aca="false">IF($J505=0,"",SUM($J$496:$J505))</f>
        <v/>
      </c>
      <c r="L505" s="20" t="str">
        <f aca="false">IF($K505="","",$A505*100+$K505)</f>
        <v/>
      </c>
      <c r="M505" s="48" t="str">
        <f aca="false">IFERROR(INDEX(输入报销!$D:$D,MATCH($A505&amp;"-10",输入报销!$J:$J,0))&amp;"","")</f>
        <v/>
      </c>
    </row>
    <row r="506" customFormat="false" ht="13.5" hidden="false" customHeight="false" outlineLevel="0" collapsed="false">
      <c r="A506" s="47" t="n">
        <v>39</v>
      </c>
      <c r="C506" s="48" t="str">
        <f aca="false">助手报销!$C40</f>
        <v/>
      </c>
      <c r="D506" s="81" t="s">
        <v>489</v>
      </c>
      <c r="E506" s="48" t="str">
        <f aca="false">参数!$B$6</f>
        <v>库存现金</v>
      </c>
      <c r="F506" s="48" t="str">
        <f aca="false">""</f>
        <v/>
      </c>
      <c r="G506" s="49" t="n">
        <f aca="false">-ROUND(SUMIFS(输入报销!$G:$G,输入报销!$A:$A,$A506,输入报销!$H:$H,参数!$B$6),2)</f>
        <v>-0</v>
      </c>
      <c r="H506" s="49" t="str">
        <f aca="false">IF(ROUND($G506,2)&gt;0,ROUND($G506,2),"")</f>
        <v/>
      </c>
      <c r="I506" s="49" t="str">
        <f aca="false">IF(ROUND($G506,2)&lt;0,-ROUND($G506,2),"")</f>
        <v/>
      </c>
      <c r="J506" s="20" t="n">
        <f aca="false">IF(ROUND($G506,2)=0,0,1)</f>
        <v>0</v>
      </c>
      <c r="K506" s="20" t="str">
        <f aca="false">IF($J506=0,"",SUM($J$496:$J506))</f>
        <v/>
      </c>
      <c r="L506" s="20" t="str">
        <f aca="false">IF($K506="","",$A506*100+$K506)</f>
        <v/>
      </c>
      <c r="M506" s="48" t="str">
        <f aca="false">""</f>
        <v/>
      </c>
    </row>
    <row r="507" customFormat="false" ht="13.5" hidden="false" customHeight="false" outlineLevel="0" collapsed="false">
      <c r="A507" s="47" t="n">
        <v>39</v>
      </c>
      <c r="C507" s="48" t="str">
        <f aca="false">助手报销!$C40</f>
        <v/>
      </c>
      <c r="D507" s="81" t="s">
        <v>490</v>
      </c>
      <c r="E507" s="48" t="str">
        <f aca="false">参数!$B$7</f>
        <v>银行存款</v>
      </c>
      <c r="F507" s="48" t="str">
        <f aca="false">""</f>
        <v/>
      </c>
      <c r="G507" s="49" t="n">
        <f aca="false">-ROUND(SUMIFS(输入报销!$G:$G,输入报销!$A:$A,$A507,输入报销!$H:$H,参数!$B$7),2)</f>
        <v>-0</v>
      </c>
      <c r="H507" s="49" t="str">
        <f aca="false">IF(ROUND($G507,2)&gt;0,ROUND($G507,2),"")</f>
        <v/>
      </c>
      <c r="I507" s="49" t="str">
        <f aca="false">IF(ROUND($G507,2)&lt;0,-ROUND($G507,2),"")</f>
        <v/>
      </c>
      <c r="J507" s="20" t="n">
        <f aca="false">IF(ROUND($G507,2)=0,0,1)</f>
        <v>0</v>
      </c>
      <c r="K507" s="20" t="str">
        <f aca="false">IF($J507=0,"",SUM($J$496:$J507))</f>
        <v/>
      </c>
      <c r="L507" s="20" t="str">
        <f aca="false">IF($K507="","",$A507*100+$K507)</f>
        <v/>
      </c>
      <c r="M507" s="48" t="str">
        <f aca="false">""</f>
        <v/>
      </c>
    </row>
    <row r="508" customFormat="false" ht="13.5" hidden="false" customHeight="false" outlineLevel="0" collapsed="false">
      <c r="A508" s="47" t="n">
        <v>39</v>
      </c>
      <c r="C508" s="48" t="str">
        <f aca="false">助手报销!$C40</f>
        <v/>
      </c>
      <c r="D508" s="81" t="s">
        <v>491</v>
      </c>
      <c r="E508" s="48" t="str">
        <f aca="false">参数!$B$8</f>
        <v>其他应付款</v>
      </c>
      <c r="F508" s="48" t="str">
        <f aca="false">""</f>
        <v/>
      </c>
      <c r="G508" s="49" t="n">
        <f aca="false">-ROUND(SUMIFS(输入报销!$G:$G,输入报销!$A:$A,$A508,输入报销!$H:$H,参数!$B$8),2)</f>
        <v>-0</v>
      </c>
      <c r="H508" s="49" t="str">
        <f aca="false">IF(ROUND($G508,2)&gt;0,ROUND($G508,2),"")</f>
        <v/>
      </c>
      <c r="I508" s="49" t="str">
        <f aca="false">IF(ROUND($G508,2)&lt;0,-ROUND($G508,2),"")</f>
        <v/>
      </c>
      <c r="J508" s="20" t="n">
        <f aca="false">IF(ROUND($G508,2)=0,0,1)</f>
        <v>0</v>
      </c>
      <c r="K508" s="20" t="str">
        <f aca="false">IF($J508=0,"",SUM($J$496:$J508))</f>
        <v/>
      </c>
      <c r="L508" s="20" t="str">
        <f aca="false">IF($K508="","",$A508*100+$K508)</f>
        <v/>
      </c>
      <c r="M508" s="48" t="str">
        <f aca="false">""</f>
        <v/>
      </c>
    </row>
    <row r="509" customFormat="false" ht="13.5" hidden="false" customHeight="false" outlineLevel="0" collapsed="false">
      <c r="A509" s="47" t="n">
        <v>40</v>
      </c>
      <c r="C509" s="48" t="str">
        <f aca="false">助手报销!$C41</f>
        <v/>
      </c>
      <c r="D509" s="81" t="s">
        <v>479</v>
      </c>
      <c r="E509" s="48" t="str">
        <f aca="false">IFERROR(INDEX(输入报销!$E:$E,MATCH($A509&amp;"-1",输入报销!$J:$J,0))&amp;"","")</f>
        <v/>
      </c>
      <c r="F509" s="48" t="str">
        <f aca="false">IFERROR(INDEX(输入报销!$F:$F,MATCH($A509&amp;"-1",输入报销!$J:$J,0))&amp;"","")</f>
        <v/>
      </c>
      <c r="G509" s="49" t="n">
        <f aca="false">IFERROR(ROUND(INDEX(输入报销!$G:$G,MATCH($A509&amp;"-1",输入报销!$J:$J,0)),2),0)</f>
        <v>0</v>
      </c>
      <c r="H509" s="49" t="str">
        <f aca="false">IF(ROUND($G509,2)&gt;0,ROUND($G509,2),"")</f>
        <v/>
      </c>
      <c r="I509" s="49" t="str">
        <f aca="false">IF(ROUND($G509,2)&lt;0,-ROUND($G509,2),"")</f>
        <v/>
      </c>
      <c r="J509" s="20" t="n">
        <f aca="false">IF(ROUND($G509,2)=0,0,1)</f>
        <v>0</v>
      </c>
      <c r="K509" s="20" t="str">
        <f aca="false">IF($J509=0,"",SUM($J$509:$J509))</f>
        <v/>
      </c>
      <c r="L509" s="20" t="str">
        <f aca="false">IF($K509="","",$A509*100+$K509)</f>
        <v/>
      </c>
      <c r="M509" s="48" t="str">
        <f aca="false">IFERROR(INDEX(输入报销!$D:$D,MATCH($A509&amp;"-1",输入报销!$J:$J,0))&amp;"","")</f>
        <v/>
      </c>
    </row>
    <row r="510" customFormat="false" ht="13.5" hidden="false" customHeight="false" outlineLevel="0" collapsed="false">
      <c r="A510" s="47" t="n">
        <v>40</v>
      </c>
      <c r="C510" s="48" t="str">
        <f aca="false">助手报销!$C41</f>
        <v/>
      </c>
      <c r="D510" s="81" t="s">
        <v>480</v>
      </c>
      <c r="E510" s="48" t="str">
        <f aca="false">IFERROR(INDEX(输入报销!$E:$E,MATCH($A510&amp;"-2",输入报销!$J:$J,0))&amp;"","")</f>
        <v/>
      </c>
      <c r="F510" s="48" t="str">
        <f aca="false">IFERROR(INDEX(输入报销!$F:$F,MATCH($A510&amp;"-2",输入报销!$J:$J,0))&amp;"","")</f>
        <v/>
      </c>
      <c r="G510" s="49" t="n">
        <f aca="false">IFERROR(ROUND(INDEX(输入报销!$G:$G,MATCH($A510&amp;"-2",输入报销!$J:$J,0)),2),0)</f>
        <v>0</v>
      </c>
      <c r="H510" s="49" t="str">
        <f aca="false">IF(ROUND($G510,2)&gt;0,ROUND($G510,2),"")</f>
        <v/>
      </c>
      <c r="I510" s="49" t="str">
        <f aca="false">IF(ROUND($G510,2)&lt;0,-ROUND($G510,2),"")</f>
        <v/>
      </c>
      <c r="J510" s="20" t="n">
        <f aca="false">IF(ROUND($G510,2)=0,0,1)</f>
        <v>0</v>
      </c>
      <c r="K510" s="20" t="str">
        <f aca="false">IF($J510=0,"",SUM($J$509:$J510))</f>
        <v/>
      </c>
      <c r="L510" s="20" t="str">
        <f aca="false">IF($K510="","",$A510*100+$K510)</f>
        <v/>
      </c>
      <c r="M510" s="48" t="str">
        <f aca="false">IFERROR(INDEX(输入报销!$D:$D,MATCH($A510&amp;"-2",输入报销!$J:$J,0))&amp;"","")</f>
        <v/>
      </c>
    </row>
    <row r="511" customFormat="false" ht="13.5" hidden="false" customHeight="false" outlineLevel="0" collapsed="false">
      <c r="A511" s="47" t="n">
        <v>40</v>
      </c>
      <c r="C511" s="48" t="str">
        <f aca="false">助手报销!$C41</f>
        <v/>
      </c>
      <c r="D511" s="81" t="s">
        <v>481</v>
      </c>
      <c r="E511" s="48" t="str">
        <f aca="false">IFERROR(INDEX(输入报销!$E:$E,MATCH($A511&amp;"-3",输入报销!$J:$J,0))&amp;"","")</f>
        <v/>
      </c>
      <c r="F511" s="48" t="str">
        <f aca="false">IFERROR(INDEX(输入报销!$F:$F,MATCH($A511&amp;"-3",输入报销!$J:$J,0))&amp;"","")</f>
        <v/>
      </c>
      <c r="G511" s="49" t="n">
        <f aca="false">IFERROR(ROUND(INDEX(输入报销!$G:$G,MATCH($A511&amp;"-3",输入报销!$J:$J,0)),2),0)</f>
        <v>0</v>
      </c>
      <c r="H511" s="49" t="str">
        <f aca="false">IF(ROUND($G511,2)&gt;0,ROUND($G511,2),"")</f>
        <v/>
      </c>
      <c r="I511" s="49" t="str">
        <f aca="false">IF(ROUND($G511,2)&lt;0,-ROUND($G511,2),"")</f>
        <v/>
      </c>
      <c r="J511" s="20" t="n">
        <f aca="false">IF(ROUND($G511,2)=0,0,1)</f>
        <v>0</v>
      </c>
      <c r="K511" s="20" t="str">
        <f aca="false">IF($J511=0,"",SUM($J$509:$J511))</f>
        <v/>
      </c>
      <c r="L511" s="20" t="str">
        <f aca="false">IF($K511="","",$A511*100+$K511)</f>
        <v/>
      </c>
      <c r="M511" s="48" t="str">
        <f aca="false">IFERROR(INDEX(输入报销!$D:$D,MATCH($A511&amp;"-3",输入报销!$J:$J,0))&amp;"","")</f>
        <v/>
      </c>
    </row>
    <row r="512" customFormat="false" ht="13.5" hidden="false" customHeight="false" outlineLevel="0" collapsed="false">
      <c r="A512" s="47" t="n">
        <v>40</v>
      </c>
      <c r="C512" s="48" t="str">
        <f aca="false">助手报销!$C41</f>
        <v/>
      </c>
      <c r="D512" s="81" t="s">
        <v>482</v>
      </c>
      <c r="E512" s="48" t="str">
        <f aca="false">IFERROR(INDEX(输入报销!$E:$E,MATCH($A512&amp;"-4",输入报销!$J:$J,0))&amp;"","")</f>
        <v/>
      </c>
      <c r="F512" s="48" t="str">
        <f aca="false">IFERROR(INDEX(输入报销!$F:$F,MATCH($A512&amp;"-4",输入报销!$J:$J,0))&amp;"","")</f>
        <v/>
      </c>
      <c r="G512" s="49" t="n">
        <f aca="false">IFERROR(ROUND(INDEX(输入报销!$G:$G,MATCH($A512&amp;"-4",输入报销!$J:$J,0)),2),0)</f>
        <v>0</v>
      </c>
      <c r="H512" s="49" t="str">
        <f aca="false">IF(ROUND($G512,2)&gt;0,ROUND($G512,2),"")</f>
        <v/>
      </c>
      <c r="I512" s="49" t="str">
        <f aca="false">IF(ROUND($G512,2)&lt;0,-ROUND($G512,2),"")</f>
        <v/>
      </c>
      <c r="J512" s="20" t="n">
        <f aca="false">IF(ROUND($G512,2)=0,0,1)</f>
        <v>0</v>
      </c>
      <c r="K512" s="20" t="str">
        <f aca="false">IF($J512=0,"",SUM($J$509:$J512))</f>
        <v/>
      </c>
      <c r="L512" s="20" t="str">
        <f aca="false">IF($K512="","",$A512*100+$K512)</f>
        <v/>
      </c>
      <c r="M512" s="48" t="str">
        <f aca="false">IFERROR(INDEX(输入报销!$D:$D,MATCH($A512&amp;"-4",输入报销!$J:$J,0))&amp;"","")</f>
        <v/>
      </c>
    </row>
    <row r="513" customFormat="false" ht="13.5" hidden="false" customHeight="false" outlineLevel="0" collapsed="false">
      <c r="A513" s="47" t="n">
        <v>40</v>
      </c>
      <c r="C513" s="48" t="str">
        <f aca="false">助手报销!$C41</f>
        <v/>
      </c>
      <c r="D513" s="81" t="s">
        <v>483</v>
      </c>
      <c r="E513" s="48" t="str">
        <f aca="false">IFERROR(INDEX(输入报销!$E:$E,MATCH($A513&amp;"-5",输入报销!$J:$J,0))&amp;"","")</f>
        <v/>
      </c>
      <c r="F513" s="48" t="str">
        <f aca="false">IFERROR(INDEX(输入报销!$F:$F,MATCH($A513&amp;"-5",输入报销!$J:$J,0))&amp;"","")</f>
        <v/>
      </c>
      <c r="G513" s="49" t="n">
        <f aca="false">IFERROR(ROUND(INDEX(输入报销!$G:$G,MATCH($A513&amp;"-5",输入报销!$J:$J,0)),2),0)</f>
        <v>0</v>
      </c>
      <c r="H513" s="49" t="str">
        <f aca="false">IF(ROUND($G513,2)&gt;0,ROUND($G513,2),"")</f>
        <v/>
      </c>
      <c r="I513" s="49" t="str">
        <f aca="false">IF(ROUND($G513,2)&lt;0,-ROUND($G513,2),"")</f>
        <v/>
      </c>
      <c r="J513" s="20" t="n">
        <f aca="false">IF(ROUND($G513,2)=0,0,1)</f>
        <v>0</v>
      </c>
      <c r="K513" s="20" t="str">
        <f aca="false">IF($J513=0,"",SUM($J$509:$J513))</f>
        <v/>
      </c>
      <c r="L513" s="20" t="str">
        <f aca="false">IF($K513="","",$A513*100+$K513)</f>
        <v/>
      </c>
      <c r="M513" s="48" t="str">
        <f aca="false">IFERROR(INDEX(输入报销!$D:$D,MATCH($A513&amp;"-5",输入报销!$J:$J,0))&amp;"","")</f>
        <v/>
      </c>
    </row>
    <row r="514" customFormat="false" ht="13.5" hidden="false" customHeight="false" outlineLevel="0" collapsed="false">
      <c r="A514" s="47" t="n">
        <v>40</v>
      </c>
      <c r="C514" s="48" t="str">
        <f aca="false">助手报销!$C41</f>
        <v/>
      </c>
      <c r="D514" s="81" t="s">
        <v>484</v>
      </c>
      <c r="E514" s="48" t="str">
        <f aca="false">IFERROR(INDEX(输入报销!$E:$E,MATCH($A514&amp;"-6",输入报销!$J:$J,0))&amp;"","")</f>
        <v/>
      </c>
      <c r="F514" s="48" t="str">
        <f aca="false">IFERROR(INDEX(输入报销!$F:$F,MATCH($A514&amp;"-6",输入报销!$J:$J,0))&amp;"","")</f>
        <v/>
      </c>
      <c r="G514" s="49" t="n">
        <f aca="false">IFERROR(ROUND(INDEX(输入报销!$G:$G,MATCH($A514&amp;"-6",输入报销!$J:$J,0)),2),0)</f>
        <v>0</v>
      </c>
      <c r="H514" s="49" t="str">
        <f aca="false">IF(ROUND($G514,2)&gt;0,ROUND($G514,2),"")</f>
        <v/>
      </c>
      <c r="I514" s="49" t="str">
        <f aca="false">IF(ROUND($G514,2)&lt;0,-ROUND($G514,2),"")</f>
        <v/>
      </c>
      <c r="J514" s="20" t="n">
        <f aca="false">IF(ROUND($G514,2)=0,0,1)</f>
        <v>0</v>
      </c>
      <c r="K514" s="20" t="str">
        <f aca="false">IF($J514=0,"",SUM($J$509:$J514))</f>
        <v/>
      </c>
      <c r="L514" s="20" t="str">
        <f aca="false">IF($K514="","",$A514*100+$K514)</f>
        <v/>
      </c>
      <c r="M514" s="48" t="str">
        <f aca="false">IFERROR(INDEX(输入报销!$D:$D,MATCH($A514&amp;"-6",输入报销!$J:$J,0))&amp;"","")</f>
        <v/>
      </c>
    </row>
    <row r="515" customFormat="false" ht="13.5" hidden="false" customHeight="false" outlineLevel="0" collapsed="false">
      <c r="A515" s="47" t="n">
        <v>40</v>
      </c>
      <c r="C515" s="48" t="str">
        <f aca="false">助手报销!$C41</f>
        <v/>
      </c>
      <c r="D515" s="81" t="s">
        <v>485</v>
      </c>
      <c r="E515" s="48" t="str">
        <f aca="false">IFERROR(INDEX(输入报销!$E:$E,MATCH($A515&amp;"-7",输入报销!$J:$J,0))&amp;"","")</f>
        <v/>
      </c>
      <c r="F515" s="48" t="str">
        <f aca="false">IFERROR(INDEX(输入报销!$F:$F,MATCH($A515&amp;"-7",输入报销!$J:$J,0))&amp;"","")</f>
        <v/>
      </c>
      <c r="G515" s="49" t="n">
        <f aca="false">IFERROR(ROUND(INDEX(输入报销!$G:$G,MATCH($A515&amp;"-7",输入报销!$J:$J,0)),2),0)</f>
        <v>0</v>
      </c>
      <c r="H515" s="49" t="str">
        <f aca="false">IF(ROUND($G515,2)&gt;0,ROUND($G515,2),"")</f>
        <v/>
      </c>
      <c r="I515" s="49" t="str">
        <f aca="false">IF(ROUND($G515,2)&lt;0,-ROUND($G515,2),"")</f>
        <v/>
      </c>
      <c r="J515" s="20" t="n">
        <f aca="false">IF(ROUND($G515,2)=0,0,1)</f>
        <v>0</v>
      </c>
      <c r="K515" s="20" t="str">
        <f aca="false">IF($J515=0,"",SUM($J$509:$J515))</f>
        <v/>
      </c>
      <c r="L515" s="20" t="str">
        <f aca="false">IF($K515="","",$A515*100+$K515)</f>
        <v/>
      </c>
      <c r="M515" s="48" t="str">
        <f aca="false">IFERROR(INDEX(输入报销!$D:$D,MATCH($A515&amp;"-7",输入报销!$J:$J,0))&amp;"","")</f>
        <v/>
      </c>
    </row>
    <row r="516" customFormat="false" ht="13.5" hidden="false" customHeight="false" outlineLevel="0" collapsed="false">
      <c r="A516" s="47" t="n">
        <v>40</v>
      </c>
      <c r="C516" s="48" t="str">
        <f aca="false">助手报销!$C41</f>
        <v/>
      </c>
      <c r="D516" s="81" t="s">
        <v>486</v>
      </c>
      <c r="E516" s="48" t="str">
        <f aca="false">IFERROR(INDEX(输入报销!$E:$E,MATCH($A516&amp;"-8",输入报销!$J:$J,0))&amp;"","")</f>
        <v/>
      </c>
      <c r="F516" s="48" t="str">
        <f aca="false">IFERROR(INDEX(输入报销!$F:$F,MATCH($A516&amp;"-8",输入报销!$J:$J,0))&amp;"","")</f>
        <v/>
      </c>
      <c r="G516" s="49" t="n">
        <f aca="false">IFERROR(ROUND(INDEX(输入报销!$G:$G,MATCH($A516&amp;"-8",输入报销!$J:$J,0)),2),0)</f>
        <v>0</v>
      </c>
      <c r="H516" s="49" t="str">
        <f aca="false">IF(ROUND($G516,2)&gt;0,ROUND($G516,2),"")</f>
        <v/>
      </c>
      <c r="I516" s="49" t="str">
        <f aca="false">IF(ROUND($G516,2)&lt;0,-ROUND($G516,2),"")</f>
        <v/>
      </c>
      <c r="J516" s="20" t="n">
        <f aca="false">IF(ROUND($G516,2)=0,0,1)</f>
        <v>0</v>
      </c>
      <c r="K516" s="20" t="str">
        <f aca="false">IF($J516=0,"",SUM($J$509:$J516))</f>
        <v/>
      </c>
      <c r="L516" s="20" t="str">
        <f aca="false">IF($K516="","",$A516*100+$K516)</f>
        <v/>
      </c>
      <c r="M516" s="48" t="str">
        <f aca="false">IFERROR(INDEX(输入报销!$D:$D,MATCH($A516&amp;"-8",输入报销!$J:$J,0))&amp;"","")</f>
        <v/>
      </c>
    </row>
    <row r="517" customFormat="false" ht="13.5" hidden="false" customHeight="false" outlineLevel="0" collapsed="false">
      <c r="A517" s="47" t="n">
        <v>40</v>
      </c>
      <c r="C517" s="48" t="str">
        <f aca="false">助手报销!$C41</f>
        <v/>
      </c>
      <c r="D517" s="81" t="s">
        <v>487</v>
      </c>
      <c r="E517" s="48" t="str">
        <f aca="false">IFERROR(INDEX(输入报销!$E:$E,MATCH($A517&amp;"-9",输入报销!$J:$J,0))&amp;"","")</f>
        <v/>
      </c>
      <c r="F517" s="48" t="str">
        <f aca="false">IFERROR(INDEX(输入报销!$F:$F,MATCH($A517&amp;"-9",输入报销!$J:$J,0))&amp;"","")</f>
        <v/>
      </c>
      <c r="G517" s="49" t="n">
        <f aca="false">IFERROR(ROUND(INDEX(输入报销!$G:$G,MATCH($A517&amp;"-9",输入报销!$J:$J,0)),2),0)</f>
        <v>0</v>
      </c>
      <c r="H517" s="49" t="str">
        <f aca="false">IF(ROUND($G517,2)&gt;0,ROUND($G517,2),"")</f>
        <v/>
      </c>
      <c r="I517" s="49" t="str">
        <f aca="false">IF(ROUND($G517,2)&lt;0,-ROUND($G517,2),"")</f>
        <v/>
      </c>
      <c r="J517" s="20" t="n">
        <f aca="false">IF(ROUND($G517,2)=0,0,1)</f>
        <v>0</v>
      </c>
      <c r="K517" s="20" t="str">
        <f aca="false">IF($J517=0,"",SUM($J$509:$J517))</f>
        <v/>
      </c>
      <c r="L517" s="20" t="str">
        <f aca="false">IF($K517="","",$A517*100+$K517)</f>
        <v/>
      </c>
      <c r="M517" s="48" t="str">
        <f aca="false">IFERROR(INDEX(输入报销!$D:$D,MATCH($A517&amp;"-9",输入报销!$J:$J,0))&amp;"","")</f>
        <v/>
      </c>
    </row>
    <row r="518" customFormat="false" ht="13.5" hidden="false" customHeight="false" outlineLevel="0" collapsed="false">
      <c r="A518" s="47" t="n">
        <v>40</v>
      </c>
      <c r="C518" s="48" t="str">
        <f aca="false">助手报销!$C41</f>
        <v/>
      </c>
      <c r="D518" s="81" t="s">
        <v>488</v>
      </c>
      <c r="E518" s="48" t="str">
        <f aca="false">IFERROR(INDEX(输入报销!$E:$E,MATCH($A518&amp;"-10",输入报销!$J:$J,0))&amp;"","")</f>
        <v/>
      </c>
      <c r="F518" s="48" t="str">
        <f aca="false">IFERROR(INDEX(输入报销!$F:$F,MATCH($A518&amp;"-10",输入报销!$J:$J,0))&amp;"","")</f>
        <v/>
      </c>
      <c r="G518" s="49" t="n">
        <f aca="false">IFERROR(ROUND(INDEX(输入报销!$G:$G,MATCH($A518&amp;"-10",输入报销!$J:$J,0)),2),0)</f>
        <v>0</v>
      </c>
      <c r="H518" s="49" t="str">
        <f aca="false">IF(ROUND($G518,2)&gt;0,ROUND($G518,2),"")</f>
        <v/>
      </c>
      <c r="I518" s="49" t="str">
        <f aca="false">IF(ROUND($G518,2)&lt;0,-ROUND($G518,2),"")</f>
        <v/>
      </c>
      <c r="J518" s="20" t="n">
        <f aca="false">IF(ROUND($G518,2)=0,0,1)</f>
        <v>0</v>
      </c>
      <c r="K518" s="20" t="str">
        <f aca="false">IF($J518=0,"",SUM($J$509:$J518))</f>
        <v/>
      </c>
      <c r="L518" s="20" t="str">
        <f aca="false">IF($K518="","",$A518*100+$K518)</f>
        <v/>
      </c>
      <c r="M518" s="48" t="str">
        <f aca="false">IFERROR(INDEX(输入报销!$D:$D,MATCH($A518&amp;"-10",输入报销!$J:$J,0))&amp;"","")</f>
        <v/>
      </c>
    </row>
    <row r="519" customFormat="false" ht="13.5" hidden="false" customHeight="false" outlineLevel="0" collapsed="false">
      <c r="A519" s="47" t="n">
        <v>40</v>
      </c>
      <c r="C519" s="48" t="str">
        <f aca="false">助手报销!$C41</f>
        <v/>
      </c>
      <c r="D519" s="81" t="s">
        <v>489</v>
      </c>
      <c r="E519" s="48" t="str">
        <f aca="false">参数!$B$6</f>
        <v>库存现金</v>
      </c>
      <c r="F519" s="48" t="str">
        <f aca="false">""</f>
        <v/>
      </c>
      <c r="G519" s="49" t="n">
        <f aca="false">-ROUND(SUMIFS(输入报销!$G:$G,输入报销!$A:$A,$A519,输入报销!$H:$H,参数!$B$6),2)</f>
        <v>-0</v>
      </c>
      <c r="H519" s="49" t="str">
        <f aca="false">IF(ROUND($G519,2)&gt;0,ROUND($G519,2),"")</f>
        <v/>
      </c>
      <c r="I519" s="49" t="str">
        <f aca="false">IF(ROUND($G519,2)&lt;0,-ROUND($G519,2),"")</f>
        <v/>
      </c>
      <c r="J519" s="20" t="n">
        <f aca="false">IF(ROUND($G519,2)=0,0,1)</f>
        <v>0</v>
      </c>
      <c r="K519" s="20" t="str">
        <f aca="false">IF($J519=0,"",SUM($J$509:$J519))</f>
        <v/>
      </c>
      <c r="L519" s="20" t="str">
        <f aca="false">IF($K519="","",$A519*100+$K519)</f>
        <v/>
      </c>
      <c r="M519" s="48" t="str">
        <f aca="false">""</f>
        <v/>
      </c>
    </row>
    <row r="520" customFormat="false" ht="13.5" hidden="false" customHeight="false" outlineLevel="0" collapsed="false">
      <c r="A520" s="47" t="n">
        <v>40</v>
      </c>
      <c r="C520" s="48" t="str">
        <f aca="false">助手报销!$C41</f>
        <v/>
      </c>
      <c r="D520" s="81" t="s">
        <v>490</v>
      </c>
      <c r="E520" s="48" t="str">
        <f aca="false">参数!$B$7</f>
        <v>银行存款</v>
      </c>
      <c r="F520" s="48" t="str">
        <f aca="false">""</f>
        <v/>
      </c>
      <c r="G520" s="49" t="n">
        <f aca="false">-ROUND(SUMIFS(输入报销!$G:$G,输入报销!$A:$A,$A520,输入报销!$H:$H,参数!$B$7),2)</f>
        <v>-0</v>
      </c>
      <c r="H520" s="49" t="str">
        <f aca="false">IF(ROUND($G520,2)&gt;0,ROUND($G520,2),"")</f>
        <v/>
      </c>
      <c r="I520" s="49" t="str">
        <f aca="false">IF(ROUND($G520,2)&lt;0,-ROUND($G520,2),"")</f>
        <v/>
      </c>
      <c r="J520" s="20" t="n">
        <f aca="false">IF(ROUND($G520,2)=0,0,1)</f>
        <v>0</v>
      </c>
      <c r="K520" s="20" t="str">
        <f aca="false">IF($J520=0,"",SUM($J$509:$J520))</f>
        <v/>
      </c>
      <c r="L520" s="20" t="str">
        <f aca="false">IF($K520="","",$A520*100+$K520)</f>
        <v/>
      </c>
      <c r="M520" s="48" t="str">
        <f aca="false">""</f>
        <v/>
      </c>
    </row>
    <row r="521" customFormat="false" ht="13.5" hidden="false" customHeight="false" outlineLevel="0" collapsed="false">
      <c r="A521" s="47" t="n">
        <v>40</v>
      </c>
      <c r="C521" s="48" t="str">
        <f aca="false">助手报销!$C41</f>
        <v/>
      </c>
      <c r="D521" s="81" t="s">
        <v>491</v>
      </c>
      <c r="E521" s="48" t="str">
        <f aca="false">参数!$B$8</f>
        <v>其他应付款</v>
      </c>
      <c r="F521" s="48" t="str">
        <f aca="false">""</f>
        <v/>
      </c>
      <c r="G521" s="49" t="n">
        <f aca="false">-ROUND(SUMIFS(输入报销!$G:$G,输入报销!$A:$A,$A521,输入报销!$H:$H,参数!$B$8),2)</f>
        <v>-0</v>
      </c>
      <c r="H521" s="49" t="str">
        <f aca="false">IF(ROUND($G521,2)&gt;0,ROUND($G521,2),"")</f>
        <v/>
      </c>
      <c r="I521" s="49" t="str">
        <f aca="false">IF(ROUND($G521,2)&lt;0,-ROUND($G521,2),"")</f>
        <v/>
      </c>
      <c r="J521" s="20" t="n">
        <f aca="false">IF(ROUND($G521,2)=0,0,1)</f>
        <v>0</v>
      </c>
      <c r="K521" s="20" t="str">
        <f aca="false">IF($J521=0,"",SUM($J$509:$J521))</f>
        <v/>
      </c>
      <c r="L521" s="20" t="str">
        <f aca="false">IF($K521="","",$A521*100+$K521)</f>
        <v/>
      </c>
      <c r="M521" s="48" t="str">
        <f aca="false">""</f>
        <v/>
      </c>
    </row>
    <row r="522" customFormat="false" ht="13.5" hidden="false" customHeight="false" outlineLevel="0" collapsed="false">
      <c r="A522" s="47" t="n">
        <v>41</v>
      </c>
      <c r="C522" s="48" t="str">
        <f aca="false">助手报销!$C42</f>
        <v/>
      </c>
      <c r="D522" s="81" t="s">
        <v>479</v>
      </c>
      <c r="E522" s="48" t="str">
        <f aca="false">IFERROR(INDEX(输入报销!$E:$E,MATCH($A522&amp;"-1",输入报销!$J:$J,0))&amp;"","")</f>
        <v/>
      </c>
      <c r="F522" s="48" t="str">
        <f aca="false">IFERROR(INDEX(输入报销!$F:$F,MATCH($A522&amp;"-1",输入报销!$J:$J,0))&amp;"","")</f>
        <v/>
      </c>
      <c r="G522" s="49" t="n">
        <f aca="false">IFERROR(ROUND(INDEX(输入报销!$G:$G,MATCH($A522&amp;"-1",输入报销!$J:$J,0)),2),0)</f>
        <v>0</v>
      </c>
      <c r="H522" s="49" t="str">
        <f aca="false">IF(ROUND($G522,2)&gt;0,ROUND($G522,2),"")</f>
        <v/>
      </c>
      <c r="I522" s="49" t="str">
        <f aca="false">IF(ROUND($G522,2)&lt;0,-ROUND($G522,2),"")</f>
        <v/>
      </c>
      <c r="J522" s="20" t="n">
        <f aca="false">IF(ROUND($G522,2)=0,0,1)</f>
        <v>0</v>
      </c>
      <c r="K522" s="20" t="str">
        <f aca="false">IF($J522=0,"",SUM($J$522:$J522))</f>
        <v/>
      </c>
      <c r="L522" s="20" t="str">
        <f aca="false">IF($K522="","",$A522*100+$K522)</f>
        <v/>
      </c>
      <c r="M522" s="48" t="str">
        <f aca="false">IFERROR(INDEX(输入报销!$D:$D,MATCH($A522&amp;"-1",输入报销!$J:$J,0))&amp;"","")</f>
        <v/>
      </c>
    </row>
    <row r="523" customFormat="false" ht="13.5" hidden="false" customHeight="false" outlineLevel="0" collapsed="false">
      <c r="A523" s="47" t="n">
        <v>41</v>
      </c>
      <c r="C523" s="48" t="str">
        <f aca="false">助手报销!$C42</f>
        <v/>
      </c>
      <c r="D523" s="81" t="s">
        <v>480</v>
      </c>
      <c r="E523" s="48" t="str">
        <f aca="false">IFERROR(INDEX(输入报销!$E:$E,MATCH($A523&amp;"-2",输入报销!$J:$J,0))&amp;"","")</f>
        <v/>
      </c>
      <c r="F523" s="48" t="str">
        <f aca="false">IFERROR(INDEX(输入报销!$F:$F,MATCH($A523&amp;"-2",输入报销!$J:$J,0))&amp;"","")</f>
        <v/>
      </c>
      <c r="G523" s="49" t="n">
        <f aca="false">IFERROR(ROUND(INDEX(输入报销!$G:$G,MATCH($A523&amp;"-2",输入报销!$J:$J,0)),2),0)</f>
        <v>0</v>
      </c>
      <c r="H523" s="49" t="str">
        <f aca="false">IF(ROUND($G523,2)&gt;0,ROUND($G523,2),"")</f>
        <v/>
      </c>
      <c r="I523" s="49" t="str">
        <f aca="false">IF(ROUND($G523,2)&lt;0,-ROUND($G523,2),"")</f>
        <v/>
      </c>
      <c r="J523" s="20" t="n">
        <f aca="false">IF(ROUND($G523,2)=0,0,1)</f>
        <v>0</v>
      </c>
      <c r="K523" s="20" t="str">
        <f aca="false">IF($J523=0,"",SUM($J$522:$J523))</f>
        <v/>
      </c>
      <c r="L523" s="20" t="str">
        <f aca="false">IF($K523="","",$A523*100+$K523)</f>
        <v/>
      </c>
      <c r="M523" s="48" t="str">
        <f aca="false">IFERROR(INDEX(输入报销!$D:$D,MATCH($A523&amp;"-2",输入报销!$J:$J,0))&amp;"","")</f>
        <v/>
      </c>
    </row>
    <row r="524" customFormat="false" ht="13.5" hidden="false" customHeight="false" outlineLevel="0" collapsed="false">
      <c r="A524" s="47" t="n">
        <v>41</v>
      </c>
      <c r="C524" s="48" t="str">
        <f aca="false">助手报销!$C42</f>
        <v/>
      </c>
      <c r="D524" s="81" t="s">
        <v>481</v>
      </c>
      <c r="E524" s="48" t="str">
        <f aca="false">IFERROR(INDEX(输入报销!$E:$E,MATCH($A524&amp;"-3",输入报销!$J:$J,0))&amp;"","")</f>
        <v/>
      </c>
      <c r="F524" s="48" t="str">
        <f aca="false">IFERROR(INDEX(输入报销!$F:$F,MATCH($A524&amp;"-3",输入报销!$J:$J,0))&amp;"","")</f>
        <v/>
      </c>
      <c r="G524" s="49" t="n">
        <f aca="false">IFERROR(ROUND(INDEX(输入报销!$G:$G,MATCH($A524&amp;"-3",输入报销!$J:$J,0)),2),0)</f>
        <v>0</v>
      </c>
      <c r="H524" s="49" t="str">
        <f aca="false">IF(ROUND($G524,2)&gt;0,ROUND($G524,2),"")</f>
        <v/>
      </c>
      <c r="I524" s="49" t="str">
        <f aca="false">IF(ROUND($G524,2)&lt;0,-ROUND($G524,2),"")</f>
        <v/>
      </c>
      <c r="J524" s="20" t="n">
        <f aca="false">IF(ROUND($G524,2)=0,0,1)</f>
        <v>0</v>
      </c>
      <c r="K524" s="20" t="str">
        <f aca="false">IF($J524=0,"",SUM($J$522:$J524))</f>
        <v/>
      </c>
      <c r="L524" s="20" t="str">
        <f aca="false">IF($K524="","",$A524*100+$K524)</f>
        <v/>
      </c>
      <c r="M524" s="48" t="str">
        <f aca="false">IFERROR(INDEX(输入报销!$D:$D,MATCH($A524&amp;"-3",输入报销!$J:$J,0))&amp;"","")</f>
        <v/>
      </c>
    </row>
    <row r="525" customFormat="false" ht="13.5" hidden="false" customHeight="false" outlineLevel="0" collapsed="false">
      <c r="A525" s="47" t="n">
        <v>41</v>
      </c>
      <c r="C525" s="48" t="str">
        <f aca="false">助手报销!$C42</f>
        <v/>
      </c>
      <c r="D525" s="81" t="s">
        <v>482</v>
      </c>
      <c r="E525" s="48" t="str">
        <f aca="false">IFERROR(INDEX(输入报销!$E:$E,MATCH($A525&amp;"-4",输入报销!$J:$J,0))&amp;"","")</f>
        <v/>
      </c>
      <c r="F525" s="48" t="str">
        <f aca="false">IFERROR(INDEX(输入报销!$F:$F,MATCH($A525&amp;"-4",输入报销!$J:$J,0))&amp;"","")</f>
        <v/>
      </c>
      <c r="G525" s="49" t="n">
        <f aca="false">IFERROR(ROUND(INDEX(输入报销!$G:$G,MATCH($A525&amp;"-4",输入报销!$J:$J,0)),2),0)</f>
        <v>0</v>
      </c>
      <c r="H525" s="49" t="str">
        <f aca="false">IF(ROUND($G525,2)&gt;0,ROUND($G525,2),"")</f>
        <v/>
      </c>
      <c r="I525" s="49" t="str">
        <f aca="false">IF(ROUND($G525,2)&lt;0,-ROUND($G525,2),"")</f>
        <v/>
      </c>
      <c r="J525" s="20" t="n">
        <f aca="false">IF(ROUND($G525,2)=0,0,1)</f>
        <v>0</v>
      </c>
      <c r="K525" s="20" t="str">
        <f aca="false">IF($J525=0,"",SUM($J$522:$J525))</f>
        <v/>
      </c>
      <c r="L525" s="20" t="str">
        <f aca="false">IF($K525="","",$A525*100+$K525)</f>
        <v/>
      </c>
      <c r="M525" s="48" t="str">
        <f aca="false">IFERROR(INDEX(输入报销!$D:$D,MATCH($A525&amp;"-4",输入报销!$J:$J,0))&amp;"","")</f>
        <v/>
      </c>
    </row>
    <row r="526" customFormat="false" ht="13.5" hidden="false" customHeight="false" outlineLevel="0" collapsed="false">
      <c r="A526" s="47" t="n">
        <v>41</v>
      </c>
      <c r="C526" s="48" t="str">
        <f aca="false">助手报销!$C42</f>
        <v/>
      </c>
      <c r="D526" s="81" t="s">
        <v>483</v>
      </c>
      <c r="E526" s="48" t="str">
        <f aca="false">IFERROR(INDEX(输入报销!$E:$E,MATCH($A526&amp;"-5",输入报销!$J:$J,0))&amp;"","")</f>
        <v/>
      </c>
      <c r="F526" s="48" t="str">
        <f aca="false">IFERROR(INDEX(输入报销!$F:$F,MATCH($A526&amp;"-5",输入报销!$J:$J,0))&amp;"","")</f>
        <v/>
      </c>
      <c r="G526" s="49" t="n">
        <f aca="false">IFERROR(ROUND(INDEX(输入报销!$G:$G,MATCH($A526&amp;"-5",输入报销!$J:$J,0)),2),0)</f>
        <v>0</v>
      </c>
      <c r="H526" s="49" t="str">
        <f aca="false">IF(ROUND($G526,2)&gt;0,ROUND($G526,2),"")</f>
        <v/>
      </c>
      <c r="I526" s="49" t="str">
        <f aca="false">IF(ROUND($G526,2)&lt;0,-ROUND($G526,2),"")</f>
        <v/>
      </c>
      <c r="J526" s="20" t="n">
        <f aca="false">IF(ROUND($G526,2)=0,0,1)</f>
        <v>0</v>
      </c>
      <c r="K526" s="20" t="str">
        <f aca="false">IF($J526=0,"",SUM($J$522:$J526))</f>
        <v/>
      </c>
      <c r="L526" s="20" t="str">
        <f aca="false">IF($K526="","",$A526*100+$K526)</f>
        <v/>
      </c>
      <c r="M526" s="48" t="str">
        <f aca="false">IFERROR(INDEX(输入报销!$D:$D,MATCH($A526&amp;"-5",输入报销!$J:$J,0))&amp;"","")</f>
        <v/>
      </c>
    </row>
    <row r="527" customFormat="false" ht="13.5" hidden="false" customHeight="false" outlineLevel="0" collapsed="false">
      <c r="A527" s="47" t="n">
        <v>41</v>
      </c>
      <c r="C527" s="48" t="str">
        <f aca="false">助手报销!$C42</f>
        <v/>
      </c>
      <c r="D527" s="81" t="s">
        <v>484</v>
      </c>
      <c r="E527" s="48" t="str">
        <f aca="false">IFERROR(INDEX(输入报销!$E:$E,MATCH($A527&amp;"-6",输入报销!$J:$J,0))&amp;"","")</f>
        <v/>
      </c>
      <c r="F527" s="48" t="str">
        <f aca="false">IFERROR(INDEX(输入报销!$F:$F,MATCH($A527&amp;"-6",输入报销!$J:$J,0))&amp;"","")</f>
        <v/>
      </c>
      <c r="G527" s="49" t="n">
        <f aca="false">IFERROR(ROUND(INDEX(输入报销!$G:$G,MATCH($A527&amp;"-6",输入报销!$J:$J,0)),2),0)</f>
        <v>0</v>
      </c>
      <c r="H527" s="49" t="str">
        <f aca="false">IF(ROUND($G527,2)&gt;0,ROUND($G527,2),"")</f>
        <v/>
      </c>
      <c r="I527" s="49" t="str">
        <f aca="false">IF(ROUND($G527,2)&lt;0,-ROUND($G527,2),"")</f>
        <v/>
      </c>
      <c r="J527" s="20" t="n">
        <f aca="false">IF(ROUND($G527,2)=0,0,1)</f>
        <v>0</v>
      </c>
      <c r="K527" s="20" t="str">
        <f aca="false">IF($J527=0,"",SUM($J$522:$J527))</f>
        <v/>
      </c>
      <c r="L527" s="20" t="str">
        <f aca="false">IF($K527="","",$A527*100+$K527)</f>
        <v/>
      </c>
      <c r="M527" s="48" t="str">
        <f aca="false">IFERROR(INDEX(输入报销!$D:$D,MATCH($A527&amp;"-6",输入报销!$J:$J,0))&amp;"","")</f>
        <v/>
      </c>
    </row>
    <row r="528" customFormat="false" ht="13.5" hidden="false" customHeight="false" outlineLevel="0" collapsed="false">
      <c r="A528" s="47" t="n">
        <v>41</v>
      </c>
      <c r="C528" s="48" t="str">
        <f aca="false">助手报销!$C42</f>
        <v/>
      </c>
      <c r="D528" s="81" t="s">
        <v>485</v>
      </c>
      <c r="E528" s="48" t="str">
        <f aca="false">IFERROR(INDEX(输入报销!$E:$E,MATCH($A528&amp;"-7",输入报销!$J:$J,0))&amp;"","")</f>
        <v/>
      </c>
      <c r="F528" s="48" t="str">
        <f aca="false">IFERROR(INDEX(输入报销!$F:$F,MATCH($A528&amp;"-7",输入报销!$J:$J,0))&amp;"","")</f>
        <v/>
      </c>
      <c r="G528" s="49" t="n">
        <f aca="false">IFERROR(ROUND(INDEX(输入报销!$G:$G,MATCH($A528&amp;"-7",输入报销!$J:$J,0)),2),0)</f>
        <v>0</v>
      </c>
      <c r="H528" s="49" t="str">
        <f aca="false">IF(ROUND($G528,2)&gt;0,ROUND($G528,2),"")</f>
        <v/>
      </c>
      <c r="I528" s="49" t="str">
        <f aca="false">IF(ROUND($G528,2)&lt;0,-ROUND($G528,2),"")</f>
        <v/>
      </c>
      <c r="J528" s="20" t="n">
        <f aca="false">IF(ROUND($G528,2)=0,0,1)</f>
        <v>0</v>
      </c>
      <c r="K528" s="20" t="str">
        <f aca="false">IF($J528=0,"",SUM($J$522:$J528))</f>
        <v/>
      </c>
      <c r="L528" s="20" t="str">
        <f aca="false">IF($K528="","",$A528*100+$K528)</f>
        <v/>
      </c>
      <c r="M528" s="48" t="str">
        <f aca="false">IFERROR(INDEX(输入报销!$D:$D,MATCH($A528&amp;"-7",输入报销!$J:$J,0))&amp;"","")</f>
        <v/>
      </c>
    </row>
    <row r="529" customFormat="false" ht="13.5" hidden="false" customHeight="false" outlineLevel="0" collapsed="false">
      <c r="A529" s="47" t="n">
        <v>41</v>
      </c>
      <c r="C529" s="48" t="str">
        <f aca="false">助手报销!$C42</f>
        <v/>
      </c>
      <c r="D529" s="81" t="s">
        <v>486</v>
      </c>
      <c r="E529" s="48" t="str">
        <f aca="false">IFERROR(INDEX(输入报销!$E:$E,MATCH($A529&amp;"-8",输入报销!$J:$J,0))&amp;"","")</f>
        <v/>
      </c>
      <c r="F529" s="48" t="str">
        <f aca="false">IFERROR(INDEX(输入报销!$F:$F,MATCH($A529&amp;"-8",输入报销!$J:$J,0))&amp;"","")</f>
        <v/>
      </c>
      <c r="G529" s="49" t="n">
        <f aca="false">IFERROR(ROUND(INDEX(输入报销!$G:$G,MATCH($A529&amp;"-8",输入报销!$J:$J,0)),2),0)</f>
        <v>0</v>
      </c>
      <c r="H529" s="49" t="str">
        <f aca="false">IF(ROUND($G529,2)&gt;0,ROUND($G529,2),"")</f>
        <v/>
      </c>
      <c r="I529" s="49" t="str">
        <f aca="false">IF(ROUND($G529,2)&lt;0,-ROUND($G529,2),"")</f>
        <v/>
      </c>
      <c r="J529" s="20" t="n">
        <f aca="false">IF(ROUND($G529,2)=0,0,1)</f>
        <v>0</v>
      </c>
      <c r="K529" s="20" t="str">
        <f aca="false">IF($J529=0,"",SUM($J$522:$J529))</f>
        <v/>
      </c>
      <c r="L529" s="20" t="str">
        <f aca="false">IF($K529="","",$A529*100+$K529)</f>
        <v/>
      </c>
      <c r="M529" s="48" t="str">
        <f aca="false">IFERROR(INDEX(输入报销!$D:$D,MATCH($A529&amp;"-8",输入报销!$J:$J,0))&amp;"","")</f>
        <v/>
      </c>
    </row>
    <row r="530" customFormat="false" ht="13.5" hidden="false" customHeight="false" outlineLevel="0" collapsed="false">
      <c r="A530" s="47" t="n">
        <v>41</v>
      </c>
      <c r="C530" s="48" t="str">
        <f aca="false">助手报销!$C42</f>
        <v/>
      </c>
      <c r="D530" s="81" t="s">
        <v>487</v>
      </c>
      <c r="E530" s="48" t="str">
        <f aca="false">IFERROR(INDEX(输入报销!$E:$E,MATCH($A530&amp;"-9",输入报销!$J:$J,0))&amp;"","")</f>
        <v/>
      </c>
      <c r="F530" s="48" t="str">
        <f aca="false">IFERROR(INDEX(输入报销!$F:$F,MATCH($A530&amp;"-9",输入报销!$J:$J,0))&amp;"","")</f>
        <v/>
      </c>
      <c r="G530" s="49" t="n">
        <f aca="false">IFERROR(ROUND(INDEX(输入报销!$G:$G,MATCH($A530&amp;"-9",输入报销!$J:$J,0)),2),0)</f>
        <v>0</v>
      </c>
      <c r="H530" s="49" t="str">
        <f aca="false">IF(ROUND($G530,2)&gt;0,ROUND($G530,2),"")</f>
        <v/>
      </c>
      <c r="I530" s="49" t="str">
        <f aca="false">IF(ROUND($G530,2)&lt;0,-ROUND($G530,2),"")</f>
        <v/>
      </c>
      <c r="J530" s="20" t="n">
        <f aca="false">IF(ROUND($G530,2)=0,0,1)</f>
        <v>0</v>
      </c>
      <c r="K530" s="20" t="str">
        <f aca="false">IF($J530=0,"",SUM($J$522:$J530))</f>
        <v/>
      </c>
      <c r="L530" s="20" t="str">
        <f aca="false">IF($K530="","",$A530*100+$K530)</f>
        <v/>
      </c>
      <c r="M530" s="48" t="str">
        <f aca="false">IFERROR(INDEX(输入报销!$D:$D,MATCH($A530&amp;"-9",输入报销!$J:$J,0))&amp;"","")</f>
        <v/>
      </c>
    </row>
    <row r="531" customFormat="false" ht="13.5" hidden="false" customHeight="false" outlineLevel="0" collapsed="false">
      <c r="A531" s="47" t="n">
        <v>41</v>
      </c>
      <c r="C531" s="48" t="str">
        <f aca="false">助手报销!$C42</f>
        <v/>
      </c>
      <c r="D531" s="81" t="s">
        <v>488</v>
      </c>
      <c r="E531" s="48" t="str">
        <f aca="false">IFERROR(INDEX(输入报销!$E:$E,MATCH($A531&amp;"-10",输入报销!$J:$J,0))&amp;"","")</f>
        <v/>
      </c>
      <c r="F531" s="48" t="str">
        <f aca="false">IFERROR(INDEX(输入报销!$F:$F,MATCH($A531&amp;"-10",输入报销!$J:$J,0))&amp;"","")</f>
        <v/>
      </c>
      <c r="G531" s="49" t="n">
        <f aca="false">IFERROR(ROUND(INDEX(输入报销!$G:$G,MATCH($A531&amp;"-10",输入报销!$J:$J,0)),2),0)</f>
        <v>0</v>
      </c>
      <c r="H531" s="49" t="str">
        <f aca="false">IF(ROUND($G531,2)&gt;0,ROUND($G531,2),"")</f>
        <v/>
      </c>
      <c r="I531" s="49" t="str">
        <f aca="false">IF(ROUND($G531,2)&lt;0,-ROUND($G531,2),"")</f>
        <v/>
      </c>
      <c r="J531" s="20" t="n">
        <f aca="false">IF(ROUND($G531,2)=0,0,1)</f>
        <v>0</v>
      </c>
      <c r="K531" s="20" t="str">
        <f aca="false">IF($J531=0,"",SUM($J$522:$J531))</f>
        <v/>
      </c>
      <c r="L531" s="20" t="str">
        <f aca="false">IF($K531="","",$A531*100+$K531)</f>
        <v/>
      </c>
      <c r="M531" s="48" t="str">
        <f aca="false">IFERROR(INDEX(输入报销!$D:$D,MATCH($A531&amp;"-10",输入报销!$J:$J,0))&amp;"","")</f>
        <v/>
      </c>
    </row>
    <row r="532" customFormat="false" ht="13.5" hidden="false" customHeight="false" outlineLevel="0" collapsed="false">
      <c r="A532" s="47" t="n">
        <v>41</v>
      </c>
      <c r="C532" s="48" t="str">
        <f aca="false">助手报销!$C42</f>
        <v/>
      </c>
      <c r="D532" s="81" t="s">
        <v>489</v>
      </c>
      <c r="E532" s="48" t="str">
        <f aca="false">参数!$B$6</f>
        <v>库存现金</v>
      </c>
      <c r="F532" s="48" t="str">
        <f aca="false">""</f>
        <v/>
      </c>
      <c r="G532" s="49" t="n">
        <f aca="false">-ROUND(SUMIFS(输入报销!$G:$G,输入报销!$A:$A,$A532,输入报销!$H:$H,参数!$B$6),2)</f>
        <v>-0</v>
      </c>
      <c r="H532" s="49" t="str">
        <f aca="false">IF(ROUND($G532,2)&gt;0,ROUND($G532,2),"")</f>
        <v/>
      </c>
      <c r="I532" s="49" t="str">
        <f aca="false">IF(ROUND($G532,2)&lt;0,-ROUND($G532,2),"")</f>
        <v/>
      </c>
      <c r="J532" s="20" t="n">
        <f aca="false">IF(ROUND($G532,2)=0,0,1)</f>
        <v>0</v>
      </c>
      <c r="K532" s="20" t="str">
        <f aca="false">IF($J532=0,"",SUM($J$522:$J532))</f>
        <v/>
      </c>
      <c r="L532" s="20" t="str">
        <f aca="false">IF($K532="","",$A532*100+$K532)</f>
        <v/>
      </c>
      <c r="M532" s="48" t="str">
        <f aca="false">""</f>
        <v/>
      </c>
    </row>
    <row r="533" customFormat="false" ht="13.5" hidden="false" customHeight="false" outlineLevel="0" collapsed="false">
      <c r="A533" s="47" t="n">
        <v>41</v>
      </c>
      <c r="C533" s="48" t="str">
        <f aca="false">助手报销!$C42</f>
        <v/>
      </c>
      <c r="D533" s="81" t="s">
        <v>490</v>
      </c>
      <c r="E533" s="48" t="str">
        <f aca="false">参数!$B$7</f>
        <v>银行存款</v>
      </c>
      <c r="F533" s="48" t="str">
        <f aca="false">""</f>
        <v/>
      </c>
      <c r="G533" s="49" t="n">
        <f aca="false">-ROUND(SUMIFS(输入报销!$G:$G,输入报销!$A:$A,$A533,输入报销!$H:$H,参数!$B$7),2)</f>
        <v>-0</v>
      </c>
      <c r="H533" s="49" t="str">
        <f aca="false">IF(ROUND($G533,2)&gt;0,ROUND($G533,2),"")</f>
        <v/>
      </c>
      <c r="I533" s="49" t="str">
        <f aca="false">IF(ROUND($G533,2)&lt;0,-ROUND($G533,2),"")</f>
        <v/>
      </c>
      <c r="J533" s="20" t="n">
        <f aca="false">IF(ROUND($G533,2)=0,0,1)</f>
        <v>0</v>
      </c>
      <c r="K533" s="20" t="str">
        <f aca="false">IF($J533=0,"",SUM($J$522:$J533))</f>
        <v/>
      </c>
      <c r="L533" s="20" t="str">
        <f aca="false">IF($K533="","",$A533*100+$K533)</f>
        <v/>
      </c>
      <c r="M533" s="48" t="str">
        <f aca="false">""</f>
        <v/>
      </c>
    </row>
    <row r="534" customFormat="false" ht="13.5" hidden="false" customHeight="false" outlineLevel="0" collapsed="false">
      <c r="A534" s="47" t="n">
        <v>41</v>
      </c>
      <c r="C534" s="48" t="str">
        <f aca="false">助手报销!$C42</f>
        <v/>
      </c>
      <c r="D534" s="81" t="s">
        <v>491</v>
      </c>
      <c r="E534" s="48" t="str">
        <f aca="false">参数!$B$8</f>
        <v>其他应付款</v>
      </c>
      <c r="F534" s="48" t="str">
        <f aca="false">""</f>
        <v/>
      </c>
      <c r="G534" s="49" t="n">
        <f aca="false">-ROUND(SUMIFS(输入报销!$G:$G,输入报销!$A:$A,$A534,输入报销!$H:$H,参数!$B$8),2)</f>
        <v>-0</v>
      </c>
      <c r="H534" s="49" t="str">
        <f aca="false">IF(ROUND($G534,2)&gt;0,ROUND($G534,2),"")</f>
        <v/>
      </c>
      <c r="I534" s="49" t="str">
        <f aca="false">IF(ROUND($G534,2)&lt;0,-ROUND($G534,2),"")</f>
        <v/>
      </c>
      <c r="J534" s="20" t="n">
        <f aca="false">IF(ROUND($G534,2)=0,0,1)</f>
        <v>0</v>
      </c>
      <c r="K534" s="20" t="str">
        <f aca="false">IF($J534=0,"",SUM($J$522:$J534))</f>
        <v/>
      </c>
      <c r="L534" s="20" t="str">
        <f aca="false">IF($K534="","",$A534*100+$K534)</f>
        <v/>
      </c>
      <c r="M534" s="48" t="str">
        <f aca="false">""</f>
        <v/>
      </c>
    </row>
    <row r="535" customFormat="false" ht="13.5" hidden="false" customHeight="false" outlineLevel="0" collapsed="false">
      <c r="A535" s="47" t="n">
        <v>42</v>
      </c>
      <c r="C535" s="48" t="str">
        <f aca="false">助手报销!$C43</f>
        <v/>
      </c>
      <c r="D535" s="81" t="s">
        <v>479</v>
      </c>
      <c r="E535" s="48" t="str">
        <f aca="false">IFERROR(INDEX(输入报销!$E:$E,MATCH($A535&amp;"-1",输入报销!$J:$J,0))&amp;"","")</f>
        <v/>
      </c>
      <c r="F535" s="48" t="str">
        <f aca="false">IFERROR(INDEX(输入报销!$F:$F,MATCH($A535&amp;"-1",输入报销!$J:$J,0))&amp;"","")</f>
        <v/>
      </c>
      <c r="G535" s="49" t="n">
        <f aca="false">IFERROR(ROUND(INDEX(输入报销!$G:$G,MATCH($A535&amp;"-1",输入报销!$J:$J,0)),2),0)</f>
        <v>0</v>
      </c>
      <c r="H535" s="49" t="str">
        <f aca="false">IF(ROUND($G535,2)&gt;0,ROUND($G535,2),"")</f>
        <v/>
      </c>
      <c r="I535" s="49" t="str">
        <f aca="false">IF(ROUND($G535,2)&lt;0,-ROUND($G535,2),"")</f>
        <v/>
      </c>
      <c r="J535" s="20" t="n">
        <f aca="false">IF(ROUND($G535,2)=0,0,1)</f>
        <v>0</v>
      </c>
      <c r="K535" s="20" t="str">
        <f aca="false">IF($J535=0,"",SUM($J$535:$J535))</f>
        <v/>
      </c>
      <c r="L535" s="20" t="str">
        <f aca="false">IF($K535="","",$A535*100+$K535)</f>
        <v/>
      </c>
      <c r="M535" s="48" t="str">
        <f aca="false">IFERROR(INDEX(输入报销!$D:$D,MATCH($A535&amp;"-1",输入报销!$J:$J,0))&amp;"","")</f>
        <v/>
      </c>
    </row>
    <row r="536" customFormat="false" ht="13.5" hidden="false" customHeight="false" outlineLevel="0" collapsed="false">
      <c r="A536" s="47" t="n">
        <v>42</v>
      </c>
      <c r="C536" s="48" t="str">
        <f aca="false">助手报销!$C43</f>
        <v/>
      </c>
      <c r="D536" s="81" t="s">
        <v>480</v>
      </c>
      <c r="E536" s="48" t="str">
        <f aca="false">IFERROR(INDEX(输入报销!$E:$E,MATCH($A536&amp;"-2",输入报销!$J:$J,0))&amp;"","")</f>
        <v/>
      </c>
      <c r="F536" s="48" t="str">
        <f aca="false">IFERROR(INDEX(输入报销!$F:$F,MATCH($A536&amp;"-2",输入报销!$J:$J,0))&amp;"","")</f>
        <v/>
      </c>
      <c r="G536" s="49" t="n">
        <f aca="false">IFERROR(ROUND(INDEX(输入报销!$G:$G,MATCH($A536&amp;"-2",输入报销!$J:$J,0)),2),0)</f>
        <v>0</v>
      </c>
      <c r="H536" s="49" t="str">
        <f aca="false">IF(ROUND($G536,2)&gt;0,ROUND($G536,2),"")</f>
        <v/>
      </c>
      <c r="I536" s="49" t="str">
        <f aca="false">IF(ROUND($G536,2)&lt;0,-ROUND($G536,2),"")</f>
        <v/>
      </c>
      <c r="J536" s="20" t="n">
        <f aca="false">IF(ROUND($G536,2)=0,0,1)</f>
        <v>0</v>
      </c>
      <c r="K536" s="20" t="str">
        <f aca="false">IF($J536=0,"",SUM($J$535:$J536))</f>
        <v/>
      </c>
      <c r="L536" s="20" t="str">
        <f aca="false">IF($K536="","",$A536*100+$K536)</f>
        <v/>
      </c>
      <c r="M536" s="48" t="str">
        <f aca="false">IFERROR(INDEX(输入报销!$D:$D,MATCH($A536&amp;"-2",输入报销!$J:$J,0))&amp;"","")</f>
        <v/>
      </c>
    </row>
    <row r="537" customFormat="false" ht="13.5" hidden="false" customHeight="false" outlineLevel="0" collapsed="false">
      <c r="A537" s="47" t="n">
        <v>42</v>
      </c>
      <c r="C537" s="48" t="str">
        <f aca="false">助手报销!$C43</f>
        <v/>
      </c>
      <c r="D537" s="81" t="s">
        <v>481</v>
      </c>
      <c r="E537" s="48" t="str">
        <f aca="false">IFERROR(INDEX(输入报销!$E:$E,MATCH($A537&amp;"-3",输入报销!$J:$J,0))&amp;"","")</f>
        <v/>
      </c>
      <c r="F537" s="48" t="str">
        <f aca="false">IFERROR(INDEX(输入报销!$F:$F,MATCH($A537&amp;"-3",输入报销!$J:$J,0))&amp;"","")</f>
        <v/>
      </c>
      <c r="G537" s="49" t="n">
        <f aca="false">IFERROR(ROUND(INDEX(输入报销!$G:$G,MATCH($A537&amp;"-3",输入报销!$J:$J,0)),2),0)</f>
        <v>0</v>
      </c>
      <c r="H537" s="49" t="str">
        <f aca="false">IF(ROUND($G537,2)&gt;0,ROUND($G537,2),"")</f>
        <v/>
      </c>
      <c r="I537" s="49" t="str">
        <f aca="false">IF(ROUND($G537,2)&lt;0,-ROUND($G537,2),"")</f>
        <v/>
      </c>
      <c r="J537" s="20" t="n">
        <f aca="false">IF(ROUND($G537,2)=0,0,1)</f>
        <v>0</v>
      </c>
      <c r="K537" s="20" t="str">
        <f aca="false">IF($J537=0,"",SUM($J$535:$J537))</f>
        <v/>
      </c>
      <c r="L537" s="20" t="str">
        <f aca="false">IF($K537="","",$A537*100+$K537)</f>
        <v/>
      </c>
      <c r="M537" s="48" t="str">
        <f aca="false">IFERROR(INDEX(输入报销!$D:$D,MATCH($A537&amp;"-3",输入报销!$J:$J,0))&amp;"","")</f>
        <v/>
      </c>
    </row>
    <row r="538" customFormat="false" ht="13.5" hidden="false" customHeight="false" outlineLevel="0" collapsed="false">
      <c r="A538" s="47" t="n">
        <v>42</v>
      </c>
      <c r="C538" s="48" t="str">
        <f aca="false">助手报销!$C43</f>
        <v/>
      </c>
      <c r="D538" s="81" t="s">
        <v>482</v>
      </c>
      <c r="E538" s="48" t="str">
        <f aca="false">IFERROR(INDEX(输入报销!$E:$E,MATCH($A538&amp;"-4",输入报销!$J:$J,0))&amp;"","")</f>
        <v/>
      </c>
      <c r="F538" s="48" t="str">
        <f aca="false">IFERROR(INDEX(输入报销!$F:$F,MATCH($A538&amp;"-4",输入报销!$J:$J,0))&amp;"","")</f>
        <v/>
      </c>
      <c r="G538" s="49" t="n">
        <f aca="false">IFERROR(ROUND(INDEX(输入报销!$G:$G,MATCH($A538&amp;"-4",输入报销!$J:$J,0)),2),0)</f>
        <v>0</v>
      </c>
      <c r="H538" s="49" t="str">
        <f aca="false">IF(ROUND($G538,2)&gt;0,ROUND($G538,2),"")</f>
        <v/>
      </c>
      <c r="I538" s="49" t="str">
        <f aca="false">IF(ROUND($G538,2)&lt;0,-ROUND($G538,2),"")</f>
        <v/>
      </c>
      <c r="J538" s="20" t="n">
        <f aca="false">IF(ROUND($G538,2)=0,0,1)</f>
        <v>0</v>
      </c>
      <c r="K538" s="20" t="str">
        <f aca="false">IF($J538=0,"",SUM($J$535:$J538))</f>
        <v/>
      </c>
      <c r="L538" s="20" t="str">
        <f aca="false">IF($K538="","",$A538*100+$K538)</f>
        <v/>
      </c>
      <c r="M538" s="48" t="str">
        <f aca="false">IFERROR(INDEX(输入报销!$D:$D,MATCH($A538&amp;"-4",输入报销!$J:$J,0))&amp;"","")</f>
        <v/>
      </c>
    </row>
    <row r="539" customFormat="false" ht="13.5" hidden="false" customHeight="false" outlineLevel="0" collapsed="false">
      <c r="A539" s="47" t="n">
        <v>42</v>
      </c>
      <c r="C539" s="48" t="str">
        <f aca="false">助手报销!$C43</f>
        <v/>
      </c>
      <c r="D539" s="81" t="s">
        <v>483</v>
      </c>
      <c r="E539" s="48" t="str">
        <f aca="false">IFERROR(INDEX(输入报销!$E:$E,MATCH($A539&amp;"-5",输入报销!$J:$J,0))&amp;"","")</f>
        <v/>
      </c>
      <c r="F539" s="48" t="str">
        <f aca="false">IFERROR(INDEX(输入报销!$F:$F,MATCH($A539&amp;"-5",输入报销!$J:$J,0))&amp;"","")</f>
        <v/>
      </c>
      <c r="G539" s="49" t="n">
        <f aca="false">IFERROR(ROUND(INDEX(输入报销!$G:$G,MATCH($A539&amp;"-5",输入报销!$J:$J,0)),2),0)</f>
        <v>0</v>
      </c>
      <c r="H539" s="49" t="str">
        <f aca="false">IF(ROUND($G539,2)&gt;0,ROUND($G539,2),"")</f>
        <v/>
      </c>
      <c r="I539" s="49" t="str">
        <f aca="false">IF(ROUND($G539,2)&lt;0,-ROUND($G539,2),"")</f>
        <v/>
      </c>
      <c r="J539" s="20" t="n">
        <f aca="false">IF(ROUND($G539,2)=0,0,1)</f>
        <v>0</v>
      </c>
      <c r="K539" s="20" t="str">
        <f aca="false">IF($J539=0,"",SUM($J$535:$J539))</f>
        <v/>
      </c>
      <c r="L539" s="20" t="str">
        <f aca="false">IF($K539="","",$A539*100+$K539)</f>
        <v/>
      </c>
      <c r="M539" s="48" t="str">
        <f aca="false">IFERROR(INDEX(输入报销!$D:$D,MATCH($A539&amp;"-5",输入报销!$J:$J,0))&amp;"","")</f>
        <v/>
      </c>
    </row>
    <row r="540" customFormat="false" ht="13.5" hidden="false" customHeight="false" outlineLevel="0" collapsed="false">
      <c r="A540" s="47" t="n">
        <v>42</v>
      </c>
      <c r="C540" s="48" t="str">
        <f aca="false">助手报销!$C43</f>
        <v/>
      </c>
      <c r="D540" s="81" t="s">
        <v>484</v>
      </c>
      <c r="E540" s="48" t="str">
        <f aca="false">IFERROR(INDEX(输入报销!$E:$E,MATCH($A540&amp;"-6",输入报销!$J:$J,0))&amp;"","")</f>
        <v/>
      </c>
      <c r="F540" s="48" t="str">
        <f aca="false">IFERROR(INDEX(输入报销!$F:$F,MATCH($A540&amp;"-6",输入报销!$J:$J,0))&amp;"","")</f>
        <v/>
      </c>
      <c r="G540" s="49" t="n">
        <f aca="false">IFERROR(ROUND(INDEX(输入报销!$G:$G,MATCH($A540&amp;"-6",输入报销!$J:$J,0)),2),0)</f>
        <v>0</v>
      </c>
      <c r="H540" s="49" t="str">
        <f aca="false">IF(ROUND($G540,2)&gt;0,ROUND($G540,2),"")</f>
        <v/>
      </c>
      <c r="I540" s="49" t="str">
        <f aca="false">IF(ROUND($G540,2)&lt;0,-ROUND($G540,2),"")</f>
        <v/>
      </c>
      <c r="J540" s="20" t="n">
        <f aca="false">IF(ROUND($G540,2)=0,0,1)</f>
        <v>0</v>
      </c>
      <c r="K540" s="20" t="str">
        <f aca="false">IF($J540=0,"",SUM($J$535:$J540))</f>
        <v/>
      </c>
      <c r="L540" s="20" t="str">
        <f aca="false">IF($K540="","",$A540*100+$K540)</f>
        <v/>
      </c>
      <c r="M540" s="48" t="str">
        <f aca="false">IFERROR(INDEX(输入报销!$D:$D,MATCH($A540&amp;"-6",输入报销!$J:$J,0))&amp;"","")</f>
        <v/>
      </c>
    </row>
    <row r="541" customFormat="false" ht="13.5" hidden="false" customHeight="false" outlineLevel="0" collapsed="false">
      <c r="A541" s="47" t="n">
        <v>42</v>
      </c>
      <c r="C541" s="48" t="str">
        <f aca="false">助手报销!$C43</f>
        <v/>
      </c>
      <c r="D541" s="81" t="s">
        <v>485</v>
      </c>
      <c r="E541" s="48" t="str">
        <f aca="false">IFERROR(INDEX(输入报销!$E:$E,MATCH($A541&amp;"-7",输入报销!$J:$J,0))&amp;"","")</f>
        <v/>
      </c>
      <c r="F541" s="48" t="str">
        <f aca="false">IFERROR(INDEX(输入报销!$F:$F,MATCH($A541&amp;"-7",输入报销!$J:$J,0))&amp;"","")</f>
        <v/>
      </c>
      <c r="G541" s="49" t="n">
        <f aca="false">IFERROR(ROUND(INDEX(输入报销!$G:$G,MATCH($A541&amp;"-7",输入报销!$J:$J,0)),2),0)</f>
        <v>0</v>
      </c>
      <c r="H541" s="49" t="str">
        <f aca="false">IF(ROUND($G541,2)&gt;0,ROUND($G541,2),"")</f>
        <v/>
      </c>
      <c r="I541" s="49" t="str">
        <f aca="false">IF(ROUND($G541,2)&lt;0,-ROUND($G541,2),"")</f>
        <v/>
      </c>
      <c r="J541" s="20" t="n">
        <f aca="false">IF(ROUND($G541,2)=0,0,1)</f>
        <v>0</v>
      </c>
      <c r="K541" s="20" t="str">
        <f aca="false">IF($J541=0,"",SUM($J$535:$J541))</f>
        <v/>
      </c>
      <c r="L541" s="20" t="str">
        <f aca="false">IF($K541="","",$A541*100+$K541)</f>
        <v/>
      </c>
      <c r="M541" s="48" t="str">
        <f aca="false">IFERROR(INDEX(输入报销!$D:$D,MATCH($A541&amp;"-7",输入报销!$J:$J,0))&amp;"","")</f>
        <v/>
      </c>
    </row>
    <row r="542" customFormat="false" ht="13.5" hidden="false" customHeight="false" outlineLevel="0" collapsed="false">
      <c r="A542" s="47" t="n">
        <v>42</v>
      </c>
      <c r="C542" s="48" t="str">
        <f aca="false">助手报销!$C43</f>
        <v/>
      </c>
      <c r="D542" s="81" t="s">
        <v>486</v>
      </c>
      <c r="E542" s="48" t="str">
        <f aca="false">IFERROR(INDEX(输入报销!$E:$E,MATCH($A542&amp;"-8",输入报销!$J:$J,0))&amp;"","")</f>
        <v/>
      </c>
      <c r="F542" s="48" t="str">
        <f aca="false">IFERROR(INDEX(输入报销!$F:$F,MATCH($A542&amp;"-8",输入报销!$J:$J,0))&amp;"","")</f>
        <v/>
      </c>
      <c r="G542" s="49" t="n">
        <f aca="false">IFERROR(ROUND(INDEX(输入报销!$G:$G,MATCH($A542&amp;"-8",输入报销!$J:$J,0)),2),0)</f>
        <v>0</v>
      </c>
      <c r="H542" s="49" t="str">
        <f aca="false">IF(ROUND($G542,2)&gt;0,ROUND($G542,2),"")</f>
        <v/>
      </c>
      <c r="I542" s="49" t="str">
        <f aca="false">IF(ROUND($G542,2)&lt;0,-ROUND($G542,2),"")</f>
        <v/>
      </c>
      <c r="J542" s="20" t="n">
        <f aca="false">IF(ROUND($G542,2)=0,0,1)</f>
        <v>0</v>
      </c>
      <c r="K542" s="20" t="str">
        <f aca="false">IF($J542=0,"",SUM($J$535:$J542))</f>
        <v/>
      </c>
      <c r="L542" s="20" t="str">
        <f aca="false">IF($K542="","",$A542*100+$K542)</f>
        <v/>
      </c>
      <c r="M542" s="48" t="str">
        <f aca="false">IFERROR(INDEX(输入报销!$D:$D,MATCH($A542&amp;"-8",输入报销!$J:$J,0))&amp;"","")</f>
        <v/>
      </c>
    </row>
    <row r="543" customFormat="false" ht="13.5" hidden="false" customHeight="false" outlineLevel="0" collapsed="false">
      <c r="A543" s="47" t="n">
        <v>42</v>
      </c>
      <c r="C543" s="48" t="str">
        <f aca="false">助手报销!$C43</f>
        <v/>
      </c>
      <c r="D543" s="81" t="s">
        <v>487</v>
      </c>
      <c r="E543" s="48" t="str">
        <f aca="false">IFERROR(INDEX(输入报销!$E:$E,MATCH($A543&amp;"-9",输入报销!$J:$J,0))&amp;"","")</f>
        <v/>
      </c>
      <c r="F543" s="48" t="str">
        <f aca="false">IFERROR(INDEX(输入报销!$F:$F,MATCH($A543&amp;"-9",输入报销!$J:$J,0))&amp;"","")</f>
        <v/>
      </c>
      <c r="G543" s="49" t="n">
        <f aca="false">IFERROR(ROUND(INDEX(输入报销!$G:$G,MATCH($A543&amp;"-9",输入报销!$J:$J,0)),2),0)</f>
        <v>0</v>
      </c>
      <c r="H543" s="49" t="str">
        <f aca="false">IF(ROUND($G543,2)&gt;0,ROUND($G543,2),"")</f>
        <v/>
      </c>
      <c r="I543" s="49" t="str">
        <f aca="false">IF(ROUND($G543,2)&lt;0,-ROUND($G543,2),"")</f>
        <v/>
      </c>
      <c r="J543" s="20" t="n">
        <f aca="false">IF(ROUND($G543,2)=0,0,1)</f>
        <v>0</v>
      </c>
      <c r="K543" s="20" t="str">
        <f aca="false">IF($J543=0,"",SUM($J$535:$J543))</f>
        <v/>
      </c>
      <c r="L543" s="20" t="str">
        <f aca="false">IF($K543="","",$A543*100+$K543)</f>
        <v/>
      </c>
      <c r="M543" s="48" t="str">
        <f aca="false">IFERROR(INDEX(输入报销!$D:$D,MATCH($A543&amp;"-9",输入报销!$J:$J,0))&amp;"","")</f>
        <v/>
      </c>
    </row>
    <row r="544" customFormat="false" ht="13.5" hidden="false" customHeight="false" outlineLevel="0" collapsed="false">
      <c r="A544" s="47" t="n">
        <v>42</v>
      </c>
      <c r="C544" s="48" t="str">
        <f aca="false">助手报销!$C43</f>
        <v/>
      </c>
      <c r="D544" s="81" t="s">
        <v>488</v>
      </c>
      <c r="E544" s="48" t="str">
        <f aca="false">IFERROR(INDEX(输入报销!$E:$E,MATCH($A544&amp;"-10",输入报销!$J:$J,0))&amp;"","")</f>
        <v/>
      </c>
      <c r="F544" s="48" t="str">
        <f aca="false">IFERROR(INDEX(输入报销!$F:$F,MATCH($A544&amp;"-10",输入报销!$J:$J,0))&amp;"","")</f>
        <v/>
      </c>
      <c r="G544" s="49" t="n">
        <f aca="false">IFERROR(ROUND(INDEX(输入报销!$G:$G,MATCH($A544&amp;"-10",输入报销!$J:$J,0)),2),0)</f>
        <v>0</v>
      </c>
      <c r="H544" s="49" t="str">
        <f aca="false">IF(ROUND($G544,2)&gt;0,ROUND($G544,2),"")</f>
        <v/>
      </c>
      <c r="I544" s="49" t="str">
        <f aca="false">IF(ROUND($G544,2)&lt;0,-ROUND($G544,2),"")</f>
        <v/>
      </c>
      <c r="J544" s="20" t="n">
        <f aca="false">IF(ROUND($G544,2)=0,0,1)</f>
        <v>0</v>
      </c>
      <c r="K544" s="20" t="str">
        <f aca="false">IF($J544=0,"",SUM($J$535:$J544))</f>
        <v/>
      </c>
      <c r="L544" s="20" t="str">
        <f aca="false">IF($K544="","",$A544*100+$K544)</f>
        <v/>
      </c>
      <c r="M544" s="48" t="str">
        <f aca="false">IFERROR(INDEX(输入报销!$D:$D,MATCH($A544&amp;"-10",输入报销!$J:$J,0))&amp;"","")</f>
        <v/>
      </c>
    </row>
    <row r="545" customFormat="false" ht="13.5" hidden="false" customHeight="false" outlineLevel="0" collapsed="false">
      <c r="A545" s="47" t="n">
        <v>42</v>
      </c>
      <c r="C545" s="48" t="str">
        <f aca="false">助手报销!$C43</f>
        <v/>
      </c>
      <c r="D545" s="81" t="s">
        <v>489</v>
      </c>
      <c r="E545" s="48" t="str">
        <f aca="false">参数!$B$6</f>
        <v>库存现金</v>
      </c>
      <c r="F545" s="48" t="str">
        <f aca="false">""</f>
        <v/>
      </c>
      <c r="G545" s="49" t="n">
        <f aca="false">-ROUND(SUMIFS(输入报销!$G:$G,输入报销!$A:$A,$A545,输入报销!$H:$H,参数!$B$6),2)</f>
        <v>-0</v>
      </c>
      <c r="H545" s="49" t="str">
        <f aca="false">IF(ROUND($G545,2)&gt;0,ROUND($G545,2),"")</f>
        <v/>
      </c>
      <c r="I545" s="49" t="str">
        <f aca="false">IF(ROUND($G545,2)&lt;0,-ROUND($G545,2),"")</f>
        <v/>
      </c>
      <c r="J545" s="20" t="n">
        <f aca="false">IF(ROUND($G545,2)=0,0,1)</f>
        <v>0</v>
      </c>
      <c r="K545" s="20" t="str">
        <f aca="false">IF($J545=0,"",SUM($J$535:$J545))</f>
        <v/>
      </c>
      <c r="L545" s="20" t="str">
        <f aca="false">IF($K545="","",$A545*100+$K545)</f>
        <v/>
      </c>
      <c r="M545" s="48" t="str">
        <f aca="false">""</f>
        <v/>
      </c>
    </row>
    <row r="546" customFormat="false" ht="13.5" hidden="false" customHeight="false" outlineLevel="0" collapsed="false">
      <c r="A546" s="47" t="n">
        <v>42</v>
      </c>
      <c r="C546" s="48" t="str">
        <f aca="false">助手报销!$C43</f>
        <v/>
      </c>
      <c r="D546" s="81" t="s">
        <v>490</v>
      </c>
      <c r="E546" s="48" t="str">
        <f aca="false">参数!$B$7</f>
        <v>银行存款</v>
      </c>
      <c r="F546" s="48" t="str">
        <f aca="false">""</f>
        <v/>
      </c>
      <c r="G546" s="49" t="n">
        <f aca="false">-ROUND(SUMIFS(输入报销!$G:$G,输入报销!$A:$A,$A546,输入报销!$H:$H,参数!$B$7),2)</f>
        <v>-0</v>
      </c>
      <c r="H546" s="49" t="str">
        <f aca="false">IF(ROUND($G546,2)&gt;0,ROUND($G546,2),"")</f>
        <v/>
      </c>
      <c r="I546" s="49" t="str">
        <f aca="false">IF(ROUND($G546,2)&lt;0,-ROUND($G546,2),"")</f>
        <v/>
      </c>
      <c r="J546" s="20" t="n">
        <f aca="false">IF(ROUND($G546,2)=0,0,1)</f>
        <v>0</v>
      </c>
      <c r="K546" s="20" t="str">
        <f aca="false">IF($J546=0,"",SUM($J$535:$J546))</f>
        <v/>
      </c>
      <c r="L546" s="20" t="str">
        <f aca="false">IF($K546="","",$A546*100+$K546)</f>
        <v/>
      </c>
      <c r="M546" s="48" t="str">
        <f aca="false">""</f>
        <v/>
      </c>
    </row>
    <row r="547" customFormat="false" ht="13.5" hidden="false" customHeight="false" outlineLevel="0" collapsed="false">
      <c r="A547" s="47" t="n">
        <v>42</v>
      </c>
      <c r="C547" s="48" t="str">
        <f aca="false">助手报销!$C43</f>
        <v/>
      </c>
      <c r="D547" s="81" t="s">
        <v>491</v>
      </c>
      <c r="E547" s="48" t="str">
        <f aca="false">参数!$B$8</f>
        <v>其他应付款</v>
      </c>
      <c r="F547" s="48" t="str">
        <f aca="false">""</f>
        <v/>
      </c>
      <c r="G547" s="49" t="n">
        <f aca="false">-ROUND(SUMIFS(输入报销!$G:$G,输入报销!$A:$A,$A547,输入报销!$H:$H,参数!$B$8),2)</f>
        <v>-0</v>
      </c>
      <c r="H547" s="49" t="str">
        <f aca="false">IF(ROUND($G547,2)&gt;0,ROUND($G547,2),"")</f>
        <v/>
      </c>
      <c r="I547" s="49" t="str">
        <f aca="false">IF(ROUND($G547,2)&lt;0,-ROUND($G547,2),"")</f>
        <v/>
      </c>
      <c r="J547" s="20" t="n">
        <f aca="false">IF(ROUND($G547,2)=0,0,1)</f>
        <v>0</v>
      </c>
      <c r="K547" s="20" t="str">
        <f aca="false">IF($J547=0,"",SUM($J$535:$J547))</f>
        <v/>
      </c>
      <c r="L547" s="20" t="str">
        <f aca="false">IF($K547="","",$A547*100+$K547)</f>
        <v/>
      </c>
      <c r="M547" s="48" t="str">
        <f aca="false">""</f>
        <v/>
      </c>
    </row>
    <row r="548" customFormat="false" ht="13.5" hidden="false" customHeight="false" outlineLevel="0" collapsed="false">
      <c r="A548" s="47" t="n">
        <v>43</v>
      </c>
      <c r="C548" s="48" t="str">
        <f aca="false">助手报销!$C44</f>
        <v/>
      </c>
      <c r="D548" s="81" t="s">
        <v>479</v>
      </c>
      <c r="E548" s="48" t="str">
        <f aca="false">IFERROR(INDEX(输入报销!$E:$E,MATCH($A548&amp;"-1",输入报销!$J:$J,0))&amp;"","")</f>
        <v/>
      </c>
      <c r="F548" s="48" t="str">
        <f aca="false">IFERROR(INDEX(输入报销!$F:$F,MATCH($A548&amp;"-1",输入报销!$J:$J,0))&amp;"","")</f>
        <v/>
      </c>
      <c r="G548" s="49" t="n">
        <f aca="false">IFERROR(ROUND(INDEX(输入报销!$G:$G,MATCH($A548&amp;"-1",输入报销!$J:$J,0)),2),0)</f>
        <v>0</v>
      </c>
      <c r="H548" s="49" t="str">
        <f aca="false">IF(ROUND($G548,2)&gt;0,ROUND($G548,2),"")</f>
        <v/>
      </c>
      <c r="I548" s="49" t="str">
        <f aca="false">IF(ROUND($G548,2)&lt;0,-ROUND($G548,2),"")</f>
        <v/>
      </c>
      <c r="J548" s="20" t="n">
        <f aca="false">IF(ROUND($G548,2)=0,0,1)</f>
        <v>0</v>
      </c>
      <c r="K548" s="20" t="str">
        <f aca="false">IF($J548=0,"",SUM($J$548:$J548))</f>
        <v/>
      </c>
      <c r="L548" s="20" t="str">
        <f aca="false">IF($K548="","",$A548*100+$K548)</f>
        <v/>
      </c>
      <c r="M548" s="48" t="str">
        <f aca="false">IFERROR(INDEX(输入报销!$D:$D,MATCH($A548&amp;"-1",输入报销!$J:$J,0))&amp;"","")</f>
        <v/>
      </c>
    </row>
    <row r="549" customFormat="false" ht="13.5" hidden="false" customHeight="false" outlineLevel="0" collapsed="false">
      <c r="A549" s="47" t="n">
        <v>43</v>
      </c>
      <c r="C549" s="48" t="str">
        <f aca="false">助手报销!$C44</f>
        <v/>
      </c>
      <c r="D549" s="81" t="s">
        <v>480</v>
      </c>
      <c r="E549" s="48" t="str">
        <f aca="false">IFERROR(INDEX(输入报销!$E:$E,MATCH($A549&amp;"-2",输入报销!$J:$J,0))&amp;"","")</f>
        <v/>
      </c>
      <c r="F549" s="48" t="str">
        <f aca="false">IFERROR(INDEX(输入报销!$F:$F,MATCH($A549&amp;"-2",输入报销!$J:$J,0))&amp;"","")</f>
        <v/>
      </c>
      <c r="G549" s="49" t="n">
        <f aca="false">IFERROR(ROUND(INDEX(输入报销!$G:$G,MATCH($A549&amp;"-2",输入报销!$J:$J,0)),2),0)</f>
        <v>0</v>
      </c>
      <c r="H549" s="49" t="str">
        <f aca="false">IF(ROUND($G549,2)&gt;0,ROUND($G549,2),"")</f>
        <v/>
      </c>
      <c r="I549" s="49" t="str">
        <f aca="false">IF(ROUND($G549,2)&lt;0,-ROUND($G549,2),"")</f>
        <v/>
      </c>
      <c r="J549" s="20" t="n">
        <f aca="false">IF(ROUND($G549,2)=0,0,1)</f>
        <v>0</v>
      </c>
      <c r="K549" s="20" t="str">
        <f aca="false">IF($J549=0,"",SUM($J$548:$J549))</f>
        <v/>
      </c>
      <c r="L549" s="20" t="str">
        <f aca="false">IF($K549="","",$A549*100+$K549)</f>
        <v/>
      </c>
      <c r="M549" s="48" t="str">
        <f aca="false">IFERROR(INDEX(输入报销!$D:$D,MATCH($A549&amp;"-2",输入报销!$J:$J,0))&amp;"","")</f>
        <v/>
      </c>
    </row>
    <row r="550" customFormat="false" ht="13.5" hidden="false" customHeight="false" outlineLevel="0" collapsed="false">
      <c r="A550" s="47" t="n">
        <v>43</v>
      </c>
      <c r="C550" s="48" t="str">
        <f aca="false">助手报销!$C44</f>
        <v/>
      </c>
      <c r="D550" s="81" t="s">
        <v>481</v>
      </c>
      <c r="E550" s="48" t="str">
        <f aca="false">IFERROR(INDEX(输入报销!$E:$E,MATCH($A550&amp;"-3",输入报销!$J:$J,0))&amp;"","")</f>
        <v/>
      </c>
      <c r="F550" s="48" t="str">
        <f aca="false">IFERROR(INDEX(输入报销!$F:$F,MATCH($A550&amp;"-3",输入报销!$J:$J,0))&amp;"","")</f>
        <v/>
      </c>
      <c r="G550" s="49" t="n">
        <f aca="false">IFERROR(ROUND(INDEX(输入报销!$G:$G,MATCH($A550&amp;"-3",输入报销!$J:$J,0)),2),0)</f>
        <v>0</v>
      </c>
      <c r="H550" s="49" t="str">
        <f aca="false">IF(ROUND($G550,2)&gt;0,ROUND($G550,2),"")</f>
        <v/>
      </c>
      <c r="I550" s="49" t="str">
        <f aca="false">IF(ROUND($G550,2)&lt;0,-ROUND($G550,2),"")</f>
        <v/>
      </c>
      <c r="J550" s="20" t="n">
        <f aca="false">IF(ROUND($G550,2)=0,0,1)</f>
        <v>0</v>
      </c>
      <c r="K550" s="20" t="str">
        <f aca="false">IF($J550=0,"",SUM($J$548:$J550))</f>
        <v/>
      </c>
      <c r="L550" s="20" t="str">
        <f aca="false">IF($K550="","",$A550*100+$K550)</f>
        <v/>
      </c>
      <c r="M550" s="48" t="str">
        <f aca="false">IFERROR(INDEX(输入报销!$D:$D,MATCH($A550&amp;"-3",输入报销!$J:$J,0))&amp;"","")</f>
        <v/>
      </c>
    </row>
    <row r="551" customFormat="false" ht="13.5" hidden="false" customHeight="false" outlineLevel="0" collapsed="false">
      <c r="A551" s="47" t="n">
        <v>43</v>
      </c>
      <c r="C551" s="48" t="str">
        <f aca="false">助手报销!$C44</f>
        <v/>
      </c>
      <c r="D551" s="81" t="s">
        <v>482</v>
      </c>
      <c r="E551" s="48" t="str">
        <f aca="false">IFERROR(INDEX(输入报销!$E:$E,MATCH($A551&amp;"-4",输入报销!$J:$J,0))&amp;"","")</f>
        <v/>
      </c>
      <c r="F551" s="48" t="str">
        <f aca="false">IFERROR(INDEX(输入报销!$F:$F,MATCH($A551&amp;"-4",输入报销!$J:$J,0))&amp;"","")</f>
        <v/>
      </c>
      <c r="G551" s="49" t="n">
        <f aca="false">IFERROR(ROUND(INDEX(输入报销!$G:$G,MATCH($A551&amp;"-4",输入报销!$J:$J,0)),2),0)</f>
        <v>0</v>
      </c>
      <c r="H551" s="49" t="str">
        <f aca="false">IF(ROUND($G551,2)&gt;0,ROUND($G551,2),"")</f>
        <v/>
      </c>
      <c r="I551" s="49" t="str">
        <f aca="false">IF(ROUND($G551,2)&lt;0,-ROUND($G551,2),"")</f>
        <v/>
      </c>
      <c r="J551" s="20" t="n">
        <f aca="false">IF(ROUND($G551,2)=0,0,1)</f>
        <v>0</v>
      </c>
      <c r="K551" s="20" t="str">
        <f aca="false">IF($J551=0,"",SUM($J$548:$J551))</f>
        <v/>
      </c>
      <c r="L551" s="20" t="str">
        <f aca="false">IF($K551="","",$A551*100+$K551)</f>
        <v/>
      </c>
      <c r="M551" s="48" t="str">
        <f aca="false">IFERROR(INDEX(输入报销!$D:$D,MATCH($A551&amp;"-4",输入报销!$J:$J,0))&amp;"","")</f>
        <v/>
      </c>
    </row>
    <row r="552" customFormat="false" ht="13.5" hidden="false" customHeight="false" outlineLevel="0" collapsed="false">
      <c r="A552" s="47" t="n">
        <v>43</v>
      </c>
      <c r="C552" s="48" t="str">
        <f aca="false">助手报销!$C44</f>
        <v/>
      </c>
      <c r="D552" s="81" t="s">
        <v>483</v>
      </c>
      <c r="E552" s="48" t="str">
        <f aca="false">IFERROR(INDEX(输入报销!$E:$E,MATCH($A552&amp;"-5",输入报销!$J:$J,0))&amp;"","")</f>
        <v/>
      </c>
      <c r="F552" s="48" t="str">
        <f aca="false">IFERROR(INDEX(输入报销!$F:$F,MATCH($A552&amp;"-5",输入报销!$J:$J,0))&amp;"","")</f>
        <v/>
      </c>
      <c r="G552" s="49" t="n">
        <f aca="false">IFERROR(ROUND(INDEX(输入报销!$G:$G,MATCH($A552&amp;"-5",输入报销!$J:$J,0)),2),0)</f>
        <v>0</v>
      </c>
      <c r="H552" s="49" t="str">
        <f aca="false">IF(ROUND($G552,2)&gt;0,ROUND($G552,2),"")</f>
        <v/>
      </c>
      <c r="I552" s="49" t="str">
        <f aca="false">IF(ROUND($G552,2)&lt;0,-ROUND($G552,2),"")</f>
        <v/>
      </c>
      <c r="J552" s="20" t="n">
        <f aca="false">IF(ROUND($G552,2)=0,0,1)</f>
        <v>0</v>
      </c>
      <c r="K552" s="20" t="str">
        <f aca="false">IF($J552=0,"",SUM($J$548:$J552))</f>
        <v/>
      </c>
      <c r="L552" s="20" t="str">
        <f aca="false">IF($K552="","",$A552*100+$K552)</f>
        <v/>
      </c>
      <c r="M552" s="48" t="str">
        <f aca="false">IFERROR(INDEX(输入报销!$D:$D,MATCH($A552&amp;"-5",输入报销!$J:$J,0))&amp;"","")</f>
        <v/>
      </c>
    </row>
    <row r="553" customFormat="false" ht="13.5" hidden="false" customHeight="false" outlineLevel="0" collapsed="false">
      <c r="A553" s="47" t="n">
        <v>43</v>
      </c>
      <c r="C553" s="48" t="str">
        <f aca="false">助手报销!$C44</f>
        <v/>
      </c>
      <c r="D553" s="81" t="s">
        <v>484</v>
      </c>
      <c r="E553" s="48" t="str">
        <f aca="false">IFERROR(INDEX(输入报销!$E:$E,MATCH($A553&amp;"-6",输入报销!$J:$J,0))&amp;"","")</f>
        <v/>
      </c>
      <c r="F553" s="48" t="str">
        <f aca="false">IFERROR(INDEX(输入报销!$F:$F,MATCH($A553&amp;"-6",输入报销!$J:$J,0))&amp;"","")</f>
        <v/>
      </c>
      <c r="G553" s="49" t="n">
        <f aca="false">IFERROR(ROUND(INDEX(输入报销!$G:$G,MATCH($A553&amp;"-6",输入报销!$J:$J,0)),2),0)</f>
        <v>0</v>
      </c>
      <c r="H553" s="49" t="str">
        <f aca="false">IF(ROUND($G553,2)&gt;0,ROUND($G553,2),"")</f>
        <v/>
      </c>
      <c r="I553" s="49" t="str">
        <f aca="false">IF(ROUND($G553,2)&lt;0,-ROUND($G553,2),"")</f>
        <v/>
      </c>
      <c r="J553" s="20" t="n">
        <f aca="false">IF(ROUND($G553,2)=0,0,1)</f>
        <v>0</v>
      </c>
      <c r="K553" s="20" t="str">
        <f aca="false">IF($J553=0,"",SUM($J$548:$J553))</f>
        <v/>
      </c>
      <c r="L553" s="20" t="str">
        <f aca="false">IF($K553="","",$A553*100+$K553)</f>
        <v/>
      </c>
      <c r="M553" s="48" t="str">
        <f aca="false">IFERROR(INDEX(输入报销!$D:$D,MATCH($A553&amp;"-6",输入报销!$J:$J,0))&amp;"","")</f>
        <v/>
      </c>
    </row>
    <row r="554" customFormat="false" ht="13.5" hidden="false" customHeight="false" outlineLevel="0" collapsed="false">
      <c r="A554" s="47" t="n">
        <v>43</v>
      </c>
      <c r="C554" s="48" t="str">
        <f aca="false">助手报销!$C44</f>
        <v/>
      </c>
      <c r="D554" s="81" t="s">
        <v>485</v>
      </c>
      <c r="E554" s="48" t="str">
        <f aca="false">IFERROR(INDEX(输入报销!$E:$E,MATCH($A554&amp;"-7",输入报销!$J:$J,0))&amp;"","")</f>
        <v/>
      </c>
      <c r="F554" s="48" t="str">
        <f aca="false">IFERROR(INDEX(输入报销!$F:$F,MATCH($A554&amp;"-7",输入报销!$J:$J,0))&amp;"","")</f>
        <v/>
      </c>
      <c r="G554" s="49" t="n">
        <f aca="false">IFERROR(ROUND(INDEX(输入报销!$G:$G,MATCH($A554&amp;"-7",输入报销!$J:$J,0)),2),0)</f>
        <v>0</v>
      </c>
      <c r="H554" s="49" t="str">
        <f aca="false">IF(ROUND($G554,2)&gt;0,ROUND($G554,2),"")</f>
        <v/>
      </c>
      <c r="I554" s="49" t="str">
        <f aca="false">IF(ROUND($G554,2)&lt;0,-ROUND($G554,2),"")</f>
        <v/>
      </c>
      <c r="J554" s="20" t="n">
        <f aca="false">IF(ROUND($G554,2)=0,0,1)</f>
        <v>0</v>
      </c>
      <c r="K554" s="20" t="str">
        <f aca="false">IF($J554=0,"",SUM($J$548:$J554))</f>
        <v/>
      </c>
      <c r="L554" s="20" t="str">
        <f aca="false">IF($K554="","",$A554*100+$K554)</f>
        <v/>
      </c>
      <c r="M554" s="48" t="str">
        <f aca="false">IFERROR(INDEX(输入报销!$D:$D,MATCH($A554&amp;"-7",输入报销!$J:$J,0))&amp;"","")</f>
        <v/>
      </c>
    </row>
    <row r="555" customFormat="false" ht="13.5" hidden="false" customHeight="false" outlineLevel="0" collapsed="false">
      <c r="A555" s="47" t="n">
        <v>43</v>
      </c>
      <c r="C555" s="48" t="str">
        <f aca="false">助手报销!$C44</f>
        <v/>
      </c>
      <c r="D555" s="81" t="s">
        <v>486</v>
      </c>
      <c r="E555" s="48" t="str">
        <f aca="false">IFERROR(INDEX(输入报销!$E:$E,MATCH($A555&amp;"-8",输入报销!$J:$J,0))&amp;"","")</f>
        <v/>
      </c>
      <c r="F555" s="48" t="str">
        <f aca="false">IFERROR(INDEX(输入报销!$F:$F,MATCH($A555&amp;"-8",输入报销!$J:$J,0))&amp;"","")</f>
        <v/>
      </c>
      <c r="G555" s="49" t="n">
        <f aca="false">IFERROR(ROUND(INDEX(输入报销!$G:$G,MATCH($A555&amp;"-8",输入报销!$J:$J,0)),2),0)</f>
        <v>0</v>
      </c>
      <c r="H555" s="49" t="str">
        <f aca="false">IF(ROUND($G555,2)&gt;0,ROUND($G555,2),"")</f>
        <v/>
      </c>
      <c r="I555" s="49" t="str">
        <f aca="false">IF(ROUND($G555,2)&lt;0,-ROUND($G555,2),"")</f>
        <v/>
      </c>
      <c r="J555" s="20" t="n">
        <f aca="false">IF(ROUND($G555,2)=0,0,1)</f>
        <v>0</v>
      </c>
      <c r="K555" s="20" t="str">
        <f aca="false">IF($J555=0,"",SUM($J$548:$J555))</f>
        <v/>
      </c>
      <c r="L555" s="20" t="str">
        <f aca="false">IF($K555="","",$A555*100+$K555)</f>
        <v/>
      </c>
      <c r="M555" s="48" t="str">
        <f aca="false">IFERROR(INDEX(输入报销!$D:$D,MATCH($A555&amp;"-8",输入报销!$J:$J,0))&amp;"","")</f>
        <v/>
      </c>
    </row>
    <row r="556" customFormat="false" ht="13.5" hidden="false" customHeight="false" outlineLevel="0" collapsed="false">
      <c r="A556" s="47" t="n">
        <v>43</v>
      </c>
      <c r="C556" s="48" t="str">
        <f aca="false">助手报销!$C44</f>
        <v/>
      </c>
      <c r="D556" s="81" t="s">
        <v>487</v>
      </c>
      <c r="E556" s="48" t="str">
        <f aca="false">IFERROR(INDEX(输入报销!$E:$E,MATCH($A556&amp;"-9",输入报销!$J:$J,0))&amp;"","")</f>
        <v/>
      </c>
      <c r="F556" s="48" t="str">
        <f aca="false">IFERROR(INDEX(输入报销!$F:$F,MATCH($A556&amp;"-9",输入报销!$J:$J,0))&amp;"","")</f>
        <v/>
      </c>
      <c r="G556" s="49" t="n">
        <f aca="false">IFERROR(ROUND(INDEX(输入报销!$G:$G,MATCH($A556&amp;"-9",输入报销!$J:$J,0)),2),0)</f>
        <v>0</v>
      </c>
      <c r="H556" s="49" t="str">
        <f aca="false">IF(ROUND($G556,2)&gt;0,ROUND($G556,2),"")</f>
        <v/>
      </c>
      <c r="I556" s="49" t="str">
        <f aca="false">IF(ROUND($G556,2)&lt;0,-ROUND($G556,2),"")</f>
        <v/>
      </c>
      <c r="J556" s="20" t="n">
        <f aca="false">IF(ROUND($G556,2)=0,0,1)</f>
        <v>0</v>
      </c>
      <c r="K556" s="20" t="str">
        <f aca="false">IF($J556=0,"",SUM($J$548:$J556))</f>
        <v/>
      </c>
      <c r="L556" s="20" t="str">
        <f aca="false">IF($K556="","",$A556*100+$K556)</f>
        <v/>
      </c>
      <c r="M556" s="48" t="str">
        <f aca="false">IFERROR(INDEX(输入报销!$D:$D,MATCH($A556&amp;"-9",输入报销!$J:$J,0))&amp;"","")</f>
        <v/>
      </c>
    </row>
    <row r="557" customFormat="false" ht="13.5" hidden="false" customHeight="false" outlineLevel="0" collapsed="false">
      <c r="A557" s="47" t="n">
        <v>43</v>
      </c>
      <c r="C557" s="48" t="str">
        <f aca="false">助手报销!$C44</f>
        <v/>
      </c>
      <c r="D557" s="81" t="s">
        <v>488</v>
      </c>
      <c r="E557" s="48" t="str">
        <f aca="false">IFERROR(INDEX(输入报销!$E:$E,MATCH($A557&amp;"-10",输入报销!$J:$J,0))&amp;"","")</f>
        <v/>
      </c>
      <c r="F557" s="48" t="str">
        <f aca="false">IFERROR(INDEX(输入报销!$F:$F,MATCH($A557&amp;"-10",输入报销!$J:$J,0))&amp;"","")</f>
        <v/>
      </c>
      <c r="G557" s="49" t="n">
        <f aca="false">IFERROR(ROUND(INDEX(输入报销!$G:$G,MATCH($A557&amp;"-10",输入报销!$J:$J,0)),2),0)</f>
        <v>0</v>
      </c>
      <c r="H557" s="49" t="str">
        <f aca="false">IF(ROUND($G557,2)&gt;0,ROUND($G557,2),"")</f>
        <v/>
      </c>
      <c r="I557" s="49" t="str">
        <f aca="false">IF(ROUND($G557,2)&lt;0,-ROUND($G557,2),"")</f>
        <v/>
      </c>
      <c r="J557" s="20" t="n">
        <f aca="false">IF(ROUND($G557,2)=0,0,1)</f>
        <v>0</v>
      </c>
      <c r="K557" s="20" t="str">
        <f aca="false">IF($J557=0,"",SUM($J$548:$J557))</f>
        <v/>
      </c>
      <c r="L557" s="20" t="str">
        <f aca="false">IF($K557="","",$A557*100+$K557)</f>
        <v/>
      </c>
      <c r="M557" s="48" t="str">
        <f aca="false">IFERROR(INDEX(输入报销!$D:$D,MATCH($A557&amp;"-10",输入报销!$J:$J,0))&amp;"","")</f>
        <v/>
      </c>
    </row>
    <row r="558" customFormat="false" ht="13.5" hidden="false" customHeight="false" outlineLevel="0" collapsed="false">
      <c r="A558" s="47" t="n">
        <v>43</v>
      </c>
      <c r="C558" s="48" t="str">
        <f aca="false">助手报销!$C44</f>
        <v/>
      </c>
      <c r="D558" s="81" t="s">
        <v>489</v>
      </c>
      <c r="E558" s="48" t="str">
        <f aca="false">参数!$B$6</f>
        <v>库存现金</v>
      </c>
      <c r="F558" s="48" t="str">
        <f aca="false">""</f>
        <v/>
      </c>
      <c r="G558" s="49" t="n">
        <f aca="false">-ROUND(SUMIFS(输入报销!$G:$G,输入报销!$A:$A,$A558,输入报销!$H:$H,参数!$B$6),2)</f>
        <v>-0</v>
      </c>
      <c r="H558" s="49" t="str">
        <f aca="false">IF(ROUND($G558,2)&gt;0,ROUND($G558,2),"")</f>
        <v/>
      </c>
      <c r="I558" s="49" t="str">
        <f aca="false">IF(ROUND($G558,2)&lt;0,-ROUND($G558,2),"")</f>
        <v/>
      </c>
      <c r="J558" s="20" t="n">
        <f aca="false">IF(ROUND($G558,2)=0,0,1)</f>
        <v>0</v>
      </c>
      <c r="K558" s="20" t="str">
        <f aca="false">IF($J558=0,"",SUM($J$548:$J558))</f>
        <v/>
      </c>
      <c r="L558" s="20" t="str">
        <f aca="false">IF($K558="","",$A558*100+$K558)</f>
        <v/>
      </c>
      <c r="M558" s="48" t="str">
        <f aca="false">""</f>
        <v/>
      </c>
    </row>
    <row r="559" customFormat="false" ht="13.5" hidden="false" customHeight="false" outlineLevel="0" collapsed="false">
      <c r="A559" s="47" t="n">
        <v>43</v>
      </c>
      <c r="C559" s="48" t="str">
        <f aca="false">助手报销!$C44</f>
        <v/>
      </c>
      <c r="D559" s="81" t="s">
        <v>490</v>
      </c>
      <c r="E559" s="48" t="str">
        <f aca="false">参数!$B$7</f>
        <v>银行存款</v>
      </c>
      <c r="F559" s="48" t="str">
        <f aca="false">""</f>
        <v/>
      </c>
      <c r="G559" s="49" t="n">
        <f aca="false">-ROUND(SUMIFS(输入报销!$G:$G,输入报销!$A:$A,$A559,输入报销!$H:$H,参数!$B$7),2)</f>
        <v>-0</v>
      </c>
      <c r="H559" s="49" t="str">
        <f aca="false">IF(ROUND($G559,2)&gt;0,ROUND($G559,2),"")</f>
        <v/>
      </c>
      <c r="I559" s="49" t="str">
        <f aca="false">IF(ROUND($G559,2)&lt;0,-ROUND($G559,2),"")</f>
        <v/>
      </c>
      <c r="J559" s="20" t="n">
        <f aca="false">IF(ROUND($G559,2)=0,0,1)</f>
        <v>0</v>
      </c>
      <c r="K559" s="20" t="str">
        <f aca="false">IF($J559=0,"",SUM($J$548:$J559))</f>
        <v/>
      </c>
      <c r="L559" s="20" t="str">
        <f aca="false">IF($K559="","",$A559*100+$K559)</f>
        <v/>
      </c>
      <c r="M559" s="48" t="str">
        <f aca="false">""</f>
        <v/>
      </c>
    </row>
    <row r="560" customFormat="false" ht="13.5" hidden="false" customHeight="false" outlineLevel="0" collapsed="false">
      <c r="A560" s="47" t="n">
        <v>43</v>
      </c>
      <c r="C560" s="48" t="str">
        <f aca="false">助手报销!$C44</f>
        <v/>
      </c>
      <c r="D560" s="81" t="s">
        <v>491</v>
      </c>
      <c r="E560" s="48" t="str">
        <f aca="false">参数!$B$8</f>
        <v>其他应付款</v>
      </c>
      <c r="F560" s="48" t="str">
        <f aca="false">""</f>
        <v/>
      </c>
      <c r="G560" s="49" t="n">
        <f aca="false">-ROUND(SUMIFS(输入报销!$G:$G,输入报销!$A:$A,$A560,输入报销!$H:$H,参数!$B$8),2)</f>
        <v>-0</v>
      </c>
      <c r="H560" s="49" t="str">
        <f aca="false">IF(ROUND($G560,2)&gt;0,ROUND($G560,2),"")</f>
        <v/>
      </c>
      <c r="I560" s="49" t="str">
        <f aca="false">IF(ROUND($G560,2)&lt;0,-ROUND($G560,2),"")</f>
        <v/>
      </c>
      <c r="J560" s="20" t="n">
        <f aca="false">IF(ROUND($G560,2)=0,0,1)</f>
        <v>0</v>
      </c>
      <c r="K560" s="20" t="str">
        <f aca="false">IF($J560=0,"",SUM($J$548:$J560))</f>
        <v/>
      </c>
      <c r="L560" s="20" t="str">
        <f aca="false">IF($K560="","",$A560*100+$K560)</f>
        <v/>
      </c>
      <c r="M560" s="48" t="str">
        <f aca="false">""</f>
        <v/>
      </c>
    </row>
    <row r="561" customFormat="false" ht="13.5" hidden="false" customHeight="false" outlineLevel="0" collapsed="false">
      <c r="A561" s="47" t="n">
        <v>44</v>
      </c>
      <c r="C561" s="48" t="str">
        <f aca="false">助手报销!$C45</f>
        <v/>
      </c>
      <c r="D561" s="81" t="s">
        <v>479</v>
      </c>
      <c r="E561" s="48" t="str">
        <f aca="false">IFERROR(INDEX(输入报销!$E:$E,MATCH($A561&amp;"-1",输入报销!$J:$J,0))&amp;"","")</f>
        <v/>
      </c>
      <c r="F561" s="48" t="str">
        <f aca="false">IFERROR(INDEX(输入报销!$F:$F,MATCH($A561&amp;"-1",输入报销!$J:$J,0))&amp;"","")</f>
        <v/>
      </c>
      <c r="G561" s="49" t="n">
        <f aca="false">IFERROR(ROUND(INDEX(输入报销!$G:$G,MATCH($A561&amp;"-1",输入报销!$J:$J,0)),2),0)</f>
        <v>0</v>
      </c>
      <c r="H561" s="49" t="str">
        <f aca="false">IF(ROUND($G561,2)&gt;0,ROUND($G561,2),"")</f>
        <v/>
      </c>
      <c r="I561" s="49" t="str">
        <f aca="false">IF(ROUND($G561,2)&lt;0,-ROUND($G561,2),"")</f>
        <v/>
      </c>
      <c r="J561" s="20" t="n">
        <f aca="false">IF(ROUND($G561,2)=0,0,1)</f>
        <v>0</v>
      </c>
      <c r="K561" s="20" t="str">
        <f aca="false">IF($J561=0,"",SUM($J$561:$J561))</f>
        <v/>
      </c>
      <c r="L561" s="20" t="str">
        <f aca="false">IF($K561="","",$A561*100+$K561)</f>
        <v/>
      </c>
      <c r="M561" s="48" t="str">
        <f aca="false">IFERROR(INDEX(输入报销!$D:$D,MATCH($A561&amp;"-1",输入报销!$J:$J,0))&amp;"","")</f>
        <v/>
      </c>
    </row>
    <row r="562" customFormat="false" ht="13.5" hidden="false" customHeight="false" outlineLevel="0" collapsed="false">
      <c r="A562" s="47" t="n">
        <v>44</v>
      </c>
      <c r="C562" s="48" t="str">
        <f aca="false">助手报销!$C45</f>
        <v/>
      </c>
      <c r="D562" s="81" t="s">
        <v>480</v>
      </c>
      <c r="E562" s="48" t="str">
        <f aca="false">IFERROR(INDEX(输入报销!$E:$E,MATCH($A562&amp;"-2",输入报销!$J:$J,0))&amp;"","")</f>
        <v/>
      </c>
      <c r="F562" s="48" t="str">
        <f aca="false">IFERROR(INDEX(输入报销!$F:$F,MATCH($A562&amp;"-2",输入报销!$J:$J,0))&amp;"","")</f>
        <v/>
      </c>
      <c r="G562" s="49" t="n">
        <f aca="false">IFERROR(ROUND(INDEX(输入报销!$G:$G,MATCH($A562&amp;"-2",输入报销!$J:$J,0)),2),0)</f>
        <v>0</v>
      </c>
      <c r="H562" s="49" t="str">
        <f aca="false">IF(ROUND($G562,2)&gt;0,ROUND($G562,2),"")</f>
        <v/>
      </c>
      <c r="I562" s="49" t="str">
        <f aca="false">IF(ROUND($G562,2)&lt;0,-ROUND($G562,2),"")</f>
        <v/>
      </c>
      <c r="J562" s="20" t="n">
        <f aca="false">IF(ROUND($G562,2)=0,0,1)</f>
        <v>0</v>
      </c>
      <c r="K562" s="20" t="str">
        <f aca="false">IF($J562=0,"",SUM($J$561:$J562))</f>
        <v/>
      </c>
      <c r="L562" s="20" t="str">
        <f aca="false">IF($K562="","",$A562*100+$K562)</f>
        <v/>
      </c>
      <c r="M562" s="48" t="str">
        <f aca="false">IFERROR(INDEX(输入报销!$D:$D,MATCH($A562&amp;"-2",输入报销!$J:$J,0))&amp;"","")</f>
        <v/>
      </c>
    </row>
    <row r="563" customFormat="false" ht="13.5" hidden="false" customHeight="false" outlineLevel="0" collapsed="false">
      <c r="A563" s="47" t="n">
        <v>44</v>
      </c>
      <c r="C563" s="48" t="str">
        <f aca="false">助手报销!$C45</f>
        <v/>
      </c>
      <c r="D563" s="81" t="s">
        <v>481</v>
      </c>
      <c r="E563" s="48" t="str">
        <f aca="false">IFERROR(INDEX(输入报销!$E:$E,MATCH($A563&amp;"-3",输入报销!$J:$J,0))&amp;"","")</f>
        <v/>
      </c>
      <c r="F563" s="48" t="str">
        <f aca="false">IFERROR(INDEX(输入报销!$F:$F,MATCH($A563&amp;"-3",输入报销!$J:$J,0))&amp;"","")</f>
        <v/>
      </c>
      <c r="G563" s="49" t="n">
        <f aca="false">IFERROR(ROUND(INDEX(输入报销!$G:$G,MATCH($A563&amp;"-3",输入报销!$J:$J,0)),2),0)</f>
        <v>0</v>
      </c>
      <c r="H563" s="49" t="str">
        <f aca="false">IF(ROUND($G563,2)&gt;0,ROUND($G563,2),"")</f>
        <v/>
      </c>
      <c r="I563" s="49" t="str">
        <f aca="false">IF(ROUND($G563,2)&lt;0,-ROUND($G563,2),"")</f>
        <v/>
      </c>
      <c r="J563" s="20" t="n">
        <f aca="false">IF(ROUND($G563,2)=0,0,1)</f>
        <v>0</v>
      </c>
      <c r="K563" s="20" t="str">
        <f aca="false">IF($J563=0,"",SUM($J$561:$J563))</f>
        <v/>
      </c>
      <c r="L563" s="20" t="str">
        <f aca="false">IF($K563="","",$A563*100+$K563)</f>
        <v/>
      </c>
      <c r="M563" s="48" t="str">
        <f aca="false">IFERROR(INDEX(输入报销!$D:$D,MATCH($A563&amp;"-3",输入报销!$J:$J,0))&amp;"","")</f>
        <v/>
      </c>
    </row>
    <row r="564" customFormat="false" ht="13.5" hidden="false" customHeight="false" outlineLevel="0" collapsed="false">
      <c r="A564" s="47" t="n">
        <v>44</v>
      </c>
      <c r="C564" s="48" t="str">
        <f aca="false">助手报销!$C45</f>
        <v/>
      </c>
      <c r="D564" s="81" t="s">
        <v>482</v>
      </c>
      <c r="E564" s="48" t="str">
        <f aca="false">IFERROR(INDEX(输入报销!$E:$E,MATCH($A564&amp;"-4",输入报销!$J:$J,0))&amp;"","")</f>
        <v/>
      </c>
      <c r="F564" s="48" t="str">
        <f aca="false">IFERROR(INDEX(输入报销!$F:$F,MATCH($A564&amp;"-4",输入报销!$J:$J,0))&amp;"","")</f>
        <v/>
      </c>
      <c r="G564" s="49" t="n">
        <f aca="false">IFERROR(ROUND(INDEX(输入报销!$G:$G,MATCH($A564&amp;"-4",输入报销!$J:$J,0)),2),0)</f>
        <v>0</v>
      </c>
      <c r="H564" s="49" t="str">
        <f aca="false">IF(ROUND($G564,2)&gt;0,ROUND($G564,2),"")</f>
        <v/>
      </c>
      <c r="I564" s="49" t="str">
        <f aca="false">IF(ROUND($G564,2)&lt;0,-ROUND($G564,2),"")</f>
        <v/>
      </c>
      <c r="J564" s="20" t="n">
        <f aca="false">IF(ROUND($G564,2)=0,0,1)</f>
        <v>0</v>
      </c>
      <c r="K564" s="20" t="str">
        <f aca="false">IF($J564=0,"",SUM($J$561:$J564))</f>
        <v/>
      </c>
      <c r="L564" s="20" t="str">
        <f aca="false">IF($K564="","",$A564*100+$K564)</f>
        <v/>
      </c>
      <c r="M564" s="48" t="str">
        <f aca="false">IFERROR(INDEX(输入报销!$D:$D,MATCH($A564&amp;"-4",输入报销!$J:$J,0))&amp;"","")</f>
        <v/>
      </c>
    </row>
    <row r="565" customFormat="false" ht="13.5" hidden="false" customHeight="false" outlineLevel="0" collapsed="false">
      <c r="A565" s="47" t="n">
        <v>44</v>
      </c>
      <c r="C565" s="48" t="str">
        <f aca="false">助手报销!$C45</f>
        <v/>
      </c>
      <c r="D565" s="81" t="s">
        <v>483</v>
      </c>
      <c r="E565" s="48" t="str">
        <f aca="false">IFERROR(INDEX(输入报销!$E:$E,MATCH($A565&amp;"-5",输入报销!$J:$J,0))&amp;"","")</f>
        <v/>
      </c>
      <c r="F565" s="48" t="str">
        <f aca="false">IFERROR(INDEX(输入报销!$F:$F,MATCH($A565&amp;"-5",输入报销!$J:$J,0))&amp;"","")</f>
        <v/>
      </c>
      <c r="G565" s="49" t="n">
        <f aca="false">IFERROR(ROUND(INDEX(输入报销!$G:$G,MATCH($A565&amp;"-5",输入报销!$J:$J,0)),2),0)</f>
        <v>0</v>
      </c>
      <c r="H565" s="49" t="str">
        <f aca="false">IF(ROUND($G565,2)&gt;0,ROUND($G565,2),"")</f>
        <v/>
      </c>
      <c r="I565" s="49" t="str">
        <f aca="false">IF(ROUND($G565,2)&lt;0,-ROUND($G565,2),"")</f>
        <v/>
      </c>
      <c r="J565" s="20" t="n">
        <f aca="false">IF(ROUND($G565,2)=0,0,1)</f>
        <v>0</v>
      </c>
      <c r="K565" s="20" t="str">
        <f aca="false">IF($J565=0,"",SUM($J$561:$J565))</f>
        <v/>
      </c>
      <c r="L565" s="20" t="str">
        <f aca="false">IF($K565="","",$A565*100+$K565)</f>
        <v/>
      </c>
      <c r="M565" s="48" t="str">
        <f aca="false">IFERROR(INDEX(输入报销!$D:$D,MATCH($A565&amp;"-5",输入报销!$J:$J,0))&amp;"","")</f>
        <v/>
      </c>
    </row>
    <row r="566" customFormat="false" ht="13.5" hidden="false" customHeight="false" outlineLevel="0" collapsed="false">
      <c r="A566" s="47" t="n">
        <v>44</v>
      </c>
      <c r="C566" s="48" t="str">
        <f aca="false">助手报销!$C45</f>
        <v/>
      </c>
      <c r="D566" s="81" t="s">
        <v>484</v>
      </c>
      <c r="E566" s="48" t="str">
        <f aca="false">IFERROR(INDEX(输入报销!$E:$E,MATCH($A566&amp;"-6",输入报销!$J:$J,0))&amp;"","")</f>
        <v/>
      </c>
      <c r="F566" s="48" t="str">
        <f aca="false">IFERROR(INDEX(输入报销!$F:$F,MATCH($A566&amp;"-6",输入报销!$J:$J,0))&amp;"","")</f>
        <v/>
      </c>
      <c r="G566" s="49" t="n">
        <f aca="false">IFERROR(ROUND(INDEX(输入报销!$G:$G,MATCH($A566&amp;"-6",输入报销!$J:$J,0)),2),0)</f>
        <v>0</v>
      </c>
      <c r="H566" s="49" t="str">
        <f aca="false">IF(ROUND($G566,2)&gt;0,ROUND($G566,2),"")</f>
        <v/>
      </c>
      <c r="I566" s="49" t="str">
        <f aca="false">IF(ROUND($G566,2)&lt;0,-ROUND($G566,2),"")</f>
        <v/>
      </c>
      <c r="J566" s="20" t="n">
        <f aca="false">IF(ROUND($G566,2)=0,0,1)</f>
        <v>0</v>
      </c>
      <c r="K566" s="20" t="str">
        <f aca="false">IF($J566=0,"",SUM($J$561:$J566))</f>
        <v/>
      </c>
      <c r="L566" s="20" t="str">
        <f aca="false">IF($K566="","",$A566*100+$K566)</f>
        <v/>
      </c>
      <c r="M566" s="48" t="str">
        <f aca="false">IFERROR(INDEX(输入报销!$D:$D,MATCH($A566&amp;"-6",输入报销!$J:$J,0))&amp;"","")</f>
        <v/>
      </c>
    </row>
    <row r="567" customFormat="false" ht="13.5" hidden="false" customHeight="false" outlineLevel="0" collapsed="false">
      <c r="A567" s="47" t="n">
        <v>44</v>
      </c>
      <c r="C567" s="48" t="str">
        <f aca="false">助手报销!$C45</f>
        <v/>
      </c>
      <c r="D567" s="81" t="s">
        <v>485</v>
      </c>
      <c r="E567" s="48" t="str">
        <f aca="false">IFERROR(INDEX(输入报销!$E:$E,MATCH($A567&amp;"-7",输入报销!$J:$J,0))&amp;"","")</f>
        <v/>
      </c>
      <c r="F567" s="48" t="str">
        <f aca="false">IFERROR(INDEX(输入报销!$F:$F,MATCH($A567&amp;"-7",输入报销!$J:$J,0))&amp;"","")</f>
        <v/>
      </c>
      <c r="G567" s="49" t="n">
        <f aca="false">IFERROR(ROUND(INDEX(输入报销!$G:$G,MATCH($A567&amp;"-7",输入报销!$J:$J,0)),2),0)</f>
        <v>0</v>
      </c>
      <c r="H567" s="49" t="str">
        <f aca="false">IF(ROUND($G567,2)&gt;0,ROUND($G567,2),"")</f>
        <v/>
      </c>
      <c r="I567" s="49" t="str">
        <f aca="false">IF(ROUND($G567,2)&lt;0,-ROUND($G567,2),"")</f>
        <v/>
      </c>
      <c r="J567" s="20" t="n">
        <f aca="false">IF(ROUND($G567,2)=0,0,1)</f>
        <v>0</v>
      </c>
      <c r="K567" s="20" t="str">
        <f aca="false">IF($J567=0,"",SUM($J$561:$J567))</f>
        <v/>
      </c>
      <c r="L567" s="20" t="str">
        <f aca="false">IF($K567="","",$A567*100+$K567)</f>
        <v/>
      </c>
      <c r="M567" s="48" t="str">
        <f aca="false">IFERROR(INDEX(输入报销!$D:$D,MATCH($A567&amp;"-7",输入报销!$J:$J,0))&amp;"","")</f>
        <v/>
      </c>
    </row>
    <row r="568" customFormat="false" ht="13.5" hidden="false" customHeight="false" outlineLevel="0" collapsed="false">
      <c r="A568" s="47" t="n">
        <v>44</v>
      </c>
      <c r="C568" s="48" t="str">
        <f aca="false">助手报销!$C45</f>
        <v/>
      </c>
      <c r="D568" s="81" t="s">
        <v>486</v>
      </c>
      <c r="E568" s="48" t="str">
        <f aca="false">IFERROR(INDEX(输入报销!$E:$E,MATCH($A568&amp;"-8",输入报销!$J:$J,0))&amp;"","")</f>
        <v/>
      </c>
      <c r="F568" s="48" t="str">
        <f aca="false">IFERROR(INDEX(输入报销!$F:$F,MATCH($A568&amp;"-8",输入报销!$J:$J,0))&amp;"","")</f>
        <v/>
      </c>
      <c r="G568" s="49" t="n">
        <f aca="false">IFERROR(ROUND(INDEX(输入报销!$G:$G,MATCH($A568&amp;"-8",输入报销!$J:$J,0)),2),0)</f>
        <v>0</v>
      </c>
      <c r="H568" s="49" t="str">
        <f aca="false">IF(ROUND($G568,2)&gt;0,ROUND($G568,2),"")</f>
        <v/>
      </c>
      <c r="I568" s="49" t="str">
        <f aca="false">IF(ROUND($G568,2)&lt;0,-ROUND($G568,2),"")</f>
        <v/>
      </c>
      <c r="J568" s="20" t="n">
        <f aca="false">IF(ROUND($G568,2)=0,0,1)</f>
        <v>0</v>
      </c>
      <c r="K568" s="20" t="str">
        <f aca="false">IF($J568=0,"",SUM($J$561:$J568))</f>
        <v/>
      </c>
      <c r="L568" s="20" t="str">
        <f aca="false">IF($K568="","",$A568*100+$K568)</f>
        <v/>
      </c>
      <c r="M568" s="48" t="str">
        <f aca="false">IFERROR(INDEX(输入报销!$D:$D,MATCH($A568&amp;"-8",输入报销!$J:$J,0))&amp;"","")</f>
        <v/>
      </c>
    </row>
    <row r="569" customFormat="false" ht="13.5" hidden="false" customHeight="false" outlineLevel="0" collapsed="false">
      <c r="A569" s="47" t="n">
        <v>44</v>
      </c>
      <c r="C569" s="48" t="str">
        <f aca="false">助手报销!$C45</f>
        <v/>
      </c>
      <c r="D569" s="81" t="s">
        <v>487</v>
      </c>
      <c r="E569" s="48" t="str">
        <f aca="false">IFERROR(INDEX(输入报销!$E:$E,MATCH($A569&amp;"-9",输入报销!$J:$J,0))&amp;"","")</f>
        <v/>
      </c>
      <c r="F569" s="48" t="str">
        <f aca="false">IFERROR(INDEX(输入报销!$F:$F,MATCH($A569&amp;"-9",输入报销!$J:$J,0))&amp;"","")</f>
        <v/>
      </c>
      <c r="G569" s="49" t="n">
        <f aca="false">IFERROR(ROUND(INDEX(输入报销!$G:$G,MATCH($A569&amp;"-9",输入报销!$J:$J,0)),2),0)</f>
        <v>0</v>
      </c>
      <c r="H569" s="49" t="str">
        <f aca="false">IF(ROUND($G569,2)&gt;0,ROUND($G569,2),"")</f>
        <v/>
      </c>
      <c r="I569" s="49" t="str">
        <f aca="false">IF(ROUND($G569,2)&lt;0,-ROUND($G569,2),"")</f>
        <v/>
      </c>
      <c r="J569" s="20" t="n">
        <f aca="false">IF(ROUND($G569,2)=0,0,1)</f>
        <v>0</v>
      </c>
      <c r="K569" s="20" t="str">
        <f aca="false">IF($J569=0,"",SUM($J$561:$J569))</f>
        <v/>
      </c>
      <c r="L569" s="20" t="str">
        <f aca="false">IF($K569="","",$A569*100+$K569)</f>
        <v/>
      </c>
      <c r="M569" s="48" t="str">
        <f aca="false">IFERROR(INDEX(输入报销!$D:$D,MATCH($A569&amp;"-9",输入报销!$J:$J,0))&amp;"","")</f>
        <v/>
      </c>
    </row>
    <row r="570" customFormat="false" ht="13.5" hidden="false" customHeight="false" outlineLevel="0" collapsed="false">
      <c r="A570" s="47" t="n">
        <v>44</v>
      </c>
      <c r="C570" s="48" t="str">
        <f aca="false">助手报销!$C45</f>
        <v/>
      </c>
      <c r="D570" s="81" t="s">
        <v>488</v>
      </c>
      <c r="E570" s="48" t="str">
        <f aca="false">IFERROR(INDEX(输入报销!$E:$E,MATCH($A570&amp;"-10",输入报销!$J:$J,0))&amp;"","")</f>
        <v/>
      </c>
      <c r="F570" s="48" t="str">
        <f aca="false">IFERROR(INDEX(输入报销!$F:$F,MATCH($A570&amp;"-10",输入报销!$J:$J,0))&amp;"","")</f>
        <v/>
      </c>
      <c r="G570" s="49" t="n">
        <f aca="false">IFERROR(ROUND(INDEX(输入报销!$G:$G,MATCH($A570&amp;"-10",输入报销!$J:$J,0)),2),0)</f>
        <v>0</v>
      </c>
      <c r="H570" s="49" t="str">
        <f aca="false">IF(ROUND($G570,2)&gt;0,ROUND($G570,2),"")</f>
        <v/>
      </c>
      <c r="I570" s="49" t="str">
        <f aca="false">IF(ROUND($G570,2)&lt;0,-ROUND($G570,2),"")</f>
        <v/>
      </c>
      <c r="J570" s="20" t="n">
        <f aca="false">IF(ROUND($G570,2)=0,0,1)</f>
        <v>0</v>
      </c>
      <c r="K570" s="20" t="str">
        <f aca="false">IF($J570=0,"",SUM($J$561:$J570))</f>
        <v/>
      </c>
      <c r="L570" s="20" t="str">
        <f aca="false">IF($K570="","",$A570*100+$K570)</f>
        <v/>
      </c>
      <c r="M570" s="48" t="str">
        <f aca="false">IFERROR(INDEX(输入报销!$D:$D,MATCH($A570&amp;"-10",输入报销!$J:$J,0))&amp;"","")</f>
        <v/>
      </c>
    </row>
    <row r="571" customFormat="false" ht="13.5" hidden="false" customHeight="false" outlineLevel="0" collapsed="false">
      <c r="A571" s="47" t="n">
        <v>44</v>
      </c>
      <c r="C571" s="48" t="str">
        <f aca="false">助手报销!$C45</f>
        <v/>
      </c>
      <c r="D571" s="81" t="s">
        <v>489</v>
      </c>
      <c r="E571" s="48" t="str">
        <f aca="false">参数!$B$6</f>
        <v>库存现金</v>
      </c>
      <c r="F571" s="48" t="str">
        <f aca="false">""</f>
        <v/>
      </c>
      <c r="G571" s="49" t="n">
        <f aca="false">-ROUND(SUMIFS(输入报销!$G:$G,输入报销!$A:$A,$A571,输入报销!$H:$H,参数!$B$6),2)</f>
        <v>-0</v>
      </c>
      <c r="H571" s="49" t="str">
        <f aca="false">IF(ROUND($G571,2)&gt;0,ROUND($G571,2),"")</f>
        <v/>
      </c>
      <c r="I571" s="49" t="str">
        <f aca="false">IF(ROUND($G571,2)&lt;0,-ROUND($G571,2),"")</f>
        <v/>
      </c>
      <c r="J571" s="20" t="n">
        <f aca="false">IF(ROUND($G571,2)=0,0,1)</f>
        <v>0</v>
      </c>
      <c r="K571" s="20" t="str">
        <f aca="false">IF($J571=0,"",SUM($J$561:$J571))</f>
        <v/>
      </c>
      <c r="L571" s="20" t="str">
        <f aca="false">IF($K571="","",$A571*100+$K571)</f>
        <v/>
      </c>
      <c r="M571" s="48" t="str">
        <f aca="false">""</f>
        <v/>
      </c>
    </row>
    <row r="572" customFormat="false" ht="13.5" hidden="false" customHeight="false" outlineLevel="0" collapsed="false">
      <c r="A572" s="47" t="n">
        <v>44</v>
      </c>
      <c r="C572" s="48" t="str">
        <f aca="false">助手报销!$C45</f>
        <v/>
      </c>
      <c r="D572" s="81" t="s">
        <v>490</v>
      </c>
      <c r="E572" s="48" t="str">
        <f aca="false">参数!$B$7</f>
        <v>银行存款</v>
      </c>
      <c r="F572" s="48" t="str">
        <f aca="false">""</f>
        <v/>
      </c>
      <c r="G572" s="49" t="n">
        <f aca="false">-ROUND(SUMIFS(输入报销!$G:$G,输入报销!$A:$A,$A572,输入报销!$H:$H,参数!$B$7),2)</f>
        <v>-0</v>
      </c>
      <c r="H572" s="49" t="str">
        <f aca="false">IF(ROUND($G572,2)&gt;0,ROUND($G572,2),"")</f>
        <v/>
      </c>
      <c r="I572" s="49" t="str">
        <f aca="false">IF(ROUND($G572,2)&lt;0,-ROUND($G572,2),"")</f>
        <v/>
      </c>
      <c r="J572" s="20" t="n">
        <f aca="false">IF(ROUND($G572,2)=0,0,1)</f>
        <v>0</v>
      </c>
      <c r="K572" s="20" t="str">
        <f aca="false">IF($J572=0,"",SUM($J$561:$J572))</f>
        <v/>
      </c>
      <c r="L572" s="20" t="str">
        <f aca="false">IF($K572="","",$A572*100+$K572)</f>
        <v/>
      </c>
      <c r="M572" s="48" t="str">
        <f aca="false">""</f>
        <v/>
      </c>
    </row>
    <row r="573" customFormat="false" ht="13.5" hidden="false" customHeight="false" outlineLevel="0" collapsed="false">
      <c r="A573" s="47" t="n">
        <v>44</v>
      </c>
      <c r="C573" s="48" t="str">
        <f aca="false">助手报销!$C45</f>
        <v/>
      </c>
      <c r="D573" s="81" t="s">
        <v>491</v>
      </c>
      <c r="E573" s="48" t="str">
        <f aca="false">参数!$B$8</f>
        <v>其他应付款</v>
      </c>
      <c r="F573" s="48" t="str">
        <f aca="false">""</f>
        <v/>
      </c>
      <c r="G573" s="49" t="n">
        <f aca="false">-ROUND(SUMIFS(输入报销!$G:$G,输入报销!$A:$A,$A573,输入报销!$H:$H,参数!$B$8),2)</f>
        <v>-0</v>
      </c>
      <c r="H573" s="49" t="str">
        <f aca="false">IF(ROUND($G573,2)&gt;0,ROUND($G573,2),"")</f>
        <v/>
      </c>
      <c r="I573" s="49" t="str">
        <f aca="false">IF(ROUND($G573,2)&lt;0,-ROUND($G573,2),"")</f>
        <v/>
      </c>
      <c r="J573" s="20" t="n">
        <f aca="false">IF(ROUND($G573,2)=0,0,1)</f>
        <v>0</v>
      </c>
      <c r="K573" s="20" t="str">
        <f aca="false">IF($J573=0,"",SUM($J$561:$J573))</f>
        <v/>
      </c>
      <c r="L573" s="20" t="str">
        <f aca="false">IF($K573="","",$A573*100+$K573)</f>
        <v/>
      </c>
      <c r="M573" s="48" t="str">
        <f aca="false">""</f>
        <v/>
      </c>
    </row>
    <row r="574" customFormat="false" ht="13.5" hidden="false" customHeight="false" outlineLevel="0" collapsed="false">
      <c r="A574" s="47" t="n">
        <v>45</v>
      </c>
      <c r="C574" s="48" t="str">
        <f aca="false">助手报销!$C46</f>
        <v/>
      </c>
      <c r="D574" s="81" t="s">
        <v>479</v>
      </c>
      <c r="E574" s="48" t="str">
        <f aca="false">IFERROR(INDEX(输入报销!$E:$E,MATCH($A574&amp;"-1",输入报销!$J:$J,0))&amp;"","")</f>
        <v/>
      </c>
      <c r="F574" s="48" t="str">
        <f aca="false">IFERROR(INDEX(输入报销!$F:$F,MATCH($A574&amp;"-1",输入报销!$J:$J,0))&amp;"","")</f>
        <v/>
      </c>
      <c r="G574" s="49" t="n">
        <f aca="false">IFERROR(ROUND(INDEX(输入报销!$G:$G,MATCH($A574&amp;"-1",输入报销!$J:$J,0)),2),0)</f>
        <v>0</v>
      </c>
      <c r="H574" s="49" t="str">
        <f aca="false">IF(ROUND($G574,2)&gt;0,ROUND($G574,2),"")</f>
        <v/>
      </c>
      <c r="I574" s="49" t="str">
        <f aca="false">IF(ROUND($G574,2)&lt;0,-ROUND($G574,2),"")</f>
        <v/>
      </c>
      <c r="J574" s="20" t="n">
        <f aca="false">IF(ROUND($G574,2)=0,0,1)</f>
        <v>0</v>
      </c>
      <c r="K574" s="20" t="str">
        <f aca="false">IF($J574=0,"",SUM($J$574:$J574))</f>
        <v/>
      </c>
      <c r="L574" s="20" t="str">
        <f aca="false">IF($K574="","",$A574*100+$K574)</f>
        <v/>
      </c>
      <c r="M574" s="48" t="str">
        <f aca="false">IFERROR(INDEX(输入报销!$D:$D,MATCH($A574&amp;"-1",输入报销!$J:$J,0))&amp;"","")</f>
        <v/>
      </c>
    </row>
    <row r="575" customFormat="false" ht="13.5" hidden="false" customHeight="false" outlineLevel="0" collapsed="false">
      <c r="A575" s="47" t="n">
        <v>45</v>
      </c>
      <c r="C575" s="48" t="str">
        <f aca="false">助手报销!$C46</f>
        <v/>
      </c>
      <c r="D575" s="81" t="s">
        <v>480</v>
      </c>
      <c r="E575" s="48" t="str">
        <f aca="false">IFERROR(INDEX(输入报销!$E:$E,MATCH($A575&amp;"-2",输入报销!$J:$J,0))&amp;"","")</f>
        <v/>
      </c>
      <c r="F575" s="48" t="str">
        <f aca="false">IFERROR(INDEX(输入报销!$F:$F,MATCH($A575&amp;"-2",输入报销!$J:$J,0))&amp;"","")</f>
        <v/>
      </c>
      <c r="G575" s="49" t="n">
        <f aca="false">IFERROR(ROUND(INDEX(输入报销!$G:$G,MATCH($A575&amp;"-2",输入报销!$J:$J,0)),2),0)</f>
        <v>0</v>
      </c>
      <c r="H575" s="49" t="str">
        <f aca="false">IF(ROUND($G575,2)&gt;0,ROUND($G575,2),"")</f>
        <v/>
      </c>
      <c r="I575" s="49" t="str">
        <f aca="false">IF(ROUND($G575,2)&lt;0,-ROUND($G575,2),"")</f>
        <v/>
      </c>
      <c r="J575" s="20" t="n">
        <f aca="false">IF(ROUND($G575,2)=0,0,1)</f>
        <v>0</v>
      </c>
      <c r="K575" s="20" t="str">
        <f aca="false">IF($J575=0,"",SUM($J$574:$J575))</f>
        <v/>
      </c>
      <c r="L575" s="20" t="str">
        <f aca="false">IF($K575="","",$A575*100+$K575)</f>
        <v/>
      </c>
      <c r="M575" s="48" t="str">
        <f aca="false">IFERROR(INDEX(输入报销!$D:$D,MATCH($A575&amp;"-2",输入报销!$J:$J,0))&amp;"","")</f>
        <v/>
      </c>
    </row>
    <row r="576" customFormat="false" ht="13.5" hidden="false" customHeight="false" outlineLevel="0" collapsed="false">
      <c r="A576" s="47" t="n">
        <v>45</v>
      </c>
      <c r="C576" s="48" t="str">
        <f aca="false">助手报销!$C46</f>
        <v/>
      </c>
      <c r="D576" s="81" t="s">
        <v>481</v>
      </c>
      <c r="E576" s="48" t="str">
        <f aca="false">IFERROR(INDEX(输入报销!$E:$E,MATCH($A576&amp;"-3",输入报销!$J:$J,0))&amp;"","")</f>
        <v/>
      </c>
      <c r="F576" s="48" t="str">
        <f aca="false">IFERROR(INDEX(输入报销!$F:$F,MATCH($A576&amp;"-3",输入报销!$J:$J,0))&amp;"","")</f>
        <v/>
      </c>
      <c r="G576" s="49" t="n">
        <f aca="false">IFERROR(ROUND(INDEX(输入报销!$G:$G,MATCH($A576&amp;"-3",输入报销!$J:$J,0)),2),0)</f>
        <v>0</v>
      </c>
      <c r="H576" s="49" t="str">
        <f aca="false">IF(ROUND($G576,2)&gt;0,ROUND($G576,2),"")</f>
        <v/>
      </c>
      <c r="I576" s="49" t="str">
        <f aca="false">IF(ROUND($G576,2)&lt;0,-ROUND($G576,2),"")</f>
        <v/>
      </c>
      <c r="J576" s="20" t="n">
        <f aca="false">IF(ROUND($G576,2)=0,0,1)</f>
        <v>0</v>
      </c>
      <c r="K576" s="20" t="str">
        <f aca="false">IF($J576=0,"",SUM($J$574:$J576))</f>
        <v/>
      </c>
      <c r="L576" s="20" t="str">
        <f aca="false">IF($K576="","",$A576*100+$K576)</f>
        <v/>
      </c>
      <c r="M576" s="48" t="str">
        <f aca="false">IFERROR(INDEX(输入报销!$D:$D,MATCH($A576&amp;"-3",输入报销!$J:$J,0))&amp;"","")</f>
        <v/>
      </c>
    </row>
    <row r="577" customFormat="false" ht="13.5" hidden="false" customHeight="false" outlineLevel="0" collapsed="false">
      <c r="A577" s="47" t="n">
        <v>45</v>
      </c>
      <c r="C577" s="48" t="str">
        <f aca="false">助手报销!$C46</f>
        <v/>
      </c>
      <c r="D577" s="81" t="s">
        <v>482</v>
      </c>
      <c r="E577" s="48" t="str">
        <f aca="false">IFERROR(INDEX(输入报销!$E:$E,MATCH($A577&amp;"-4",输入报销!$J:$J,0))&amp;"","")</f>
        <v/>
      </c>
      <c r="F577" s="48" t="str">
        <f aca="false">IFERROR(INDEX(输入报销!$F:$F,MATCH($A577&amp;"-4",输入报销!$J:$J,0))&amp;"","")</f>
        <v/>
      </c>
      <c r="G577" s="49" t="n">
        <f aca="false">IFERROR(ROUND(INDEX(输入报销!$G:$G,MATCH($A577&amp;"-4",输入报销!$J:$J,0)),2),0)</f>
        <v>0</v>
      </c>
      <c r="H577" s="49" t="str">
        <f aca="false">IF(ROUND($G577,2)&gt;0,ROUND($G577,2),"")</f>
        <v/>
      </c>
      <c r="I577" s="49" t="str">
        <f aca="false">IF(ROUND($G577,2)&lt;0,-ROUND($G577,2),"")</f>
        <v/>
      </c>
      <c r="J577" s="20" t="n">
        <f aca="false">IF(ROUND($G577,2)=0,0,1)</f>
        <v>0</v>
      </c>
      <c r="K577" s="20" t="str">
        <f aca="false">IF($J577=0,"",SUM($J$574:$J577))</f>
        <v/>
      </c>
      <c r="L577" s="20" t="str">
        <f aca="false">IF($K577="","",$A577*100+$K577)</f>
        <v/>
      </c>
      <c r="M577" s="48" t="str">
        <f aca="false">IFERROR(INDEX(输入报销!$D:$D,MATCH($A577&amp;"-4",输入报销!$J:$J,0))&amp;"","")</f>
        <v/>
      </c>
    </row>
    <row r="578" customFormat="false" ht="13.5" hidden="false" customHeight="false" outlineLevel="0" collapsed="false">
      <c r="A578" s="47" t="n">
        <v>45</v>
      </c>
      <c r="C578" s="48" t="str">
        <f aca="false">助手报销!$C46</f>
        <v/>
      </c>
      <c r="D578" s="81" t="s">
        <v>483</v>
      </c>
      <c r="E578" s="48" t="str">
        <f aca="false">IFERROR(INDEX(输入报销!$E:$E,MATCH($A578&amp;"-5",输入报销!$J:$J,0))&amp;"","")</f>
        <v/>
      </c>
      <c r="F578" s="48" t="str">
        <f aca="false">IFERROR(INDEX(输入报销!$F:$F,MATCH($A578&amp;"-5",输入报销!$J:$J,0))&amp;"","")</f>
        <v/>
      </c>
      <c r="G578" s="49" t="n">
        <f aca="false">IFERROR(ROUND(INDEX(输入报销!$G:$G,MATCH($A578&amp;"-5",输入报销!$J:$J,0)),2),0)</f>
        <v>0</v>
      </c>
      <c r="H578" s="49" t="str">
        <f aca="false">IF(ROUND($G578,2)&gt;0,ROUND($G578,2),"")</f>
        <v/>
      </c>
      <c r="I578" s="49" t="str">
        <f aca="false">IF(ROUND($G578,2)&lt;0,-ROUND($G578,2),"")</f>
        <v/>
      </c>
      <c r="J578" s="20" t="n">
        <f aca="false">IF(ROUND($G578,2)=0,0,1)</f>
        <v>0</v>
      </c>
      <c r="K578" s="20" t="str">
        <f aca="false">IF($J578=0,"",SUM($J$574:$J578))</f>
        <v/>
      </c>
      <c r="L578" s="20" t="str">
        <f aca="false">IF($K578="","",$A578*100+$K578)</f>
        <v/>
      </c>
      <c r="M578" s="48" t="str">
        <f aca="false">IFERROR(INDEX(输入报销!$D:$D,MATCH($A578&amp;"-5",输入报销!$J:$J,0))&amp;"","")</f>
        <v/>
      </c>
    </row>
    <row r="579" customFormat="false" ht="13.5" hidden="false" customHeight="false" outlineLevel="0" collapsed="false">
      <c r="A579" s="47" t="n">
        <v>45</v>
      </c>
      <c r="C579" s="48" t="str">
        <f aca="false">助手报销!$C46</f>
        <v/>
      </c>
      <c r="D579" s="81" t="s">
        <v>484</v>
      </c>
      <c r="E579" s="48" t="str">
        <f aca="false">IFERROR(INDEX(输入报销!$E:$E,MATCH($A579&amp;"-6",输入报销!$J:$J,0))&amp;"","")</f>
        <v/>
      </c>
      <c r="F579" s="48" t="str">
        <f aca="false">IFERROR(INDEX(输入报销!$F:$F,MATCH($A579&amp;"-6",输入报销!$J:$J,0))&amp;"","")</f>
        <v/>
      </c>
      <c r="G579" s="49" t="n">
        <f aca="false">IFERROR(ROUND(INDEX(输入报销!$G:$G,MATCH($A579&amp;"-6",输入报销!$J:$J,0)),2),0)</f>
        <v>0</v>
      </c>
      <c r="H579" s="49" t="str">
        <f aca="false">IF(ROUND($G579,2)&gt;0,ROUND($G579,2),"")</f>
        <v/>
      </c>
      <c r="I579" s="49" t="str">
        <f aca="false">IF(ROUND($G579,2)&lt;0,-ROUND($G579,2),"")</f>
        <v/>
      </c>
      <c r="J579" s="20" t="n">
        <f aca="false">IF(ROUND($G579,2)=0,0,1)</f>
        <v>0</v>
      </c>
      <c r="K579" s="20" t="str">
        <f aca="false">IF($J579=0,"",SUM($J$574:$J579))</f>
        <v/>
      </c>
      <c r="L579" s="20" t="str">
        <f aca="false">IF($K579="","",$A579*100+$K579)</f>
        <v/>
      </c>
      <c r="M579" s="48" t="str">
        <f aca="false">IFERROR(INDEX(输入报销!$D:$D,MATCH($A579&amp;"-6",输入报销!$J:$J,0))&amp;"","")</f>
        <v/>
      </c>
    </row>
    <row r="580" customFormat="false" ht="13.5" hidden="false" customHeight="false" outlineLevel="0" collapsed="false">
      <c r="A580" s="47" t="n">
        <v>45</v>
      </c>
      <c r="C580" s="48" t="str">
        <f aca="false">助手报销!$C46</f>
        <v/>
      </c>
      <c r="D580" s="81" t="s">
        <v>485</v>
      </c>
      <c r="E580" s="48" t="str">
        <f aca="false">IFERROR(INDEX(输入报销!$E:$E,MATCH($A580&amp;"-7",输入报销!$J:$J,0))&amp;"","")</f>
        <v/>
      </c>
      <c r="F580" s="48" t="str">
        <f aca="false">IFERROR(INDEX(输入报销!$F:$F,MATCH($A580&amp;"-7",输入报销!$J:$J,0))&amp;"","")</f>
        <v/>
      </c>
      <c r="G580" s="49" t="n">
        <f aca="false">IFERROR(ROUND(INDEX(输入报销!$G:$G,MATCH($A580&amp;"-7",输入报销!$J:$J,0)),2),0)</f>
        <v>0</v>
      </c>
      <c r="H580" s="49" t="str">
        <f aca="false">IF(ROUND($G580,2)&gt;0,ROUND($G580,2),"")</f>
        <v/>
      </c>
      <c r="I580" s="49" t="str">
        <f aca="false">IF(ROUND($G580,2)&lt;0,-ROUND($G580,2),"")</f>
        <v/>
      </c>
      <c r="J580" s="20" t="n">
        <f aca="false">IF(ROUND($G580,2)=0,0,1)</f>
        <v>0</v>
      </c>
      <c r="K580" s="20" t="str">
        <f aca="false">IF($J580=0,"",SUM($J$574:$J580))</f>
        <v/>
      </c>
      <c r="L580" s="20" t="str">
        <f aca="false">IF($K580="","",$A580*100+$K580)</f>
        <v/>
      </c>
      <c r="M580" s="48" t="str">
        <f aca="false">IFERROR(INDEX(输入报销!$D:$D,MATCH($A580&amp;"-7",输入报销!$J:$J,0))&amp;"","")</f>
        <v/>
      </c>
    </row>
    <row r="581" customFormat="false" ht="13.5" hidden="false" customHeight="false" outlineLevel="0" collapsed="false">
      <c r="A581" s="47" t="n">
        <v>45</v>
      </c>
      <c r="C581" s="48" t="str">
        <f aca="false">助手报销!$C46</f>
        <v/>
      </c>
      <c r="D581" s="81" t="s">
        <v>486</v>
      </c>
      <c r="E581" s="48" t="str">
        <f aca="false">IFERROR(INDEX(输入报销!$E:$E,MATCH($A581&amp;"-8",输入报销!$J:$J,0))&amp;"","")</f>
        <v/>
      </c>
      <c r="F581" s="48" t="str">
        <f aca="false">IFERROR(INDEX(输入报销!$F:$F,MATCH($A581&amp;"-8",输入报销!$J:$J,0))&amp;"","")</f>
        <v/>
      </c>
      <c r="G581" s="49" t="n">
        <f aca="false">IFERROR(ROUND(INDEX(输入报销!$G:$G,MATCH($A581&amp;"-8",输入报销!$J:$J,0)),2),0)</f>
        <v>0</v>
      </c>
      <c r="H581" s="49" t="str">
        <f aca="false">IF(ROUND($G581,2)&gt;0,ROUND($G581,2),"")</f>
        <v/>
      </c>
      <c r="I581" s="49" t="str">
        <f aca="false">IF(ROUND($G581,2)&lt;0,-ROUND($G581,2),"")</f>
        <v/>
      </c>
      <c r="J581" s="20" t="n">
        <f aca="false">IF(ROUND($G581,2)=0,0,1)</f>
        <v>0</v>
      </c>
      <c r="K581" s="20" t="str">
        <f aca="false">IF($J581=0,"",SUM($J$574:$J581))</f>
        <v/>
      </c>
      <c r="L581" s="20" t="str">
        <f aca="false">IF($K581="","",$A581*100+$K581)</f>
        <v/>
      </c>
      <c r="M581" s="48" t="str">
        <f aca="false">IFERROR(INDEX(输入报销!$D:$D,MATCH($A581&amp;"-8",输入报销!$J:$J,0))&amp;"","")</f>
        <v/>
      </c>
    </row>
    <row r="582" customFormat="false" ht="13.5" hidden="false" customHeight="false" outlineLevel="0" collapsed="false">
      <c r="A582" s="47" t="n">
        <v>45</v>
      </c>
      <c r="C582" s="48" t="str">
        <f aca="false">助手报销!$C46</f>
        <v/>
      </c>
      <c r="D582" s="81" t="s">
        <v>487</v>
      </c>
      <c r="E582" s="48" t="str">
        <f aca="false">IFERROR(INDEX(输入报销!$E:$E,MATCH($A582&amp;"-9",输入报销!$J:$J,0))&amp;"","")</f>
        <v/>
      </c>
      <c r="F582" s="48" t="str">
        <f aca="false">IFERROR(INDEX(输入报销!$F:$F,MATCH($A582&amp;"-9",输入报销!$J:$J,0))&amp;"","")</f>
        <v/>
      </c>
      <c r="G582" s="49" t="n">
        <f aca="false">IFERROR(ROUND(INDEX(输入报销!$G:$G,MATCH($A582&amp;"-9",输入报销!$J:$J,0)),2),0)</f>
        <v>0</v>
      </c>
      <c r="H582" s="49" t="str">
        <f aca="false">IF(ROUND($G582,2)&gt;0,ROUND($G582,2),"")</f>
        <v/>
      </c>
      <c r="I582" s="49" t="str">
        <f aca="false">IF(ROUND($G582,2)&lt;0,-ROUND($G582,2),"")</f>
        <v/>
      </c>
      <c r="J582" s="20" t="n">
        <f aca="false">IF(ROUND($G582,2)=0,0,1)</f>
        <v>0</v>
      </c>
      <c r="K582" s="20" t="str">
        <f aca="false">IF($J582=0,"",SUM($J$574:$J582))</f>
        <v/>
      </c>
      <c r="L582" s="20" t="str">
        <f aca="false">IF($K582="","",$A582*100+$K582)</f>
        <v/>
      </c>
      <c r="M582" s="48" t="str">
        <f aca="false">IFERROR(INDEX(输入报销!$D:$D,MATCH($A582&amp;"-9",输入报销!$J:$J,0))&amp;"","")</f>
        <v/>
      </c>
    </row>
    <row r="583" customFormat="false" ht="13.5" hidden="false" customHeight="false" outlineLevel="0" collapsed="false">
      <c r="A583" s="47" t="n">
        <v>45</v>
      </c>
      <c r="C583" s="48" t="str">
        <f aca="false">助手报销!$C46</f>
        <v/>
      </c>
      <c r="D583" s="81" t="s">
        <v>488</v>
      </c>
      <c r="E583" s="48" t="str">
        <f aca="false">IFERROR(INDEX(输入报销!$E:$E,MATCH($A583&amp;"-10",输入报销!$J:$J,0))&amp;"","")</f>
        <v/>
      </c>
      <c r="F583" s="48" t="str">
        <f aca="false">IFERROR(INDEX(输入报销!$F:$F,MATCH($A583&amp;"-10",输入报销!$J:$J,0))&amp;"","")</f>
        <v/>
      </c>
      <c r="G583" s="49" t="n">
        <f aca="false">IFERROR(ROUND(INDEX(输入报销!$G:$G,MATCH($A583&amp;"-10",输入报销!$J:$J,0)),2),0)</f>
        <v>0</v>
      </c>
      <c r="H583" s="49" t="str">
        <f aca="false">IF(ROUND($G583,2)&gt;0,ROUND($G583,2),"")</f>
        <v/>
      </c>
      <c r="I583" s="49" t="str">
        <f aca="false">IF(ROUND($G583,2)&lt;0,-ROUND($G583,2),"")</f>
        <v/>
      </c>
      <c r="J583" s="20" t="n">
        <f aca="false">IF(ROUND($G583,2)=0,0,1)</f>
        <v>0</v>
      </c>
      <c r="K583" s="20" t="str">
        <f aca="false">IF($J583=0,"",SUM($J$574:$J583))</f>
        <v/>
      </c>
      <c r="L583" s="20" t="str">
        <f aca="false">IF($K583="","",$A583*100+$K583)</f>
        <v/>
      </c>
      <c r="M583" s="48" t="str">
        <f aca="false">IFERROR(INDEX(输入报销!$D:$D,MATCH($A583&amp;"-10",输入报销!$J:$J,0))&amp;"","")</f>
        <v/>
      </c>
    </row>
    <row r="584" customFormat="false" ht="13.5" hidden="false" customHeight="false" outlineLevel="0" collapsed="false">
      <c r="A584" s="47" t="n">
        <v>45</v>
      </c>
      <c r="C584" s="48" t="str">
        <f aca="false">助手报销!$C46</f>
        <v/>
      </c>
      <c r="D584" s="81" t="s">
        <v>489</v>
      </c>
      <c r="E584" s="48" t="str">
        <f aca="false">参数!$B$6</f>
        <v>库存现金</v>
      </c>
      <c r="F584" s="48" t="str">
        <f aca="false">""</f>
        <v/>
      </c>
      <c r="G584" s="49" t="n">
        <f aca="false">-ROUND(SUMIFS(输入报销!$G:$G,输入报销!$A:$A,$A584,输入报销!$H:$H,参数!$B$6),2)</f>
        <v>-0</v>
      </c>
      <c r="H584" s="49" t="str">
        <f aca="false">IF(ROUND($G584,2)&gt;0,ROUND($G584,2),"")</f>
        <v/>
      </c>
      <c r="I584" s="49" t="str">
        <f aca="false">IF(ROUND($G584,2)&lt;0,-ROUND($G584,2),"")</f>
        <v/>
      </c>
      <c r="J584" s="20" t="n">
        <f aca="false">IF(ROUND($G584,2)=0,0,1)</f>
        <v>0</v>
      </c>
      <c r="K584" s="20" t="str">
        <f aca="false">IF($J584=0,"",SUM($J$574:$J584))</f>
        <v/>
      </c>
      <c r="L584" s="20" t="str">
        <f aca="false">IF($K584="","",$A584*100+$K584)</f>
        <v/>
      </c>
      <c r="M584" s="48" t="str">
        <f aca="false">""</f>
        <v/>
      </c>
    </row>
    <row r="585" customFormat="false" ht="13.5" hidden="false" customHeight="false" outlineLevel="0" collapsed="false">
      <c r="A585" s="47" t="n">
        <v>45</v>
      </c>
      <c r="C585" s="48" t="str">
        <f aca="false">助手报销!$C46</f>
        <v/>
      </c>
      <c r="D585" s="81" t="s">
        <v>490</v>
      </c>
      <c r="E585" s="48" t="str">
        <f aca="false">参数!$B$7</f>
        <v>银行存款</v>
      </c>
      <c r="F585" s="48" t="str">
        <f aca="false">""</f>
        <v/>
      </c>
      <c r="G585" s="49" t="n">
        <f aca="false">-ROUND(SUMIFS(输入报销!$G:$G,输入报销!$A:$A,$A585,输入报销!$H:$H,参数!$B$7),2)</f>
        <v>-0</v>
      </c>
      <c r="H585" s="49" t="str">
        <f aca="false">IF(ROUND($G585,2)&gt;0,ROUND($G585,2),"")</f>
        <v/>
      </c>
      <c r="I585" s="49" t="str">
        <f aca="false">IF(ROUND($G585,2)&lt;0,-ROUND($G585,2),"")</f>
        <v/>
      </c>
      <c r="J585" s="20" t="n">
        <f aca="false">IF(ROUND($G585,2)=0,0,1)</f>
        <v>0</v>
      </c>
      <c r="K585" s="20" t="str">
        <f aca="false">IF($J585=0,"",SUM($J$574:$J585))</f>
        <v/>
      </c>
      <c r="L585" s="20" t="str">
        <f aca="false">IF($K585="","",$A585*100+$K585)</f>
        <v/>
      </c>
      <c r="M585" s="48" t="str">
        <f aca="false">""</f>
        <v/>
      </c>
    </row>
    <row r="586" customFormat="false" ht="13.5" hidden="false" customHeight="false" outlineLevel="0" collapsed="false">
      <c r="A586" s="47" t="n">
        <v>45</v>
      </c>
      <c r="C586" s="48" t="str">
        <f aca="false">助手报销!$C46</f>
        <v/>
      </c>
      <c r="D586" s="81" t="s">
        <v>491</v>
      </c>
      <c r="E586" s="48" t="str">
        <f aca="false">参数!$B$8</f>
        <v>其他应付款</v>
      </c>
      <c r="F586" s="48" t="str">
        <f aca="false">""</f>
        <v/>
      </c>
      <c r="G586" s="49" t="n">
        <f aca="false">-ROUND(SUMIFS(输入报销!$G:$G,输入报销!$A:$A,$A586,输入报销!$H:$H,参数!$B$8),2)</f>
        <v>-0</v>
      </c>
      <c r="H586" s="49" t="str">
        <f aca="false">IF(ROUND($G586,2)&gt;0,ROUND($G586,2),"")</f>
        <v/>
      </c>
      <c r="I586" s="49" t="str">
        <f aca="false">IF(ROUND($G586,2)&lt;0,-ROUND($G586,2),"")</f>
        <v/>
      </c>
      <c r="J586" s="20" t="n">
        <f aca="false">IF(ROUND($G586,2)=0,0,1)</f>
        <v>0</v>
      </c>
      <c r="K586" s="20" t="str">
        <f aca="false">IF($J586=0,"",SUM($J$574:$J586))</f>
        <v/>
      </c>
      <c r="L586" s="20" t="str">
        <f aca="false">IF($K586="","",$A586*100+$K586)</f>
        <v/>
      </c>
      <c r="M586" s="48" t="str">
        <f aca="false">""</f>
        <v/>
      </c>
    </row>
    <row r="587" customFormat="false" ht="13.5" hidden="false" customHeight="false" outlineLevel="0" collapsed="false">
      <c r="A587" s="47" t="n">
        <v>46</v>
      </c>
      <c r="C587" s="48" t="str">
        <f aca="false">助手报销!$C47</f>
        <v/>
      </c>
      <c r="D587" s="81" t="s">
        <v>479</v>
      </c>
      <c r="E587" s="48" t="str">
        <f aca="false">IFERROR(INDEX(输入报销!$E:$E,MATCH($A587&amp;"-1",输入报销!$J:$J,0))&amp;"","")</f>
        <v/>
      </c>
      <c r="F587" s="48" t="str">
        <f aca="false">IFERROR(INDEX(输入报销!$F:$F,MATCH($A587&amp;"-1",输入报销!$J:$J,0))&amp;"","")</f>
        <v/>
      </c>
      <c r="G587" s="49" t="n">
        <f aca="false">IFERROR(ROUND(INDEX(输入报销!$G:$G,MATCH($A587&amp;"-1",输入报销!$J:$J,0)),2),0)</f>
        <v>0</v>
      </c>
      <c r="H587" s="49" t="str">
        <f aca="false">IF(ROUND($G587,2)&gt;0,ROUND($G587,2),"")</f>
        <v/>
      </c>
      <c r="I587" s="49" t="str">
        <f aca="false">IF(ROUND($G587,2)&lt;0,-ROUND($G587,2),"")</f>
        <v/>
      </c>
      <c r="J587" s="20" t="n">
        <f aca="false">IF(ROUND($G587,2)=0,0,1)</f>
        <v>0</v>
      </c>
      <c r="K587" s="20" t="str">
        <f aca="false">IF($J587=0,"",SUM($J$587:$J587))</f>
        <v/>
      </c>
      <c r="L587" s="20" t="str">
        <f aca="false">IF($K587="","",$A587*100+$K587)</f>
        <v/>
      </c>
      <c r="M587" s="48" t="str">
        <f aca="false">IFERROR(INDEX(输入报销!$D:$D,MATCH($A587&amp;"-1",输入报销!$J:$J,0))&amp;"","")</f>
        <v/>
      </c>
    </row>
    <row r="588" customFormat="false" ht="13.5" hidden="false" customHeight="false" outlineLevel="0" collapsed="false">
      <c r="A588" s="47" t="n">
        <v>46</v>
      </c>
      <c r="C588" s="48" t="str">
        <f aca="false">助手报销!$C47</f>
        <v/>
      </c>
      <c r="D588" s="81" t="s">
        <v>480</v>
      </c>
      <c r="E588" s="48" t="str">
        <f aca="false">IFERROR(INDEX(输入报销!$E:$E,MATCH($A588&amp;"-2",输入报销!$J:$J,0))&amp;"","")</f>
        <v/>
      </c>
      <c r="F588" s="48" t="str">
        <f aca="false">IFERROR(INDEX(输入报销!$F:$F,MATCH($A588&amp;"-2",输入报销!$J:$J,0))&amp;"","")</f>
        <v/>
      </c>
      <c r="G588" s="49" t="n">
        <f aca="false">IFERROR(ROUND(INDEX(输入报销!$G:$G,MATCH($A588&amp;"-2",输入报销!$J:$J,0)),2),0)</f>
        <v>0</v>
      </c>
      <c r="H588" s="49" t="str">
        <f aca="false">IF(ROUND($G588,2)&gt;0,ROUND($G588,2),"")</f>
        <v/>
      </c>
      <c r="I588" s="49" t="str">
        <f aca="false">IF(ROUND($G588,2)&lt;0,-ROUND($G588,2),"")</f>
        <v/>
      </c>
      <c r="J588" s="20" t="n">
        <f aca="false">IF(ROUND($G588,2)=0,0,1)</f>
        <v>0</v>
      </c>
      <c r="K588" s="20" t="str">
        <f aca="false">IF($J588=0,"",SUM($J$587:$J588))</f>
        <v/>
      </c>
      <c r="L588" s="20" t="str">
        <f aca="false">IF($K588="","",$A588*100+$K588)</f>
        <v/>
      </c>
      <c r="M588" s="48" t="str">
        <f aca="false">IFERROR(INDEX(输入报销!$D:$D,MATCH($A588&amp;"-2",输入报销!$J:$J,0))&amp;"","")</f>
        <v/>
      </c>
    </row>
    <row r="589" customFormat="false" ht="13.5" hidden="false" customHeight="false" outlineLevel="0" collapsed="false">
      <c r="A589" s="47" t="n">
        <v>46</v>
      </c>
      <c r="C589" s="48" t="str">
        <f aca="false">助手报销!$C47</f>
        <v/>
      </c>
      <c r="D589" s="81" t="s">
        <v>481</v>
      </c>
      <c r="E589" s="48" t="str">
        <f aca="false">IFERROR(INDEX(输入报销!$E:$E,MATCH($A589&amp;"-3",输入报销!$J:$J,0))&amp;"","")</f>
        <v/>
      </c>
      <c r="F589" s="48" t="str">
        <f aca="false">IFERROR(INDEX(输入报销!$F:$F,MATCH($A589&amp;"-3",输入报销!$J:$J,0))&amp;"","")</f>
        <v/>
      </c>
      <c r="G589" s="49" t="n">
        <f aca="false">IFERROR(ROUND(INDEX(输入报销!$G:$G,MATCH($A589&amp;"-3",输入报销!$J:$J,0)),2),0)</f>
        <v>0</v>
      </c>
      <c r="H589" s="49" t="str">
        <f aca="false">IF(ROUND($G589,2)&gt;0,ROUND($G589,2),"")</f>
        <v/>
      </c>
      <c r="I589" s="49" t="str">
        <f aca="false">IF(ROUND($G589,2)&lt;0,-ROUND($G589,2),"")</f>
        <v/>
      </c>
      <c r="J589" s="20" t="n">
        <f aca="false">IF(ROUND($G589,2)=0,0,1)</f>
        <v>0</v>
      </c>
      <c r="K589" s="20" t="str">
        <f aca="false">IF($J589=0,"",SUM($J$587:$J589))</f>
        <v/>
      </c>
      <c r="L589" s="20" t="str">
        <f aca="false">IF($K589="","",$A589*100+$K589)</f>
        <v/>
      </c>
      <c r="M589" s="48" t="str">
        <f aca="false">IFERROR(INDEX(输入报销!$D:$D,MATCH($A589&amp;"-3",输入报销!$J:$J,0))&amp;"","")</f>
        <v/>
      </c>
    </row>
    <row r="590" customFormat="false" ht="13.5" hidden="false" customHeight="false" outlineLevel="0" collapsed="false">
      <c r="A590" s="47" t="n">
        <v>46</v>
      </c>
      <c r="C590" s="48" t="str">
        <f aca="false">助手报销!$C47</f>
        <v/>
      </c>
      <c r="D590" s="81" t="s">
        <v>482</v>
      </c>
      <c r="E590" s="48" t="str">
        <f aca="false">IFERROR(INDEX(输入报销!$E:$E,MATCH($A590&amp;"-4",输入报销!$J:$J,0))&amp;"","")</f>
        <v/>
      </c>
      <c r="F590" s="48" t="str">
        <f aca="false">IFERROR(INDEX(输入报销!$F:$F,MATCH($A590&amp;"-4",输入报销!$J:$J,0))&amp;"","")</f>
        <v/>
      </c>
      <c r="G590" s="49" t="n">
        <f aca="false">IFERROR(ROUND(INDEX(输入报销!$G:$G,MATCH($A590&amp;"-4",输入报销!$J:$J,0)),2),0)</f>
        <v>0</v>
      </c>
      <c r="H590" s="49" t="str">
        <f aca="false">IF(ROUND($G590,2)&gt;0,ROUND($G590,2),"")</f>
        <v/>
      </c>
      <c r="I590" s="49" t="str">
        <f aca="false">IF(ROUND($G590,2)&lt;0,-ROUND($G590,2),"")</f>
        <v/>
      </c>
      <c r="J590" s="20" t="n">
        <f aca="false">IF(ROUND($G590,2)=0,0,1)</f>
        <v>0</v>
      </c>
      <c r="K590" s="20" t="str">
        <f aca="false">IF($J590=0,"",SUM($J$587:$J590))</f>
        <v/>
      </c>
      <c r="L590" s="20" t="str">
        <f aca="false">IF($K590="","",$A590*100+$K590)</f>
        <v/>
      </c>
      <c r="M590" s="48" t="str">
        <f aca="false">IFERROR(INDEX(输入报销!$D:$D,MATCH($A590&amp;"-4",输入报销!$J:$J,0))&amp;"","")</f>
        <v/>
      </c>
    </row>
    <row r="591" customFormat="false" ht="13.5" hidden="false" customHeight="false" outlineLevel="0" collapsed="false">
      <c r="A591" s="47" t="n">
        <v>46</v>
      </c>
      <c r="C591" s="48" t="str">
        <f aca="false">助手报销!$C47</f>
        <v/>
      </c>
      <c r="D591" s="81" t="s">
        <v>483</v>
      </c>
      <c r="E591" s="48" t="str">
        <f aca="false">IFERROR(INDEX(输入报销!$E:$E,MATCH($A591&amp;"-5",输入报销!$J:$J,0))&amp;"","")</f>
        <v/>
      </c>
      <c r="F591" s="48" t="str">
        <f aca="false">IFERROR(INDEX(输入报销!$F:$F,MATCH($A591&amp;"-5",输入报销!$J:$J,0))&amp;"","")</f>
        <v/>
      </c>
      <c r="G591" s="49" t="n">
        <f aca="false">IFERROR(ROUND(INDEX(输入报销!$G:$G,MATCH($A591&amp;"-5",输入报销!$J:$J,0)),2),0)</f>
        <v>0</v>
      </c>
      <c r="H591" s="49" t="str">
        <f aca="false">IF(ROUND($G591,2)&gt;0,ROUND($G591,2),"")</f>
        <v/>
      </c>
      <c r="I591" s="49" t="str">
        <f aca="false">IF(ROUND($G591,2)&lt;0,-ROUND($G591,2),"")</f>
        <v/>
      </c>
      <c r="J591" s="20" t="n">
        <f aca="false">IF(ROUND($G591,2)=0,0,1)</f>
        <v>0</v>
      </c>
      <c r="K591" s="20" t="str">
        <f aca="false">IF($J591=0,"",SUM($J$587:$J591))</f>
        <v/>
      </c>
      <c r="L591" s="20" t="str">
        <f aca="false">IF($K591="","",$A591*100+$K591)</f>
        <v/>
      </c>
      <c r="M591" s="48" t="str">
        <f aca="false">IFERROR(INDEX(输入报销!$D:$D,MATCH($A591&amp;"-5",输入报销!$J:$J,0))&amp;"","")</f>
        <v/>
      </c>
    </row>
    <row r="592" customFormat="false" ht="13.5" hidden="false" customHeight="false" outlineLevel="0" collapsed="false">
      <c r="A592" s="47" t="n">
        <v>46</v>
      </c>
      <c r="C592" s="48" t="str">
        <f aca="false">助手报销!$C47</f>
        <v/>
      </c>
      <c r="D592" s="81" t="s">
        <v>484</v>
      </c>
      <c r="E592" s="48" t="str">
        <f aca="false">IFERROR(INDEX(输入报销!$E:$E,MATCH($A592&amp;"-6",输入报销!$J:$J,0))&amp;"","")</f>
        <v/>
      </c>
      <c r="F592" s="48" t="str">
        <f aca="false">IFERROR(INDEX(输入报销!$F:$F,MATCH($A592&amp;"-6",输入报销!$J:$J,0))&amp;"","")</f>
        <v/>
      </c>
      <c r="G592" s="49" t="n">
        <f aca="false">IFERROR(ROUND(INDEX(输入报销!$G:$G,MATCH($A592&amp;"-6",输入报销!$J:$J,0)),2),0)</f>
        <v>0</v>
      </c>
      <c r="H592" s="49" t="str">
        <f aca="false">IF(ROUND($G592,2)&gt;0,ROUND($G592,2),"")</f>
        <v/>
      </c>
      <c r="I592" s="49" t="str">
        <f aca="false">IF(ROUND($G592,2)&lt;0,-ROUND($G592,2),"")</f>
        <v/>
      </c>
      <c r="J592" s="20" t="n">
        <f aca="false">IF(ROUND($G592,2)=0,0,1)</f>
        <v>0</v>
      </c>
      <c r="K592" s="20" t="str">
        <f aca="false">IF($J592=0,"",SUM($J$587:$J592))</f>
        <v/>
      </c>
      <c r="L592" s="20" t="str">
        <f aca="false">IF($K592="","",$A592*100+$K592)</f>
        <v/>
      </c>
      <c r="M592" s="48" t="str">
        <f aca="false">IFERROR(INDEX(输入报销!$D:$D,MATCH($A592&amp;"-6",输入报销!$J:$J,0))&amp;"","")</f>
        <v/>
      </c>
    </row>
    <row r="593" customFormat="false" ht="13.5" hidden="false" customHeight="false" outlineLevel="0" collapsed="false">
      <c r="A593" s="47" t="n">
        <v>46</v>
      </c>
      <c r="C593" s="48" t="str">
        <f aca="false">助手报销!$C47</f>
        <v/>
      </c>
      <c r="D593" s="81" t="s">
        <v>485</v>
      </c>
      <c r="E593" s="48" t="str">
        <f aca="false">IFERROR(INDEX(输入报销!$E:$E,MATCH($A593&amp;"-7",输入报销!$J:$J,0))&amp;"","")</f>
        <v/>
      </c>
      <c r="F593" s="48" t="str">
        <f aca="false">IFERROR(INDEX(输入报销!$F:$F,MATCH($A593&amp;"-7",输入报销!$J:$J,0))&amp;"","")</f>
        <v/>
      </c>
      <c r="G593" s="49" t="n">
        <f aca="false">IFERROR(ROUND(INDEX(输入报销!$G:$G,MATCH($A593&amp;"-7",输入报销!$J:$J,0)),2),0)</f>
        <v>0</v>
      </c>
      <c r="H593" s="49" t="str">
        <f aca="false">IF(ROUND($G593,2)&gt;0,ROUND($G593,2),"")</f>
        <v/>
      </c>
      <c r="I593" s="49" t="str">
        <f aca="false">IF(ROUND($G593,2)&lt;0,-ROUND($G593,2),"")</f>
        <v/>
      </c>
      <c r="J593" s="20" t="n">
        <f aca="false">IF(ROUND($G593,2)=0,0,1)</f>
        <v>0</v>
      </c>
      <c r="K593" s="20" t="str">
        <f aca="false">IF($J593=0,"",SUM($J$587:$J593))</f>
        <v/>
      </c>
      <c r="L593" s="20" t="str">
        <f aca="false">IF($K593="","",$A593*100+$K593)</f>
        <v/>
      </c>
      <c r="M593" s="48" t="str">
        <f aca="false">IFERROR(INDEX(输入报销!$D:$D,MATCH($A593&amp;"-7",输入报销!$J:$J,0))&amp;"","")</f>
        <v/>
      </c>
    </row>
    <row r="594" customFormat="false" ht="13.5" hidden="false" customHeight="false" outlineLevel="0" collapsed="false">
      <c r="A594" s="47" t="n">
        <v>46</v>
      </c>
      <c r="C594" s="48" t="str">
        <f aca="false">助手报销!$C47</f>
        <v/>
      </c>
      <c r="D594" s="81" t="s">
        <v>486</v>
      </c>
      <c r="E594" s="48" t="str">
        <f aca="false">IFERROR(INDEX(输入报销!$E:$E,MATCH($A594&amp;"-8",输入报销!$J:$J,0))&amp;"","")</f>
        <v/>
      </c>
      <c r="F594" s="48" t="str">
        <f aca="false">IFERROR(INDEX(输入报销!$F:$F,MATCH($A594&amp;"-8",输入报销!$J:$J,0))&amp;"","")</f>
        <v/>
      </c>
      <c r="G594" s="49" t="n">
        <f aca="false">IFERROR(ROUND(INDEX(输入报销!$G:$G,MATCH($A594&amp;"-8",输入报销!$J:$J,0)),2),0)</f>
        <v>0</v>
      </c>
      <c r="H594" s="49" t="str">
        <f aca="false">IF(ROUND($G594,2)&gt;0,ROUND($G594,2),"")</f>
        <v/>
      </c>
      <c r="I594" s="49" t="str">
        <f aca="false">IF(ROUND($G594,2)&lt;0,-ROUND($G594,2),"")</f>
        <v/>
      </c>
      <c r="J594" s="20" t="n">
        <f aca="false">IF(ROUND($G594,2)=0,0,1)</f>
        <v>0</v>
      </c>
      <c r="K594" s="20" t="str">
        <f aca="false">IF($J594=0,"",SUM($J$587:$J594))</f>
        <v/>
      </c>
      <c r="L594" s="20" t="str">
        <f aca="false">IF($K594="","",$A594*100+$K594)</f>
        <v/>
      </c>
      <c r="M594" s="48" t="str">
        <f aca="false">IFERROR(INDEX(输入报销!$D:$D,MATCH($A594&amp;"-8",输入报销!$J:$J,0))&amp;"","")</f>
        <v/>
      </c>
    </row>
    <row r="595" customFormat="false" ht="13.5" hidden="false" customHeight="false" outlineLevel="0" collapsed="false">
      <c r="A595" s="47" t="n">
        <v>46</v>
      </c>
      <c r="C595" s="48" t="str">
        <f aca="false">助手报销!$C47</f>
        <v/>
      </c>
      <c r="D595" s="81" t="s">
        <v>487</v>
      </c>
      <c r="E595" s="48" t="str">
        <f aca="false">IFERROR(INDEX(输入报销!$E:$E,MATCH($A595&amp;"-9",输入报销!$J:$J,0))&amp;"","")</f>
        <v/>
      </c>
      <c r="F595" s="48" t="str">
        <f aca="false">IFERROR(INDEX(输入报销!$F:$F,MATCH($A595&amp;"-9",输入报销!$J:$J,0))&amp;"","")</f>
        <v/>
      </c>
      <c r="G595" s="49" t="n">
        <f aca="false">IFERROR(ROUND(INDEX(输入报销!$G:$G,MATCH($A595&amp;"-9",输入报销!$J:$J,0)),2),0)</f>
        <v>0</v>
      </c>
      <c r="H595" s="49" t="str">
        <f aca="false">IF(ROUND($G595,2)&gt;0,ROUND($G595,2),"")</f>
        <v/>
      </c>
      <c r="I595" s="49" t="str">
        <f aca="false">IF(ROUND($G595,2)&lt;0,-ROUND($G595,2),"")</f>
        <v/>
      </c>
      <c r="J595" s="20" t="n">
        <f aca="false">IF(ROUND($G595,2)=0,0,1)</f>
        <v>0</v>
      </c>
      <c r="K595" s="20" t="str">
        <f aca="false">IF($J595=0,"",SUM($J$587:$J595))</f>
        <v/>
      </c>
      <c r="L595" s="20" t="str">
        <f aca="false">IF($K595="","",$A595*100+$K595)</f>
        <v/>
      </c>
      <c r="M595" s="48" t="str">
        <f aca="false">IFERROR(INDEX(输入报销!$D:$D,MATCH($A595&amp;"-9",输入报销!$J:$J,0))&amp;"","")</f>
        <v/>
      </c>
    </row>
    <row r="596" customFormat="false" ht="13.5" hidden="false" customHeight="false" outlineLevel="0" collapsed="false">
      <c r="A596" s="47" t="n">
        <v>46</v>
      </c>
      <c r="C596" s="48" t="str">
        <f aca="false">助手报销!$C47</f>
        <v/>
      </c>
      <c r="D596" s="81" t="s">
        <v>488</v>
      </c>
      <c r="E596" s="48" t="str">
        <f aca="false">IFERROR(INDEX(输入报销!$E:$E,MATCH($A596&amp;"-10",输入报销!$J:$J,0))&amp;"","")</f>
        <v/>
      </c>
      <c r="F596" s="48" t="str">
        <f aca="false">IFERROR(INDEX(输入报销!$F:$F,MATCH($A596&amp;"-10",输入报销!$J:$J,0))&amp;"","")</f>
        <v/>
      </c>
      <c r="G596" s="49" t="n">
        <f aca="false">IFERROR(ROUND(INDEX(输入报销!$G:$G,MATCH($A596&amp;"-10",输入报销!$J:$J,0)),2),0)</f>
        <v>0</v>
      </c>
      <c r="H596" s="49" t="str">
        <f aca="false">IF(ROUND($G596,2)&gt;0,ROUND($G596,2),"")</f>
        <v/>
      </c>
      <c r="I596" s="49" t="str">
        <f aca="false">IF(ROUND($G596,2)&lt;0,-ROUND($G596,2),"")</f>
        <v/>
      </c>
      <c r="J596" s="20" t="n">
        <f aca="false">IF(ROUND($G596,2)=0,0,1)</f>
        <v>0</v>
      </c>
      <c r="K596" s="20" t="str">
        <f aca="false">IF($J596=0,"",SUM($J$587:$J596))</f>
        <v/>
      </c>
      <c r="L596" s="20" t="str">
        <f aca="false">IF($K596="","",$A596*100+$K596)</f>
        <v/>
      </c>
      <c r="M596" s="48" t="str">
        <f aca="false">IFERROR(INDEX(输入报销!$D:$D,MATCH($A596&amp;"-10",输入报销!$J:$J,0))&amp;"","")</f>
        <v/>
      </c>
    </row>
    <row r="597" customFormat="false" ht="13.5" hidden="false" customHeight="false" outlineLevel="0" collapsed="false">
      <c r="A597" s="47" t="n">
        <v>46</v>
      </c>
      <c r="C597" s="48" t="str">
        <f aca="false">助手报销!$C47</f>
        <v/>
      </c>
      <c r="D597" s="81" t="s">
        <v>489</v>
      </c>
      <c r="E597" s="48" t="str">
        <f aca="false">参数!$B$6</f>
        <v>库存现金</v>
      </c>
      <c r="F597" s="48" t="str">
        <f aca="false">""</f>
        <v/>
      </c>
      <c r="G597" s="49" t="n">
        <f aca="false">-ROUND(SUMIFS(输入报销!$G:$G,输入报销!$A:$A,$A597,输入报销!$H:$H,参数!$B$6),2)</f>
        <v>-0</v>
      </c>
      <c r="H597" s="49" t="str">
        <f aca="false">IF(ROUND($G597,2)&gt;0,ROUND($G597,2),"")</f>
        <v/>
      </c>
      <c r="I597" s="49" t="str">
        <f aca="false">IF(ROUND($G597,2)&lt;0,-ROUND($G597,2),"")</f>
        <v/>
      </c>
      <c r="J597" s="20" t="n">
        <f aca="false">IF(ROUND($G597,2)=0,0,1)</f>
        <v>0</v>
      </c>
      <c r="K597" s="20" t="str">
        <f aca="false">IF($J597=0,"",SUM($J$587:$J597))</f>
        <v/>
      </c>
      <c r="L597" s="20" t="str">
        <f aca="false">IF($K597="","",$A597*100+$K597)</f>
        <v/>
      </c>
      <c r="M597" s="48" t="str">
        <f aca="false">""</f>
        <v/>
      </c>
    </row>
    <row r="598" customFormat="false" ht="13.5" hidden="false" customHeight="false" outlineLevel="0" collapsed="false">
      <c r="A598" s="47" t="n">
        <v>46</v>
      </c>
      <c r="C598" s="48" t="str">
        <f aca="false">助手报销!$C47</f>
        <v/>
      </c>
      <c r="D598" s="81" t="s">
        <v>490</v>
      </c>
      <c r="E598" s="48" t="str">
        <f aca="false">参数!$B$7</f>
        <v>银行存款</v>
      </c>
      <c r="F598" s="48" t="str">
        <f aca="false">""</f>
        <v/>
      </c>
      <c r="G598" s="49" t="n">
        <f aca="false">-ROUND(SUMIFS(输入报销!$G:$G,输入报销!$A:$A,$A598,输入报销!$H:$H,参数!$B$7),2)</f>
        <v>-0</v>
      </c>
      <c r="H598" s="49" t="str">
        <f aca="false">IF(ROUND($G598,2)&gt;0,ROUND($G598,2),"")</f>
        <v/>
      </c>
      <c r="I598" s="49" t="str">
        <f aca="false">IF(ROUND($G598,2)&lt;0,-ROUND($G598,2),"")</f>
        <v/>
      </c>
      <c r="J598" s="20" t="n">
        <f aca="false">IF(ROUND($G598,2)=0,0,1)</f>
        <v>0</v>
      </c>
      <c r="K598" s="20" t="str">
        <f aca="false">IF($J598=0,"",SUM($J$587:$J598))</f>
        <v/>
      </c>
      <c r="L598" s="20" t="str">
        <f aca="false">IF($K598="","",$A598*100+$K598)</f>
        <v/>
      </c>
      <c r="M598" s="48" t="str">
        <f aca="false">""</f>
        <v/>
      </c>
    </row>
    <row r="599" customFormat="false" ht="13.5" hidden="false" customHeight="false" outlineLevel="0" collapsed="false">
      <c r="A599" s="47" t="n">
        <v>46</v>
      </c>
      <c r="C599" s="48" t="str">
        <f aca="false">助手报销!$C47</f>
        <v/>
      </c>
      <c r="D599" s="81" t="s">
        <v>491</v>
      </c>
      <c r="E599" s="48" t="str">
        <f aca="false">参数!$B$8</f>
        <v>其他应付款</v>
      </c>
      <c r="F599" s="48" t="str">
        <f aca="false">""</f>
        <v/>
      </c>
      <c r="G599" s="49" t="n">
        <f aca="false">-ROUND(SUMIFS(输入报销!$G:$G,输入报销!$A:$A,$A599,输入报销!$H:$H,参数!$B$8),2)</f>
        <v>-0</v>
      </c>
      <c r="H599" s="49" t="str">
        <f aca="false">IF(ROUND($G599,2)&gt;0,ROUND($G599,2),"")</f>
        <v/>
      </c>
      <c r="I599" s="49" t="str">
        <f aca="false">IF(ROUND($G599,2)&lt;0,-ROUND($G599,2),"")</f>
        <v/>
      </c>
      <c r="J599" s="20" t="n">
        <f aca="false">IF(ROUND($G599,2)=0,0,1)</f>
        <v>0</v>
      </c>
      <c r="K599" s="20" t="str">
        <f aca="false">IF($J599=0,"",SUM($J$587:$J599))</f>
        <v/>
      </c>
      <c r="L599" s="20" t="str">
        <f aca="false">IF($K599="","",$A599*100+$K599)</f>
        <v/>
      </c>
      <c r="M599" s="48" t="str">
        <f aca="false">""</f>
        <v/>
      </c>
    </row>
    <row r="600" customFormat="false" ht="13.5" hidden="false" customHeight="false" outlineLevel="0" collapsed="false">
      <c r="A600" s="47" t="n">
        <v>47</v>
      </c>
      <c r="C600" s="48" t="str">
        <f aca="false">助手报销!$C48</f>
        <v/>
      </c>
      <c r="D600" s="81" t="s">
        <v>479</v>
      </c>
      <c r="E600" s="48" t="str">
        <f aca="false">IFERROR(INDEX(输入报销!$E:$E,MATCH($A600&amp;"-1",输入报销!$J:$J,0))&amp;"","")</f>
        <v/>
      </c>
      <c r="F600" s="48" t="str">
        <f aca="false">IFERROR(INDEX(输入报销!$F:$F,MATCH($A600&amp;"-1",输入报销!$J:$J,0))&amp;"","")</f>
        <v/>
      </c>
      <c r="G600" s="49" t="n">
        <f aca="false">IFERROR(ROUND(INDEX(输入报销!$G:$G,MATCH($A600&amp;"-1",输入报销!$J:$J,0)),2),0)</f>
        <v>0</v>
      </c>
      <c r="H600" s="49" t="str">
        <f aca="false">IF(ROUND($G600,2)&gt;0,ROUND($G600,2),"")</f>
        <v/>
      </c>
      <c r="I600" s="49" t="str">
        <f aca="false">IF(ROUND($G600,2)&lt;0,-ROUND($G600,2),"")</f>
        <v/>
      </c>
      <c r="J600" s="20" t="n">
        <f aca="false">IF(ROUND($G600,2)=0,0,1)</f>
        <v>0</v>
      </c>
      <c r="K600" s="20" t="str">
        <f aca="false">IF($J600=0,"",SUM($J$600:$J600))</f>
        <v/>
      </c>
      <c r="L600" s="20" t="str">
        <f aca="false">IF($K600="","",$A600*100+$K600)</f>
        <v/>
      </c>
      <c r="M600" s="48" t="str">
        <f aca="false">IFERROR(INDEX(输入报销!$D:$D,MATCH($A600&amp;"-1",输入报销!$J:$J,0))&amp;"","")</f>
        <v/>
      </c>
    </row>
    <row r="601" customFormat="false" ht="13.5" hidden="false" customHeight="false" outlineLevel="0" collapsed="false">
      <c r="A601" s="47" t="n">
        <v>47</v>
      </c>
      <c r="C601" s="48" t="str">
        <f aca="false">助手报销!$C48</f>
        <v/>
      </c>
      <c r="D601" s="81" t="s">
        <v>480</v>
      </c>
      <c r="E601" s="48" t="str">
        <f aca="false">IFERROR(INDEX(输入报销!$E:$E,MATCH($A601&amp;"-2",输入报销!$J:$J,0))&amp;"","")</f>
        <v/>
      </c>
      <c r="F601" s="48" t="str">
        <f aca="false">IFERROR(INDEX(输入报销!$F:$F,MATCH($A601&amp;"-2",输入报销!$J:$J,0))&amp;"","")</f>
        <v/>
      </c>
      <c r="G601" s="49" t="n">
        <f aca="false">IFERROR(ROUND(INDEX(输入报销!$G:$G,MATCH($A601&amp;"-2",输入报销!$J:$J,0)),2),0)</f>
        <v>0</v>
      </c>
      <c r="H601" s="49" t="str">
        <f aca="false">IF(ROUND($G601,2)&gt;0,ROUND($G601,2),"")</f>
        <v/>
      </c>
      <c r="I601" s="49" t="str">
        <f aca="false">IF(ROUND($G601,2)&lt;0,-ROUND($G601,2),"")</f>
        <v/>
      </c>
      <c r="J601" s="20" t="n">
        <f aca="false">IF(ROUND($G601,2)=0,0,1)</f>
        <v>0</v>
      </c>
      <c r="K601" s="20" t="str">
        <f aca="false">IF($J601=0,"",SUM($J$600:$J601))</f>
        <v/>
      </c>
      <c r="L601" s="20" t="str">
        <f aca="false">IF($K601="","",$A601*100+$K601)</f>
        <v/>
      </c>
      <c r="M601" s="48" t="str">
        <f aca="false">IFERROR(INDEX(输入报销!$D:$D,MATCH($A601&amp;"-2",输入报销!$J:$J,0))&amp;"","")</f>
        <v/>
      </c>
    </row>
    <row r="602" customFormat="false" ht="13.5" hidden="false" customHeight="false" outlineLevel="0" collapsed="false">
      <c r="A602" s="47" t="n">
        <v>47</v>
      </c>
      <c r="C602" s="48" t="str">
        <f aca="false">助手报销!$C48</f>
        <v/>
      </c>
      <c r="D602" s="81" t="s">
        <v>481</v>
      </c>
      <c r="E602" s="48" t="str">
        <f aca="false">IFERROR(INDEX(输入报销!$E:$E,MATCH($A602&amp;"-3",输入报销!$J:$J,0))&amp;"","")</f>
        <v/>
      </c>
      <c r="F602" s="48" t="str">
        <f aca="false">IFERROR(INDEX(输入报销!$F:$F,MATCH($A602&amp;"-3",输入报销!$J:$J,0))&amp;"","")</f>
        <v/>
      </c>
      <c r="G602" s="49" t="n">
        <f aca="false">IFERROR(ROUND(INDEX(输入报销!$G:$G,MATCH($A602&amp;"-3",输入报销!$J:$J,0)),2),0)</f>
        <v>0</v>
      </c>
      <c r="H602" s="49" t="str">
        <f aca="false">IF(ROUND($G602,2)&gt;0,ROUND($G602,2),"")</f>
        <v/>
      </c>
      <c r="I602" s="49" t="str">
        <f aca="false">IF(ROUND($G602,2)&lt;0,-ROUND($G602,2),"")</f>
        <v/>
      </c>
      <c r="J602" s="20" t="n">
        <f aca="false">IF(ROUND($G602,2)=0,0,1)</f>
        <v>0</v>
      </c>
      <c r="K602" s="20" t="str">
        <f aca="false">IF($J602=0,"",SUM($J$600:$J602))</f>
        <v/>
      </c>
      <c r="L602" s="20" t="str">
        <f aca="false">IF($K602="","",$A602*100+$K602)</f>
        <v/>
      </c>
      <c r="M602" s="48" t="str">
        <f aca="false">IFERROR(INDEX(输入报销!$D:$D,MATCH($A602&amp;"-3",输入报销!$J:$J,0))&amp;"","")</f>
        <v/>
      </c>
    </row>
    <row r="603" customFormat="false" ht="13.5" hidden="false" customHeight="false" outlineLevel="0" collapsed="false">
      <c r="A603" s="47" t="n">
        <v>47</v>
      </c>
      <c r="C603" s="48" t="str">
        <f aca="false">助手报销!$C48</f>
        <v/>
      </c>
      <c r="D603" s="81" t="s">
        <v>482</v>
      </c>
      <c r="E603" s="48" t="str">
        <f aca="false">IFERROR(INDEX(输入报销!$E:$E,MATCH($A603&amp;"-4",输入报销!$J:$J,0))&amp;"","")</f>
        <v/>
      </c>
      <c r="F603" s="48" t="str">
        <f aca="false">IFERROR(INDEX(输入报销!$F:$F,MATCH($A603&amp;"-4",输入报销!$J:$J,0))&amp;"","")</f>
        <v/>
      </c>
      <c r="G603" s="49" t="n">
        <f aca="false">IFERROR(ROUND(INDEX(输入报销!$G:$G,MATCH($A603&amp;"-4",输入报销!$J:$J,0)),2),0)</f>
        <v>0</v>
      </c>
      <c r="H603" s="49" t="str">
        <f aca="false">IF(ROUND($G603,2)&gt;0,ROUND($G603,2),"")</f>
        <v/>
      </c>
      <c r="I603" s="49" t="str">
        <f aca="false">IF(ROUND($G603,2)&lt;0,-ROUND($G603,2),"")</f>
        <v/>
      </c>
      <c r="J603" s="20" t="n">
        <f aca="false">IF(ROUND($G603,2)=0,0,1)</f>
        <v>0</v>
      </c>
      <c r="K603" s="20" t="str">
        <f aca="false">IF($J603=0,"",SUM($J$600:$J603))</f>
        <v/>
      </c>
      <c r="L603" s="20" t="str">
        <f aca="false">IF($K603="","",$A603*100+$K603)</f>
        <v/>
      </c>
      <c r="M603" s="48" t="str">
        <f aca="false">IFERROR(INDEX(输入报销!$D:$D,MATCH($A603&amp;"-4",输入报销!$J:$J,0))&amp;"","")</f>
        <v/>
      </c>
    </row>
    <row r="604" customFormat="false" ht="13.5" hidden="false" customHeight="false" outlineLevel="0" collapsed="false">
      <c r="A604" s="47" t="n">
        <v>47</v>
      </c>
      <c r="C604" s="48" t="str">
        <f aca="false">助手报销!$C48</f>
        <v/>
      </c>
      <c r="D604" s="81" t="s">
        <v>483</v>
      </c>
      <c r="E604" s="48" t="str">
        <f aca="false">IFERROR(INDEX(输入报销!$E:$E,MATCH($A604&amp;"-5",输入报销!$J:$J,0))&amp;"","")</f>
        <v/>
      </c>
      <c r="F604" s="48" t="str">
        <f aca="false">IFERROR(INDEX(输入报销!$F:$F,MATCH($A604&amp;"-5",输入报销!$J:$J,0))&amp;"","")</f>
        <v/>
      </c>
      <c r="G604" s="49" t="n">
        <f aca="false">IFERROR(ROUND(INDEX(输入报销!$G:$G,MATCH($A604&amp;"-5",输入报销!$J:$J,0)),2),0)</f>
        <v>0</v>
      </c>
      <c r="H604" s="49" t="str">
        <f aca="false">IF(ROUND($G604,2)&gt;0,ROUND($G604,2),"")</f>
        <v/>
      </c>
      <c r="I604" s="49" t="str">
        <f aca="false">IF(ROUND($G604,2)&lt;0,-ROUND($G604,2),"")</f>
        <v/>
      </c>
      <c r="J604" s="20" t="n">
        <f aca="false">IF(ROUND($G604,2)=0,0,1)</f>
        <v>0</v>
      </c>
      <c r="K604" s="20" t="str">
        <f aca="false">IF($J604=0,"",SUM($J$600:$J604))</f>
        <v/>
      </c>
      <c r="L604" s="20" t="str">
        <f aca="false">IF($K604="","",$A604*100+$K604)</f>
        <v/>
      </c>
      <c r="M604" s="48" t="str">
        <f aca="false">IFERROR(INDEX(输入报销!$D:$D,MATCH($A604&amp;"-5",输入报销!$J:$J,0))&amp;"","")</f>
        <v/>
      </c>
    </row>
    <row r="605" customFormat="false" ht="13.5" hidden="false" customHeight="false" outlineLevel="0" collapsed="false">
      <c r="A605" s="47" t="n">
        <v>47</v>
      </c>
      <c r="C605" s="48" t="str">
        <f aca="false">助手报销!$C48</f>
        <v/>
      </c>
      <c r="D605" s="81" t="s">
        <v>484</v>
      </c>
      <c r="E605" s="48" t="str">
        <f aca="false">IFERROR(INDEX(输入报销!$E:$E,MATCH($A605&amp;"-6",输入报销!$J:$J,0))&amp;"","")</f>
        <v/>
      </c>
      <c r="F605" s="48" t="str">
        <f aca="false">IFERROR(INDEX(输入报销!$F:$F,MATCH($A605&amp;"-6",输入报销!$J:$J,0))&amp;"","")</f>
        <v/>
      </c>
      <c r="G605" s="49" t="n">
        <f aca="false">IFERROR(ROUND(INDEX(输入报销!$G:$G,MATCH($A605&amp;"-6",输入报销!$J:$J,0)),2),0)</f>
        <v>0</v>
      </c>
      <c r="H605" s="49" t="str">
        <f aca="false">IF(ROUND($G605,2)&gt;0,ROUND($G605,2),"")</f>
        <v/>
      </c>
      <c r="I605" s="49" t="str">
        <f aca="false">IF(ROUND($G605,2)&lt;0,-ROUND($G605,2),"")</f>
        <v/>
      </c>
      <c r="J605" s="20" t="n">
        <f aca="false">IF(ROUND($G605,2)=0,0,1)</f>
        <v>0</v>
      </c>
      <c r="K605" s="20" t="str">
        <f aca="false">IF($J605=0,"",SUM($J$600:$J605))</f>
        <v/>
      </c>
      <c r="L605" s="20" t="str">
        <f aca="false">IF($K605="","",$A605*100+$K605)</f>
        <v/>
      </c>
      <c r="M605" s="48" t="str">
        <f aca="false">IFERROR(INDEX(输入报销!$D:$D,MATCH($A605&amp;"-6",输入报销!$J:$J,0))&amp;"","")</f>
        <v/>
      </c>
    </row>
    <row r="606" customFormat="false" ht="13.5" hidden="false" customHeight="false" outlineLevel="0" collapsed="false">
      <c r="A606" s="47" t="n">
        <v>47</v>
      </c>
      <c r="C606" s="48" t="str">
        <f aca="false">助手报销!$C48</f>
        <v/>
      </c>
      <c r="D606" s="81" t="s">
        <v>485</v>
      </c>
      <c r="E606" s="48" t="str">
        <f aca="false">IFERROR(INDEX(输入报销!$E:$E,MATCH($A606&amp;"-7",输入报销!$J:$J,0))&amp;"","")</f>
        <v/>
      </c>
      <c r="F606" s="48" t="str">
        <f aca="false">IFERROR(INDEX(输入报销!$F:$F,MATCH($A606&amp;"-7",输入报销!$J:$J,0))&amp;"","")</f>
        <v/>
      </c>
      <c r="G606" s="49" t="n">
        <f aca="false">IFERROR(ROUND(INDEX(输入报销!$G:$G,MATCH($A606&amp;"-7",输入报销!$J:$J,0)),2),0)</f>
        <v>0</v>
      </c>
      <c r="H606" s="49" t="str">
        <f aca="false">IF(ROUND($G606,2)&gt;0,ROUND($G606,2),"")</f>
        <v/>
      </c>
      <c r="I606" s="49" t="str">
        <f aca="false">IF(ROUND($G606,2)&lt;0,-ROUND($G606,2),"")</f>
        <v/>
      </c>
      <c r="J606" s="20" t="n">
        <f aca="false">IF(ROUND($G606,2)=0,0,1)</f>
        <v>0</v>
      </c>
      <c r="K606" s="20" t="str">
        <f aca="false">IF($J606=0,"",SUM($J$600:$J606))</f>
        <v/>
      </c>
      <c r="L606" s="20" t="str">
        <f aca="false">IF($K606="","",$A606*100+$K606)</f>
        <v/>
      </c>
      <c r="M606" s="48" t="str">
        <f aca="false">IFERROR(INDEX(输入报销!$D:$D,MATCH($A606&amp;"-7",输入报销!$J:$J,0))&amp;"","")</f>
        <v/>
      </c>
    </row>
    <row r="607" customFormat="false" ht="13.5" hidden="false" customHeight="false" outlineLevel="0" collapsed="false">
      <c r="A607" s="47" t="n">
        <v>47</v>
      </c>
      <c r="C607" s="48" t="str">
        <f aca="false">助手报销!$C48</f>
        <v/>
      </c>
      <c r="D607" s="81" t="s">
        <v>486</v>
      </c>
      <c r="E607" s="48" t="str">
        <f aca="false">IFERROR(INDEX(输入报销!$E:$E,MATCH($A607&amp;"-8",输入报销!$J:$J,0))&amp;"","")</f>
        <v/>
      </c>
      <c r="F607" s="48" t="str">
        <f aca="false">IFERROR(INDEX(输入报销!$F:$F,MATCH($A607&amp;"-8",输入报销!$J:$J,0))&amp;"","")</f>
        <v/>
      </c>
      <c r="G607" s="49" t="n">
        <f aca="false">IFERROR(ROUND(INDEX(输入报销!$G:$G,MATCH($A607&amp;"-8",输入报销!$J:$J,0)),2),0)</f>
        <v>0</v>
      </c>
      <c r="H607" s="49" t="str">
        <f aca="false">IF(ROUND($G607,2)&gt;0,ROUND($G607,2),"")</f>
        <v/>
      </c>
      <c r="I607" s="49" t="str">
        <f aca="false">IF(ROUND($G607,2)&lt;0,-ROUND($G607,2),"")</f>
        <v/>
      </c>
      <c r="J607" s="20" t="n">
        <f aca="false">IF(ROUND($G607,2)=0,0,1)</f>
        <v>0</v>
      </c>
      <c r="K607" s="20" t="str">
        <f aca="false">IF($J607=0,"",SUM($J$600:$J607))</f>
        <v/>
      </c>
      <c r="L607" s="20" t="str">
        <f aca="false">IF($K607="","",$A607*100+$K607)</f>
        <v/>
      </c>
      <c r="M607" s="48" t="str">
        <f aca="false">IFERROR(INDEX(输入报销!$D:$D,MATCH($A607&amp;"-8",输入报销!$J:$J,0))&amp;"","")</f>
        <v/>
      </c>
    </row>
    <row r="608" customFormat="false" ht="13.5" hidden="false" customHeight="false" outlineLevel="0" collapsed="false">
      <c r="A608" s="47" t="n">
        <v>47</v>
      </c>
      <c r="C608" s="48" t="str">
        <f aca="false">助手报销!$C48</f>
        <v/>
      </c>
      <c r="D608" s="81" t="s">
        <v>487</v>
      </c>
      <c r="E608" s="48" t="str">
        <f aca="false">IFERROR(INDEX(输入报销!$E:$E,MATCH($A608&amp;"-9",输入报销!$J:$J,0))&amp;"","")</f>
        <v/>
      </c>
      <c r="F608" s="48" t="str">
        <f aca="false">IFERROR(INDEX(输入报销!$F:$F,MATCH($A608&amp;"-9",输入报销!$J:$J,0))&amp;"","")</f>
        <v/>
      </c>
      <c r="G608" s="49" t="n">
        <f aca="false">IFERROR(ROUND(INDEX(输入报销!$G:$G,MATCH($A608&amp;"-9",输入报销!$J:$J,0)),2),0)</f>
        <v>0</v>
      </c>
      <c r="H608" s="49" t="str">
        <f aca="false">IF(ROUND($G608,2)&gt;0,ROUND($G608,2),"")</f>
        <v/>
      </c>
      <c r="I608" s="49" t="str">
        <f aca="false">IF(ROUND($G608,2)&lt;0,-ROUND($G608,2),"")</f>
        <v/>
      </c>
      <c r="J608" s="20" t="n">
        <f aca="false">IF(ROUND($G608,2)=0,0,1)</f>
        <v>0</v>
      </c>
      <c r="K608" s="20" t="str">
        <f aca="false">IF($J608=0,"",SUM($J$600:$J608))</f>
        <v/>
      </c>
      <c r="L608" s="20" t="str">
        <f aca="false">IF($K608="","",$A608*100+$K608)</f>
        <v/>
      </c>
      <c r="M608" s="48" t="str">
        <f aca="false">IFERROR(INDEX(输入报销!$D:$D,MATCH($A608&amp;"-9",输入报销!$J:$J,0))&amp;"","")</f>
        <v/>
      </c>
    </row>
    <row r="609" customFormat="false" ht="13.5" hidden="false" customHeight="false" outlineLevel="0" collapsed="false">
      <c r="A609" s="47" t="n">
        <v>47</v>
      </c>
      <c r="C609" s="48" t="str">
        <f aca="false">助手报销!$C48</f>
        <v/>
      </c>
      <c r="D609" s="81" t="s">
        <v>488</v>
      </c>
      <c r="E609" s="48" t="str">
        <f aca="false">IFERROR(INDEX(输入报销!$E:$E,MATCH($A609&amp;"-10",输入报销!$J:$J,0))&amp;"","")</f>
        <v/>
      </c>
      <c r="F609" s="48" t="str">
        <f aca="false">IFERROR(INDEX(输入报销!$F:$F,MATCH($A609&amp;"-10",输入报销!$J:$J,0))&amp;"","")</f>
        <v/>
      </c>
      <c r="G609" s="49" t="n">
        <f aca="false">IFERROR(ROUND(INDEX(输入报销!$G:$G,MATCH($A609&amp;"-10",输入报销!$J:$J,0)),2),0)</f>
        <v>0</v>
      </c>
      <c r="H609" s="49" t="str">
        <f aca="false">IF(ROUND($G609,2)&gt;0,ROUND($G609,2),"")</f>
        <v/>
      </c>
      <c r="I609" s="49" t="str">
        <f aca="false">IF(ROUND($G609,2)&lt;0,-ROUND($G609,2),"")</f>
        <v/>
      </c>
      <c r="J609" s="20" t="n">
        <f aca="false">IF(ROUND($G609,2)=0,0,1)</f>
        <v>0</v>
      </c>
      <c r="K609" s="20" t="str">
        <f aca="false">IF($J609=0,"",SUM($J$600:$J609))</f>
        <v/>
      </c>
      <c r="L609" s="20" t="str">
        <f aca="false">IF($K609="","",$A609*100+$K609)</f>
        <v/>
      </c>
      <c r="M609" s="48" t="str">
        <f aca="false">IFERROR(INDEX(输入报销!$D:$D,MATCH($A609&amp;"-10",输入报销!$J:$J,0))&amp;"","")</f>
        <v/>
      </c>
    </row>
    <row r="610" customFormat="false" ht="13.5" hidden="false" customHeight="false" outlineLevel="0" collapsed="false">
      <c r="A610" s="47" t="n">
        <v>47</v>
      </c>
      <c r="C610" s="48" t="str">
        <f aca="false">助手报销!$C48</f>
        <v/>
      </c>
      <c r="D610" s="81" t="s">
        <v>489</v>
      </c>
      <c r="E610" s="48" t="str">
        <f aca="false">参数!$B$6</f>
        <v>库存现金</v>
      </c>
      <c r="F610" s="48" t="str">
        <f aca="false">""</f>
        <v/>
      </c>
      <c r="G610" s="49" t="n">
        <f aca="false">-ROUND(SUMIFS(输入报销!$G:$G,输入报销!$A:$A,$A610,输入报销!$H:$H,参数!$B$6),2)</f>
        <v>-0</v>
      </c>
      <c r="H610" s="49" t="str">
        <f aca="false">IF(ROUND($G610,2)&gt;0,ROUND($G610,2),"")</f>
        <v/>
      </c>
      <c r="I610" s="49" t="str">
        <f aca="false">IF(ROUND($G610,2)&lt;0,-ROUND($G610,2),"")</f>
        <v/>
      </c>
      <c r="J610" s="20" t="n">
        <f aca="false">IF(ROUND($G610,2)=0,0,1)</f>
        <v>0</v>
      </c>
      <c r="K610" s="20" t="str">
        <f aca="false">IF($J610=0,"",SUM($J$600:$J610))</f>
        <v/>
      </c>
      <c r="L610" s="20" t="str">
        <f aca="false">IF($K610="","",$A610*100+$K610)</f>
        <v/>
      </c>
      <c r="M610" s="48" t="str">
        <f aca="false">""</f>
        <v/>
      </c>
    </row>
    <row r="611" customFormat="false" ht="13.5" hidden="false" customHeight="false" outlineLevel="0" collapsed="false">
      <c r="A611" s="47" t="n">
        <v>47</v>
      </c>
      <c r="C611" s="48" t="str">
        <f aca="false">助手报销!$C48</f>
        <v/>
      </c>
      <c r="D611" s="81" t="s">
        <v>490</v>
      </c>
      <c r="E611" s="48" t="str">
        <f aca="false">参数!$B$7</f>
        <v>银行存款</v>
      </c>
      <c r="F611" s="48" t="str">
        <f aca="false">""</f>
        <v/>
      </c>
      <c r="G611" s="49" t="n">
        <f aca="false">-ROUND(SUMIFS(输入报销!$G:$G,输入报销!$A:$A,$A611,输入报销!$H:$H,参数!$B$7),2)</f>
        <v>-0</v>
      </c>
      <c r="H611" s="49" t="str">
        <f aca="false">IF(ROUND($G611,2)&gt;0,ROUND($G611,2),"")</f>
        <v/>
      </c>
      <c r="I611" s="49" t="str">
        <f aca="false">IF(ROUND($G611,2)&lt;0,-ROUND($G611,2),"")</f>
        <v/>
      </c>
      <c r="J611" s="20" t="n">
        <f aca="false">IF(ROUND($G611,2)=0,0,1)</f>
        <v>0</v>
      </c>
      <c r="K611" s="20" t="str">
        <f aca="false">IF($J611=0,"",SUM($J$600:$J611))</f>
        <v/>
      </c>
      <c r="L611" s="20" t="str">
        <f aca="false">IF($K611="","",$A611*100+$K611)</f>
        <v/>
      </c>
      <c r="M611" s="48" t="str">
        <f aca="false">""</f>
        <v/>
      </c>
    </row>
    <row r="612" customFormat="false" ht="13.5" hidden="false" customHeight="false" outlineLevel="0" collapsed="false">
      <c r="A612" s="47" t="n">
        <v>47</v>
      </c>
      <c r="C612" s="48" t="str">
        <f aca="false">助手报销!$C48</f>
        <v/>
      </c>
      <c r="D612" s="81" t="s">
        <v>491</v>
      </c>
      <c r="E612" s="48" t="str">
        <f aca="false">参数!$B$8</f>
        <v>其他应付款</v>
      </c>
      <c r="F612" s="48" t="str">
        <f aca="false">""</f>
        <v/>
      </c>
      <c r="G612" s="49" t="n">
        <f aca="false">-ROUND(SUMIFS(输入报销!$G:$G,输入报销!$A:$A,$A612,输入报销!$H:$H,参数!$B$8),2)</f>
        <v>-0</v>
      </c>
      <c r="H612" s="49" t="str">
        <f aca="false">IF(ROUND($G612,2)&gt;0,ROUND($G612,2),"")</f>
        <v/>
      </c>
      <c r="I612" s="49" t="str">
        <f aca="false">IF(ROUND($G612,2)&lt;0,-ROUND($G612,2),"")</f>
        <v/>
      </c>
      <c r="J612" s="20" t="n">
        <f aca="false">IF(ROUND($G612,2)=0,0,1)</f>
        <v>0</v>
      </c>
      <c r="K612" s="20" t="str">
        <f aca="false">IF($J612=0,"",SUM($J$600:$J612))</f>
        <v/>
      </c>
      <c r="L612" s="20" t="str">
        <f aca="false">IF($K612="","",$A612*100+$K612)</f>
        <v/>
      </c>
      <c r="M612" s="48" t="str">
        <f aca="false">""</f>
        <v/>
      </c>
    </row>
    <row r="613" customFormat="false" ht="13.5" hidden="false" customHeight="false" outlineLevel="0" collapsed="false">
      <c r="A613" s="47" t="n">
        <v>48</v>
      </c>
      <c r="C613" s="48" t="str">
        <f aca="false">助手报销!$C49</f>
        <v/>
      </c>
      <c r="D613" s="81" t="s">
        <v>479</v>
      </c>
      <c r="E613" s="48" t="str">
        <f aca="false">IFERROR(INDEX(输入报销!$E:$E,MATCH($A613&amp;"-1",输入报销!$J:$J,0))&amp;"","")</f>
        <v/>
      </c>
      <c r="F613" s="48" t="str">
        <f aca="false">IFERROR(INDEX(输入报销!$F:$F,MATCH($A613&amp;"-1",输入报销!$J:$J,0))&amp;"","")</f>
        <v/>
      </c>
      <c r="G613" s="49" t="n">
        <f aca="false">IFERROR(ROUND(INDEX(输入报销!$G:$G,MATCH($A613&amp;"-1",输入报销!$J:$J,0)),2),0)</f>
        <v>0</v>
      </c>
      <c r="H613" s="49" t="str">
        <f aca="false">IF(ROUND($G613,2)&gt;0,ROUND($G613,2),"")</f>
        <v/>
      </c>
      <c r="I613" s="49" t="str">
        <f aca="false">IF(ROUND($G613,2)&lt;0,-ROUND($G613,2),"")</f>
        <v/>
      </c>
      <c r="J613" s="20" t="n">
        <f aca="false">IF(ROUND($G613,2)=0,0,1)</f>
        <v>0</v>
      </c>
      <c r="K613" s="20" t="str">
        <f aca="false">IF($J613=0,"",SUM($J$613:$J613))</f>
        <v/>
      </c>
      <c r="L613" s="20" t="str">
        <f aca="false">IF($K613="","",$A613*100+$K613)</f>
        <v/>
      </c>
      <c r="M613" s="48" t="str">
        <f aca="false">IFERROR(INDEX(输入报销!$D:$D,MATCH($A613&amp;"-1",输入报销!$J:$J,0))&amp;"","")</f>
        <v/>
      </c>
    </row>
    <row r="614" customFormat="false" ht="13.5" hidden="false" customHeight="false" outlineLevel="0" collapsed="false">
      <c r="A614" s="47" t="n">
        <v>48</v>
      </c>
      <c r="C614" s="48" t="str">
        <f aca="false">助手报销!$C49</f>
        <v/>
      </c>
      <c r="D614" s="81" t="s">
        <v>480</v>
      </c>
      <c r="E614" s="48" t="str">
        <f aca="false">IFERROR(INDEX(输入报销!$E:$E,MATCH($A614&amp;"-2",输入报销!$J:$J,0))&amp;"","")</f>
        <v/>
      </c>
      <c r="F614" s="48" t="str">
        <f aca="false">IFERROR(INDEX(输入报销!$F:$F,MATCH($A614&amp;"-2",输入报销!$J:$J,0))&amp;"","")</f>
        <v/>
      </c>
      <c r="G614" s="49" t="n">
        <f aca="false">IFERROR(ROUND(INDEX(输入报销!$G:$G,MATCH($A614&amp;"-2",输入报销!$J:$J,0)),2),0)</f>
        <v>0</v>
      </c>
      <c r="H614" s="49" t="str">
        <f aca="false">IF(ROUND($G614,2)&gt;0,ROUND($G614,2),"")</f>
        <v/>
      </c>
      <c r="I614" s="49" t="str">
        <f aca="false">IF(ROUND($G614,2)&lt;0,-ROUND($G614,2),"")</f>
        <v/>
      </c>
      <c r="J614" s="20" t="n">
        <f aca="false">IF(ROUND($G614,2)=0,0,1)</f>
        <v>0</v>
      </c>
      <c r="K614" s="20" t="str">
        <f aca="false">IF($J614=0,"",SUM($J$613:$J614))</f>
        <v/>
      </c>
      <c r="L614" s="20" t="str">
        <f aca="false">IF($K614="","",$A614*100+$K614)</f>
        <v/>
      </c>
      <c r="M614" s="48" t="str">
        <f aca="false">IFERROR(INDEX(输入报销!$D:$D,MATCH($A614&amp;"-2",输入报销!$J:$J,0))&amp;"","")</f>
        <v/>
      </c>
    </row>
    <row r="615" customFormat="false" ht="13.5" hidden="false" customHeight="false" outlineLevel="0" collapsed="false">
      <c r="A615" s="47" t="n">
        <v>48</v>
      </c>
      <c r="C615" s="48" t="str">
        <f aca="false">助手报销!$C49</f>
        <v/>
      </c>
      <c r="D615" s="81" t="s">
        <v>481</v>
      </c>
      <c r="E615" s="48" t="str">
        <f aca="false">IFERROR(INDEX(输入报销!$E:$E,MATCH($A615&amp;"-3",输入报销!$J:$J,0))&amp;"","")</f>
        <v/>
      </c>
      <c r="F615" s="48" t="str">
        <f aca="false">IFERROR(INDEX(输入报销!$F:$F,MATCH($A615&amp;"-3",输入报销!$J:$J,0))&amp;"","")</f>
        <v/>
      </c>
      <c r="G615" s="49" t="n">
        <f aca="false">IFERROR(ROUND(INDEX(输入报销!$G:$G,MATCH($A615&amp;"-3",输入报销!$J:$J,0)),2),0)</f>
        <v>0</v>
      </c>
      <c r="H615" s="49" t="str">
        <f aca="false">IF(ROUND($G615,2)&gt;0,ROUND($G615,2),"")</f>
        <v/>
      </c>
      <c r="I615" s="49" t="str">
        <f aca="false">IF(ROUND($G615,2)&lt;0,-ROUND($G615,2),"")</f>
        <v/>
      </c>
      <c r="J615" s="20" t="n">
        <f aca="false">IF(ROUND($G615,2)=0,0,1)</f>
        <v>0</v>
      </c>
      <c r="K615" s="20" t="str">
        <f aca="false">IF($J615=0,"",SUM($J$613:$J615))</f>
        <v/>
      </c>
      <c r="L615" s="20" t="str">
        <f aca="false">IF($K615="","",$A615*100+$K615)</f>
        <v/>
      </c>
      <c r="M615" s="48" t="str">
        <f aca="false">IFERROR(INDEX(输入报销!$D:$D,MATCH($A615&amp;"-3",输入报销!$J:$J,0))&amp;"","")</f>
        <v/>
      </c>
    </row>
    <row r="616" customFormat="false" ht="13.5" hidden="false" customHeight="false" outlineLevel="0" collapsed="false">
      <c r="A616" s="47" t="n">
        <v>48</v>
      </c>
      <c r="C616" s="48" t="str">
        <f aca="false">助手报销!$C49</f>
        <v/>
      </c>
      <c r="D616" s="81" t="s">
        <v>482</v>
      </c>
      <c r="E616" s="48" t="str">
        <f aca="false">IFERROR(INDEX(输入报销!$E:$E,MATCH($A616&amp;"-4",输入报销!$J:$J,0))&amp;"","")</f>
        <v/>
      </c>
      <c r="F616" s="48" t="str">
        <f aca="false">IFERROR(INDEX(输入报销!$F:$F,MATCH($A616&amp;"-4",输入报销!$J:$J,0))&amp;"","")</f>
        <v/>
      </c>
      <c r="G616" s="49" t="n">
        <f aca="false">IFERROR(ROUND(INDEX(输入报销!$G:$G,MATCH($A616&amp;"-4",输入报销!$J:$J,0)),2),0)</f>
        <v>0</v>
      </c>
      <c r="H616" s="49" t="str">
        <f aca="false">IF(ROUND($G616,2)&gt;0,ROUND($G616,2),"")</f>
        <v/>
      </c>
      <c r="I616" s="49" t="str">
        <f aca="false">IF(ROUND($G616,2)&lt;0,-ROUND($G616,2),"")</f>
        <v/>
      </c>
      <c r="J616" s="20" t="n">
        <f aca="false">IF(ROUND($G616,2)=0,0,1)</f>
        <v>0</v>
      </c>
      <c r="K616" s="20" t="str">
        <f aca="false">IF($J616=0,"",SUM($J$613:$J616))</f>
        <v/>
      </c>
      <c r="L616" s="20" t="str">
        <f aca="false">IF($K616="","",$A616*100+$K616)</f>
        <v/>
      </c>
      <c r="M616" s="48" t="str">
        <f aca="false">IFERROR(INDEX(输入报销!$D:$D,MATCH($A616&amp;"-4",输入报销!$J:$J,0))&amp;"","")</f>
        <v/>
      </c>
    </row>
    <row r="617" customFormat="false" ht="13.5" hidden="false" customHeight="false" outlineLevel="0" collapsed="false">
      <c r="A617" s="47" t="n">
        <v>48</v>
      </c>
      <c r="C617" s="48" t="str">
        <f aca="false">助手报销!$C49</f>
        <v/>
      </c>
      <c r="D617" s="81" t="s">
        <v>483</v>
      </c>
      <c r="E617" s="48" t="str">
        <f aca="false">IFERROR(INDEX(输入报销!$E:$E,MATCH($A617&amp;"-5",输入报销!$J:$J,0))&amp;"","")</f>
        <v/>
      </c>
      <c r="F617" s="48" t="str">
        <f aca="false">IFERROR(INDEX(输入报销!$F:$F,MATCH($A617&amp;"-5",输入报销!$J:$J,0))&amp;"","")</f>
        <v/>
      </c>
      <c r="G617" s="49" t="n">
        <f aca="false">IFERROR(ROUND(INDEX(输入报销!$G:$G,MATCH($A617&amp;"-5",输入报销!$J:$J,0)),2),0)</f>
        <v>0</v>
      </c>
      <c r="H617" s="49" t="str">
        <f aca="false">IF(ROUND($G617,2)&gt;0,ROUND($G617,2),"")</f>
        <v/>
      </c>
      <c r="I617" s="49" t="str">
        <f aca="false">IF(ROUND($G617,2)&lt;0,-ROUND($G617,2),"")</f>
        <v/>
      </c>
      <c r="J617" s="20" t="n">
        <f aca="false">IF(ROUND($G617,2)=0,0,1)</f>
        <v>0</v>
      </c>
      <c r="K617" s="20" t="str">
        <f aca="false">IF($J617=0,"",SUM($J$613:$J617))</f>
        <v/>
      </c>
      <c r="L617" s="20" t="str">
        <f aca="false">IF($K617="","",$A617*100+$K617)</f>
        <v/>
      </c>
      <c r="M617" s="48" t="str">
        <f aca="false">IFERROR(INDEX(输入报销!$D:$D,MATCH($A617&amp;"-5",输入报销!$J:$J,0))&amp;"","")</f>
        <v/>
      </c>
    </row>
    <row r="618" customFormat="false" ht="13.5" hidden="false" customHeight="false" outlineLevel="0" collapsed="false">
      <c r="A618" s="47" t="n">
        <v>48</v>
      </c>
      <c r="C618" s="48" t="str">
        <f aca="false">助手报销!$C49</f>
        <v/>
      </c>
      <c r="D618" s="81" t="s">
        <v>484</v>
      </c>
      <c r="E618" s="48" t="str">
        <f aca="false">IFERROR(INDEX(输入报销!$E:$E,MATCH($A618&amp;"-6",输入报销!$J:$J,0))&amp;"","")</f>
        <v/>
      </c>
      <c r="F618" s="48" t="str">
        <f aca="false">IFERROR(INDEX(输入报销!$F:$F,MATCH($A618&amp;"-6",输入报销!$J:$J,0))&amp;"","")</f>
        <v/>
      </c>
      <c r="G618" s="49" t="n">
        <f aca="false">IFERROR(ROUND(INDEX(输入报销!$G:$G,MATCH($A618&amp;"-6",输入报销!$J:$J,0)),2),0)</f>
        <v>0</v>
      </c>
      <c r="H618" s="49" t="str">
        <f aca="false">IF(ROUND($G618,2)&gt;0,ROUND($G618,2),"")</f>
        <v/>
      </c>
      <c r="I618" s="49" t="str">
        <f aca="false">IF(ROUND($G618,2)&lt;0,-ROUND($G618,2),"")</f>
        <v/>
      </c>
      <c r="J618" s="20" t="n">
        <f aca="false">IF(ROUND($G618,2)=0,0,1)</f>
        <v>0</v>
      </c>
      <c r="K618" s="20" t="str">
        <f aca="false">IF($J618=0,"",SUM($J$613:$J618))</f>
        <v/>
      </c>
      <c r="L618" s="20" t="str">
        <f aca="false">IF($K618="","",$A618*100+$K618)</f>
        <v/>
      </c>
      <c r="M618" s="48" t="str">
        <f aca="false">IFERROR(INDEX(输入报销!$D:$D,MATCH($A618&amp;"-6",输入报销!$J:$J,0))&amp;"","")</f>
        <v/>
      </c>
    </row>
    <row r="619" customFormat="false" ht="13.5" hidden="false" customHeight="false" outlineLevel="0" collapsed="false">
      <c r="A619" s="47" t="n">
        <v>48</v>
      </c>
      <c r="C619" s="48" t="str">
        <f aca="false">助手报销!$C49</f>
        <v/>
      </c>
      <c r="D619" s="81" t="s">
        <v>485</v>
      </c>
      <c r="E619" s="48" t="str">
        <f aca="false">IFERROR(INDEX(输入报销!$E:$E,MATCH($A619&amp;"-7",输入报销!$J:$J,0))&amp;"","")</f>
        <v/>
      </c>
      <c r="F619" s="48" t="str">
        <f aca="false">IFERROR(INDEX(输入报销!$F:$F,MATCH($A619&amp;"-7",输入报销!$J:$J,0))&amp;"","")</f>
        <v/>
      </c>
      <c r="G619" s="49" t="n">
        <f aca="false">IFERROR(ROUND(INDEX(输入报销!$G:$G,MATCH($A619&amp;"-7",输入报销!$J:$J,0)),2),0)</f>
        <v>0</v>
      </c>
      <c r="H619" s="49" t="str">
        <f aca="false">IF(ROUND($G619,2)&gt;0,ROUND($G619,2),"")</f>
        <v/>
      </c>
      <c r="I619" s="49" t="str">
        <f aca="false">IF(ROUND($G619,2)&lt;0,-ROUND($G619,2),"")</f>
        <v/>
      </c>
      <c r="J619" s="20" t="n">
        <f aca="false">IF(ROUND($G619,2)=0,0,1)</f>
        <v>0</v>
      </c>
      <c r="K619" s="20" t="str">
        <f aca="false">IF($J619=0,"",SUM($J$613:$J619))</f>
        <v/>
      </c>
      <c r="L619" s="20" t="str">
        <f aca="false">IF($K619="","",$A619*100+$K619)</f>
        <v/>
      </c>
      <c r="M619" s="48" t="str">
        <f aca="false">IFERROR(INDEX(输入报销!$D:$D,MATCH($A619&amp;"-7",输入报销!$J:$J,0))&amp;"","")</f>
        <v/>
      </c>
    </row>
    <row r="620" customFormat="false" ht="13.5" hidden="false" customHeight="false" outlineLevel="0" collapsed="false">
      <c r="A620" s="47" t="n">
        <v>48</v>
      </c>
      <c r="C620" s="48" t="str">
        <f aca="false">助手报销!$C49</f>
        <v/>
      </c>
      <c r="D620" s="81" t="s">
        <v>486</v>
      </c>
      <c r="E620" s="48" t="str">
        <f aca="false">IFERROR(INDEX(输入报销!$E:$E,MATCH($A620&amp;"-8",输入报销!$J:$J,0))&amp;"","")</f>
        <v/>
      </c>
      <c r="F620" s="48" t="str">
        <f aca="false">IFERROR(INDEX(输入报销!$F:$F,MATCH($A620&amp;"-8",输入报销!$J:$J,0))&amp;"","")</f>
        <v/>
      </c>
      <c r="G620" s="49" t="n">
        <f aca="false">IFERROR(ROUND(INDEX(输入报销!$G:$G,MATCH($A620&amp;"-8",输入报销!$J:$J,0)),2),0)</f>
        <v>0</v>
      </c>
      <c r="H620" s="49" t="str">
        <f aca="false">IF(ROUND($G620,2)&gt;0,ROUND($G620,2),"")</f>
        <v/>
      </c>
      <c r="I620" s="49" t="str">
        <f aca="false">IF(ROUND($G620,2)&lt;0,-ROUND($G620,2),"")</f>
        <v/>
      </c>
      <c r="J620" s="20" t="n">
        <f aca="false">IF(ROUND($G620,2)=0,0,1)</f>
        <v>0</v>
      </c>
      <c r="K620" s="20" t="str">
        <f aca="false">IF($J620=0,"",SUM($J$613:$J620))</f>
        <v/>
      </c>
      <c r="L620" s="20" t="str">
        <f aca="false">IF($K620="","",$A620*100+$K620)</f>
        <v/>
      </c>
      <c r="M620" s="48" t="str">
        <f aca="false">IFERROR(INDEX(输入报销!$D:$D,MATCH($A620&amp;"-8",输入报销!$J:$J,0))&amp;"","")</f>
        <v/>
      </c>
    </row>
    <row r="621" customFormat="false" ht="13.5" hidden="false" customHeight="false" outlineLevel="0" collapsed="false">
      <c r="A621" s="47" t="n">
        <v>48</v>
      </c>
      <c r="C621" s="48" t="str">
        <f aca="false">助手报销!$C49</f>
        <v/>
      </c>
      <c r="D621" s="81" t="s">
        <v>487</v>
      </c>
      <c r="E621" s="48" t="str">
        <f aca="false">IFERROR(INDEX(输入报销!$E:$E,MATCH($A621&amp;"-9",输入报销!$J:$J,0))&amp;"","")</f>
        <v/>
      </c>
      <c r="F621" s="48" t="str">
        <f aca="false">IFERROR(INDEX(输入报销!$F:$F,MATCH($A621&amp;"-9",输入报销!$J:$J,0))&amp;"","")</f>
        <v/>
      </c>
      <c r="G621" s="49" t="n">
        <f aca="false">IFERROR(ROUND(INDEX(输入报销!$G:$G,MATCH($A621&amp;"-9",输入报销!$J:$J,0)),2),0)</f>
        <v>0</v>
      </c>
      <c r="H621" s="49" t="str">
        <f aca="false">IF(ROUND($G621,2)&gt;0,ROUND($G621,2),"")</f>
        <v/>
      </c>
      <c r="I621" s="49" t="str">
        <f aca="false">IF(ROUND($G621,2)&lt;0,-ROUND($G621,2),"")</f>
        <v/>
      </c>
      <c r="J621" s="20" t="n">
        <f aca="false">IF(ROUND($G621,2)=0,0,1)</f>
        <v>0</v>
      </c>
      <c r="K621" s="20" t="str">
        <f aca="false">IF($J621=0,"",SUM($J$613:$J621))</f>
        <v/>
      </c>
      <c r="L621" s="20" t="str">
        <f aca="false">IF($K621="","",$A621*100+$K621)</f>
        <v/>
      </c>
      <c r="M621" s="48" t="str">
        <f aca="false">IFERROR(INDEX(输入报销!$D:$D,MATCH($A621&amp;"-9",输入报销!$J:$J,0))&amp;"","")</f>
        <v/>
      </c>
    </row>
    <row r="622" customFormat="false" ht="13.5" hidden="false" customHeight="false" outlineLevel="0" collapsed="false">
      <c r="A622" s="47" t="n">
        <v>48</v>
      </c>
      <c r="C622" s="48" t="str">
        <f aca="false">助手报销!$C49</f>
        <v/>
      </c>
      <c r="D622" s="81" t="s">
        <v>488</v>
      </c>
      <c r="E622" s="48" t="str">
        <f aca="false">IFERROR(INDEX(输入报销!$E:$E,MATCH($A622&amp;"-10",输入报销!$J:$J,0))&amp;"","")</f>
        <v/>
      </c>
      <c r="F622" s="48" t="str">
        <f aca="false">IFERROR(INDEX(输入报销!$F:$F,MATCH($A622&amp;"-10",输入报销!$J:$J,0))&amp;"","")</f>
        <v/>
      </c>
      <c r="G622" s="49" t="n">
        <f aca="false">IFERROR(ROUND(INDEX(输入报销!$G:$G,MATCH($A622&amp;"-10",输入报销!$J:$J,0)),2),0)</f>
        <v>0</v>
      </c>
      <c r="H622" s="49" t="str">
        <f aca="false">IF(ROUND($G622,2)&gt;0,ROUND($G622,2),"")</f>
        <v/>
      </c>
      <c r="I622" s="49" t="str">
        <f aca="false">IF(ROUND($G622,2)&lt;0,-ROUND($G622,2),"")</f>
        <v/>
      </c>
      <c r="J622" s="20" t="n">
        <f aca="false">IF(ROUND($G622,2)=0,0,1)</f>
        <v>0</v>
      </c>
      <c r="K622" s="20" t="str">
        <f aca="false">IF($J622=0,"",SUM($J$613:$J622))</f>
        <v/>
      </c>
      <c r="L622" s="20" t="str">
        <f aca="false">IF($K622="","",$A622*100+$K622)</f>
        <v/>
      </c>
      <c r="M622" s="48" t="str">
        <f aca="false">IFERROR(INDEX(输入报销!$D:$D,MATCH($A622&amp;"-10",输入报销!$J:$J,0))&amp;"","")</f>
        <v/>
      </c>
    </row>
    <row r="623" customFormat="false" ht="13.5" hidden="false" customHeight="false" outlineLevel="0" collapsed="false">
      <c r="A623" s="47" t="n">
        <v>48</v>
      </c>
      <c r="C623" s="48" t="str">
        <f aca="false">助手报销!$C49</f>
        <v/>
      </c>
      <c r="D623" s="81" t="s">
        <v>489</v>
      </c>
      <c r="E623" s="48" t="str">
        <f aca="false">参数!$B$6</f>
        <v>库存现金</v>
      </c>
      <c r="F623" s="48" t="str">
        <f aca="false">""</f>
        <v/>
      </c>
      <c r="G623" s="49" t="n">
        <f aca="false">-ROUND(SUMIFS(输入报销!$G:$G,输入报销!$A:$A,$A623,输入报销!$H:$H,参数!$B$6),2)</f>
        <v>-0</v>
      </c>
      <c r="H623" s="49" t="str">
        <f aca="false">IF(ROUND($G623,2)&gt;0,ROUND($G623,2),"")</f>
        <v/>
      </c>
      <c r="I623" s="49" t="str">
        <f aca="false">IF(ROUND($G623,2)&lt;0,-ROUND($G623,2),"")</f>
        <v/>
      </c>
      <c r="J623" s="20" t="n">
        <f aca="false">IF(ROUND($G623,2)=0,0,1)</f>
        <v>0</v>
      </c>
      <c r="K623" s="20" t="str">
        <f aca="false">IF($J623=0,"",SUM($J$613:$J623))</f>
        <v/>
      </c>
      <c r="L623" s="20" t="str">
        <f aca="false">IF($K623="","",$A623*100+$K623)</f>
        <v/>
      </c>
      <c r="M623" s="48" t="str">
        <f aca="false">""</f>
        <v/>
      </c>
    </row>
    <row r="624" customFormat="false" ht="13.5" hidden="false" customHeight="false" outlineLevel="0" collapsed="false">
      <c r="A624" s="47" t="n">
        <v>48</v>
      </c>
      <c r="C624" s="48" t="str">
        <f aca="false">助手报销!$C49</f>
        <v/>
      </c>
      <c r="D624" s="81" t="s">
        <v>490</v>
      </c>
      <c r="E624" s="48" t="str">
        <f aca="false">参数!$B$7</f>
        <v>银行存款</v>
      </c>
      <c r="F624" s="48" t="str">
        <f aca="false">""</f>
        <v/>
      </c>
      <c r="G624" s="49" t="n">
        <f aca="false">-ROUND(SUMIFS(输入报销!$G:$G,输入报销!$A:$A,$A624,输入报销!$H:$H,参数!$B$7),2)</f>
        <v>-0</v>
      </c>
      <c r="H624" s="49" t="str">
        <f aca="false">IF(ROUND($G624,2)&gt;0,ROUND($G624,2),"")</f>
        <v/>
      </c>
      <c r="I624" s="49" t="str">
        <f aca="false">IF(ROUND($G624,2)&lt;0,-ROUND($G624,2),"")</f>
        <v/>
      </c>
      <c r="J624" s="20" t="n">
        <f aca="false">IF(ROUND($G624,2)=0,0,1)</f>
        <v>0</v>
      </c>
      <c r="K624" s="20" t="str">
        <f aca="false">IF($J624=0,"",SUM($J$613:$J624))</f>
        <v/>
      </c>
      <c r="L624" s="20" t="str">
        <f aca="false">IF($K624="","",$A624*100+$K624)</f>
        <v/>
      </c>
      <c r="M624" s="48" t="str">
        <f aca="false">""</f>
        <v/>
      </c>
    </row>
    <row r="625" customFormat="false" ht="13.5" hidden="false" customHeight="false" outlineLevel="0" collapsed="false">
      <c r="A625" s="47" t="n">
        <v>48</v>
      </c>
      <c r="C625" s="48" t="str">
        <f aca="false">助手报销!$C49</f>
        <v/>
      </c>
      <c r="D625" s="81" t="s">
        <v>491</v>
      </c>
      <c r="E625" s="48" t="str">
        <f aca="false">参数!$B$8</f>
        <v>其他应付款</v>
      </c>
      <c r="F625" s="48" t="str">
        <f aca="false">""</f>
        <v/>
      </c>
      <c r="G625" s="49" t="n">
        <f aca="false">-ROUND(SUMIFS(输入报销!$G:$G,输入报销!$A:$A,$A625,输入报销!$H:$H,参数!$B$8),2)</f>
        <v>-0</v>
      </c>
      <c r="H625" s="49" t="str">
        <f aca="false">IF(ROUND($G625,2)&gt;0,ROUND($G625,2),"")</f>
        <v/>
      </c>
      <c r="I625" s="49" t="str">
        <f aca="false">IF(ROUND($G625,2)&lt;0,-ROUND($G625,2),"")</f>
        <v/>
      </c>
      <c r="J625" s="20" t="n">
        <f aca="false">IF(ROUND($G625,2)=0,0,1)</f>
        <v>0</v>
      </c>
      <c r="K625" s="20" t="str">
        <f aca="false">IF($J625=0,"",SUM($J$613:$J625))</f>
        <v/>
      </c>
      <c r="L625" s="20" t="str">
        <f aca="false">IF($K625="","",$A625*100+$K625)</f>
        <v/>
      </c>
      <c r="M625" s="48" t="str">
        <f aca="false">""</f>
        <v/>
      </c>
    </row>
    <row r="626" customFormat="false" ht="13.5" hidden="false" customHeight="false" outlineLevel="0" collapsed="false">
      <c r="A626" s="47" t="n">
        <v>49</v>
      </c>
      <c r="C626" s="48" t="str">
        <f aca="false">助手报销!$C50</f>
        <v/>
      </c>
      <c r="D626" s="81" t="s">
        <v>479</v>
      </c>
      <c r="E626" s="48" t="str">
        <f aca="false">IFERROR(INDEX(输入报销!$E:$E,MATCH($A626&amp;"-1",输入报销!$J:$J,0))&amp;"","")</f>
        <v/>
      </c>
      <c r="F626" s="48" t="str">
        <f aca="false">IFERROR(INDEX(输入报销!$F:$F,MATCH($A626&amp;"-1",输入报销!$J:$J,0))&amp;"","")</f>
        <v/>
      </c>
      <c r="G626" s="49" t="n">
        <f aca="false">IFERROR(ROUND(INDEX(输入报销!$G:$G,MATCH($A626&amp;"-1",输入报销!$J:$J,0)),2),0)</f>
        <v>0</v>
      </c>
      <c r="H626" s="49" t="str">
        <f aca="false">IF(ROUND($G626,2)&gt;0,ROUND($G626,2),"")</f>
        <v/>
      </c>
      <c r="I626" s="49" t="str">
        <f aca="false">IF(ROUND($G626,2)&lt;0,-ROUND($G626,2),"")</f>
        <v/>
      </c>
      <c r="J626" s="20" t="n">
        <f aca="false">IF(ROUND($G626,2)=0,0,1)</f>
        <v>0</v>
      </c>
      <c r="K626" s="20" t="str">
        <f aca="false">IF($J626=0,"",SUM($J$626:$J626))</f>
        <v/>
      </c>
      <c r="L626" s="20" t="str">
        <f aca="false">IF($K626="","",$A626*100+$K626)</f>
        <v/>
      </c>
      <c r="M626" s="48" t="str">
        <f aca="false">IFERROR(INDEX(输入报销!$D:$D,MATCH($A626&amp;"-1",输入报销!$J:$J,0))&amp;"","")</f>
        <v/>
      </c>
    </row>
    <row r="627" customFormat="false" ht="13.5" hidden="false" customHeight="false" outlineLevel="0" collapsed="false">
      <c r="A627" s="47" t="n">
        <v>49</v>
      </c>
      <c r="C627" s="48" t="str">
        <f aca="false">助手报销!$C50</f>
        <v/>
      </c>
      <c r="D627" s="81" t="s">
        <v>480</v>
      </c>
      <c r="E627" s="48" t="str">
        <f aca="false">IFERROR(INDEX(输入报销!$E:$E,MATCH($A627&amp;"-2",输入报销!$J:$J,0))&amp;"","")</f>
        <v/>
      </c>
      <c r="F627" s="48" t="str">
        <f aca="false">IFERROR(INDEX(输入报销!$F:$F,MATCH($A627&amp;"-2",输入报销!$J:$J,0))&amp;"","")</f>
        <v/>
      </c>
      <c r="G627" s="49" t="n">
        <f aca="false">IFERROR(ROUND(INDEX(输入报销!$G:$G,MATCH($A627&amp;"-2",输入报销!$J:$J,0)),2),0)</f>
        <v>0</v>
      </c>
      <c r="H627" s="49" t="str">
        <f aca="false">IF(ROUND($G627,2)&gt;0,ROUND($G627,2),"")</f>
        <v/>
      </c>
      <c r="I627" s="49" t="str">
        <f aca="false">IF(ROUND($G627,2)&lt;0,-ROUND($G627,2),"")</f>
        <v/>
      </c>
      <c r="J627" s="20" t="n">
        <f aca="false">IF(ROUND($G627,2)=0,0,1)</f>
        <v>0</v>
      </c>
      <c r="K627" s="20" t="str">
        <f aca="false">IF($J627=0,"",SUM($J$626:$J627))</f>
        <v/>
      </c>
      <c r="L627" s="20" t="str">
        <f aca="false">IF($K627="","",$A627*100+$K627)</f>
        <v/>
      </c>
      <c r="M627" s="48" t="str">
        <f aca="false">IFERROR(INDEX(输入报销!$D:$D,MATCH($A627&amp;"-2",输入报销!$J:$J,0))&amp;"","")</f>
        <v/>
      </c>
    </row>
    <row r="628" customFormat="false" ht="13.5" hidden="false" customHeight="false" outlineLevel="0" collapsed="false">
      <c r="A628" s="47" t="n">
        <v>49</v>
      </c>
      <c r="C628" s="48" t="str">
        <f aca="false">助手报销!$C50</f>
        <v/>
      </c>
      <c r="D628" s="81" t="s">
        <v>481</v>
      </c>
      <c r="E628" s="48" t="str">
        <f aca="false">IFERROR(INDEX(输入报销!$E:$E,MATCH($A628&amp;"-3",输入报销!$J:$J,0))&amp;"","")</f>
        <v/>
      </c>
      <c r="F628" s="48" t="str">
        <f aca="false">IFERROR(INDEX(输入报销!$F:$F,MATCH($A628&amp;"-3",输入报销!$J:$J,0))&amp;"","")</f>
        <v/>
      </c>
      <c r="G628" s="49" t="n">
        <f aca="false">IFERROR(ROUND(INDEX(输入报销!$G:$G,MATCH($A628&amp;"-3",输入报销!$J:$J,0)),2),0)</f>
        <v>0</v>
      </c>
      <c r="H628" s="49" t="str">
        <f aca="false">IF(ROUND($G628,2)&gt;0,ROUND($G628,2),"")</f>
        <v/>
      </c>
      <c r="I628" s="49" t="str">
        <f aca="false">IF(ROUND($G628,2)&lt;0,-ROUND($G628,2),"")</f>
        <v/>
      </c>
      <c r="J628" s="20" t="n">
        <f aca="false">IF(ROUND($G628,2)=0,0,1)</f>
        <v>0</v>
      </c>
      <c r="K628" s="20" t="str">
        <f aca="false">IF($J628=0,"",SUM($J$626:$J628))</f>
        <v/>
      </c>
      <c r="L628" s="20" t="str">
        <f aca="false">IF($K628="","",$A628*100+$K628)</f>
        <v/>
      </c>
      <c r="M628" s="48" t="str">
        <f aca="false">IFERROR(INDEX(输入报销!$D:$D,MATCH($A628&amp;"-3",输入报销!$J:$J,0))&amp;"","")</f>
        <v/>
      </c>
    </row>
    <row r="629" customFormat="false" ht="13.5" hidden="false" customHeight="false" outlineLevel="0" collapsed="false">
      <c r="A629" s="47" t="n">
        <v>49</v>
      </c>
      <c r="C629" s="48" t="str">
        <f aca="false">助手报销!$C50</f>
        <v/>
      </c>
      <c r="D629" s="81" t="s">
        <v>482</v>
      </c>
      <c r="E629" s="48" t="str">
        <f aca="false">IFERROR(INDEX(输入报销!$E:$E,MATCH($A629&amp;"-4",输入报销!$J:$J,0))&amp;"","")</f>
        <v/>
      </c>
      <c r="F629" s="48" t="str">
        <f aca="false">IFERROR(INDEX(输入报销!$F:$F,MATCH($A629&amp;"-4",输入报销!$J:$J,0))&amp;"","")</f>
        <v/>
      </c>
      <c r="G629" s="49" t="n">
        <f aca="false">IFERROR(ROUND(INDEX(输入报销!$G:$G,MATCH($A629&amp;"-4",输入报销!$J:$J,0)),2),0)</f>
        <v>0</v>
      </c>
      <c r="H629" s="49" t="str">
        <f aca="false">IF(ROUND($G629,2)&gt;0,ROUND($G629,2),"")</f>
        <v/>
      </c>
      <c r="I629" s="49" t="str">
        <f aca="false">IF(ROUND($G629,2)&lt;0,-ROUND($G629,2),"")</f>
        <v/>
      </c>
      <c r="J629" s="20" t="n">
        <f aca="false">IF(ROUND($G629,2)=0,0,1)</f>
        <v>0</v>
      </c>
      <c r="K629" s="20" t="str">
        <f aca="false">IF($J629=0,"",SUM($J$626:$J629))</f>
        <v/>
      </c>
      <c r="L629" s="20" t="str">
        <f aca="false">IF($K629="","",$A629*100+$K629)</f>
        <v/>
      </c>
      <c r="M629" s="48" t="str">
        <f aca="false">IFERROR(INDEX(输入报销!$D:$D,MATCH($A629&amp;"-4",输入报销!$J:$J,0))&amp;"","")</f>
        <v/>
      </c>
    </row>
    <row r="630" customFormat="false" ht="13.5" hidden="false" customHeight="false" outlineLevel="0" collapsed="false">
      <c r="A630" s="47" t="n">
        <v>49</v>
      </c>
      <c r="C630" s="48" t="str">
        <f aca="false">助手报销!$C50</f>
        <v/>
      </c>
      <c r="D630" s="81" t="s">
        <v>483</v>
      </c>
      <c r="E630" s="48" t="str">
        <f aca="false">IFERROR(INDEX(输入报销!$E:$E,MATCH($A630&amp;"-5",输入报销!$J:$J,0))&amp;"","")</f>
        <v/>
      </c>
      <c r="F630" s="48" t="str">
        <f aca="false">IFERROR(INDEX(输入报销!$F:$F,MATCH($A630&amp;"-5",输入报销!$J:$J,0))&amp;"","")</f>
        <v/>
      </c>
      <c r="G630" s="49" t="n">
        <f aca="false">IFERROR(ROUND(INDEX(输入报销!$G:$G,MATCH($A630&amp;"-5",输入报销!$J:$J,0)),2),0)</f>
        <v>0</v>
      </c>
      <c r="H630" s="49" t="str">
        <f aca="false">IF(ROUND($G630,2)&gt;0,ROUND($G630,2),"")</f>
        <v/>
      </c>
      <c r="I630" s="49" t="str">
        <f aca="false">IF(ROUND($G630,2)&lt;0,-ROUND($G630,2),"")</f>
        <v/>
      </c>
      <c r="J630" s="20" t="n">
        <f aca="false">IF(ROUND($G630,2)=0,0,1)</f>
        <v>0</v>
      </c>
      <c r="K630" s="20" t="str">
        <f aca="false">IF($J630=0,"",SUM($J$626:$J630))</f>
        <v/>
      </c>
      <c r="L630" s="20" t="str">
        <f aca="false">IF($K630="","",$A630*100+$K630)</f>
        <v/>
      </c>
      <c r="M630" s="48" t="str">
        <f aca="false">IFERROR(INDEX(输入报销!$D:$D,MATCH($A630&amp;"-5",输入报销!$J:$J,0))&amp;"","")</f>
        <v/>
      </c>
    </row>
    <row r="631" customFormat="false" ht="13.5" hidden="false" customHeight="false" outlineLevel="0" collapsed="false">
      <c r="A631" s="47" t="n">
        <v>49</v>
      </c>
      <c r="C631" s="48" t="str">
        <f aca="false">助手报销!$C50</f>
        <v/>
      </c>
      <c r="D631" s="81" t="s">
        <v>484</v>
      </c>
      <c r="E631" s="48" t="str">
        <f aca="false">IFERROR(INDEX(输入报销!$E:$E,MATCH($A631&amp;"-6",输入报销!$J:$J,0))&amp;"","")</f>
        <v/>
      </c>
      <c r="F631" s="48" t="str">
        <f aca="false">IFERROR(INDEX(输入报销!$F:$F,MATCH($A631&amp;"-6",输入报销!$J:$J,0))&amp;"","")</f>
        <v/>
      </c>
      <c r="G631" s="49" t="n">
        <f aca="false">IFERROR(ROUND(INDEX(输入报销!$G:$G,MATCH($A631&amp;"-6",输入报销!$J:$J,0)),2),0)</f>
        <v>0</v>
      </c>
      <c r="H631" s="49" t="str">
        <f aca="false">IF(ROUND($G631,2)&gt;0,ROUND($G631,2),"")</f>
        <v/>
      </c>
      <c r="I631" s="49" t="str">
        <f aca="false">IF(ROUND($G631,2)&lt;0,-ROUND($G631,2),"")</f>
        <v/>
      </c>
      <c r="J631" s="20" t="n">
        <f aca="false">IF(ROUND($G631,2)=0,0,1)</f>
        <v>0</v>
      </c>
      <c r="K631" s="20" t="str">
        <f aca="false">IF($J631=0,"",SUM($J$626:$J631))</f>
        <v/>
      </c>
      <c r="L631" s="20" t="str">
        <f aca="false">IF($K631="","",$A631*100+$K631)</f>
        <v/>
      </c>
      <c r="M631" s="48" t="str">
        <f aca="false">IFERROR(INDEX(输入报销!$D:$D,MATCH($A631&amp;"-6",输入报销!$J:$J,0))&amp;"","")</f>
        <v/>
      </c>
    </row>
    <row r="632" customFormat="false" ht="13.5" hidden="false" customHeight="false" outlineLevel="0" collapsed="false">
      <c r="A632" s="47" t="n">
        <v>49</v>
      </c>
      <c r="C632" s="48" t="str">
        <f aca="false">助手报销!$C50</f>
        <v/>
      </c>
      <c r="D632" s="81" t="s">
        <v>485</v>
      </c>
      <c r="E632" s="48" t="str">
        <f aca="false">IFERROR(INDEX(输入报销!$E:$E,MATCH($A632&amp;"-7",输入报销!$J:$J,0))&amp;"","")</f>
        <v/>
      </c>
      <c r="F632" s="48" t="str">
        <f aca="false">IFERROR(INDEX(输入报销!$F:$F,MATCH($A632&amp;"-7",输入报销!$J:$J,0))&amp;"","")</f>
        <v/>
      </c>
      <c r="G632" s="49" t="n">
        <f aca="false">IFERROR(ROUND(INDEX(输入报销!$G:$G,MATCH($A632&amp;"-7",输入报销!$J:$J,0)),2),0)</f>
        <v>0</v>
      </c>
      <c r="H632" s="49" t="str">
        <f aca="false">IF(ROUND($G632,2)&gt;0,ROUND($G632,2),"")</f>
        <v/>
      </c>
      <c r="I632" s="49" t="str">
        <f aca="false">IF(ROUND($G632,2)&lt;0,-ROUND($G632,2),"")</f>
        <v/>
      </c>
      <c r="J632" s="20" t="n">
        <f aca="false">IF(ROUND($G632,2)=0,0,1)</f>
        <v>0</v>
      </c>
      <c r="K632" s="20" t="str">
        <f aca="false">IF($J632=0,"",SUM($J$626:$J632))</f>
        <v/>
      </c>
      <c r="L632" s="20" t="str">
        <f aca="false">IF($K632="","",$A632*100+$K632)</f>
        <v/>
      </c>
      <c r="M632" s="48" t="str">
        <f aca="false">IFERROR(INDEX(输入报销!$D:$D,MATCH($A632&amp;"-7",输入报销!$J:$J,0))&amp;"","")</f>
        <v/>
      </c>
    </row>
    <row r="633" customFormat="false" ht="13.5" hidden="false" customHeight="false" outlineLevel="0" collapsed="false">
      <c r="A633" s="47" t="n">
        <v>49</v>
      </c>
      <c r="C633" s="48" t="str">
        <f aca="false">助手报销!$C50</f>
        <v/>
      </c>
      <c r="D633" s="81" t="s">
        <v>486</v>
      </c>
      <c r="E633" s="48" t="str">
        <f aca="false">IFERROR(INDEX(输入报销!$E:$E,MATCH($A633&amp;"-8",输入报销!$J:$J,0))&amp;"","")</f>
        <v/>
      </c>
      <c r="F633" s="48" t="str">
        <f aca="false">IFERROR(INDEX(输入报销!$F:$F,MATCH($A633&amp;"-8",输入报销!$J:$J,0))&amp;"","")</f>
        <v/>
      </c>
      <c r="G633" s="49" t="n">
        <f aca="false">IFERROR(ROUND(INDEX(输入报销!$G:$G,MATCH($A633&amp;"-8",输入报销!$J:$J,0)),2),0)</f>
        <v>0</v>
      </c>
      <c r="H633" s="49" t="str">
        <f aca="false">IF(ROUND($G633,2)&gt;0,ROUND($G633,2),"")</f>
        <v/>
      </c>
      <c r="I633" s="49" t="str">
        <f aca="false">IF(ROUND($G633,2)&lt;0,-ROUND($G633,2),"")</f>
        <v/>
      </c>
      <c r="J633" s="20" t="n">
        <f aca="false">IF(ROUND($G633,2)=0,0,1)</f>
        <v>0</v>
      </c>
      <c r="K633" s="20" t="str">
        <f aca="false">IF($J633=0,"",SUM($J$626:$J633))</f>
        <v/>
      </c>
      <c r="L633" s="20" t="str">
        <f aca="false">IF($K633="","",$A633*100+$K633)</f>
        <v/>
      </c>
      <c r="M633" s="48" t="str">
        <f aca="false">IFERROR(INDEX(输入报销!$D:$D,MATCH($A633&amp;"-8",输入报销!$J:$J,0))&amp;"","")</f>
        <v/>
      </c>
    </row>
    <row r="634" customFormat="false" ht="13.5" hidden="false" customHeight="false" outlineLevel="0" collapsed="false">
      <c r="A634" s="47" t="n">
        <v>49</v>
      </c>
      <c r="C634" s="48" t="str">
        <f aca="false">助手报销!$C50</f>
        <v/>
      </c>
      <c r="D634" s="81" t="s">
        <v>487</v>
      </c>
      <c r="E634" s="48" t="str">
        <f aca="false">IFERROR(INDEX(输入报销!$E:$E,MATCH($A634&amp;"-9",输入报销!$J:$J,0))&amp;"","")</f>
        <v/>
      </c>
      <c r="F634" s="48" t="str">
        <f aca="false">IFERROR(INDEX(输入报销!$F:$F,MATCH($A634&amp;"-9",输入报销!$J:$J,0))&amp;"","")</f>
        <v/>
      </c>
      <c r="G634" s="49" t="n">
        <f aca="false">IFERROR(ROUND(INDEX(输入报销!$G:$G,MATCH($A634&amp;"-9",输入报销!$J:$J,0)),2),0)</f>
        <v>0</v>
      </c>
      <c r="H634" s="49" t="str">
        <f aca="false">IF(ROUND($G634,2)&gt;0,ROUND($G634,2),"")</f>
        <v/>
      </c>
      <c r="I634" s="49" t="str">
        <f aca="false">IF(ROUND($G634,2)&lt;0,-ROUND($G634,2),"")</f>
        <v/>
      </c>
      <c r="J634" s="20" t="n">
        <f aca="false">IF(ROUND($G634,2)=0,0,1)</f>
        <v>0</v>
      </c>
      <c r="K634" s="20" t="str">
        <f aca="false">IF($J634=0,"",SUM($J$626:$J634))</f>
        <v/>
      </c>
      <c r="L634" s="20" t="str">
        <f aca="false">IF($K634="","",$A634*100+$K634)</f>
        <v/>
      </c>
      <c r="M634" s="48" t="str">
        <f aca="false">IFERROR(INDEX(输入报销!$D:$D,MATCH($A634&amp;"-9",输入报销!$J:$J,0))&amp;"","")</f>
        <v/>
      </c>
    </row>
    <row r="635" customFormat="false" ht="13.5" hidden="false" customHeight="false" outlineLevel="0" collapsed="false">
      <c r="A635" s="47" t="n">
        <v>49</v>
      </c>
      <c r="C635" s="48" t="str">
        <f aca="false">助手报销!$C50</f>
        <v/>
      </c>
      <c r="D635" s="81" t="s">
        <v>488</v>
      </c>
      <c r="E635" s="48" t="str">
        <f aca="false">IFERROR(INDEX(输入报销!$E:$E,MATCH($A635&amp;"-10",输入报销!$J:$J,0))&amp;"","")</f>
        <v/>
      </c>
      <c r="F635" s="48" t="str">
        <f aca="false">IFERROR(INDEX(输入报销!$F:$F,MATCH($A635&amp;"-10",输入报销!$J:$J,0))&amp;"","")</f>
        <v/>
      </c>
      <c r="G635" s="49" t="n">
        <f aca="false">IFERROR(ROUND(INDEX(输入报销!$G:$G,MATCH($A635&amp;"-10",输入报销!$J:$J,0)),2),0)</f>
        <v>0</v>
      </c>
      <c r="H635" s="49" t="str">
        <f aca="false">IF(ROUND($G635,2)&gt;0,ROUND($G635,2),"")</f>
        <v/>
      </c>
      <c r="I635" s="49" t="str">
        <f aca="false">IF(ROUND($G635,2)&lt;0,-ROUND($G635,2),"")</f>
        <v/>
      </c>
      <c r="J635" s="20" t="n">
        <f aca="false">IF(ROUND($G635,2)=0,0,1)</f>
        <v>0</v>
      </c>
      <c r="K635" s="20" t="str">
        <f aca="false">IF($J635=0,"",SUM($J$626:$J635))</f>
        <v/>
      </c>
      <c r="L635" s="20" t="str">
        <f aca="false">IF($K635="","",$A635*100+$K635)</f>
        <v/>
      </c>
      <c r="M635" s="48" t="str">
        <f aca="false">IFERROR(INDEX(输入报销!$D:$D,MATCH($A635&amp;"-10",输入报销!$J:$J,0))&amp;"","")</f>
        <v/>
      </c>
    </row>
    <row r="636" customFormat="false" ht="13.5" hidden="false" customHeight="false" outlineLevel="0" collapsed="false">
      <c r="A636" s="47" t="n">
        <v>49</v>
      </c>
      <c r="C636" s="48" t="str">
        <f aca="false">助手报销!$C50</f>
        <v/>
      </c>
      <c r="D636" s="81" t="s">
        <v>489</v>
      </c>
      <c r="E636" s="48" t="str">
        <f aca="false">参数!$B$6</f>
        <v>库存现金</v>
      </c>
      <c r="F636" s="48" t="str">
        <f aca="false">""</f>
        <v/>
      </c>
      <c r="G636" s="49" t="n">
        <f aca="false">-ROUND(SUMIFS(输入报销!$G:$G,输入报销!$A:$A,$A636,输入报销!$H:$H,参数!$B$6),2)</f>
        <v>-0</v>
      </c>
      <c r="H636" s="49" t="str">
        <f aca="false">IF(ROUND($G636,2)&gt;0,ROUND($G636,2),"")</f>
        <v/>
      </c>
      <c r="I636" s="49" t="str">
        <f aca="false">IF(ROUND($G636,2)&lt;0,-ROUND($G636,2),"")</f>
        <v/>
      </c>
      <c r="J636" s="20" t="n">
        <f aca="false">IF(ROUND($G636,2)=0,0,1)</f>
        <v>0</v>
      </c>
      <c r="K636" s="20" t="str">
        <f aca="false">IF($J636=0,"",SUM($J$626:$J636))</f>
        <v/>
      </c>
      <c r="L636" s="20" t="str">
        <f aca="false">IF($K636="","",$A636*100+$K636)</f>
        <v/>
      </c>
      <c r="M636" s="48" t="str">
        <f aca="false">""</f>
        <v/>
      </c>
    </row>
    <row r="637" customFormat="false" ht="13.5" hidden="false" customHeight="false" outlineLevel="0" collapsed="false">
      <c r="A637" s="47" t="n">
        <v>49</v>
      </c>
      <c r="C637" s="48" t="str">
        <f aca="false">助手报销!$C50</f>
        <v/>
      </c>
      <c r="D637" s="81" t="s">
        <v>490</v>
      </c>
      <c r="E637" s="48" t="str">
        <f aca="false">参数!$B$7</f>
        <v>银行存款</v>
      </c>
      <c r="F637" s="48" t="str">
        <f aca="false">""</f>
        <v/>
      </c>
      <c r="G637" s="49" t="n">
        <f aca="false">-ROUND(SUMIFS(输入报销!$G:$G,输入报销!$A:$A,$A637,输入报销!$H:$H,参数!$B$7),2)</f>
        <v>-0</v>
      </c>
      <c r="H637" s="49" t="str">
        <f aca="false">IF(ROUND($G637,2)&gt;0,ROUND($G637,2),"")</f>
        <v/>
      </c>
      <c r="I637" s="49" t="str">
        <f aca="false">IF(ROUND($G637,2)&lt;0,-ROUND($G637,2),"")</f>
        <v/>
      </c>
      <c r="J637" s="20" t="n">
        <f aca="false">IF(ROUND($G637,2)=0,0,1)</f>
        <v>0</v>
      </c>
      <c r="K637" s="20" t="str">
        <f aca="false">IF($J637=0,"",SUM($J$626:$J637))</f>
        <v/>
      </c>
      <c r="L637" s="20" t="str">
        <f aca="false">IF($K637="","",$A637*100+$K637)</f>
        <v/>
      </c>
      <c r="M637" s="48" t="str">
        <f aca="false">""</f>
        <v/>
      </c>
    </row>
    <row r="638" customFormat="false" ht="13.5" hidden="false" customHeight="false" outlineLevel="0" collapsed="false">
      <c r="A638" s="47" t="n">
        <v>49</v>
      </c>
      <c r="C638" s="48" t="str">
        <f aca="false">助手报销!$C50</f>
        <v/>
      </c>
      <c r="D638" s="81" t="s">
        <v>491</v>
      </c>
      <c r="E638" s="48" t="str">
        <f aca="false">参数!$B$8</f>
        <v>其他应付款</v>
      </c>
      <c r="F638" s="48" t="str">
        <f aca="false">""</f>
        <v/>
      </c>
      <c r="G638" s="49" t="n">
        <f aca="false">-ROUND(SUMIFS(输入报销!$G:$G,输入报销!$A:$A,$A638,输入报销!$H:$H,参数!$B$8),2)</f>
        <v>-0</v>
      </c>
      <c r="H638" s="49" t="str">
        <f aca="false">IF(ROUND($G638,2)&gt;0,ROUND($G638,2),"")</f>
        <v/>
      </c>
      <c r="I638" s="49" t="str">
        <f aca="false">IF(ROUND($G638,2)&lt;0,-ROUND($G638,2),"")</f>
        <v/>
      </c>
      <c r="J638" s="20" t="n">
        <f aca="false">IF(ROUND($G638,2)=0,0,1)</f>
        <v>0</v>
      </c>
      <c r="K638" s="20" t="str">
        <f aca="false">IF($J638=0,"",SUM($J$626:$J638))</f>
        <v/>
      </c>
      <c r="L638" s="20" t="str">
        <f aca="false">IF($K638="","",$A638*100+$K638)</f>
        <v/>
      </c>
      <c r="M638" s="48" t="str">
        <f aca="false">""</f>
        <v/>
      </c>
    </row>
    <row r="639" customFormat="false" ht="13.5" hidden="false" customHeight="false" outlineLevel="0" collapsed="false">
      <c r="A639" s="47" t="n">
        <v>50</v>
      </c>
      <c r="C639" s="48" t="str">
        <f aca="false">助手报销!$C51</f>
        <v/>
      </c>
      <c r="D639" s="81" t="s">
        <v>479</v>
      </c>
      <c r="E639" s="48" t="str">
        <f aca="false">IFERROR(INDEX(输入报销!$E:$E,MATCH($A639&amp;"-1",输入报销!$J:$J,0))&amp;"","")</f>
        <v/>
      </c>
      <c r="F639" s="48" t="str">
        <f aca="false">IFERROR(INDEX(输入报销!$F:$F,MATCH($A639&amp;"-1",输入报销!$J:$J,0))&amp;"","")</f>
        <v/>
      </c>
      <c r="G639" s="49" t="n">
        <f aca="false">IFERROR(ROUND(INDEX(输入报销!$G:$G,MATCH($A639&amp;"-1",输入报销!$J:$J,0)),2),0)</f>
        <v>0</v>
      </c>
      <c r="H639" s="49" t="str">
        <f aca="false">IF(ROUND($G639,2)&gt;0,ROUND($G639,2),"")</f>
        <v/>
      </c>
      <c r="I639" s="49" t="str">
        <f aca="false">IF(ROUND($G639,2)&lt;0,-ROUND($G639,2),"")</f>
        <v/>
      </c>
      <c r="J639" s="20" t="n">
        <f aca="false">IF(ROUND($G639,2)=0,0,1)</f>
        <v>0</v>
      </c>
      <c r="K639" s="20" t="str">
        <f aca="false">IF($J639=0,"",SUM($J$639:$J639))</f>
        <v/>
      </c>
      <c r="L639" s="20" t="str">
        <f aca="false">IF($K639="","",$A639*100+$K639)</f>
        <v/>
      </c>
      <c r="M639" s="48" t="str">
        <f aca="false">IFERROR(INDEX(输入报销!$D:$D,MATCH($A639&amp;"-1",输入报销!$J:$J,0))&amp;"","")</f>
        <v/>
      </c>
    </row>
    <row r="640" customFormat="false" ht="13.5" hidden="false" customHeight="false" outlineLevel="0" collapsed="false">
      <c r="A640" s="47" t="n">
        <v>50</v>
      </c>
      <c r="C640" s="48" t="str">
        <f aca="false">助手报销!$C51</f>
        <v/>
      </c>
      <c r="D640" s="81" t="s">
        <v>480</v>
      </c>
      <c r="E640" s="48" t="str">
        <f aca="false">IFERROR(INDEX(输入报销!$E:$E,MATCH($A640&amp;"-2",输入报销!$J:$J,0))&amp;"","")</f>
        <v/>
      </c>
      <c r="F640" s="48" t="str">
        <f aca="false">IFERROR(INDEX(输入报销!$F:$F,MATCH($A640&amp;"-2",输入报销!$J:$J,0))&amp;"","")</f>
        <v/>
      </c>
      <c r="G640" s="49" t="n">
        <f aca="false">IFERROR(ROUND(INDEX(输入报销!$G:$G,MATCH($A640&amp;"-2",输入报销!$J:$J,0)),2),0)</f>
        <v>0</v>
      </c>
      <c r="H640" s="49" t="str">
        <f aca="false">IF(ROUND($G640,2)&gt;0,ROUND($G640,2),"")</f>
        <v/>
      </c>
      <c r="I640" s="49" t="str">
        <f aca="false">IF(ROUND($G640,2)&lt;0,-ROUND($G640,2),"")</f>
        <v/>
      </c>
      <c r="J640" s="20" t="n">
        <f aca="false">IF(ROUND($G640,2)=0,0,1)</f>
        <v>0</v>
      </c>
      <c r="K640" s="20" t="str">
        <f aca="false">IF($J640=0,"",SUM($J$639:$J640))</f>
        <v/>
      </c>
      <c r="L640" s="20" t="str">
        <f aca="false">IF($K640="","",$A640*100+$K640)</f>
        <v/>
      </c>
      <c r="M640" s="48" t="str">
        <f aca="false">IFERROR(INDEX(输入报销!$D:$D,MATCH($A640&amp;"-2",输入报销!$J:$J,0))&amp;"","")</f>
        <v/>
      </c>
    </row>
    <row r="641" customFormat="false" ht="13.5" hidden="false" customHeight="false" outlineLevel="0" collapsed="false">
      <c r="A641" s="47" t="n">
        <v>50</v>
      </c>
      <c r="C641" s="48" t="str">
        <f aca="false">助手报销!$C51</f>
        <v/>
      </c>
      <c r="D641" s="81" t="s">
        <v>481</v>
      </c>
      <c r="E641" s="48" t="str">
        <f aca="false">IFERROR(INDEX(输入报销!$E:$E,MATCH($A641&amp;"-3",输入报销!$J:$J,0))&amp;"","")</f>
        <v/>
      </c>
      <c r="F641" s="48" t="str">
        <f aca="false">IFERROR(INDEX(输入报销!$F:$F,MATCH($A641&amp;"-3",输入报销!$J:$J,0))&amp;"","")</f>
        <v/>
      </c>
      <c r="G641" s="49" t="n">
        <f aca="false">IFERROR(ROUND(INDEX(输入报销!$G:$G,MATCH($A641&amp;"-3",输入报销!$J:$J,0)),2),0)</f>
        <v>0</v>
      </c>
      <c r="H641" s="49" t="str">
        <f aca="false">IF(ROUND($G641,2)&gt;0,ROUND($G641,2),"")</f>
        <v/>
      </c>
      <c r="I641" s="49" t="str">
        <f aca="false">IF(ROUND($G641,2)&lt;0,-ROUND($G641,2),"")</f>
        <v/>
      </c>
      <c r="J641" s="20" t="n">
        <f aca="false">IF(ROUND($G641,2)=0,0,1)</f>
        <v>0</v>
      </c>
      <c r="K641" s="20" t="str">
        <f aca="false">IF($J641=0,"",SUM($J$639:$J641))</f>
        <v/>
      </c>
      <c r="L641" s="20" t="str">
        <f aca="false">IF($K641="","",$A641*100+$K641)</f>
        <v/>
      </c>
      <c r="M641" s="48" t="str">
        <f aca="false">IFERROR(INDEX(输入报销!$D:$D,MATCH($A641&amp;"-3",输入报销!$J:$J,0))&amp;"","")</f>
        <v/>
      </c>
    </row>
    <row r="642" customFormat="false" ht="13.5" hidden="false" customHeight="false" outlineLevel="0" collapsed="false">
      <c r="A642" s="47" t="n">
        <v>50</v>
      </c>
      <c r="C642" s="48" t="str">
        <f aca="false">助手报销!$C51</f>
        <v/>
      </c>
      <c r="D642" s="81" t="s">
        <v>482</v>
      </c>
      <c r="E642" s="48" t="str">
        <f aca="false">IFERROR(INDEX(输入报销!$E:$E,MATCH($A642&amp;"-4",输入报销!$J:$J,0))&amp;"","")</f>
        <v/>
      </c>
      <c r="F642" s="48" t="str">
        <f aca="false">IFERROR(INDEX(输入报销!$F:$F,MATCH($A642&amp;"-4",输入报销!$J:$J,0))&amp;"","")</f>
        <v/>
      </c>
      <c r="G642" s="49" t="n">
        <f aca="false">IFERROR(ROUND(INDEX(输入报销!$G:$G,MATCH($A642&amp;"-4",输入报销!$J:$J,0)),2),0)</f>
        <v>0</v>
      </c>
      <c r="H642" s="49" t="str">
        <f aca="false">IF(ROUND($G642,2)&gt;0,ROUND($G642,2),"")</f>
        <v/>
      </c>
      <c r="I642" s="49" t="str">
        <f aca="false">IF(ROUND($G642,2)&lt;0,-ROUND($G642,2),"")</f>
        <v/>
      </c>
      <c r="J642" s="20" t="n">
        <f aca="false">IF(ROUND($G642,2)=0,0,1)</f>
        <v>0</v>
      </c>
      <c r="K642" s="20" t="str">
        <f aca="false">IF($J642=0,"",SUM($J$639:$J642))</f>
        <v/>
      </c>
      <c r="L642" s="20" t="str">
        <f aca="false">IF($K642="","",$A642*100+$K642)</f>
        <v/>
      </c>
      <c r="M642" s="48" t="str">
        <f aca="false">IFERROR(INDEX(输入报销!$D:$D,MATCH($A642&amp;"-4",输入报销!$J:$J,0))&amp;"","")</f>
        <v/>
      </c>
    </row>
    <row r="643" customFormat="false" ht="13.5" hidden="false" customHeight="false" outlineLevel="0" collapsed="false">
      <c r="A643" s="47" t="n">
        <v>50</v>
      </c>
      <c r="C643" s="48" t="str">
        <f aca="false">助手报销!$C51</f>
        <v/>
      </c>
      <c r="D643" s="81" t="s">
        <v>483</v>
      </c>
      <c r="E643" s="48" t="str">
        <f aca="false">IFERROR(INDEX(输入报销!$E:$E,MATCH($A643&amp;"-5",输入报销!$J:$J,0))&amp;"","")</f>
        <v/>
      </c>
      <c r="F643" s="48" t="str">
        <f aca="false">IFERROR(INDEX(输入报销!$F:$F,MATCH($A643&amp;"-5",输入报销!$J:$J,0))&amp;"","")</f>
        <v/>
      </c>
      <c r="G643" s="49" t="n">
        <f aca="false">IFERROR(ROUND(INDEX(输入报销!$G:$G,MATCH($A643&amp;"-5",输入报销!$J:$J,0)),2),0)</f>
        <v>0</v>
      </c>
      <c r="H643" s="49" t="str">
        <f aca="false">IF(ROUND($G643,2)&gt;0,ROUND($G643,2),"")</f>
        <v/>
      </c>
      <c r="I643" s="49" t="str">
        <f aca="false">IF(ROUND($G643,2)&lt;0,-ROUND($G643,2),"")</f>
        <v/>
      </c>
      <c r="J643" s="20" t="n">
        <f aca="false">IF(ROUND($G643,2)=0,0,1)</f>
        <v>0</v>
      </c>
      <c r="K643" s="20" t="str">
        <f aca="false">IF($J643=0,"",SUM($J$639:$J643))</f>
        <v/>
      </c>
      <c r="L643" s="20" t="str">
        <f aca="false">IF($K643="","",$A643*100+$K643)</f>
        <v/>
      </c>
      <c r="M643" s="48" t="str">
        <f aca="false">IFERROR(INDEX(输入报销!$D:$D,MATCH($A643&amp;"-5",输入报销!$J:$J,0))&amp;"","")</f>
        <v/>
      </c>
    </row>
    <row r="644" customFormat="false" ht="13.5" hidden="false" customHeight="false" outlineLevel="0" collapsed="false">
      <c r="A644" s="47" t="n">
        <v>50</v>
      </c>
      <c r="C644" s="48" t="str">
        <f aca="false">助手报销!$C51</f>
        <v/>
      </c>
      <c r="D644" s="81" t="s">
        <v>484</v>
      </c>
      <c r="E644" s="48" t="str">
        <f aca="false">IFERROR(INDEX(输入报销!$E:$E,MATCH($A644&amp;"-6",输入报销!$J:$J,0))&amp;"","")</f>
        <v/>
      </c>
      <c r="F644" s="48" t="str">
        <f aca="false">IFERROR(INDEX(输入报销!$F:$F,MATCH($A644&amp;"-6",输入报销!$J:$J,0))&amp;"","")</f>
        <v/>
      </c>
      <c r="G644" s="49" t="n">
        <f aca="false">IFERROR(ROUND(INDEX(输入报销!$G:$G,MATCH($A644&amp;"-6",输入报销!$J:$J,0)),2),0)</f>
        <v>0</v>
      </c>
      <c r="H644" s="49" t="str">
        <f aca="false">IF(ROUND($G644,2)&gt;0,ROUND($G644,2),"")</f>
        <v/>
      </c>
      <c r="I644" s="49" t="str">
        <f aca="false">IF(ROUND($G644,2)&lt;0,-ROUND($G644,2),"")</f>
        <v/>
      </c>
      <c r="J644" s="20" t="n">
        <f aca="false">IF(ROUND($G644,2)=0,0,1)</f>
        <v>0</v>
      </c>
      <c r="K644" s="20" t="str">
        <f aca="false">IF($J644=0,"",SUM($J$639:$J644))</f>
        <v/>
      </c>
      <c r="L644" s="20" t="str">
        <f aca="false">IF($K644="","",$A644*100+$K644)</f>
        <v/>
      </c>
      <c r="M644" s="48" t="str">
        <f aca="false">IFERROR(INDEX(输入报销!$D:$D,MATCH($A644&amp;"-6",输入报销!$J:$J,0))&amp;"","")</f>
        <v/>
      </c>
    </row>
    <row r="645" customFormat="false" ht="13.5" hidden="false" customHeight="false" outlineLevel="0" collapsed="false">
      <c r="A645" s="47" t="n">
        <v>50</v>
      </c>
      <c r="C645" s="48" t="str">
        <f aca="false">助手报销!$C51</f>
        <v/>
      </c>
      <c r="D645" s="81" t="s">
        <v>485</v>
      </c>
      <c r="E645" s="48" t="str">
        <f aca="false">IFERROR(INDEX(输入报销!$E:$E,MATCH($A645&amp;"-7",输入报销!$J:$J,0))&amp;"","")</f>
        <v/>
      </c>
      <c r="F645" s="48" t="str">
        <f aca="false">IFERROR(INDEX(输入报销!$F:$F,MATCH($A645&amp;"-7",输入报销!$J:$J,0))&amp;"","")</f>
        <v/>
      </c>
      <c r="G645" s="49" t="n">
        <f aca="false">IFERROR(ROUND(INDEX(输入报销!$G:$G,MATCH($A645&amp;"-7",输入报销!$J:$J,0)),2),0)</f>
        <v>0</v>
      </c>
      <c r="H645" s="49" t="str">
        <f aca="false">IF(ROUND($G645,2)&gt;0,ROUND($G645,2),"")</f>
        <v/>
      </c>
      <c r="I645" s="49" t="str">
        <f aca="false">IF(ROUND($G645,2)&lt;0,-ROUND($G645,2),"")</f>
        <v/>
      </c>
      <c r="J645" s="20" t="n">
        <f aca="false">IF(ROUND($G645,2)=0,0,1)</f>
        <v>0</v>
      </c>
      <c r="K645" s="20" t="str">
        <f aca="false">IF($J645=0,"",SUM($J$639:$J645))</f>
        <v/>
      </c>
      <c r="L645" s="20" t="str">
        <f aca="false">IF($K645="","",$A645*100+$K645)</f>
        <v/>
      </c>
      <c r="M645" s="48" t="str">
        <f aca="false">IFERROR(INDEX(输入报销!$D:$D,MATCH($A645&amp;"-7",输入报销!$J:$J,0))&amp;"","")</f>
        <v/>
      </c>
    </row>
    <row r="646" customFormat="false" ht="13.5" hidden="false" customHeight="false" outlineLevel="0" collapsed="false">
      <c r="A646" s="47" t="n">
        <v>50</v>
      </c>
      <c r="C646" s="48" t="str">
        <f aca="false">助手报销!$C51</f>
        <v/>
      </c>
      <c r="D646" s="81" t="s">
        <v>486</v>
      </c>
      <c r="E646" s="48" t="str">
        <f aca="false">IFERROR(INDEX(输入报销!$E:$E,MATCH($A646&amp;"-8",输入报销!$J:$J,0))&amp;"","")</f>
        <v/>
      </c>
      <c r="F646" s="48" t="str">
        <f aca="false">IFERROR(INDEX(输入报销!$F:$F,MATCH($A646&amp;"-8",输入报销!$J:$J,0))&amp;"","")</f>
        <v/>
      </c>
      <c r="G646" s="49" t="n">
        <f aca="false">IFERROR(ROUND(INDEX(输入报销!$G:$G,MATCH($A646&amp;"-8",输入报销!$J:$J,0)),2),0)</f>
        <v>0</v>
      </c>
      <c r="H646" s="49" t="str">
        <f aca="false">IF(ROUND($G646,2)&gt;0,ROUND($G646,2),"")</f>
        <v/>
      </c>
      <c r="I646" s="49" t="str">
        <f aca="false">IF(ROUND($G646,2)&lt;0,-ROUND($G646,2),"")</f>
        <v/>
      </c>
      <c r="J646" s="20" t="n">
        <f aca="false">IF(ROUND($G646,2)=0,0,1)</f>
        <v>0</v>
      </c>
      <c r="K646" s="20" t="str">
        <f aca="false">IF($J646=0,"",SUM($J$639:$J646))</f>
        <v/>
      </c>
      <c r="L646" s="20" t="str">
        <f aca="false">IF($K646="","",$A646*100+$K646)</f>
        <v/>
      </c>
      <c r="M646" s="48" t="str">
        <f aca="false">IFERROR(INDEX(输入报销!$D:$D,MATCH($A646&amp;"-8",输入报销!$J:$J,0))&amp;"","")</f>
        <v/>
      </c>
    </row>
    <row r="647" customFormat="false" ht="13.5" hidden="false" customHeight="false" outlineLevel="0" collapsed="false">
      <c r="A647" s="47" t="n">
        <v>50</v>
      </c>
      <c r="C647" s="48" t="str">
        <f aca="false">助手报销!$C51</f>
        <v/>
      </c>
      <c r="D647" s="81" t="s">
        <v>487</v>
      </c>
      <c r="E647" s="48" t="str">
        <f aca="false">IFERROR(INDEX(输入报销!$E:$E,MATCH($A647&amp;"-9",输入报销!$J:$J,0))&amp;"","")</f>
        <v/>
      </c>
      <c r="F647" s="48" t="str">
        <f aca="false">IFERROR(INDEX(输入报销!$F:$F,MATCH($A647&amp;"-9",输入报销!$J:$J,0))&amp;"","")</f>
        <v/>
      </c>
      <c r="G647" s="49" t="n">
        <f aca="false">IFERROR(ROUND(INDEX(输入报销!$G:$G,MATCH($A647&amp;"-9",输入报销!$J:$J,0)),2),0)</f>
        <v>0</v>
      </c>
      <c r="H647" s="49" t="str">
        <f aca="false">IF(ROUND($G647,2)&gt;0,ROUND($G647,2),"")</f>
        <v/>
      </c>
      <c r="I647" s="49" t="str">
        <f aca="false">IF(ROUND($G647,2)&lt;0,-ROUND($G647,2),"")</f>
        <v/>
      </c>
      <c r="J647" s="20" t="n">
        <f aca="false">IF(ROUND($G647,2)=0,0,1)</f>
        <v>0</v>
      </c>
      <c r="K647" s="20" t="str">
        <f aca="false">IF($J647=0,"",SUM($J$639:$J647))</f>
        <v/>
      </c>
      <c r="L647" s="20" t="str">
        <f aca="false">IF($K647="","",$A647*100+$K647)</f>
        <v/>
      </c>
      <c r="M647" s="48" t="str">
        <f aca="false">IFERROR(INDEX(输入报销!$D:$D,MATCH($A647&amp;"-9",输入报销!$J:$J,0))&amp;"","")</f>
        <v/>
      </c>
    </row>
    <row r="648" customFormat="false" ht="13.5" hidden="false" customHeight="false" outlineLevel="0" collapsed="false">
      <c r="A648" s="47" t="n">
        <v>50</v>
      </c>
      <c r="C648" s="48" t="str">
        <f aca="false">助手报销!$C51</f>
        <v/>
      </c>
      <c r="D648" s="81" t="s">
        <v>488</v>
      </c>
      <c r="E648" s="48" t="str">
        <f aca="false">IFERROR(INDEX(输入报销!$E:$E,MATCH($A648&amp;"-10",输入报销!$J:$J,0))&amp;"","")</f>
        <v/>
      </c>
      <c r="F648" s="48" t="str">
        <f aca="false">IFERROR(INDEX(输入报销!$F:$F,MATCH($A648&amp;"-10",输入报销!$J:$J,0))&amp;"","")</f>
        <v/>
      </c>
      <c r="G648" s="49" t="n">
        <f aca="false">IFERROR(ROUND(INDEX(输入报销!$G:$G,MATCH($A648&amp;"-10",输入报销!$J:$J,0)),2),0)</f>
        <v>0</v>
      </c>
      <c r="H648" s="49" t="str">
        <f aca="false">IF(ROUND($G648,2)&gt;0,ROUND($G648,2),"")</f>
        <v/>
      </c>
      <c r="I648" s="49" t="str">
        <f aca="false">IF(ROUND($G648,2)&lt;0,-ROUND($G648,2),"")</f>
        <v/>
      </c>
      <c r="J648" s="20" t="n">
        <f aca="false">IF(ROUND($G648,2)=0,0,1)</f>
        <v>0</v>
      </c>
      <c r="K648" s="20" t="str">
        <f aca="false">IF($J648=0,"",SUM($J$639:$J648))</f>
        <v/>
      </c>
      <c r="L648" s="20" t="str">
        <f aca="false">IF($K648="","",$A648*100+$K648)</f>
        <v/>
      </c>
      <c r="M648" s="48" t="str">
        <f aca="false">IFERROR(INDEX(输入报销!$D:$D,MATCH($A648&amp;"-10",输入报销!$J:$J,0))&amp;"","")</f>
        <v/>
      </c>
    </row>
    <row r="649" customFormat="false" ht="13.5" hidden="false" customHeight="false" outlineLevel="0" collapsed="false">
      <c r="A649" s="47" t="n">
        <v>50</v>
      </c>
      <c r="C649" s="48" t="str">
        <f aca="false">助手报销!$C51</f>
        <v/>
      </c>
      <c r="D649" s="81" t="s">
        <v>489</v>
      </c>
      <c r="E649" s="48" t="str">
        <f aca="false">参数!$B$6</f>
        <v>库存现金</v>
      </c>
      <c r="F649" s="48" t="str">
        <f aca="false">""</f>
        <v/>
      </c>
      <c r="G649" s="49" t="n">
        <f aca="false">-ROUND(SUMIFS(输入报销!$G:$G,输入报销!$A:$A,$A649,输入报销!$H:$H,参数!$B$6),2)</f>
        <v>-0</v>
      </c>
      <c r="H649" s="49" t="str">
        <f aca="false">IF(ROUND($G649,2)&gt;0,ROUND($G649,2),"")</f>
        <v/>
      </c>
      <c r="I649" s="49" t="str">
        <f aca="false">IF(ROUND($G649,2)&lt;0,-ROUND($G649,2),"")</f>
        <v/>
      </c>
      <c r="J649" s="20" t="n">
        <f aca="false">IF(ROUND($G649,2)=0,0,1)</f>
        <v>0</v>
      </c>
      <c r="K649" s="20" t="str">
        <f aca="false">IF($J649=0,"",SUM($J$639:$J649))</f>
        <v/>
      </c>
      <c r="L649" s="20" t="str">
        <f aca="false">IF($K649="","",$A649*100+$K649)</f>
        <v/>
      </c>
      <c r="M649" s="48" t="str">
        <f aca="false">""</f>
        <v/>
      </c>
    </row>
    <row r="650" customFormat="false" ht="13.5" hidden="false" customHeight="false" outlineLevel="0" collapsed="false">
      <c r="A650" s="47" t="n">
        <v>50</v>
      </c>
      <c r="C650" s="48" t="str">
        <f aca="false">助手报销!$C51</f>
        <v/>
      </c>
      <c r="D650" s="81" t="s">
        <v>490</v>
      </c>
      <c r="E650" s="48" t="str">
        <f aca="false">参数!$B$7</f>
        <v>银行存款</v>
      </c>
      <c r="F650" s="48" t="str">
        <f aca="false">""</f>
        <v/>
      </c>
      <c r="G650" s="49" t="n">
        <f aca="false">-ROUND(SUMIFS(输入报销!$G:$G,输入报销!$A:$A,$A650,输入报销!$H:$H,参数!$B$7),2)</f>
        <v>-0</v>
      </c>
      <c r="H650" s="49" t="str">
        <f aca="false">IF(ROUND($G650,2)&gt;0,ROUND($G650,2),"")</f>
        <v/>
      </c>
      <c r="I650" s="49" t="str">
        <f aca="false">IF(ROUND($G650,2)&lt;0,-ROUND($G650,2),"")</f>
        <v/>
      </c>
      <c r="J650" s="20" t="n">
        <f aca="false">IF(ROUND($G650,2)=0,0,1)</f>
        <v>0</v>
      </c>
      <c r="K650" s="20" t="str">
        <f aca="false">IF($J650=0,"",SUM($J$639:$J650))</f>
        <v/>
      </c>
      <c r="L650" s="20" t="str">
        <f aca="false">IF($K650="","",$A650*100+$K650)</f>
        <v/>
      </c>
      <c r="M650" s="48" t="str">
        <f aca="false">""</f>
        <v/>
      </c>
    </row>
    <row r="651" customFormat="false" ht="13.5" hidden="false" customHeight="false" outlineLevel="0" collapsed="false">
      <c r="A651" s="47" t="n">
        <v>50</v>
      </c>
      <c r="C651" s="48" t="str">
        <f aca="false">助手报销!$C51</f>
        <v/>
      </c>
      <c r="D651" s="81" t="s">
        <v>491</v>
      </c>
      <c r="E651" s="48" t="str">
        <f aca="false">参数!$B$8</f>
        <v>其他应付款</v>
      </c>
      <c r="F651" s="48" t="str">
        <f aca="false">""</f>
        <v/>
      </c>
      <c r="G651" s="49" t="n">
        <f aca="false">-ROUND(SUMIFS(输入报销!$G:$G,输入报销!$A:$A,$A651,输入报销!$H:$H,参数!$B$8),2)</f>
        <v>-0</v>
      </c>
      <c r="H651" s="49" t="str">
        <f aca="false">IF(ROUND($G651,2)&gt;0,ROUND($G651,2),"")</f>
        <v/>
      </c>
      <c r="I651" s="49" t="str">
        <f aca="false">IF(ROUND($G651,2)&lt;0,-ROUND($G651,2),"")</f>
        <v/>
      </c>
      <c r="J651" s="20" t="n">
        <f aca="false">IF(ROUND($G651,2)=0,0,1)</f>
        <v>0</v>
      </c>
      <c r="K651" s="20" t="str">
        <f aca="false">IF($J651=0,"",SUM($J$639:$J651))</f>
        <v/>
      </c>
      <c r="L651" s="20" t="str">
        <f aca="false">IF($K651="","",$A651*100+$K651)</f>
        <v/>
      </c>
      <c r="M651" s="48" t="str">
        <f aca="false">""</f>
        <v/>
      </c>
    </row>
    <row r="652" customFormat="false" ht="13.5" hidden="false" customHeight="false" outlineLevel="0" collapsed="false">
      <c r="A652" s="47" t="n">
        <v>51</v>
      </c>
      <c r="C652" s="48" t="str">
        <f aca="false">助手报销!$C52</f>
        <v/>
      </c>
      <c r="D652" s="81" t="s">
        <v>479</v>
      </c>
      <c r="E652" s="48" t="str">
        <f aca="false">IFERROR(INDEX(输入报销!$E:$E,MATCH($A652&amp;"-1",输入报销!$J:$J,0))&amp;"","")</f>
        <v/>
      </c>
      <c r="F652" s="48" t="str">
        <f aca="false">IFERROR(INDEX(输入报销!$F:$F,MATCH($A652&amp;"-1",输入报销!$J:$J,0))&amp;"","")</f>
        <v/>
      </c>
      <c r="G652" s="49" t="n">
        <f aca="false">IFERROR(ROUND(INDEX(输入报销!$G:$G,MATCH($A652&amp;"-1",输入报销!$J:$J,0)),2),0)</f>
        <v>0</v>
      </c>
      <c r="H652" s="49" t="str">
        <f aca="false">IF(ROUND($G652,2)&gt;0,ROUND($G652,2),"")</f>
        <v/>
      </c>
      <c r="I652" s="49" t="str">
        <f aca="false">IF(ROUND($G652,2)&lt;0,-ROUND($G652,2),"")</f>
        <v/>
      </c>
      <c r="J652" s="20" t="n">
        <f aca="false">IF(ROUND($G652,2)=0,0,1)</f>
        <v>0</v>
      </c>
      <c r="K652" s="20" t="str">
        <f aca="false">IF($J652=0,"",SUM($J$652:$J652))</f>
        <v/>
      </c>
      <c r="L652" s="20" t="str">
        <f aca="false">IF($K652="","",$A652*100+$K652)</f>
        <v/>
      </c>
      <c r="M652" s="48" t="str">
        <f aca="false">IFERROR(INDEX(输入报销!$D:$D,MATCH($A652&amp;"-1",输入报销!$J:$J,0))&amp;"","")</f>
        <v/>
      </c>
    </row>
    <row r="653" customFormat="false" ht="13.5" hidden="false" customHeight="false" outlineLevel="0" collapsed="false">
      <c r="A653" s="47" t="n">
        <v>51</v>
      </c>
      <c r="C653" s="48" t="str">
        <f aca="false">助手报销!$C52</f>
        <v/>
      </c>
      <c r="D653" s="81" t="s">
        <v>480</v>
      </c>
      <c r="E653" s="48" t="str">
        <f aca="false">IFERROR(INDEX(输入报销!$E:$E,MATCH($A653&amp;"-2",输入报销!$J:$J,0))&amp;"","")</f>
        <v/>
      </c>
      <c r="F653" s="48" t="str">
        <f aca="false">IFERROR(INDEX(输入报销!$F:$F,MATCH($A653&amp;"-2",输入报销!$J:$J,0))&amp;"","")</f>
        <v/>
      </c>
      <c r="G653" s="49" t="n">
        <f aca="false">IFERROR(ROUND(INDEX(输入报销!$G:$G,MATCH($A653&amp;"-2",输入报销!$J:$J,0)),2),0)</f>
        <v>0</v>
      </c>
      <c r="H653" s="49" t="str">
        <f aca="false">IF(ROUND($G653,2)&gt;0,ROUND($G653,2),"")</f>
        <v/>
      </c>
      <c r="I653" s="49" t="str">
        <f aca="false">IF(ROUND($G653,2)&lt;0,-ROUND($G653,2),"")</f>
        <v/>
      </c>
      <c r="J653" s="20" t="n">
        <f aca="false">IF(ROUND($G653,2)=0,0,1)</f>
        <v>0</v>
      </c>
      <c r="K653" s="20" t="str">
        <f aca="false">IF($J653=0,"",SUM($J$652:$J653))</f>
        <v/>
      </c>
      <c r="L653" s="20" t="str">
        <f aca="false">IF($K653="","",$A653*100+$K653)</f>
        <v/>
      </c>
      <c r="M653" s="48" t="str">
        <f aca="false">IFERROR(INDEX(输入报销!$D:$D,MATCH($A653&amp;"-2",输入报销!$J:$J,0))&amp;"","")</f>
        <v/>
      </c>
    </row>
    <row r="654" customFormat="false" ht="13.5" hidden="false" customHeight="false" outlineLevel="0" collapsed="false">
      <c r="A654" s="47" t="n">
        <v>51</v>
      </c>
      <c r="C654" s="48" t="str">
        <f aca="false">助手报销!$C52</f>
        <v/>
      </c>
      <c r="D654" s="81" t="s">
        <v>481</v>
      </c>
      <c r="E654" s="48" t="str">
        <f aca="false">IFERROR(INDEX(输入报销!$E:$E,MATCH($A654&amp;"-3",输入报销!$J:$J,0))&amp;"","")</f>
        <v/>
      </c>
      <c r="F654" s="48" t="str">
        <f aca="false">IFERROR(INDEX(输入报销!$F:$F,MATCH($A654&amp;"-3",输入报销!$J:$J,0))&amp;"","")</f>
        <v/>
      </c>
      <c r="G654" s="49" t="n">
        <f aca="false">IFERROR(ROUND(INDEX(输入报销!$G:$G,MATCH($A654&amp;"-3",输入报销!$J:$J,0)),2),0)</f>
        <v>0</v>
      </c>
      <c r="H654" s="49" t="str">
        <f aca="false">IF(ROUND($G654,2)&gt;0,ROUND($G654,2),"")</f>
        <v/>
      </c>
      <c r="I654" s="49" t="str">
        <f aca="false">IF(ROUND($G654,2)&lt;0,-ROUND($G654,2),"")</f>
        <v/>
      </c>
      <c r="J654" s="20" t="n">
        <f aca="false">IF(ROUND($G654,2)=0,0,1)</f>
        <v>0</v>
      </c>
      <c r="K654" s="20" t="str">
        <f aca="false">IF($J654=0,"",SUM($J$652:$J654))</f>
        <v/>
      </c>
      <c r="L654" s="20" t="str">
        <f aca="false">IF($K654="","",$A654*100+$K654)</f>
        <v/>
      </c>
      <c r="M654" s="48" t="str">
        <f aca="false">IFERROR(INDEX(输入报销!$D:$D,MATCH($A654&amp;"-3",输入报销!$J:$J,0))&amp;"","")</f>
        <v/>
      </c>
    </row>
    <row r="655" customFormat="false" ht="13.5" hidden="false" customHeight="false" outlineLevel="0" collapsed="false">
      <c r="A655" s="47" t="n">
        <v>51</v>
      </c>
      <c r="C655" s="48" t="str">
        <f aca="false">助手报销!$C52</f>
        <v/>
      </c>
      <c r="D655" s="81" t="s">
        <v>482</v>
      </c>
      <c r="E655" s="48" t="str">
        <f aca="false">IFERROR(INDEX(输入报销!$E:$E,MATCH($A655&amp;"-4",输入报销!$J:$J,0))&amp;"","")</f>
        <v/>
      </c>
      <c r="F655" s="48" t="str">
        <f aca="false">IFERROR(INDEX(输入报销!$F:$F,MATCH($A655&amp;"-4",输入报销!$J:$J,0))&amp;"","")</f>
        <v/>
      </c>
      <c r="G655" s="49" t="n">
        <f aca="false">IFERROR(ROUND(INDEX(输入报销!$G:$G,MATCH($A655&amp;"-4",输入报销!$J:$J,0)),2),0)</f>
        <v>0</v>
      </c>
      <c r="H655" s="49" t="str">
        <f aca="false">IF(ROUND($G655,2)&gt;0,ROUND($G655,2),"")</f>
        <v/>
      </c>
      <c r="I655" s="49" t="str">
        <f aca="false">IF(ROUND($G655,2)&lt;0,-ROUND($G655,2),"")</f>
        <v/>
      </c>
      <c r="J655" s="20" t="n">
        <f aca="false">IF(ROUND($G655,2)=0,0,1)</f>
        <v>0</v>
      </c>
      <c r="K655" s="20" t="str">
        <f aca="false">IF($J655=0,"",SUM($J$652:$J655))</f>
        <v/>
      </c>
      <c r="L655" s="20" t="str">
        <f aca="false">IF($K655="","",$A655*100+$K655)</f>
        <v/>
      </c>
      <c r="M655" s="48" t="str">
        <f aca="false">IFERROR(INDEX(输入报销!$D:$D,MATCH($A655&amp;"-4",输入报销!$J:$J,0))&amp;"","")</f>
        <v/>
      </c>
    </row>
    <row r="656" customFormat="false" ht="13.5" hidden="false" customHeight="false" outlineLevel="0" collapsed="false">
      <c r="A656" s="47" t="n">
        <v>51</v>
      </c>
      <c r="C656" s="48" t="str">
        <f aca="false">助手报销!$C52</f>
        <v/>
      </c>
      <c r="D656" s="81" t="s">
        <v>483</v>
      </c>
      <c r="E656" s="48" t="str">
        <f aca="false">IFERROR(INDEX(输入报销!$E:$E,MATCH($A656&amp;"-5",输入报销!$J:$J,0))&amp;"","")</f>
        <v/>
      </c>
      <c r="F656" s="48" t="str">
        <f aca="false">IFERROR(INDEX(输入报销!$F:$F,MATCH($A656&amp;"-5",输入报销!$J:$J,0))&amp;"","")</f>
        <v/>
      </c>
      <c r="G656" s="49" t="n">
        <f aca="false">IFERROR(ROUND(INDEX(输入报销!$G:$G,MATCH($A656&amp;"-5",输入报销!$J:$J,0)),2),0)</f>
        <v>0</v>
      </c>
      <c r="H656" s="49" t="str">
        <f aca="false">IF(ROUND($G656,2)&gt;0,ROUND($G656,2),"")</f>
        <v/>
      </c>
      <c r="I656" s="49" t="str">
        <f aca="false">IF(ROUND($G656,2)&lt;0,-ROUND($G656,2),"")</f>
        <v/>
      </c>
      <c r="J656" s="20" t="n">
        <f aca="false">IF(ROUND($G656,2)=0,0,1)</f>
        <v>0</v>
      </c>
      <c r="K656" s="20" t="str">
        <f aca="false">IF($J656=0,"",SUM($J$652:$J656))</f>
        <v/>
      </c>
      <c r="L656" s="20" t="str">
        <f aca="false">IF($K656="","",$A656*100+$K656)</f>
        <v/>
      </c>
      <c r="M656" s="48" t="str">
        <f aca="false">IFERROR(INDEX(输入报销!$D:$D,MATCH($A656&amp;"-5",输入报销!$J:$J,0))&amp;"","")</f>
        <v/>
      </c>
    </row>
    <row r="657" customFormat="false" ht="13.5" hidden="false" customHeight="false" outlineLevel="0" collapsed="false">
      <c r="A657" s="47" t="n">
        <v>51</v>
      </c>
      <c r="C657" s="48" t="str">
        <f aca="false">助手报销!$C52</f>
        <v/>
      </c>
      <c r="D657" s="81" t="s">
        <v>484</v>
      </c>
      <c r="E657" s="48" t="str">
        <f aca="false">IFERROR(INDEX(输入报销!$E:$E,MATCH($A657&amp;"-6",输入报销!$J:$J,0))&amp;"","")</f>
        <v/>
      </c>
      <c r="F657" s="48" t="str">
        <f aca="false">IFERROR(INDEX(输入报销!$F:$F,MATCH($A657&amp;"-6",输入报销!$J:$J,0))&amp;"","")</f>
        <v/>
      </c>
      <c r="G657" s="49" t="n">
        <f aca="false">IFERROR(ROUND(INDEX(输入报销!$G:$G,MATCH($A657&amp;"-6",输入报销!$J:$J,0)),2),0)</f>
        <v>0</v>
      </c>
      <c r="H657" s="49" t="str">
        <f aca="false">IF(ROUND($G657,2)&gt;0,ROUND($G657,2),"")</f>
        <v/>
      </c>
      <c r="I657" s="49" t="str">
        <f aca="false">IF(ROUND($G657,2)&lt;0,-ROUND($G657,2),"")</f>
        <v/>
      </c>
      <c r="J657" s="20" t="n">
        <f aca="false">IF(ROUND($G657,2)=0,0,1)</f>
        <v>0</v>
      </c>
      <c r="K657" s="20" t="str">
        <f aca="false">IF($J657=0,"",SUM($J$652:$J657))</f>
        <v/>
      </c>
      <c r="L657" s="20" t="str">
        <f aca="false">IF($K657="","",$A657*100+$K657)</f>
        <v/>
      </c>
      <c r="M657" s="48" t="str">
        <f aca="false">IFERROR(INDEX(输入报销!$D:$D,MATCH($A657&amp;"-6",输入报销!$J:$J,0))&amp;"","")</f>
        <v/>
      </c>
    </row>
    <row r="658" customFormat="false" ht="13.5" hidden="false" customHeight="false" outlineLevel="0" collapsed="false">
      <c r="A658" s="47" t="n">
        <v>51</v>
      </c>
      <c r="C658" s="48" t="str">
        <f aca="false">助手报销!$C52</f>
        <v/>
      </c>
      <c r="D658" s="81" t="s">
        <v>485</v>
      </c>
      <c r="E658" s="48" t="str">
        <f aca="false">IFERROR(INDEX(输入报销!$E:$E,MATCH($A658&amp;"-7",输入报销!$J:$J,0))&amp;"","")</f>
        <v/>
      </c>
      <c r="F658" s="48" t="str">
        <f aca="false">IFERROR(INDEX(输入报销!$F:$F,MATCH($A658&amp;"-7",输入报销!$J:$J,0))&amp;"","")</f>
        <v/>
      </c>
      <c r="G658" s="49" t="n">
        <f aca="false">IFERROR(ROUND(INDEX(输入报销!$G:$G,MATCH($A658&amp;"-7",输入报销!$J:$J,0)),2),0)</f>
        <v>0</v>
      </c>
      <c r="H658" s="49" t="str">
        <f aca="false">IF(ROUND($G658,2)&gt;0,ROUND($G658,2),"")</f>
        <v/>
      </c>
      <c r="I658" s="49" t="str">
        <f aca="false">IF(ROUND($G658,2)&lt;0,-ROUND($G658,2),"")</f>
        <v/>
      </c>
      <c r="J658" s="20" t="n">
        <f aca="false">IF(ROUND($G658,2)=0,0,1)</f>
        <v>0</v>
      </c>
      <c r="K658" s="20" t="str">
        <f aca="false">IF($J658=0,"",SUM($J$652:$J658))</f>
        <v/>
      </c>
      <c r="L658" s="20" t="str">
        <f aca="false">IF($K658="","",$A658*100+$K658)</f>
        <v/>
      </c>
      <c r="M658" s="48" t="str">
        <f aca="false">IFERROR(INDEX(输入报销!$D:$D,MATCH($A658&amp;"-7",输入报销!$J:$J,0))&amp;"","")</f>
        <v/>
      </c>
    </row>
    <row r="659" customFormat="false" ht="13.5" hidden="false" customHeight="false" outlineLevel="0" collapsed="false">
      <c r="A659" s="47" t="n">
        <v>51</v>
      </c>
      <c r="C659" s="48" t="str">
        <f aca="false">助手报销!$C52</f>
        <v/>
      </c>
      <c r="D659" s="81" t="s">
        <v>486</v>
      </c>
      <c r="E659" s="48" t="str">
        <f aca="false">IFERROR(INDEX(输入报销!$E:$E,MATCH($A659&amp;"-8",输入报销!$J:$J,0))&amp;"","")</f>
        <v/>
      </c>
      <c r="F659" s="48" t="str">
        <f aca="false">IFERROR(INDEX(输入报销!$F:$F,MATCH($A659&amp;"-8",输入报销!$J:$J,0))&amp;"","")</f>
        <v/>
      </c>
      <c r="G659" s="49" t="n">
        <f aca="false">IFERROR(ROUND(INDEX(输入报销!$G:$G,MATCH($A659&amp;"-8",输入报销!$J:$J,0)),2),0)</f>
        <v>0</v>
      </c>
      <c r="H659" s="49" t="str">
        <f aca="false">IF(ROUND($G659,2)&gt;0,ROUND($G659,2),"")</f>
        <v/>
      </c>
      <c r="I659" s="49" t="str">
        <f aca="false">IF(ROUND($G659,2)&lt;0,-ROUND($G659,2),"")</f>
        <v/>
      </c>
      <c r="J659" s="20" t="n">
        <f aca="false">IF(ROUND($G659,2)=0,0,1)</f>
        <v>0</v>
      </c>
      <c r="K659" s="20" t="str">
        <f aca="false">IF($J659=0,"",SUM($J$652:$J659))</f>
        <v/>
      </c>
      <c r="L659" s="20" t="str">
        <f aca="false">IF($K659="","",$A659*100+$K659)</f>
        <v/>
      </c>
      <c r="M659" s="48" t="str">
        <f aca="false">IFERROR(INDEX(输入报销!$D:$D,MATCH($A659&amp;"-8",输入报销!$J:$J,0))&amp;"","")</f>
        <v/>
      </c>
    </row>
    <row r="660" customFormat="false" ht="13.5" hidden="false" customHeight="false" outlineLevel="0" collapsed="false">
      <c r="A660" s="47" t="n">
        <v>51</v>
      </c>
      <c r="C660" s="48" t="str">
        <f aca="false">助手报销!$C52</f>
        <v/>
      </c>
      <c r="D660" s="81" t="s">
        <v>487</v>
      </c>
      <c r="E660" s="48" t="str">
        <f aca="false">IFERROR(INDEX(输入报销!$E:$E,MATCH($A660&amp;"-9",输入报销!$J:$J,0))&amp;"","")</f>
        <v/>
      </c>
      <c r="F660" s="48" t="str">
        <f aca="false">IFERROR(INDEX(输入报销!$F:$F,MATCH($A660&amp;"-9",输入报销!$J:$J,0))&amp;"","")</f>
        <v/>
      </c>
      <c r="G660" s="49" t="n">
        <f aca="false">IFERROR(ROUND(INDEX(输入报销!$G:$G,MATCH($A660&amp;"-9",输入报销!$J:$J,0)),2),0)</f>
        <v>0</v>
      </c>
      <c r="H660" s="49" t="str">
        <f aca="false">IF(ROUND($G660,2)&gt;0,ROUND($G660,2),"")</f>
        <v/>
      </c>
      <c r="I660" s="49" t="str">
        <f aca="false">IF(ROUND($G660,2)&lt;0,-ROUND($G660,2),"")</f>
        <v/>
      </c>
      <c r="J660" s="20" t="n">
        <f aca="false">IF(ROUND($G660,2)=0,0,1)</f>
        <v>0</v>
      </c>
      <c r="K660" s="20" t="str">
        <f aca="false">IF($J660=0,"",SUM($J$652:$J660))</f>
        <v/>
      </c>
      <c r="L660" s="20" t="str">
        <f aca="false">IF($K660="","",$A660*100+$K660)</f>
        <v/>
      </c>
      <c r="M660" s="48" t="str">
        <f aca="false">IFERROR(INDEX(输入报销!$D:$D,MATCH($A660&amp;"-9",输入报销!$J:$J,0))&amp;"","")</f>
        <v/>
      </c>
    </row>
    <row r="661" customFormat="false" ht="13.5" hidden="false" customHeight="false" outlineLevel="0" collapsed="false">
      <c r="A661" s="47" t="n">
        <v>51</v>
      </c>
      <c r="C661" s="48" t="str">
        <f aca="false">助手报销!$C52</f>
        <v/>
      </c>
      <c r="D661" s="81" t="s">
        <v>488</v>
      </c>
      <c r="E661" s="48" t="str">
        <f aca="false">IFERROR(INDEX(输入报销!$E:$E,MATCH($A661&amp;"-10",输入报销!$J:$J,0))&amp;"","")</f>
        <v/>
      </c>
      <c r="F661" s="48" t="str">
        <f aca="false">IFERROR(INDEX(输入报销!$F:$F,MATCH($A661&amp;"-10",输入报销!$J:$J,0))&amp;"","")</f>
        <v/>
      </c>
      <c r="G661" s="49" t="n">
        <f aca="false">IFERROR(ROUND(INDEX(输入报销!$G:$G,MATCH($A661&amp;"-10",输入报销!$J:$J,0)),2),0)</f>
        <v>0</v>
      </c>
      <c r="H661" s="49" t="str">
        <f aca="false">IF(ROUND($G661,2)&gt;0,ROUND($G661,2),"")</f>
        <v/>
      </c>
      <c r="I661" s="49" t="str">
        <f aca="false">IF(ROUND($G661,2)&lt;0,-ROUND($G661,2),"")</f>
        <v/>
      </c>
      <c r="J661" s="20" t="n">
        <f aca="false">IF(ROUND($G661,2)=0,0,1)</f>
        <v>0</v>
      </c>
      <c r="K661" s="20" t="str">
        <f aca="false">IF($J661=0,"",SUM($J$652:$J661))</f>
        <v/>
      </c>
      <c r="L661" s="20" t="str">
        <f aca="false">IF($K661="","",$A661*100+$K661)</f>
        <v/>
      </c>
      <c r="M661" s="48" t="str">
        <f aca="false">IFERROR(INDEX(输入报销!$D:$D,MATCH($A661&amp;"-10",输入报销!$J:$J,0))&amp;"","")</f>
        <v/>
      </c>
    </row>
    <row r="662" customFormat="false" ht="13.5" hidden="false" customHeight="false" outlineLevel="0" collapsed="false">
      <c r="A662" s="47" t="n">
        <v>51</v>
      </c>
      <c r="C662" s="48" t="str">
        <f aca="false">助手报销!$C52</f>
        <v/>
      </c>
      <c r="D662" s="81" t="s">
        <v>489</v>
      </c>
      <c r="E662" s="48" t="str">
        <f aca="false">参数!$B$6</f>
        <v>库存现金</v>
      </c>
      <c r="F662" s="48" t="str">
        <f aca="false">""</f>
        <v/>
      </c>
      <c r="G662" s="49" t="n">
        <f aca="false">-ROUND(SUMIFS(输入报销!$G:$G,输入报销!$A:$A,$A662,输入报销!$H:$H,参数!$B$6),2)</f>
        <v>-0</v>
      </c>
      <c r="H662" s="49" t="str">
        <f aca="false">IF(ROUND($G662,2)&gt;0,ROUND($G662,2),"")</f>
        <v/>
      </c>
      <c r="I662" s="49" t="str">
        <f aca="false">IF(ROUND($G662,2)&lt;0,-ROUND($G662,2),"")</f>
        <v/>
      </c>
      <c r="J662" s="20" t="n">
        <f aca="false">IF(ROUND($G662,2)=0,0,1)</f>
        <v>0</v>
      </c>
      <c r="K662" s="20" t="str">
        <f aca="false">IF($J662=0,"",SUM($J$652:$J662))</f>
        <v/>
      </c>
      <c r="L662" s="20" t="str">
        <f aca="false">IF($K662="","",$A662*100+$K662)</f>
        <v/>
      </c>
      <c r="M662" s="48" t="str">
        <f aca="false">""</f>
        <v/>
      </c>
    </row>
    <row r="663" customFormat="false" ht="13.5" hidden="false" customHeight="false" outlineLevel="0" collapsed="false">
      <c r="A663" s="47" t="n">
        <v>51</v>
      </c>
      <c r="C663" s="48" t="str">
        <f aca="false">助手报销!$C52</f>
        <v/>
      </c>
      <c r="D663" s="81" t="s">
        <v>490</v>
      </c>
      <c r="E663" s="48" t="str">
        <f aca="false">参数!$B$7</f>
        <v>银行存款</v>
      </c>
      <c r="F663" s="48" t="str">
        <f aca="false">""</f>
        <v/>
      </c>
      <c r="G663" s="49" t="n">
        <f aca="false">-ROUND(SUMIFS(输入报销!$G:$G,输入报销!$A:$A,$A663,输入报销!$H:$H,参数!$B$7),2)</f>
        <v>-0</v>
      </c>
      <c r="H663" s="49" t="str">
        <f aca="false">IF(ROUND($G663,2)&gt;0,ROUND($G663,2),"")</f>
        <v/>
      </c>
      <c r="I663" s="49" t="str">
        <f aca="false">IF(ROUND($G663,2)&lt;0,-ROUND($G663,2),"")</f>
        <v/>
      </c>
      <c r="J663" s="20" t="n">
        <f aca="false">IF(ROUND($G663,2)=0,0,1)</f>
        <v>0</v>
      </c>
      <c r="K663" s="20" t="str">
        <f aca="false">IF($J663=0,"",SUM($J$652:$J663))</f>
        <v/>
      </c>
      <c r="L663" s="20" t="str">
        <f aca="false">IF($K663="","",$A663*100+$K663)</f>
        <v/>
      </c>
      <c r="M663" s="48" t="str">
        <f aca="false">""</f>
        <v/>
      </c>
    </row>
    <row r="664" customFormat="false" ht="13.5" hidden="false" customHeight="false" outlineLevel="0" collapsed="false">
      <c r="A664" s="47" t="n">
        <v>51</v>
      </c>
      <c r="C664" s="48" t="str">
        <f aca="false">助手报销!$C52</f>
        <v/>
      </c>
      <c r="D664" s="81" t="s">
        <v>491</v>
      </c>
      <c r="E664" s="48" t="str">
        <f aca="false">参数!$B$8</f>
        <v>其他应付款</v>
      </c>
      <c r="F664" s="48" t="str">
        <f aca="false">""</f>
        <v/>
      </c>
      <c r="G664" s="49" t="n">
        <f aca="false">-ROUND(SUMIFS(输入报销!$G:$G,输入报销!$A:$A,$A664,输入报销!$H:$H,参数!$B$8),2)</f>
        <v>-0</v>
      </c>
      <c r="H664" s="49" t="str">
        <f aca="false">IF(ROUND($G664,2)&gt;0,ROUND($G664,2),"")</f>
        <v/>
      </c>
      <c r="I664" s="49" t="str">
        <f aca="false">IF(ROUND($G664,2)&lt;0,-ROUND($G664,2),"")</f>
        <v/>
      </c>
      <c r="J664" s="20" t="n">
        <f aca="false">IF(ROUND($G664,2)=0,0,1)</f>
        <v>0</v>
      </c>
      <c r="K664" s="20" t="str">
        <f aca="false">IF($J664=0,"",SUM($J$652:$J664))</f>
        <v/>
      </c>
      <c r="L664" s="20" t="str">
        <f aca="false">IF($K664="","",$A664*100+$K664)</f>
        <v/>
      </c>
      <c r="M664" s="48" t="str">
        <f aca="false">""</f>
        <v/>
      </c>
    </row>
    <row r="665" customFormat="false" ht="13.5" hidden="false" customHeight="false" outlineLevel="0" collapsed="false">
      <c r="A665" s="47" t="n">
        <v>52</v>
      </c>
      <c r="C665" s="48" t="str">
        <f aca="false">助手报销!$C53</f>
        <v/>
      </c>
      <c r="D665" s="81" t="s">
        <v>479</v>
      </c>
      <c r="E665" s="48" t="str">
        <f aca="false">IFERROR(INDEX(输入报销!$E:$E,MATCH($A665&amp;"-1",输入报销!$J:$J,0))&amp;"","")</f>
        <v/>
      </c>
      <c r="F665" s="48" t="str">
        <f aca="false">IFERROR(INDEX(输入报销!$F:$F,MATCH($A665&amp;"-1",输入报销!$J:$J,0))&amp;"","")</f>
        <v/>
      </c>
      <c r="G665" s="49" t="n">
        <f aca="false">IFERROR(ROUND(INDEX(输入报销!$G:$G,MATCH($A665&amp;"-1",输入报销!$J:$J,0)),2),0)</f>
        <v>0</v>
      </c>
      <c r="H665" s="49" t="str">
        <f aca="false">IF(ROUND($G665,2)&gt;0,ROUND($G665,2),"")</f>
        <v/>
      </c>
      <c r="I665" s="49" t="str">
        <f aca="false">IF(ROUND($G665,2)&lt;0,-ROUND($G665,2),"")</f>
        <v/>
      </c>
      <c r="J665" s="20" t="n">
        <f aca="false">IF(ROUND($G665,2)=0,0,1)</f>
        <v>0</v>
      </c>
      <c r="K665" s="20" t="str">
        <f aca="false">IF($J665=0,"",SUM($J$665:$J665))</f>
        <v/>
      </c>
      <c r="L665" s="20" t="str">
        <f aca="false">IF($K665="","",$A665*100+$K665)</f>
        <v/>
      </c>
      <c r="M665" s="48" t="str">
        <f aca="false">IFERROR(INDEX(输入报销!$D:$D,MATCH($A665&amp;"-1",输入报销!$J:$J,0))&amp;"","")</f>
        <v/>
      </c>
    </row>
    <row r="666" customFormat="false" ht="13.5" hidden="false" customHeight="false" outlineLevel="0" collapsed="false">
      <c r="A666" s="47" t="n">
        <v>52</v>
      </c>
      <c r="C666" s="48" t="str">
        <f aca="false">助手报销!$C53</f>
        <v/>
      </c>
      <c r="D666" s="81" t="s">
        <v>480</v>
      </c>
      <c r="E666" s="48" t="str">
        <f aca="false">IFERROR(INDEX(输入报销!$E:$E,MATCH($A666&amp;"-2",输入报销!$J:$J,0))&amp;"","")</f>
        <v/>
      </c>
      <c r="F666" s="48" t="str">
        <f aca="false">IFERROR(INDEX(输入报销!$F:$F,MATCH($A666&amp;"-2",输入报销!$J:$J,0))&amp;"","")</f>
        <v/>
      </c>
      <c r="G666" s="49" t="n">
        <f aca="false">IFERROR(ROUND(INDEX(输入报销!$G:$G,MATCH($A666&amp;"-2",输入报销!$J:$J,0)),2),0)</f>
        <v>0</v>
      </c>
      <c r="H666" s="49" t="str">
        <f aca="false">IF(ROUND($G666,2)&gt;0,ROUND($G666,2),"")</f>
        <v/>
      </c>
      <c r="I666" s="49" t="str">
        <f aca="false">IF(ROUND($G666,2)&lt;0,-ROUND($G666,2),"")</f>
        <v/>
      </c>
      <c r="J666" s="20" t="n">
        <f aca="false">IF(ROUND($G666,2)=0,0,1)</f>
        <v>0</v>
      </c>
      <c r="K666" s="20" t="str">
        <f aca="false">IF($J666=0,"",SUM($J$665:$J666))</f>
        <v/>
      </c>
      <c r="L666" s="20" t="str">
        <f aca="false">IF($K666="","",$A666*100+$K666)</f>
        <v/>
      </c>
      <c r="M666" s="48" t="str">
        <f aca="false">IFERROR(INDEX(输入报销!$D:$D,MATCH($A666&amp;"-2",输入报销!$J:$J,0))&amp;"","")</f>
        <v/>
      </c>
    </row>
    <row r="667" customFormat="false" ht="13.5" hidden="false" customHeight="false" outlineLevel="0" collapsed="false">
      <c r="A667" s="47" t="n">
        <v>52</v>
      </c>
      <c r="C667" s="48" t="str">
        <f aca="false">助手报销!$C53</f>
        <v/>
      </c>
      <c r="D667" s="81" t="s">
        <v>481</v>
      </c>
      <c r="E667" s="48" t="str">
        <f aca="false">IFERROR(INDEX(输入报销!$E:$E,MATCH($A667&amp;"-3",输入报销!$J:$J,0))&amp;"","")</f>
        <v/>
      </c>
      <c r="F667" s="48" t="str">
        <f aca="false">IFERROR(INDEX(输入报销!$F:$F,MATCH($A667&amp;"-3",输入报销!$J:$J,0))&amp;"","")</f>
        <v/>
      </c>
      <c r="G667" s="49" t="n">
        <f aca="false">IFERROR(ROUND(INDEX(输入报销!$G:$G,MATCH($A667&amp;"-3",输入报销!$J:$J,0)),2),0)</f>
        <v>0</v>
      </c>
      <c r="H667" s="49" t="str">
        <f aca="false">IF(ROUND($G667,2)&gt;0,ROUND($G667,2),"")</f>
        <v/>
      </c>
      <c r="I667" s="49" t="str">
        <f aca="false">IF(ROUND($G667,2)&lt;0,-ROUND($G667,2),"")</f>
        <v/>
      </c>
      <c r="J667" s="20" t="n">
        <f aca="false">IF(ROUND($G667,2)=0,0,1)</f>
        <v>0</v>
      </c>
      <c r="K667" s="20" t="str">
        <f aca="false">IF($J667=0,"",SUM($J$665:$J667))</f>
        <v/>
      </c>
      <c r="L667" s="20" t="str">
        <f aca="false">IF($K667="","",$A667*100+$K667)</f>
        <v/>
      </c>
      <c r="M667" s="48" t="str">
        <f aca="false">IFERROR(INDEX(输入报销!$D:$D,MATCH($A667&amp;"-3",输入报销!$J:$J,0))&amp;"","")</f>
        <v/>
      </c>
    </row>
    <row r="668" customFormat="false" ht="13.5" hidden="false" customHeight="false" outlineLevel="0" collapsed="false">
      <c r="A668" s="47" t="n">
        <v>52</v>
      </c>
      <c r="C668" s="48" t="str">
        <f aca="false">助手报销!$C53</f>
        <v/>
      </c>
      <c r="D668" s="81" t="s">
        <v>482</v>
      </c>
      <c r="E668" s="48" t="str">
        <f aca="false">IFERROR(INDEX(输入报销!$E:$E,MATCH($A668&amp;"-4",输入报销!$J:$J,0))&amp;"","")</f>
        <v/>
      </c>
      <c r="F668" s="48" t="str">
        <f aca="false">IFERROR(INDEX(输入报销!$F:$F,MATCH($A668&amp;"-4",输入报销!$J:$J,0))&amp;"","")</f>
        <v/>
      </c>
      <c r="G668" s="49" t="n">
        <f aca="false">IFERROR(ROUND(INDEX(输入报销!$G:$G,MATCH($A668&amp;"-4",输入报销!$J:$J,0)),2),0)</f>
        <v>0</v>
      </c>
      <c r="H668" s="49" t="str">
        <f aca="false">IF(ROUND($G668,2)&gt;0,ROUND($G668,2),"")</f>
        <v/>
      </c>
      <c r="I668" s="49" t="str">
        <f aca="false">IF(ROUND($G668,2)&lt;0,-ROUND($G668,2),"")</f>
        <v/>
      </c>
      <c r="J668" s="20" t="n">
        <f aca="false">IF(ROUND($G668,2)=0,0,1)</f>
        <v>0</v>
      </c>
      <c r="K668" s="20" t="str">
        <f aca="false">IF($J668=0,"",SUM($J$665:$J668))</f>
        <v/>
      </c>
      <c r="L668" s="20" t="str">
        <f aca="false">IF($K668="","",$A668*100+$K668)</f>
        <v/>
      </c>
      <c r="M668" s="48" t="str">
        <f aca="false">IFERROR(INDEX(输入报销!$D:$D,MATCH($A668&amp;"-4",输入报销!$J:$J,0))&amp;"","")</f>
        <v/>
      </c>
    </row>
    <row r="669" customFormat="false" ht="13.5" hidden="false" customHeight="false" outlineLevel="0" collapsed="false">
      <c r="A669" s="47" t="n">
        <v>52</v>
      </c>
      <c r="C669" s="48" t="str">
        <f aca="false">助手报销!$C53</f>
        <v/>
      </c>
      <c r="D669" s="81" t="s">
        <v>483</v>
      </c>
      <c r="E669" s="48" t="str">
        <f aca="false">IFERROR(INDEX(输入报销!$E:$E,MATCH($A669&amp;"-5",输入报销!$J:$J,0))&amp;"","")</f>
        <v/>
      </c>
      <c r="F669" s="48" t="str">
        <f aca="false">IFERROR(INDEX(输入报销!$F:$F,MATCH($A669&amp;"-5",输入报销!$J:$J,0))&amp;"","")</f>
        <v/>
      </c>
      <c r="G669" s="49" t="n">
        <f aca="false">IFERROR(ROUND(INDEX(输入报销!$G:$G,MATCH($A669&amp;"-5",输入报销!$J:$J,0)),2),0)</f>
        <v>0</v>
      </c>
      <c r="H669" s="49" t="str">
        <f aca="false">IF(ROUND($G669,2)&gt;0,ROUND($G669,2),"")</f>
        <v/>
      </c>
      <c r="I669" s="49" t="str">
        <f aca="false">IF(ROUND($G669,2)&lt;0,-ROUND($G669,2),"")</f>
        <v/>
      </c>
      <c r="J669" s="20" t="n">
        <f aca="false">IF(ROUND($G669,2)=0,0,1)</f>
        <v>0</v>
      </c>
      <c r="K669" s="20" t="str">
        <f aca="false">IF($J669=0,"",SUM($J$665:$J669))</f>
        <v/>
      </c>
      <c r="L669" s="20" t="str">
        <f aca="false">IF($K669="","",$A669*100+$K669)</f>
        <v/>
      </c>
      <c r="M669" s="48" t="str">
        <f aca="false">IFERROR(INDEX(输入报销!$D:$D,MATCH($A669&amp;"-5",输入报销!$J:$J,0))&amp;"","")</f>
        <v/>
      </c>
    </row>
    <row r="670" customFormat="false" ht="13.5" hidden="false" customHeight="false" outlineLevel="0" collapsed="false">
      <c r="A670" s="47" t="n">
        <v>52</v>
      </c>
      <c r="C670" s="48" t="str">
        <f aca="false">助手报销!$C53</f>
        <v/>
      </c>
      <c r="D670" s="81" t="s">
        <v>484</v>
      </c>
      <c r="E670" s="48" t="str">
        <f aca="false">IFERROR(INDEX(输入报销!$E:$E,MATCH($A670&amp;"-6",输入报销!$J:$J,0))&amp;"","")</f>
        <v/>
      </c>
      <c r="F670" s="48" t="str">
        <f aca="false">IFERROR(INDEX(输入报销!$F:$F,MATCH($A670&amp;"-6",输入报销!$J:$J,0))&amp;"","")</f>
        <v/>
      </c>
      <c r="G670" s="49" t="n">
        <f aca="false">IFERROR(ROUND(INDEX(输入报销!$G:$G,MATCH($A670&amp;"-6",输入报销!$J:$J,0)),2),0)</f>
        <v>0</v>
      </c>
      <c r="H670" s="49" t="str">
        <f aca="false">IF(ROUND($G670,2)&gt;0,ROUND($G670,2),"")</f>
        <v/>
      </c>
      <c r="I670" s="49" t="str">
        <f aca="false">IF(ROUND($G670,2)&lt;0,-ROUND($G670,2),"")</f>
        <v/>
      </c>
      <c r="J670" s="20" t="n">
        <f aca="false">IF(ROUND($G670,2)=0,0,1)</f>
        <v>0</v>
      </c>
      <c r="K670" s="20" t="str">
        <f aca="false">IF($J670=0,"",SUM($J$665:$J670))</f>
        <v/>
      </c>
      <c r="L670" s="20" t="str">
        <f aca="false">IF($K670="","",$A670*100+$K670)</f>
        <v/>
      </c>
      <c r="M670" s="48" t="str">
        <f aca="false">IFERROR(INDEX(输入报销!$D:$D,MATCH($A670&amp;"-6",输入报销!$J:$J,0))&amp;"","")</f>
        <v/>
      </c>
    </row>
    <row r="671" customFormat="false" ht="13.5" hidden="false" customHeight="false" outlineLevel="0" collapsed="false">
      <c r="A671" s="47" t="n">
        <v>52</v>
      </c>
      <c r="C671" s="48" t="str">
        <f aca="false">助手报销!$C53</f>
        <v/>
      </c>
      <c r="D671" s="81" t="s">
        <v>485</v>
      </c>
      <c r="E671" s="48" t="str">
        <f aca="false">IFERROR(INDEX(输入报销!$E:$E,MATCH($A671&amp;"-7",输入报销!$J:$J,0))&amp;"","")</f>
        <v/>
      </c>
      <c r="F671" s="48" t="str">
        <f aca="false">IFERROR(INDEX(输入报销!$F:$F,MATCH($A671&amp;"-7",输入报销!$J:$J,0))&amp;"","")</f>
        <v/>
      </c>
      <c r="G671" s="49" t="n">
        <f aca="false">IFERROR(ROUND(INDEX(输入报销!$G:$G,MATCH($A671&amp;"-7",输入报销!$J:$J,0)),2),0)</f>
        <v>0</v>
      </c>
      <c r="H671" s="49" t="str">
        <f aca="false">IF(ROUND($G671,2)&gt;0,ROUND($G671,2),"")</f>
        <v/>
      </c>
      <c r="I671" s="49" t="str">
        <f aca="false">IF(ROUND($G671,2)&lt;0,-ROUND($G671,2),"")</f>
        <v/>
      </c>
      <c r="J671" s="20" t="n">
        <f aca="false">IF(ROUND($G671,2)=0,0,1)</f>
        <v>0</v>
      </c>
      <c r="K671" s="20" t="str">
        <f aca="false">IF($J671=0,"",SUM($J$665:$J671))</f>
        <v/>
      </c>
      <c r="L671" s="20" t="str">
        <f aca="false">IF($K671="","",$A671*100+$K671)</f>
        <v/>
      </c>
      <c r="M671" s="48" t="str">
        <f aca="false">IFERROR(INDEX(输入报销!$D:$D,MATCH($A671&amp;"-7",输入报销!$J:$J,0))&amp;"","")</f>
        <v/>
      </c>
    </row>
    <row r="672" customFormat="false" ht="13.5" hidden="false" customHeight="false" outlineLevel="0" collapsed="false">
      <c r="A672" s="47" t="n">
        <v>52</v>
      </c>
      <c r="C672" s="48" t="str">
        <f aca="false">助手报销!$C53</f>
        <v/>
      </c>
      <c r="D672" s="81" t="s">
        <v>486</v>
      </c>
      <c r="E672" s="48" t="str">
        <f aca="false">IFERROR(INDEX(输入报销!$E:$E,MATCH($A672&amp;"-8",输入报销!$J:$J,0))&amp;"","")</f>
        <v/>
      </c>
      <c r="F672" s="48" t="str">
        <f aca="false">IFERROR(INDEX(输入报销!$F:$F,MATCH($A672&amp;"-8",输入报销!$J:$J,0))&amp;"","")</f>
        <v/>
      </c>
      <c r="G672" s="49" t="n">
        <f aca="false">IFERROR(ROUND(INDEX(输入报销!$G:$G,MATCH($A672&amp;"-8",输入报销!$J:$J,0)),2),0)</f>
        <v>0</v>
      </c>
      <c r="H672" s="49" t="str">
        <f aca="false">IF(ROUND($G672,2)&gt;0,ROUND($G672,2),"")</f>
        <v/>
      </c>
      <c r="I672" s="49" t="str">
        <f aca="false">IF(ROUND($G672,2)&lt;0,-ROUND($G672,2),"")</f>
        <v/>
      </c>
      <c r="J672" s="20" t="n">
        <f aca="false">IF(ROUND($G672,2)=0,0,1)</f>
        <v>0</v>
      </c>
      <c r="K672" s="20" t="str">
        <f aca="false">IF($J672=0,"",SUM($J$665:$J672))</f>
        <v/>
      </c>
      <c r="L672" s="20" t="str">
        <f aca="false">IF($K672="","",$A672*100+$K672)</f>
        <v/>
      </c>
      <c r="M672" s="48" t="str">
        <f aca="false">IFERROR(INDEX(输入报销!$D:$D,MATCH($A672&amp;"-8",输入报销!$J:$J,0))&amp;"","")</f>
        <v/>
      </c>
    </row>
    <row r="673" customFormat="false" ht="13.5" hidden="false" customHeight="false" outlineLevel="0" collapsed="false">
      <c r="A673" s="47" t="n">
        <v>52</v>
      </c>
      <c r="C673" s="48" t="str">
        <f aca="false">助手报销!$C53</f>
        <v/>
      </c>
      <c r="D673" s="81" t="s">
        <v>487</v>
      </c>
      <c r="E673" s="48" t="str">
        <f aca="false">IFERROR(INDEX(输入报销!$E:$E,MATCH($A673&amp;"-9",输入报销!$J:$J,0))&amp;"","")</f>
        <v/>
      </c>
      <c r="F673" s="48" t="str">
        <f aca="false">IFERROR(INDEX(输入报销!$F:$F,MATCH($A673&amp;"-9",输入报销!$J:$J,0))&amp;"","")</f>
        <v/>
      </c>
      <c r="G673" s="49" t="n">
        <f aca="false">IFERROR(ROUND(INDEX(输入报销!$G:$G,MATCH($A673&amp;"-9",输入报销!$J:$J,0)),2),0)</f>
        <v>0</v>
      </c>
      <c r="H673" s="49" t="str">
        <f aca="false">IF(ROUND($G673,2)&gt;0,ROUND($G673,2),"")</f>
        <v/>
      </c>
      <c r="I673" s="49" t="str">
        <f aca="false">IF(ROUND($G673,2)&lt;0,-ROUND($G673,2),"")</f>
        <v/>
      </c>
      <c r="J673" s="20" t="n">
        <f aca="false">IF(ROUND($G673,2)=0,0,1)</f>
        <v>0</v>
      </c>
      <c r="K673" s="20" t="str">
        <f aca="false">IF($J673=0,"",SUM($J$665:$J673))</f>
        <v/>
      </c>
      <c r="L673" s="20" t="str">
        <f aca="false">IF($K673="","",$A673*100+$K673)</f>
        <v/>
      </c>
      <c r="M673" s="48" t="str">
        <f aca="false">IFERROR(INDEX(输入报销!$D:$D,MATCH($A673&amp;"-9",输入报销!$J:$J,0))&amp;"","")</f>
        <v/>
      </c>
    </row>
    <row r="674" customFormat="false" ht="13.5" hidden="false" customHeight="false" outlineLevel="0" collapsed="false">
      <c r="A674" s="47" t="n">
        <v>52</v>
      </c>
      <c r="C674" s="48" t="str">
        <f aca="false">助手报销!$C53</f>
        <v/>
      </c>
      <c r="D674" s="81" t="s">
        <v>488</v>
      </c>
      <c r="E674" s="48" t="str">
        <f aca="false">IFERROR(INDEX(输入报销!$E:$E,MATCH($A674&amp;"-10",输入报销!$J:$J,0))&amp;"","")</f>
        <v/>
      </c>
      <c r="F674" s="48" t="str">
        <f aca="false">IFERROR(INDEX(输入报销!$F:$F,MATCH($A674&amp;"-10",输入报销!$J:$J,0))&amp;"","")</f>
        <v/>
      </c>
      <c r="G674" s="49" t="n">
        <f aca="false">IFERROR(ROUND(INDEX(输入报销!$G:$G,MATCH($A674&amp;"-10",输入报销!$J:$J,0)),2),0)</f>
        <v>0</v>
      </c>
      <c r="H674" s="49" t="str">
        <f aca="false">IF(ROUND($G674,2)&gt;0,ROUND($G674,2),"")</f>
        <v/>
      </c>
      <c r="I674" s="49" t="str">
        <f aca="false">IF(ROUND($G674,2)&lt;0,-ROUND($G674,2),"")</f>
        <v/>
      </c>
      <c r="J674" s="20" t="n">
        <f aca="false">IF(ROUND($G674,2)=0,0,1)</f>
        <v>0</v>
      </c>
      <c r="K674" s="20" t="str">
        <f aca="false">IF($J674=0,"",SUM($J$665:$J674))</f>
        <v/>
      </c>
      <c r="L674" s="20" t="str">
        <f aca="false">IF($K674="","",$A674*100+$K674)</f>
        <v/>
      </c>
      <c r="M674" s="48" t="str">
        <f aca="false">IFERROR(INDEX(输入报销!$D:$D,MATCH($A674&amp;"-10",输入报销!$J:$J,0))&amp;"","")</f>
        <v/>
      </c>
    </row>
    <row r="675" customFormat="false" ht="13.5" hidden="false" customHeight="false" outlineLevel="0" collapsed="false">
      <c r="A675" s="47" t="n">
        <v>52</v>
      </c>
      <c r="C675" s="48" t="str">
        <f aca="false">助手报销!$C53</f>
        <v/>
      </c>
      <c r="D675" s="81" t="s">
        <v>489</v>
      </c>
      <c r="E675" s="48" t="str">
        <f aca="false">参数!$B$6</f>
        <v>库存现金</v>
      </c>
      <c r="F675" s="48" t="str">
        <f aca="false">""</f>
        <v/>
      </c>
      <c r="G675" s="49" t="n">
        <f aca="false">-ROUND(SUMIFS(输入报销!$G:$G,输入报销!$A:$A,$A675,输入报销!$H:$H,参数!$B$6),2)</f>
        <v>-0</v>
      </c>
      <c r="H675" s="49" t="str">
        <f aca="false">IF(ROUND($G675,2)&gt;0,ROUND($G675,2),"")</f>
        <v/>
      </c>
      <c r="I675" s="49" t="str">
        <f aca="false">IF(ROUND($G675,2)&lt;0,-ROUND($G675,2),"")</f>
        <v/>
      </c>
      <c r="J675" s="20" t="n">
        <f aca="false">IF(ROUND($G675,2)=0,0,1)</f>
        <v>0</v>
      </c>
      <c r="K675" s="20" t="str">
        <f aca="false">IF($J675=0,"",SUM($J$665:$J675))</f>
        <v/>
      </c>
      <c r="L675" s="20" t="str">
        <f aca="false">IF($K675="","",$A675*100+$K675)</f>
        <v/>
      </c>
      <c r="M675" s="48" t="str">
        <f aca="false">""</f>
        <v/>
      </c>
    </row>
    <row r="676" customFormat="false" ht="13.5" hidden="false" customHeight="false" outlineLevel="0" collapsed="false">
      <c r="A676" s="47" t="n">
        <v>52</v>
      </c>
      <c r="C676" s="48" t="str">
        <f aca="false">助手报销!$C53</f>
        <v/>
      </c>
      <c r="D676" s="81" t="s">
        <v>490</v>
      </c>
      <c r="E676" s="48" t="str">
        <f aca="false">参数!$B$7</f>
        <v>银行存款</v>
      </c>
      <c r="F676" s="48" t="str">
        <f aca="false">""</f>
        <v/>
      </c>
      <c r="G676" s="49" t="n">
        <f aca="false">-ROUND(SUMIFS(输入报销!$G:$G,输入报销!$A:$A,$A676,输入报销!$H:$H,参数!$B$7),2)</f>
        <v>-0</v>
      </c>
      <c r="H676" s="49" t="str">
        <f aca="false">IF(ROUND($G676,2)&gt;0,ROUND($G676,2),"")</f>
        <v/>
      </c>
      <c r="I676" s="49" t="str">
        <f aca="false">IF(ROUND($G676,2)&lt;0,-ROUND($G676,2),"")</f>
        <v/>
      </c>
      <c r="J676" s="20" t="n">
        <f aca="false">IF(ROUND($G676,2)=0,0,1)</f>
        <v>0</v>
      </c>
      <c r="K676" s="20" t="str">
        <f aca="false">IF($J676=0,"",SUM($J$665:$J676))</f>
        <v/>
      </c>
      <c r="L676" s="20" t="str">
        <f aca="false">IF($K676="","",$A676*100+$K676)</f>
        <v/>
      </c>
      <c r="M676" s="48" t="str">
        <f aca="false">""</f>
        <v/>
      </c>
    </row>
    <row r="677" customFormat="false" ht="13.5" hidden="false" customHeight="false" outlineLevel="0" collapsed="false">
      <c r="A677" s="47" t="n">
        <v>52</v>
      </c>
      <c r="C677" s="48" t="str">
        <f aca="false">助手报销!$C53</f>
        <v/>
      </c>
      <c r="D677" s="81" t="s">
        <v>491</v>
      </c>
      <c r="E677" s="48" t="str">
        <f aca="false">参数!$B$8</f>
        <v>其他应付款</v>
      </c>
      <c r="F677" s="48" t="str">
        <f aca="false">""</f>
        <v/>
      </c>
      <c r="G677" s="49" t="n">
        <f aca="false">-ROUND(SUMIFS(输入报销!$G:$G,输入报销!$A:$A,$A677,输入报销!$H:$H,参数!$B$8),2)</f>
        <v>-0</v>
      </c>
      <c r="H677" s="49" t="str">
        <f aca="false">IF(ROUND($G677,2)&gt;0,ROUND($G677,2),"")</f>
        <v/>
      </c>
      <c r="I677" s="49" t="str">
        <f aca="false">IF(ROUND($G677,2)&lt;0,-ROUND($G677,2),"")</f>
        <v/>
      </c>
      <c r="J677" s="20" t="n">
        <f aca="false">IF(ROUND($G677,2)=0,0,1)</f>
        <v>0</v>
      </c>
      <c r="K677" s="20" t="str">
        <f aca="false">IF($J677=0,"",SUM($J$665:$J677))</f>
        <v/>
      </c>
      <c r="L677" s="20" t="str">
        <f aca="false">IF($K677="","",$A677*100+$K677)</f>
        <v/>
      </c>
      <c r="M677" s="48" t="str">
        <f aca="false">""</f>
        <v/>
      </c>
    </row>
    <row r="678" customFormat="false" ht="13.5" hidden="false" customHeight="false" outlineLevel="0" collapsed="false">
      <c r="A678" s="47" t="n">
        <v>53</v>
      </c>
      <c r="C678" s="48" t="str">
        <f aca="false">助手报销!$C54</f>
        <v/>
      </c>
      <c r="D678" s="81" t="s">
        <v>479</v>
      </c>
      <c r="E678" s="48" t="str">
        <f aca="false">IFERROR(INDEX(输入报销!$E:$E,MATCH($A678&amp;"-1",输入报销!$J:$J,0))&amp;"","")</f>
        <v/>
      </c>
      <c r="F678" s="48" t="str">
        <f aca="false">IFERROR(INDEX(输入报销!$F:$F,MATCH($A678&amp;"-1",输入报销!$J:$J,0))&amp;"","")</f>
        <v/>
      </c>
      <c r="G678" s="49" t="n">
        <f aca="false">IFERROR(ROUND(INDEX(输入报销!$G:$G,MATCH($A678&amp;"-1",输入报销!$J:$J,0)),2),0)</f>
        <v>0</v>
      </c>
      <c r="H678" s="49" t="str">
        <f aca="false">IF(ROUND($G678,2)&gt;0,ROUND($G678,2),"")</f>
        <v/>
      </c>
      <c r="I678" s="49" t="str">
        <f aca="false">IF(ROUND($G678,2)&lt;0,-ROUND($G678,2),"")</f>
        <v/>
      </c>
      <c r="J678" s="20" t="n">
        <f aca="false">IF(ROUND($G678,2)=0,0,1)</f>
        <v>0</v>
      </c>
      <c r="K678" s="20" t="str">
        <f aca="false">IF($J678=0,"",SUM($J$678:$J678))</f>
        <v/>
      </c>
      <c r="L678" s="20" t="str">
        <f aca="false">IF($K678="","",$A678*100+$K678)</f>
        <v/>
      </c>
      <c r="M678" s="48" t="str">
        <f aca="false">IFERROR(INDEX(输入报销!$D:$D,MATCH($A678&amp;"-1",输入报销!$J:$J,0))&amp;"","")</f>
        <v/>
      </c>
    </row>
    <row r="679" customFormat="false" ht="13.5" hidden="false" customHeight="false" outlineLevel="0" collapsed="false">
      <c r="A679" s="47" t="n">
        <v>53</v>
      </c>
      <c r="C679" s="48" t="str">
        <f aca="false">助手报销!$C54</f>
        <v/>
      </c>
      <c r="D679" s="81" t="s">
        <v>480</v>
      </c>
      <c r="E679" s="48" t="str">
        <f aca="false">IFERROR(INDEX(输入报销!$E:$E,MATCH($A679&amp;"-2",输入报销!$J:$J,0))&amp;"","")</f>
        <v/>
      </c>
      <c r="F679" s="48" t="str">
        <f aca="false">IFERROR(INDEX(输入报销!$F:$F,MATCH($A679&amp;"-2",输入报销!$J:$J,0))&amp;"","")</f>
        <v/>
      </c>
      <c r="G679" s="49" t="n">
        <f aca="false">IFERROR(ROUND(INDEX(输入报销!$G:$G,MATCH($A679&amp;"-2",输入报销!$J:$J,0)),2),0)</f>
        <v>0</v>
      </c>
      <c r="H679" s="49" t="str">
        <f aca="false">IF(ROUND($G679,2)&gt;0,ROUND($G679,2),"")</f>
        <v/>
      </c>
      <c r="I679" s="49" t="str">
        <f aca="false">IF(ROUND($G679,2)&lt;0,-ROUND($G679,2),"")</f>
        <v/>
      </c>
      <c r="J679" s="20" t="n">
        <f aca="false">IF(ROUND($G679,2)=0,0,1)</f>
        <v>0</v>
      </c>
      <c r="K679" s="20" t="str">
        <f aca="false">IF($J679=0,"",SUM($J$678:$J679))</f>
        <v/>
      </c>
      <c r="L679" s="20" t="str">
        <f aca="false">IF($K679="","",$A679*100+$K679)</f>
        <v/>
      </c>
      <c r="M679" s="48" t="str">
        <f aca="false">IFERROR(INDEX(输入报销!$D:$D,MATCH($A679&amp;"-2",输入报销!$J:$J,0))&amp;"","")</f>
        <v/>
      </c>
    </row>
    <row r="680" customFormat="false" ht="13.5" hidden="false" customHeight="false" outlineLevel="0" collapsed="false">
      <c r="A680" s="47" t="n">
        <v>53</v>
      </c>
      <c r="C680" s="48" t="str">
        <f aca="false">助手报销!$C54</f>
        <v/>
      </c>
      <c r="D680" s="81" t="s">
        <v>481</v>
      </c>
      <c r="E680" s="48" t="str">
        <f aca="false">IFERROR(INDEX(输入报销!$E:$E,MATCH($A680&amp;"-3",输入报销!$J:$J,0))&amp;"","")</f>
        <v/>
      </c>
      <c r="F680" s="48" t="str">
        <f aca="false">IFERROR(INDEX(输入报销!$F:$F,MATCH($A680&amp;"-3",输入报销!$J:$J,0))&amp;"","")</f>
        <v/>
      </c>
      <c r="G680" s="49" t="n">
        <f aca="false">IFERROR(ROUND(INDEX(输入报销!$G:$G,MATCH($A680&amp;"-3",输入报销!$J:$J,0)),2),0)</f>
        <v>0</v>
      </c>
      <c r="H680" s="49" t="str">
        <f aca="false">IF(ROUND($G680,2)&gt;0,ROUND($G680,2),"")</f>
        <v/>
      </c>
      <c r="I680" s="49" t="str">
        <f aca="false">IF(ROUND($G680,2)&lt;0,-ROUND($G680,2),"")</f>
        <v/>
      </c>
      <c r="J680" s="20" t="n">
        <f aca="false">IF(ROUND($G680,2)=0,0,1)</f>
        <v>0</v>
      </c>
      <c r="K680" s="20" t="str">
        <f aca="false">IF($J680=0,"",SUM($J$678:$J680))</f>
        <v/>
      </c>
      <c r="L680" s="20" t="str">
        <f aca="false">IF($K680="","",$A680*100+$K680)</f>
        <v/>
      </c>
      <c r="M680" s="48" t="str">
        <f aca="false">IFERROR(INDEX(输入报销!$D:$D,MATCH($A680&amp;"-3",输入报销!$J:$J,0))&amp;"","")</f>
        <v/>
      </c>
    </row>
    <row r="681" customFormat="false" ht="13.5" hidden="false" customHeight="false" outlineLevel="0" collapsed="false">
      <c r="A681" s="47" t="n">
        <v>53</v>
      </c>
      <c r="C681" s="48" t="str">
        <f aca="false">助手报销!$C54</f>
        <v/>
      </c>
      <c r="D681" s="81" t="s">
        <v>482</v>
      </c>
      <c r="E681" s="48" t="str">
        <f aca="false">IFERROR(INDEX(输入报销!$E:$E,MATCH($A681&amp;"-4",输入报销!$J:$J,0))&amp;"","")</f>
        <v/>
      </c>
      <c r="F681" s="48" t="str">
        <f aca="false">IFERROR(INDEX(输入报销!$F:$F,MATCH($A681&amp;"-4",输入报销!$J:$J,0))&amp;"","")</f>
        <v/>
      </c>
      <c r="G681" s="49" t="n">
        <f aca="false">IFERROR(ROUND(INDEX(输入报销!$G:$G,MATCH($A681&amp;"-4",输入报销!$J:$J,0)),2),0)</f>
        <v>0</v>
      </c>
      <c r="H681" s="49" t="str">
        <f aca="false">IF(ROUND($G681,2)&gt;0,ROUND($G681,2),"")</f>
        <v/>
      </c>
      <c r="I681" s="49" t="str">
        <f aca="false">IF(ROUND($G681,2)&lt;0,-ROUND($G681,2),"")</f>
        <v/>
      </c>
      <c r="J681" s="20" t="n">
        <f aca="false">IF(ROUND($G681,2)=0,0,1)</f>
        <v>0</v>
      </c>
      <c r="K681" s="20" t="str">
        <f aca="false">IF($J681=0,"",SUM($J$678:$J681))</f>
        <v/>
      </c>
      <c r="L681" s="20" t="str">
        <f aca="false">IF($K681="","",$A681*100+$K681)</f>
        <v/>
      </c>
      <c r="M681" s="48" t="str">
        <f aca="false">IFERROR(INDEX(输入报销!$D:$D,MATCH($A681&amp;"-4",输入报销!$J:$J,0))&amp;"","")</f>
        <v/>
      </c>
    </row>
    <row r="682" customFormat="false" ht="13.5" hidden="false" customHeight="false" outlineLevel="0" collapsed="false">
      <c r="A682" s="47" t="n">
        <v>53</v>
      </c>
      <c r="C682" s="48" t="str">
        <f aca="false">助手报销!$C54</f>
        <v/>
      </c>
      <c r="D682" s="81" t="s">
        <v>483</v>
      </c>
      <c r="E682" s="48" t="str">
        <f aca="false">IFERROR(INDEX(输入报销!$E:$E,MATCH($A682&amp;"-5",输入报销!$J:$J,0))&amp;"","")</f>
        <v/>
      </c>
      <c r="F682" s="48" t="str">
        <f aca="false">IFERROR(INDEX(输入报销!$F:$F,MATCH($A682&amp;"-5",输入报销!$J:$J,0))&amp;"","")</f>
        <v/>
      </c>
      <c r="G682" s="49" t="n">
        <f aca="false">IFERROR(ROUND(INDEX(输入报销!$G:$G,MATCH($A682&amp;"-5",输入报销!$J:$J,0)),2),0)</f>
        <v>0</v>
      </c>
      <c r="H682" s="49" t="str">
        <f aca="false">IF(ROUND($G682,2)&gt;0,ROUND($G682,2),"")</f>
        <v/>
      </c>
      <c r="I682" s="49" t="str">
        <f aca="false">IF(ROUND($G682,2)&lt;0,-ROUND($G682,2),"")</f>
        <v/>
      </c>
      <c r="J682" s="20" t="n">
        <f aca="false">IF(ROUND($G682,2)=0,0,1)</f>
        <v>0</v>
      </c>
      <c r="K682" s="20" t="str">
        <f aca="false">IF($J682=0,"",SUM($J$678:$J682))</f>
        <v/>
      </c>
      <c r="L682" s="20" t="str">
        <f aca="false">IF($K682="","",$A682*100+$K682)</f>
        <v/>
      </c>
      <c r="M682" s="48" t="str">
        <f aca="false">IFERROR(INDEX(输入报销!$D:$D,MATCH($A682&amp;"-5",输入报销!$J:$J,0))&amp;"","")</f>
        <v/>
      </c>
    </row>
    <row r="683" customFormat="false" ht="13.5" hidden="false" customHeight="false" outlineLevel="0" collapsed="false">
      <c r="A683" s="47" t="n">
        <v>53</v>
      </c>
      <c r="C683" s="48" t="str">
        <f aca="false">助手报销!$C54</f>
        <v/>
      </c>
      <c r="D683" s="81" t="s">
        <v>484</v>
      </c>
      <c r="E683" s="48" t="str">
        <f aca="false">IFERROR(INDEX(输入报销!$E:$E,MATCH($A683&amp;"-6",输入报销!$J:$J,0))&amp;"","")</f>
        <v/>
      </c>
      <c r="F683" s="48" t="str">
        <f aca="false">IFERROR(INDEX(输入报销!$F:$F,MATCH($A683&amp;"-6",输入报销!$J:$J,0))&amp;"","")</f>
        <v/>
      </c>
      <c r="G683" s="49" t="n">
        <f aca="false">IFERROR(ROUND(INDEX(输入报销!$G:$G,MATCH($A683&amp;"-6",输入报销!$J:$J,0)),2),0)</f>
        <v>0</v>
      </c>
      <c r="H683" s="49" t="str">
        <f aca="false">IF(ROUND($G683,2)&gt;0,ROUND($G683,2),"")</f>
        <v/>
      </c>
      <c r="I683" s="49" t="str">
        <f aca="false">IF(ROUND($G683,2)&lt;0,-ROUND($G683,2),"")</f>
        <v/>
      </c>
      <c r="J683" s="20" t="n">
        <f aca="false">IF(ROUND($G683,2)=0,0,1)</f>
        <v>0</v>
      </c>
      <c r="K683" s="20" t="str">
        <f aca="false">IF($J683=0,"",SUM($J$678:$J683))</f>
        <v/>
      </c>
      <c r="L683" s="20" t="str">
        <f aca="false">IF($K683="","",$A683*100+$K683)</f>
        <v/>
      </c>
      <c r="M683" s="48" t="str">
        <f aca="false">IFERROR(INDEX(输入报销!$D:$D,MATCH($A683&amp;"-6",输入报销!$J:$J,0))&amp;"","")</f>
        <v/>
      </c>
    </row>
    <row r="684" customFormat="false" ht="13.5" hidden="false" customHeight="false" outlineLevel="0" collapsed="false">
      <c r="A684" s="47" t="n">
        <v>53</v>
      </c>
      <c r="C684" s="48" t="str">
        <f aca="false">助手报销!$C54</f>
        <v/>
      </c>
      <c r="D684" s="81" t="s">
        <v>485</v>
      </c>
      <c r="E684" s="48" t="str">
        <f aca="false">IFERROR(INDEX(输入报销!$E:$E,MATCH($A684&amp;"-7",输入报销!$J:$J,0))&amp;"","")</f>
        <v/>
      </c>
      <c r="F684" s="48" t="str">
        <f aca="false">IFERROR(INDEX(输入报销!$F:$F,MATCH($A684&amp;"-7",输入报销!$J:$J,0))&amp;"","")</f>
        <v/>
      </c>
      <c r="G684" s="49" t="n">
        <f aca="false">IFERROR(ROUND(INDEX(输入报销!$G:$G,MATCH($A684&amp;"-7",输入报销!$J:$J,0)),2),0)</f>
        <v>0</v>
      </c>
      <c r="H684" s="49" t="str">
        <f aca="false">IF(ROUND($G684,2)&gt;0,ROUND($G684,2),"")</f>
        <v/>
      </c>
      <c r="I684" s="49" t="str">
        <f aca="false">IF(ROUND($G684,2)&lt;0,-ROUND($G684,2),"")</f>
        <v/>
      </c>
      <c r="J684" s="20" t="n">
        <f aca="false">IF(ROUND($G684,2)=0,0,1)</f>
        <v>0</v>
      </c>
      <c r="K684" s="20" t="str">
        <f aca="false">IF($J684=0,"",SUM($J$678:$J684))</f>
        <v/>
      </c>
      <c r="L684" s="20" t="str">
        <f aca="false">IF($K684="","",$A684*100+$K684)</f>
        <v/>
      </c>
      <c r="M684" s="48" t="str">
        <f aca="false">IFERROR(INDEX(输入报销!$D:$D,MATCH($A684&amp;"-7",输入报销!$J:$J,0))&amp;"","")</f>
        <v/>
      </c>
    </row>
    <row r="685" customFormat="false" ht="13.5" hidden="false" customHeight="false" outlineLevel="0" collapsed="false">
      <c r="A685" s="47" t="n">
        <v>53</v>
      </c>
      <c r="C685" s="48" t="str">
        <f aca="false">助手报销!$C54</f>
        <v/>
      </c>
      <c r="D685" s="81" t="s">
        <v>486</v>
      </c>
      <c r="E685" s="48" t="str">
        <f aca="false">IFERROR(INDEX(输入报销!$E:$E,MATCH($A685&amp;"-8",输入报销!$J:$J,0))&amp;"","")</f>
        <v/>
      </c>
      <c r="F685" s="48" t="str">
        <f aca="false">IFERROR(INDEX(输入报销!$F:$F,MATCH($A685&amp;"-8",输入报销!$J:$J,0))&amp;"","")</f>
        <v/>
      </c>
      <c r="G685" s="49" t="n">
        <f aca="false">IFERROR(ROUND(INDEX(输入报销!$G:$G,MATCH($A685&amp;"-8",输入报销!$J:$J,0)),2),0)</f>
        <v>0</v>
      </c>
      <c r="H685" s="49" t="str">
        <f aca="false">IF(ROUND($G685,2)&gt;0,ROUND($G685,2),"")</f>
        <v/>
      </c>
      <c r="I685" s="49" t="str">
        <f aca="false">IF(ROUND($G685,2)&lt;0,-ROUND($G685,2),"")</f>
        <v/>
      </c>
      <c r="J685" s="20" t="n">
        <f aca="false">IF(ROUND($G685,2)=0,0,1)</f>
        <v>0</v>
      </c>
      <c r="K685" s="20" t="str">
        <f aca="false">IF($J685=0,"",SUM($J$678:$J685))</f>
        <v/>
      </c>
      <c r="L685" s="20" t="str">
        <f aca="false">IF($K685="","",$A685*100+$K685)</f>
        <v/>
      </c>
      <c r="M685" s="48" t="str">
        <f aca="false">IFERROR(INDEX(输入报销!$D:$D,MATCH($A685&amp;"-8",输入报销!$J:$J,0))&amp;"","")</f>
        <v/>
      </c>
    </row>
    <row r="686" customFormat="false" ht="13.5" hidden="false" customHeight="false" outlineLevel="0" collapsed="false">
      <c r="A686" s="47" t="n">
        <v>53</v>
      </c>
      <c r="C686" s="48" t="str">
        <f aca="false">助手报销!$C54</f>
        <v/>
      </c>
      <c r="D686" s="81" t="s">
        <v>487</v>
      </c>
      <c r="E686" s="48" t="str">
        <f aca="false">IFERROR(INDEX(输入报销!$E:$E,MATCH($A686&amp;"-9",输入报销!$J:$J,0))&amp;"","")</f>
        <v/>
      </c>
      <c r="F686" s="48" t="str">
        <f aca="false">IFERROR(INDEX(输入报销!$F:$F,MATCH($A686&amp;"-9",输入报销!$J:$J,0))&amp;"","")</f>
        <v/>
      </c>
      <c r="G686" s="49" t="n">
        <f aca="false">IFERROR(ROUND(INDEX(输入报销!$G:$G,MATCH($A686&amp;"-9",输入报销!$J:$J,0)),2),0)</f>
        <v>0</v>
      </c>
      <c r="H686" s="49" t="str">
        <f aca="false">IF(ROUND($G686,2)&gt;0,ROUND($G686,2),"")</f>
        <v/>
      </c>
      <c r="I686" s="49" t="str">
        <f aca="false">IF(ROUND($G686,2)&lt;0,-ROUND($G686,2),"")</f>
        <v/>
      </c>
      <c r="J686" s="20" t="n">
        <f aca="false">IF(ROUND($G686,2)=0,0,1)</f>
        <v>0</v>
      </c>
      <c r="K686" s="20" t="str">
        <f aca="false">IF($J686=0,"",SUM($J$678:$J686))</f>
        <v/>
      </c>
      <c r="L686" s="20" t="str">
        <f aca="false">IF($K686="","",$A686*100+$K686)</f>
        <v/>
      </c>
      <c r="M686" s="48" t="str">
        <f aca="false">IFERROR(INDEX(输入报销!$D:$D,MATCH($A686&amp;"-9",输入报销!$J:$J,0))&amp;"","")</f>
        <v/>
      </c>
    </row>
    <row r="687" customFormat="false" ht="13.5" hidden="false" customHeight="false" outlineLevel="0" collapsed="false">
      <c r="A687" s="47" t="n">
        <v>53</v>
      </c>
      <c r="C687" s="48" t="str">
        <f aca="false">助手报销!$C54</f>
        <v/>
      </c>
      <c r="D687" s="81" t="s">
        <v>488</v>
      </c>
      <c r="E687" s="48" t="str">
        <f aca="false">IFERROR(INDEX(输入报销!$E:$E,MATCH($A687&amp;"-10",输入报销!$J:$J,0))&amp;"","")</f>
        <v/>
      </c>
      <c r="F687" s="48" t="str">
        <f aca="false">IFERROR(INDEX(输入报销!$F:$F,MATCH($A687&amp;"-10",输入报销!$J:$J,0))&amp;"","")</f>
        <v/>
      </c>
      <c r="G687" s="49" t="n">
        <f aca="false">IFERROR(ROUND(INDEX(输入报销!$G:$G,MATCH($A687&amp;"-10",输入报销!$J:$J,0)),2),0)</f>
        <v>0</v>
      </c>
      <c r="H687" s="49" t="str">
        <f aca="false">IF(ROUND($G687,2)&gt;0,ROUND($G687,2),"")</f>
        <v/>
      </c>
      <c r="I687" s="49" t="str">
        <f aca="false">IF(ROUND($G687,2)&lt;0,-ROUND($G687,2),"")</f>
        <v/>
      </c>
      <c r="J687" s="20" t="n">
        <f aca="false">IF(ROUND($G687,2)=0,0,1)</f>
        <v>0</v>
      </c>
      <c r="K687" s="20" t="str">
        <f aca="false">IF($J687=0,"",SUM($J$678:$J687))</f>
        <v/>
      </c>
      <c r="L687" s="20" t="str">
        <f aca="false">IF($K687="","",$A687*100+$K687)</f>
        <v/>
      </c>
      <c r="M687" s="48" t="str">
        <f aca="false">IFERROR(INDEX(输入报销!$D:$D,MATCH($A687&amp;"-10",输入报销!$J:$J,0))&amp;"","")</f>
        <v/>
      </c>
    </row>
    <row r="688" customFormat="false" ht="13.5" hidden="false" customHeight="false" outlineLevel="0" collapsed="false">
      <c r="A688" s="47" t="n">
        <v>53</v>
      </c>
      <c r="C688" s="48" t="str">
        <f aca="false">助手报销!$C54</f>
        <v/>
      </c>
      <c r="D688" s="81" t="s">
        <v>489</v>
      </c>
      <c r="E688" s="48" t="str">
        <f aca="false">参数!$B$6</f>
        <v>库存现金</v>
      </c>
      <c r="F688" s="48" t="str">
        <f aca="false">""</f>
        <v/>
      </c>
      <c r="G688" s="49" t="n">
        <f aca="false">-ROUND(SUMIFS(输入报销!$G:$G,输入报销!$A:$A,$A688,输入报销!$H:$H,参数!$B$6),2)</f>
        <v>-0</v>
      </c>
      <c r="H688" s="49" t="str">
        <f aca="false">IF(ROUND($G688,2)&gt;0,ROUND($G688,2),"")</f>
        <v/>
      </c>
      <c r="I688" s="49" t="str">
        <f aca="false">IF(ROUND($G688,2)&lt;0,-ROUND($G688,2),"")</f>
        <v/>
      </c>
      <c r="J688" s="20" t="n">
        <f aca="false">IF(ROUND($G688,2)=0,0,1)</f>
        <v>0</v>
      </c>
      <c r="K688" s="20" t="str">
        <f aca="false">IF($J688=0,"",SUM($J$678:$J688))</f>
        <v/>
      </c>
      <c r="L688" s="20" t="str">
        <f aca="false">IF($K688="","",$A688*100+$K688)</f>
        <v/>
      </c>
      <c r="M688" s="48" t="str">
        <f aca="false">""</f>
        <v/>
      </c>
    </row>
    <row r="689" customFormat="false" ht="13.5" hidden="false" customHeight="false" outlineLevel="0" collapsed="false">
      <c r="A689" s="47" t="n">
        <v>53</v>
      </c>
      <c r="C689" s="48" t="str">
        <f aca="false">助手报销!$C54</f>
        <v/>
      </c>
      <c r="D689" s="81" t="s">
        <v>490</v>
      </c>
      <c r="E689" s="48" t="str">
        <f aca="false">参数!$B$7</f>
        <v>银行存款</v>
      </c>
      <c r="F689" s="48" t="str">
        <f aca="false">""</f>
        <v/>
      </c>
      <c r="G689" s="49" t="n">
        <f aca="false">-ROUND(SUMIFS(输入报销!$G:$G,输入报销!$A:$A,$A689,输入报销!$H:$H,参数!$B$7),2)</f>
        <v>-0</v>
      </c>
      <c r="H689" s="49" t="str">
        <f aca="false">IF(ROUND($G689,2)&gt;0,ROUND($G689,2),"")</f>
        <v/>
      </c>
      <c r="I689" s="49" t="str">
        <f aca="false">IF(ROUND($G689,2)&lt;0,-ROUND($G689,2),"")</f>
        <v/>
      </c>
      <c r="J689" s="20" t="n">
        <f aca="false">IF(ROUND($G689,2)=0,0,1)</f>
        <v>0</v>
      </c>
      <c r="K689" s="20" t="str">
        <f aca="false">IF($J689=0,"",SUM($J$678:$J689))</f>
        <v/>
      </c>
      <c r="L689" s="20" t="str">
        <f aca="false">IF($K689="","",$A689*100+$K689)</f>
        <v/>
      </c>
      <c r="M689" s="48" t="str">
        <f aca="false">""</f>
        <v/>
      </c>
    </row>
    <row r="690" customFormat="false" ht="13.5" hidden="false" customHeight="false" outlineLevel="0" collapsed="false">
      <c r="A690" s="47" t="n">
        <v>53</v>
      </c>
      <c r="C690" s="48" t="str">
        <f aca="false">助手报销!$C54</f>
        <v/>
      </c>
      <c r="D690" s="81" t="s">
        <v>491</v>
      </c>
      <c r="E690" s="48" t="str">
        <f aca="false">参数!$B$8</f>
        <v>其他应付款</v>
      </c>
      <c r="F690" s="48" t="str">
        <f aca="false">""</f>
        <v/>
      </c>
      <c r="G690" s="49" t="n">
        <f aca="false">-ROUND(SUMIFS(输入报销!$G:$G,输入报销!$A:$A,$A690,输入报销!$H:$H,参数!$B$8),2)</f>
        <v>-0</v>
      </c>
      <c r="H690" s="49" t="str">
        <f aca="false">IF(ROUND($G690,2)&gt;0,ROUND($G690,2),"")</f>
        <v/>
      </c>
      <c r="I690" s="49" t="str">
        <f aca="false">IF(ROUND($G690,2)&lt;0,-ROUND($G690,2),"")</f>
        <v/>
      </c>
      <c r="J690" s="20" t="n">
        <f aca="false">IF(ROUND($G690,2)=0,0,1)</f>
        <v>0</v>
      </c>
      <c r="K690" s="20" t="str">
        <f aca="false">IF($J690=0,"",SUM($J$678:$J690))</f>
        <v/>
      </c>
      <c r="L690" s="20" t="str">
        <f aca="false">IF($K690="","",$A690*100+$K690)</f>
        <v/>
      </c>
      <c r="M690" s="48" t="str">
        <f aca="false">""</f>
        <v/>
      </c>
    </row>
    <row r="691" customFormat="false" ht="13.5" hidden="false" customHeight="false" outlineLevel="0" collapsed="false">
      <c r="A691" s="47" t="n">
        <v>54</v>
      </c>
      <c r="C691" s="48" t="str">
        <f aca="false">助手报销!$C55</f>
        <v/>
      </c>
      <c r="D691" s="81" t="s">
        <v>479</v>
      </c>
      <c r="E691" s="48" t="str">
        <f aca="false">IFERROR(INDEX(输入报销!$E:$E,MATCH($A691&amp;"-1",输入报销!$J:$J,0))&amp;"","")</f>
        <v/>
      </c>
      <c r="F691" s="48" t="str">
        <f aca="false">IFERROR(INDEX(输入报销!$F:$F,MATCH($A691&amp;"-1",输入报销!$J:$J,0))&amp;"","")</f>
        <v/>
      </c>
      <c r="G691" s="49" t="n">
        <f aca="false">IFERROR(ROUND(INDEX(输入报销!$G:$G,MATCH($A691&amp;"-1",输入报销!$J:$J,0)),2),0)</f>
        <v>0</v>
      </c>
      <c r="H691" s="49" t="str">
        <f aca="false">IF(ROUND($G691,2)&gt;0,ROUND($G691,2),"")</f>
        <v/>
      </c>
      <c r="I691" s="49" t="str">
        <f aca="false">IF(ROUND($G691,2)&lt;0,-ROUND($G691,2),"")</f>
        <v/>
      </c>
      <c r="J691" s="20" t="n">
        <f aca="false">IF(ROUND($G691,2)=0,0,1)</f>
        <v>0</v>
      </c>
      <c r="K691" s="20" t="str">
        <f aca="false">IF($J691=0,"",SUM($J$691:$J691))</f>
        <v/>
      </c>
      <c r="L691" s="20" t="str">
        <f aca="false">IF($K691="","",$A691*100+$K691)</f>
        <v/>
      </c>
      <c r="M691" s="48" t="str">
        <f aca="false">IFERROR(INDEX(输入报销!$D:$D,MATCH($A691&amp;"-1",输入报销!$J:$J,0))&amp;"","")</f>
        <v/>
      </c>
    </row>
    <row r="692" customFormat="false" ht="13.5" hidden="false" customHeight="false" outlineLevel="0" collapsed="false">
      <c r="A692" s="47" t="n">
        <v>54</v>
      </c>
      <c r="C692" s="48" t="str">
        <f aca="false">助手报销!$C55</f>
        <v/>
      </c>
      <c r="D692" s="81" t="s">
        <v>480</v>
      </c>
      <c r="E692" s="48" t="str">
        <f aca="false">IFERROR(INDEX(输入报销!$E:$E,MATCH($A692&amp;"-2",输入报销!$J:$J,0))&amp;"","")</f>
        <v/>
      </c>
      <c r="F692" s="48" t="str">
        <f aca="false">IFERROR(INDEX(输入报销!$F:$F,MATCH($A692&amp;"-2",输入报销!$J:$J,0))&amp;"","")</f>
        <v/>
      </c>
      <c r="G692" s="49" t="n">
        <f aca="false">IFERROR(ROUND(INDEX(输入报销!$G:$G,MATCH($A692&amp;"-2",输入报销!$J:$J,0)),2),0)</f>
        <v>0</v>
      </c>
      <c r="H692" s="49" t="str">
        <f aca="false">IF(ROUND($G692,2)&gt;0,ROUND($G692,2),"")</f>
        <v/>
      </c>
      <c r="I692" s="49" t="str">
        <f aca="false">IF(ROUND($G692,2)&lt;0,-ROUND($G692,2),"")</f>
        <v/>
      </c>
      <c r="J692" s="20" t="n">
        <f aca="false">IF(ROUND($G692,2)=0,0,1)</f>
        <v>0</v>
      </c>
      <c r="K692" s="20" t="str">
        <f aca="false">IF($J692=0,"",SUM($J$691:$J692))</f>
        <v/>
      </c>
      <c r="L692" s="20" t="str">
        <f aca="false">IF($K692="","",$A692*100+$K692)</f>
        <v/>
      </c>
      <c r="M692" s="48" t="str">
        <f aca="false">IFERROR(INDEX(输入报销!$D:$D,MATCH($A692&amp;"-2",输入报销!$J:$J,0))&amp;"","")</f>
        <v/>
      </c>
    </row>
    <row r="693" customFormat="false" ht="13.5" hidden="false" customHeight="false" outlineLevel="0" collapsed="false">
      <c r="A693" s="47" t="n">
        <v>54</v>
      </c>
      <c r="C693" s="48" t="str">
        <f aca="false">助手报销!$C55</f>
        <v/>
      </c>
      <c r="D693" s="81" t="s">
        <v>481</v>
      </c>
      <c r="E693" s="48" t="str">
        <f aca="false">IFERROR(INDEX(输入报销!$E:$E,MATCH($A693&amp;"-3",输入报销!$J:$J,0))&amp;"","")</f>
        <v/>
      </c>
      <c r="F693" s="48" t="str">
        <f aca="false">IFERROR(INDEX(输入报销!$F:$F,MATCH($A693&amp;"-3",输入报销!$J:$J,0))&amp;"","")</f>
        <v/>
      </c>
      <c r="G693" s="49" t="n">
        <f aca="false">IFERROR(ROUND(INDEX(输入报销!$G:$G,MATCH($A693&amp;"-3",输入报销!$J:$J,0)),2),0)</f>
        <v>0</v>
      </c>
      <c r="H693" s="49" t="str">
        <f aca="false">IF(ROUND($G693,2)&gt;0,ROUND($G693,2),"")</f>
        <v/>
      </c>
      <c r="I693" s="49" t="str">
        <f aca="false">IF(ROUND($G693,2)&lt;0,-ROUND($G693,2),"")</f>
        <v/>
      </c>
      <c r="J693" s="20" t="n">
        <f aca="false">IF(ROUND($G693,2)=0,0,1)</f>
        <v>0</v>
      </c>
      <c r="K693" s="20" t="str">
        <f aca="false">IF($J693=0,"",SUM($J$691:$J693))</f>
        <v/>
      </c>
      <c r="L693" s="20" t="str">
        <f aca="false">IF($K693="","",$A693*100+$K693)</f>
        <v/>
      </c>
      <c r="M693" s="48" t="str">
        <f aca="false">IFERROR(INDEX(输入报销!$D:$D,MATCH($A693&amp;"-3",输入报销!$J:$J,0))&amp;"","")</f>
        <v/>
      </c>
    </row>
    <row r="694" customFormat="false" ht="13.5" hidden="false" customHeight="false" outlineLevel="0" collapsed="false">
      <c r="A694" s="47" t="n">
        <v>54</v>
      </c>
      <c r="C694" s="48" t="str">
        <f aca="false">助手报销!$C55</f>
        <v/>
      </c>
      <c r="D694" s="81" t="s">
        <v>482</v>
      </c>
      <c r="E694" s="48" t="str">
        <f aca="false">IFERROR(INDEX(输入报销!$E:$E,MATCH($A694&amp;"-4",输入报销!$J:$J,0))&amp;"","")</f>
        <v/>
      </c>
      <c r="F694" s="48" t="str">
        <f aca="false">IFERROR(INDEX(输入报销!$F:$F,MATCH($A694&amp;"-4",输入报销!$J:$J,0))&amp;"","")</f>
        <v/>
      </c>
      <c r="G694" s="49" t="n">
        <f aca="false">IFERROR(ROUND(INDEX(输入报销!$G:$G,MATCH($A694&amp;"-4",输入报销!$J:$J,0)),2),0)</f>
        <v>0</v>
      </c>
      <c r="H694" s="49" t="str">
        <f aca="false">IF(ROUND($G694,2)&gt;0,ROUND($G694,2),"")</f>
        <v/>
      </c>
      <c r="I694" s="49" t="str">
        <f aca="false">IF(ROUND($G694,2)&lt;0,-ROUND($G694,2),"")</f>
        <v/>
      </c>
      <c r="J694" s="20" t="n">
        <f aca="false">IF(ROUND($G694,2)=0,0,1)</f>
        <v>0</v>
      </c>
      <c r="K694" s="20" t="str">
        <f aca="false">IF($J694=0,"",SUM($J$691:$J694))</f>
        <v/>
      </c>
      <c r="L694" s="20" t="str">
        <f aca="false">IF($K694="","",$A694*100+$K694)</f>
        <v/>
      </c>
      <c r="M694" s="48" t="str">
        <f aca="false">IFERROR(INDEX(输入报销!$D:$D,MATCH($A694&amp;"-4",输入报销!$J:$J,0))&amp;"","")</f>
        <v/>
      </c>
    </row>
    <row r="695" customFormat="false" ht="13.5" hidden="false" customHeight="false" outlineLevel="0" collapsed="false">
      <c r="A695" s="47" t="n">
        <v>54</v>
      </c>
      <c r="C695" s="48" t="str">
        <f aca="false">助手报销!$C55</f>
        <v/>
      </c>
      <c r="D695" s="81" t="s">
        <v>483</v>
      </c>
      <c r="E695" s="48" t="str">
        <f aca="false">IFERROR(INDEX(输入报销!$E:$E,MATCH($A695&amp;"-5",输入报销!$J:$J,0))&amp;"","")</f>
        <v/>
      </c>
      <c r="F695" s="48" t="str">
        <f aca="false">IFERROR(INDEX(输入报销!$F:$F,MATCH($A695&amp;"-5",输入报销!$J:$J,0))&amp;"","")</f>
        <v/>
      </c>
      <c r="G695" s="49" t="n">
        <f aca="false">IFERROR(ROUND(INDEX(输入报销!$G:$G,MATCH($A695&amp;"-5",输入报销!$J:$J,0)),2),0)</f>
        <v>0</v>
      </c>
      <c r="H695" s="49" t="str">
        <f aca="false">IF(ROUND($G695,2)&gt;0,ROUND($G695,2),"")</f>
        <v/>
      </c>
      <c r="I695" s="49" t="str">
        <f aca="false">IF(ROUND($G695,2)&lt;0,-ROUND($G695,2),"")</f>
        <v/>
      </c>
      <c r="J695" s="20" t="n">
        <f aca="false">IF(ROUND($G695,2)=0,0,1)</f>
        <v>0</v>
      </c>
      <c r="K695" s="20" t="str">
        <f aca="false">IF($J695=0,"",SUM($J$691:$J695))</f>
        <v/>
      </c>
      <c r="L695" s="20" t="str">
        <f aca="false">IF($K695="","",$A695*100+$K695)</f>
        <v/>
      </c>
      <c r="M695" s="48" t="str">
        <f aca="false">IFERROR(INDEX(输入报销!$D:$D,MATCH($A695&amp;"-5",输入报销!$J:$J,0))&amp;"","")</f>
        <v/>
      </c>
    </row>
    <row r="696" customFormat="false" ht="13.5" hidden="false" customHeight="false" outlineLevel="0" collapsed="false">
      <c r="A696" s="47" t="n">
        <v>54</v>
      </c>
      <c r="C696" s="48" t="str">
        <f aca="false">助手报销!$C55</f>
        <v/>
      </c>
      <c r="D696" s="81" t="s">
        <v>484</v>
      </c>
      <c r="E696" s="48" t="str">
        <f aca="false">IFERROR(INDEX(输入报销!$E:$E,MATCH($A696&amp;"-6",输入报销!$J:$J,0))&amp;"","")</f>
        <v/>
      </c>
      <c r="F696" s="48" t="str">
        <f aca="false">IFERROR(INDEX(输入报销!$F:$F,MATCH($A696&amp;"-6",输入报销!$J:$J,0))&amp;"","")</f>
        <v/>
      </c>
      <c r="G696" s="49" t="n">
        <f aca="false">IFERROR(ROUND(INDEX(输入报销!$G:$G,MATCH($A696&amp;"-6",输入报销!$J:$J,0)),2),0)</f>
        <v>0</v>
      </c>
      <c r="H696" s="49" t="str">
        <f aca="false">IF(ROUND($G696,2)&gt;0,ROUND($G696,2),"")</f>
        <v/>
      </c>
      <c r="I696" s="49" t="str">
        <f aca="false">IF(ROUND($G696,2)&lt;0,-ROUND($G696,2),"")</f>
        <v/>
      </c>
      <c r="J696" s="20" t="n">
        <f aca="false">IF(ROUND($G696,2)=0,0,1)</f>
        <v>0</v>
      </c>
      <c r="K696" s="20" t="str">
        <f aca="false">IF($J696=0,"",SUM($J$691:$J696))</f>
        <v/>
      </c>
      <c r="L696" s="20" t="str">
        <f aca="false">IF($K696="","",$A696*100+$K696)</f>
        <v/>
      </c>
      <c r="M696" s="48" t="str">
        <f aca="false">IFERROR(INDEX(输入报销!$D:$D,MATCH($A696&amp;"-6",输入报销!$J:$J,0))&amp;"","")</f>
        <v/>
      </c>
    </row>
    <row r="697" customFormat="false" ht="13.5" hidden="false" customHeight="false" outlineLevel="0" collapsed="false">
      <c r="A697" s="47" t="n">
        <v>54</v>
      </c>
      <c r="C697" s="48" t="str">
        <f aca="false">助手报销!$C55</f>
        <v/>
      </c>
      <c r="D697" s="81" t="s">
        <v>485</v>
      </c>
      <c r="E697" s="48" t="str">
        <f aca="false">IFERROR(INDEX(输入报销!$E:$E,MATCH($A697&amp;"-7",输入报销!$J:$J,0))&amp;"","")</f>
        <v/>
      </c>
      <c r="F697" s="48" t="str">
        <f aca="false">IFERROR(INDEX(输入报销!$F:$F,MATCH($A697&amp;"-7",输入报销!$J:$J,0))&amp;"","")</f>
        <v/>
      </c>
      <c r="G697" s="49" t="n">
        <f aca="false">IFERROR(ROUND(INDEX(输入报销!$G:$G,MATCH($A697&amp;"-7",输入报销!$J:$J,0)),2),0)</f>
        <v>0</v>
      </c>
      <c r="H697" s="49" t="str">
        <f aca="false">IF(ROUND($G697,2)&gt;0,ROUND($G697,2),"")</f>
        <v/>
      </c>
      <c r="I697" s="49" t="str">
        <f aca="false">IF(ROUND($G697,2)&lt;0,-ROUND($G697,2),"")</f>
        <v/>
      </c>
      <c r="J697" s="20" t="n">
        <f aca="false">IF(ROUND($G697,2)=0,0,1)</f>
        <v>0</v>
      </c>
      <c r="K697" s="20" t="str">
        <f aca="false">IF($J697=0,"",SUM($J$691:$J697))</f>
        <v/>
      </c>
      <c r="L697" s="20" t="str">
        <f aca="false">IF($K697="","",$A697*100+$K697)</f>
        <v/>
      </c>
      <c r="M697" s="48" t="str">
        <f aca="false">IFERROR(INDEX(输入报销!$D:$D,MATCH($A697&amp;"-7",输入报销!$J:$J,0))&amp;"","")</f>
        <v/>
      </c>
    </row>
    <row r="698" customFormat="false" ht="13.5" hidden="false" customHeight="false" outlineLevel="0" collapsed="false">
      <c r="A698" s="47" t="n">
        <v>54</v>
      </c>
      <c r="C698" s="48" t="str">
        <f aca="false">助手报销!$C55</f>
        <v/>
      </c>
      <c r="D698" s="81" t="s">
        <v>486</v>
      </c>
      <c r="E698" s="48" t="str">
        <f aca="false">IFERROR(INDEX(输入报销!$E:$E,MATCH($A698&amp;"-8",输入报销!$J:$J,0))&amp;"","")</f>
        <v/>
      </c>
      <c r="F698" s="48" t="str">
        <f aca="false">IFERROR(INDEX(输入报销!$F:$F,MATCH($A698&amp;"-8",输入报销!$J:$J,0))&amp;"","")</f>
        <v/>
      </c>
      <c r="G698" s="49" t="n">
        <f aca="false">IFERROR(ROUND(INDEX(输入报销!$G:$G,MATCH($A698&amp;"-8",输入报销!$J:$J,0)),2),0)</f>
        <v>0</v>
      </c>
      <c r="H698" s="49" t="str">
        <f aca="false">IF(ROUND($G698,2)&gt;0,ROUND($G698,2),"")</f>
        <v/>
      </c>
      <c r="I698" s="49" t="str">
        <f aca="false">IF(ROUND($G698,2)&lt;0,-ROUND($G698,2),"")</f>
        <v/>
      </c>
      <c r="J698" s="20" t="n">
        <f aca="false">IF(ROUND($G698,2)=0,0,1)</f>
        <v>0</v>
      </c>
      <c r="K698" s="20" t="str">
        <f aca="false">IF($J698=0,"",SUM($J$691:$J698))</f>
        <v/>
      </c>
      <c r="L698" s="20" t="str">
        <f aca="false">IF($K698="","",$A698*100+$K698)</f>
        <v/>
      </c>
      <c r="M698" s="48" t="str">
        <f aca="false">IFERROR(INDEX(输入报销!$D:$D,MATCH($A698&amp;"-8",输入报销!$J:$J,0))&amp;"","")</f>
        <v/>
      </c>
    </row>
    <row r="699" customFormat="false" ht="13.5" hidden="false" customHeight="false" outlineLevel="0" collapsed="false">
      <c r="A699" s="47" t="n">
        <v>54</v>
      </c>
      <c r="C699" s="48" t="str">
        <f aca="false">助手报销!$C55</f>
        <v/>
      </c>
      <c r="D699" s="81" t="s">
        <v>487</v>
      </c>
      <c r="E699" s="48" t="str">
        <f aca="false">IFERROR(INDEX(输入报销!$E:$E,MATCH($A699&amp;"-9",输入报销!$J:$J,0))&amp;"","")</f>
        <v/>
      </c>
      <c r="F699" s="48" t="str">
        <f aca="false">IFERROR(INDEX(输入报销!$F:$F,MATCH($A699&amp;"-9",输入报销!$J:$J,0))&amp;"","")</f>
        <v/>
      </c>
      <c r="G699" s="49" t="n">
        <f aca="false">IFERROR(ROUND(INDEX(输入报销!$G:$G,MATCH($A699&amp;"-9",输入报销!$J:$J,0)),2),0)</f>
        <v>0</v>
      </c>
      <c r="H699" s="49" t="str">
        <f aca="false">IF(ROUND($G699,2)&gt;0,ROUND($G699,2),"")</f>
        <v/>
      </c>
      <c r="I699" s="49" t="str">
        <f aca="false">IF(ROUND($G699,2)&lt;0,-ROUND($G699,2),"")</f>
        <v/>
      </c>
      <c r="J699" s="20" t="n">
        <f aca="false">IF(ROUND($G699,2)=0,0,1)</f>
        <v>0</v>
      </c>
      <c r="K699" s="20" t="str">
        <f aca="false">IF($J699=0,"",SUM($J$691:$J699))</f>
        <v/>
      </c>
      <c r="L699" s="20" t="str">
        <f aca="false">IF($K699="","",$A699*100+$K699)</f>
        <v/>
      </c>
      <c r="M699" s="48" t="str">
        <f aca="false">IFERROR(INDEX(输入报销!$D:$D,MATCH($A699&amp;"-9",输入报销!$J:$J,0))&amp;"","")</f>
        <v/>
      </c>
    </row>
    <row r="700" customFormat="false" ht="13.5" hidden="false" customHeight="false" outlineLevel="0" collapsed="false">
      <c r="A700" s="47" t="n">
        <v>54</v>
      </c>
      <c r="C700" s="48" t="str">
        <f aca="false">助手报销!$C55</f>
        <v/>
      </c>
      <c r="D700" s="81" t="s">
        <v>488</v>
      </c>
      <c r="E700" s="48" t="str">
        <f aca="false">IFERROR(INDEX(输入报销!$E:$E,MATCH($A700&amp;"-10",输入报销!$J:$J,0))&amp;"","")</f>
        <v/>
      </c>
      <c r="F700" s="48" t="str">
        <f aca="false">IFERROR(INDEX(输入报销!$F:$F,MATCH($A700&amp;"-10",输入报销!$J:$J,0))&amp;"","")</f>
        <v/>
      </c>
      <c r="G700" s="49" t="n">
        <f aca="false">IFERROR(ROUND(INDEX(输入报销!$G:$G,MATCH($A700&amp;"-10",输入报销!$J:$J,0)),2),0)</f>
        <v>0</v>
      </c>
      <c r="H700" s="49" t="str">
        <f aca="false">IF(ROUND($G700,2)&gt;0,ROUND($G700,2),"")</f>
        <v/>
      </c>
      <c r="I700" s="49" t="str">
        <f aca="false">IF(ROUND($G700,2)&lt;0,-ROUND($G700,2),"")</f>
        <v/>
      </c>
      <c r="J700" s="20" t="n">
        <f aca="false">IF(ROUND($G700,2)=0,0,1)</f>
        <v>0</v>
      </c>
      <c r="K700" s="20" t="str">
        <f aca="false">IF($J700=0,"",SUM($J$691:$J700))</f>
        <v/>
      </c>
      <c r="L700" s="20" t="str">
        <f aca="false">IF($K700="","",$A700*100+$K700)</f>
        <v/>
      </c>
      <c r="M700" s="48" t="str">
        <f aca="false">IFERROR(INDEX(输入报销!$D:$D,MATCH($A700&amp;"-10",输入报销!$J:$J,0))&amp;"","")</f>
        <v/>
      </c>
    </row>
    <row r="701" customFormat="false" ht="13.5" hidden="false" customHeight="false" outlineLevel="0" collapsed="false">
      <c r="A701" s="47" t="n">
        <v>54</v>
      </c>
      <c r="C701" s="48" t="str">
        <f aca="false">助手报销!$C55</f>
        <v/>
      </c>
      <c r="D701" s="81" t="s">
        <v>489</v>
      </c>
      <c r="E701" s="48" t="str">
        <f aca="false">参数!$B$6</f>
        <v>库存现金</v>
      </c>
      <c r="F701" s="48" t="str">
        <f aca="false">""</f>
        <v/>
      </c>
      <c r="G701" s="49" t="n">
        <f aca="false">-ROUND(SUMIFS(输入报销!$G:$G,输入报销!$A:$A,$A701,输入报销!$H:$H,参数!$B$6),2)</f>
        <v>-0</v>
      </c>
      <c r="H701" s="49" t="str">
        <f aca="false">IF(ROUND($G701,2)&gt;0,ROUND($G701,2),"")</f>
        <v/>
      </c>
      <c r="I701" s="49" t="str">
        <f aca="false">IF(ROUND($G701,2)&lt;0,-ROUND($G701,2),"")</f>
        <v/>
      </c>
      <c r="J701" s="20" t="n">
        <f aca="false">IF(ROUND($G701,2)=0,0,1)</f>
        <v>0</v>
      </c>
      <c r="K701" s="20" t="str">
        <f aca="false">IF($J701=0,"",SUM($J$691:$J701))</f>
        <v/>
      </c>
      <c r="L701" s="20" t="str">
        <f aca="false">IF($K701="","",$A701*100+$K701)</f>
        <v/>
      </c>
      <c r="M701" s="48" t="str">
        <f aca="false">""</f>
        <v/>
      </c>
    </row>
    <row r="702" customFormat="false" ht="13.5" hidden="false" customHeight="false" outlineLevel="0" collapsed="false">
      <c r="A702" s="47" t="n">
        <v>54</v>
      </c>
      <c r="C702" s="48" t="str">
        <f aca="false">助手报销!$C55</f>
        <v/>
      </c>
      <c r="D702" s="81" t="s">
        <v>490</v>
      </c>
      <c r="E702" s="48" t="str">
        <f aca="false">参数!$B$7</f>
        <v>银行存款</v>
      </c>
      <c r="F702" s="48" t="str">
        <f aca="false">""</f>
        <v/>
      </c>
      <c r="G702" s="49" t="n">
        <f aca="false">-ROUND(SUMIFS(输入报销!$G:$G,输入报销!$A:$A,$A702,输入报销!$H:$H,参数!$B$7),2)</f>
        <v>-0</v>
      </c>
      <c r="H702" s="49" t="str">
        <f aca="false">IF(ROUND($G702,2)&gt;0,ROUND($G702,2),"")</f>
        <v/>
      </c>
      <c r="I702" s="49" t="str">
        <f aca="false">IF(ROUND($G702,2)&lt;0,-ROUND($G702,2),"")</f>
        <v/>
      </c>
      <c r="J702" s="20" t="n">
        <f aca="false">IF(ROUND($G702,2)=0,0,1)</f>
        <v>0</v>
      </c>
      <c r="K702" s="20" t="str">
        <f aca="false">IF($J702=0,"",SUM($J$691:$J702))</f>
        <v/>
      </c>
      <c r="L702" s="20" t="str">
        <f aca="false">IF($K702="","",$A702*100+$K702)</f>
        <v/>
      </c>
      <c r="M702" s="48" t="str">
        <f aca="false">""</f>
        <v/>
      </c>
    </row>
    <row r="703" customFormat="false" ht="13.5" hidden="false" customHeight="false" outlineLevel="0" collapsed="false">
      <c r="A703" s="47" t="n">
        <v>54</v>
      </c>
      <c r="C703" s="48" t="str">
        <f aca="false">助手报销!$C55</f>
        <v/>
      </c>
      <c r="D703" s="81" t="s">
        <v>491</v>
      </c>
      <c r="E703" s="48" t="str">
        <f aca="false">参数!$B$8</f>
        <v>其他应付款</v>
      </c>
      <c r="F703" s="48" t="str">
        <f aca="false">""</f>
        <v/>
      </c>
      <c r="G703" s="49" t="n">
        <f aca="false">-ROUND(SUMIFS(输入报销!$G:$G,输入报销!$A:$A,$A703,输入报销!$H:$H,参数!$B$8),2)</f>
        <v>-0</v>
      </c>
      <c r="H703" s="49" t="str">
        <f aca="false">IF(ROUND($G703,2)&gt;0,ROUND($G703,2),"")</f>
        <v/>
      </c>
      <c r="I703" s="49" t="str">
        <f aca="false">IF(ROUND($G703,2)&lt;0,-ROUND($G703,2),"")</f>
        <v/>
      </c>
      <c r="J703" s="20" t="n">
        <f aca="false">IF(ROUND($G703,2)=0,0,1)</f>
        <v>0</v>
      </c>
      <c r="K703" s="20" t="str">
        <f aca="false">IF($J703=0,"",SUM($J$691:$J703))</f>
        <v/>
      </c>
      <c r="L703" s="20" t="str">
        <f aca="false">IF($K703="","",$A703*100+$K703)</f>
        <v/>
      </c>
      <c r="M703" s="48" t="str">
        <f aca="false">""</f>
        <v/>
      </c>
    </row>
    <row r="704" customFormat="false" ht="13.5" hidden="false" customHeight="false" outlineLevel="0" collapsed="false">
      <c r="A704" s="47" t="n">
        <v>55</v>
      </c>
      <c r="C704" s="48" t="str">
        <f aca="false">助手报销!$C56</f>
        <v/>
      </c>
      <c r="D704" s="81" t="s">
        <v>479</v>
      </c>
      <c r="E704" s="48" t="str">
        <f aca="false">IFERROR(INDEX(输入报销!$E:$E,MATCH($A704&amp;"-1",输入报销!$J:$J,0))&amp;"","")</f>
        <v/>
      </c>
      <c r="F704" s="48" t="str">
        <f aca="false">IFERROR(INDEX(输入报销!$F:$F,MATCH($A704&amp;"-1",输入报销!$J:$J,0))&amp;"","")</f>
        <v/>
      </c>
      <c r="G704" s="49" t="n">
        <f aca="false">IFERROR(ROUND(INDEX(输入报销!$G:$G,MATCH($A704&amp;"-1",输入报销!$J:$J,0)),2),0)</f>
        <v>0</v>
      </c>
      <c r="H704" s="49" t="str">
        <f aca="false">IF(ROUND($G704,2)&gt;0,ROUND($G704,2),"")</f>
        <v/>
      </c>
      <c r="I704" s="49" t="str">
        <f aca="false">IF(ROUND($G704,2)&lt;0,-ROUND($G704,2),"")</f>
        <v/>
      </c>
      <c r="J704" s="20" t="n">
        <f aca="false">IF(ROUND($G704,2)=0,0,1)</f>
        <v>0</v>
      </c>
      <c r="K704" s="20" t="str">
        <f aca="false">IF($J704=0,"",SUM($J$704:$J704))</f>
        <v/>
      </c>
      <c r="L704" s="20" t="str">
        <f aca="false">IF($K704="","",$A704*100+$K704)</f>
        <v/>
      </c>
      <c r="M704" s="48" t="str">
        <f aca="false">IFERROR(INDEX(输入报销!$D:$D,MATCH($A704&amp;"-1",输入报销!$J:$J,0))&amp;"","")</f>
        <v/>
      </c>
    </row>
    <row r="705" customFormat="false" ht="13.5" hidden="false" customHeight="false" outlineLevel="0" collapsed="false">
      <c r="A705" s="47" t="n">
        <v>55</v>
      </c>
      <c r="C705" s="48" t="str">
        <f aca="false">助手报销!$C56</f>
        <v/>
      </c>
      <c r="D705" s="81" t="s">
        <v>480</v>
      </c>
      <c r="E705" s="48" t="str">
        <f aca="false">IFERROR(INDEX(输入报销!$E:$E,MATCH($A705&amp;"-2",输入报销!$J:$J,0))&amp;"","")</f>
        <v/>
      </c>
      <c r="F705" s="48" t="str">
        <f aca="false">IFERROR(INDEX(输入报销!$F:$F,MATCH($A705&amp;"-2",输入报销!$J:$J,0))&amp;"","")</f>
        <v/>
      </c>
      <c r="G705" s="49" t="n">
        <f aca="false">IFERROR(ROUND(INDEX(输入报销!$G:$G,MATCH($A705&amp;"-2",输入报销!$J:$J,0)),2),0)</f>
        <v>0</v>
      </c>
      <c r="H705" s="49" t="str">
        <f aca="false">IF(ROUND($G705,2)&gt;0,ROUND($G705,2),"")</f>
        <v/>
      </c>
      <c r="I705" s="49" t="str">
        <f aca="false">IF(ROUND($G705,2)&lt;0,-ROUND($G705,2),"")</f>
        <v/>
      </c>
      <c r="J705" s="20" t="n">
        <f aca="false">IF(ROUND($G705,2)=0,0,1)</f>
        <v>0</v>
      </c>
      <c r="K705" s="20" t="str">
        <f aca="false">IF($J705=0,"",SUM($J$704:$J705))</f>
        <v/>
      </c>
      <c r="L705" s="20" t="str">
        <f aca="false">IF($K705="","",$A705*100+$K705)</f>
        <v/>
      </c>
      <c r="M705" s="48" t="str">
        <f aca="false">IFERROR(INDEX(输入报销!$D:$D,MATCH($A705&amp;"-2",输入报销!$J:$J,0))&amp;"","")</f>
        <v/>
      </c>
    </row>
    <row r="706" customFormat="false" ht="13.5" hidden="false" customHeight="false" outlineLevel="0" collapsed="false">
      <c r="A706" s="47" t="n">
        <v>55</v>
      </c>
      <c r="C706" s="48" t="str">
        <f aca="false">助手报销!$C56</f>
        <v/>
      </c>
      <c r="D706" s="81" t="s">
        <v>481</v>
      </c>
      <c r="E706" s="48" t="str">
        <f aca="false">IFERROR(INDEX(输入报销!$E:$E,MATCH($A706&amp;"-3",输入报销!$J:$J,0))&amp;"","")</f>
        <v/>
      </c>
      <c r="F706" s="48" t="str">
        <f aca="false">IFERROR(INDEX(输入报销!$F:$F,MATCH($A706&amp;"-3",输入报销!$J:$J,0))&amp;"","")</f>
        <v/>
      </c>
      <c r="G706" s="49" t="n">
        <f aca="false">IFERROR(ROUND(INDEX(输入报销!$G:$G,MATCH($A706&amp;"-3",输入报销!$J:$J,0)),2),0)</f>
        <v>0</v>
      </c>
      <c r="H706" s="49" t="str">
        <f aca="false">IF(ROUND($G706,2)&gt;0,ROUND($G706,2),"")</f>
        <v/>
      </c>
      <c r="I706" s="49" t="str">
        <f aca="false">IF(ROUND($G706,2)&lt;0,-ROUND($G706,2),"")</f>
        <v/>
      </c>
      <c r="J706" s="20" t="n">
        <f aca="false">IF(ROUND($G706,2)=0,0,1)</f>
        <v>0</v>
      </c>
      <c r="K706" s="20" t="str">
        <f aca="false">IF($J706=0,"",SUM($J$704:$J706))</f>
        <v/>
      </c>
      <c r="L706" s="20" t="str">
        <f aca="false">IF($K706="","",$A706*100+$K706)</f>
        <v/>
      </c>
      <c r="M706" s="48" t="str">
        <f aca="false">IFERROR(INDEX(输入报销!$D:$D,MATCH($A706&amp;"-3",输入报销!$J:$J,0))&amp;"","")</f>
        <v/>
      </c>
    </row>
    <row r="707" customFormat="false" ht="13.5" hidden="false" customHeight="false" outlineLevel="0" collapsed="false">
      <c r="A707" s="47" t="n">
        <v>55</v>
      </c>
      <c r="C707" s="48" t="str">
        <f aca="false">助手报销!$C56</f>
        <v/>
      </c>
      <c r="D707" s="81" t="s">
        <v>482</v>
      </c>
      <c r="E707" s="48" t="str">
        <f aca="false">IFERROR(INDEX(输入报销!$E:$E,MATCH($A707&amp;"-4",输入报销!$J:$J,0))&amp;"","")</f>
        <v/>
      </c>
      <c r="F707" s="48" t="str">
        <f aca="false">IFERROR(INDEX(输入报销!$F:$F,MATCH($A707&amp;"-4",输入报销!$J:$J,0))&amp;"","")</f>
        <v/>
      </c>
      <c r="G707" s="49" t="n">
        <f aca="false">IFERROR(ROUND(INDEX(输入报销!$G:$G,MATCH($A707&amp;"-4",输入报销!$J:$J,0)),2),0)</f>
        <v>0</v>
      </c>
      <c r="H707" s="49" t="str">
        <f aca="false">IF(ROUND($G707,2)&gt;0,ROUND($G707,2),"")</f>
        <v/>
      </c>
      <c r="I707" s="49" t="str">
        <f aca="false">IF(ROUND($G707,2)&lt;0,-ROUND($G707,2),"")</f>
        <v/>
      </c>
      <c r="J707" s="20" t="n">
        <f aca="false">IF(ROUND($G707,2)=0,0,1)</f>
        <v>0</v>
      </c>
      <c r="K707" s="20" t="str">
        <f aca="false">IF($J707=0,"",SUM($J$704:$J707))</f>
        <v/>
      </c>
      <c r="L707" s="20" t="str">
        <f aca="false">IF($K707="","",$A707*100+$K707)</f>
        <v/>
      </c>
      <c r="M707" s="48" t="str">
        <f aca="false">IFERROR(INDEX(输入报销!$D:$D,MATCH($A707&amp;"-4",输入报销!$J:$J,0))&amp;"","")</f>
        <v/>
      </c>
    </row>
    <row r="708" customFormat="false" ht="13.5" hidden="false" customHeight="false" outlineLevel="0" collapsed="false">
      <c r="A708" s="47" t="n">
        <v>55</v>
      </c>
      <c r="C708" s="48" t="str">
        <f aca="false">助手报销!$C56</f>
        <v/>
      </c>
      <c r="D708" s="81" t="s">
        <v>483</v>
      </c>
      <c r="E708" s="48" t="str">
        <f aca="false">IFERROR(INDEX(输入报销!$E:$E,MATCH($A708&amp;"-5",输入报销!$J:$J,0))&amp;"","")</f>
        <v/>
      </c>
      <c r="F708" s="48" t="str">
        <f aca="false">IFERROR(INDEX(输入报销!$F:$F,MATCH($A708&amp;"-5",输入报销!$J:$J,0))&amp;"","")</f>
        <v/>
      </c>
      <c r="G708" s="49" t="n">
        <f aca="false">IFERROR(ROUND(INDEX(输入报销!$G:$G,MATCH($A708&amp;"-5",输入报销!$J:$J,0)),2),0)</f>
        <v>0</v>
      </c>
      <c r="H708" s="49" t="str">
        <f aca="false">IF(ROUND($G708,2)&gt;0,ROUND($G708,2),"")</f>
        <v/>
      </c>
      <c r="I708" s="49" t="str">
        <f aca="false">IF(ROUND($G708,2)&lt;0,-ROUND($G708,2),"")</f>
        <v/>
      </c>
      <c r="J708" s="20" t="n">
        <f aca="false">IF(ROUND($G708,2)=0,0,1)</f>
        <v>0</v>
      </c>
      <c r="K708" s="20" t="str">
        <f aca="false">IF($J708=0,"",SUM($J$704:$J708))</f>
        <v/>
      </c>
      <c r="L708" s="20" t="str">
        <f aca="false">IF($K708="","",$A708*100+$K708)</f>
        <v/>
      </c>
      <c r="M708" s="48" t="str">
        <f aca="false">IFERROR(INDEX(输入报销!$D:$D,MATCH($A708&amp;"-5",输入报销!$J:$J,0))&amp;"","")</f>
        <v/>
      </c>
    </row>
    <row r="709" customFormat="false" ht="13.5" hidden="false" customHeight="false" outlineLevel="0" collapsed="false">
      <c r="A709" s="47" t="n">
        <v>55</v>
      </c>
      <c r="C709" s="48" t="str">
        <f aca="false">助手报销!$C56</f>
        <v/>
      </c>
      <c r="D709" s="81" t="s">
        <v>484</v>
      </c>
      <c r="E709" s="48" t="str">
        <f aca="false">IFERROR(INDEX(输入报销!$E:$E,MATCH($A709&amp;"-6",输入报销!$J:$J,0))&amp;"","")</f>
        <v/>
      </c>
      <c r="F709" s="48" t="str">
        <f aca="false">IFERROR(INDEX(输入报销!$F:$F,MATCH($A709&amp;"-6",输入报销!$J:$J,0))&amp;"","")</f>
        <v/>
      </c>
      <c r="G709" s="49" t="n">
        <f aca="false">IFERROR(ROUND(INDEX(输入报销!$G:$G,MATCH($A709&amp;"-6",输入报销!$J:$J,0)),2),0)</f>
        <v>0</v>
      </c>
      <c r="H709" s="49" t="str">
        <f aca="false">IF(ROUND($G709,2)&gt;0,ROUND($G709,2),"")</f>
        <v/>
      </c>
      <c r="I709" s="49" t="str">
        <f aca="false">IF(ROUND($G709,2)&lt;0,-ROUND($G709,2),"")</f>
        <v/>
      </c>
      <c r="J709" s="20" t="n">
        <f aca="false">IF(ROUND($G709,2)=0,0,1)</f>
        <v>0</v>
      </c>
      <c r="K709" s="20" t="str">
        <f aca="false">IF($J709=0,"",SUM($J$704:$J709))</f>
        <v/>
      </c>
      <c r="L709" s="20" t="str">
        <f aca="false">IF($K709="","",$A709*100+$K709)</f>
        <v/>
      </c>
      <c r="M709" s="48" t="str">
        <f aca="false">IFERROR(INDEX(输入报销!$D:$D,MATCH($A709&amp;"-6",输入报销!$J:$J,0))&amp;"","")</f>
        <v/>
      </c>
    </row>
    <row r="710" customFormat="false" ht="13.5" hidden="false" customHeight="false" outlineLevel="0" collapsed="false">
      <c r="A710" s="47" t="n">
        <v>55</v>
      </c>
      <c r="C710" s="48" t="str">
        <f aca="false">助手报销!$C56</f>
        <v/>
      </c>
      <c r="D710" s="81" t="s">
        <v>485</v>
      </c>
      <c r="E710" s="48" t="str">
        <f aca="false">IFERROR(INDEX(输入报销!$E:$E,MATCH($A710&amp;"-7",输入报销!$J:$J,0))&amp;"","")</f>
        <v/>
      </c>
      <c r="F710" s="48" t="str">
        <f aca="false">IFERROR(INDEX(输入报销!$F:$F,MATCH($A710&amp;"-7",输入报销!$J:$J,0))&amp;"","")</f>
        <v/>
      </c>
      <c r="G710" s="49" t="n">
        <f aca="false">IFERROR(ROUND(INDEX(输入报销!$G:$G,MATCH($A710&amp;"-7",输入报销!$J:$J,0)),2),0)</f>
        <v>0</v>
      </c>
      <c r="H710" s="49" t="str">
        <f aca="false">IF(ROUND($G710,2)&gt;0,ROUND($G710,2),"")</f>
        <v/>
      </c>
      <c r="I710" s="49" t="str">
        <f aca="false">IF(ROUND($G710,2)&lt;0,-ROUND($G710,2),"")</f>
        <v/>
      </c>
      <c r="J710" s="20" t="n">
        <f aca="false">IF(ROUND($G710,2)=0,0,1)</f>
        <v>0</v>
      </c>
      <c r="K710" s="20" t="str">
        <f aca="false">IF($J710=0,"",SUM($J$704:$J710))</f>
        <v/>
      </c>
      <c r="L710" s="20" t="str">
        <f aca="false">IF($K710="","",$A710*100+$K710)</f>
        <v/>
      </c>
      <c r="M710" s="48" t="str">
        <f aca="false">IFERROR(INDEX(输入报销!$D:$D,MATCH($A710&amp;"-7",输入报销!$J:$J,0))&amp;"","")</f>
        <v/>
      </c>
    </row>
    <row r="711" customFormat="false" ht="13.5" hidden="false" customHeight="false" outlineLevel="0" collapsed="false">
      <c r="A711" s="47" t="n">
        <v>55</v>
      </c>
      <c r="C711" s="48" t="str">
        <f aca="false">助手报销!$C56</f>
        <v/>
      </c>
      <c r="D711" s="81" t="s">
        <v>486</v>
      </c>
      <c r="E711" s="48" t="str">
        <f aca="false">IFERROR(INDEX(输入报销!$E:$E,MATCH($A711&amp;"-8",输入报销!$J:$J,0))&amp;"","")</f>
        <v/>
      </c>
      <c r="F711" s="48" t="str">
        <f aca="false">IFERROR(INDEX(输入报销!$F:$F,MATCH($A711&amp;"-8",输入报销!$J:$J,0))&amp;"","")</f>
        <v/>
      </c>
      <c r="G711" s="49" t="n">
        <f aca="false">IFERROR(ROUND(INDEX(输入报销!$G:$G,MATCH($A711&amp;"-8",输入报销!$J:$J,0)),2),0)</f>
        <v>0</v>
      </c>
      <c r="H711" s="49" t="str">
        <f aca="false">IF(ROUND($G711,2)&gt;0,ROUND($G711,2),"")</f>
        <v/>
      </c>
      <c r="I711" s="49" t="str">
        <f aca="false">IF(ROUND($G711,2)&lt;0,-ROUND($G711,2),"")</f>
        <v/>
      </c>
      <c r="J711" s="20" t="n">
        <f aca="false">IF(ROUND($G711,2)=0,0,1)</f>
        <v>0</v>
      </c>
      <c r="K711" s="20" t="str">
        <f aca="false">IF($J711=0,"",SUM($J$704:$J711))</f>
        <v/>
      </c>
      <c r="L711" s="20" t="str">
        <f aca="false">IF($K711="","",$A711*100+$K711)</f>
        <v/>
      </c>
      <c r="M711" s="48" t="str">
        <f aca="false">IFERROR(INDEX(输入报销!$D:$D,MATCH($A711&amp;"-8",输入报销!$J:$J,0))&amp;"","")</f>
        <v/>
      </c>
    </row>
    <row r="712" customFormat="false" ht="13.5" hidden="false" customHeight="false" outlineLevel="0" collapsed="false">
      <c r="A712" s="47" t="n">
        <v>55</v>
      </c>
      <c r="C712" s="48" t="str">
        <f aca="false">助手报销!$C56</f>
        <v/>
      </c>
      <c r="D712" s="81" t="s">
        <v>487</v>
      </c>
      <c r="E712" s="48" t="str">
        <f aca="false">IFERROR(INDEX(输入报销!$E:$E,MATCH($A712&amp;"-9",输入报销!$J:$J,0))&amp;"","")</f>
        <v/>
      </c>
      <c r="F712" s="48" t="str">
        <f aca="false">IFERROR(INDEX(输入报销!$F:$F,MATCH($A712&amp;"-9",输入报销!$J:$J,0))&amp;"","")</f>
        <v/>
      </c>
      <c r="G712" s="49" t="n">
        <f aca="false">IFERROR(ROUND(INDEX(输入报销!$G:$G,MATCH($A712&amp;"-9",输入报销!$J:$J,0)),2),0)</f>
        <v>0</v>
      </c>
      <c r="H712" s="49" t="str">
        <f aca="false">IF(ROUND($G712,2)&gt;0,ROUND($G712,2),"")</f>
        <v/>
      </c>
      <c r="I712" s="49" t="str">
        <f aca="false">IF(ROUND($G712,2)&lt;0,-ROUND($G712,2),"")</f>
        <v/>
      </c>
      <c r="J712" s="20" t="n">
        <f aca="false">IF(ROUND($G712,2)=0,0,1)</f>
        <v>0</v>
      </c>
      <c r="K712" s="20" t="str">
        <f aca="false">IF($J712=0,"",SUM($J$704:$J712))</f>
        <v/>
      </c>
      <c r="L712" s="20" t="str">
        <f aca="false">IF($K712="","",$A712*100+$K712)</f>
        <v/>
      </c>
      <c r="M712" s="48" t="str">
        <f aca="false">IFERROR(INDEX(输入报销!$D:$D,MATCH($A712&amp;"-9",输入报销!$J:$J,0))&amp;"","")</f>
        <v/>
      </c>
    </row>
    <row r="713" customFormat="false" ht="13.5" hidden="false" customHeight="false" outlineLevel="0" collapsed="false">
      <c r="A713" s="47" t="n">
        <v>55</v>
      </c>
      <c r="C713" s="48" t="str">
        <f aca="false">助手报销!$C56</f>
        <v/>
      </c>
      <c r="D713" s="81" t="s">
        <v>488</v>
      </c>
      <c r="E713" s="48" t="str">
        <f aca="false">IFERROR(INDEX(输入报销!$E:$E,MATCH($A713&amp;"-10",输入报销!$J:$J,0))&amp;"","")</f>
        <v/>
      </c>
      <c r="F713" s="48" t="str">
        <f aca="false">IFERROR(INDEX(输入报销!$F:$F,MATCH($A713&amp;"-10",输入报销!$J:$J,0))&amp;"","")</f>
        <v/>
      </c>
      <c r="G713" s="49" t="n">
        <f aca="false">IFERROR(ROUND(INDEX(输入报销!$G:$G,MATCH($A713&amp;"-10",输入报销!$J:$J,0)),2),0)</f>
        <v>0</v>
      </c>
      <c r="H713" s="49" t="str">
        <f aca="false">IF(ROUND($G713,2)&gt;0,ROUND($G713,2),"")</f>
        <v/>
      </c>
      <c r="I713" s="49" t="str">
        <f aca="false">IF(ROUND($G713,2)&lt;0,-ROUND($G713,2),"")</f>
        <v/>
      </c>
      <c r="J713" s="20" t="n">
        <f aca="false">IF(ROUND($G713,2)=0,0,1)</f>
        <v>0</v>
      </c>
      <c r="K713" s="20" t="str">
        <f aca="false">IF($J713=0,"",SUM($J$704:$J713))</f>
        <v/>
      </c>
      <c r="L713" s="20" t="str">
        <f aca="false">IF($K713="","",$A713*100+$K713)</f>
        <v/>
      </c>
      <c r="M713" s="48" t="str">
        <f aca="false">IFERROR(INDEX(输入报销!$D:$D,MATCH($A713&amp;"-10",输入报销!$J:$J,0))&amp;"","")</f>
        <v/>
      </c>
    </row>
    <row r="714" customFormat="false" ht="13.5" hidden="false" customHeight="false" outlineLevel="0" collapsed="false">
      <c r="A714" s="47" t="n">
        <v>55</v>
      </c>
      <c r="C714" s="48" t="str">
        <f aca="false">助手报销!$C56</f>
        <v/>
      </c>
      <c r="D714" s="81" t="s">
        <v>489</v>
      </c>
      <c r="E714" s="48" t="str">
        <f aca="false">参数!$B$6</f>
        <v>库存现金</v>
      </c>
      <c r="F714" s="48" t="str">
        <f aca="false">""</f>
        <v/>
      </c>
      <c r="G714" s="49" t="n">
        <f aca="false">-ROUND(SUMIFS(输入报销!$G:$G,输入报销!$A:$A,$A714,输入报销!$H:$H,参数!$B$6),2)</f>
        <v>-0</v>
      </c>
      <c r="H714" s="49" t="str">
        <f aca="false">IF(ROUND($G714,2)&gt;0,ROUND($G714,2),"")</f>
        <v/>
      </c>
      <c r="I714" s="49" t="str">
        <f aca="false">IF(ROUND($G714,2)&lt;0,-ROUND($G714,2),"")</f>
        <v/>
      </c>
      <c r="J714" s="20" t="n">
        <f aca="false">IF(ROUND($G714,2)=0,0,1)</f>
        <v>0</v>
      </c>
      <c r="K714" s="20" t="str">
        <f aca="false">IF($J714=0,"",SUM($J$704:$J714))</f>
        <v/>
      </c>
      <c r="L714" s="20" t="str">
        <f aca="false">IF($K714="","",$A714*100+$K714)</f>
        <v/>
      </c>
      <c r="M714" s="48" t="str">
        <f aca="false">""</f>
        <v/>
      </c>
    </row>
    <row r="715" customFormat="false" ht="13.5" hidden="false" customHeight="false" outlineLevel="0" collapsed="false">
      <c r="A715" s="47" t="n">
        <v>55</v>
      </c>
      <c r="C715" s="48" t="str">
        <f aca="false">助手报销!$C56</f>
        <v/>
      </c>
      <c r="D715" s="81" t="s">
        <v>490</v>
      </c>
      <c r="E715" s="48" t="str">
        <f aca="false">参数!$B$7</f>
        <v>银行存款</v>
      </c>
      <c r="F715" s="48" t="str">
        <f aca="false">""</f>
        <v/>
      </c>
      <c r="G715" s="49" t="n">
        <f aca="false">-ROUND(SUMIFS(输入报销!$G:$G,输入报销!$A:$A,$A715,输入报销!$H:$H,参数!$B$7),2)</f>
        <v>-0</v>
      </c>
      <c r="H715" s="49" t="str">
        <f aca="false">IF(ROUND($G715,2)&gt;0,ROUND($G715,2),"")</f>
        <v/>
      </c>
      <c r="I715" s="49" t="str">
        <f aca="false">IF(ROUND($G715,2)&lt;0,-ROUND($G715,2),"")</f>
        <v/>
      </c>
      <c r="J715" s="20" t="n">
        <f aca="false">IF(ROUND($G715,2)=0,0,1)</f>
        <v>0</v>
      </c>
      <c r="K715" s="20" t="str">
        <f aca="false">IF($J715=0,"",SUM($J$704:$J715))</f>
        <v/>
      </c>
      <c r="L715" s="20" t="str">
        <f aca="false">IF($K715="","",$A715*100+$K715)</f>
        <v/>
      </c>
      <c r="M715" s="48" t="str">
        <f aca="false">""</f>
        <v/>
      </c>
    </row>
    <row r="716" customFormat="false" ht="13.5" hidden="false" customHeight="false" outlineLevel="0" collapsed="false">
      <c r="A716" s="47" t="n">
        <v>55</v>
      </c>
      <c r="C716" s="48" t="str">
        <f aca="false">助手报销!$C56</f>
        <v/>
      </c>
      <c r="D716" s="81" t="s">
        <v>491</v>
      </c>
      <c r="E716" s="48" t="str">
        <f aca="false">参数!$B$8</f>
        <v>其他应付款</v>
      </c>
      <c r="F716" s="48" t="str">
        <f aca="false">""</f>
        <v/>
      </c>
      <c r="G716" s="49" t="n">
        <f aca="false">-ROUND(SUMIFS(输入报销!$G:$G,输入报销!$A:$A,$A716,输入报销!$H:$H,参数!$B$8),2)</f>
        <v>-0</v>
      </c>
      <c r="H716" s="49" t="str">
        <f aca="false">IF(ROUND($G716,2)&gt;0,ROUND($G716,2),"")</f>
        <v/>
      </c>
      <c r="I716" s="49" t="str">
        <f aca="false">IF(ROUND($G716,2)&lt;0,-ROUND($G716,2),"")</f>
        <v/>
      </c>
      <c r="J716" s="20" t="n">
        <f aca="false">IF(ROUND($G716,2)=0,0,1)</f>
        <v>0</v>
      </c>
      <c r="K716" s="20" t="str">
        <f aca="false">IF($J716=0,"",SUM($J$704:$J716))</f>
        <v/>
      </c>
      <c r="L716" s="20" t="str">
        <f aca="false">IF($K716="","",$A716*100+$K716)</f>
        <v/>
      </c>
      <c r="M716" s="48" t="str">
        <f aca="false">""</f>
        <v/>
      </c>
    </row>
    <row r="717" customFormat="false" ht="13.5" hidden="false" customHeight="false" outlineLevel="0" collapsed="false">
      <c r="A717" s="47" t="n">
        <v>56</v>
      </c>
      <c r="C717" s="48" t="str">
        <f aca="false">助手报销!$C57</f>
        <v/>
      </c>
      <c r="D717" s="81" t="s">
        <v>479</v>
      </c>
      <c r="E717" s="48" t="str">
        <f aca="false">IFERROR(INDEX(输入报销!$E:$E,MATCH($A717&amp;"-1",输入报销!$J:$J,0))&amp;"","")</f>
        <v/>
      </c>
      <c r="F717" s="48" t="str">
        <f aca="false">IFERROR(INDEX(输入报销!$F:$F,MATCH($A717&amp;"-1",输入报销!$J:$J,0))&amp;"","")</f>
        <v/>
      </c>
      <c r="G717" s="49" t="n">
        <f aca="false">IFERROR(ROUND(INDEX(输入报销!$G:$G,MATCH($A717&amp;"-1",输入报销!$J:$J,0)),2),0)</f>
        <v>0</v>
      </c>
      <c r="H717" s="49" t="str">
        <f aca="false">IF(ROUND($G717,2)&gt;0,ROUND($G717,2),"")</f>
        <v/>
      </c>
      <c r="I717" s="49" t="str">
        <f aca="false">IF(ROUND($G717,2)&lt;0,-ROUND($G717,2),"")</f>
        <v/>
      </c>
      <c r="J717" s="20" t="n">
        <f aca="false">IF(ROUND($G717,2)=0,0,1)</f>
        <v>0</v>
      </c>
      <c r="K717" s="20" t="str">
        <f aca="false">IF($J717=0,"",SUM($J$717:$J717))</f>
        <v/>
      </c>
      <c r="L717" s="20" t="str">
        <f aca="false">IF($K717="","",$A717*100+$K717)</f>
        <v/>
      </c>
      <c r="M717" s="48" t="str">
        <f aca="false">IFERROR(INDEX(输入报销!$D:$D,MATCH($A717&amp;"-1",输入报销!$J:$J,0))&amp;"","")</f>
        <v/>
      </c>
    </row>
    <row r="718" customFormat="false" ht="13.5" hidden="false" customHeight="false" outlineLevel="0" collapsed="false">
      <c r="A718" s="47" t="n">
        <v>56</v>
      </c>
      <c r="C718" s="48" t="str">
        <f aca="false">助手报销!$C57</f>
        <v/>
      </c>
      <c r="D718" s="81" t="s">
        <v>480</v>
      </c>
      <c r="E718" s="48" t="str">
        <f aca="false">IFERROR(INDEX(输入报销!$E:$E,MATCH($A718&amp;"-2",输入报销!$J:$J,0))&amp;"","")</f>
        <v/>
      </c>
      <c r="F718" s="48" t="str">
        <f aca="false">IFERROR(INDEX(输入报销!$F:$F,MATCH($A718&amp;"-2",输入报销!$J:$J,0))&amp;"","")</f>
        <v/>
      </c>
      <c r="G718" s="49" t="n">
        <f aca="false">IFERROR(ROUND(INDEX(输入报销!$G:$G,MATCH($A718&amp;"-2",输入报销!$J:$J,0)),2),0)</f>
        <v>0</v>
      </c>
      <c r="H718" s="49" t="str">
        <f aca="false">IF(ROUND($G718,2)&gt;0,ROUND($G718,2),"")</f>
        <v/>
      </c>
      <c r="I718" s="49" t="str">
        <f aca="false">IF(ROUND($G718,2)&lt;0,-ROUND($G718,2),"")</f>
        <v/>
      </c>
      <c r="J718" s="20" t="n">
        <f aca="false">IF(ROUND($G718,2)=0,0,1)</f>
        <v>0</v>
      </c>
      <c r="K718" s="20" t="str">
        <f aca="false">IF($J718=0,"",SUM($J$717:$J718))</f>
        <v/>
      </c>
      <c r="L718" s="20" t="str">
        <f aca="false">IF($K718="","",$A718*100+$K718)</f>
        <v/>
      </c>
      <c r="M718" s="48" t="str">
        <f aca="false">IFERROR(INDEX(输入报销!$D:$D,MATCH($A718&amp;"-2",输入报销!$J:$J,0))&amp;"","")</f>
        <v/>
      </c>
    </row>
    <row r="719" customFormat="false" ht="13.5" hidden="false" customHeight="false" outlineLevel="0" collapsed="false">
      <c r="A719" s="47" t="n">
        <v>56</v>
      </c>
      <c r="C719" s="48" t="str">
        <f aca="false">助手报销!$C57</f>
        <v/>
      </c>
      <c r="D719" s="81" t="s">
        <v>481</v>
      </c>
      <c r="E719" s="48" t="str">
        <f aca="false">IFERROR(INDEX(输入报销!$E:$E,MATCH($A719&amp;"-3",输入报销!$J:$J,0))&amp;"","")</f>
        <v/>
      </c>
      <c r="F719" s="48" t="str">
        <f aca="false">IFERROR(INDEX(输入报销!$F:$F,MATCH($A719&amp;"-3",输入报销!$J:$J,0))&amp;"","")</f>
        <v/>
      </c>
      <c r="G719" s="49" t="n">
        <f aca="false">IFERROR(ROUND(INDEX(输入报销!$G:$G,MATCH($A719&amp;"-3",输入报销!$J:$J,0)),2),0)</f>
        <v>0</v>
      </c>
      <c r="H719" s="49" t="str">
        <f aca="false">IF(ROUND($G719,2)&gt;0,ROUND($G719,2),"")</f>
        <v/>
      </c>
      <c r="I719" s="49" t="str">
        <f aca="false">IF(ROUND($G719,2)&lt;0,-ROUND($G719,2),"")</f>
        <v/>
      </c>
      <c r="J719" s="20" t="n">
        <f aca="false">IF(ROUND($G719,2)=0,0,1)</f>
        <v>0</v>
      </c>
      <c r="K719" s="20" t="str">
        <f aca="false">IF($J719=0,"",SUM($J$717:$J719))</f>
        <v/>
      </c>
      <c r="L719" s="20" t="str">
        <f aca="false">IF($K719="","",$A719*100+$K719)</f>
        <v/>
      </c>
      <c r="M719" s="48" t="str">
        <f aca="false">IFERROR(INDEX(输入报销!$D:$D,MATCH($A719&amp;"-3",输入报销!$J:$J,0))&amp;"","")</f>
        <v/>
      </c>
    </row>
    <row r="720" customFormat="false" ht="13.5" hidden="false" customHeight="false" outlineLevel="0" collapsed="false">
      <c r="A720" s="47" t="n">
        <v>56</v>
      </c>
      <c r="C720" s="48" t="str">
        <f aca="false">助手报销!$C57</f>
        <v/>
      </c>
      <c r="D720" s="81" t="s">
        <v>482</v>
      </c>
      <c r="E720" s="48" t="str">
        <f aca="false">IFERROR(INDEX(输入报销!$E:$E,MATCH($A720&amp;"-4",输入报销!$J:$J,0))&amp;"","")</f>
        <v/>
      </c>
      <c r="F720" s="48" t="str">
        <f aca="false">IFERROR(INDEX(输入报销!$F:$F,MATCH($A720&amp;"-4",输入报销!$J:$J,0))&amp;"","")</f>
        <v/>
      </c>
      <c r="G720" s="49" t="n">
        <f aca="false">IFERROR(ROUND(INDEX(输入报销!$G:$G,MATCH($A720&amp;"-4",输入报销!$J:$J,0)),2),0)</f>
        <v>0</v>
      </c>
      <c r="H720" s="49" t="str">
        <f aca="false">IF(ROUND($G720,2)&gt;0,ROUND($G720,2),"")</f>
        <v/>
      </c>
      <c r="I720" s="49" t="str">
        <f aca="false">IF(ROUND($G720,2)&lt;0,-ROUND($G720,2),"")</f>
        <v/>
      </c>
      <c r="J720" s="20" t="n">
        <f aca="false">IF(ROUND($G720,2)=0,0,1)</f>
        <v>0</v>
      </c>
      <c r="K720" s="20" t="str">
        <f aca="false">IF($J720=0,"",SUM($J$717:$J720))</f>
        <v/>
      </c>
      <c r="L720" s="20" t="str">
        <f aca="false">IF($K720="","",$A720*100+$K720)</f>
        <v/>
      </c>
      <c r="M720" s="48" t="str">
        <f aca="false">IFERROR(INDEX(输入报销!$D:$D,MATCH($A720&amp;"-4",输入报销!$J:$J,0))&amp;"","")</f>
        <v/>
      </c>
    </row>
    <row r="721" customFormat="false" ht="13.5" hidden="false" customHeight="false" outlineLevel="0" collapsed="false">
      <c r="A721" s="47" t="n">
        <v>56</v>
      </c>
      <c r="C721" s="48" t="str">
        <f aca="false">助手报销!$C57</f>
        <v/>
      </c>
      <c r="D721" s="81" t="s">
        <v>483</v>
      </c>
      <c r="E721" s="48" t="str">
        <f aca="false">IFERROR(INDEX(输入报销!$E:$E,MATCH($A721&amp;"-5",输入报销!$J:$J,0))&amp;"","")</f>
        <v/>
      </c>
      <c r="F721" s="48" t="str">
        <f aca="false">IFERROR(INDEX(输入报销!$F:$F,MATCH($A721&amp;"-5",输入报销!$J:$J,0))&amp;"","")</f>
        <v/>
      </c>
      <c r="G721" s="49" t="n">
        <f aca="false">IFERROR(ROUND(INDEX(输入报销!$G:$G,MATCH($A721&amp;"-5",输入报销!$J:$J,0)),2),0)</f>
        <v>0</v>
      </c>
      <c r="H721" s="49" t="str">
        <f aca="false">IF(ROUND($G721,2)&gt;0,ROUND($G721,2),"")</f>
        <v/>
      </c>
      <c r="I721" s="49" t="str">
        <f aca="false">IF(ROUND($G721,2)&lt;0,-ROUND($G721,2),"")</f>
        <v/>
      </c>
      <c r="J721" s="20" t="n">
        <f aca="false">IF(ROUND($G721,2)=0,0,1)</f>
        <v>0</v>
      </c>
      <c r="K721" s="20" t="str">
        <f aca="false">IF($J721=0,"",SUM($J$717:$J721))</f>
        <v/>
      </c>
      <c r="L721" s="20" t="str">
        <f aca="false">IF($K721="","",$A721*100+$K721)</f>
        <v/>
      </c>
      <c r="M721" s="48" t="str">
        <f aca="false">IFERROR(INDEX(输入报销!$D:$D,MATCH($A721&amp;"-5",输入报销!$J:$J,0))&amp;"","")</f>
        <v/>
      </c>
    </row>
    <row r="722" customFormat="false" ht="13.5" hidden="false" customHeight="false" outlineLevel="0" collapsed="false">
      <c r="A722" s="47" t="n">
        <v>56</v>
      </c>
      <c r="C722" s="48" t="str">
        <f aca="false">助手报销!$C57</f>
        <v/>
      </c>
      <c r="D722" s="81" t="s">
        <v>484</v>
      </c>
      <c r="E722" s="48" t="str">
        <f aca="false">IFERROR(INDEX(输入报销!$E:$E,MATCH($A722&amp;"-6",输入报销!$J:$J,0))&amp;"","")</f>
        <v/>
      </c>
      <c r="F722" s="48" t="str">
        <f aca="false">IFERROR(INDEX(输入报销!$F:$F,MATCH($A722&amp;"-6",输入报销!$J:$J,0))&amp;"","")</f>
        <v/>
      </c>
      <c r="G722" s="49" t="n">
        <f aca="false">IFERROR(ROUND(INDEX(输入报销!$G:$G,MATCH($A722&amp;"-6",输入报销!$J:$J,0)),2),0)</f>
        <v>0</v>
      </c>
      <c r="H722" s="49" t="str">
        <f aca="false">IF(ROUND($G722,2)&gt;0,ROUND($G722,2),"")</f>
        <v/>
      </c>
      <c r="I722" s="49" t="str">
        <f aca="false">IF(ROUND($G722,2)&lt;0,-ROUND($G722,2),"")</f>
        <v/>
      </c>
      <c r="J722" s="20" t="n">
        <f aca="false">IF(ROUND($G722,2)=0,0,1)</f>
        <v>0</v>
      </c>
      <c r="K722" s="20" t="str">
        <f aca="false">IF($J722=0,"",SUM($J$717:$J722))</f>
        <v/>
      </c>
      <c r="L722" s="20" t="str">
        <f aca="false">IF($K722="","",$A722*100+$K722)</f>
        <v/>
      </c>
      <c r="M722" s="48" t="str">
        <f aca="false">IFERROR(INDEX(输入报销!$D:$D,MATCH($A722&amp;"-6",输入报销!$J:$J,0))&amp;"","")</f>
        <v/>
      </c>
    </row>
    <row r="723" customFormat="false" ht="13.5" hidden="false" customHeight="false" outlineLevel="0" collapsed="false">
      <c r="A723" s="47" t="n">
        <v>56</v>
      </c>
      <c r="C723" s="48" t="str">
        <f aca="false">助手报销!$C57</f>
        <v/>
      </c>
      <c r="D723" s="81" t="s">
        <v>485</v>
      </c>
      <c r="E723" s="48" t="str">
        <f aca="false">IFERROR(INDEX(输入报销!$E:$E,MATCH($A723&amp;"-7",输入报销!$J:$J,0))&amp;"","")</f>
        <v/>
      </c>
      <c r="F723" s="48" t="str">
        <f aca="false">IFERROR(INDEX(输入报销!$F:$F,MATCH($A723&amp;"-7",输入报销!$J:$J,0))&amp;"","")</f>
        <v/>
      </c>
      <c r="G723" s="49" t="n">
        <f aca="false">IFERROR(ROUND(INDEX(输入报销!$G:$G,MATCH($A723&amp;"-7",输入报销!$J:$J,0)),2),0)</f>
        <v>0</v>
      </c>
      <c r="H723" s="49" t="str">
        <f aca="false">IF(ROUND($G723,2)&gt;0,ROUND($G723,2),"")</f>
        <v/>
      </c>
      <c r="I723" s="49" t="str">
        <f aca="false">IF(ROUND($G723,2)&lt;0,-ROUND($G723,2),"")</f>
        <v/>
      </c>
      <c r="J723" s="20" t="n">
        <f aca="false">IF(ROUND($G723,2)=0,0,1)</f>
        <v>0</v>
      </c>
      <c r="K723" s="20" t="str">
        <f aca="false">IF($J723=0,"",SUM($J$717:$J723))</f>
        <v/>
      </c>
      <c r="L723" s="20" t="str">
        <f aca="false">IF($K723="","",$A723*100+$K723)</f>
        <v/>
      </c>
      <c r="M723" s="48" t="str">
        <f aca="false">IFERROR(INDEX(输入报销!$D:$D,MATCH($A723&amp;"-7",输入报销!$J:$J,0))&amp;"","")</f>
        <v/>
      </c>
    </row>
    <row r="724" customFormat="false" ht="13.5" hidden="false" customHeight="false" outlineLevel="0" collapsed="false">
      <c r="A724" s="47" t="n">
        <v>56</v>
      </c>
      <c r="C724" s="48" t="str">
        <f aca="false">助手报销!$C57</f>
        <v/>
      </c>
      <c r="D724" s="81" t="s">
        <v>486</v>
      </c>
      <c r="E724" s="48" t="str">
        <f aca="false">IFERROR(INDEX(输入报销!$E:$E,MATCH($A724&amp;"-8",输入报销!$J:$J,0))&amp;"","")</f>
        <v/>
      </c>
      <c r="F724" s="48" t="str">
        <f aca="false">IFERROR(INDEX(输入报销!$F:$F,MATCH($A724&amp;"-8",输入报销!$J:$J,0))&amp;"","")</f>
        <v/>
      </c>
      <c r="G724" s="49" t="n">
        <f aca="false">IFERROR(ROUND(INDEX(输入报销!$G:$G,MATCH($A724&amp;"-8",输入报销!$J:$J,0)),2),0)</f>
        <v>0</v>
      </c>
      <c r="H724" s="49" t="str">
        <f aca="false">IF(ROUND($G724,2)&gt;0,ROUND($G724,2),"")</f>
        <v/>
      </c>
      <c r="I724" s="49" t="str">
        <f aca="false">IF(ROUND($G724,2)&lt;0,-ROUND($G724,2),"")</f>
        <v/>
      </c>
      <c r="J724" s="20" t="n">
        <f aca="false">IF(ROUND($G724,2)=0,0,1)</f>
        <v>0</v>
      </c>
      <c r="K724" s="20" t="str">
        <f aca="false">IF($J724=0,"",SUM($J$717:$J724))</f>
        <v/>
      </c>
      <c r="L724" s="20" t="str">
        <f aca="false">IF($K724="","",$A724*100+$K724)</f>
        <v/>
      </c>
      <c r="M724" s="48" t="str">
        <f aca="false">IFERROR(INDEX(输入报销!$D:$D,MATCH($A724&amp;"-8",输入报销!$J:$J,0))&amp;"","")</f>
        <v/>
      </c>
    </row>
    <row r="725" customFormat="false" ht="13.5" hidden="false" customHeight="false" outlineLevel="0" collapsed="false">
      <c r="A725" s="47" t="n">
        <v>56</v>
      </c>
      <c r="C725" s="48" t="str">
        <f aca="false">助手报销!$C57</f>
        <v/>
      </c>
      <c r="D725" s="81" t="s">
        <v>487</v>
      </c>
      <c r="E725" s="48" t="str">
        <f aca="false">IFERROR(INDEX(输入报销!$E:$E,MATCH($A725&amp;"-9",输入报销!$J:$J,0))&amp;"","")</f>
        <v/>
      </c>
      <c r="F725" s="48" t="str">
        <f aca="false">IFERROR(INDEX(输入报销!$F:$F,MATCH($A725&amp;"-9",输入报销!$J:$J,0))&amp;"","")</f>
        <v/>
      </c>
      <c r="G725" s="49" t="n">
        <f aca="false">IFERROR(ROUND(INDEX(输入报销!$G:$G,MATCH($A725&amp;"-9",输入报销!$J:$J,0)),2),0)</f>
        <v>0</v>
      </c>
      <c r="H725" s="49" t="str">
        <f aca="false">IF(ROUND($G725,2)&gt;0,ROUND($G725,2),"")</f>
        <v/>
      </c>
      <c r="I725" s="49" t="str">
        <f aca="false">IF(ROUND($G725,2)&lt;0,-ROUND($G725,2),"")</f>
        <v/>
      </c>
      <c r="J725" s="20" t="n">
        <f aca="false">IF(ROUND($G725,2)=0,0,1)</f>
        <v>0</v>
      </c>
      <c r="K725" s="20" t="str">
        <f aca="false">IF($J725=0,"",SUM($J$717:$J725))</f>
        <v/>
      </c>
      <c r="L725" s="20" t="str">
        <f aca="false">IF($K725="","",$A725*100+$K725)</f>
        <v/>
      </c>
      <c r="M725" s="48" t="str">
        <f aca="false">IFERROR(INDEX(输入报销!$D:$D,MATCH($A725&amp;"-9",输入报销!$J:$J,0))&amp;"","")</f>
        <v/>
      </c>
    </row>
    <row r="726" customFormat="false" ht="13.5" hidden="false" customHeight="false" outlineLevel="0" collapsed="false">
      <c r="A726" s="47" t="n">
        <v>56</v>
      </c>
      <c r="C726" s="48" t="str">
        <f aca="false">助手报销!$C57</f>
        <v/>
      </c>
      <c r="D726" s="81" t="s">
        <v>488</v>
      </c>
      <c r="E726" s="48" t="str">
        <f aca="false">IFERROR(INDEX(输入报销!$E:$E,MATCH($A726&amp;"-10",输入报销!$J:$J,0))&amp;"","")</f>
        <v/>
      </c>
      <c r="F726" s="48" t="str">
        <f aca="false">IFERROR(INDEX(输入报销!$F:$F,MATCH($A726&amp;"-10",输入报销!$J:$J,0))&amp;"","")</f>
        <v/>
      </c>
      <c r="G726" s="49" t="n">
        <f aca="false">IFERROR(ROUND(INDEX(输入报销!$G:$G,MATCH($A726&amp;"-10",输入报销!$J:$J,0)),2),0)</f>
        <v>0</v>
      </c>
      <c r="H726" s="49" t="str">
        <f aca="false">IF(ROUND($G726,2)&gt;0,ROUND($G726,2),"")</f>
        <v/>
      </c>
      <c r="I726" s="49" t="str">
        <f aca="false">IF(ROUND($G726,2)&lt;0,-ROUND($G726,2),"")</f>
        <v/>
      </c>
      <c r="J726" s="20" t="n">
        <f aca="false">IF(ROUND($G726,2)=0,0,1)</f>
        <v>0</v>
      </c>
      <c r="K726" s="20" t="str">
        <f aca="false">IF($J726=0,"",SUM($J$717:$J726))</f>
        <v/>
      </c>
      <c r="L726" s="20" t="str">
        <f aca="false">IF($K726="","",$A726*100+$K726)</f>
        <v/>
      </c>
      <c r="M726" s="48" t="str">
        <f aca="false">IFERROR(INDEX(输入报销!$D:$D,MATCH($A726&amp;"-10",输入报销!$J:$J,0))&amp;"","")</f>
        <v/>
      </c>
    </row>
    <row r="727" customFormat="false" ht="13.5" hidden="false" customHeight="false" outlineLevel="0" collapsed="false">
      <c r="A727" s="47" t="n">
        <v>56</v>
      </c>
      <c r="C727" s="48" t="str">
        <f aca="false">助手报销!$C57</f>
        <v/>
      </c>
      <c r="D727" s="81" t="s">
        <v>489</v>
      </c>
      <c r="E727" s="48" t="str">
        <f aca="false">参数!$B$6</f>
        <v>库存现金</v>
      </c>
      <c r="F727" s="48" t="str">
        <f aca="false">""</f>
        <v/>
      </c>
      <c r="G727" s="49" t="n">
        <f aca="false">-ROUND(SUMIFS(输入报销!$G:$G,输入报销!$A:$A,$A727,输入报销!$H:$H,参数!$B$6),2)</f>
        <v>-0</v>
      </c>
      <c r="H727" s="49" t="str">
        <f aca="false">IF(ROUND($G727,2)&gt;0,ROUND($G727,2),"")</f>
        <v/>
      </c>
      <c r="I727" s="49" t="str">
        <f aca="false">IF(ROUND($G727,2)&lt;0,-ROUND($G727,2),"")</f>
        <v/>
      </c>
      <c r="J727" s="20" t="n">
        <f aca="false">IF(ROUND($G727,2)=0,0,1)</f>
        <v>0</v>
      </c>
      <c r="K727" s="20" t="str">
        <f aca="false">IF($J727=0,"",SUM($J$717:$J727))</f>
        <v/>
      </c>
      <c r="L727" s="20" t="str">
        <f aca="false">IF($K727="","",$A727*100+$K727)</f>
        <v/>
      </c>
      <c r="M727" s="48" t="str">
        <f aca="false">""</f>
        <v/>
      </c>
    </row>
    <row r="728" customFormat="false" ht="13.5" hidden="false" customHeight="false" outlineLevel="0" collapsed="false">
      <c r="A728" s="47" t="n">
        <v>56</v>
      </c>
      <c r="C728" s="48" t="str">
        <f aca="false">助手报销!$C57</f>
        <v/>
      </c>
      <c r="D728" s="81" t="s">
        <v>490</v>
      </c>
      <c r="E728" s="48" t="str">
        <f aca="false">参数!$B$7</f>
        <v>银行存款</v>
      </c>
      <c r="F728" s="48" t="str">
        <f aca="false">""</f>
        <v/>
      </c>
      <c r="G728" s="49" t="n">
        <f aca="false">-ROUND(SUMIFS(输入报销!$G:$G,输入报销!$A:$A,$A728,输入报销!$H:$H,参数!$B$7),2)</f>
        <v>-0</v>
      </c>
      <c r="H728" s="49" t="str">
        <f aca="false">IF(ROUND($G728,2)&gt;0,ROUND($G728,2),"")</f>
        <v/>
      </c>
      <c r="I728" s="49" t="str">
        <f aca="false">IF(ROUND($G728,2)&lt;0,-ROUND($G728,2),"")</f>
        <v/>
      </c>
      <c r="J728" s="20" t="n">
        <f aca="false">IF(ROUND($G728,2)=0,0,1)</f>
        <v>0</v>
      </c>
      <c r="K728" s="20" t="str">
        <f aca="false">IF($J728=0,"",SUM($J$717:$J728))</f>
        <v/>
      </c>
      <c r="L728" s="20" t="str">
        <f aca="false">IF($K728="","",$A728*100+$K728)</f>
        <v/>
      </c>
      <c r="M728" s="48" t="str">
        <f aca="false">""</f>
        <v/>
      </c>
    </row>
    <row r="729" customFormat="false" ht="13.5" hidden="false" customHeight="false" outlineLevel="0" collapsed="false">
      <c r="A729" s="47" t="n">
        <v>56</v>
      </c>
      <c r="C729" s="48" t="str">
        <f aca="false">助手报销!$C57</f>
        <v/>
      </c>
      <c r="D729" s="81" t="s">
        <v>491</v>
      </c>
      <c r="E729" s="48" t="str">
        <f aca="false">参数!$B$8</f>
        <v>其他应付款</v>
      </c>
      <c r="F729" s="48" t="str">
        <f aca="false">""</f>
        <v/>
      </c>
      <c r="G729" s="49" t="n">
        <f aca="false">-ROUND(SUMIFS(输入报销!$G:$G,输入报销!$A:$A,$A729,输入报销!$H:$H,参数!$B$8),2)</f>
        <v>-0</v>
      </c>
      <c r="H729" s="49" t="str">
        <f aca="false">IF(ROUND($G729,2)&gt;0,ROUND($G729,2),"")</f>
        <v/>
      </c>
      <c r="I729" s="49" t="str">
        <f aca="false">IF(ROUND($G729,2)&lt;0,-ROUND($G729,2),"")</f>
        <v/>
      </c>
      <c r="J729" s="20" t="n">
        <f aca="false">IF(ROUND($G729,2)=0,0,1)</f>
        <v>0</v>
      </c>
      <c r="K729" s="20" t="str">
        <f aca="false">IF($J729=0,"",SUM($J$717:$J729))</f>
        <v/>
      </c>
      <c r="L729" s="20" t="str">
        <f aca="false">IF($K729="","",$A729*100+$K729)</f>
        <v/>
      </c>
      <c r="M729" s="48" t="str">
        <f aca="false">""</f>
        <v/>
      </c>
    </row>
    <row r="730" customFormat="false" ht="13.5" hidden="false" customHeight="false" outlineLevel="0" collapsed="false">
      <c r="A730" s="47" t="n">
        <v>57</v>
      </c>
      <c r="C730" s="48" t="str">
        <f aca="false">助手报销!$C58</f>
        <v/>
      </c>
      <c r="D730" s="81" t="s">
        <v>479</v>
      </c>
      <c r="E730" s="48" t="str">
        <f aca="false">IFERROR(INDEX(输入报销!$E:$E,MATCH($A730&amp;"-1",输入报销!$J:$J,0))&amp;"","")</f>
        <v/>
      </c>
      <c r="F730" s="48" t="str">
        <f aca="false">IFERROR(INDEX(输入报销!$F:$F,MATCH($A730&amp;"-1",输入报销!$J:$J,0))&amp;"","")</f>
        <v/>
      </c>
      <c r="G730" s="49" t="n">
        <f aca="false">IFERROR(ROUND(INDEX(输入报销!$G:$G,MATCH($A730&amp;"-1",输入报销!$J:$J,0)),2),0)</f>
        <v>0</v>
      </c>
      <c r="H730" s="49" t="str">
        <f aca="false">IF(ROUND($G730,2)&gt;0,ROUND($G730,2),"")</f>
        <v/>
      </c>
      <c r="I730" s="49" t="str">
        <f aca="false">IF(ROUND($G730,2)&lt;0,-ROUND($G730,2),"")</f>
        <v/>
      </c>
      <c r="J730" s="20" t="n">
        <f aca="false">IF(ROUND($G730,2)=0,0,1)</f>
        <v>0</v>
      </c>
      <c r="K730" s="20" t="str">
        <f aca="false">IF($J730=0,"",SUM($J$730:$J730))</f>
        <v/>
      </c>
      <c r="L730" s="20" t="str">
        <f aca="false">IF($K730="","",$A730*100+$K730)</f>
        <v/>
      </c>
      <c r="M730" s="48" t="str">
        <f aca="false">IFERROR(INDEX(输入报销!$D:$D,MATCH($A730&amp;"-1",输入报销!$J:$J,0))&amp;"","")</f>
        <v/>
      </c>
    </row>
    <row r="731" customFormat="false" ht="13.5" hidden="false" customHeight="false" outlineLevel="0" collapsed="false">
      <c r="A731" s="47" t="n">
        <v>57</v>
      </c>
      <c r="C731" s="48" t="str">
        <f aca="false">助手报销!$C58</f>
        <v/>
      </c>
      <c r="D731" s="81" t="s">
        <v>480</v>
      </c>
      <c r="E731" s="48" t="str">
        <f aca="false">IFERROR(INDEX(输入报销!$E:$E,MATCH($A731&amp;"-2",输入报销!$J:$J,0))&amp;"","")</f>
        <v/>
      </c>
      <c r="F731" s="48" t="str">
        <f aca="false">IFERROR(INDEX(输入报销!$F:$F,MATCH($A731&amp;"-2",输入报销!$J:$J,0))&amp;"","")</f>
        <v/>
      </c>
      <c r="G731" s="49" t="n">
        <f aca="false">IFERROR(ROUND(INDEX(输入报销!$G:$G,MATCH($A731&amp;"-2",输入报销!$J:$J,0)),2),0)</f>
        <v>0</v>
      </c>
      <c r="H731" s="49" t="str">
        <f aca="false">IF(ROUND($G731,2)&gt;0,ROUND($G731,2),"")</f>
        <v/>
      </c>
      <c r="I731" s="49" t="str">
        <f aca="false">IF(ROUND($G731,2)&lt;0,-ROUND($G731,2),"")</f>
        <v/>
      </c>
      <c r="J731" s="20" t="n">
        <f aca="false">IF(ROUND($G731,2)=0,0,1)</f>
        <v>0</v>
      </c>
      <c r="K731" s="20" t="str">
        <f aca="false">IF($J731=0,"",SUM($J$730:$J731))</f>
        <v/>
      </c>
      <c r="L731" s="20" t="str">
        <f aca="false">IF($K731="","",$A731*100+$K731)</f>
        <v/>
      </c>
      <c r="M731" s="48" t="str">
        <f aca="false">IFERROR(INDEX(输入报销!$D:$D,MATCH($A731&amp;"-2",输入报销!$J:$J,0))&amp;"","")</f>
        <v/>
      </c>
    </row>
    <row r="732" customFormat="false" ht="13.5" hidden="false" customHeight="false" outlineLevel="0" collapsed="false">
      <c r="A732" s="47" t="n">
        <v>57</v>
      </c>
      <c r="C732" s="48" t="str">
        <f aca="false">助手报销!$C58</f>
        <v/>
      </c>
      <c r="D732" s="81" t="s">
        <v>481</v>
      </c>
      <c r="E732" s="48" t="str">
        <f aca="false">IFERROR(INDEX(输入报销!$E:$E,MATCH($A732&amp;"-3",输入报销!$J:$J,0))&amp;"","")</f>
        <v/>
      </c>
      <c r="F732" s="48" t="str">
        <f aca="false">IFERROR(INDEX(输入报销!$F:$F,MATCH($A732&amp;"-3",输入报销!$J:$J,0))&amp;"","")</f>
        <v/>
      </c>
      <c r="G732" s="49" t="n">
        <f aca="false">IFERROR(ROUND(INDEX(输入报销!$G:$G,MATCH($A732&amp;"-3",输入报销!$J:$J,0)),2),0)</f>
        <v>0</v>
      </c>
      <c r="H732" s="49" t="str">
        <f aca="false">IF(ROUND($G732,2)&gt;0,ROUND($G732,2),"")</f>
        <v/>
      </c>
      <c r="I732" s="49" t="str">
        <f aca="false">IF(ROUND($G732,2)&lt;0,-ROUND($G732,2),"")</f>
        <v/>
      </c>
      <c r="J732" s="20" t="n">
        <f aca="false">IF(ROUND($G732,2)=0,0,1)</f>
        <v>0</v>
      </c>
      <c r="K732" s="20" t="str">
        <f aca="false">IF($J732=0,"",SUM($J$730:$J732))</f>
        <v/>
      </c>
      <c r="L732" s="20" t="str">
        <f aca="false">IF($K732="","",$A732*100+$K732)</f>
        <v/>
      </c>
      <c r="M732" s="48" t="str">
        <f aca="false">IFERROR(INDEX(输入报销!$D:$D,MATCH($A732&amp;"-3",输入报销!$J:$J,0))&amp;"","")</f>
        <v/>
      </c>
    </row>
    <row r="733" customFormat="false" ht="13.5" hidden="false" customHeight="false" outlineLevel="0" collapsed="false">
      <c r="A733" s="47" t="n">
        <v>57</v>
      </c>
      <c r="C733" s="48" t="str">
        <f aca="false">助手报销!$C58</f>
        <v/>
      </c>
      <c r="D733" s="81" t="s">
        <v>482</v>
      </c>
      <c r="E733" s="48" t="str">
        <f aca="false">IFERROR(INDEX(输入报销!$E:$E,MATCH($A733&amp;"-4",输入报销!$J:$J,0))&amp;"","")</f>
        <v/>
      </c>
      <c r="F733" s="48" t="str">
        <f aca="false">IFERROR(INDEX(输入报销!$F:$F,MATCH($A733&amp;"-4",输入报销!$J:$J,0))&amp;"","")</f>
        <v/>
      </c>
      <c r="G733" s="49" t="n">
        <f aca="false">IFERROR(ROUND(INDEX(输入报销!$G:$G,MATCH($A733&amp;"-4",输入报销!$J:$J,0)),2),0)</f>
        <v>0</v>
      </c>
      <c r="H733" s="49" t="str">
        <f aca="false">IF(ROUND($G733,2)&gt;0,ROUND($G733,2),"")</f>
        <v/>
      </c>
      <c r="I733" s="49" t="str">
        <f aca="false">IF(ROUND($G733,2)&lt;0,-ROUND($G733,2),"")</f>
        <v/>
      </c>
      <c r="J733" s="20" t="n">
        <f aca="false">IF(ROUND($G733,2)=0,0,1)</f>
        <v>0</v>
      </c>
      <c r="K733" s="20" t="str">
        <f aca="false">IF($J733=0,"",SUM($J$730:$J733))</f>
        <v/>
      </c>
      <c r="L733" s="20" t="str">
        <f aca="false">IF($K733="","",$A733*100+$K733)</f>
        <v/>
      </c>
      <c r="M733" s="48" t="str">
        <f aca="false">IFERROR(INDEX(输入报销!$D:$D,MATCH($A733&amp;"-4",输入报销!$J:$J,0))&amp;"","")</f>
        <v/>
      </c>
    </row>
    <row r="734" customFormat="false" ht="13.5" hidden="false" customHeight="false" outlineLevel="0" collapsed="false">
      <c r="A734" s="47" t="n">
        <v>57</v>
      </c>
      <c r="C734" s="48" t="str">
        <f aca="false">助手报销!$C58</f>
        <v/>
      </c>
      <c r="D734" s="81" t="s">
        <v>483</v>
      </c>
      <c r="E734" s="48" t="str">
        <f aca="false">IFERROR(INDEX(输入报销!$E:$E,MATCH($A734&amp;"-5",输入报销!$J:$J,0))&amp;"","")</f>
        <v/>
      </c>
      <c r="F734" s="48" t="str">
        <f aca="false">IFERROR(INDEX(输入报销!$F:$F,MATCH($A734&amp;"-5",输入报销!$J:$J,0))&amp;"","")</f>
        <v/>
      </c>
      <c r="G734" s="49" t="n">
        <f aca="false">IFERROR(ROUND(INDEX(输入报销!$G:$G,MATCH($A734&amp;"-5",输入报销!$J:$J,0)),2),0)</f>
        <v>0</v>
      </c>
      <c r="H734" s="49" t="str">
        <f aca="false">IF(ROUND($G734,2)&gt;0,ROUND($G734,2),"")</f>
        <v/>
      </c>
      <c r="I734" s="49" t="str">
        <f aca="false">IF(ROUND($G734,2)&lt;0,-ROUND($G734,2),"")</f>
        <v/>
      </c>
      <c r="J734" s="20" t="n">
        <f aca="false">IF(ROUND($G734,2)=0,0,1)</f>
        <v>0</v>
      </c>
      <c r="K734" s="20" t="str">
        <f aca="false">IF($J734=0,"",SUM($J$730:$J734))</f>
        <v/>
      </c>
      <c r="L734" s="20" t="str">
        <f aca="false">IF($K734="","",$A734*100+$K734)</f>
        <v/>
      </c>
      <c r="M734" s="48" t="str">
        <f aca="false">IFERROR(INDEX(输入报销!$D:$D,MATCH($A734&amp;"-5",输入报销!$J:$J,0))&amp;"","")</f>
        <v/>
      </c>
    </row>
    <row r="735" customFormat="false" ht="13.5" hidden="false" customHeight="false" outlineLevel="0" collapsed="false">
      <c r="A735" s="47" t="n">
        <v>57</v>
      </c>
      <c r="C735" s="48" t="str">
        <f aca="false">助手报销!$C58</f>
        <v/>
      </c>
      <c r="D735" s="81" t="s">
        <v>484</v>
      </c>
      <c r="E735" s="48" t="str">
        <f aca="false">IFERROR(INDEX(输入报销!$E:$E,MATCH($A735&amp;"-6",输入报销!$J:$J,0))&amp;"","")</f>
        <v/>
      </c>
      <c r="F735" s="48" t="str">
        <f aca="false">IFERROR(INDEX(输入报销!$F:$F,MATCH($A735&amp;"-6",输入报销!$J:$J,0))&amp;"","")</f>
        <v/>
      </c>
      <c r="G735" s="49" t="n">
        <f aca="false">IFERROR(ROUND(INDEX(输入报销!$G:$G,MATCH($A735&amp;"-6",输入报销!$J:$J,0)),2),0)</f>
        <v>0</v>
      </c>
      <c r="H735" s="49" t="str">
        <f aca="false">IF(ROUND($G735,2)&gt;0,ROUND($G735,2),"")</f>
        <v/>
      </c>
      <c r="I735" s="49" t="str">
        <f aca="false">IF(ROUND($G735,2)&lt;0,-ROUND($G735,2),"")</f>
        <v/>
      </c>
      <c r="J735" s="20" t="n">
        <f aca="false">IF(ROUND($G735,2)=0,0,1)</f>
        <v>0</v>
      </c>
      <c r="K735" s="20" t="str">
        <f aca="false">IF($J735=0,"",SUM($J$730:$J735))</f>
        <v/>
      </c>
      <c r="L735" s="20" t="str">
        <f aca="false">IF($K735="","",$A735*100+$K735)</f>
        <v/>
      </c>
      <c r="M735" s="48" t="str">
        <f aca="false">IFERROR(INDEX(输入报销!$D:$D,MATCH($A735&amp;"-6",输入报销!$J:$J,0))&amp;"","")</f>
        <v/>
      </c>
    </row>
    <row r="736" customFormat="false" ht="13.5" hidden="false" customHeight="false" outlineLevel="0" collapsed="false">
      <c r="A736" s="47" t="n">
        <v>57</v>
      </c>
      <c r="C736" s="48" t="str">
        <f aca="false">助手报销!$C58</f>
        <v/>
      </c>
      <c r="D736" s="81" t="s">
        <v>485</v>
      </c>
      <c r="E736" s="48" t="str">
        <f aca="false">IFERROR(INDEX(输入报销!$E:$E,MATCH($A736&amp;"-7",输入报销!$J:$J,0))&amp;"","")</f>
        <v/>
      </c>
      <c r="F736" s="48" t="str">
        <f aca="false">IFERROR(INDEX(输入报销!$F:$F,MATCH($A736&amp;"-7",输入报销!$J:$J,0))&amp;"","")</f>
        <v/>
      </c>
      <c r="G736" s="49" t="n">
        <f aca="false">IFERROR(ROUND(INDEX(输入报销!$G:$G,MATCH($A736&amp;"-7",输入报销!$J:$J,0)),2),0)</f>
        <v>0</v>
      </c>
      <c r="H736" s="49" t="str">
        <f aca="false">IF(ROUND($G736,2)&gt;0,ROUND($G736,2),"")</f>
        <v/>
      </c>
      <c r="I736" s="49" t="str">
        <f aca="false">IF(ROUND($G736,2)&lt;0,-ROUND($G736,2),"")</f>
        <v/>
      </c>
      <c r="J736" s="20" t="n">
        <f aca="false">IF(ROUND($G736,2)=0,0,1)</f>
        <v>0</v>
      </c>
      <c r="K736" s="20" t="str">
        <f aca="false">IF($J736=0,"",SUM($J$730:$J736))</f>
        <v/>
      </c>
      <c r="L736" s="20" t="str">
        <f aca="false">IF($K736="","",$A736*100+$K736)</f>
        <v/>
      </c>
      <c r="M736" s="48" t="str">
        <f aca="false">IFERROR(INDEX(输入报销!$D:$D,MATCH($A736&amp;"-7",输入报销!$J:$J,0))&amp;"","")</f>
        <v/>
      </c>
    </row>
    <row r="737" customFormat="false" ht="13.5" hidden="false" customHeight="false" outlineLevel="0" collapsed="false">
      <c r="A737" s="47" t="n">
        <v>57</v>
      </c>
      <c r="C737" s="48" t="str">
        <f aca="false">助手报销!$C58</f>
        <v/>
      </c>
      <c r="D737" s="81" t="s">
        <v>486</v>
      </c>
      <c r="E737" s="48" t="str">
        <f aca="false">IFERROR(INDEX(输入报销!$E:$E,MATCH($A737&amp;"-8",输入报销!$J:$J,0))&amp;"","")</f>
        <v/>
      </c>
      <c r="F737" s="48" t="str">
        <f aca="false">IFERROR(INDEX(输入报销!$F:$F,MATCH($A737&amp;"-8",输入报销!$J:$J,0))&amp;"","")</f>
        <v/>
      </c>
      <c r="G737" s="49" t="n">
        <f aca="false">IFERROR(ROUND(INDEX(输入报销!$G:$G,MATCH($A737&amp;"-8",输入报销!$J:$J,0)),2),0)</f>
        <v>0</v>
      </c>
      <c r="H737" s="49" t="str">
        <f aca="false">IF(ROUND($G737,2)&gt;0,ROUND($G737,2),"")</f>
        <v/>
      </c>
      <c r="I737" s="49" t="str">
        <f aca="false">IF(ROUND($G737,2)&lt;0,-ROUND($G737,2),"")</f>
        <v/>
      </c>
      <c r="J737" s="20" t="n">
        <f aca="false">IF(ROUND($G737,2)=0,0,1)</f>
        <v>0</v>
      </c>
      <c r="K737" s="20" t="str">
        <f aca="false">IF($J737=0,"",SUM($J$730:$J737))</f>
        <v/>
      </c>
      <c r="L737" s="20" t="str">
        <f aca="false">IF($K737="","",$A737*100+$K737)</f>
        <v/>
      </c>
      <c r="M737" s="48" t="str">
        <f aca="false">IFERROR(INDEX(输入报销!$D:$D,MATCH($A737&amp;"-8",输入报销!$J:$J,0))&amp;"","")</f>
        <v/>
      </c>
    </row>
    <row r="738" customFormat="false" ht="13.5" hidden="false" customHeight="false" outlineLevel="0" collapsed="false">
      <c r="A738" s="47" t="n">
        <v>57</v>
      </c>
      <c r="C738" s="48" t="str">
        <f aca="false">助手报销!$C58</f>
        <v/>
      </c>
      <c r="D738" s="81" t="s">
        <v>487</v>
      </c>
      <c r="E738" s="48" t="str">
        <f aca="false">IFERROR(INDEX(输入报销!$E:$E,MATCH($A738&amp;"-9",输入报销!$J:$J,0))&amp;"","")</f>
        <v/>
      </c>
      <c r="F738" s="48" t="str">
        <f aca="false">IFERROR(INDEX(输入报销!$F:$F,MATCH($A738&amp;"-9",输入报销!$J:$J,0))&amp;"","")</f>
        <v/>
      </c>
      <c r="G738" s="49" t="n">
        <f aca="false">IFERROR(ROUND(INDEX(输入报销!$G:$G,MATCH($A738&amp;"-9",输入报销!$J:$J,0)),2),0)</f>
        <v>0</v>
      </c>
      <c r="H738" s="49" t="str">
        <f aca="false">IF(ROUND($G738,2)&gt;0,ROUND($G738,2),"")</f>
        <v/>
      </c>
      <c r="I738" s="49" t="str">
        <f aca="false">IF(ROUND($G738,2)&lt;0,-ROUND($G738,2),"")</f>
        <v/>
      </c>
      <c r="J738" s="20" t="n">
        <f aca="false">IF(ROUND($G738,2)=0,0,1)</f>
        <v>0</v>
      </c>
      <c r="K738" s="20" t="str">
        <f aca="false">IF($J738=0,"",SUM($J$730:$J738))</f>
        <v/>
      </c>
      <c r="L738" s="20" t="str">
        <f aca="false">IF($K738="","",$A738*100+$K738)</f>
        <v/>
      </c>
      <c r="M738" s="48" t="str">
        <f aca="false">IFERROR(INDEX(输入报销!$D:$D,MATCH($A738&amp;"-9",输入报销!$J:$J,0))&amp;"","")</f>
        <v/>
      </c>
    </row>
    <row r="739" customFormat="false" ht="13.5" hidden="false" customHeight="false" outlineLevel="0" collapsed="false">
      <c r="A739" s="47" t="n">
        <v>57</v>
      </c>
      <c r="C739" s="48" t="str">
        <f aca="false">助手报销!$C58</f>
        <v/>
      </c>
      <c r="D739" s="81" t="s">
        <v>488</v>
      </c>
      <c r="E739" s="48" t="str">
        <f aca="false">IFERROR(INDEX(输入报销!$E:$E,MATCH($A739&amp;"-10",输入报销!$J:$J,0))&amp;"","")</f>
        <v/>
      </c>
      <c r="F739" s="48" t="str">
        <f aca="false">IFERROR(INDEX(输入报销!$F:$F,MATCH($A739&amp;"-10",输入报销!$J:$J,0))&amp;"","")</f>
        <v/>
      </c>
      <c r="G739" s="49" t="n">
        <f aca="false">IFERROR(ROUND(INDEX(输入报销!$G:$G,MATCH($A739&amp;"-10",输入报销!$J:$J,0)),2),0)</f>
        <v>0</v>
      </c>
      <c r="H739" s="49" t="str">
        <f aca="false">IF(ROUND($G739,2)&gt;0,ROUND($G739,2),"")</f>
        <v/>
      </c>
      <c r="I739" s="49" t="str">
        <f aca="false">IF(ROUND($G739,2)&lt;0,-ROUND($G739,2),"")</f>
        <v/>
      </c>
      <c r="J739" s="20" t="n">
        <f aca="false">IF(ROUND($G739,2)=0,0,1)</f>
        <v>0</v>
      </c>
      <c r="K739" s="20" t="str">
        <f aca="false">IF($J739=0,"",SUM($J$730:$J739))</f>
        <v/>
      </c>
      <c r="L739" s="20" t="str">
        <f aca="false">IF($K739="","",$A739*100+$K739)</f>
        <v/>
      </c>
      <c r="M739" s="48" t="str">
        <f aca="false">IFERROR(INDEX(输入报销!$D:$D,MATCH($A739&amp;"-10",输入报销!$J:$J,0))&amp;"","")</f>
        <v/>
      </c>
    </row>
    <row r="740" customFormat="false" ht="13.5" hidden="false" customHeight="false" outlineLevel="0" collapsed="false">
      <c r="A740" s="47" t="n">
        <v>57</v>
      </c>
      <c r="C740" s="48" t="str">
        <f aca="false">助手报销!$C58</f>
        <v/>
      </c>
      <c r="D740" s="81" t="s">
        <v>489</v>
      </c>
      <c r="E740" s="48" t="str">
        <f aca="false">参数!$B$6</f>
        <v>库存现金</v>
      </c>
      <c r="F740" s="48" t="str">
        <f aca="false">""</f>
        <v/>
      </c>
      <c r="G740" s="49" t="n">
        <f aca="false">-ROUND(SUMIFS(输入报销!$G:$G,输入报销!$A:$A,$A740,输入报销!$H:$H,参数!$B$6),2)</f>
        <v>-0</v>
      </c>
      <c r="H740" s="49" t="str">
        <f aca="false">IF(ROUND($G740,2)&gt;0,ROUND($G740,2),"")</f>
        <v/>
      </c>
      <c r="I740" s="49" t="str">
        <f aca="false">IF(ROUND($G740,2)&lt;0,-ROUND($G740,2),"")</f>
        <v/>
      </c>
      <c r="J740" s="20" t="n">
        <f aca="false">IF(ROUND($G740,2)=0,0,1)</f>
        <v>0</v>
      </c>
      <c r="K740" s="20" t="str">
        <f aca="false">IF($J740=0,"",SUM($J$730:$J740))</f>
        <v/>
      </c>
      <c r="L740" s="20" t="str">
        <f aca="false">IF($K740="","",$A740*100+$K740)</f>
        <v/>
      </c>
      <c r="M740" s="48" t="str">
        <f aca="false">""</f>
        <v/>
      </c>
    </row>
    <row r="741" customFormat="false" ht="13.5" hidden="false" customHeight="false" outlineLevel="0" collapsed="false">
      <c r="A741" s="47" t="n">
        <v>57</v>
      </c>
      <c r="C741" s="48" t="str">
        <f aca="false">助手报销!$C58</f>
        <v/>
      </c>
      <c r="D741" s="81" t="s">
        <v>490</v>
      </c>
      <c r="E741" s="48" t="str">
        <f aca="false">参数!$B$7</f>
        <v>银行存款</v>
      </c>
      <c r="F741" s="48" t="str">
        <f aca="false">""</f>
        <v/>
      </c>
      <c r="G741" s="49" t="n">
        <f aca="false">-ROUND(SUMIFS(输入报销!$G:$G,输入报销!$A:$A,$A741,输入报销!$H:$H,参数!$B$7),2)</f>
        <v>-0</v>
      </c>
      <c r="H741" s="49" t="str">
        <f aca="false">IF(ROUND($G741,2)&gt;0,ROUND($G741,2),"")</f>
        <v/>
      </c>
      <c r="I741" s="49" t="str">
        <f aca="false">IF(ROUND($G741,2)&lt;0,-ROUND($G741,2),"")</f>
        <v/>
      </c>
      <c r="J741" s="20" t="n">
        <f aca="false">IF(ROUND($G741,2)=0,0,1)</f>
        <v>0</v>
      </c>
      <c r="K741" s="20" t="str">
        <f aca="false">IF($J741=0,"",SUM($J$730:$J741))</f>
        <v/>
      </c>
      <c r="L741" s="20" t="str">
        <f aca="false">IF($K741="","",$A741*100+$K741)</f>
        <v/>
      </c>
      <c r="M741" s="48" t="str">
        <f aca="false">""</f>
        <v/>
      </c>
    </row>
    <row r="742" customFormat="false" ht="13.5" hidden="false" customHeight="false" outlineLevel="0" collapsed="false">
      <c r="A742" s="47" t="n">
        <v>57</v>
      </c>
      <c r="C742" s="48" t="str">
        <f aca="false">助手报销!$C58</f>
        <v/>
      </c>
      <c r="D742" s="81" t="s">
        <v>491</v>
      </c>
      <c r="E742" s="48" t="str">
        <f aca="false">参数!$B$8</f>
        <v>其他应付款</v>
      </c>
      <c r="F742" s="48" t="str">
        <f aca="false">""</f>
        <v/>
      </c>
      <c r="G742" s="49" t="n">
        <f aca="false">-ROUND(SUMIFS(输入报销!$G:$G,输入报销!$A:$A,$A742,输入报销!$H:$H,参数!$B$8),2)</f>
        <v>-0</v>
      </c>
      <c r="H742" s="49" t="str">
        <f aca="false">IF(ROUND($G742,2)&gt;0,ROUND($G742,2),"")</f>
        <v/>
      </c>
      <c r="I742" s="49" t="str">
        <f aca="false">IF(ROUND($G742,2)&lt;0,-ROUND($G742,2),"")</f>
        <v/>
      </c>
      <c r="J742" s="20" t="n">
        <f aca="false">IF(ROUND($G742,2)=0,0,1)</f>
        <v>0</v>
      </c>
      <c r="K742" s="20" t="str">
        <f aca="false">IF($J742=0,"",SUM($J$730:$J742))</f>
        <v/>
      </c>
      <c r="L742" s="20" t="str">
        <f aca="false">IF($K742="","",$A742*100+$K742)</f>
        <v/>
      </c>
      <c r="M742" s="48" t="str">
        <f aca="false">""</f>
        <v/>
      </c>
    </row>
    <row r="743" customFormat="false" ht="13.5" hidden="false" customHeight="false" outlineLevel="0" collapsed="false">
      <c r="A743" s="47" t="n">
        <v>58</v>
      </c>
      <c r="C743" s="48" t="str">
        <f aca="false">助手报销!$C59</f>
        <v/>
      </c>
      <c r="D743" s="81" t="s">
        <v>479</v>
      </c>
      <c r="E743" s="48" t="str">
        <f aca="false">IFERROR(INDEX(输入报销!$E:$E,MATCH($A743&amp;"-1",输入报销!$J:$J,0))&amp;"","")</f>
        <v/>
      </c>
      <c r="F743" s="48" t="str">
        <f aca="false">IFERROR(INDEX(输入报销!$F:$F,MATCH($A743&amp;"-1",输入报销!$J:$J,0))&amp;"","")</f>
        <v/>
      </c>
      <c r="G743" s="49" t="n">
        <f aca="false">IFERROR(ROUND(INDEX(输入报销!$G:$G,MATCH($A743&amp;"-1",输入报销!$J:$J,0)),2),0)</f>
        <v>0</v>
      </c>
      <c r="H743" s="49" t="str">
        <f aca="false">IF(ROUND($G743,2)&gt;0,ROUND($G743,2),"")</f>
        <v/>
      </c>
      <c r="I743" s="49" t="str">
        <f aca="false">IF(ROUND($G743,2)&lt;0,-ROUND($G743,2),"")</f>
        <v/>
      </c>
      <c r="J743" s="20" t="n">
        <f aca="false">IF(ROUND($G743,2)=0,0,1)</f>
        <v>0</v>
      </c>
      <c r="K743" s="20" t="str">
        <f aca="false">IF($J743=0,"",SUM($J$743:$J743))</f>
        <v/>
      </c>
      <c r="L743" s="20" t="str">
        <f aca="false">IF($K743="","",$A743*100+$K743)</f>
        <v/>
      </c>
      <c r="M743" s="48" t="str">
        <f aca="false">IFERROR(INDEX(输入报销!$D:$D,MATCH($A743&amp;"-1",输入报销!$J:$J,0))&amp;"","")</f>
        <v/>
      </c>
    </row>
    <row r="744" customFormat="false" ht="13.5" hidden="false" customHeight="false" outlineLevel="0" collapsed="false">
      <c r="A744" s="47" t="n">
        <v>58</v>
      </c>
      <c r="C744" s="48" t="str">
        <f aca="false">助手报销!$C59</f>
        <v/>
      </c>
      <c r="D744" s="81" t="s">
        <v>480</v>
      </c>
      <c r="E744" s="48" t="str">
        <f aca="false">IFERROR(INDEX(输入报销!$E:$E,MATCH($A744&amp;"-2",输入报销!$J:$J,0))&amp;"","")</f>
        <v/>
      </c>
      <c r="F744" s="48" t="str">
        <f aca="false">IFERROR(INDEX(输入报销!$F:$F,MATCH($A744&amp;"-2",输入报销!$J:$J,0))&amp;"","")</f>
        <v/>
      </c>
      <c r="G744" s="49" t="n">
        <f aca="false">IFERROR(ROUND(INDEX(输入报销!$G:$G,MATCH($A744&amp;"-2",输入报销!$J:$J,0)),2),0)</f>
        <v>0</v>
      </c>
      <c r="H744" s="49" t="str">
        <f aca="false">IF(ROUND($G744,2)&gt;0,ROUND($G744,2),"")</f>
        <v/>
      </c>
      <c r="I744" s="49" t="str">
        <f aca="false">IF(ROUND($G744,2)&lt;0,-ROUND($G744,2),"")</f>
        <v/>
      </c>
      <c r="J744" s="20" t="n">
        <f aca="false">IF(ROUND($G744,2)=0,0,1)</f>
        <v>0</v>
      </c>
      <c r="K744" s="20" t="str">
        <f aca="false">IF($J744=0,"",SUM($J$743:$J744))</f>
        <v/>
      </c>
      <c r="L744" s="20" t="str">
        <f aca="false">IF($K744="","",$A744*100+$K744)</f>
        <v/>
      </c>
      <c r="M744" s="48" t="str">
        <f aca="false">IFERROR(INDEX(输入报销!$D:$D,MATCH($A744&amp;"-2",输入报销!$J:$J,0))&amp;"","")</f>
        <v/>
      </c>
    </row>
    <row r="745" customFormat="false" ht="13.5" hidden="false" customHeight="false" outlineLevel="0" collapsed="false">
      <c r="A745" s="47" t="n">
        <v>58</v>
      </c>
      <c r="C745" s="48" t="str">
        <f aca="false">助手报销!$C59</f>
        <v/>
      </c>
      <c r="D745" s="81" t="s">
        <v>481</v>
      </c>
      <c r="E745" s="48" t="str">
        <f aca="false">IFERROR(INDEX(输入报销!$E:$E,MATCH($A745&amp;"-3",输入报销!$J:$J,0))&amp;"","")</f>
        <v/>
      </c>
      <c r="F745" s="48" t="str">
        <f aca="false">IFERROR(INDEX(输入报销!$F:$F,MATCH($A745&amp;"-3",输入报销!$J:$J,0))&amp;"","")</f>
        <v/>
      </c>
      <c r="G745" s="49" t="n">
        <f aca="false">IFERROR(ROUND(INDEX(输入报销!$G:$G,MATCH($A745&amp;"-3",输入报销!$J:$J,0)),2),0)</f>
        <v>0</v>
      </c>
      <c r="H745" s="49" t="str">
        <f aca="false">IF(ROUND($G745,2)&gt;0,ROUND($G745,2),"")</f>
        <v/>
      </c>
      <c r="I745" s="49" t="str">
        <f aca="false">IF(ROUND($G745,2)&lt;0,-ROUND($G745,2),"")</f>
        <v/>
      </c>
      <c r="J745" s="20" t="n">
        <f aca="false">IF(ROUND($G745,2)=0,0,1)</f>
        <v>0</v>
      </c>
      <c r="K745" s="20" t="str">
        <f aca="false">IF($J745=0,"",SUM($J$743:$J745))</f>
        <v/>
      </c>
      <c r="L745" s="20" t="str">
        <f aca="false">IF($K745="","",$A745*100+$K745)</f>
        <v/>
      </c>
      <c r="M745" s="48" t="str">
        <f aca="false">IFERROR(INDEX(输入报销!$D:$D,MATCH($A745&amp;"-3",输入报销!$J:$J,0))&amp;"","")</f>
        <v/>
      </c>
    </row>
    <row r="746" customFormat="false" ht="13.5" hidden="false" customHeight="false" outlineLevel="0" collapsed="false">
      <c r="A746" s="47" t="n">
        <v>58</v>
      </c>
      <c r="C746" s="48" t="str">
        <f aca="false">助手报销!$C59</f>
        <v/>
      </c>
      <c r="D746" s="81" t="s">
        <v>482</v>
      </c>
      <c r="E746" s="48" t="str">
        <f aca="false">IFERROR(INDEX(输入报销!$E:$E,MATCH($A746&amp;"-4",输入报销!$J:$J,0))&amp;"","")</f>
        <v/>
      </c>
      <c r="F746" s="48" t="str">
        <f aca="false">IFERROR(INDEX(输入报销!$F:$F,MATCH($A746&amp;"-4",输入报销!$J:$J,0))&amp;"","")</f>
        <v/>
      </c>
      <c r="G746" s="49" t="n">
        <f aca="false">IFERROR(ROUND(INDEX(输入报销!$G:$G,MATCH($A746&amp;"-4",输入报销!$J:$J,0)),2),0)</f>
        <v>0</v>
      </c>
      <c r="H746" s="49" t="str">
        <f aca="false">IF(ROUND($G746,2)&gt;0,ROUND($G746,2),"")</f>
        <v/>
      </c>
      <c r="I746" s="49" t="str">
        <f aca="false">IF(ROUND($G746,2)&lt;0,-ROUND($G746,2),"")</f>
        <v/>
      </c>
      <c r="J746" s="20" t="n">
        <f aca="false">IF(ROUND($G746,2)=0,0,1)</f>
        <v>0</v>
      </c>
      <c r="K746" s="20" t="str">
        <f aca="false">IF($J746=0,"",SUM($J$743:$J746))</f>
        <v/>
      </c>
      <c r="L746" s="20" t="str">
        <f aca="false">IF($K746="","",$A746*100+$K746)</f>
        <v/>
      </c>
      <c r="M746" s="48" t="str">
        <f aca="false">IFERROR(INDEX(输入报销!$D:$D,MATCH($A746&amp;"-4",输入报销!$J:$J,0))&amp;"","")</f>
        <v/>
      </c>
    </row>
    <row r="747" customFormat="false" ht="13.5" hidden="false" customHeight="false" outlineLevel="0" collapsed="false">
      <c r="A747" s="47" t="n">
        <v>58</v>
      </c>
      <c r="C747" s="48" t="str">
        <f aca="false">助手报销!$C59</f>
        <v/>
      </c>
      <c r="D747" s="81" t="s">
        <v>483</v>
      </c>
      <c r="E747" s="48" t="str">
        <f aca="false">IFERROR(INDEX(输入报销!$E:$E,MATCH($A747&amp;"-5",输入报销!$J:$J,0))&amp;"","")</f>
        <v/>
      </c>
      <c r="F747" s="48" t="str">
        <f aca="false">IFERROR(INDEX(输入报销!$F:$F,MATCH($A747&amp;"-5",输入报销!$J:$J,0))&amp;"","")</f>
        <v/>
      </c>
      <c r="G747" s="49" t="n">
        <f aca="false">IFERROR(ROUND(INDEX(输入报销!$G:$G,MATCH($A747&amp;"-5",输入报销!$J:$J,0)),2),0)</f>
        <v>0</v>
      </c>
      <c r="H747" s="49" t="str">
        <f aca="false">IF(ROUND($G747,2)&gt;0,ROUND($G747,2),"")</f>
        <v/>
      </c>
      <c r="I747" s="49" t="str">
        <f aca="false">IF(ROUND($G747,2)&lt;0,-ROUND($G747,2),"")</f>
        <v/>
      </c>
      <c r="J747" s="20" t="n">
        <f aca="false">IF(ROUND($G747,2)=0,0,1)</f>
        <v>0</v>
      </c>
      <c r="K747" s="20" t="str">
        <f aca="false">IF($J747=0,"",SUM($J$743:$J747))</f>
        <v/>
      </c>
      <c r="L747" s="20" t="str">
        <f aca="false">IF($K747="","",$A747*100+$K747)</f>
        <v/>
      </c>
      <c r="M747" s="48" t="str">
        <f aca="false">IFERROR(INDEX(输入报销!$D:$D,MATCH($A747&amp;"-5",输入报销!$J:$J,0))&amp;"","")</f>
        <v/>
      </c>
    </row>
    <row r="748" customFormat="false" ht="13.5" hidden="false" customHeight="false" outlineLevel="0" collapsed="false">
      <c r="A748" s="47" t="n">
        <v>58</v>
      </c>
      <c r="C748" s="48" t="str">
        <f aca="false">助手报销!$C59</f>
        <v/>
      </c>
      <c r="D748" s="81" t="s">
        <v>484</v>
      </c>
      <c r="E748" s="48" t="str">
        <f aca="false">IFERROR(INDEX(输入报销!$E:$E,MATCH($A748&amp;"-6",输入报销!$J:$J,0))&amp;"","")</f>
        <v/>
      </c>
      <c r="F748" s="48" t="str">
        <f aca="false">IFERROR(INDEX(输入报销!$F:$F,MATCH($A748&amp;"-6",输入报销!$J:$J,0))&amp;"","")</f>
        <v/>
      </c>
      <c r="G748" s="49" t="n">
        <f aca="false">IFERROR(ROUND(INDEX(输入报销!$G:$G,MATCH($A748&amp;"-6",输入报销!$J:$J,0)),2),0)</f>
        <v>0</v>
      </c>
      <c r="H748" s="49" t="str">
        <f aca="false">IF(ROUND($G748,2)&gt;0,ROUND($G748,2),"")</f>
        <v/>
      </c>
      <c r="I748" s="49" t="str">
        <f aca="false">IF(ROUND($G748,2)&lt;0,-ROUND($G748,2),"")</f>
        <v/>
      </c>
      <c r="J748" s="20" t="n">
        <f aca="false">IF(ROUND($G748,2)=0,0,1)</f>
        <v>0</v>
      </c>
      <c r="K748" s="20" t="str">
        <f aca="false">IF($J748=0,"",SUM($J$743:$J748))</f>
        <v/>
      </c>
      <c r="L748" s="20" t="str">
        <f aca="false">IF($K748="","",$A748*100+$K748)</f>
        <v/>
      </c>
      <c r="M748" s="48" t="str">
        <f aca="false">IFERROR(INDEX(输入报销!$D:$D,MATCH($A748&amp;"-6",输入报销!$J:$J,0))&amp;"","")</f>
        <v/>
      </c>
    </row>
    <row r="749" customFormat="false" ht="13.5" hidden="false" customHeight="false" outlineLevel="0" collapsed="false">
      <c r="A749" s="47" t="n">
        <v>58</v>
      </c>
      <c r="C749" s="48" t="str">
        <f aca="false">助手报销!$C59</f>
        <v/>
      </c>
      <c r="D749" s="81" t="s">
        <v>485</v>
      </c>
      <c r="E749" s="48" t="str">
        <f aca="false">IFERROR(INDEX(输入报销!$E:$E,MATCH($A749&amp;"-7",输入报销!$J:$J,0))&amp;"","")</f>
        <v/>
      </c>
      <c r="F749" s="48" t="str">
        <f aca="false">IFERROR(INDEX(输入报销!$F:$F,MATCH($A749&amp;"-7",输入报销!$J:$J,0))&amp;"","")</f>
        <v/>
      </c>
      <c r="G749" s="49" t="n">
        <f aca="false">IFERROR(ROUND(INDEX(输入报销!$G:$G,MATCH($A749&amp;"-7",输入报销!$J:$J,0)),2),0)</f>
        <v>0</v>
      </c>
      <c r="H749" s="49" t="str">
        <f aca="false">IF(ROUND($G749,2)&gt;0,ROUND($G749,2),"")</f>
        <v/>
      </c>
      <c r="I749" s="49" t="str">
        <f aca="false">IF(ROUND($G749,2)&lt;0,-ROUND($G749,2),"")</f>
        <v/>
      </c>
      <c r="J749" s="20" t="n">
        <f aca="false">IF(ROUND($G749,2)=0,0,1)</f>
        <v>0</v>
      </c>
      <c r="K749" s="20" t="str">
        <f aca="false">IF($J749=0,"",SUM($J$743:$J749))</f>
        <v/>
      </c>
      <c r="L749" s="20" t="str">
        <f aca="false">IF($K749="","",$A749*100+$K749)</f>
        <v/>
      </c>
      <c r="M749" s="48" t="str">
        <f aca="false">IFERROR(INDEX(输入报销!$D:$D,MATCH($A749&amp;"-7",输入报销!$J:$J,0))&amp;"","")</f>
        <v/>
      </c>
    </row>
    <row r="750" customFormat="false" ht="13.5" hidden="false" customHeight="false" outlineLevel="0" collapsed="false">
      <c r="A750" s="47" t="n">
        <v>58</v>
      </c>
      <c r="C750" s="48" t="str">
        <f aca="false">助手报销!$C59</f>
        <v/>
      </c>
      <c r="D750" s="81" t="s">
        <v>486</v>
      </c>
      <c r="E750" s="48" t="str">
        <f aca="false">IFERROR(INDEX(输入报销!$E:$E,MATCH($A750&amp;"-8",输入报销!$J:$J,0))&amp;"","")</f>
        <v/>
      </c>
      <c r="F750" s="48" t="str">
        <f aca="false">IFERROR(INDEX(输入报销!$F:$F,MATCH($A750&amp;"-8",输入报销!$J:$J,0))&amp;"","")</f>
        <v/>
      </c>
      <c r="G750" s="49" t="n">
        <f aca="false">IFERROR(ROUND(INDEX(输入报销!$G:$G,MATCH($A750&amp;"-8",输入报销!$J:$J,0)),2),0)</f>
        <v>0</v>
      </c>
      <c r="H750" s="49" t="str">
        <f aca="false">IF(ROUND($G750,2)&gt;0,ROUND($G750,2),"")</f>
        <v/>
      </c>
      <c r="I750" s="49" t="str">
        <f aca="false">IF(ROUND($G750,2)&lt;0,-ROUND($G750,2),"")</f>
        <v/>
      </c>
      <c r="J750" s="20" t="n">
        <f aca="false">IF(ROUND($G750,2)=0,0,1)</f>
        <v>0</v>
      </c>
      <c r="K750" s="20" t="str">
        <f aca="false">IF($J750=0,"",SUM($J$743:$J750))</f>
        <v/>
      </c>
      <c r="L750" s="20" t="str">
        <f aca="false">IF($K750="","",$A750*100+$K750)</f>
        <v/>
      </c>
      <c r="M750" s="48" t="str">
        <f aca="false">IFERROR(INDEX(输入报销!$D:$D,MATCH($A750&amp;"-8",输入报销!$J:$J,0))&amp;"","")</f>
        <v/>
      </c>
    </row>
    <row r="751" customFormat="false" ht="13.5" hidden="false" customHeight="false" outlineLevel="0" collapsed="false">
      <c r="A751" s="47" t="n">
        <v>58</v>
      </c>
      <c r="C751" s="48" t="str">
        <f aca="false">助手报销!$C59</f>
        <v/>
      </c>
      <c r="D751" s="81" t="s">
        <v>487</v>
      </c>
      <c r="E751" s="48" t="str">
        <f aca="false">IFERROR(INDEX(输入报销!$E:$E,MATCH($A751&amp;"-9",输入报销!$J:$J,0))&amp;"","")</f>
        <v/>
      </c>
      <c r="F751" s="48" t="str">
        <f aca="false">IFERROR(INDEX(输入报销!$F:$F,MATCH($A751&amp;"-9",输入报销!$J:$J,0))&amp;"","")</f>
        <v/>
      </c>
      <c r="G751" s="49" t="n">
        <f aca="false">IFERROR(ROUND(INDEX(输入报销!$G:$G,MATCH($A751&amp;"-9",输入报销!$J:$J,0)),2),0)</f>
        <v>0</v>
      </c>
      <c r="H751" s="49" t="str">
        <f aca="false">IF(ROUND($G751,2)&gt;0,ROUND($G751,2),"")</f>
        <v/>
      </c>
      <c r="I751" s="49" t="str">
        <f aca="false">IF(ROUND($G751,2)&lt;0,-ROUND($G751,2),"")</f>
        <v/>
      </c>
      <c r="J751" s="20" t="n">
        <f aca="false">IF(ROUND($G751,2)=0,0,1)</f>
        <v>0</v>
      </c>
      <c r="K751" s="20" t="str">
        <f aca="false">IF($J751=0,"",SUM($J$743:$J751))</f>
        <v/>
      </c>
      <c r="L751" s="20" t="str">
        <f aca="false">IF($K751="","",$A751*100+$K751)</f>
        <v/>
      </c>
      <c r="M751" s="48" t="str">
        <f aca="false">IFERROR(INDEX(输入报销!$D:$D,MATCH($A751&amp;"-9",输入报销!$J:$J,0))&amp;"","")</f>
        <v/>
      </c>
    </row>
    <row r="752" customFormat="false" ht="13.5" hidden="false" customHeight="false" outlineLevel="0" collapsed="false">
      <c r="A752" s="47" t="n">
        <v>58</v>
      </c>
      <c r="C752" s="48" t="str">
        <f aca="false">助手报销!$C59</f>
        <v/>
      </c>
      <c r="D752" s="81" t="s">
        <v>488</v>
      </c>
      <c r="E752" s="48" t="str">
        <f aca="false">IFERROR(INDEX(输入报销!$E:$E,MATCH($A752&amp;"-10",输入报销!$J:$J,0))&amp;"","")</f>
        <v/>
      </c>
      <c r="F752" s="48" t="str">
        <f aca="false">IFERROR(INDEX(输入报销!$F:$F,MATCH($A752&amp;"-10",输入报销!$J:$J,0))&amp;"","")</f>
        <v/>
      </c>
      <c r="G752" s="49" t="n">
        <f aca="false">IFERROR(ROUND(INDEX(输入报销!$G:$G,MATCH($A752&amp;"-10",输入报销!$J:$J,0)),2),0)</f>
        <v>0</v>
      </c>
      <c r="H752" s="49" t="str">
        <f aca="false">IF(ROUND($G752,2)&gt;0,ROUND($G752,2),"")</f>
        <v/>
      </c>
      <c r="I752" s="49" t="str">
        <f aca="false">IF(ROUND($G752,2)&lt;0,-ROUND($G752,2),"")</f>
        <v/>
      </c>
      <c r="J752" s="20" t="n">
        <f aca="false">IF(ROUND($G752,2)=0,0,1)</f>
        <v>0</v>
      </c>
      <c r="K752" s="20" t="str">
        <f aca="false">IF($J752=0,"",SUM($J$743:$J752))</f>
        <v/>
      </c>
      <c r="L752" s="20" t="str">
        <f aca="false">IF($K752="","",$A752*100+$K752)</f>
        <v/>
      </c>
      <c r="M752" s="48" t="str">
        <f aca="false">IFERROR(INDEX(输入报销!$D:$D,MATCH($A752&amp;"-10",输入报销!$J:$J,0))&amp;"","")</f>
        <v/>
      </c>
    </row>
    <row r="753" customFormat="false" ht="13.5" hidden="false" customHeight="false" outlineLevel="0" collapsed="false">
      <c r="A753" s="47" t="n">
        <v>58</v>
      </c>
      <c r="C753" s="48" t="str">
        <f aca="false">助手报销!$C59</f>
        <v/>
      </c>
      <c r="D753" s="81" t="s">
        <v>489</v>
      </c>
      <c r="E753" s="48" t="str">
        <f aca="false">参数!$B$6</f>
        <v>库存现金</v>
      </c>
      <c r="F753" s="48" t="str">
        <f aca="false">""</f>
        <v/>
      </c>
      <c r="G753" s="49" t="n">
        <f aca="false">-ROUND(SUMIFS(输入报销!$G:$G,输入报销!$A:$A,$A753,输入报销!$H:$H,参数!$B$6),2)</f>
        <v>-0</v>
      </c>
      <c r="H753" s="49" t="str">
        <f aca="false">IF(ROUND($G753,2)&gt;0,ROUND($G753,2),"")</f>
        <v/>
      </c>
      <c r="I753" s="49" t="str">
        <f aca="false">IF(ROUND($G753,2)&lt;0,-ROUND($G753,2),"")</f>
        <v/>
      </c>
      <c r="J753" s="20" t="n">
        <f aca="false">IF(ROUND($G753,2)=0,0,1)</f>
        <v>0</v>
      </c>
      <c r="K753" s="20" t="str">
        <f aca="false">IF($J753=0,"",SUM($J$743:$J753))</f>
        <v/>
      </c>
      <c r="L753" s="20" t="str">
        <f aca="false">IF($K753="","",$A753*100+$K753)</f>
        <v/>
      </c>
      <c r="M753" s="48" t="str">
        <f aca="false">""</f>
        <v/>
      </c>
    </row>
    <row r="754" customFormat="false" ht="13.5" hidden="false" customHeight="false" outlineLevel="0" collapsed="false">
      <c r="A754" s="47" t="n">
        <v>58</v>
      </c>
      <c r="C754" s="48" t="str">
        <f aca="false">助手报销!$C59</f>
        <v/>
      </c>
      <c r="D754" s="81" t="s">
        <v>490</v>
      </c>
      <c r="E754" s="48" t="str">
        <f aca="false">参数!$B$7</f>
        <v>银行存款</v>
      </c>
      <c r="F754" s="48" t="str">
        <f aca="false">""</f>
        <v/>
      </c>
      <c r="G754" s="49" t="n">
        <f aca="false">-ROUND(SUMIFS(输入报销!$G:$G,输入报销!$A:$A,$A754,输入报销!$H:$H,参数!$B$7),2)</f>
        <v>-0</v>
      </c>
      <c r="H754" s="49" t="str">
        <f aca="false">IF(ROUND($G754,2)&gt;0,ROUND($G754,2),"")</f>
        <v/>
      </c>
      <c r="I754" s="49" t="str">
        <f aca="false">IF(ROUND($G754,2)&lt;0,-ROUND($G754,2),"")</f>
        <v/>
      </c>
      <c r="J754" s="20" t="n">
        <f aca="false">IF(ROUND($G754,2)=0,0,1)</f>
        <v>0</v>
      </c>
      <c r="K754" s="20" t="str">
        <f aca="false">IF($J754=0,"",SUM($J$743:$J754))</f>
        <v/>
      </c>
      <c r="L754" s="20" t="str">
        <f aca="false">IF($K754="","",$A754*100+$K754)</f>
        <v/>
      </c>
      <c r="M754" s="48" t="str">
        <f aca="false">""</f>
        <v/>
      </c>
    </row>
    <row r="755" customFormat="false" ht="13.5" hidden="false" customHeight="false" outlineLevel="0" collapsed="false">
      <c r="A755" s="47" t="n">
        <v>58</v>
      </c>
      <c r="C755" s="48" t="str">
        <f aca="false">助手报销!$C59</f>
        <v/>
      </c>
      <c r="D755" s="81" t="s">
        <v>491</v>
      </c>
      <c r="E755" s="48" t="str">
        <f aca="false">参数!$B$8</f>
        <v>其他应付款</v>
      </c>
      <c r="F755" s="48" t="str">
        <f aca="false">""</f>
        <v/>
      </c>
      <c r="G755" s="49" t="n">
        <f aca="false">-ROUND(SUMIFS(输入报销!$G:$G,输入报销!$A:$A,$A755,输入报销!$H:$H,参数!$B$8),2)</f>
        <v>-0</v>
      </c>
      <c r="H755" s="49" t="str">
        <f aca="false">IF(ROUND($G755,2)&gt;0,ROUND($G755,2),"")</f>
        <v/>
      </c>
      <c r="I755" s="49" t="str">
        <f aca="false">IF(ROUND($G755,2)&lt;0,-ROUND($G755,2),"")</f>
        <v/>
      </c>
      <c r="J755" s="20" t="n">
        <f aca="false">IF(ROUND($G755,2)=0,0,1)</f>
        <v>0</v>
      </c>
      <c r="K755" s="20" t="str">
        <f aca="false">IF($J755=0,"",SUM($J$743:$J755))</f>
        <v/>
      </c>
      <c r="L755" s="20" t="str">
        <f aca="false">IF($K755="","",$A755*100+$K755)</f>
        <v/>
      </c>
      <c r="M755" s="48" t="str">
        <f aca="false">""</f>
        <v/>
      </c>
    </row>
    <row r="756" customFormat="false" ht="13.5" hidden="false" customHeight="false" outlineLevel="0" collapsed="false">
      <c r="A756" s="47" t="n">
        <v>59</v>
      </c>
      <c r="C756" s="48" t="str">
        <f aca="false">助手报销!$C60</f>
        <v/>
      </c>
      <c r="D756" s="81" t="s">
        <v>479</v>
      </c>
      <c r="E756" s="48" t="str">
        <f aca="false">IFERROR(INDEX(输入报销!$E:$E,MATCH($A756&amp;"-1",输入报销!$J:$J,0))&amp;"","")</f>
        <v/>
      </c>
      <c r="F756" s="48" t="str">
        <f aca="false">IFERROR(INDEX(输入报销!$F:$F,MATCH($A756&amp;"-1",输入报销!$J:$J,0))&amp;"","")</f>
        <v/>
      </c>
      <c r="G756" s="49" t="n">
        <f aca="false">IFERROR(ROUND(INDEX(输入报销!$G:$G,MATCH($A756&amp;"-1",输入报销!$J:$J,0)),2),0)</f>
        <v>0</v>
      </c>
      <c r="H756" s="49" t="str">
        <f aca="false">IF(ROUND($G756,2)&gt;0,ROUND($G756,2),"")</f>
        <v/>
      </c>
      <c r="I756" s="49" t="str">
        <f aca="false">IF(ROUND($G756,2)&lt;0,-ROUND($G756,2),"")</f>
        <v/>
      </c>
      <c r="J756" s="20" t="n">
        <f aca="false">IF(ROUND($G756,2)=0,0,1)</f>
        <v>0</v>
      </c>
      <c r="K756" s="20" t="str">
        <f aca="false">IF($J756=0,"",SUM($J$756:$J756))</f>
        <v/>
      </c>
      <c r="L756" s="20" t="str">
        <f aca="false">IF($K756="","",$A756*100+$K756)</f>
        <v/>
      </c>
      <c r="M756" s="48" t="str">
        <f aca="false">IFERROR(INDEX(输入报销!$D:$D,MATCH($A756&amp;"-1",输入报销!$J:$J,0))&amp;"","")</f>
        <v/>
      </c>
    </row>
    <row r="757" customFormat="false" ht="13.5" hidden="false" customHeight="false" outlineLevel="0" collapsed="false">
      <c r="A757" s="47" t="n">
        <v>59</v>
      </c>
      <c r="C757" s="48" t="str">
        <f aca="false">助手报销!$C60</f>
        <v/>
      </c>
      <c r="D757" s="81" t="s">
        <v>480</v>
      </c>
      <c r="E757" s="48" t="str">
        <f aca="false">IFERROR(INDEX(输入报销!$E:$E,MATCH($A757&amp;"-2",输入报销!$J:$J,0))&amp;"","")</f>
        <v/>
      </c>
      <c r="F757" s="48" t="str">
        <f aca="false">IFERROR(INDEX(输入报销!$F:$F,MATCH($A757&amp;"-2",输入报销!$J:$J,0))&amp;"","")</f>
        <v/>
      </c>
      <c r="G757" s="49" t="n">
        <f aca="false">IFERROR(ROUND(INDEX(输入报销!$G:$G,MATCH($A757&amp;"-2",输入报销!$J:$J,0)),2),0)</f>
        <v>0</v>
      </c>
      <c r="H757" s="49" t="str">
        <f aca="false">IF(ROUND($G757,2)&gt;0,ROUND($G757,2),"")</f>
        <v/>
      </c>
      <c r="I757" s="49" t="str">
        <f aca="false">IF(ROUND($G757,2)&lt;0,-ROUND($G757,2),"")</f>
        <v/>
      </c>
      <c r="J757" s="20" t="n">
        <f aca="false">IF(ROUND($G757,2)=0,0,1)</f>
        <v>0</v>
      </c>
      <c r="K757" s="20" t="str">
        <f aca="false">IF($J757=0,"",SUM($J$756:$J757))</f>
        <v/>
      </c>
      <c r="L757" s="20" t="str">
        <f aca="false">IF($K757="","",$A757*100+$K757)</f>
        <v/>
      </c>
      <c r="M757" s="48" t="str">
        <f aca="false">IFERROR(INDEX(输入报销!$D:$D,MATCH($A757&amp;"-2",输入报销!$J:$J,0))&amp;"","")</f>
        <v/>
      </c>
    </row>
    <row r="758" customFormat="false" ht="13.5" hidden="false" customHeight="false" outlineLevel="0" collapsed="false">
      <c r="A758" s="47" t="n">
        <v>59</v>
      </c>
      <c r="C758" s="48" t="str">
        <f aca="false">助手报销!$C60</f>
        <v/>
      </c>
      <c r="D758" s="81" t="s">
        <v>481</v>
      </c>
      <c r="E758" s="48" t="str">
        <f aca="false">IFERROR(INDEX(输入报销!$E:$E,MATCH($A758&amp;"-3",输入报销!$J:$J,0))&amp;"","")</f>
        <v/>
      </c>
      <c r="F758" s="48" t="str">
        <f aca="false">IFERROR(INDEX(输入报销!$F:$F,MATCH($A758&amp;"-3",输入报销!$J:$J,0))&amp;"","")</f>
        <v/>
      </c>
      <c r="G758" s="49" t="n">
        <f aca="false">IFERROR(ROUND(INDEX(输入报销!$G:$G,MATCH($A758&amp;"-3",输入报销!$J:$J,0)),2),0)</f>
        <v>0</v>
      </c>
      <c r="H758" s="49" t="str">
        <f aca="false">IF(ROUND($G758,2)&gt;0,ROUND($G758,2),"")</f>
        <v/>
      </c>
      <c r="I758" s="49" t="str">
        <f aca="false">IF(ROUND($G758,2)&lt;0,-ROUND($G758,2),"")</f>
        <v/>
      </c>
      <c r="J758" s="20" t="n">
        <f aca="false">IF(ROUND($G758,2)=0,0,1)</f>
        <v>0</v>
      </c>
      <c r="K758" s="20" t="str">
        <f aca="false">IF($J758=0,"",SUM($J$756:$J758))</f>
        <v/>
      </c>
      <c r="L758" s="20" t="str">
        <f aca="false">IF($K758="","",$A758*100+$K758)</f>
        <v/>
      </c>
      <c r="M758" s="48" t="str">
        <f aca="false">IFERROR(INDEX(输入报销!$D:$D,MATCH($A758&amp;"-3",输入报销!$J:$J,0))&amp;"","")</f>
        <v/>
      </c>
    </row>
    <row r="759" customFormat="false" ht="13.5" hidden="false" customHeight="false" outlineLevel="0" collapsed="false">
      <c r="A759" s="47" t="n">
        <v>59</v>
      </c>
      <c r="C759" s="48" t="str">
        <f aca="false">助手报销!$C60</f>
        <v/>
      </c>
      <c r="D759" s="81" t="s">
        <v>482</v>
      </c>
      <c r="E759" s="48" t="str">
        <f aca="false">IFERROR(INDEX(输入报销!$E:$E,MATCH($A759&amp;"-4",输入报销!$J:$J,0))&amp;"","")</f>
        <v/>
      </c>
      <c r="F759" s="48" t="str">
        <f aca="false">IFERROR(INDEX(输入报销!$F:$F,MATCH($A759&amp;"-4",输入报销!$J:$J,0))&amp;"","")</f>
        <v/>
      </c>
      <c r="G759" s="49" t="n">
        <f aca="false">IFERROR(ROUND(INDEX(输入报销!$G:$G,MATCH($A759&amp;"-4",输入报销!$J:$J,0)),2),0)</f>
        <v>0</v>
      </c>
      <c r="H759" s="49" t="str">
        <f aca="false">IF(ROUND($G759,2)&gt;0,ROUND($G759,2),"")</f>
        <v/>
      </c>
      <c r="I759" s="49" t="str">
        <f aca="false">IF(ROUND($G759,2)&lt;0,-ROUND($G759,2),"")</f>
        <v/>
      </c>
      <c r="J759" s="20" t="n">
        <f aca="false">IF(ROUND($G759,2)=0,0,1)</f>
        <v>0</v>
      </c>
      <c r="K759" s="20" t="str">
        <f aca="false">IF($J759=0,"",SUM($J$756:$J759))</f>
        <v/>
      </c>
      <c r="L759" s="20" t="str">
        <f aca="false">IF($K759="","",$A759*100+$K759)</f>
        <v/>
      </c>
      <c r="M759" s="48" t="str">
        <f aca="false">IFERROR(INDEX(输入报销!$D:$D,MATCH($A759&amp;"-4",输入报销!$J:$J,0))&amp;"","")</f>
        <v/>
      </c>
    </row>
    <row r="760" customFormat="false" ht="13.5" hidden="false" customHeight="false" outlineLevel="0" collapsed="false">
      <c r="A760" s="47" t="n">
        <v>59</v>
      </c>
      <c r="C760" s="48" t="str">
        <f aca="false">助手报销!$C60</f>
        <v/>
      </c>
      <c r="D760" s="81" t="s">
        <v>483</v>
      </c>
      <c r="E760" s="48" t="str">
        <f aca="false">IFERROR(INDEX(输入报销!$E:$E,MATCH($A760&amp;"-5",输入报销!$J:$J,0))&amp;"","")</f>
        <v/>
      </c>
      <c r="F760" s="48" t="str">
        <f aca="false">IFERROR(INDEX(输入报销!$F:$F,MATCH($A760&amp;"-5",输入报销!$J:$J,0))&amp;"","")</f>
        <v/>
      </c>
      <c r="G760" s="49" t="n">
        <f aca="false">IFERROR(ROUND(INDEX(输入报销!$G:$G,MATCH($A760&amp;"-5",输入报销!$J:$J,0)),2),0)</f>
        <v>0</v>
      </c>
      <c r="H760" s="49" t="str">
        <f aca="false">IF(ROUND($G760,2)&gt;0,ROUND($G760,2),"")</f>
        <v/>
      </c>
      <c r="I760" s="49" t="str">
        <f aca="false">IF(ROUND($G760,2)&lt;0,-ROUND($G760,2),"")</f>
        <v/>
      </c>
      <c r="J760" s="20" t="n">
        <f aca="false">IF(ROUND($G760,2)=0,0,1)</f>
        <v>0</v>
      </c>
      <c r="K760" s="20" t="str">
        <f aca="false">IF($J760=0,"",SUM($J$756:$J760))</f>
        <v/>
      </c>
      <c r="L760" s="20" t="str">
        <f aca="false">IF($K760="","",$A760*100+$K760)</f>
        <v/>
      </c>
      <c r="M760" s="48" t="str">
        <f aca="false">IFERROR(INDEX(输入报销!$D:$D,MATCH($A760&amp;"-5",输入报销!$J:$J,0))&amp;"","")</f>
        <v/>
      </c>
    </row>
    <row r="761" customFormat="false" ht="13.5" hidden="false" customHeight="false" outlineLevel="0" collapsed="false">
      <c r="A761" s="47" t="n">
        <v>59</v>
      </c>
      <c r="C761" s="48" t="str">
        <f aca="false">助手报销!$C60</f>
        <v/>
      </c>
      <c r="D761" s="81" t="s">
        <v>484</v>
      </c>
      <c r="E761" s="48" t="str">
        <f aca="false">IFERROR(INDEX(输入报销!$E:$E,MATCH($A761&amp;"-6",输入报销!$J:$J,0))&amp;"","")</f>
        <v/>
      </c>
      <c r="F761" s="48" t="str">
        <f aca="false">IFERROR(INDEX(输入报销!$F:$F,MATCH($A761&amp;"-6",输入报销!$J:$J,0))&amp;"","")</f>
        <v/>
      </c>
      <c r="G761" s="49" t="n">
        <f aca="false">IFERROR(ROUND(INDEX(输入报销!$G:$G,MATCH($A761&amp;"-6",输入报销!$J:$J,0)),2),0)</f>
        <v>0</v>
      </c>
      <c r="H761" s="49" t="str">
        <f aca="false">IF(ROUND($G761,2)&gt;0,ROUND($G761,2),"")</f>
        <v/>
      </c>
      <c r="I761" s="49" t="str">
        <f aca="false">IF(ROUND($G761,2)&lt;0,-ROUND($G761,2),"")</f>
        <v/>
      </c>
      <c r="J761" s="20" t="n">
        <f aca="false">IF(ROUND($G761,2)=0,0,1)</f>
        <v>0</v>
      </c>
      <c r="K761" s="20" t="str">
        <f aca="false">IF($J761=0,"",SUM($J$756:$J761))</f>
        <v/>
      </c>
      <c r="L761" s="20" t="str">
        <f aca="false">IF($K761="","",$A761*100+$K761)</f>
        <v/>
      </c>
      <c r="M761" s="48" t="str">
        <f aca="false">IFERROR(INDEX(输入报销!$D:$D,MATCH($A761&amp;"-6",输入报销!$J:$J,0))&amp;"","")</f>
        <v/>
      </c>
    </row>
    <row r="762" customFormat="false" ht="13.5" hidden="false" customHeight="false" outlineLevel="0" collapsed="false">
      <c r="A762" s="47" t="n">
        <v>59</v>
      </c>
      <c r="C762" s="48" t="str">
        <f aca="false">助手报销!$C60</f>
        <v/>
      </c>
      <c r="D762" s="81" t="s">
        <v>485</v>
      </c>
      <c r="E762" s="48" t="str">
        <f aca="false">IFERROR(INDEX(输入报销!$E:$E,MATCH($A762&amp;"-7",输入报销!$J:$J,0))&amp;"","")</f>
        <v/>
      </c>
      <c r="F762" s="48" t="str">
        <f aca="false">IFERROR(INDEX(输入报销!$F:$F,MATCH($A762&amp;"-7",输入报销!$J:$J,0))&amp;"","")</f>
        <v/>
      </c>
      <c r="G762" s="49" t="n">
        <f aca="false">IFERROR(ROUND(INDEX(输入报销!$G:$G,MATCH($A762&amp;"-7",输入报销!$J:$J,0)),2),0)</f>
        <v>0</v>
      </c>
      <c r="H762" s="49" t="str">
        <f aca="false">IF(ROUND($G762,2)&gt;0,ROUND($G762,2),"")</f>
        <v/>
      </c>
      <c r="I762" s="49" t="str">
        <f aca="false">IF(ROUND($G762,2)&lt;0,-ROUND($G762,2),"")</f>
        <v/>
      </c>
      <c r="J762" s="20" t="n">
        <f aca="false">IF(ROUND($G762,2)=0,0,1)</f>
        <v>0</v>
      </c>
      <c r="K762" s="20" t="str">
        <f aca="false">IF($J762=0,"",SUM($J$756:$J762))</f>
        <v/>
      </c>
      <c r="L762" s="20" t="str">
        <f aca="false">IF($K762="","",$A762*100+$K762)</f>
        <v/>
      </c>
      <c r="M762" s="48" t="str">
        <f aca="false">IFERROR(INDEX(输入报销!$D:$D,MATCH($A762&amp;"-7",输入报销!$J:$J,0))&amp;"","")</f>
        <v/>
      </c>
    </row>
    <row r="763" customFormat="false" ht="13.5" hidden="false" customHeight="false" outlineLevel="0" collapsed="false">
      <c r="A763" s="47" t="n">
        <v>59</v>
      </c>
      <c r="C763" s="48" t="str">
        <f aca="false">助手报销!$C60</f>
        <v/>
      </c>
      <c r="D763" s="81" t="s">
        <v>486</v>
      </c>
      <c r="E763" s="48" t="str">
        <f aca="false">IFERROR(INDEX(输入报销!$E:$E,MATCH($A763&amp;"-8",输入报销!$J:$J,0))&amp;"","")</f>
        <v/>
      </c>
      <c r="F763" s="48" t="str">
        <f aca="false">IFERROR(INDEX(输入报销!$F:$F,MATCH($A763&amp;"-8",输入报销!$J:$J,0))&amp;"","")</f>
        <v/>
      </c>
      <c r="G763" s="49" t="n">
        <f aca="false">IFERROR(ROUND(INDEX(输入报销!$G:$G,MATCH($A763&amp;"-8",输入报销!$J:$J,0)),2),0)</f>
        <v>0</v>
      </c>
      <c r="H763" s="49" t="str">
        <f aca="false">IF(ROUND($G763,2)&gt;0,ROUND($G763,2),"")</f>
        <v/>
      </c>
      <c r="I763" s="49" t="str">
        <f aca="false">IF(ROUND($G763,2)&lt;0,-ROUND($G763,2),"")</f>
        <v/>
      </c>
      <c r="J763" s="20" t="n">
        <f aca="false">IF(ROUND($G763,2)=0,0,1)</f>
        <v>0</v>
      </c>
      <c r="K763" s="20" t="str">
        <f aca="false">IF($J763=0,"",SUM($J$756:$J763))</f>
        <v/>
      </c>
      <c r="L763" s="20" t="str">
        <f aca="false">IF($K763="","",$A763*100+$K763)</f>
        <v/>
      </c>
      <c r="M763" s="48" t="str">
        <f aca="false">IFERROR(INDEX(输入报销!$D:$D,MATCH($A763&amp;"-8",输入报销!$J:$J,0))&amp;"","")</f>
        <v/>
      </c>
    </row>
    <row r="764" customFormat="false" ht="13.5" hidden="false" customHeight="false" outlineLevel="0" collapsed="false">
      <c r="A764" s="47" t="n">
        <v>59</v>
      </c>
      <c r="C764" s="48" t="str">
        <f aca="false">助手报销!$C60</f>
        <v/>
      </c>
      <c r="D764" s="81" t="s">
        <v>487</v>
      </c>
      <c r="E764" s="48" t="str">
        <f aca="false">IFERROR(INDEX(输入报销!$E:$E,MATCH($A764&amp;"-9",输入报销!$J:$J,0))&amp;"","")</f>
        <v/>
      </c>
      <c r="F764" s="48" t="str">
        <f aca="false">IFERROR(INDEX(输入报销!$F:$F,MATCH($A764&amp;"-9",输入报销!$J:$J,0))&amp;"","")</f>
        <v/>
      </c>
      <c r="G764" s="49" t="n">
        <f aca="false">IFERROR(ROUND(INDEX(输入报销!$G:$G,MATCH($A764&amp;"-9",输入报销!$J:$J,0)),2),0)</f>
        <v>0</v>
      </c>
      <c r="H764" s="49" t="str">
        <f aca="false">IF(ROUND($G764,2)&gt;0,ROUND($G764,2),"")</f>
        <v/>
      </c>
      <c r="I764" s="49" t="str">
        <f aca="false">IF(ROUND($G764,2)&lt;0,-ROUND($G764,2),"")</f>
        <v/>
      </c>
      <c r="J764" s="20" t="n">
        <f aca="false">IF(ROUND($G764,2)=0,0,1)</f>
        <v>0</v>
      </c>
      <c r="K764" s="20" t="str">
        <f aca="false">IF($J764=0,"",SUM($J$756:$J764))</f>
        <v/>
      </c>
      <c r="L764" s="20" t="str">
        <f aca="false">IF($K764="","",$A764*100+$K764)</f>
        <v/>
      </c>
      <c r="M764" s="48" t="str">
        <f aca="false">IFERROR(INDEX(输入报销!$D:$D,MATCH($A764&amp;"-9",输入报销!$J:$J,0))&amp;"","")</f>
        <v/>
      </c>
    </row>
    <row r="765" customFormat="false" ht="13.5" hidden="false" customHeight="false" outlineLevel="0" collapsed="false">
      <c r="A765" s="47" t="n">
        <v>59</v>
      </c>
      <c r="C765" s="48" t="str">
        <f aca="false">助手报销!$C60</f>
        <v/>
      </c>
      <c r="D765" s="81" t="s">
        <v>488</v>
      </c>
      <c r="E765" s="48" t="str">
        <f aca="false">IFERROR(INDEX(输入报销!$E:$E,MATCH($A765&amp;"-10",输入报销!$J:$J,0))&amp;"","")</f>
        <v/>
      </c>
      <c r="F765" s="48" t="str">
        <f aca="false">IFERROR(INDEX(输入报销!$F:$F,MATCH($A765&amp;"-10",输入报销!$J:$J,0))&amp;"","")</f>
        <v/>
      </c>
      <c r="G765" s="49" t="n">
        <f aca="false">IFERROR(ROUND(INDEX(输入报销!$G:$G,MATCH($A765&amp;"-10",输入报销!$J:$J,0)),2),0)</f>
        <v>0</v>
      </c>
      <c r="H765" s="49" t="str">
        <f aca="false">IF(ROUND($G765,2)&gt;0,ROUND($G765,2),"")</f>
        <v/>
      </c>
      <c r="I765" s="49" t="str">
        <f aca="false">IF(ROUND($G765,2)&lt;0,-ROUND($G765,2),"")</f>
        <v/>
      </c>
      <c r="J765" s="20" t="n">
        <f aca="false">IF(ROUND($G765,2)=0,0,1)</f>
        <v>0</v>
      </c>
      <c r="K765" s="20" t="str">
        <f aca="false">IF($J765=0,"",SUM($J$756:$J765))</f>
        <v/>
      </c>
      <c r="L765" s="20" t="str">
        <f aca="false">IF($K765="","",$A765*100+$K765)</f>
        <v/>
      </c>
      <c r="M765" s="48" t="str">
        <f aca="false">IFERROR(INDEX(输入报销!$D:$D,MATCH($A765&amp;"-10",输入报销!$J:$J,0))&amp;"","")</f>
        <v/>
      </c>
    </row>
    <row r="766" customFormat="false" ht="13.5" hidden="false" customHeight="false" outlineLevel="0" collapsed="false">
      <c r="A766" s="47" t="n">
        <v>59</v>
      </c>
      <c r="C766" s="48" t="str">
        <f aca="false">助手报销!$C60</f>
        <v/>
      </c>
      <c r="D766" s="81" t="s">
        <v>489</v>
      </c>
      <c r="E766" s="48" t="str">
        <f aca="false">参数!$B$6</f>
        <v>库存现金</v>
      </c>
      <c r="F766" s="48" t="str">
        <f aca="false">""</f>
        <v/>
      </c>
      <c r="G766" s="49" t="n">
        <f aca="false">-ROUND(SUMIFS(输入报销!$G:$G,输入报销!$A:$A,$A766,输入报销!$H:$H,参数!$B$6),2)</f>
        <v>-0</v>
      </c>
      <c r="H766" s="49" t="str">
        <f aca="false">IF(ROUND($G766,2)&gt;0,ROUND($G766,2),"")</f>
        <v/>
      </c>
      <c r="I766" s="49" t="str">
        <f aca="false">IF(ROUND($G766,2)&lt;0,-ROUND($G766,2),"")</f>
        <v/>
      </c>
      <c r="J766" s="20" t="n">
        <f aca="false">IF(ROUND($G766,2)=0,0,1)</f>
        <v>0</v>
      </c>
      <c r="K766" s="20" t="str">
        <f aca="false">IF($J766=0,"",SUM($J$756:$J766))</f>
        <v/>
      </c>
      <c r="L766" s="20" t="str">
        <f aca="false">IF($K766="","",$A766*100+$K766)</f>
        <v/>
      </c>
      <c r="M766" s="48" t="str">
        <f aca="false">""</f>
        <v/>
      </c>
    </row>
    <row r="767" customFormat="false" ht="13.5" hidden="false" customHeight="false" outlineLevel="0" collapsed="false">
      <c r="A767" s="47" t="n">
        <v>59</v>
      </c>
      <c r="C767" s="48" t="str">
        <f aca="false">助手报销!$C60</f>
        <v/>
      </c>
      <c r="D767" s="81" t="s">
        <v>490</v>
      </c>
      <c r="E767" s="48" t="str">
        <f aca="false">参数!$B$7</f>
        <v>银行存款</v>
      </c>
      <c r="F767" s="48" t="str">
        <f aca="false">""</f>
        <v/>
      </c>
      <c r="G767" s="49" t="n">
        <f aca="false">-ROUND(SUMIFS(输入报销!$G:$G,输入报销!$A:$A,$A767,输入报销!$H:$H,参数!$B$7),2)</f>
        <v>-0</v>
      </c>
      <c r="H767" s="49" t="str">
        <f aca="false">IF(ROUND($G767,2)&gt;0,ROUND($G767,2),"")</f>
        <v/>
      </c>
      <c r="I767" s="49" t="str">
        <f aca="false">IF(ROUND($G767,2)&lt;0,-ROUND($G767,2),"")</f>
        <v/>
      </c>
      <c r="J767" s="20" t="n">
        <f aca="false">IF(ROUND($G767,2)=0,0,1)</f>
        <v>0</v>
      </c>
      <c r="K767" s="20" t="str">
        <f aca="false">IF($J767=0,"",SUM($J$756:$J767))</f>
        <v/>
      </c>
      <c r="L767" s="20" t="str">
        <f aca="false">IF($K767="","",$A767*100+$K767)</f>
        <v/>
      </c>
      <c r="M767" s="48" t="str">
        <f aca="false">""</f>
        <v/>
      </c>
    </row>
    <row r="768" customFormat="false" ht="13.5" hidden="false" customHeight="false" outlineLevel="0" collapsed="false">
      <c r="A768" s="47" t="n">
        <v>59</v>
      </c>
      <c r="C768" s="48" t="str">
        <f aca="false">助手报销!$C60</f>
        <v/>
      </c>
      <c r="D768" s="81" t="s">
        <v>491</v>
      </c>
      <c r="E768" s="48" t="str">
        <f aca="false">参数!$B$8</f>
        <v>其他应付款</v>
      </c>
      <c r="F768" s="48" t="str">
        <f aca="false">""</f>
        <v/>
      </c>
      <c r="G768" s="49" t="n">
        <f aca="false">-ROUND(SUMIFS(输入报销!$G:$G,输入报销!$A:$A,$A768,输入报销!$H:$H,参数!$B$8),2)</f>
        <v>-0</v>
      </c>
      <c r="H768" s="49" t="str">
        <f aca="false">IF(ROUND($G768,2)&gt;0,ROUND($G768,2),"")</f>
        <v/>
      </c>
      <c r="I768" s="49" t="str">
        <f aca="false">IF(ROUND($G768,2)&lt;0,-ROUND($G768,2),"")</f>
        <v/>
      </c>
      <c r="J768" s="20" t="n">
        <f aca="false">IF(ROUND($G768,2)=0,0,1)</f>
        <v>0</v>
      </c>
      <c r="K768" s="20" t="str">
        <f aca="false">IF($J768=0,"",SUM($J$756:$J768))</f>
        <v/>
      </c>
      <c r="L768" s="20" t="str">
        <f aca="false">IF($K768="","",$A768*100+$K768)</f>
        <v/>
      </c>
      <c r="M768" s="48" t="str">
        <f aca="false">""</f>
        <v/>
      </c>
    </row>
    <row r="769" customFormat="false" ht="13.5" hidden="false" customHeight="false" outlineLevel="0" collapsed="false">
      <c r="A769" s="47" t="n">
        <v>60</v>
      </c>
      <c r="C769" s="48" t="str">
        <f aca="false">助手报销!$C61</f>
        <v/>
      </c>
      <c r="D769" s="81" t="s">
        <v>479</v>
      </c>
      <c r="E769" s="48" t="str">
        <f aca="false">IFERROR(INDEX(输入报销!$E:$E,MATCH($A769&amp;"-1",输入报销!$J:$J,0))&amp;"","")</f>
        <v/>
      </c>
      <c r="F769" s="48" t="str">
        <f aca="false">IFERROR(INDEX(输入报销!$F:$F,MATCH($A769&amp;"-1",输入报销!$J:$J,0))&amp;"","")</f>
        <v/>
      </c>
      <c r="G769" s="49" t="n">
        <f aca="false">IFERROR(ROUND(INDEX(输入报销!$G:$G,MATCH($A769&amp;"-1",输入报销!$J:$J,0)),2),0)</f>
        <v>0</v>
      </c>
      <c r="H769" s="49" t="str">
        <f aca="false">IF(ROUND($G769,2)&gt;0,ROUND($G769,2),"")</f>
        <v/>
      </c>
      <c r="I769" s="49" t="str">
        <f aca="false">IF(ROUND($G769,2)&lt;0,-ROUND($G769,2),"")</f>
        <v/>
      </c>
      <c r="J769" s="20" t="n">
        <f aca="false">IF(ROUND($G769,2)=0,0,1)</f>
        <v>0</v>
      </c>
      <c r="K769" s="20" t="str">
        <f aca="false">IF($J769=0,"",SUM($J$769:$J769))</f>
        <v/>
      </c>
      <c r="L769" s="20" t="str">
        <f aca="false">IF($K769="","",$A769*100+$K769)</f>
        <v/>
      </c>
      <c r="M769" s="48" t="str">
        <f aca="false">IFERROR(INDEX(输入报销!$D:$D,MATCH($A769&amp;"-1",输入报销!$J:$J,0))&amp;"","")</f>
        <v/>
      </c>
    </row>
    <row r="770" customFormat="false" ht="13.5" hidden="false" customHeight="false" outlineLevel="0" collapsed="false">
      <c r="A770" s="47" t="n">
        <v>60</v>
      </c>
      <c r="C770" s="48" t="str">
        <f aca="false">助手报销!$C61</f>
        <v/>
      </c>
      <c r="D770" s="81" t="s">
        <v>480</v>
      </c>
      <c r="E770" s="48" t="str">
        <f aca="false">IFERROR(INDEX(输入报销!$E:$E,MATCH($A770&amp;"-2",输入报销!$J:$J,0))&amp;"","")</f>
        <v/>
      </c>
      <c r="F770" s="48" t="str">
        <f aca="false">IFERROR(INDEX(输入报销!$F:$F,MATCH($A770&amp;"-2",输入报销!$J:$J,0))&amp;"","")</f>
        <v/>
      </c>
      <c r="G770" s="49" t="n">
        <f aca="false">IFERROR(ROUND(INDEX(输入报销!$G:$G,MATCH($A770&amp;"-2",输入报销!$J:$J,0)),2),0)</f>
        <v>0</v>
      </c>
      <c r="H770" s="49" t="str">
        <f aca="false">IF(ROUND($G770,2)&gt;0,ROUND($G770,2),"")</f>
        <v/>
      </c>
      <c r="I770" s="49" t="str">
        <f aca="false">IF(ROUND($G770,2)&lt;0,-ROUND($G770,2),"")</f>
        <v/>
      </c>
      <c r="J770" s="20" t="n">
        <f aca="false">IF(ROUND($G770,2)=0,0,1)</f>
        <v>0</v>
      </c>
      <c r="K770" s="20" t="str">
        <f aca="false">IF($J770=0,"",SUM($J$769:$J770))</f>
        <v/>
      </c>
      <c r="L770" s="20" t="str">
        <f aca="false">IF($K770="","",$A770*100+$K770)</f>
        <v/>
      </c>
      <c r="M770" s="48" t="str">
        <f aca="false">IFERROR(INDEX(输入报销!$D:$D,MATCH($A770&amp;"-2",输入报销!$J:$J,0))&amp;"","")</f>
        <v/>
      </c>
    </row>
    <row r="771" customFormat="false" ht="13.5" hidden="false" customHeight="false" outlineLevel="0" collapsed="false">
      <c r="A771" s="47" t="n">
        <v>60</v>
      </c>
      <c r="C771" s="48" t="str">
        <f aca="false">助手报销!$C61</f>
        <v/>
      </c>
      <c r="D771" s="81" t="s">
        <v>481</v>
      </c>
      <c r="E771" s="48" t="str">
        <f aca="false">IFERROR(INDEX(输入报销!$E:$E,MATCH($A771&amp;"-3",输入报销!$J:$J,0))&amp;"","")</f>
        <v/>
      </c>
      <c r="F771" s="48" t="str">
        <f aca="false">IFERROR(INDEX(输入报销!$F:$F,MATCH($A771&amp;"-3",输入报销!$J:$J,0))&amp;"","")</f>
        <v/>
      </c>
      <c r="G771" s="49" t="n">
        <f aca="false">IFERROR(ROUND(INDEX(输入报销!$G:$G,MATCH($A771&amp;"-3",输入报销!$J:$J,0)),2),0)</f>
        <v>0</v>
      </c>
      <c r="H771" s="49" t="str">
        <f aca="false">IF(ROUND($G771,2)&gt;0,ROUND($G771,2),"")</f>
        <v/>
      </c>
      <c r="I771" s="49" t="str">
        <f aca="false">IF(ROUND($G771,2)&lt;0,-ROUND($G771,2),"")</f>
        <v/>
      </c>
      <c r="J771" s="20" t="n">
        <f aca="false">IF(ROUND($G771,2)=0,0,1)</f>
        <v>0</v>
      </c>
      <c r="K771" s="20" t="str">
        <f aca="false">IF($J771=0,"",SUM($J$769:$J771))</f>
        <v/>
      </c>
      <c r="L771" s="20" t="str">
        <f aca="false">IF($K771="","",$A771*100+$K771)</f>
        <v/>
      </c>
      <c r="M771" s="48" t="str">
        <f aca="false">IFERROR(INDEX(输入报销!$D:$D,MATCH($A771&amp;"-3",输入报销!$J:$J,0))&amp;"","")</f>
        <v/>
      </c>
    </row>
    <row r="772" customFormat="false" ht="13.5" hidden="false" customHeight="false" outlineLevel="0" collapsed="false">
      <c r="A772" s="47" t="n">
        <v>60</v>
      </c>
      <c r="C772" s="48" t="str">
        <f aca="false">助手报销!$C61</f>
        <v/>
      </c>
      <c r="D772" s="81" t="s">
        <v>482</v>
      </c>
      <c r="E772" s="48" t="str">
        <f aca="false">IFERROR(INDEX(输入报销!$E:$E,MATCH($A772&amp;"-4",输入报销!$J:$J,0))&amp;"","")</f>
        <v/>
      </c>
      <c r="F772" s="48" t="str">
        <f aca="false">IFERROR(INDEX(输入报销!$F:$F,MATCH($A772&amp;"-4",输入报销!$J:$J,0))&amp;"","")</f>
        <v/>
      </c>
      <c r="G772" s="49" t="n">
        <f aca="false">IFERROR(ROUND(INDEX(输入报销!$G:$G,MATCH($A772&amp;"-4",输入报销!$J:$J,0)),2),0)</f>
        <v>0</v>
      </c>
      <c r="H772" s="49" t="str">
        <f aca="false">IF(ROUND($G772,2)&gt;0,ROUND($G772,2),"")</f>
        <v/>
      </c>
      <c r="I772" s="49" t="str">
        <f aca="false">IF(ROUND($G772,2)&lt;0,-ROUND($G772,2),"")</f>
        <v/>
      </c>
      <c r="J772" s="20" t="n">
        <f aca="false">IF(ROUND($G772,2)=0,0,1)</f>
        <v>0</v>
      </c>
      <c r="K772" s="20" t="str">
        <f aca="false">IF($J772=0,"",SUM($J$769:$J772))</f>
        <v/>
      </c>
      <c r="L772" s="20" t="str">
        <f aca="false">IF($K772="","",$A772*100+$K772)</f>
        <v/>
      </c>
      <c r="M772" s="48" t="str">
        <f aca="false">IFERROR(INDEX(输入报销!$D:$D,MATCH($A772&amp;"-4",输入报销!$J:$J,0))&amp;"","")</f>
        <v/>
      </c>
    </row>
    <row r="773" customFormat="false" ht="13.5" hidden="false" customHeight="false" outlineLevel="0" collapsed="false">
      <c r="A773" s="47" t="n">
        <v>60</v>
      </c>
      <c r="C773" s="48" t="str">
        <f aca="false">助手报销!$C61</f>
        <v/>
      </c>
      <c r="D773" s="81" t="s">
        <v>483</v>
      </c>
      <c r="E773" s="48" t="str">
        <f aca="false">IFERROR(INDEX(输入报销!$E:$E,MATCH($A773&amp;"-5",输入报销!$J:$J,0))&amp;"","")</f>
        <v/>
      </c>
      <c r="F773" s="48" t="str">
        <f aca="false">IFERROR(INDEX(输入报销!$F:$F,MATCH($A773&amp;"-5",输入报销!$J:$J,0))&amp;"","")</f>
        <v/>
      </c>
      <c r="G773" s="49" t="n">
        <f aca="false">IFERROR(ROUND(INDEX(输入报销!$G:$G,MATCH($A773&amp;"-5",输入报销!$J:$J,0)),2),0)</f>
        <v>0</v>
      </c>
      <c r="H773" s="49" t="str">
        <f aca="false">IF(ROUND($G773,2)&gt;0,ROUND($G773,2),"")</f>
        <v/>
      </c>
      <c r="I773" s="49" t="str">
        <f aca="false">IF(ROUND($G773,2)&lt;0,-ROUND($G773,2),"")</f>
        <v/>
      </c>
      <c r="J773" s="20" t="n">
        <f aca="false">IF(ROUND($G773,2)=0,0,1)</f>
        <v>0</v>
      </c>
      <c r="K773" s="20" t="str">
        <f aca="false">IF($J773=0,"",SUM($J$769:$J773))</f>
        <v/>
      </c>
      <c r="L773" s="20" t="str">
        <f aca="false">IF($K773="","",$A773*100+$K773)</f>
        <v/>
      </c>
      <c r="M773" s="48" t="str">
        <f aca="false">IFERROR(INDEX(输入报销!$D:$D,MATCH($A773&amp;"-5",输入报销!$J:$J,0))&amp;"","")</f>
        <v/>
      </c>
    </row>
    <row r="774" customFormat="false" ht="13.5" hidden="false" customHeight="false" outlineLevel="0" collapsed="false">
      <c r="A774" s="47" t="n">
        <v>60</v>
      </c>
      <c r="C774" s="48" t="str">
        <f aca="false">助手报销!$C61</f>
        <v/>
      </c>
      <c r="D774" s="81" t="s">
        <v>484</v>
      </c>
      <c r="E774" s="48" t="str">
        <f aca="false">IFERROR(INDEX(输入报销!$E:$E,MATCH($A774&amp;"-6",输入报销!$J:$J,0))&amp;"","")</f>
        <v/>
      </c>
      <c r="F774" s="48" t="str">
        <f aca="false">IFERROR(INDEX(输入报销!$F:$F,MATCH($A774&amp;"-6",输入报销!$J:$J,0))&amp;"","")</f>
        <v/>
      </c>
      <c r="G774" s="49" t="n">
        <f aca="false">IFERROR(ROUND(INDEX(输入报销!$G:$G,MATCH($A774&amp;"-6",输入报销!$J:$J,0)),2),0)</f>
        <v>0</v>
      </c>
      <c r="H774" s="49" t="str">
        <f aca="false">IF(ROUND($G774,2)&gt;0,ROUND($G774,2),"")</f>
        <v/>
      </c>
      <c r="I774" s="49" t="str">
        <f aca="false">IF(ROUND($G774,2)&lt;0,-ROUND($G774,2),"")</f>
        <v/>
      </c>
      <c r="J774" s="20" t="n">
        <f aca="false">IF(ROUND($G774,2)=0,0,1)</f>
        <v>0</v>
      </c>
      <c r="K774" s="20" t="str">
        <f aca="false">IF($J774=0,"",SUM($J$769:$J774))</f>
        <v/>
      </c>
      <c r="L774" s="20" t="str">
        <f aca="false">IF($K774="","",$A774*100+$K774)</f>
        <v/>
      </c>
      <c r="M774" s="48" t="str">
        <f aca="false">IFERROR(INDEX(输入报销!$D:$D,MATCH($A774&amp;"-6",输入报销!$J:$J,0))&amp;"","")</f>
        <v/>
      </c>
    </row>
    <row r="775" customFormat="false" ht="13.5" hidden="false" customHeight="false" outlineLevel="0" collapsed="false">
      <c r="A775" s="47" t="n">
        <v>60</v>
      </c>
      <c r="C775" s="48" t="str">
        <f aca="false">助手报销!$C61</f>
        <v/>
      </c>
      <c r="D775" s="81" t="s">
        <v>485</v>
      </c>
      <c r="E775" s="48" t="str">
        <f aca="false">IFERROR(INDEX(输入报销!$E:$E,MATCH($A775&amp;"-7",输入报销!$J:$J,0))&amp;"","")</f>
        <v/>
      </c>
      <c r="F775" s="48" t="str">
        <f aca="false">IFERROR(INDEX(输入报销!$F:$F,MATCH($A775&amp;"-7",输入报销!$J:$J,0))&amp;"","")</f>
        <v/>
      </c>
      <c r="G775" s="49" t="n">
        <f aca="false">IFERROR(ROUND(INDEX(输入报销!$G:$G,MATCH($A775&amp;"-7",输入报销!$J:$J,0)),2),0)</f>
        <v>0</v>
      </c>
      <c r="H775" s="49" t="str">
        <f aca="false">IF(ROUND($G775,2)&gt;0,ROUND($G775,2),"")</f>
        <v/>
      </c>
      <c r="I775" s="49" t="str">
        <f aca="false">IF(ROUND($G775,2)&lt;0,-ROUND($G775,2),"")</f>
        <v/>
      </c>
      <c r="J775" s="20" t="n">
        <f aca="false">IF(ROUND($G775,2)=0,0,1)</f>
        <v>0</v>
      </c>
      <c r="K775" s="20" t="str">
        <f aca="false">IF($J775=0,"",SUM($J$769:$J775))</f>
        <v/>
      </c>
      <c r="L775" s="20" t="str">
        <f aca="false">IF($K775="","",$A775*100+$K775)</f>
        <v/>
      </c>
      <c r="M775" s="48" t="str">
        <f aca="false">IFERROR(INDEX(输入报销!$D:$D,MATCH($A775&amp;"-7",输入报销!$J:$J,0))&amp;"","")</f>
        <v/>
      </c>
    </row>
    <row r="776" customFormat="false" ht="13.5" hidden="false" customHeight="false" outlineLevel="0" collapsed="false">
      <c r="A776" s="47" t="n">
        <v>60</v>
      </c>
      <c r="C776" s="48" t="str">
        <f aca="false">助手报销!$C61</f>
        <v/>
      </c>
      <c r="D776" s="81" t="s">
        <v>486</v>
      </c>
      <c r="E776" s="48" t="str">
        <f aca="false">IFERROR(INDEX(输入报销!$E:$E,MATCH($A776&amp;"-8",输入报销!$J:$J,0))&amp;"","")</f>
        <v/>
      </c>
      <c r="F776" s="48" t="str">
        <f aca="false">IFERROR(INDEX(输入报销!$F:$F,MATCH($A776&amp;"-8",输入报销!$J:$J,0))&amp;"","")</f>
        <v/>
      </c>
      <c r="G776" s="49" t="n">
        <f aca="false">IFERROR(ROUND(INDEX(输入报销!$G:$G,MATCH($A776&amp;"-8",输入报销!$J:$J,0)),2),0)</f>
        <v>0</v>
      </c>
      <c r="H776" s="49" t="str">
        <f aca="false">IF(ROUND($G776,2)&gt;0,ROUND($G776,2),"")</f>
        <v/>
      </c>
      <c r="I776" s="49" t="str">
        <f aca="false">IF(ROUND($G776,2)&lt;0,-ROUND($G776,2),"")</f>
        <v/>
      </c>
      <c r="J776" s="20" t="n">
        <f aca="false">IF(ROUND($G776,2)=0,0,1)</f>
        <v>0</v>
      </c>
      <c r="K776" s="20" t="str">
        <f aca="false">IF($J776=0,"",SUM($J$769:$J776))</f>
        <v/>
      </c>
      <c r="L776" s="20" t="str">
        <f aca="false">IF($K776="","",$A776*100+$K776)</f>
        <v/>
      </c>
      <c r="M776" s="48" t="str">
        <f aca="false">IFERROR(INDEX(输入报销!$D:$D,MATCH($A776&amp;"-8",输入报销!$J:$J,0))&amp;"","")</f>
        <v/>
      </c>
    </row>
    <row r="777" customFormat="false" ht="13.5" hidden="false" customHeight="false" outlineLevel="0" collapsed="false">
      <c r="A777" s="47" t="n">
        <v>60</v>
      </c>
      <c r="C777" s="48" t="str">
        <f aca="false">助手报销!$C61</f>
        <v/>
      </c>
      <c r="D777" s="81" t="s">
        <v>487</v>
      </c>
      <c r="E777" s="48" t="str">
        <f aca="false">IFERROR(INDEX(输入报销!$E:$E,MATCH($A777&amp;"-9",输入报销!$J:$J,0))&amp;"","")</f>
        <v/>
      </c>
      <c r="F777" s="48" t="str">
        <f aca="false">IFERROR(INDEX(输入报销!$F:$F,MATCH($A777&amp;"-9",输入报销!$J:$J,0))&amp;"","")</f>
        <v/>
      </c>
      <c r="G777" s="49" t="n">
        <f aca="false">IFERROR(ROUND(INDEX(输入报销!$G:$G,MATCH($A777&amp;"-9",输入报销!$J:$J,0)),2),0)</f>
        <v>0</v>
      </c>
      <c r="H777" s="49" t="str">
        <f aca="false">IF(ROUND($G777,2)&gt;0,ROUND($G777,2),"")</f>
        <v/>
      </c>
      <c r="I777" s="49" t="str">
        <f aca="false">IF(ROUND($G777,2)&lt;0,-ROUND($G777,2),"")</f>
        <v/>
      </c>
      <c r="J777" s="20" t="n">
        <f aca="false">IF(ROUND($G777,2)=0,0,1)</f>
        <v>0</v>
      </c>
      <c r="K777" s="20" t="str">
        <f aca="false">IF($J777=0,"",SUM($J$769:$J777))</f>
        <v/>
      </c>
      <c r="L777" s="20" t="str">
        <f aca="false">IF($K777="","",$A777*100+$K777)</f>
        <v/>
      </c>
      <c r="M777" s="48" t="str">
        <f aca="false">IFERROR(INDEX(输入报销!$D:$D,MATCH($A777&amp;"-9",输入报销!$J:$J,0))&amp;"","")</f>
        <v/>
      </c>
    </row>
    <row r="778" customFormat="false" ht="13.5" hidden="false" customHeight="false" outlineLevel="0" collapsed="false">
      <c r="A778" s="47" t="n">
        <v>60</v>
      </c>
      <c r="C778" s="48" t="str">
        <f aca="false">助手报销!$C61</f>
        <v/>
      </c>
      <c r="D778" s="81" t="s">
        <v>488</v>
      </c>
      <c r="E778" s="48" t="str">
        <f aca="false">IFERROR(INDEX(输入报销!$E:$E,MATCH($A778&amp;"-10",输入报销!$J:$J,0))&amp;"","")</f>
        <v/>
      </c>
      <c r="F778" s="48" t="str">
        <f aca="false">IFERROR(INDEX(输入报销!$F:$F,MATCH($A778&amp;"-10",输入报销!$J:$J,0))&amp;"","")</f>
        <v/>
      </c>
      <c r="G778" s="49" t="n">
        <f aca="false">IFERROR(ROUND(INDEX(输入报销!$G:$G,MATCH($A778&amp;"-10",输入报销!$J:$J,0)),2),0)</f>
        <v>0</v>
      </c>
      <c r="H778" s="49" t="str">
        <f aca="false">IF(ROUND($G778,2)&gt;0,ROUND($G778,2),"")</f>
        <v/>
      </c>
      <c r="I778" s="49" t="str">
        <f aca="false">IF(ROUND($G778,2)&lt;0,-ROUND($G778,2),"")</f>
        <v/>
      </c>
      <c r="J778" s="20" t="n">
        <f aca="false">IF(ROUND($G778,2)=0,0,1)</f>
        <v>0</v>
      </c>
      <c r="K778" s="20" t="str">
        <f aca="false">IF($J778=0,"",SUM($J$769:$J778))</f>
        <v/>
      </c>
      <c r="L778" s="20" t="str">
        <f aca="false">IF($K778="","",$A778*100+$K778)</f>
        <v/>
      </c>
      <c r="M778" s="48" t="str">
        <f aca="false">IFERROR(INDEX(输入报销!$D:$D,MATCH($A778&amp;"-10",输入报销!$J:$J,0))&amp;"","")</f>
        <v/>
      </c>
    </row>
    <row r="779" customFormat="false" ht="13.5" hidden="false" customHeight="false" outlineLevel="0" collapsed="false">
      <c r="A779" s="47" t="n">
        <v>60</v>
      </c>
      <c r="C779" s="48" t="str">
        <f aca="false">助手报销!$C61</f>
        <v/>
      </c>
      <c r="D779" s="81" t="s">
        <v>489</v>
      </c>
      <c r="E779" s="48" t="str">
        <f aca="false">参数!$B$6</f>
        <v>库存现金</v>
      </c>
      <c r="F779" s="48" t="str">
        <f aca="false">""</f>
        <v/>
      </c>
      <c r="G779" s="49" t="n">
        <f aca="false">-ROUND(SUMIFS(输入报销!$G:$G,输入报销!$A:$A,$A779,输入报销!$H:$H,参数!$B$6),2)</f>
        <v>-0</v>
      </c>
      <c r="H779" s="49" t="str">
        <f aca="false">IF(ROUND($G779,2)&gt;0,ROUND($G779,2),"")</f>
        <v/>
      </c>
      <c r="I779" s="49" t="str">
        <f aca="false">IF(ROUND($G779,2)&lt;0,-ROUND($G779,2),"")</f>
        <v/>
      </c>
      <c r="J779" s="20" t="n">
        <f aca="false">IF(ROUND($G779,2)=0,0,1)</f>
        <v>0</v>
      </c>
      <c r="K779" s="20" t="str">
        <f aca="false">IF($J779=0,"",SUM($J$769:$J779))</f>
        <v/>
      </c>
      <c r="L779" s="20" t="str">
        <f aca="false">IF($K779="","",$A779*100+$K779)</f>
        <v/>
      </c>
      <c r="M779" s="48" t="str">
        <f aca="false">""</f>
        <v/>
      </c>
    </row>
    <row r="780" customFormat="false" ht="13.5" hidden="false" customHeight="false" outlineLevel="0" collapsed="false">
      <c r="A780" s="47" t="n">
        <v>60</v>
      </c>
      <c r="C780" s="48" t="str">
        <f aca="false">助手报销!$C61</f>
        <v/>
      </c>
      <c r="D780" s="81" t="s">
        <v>490</v>
      </c>
      <c r="E780" s="48" t="str">
        <f aca="false">参数!$B$7</f>
        <v>银行存款</v>
      </c>
      <c r="F780" s="48" t="str">
        <f aca="false">""</f>
        <v/>
      </c>
      <c r="G780" s="49" t="n">
        <f aca="false">-ROUND(SUMIFS(输入报销!$G:$G,输入报销!$A:$A,$A780,输入报销!$H:$H,参数!$B$7),2)</f>
        <v>-0</v>
      </c>
      <c r="H780" s="49" t="str">
        <f aca="false">IF(ROUND($G780,2)&gt;0,ROUND($G780,2),"")</f>
        <v/>
      </c>
      <c r="I780" s="49" t="str">
        <f aca="false">IF(ROUND($G780,2)&lt;0,-ROUND($G780,2),"")</f>
        <v/>
      </c>
      <c r="J780" s="20" t="n">
        <f aca="false">IF(ROUND($G780,2)=0,0,1)</f>
        <v>0</v>
      </c>
      <c r="K780" s="20" t="str">
        <f aca="false">IF($J780=0,"",SUM($J$769:$J780))</f>
        <v/>
      </c>
      <c r="L780" s="20" t="str">
        <f aca="false">IF($K780="","",$A780*100+$K780)</f>
        <v/>
      </c>
      <c r="M780" s="48" t="str">
        <f aca="false">""</f>
        <v/>
      </c>
    </row>
    <row r="781" customFormat="false" ht="13.5" hidden="false" customHeight="false" outlineLevel="0" collapsed="false">
      <c r="A781" s="47" t="n">
        <v>60</v>
      </c>
      <c r="C781" s="48" t="str">
        <f aca="false">助手报销!$C61</f>
        <v/>
      </c>
      <c r="D781" s="81" t="s">
        <v>491</v>
      </c>
      <c r="E781" s="48" t="str">
        <f aca="false">参数!$B$8</f>
        <v>其他应付款</v>
      </c>
      <c r="F781" s="48" t="str">
        <f aca="false">""</f>
        <v/>
      </c>
      <c r="G781" s="49" t="n">
        <f aca="false">-ROUND(SUMIFS(输入报销!$G:$G,输入报销!$A:$A,$A781,输入报销!$H:$H,参数!$B$8),2)</f>
        <v>-0</v>
      </c>
      <c r="H781" s="49" t="str">
        <f aca="false">IF(ROUND($G781,2)&gt;0,ROUND($G781,2),"")</f>
        <v/>
      </c>
      <c r="I781" s="49" t="str">
        <f aca="false">IF(ROUND($G781,2)&lt;0,-ROUND($G781,2),"")</f>
        <v/>
      </c>
      <c r="J781" s="20" t="n">
        <f aca="false">IF(ROUND($G781,2)=0,0,1)</f>
        <v>0</v>
      </c>
      <c r="K781" s="20" t="str">
        <f aca="false">IF($J781=0,"",SUM($J$769:$J781))</f>
        <v/>
      </c>
      <c r="L781" s="20" t="str">
        <f aca="false">IF($K781="","",$A781*100+$K781)</f>
        <v/>
      </c>
      <c r="M781" s="48" t="str">
        <f aca="false">""</f>
        <v/>
      </c>
    </row>
    <row r="782" customFormat="false" ht="13.5" hidden="false" customHeight="false" outlineLevel="0" collapsed="false">
      <c r="A782" s="47" t="n">
        <v>61</v>
      </c>
      <c r="C782" s="48" t="str">
        <f aca="false">助手报销!$C62</f>
        <v/>
      </c>
      <c r="D782" s="81" t="s">
        <v>479</v>
      </c>
      <c r="E782" s="48" t="str">
        <f aca="false">IFERROR(INDEX(输入报销!$E:$E,MATCH($A782&amp;"-1",输入报销!$J:$J,0))&amp;"","")</f>
        <v/>
      </c>
      <c r="F782" s="48" t="str">
        <f aca="false">IFERROR(INDEX(输入报销!$F:$F,MATCH($A782&amp;"-1",输入报销!$J:$J,0))&amp;"","")</f>
        <v/>
      </c>
      <c r="G782" s="49" t="n">
        <f aca="false">IFERROR(ROUND(INDEX(输入报销!$G:$G,MATCH($A782&amp;"-1",输入报销!$J:$J,0)),2),0)</f>
        <v>0</v>
      </c>
      <c r="H782" s="49" t="str">
        <f aca="false">IF(ROUND($G782,2)&gt;0,ROUND($G782,2),"")</f>
        <v/>
      </c>
      <c r="I782" s="49" t="str">
        <f aca="false">IF(ROUND($G782,2)&lt;0,-ROUND($G782,2),"")</f>
        <v/>
      </c>
      <c r="J782" s="20" t="n">
        <f aca="false">IF(ROUND($G782,2)=0,0,1)</f>
        <v>0</v>
      </c>
      <c r="K782" s="20" t="str">
        <f aca="false">IF($J782=0,"",SUM($J$782:$J782))</f>
        <v/>
      </c>
      <c r="L782" s="20" t="str">
        <f aca="false">IF($K782="","",$A782*100+$K782)</f>
        <v/>
      </c>
      <c r="M782" s="48" t="str">
        <f aca="false">IFERROR(INDEX(输入报销!$D:$D,MATCH($A782&amp;"-1",输入报销!$J:$J,0))&amp;"","")</f>
        <v/>
      </c>
    </row>
    <row r="783" customFormat="false" ht="13.5" hidden="false" customHeight="false" outlineLevel="0" collapsed="false">
      <c r="A783" s="47" t="n">
        <v>61</v>
      </c>
      <c r="C783" s="48" t="str">
        <f aca="false">助手报销!$C62</f>
        <v/>
      </c>
      <c r="D783" s="81" t="s">
        <v>480</v>
      </c>
      <c r="E783" s="48" t="str">
        <f aca="false">IFERROR(INDEX(输入报销!$E:$E,MATCH($A783&amp;"-2",输入报销!$J:$J,0))&amp;"","")</f>
        <v/>
      </c>
      <c r="F783" s="48" t="str">
        <f aca="false">IFERROR(INDEX(输入报销!$F:$F,MATCH($A783&amp;"-2",输入报销!$J:$J,0))&amp;"","")</f>
        <v/>
      </c>
      <c r="G783" s="49" t="n">
        <f aca="false">IFERROR(ROUND(INDEX(输入报销!$G:$G,MATCH($A783&amp;"-2",输入报销!$J:$J,0)),2),0)</f>
        <v>0</v>
      </c>
      <c r="H783" s="49" t="str">
        <f aca="false">IF(ROUND($G783,2)&gt;0,ROUND($G783,2),"")</f>
        <v/>
      </c>
      <c r="I783" s="49" t="str">
        <f aca="false">IF(ROUND($G783,2)&lt;0,-ROUND($G783,2),"")</f>
        <v/>
      </c>
      <c r="J783" s="20" t="n">
        <f aca="false">IF(ROUND($G783,2)=0,0,1)</f>
        <v>0</v>
      </c>
      <c r="K783" s="20" t="str">
        <f aca="false">IF($J783=0,"",SUM($J$782:$J783))</f>
        <v/>
      </c>
      <c r="L783" s="20" t="str">
        <f aca="false">IF($K783="","",$A783*100+$K783)</f>
        <v/>
      </c>
      <c r="M783" s="48" t="str">
        <f aca="false">IFERROR(INDEX(输入报销!$D:$D,MATCH($A783&amp;"-2",输入报销!$J:$J,0))&amp;"","")</f>
        <v/>
      </c>
    </row>
    <row r="784" customFormat="false" ht="13.5" hidden="false" customHeight="false" outlineLevel="0" collapsed="false">
      <c r="A784" s="47" t="n">
        <v>61</v>
      </c>
      <c r="C784" s="48" t="str">
        <f aca="false">助手报销!$C62</f>
        <v/>
      </c>
      <c r="D784" s="81" t="s">
        <v>481</v>
      </c>
      <c r="E784" s="48" t="str">
        <f aca="false">IFERROR(INDEX(输入报销!$E:$E,MATCH($A784&amp;"-3",输入报销!$J:$J,0))&amp;"","")</f>
        <v/>
      </c>
      <c r="F784" s="48" t="str">
        <f aca="false">IFERROR(INDEX(输入报销!$F:$F,MATCH($A784&amp;"-3",输入报销!$J:$J,0))&amp;"","")</f>
        <v/>
      </c>
      <c r="G784" s="49" t="n">
        <f aca="false">IFERROR(ROUND(INDEX(输入报销!$G:$G,MATCH($A784&amp;"-3",输入报销!$J:$J,0)),2),0)</f>
        <v>0</v>
      </c>
      <c r="H784" s="49" t="str">
        <f aca="false">IF(ROUND($G784,2)&gt;0,ROUND($G784,2),"")</f>
        <v/>
      </c>
      <c r="I784" s="49" t="str">
        <f aca="false">IF(ROUND($G784,2)&lt;0,-ROUND($G784,2),"")</f>
        <v/>
      </c>
      <c r="J784" s="20" t="n">
        <f aca="false">IF(ROUND($G784,2)=0,0,1)</f>
        <v>0</v>
      </c>
      <c r="K784" s="20" t="str">
        <f aca="false">IF($J784=0,"",SUM($J$782:$J784))</f>
        <v/>
      </c>
      <c r="L784" s="20" t="str">
        <f aca="false">IF($K784="","",$A784*100+$K784)</f>
        <v/>
      </c>
      <c r="M784" s="48" t="str">
        <f aca="false">IFERROR(INDEX(输入报销!$D:$D,MATCH($A784&amp;"-3",输入报销!$J:$J,0))&amp;"","")</f>
        <v/>
      </c>
    </row>
    <row r="785" customFormat="false" ht="13.5" hidden="false" customHeight="false" outlineLevel="0" collapsed="false">
      <c r="A785" s="47" t="n">
        <v>61</v>
      </c>
      <c r="C785" s="48" t="str">
        <f aca="false">助手报销!$C62</f>
        <v/>
      </c>
      <c r="D785" s="81" t="s">
        <v>482</v>
      </c>
      <c r="E785" s="48" t="str">
        <f aca="false">IFERROR(INDEX(输入报销!$E:$E,MATCH($A785&amp;"-4",输入报销!$J:$J,0))&amp;"","")</f>
        <v/>
      </c>
      <c r="F785" s="48" t="str">
        <f aca="false">IFERROR(INDEX(输入报销!$F:$F,MATCH($A785&amp;"-4",输入报销!$J:$J,0))&amp;"","")</f>
        <v/>
      </c>
      <c r="G785" s="49" t="n">
        <f aca="false">IFERROR(ROUND(INDEX(输入报销!$G:$G,MATCH($A785&amp;"-4",输入报销!$J:$J,0)),2),0)</f>
        <v>0</v>
      </c>
      <c r="H785" s="49" t="str">
        <f aca="false">IF(ROUND($G785,2)&gt;0,ROUND($G785,2),"")</f>
        <v/>
      </c>
      <c r="I785" s="49" t="str">
        <f aca="false">IF(ROUND($G785,2)&lt;0,-ROUND($G785,2),"")</f>
        <v/>
      </c>
      <c r="J785" s="20" t="n">
        <f aca="false">IF(ROUND($G785,2)=0,0,1)</f>
        <v>0</v>
      </c>
      <c r="K785" s="20" t="str">
        <f aca="false">IF($J785=0,"",SUM($J$782:$J785))</f>
        <v/>
      </c>
      <c r="L785" s="20" t="str">
        <f aca="false">IF($K785="","",$A785*100+$K785)</f>
        <v/>
      </c>
      <c r="M785" s="48" t="str">
        <f aca="false">IFERROR(INDEX(输入报销!$D:$D,MATCH($A785&amp;"-4",输入报销!$J:$J,0))&amp;"","")</f>
        <v/>
      </c>
    </row>
    <row r="786" customFormat="false" ht="13.5" hidden="false" customHeight="false" outlineLevel="0" collapsed="false">
      <c r="A786" s="47" t="n">
        <v>61</v>
      </c>
      <c r="C786" s="48" t="str">
        <f aca="false">助手报销!$C62</f>
        <v/>
      </c>
      <c r="D786" s="81" t="s">
        <v>483</v>
      </c>
      <c r="E786" s="48" t="str">
        <f aca="false">IFERROR(INDEX(输入报销!$E:$E,MATCH($A786&amp;"-5",输入报销!$J:$J,0))&amp;"","")</f>
        <v/>
      </c>
      <c r="F786" s="48" t="str">
        <f aca="false">IFERROR(INDEX(输入报销!$F:$F,MATCH($A786&amp;"-5",输入报销!$J:$J,0))&amp;"","")</f>
        <v/>
      </c>
      <c r="G786" s="49" t="n">
        <f aca="false">IFERROR(ROUND(INDEX(输入报销!$G:$G,MATCH($A786&amp;"-5",输入报销!$J:$J,0)),2),0)</f>
        <v>0</v>
      </c>
      <c r="H786" s="49" t="str">
        <f aca="false">IF(ROUND($G786,2)&gt;0,ROUND($G786,2),"")</f>
        <v/>
      </c>
      <c r="I786" s="49" t="str">
        <f aca="false">IF(ROUND($G786,2)&lt;0,-ROUND($G786,2),"")</f>
        <v/>
      </c>
      <c r="J786" s="20" t="n">
        <f aca="false">IF(ROUND($G786,2)=0,0,1)</f>
        <v>0</v>
      </c>
      <c r="K786" s="20" t="str">
        <f aca="false">IF($J786=0,"",SUM($J$782:$J786))</f>
        <v/>
      </c>
      <c r="L786" s="20" t="str">
        <f aca="false">IF($K786="","",$A786*100+$K786)</f>
        <v/>
      </c>
      <c r="M786" s="48" t="str">
        <f aca="false">IFERROR(INDEX(输入报销!$D:$D,MATCH($A786&amp;"-5",输入报销!$J:$J,0))&amp;"","")</f>
        <v/>
      </c>
    </row>
    <row r="787" customFormat="false" ht="13.5" hidden="false" customHeight="false" outlineLevel="0" collapsed="false">
      <c r="A787" s="47" t="n">
        <v>61</v>
      </c>
      <c r="C787" s="48" t="str">
        <f aca="false">助手报销!$C62</f>
        <v/>
      </c>
      <c r="D787" s="81" t="s">
        <v>484</v>
      </c>
      <c r="E787" s="48" t="str">
        <f aca="false">IFERROR(INDEX(输入报销!$E:$E,MATCH($A787&amp;"-6",输入报销!$J:$J,0))&amp;"","")</f>
        <v/>
      </c>
      <c r="F787" s="48" t="str">
        <f aca="false">IFERROR(INDEX(输入报销!$F:$F,MATCH($A787&amp;"-6",输入报销!$J:$J,0))&amp;"","")</f>
        <v/>
      </c>
      <c r="G787" s="49" t="n">
        <f aca="false">IFERROR(ROUND(INDEX(输入报销!$G:$G,MATCH($A787&amp;"-6",输入报销!$J:$J,0)),2),0)</f>
        <v>0</v>
      </c>
      <c r="H787" s="49" t="str">
        <f aca="false">IF(ROUND($G787,2)&gt;0,ROUND($G787,2),"")</f>
        <v/>
      </c>
      <c r="I787" s="49" t="str">
        <f aca="false">IF(ROUND($G787,2)&lt;0,-ROUND($G787,2),"")</f>
        <v/>
      </c>
      <c r="J787" s="20" t="n">
        <f aca="false">IF(ROUND($G787,2)=0,0,1)</f>
        <v>0</v>
      </c>
      <c r="K787" s="20" t="str">
        <f aca="false">IF($J787=0,"",SUM($J$782:$J787))</f>
        <v/>
      </c>
      <c r="L787" s="20" t="str">
        <f aca="false">IF($K787="","",$A787*100+$K787)</f>
        <v/>
      </c>
      <c r="M787" s="48" t="str">
        <f aca="false">IFERROR(INDEX(输入报销!$D:$D,MATCH($A787&amp;"-6",输入报销!$J:$J,0))&amp;"","")</f>
        <v/>
      </c>
    </row>
    <row r="788" customFormat="false" ht="13.5" hidden="false" customHeight="false" outlineLevel="0" collapsed="false">
      <c r="A788" s="47" t="n">
        <v>61</v>
      </c>
      <c r="C788" s="48" t="str">
        <f aca="false">助手报销!$C62</f>
        <v/>
      </c>
      <c r="D788" s="81" t="s">
        <v>485</v>
      </c>
      <c r="E788" s="48" t="str">
        <f aca="false">IFERROR(INDEX(输入报销!$E:$E,MATCH($A788&amp;"-7",输入报销!$J:$J,0))&amp;"","")</f>
        <v/>
      </c>
      <c r="F788" s="48" t="str">
        <f aca="false">IFERROR(INDEX(输入报销!$F:$F,MATCH($A788&amp;"-7",输入报销!$J:$J,0))&amp;"","")</f>
        <v/>
      </c>
      <c r="G788" s="49" t="n">
        <f aca="false">IFERROR(ROUND(INDEX(输入报销!$G:$G,MATCH($A788&amp;"-7",输入报销!$J:$J,0)),2),0)</f>
        <v>0</v>
      </c>
      <c r="H788" s="49" t="str">
        <f aca="false">IF(ROUND($G788,2)&gt;0,ROUND($G788,2),"")</f>
        <v/>
      </c>
      <c r="I788" s="49" t="str">
        <f aca="false">IF(ROUND($G788,2)&lt;0,-ROUND($G788,2),"")</f>
        <v/>
      </c>
      <c r="J788" s="20" t="n">
        <f aca="false">IF(ROUND($G788,2)=0,0,1)</f>
        <v>0</v>
      </c>
      <c r="K788" s="20" t="str">
        <f aca="false">IF($J788=0,"",SUM($J$782:$J788))</f>
        <v/>
      </c>
      <c r="L788" s="20" t="str">
        <f aca="false">IF($K788="","",$A788*100+$K788)</f>
        <v/>
      </c>
      <c r="M788" s="48" t="str">
        <f aca="false">IFERROR(INDEX(输入报销!$D:$D,MATCH($A788&amp;"-7",输入报销!$J:$J,0))&amp;"","")</f>
        <v/>
      </c>
    </row>
    <row r="789" customFormat="false" ht="13.5" hidden="false" customHeight="false" outlineLevel="0" collapsed="false">
      <c r="A789" s="47" t="n">
        <v>61</v>
      </c>
      <c r="C789" s="48" t="str">
        <f aca="false">助手报销!$C62</f>
        <v/>
      </c>
      <c r="D789" s="81" t="s">
        <v>486</v>
      </c>
      <c r="E789" s="48" t="str">
        <f aca="false">IFERROR(INDEX(输入报销!$E:$E,MATCH($A789&amp;"-8",输入报销!$J:$J,0))&amp;"","")</f>
        <v/>
      </c>
      <c r="F789" s="48" t="str">
        <f aca="false">IFERROR(INDEX(输入报销!$F:$F,MATCH($A789&amp;"-8",输入报销!$J:$J,0))&amp;"","")</f>
        <v/>
      </c>
      <c r="G789" s="49" t="n">
        <f aca="false">IFERROR(ROUND(INDEX(输入报销!$G:$G,MATCH($A789&amp;"-8",输入报销!$J:$J,0)),2),0)</f>
        <v>0</v>
      </c>
      <c r="H789" s="49" t="str">
        <f aca="false">IF(ROUND($G789,2)&gt;0,ROUND($G789,2),"")</f>
        <v/>
      </c>
      <c r="I789" s="49" t="str">
        <f aca="false">IF(ROUND($G789,2)&lt;0,-ROUND($G789,2),"")</f>
        <v/>
      </c>
      <c r="J789" s="20" t="n">
        <f aca="false">IF(ROUND($G789,2)=0,0,1)</f>
        <v>0</v>
      </c>
      <c r="K789" s="20" t="str">
        <f aca="false">IF($J789=0,"",SUM($J$782:$J789))</f>
        <v/>
      </c>
      <c r="L789" s="20" t="str">
        <f aca="false">IF($K789="","",$A789*100+$K789)</f>
        <v/>
      </c>
      <c r="M789" s="48" t="str">
        <f aca="false">IFERROR(INDEX(输入报销!$D:$D,MATCH($A789&amp;"-8",输入报销!$J:$J,0))&amp;"","")</f>
        <v/>
      </c>
    </row>
    <row r="790" customFormat="false" ht="13.5" hidden="false" customHeight="false" outlineLevel="0" collapsed="false">
      <c r="A790" s="47" t="n">
        <v>61</v>
      </c>
      <c r="C790" s="48" t="str">
        <f aca="false">助手报销!$C62</f>
        <v/>
      </c>
      <c r="D790" s="81" t="s">
        <v>487</v>
      </c>
      <c r="E790" s="48" t="str">
        <f aca="false">IFERROR(INDEX(输入报销!$E:$E,MATCH($A790&amp;"-9",输入报销!$J:$J,0))&amp;"","")</f>
        <v/>
      </c>
      <c r="F790" s="48" t="str">
        <f aca="false">IFERROR(INDEX(输入报销!$F:$F,MATCH($A790&amp;"-9",输入报销!$J:$J,0))&amp;"","")</f>
        <v/>
      </c>
      <c r="G790" s="49" t="n">
        <f aca="false">IFERROR(ROUND(INDEX(输入报销!$G:$G,MATCH($A790&amp;"-9",输入报销!$J:$J,0)),2),0)</f>
        <v>0</v>
      </c>
      <c r="H790" s="49" t="str">
        <f aca="false">IF(ROUND($G790,2)&gt;0,ROUND($G790,2),"")</f>
        <v/>
      </c>
      <c r="I790" s="49" t="str">
        <f aca="false">IF(ROUND($G790,2)&lt;0,-ROUND($G790,2),"")</f>
        <v/>
      </c>
      <c r="J790" s="20" t="n">
        <f aca="false">IF(ROUND($G790,2)=0,0,1)</f>
        <v>0</v>
      </c>
      <c r="K790" s="20" t="str">
        <f aca="false">IF($J790=0,"",SUM($J$782:$J790))</f>
        <v/>
      </c>
      <c r="L790" s="20" t="str">
        <f aca="false">IF($K790="","",$A790*100+$K790)</f>
        <v/>
      </c>
      <c r="M790" s="48" t="str">
        <f aca="false">IFERROR(INDEX(输入报销!$D:$D,MATCH($A790&amp;"-9",输入报销!$J:$J,0))&amp;"","")</f>
        <v/>
      </c>
    </row>
    <row r="791" customFormat="false" ht="13.5" hidden="false" customHeight="false" outlineLevel="0" collapsed="false">
      <c r="A791" s="47" t="n">
        <v>61</v>
      </c>
      <c r="C791" s="48" t="str">
        <f aca="false">助手报销!$C62</f>
        <v/>
      </c>
      <c r="D791" s="81" t="s">
        <v>488</v>
      </c>
      <c r="E791" s="48" t="str">
        <f aca="false">IFERROR(INDEX(输入报销!$E:$E,MATCH($A791&amp;"-10",输入报销!$J:$J,0))&amp;"","")</f>
        <v/>
      </c>
      <c r="F791" s="48" t="str">
        <f aca="false">IFERROR(INDEX(输入报销!$F:$F,MATCH($A791&amp;"-10",输入报销!$J:$J,0))&amp;"","")</f>
        <v/>
      </c>
      <c r="G791" s="49" t="n">
        <f aca="false">IFERROR(ROUND(INDEX(输入报销!$G:$G,MATCH($A791&amp;"-10",输入报销!$J:$J,0)),2),0)</f>
        <v>0</v>
      </c>
      <c r="H791" s="49" t="str">
        <f aca="false">IF(ROUND($G791,2)&gt;0,ROUND($G791,2),"")</f>
        <v/>
      </c>
      <c r="I791" s="49" t="str">
        <f aca="false">IF(ROUND($G791,2)&lt;0,-ROUND($G791,2),"")</f>
        <v/>
      </c>
      <c r="J791" s="20" t="n">
        <f aca="false">IF(ROUND($G791,2)=0,0,1)</f>
        <v>0</v>
      </c>
      <c r="K791" s="20" t="str">
        <f aca="false">IF($J791=0,"",SUM($J$782:$J791))</f>
        <v/>
      </c>
      <c r="L791" s="20" t="str">
        <f aca="false">IF($K791="","",$A791*100+$K791)</f>
        <v/>
      </c>
      <c r="M791" s="48" t="str">
        <f aca="false">IFERROR(INDEX(输入报销!$D:$D,MATCH($A791&amp;"-10",输入报销!$J:$J,0))&amp;"","")</f>
        <v/>
      </c>
    </row>
    <row r="792" customFormat="false" ht="13.5" hidden="false" customHeight="false" outlineLevel="0" collapsed="false">
      <c r="A792" s="47" t="n">
        <v>61</v>
      </c>
      <c r="C792" s="48" t="str">
        <f aca="false">助手报销!$C62</f>
        <v/>
      </c>
      <c r="D792" s="81" t="s">
        <v>489</v>
      </c>
      <c r="E792" s="48" t="str">
        <f aca="false">参数!$B$6</f>
        <v>库存现金</v>
      </c>
      <c r="F792" s="48" t="str">
        <f aca="false">""</f>
        <v/>
      </c>
      <c r="G792" s="49" t="n">
        <f aca="false">-ROUND(SUMIFS(输入报销!$G:$G,输入报销!$A:$A,$A792,输入报销!$H:$H,参数!$B$6),2)</f>
        <v>-0</v>
      </c>
      <c r="H792" s="49" t="str">
        <f aca="false">IF(ROUND($G792,2)&gt;0,ROUND($G792,2),"")</f>
        <v/>
      </c>
      <c r="I792" s="49" t="str">
        <f aca="false">IF(ROUND($G792,2)&lt;0,-ROUND($G792,2),"")</f>
        <v/>
      </c>
      <c r="J792" s="20" t="n">
        <f aca="false">IF(ROUND($G792,2)=0,0,1)</f>
        <v>0</v>
      </c>
      <c r="K792" s="20" t="str">
        <f aca="false">IF($J792=0,"",SUM($J$782:$J792))</f>
        <v/>
      </c>
      <c r="L792" s="20" t="str">
        <f aca="false">IF($K792="","",$A792*100+$K792)</f>
        <v/>
      </c>
      <c r="M792" s="48" t="str">
        <f aca="false">""</f>
        <v/>
      </c>
    </row>
    <row r="793" customFormat="false" ht="13.5" hidden="false" customHeight="false" outlineLevel="0" collapsed="false">
      <c r="A793" s="47" t="n">
        <v>61</v>
      </c>
      <c r="C793" s="48" t="str">
        <f aca="false">助手报销!$C62</f>
        <v/>
      </c>
      <c r="D793" s="81" t="s">
        <v>490</v>
      </c>
      <c r="E793" s="48" t="str">
        <f aca="false">参数!$B$7</f>
        <v>银行存款</v>
      </c>
      <c r="F793" s="48" t="str">
        <f aca="false">""</f>
        <v/>
      </c>
      <c r="G793" s="49" t="n">
        <f aca="false">-ROUND(SUMIFS(输入报销!$G:$G,输入报销!$A:$A,$A793,输入报销!$H:$H,参数!$B$7),2)</f>
        <v>-0</v>
      </c>
      <c r="H793" s="49" t="str">
        <f aca="false">IF(ROUND($G793,2)&gt;0,ROUND($G793,2),"")</f>
        <v/>
      </c>
      <c r="I793" s="49" t="str">
        <f aca="false">IF(ROUND($G793,2)&lt;0,-ROUND($G793,2),"")</f>
        <v/>
      </c>
      <c r="J793" s="20" t="n">
        <f aca="false">IF(ROUND($G793,2)=0,0,1)</f>
        <v>0</v>
      </c>
      <c r="K793" s="20" t="str">
        <f aca="false">IF($J793=0,"",SUM($J$782:$J793))</f>
        <v/>
      </c>
      <c r="L793" s="20" t="str">
        <f aca="false">IF($K793="","",$A793*100+$K793)</f>
        <v/>
      </c>
      <c r="M793" s="48" t="str">
        <f aca="false">""</f>
        <v/>
      </c>
    </row>
    <row r="794" customFormat="false" ht="13.5" hidden="false" customHeight="false" outlineLevel="0" collapsed="false">
      <c r="A794" s="47" t="n">
        <v>61</v>
      </c>
      <c r="C794" s="48" t="str">
        <f aca="false">助手报销!$C62</f>
        <v/>
      </c>
      <c r="D794" s="81" t="s">
        <v>491</v>
      </c>
      <c r="E794" s="48" t="str">
        <f aca="false">参数!$B$8</f>
        <v>其他应付款</v>
      </c>
      <c r="F794" s="48" t="str">
        <f aca="false">""</f>
        <v/>
      </c>
      <c r="G794" s="49" t="n">
        <f aca="false">-ROUND(SUMIFS(输入报销!$G:$G,输入报销!$A:$A,$A794,输入报销!$H:$H,参数!$B$8),2)</f>
        <v>-0</v>
      </c>
      <c r="H794" s="49" t="str">
        <f aca="false">IF(ROUND($G794,2)&gt;0,ROUND($G794,2),"")</f>
        <v/>
      </c>
      <c r="I794" s="49" t="str">
        <f aca="false">IF(ROUND($G794,2)&lt;0,-ROUND($G794,2),"")</f>
        <v/>
      </c>
      <c r="J794" s="20" t="n">
        <f aca="false">IF(ROUND($G794,2)=0,0,1)</f>
        <v>0</v>
      </c>
      <c r="K794" s="20" t="str">
        <f aca="false">IF($J794=0,"",SUM($J$782:$J794))</f>
        <v/>
      </c>
      <c r="L794" s="20" t="str">
        <f aca="false">IF($K794="","",$A794*100+$K794)</f>
        <v/>
      </c>
      <c r="M794" s="48" t="str">
        <f aca="false">""</f>
        <v/>
      </c>
    </row>
    <row r="795" customFormat="false" ht="13.5" hidden="false" customHeight="false" outlineLevel="0" collapsed="false">
      <c r="A795" s="47" t="n">
        <v>62</v>
      </c>
      <c r="C795" s="48" t="str">
        <f aca="false">助手报销!$C63</f>
        <v/>
      </c>
      <c r="D795" s="81" t="s">
        <v>479</v>
      </c>
      <c r="E795" s="48" t="str">
        <f aca="false">IFERROR(INDEX(输入报销!$E:$E,MATCH($A795&amp;"-1",输入报销!$J:$J,0))&amp;"","")</f>
        <v/>
      </c>
      <c r="F795" s="48" t="str">
        <f aca="false">IFERROR(INDEX(输入报销!$F:$F,MATCH($A795&amp;"-1",输入报销!$J:$J,0))&amp;"","")</f>
        <v/>
      </c>
      <c r="G795" s="49" t="n">
        <f aca="false">IFERROR(ROUND(INDEX(输入报销!$G:$G,MATCH($A795&amp;"-1",输入报销!$J:$J,0)),2),0)</f>
        <v>0</v>
      </c>
      <c r="H795" s="49" t="str">
        <f aca="false">IF(ROUND($G795,2)&gt;0,ROUND($G795,2),"")</f>
        <v/>
      </c>
      <c r="I795" s="49" t="str">
        <f aca="false">IF(ROUND($G795,2)&lt;0,-ROUND($G795,2),"")</f>
        <v/>
      </c>
      <c r="J795" s="20" t="n">
        <f aca="false">IF(ROUND($G795,2)=0,0,1)</f>
        <v>0</v>
      </c>
      <c r="K795" s="20" t="str">
        <f aca="false">IF($J795=0,"",SUM($J$795:$J795))</f>
        <v/>
      </c>
      <c r="L795" s="20" t="str">
        <f aca="false">IF($K795="","",$A795*100+$K795)</f>
        <v/>
      </c>
      <c r="M795" s="48" t="str">
        <f aca="false">IFERROR(INDEX(输入报销!$D:$D,MATCH($A795&amp;"-1",输入报销!$J:$J,0))&amp;"","")</f>
        <v/>
      </c>
    </row>
    <row r="796" customFormat="false" ht="13.5" hidden="false" customHeight="false" outlineLevel="0" collapsed="false">
      <c r="A796" s="47" t="n">
        <v>62</v>
      </c>
      <c r="C796" s="48" t="str">
        <f aca="false">助手报销!$C63</f>
        <v/>
      </c>
      <c r="D796" s="81" t="s">
        <v>480</v>
      </c>
      <c r="E796" s="48" t="str">
        <f aca="false">IFERROR(INDEX(输入报销!$E:$E,MATCH($A796&amp;"-2",输入报销!$J:$J,0))&amp;"","")</f>
        <v/>
      </c>
      <c r="F796" s="48" t="str">
        <f aca="false">IFERROR(INDEX(输入报销!$F:$F,MATCH($A796&amp;"-2",输入报销!$J:$J,0))&amp;"","")</f>
        <v/>
      </c>
      <c r="G796" s="49" t="n">
        <f aca="false">IFERROR(ROUND(INDEX(输入报销!$G:$G,MATCH($A796&amp;"-2",输入报销!$J:$J,0)),2),0)</f>
        <v>0</v>
      </c>
      <c r="H796" s="49" t="str">
        <f aca="false">IF(ROUND($G796,2)&gt;0,ROUND($G796,2),"")</f>
        <v/>
      </c>
      <c r="I796" s="49" t="str">
        <f aca="false">IF(ROUND($G796,2)&lt;0,-ROUND($G796,2),"")</f>
        <v/>
      </c>
      <c r="J796" s="20" t="n">
        <f aca="false">IF(ROUND($G796,2)=0,0,1)</f>
        <v>0</v>
      </c>
      <c r="K796" s="20" t="str">
        <f aca="false">IF($J796=0,"",SUM($J$795:$J796))</f>
        <v/>
      </c>
      <c r="L796" s="20" t="str">
        <f aca="false">IF($K796="","",$A796*100+$K796)</f>
        <v/>
      </c>
      <c r="M796" s="48" t="str">
        <f aca="false">IFERROR(INDEX(输入报销!$D:$D,MATCH($A796&amp;"-2",输入报销!$J:$J,0))&amp;"","")</f>
        <v/>
      </c>
    </row>
    <row r="797" customFormat="false" ht="13.5" hidden="false" customHeight="false" outlineLevel="0" collapsed="false">
      <c r="A797" s="47" t="n">
        <v>62</v>
      </c>
      <c r="C797" s="48" t="str">
        <f aca="false">助手报销!$C63</f>
        <v/>
      </c>
      <c r="D797" s="81" t="s">
        <v>481</v>
      </c>
      <c r="E797" s="48" t="str">
        <f aca="false">IFERROR(INDEX(输入报销!$E:$E,MATCH($A797&amp;"-3",输入报销!$J:$J,0))&amp;"","")</f>
        <v/>
      </c>
      <c r="F797" s="48" t="str">
        <f aca="false">IFERROR(INDEX(输入报销!$F:$F,MATCH($A797&amp;"-3",输入报销!$J:$J,0))&amp;"","")</f>
        <v/>
      </c>
      <c r="G797" s="49" t="n">
        <f aca="false">IFERROR(ROUND(INDEX(输入报销!$G:$G,MATCH($A797&amp;"-3",输入报销!$J:$J,0)),2),0)</f>
        <v>0</v>
      </c>
      <c r="H797" s="49" t="str">
        <f aca="false">IF(ROUND($G797,2)&gt;0,ROUND($G797,2),"")</f>
        <v/>
      </c>
      <c r="I797" s="49" t="str">
        <f aca="false">IF(ROUND($G797,2)&lt;0,-ROUND($G797,2),"")</f>
        <v/>
      </c>
      <c r="J797" s="20" t="n">
        <f aca="false">IF(ROUND($G797,2)=0,0,1)</f>
        <v>0</v>
      </c>
      <c r="K797" s="20" t="str">
        <f aca="false">IF($J797=0,"",SUM($J$795:$J797))</f>
        <v/>
      </c>
      <c r="L797" s="20" t="str">
        <f aca="false">IF($K797="","",$A797*100+$K797)</f>
        <v/>
      </c>
      <c r="M797" s="48" t="str">
        <f aca="false">IFERROR(INDEX(输入报销!$D:$D,MATCH($A797&amp;"-3",输入报销!$J:$J,0))&amp;"","")</f>
        <v/>
      </c>
    </row>
    <row r="798" customFormat="false" ht="13.5" hidden="false" customHeight="false" outlineLevel="0" collapsed="false">
      <c r="A798" s="47" t="n">
        <v>62</v>
      </c>
      <c r="C798" s="48" t="str">
        <f aca="false">助手报销!$C63</f>
        <v/>
      </c>
      <c r="D798" s="81" t="s">
        <v>482</v>
      </c>
      <c r="E798" s="48" t="str">
        <f aca="false">IFERROR(INDEX(输入报销!$E:$E,MATCH($A798&amp;"-4",输入报销!$J:$J,0))&amp;"","")</f>
        <v/>
      </c>
      <c r="F798" s="48" t="str">
        <f aca="false">IFERROR(INDEX(输入报销!$F:$F,MATCH($A798&amp;"-4",输入报销!$J:$J,0))&amp;"","")</f>
        <v/>
      </c>
      <c r="G798" s="49" t="n">
        <f aca="false">IFERROR(ROUND(INDEX(输入报销!$G:$G,MATCH($A798&amp;"-4",输入报销!$J:$J,0)),2),0)</f>
        <v>0</v>
      </c>
      <c r="H798" s="49" t="str">
        <f aca="false">IF(ROUND($G798,2)&gt;0,ROUND($G798,2),"")</f>
        <v/>
      </c>
      <c r="I798" s="49" t="str">
        <f aca="false">IF(ROUND($G798,2)&lt;0,-ROUND($G798,2),"")</f>
        <v/>
      </c>
      <c r="J798" s="20" t="n">
        <f aca="false">IF(ROUND($G798,2)=0,0,1)</f>
        <v>0</v>
      </c>
      <c r="K798" s="20" t="str">
        <f aca="false">IF($J798=0,"",SUM($J$795:$J798))</f>
        <v/>
      </c>
      <c r="L798" s="20" t="str">
        <f aca="false">IF($K798="","",$A798*100+$K798)</f>
        <v/>
      </c>
      <c r="M798" s="48" t="str">
        <f aca="false">IFERROR(INDEX(输入报销!$D:$D,MATCH($A798&amp;"-4",输入报销!$J:$J,0))&amp;"","")</f>
        <v/>
      </c>
    </row>
    <row r="799" customFormat="false" ht="13.5" hidden="false" customHeight="false" outlineLevel="0" collapsed="false">
      <c r="A799" s="47" t="n">
        <v>62</v>
      </c>
      <c r="C799" s="48" t="str">
        <f aca="false">助手报销!$C63</f>
        <v/>
      </c>
      <c r="D799" s="81" t="s">
        <v>483</v>
      </c>
      <c r="E799" s="48" t="str">
        <f aca="false">IFERROR(INDEX(输入报销!$E:$E,MATCH($A799&amp;"-5",输入报销!$J:$J,0))&amp;"","")</f>
        <v/>
      </c>
      <c r="F799" s="48" t="str">
        <f aca="false">IFERROR(INDEX(输入报销!$F:$F,MATCH($A799&amp;"-5",输入报销!$J:$J,0))&amp;"","")</f>
        <v/>
      </c>
      <c r="G799" s="49" t="n">
        <f aca="false">IFERROR(ROUND(INDEX(输入报销!$G:$G,MATCH($A799&amp;"-5",输入报销!$J:$J,0)),2),0)</f>
        <v>0</v>
      </c>
      <c r="H799" s="49" t="str">
        <f aca="false">IF(ROUND($G799,2)&gt;0,ROUND($G799,2),"")</f>
        <v/>
      </c>
      <c r="I799" s="49" t="str">
        <f aca="false">IF(ROUND($G799,2)&lt;0,-ROUND($G799,2),"")</f>
        <v/>
      </c>
      <c r="J799" s="20" t="n">
        <f aca="false">IF(ROUND($G799,2)=0,0,1)</f>
        <v>0</v>
      </c>
      <c r="K799" s="20" t="str">
        <f aca="false">IF($J799=0,"",SUM($J$795:$J799))</f>
        <v/>
      </c>
      <c r="L799" s="20" t="str">
        <f aca="false">IF($K799="","",$A799*100+$K799)</f>
        <v/>
      </c>
      <c r="M799" s="48" t="str">
        <f aca="false">IFERROR(INDEX(输入报销!$D:$D,MATCH($A799&amp;"-5",输入报销!$J:$J,0))&amp;"","")</f>
        <v/>
      </c>
    </row>
    <row r="800" customFormat="false" ht="13.5" hidden="false" customHeight="false" outlineLevel="0" collapsed="false">
      <c r="A800" s="47" t="n">
        <v>62</v>
      </c>
      <c r="C800" s="48" t="str">
        <f aca="false">助手报销!$C63</f>
        <v/>
      </c>
      <c r="D800" s="81" t="s">
        <v>484</v>
      </c>
      <c r="E800" s="48" t="str">
        <f aca="false">IFERROR(INDEX(输入报销!$E:$E,MATCH($A800&amp;"-6",输入报销!$J:$J,0))&amp;"","")</f>
        <v/>
      </c>
      <c r="F800" s="48" t="str">
        <f aca="false">IFERROR(INDEX(输入报销!$F:$F,MATCH($A800&amp;"-6",输入报销!$J:$J,0))&amp;"","")</f>
        <v/>
      </c>
      <c r="G800" s="49" t="n">
        <f aca="false">IFERROR(ROUND(INDEX(输入报销!$G:$G,MATCH($A800&amp;"-6",输入报销!$J:$J,0)),2),0)</f>
        <v>0</v>
      </c>
      <c r="H800" s="49" t="str">
        <f aca="false">IF(ROUND($G800,2)&gt;0,ROUND($G800,2),"")</f>
        <v/>
      </c>
      <c r="I800" s="49" t="str">
        <f aca="false">IF(ROUND($G800,2)&lt;0,-ROUND($G800,2),"")</f>
        <v/>
      </c>
      <c r="J800" s="20" t="n">
        <f aca="false">IF(ROUND($G800,2)=0,0,1)</f>
        <v>0</v>
      </c>
      <c r="K800" s="20" t="str">
        <f aca="false">IF($J800=0,"",SUM($J$795:$J800))</f>
        <v/>
      </c>
      <c r="L800" s="20" t="str">
        <f aca="false">IF($K800="","",$A800*100+$K800)</f>
        <v/>
      </c>
      <c r="M800" s="48" t="str">
        <f aca="false">IFERROR(INDEX(输入报销!$D:$D,MATCH($A800&amp;"-6",输入报销!$J:$J,0))&amp;"","")</f>
        <v/>
      </c>
    </row>
    <row r="801" customFormat="false" ht="13.5" hidden="false" customHeight="false" outlineLevel="0" collapsed="false">
      <c r="A801" s="47" t="n">
        <v>62</v>
      </c>
      <c r="C801" s="48" t="str">
        <f aca="false">助手报销!$C63</f>
        <v/>
      </c>
      <c r="D801" s="81" t="s">
        <v>485</v>
      </c>
      <c r="E801" s="48" t="str">
        <f aca="false">IFERROR(INDEX(输入报销!$E:$E,MATCH($A801&amp;"-7",输入报销!$J:$J,0))&amp;"","")</f>
        <v/>
      </c>
      <c r="F801" s="48" t="str">
        <f aca="false">IFERROR(INDEX(输入报销!$F:$F,MATCH($A801&amp;"-7",输入报销!$J:$J,0))&amp;"","")</f>
        <v/>
      </c>
      <c r="G801" s="49" t="n">
        <f aca="false">IFERROR(ROUND(INDEX(输入报销!$G:$G,MATCH($A801&amp;"-7",输入报销!$J:$J,0)),2),0)</f>
        <v>0</v>
      </c>
      <c r="H801" s="49" t="str">
        <f aca="false">IF(ROUND($G801,2)&gt;0,ROUND($G801,2),"")</f>
        <v/>
      </c>
      <c r="I801" s="49" t="str">
        <f aca="false">IF(ROUND($G801,2)&lt;0,-ROUND($G801,2),"")</f>
        <v/>
      </c>
      <c r="J801" s="20" t="n">
        <f aca="false">IF(ROUND($G801,2)=0,0,1)</f>
        <v>0</v>
      </c>
      <c r="K801" s="20" t="str">
        <f aca="false">IF($J801=0,"",SUM($J$795:$J801))</f>
        <v/>
      </c>
      <c r="L801" s="20" t="str">
        <f aca="false">IF($K801="","",$A801*100+$K801)</f>
        <v/>
      </c>
      <c r="M801" s="48" t="str">
        <f aca="false">IFERROR(INDEX(输入报销!$D:$D,MATCH($A801&amp;"-7",输入报销!$J:$J,0))&amp;"","")</f>
        <v/>
      </c>
    </row>
    <row r="802" customFormat="false" ht="13.5" hidden="false" customHeight="false" outlineLevel="0" collapsed="false">
      <c r="A802" s="47" t="n">
        <v>62</v>
      </c>
      <c r="C802" s="48" t="str">
        <f aca="false">助手报销!$C63</f>
        <v/>
      </c>
      <c r="D802" s="81" t="s">
        <v>486</v>
      </c>
      <c r="E802" s="48" t="str">
        <f aca="false">IFERROR(INDEX(输入报销!$E:$E,MATCH($A802&amp;"-8",输入报销!$J:$J,0))&amp;"","")</f>
        <v/>
      </c>
      <c r="F802" s="48" t="str">
        <f aca="false">IFERROR(INDEX(输入报销!$F:$F,MATCH($A802&amp;"-8",输入报销!$J:$J,0))&amp;"","")</f>
        <v/>
      </c>
      <c r="G802" s="49" t="n">
        <f aca="false">IFERROR(ROUND(INDEX(输入报销!$G:$G,MATCH($A802&amp;"-8",输入报销!$J:$J,0)),2),0)</f>
        <v>0</v>
      </c>
      <c r="H802" s="49" t="str">
        <f aca="false">IF(ROUND($G802,2)&gt;0,ROUND($G802,2),"")</f>
        <v/>
      </c>
      <c r="I802" s="49" t="str">
        <f aca="false">IF(ROUND($G802,2)&lt;0,-ROUND($G802,2),"")</f>
        <v/>
      </c>
      <c r="J802" s="20" t="n">
        <f aca="false">IF(ROUND($G802,2)=0,0,1)</f>
        <v>0</v>
      </c>
      <c r="K802" s="20" t="str">
        <f aca="false">IF($J802=0,"",SUM($J$795:$J802))</f>
        <v/>
      </c>
      <c r="L802" s="20" t="str">
        <f aca="false">IF($K802="","",$A802*100+$K802)</f>
        <v/>
      </c>
      <c r="M802" s="48" t="str">
        <f aca="false">IFERROR(INDEX(输入报销!$D:$D,MATCH($A802&amp;"-8",输入报销!$J:$J,0))&amp;"","")</f>
        <v/>
      </c>
    </row>
    <row r="803" customFormat="false" ht="13.5" hidden="false" customHeight="false" outlineLevel="0" collapsed="false">
      <c r="A803" s="47" t="n">
        <v>62</v>
      </c>
      <c r="C803" s="48" t="str">
        <f aca="false">助手报销!$C63</f>
        <v/>
      </c>
      <c r="D803" s="81" t="s">
        <v>487</v>
      </c>
      <c r="E803" s="48" t="str">
        <f aca="false">IFERROR(INDEX(输入报销!$E:$E,MATCH($A803&amp;"-9",输入报销!$J:$J,0))&amp;"","")</f>
        <v/>
      </c>
      <c r="F803" s="48" t="str">
        <f aca="false">IFERROR(INDEX(输入报销!$F:$F,MATCH($A803&amp;"-9",输入报销!$J:$J,0))&amp;"","")</f>
        <v/>
      </c>
      <c r="G803" s="49" t="n">
        <f aca="false">IFERROR(ROUND(INDEX(输入报销!$G:$G,MATCH($A803&amp;"-9",输入报销!$J:$J,0)),2),0)</f>
        <v>0</v>
      </c>
      <c r="H803" s="49" t="str">
        <f aca="false">IF(ROUND($G803,2)&gt;0,ROUND($G803,2),"")</f>
        <v/>
      </c>
      <c r="I803" s="49" t="str">
        <f aca="false">IF(ROUND($G803,2)&lt;0,-ROUND($G803,2),"")</f>
        <v/>
      </c>
      <c r="J803" s="20" t="n">
        <f aca="false">IF(ROUND($G803,2)=0,0,1)</f>
        <v>0</v>
      </c>
      <c r="K803" s="20" t="str">
        <f aca="false">IF($J803=0,"",SUM($J$795:$J803))</f>
        <v/>
      </c>
      <c r="L803" s="20" t="str">
        <f aca="false">IF($K803="","",$A803*100+$K803)</f>
        <v/>
      </c>
      <c r="M803" s="48" t="str">
        <f aca="false">IFERROR(INDEX(输入报销!$D:$D,MATCH($A803&amp;"-9",输入报销!$J:$J,0))&amp;"","")</f>
        <v/>
      </c>
    </row>
    <row r="804" customFormat="false" ht="13.5" hidden="false" customHeight="false" outlineLevel="0" collapsed="false">
      <c r="A804" s="47" t="n">
        <v>62</v>
      </c>
      <c r="C804" s="48" t="str">
        <f aca="false">助手报销!$C63</f>
        <v/>
      </c>
      <c r="D804" s="81" t="s">
        <v>488</v>
      </c>
      <c r="E804" s="48" t="str">
        <f aca="false">IFERROR(INDEX(输入报销!$E:$E,MATCH($A804&amp;"-10",输入报销!$J:$J,0))&amp;"","")</f>
        <v/>
      </c>
      <c r="F804" s="48" t="str">
        <f aca="false">IFERROR(INDEX(输入报销!$F:$F,MATCH($A804&amp;"-10",输入报销!$J:$J,0))&amp;"","")</f>
        <v/>
      </c>
      <c r="G804" s="49" t="n">
        <f aca="false">IFERROR(ROUND(INDEX(输入报销!$G:$G,MATCH($A804&amp;"-10",输入报销!$J:$J,0)),2),0)</f>
        <v>0</v>
      </c>
      <c r="H804" s="49" t="str">
        <f aca="false">IF(ROUND($G804,2)&gt;0,ROUND($G804,2),"")</f>
        <v/>
      </c>
      <c r="I804" s="49" t="str">
        <f aca="false">IF(ROUND($G804,2)&lt;0,-ROUND($G804,2),"")</f>
        <v/>
      </c>
      <c r="J804" s="20" t="n">
        <f aca="false">IF(ROUND($G804,2)=0,0,1)</f>
        <v>0</v>
      </c>
      <c r="K804" s="20" t="str">
        <f aca="false">IF($J804=0,"",SUM($J$795:$J804))</f>
        <v/>
      </c>
      <c r="L804" s="20" t="str">
        <f aca="false">IF($K804="","",$A804*100+$K804)</f>
        <v/>
      </c>
      <c r="M804" s="48" t="str">
        <f aca="false">IFERROR(INDEX(输入报销!$D:$D,MATCH($A804&amp;"-10",输入报销!$J:$J,0))&amp;"","")</f>
        <v/>
      </c>
    </row>
    <row r="805" customFormat="false" ht="13.5" hidden="false" customHeight="false" outlineLevel="0" collapsed="false">
      <c r="A805" s="47" t="n">
        <v>62</v>
      </c>
      <c r="C805" s="48" t="str">
        <f aca="false">助手报销!$C63</f>
        <v/>
      </c>
      <c r="D805" s="81" t="s">
        <v>489</v>
      </c>
      <c r="E805" s="48" t="str">
        <f aca="false">参数!$B$6</f>
        <v>库存现金</v>
      </c>
      <c r="F805" s="48" t="str">
        <f aca="false">""</f>
        <v/>
      </c>
      <c r="G805" s="49" t="n">
        <f aca="false">-ROUND(SUMIFS(输入报销!$G:$G,输入报销!$A:$A,$A805,输入报销!$H:$H,参数!$B$6),2)</f>
        <v>-0</v>
      </c>
      <c r="H805" s="49" t="str">
        <f aca="false">IF(ROUND($G805,2)&gt;0,ROUND($G805,2),"")</f>
        <v/>
      </c>
      <c r="I805" s="49" t="str">
        <f aca="false">IF(ROUND($G805,2)&lt;0,-ROUND($G805,2),"")</f>
        <v/>
      </c>
      <c r="J805" s="20" t="n">
        <f aca="false">IF(ROUND($G805,2)=0,0,1)</f>
        <v>0</v>
      </c>
      <c r="K805" s="20" t="str">
        <f aca="false">IF($J805=0,"",SUM($J$795:$J805))</f>
        <v/>
      </c>
      <c r="L805" s="20" t="str">
        <f aca="false">IF($K805="","",$A805*100+$K805)</f>
        <v/>
      </c>
      <c r="M805" s="48" t="str">
        <f aca="false">""</f>
        <v/>
      </c>
    </row>
    <row r="806" customFormat="false" ht="13.5" hidden="false" customHeight="false" outlineLevel="0" collapsed="false">
      <c r="A806" s="47" t="n">
        <v>62</v>
      </c>
      <c r="C806" s="48" t="str">
        <f aca="false">助手报销!$C63</f>
        <v/>
      </c>
      <c r="D806" s="81" t="s">
        <v>490</v>
      </c>
      <c r="E806" s="48" t="str">
        <f aca="false">参数!$B$7</f>
        <v>银行存款</v>
      </c>
      <c r="F806" s="48" t="str">
        <f aca="false">""</f>
        <v/>
      </c>
      <c r="G806" s="49" t="n">
        <f aca="false">-ROUND(SUMIFS(输入报销!$G:$G,输入报销!$A:$A,$A806,输入报销!$H:$H,参数!$B$7),2)</f>
        <v>-0</v>
      </c>
      <c r="H806" s="49" t="str">
        <f aca="false">IF(ROUND($G806,2)&gt;0,ROUND($G806,2),"")</f>
        <v/>
      </c>
      <c r="I806" s="49" t="str">
        <f aca="false">IF(ROUND($G806,2)&lt;0,-ROUND($G806,2),"")</f>
        <v/>
      </c>
      <c r="J806" s="20" t="n">
        <f aca="false">IF(ROUND($G806,2)=0,0,1)</f>
        <v>0</v>
      </c>
      <c r="K806" s="20" t="str">
        <f aca="false">IF($J806=0,"",SUM($J$795:$J806))</f>
        <v/>
      </c>
      <c r="L806" s="20" t="str">
        <f aca="false">IF($K806="","",$A806*100+$K806)</f>
        <v/>
      </c>
      <c r="M806" s="48" t="str">
        <f aca="false">""</f>
        <v/>
      </c>
    </row>
    <row r="807" customFormat="false" ht="13.5" hidden="false" customHeight="false" outlineLevel="0" collapsed="false">
      <c r="A807" s="47" t="n">
        <v>62</v>
      </c>
      <c r="C807" s="48" t="str">
        <f aca="false">助手报销!$C63</f>
        <v/>
      </c>
      <c r="D807" s="81" t="s">
        <v>491</v>
      </c>
      <c r="E807" s="48" t="str">
        <f aca="false">参数!$B$8</f>
        <v>其他应付款</v>
      </c>
      <c r="F807" s="48" t="str">
        <f aca="false">""</f>
        <v/>
      </c>
      <c r="G807" s="49" t="n">
        <f aca="false">-ROUND(SUMIFS(输入报销!$G:$G,输入报销!$A:$A,$A807,输入报销!$H:$H,参数!$B$8),2)</f>
        <v>-0</v>
      </c>
      <c r="H807" s="49" t="str">
        <f aca="false">IF(ROUND($G807,2)&gt;0,ROUND($G807,2),"")</f>
        <v/>
      </c>
      <c r="I807" s="49" t="str">
        <f aca="false">IF(ROUND($G807,2)&lt;0,-ROUND($G807,2),"")</f>
        <v/>
      </c>
      <c r="J807" s="20" t="n">
        <f aca="false">IF(ROUND($G807,2)=0,0,1)</f>
        <v>0</v>
      </c>
      <c r="K807" s="20" t="str">
        <f aca="false">IF($J807=0,"",SUM($J$795:$J807))</f>
        <v/>
      </c>
      <c r="L807" s="20" t="str">
        <f aca="false">IF($K807="","",$A807*100+$K807)</f>
        <v/>
      </c>
      <c r="M807" s="48" t="str">
        <f aca="false">""</f>
        <v/>
      </c>
    </row>
    <row r="808" customFormat="false" ht="13.5" hidden="false" customHeight="false" outlineLevel="0" collapsed="false">
      <c r="A808" s="47" t="n">
        <v>63</v>
      </c>
      <c r="C808" s="48" t="str">
        <f aca="false">助手报销!$C64</f>
        <v/>
      </c>
      <c r="D808" s="81" t="s">
        <v>479</v>
      </c>
      <c r="E808" s="48" t="str">
        <f aca="false">IFERROR(INDEX(输入报销!$E:$E,MATCH($A808&amp;"-1",输入报销!$J:$J,0))&amp;"","")</f>
        <v/>
      </c>
      <c r="F808" s="48" t="str">
        <f aca="false">IFERROR(INDEX(输入报销!$F:$F,MATCH($A808&amp;"-1",输入报销!$J:$J,0))&amp;"","")</f>
        <v/>
      </c>
      <c r="G808" s="49" t="n">
        <f aca="false">IFERROR(ROUND(INDEX(输入报销!$G:$G,MATCH($A808&amp;"-1",输入报销!$J:$J,0)),2),0)</f>
        <v>0</v>
      </c>
      <c r="H808" s="49" t="str">
        <f aca="false">IF(ROUND($G808,2)&gt;0,ROUND($G808,2),"")</f>
        <v/>
      </c>
      <c r="I808" s="49" t="str">
        <f aca="false">IF(ROUND($G808,2)&lt;0,-ROUND($G808,2),"")</f>
        <v/>
      </c>
      <c r="J808" s="20" t="n">
        <f aca="false">IF(ROUND($G808,2)=0,0,1)</f>
        <v>0</v>
      </c>
      <c r="K808" s="20" t="str">
        <f aca="false">IF($J808=0,"",SUM($J$808:$J808))</f>
        <v/>
      </c>
      <c r="L808" s="20" t="str">
        <f aca="false">IF($K808="","",$A808*100+$K808)</f>
        <v/>
      </c>
      <c r="M808" s="48" t="str">
        <f aca="false">IFERROR(INDEX(输入报销!$D:$D,MATCH($A808&amp;"-1",输入报销!$J:$J,0))&amp;"","")</f>
        <v/>
      </c>
    </row>
    <row r="809" customFormat="false" ht="13.5" hidden="false" customHeight="false" outlineLevel="0" collapsed="false">
      <c r="A809" s="47" t="n">
        <v>63</v>
      </c>
      <c r="C809" s="48" t="str">
        <f aca="false">助手报销!$C64</f>
        <v/>
      </c>
      <c r="D809" s="81" t="s">
        <v>480</v>
      </c>
      <c r="E809" s="48" t="str">
        <f aca="false">IFERROR(INDEX(输入报销!$E:$E,MATCH($A809&amp;"-2",输入报销!$J:$J,0))&amp;"","")</f>
        <v/>
      </c>
      <c r="F809" s="48" t="str">
        <f aca="false">IFERROR(INDEX(输入报销!$F:$F,MATCH($A809&amp;"-2",输入报销!$J:$J,0))&amp;"","")</f>
        <v/>
      </c>
      <c r="G809" s="49" t="n">
        <f aca="false">IFERROR(ROUND(INDEX(输入报销!$G:$G,MATCH($A809&amp;"-2",输入报销!$J:$J,0)),2),0)</f>
        <v>0</v>
      </c>
      <c r="H809" s="49" t="str">
        <f aca="false">IF(ROUND($G809,2)&gt;0,ROUND($G809,2),"")</f>
        <v/>
      </c>
      <c r="I809" s="49" t="str">
        <f aca="false">IF(ROUND($G809,2)&lt;0,-ROUND($G809,2),"")</f>
        <v/>
      </c>
      <c r="J809" s="20" t="n">
        <f aca="false">IF(ROUND($G809,2)=0,0,1)</f>
        <v>0</v>
      </c>
      <c r="K809" s="20" t="str">
        <f aca="false">IF($J809=0,"",SUM($J$808:$J809))</f>
        <v/>
      </c>
      <c r="L809" s="20" t="str">
        <f aca="false">IF($K809="","",$A809*100+$K809)</f>
        <v/>
      </c>
      <c r="M809" s="48" t="str">
        <f aca="false">IFERROR(INDEX(输入报销!$D:$D,MATCH($A809&amp;"-2",输入报销!$J:$J,0))&amp;"","")</f>
        <v/>
      </c>
    </row>
    <row r="810" customFormat="false" ht="13.5" hidden="false" customHeight="false" outlineLevel="0" collapsed="false">
      <c r="A810" s="47" t="n">
        <v>63</v>
      </c>
      <c r="C810" s="48" t="str">
        <f aca="false">助手报销!$C64</f>
        <v/>
      </c>
      <c r="D810" s="81" t="s">
        <v>481</v>
      </c>
      <c r="E810" s="48" t="str">
        <f aca="false">IFERROR(INDEX(输入报销!$E:$E,MATCH($A810&amp;"-3",输入报销!$J:$J,0))&amp;"","")</f>
        <v/>
      </c>
      <c r="F810" s="48" t="str">
        <f aca="false">IFERROR(INDEX(输入报销!$F:$F,MATCH($A810&amp;"-3",输入报销!$J:$J,0))&amp;"","")</f>
        <v/>
      </c>
      <c r="G810" s="49" t="n">
        <f aca="false">IFERROR(ROUND(INDEX(输入报销!$G:$G,MATCH($A810&amp;"-3",输入报销!$J:$J,0)),2),0)</f>
        <v>0</v>
      </c>
      <c r="H810" s="49" t="str">
        <f aca="false">IF(ROUND($G810,2)&gt;0,ROUND($G810,2),"")</f>
        <v/>
      </c>
      <c r="I810" s="49" t="str">
        <f aca="false">IF(ROUND($G810,2)&lt;0,-ROUND($G810,2),"")</f>
        <v/>
      </c>
      <c r="J810" s="20" t="n">
        <f aca="false">IF(ROUND($G810,2)=0,0,1)</f>
        <v>0</v>
      </c>
      <c r="K810" s="20" t="str">
        <f aca="false">IF($J810=0,"",SUM($J$808:$J810))</f>
        <v/>
      </c>
      <c r="L810" s="20" t="str">
        <f aca="false">IF($K810="","",$A810*100+$K810)</f>
        <v/>
      </c>
      <c r="M810" s="48" t="str">
        <f aca="false">IFERROR(INDEX(输入报销!$D:$D,MATCH($A810&amp;"-3",输入报销!$J:$J,0))&amp;"","")</f>
        <v/>
      </c>
    </row>
    <row r="811" customFormat="false" ht="13.5" hidden="false" customHeight="false" outlineLevel="0" collapsed="false">
      <c r="A811" s="47" t="n">
        <v>63</v>
      </c>
      <c r="C811" s="48" t="str">
        <f aca="false">助手报销!$C64</f>
        <v/>
      </c>
      <c r="D811" s="81" t="s">
        <v>482</v>
      </c>
      <c r="E811" s="48" t="str">
        <f aca="false">IFERROR(INDEX(输入报销!$E:$E,MATCH($A811&amp;"-4",输入报销!$J:$J,0))&amp;"","")</f>
        <v/>
      </c>
      <c r="F811" s="48" t="str">
        <f aca="false">IFERROR(INDEX(输入报销!$F:$F,MATCH($A811&amp;"-4",输入报销!$J:$J,0))&amp;"","")</f>
        <v/>
      </c>
      <c r="G811" s="49" t="n">
        <f aca="false">IFERROR(ROUND(INDEX(输入报销!$G:$G,MATCH($A811&amp;"-4",输入报销!$J:$J,0)),2),0)</f>
        <v>0</v>
      </c>
      <c r="H811" s="49" t="str">
        <f aca="false">IF(ROUND($G811,2)&gt;0,ROUND($G811,2),"")</f>
        <v/>
      </c>
      <c r="I811" s="49" t="str">
        <f aca="false">IF(ROUND($G811,2)&lt;0,-ROUND($G811,2),"")</f>
        <v/>
      </c>
      <c r="J811" s="20" t="n">
        <f aca="false">IF(ROUND($G811,2)=0,0,1)</f>
        <v>0</v>
      </c>
      <c r="K811" s="20" t="str">
        <f aca="false">IF($J811=0,"",SUM($J$808:$J811))</f>
        <v/>
      </c>
      <c r="L811" s="20" t="str">
        <f aca="false">IF($K811="","",$A811*100+$K811)</f>
        <v/>
      </c>
      <c r="M811" s="48" t="str">
        <f aca="false">IFERROR(INDEX(输入报销!$D:$D,MATCH($A811&amp;"-4",输入报销!$J:$J,0))&amp;"","")</f>
        <v/>
      </c>
    </row>
    <row r="812" customFormat="false" ht="13.5" hidden="false" customHeight="false" outlineLevel="0" collapsed="false">
      <c r="A812" s="47" t="n">
        <v>63</v>
      </c>
      <c r="C812" s="48" t="str">
        <f aca="false">助手报销!$C64</f>
        <v/>
      </c>
      <c r="D812" s="81" t="s">
        <v>483</v>
      </c>
      <c r="E812" s="48" t="str">
        <f aca="false">IFERROR(INDEX(输入报销!$E:$E,MATCH($A812&amp;"-5",输入报销!$J:$J,0))&amp;"","")</f>
        <v/>
      </c>
      <c r="F812" s="48" t="str">
        <f aca="false">IFERROR(INDEX(输入报销!$F:$F,MATCH($A812&amp;"-5",输入报销!$J:$J,0))&amp;"","")</f>
        <v/>
      </c>
      <c r="G812" s="49" t="n">
        <f aca="false">IFERROR(ROUND(INDEX(输入报销!$G:$G,MATCH($A812&amp;"-5",输入报销!$J:$J,0)),2),0)</f>
        <v>0</v>
      </c>
      <c r="H812" s="49" t="str">
        <f aca="false">IF(ROUND($G812,2)&gt;0,ROUND($G812,2),"")</f>
        <v/>
      </c>
      <c r="I812" s="49" t="str">
        <f aca="false">IF(ROUND($G812,2)&lt;0,-ROUND($G812,2),"")</f>
        <v/>
      </c>
      <c r="J812" s="20" t="n">
        <f aca="false">IF(ROUND($G812,2)=0,0,1)</f>
        <v>0</v>
      </c>
      <c r="K812" s="20" t="str">
        <f aca="false">IF($J812=0,"",SUM($J$808:$J812))</f>
        <v/>
      </c>
      <c r="L812" s="20" t="str">
        <f aca="false">IF($K812="","",$A812*100+$K812)</f>
        <v/>
      </c>
      <c r="M812" s="48" t="str">
        <f aca="false">IFERROR(INDEX(输入报销!$D:$D,MATCH($A812&amp;"-5",输入报销!$J:$J,0))&amp;"","")</f>
        <v/>
      </c>
    </row>
    <row r="813" customFormat="false" ht="13.5" hidden="false" customHeight="false" outlineLevel="0" collapsed="false">
      <c r="A813" s="47" t="n">
        <v>63</v>
      </c>
      <c r="C813" s="48" t="str">
        <f aca="false">助手报销!$C64</f>
        <v/>
      </c>
      <c r="D813" s="81" t="s">
        <v>484</v>
      </c>
      <c r="E813" s="48" t="str">
        <f aca="false">IFERROR(INDEX(输入报销!$E:$E,MATCH($A813&amp;"-6",输入报销!$J:$J,0))&amp;"","")</f>
        <v/>
      </c>
      <c r="F813" s="48" t="str">
        <f aca="false">IFERROR(INDEX(输入报销!$F:$F,MATCH($A813&amp;"-6",输入报销!$J:$J,0))&amp;"","")</f>
        <v/>
      </c>
      <c r="G813" s="49" t="n">
        <f aca="false">IFERROR(ROUND(INDEX(输入报销!$G:$G,MATCH($A813&amp;"-6",输入报销!$J:$J,0)),2),0)</f>
        <v>0</v>
      </c>
      <c r="H813" s="49" t="str">
        <f aca="false">IF(ROUND($G813,2)&gt;0,ROUND($G813,2),"")</f>
        <v/>
      </c>
      <c r="I813" s="49" t="str">
        <f aca="false">IF(ROUND($G813,2)&lt;0,-ROUND($G813,2),"")</f>
        <v/>
      </c>
      <c r="J813" s="20" t="n">
        <f aca="false">IF(ROUND($G813,2)=0,0,1)</f>
        <v>0</v>
      </c>
      <c r="K813" s="20" t="str">
        <f aca="false">IF($J813=0,"",SUM($J$808:$J813))</f>
        <v/>
      </c>
      <c r="L813" s="20" t="str">
        <f aca="false">IF($K813="","",$A813*100+$K813)</f>
        <v/>
      </c>
      <c r="M813" s="48" t="str">
        <f aca="false">IFERROR(INDEX(输入报销!$D:$D,MATCH($A813&amp;"-6",输入报销!$J:$J,0))&amp;"","")</f>
        <v/>
      </c>
    </row>
    <row r="814" customFormat="false" ht="13.5" hidden="false" customHeight="false" outlineLevel="0" collapsed="false">
      <c r="A814" s="47" t="n">
        <v>63</v>
      </c>
      <c r="C814" s="48" t="str">
        <f aca="false">助手报销!$C64</f>
        <v/>
      </c>
      <c r="D814" s="81" t="s">
        <v>485</v>
      </c>
      <c r="E814" s="48" t="str">
        <f aca="false">IFERROR(INDEX(输入报销!$E:$E,MATCH($A814&amp;"-7",输入报销!$J:$J,0))&amp;"","")</f>
        <v/>
      </c>
      <c r="F814" s="48" t="str">
        <f aca="false">IFERROR(INDEX(输入报销!$F:$F,MATCH($A814&amp;"-7",输入报销!$J:$J,0))&amp;"","")</f>
        <v/>
      </c>
      <c r="G814" s="49" t="n">
        <f aca="false">IFERROR(ROUND(INDEX(输入报销!$G:$G,MATCH($A814&amp;"-7",输入报销!$J:$J,0)),2),0)</f>
        <v>0</v>
      </c>
      <c r="H814" s="49" t="str">
        <f aca="false">IF(ROUND($G814,2)&gt;0,ROUND($G814,2),"")</f>
        <v/>
      </c>
      <c r="I814" s="49" t="str">
        <f aca="false">IF(ROUND($G814,2)&lt;0,-ROUND($G814,2),"")</f>
        <v/>
      </c>
      <c r="J814" s="20" t="n">
        <f aca="false">IF(ROUND($G814,2)=0,0,1)</f>
        <v>0</v>
      </c>
      <c r="K814" s="20" t="str">
        <f aca="false">IF($J814=0,"",SUM($J$808:$J814))</f>
        <v/>
      </c>
      <c r="L814" s="20" t="str">
        <f aca="false">IF($K814="","",$A814*100+$K814)</f>
        <v/>
      </c>
      <c r="M814" s="48" t="str">
        <f aca="false">IFERROR(INDEX(输入报销!$D:$D,MATCH($A814&amp;"-7",输入报销!$J:$J,0))&amp;"","")</f>
        <v/>
      </c>
    </row>
    <row r="815" customFormat="false" ht="13.5" hidden="false" customHeight="false" outlineLevel="0" collapsed="false">
      <c r="A815" s="47" t="n">
        <v>63</v>
      </c>
      <c r="C815" s="48" t="str">
        <f aca="false">助手报销!$C64</f>
        <v/>
      </c>
      <c r="D815" s="81" t="s">
        <v>486</v>
      </c>
      <c r="E815" s="48" t="str">
        <f aca="false">IFERROR(INDEX(输入报销!$E:$E,MATCH($A815&amp;"-8",输入报销!$J:$J,0))&amp;"","")</f>
        <v/>
      </c>
      <c r="F815" s="48" t="str">
        <f aca="false">IFERROR(INDEX(输入报销!$F:$F,MATCH($A815&amp;"-8",输入报销!$J:$J,0))&amp;"","")</f>
        <v/>
      </c>
      <c r="G815" s="49" t="n">
        <f aca="false">IFERROR(ROUND(INDEX(输入报销!$G:$G,MATCH($A815&amp;"-8",输入报销!$J:$J,0)),2),0)</f>
        <v>0</v>
      </c>
      <c r="H815" s="49" t="str">
        <f aca="false">IF(ROUND($G815,2)&gt;0,ROUND($G815,2),"")</f>
        <v/>
      </c>
      <c r="I815" s="49" t="str">
        <f aca="false">IF(ROUND($G815,2)&lt;0,-ROUND($G815,2),"")</f>
        <v/>
      </c>
      <c r="J815" s="20" t="n">
        <f aca="false">IF(ROUND($G815,2)=0,0,1)</f>
        <v>0</v>
      </c>
      <c r="K815" s="20" t="str">
        <f aca="false">IF($J815=0,"",SUM($J$808:$J815))</f>
        <v/>
      </c>
      <c r="L815" s="20" t="str">
        <f aca="false">IF($K815="","",$A815*100+$K815)</f>
        <v/>
      </c>
      <c r="M815" s="48" t="str">
        <f aca="false">IFERROR(INDEX(输入报销!$D:$D,MATCH($A815&amp;"-8",输入报销!$J:$J,0))&amp;"","")</f>
        <v/>
      </c>
    </row>
    <row r="816" customFormat="false" ht="13.5" hidden="false" customHeight="false" outlineLevel="0" collapsed="false">
      <c r="A816" s="47" t="n">
        <v>63</v>
      </c>
      <c r="C816" s="48" t="str">
        <f aca="false">助手报销!$C64</f>
        <v/>
      </c>
      <c r="D816" s="81" t="s">
        <v>487</v>
      </c>
      <c r="E816" s="48" t="str">
        <f aca="false">IFERROR(INDEX(输入报销!$E:$E,MATCH($A816&amp;"-9",输入报销!$J:$J,0))&amp;"","")</f>
        <v/>
      </c>
      <c r="F816" s="48" t="str">
        <f aca="false">IFERROR(INDEX(输入报销!$F:$F,MATCH($A816&amp;"-9",输入报销!$J:$J,0))&amp;"","")</f>
        <v/>
      </c>
      <c r="G816" s="49" t="n">
        <f aca="false">IFERROR(ROUND(INDEX(输入报销!$G:$G,MATCH($A816&amp;"-9",输入报销!$J:$J,0)),2),0)</f>
        <v>0</v>
      </c>
      <c r="H816" s="49" t="str">
        <f aca="false">IF(ROUND($G816,2)&gt;0,ROUND($G816,2),"")</f>
        <v/>
      </c>
      <c r="I816" s="49" t="str">
        <f aca="false">IF(ROUND($G816,2)&lt;0,-ROUND($G816,2),"")</f>
        <v/>
      </c>
      <c r="J816" s="20" t="n">
        <f aca="false">IF(ROUND($G816,2)=0,0,1)</f>
        <v>0</v>
      </c>
      <c r="K816" s="20" t="str">
        <f aca="false">IF($J816=0,"",SUM($J$808:$J816))</f>
        <v/>
      </c>
      <c r="L816" s="20" t="str">
        <f aca="false">IF($K816="","",$A816*100+$K816)</f>
        <v/>
      </c>
      <c r="M816" s="48" t="str">
        <f aca="false">IFERROR(INDEX(输入报销!$D:$D,MATCH($A816&amp;"-9",输入报销!$J:$J,0))&amp;"","")</f>
        <v/>
      </c>
    </row>
    <row r="817" customFormat="false" ht="13.5" hidden="false" customHeight="false" outlineLevel="0" collapsed="false">
      <c r="A817" s="47" t="n">
        <v>63</v>
      </c>
      <c r="C817" s="48" t="str">
        <f aca="false">助手报销!$C64</f>
        <v/>
      </c>
      <c r="D817" s="81" t="s">
        <v>488</v>
      </c>
      <c r="E817" s="48" t="str">
        <f aca="false">IFERROR(INDEX(输入报销!$E:$E,MATCH($A817&amp;"-10",输入报销!$J:$J,0))&amp;"","")</f>
        <v/>
      </c>
      <c r="F817" s="48" t="str">
        <f aca="false">IFERROR(INDEX(输入报销!$F:$F,MATCH($A817&amp;"-10",输入报销!$J:$J,0))&amp;"","")</f>
        <v/>
      </c>
      <c r="G817" s="49" t="n">
        <f aca="false">IFERROR(ROUND(INDEX(输入报销!$G:$G,MATCH($A817&amp;"-10",输入报销!$J:$J,0)),2),0)</f>
        <v>0</v>
      </c>
      <c r="H817" s="49" t="str">
        <f aca="false">IF(ROUND($G817,2)&gt;0,ROUND($G817,2),"")</f>
        <v/>
      </c>
      <c r="I817" s="49" t="str">
        <f aca="false">IF(ROUND($G817,2)&lt;0,-ROUND($G817,2),"")</f>
        <v/>
      </c>
      <c r="J817" s="20" t="n">
        <f aca="false">IF(ROUND($G817,2)=0,0,1)</f>
        <v>0</v>
      </c>
      <c r="K817" s="20" t="str">
        <f aca="false">IF($J817=0,"",SUM($J$808:$J817))</f>
        <v/>
      </c>
      <c r="L817" s="20" t="str">
        <f aca="false">IF($K817="","",$A817*100+$K817)</f>
        <v/>
      </c>
      <c r="M817" s="48" t="str">
        <f aca="false">IFERROR(INDEX(输入报销!$D:$D,MATCH($A817&amp;"-10",输入报销!$J:$J,0))&amp;"","")</f>
        <v/>
      </c>
    </row>
    <row r="818" customFormat="false" ht="13.5" hidden="false" customHeight="false" outlineLevel="0" collapsed="false">
      <c r="A818" s="47" t="n">
        <v>63</v>
      </c>
      <c r="C818" s="48" t="str">
        <f aca="false">助手报销!$C64</f>
        <v/>
      </c>
      <c r="D818" s="81" t="s">
        <v>489</v>
      </c>
      <c r="E818" s="48" t="str">
        <f aca="false">参数!$B$6</f>
        <v>库存现金</v>
      </c>
      <c r="F818" s="48" t="str">
        <f aca="false">""</f>
        <v/>
      </c>
      <c r="G818" s="49" t="n">
        <f aca="false">-ROUND(SUMIFS(输入报销!$G:$G,输入报销!$A:$A,$A818,输入报销!$H:$H,参数!$B$6),2)</f>
        <v>-0</v>
      </c>
      <c r="H818" s="49" t="str">
        <f aca="false">IF(ROUND($G818,2)&gt;0,ROUND($G818,2),"")</f>
        <v/>
      </c>
      <c r="I818" s="49" t="str">
        <f aca="false">IF(ROUND($G818,2)&lt;0,-ROUND($G818,2),"")</f>
        <v/>
      </c>
      <c r="J818" s="20" t="n">
        <f aca="false">IF(ROUND($G818,2)=0,0,1)</f>
        <v>0</v>
      </c>
      <c r="K818" s="20" t="str">
        <f aca="false">IF($J818=0,"",SUM($J$808:$J818))</f>
        <v/>
      </c>
      <c r="L818" s="20" t="str">
        <f aca="false">IF($K818="","",$A818*100+$K818)</f>
        <v/>
      </c>
      <c r="M818" s="48" t="str">
        <f aca="false">""</f>
        <v/>
      </c>
    </row>
    <row r="819" customFormat="false" ht="13.5" hidden="false" customHeight="false" outlineLevel="0" collapsed="false">
      <c r="A819" s="47" t="n">
        <v>63</v>
      </c>
      <c r="C819" s="48" t="str">
        <f aca="false">助手报销!$C64</f>
        <v/>
      </c>
      <c r="D819" s="81" t="s">
        <v>490</v>
      </c>
      <c r="E819" s="48" t="str">
        <f aca="false">参数!$B$7</f>
        <v>银行存款</v>
      </c>
      <c r="F819" s="48" t="str">
        <f aca="false">""</f>
        <v/>
      </c>
      <c r="G819" s="49" t="n">
        <f aca="false">-ROUND(SUMIFS(输入报销!$G:$G,输入报销!$A:$A,$A819,输入报销!$H:$H,参数!$B$7),2)</f>
        <v>-0</v>
      </c>
      <c r="H819" s="49" t="str">
        <f aca="false">IF(ROUND($G819,2)&gt;0,ROUND($G819,2),"")</f>
        <v/>
      </c>
      <c r="I819" s="49" t="str">
        <f aca="false">IF(ROUND($G819,2)&lt;0,-ROUND($G819,2),"")</f>
        <v/>
      </c>
      <c r="J819" s="20" t="n">
        <f aca="false">IF(ROUND($G819,2)=0,0,1)</f>
        <v>0</v>
      </c>
      <c r="K819" s="20" t="str">
        <f aca="false">IF($J819=0,"",SUM($J$808:$J819))</f>
        <v/>
      </c>
      <c r="L819" s="20" t="str">
        <f aca="false">IF($K819="","",$A819*100+$K819)</f>
        <v/>
      </c>
      <c r="M819" s="48" t="str">
        <f aca="false">""</f>
        <v/>
      </c>
    </row>
    <row r="820" customFormat="false" ht="13.5" hidden="false" customHeight="false" outlineLevel="0" collapsed="false">
      <c r="A820" s="47" t="n">
        <v>63</v>
      </c>
      <c r="C820" s="48" t="str">
        <f aca="false">助手报销!$C64</f>
        <v/>
      </c>
      <c r="D820" s="81" t="s">
        <v>491</v>
      </c>
      <c r="E820" s="48" t="str">
        <f aca="false">参数!$B$8</f>
        <v>其他应付款</v>
      </c>
      <c r="F820" s="48" t="str">
        <f aca="false">""</f>
        <v/>
      </c>
      <c r="G820" s="49" t="n">
        <f aca="false">-ROUND(SUMIFS(输入报销!$G:$G,输入报销!$A:$A,$A820,输入报销!$H:$H,参数!$B$8),2)</f>
        <v>-0</v>
      </c>
      <c r="H820" s="49" t="str">
        <f aca="false">IF(ROUND($G820,2)&gt;0,ROUND($G820,2),"")</f>
        <v/>
      </c>
      <c r="I820" s="49" t="str">
        <f aca="false">IF(ROUND($G820,2)&lt;0,-ROUND($G820,2),"")</f>
        <v/>
      </c>
      <c r="J820" s="20" t="n">
        <f aca="false">IF(ROUND($G820,2)=0,0,1)</f>
        <v>0</v>
      </c>
      <c r="K820" s="20" t="str">
        <f aca="false">IF($J820=0,"",SUM($J$808:$J820))</f>
        <v/>
      </c>
      <c r="L820" s="20" t="str">
        <f aca="false">IF($K820="","",$A820*100+$K820)</f>
        <v/>
      </c>
      <c r="M820" s="48" t="str">
        <f aca="false">""</f>
        <v/>
      </c>
    </row>
    <row r="821" customFormat="false" ht="13.5" hidden="false" customHeight="false" outlineLevel="0" collapsed="false">
      <c r="A821" s="47" t="n">
        <v>64</v>
      </c>
      <c r="C821" s="48" t="str">
        <f aca="false">助手报销!$C65</f>
        <v/>
      </c>
      <c r="D821" s="81" t="s">
        <v>479</v>
      </c>
      <c r="E821" s="48" t="str">
        <f aca="false">IFERROR(INDEX(输入报销!$E:$E,MATCH($A821&amp;"-1",输入报销!$J:$J,0))&amp;"","")</f>
        <v/>
      </c>
      <c r="F821" s="48" t="str">
        <f aca="false">IFERROR(INDEX(输入报销!$F:$F,MATCH($A821&amp;"-1",输入报销!$J:$J,0))&amp;"","")</f>
        <v/>
      </c>
      <c r="G821" s="49" t="n">
        <f aca="false">IFERROR(ROUND(INDEX(输入报销!$G:$G,MATCH($A821&amp;"-1",输入报销!$J:$J,0)),2),0)</f>
        <v>0</v>
      </c>
      <c r="H821" s="49" t="str">
        <f aca="false">IF(ROUND($G821,2)&gt;0,ROUND($G821,2),"")</f>
        <v/>
      </c>
      <c r="I821" s="49" t="str">
        <f aca="false">IF(ROUND($G821,2)&lt;0,-ROUND($G821,2),"")</f>
        <v/>
      </c>
      <c r="J821" s="20" t="n">
        <f aca="false">IF(ROUND($G821,2)=0,0,1)</f>
        <v>0</v>
      </c>
      <c r="K821" s="20" t="str">
        <f aca="false">IF($J821=0,"",SUM($J$821:$J821))</f>
        <v/>
      </c>
      <c r="L821" s="20" t="str">
        <f aca="false">IF($K821="","",$A821*100+$K821)</f>
        <v/>
      </c>
      <c r="M821" s="48" t="str">
        <f aca="false">IFERROR(INDEX(输入报销!$D:$D,MATCH($A821&amp;"-1",输入报销!$J:$J,0))&amp;"","")</f>
        <v/>
      </c>
    </row>
    <row r="822" customFormat="false" ht="13.5" hidden="false" customHeight="false" outlineLevel="0" collapsed="false">
      <c r="A822" s="47" t="n">
        <v>64</v>
      </c>
      <c r="C822" s="48" t="str">
        <f aca="false">助手报销!$C65</f>
        <v/>
      </c>
      <c r="D822" s="81" t="s">
        <v>480</v>
      </c>
      <c r="E822" s="48" t="str">
        <f aca="false">IFERROR(INDEX(输入报销!$E:$E,MATCH($A822&amp;"-2",输入报销!$J:$J,0))&amp;"","")</f>
        <v/>
      </c>
      <c r="F822" s="48" t="str">
        <f aca="false">IFERROR(INDEX(输入报销!$F:$F,MATCH($A822&amp;"-2",输入报销!$J:$J,0))&amp;"","")</f>
        <v/>
      </c>
      <c r="G822" s="49" t="n">
        <f aca="false">IFERROR(ROUND(INDEX(输入报销!$G:$G,MATCH($A822&amp;"-2",输入报销!$J:$J,0)),2),0)</f>
        <v>0</v>
      </c>
      <c r="H822" s="49" t="str">
        <f aca="false">IF(ROUND($G822,2)&gt;0,ROUND($G822,2),"")</f>
        <v/>
      </c>
      <c r="I822" s="49" t="str">
        <f aca="false">IF(ROUND($G822,2)&lt;0,-ROUND($G822,2),"")</f>
        <v/>
      </c>
      <c r="J822" s="20" t="n">
        <f aca="false">IF(ROUND($G822,2)=0,0,1)</f>
        <v>0</v>
      </c>
      <c r="K822" s="20" t="str">
        <f aca="false">IF($J822=0,"",SUM($J$821:$J822))</f>
        <v/>
      </c>
      <c r="L822" s="20" t="str">
        <f aca="false">IF($K822="","",$A822*100+$K822)</f>
        <v/>
      </c>
      <c r="M822" s="48" t="str">
        <f aca="false">IFERROR(INDEX(输入报销!$D:$D,MATCH($A822&amp;"-2",输入报销!$J:$J,0))&amp;"","")</f>
        <v/>
      </c>
    </row>
    <row r="823" customFormat="false" ht="13.5" hidden="false" customHeight="false" outlineLevel="0" collapsed="false">
      <c r="A823" s="47" t="n">
        <v>64</v>
      </c>
      <c r="C823" s="48" t="str">
        <f aca="false">助手报销!$C65</f>
        <v/>
      </c>
      <c r="D823" s="81" t="s">
        <v>481</v>
      </c>
      <c r="E823" s="48" t="str">
        <f aca="false">IFERROR(INDEX(输入报销!$E:$E,MATCH($A823&amp;"-3",输入报销!$J:$J,0))&amp;"","")</f>
        <v/>
      </c>
      <c r="F823" s="48" t="str">
        <f aca="false">IFERROR(INDEX(输入报销!$F:$F,MATCH($A823&amp;"-3",输入报销!$J:$J,0))&amp;"","")</f>
        <v/>
      </c>
      <c r="G823" s="49" t="n">
        <f aca="false">IFERROR(ROUND(INDEX(输入报销!$G:$G,MATCH($A823&amp;"-3",输入报销!$J:$J,0)),2),0)</f>
        <v>0</v>
      </c>
      <c r="H823" s="49" t="str">
        <f aca="false">IF(ROUND($G823,2)&gt;0,ROUND($G823,2),"")</f>
        <v/>
      </c>
      <c r="I823" s="49" t="str">
        <f aca="false">IF(ROUND($G823,2)&lt;0,-ROUND($G823,2),"")</f>
        <v/>
      </c>
      <c r="J823" s="20" t="n">
        <f aca="false">IF(ROUND($G823,2)=0,0,1)</f>
        <v>0</v>
      </c>
      <c r="K823" s="20" t="str">
        <f aca="false">IF($J823=0,"",SUM($J$821:$J823))</f>
        <v/>
      </c>
      <c r="L823" s="20" t="str">
        <f aca="false">IF($K823="","",$A823*100+$K823)</f>
        <v/>
      </c>
      <c r="M823" s="48" t="str">
        <f aca="false">IFERROR(INDEX(输入报销!$D:$D,MATCH($A823&amp;"-3",输入报销!$J:$J,0))&amp;"","")</f>
        <v/>
      </c>
    </row>
    <row r="824" customFormat="false" ht="13.5" hidden="false" customHeight="false" outlineLevel="0" collapsed="false">
      <c r="A824" s="47" t="n">
        <v>64</v>
      </c>
      <c r="C824" s="48" t="str">
        <f aca="false">助手报销!$C65</f>
        <v/>
      </c>
      <c r="D824" s="81" t="s">
        <v>482</v>
      </c>
      <c r="E824" s="48" t="str">
        <f aca="false">IFERROR(INDEX(输入报销!$E:$E,MATCH($A824&amp;"-4",输入报销!$J:$J,0))&amp;"","")</f>
        <v/>
      </c>
      <c r="F824" s="48" t="str">
        <f aca="false">IFERROR(INDEX(输入报销!$F:$F,MATCH($A824&amp;"-4",输入报销!$J:$J,0))&amp;"","")</f>
        <v/>
      </c>
      <c r="G824" s="49" t="n">
        <f aca="false">IFERROR(ROUND(INDEX(输入报销!$G:$G,MATCH($A824&amp;"-4",输入报销!$J:$J,0)),2),0)</f>
        <v>0</v>
      </c>
      <c r="H824" s="49" t="str">
        <f aca="false">IF(ROUND($G824,2)&gt;0,ROUND($G824,2),"")</f>
        <v/>
      </c>
      <c r="I824" s="49" t="str">
        <f aca="false">IF(ROUND($G824,2)&lt;0,-ROUND($G824,2),"")</f>
        <v/>
      </c>
      <c r="J824" s="20" t="n">
        <f aca="false">IF(ROUND($G824,2)=0,0,1)</f>
        <v>0</v>
      </c>
      <c r="K824" s="20" t="str">
        <f aca="false">IF($J824=0,"",SUM($J$821:$J824))</f>
        <v/>
      </c>
      <c r="L824" s="20" t="str">
        <f aca="false">IF($K824="","",$A824*100+$K824)</f>
        <v/>
      </c>
      <c r="M824" s="48" t="str">
        <f aca="false">IFERROR(INDEX(输入报销!$D:$D,MATCH($A824&amp;"-4",输入报销!$J:$J,0))&amp;"","")</f>
        <v/>
      </c>
    </row>
    <row r="825" customFormat="false" ht="13.5" hidden="false" customHeight="false" outlineLevel="0" collapsed="false">
      <c r="A825" s="47" t="n">
        <v>64</v>
      </c>
      <c r="C825" s="48" t="str">
        <f aca="false">助手报销!$C65</f>
        <v/>
      </c>
      <c r="D825" s="81" t="s">
        <v>483</v>
      </c>
      <c r="E825" s="48" t="str">
        <f aca="false">IFERROR(INDEX(输入报销!$E:$E,MATCH($A825&amp;"-5",输入报销!$J:$J,0))&amp;"","")</f>
        <v/>
      </c>
      <c r="F825" s="48" t="str">
        <f aca="false">IFERROR(INDEX(输入报销!$F:$F,MATCH($A825&amp;"-5",输入报销!$J:$J,0))&amp;"","")</f>
        <v/>
      </c>
      <c r="G825" s="49" t="n">
        <f aca="false">IFERROR(ROUND(INDEX(输入报销!$G:$G,MATCH($A825&amp;"-5",输入报销!$J:$J,0)),2),0)</f>
        <v>0</v>
      </c>
      <c r="H825" s="49" t="str">
        <f aca="false">IF(ROUND($G825,2)&gt;0,ROUND($G825,2),"")</f>
        <v/>
      </c>
      <c r="I825" s="49" t="str">
        <f aca="false">IF(ROUND($G825,2)&lt;0,-ROUND($G825,2),"")</f>
        <v/>
      </c>
      <c r="J825" s="20" t="n">
        <f aca="false">IF(ROUND($G825,2)=0,0,1)</f>
        <v>0</v>
      </c>
      <c r="K825" s="20" t="str">
        <f aca="false">IF($J825=0,"",SUM($J$821:$J825))</f>
        <v/>
      </c>
      <c r="L825" s="20" t="str">
        <f aca="false">IF($K825="","",$A825*100+$K825)</f>
        <v/>
      </c>
      <c r="M825" s="48" t="str">
        <f aca="false">IFERROR(INDEX(输入报销!$D:$D,MATCH($A825&amp;"-5",输入报销!$J:$J,0))&amp;"","")</f>
        <v/>
      </c>
    </row>
    <row r="826" customFormat="false" ht="13.5" hidden="false" customHeight="false" outlineLevel="0" collapsed="false">
      <c r="A826" s="47" t="n">
        <v>64</v>
      </c>
      <c r="C826" s="48" t="str">
        <f aca="false">助手报销!$C65</f>
        <v/>
      </c>
      <c r="D826" s="81" t="s">
        <v>484</v>
      </c>
      <c r="E826" s="48" t="str">
        <f aca="false">IFERROR(INDEX(输入报销!$E:$E,MATCH($A826&amp;"-6",输入报销!$J:$J,0))&amp;"","")</f>
        <v/>
      </c>
      <c r="F826" s="48" t="str">
        <f aca="false">IFERROR(INDEX(输入报销!$F:$F,MATCH($A826&amp;"-6",输入报销!$J:$J,0))&amp;"","")</f>
        <v/>
      </c>
      <c r="G826" s="49" t="n">
        <f aca="false">IFERROR(ROUND(INDEX(输入报销!$G:$G,MATCH($A826&amp;"-6",输入报销!$J:$J,0)),2),0)</f>
        <v>0</v>
      </c>
      <c r="H826" s="49" t="str">
        <f aca="false">IF(ROUND($G826,2)&gt;0,ROUND($G826,2),"")</f>
        <v/>
      </c>
      <c r="I826" s="49" t="str">
        <f aca="false">IF(ROUND($G826,2)&lt;0,-ROUND($G826,2),"")</f>
        <v/>
      </c>
      <c r="J826" s="20" t="n">
        <f aca="false">IF(ROUND($G826,2)=0,0,1)</f>
        <v>0</v>
      </c>
      <c r="K826" s="20" t="str">
        <f aca="false">IF($J826=0,"",SUM($J$821:$J826))</f>
        <v/>
      </c>
      <c r="L826" s="20" t="str">
        <f aca="false">IF($K826="","",$A826*100+$K826)</f>
        <v/>
      </c>
      <c r="M826" s="48" t="str">
        <f aca="false">IFERROR(INDEX(输入报销!$D:$D,MATCH($A826&amp;"-6",输入报销!$J:$J,0))&amp;"","")</f>
        <v/>
      </c>
    </row>
    <row r="827" customFormat="false" ht="13.5" hidden="false" customHeight="false" outlineLevel="0" collapsed="false">
      <c r="A827" s="47" t="n">
        <v>64</v>
      </c>
      <c r="C827" s="48" t="str">
        <f aca="false">助手报销!$C65</f>
        <v/>
      </c>
      <c r="D827" s="81" t="s">
        <v>485</v>
      </c>
      <c r="E827" s="48" t="str">
        <f aca="false">IFERROR(INDEX(输入报销!$E:$E,MATCH($A827&amp;"-7",输入报销!$J:$J,0))&amp;"","")</f>
        <v/>
      </c>
      <c r="F827" s="48" t="str">
        <f aca="false">IFERROR(INDEX(输入报销!$F:$F,MATCH($A827&amp;"-7",输入报销!$J:$J,0))&amp;"","")</f>
        <v/>
      </c>
      <c r="G827" s="49" t="n">
        <f aca="false">IFERROR(ROUND(INDEX(输入报销!$G:$G,MATCH($A827&amp;"-7",输入报销!$J:$J,0)),2),0)</f>
        <v>0</v>
      </c>
      <c r="H827" s="49" t="str">
        <f aca="false">IF(ROUND($G827,2)&gt;0,ROUND($G827,2),"")</f>
        <v/>
      </c>
      <c r="I827" s="49" t="str">
        <f aca="false">IF(ROUND($G827,2)&lt;0,-ROUND($G827,2),"")</f>
        <v/>
      </c>
      <c r="J827" s="20" t="n">
        <f aca="false">IF(ROUND($G827,2)=0,0,1)</f>
        <v>0</v>
      </c>
      <c r="K827" s="20" t="str">
        <f aca="false">IF($J827=0,"",SUM($J$821:$J827))</f>
        <v/>
      </c>
      <c r="L827" s="20" t="str">
        <f aca="false">IF($K827="","",$A827*100+$K827)</f>
        <v/>
      </c>
      <c r="M827" s="48" t="str">
        <f aca="false">IFERROR(INDEX(输入报销!$D:$D,MATCH($A827&amp;"-7",输入报销!$J:$J,0))&amp;"","")</f>
        <v/>
      </c>
    </row>
    <row r="828" customFormat="false" ht="13.5" hidden="false" customHeight="false" outlineLevel="0" collapsed="false">
      <c r="A828" s="47" t="n">
        <v>64</v>
      </c>
      <c r="C828" s="48" t="str">
        <f aca="false">助手报销!$C65</f>
        <v/>
      </c>
      <c r="D828" s="81" t="s">
        <v>486</v>
      </c>
      <c r="E828" s="48" t="str">
        <f aca="false">IFERROR(INDEX(输入报销!$E:$E,MATCH($A828&amp;"-8",输入报销!$J:$J,0))&amp;"","")</f>
        <v/>
      </c>
      <c r="F828" s="48" t="str">
        <f aca="false">IFERROR(INDEX(输入报销!$F:$F,MATCH($A828&amp;"-8",输入报销!$J:$J,0))&amp;"","")</f>
        <v/>
      </c>
      <c r="G828" s="49" t="n">
        <f aca="false">IFERROR(ROUND(INDEX(输入报销!$G:$G,MATCH($A828&amp;"-8",输入报销!$J:$J,0)),2),0)</f>
        <v>0</v>
      </c>
      <c r="H828" s="49" t="str">
        <f aca="false">IF(ROUND($G828,2)&gt;0,ROUND($G828,2),"")</f>
        <v/>
      </c>
      <c r="I828" s="49" t="str">
        <f aca="false">IF(ROUND($G828,2)&lt;0,-ROUND($G828,2),"")</f>
        <v/>
      </c>
      <c r="J828" s="20" t="n">
        <f aca="false">IF(ROUND($G828,2)=0,0,1)</f>
        <v>0</v>
      </c>
      <c r="K828" s="20" t="str">
        <f aca="false">IF($J828=0,"",SUM($J$821:$J828))</f>
        <v/>
      </c>
      <c r="L828" s="20" t="str">
        <f aca="false">IF($K828="","",$A828*100+$K828)</f>
        <v/>
      </c>
      <c r="M828" s="48" t="str">
        <f aca="false">IFERROR(INDEX(输入报销!$D:$D,MATCH($A828&amp;"-8",输入报销!$J:$J,0))&amp;"","")</f>
        <v/>
      </c>
    </row>
    <row r="829" customFormat="false" ht="13.5" hidden="false" customHeight="false" outlineLevel="0" collapsed="false">
      <c r="A829" s="47" t="n">
        <v>64</v>
      </c>
      <c r="C829" s="48" t="str">
        <f aca="false">助手报销!$C65</f>
        <v/>
      </c>
      <c r="D829" s="81" t="s">
        <v>487</v>
      </c>
      <c r="E829" s="48" t="str">
        <f aca="false">IFERROR(INDEX(输入报销!$E:$E,MATCH($A829&amp;"-9",输入报销!$J:$J,0))&amp;"","")</f>
        <v/>
      </c>
      <c r="F829" s="48" t="str">
        <f aca="false">IFERROR(INDEX(输入报销!$F:$F,MATCH($A829&amp;"-9",输入报销!$J:$J,0))&amp;"","")</f>
        <v/>
      </c>
      <c r="G829" s="49" t="n">
        <f aca="false">IFERROR(ROUND(INDEX(输入报销!$G:$G,MATCH($A829&amp;"-9",输入报销!$J:$J,0)),2),0)</f>
        <v>0</v>
      </c>
      <c r="H829" s="49" t="str">
        <f aca="false">IF(ROUND($G829,2)&gt;0,ROUND($G829,2),"")</f>
        <v/>
      </c>
      <c r="I829" s="49" t="str">
        <f aca="false">IF(ROUND($G829,2)&lt;0,-ROUND($G829,2),"")</f>
        <v/>
      </c>
      <c r="J829" s="20" t="n">
        <f aca="false">IF(ROUND($G829,2)=0,0,1)</f>
        <v>0</v>
      </c>
      <c r="K829" s="20" t="str">
        <f aca="false">IF($J829=0,"",SUM($J$821:$J829))</f>
        <v/>
      </c>
      <c r="L829" s="20" t="str">
        <f aca="false">IF($K829="","",$A829*100+$K829)</f>
        <v/>
      </c>
      <c r="M829" s="48" t="str">
        <f aca="false">IFERROR(INDEX(输入报销!$D:$D,MATCH($A829&amp;"-9",输入报销!$J:$J,0))&amp;"","")</f>
        <v/>
      </c>
    </row>
    <row r="830" customFormat="false" ht="13.5" hidden="false" customHeight="false" outlineLevel="0" collapsed="false">
      <c r="A830" s="47" t="n">
        <v>64</v>
      </c>
      <c r="C830" s="48" t="str">
        <f aca="false">助手报销!$C65</f>
        <v/>
      </c>
      <c r="D830" s="81" t="s">
        <v>488</v>
      </c>
      <c r="E830" s="48" t="str">
        <f aca="false">IFERROR(INDEX(输入报销!$E:$E,MATCH($A830&amp;"-10",输入报销!$J:$J,0))&amp;"","")</f>
        <v/>
      </c>
      <c r="F830" s="48" t="str">
        <f aca="false">IFERROR(INDEX(输入报销!$F:$F,MATCH($A830&amp;"-10",输入报销!$J:$J,0))&amp;"","")</f>
        <v/>
      </c>
      <c r="G830" s="49" t="n">
        <f aca="false">IFERROR(ROUND(INDEX(输入报销!$G:$G,MATCH($A830&amp;"-10",输入报销!$J:$J,0)),2),0)</f>
        <v>0</v>
      </c>
      <c r="H830" s="49" t="str">
        <f aca="false">IF(ROUND($G830,2)&gt;0,ROUND($G830,2),"")</f>
        <v/>
      </c>
      <c r="I830" s="49" t="str">
        <f aca="false">IF(ROUND($G830,2)&lt;0,-ROUND($G830,2),"")</f>
        <v/>
      </c>
      <c r="J830" s="20" t="n">
        <f aca="false">IF(ROUND($G830,2)=0,0,1)</f>
        <v>0</v>
      </c>
      <c r="K830" s="20" t="str">
        <f aca="false">IF($J830=0,"",SUM($J$821:$J830))</f>
        <v/>
      </c>
      <c r="L830" s="20" t="str">
        <f aca="false">IF($K830="","",$A830*100+$K830)</f>
        <v/>
      </c>
      <c r="M830" s="48" t="str">
        <f aca="false">IFERROR(INDEX(输入报销!$D:$D,MATCH($A830&amp;"-10",输入报销!$J:$J,0))&amp;"","")</f>
        <v/>
      </c>
    </row>
    <row r="831" customFormat="false" ht="13.5" hidden="false" customHeight="false" outlineLevel="0" collapsed="false">
      <c r="A831" s="47" t="n">
        <v>64</v>
      </c>
      <c r="C831" s="48" t="str">
        <f aca="false">助手报销!$C65</f>
        <v/>
      </c>
      <c r="D831" s="81" t="s">
        <v>489</v>
      </c>
      <c r="E831" s="48" t="str">
        <f aca="false">参数!$B$6</f>
        <v>库存现金</v>
      </c>
      <c r="F831" s="48" t="str">
        <f aca="false">""</f>
        <v/>
      </c>
      <c r="G831" s="49" t="n">
        <f aca="false">-ROUND(SUMIFS(输入报销!$G:$G,输入报销!$A:$A,$A831,输入报销!$H:$H,参数!$B$6),2)</f>
        <v>-0</v>
      </c>
      <c r="H831" s="49" t="str">
        <f aca="false">IF(ROUND($G831,2)&gt;0,ROUND($G831,2),"")</f>
        <v/>
      </c>
      <c r="I831" s="49" t="str">
        <f aca="false">IF(ROUND($G831,2)&lt;0,-ROUND($G831,2),"")</f>
        <v/>
      </c>
      <c r="J831" s="20" t="n">
        <f aca="false">IF(ROUND($G831,2)=0,0,1)</f>
        <v>0</v>
      </c>
      <c r="K831" s="20" t="str">
        <f aca="false">IF($J831=0,"",SUM($J$821:$J831))</f>
        <v/>
      </c>
      <c r="L831" s="20" t="str">
        <f aca="false">IF($K831="","",$A831*100+$K831)</f>
        <v/>
      </c>
      <c r="M831" s="48" t="str">
        <f aca="false">""</f>
        <v/>
      </c>
    </row>
    <row r="832" customFormat="false" ht="13.5" hidden="false" customHeight="false" outlineLevel="0" collapsed="false">
      <c r="A832" s="47" t="n">
        <v>64</v>
      </c>
      <c r="C832" s="48" t="str">
        <f aca="false">助手报销!$C65</f>
        <v/>
      </c>
      <c r="D832" s="81" t="s">
        <v>490</v>
      </c>
      <c r="E832" s="48" t="str">
        <f aca="false">参数!$B$7</f>
        <v>银行存款</v>
      </c>
      <c r="F832" s="48" t="str">
        <f aca="false">""</f>
        <v/>
      </c>
      <c r="G832" s="49" t="n">
        <f aca="false">-ROUND(SUMIFS(输入报销!$G:$G,输入报销!$A:$A,$A832,输入报销!$H:$H,参数!$B$7),2)</f>
        <v>-0</v>
      </c>
      <c r="H832" s="49" t="str">
        <f aca="false">IF(ROUND($G832,2)&gt;0,ROUND($G832,2),"")</f>
        <v/>
      </c>
      <c r="I832" s="49" t="str">
        <f aca="false">IF(ROUND($G832,2)&lt;0,-ROUND($G832,2),"")</f>
        <v/>
      </c>
      <c r="J832" s="20" t="n">
        <f aca="false">IF(ROUND($G832,2)=0,0,1)</f>
        <v>0</v>
      </c>
      <c r="K832" s="20" t="str">
        <f aca="false">IF($J832=0,"",SUM($J$821:$J832))</f>
        <v/>
      </c>
      <c r="L832" s="20" t="str">
        <f aca="false">IF($K832="","",$A832*100+$K832)</f>
        <v/>
      </c>
      <c r="M832" s="48" t="str">
        <f aca="false">""</f>
        <v/>
      </c>
    </row>
    <row r="833" customFormat="false" ht="13.5" hidden="false" customHeight="false" outlineLevel="0" collapsed="false">
      <c r="A833" s="47" t="n">
        <v>64</v>
      </c>
      <c r="C833" s="48" t="str">
        <f aca="false">助手报销!$C65</f>
        <v/>
      </c>
      <c r="D833" s="81" t="s">
        <v>491</v>
      </c>
      <c r="E833" s="48" t="str">
        <f aca="false">参数!$B$8</f>
        <v>其他应付款</v>
      </c>
      <c r="F833" s="48" t="str">
        <f aca="false">""</f>
        <v/>
      </c>
      <c r="G833" s="49" t="n">
        <f aca="false">-ROUND(SUMIFS(输入报销!$G:$G,输入报销!$A:$A,$A833,输入报销!$H:$H,参数!$B$8),2)</f>
        <v>-0</v>
      </c>
      <c r="H833" s="49" t="str">
        <f aca="false">IF(ROUND($G833,2)&gt;0,ROUND($G833,2),"")</f>
        <v/>
      </c>
      <c r="I833" s="49" t="str">
        <f aca="false">IF(ROUND($G833,2)&lt;0,-ROUND($G833,2),"")</f>
        <v/>
      </c>
      <c r="J833" s="20" t="n">
        <f aca="false">IF(ROUND($G833,2)=0,0,1)</f>
        <v>0</v>
      </c>
      <c r="K833" s="20" t="str">
        <f aca="false">IF($J833=0,"",SUM($J$821:$J833))</f>
        <v/>
      </c>
      <c r="L833" s="20" t="str">
        <f aca="false">IF($K833="","",$A833*100+$K833)</f>
        <v/>
      </c>
      <c r="M833" s="48" t="str">
        <f aca="false">""</f>
        <v/>
      </c>
    </row>
    <row r="834" customFormat="false" ht="13.5" hidden="false" customHeight="false" outlineLevel="0" collapsed="false">
      <c r="A834" s="47" t="n">
        <v>65</v>
      </c>
      <c r="C834" s="48" t="str">
        <f aca="false">助手报销!$C66</f>
        <v/>
      </c>
      <c r="D834" s="81" t="s">
        <v>479</v>
      </c>
      <c r="E834" s="48" t="str">
        <f aca="false">IFERROR(INDEX(输入报销!$E:$E,MATCH($A834&amp;"-1",输入报销!$J:$J,0))&amp;"","")</f>
        <v/>
      </c>
      <c r="F834" s="48" t="str">
        <f aca="false">IFERROR(INDEX(输入报销!$F:$F,MATCH($A834&amp;"-1",输入报销!$J:$J,0))&amp;"","")</f>
        <v/>
      </c>
      <c r="G834" s="49" t="n">
        <f aca="false">IFERROR(ROUND(INDEX(输入报销!$G:$G,MATCH($A834&amp;"-1",输入报销!$J:$J,0)),2),0)</f>
        <v>0</v>
      </c>
      <c r="H834" s="49" t="str">
        <f aca="false">IF(ROUND($G834,2)&gt;0,ROUND($G834,2),"")</f>
        <v/>
      </c>
      <c r="I834" s="49" t="str">
        <f aca="false">IF(ROUND($G834,2)&lt;0,-ROUND($G834,2),"")</f>
        <v/>
      </c>
      <c r="J834" s="20" t="n">
        <f aca="false">IF(ROUND($G834,2)=0,0,1)</f>
        <v>0</v>
      </c>
      <c r="K834" s="20" t="str">
        <f aca="false">IF($J834=0,"",SUM($J$834:$J834))</f>
        <v/>
      </c>
      <c r="L834" s="20" t="str">
        <f aca="false">IF($K834="","",$A834*100+$K834)</f>
        <v/>
      </c>
      <c r="M834" s="48" t="str">
        <f aca="false">IFERROR(INDEX(输入报销!$D:$D,MATCH($A834&amp;"-1",输入报销!$J:$J,0))&amp;"","")</f>
        <v/>
      </c>
    </row>
    <row r="835" customFormat="false" ht="13.5" hidden="false" customHeight="false" outlineLevel="0" collapsed="false">
      <c r="A835" s="47" t="n">
        <v>65</v>
      </c>
      <c r="C835" s="48" t="str">
        <f aca="false">助手报销!$C66</f>
        <v/>
      </c>
      <c r="D835" s="81" t="s">
        <v>480</v>
      </c>
      <c r="E835" s="48" t="str">
        <f aca="false">IFERROR(INDEX(输入报销!$E:$E,MATCH($A835&amp;"-2",输入报销!$J:$J,0))&amp;"","")</f>
        <v/>
      </c>
      <c r="F835" s="48" t="str">
        <f aca="false">IFERROR(INDEX(输入报销!$F:$F,MATCH($A835&amp;"-2",输入报销!$J:$J,0))&amp;"","")</f>
        <v/>
      </c>
      <c r="G835" s="49" t="n">
        <f aca="false">IFERROR(ROUND(INDEX(输入报销!$G:$G,MATCH($A835&amp;"-2",输入报销!$J:$J,0)),2),0)</f>
        <v>0</v>
      </c>
      <c r="H835" s="49" t="str">
        <f aca="false">IF(ROUND($G835,2)&gt;0,ROUND($G835,2),"")</f>
        <v/>
      </c>
      <c r="I835" s="49" t="str">
        <f aca="false">IF(ROUND($G835,2)&lt;0,-ROUND($G835,2),"")</f>
        <v/>
      </c>
      <c r="J835" s="20" t="n">
        <f aca="false">IF(ROUND($G835,2)=0,0,1)</f>
        <v>0</v>
      </c>
      <c r="K835" s="20" t="str">
        <f aca="false">IF($J835=0,"",SUM($J$834:$J835))</f>
        <v/>
      </c>
      <c r="L835" s="20" t="str">
        <f aca="false">IF($K835="","",$A835*100+$K835)</f>
        <v/>
      </c>
      <c r="M835" s="48" t="str">
        <f aca="false">IFERROR(INDEX(输入报销!$D:$D,MATCH($A835&amp;"-2",输入报销!$J:$J,0))&amp;"","")</f>
        <v/>
      </c>
    </row>
    <row r="836" customFormat="false" ht="13.5" hidden="false" customHeight="false" outlineLevel="0" collapsed="false">
      <c r="A836" s="47" t="n">
        <v>65</v>
      </c>
      <c r="C836" s="48" t="str">
        <f aca="false">助手报销!$C66</f>
        <v/>
      </c>
      <c r="D836" s="81" t="s">
        <v>481</v>
      </c>
      <c r="E836" s="48" t="str">
        <f aca="false">IFERROR(INDEX(输入报销!$E:$E,MATCH($A836&amp;"-3",输入报销!$J:$J,0))&amp;"","")</f>
        <v/>
      </c>
      <c r="F836" s="48" t="str">
        <f aca="false">IFERROR(INDEX(输入报销!$F:$F,MATCH($A836&amp;"-3",输入报销!$J:$J,0))&amp;"","")</f>
        <v/>
      </c>
      <c r="G836" s="49" t="n">
        <f aca="false">IFERROR(ROUND(INDEX(输入报销!$G:$G,MATCH($A836&amp;"-3",输入报销!$J:$J,0)),2),0)</f>
        <v>0</v>
      </c>
      <c r="H836" s="49" t="str">
        <f aca="false">IF(ROUND($G836,2)&gt;0,ROUND($G836,2),"")</f>
        <v/>
      </c>
      <c r="I836" s="49" t="str">
        <f aca="false">IF(ROUND($G836,2)&lt;0,-ROUND($G836,2),"")</f>
        <v/>
      </c>
      <c r="J836" s="20" t="n">
        <f aca="false">IF(ROUND($G836,2)=0,0,1)</f>
        <v>0</v>
      </c>
      <c r="K836" s="20" t="str">
        <f aca="false">IF($J836=0,"",SUM($J$834:$J836))</f>
        <v/>
      </c>
      <c r="L836" s="20" t="str">
        <f aca="false">IF($K836="","",$A836*100+$K836)</f>
        <v/>
      </c>
      <c r="M836" s="48" t="str">
        <f aca="false">IFERROR(INDEX(输入报销!$D:$D,MATCH($A836&amp;"-3",输入报销!$J:$J,0))&amp;"","")</f>
        <v/>
      </c>
    </row>
    <row r="837" customFormat="false" ht="13.5" hidden="false" customHeight="false" outlineLevel="0" collapsed="false">
      <c r="A837" s="47" t="n">
        <v>65</v>
      </c>
      <c r="C837" s="48" t="str">
        <f aca="false">助手报销!$C66</f>
        <v/>
      </c>
      <c r="D837" s="81" t="s">
        <v>482</v>
      </c>
      <c r="E837" s="48" t="str">
        <f aca="false">IFERROR(INDEX(输入报销!$E:$E,MATCH($A837&amp;"-4",输入报销!$J:$J,0))&amp;"","")</f>
        <v/>
      </c>
      <c r="F837" s="48" t="str">
        <f aca="false">IFERROR(INDEX(输入报销!$F:$F,MATCH($A837&amp;"-4",输入报销!$J:$J,0))&amp;"","")</f>
        <v/>
      </c>
      <c r="G837" s="49" t="n">
        <f aca="false">IFERROR(ROUND(INDEX(输入报销!$G:$G,MATCH($A837&amp;"-4",输入报销!$J:$J,0)),2),0)</f>
        <v>0</v>
      </c>
      <c r="H837" s="49" t="str">
        <f aca="false">IF(ROUND($G837,2)&gt;0,ROUND($G837,2),"")</f>
        <v/>
      </c>
      <c r="I837" s="49" t="str">
        <f aca="false">IF(ROUND($G837,2)&lt;0,-ROUND($G837,2),"")</f>
        <v/>
      </c>
      <c r="J837" s="20" t="n">
        <f aca="false">IF(ROUND($G837,2)=0,0,1)</f>
        <v>0</v>
      </c>
      <c r="K837" s="20" t="str">
        <f aca="false">IF($J837=0,"",SUM($J$834:$J837))</f>
        <v/>
      </c>
      <c r="L837" s="20" t="str">
        <f aca="false">IF($K837="","",$A837*100+$K837)</f>
        <v/>
      </c>
      <c r="M837" s="48" t="str">
        <f aca="false">IFERROR(INDEX(输入报销!$D:$D,MATCH($A837&amp;"-4",输入报销!$J:$J,0))&amp;"","")</f>
        <v/>
      </c>
    </row>
    <row r="838" customFormat="false" ht="13.5" hidden="false" customHeight="false" outlineLevel="0" collapsed="false">
      <c r="A838" s="47" t="n">
        <v>65</v>
      </c>
      <c r="C838" s="48" t="str">
        <f aca="false">助手报销!$C66</f>
        <v/>
      </c>
      <c r="D838" s="81" t="s">
        <v>483</v>
      </c>
      <c r="E838" s="48" t="str">
        <f aca="false">IFERROR(INDEX(输入报销!$E:$E,MATCH($A838&amp;"-5",输入报销!$J:$J,0))&amp;"","")</f>
        <v/>
      </c>
      <c r="F838" s="48" t="str">
        <f aca="false">IFERROR(INDEX(输入报销!$F:$F,MATCH($A838&amp;"-5",输入报销!$J:$J,0))&amp;"","")</f>
        <v/>
      </c>
      <c r="G838" s="49" t="n">
        <f aca="false">IFERROR(ROUND(INDEX(输入报销!$G:$G,MATCH($A838&amp;"-5",输入报销!$J:$J,0)),2),0)</f>
        <v>0</v>
      </c>
      <c r="H838" s="49" t="str">
        <f aca="false">IF(ROUND($G838,2)&gt;0,ROUND($G838,2),"")</f>
        <v/>
      </c>
      <c r="I838" s="49" t="str">
        <f aca="false">IF(ROUND($G838,2)&lt;0,-ROUND($G838,2),"")</f>
        <v/>
      </c>
      <c r="J838" s="20" t="n">
        <f aca="false">IF(ROUND($G838,2)=0,0,1)</f>
        <v>0</v>
      </c>
      <c r="K838" s="20" t="str">
        <f aca="false">IF($J838=0,"",SUM($J$834:$J838))</f>
        <v/>
      </c>
      <c r="L838" s="20" t="str">
        <f aca="false">IF($K838="","",$A838*100+$K838)</f>
        <v/>
      </c>
      <c r="M838" s="48" t="str">
        <f aca="false">IFERROR(INDEX(输入报销!$D:$D,MATCH($A838&amp;"-5",输入报销!$J:$J,0))&amp;"","")</f>
        <v/>
      </c>
    </row>
    <row r="839" customFormat="false" ht="13.5" hidden="false" customHeight="false" outlineLevel="0" collapsed="false">
      <c r="A839" s="47" t="n">
        <v>65</v>
      </c>
      <c r="C839" s="48" t="str">
        <f aca="false">助手报销!$C66</f>
        <v/>
      </c>
      <c r="D839" s="81" t="s">
        <v>484</v>
      </c>
      <c r="E839" s="48" t="str">
        <f aca="false">IFERROR(INDEX(输入报销!$E:$E,MATCH($A839&amp;"-6",输入报销!$J:$J,0))&amp;"","")</f>
        <v/>
      </c>
      <c r="F839" s="48" t="str">
        <f aca="false">IFERROR(INDEX(输入报销!$F:$F,MATCH($A839&amp;"-6",输入报销!$J:$J,0))&amp;"","")</f>
        <v/>
      </c>
      <c r="G839" s="49" t="n">
        <f aca="false">IFERROR(ROUND(INDEX(输入报销!$G:$G,MATCH($A839&amp;"-6",输入报销!$J:$J,0)),2),0)</f>
        <v>0</v>
      </c>
      <c r="H839" s="49" t="str">
        <f aca="false">IF(ROUND($G839,2)&gt;0,ROUND($G839,2),"")</f>
        <v/>
      </c>
      <c r="I839" s="49" t="str">
        <f aca="false">IF(ROUND($G839,2)&lt;0,-ROUND($G839,2),"")</f>
        <v/>
      </c>
      <c r="J839" s="20" t="n">
        <f aca="false">IF(ROUND($G839,2)=0,0,1)</f>
        <v>0</v>
      </c>
      <c r="K839" s="20" t="str">
        <f aca="false">IF($J839=0,"",SUM($J$834:$J839))</f>
        <v/>
      </c>
      <c r="L839" s="20" t="str">
        <f aca="false">IF($K839="","",$A839*100+$K839)</f>
        <v/>
      </c>
      <c r="M839" s="48" t="str">
        <f aca="false">IFERROR(INDEX(输入报销!$D:$D,MATCH($A839&amp;"-6",输入报销!$J:$J,0))&amp;"","")</f>
        <v/>
      </c>
    </row>
    <row r="840" customFormat="false" ht="13.5" hidden="false" customHeight="false" outlineLevel="0" collapsed="false">
      <c r="A840" s="47" t="n">
        <v>65</v>
      </c>
      <c r="C840" s="48" t="str">
        <f aca="false">助手报销!$C66</f>
        <v/>
      </c>
      <c r="D840" s="81" t="s">
        <v>485</v>
      </c>
      <c r="E840" s="48" t="str">
        <f aca="false">IFERROR(INDEX(输入报销!$E:$E,MATCH($A840&amp;"-7",输入报销!$J:$J,0))&amp;"","")</f>
        <v/>
      </c>
      <c r="F840" s="48" t="str">
        <f aca="false">IFERROR(INDEX(输入报销!$F:$F,MATCH($A840&amp;"-7",输入报销!$J:$J,0))&amp;"","")</f>
        <v/>
      </c>
      <c r="G840" s="49" t="n">
        <f aca="false">IFERROR(ROUND(INDEX(输入报销!$G:$G,MATCH($A840&amp;"-7",输入报销!$J:$J,0)),2),0)</f>
        <v>0</v>
      </c>
      <c r="H840" s="49" t="str">
        <f aca="false">IF(ROUND($G840,2)&gt;0,ROUND($G840,2),"")</f>
        <v/>
      </c>
      <c r="I840" s="49" t="str">
        <f aca="false">IF(ROUND($G840,2)&lt;0,-ROUND($G840,2),"")</f>
        <v/>
      </c>
      <c r="J840" s="20" t="n">
        <f aca="false">IF(ROUND($G840,2)=0,0,1)</f>
        <v>0</v>
      </c>
      <c r="K840" s="20" t="str">
        <f aca="false">IF($J840=0,"",SUM($J$834:$J840))</f>
        <v/>
      </c>
      <c r="L840" s="20" t="str">
        <f aca="false">IF($K840="","",$A840*100+$K840)</f>
        <v/>
      </c>
      <c r="M840" s="48" t="str">
        <f aca="false">IFERROR(INDEX(输入报销!$D:$D,MATCH($A840&amp;"-7",输入报销!$J:$J,0))&amp;"","")</f>
        <v/>
      </c>
    </row>
    <row r="841" customFormat="false" ht="13.5" hidden="false" customHeight="false" outlineLevel="0" collapsed="false">
      <c r="A841" s="47" t="n">
        <v>65</v>
      </c>
      <c r="C841" s="48" t="str">
        <f aca="false">助手报销!$C66</f>
        <v/>
      </c>
      <c r="D841" s="81" t="s">
        <v>486</v>
      </c>
      <c r="E841" s="48" t="str">
        <f aca="false">IFERROR(INDEX(输入报销!$E:$E,MATCH($A841&amp;"-8",输入报销!$J:$J,0))&amp;"","")</f>
        <v/>
      </c>
      <c r="F841" s="48" t="str">
        <f aca="false">IFERROR(INDEX(输入报销!$F:$F,MATCH($A841&amp;"-8",输入报销!$J:$J,0))&amp;"","")</f>
        <v/>
      </c>
      <c r="G841" s="49" t="n">
        <f aca="false">IFERROR(ROUND(INDEX(输入报销!$G:$G,MATCH($A841&amp;"-8",输入报销!$J:$J,0)),2),0)</f>
        <v>0</v>
      </c>
      <c r="H841" s="49" t="str">
        <f aca="false">IF(ROUND($G841,2)&gt;0,ROUND($G841,2),"")</f>
        <v/>
      </c>
      <c r="I841" s="49" t="str">
        <f aca="false">IF(ROUND($G841,2)&lt;0,-ROUND($G841,2),"")</f>
        <v/>
      </c>
      <c r="J841" s="20" t="n">
        <f aca="false">IF(ROUND($G841,2)=0,0,1)</f>
        <v>0</v>
      </c>
      <c r="K841" s="20" t="str">
        <f aca="false">IF($J841=0,"",SUM($J$834:$J841))</f>
        <v/>
      </c>
      <c r="L841" s="20" t="str">
        <f aca="false">IF($K841="","",$A841*100+$K841)</f>
        <v/>
      </c>
      <c r="M841" s="48" t="str">
        <f aca="false">IFERROR(INDEX(输入报销!$D:$D,MATCH($A841&amp;"-8",输入报销!$J:$J,0))&amp;"","")</f>
        <v/>
      </c>
    </row>
    <row r="842" customFormat="false" ht="13.5" hidden="false" customHeight="false" outlineLevel="0" collapsed="false">
      <c r="A842" s="47" t="n">
        <v>65</v>
      </c>
      <c r="C842" s="48" t="str">
        <f aca="false">助手报销!$C66</f>
        <v/>
      </c>
      <c r="D842" s="81" t="s">
        <v>487</v>
      </c>
      <c r="E842" s="48" t="str">
        <f aca="false">IFERROR(INDEX(输入报销!$E:$E,MATCH($A842&amp;"-9",输入报销!$J:$J,0))&amp;"","")</f>
        <v/>
      </c>
      <c r="F842" s="48" t="str">
        <f aca="false">IFERROR(INDEX(输入报销!$F:$F,MATCH($A842&amp;"-9",输入报销!$J:$J,0))&amp;"","")</f>
        <v/>
      </c>
      <c r="G842" s="49" t="n">
        <f aca="false">IFERROR(ROUND(INDEX(输入报销!$G:$G,MATCH($A842&amp;"-9",输入报销!$J:$J,0)),2),0)</f>
        <v>0</v>
      </c>
      <c r="H842" s="49" t="str">
        <f aca="false">IF(ROUND($G842,2)&gt;0,ROUND($G842,2),"")</f>
        <v/>
      </c>
      <c r="I842" s="49" t="str">
        <f aca="false">IF(ROUND($G842,2)&lt;0,-ROUND($G842,2),"")</f>
        <v/>
      </c>
      <c r="J842" s="20" t="n">
        <f aca="false">IF(ROUND($G842,2)=0,0,1)</f>
        <v>0</v>
      </c>
      <c r="K842" s="20" t="str">
        <f aca="false">IF($J842=0,"",SUM($J$834:$J842))</f>
        <v/>
      </c>
      <c r="L842" s="20" t="str">
        <f aca="false">IF($K842="","",$A842*100+$K842)</f>
        <v/>
      </c>
      <c r="M842" s="48" t="str">
        <f aca="false">IFERROR(INDEX(输入报销!$D:$D,MATCH($A842&amp;"-9",输入报销!$J:$J,0))&amp;"","")</f>
        <v/>
      </c>
    </row>
    <row r="843" customFormat="false" ht="13.5" hidden="false" customHeight="false" outlineLevel="0" collapsed="false">
      <c r="A843" s="47" t="n">
        <v>65</v>
      </c>
      <c r="C843" s="48" t="str">
        <f aca="false">助手报销!$C66</f>
        <v/>
      </c>
      <c r="D843" s="81" t="s">
        <v>488</v>
      </c>
      <c r="E843" s="48" t="str">
        <f aca="false">IFERROR(INDEX(输入报销!$E:$E,MATCH($A843&amp;"-10",输入报销!$J:$J,0))&amp;"","")</f>
        <v/>
      </c>
      <c r="F843" s="48" t="str">
        <f aca="false">IFERROR(INDEX(输入报销!$F:$F,MATCH($A843&amp;"-10",输入报销!$J:$J,0))&amp;"","")</f>
        <v/>
      </c>
      <c r="G843" s="49" t="n">
        <f aca="false">IFERROR(ROUND(INDEX(输入报销!$G:$G,MATCH($A843&amp;"-10",输入报销!$J:$J,0)),2),0)</f>
        <v>0</v>
      </c>
      <c r="H843" s="49" t="str">
        <f aca="false">IF(ROUND($G843,2)&gt;0,ROUND($G843,2),"")</f>
        <v/>
      </c>
      <c r="I843" s="49" t="str">
        <f aca="false">IF(ROUND($G843,2)&lt;0,-ROUND($G843,2),"")</f>
        <v/>
      </c>
      <c r="J843" s="20" t="n">
        <f aca="false">IF(ROUND($G843,2)=0,0,1)</f>
        <v>0</v>
      </c>
      <c r="K843" s="20" t="str">
        <f aca="false">IF($J843=0,"",SUM($J$834:$J843))</f>
        <v/>
      </c>
      <c r="L843" s="20" t="str">
        <f aca="false">IF($K843="","",$A843*100+$K843)</f>
        <v/>
      </c>
      <c r="M843" s="48" t="str">
        <f aca="false">IFERROR(INDEX(输入报销!$D:$D,MATCH($A843&amp;"-10",输入报销!$J:$J,0))&amp;"","")</f>
        <v/>
      </c>
    </row>
    <row r="844" customFormat="false" ht="13.5" hidden="false" customHeight="false" outlineLevel="0" collapsed="false">
      <c r="A844" s="47" t="n">
        <v>65</v>
      </c>
      <c r="C844" s="48" t="str">
        <f aca="false">助手报销!$C66</f>
        <v/>
      </c>
      <c r="D844" s="81" t="s">
        <v>489</v>
      </c>
      <c r="E844" s="48" t="str">
        <f aca="false">参数!$B$6</f>
        <v>库存现金</v>
      </c>
      <c r="F844" s="48" t="str">
        <f aca="false">""</f>
        <v/>
      </c>
      <c r="G844" s="49" t="n">
        <f aca="false">-ROUND(SUMIFS(输入报销!$G:$G,输入报销!$A:$A,$A844,输入报销!$H:$H,参数!$B$6),2)</f>
        <v>-0</v>
      </c>
      <c r="H844" s="49" t="str">
        <f aca="false">IF(ROUND($G844,2)&gt;0,ROUND($G844,2),"")</f>
        <v/>
      </c>
      <c r="I844" s="49" t="str">
        <f aca="false">IF(ROUND($G844,2)&lt;0,-ROUND($G844,2),"")</f>
        <v/>
      </c>
      <c r="J844" s="20" t="n">
        <f aca="false">IF(ROUND($G844,2)=0,0,1)</f>
        <v>0</v>
      </c>
      <c r="K844" s="20" t="str">
        <f aca="false">IF($J844=0,"",SUM($J$834:$J844))</f>
        <v/>
      </c>
      <c r="L844" s="20" t="str">
        <f aca="false">IF($K844="","",$A844*100+$K844)</f>
        <v/>
      </c>
      <c r="M844" s="48" t="str">
        <f aca="false">""</f>
        <v/>
      </c>
    </row>
    <row r="845" customFormat="false" ht="13.5" hidden="false" customHeight="false" outlineLevel="0" collapsed="false">
      <c r="A845" s="47" t="n">
        <v>65</v>
      </c>
      <c r="C845" s="48" t="str">
        <f aca="false">助手报销!$C66</f>
        <v/>
      </c>
      <c r="D845" s="81" t="s">
        <v>490</v>
      </c>
      <c r="E845" s="48" t="str">
        <f aca="false">参数!$B$7</f>
        <v>银行存款</v>
      </c>
      <c r="F845" s="48" t="str">
        <f aca="false">""</f>
        <v/>
      </c>
      <c r="G845" s="49" t="n">
        <f aca="false">-ROUND(SUMIFS(输入报销!$G:$G,输入报销!$A:$A,$A845,输入报销!$H:$H,参数!$B$7),2)</f>
        <v>-0</v>
      </c>
      <c r="H845" s="49" t="str">
        <f aca="false">IF(ROUND($G845,2)&gt;0,ROUND($G845,2),"")</f>
        <v/>
      </c>
      <c r="I845" s="49" t="str">
        <f aca="false">IF(ROUND($G845,2)&lt;0,-ROUND($G845,2),"")</f>
        <v/>
      </c>
      <c r="J845" s="20" t="n">
        <f aca="false">IF(ROUND($G845,2)=0,0,1)</f>
        <v>0</v>
      </c>
      <c r="K845" s="20" t="str">
        <f aca="false">IF($J845=0,"",SUM($J$834:$J845))</f>
        <v/>
      </c>
      <c r="L845" s="20" t="str">
        <f aca="false">IF($K845="","",$A845*100+$K845)</f>
        <v/>
      </c>
      <c r="M845" s="48" t="str">
        <f aca="false">""</f>
        <v/>
      </c>
    </row>
    <row r="846" customFormat="false" ht="13.5" hidden="false" customHeight="false" outlineLevel="0" collapsed="false">
      <c r="A846" s="47" t="n">
        <v>65</v>
      </c>
      <c r="C846" s="48" t="str">
        <f aca="false">助手报销!$C66</f>
        <v/>
      </c>
      <c r="D846" s="81" t="s">
        <v>491</v>
      </c>
      <c r="E846" s="48" t="str">
        <f aca="false">参数!$B$8</f>
        <v>其他应付款</v>
      </c>
      <c r="F846" s="48" t="str">
        <f aca="false">""</f>
        <v/>
      </c>
      <c r="G846" s="49" t="n">
        <f aca="false">-ROUND(SUMIFS(输入报销!$G:$G,输入报销!$A:$A,$A846,输入报销!$H:$H,参数!$B$8),2)</f>
        <v>-0</v>
      </c>
      <c r="H846" s="49" t="str">
        <f aca="false">IF(ROUND($G846,2)&gt;0,ROUND($G846,2),"")</f>
        <v/>
      </c>
      <c r="I846" s="49" t="str">
        <f aca="false">IF(ROUND($G846,2)&lt;0,-ROUND($G846,2),"")</f>
        <v/>
      </c>
      <c r="J846" s="20" t="n">
        <f aca="false">IF(ROUND($G846,2)=0,0,1)</f>
        <v>0</v>
      </c>
      <c r="K846" s="20" t="str">
        <f aca="false">IF($J846=0,"",SUM($J$834:$J846))</f>
        <v/>
      </c>
      <c r="L846" s="20" t="str">
        <f aca="false">IF($K846="","",$A846*100+$K846)</f>
        <v/>
      </c>
      <c r="M846" s="48" t="str">
        <f aca="false">""</f>
        <v/>
      </c>
    </row>
    <row r="847" customFormat="false" ht="13.5" hidden="false" customHeight="false" outlineLevel="0" collapsed="false">
      <c r="A847" s="47" t="n">
        <v>66</v>
      </c>
      <c r="C847" s="48" t="str">
        <f aca="false">助手报销!$C67</f>
        <v/>
      </c>
      <c r="D847" s="81" t="s">
        <v>479</v>
      </c>
      <c r="E847" s="48" t="str">
        <f aca="false">IFERROR(INDEX(输入报销!$E:$E,MATCH($A847&amp;"-1",输入报销!$J:$J,0))&amp;"","")</f>
        <v/>
      </c>
      <c r="F847" s="48" t="str">
        <f aca="false">IFERROR(INDEX(输入报销!$F:$F,MATCH($A847&amp;"-1",输入报销!$J:$J,0))&amp;"","")</f>
        <v/>
      </c>
      <c r="G847" s="49" t="n">
        <f aca="false">IFERROR(ROUND(INDEX(输入报销!$G:$G,MATCH($A847&amp;"-1",输入报销!$J:$J,0)),2),0)</f>
        <v>0</v>
      </c>
      <c r="H847" s="49" t="str">
        <f aca="false">IF(ROUND($G847,2)&gt;0,ROUND($G847,2),"")</f>
        <v/>
      </c>
      <c r="I847" s="49" t="str">
        <f aca="false">IF(ROUND($G847,2)&lt;0,-ROUND($G847,2),"")</f>
        <v/>
      </c>
      <c r="J847" s="20" t="n">
        <f aca="false">IF(ROUND($G847,2)=0,0,1)</f>
        <v>0</v>
      </c>
      <c r="K847" s="20" t="str">
        <f aca="false">IF($J847=0,"",SUM($J$847:$J847))</f>
        <v/>
      </c>
      <c r="L847" s="20" t="str">
        <f aca="false">IF($K847="","",$A847*100+$K847)</f>
        <v/>
      </c>
      <c r="M847" s="48" t="str">
        <f aca="false">IFERROR(INDEX(输入报销!$D:$D,MATCH($A847&amp;"-1",输入报销!$J:$J,0))&amp;"","")</f>
        <v/>
      </c>
    </row>
    <row r="848" customFormat="false" ht="13.5" hidden="false" customHeight="false" outlineLevel="0" collapsed="false">
      <c r="A848" s="47" t="n">
        <v>66</v>
      </c>
      <c r="C848" s="48" t="str">
        <f aca="false">助手报销!$C67</f>
        <v/>
      </c>
      <c r="D848" s="81" t="s">
        <v>480</v>
      </c>
      <c r="E848" s="48" t="str">
        <f aca="false">IFERROR(INDEX(输入报销!$E:$E,MATCH($A848&amp;"-2",输入报销!$J:$J,0))&amp;"","")</f>
        <v/>
      </c>
      <c r="F848" s="48" t="str">
        <f aca="false">IFERROR(INDEX(输入报销!$F:$F,MATCH($A848&amp;"-2",输入报销!$J:$J,0))&amp;"","")</f>
        <v/>
      </c>
      <c r="G848" s="49" t="n">
        <f aca="false">IFERROR(ROUND(INDEX(输入报销!$G:$G,MATCH($A848&amp;"-2",输入报销!$J:$J,0)),2),0)</f>
        <v>0</v>
      </c>
      <c r="H848" s="49" t="str">
        <f aca="false">IF(ROUND($G848,2)&gt;0,ROUND($G848,2),"")</f>
        <v/>
      </c>
      <c r="I848" s="49" t="str">
        <f aca="false">IF(ROUND($G848,2)&lt;0,-ROUND($G848,2),"")</f>
        <v/>
      </c>
      <c r="J848" s="20" t="n">
        <f aca="false">IF(ROUND($G848,2)=0,0,1)</f>
        <v>0</v>
      </c>
      <c r="K848" s="20" t="str">
        <f aca="false">IF($J848=0,"",SUM($J$847:$J848))</f>
        <v/>
      </c>
      <c r="L848" s="20" t="str">
        <f aca="false">IF($K848="","",$A848*100+$K848)</f>
        <v/>
      </c>
      <c r="M848" s="48" t="str">
        <f aca="false">IFERROR(INDEX(输入报销!$D:$D,MATCH($A848&amp;"-2",输入报销!$J:$J,0))&amp;"","")</f>
        <v/>
      </c>
    </row>
    <row r="849" customFormat="false" ht="13.5" hidden="false" customHeight="false" outlineLevel="0" collapsed="false">
      <c r="A849" s="47" t="n">
        <v>66</v>
      </c>
      <c r="C849" s="48" t="str">
        <f aca="false">助手报销!$C67</f>
        <v/>
      </c>
      <c r="D849" s="81" t="s">
        <v>481</v>
      </c>
      <c r="E849" s="48" t="str">
        <f aca="false">IFERROR(INDEX(输入报销!$E:$E,MATCH($A849&amp;"-3",输入报销!$J:$J,0))&amp;"","")</f>
        <v/>
      </c>
      <c r="F849" s="48" t="str">
        <f aca="false">IFERROR(INDEX(输入报销!$F:$F,MATCH($A849&amp;"-3",输入报销!$J:$J,0))&amp;"","")</f>
        <v/>
      </c>
      <c r="G849" s="49" t="n">
        <f aca="false">IFERROR(ROUND(INDEX(输入报销!$G:$G,MATCH($A849&amp;"-3",输入报销!$J:$J,0)),2),0)</f>
        <v>0</v>
      </c>
      <c r="H849" s="49" t="str">
        <f aca="false">IF(ROUND($G849,2)&gt;0,ROUND($G849,2),"")</f>
        <v/>
      </c>
      <c r="I849" s="49" t="str">
        <f aca="false">IF(ROUND($G849,2)&lt;0,-ROUND($G849,2),"")</f>
        <v/>
      </c>
      <c r="J849" s="20" t="n">
        <f aca="false">IF(ROUND($G849,2)=0,0,1)</f>
        <v>0</v>
      </c>
      <c r="K849" s="20" t="str">
        <f aca="false">IF($J849=0,"",SUM($J$847:$J849))</f>
        <v/>
      </c>
      <c r="L849" s="20" t="str">
        <f aca="false">IF($K849="","",$A849*100+$K849)</f>
        <v/>
      </c>
      <c r="M849" s="48" t="str">
        <f aca="false">IFERROR(INDEX(输入报销!$D:$D,MATCH($A849&amp;"-3",输入报销!$J:$J,0))&amp;"","")</f>
        <v/>
      </c>
    </row>
    <row r="850" customFormat="false" ht="13.5" hidden="false" customHeight="false" outlineLevel="0" collapsed="false">
      <c r="A850" s="47" t="n">
        <v>66</v>
      </c>
      <c r="C850" s="48" t="str">
        <f aca="false">助手报销!$C67</f>
        <v/>
      </c>
      <c r="D850" s="81" t="s">
        <v>482</v>
      </c>
      <c r="E850" s="48" t="str">
        <f aca="false">IFERROR(INDEX(输入报销!$E:$E,MATCH($A850&amp;"-4",输入报销!$J:$J,0))&amp;"","")</f>
        <v/>
      </c>
      <c r="F850" s="48" t="str">
        <f aca="false">IFERROR(INDEX(输入报销!$F:$F,MATCH($A850&amp;"-4",输入报销!$J:$J,0))&amp;"","")</f>
        <v/>
      </c>
      <c r="G850" s="49" t="n">
        <f aca="false">IFERROR(ROUND(INDEX(输入报销!$G:$G,MATCH($A850&amp;"-4",输入报销!$J:$J,0)),2),0)</f>
        <v>0</v>
      </c>
      <c r="H850" s="49" t="str">
        <f aca="false">IF(ROUND($G850,2)&gt;0,ROUND($G850,2),"")</f>
        <v/>
      </c>
      <c r="I850" s="49" t="str">
        <f aca="false">IF(ROUND($G850,2)&lt;0,-ROUND($G850,2),"")</f>
        <v/>
      </c>
      <c r="J850" s="20" t="n">
        <f aca="false">IF(ROUND($G850,2)=0,0,1)</f>
        <v>0</v>
      </c>
      <c r="K850" s="20" t="str">
        <f aca="false">IF($J850=0,"",SUM($J$847:$J850))</f>
        <v/>
      </c>
      <c r="L850" s="20" t="str">
        <f aca="false">IF($K850="","",$A850*100+$K850)</f>
        <v/>
      </c>
      <c r="M850" s="48" t="str">
        <f aca="false">IFERROR(INDEX(输入报销!$D:$D,MATCH($A850&amp;"-4",输入报销!$J:$J,0))&amp;"","")</f>
        <v/>
      </c>
    </row>
    <row r="851" customFormat="false" ht="13.5" hidden="false" customHeight="false" outlineLevel="0" collapsed="false">
      <c r="A851" s="47" t="n">
        <v>66</v>
      </c>
      <c r="C851" s="48" t="str">
        <f aca="false">助手报销!$C67</f>
        <v/>
      </c>
      <c r="D851" s="81" t="s">
        <v>483</v>
      </c>
      <c r="E851" s="48" t="str">
        <f aca="false">IFERROR(INDEX(输入报销!$E:$E,MATCH($A851&amp;"-5",输入报销!$J:$J,0))&amp;"","")</f>
        <v/>
      </c>
      <c r="F851" s="48" t="str">
        <f aca="false">IFERROR(INDEX(输入报销!$F:$F,MATCH($A851&amp;"-5",输入报销!$J:$J,0))&amp;"","")</f>
        <v/>
      </c>
      <c r="G851" s="49" t="n">
        <f aca="false">IFERROR(ROUND(INDEX(输入报销!$G:$G,MATCH($A851&amp;"-5",输入报销!$J:$J,0)),2),0)</f>
        <v>0</v>
      </c>
      <c r="H851" s="49" t="str">
        <f aca="false">IF(ROUND($G851,2)&gt;0,ROUND($G851,2),"")</f>
        <v/>
      </c>
      <c r="I851" s="49" t="str">
        <f aca="false">IF(ROUND($G851,2)&lt;0,-ROUND($G851,2),"")</f>
        <v/>
      </c>
      <c r="J851" s="20" t="n">
        <f aca="false">IF(ROUND($G851,2)=0,0,1)</f>
        <v>0</v>
      </c>
      <c r="K851" s="20" t="str">
        <f aca="false">IF($J851=0,"",SUM($J$847:$J851))</f>
        <v/>
      </c>
      <c r="L851" s="20" t="str">
        <f aca="false">IF($K851="","",$A851*100+$K851)</f>
        <v/>
      </c>
      <c r="M851" s="48" t="str">
        <f aca="false">IFERROR(INDEX(输入报销!$D:$D,MATCH($A851&amp;"-5",输入报销!$J:$J,0))&amp;"","")</f>
        <v/>
      </c>
    </row>
    <row r="852" customFormat="false" ht="13.5" hidden="false" customHeight="false" outlineLevel="0" collapsed="false">
      <c r="A852" s="47" t="n">
        <v>66</v>
      </c>
      <c r="C852" s="48" t="str">
        <f aca="false">助手报销!$C67</f>
        <v/>
      </c>
      <c r="D852" s="81" t="s">
        <v>484</v>
      </c>
      <c r="E852" s="48" t="str">
        <f aca="false">IFERROR(INDEX(输入报销!$E:$E,MATCH($A852&amp;"-6",输入报销!$J:$J,0))&amp;"","")</f>
        <v/>
      </c>
      <c r="F852" s="48" t="str">
        <f aca="false">IFERROR(INDEX(输入报销!$F:$F,MATCH($A852&amp;"-6",输入报销!$J:$J,0))&amp;"","")</f>
        <v/>
      </c>
      <c r="G852" s="49" t="n">
        <f aca="false">IFERROR(ROUND(INDEX(输入报销!$G:$G,MATCH($A852&amp;"-6",输入报销!$J:$J,0)),2),0)</f>
        <v>0</v>
      </c>
      <c r="H852" s="49" t="str">
        <f aca="false">IF(ROUND($G852,2)&gt;0,ROUND($G852,2),"")</f>
        <v/>
      </c>
      <c r="I852" s="49" t="str">
        <f aca="false">IF(ROUND($G852,2)&lt;0,-ROUND($G852,2),"")</f>
        <v/>
      </c>
      <c r="J852" s="20" t="n">
        <f aca="false">IF(ROUND($G852,2)=0,0,1)</f>
        <v>0</v>
      </c>
      <c r="K852" s="20" t="str">
        <f aca="false">IF($J852=0,"",SUM($J$847:$J852))</f>
        <v/>
      </c>
      <c r="L852" s="20" t="str">
        <f aca="false">IF($K852="","",$A852*100+$K852)</f>
        <v/>
      </c>
      <c r="M852" s="48" t="str">
        <f aca="false">IFERROR(INDEX(输入报销!$D:$D,MATCH($A852&amp;"-6",输入报销!$J:$J,0))&amp;"","")</f>
        <v/>
      </c>
    </row>
    <row r="853" customFormat="false" ht="13.5" hidden="false" customHeight="false" outlineLevel="0" collapsed="false">
      <c r="A853" s="47" t="n">
        <v>66</v>
      </c>
      <c r="C853" s="48" t="str">
        <f aca="false">助手报销!$C67</f>
        <v/>
      </c>
      <c r="D853" s="81" t="s">
        <v>485</v>
      </c>
      <c r="E853" s="48" t="str">
        <f aca="false">IFERROR(INDEX(输入报销!$E:$E,MATCH($A853&amp;"-7",输入报销!$J:$J,0))&amp;"","")</f>
        <v/>
      </c>
      <c r="F853" s="48" t="str">
        <f aca="false">IFERROR(INDEX(输入报销!$F:$F,MATCH($A853&amp;"-7",输入报销!$J:$J,0))&amp;"","")</f>
        <v/>
      </c>
      <c r="G853" s="49" t="n">
        <f aca="false">IFERROR(ROUND(INDEX(输入报销!$G:$G,MATCH($A853&amp;"-7",输入报销!$J:$J,0)),2),0)</f>
        <v>0</v>
      </c>
      <c r="H853" s="49" t="str">
        <f aca="false">IF(ROUND($G853,2)&gt;0,ROUND($G853,2),"")</f>
        <v/>
      </c>
      <c r="I853" s="49" t="str">
        <f aca="false">IF(ROUND($G853,2)&lt;0,-ROUND($G853,2),"")</f>
        <v/>
      </c>
      <c r="J853" s="20" t="n">
        <f aca="false">IF(ROUND($G853,2)=0,0,1)</f>
        <v>0</v>
      </c>
      <c r="K853" s="20" t="str">
        <f aca="false">IF($J853=0,"",SUM($J$847:$J853))</f>
        <v/>
      </c>
      <c r="L853" s="20" t="str">
        <f aca="false">IF($K853="","",$A853*100+$K853)</f>
        <v/>
      </c>
      <c r="M853" s="48" t="str">
        <f aca="false">IFERROR(INDEX(输入报销!$D:$D,MATCH($A853&amp;"-7",输入报销!$J:$J,0))&amp;"","")</f>
        <v/>
      </c>
    </row>
    <row r="854" customFormat="false" ht="13.5" hidden="false" customHeight="false" outlineLevel="0" collapsed="false">
      <c r="A854" s="47" t="n">
        <v>66</v>
      </c>
      <c r="C854" s="48" t="str">
        <f aca="false">助手报销!$C67</f>
        <v/>
      </c>
      <c r="D854" s="81" t="s">
        <v>486</v>
      </c>
      <c r="E854" s="48" t="str">
        <f aca="false">IFERROR(INDEX(输入报销!$E:$E,MATCH($A854&amp;"-8",输入报销!$J:$J,0))&amp;"","")</f>
        <v/>
      </c>
      <c r="F854" s="48" t="str">
        <f aca="false">IFERROR(INDEX(输入报销!$F:$F,MATCH($A854&amp;"-8",输入报销!$J:$J,0))&amp;"","")</f>
        <v/>
      </c>
      <c r="G854" s="49" t="n">
        <f aca="false">IFERROR(ROUND(INDEX(输入报销!$G:$G,MATCH($A854&amp;"-8",输入报销!$J:$J,0)),2),0)</f>
        <v>0</v>
      </c>
      <c r="H854" s="49" t="str">
        <f aca="false">IF(ROUND($G854,2)&gt;0,ROUND($G854,2),"")</f>
        <v/>
      </c>
      <c r="I854" s="49" t="str">
        <f aca="false">IF(ROUND($G854,2)&lt;0,-ROUND($G854,2),"")</f>
        <v/>
      </c>
      <c r="J854" s="20" t="n">
        <f aca="false">IF(ROUND($G854,2)=0,0,1)</f>
        <v>0</v>
      </c>
      <c r="K854" s="20" t="str">
        <f aca="false">IF($J854=0,"",SUM($J$847:$J854))</f>
        <v/>
      </c>
      <c r="L854" s="20" t="str">
        <f aca="false">IF($K854="","",$A854*100+$K854)</f>
        <v/>
      </c>
      <c r="M854" s="48" t="str">
        <f aca="false">IFERROR(INDEX(输入报销!$D:$D,MATCH($A854&amp;"-8",输入报销!$J:$J,0))&amp;"","")</f>
        <v/>
      </c>
    </row>
    <row r="855" customFormat="false" ht="13.5" hidden="false" customHeight="false" outlineLevel="0" collapsed="false">
      <c r="A855" s="47" t="n">
        <v>66</v>
      </c>
      <c r="C855" s="48" t="str">
        <f aca="false">助手报销!$C67</f>
        <v/>
      </c>
      <c r="D855" s="81" t="s">
        <v>487</v>
      </c>
      <c r="E855" s="48" t="str">
        <f aca="false">IFERROR(INDEX(输入报销!$E:$E,MATCH($A855&amp;"-9",输入报销!$J:$J,0))&amp;"","")</f>
        <v/>
      </c>
      <c r="F855" s="48" t="str">
        <f aca="false">IFERROR(INDEX(输入报销!$F:$F,MATCH($A855&amp;"-9",输入报销!$J:$J,0))&amp;"","")</f>
        <v/>
      </c>
      <c r="G855" s="49" t="n">
        <f aca="false">IFERROR(ROUND(INDEX(输入报销!$G:$G,MATCH($A855&amp;"-9",输入报销!$J:$J,0)),2),0)</f>
        <v>0</v>
      </c>
      <c r="H855" s="49" t="str">
        <f aca="false">IF(ROUND($G855,2)&gt;0,ROUND($G855,2),"")</f>
        <v/>
      </c>
      <c r="I855" s="49" t="str">
        <f aca="false">IF(ROUND($G855,2)&lt;0,-ROUND($G855,2),"")</f>
        <v/>
      </c>
      <c r="J855" s="20" t="n">
        <f aca="false">IF(ROUND($G855,2)=0,0,1)</f>
        <v>0</v>
      </c>
      <c r="K855" s="20" t="str">
        <f aca="false">IF($J855=0,"",SUM($J$847:$J855))</f>
        <v/>
      </c>
      <c r="L855" s="20" t="str">
        <f aca="false">IF($K855="","",$A855*100+$K855)</f>
        <v/>
      </c>
      <c r="M855" s="48" t="str">
        <f aca="false">IFERROR(INDEX(输入报销!$D:$D,MATCH($A855&amp;"-9",输入报销!$J:$J,0))&amp;"","")</f>
        <v/>
      </c>
    </row>
    <row r="856" customFormat="false" ht="13.5" hidden="false" customHeight="false" outlineLevel="0" collapsed="false">
      <c r="A856" s="47" t="n">
        <v>66</v>
      </c>
      <c r="C856" s="48" t="str">
        <f aca="false">助手报销!$C67</f>
        <v/>
      </c>
      <c r="D856" s="81" t="s">
        <v>488</v>
      </c>
      <c r="E856" s="48" t="str">
        <f aca="false">IFERROR(INDEX(输入报销!$E:$E,MATCH($A856&amp;"-10",输入报销!$J:$J,0))&amp;"","")</f>
        <v/>
      </c>
      <c r="F856" s="48" t="str">
        <f aca="false">IFERROR(INDEX(输入报销!$F:$F,MATCH($A856&amp;"-10",输入报销!$J:$J,0))&amp;"","")</f>
        <v/>
      </c>
      <c r="G856" s="49" t="n">
        <f aca="false">IFERROR(ROUND(INDEX(输入报销!$G:$G,MATCH($A856&amp;"-10",输入报销!$J:$J,0)),2),0)</f>
        <v>0</v>
      </c>
      <c r="H856" s="49" t="str">
        <f aca="false">IF(ROUND($G856,2)&gt;0,ROUND($G856,2),"")</f>
        <v/>
      </c>
      <c r="I856" s="49" t="str">
        <f aca="false">IF(ROUND($G856,2)&lt;0,-ROUND($G856,2),"")</f>
        <v/>
      </c>
      <c r="J856" s="20" t="n">
        <f aca="false">IF(ROUND($G856,2)=0,0,1)</f>
        <v>0</v>
      </c>
      <c r="K856" s="20" t="str">
        <f aca="false">IF($J856=0,"",SUM($J$847:$J856))</f>
        <v/>
      </c>
      <c r="L856" s="20" t="str">
        <f aca="false">IF($K856="","",$A856*100+$K856)</f>
        <v/>
      </c>
      <c r="M856" s="48" t="str">
        <f aca="false">IFERROR(INDEX(输入报销!$D:$D,MATCH($A856&amp;"-10",输入报销!$J:$J,0))&amp;"","")</f>
        <v/>
      </c>
    </row>
    <row r="857" customFormat="false" ht="13.5" hidden="false" customHeight="false" outlineLevel="0" collapsed="false">
      <c r="A857" s="47" t="n">
        <v>66</v>
      </c>
      <c r="C857" s="48" t="str">
        <f aca="false">助手报销!$C67</f>
        <v/>
      </c>
      <c r="D857" s="81" t="s">
        <v>489</v>
      </c>
      <c r="E857" s="48" t="str">
        <f aca="false">参数!$B$6</f>
        <v>库存现金</v>
      </c>
      <c r="F857" s="48" t="str">
        <f aca="false">""</f>
        <v/>
      </c>
      <c r="G857" s="49" t="n">
        <f aca="false">-ROUND(SUMIFS(输入报销!$G:$G,输入报销!$A:$A,$A857,输入报销!$H:$H,参数!$B$6),2)</f>
        <v>-0</v>
      </c>
      <c r="H857" s="49" t="str">
        <f aca="false">IF(ROUND($G857,2)&gt;0,ROUND($G857,2),"")</f>
        <v/>
      </c>
      <c r="I857" s="49" t="str">
        <f aca="false">IF(ROUND($G857,2)&lt;0,-ROUND($G857,2),"")</f>
        <v/>
      </c>
      <c r="J857" s="20" t="n">
        <f aca="false">IF(ROUND($G857,2)=0,0,1)</f>
        <v>0</v>
      </c>
      <c r="K857" s="20" t="str">
        <f aca="false">IF($J857=0,"",SUM($J$847:$J857))</f>
        <v/>
      </c>
      <c r="L857" s="20" t="str">
        <f aca="false">IF($K857="","",$A857*100+$K857)</f>
        <v/>
      </c>
      <c r="M857" s="48" t="str">
        <f aca="false">""</f>
        <v/>
      </c>
    </row>
    <row r="858" customFormat="false" ht="13.5" hidden="false" customHeight="false" outlineLevel="0" collapsed="false">
      <c r="A858" s="47" t="n">
        <v>66</v>
      </c>
      <c r="C858" s="48" t="str">
        <f aca="false">助手报销!$C67</f>
        <v/>
      </c>
      <c r="D858" s="81" t="s">
        <v>490</v>
      </c>
      <c r="E858" s="48" t="str">
        <f aca="false">参数!$B$7</f>
        <v>银行存款</v>
      </c>
      <c r="F858" s="48" t="str">
        <f aca="false">""</f>
        <v/>
      </c>
      <c r="G858" s="49" t="n">
        <f aca="false">-ROUND(SUMIFS(输入报销!$G:$G,输入报销!$A:$A,$A858,输入报销!$H:$H,参数!$B$7),2)</f>
        <v>-0</v>
      </c>
      <c r="H858" s="49" t="str">
        <f aca="false">IF(ROUND($G858,2)&gt;0,ROUND($G858,2),"")</f>
        <v/>
      </c>
      <c r="I858" s="49" t="str">
        <f aca="false">IF(ROUND($G858,2)&lt;0,-ROUND($G858,2),"")</f>
        <v/>
      </c>
      <c r="J858" s="20" t="n">
        <f aca="false">IF(ROUND($G858,2)=0,0,1)</f>
        <v>0</v>
      </c>
      <c r="K858" s="20" t="str">
        <f aca="false">IF($J858=0,"",SUM($J$847:$J858))</f>
        <v/>
      </c>
      <c r="L858" s="20" t="str">
        <f aca="false">IF($K858="","",$A858*100+$K858)</f>
        <v/>
      </c>
      <c r="M858" s="48" t="str">
        <f aca="false">""</f>
        <v/>
      </c>
    </row>
    <row r="859" customFormat="false" ht="13.5" hidden="false" customHeight="false" outlineLevel="0" collapsed="false">
      <c r="A859" s="47" t="n">
        <v>66</v>
      </c>
      <c r="C859" s="48" t="str">
        <f aca="false">助手报销!$C67</f>
        <v/>
      </c>
      <c r="D859" s="81" t="s">
        <v>491</v>
      </c>
      <c r="E859" s="48" t="str">
        <f aca="false">参数!$B$8</f>
        <v>其他应付款</v>
      </c>
      <c r="F859" s="48" t="str">
        <f aca="false">""</f>
        <v/>
      </c>
      <c r="G859" s="49" t="n">
        <f aca="false">-ROUND(SUMIFS(输入报销!$G:$G,输入报销!$A:$A,$A859,输入报销!$H:$H,参数!$B$8),2)</f>
        <v>-0</v>
      </c>
      <c r="H859" s="49" t="str">
        <f aca="false">IF(ROUND($G859,2)&gt;0,ROUND($G859,2),"")</f>
        <v/>
      </c>
      <c r="I859" s="49" t="str">
        <f aca="false">IF(ROUND($G859,2)&lt;0,-ROUND($G859,2),"")</f>
        <v/>
      </c>
      <c r="J859" s="20" t="n">
        <f aca="false">IF(ROUND($G859,2)=0,0,1)</f>
        <v>0</v>
      </c>
      <c r="K859" s="20" t="str">
        <f aca="false">IF($J859=0,"",SUM($J$847:$J859))</f>
        <v/>
      </c>
      <c r="L859" s="20" t="str">
        <f aca="false">IF($K859="","",$A859*100+$K859)</f>
        <v/>
      </c>
      <c r="M859" s="48" t="str">
        <f aca="false">""</f>
        <v/>
      </c>
    </row>
    <row r="860" customFormat="false" ht="13.5" hidden="false" customHeight="false" outlineLevel="0" collapsed="false">
      <c r="A860" s="47" t="n">
        <v>67</v>
      </c>
      <c r="C860" s="48" t="str">
        <f aca="false">助手报销!$C68</f>
        <v/>
      </c>
      <c r="D860" s="81" t="s">
        <v>479</v>
      </c>
      <c r="E860" s="48" t="str">
        <f aca="false">IFERROR(INDEX(输入报销!$E:$E,MATCH($A860&amp;"-1",输入报销!$J:$J,0))&amp;"","")</f>
        <v/>
      </c>
      <c r="F860" s="48" t="str">
        <f aca="false">IFERROR(INDEX(输入报销!$F:$F,MATCH($A860&amp;"-1",输入报销!$J:$J,0))&amp;"","")</f>
        <v/>
      </c>
      <c r="G860" s="49" t="n">
        <f aca="false">IFERROR(ROUND(INDEX(输入报销!$G:$G,MATCH($A860&amp;"-1",输入报销!$J:$J,0)),2),0)</f>
        <v>0</v>
      </c>
      <c r="H860" s="49" t="str">
        <f aca="false">IF(ROUND($G860,2)&gt;0,ROUND($G860,2),"")</f>
        <v/>
      </c>
      <c r="I860" s="49" t="str">
        <f aca="false">IF(ROUND($G860,2)&lt;0,-ROUND($G860,2),"")</f>
        <v/>
      </c>
      <c r="J860" s="20" t="n">
        <f aca="false">IF(ROUND($G860,2)=0,0,1)</f>
        <v>0</v>
      </c>
      <c r="K860" s="20" t="str">
        <f aca="false">IF($J860=0,"",SUM($J$860:$J860))</f>
        <v/>
      </c>
      <c r="L860" s="20" t="str">
        <f aca="false">IF($K860="","",$A860*100+$K860)</f>
        <v/>
      </c>
      <c r="M860" s="48" t="str">
        <f aca="false">IFERROR(INDEX(输入报销!$D:$D,MATCH($A860&amp;"-1",输入报销!$J:$J,0))&amp;"","")</f>
        <v/>
      </c>
    </row>
    <row r="861" customFormat="false" ht="13.5" hidden="false" customHeight="false" outlineLevel="0" collapsed="false">
      <c r="A861" s="47" t="n">
        <v>67</v>
      </c>
      <c r="C861" s="48" t="str">
        <f aca="false">助手报销!$C68</f>
        <v/>
      </c>
      <c r="D861" s="81" t="s">
        <v>480</v>
      </c>
      <c r="E861" s="48" t="str">
        <f aca="false">IFERROR(INDEX(输入报销!$E:$E,MATCH($A861&amp;"-2",输入报销!$J:$J,0))&amp;"","")</f>
        <v/>
      </c>
      <c r="F861" s="48" t="str">
        <f aca="false">IFERROR(INDEX(输入报销!$F:$F,MATCH($A861&amp;"-2",输入报销!$J:$J,0))&amp;"","")</f>
        <v/>
      </c>
      <c r="G861" s="49" t="n">
        <f aca="false">IFERROR(ROUND(INDEX(输入报销!$G:$G,MATCH($A861&amp;"-2",输入报销!$J:$J,0)),2),0)</f>
        <v>0</v>
      </c>
      <c r="H861" s="49" t="str">
        <f aca="false">IF(ROUND($G861,2)&gt;0,ROUND($G861,2),"")</f>
        <v/>
      </c>
      <c r="I861" s="49" t="str">
        <f aca="false">IF(ROUND($G861,2)&lt;0,-ROUND($G861,2),"")</f>
        <v/>
      </c>
      <c r="J861" s="20" t="n">
        <f aca="false">IF(ROUND($G861,2)=0,0,1)</f>
        <v>0</v>
      </c>
      <c r="K861" s="20" t="str">
        <f aca="false">IF($J861=0,"",SUM($J$860:$J861))</f>
        <v/>
      </c>
      <c r="L861" s="20" t="str">
        <f aca="false">IF($K861="","",$A861*100+$K861)</f>
        <v/>
      </c>
      <c r="M861" s="48" t="str">
        <f aca="false">IFERROR(INDEX(输入报销!$D:$D,MATCH($A861&amp;"-2",输入报销!$J:$J,0))&amp;"","")</f>
        <v/>
      </c>
    </row>
    <row r="862" customFormat="false" ht="13.5" hidden="false" customHeight="false" outlineLevel="0" collapsed="false">
      <c r="A862" s="47" t="n">
        <v>67</v>
      </c>
      <c r="C862" s="48" t="str">
        <f aca="false">助手报销!$C68</f>
        <v/>
      </c>
      <c r="D862" s="81" t="s">
        <v>481</v>
      </c>
      <c r="E862" s="48" t="str">
        <f aca="false">IFERROR(INDEX(输入报销!$E:$E,MATCH($A862&amp;"-3",输入报销!$J:$J,0))&amp;"","")</f>
        <v/>
      </c>
      <c r="F862" s="48" t="str">
        <f aca="false">IFERROR(INDEX(输入报销!$F:$F,MATCH($A862&amp;"-3",输入报销!$J:$J,0))&amp;"","")</f>
        <v/>
      </c>
      <c r="G862" s="49" t="n">
        <f aca="false">IFERROR(ROUND(INDEX(输入报销!$G:$G,MATCH($A862&amp;"-3",输入报销!$J:$J,0)),2),0)</f>
        <v>0</v>
      </c>
      <c r="H862" s="49" t="str">
        <f aca="false">IF(ROUND($G862,2)&gt;0,ROUND($G862,2),"")</f>
        <v/>
      </c>
      <c r="I862" s="49" t="str">
        <f aca="false">IF(ROUND($G862,2)&lt;0,-ROUND($G862,2),"")</f>
        <v/>
      </c>
      <c r="J862" s="20" t="n">
        <f aca="false">IF(ROUND($G862,2)=0,0,1)</f>
        <v>0</v>
      </c>
      <c r="K862" s="20" t="str">
        <f aca="false">IF($J862=0,"",SUM($J$860:$J862))</f>
        <v/>
      </c>
      <c r="L862" s="20" t="str">
        <f aca="false">IF($K862="","",$A862*100+$K862)</f>
        <v/>
      </c>
      <c r="M862" s="48" t="str">
        <f aca="false">IFERROR(INDEX(输入报销!$D:$D,MATCH($A862&amp;"-3",输入报销!$J:$J,0))&amp;"","")</f>
        <v/>
      </c>
    </row>
    <row r="863" customFormat="false" ht="13.5" hidden="false" customHeight="false" outlineLevel="0" collapsed="false">
      <c r="A863" s="47" t="n">
        <v>67</v>
      </c>
      <c r="C863" s="48" t="str">
        <f aca="false">助手报销!$C68</f>
        <v/>
      </c>
      <c r="D863" s="81" t="s">
        <v>482</v>
      </c>
      <c r="E863" s="48" t="str">
        <f aca="false">IFERROR(INDEX(输入报销!$E:$E,MATCH($A863&amp;"-4",输入报销!$J:$J,0))&amp;"","")</f>
        <v/>
      </c>
      <c r="F863" s="48" t="str">
        <f aca="false">IFERROR(INDEX(输入报销!$F:$F,MATCH($A863&amp;"-4",输入报销!$J:$J,0))&amp;"","")</f>
        <v/>
      </c>
      <c r="G863" s="49" t="n">
        <f aca="false">IFERROR(ROUND(INDEX(输入报销!$G:$G,MATCH($A863&amp;"-4",输入报销!$J:$J,0)),2),0)</f>
        <v>0</v>
      </c>
      <c r="H863" s="49" t="str">
        <f aca="false">IF(ROUND($G863,2)&gt;0,ROUND($G863,2),"")</f>
        <v/>
      </c>
      <c r="I863" s="49" t="str">
        <f aca="false">IF(ROUND($G863,2)&lt;0,-ROUND($G863,2),"")</f>
        <v/>
      </c>
      <c r="J863" s="20" t="n">
        <f aca="false">IF(ROUND($G863,2)=0,0,1)</f>
        <v>0</v>
      </c>
      <c r="K863" s="20" t="str">
        <f aca="false">IF($J863=0,"",SUM($J$860:$J863))</f>
        <v/>
      </c>
      <c r="L863" s="20" t="str">
        <f aca="false">IF($K863="","",$A863*100+$K863)</f>
        <v/>
      </c>
      <c r="M863" s="48" t="str">
        <f aca="false">IFERROR(INDEX(输入报销!$D:$D,MATCH($A863&amp;"-4",输入报销!$J:$J,0))&amp;"","")</f>
        <v/>
      </c>
    </row>
    <row r="864" customFormat="false" ht="13.5" hidden="false" customHeight="false" outlineLevel="0" collapsed="false">
      <c r="A864" s="47" t="n">
        <v>67</v>
      </c>
      <c r="C864" s="48" t="str">
        <f aca="false">助手报销!$C68</f>
        <v/>
      </c>
      <c r="D864" s="81" t="s">
        <v>483</v>
      </c>
      <c r="E864" s="48" t="str">
        <f aca="false">IFERROR(INDEX(输入报销!$E:$E,MATCH($A864&amp;"-5",输入报销!$J:$J,0))&amp;"","")</f>
        <v/>
      </c>
      <c r="F864" s="48" t="str">
        <f aca="false">IFERROR(INDEX(输入报销!$F:$F,MATCH($A864&amp;"-5",输入报销!$J:$J,0))&amp;"","")</f>
        <v/>
      </c>
      <c r="G864" s="49" t="n">
        <f aca="false">IFERROR(ROUND(INDEX(输入报销!$G:$G,MATCH($A864&amp;"-5",输入报销!$J:$J,0)),2),0)</f>
        <v>0</v>
      </c>
      <c r="H864" s="49" t="str">
        <f aca="false">IF(ROUND($G864,2)&gt;0,ROUND($G864,2),"")</f>
        <v/>
      </c>
      <c r="I864" s="49" t="str">
        <f aca="false">IF(ROUND($G864,2)&lt;0,-ROUND($G864,2),"")</f>
        <v/>
      </c>
      <c r="J864" s="20" t="n">
        <f aca="false">IF(ROUND($G864,2)=0,0,1)</f>
        <v>0</v>
      </c>
      <c r="K864" s="20" t="str">
        <f aca="false">IF($J864=0,"",SUM($J$860:$J864))</f>
        <v/>
      </c>
      <c r="L864" s="20" t="str">
        <f aca="false">IF($K864="","",$A864*100+$K864)</f>
        <v/>
      </c>
      <c r="M864" s="48" t="str">
        <f aca="false">IFERROR(INDEX(输入报销!$D:$D,MATCH($A864&amp;"-5",输入报销!$J:$J,0))&amp;"","")</f>
        <v/>
      </c>
    </row>
    <row r="865" customFormat="false" ht="13.5" hidden="false" customHeight="false" outlineLevel="0" collapsed="false">
      <c r="A865" s="47" t="n">
        <v>67</v>
      </c>
      <c r="C865" s="48" t="str">
        <f aca="false">助手报销!$C68</f>
        <v/>
      </c>
      <c r="D865" s="81" t="s">
        <v>484</v>
      </c>
      <c r="E865" s="48" t="str">
        <f aca="false">IFERROR(INDEX(输入报销!$E:$E,MATCH($A865&amp;"-6",输入报销!$J:$J,0))&amp;"","")</f>
        <v/>
      </c>
      <c r="F865" s="48" t="str">
        <f aca="false">IFERROR(INDEX(输入报销!$F:$F,MATCH($A865&amp;"-6",输入报销!$J:$J,0))&amp;"","")</f>
        <v/>
      </c>
      <c r="G865" s="49" t="n">
        <f aca="false">IFERROR(ROUND(INDEX(输入报销!$G:$G,MATCH($A865&amp;"-6",输入报销!$J:$J,0)),2),0)</f>
        <v>0</v>
      </c>
      <c r="H865" s="49" t="str">
        <f aca="false">IF(ROUND($G865,2)&gt;0,ROUND($G865,2),"")</f>
        <v/>
      </c>
      <c r="I865" s="49" t="str">
        <f aca="false">IF(ROUND($G865,2)&lt;0,-ROUND($G865,2),"")</f>
        <v/>
      </c>
      <c r="J865" s="20" t="n">
        <f aca="false">IF(ROUND($G865,2)=0,0,1)</f>
        <v>0</v>
      </c>
      <c r="K865" s="20" t="str">
        <f aca="false">IF($J865=0,"",SUM($J$860:$J865))</f>
        <v/>
      </c>
      <c r="L865" s="20" t="str">
        <f aca="false">IF($K865="","",$A865*100+$K865)</f>
        <v/>
      </c>
      <c r="M865" s="48" t="str">
        <f aca="false">IFERROR(INDEX(输入报销!$D:$D,MATCH($A865&amp;"-6",输入报销!$J:$J,0))&amp;"","")</f>
        <v/>
      </c>
    </row>
    <row r="866" customFormat="false" ht="13.5" hidden="false" customHeight="false" outlineLevel="0" collapsed="false">
      <c r="A866" s="47" t="n">
        <v>67</v>
      </c>
      <c r="C866" s="48" t="str">
        <f aca="false">助手报销!$C68</f>
        <v/>
      </c>
      <c r="D866" s="81" t="s">
        <v>485</v>
      </c>
      <c r="E866" s="48" t="str">
        <f aca="false">IFERROR(INDEX(输入报销!$E:$E,MATCH($A866&amp;"-7",输入报销!$J:$J,0))&amp;"","")</f>
        <v/>
      </c>
      <c r="F866" s="48" t="str">
        <f aca="false">IFERROR(INDEX(输入报销!$F:$F,MATCH($A866&amp;"-7",输入报销!$J:$J,0))&amp;"","")</f>
        <v/>
      </c>
      <c r="G866" s="49" t="n">
        <f aca="false">IFERROR(ROUND(INDEX(输入报销!$G:$G,MATCH($A866&amp;"-7",输入报销!$J:$J,0)),2),0)</f>
        <v>0</v>
      </c>
      <c r="H866" s="49" t="str">
        <f aca="false">IF(ROUND($G866,2)&gt;0,ROUND($G866,2),"")</f>
        <v/>
      </c>
      <c r="I866" s="49" t="str">
        <f aca="false">IF(ROUND($G866,2)&lt;0,-ROUND($G866,2),"")</f>
        <v/>
      </c>
      <c r="J866" s="20" t="n">
        <f aca="false">IF(ROUND($G866,2)=0,0,1)</f>
        <v>0</v>
      </c>
      <c r="K866" s="20" t="str">
        <f aca="false">IF($J866=0,"",SUM($J$860:$J866))</f>
        <v/>
      </c>
      <c r="L866" s="20" t="str">
        <f aca="false">IF($K866="","",$A866*100+$K866)</f>
        <v/>
      </c>
      <c r="M866" s="48" t="str">
        <f aca="false">IFERROR(INDEX(输入报销!$D:$D,MATCH($A866&amp;"-7",输入报销!$J:$J,0))&amp;"","")</f>
        <v/>
      </c>
    </row>
    <row r="867" customFormat="false" ht="13.5" hidden="false" customHeight="false" outlineLevel="0" collapsed="false">
      <c r="A867" s="47" t="n">
        <v>67</v>
      </c>
      <c r="C867" s="48" t="str">
        <f aca="false">助手报销!$C68</f>
        <v/>
      </c>
      <c r="D867" s="81" t="s">
        <v>486</v>
      </c>
      <c r="E867" s="48" t="str">
        <f aca="false">IFERROR(INDEX(输入报销!$E:$E,MATCH($A867&amp;"-8",输入报销!$J:$J,0))&amp;"","")</f>
        <v/>
      </c>
      <c r="F867" s="48" t="str">
        <f aca="false">IFERROR(INDEX(输入报销!$F:$F,MATCH($A867&amp;"-8",输入报销!$J:$J,0))&amp;"","")</f>
        <v/>
      </c>
      <c r="G867" s="49" t="n">
        <f aca="false">IFERROR(ROUND(INDEX(输入报销!$G:$G,MATCH($A867&amp;"-8",输入报销!$J:$J,0)),2),0)</f>
        <v>0</v>
      </c>
      <c r="H867" s="49" t="str">
        <f aca="false">IF(ROUND($G867,2)&gt;0,ROUND($G867,2),"")</f>
        <v/>
      </c>
      <c r="I867" s="49" t="str">
        <f aca="false">IF(ROUND($G867,2)&lt;0,-ROUND($G867,2),"")</f>
        <v/>
      </c>
      <c r="J867" s="20" t="n">
        <f aca="false">IF(ROUND($G867,2)=0,0,1)</f>
        <v>0</v>
      </c>
      <c r="K867" s="20" t="str">
        <f aca="false">IF($J867=0,"",SUM($J$860:$J867))</f>
        <v/>
      </c>
      <c r="L867" s="20" t="str">
        <f aca="false">IF($K867="","",$A867*100+$K867)</f>
        <v/>
      </c>
      <c r="M867" s="48" t="str">
        <f aca="false">IFERROR(INDEX(输入报销!$D:$D,MATCH($A867&amp;"-8",输入报销!$J:$J,0))&amp;"","")</f>
        <v/>
      </c>
    </row>
    <row r="868" customFormat="false" ht="13.5" hidden="false" customHeight="false" outlineLevel="0" collapsed="false">
      <c r="A868" s="47" t="n">
        <v>67</v>
      </c>
      <c r="C868" s="48" t="str">
        <f aca="false">助手报销!$C68</f>
        <v/>
      </c>
      <c r="D868" s="81" t="s">
        <v>487</v>
      </c>
      <c r="E868" s="48" t="str">
        <f aca="false">IFERROR(INDEX(输入报销!$E:$E,MATCH($A868&amp;"-9",输入报销!$J:$J,0))&amp;"","")</f>
        <v/>
      </c>
      <c r="F868" s="48" t="str">
        <f aca="false">IFERROR(INDEX(输入报销!$F:$F,MATCH($A868&amp;"-9",输入报销!$J:$J,0))&amp;"","")</f>
        <v/>
      </c>
      <c r="G868" s="49" t="n">
        <f aca="false">IFERROR(ROUND(INDEX(输入报销!$G:$G,MATCH($A868&amp;"-9",输入报销!$J:$J,0)),2),0)</f>
        <v>0</v>
      </c>
      <c r="H868" s="49" t="str">
        <f aca="false">IF(ROUND($G868,2)&gt;0,ROUND($G868,2),"")</f>
        <v/>
      </c>
      <c r="I868" s="49" t="str">
        <f aca="false">IF(ROUND($G868,2)&lt;0,-ROUND($G868,2),"")</f>
        <v/>
      </c>
      <c r="J868" s="20" t="n">
        <f aca="false">IF(ROUND($G868,2)=0,0,1)</f>
        <v>0</v>
      </c>
      <c r="K868" s="20" t="str">
        <f aca="false">IF($J868=0,"",SUM($J$860:$J868))</f>
        <v/>
      </c>
      <c r="L868" s="20" t="str">
        <f aca="false">IF($K868="","",$A868*100+$K868)</f>
        <v/>
      </c>
      <c r="M868" s="48" t="str">
        <f aca="false">IFERROR(INDEX(输入报销!$D:$D,MATCH($A868&amp;"-9",输入报销!$J:$J,0))&amp;"","")</f>
        <v/>
      </c>
    </row>
    <row r="869" customFormat="false" ht="13.5" hidden="false" customHeight="false" outlineLevel="0" collapsed="false">
      <c r="A869" s="47" t="n">
        <v>67</v>
      </c>
      <c r="C869" s="48" t="str">
        <f aca="false">助手报销!$C68</f>
        <v/>
      </c>
      <c r="D869" s="81" t="s">
        <v>488</v>
      </c>
      <c r="E869" s="48" t="str">
        <f aca="false">IFERROR(INDEX(输入报销!$E:$E,MATCH($A869&amp;"-10",输入报销!$J:$J,0))&amp;"","")</f>
        <v/>
      </c>
      <c r="F869" s="48" t="str">
        <f aca="false">IFERROR(INDEX(输入报销!$F:$F,MATCH($A869&amp;"-10",输入报销!$J:$J,0))&amp;"","")</f>
        <v/>
      </c>
      <c r="G869" s="49" t="n">
        <f aca="false">IFERROR(ROUND(INDEX(输入报销!$G:$G,MATCH($A869&amp;"-10",输入报销!$J:$J,0)),2),0)</f>
        <v>0</v>
      </c>
      <c r="H869" s="49" t="str">
        <f aca="false">IF(ROUND($G869,2)&gt;0,ROUND($G869,2),"")</f>
        <v/>
      </c>
      <c r="I869" s="49" t="str">
        <f aca="false">IF(ROUND($G869,2)&lt;0,-ROUND($G869,2),"")</f>
        <v/>
      </c>
      <c r="J869" s="20" t="n">
        <f aca="false">IF(ROUND($G869,2)=0,0,1)</f>
        <v>0</v>
      </c>
      <c r="K869" s="20" t="str">
        <f aca="false">IF($J869=0,"",SUM($J$860:$J869))</f>
        <v/>
      </c>
      <c r="L869" s="20" t="str">
        <f aca="false">IF($K869="","",$A869*100+$K869)</f>
        <v/>
      </c>
      <c r="M869" s="48" t="str">
        <f aca="false">IFERROR(INDEX(输入报销!$D:$D,MATCH($A869&amp;"-10",输入报销!$J:$J,0))&amp;"","")</f>
        <v/>
      </c>
    </row>
    <row r="870" customFormat="false" ht="13.5" hidden="false" customHeight="false" outlineLevel="0" collapsed="false">
      <c r="A870" s="47" t="n">
        <v>67</v>
      </c>
      <c r="C870" s="48" t="str">
        <f aca="false">助手报销!$C68</f>
        <v/>
      </c>
      <c r="D870" s="81" t="s">
        <v>489</v>
      </c>
      <c r="E870" s="48" t="str">
        <f aca="false">参数!$B$6</f>
        <v>库存现金</v>
      </c>
      <c r="F870" s="48" t="str">
        <f aca="false">""</f>
        <v/>
      </c>
      <c r="G870" s="49" t="n">
        <f aca="false">-ROUND(SUMIFS(输入报销!$G:$G,输入报销!$A:$A,$A870,输入报销!$H:$H,参数!$B$6),2)</f>
        <v>-0</v>
      </c>
      <c r="H870" s="49" t="str">
        <f aca="false">IF(ROUND($G870,2)&gt;0,ROUND($G870,2),"")</f>
        <v/>
      </c>
      <c r="I870" s="49" t="str">
        <f aca="false">IF(ROUND($G870,2)&lt;0,-ROUND($G870,2),"")</f>
        <v/>
      </c>
      <c r="J870" s="20" t="n">
        <f aca="false">IF(ROUND($G870,2)=0,0,1)</f>
        <v>0</v>
      </c>
      <c r="K870" s="20" t="str">
        <f aca="false">IF($J870=0,"",SUM($J$860:$J870))</f>
        <v/>
      </c>
      <c r="L870" s="20" t="str">
        <f aca="false">IF($K870="","",$A870*100+$K870)</f>
        <v/>
      </c>
      <c r="M870" s="48" t="str">
        <f aca="false">""</f>
        <v/>
      </c>
    </row>
    <row r="871" customFormat="false" ht="13.5" hidden="false" customHeight="false" outlineLevel="0" collapsed="false">
      <c r="A871" s="47" t="n">
        <v>67</v>
      </c>
      <c r="C871" s="48" t="str">
        <f aca="false">助手报销!$C68</f>
        <v/>
      </c>
      <c r="D871" s="81" t="s">
        <v>490</v>
      </c>
      <c r="E871" s="48" t="str">
        <f aca="false">参数!$B$7</f>
        <v>银行存款</v>
      </c>
      <c r="F871" s="48" t="str">
        <f aca="false">""</f>
        <v/>
      </c>
      <c r="G871" s="49" t="n">
        <f aca="false">-ROUND(SUMIFS(输入报销!$G:$G,输入报销!$A:$A,$A871,输入报销!$H:$H,参数!$B$7),2)</f>
        <v>-0</v>
      </c>
      <c r="H871" s="49" t="str">
        <f aca="false">IF(ROUND($G871,2)&gt;0,ROUND($G871,2),"")</f>
        <v/>
      </c>
      <c r="I871" s="49" t="str">
        <f aca="false">IF(ROUND($G871,2)&lt;0,-ROUND($G871,2),"")</f>
        <v/>
      </c>
      <c r="J871" s="20" t="n">
        <f aca="false">IF(ROUND($G871,2)=0,0,1)</f>
        <v>0</v>
      </c>
      <c r="K871" s="20" t="str">
        <f aca="false">IF($J871=0,"",SUM($J$860:$J871))</f>
        <v/>
      </c>
      <c r="L871" s="20" t="str">
        <f aca="false">IF($K871="","",$A871*100+$K871)</f>
        <v/>
      </c>
      <c r="M871" s="48" t="str">
        <f aca="false">""</f>
        <v/>
      </c>
    </row>
    <row r="872" customFormat="false" ht="13.5" hidden="false" customHeight="false" outlineLevel="0" collapsed="false">
      <c r="A872" s="47" t="n">
        <v>67</v>
      </c>
      <c r="C872" s="48" t="str">
        <f aca="false">助手报销!$C68</f>
        <v/>
      </c>
      <c r="D872" s="81" t="s">
        <v>491</v>
      </c>
      <c r="E872" s="48" t="str">
        <f aca="false">参数!$B$8</f>
        <v>其他应付款</v>
      </c>
      <c r="F872" s="48" t="str">
        <f aca="false">""</f>
        <v/>
      </c>
      <c r="G872" s="49" t="n">
        <f aca="false">-ROUND(SUMIFS(输入报销!$G:$G,输入报销!$A:$A,$A872,输入报销!$H:$H,参数!$B$8),2)</f>
        <v>-0</v>
      </c>
      <c r="H872" s="49" t="str">
        <f aca="false">IF(ROUND($G872,2)&gt;0,ROUND($G872,2),"")</f>
        <v/>
      </c>
      <c r="I872" s="49" t="str">
        <f aca="false">IF(ROUND($G872,2)&lt;0,-ROUND($G872,2),"")</f>
        <v/>
      </c>
      <c r="J872" s="20" t="n">
        <f aca="false">IF(ROUND($G872,2)=0,0,1)</f>
        <v>0</v>
      </c>
      <c r="K872" s="20" t="str">
        <f aca="false">IF($J872=0,"",SUM($J$860:$J872))</f>
        <v/>
      </c>
      <c r="L872" s="20" t="str">
        <f aca="false">IF($K872="","",$A872*100+$K872)</f>
        <v/>
      </c>
      <c r="M872" s="48" t="str">
        <f aca="false">""</f>
        <v/>
      </c>
    </row>
    <row r="873" customFormat="false" ht="13.5" hidden="false" customHeight="false" outlineLevel="0" collapsed="false">
      <c r="A873" s="47" t="n">
        <v>68</v>
      </c>
      <c r="C873" s="48" t="str">
        <f aca="false">助手报销!$C69</f>
        <v/>
      </c>
      <c r="D873" s="81" t="s">
        <v>479</v>
      </c>
      <c r="E873" s="48" t="str">
        <f aca="false">IFERROR(INDEX(输入报销!$E:$E,MATCH($A873&amp;"-1",输入报销!$J:$J,0))&amp;"","")</f>
        <v/>
      </c>
      <c r="F873" s="48" t="str">
        <f aca="false">IFERROR(INDEX(输入报销!$F:$F,MATCH($A873&amp;"-1",输入报销!$J:$J,0))&amp;"","")</f>
        <v/>
      </c>
      <c r="G873" s="49" t="n">
        <f aca="false">IFERROR(ROUND(INDEX(输入报销!$G:$G,MATCH($A873&amp;"-1",输入报销!$J:$J,0)),2),0)</f>
        <v>0</v>
      </c>
      <c r="H873" s="49" t="str">
        <f aca="false">IF(ROUND($G873,2)&gt;0,ROUND($G873,2),"")</f>
        <v/>
      </c>
      <c r="I873" s="49" t="str">
        <f aca="false">IF(ROUND($G873,2)&lt;0,-ROUND($G873,2),"")</f>
        <v/>
      </c>
      <c r="J873" s="20" t="n">
        <f aca="false">IF(ROUND($G873,2)=0,0,1)</f>
        <v>0</v>
      </c>
      <c r="K873" s="20" t="str">
        <f aca="false">IF($J873=0,"",SUM($J$873:$J873))</f>
        <v/>
      </c>
      <c r="L873" s="20" t="str">
        <f aca="false">IF($K873="","",$A873*100+$K873)</f>
        <v/>
      </c>
      <c r="M873" s="48" t="str">
        <f aca="false">IFERROR(INDEX(输入报销!$D:$D,MATCH($A873&amp;"-1",输入报销!$J:$J,0))&amp;"","")</f>
        <v/>
      </c>
    </row>
    <row r="874" customFormat="false" ht="13.5" hidden="false" customHeight="false" outlineLevel="0" collapsed="false">
      <c r="A874" s="47" t="n">
        <v>68</v>
      </c>
      <c r="C874" s="48" t="str">
        <f aca="false">助手报销!$C69</f>
        <v/>
      </c>
      <c r="D874" s="81" t="s">
        <v>480</v>
      </c>
      <c r="E874" s="48" t="str">
        <f aca="false">IFERROR(INDEX(输入报销!$E:$E,MATCH($A874&amp;"-2",输入报销!$J:$J,0))&amp;"","")</f>
        <v/>
      </c>
      <c r="F874" s="48" t="str">
        <f aca="false">IFERROR(INDEX(输入报销!$F:$F,MATCH($A874&amp;"-2",输入报销!$J:$J,0))&amp;"","")</f>
        <v/>
      </c>
      <c r="G874" s="49" t="n">
        <f aca="false">IFERROR(ROUND(INDEX(输入报销!$G:$G,MATCH($A874&amp;"-2",输入报销!$J:$J,0)),2),0)</f>
        <v>0</v>
      </c>
      <c r="H874" s="49" t="str">
        <f aca="false">IF(ROUND($G874,2)&gt;0,ROUND($G874,2),"")</f>
        <v/>
      </c>
      <c r="I874" s="49" t="str">
        <f aca="false">IF(ROUND($G874,2)&lt;0,-ROUND($G874,2),"")</f>
        <v/>
      </c>
      <c r="J874" s="20" t="n">
        <f aca="false">IF(ROUND($G874,2)=0,0,1)</f>
        <v>0</v>
      </c>
      <c r="K874" s="20" t="str">
        <f aca="false">IF($J874=0,"",SUM($J$873:$J874))</f>
        <v/>
      </c>
      <c r="L874" s="20" t="str">
        <f aca="false">IF($K874="","",$A874*100+$K874)</f>
        <v/>
      </c>
      <c r="M874" s="48" t="str">
        <f aca="false">IFERROR(INDEX(输入报销!$D:$D,MATCH($A874&amp;"-2",输入报销!$J:$J,0))&amp;"","")</f>
        <v/>
      </c>
    </row>
    <row r="875" customFormat="false" ht="13.5" hidden="false" customHeight="false" outlineLevel="0" collapsed="false">
      <c r="A875" s="47" t="n">
        <v>68</v>
      </c>
      <c r="C875" s="48" t="str">
        <f aca="false">助手报销!$C69</f>
        <v/>
      </c>
      <c r="D875" s="81" t="s">
        <v>481</v>
      </c>
      <c r="E875" s="48" t="str">
        <f aca="false">IFERROR(INDEX(输入报销!$E:$E,MATCH($A875&amp;"-3",输入报销!$J:$J,0))&amp;"","")</f>
        <v/>
      </c>
      <c r="F875" s="48" t="str">
        <f aca="false">IFERROR(INDEX(输入报销!$F:$F,MATCH($A875&amp;"-3",输入报销!$J:$J,0))&amp;"","")</f>
        <v/>
      </c>
      <c r="G875" s="49" t="n">
        <f aca="false">IFERROR(ROUND(INDEX(输入报销!$G:$G,MATCH($A875&amp;"-3",输入报销!$J:$J,0)),2),0)</f>
        <v>0</v>
      </c>
      <c r="H875" s="49" t="str">
        <f aca="false">IF(ROUND($G875,2)&gt;0,ROUND($G875,2),"")</f>
        <v/>
      </c>
      <c r="I875" s="49" t="str">
        <f aca="false">IF(ROUND($G875,2)&lt;0,-ROUND($G875,2),"")</f>
        <v/>
      </c>
      <c r="J875" s="20" t="n">
        <f aca="false">IF(ROUND($G875,2)=0,0,1)</f>
        <v>0</v>
      </c>
      <c r="K875" s="20" t="str">
        <f aca="false">IF($J875=0,"",SUM($J$873:$J875))</f>
        <v/>
      </c>
      <c r="L875" s="20" t="str">
        <f aca="false">IF($K875="","",$A875*100+$K875)</f>
        <v/>
      </c>
      <c r="M875" s="48" t="str">
        <f aca="false">IFERROR(INDEX(输入报销!$D:$D,MATCH($A875&amp;"-3",输入报销!$J:$J,0))&amp;"","")</f>
        <v/>
      </c>
    </row>
    <row r="876" customFormat="false" ht="13.5" hidden="false" customHeight="false" outlineLevel="0" collapsed="false">
      <c r="A876" s="47" t="n">
        <v>68</v>
      </c>
      <c r="C876" s="48" t="str">
        <f aca="false">助手报销!$C69</f>
        <v/>
      </c>
      <c r="D876" s="81" t="s">
        <v>482</v>
      </c>
      <c r="E876" s="48" t="str">
        <f aca="false">IFERROR(INDEX(输入报销!$E:$E,MATCH($A876&amp;"-4",输入报销!$J:$J,0))&amp;"","")</f>
        <v/>
      </c>
      <c r="F876" s="48" t="str">
        <f aca="false">IFERROR(INDEX(输入报销!$F:$F,MATCH($A876&amp;"-4",输入报销!$J:$J,0))&amp;"","")</f>
        <v/>
      </c>
      <c r="G876" s="49" t="n">
        <f aca="false">IFERROR(ROUND(INDEX(输入报销!$G:$G,MATCH($A876&amp;"-4",输入报销!$J:$J,0)),2),0)</f>
        <v>0</v>
      </c>
      <c r="H876" s="49" t="str">
        <f aca="false">IF(ROUND($G876,2)&gt;0,ROUND($G876,2),"")</f>
        <v/>
      </c>
      <c r="I876" s="49" t="str">
        <f aca="false">IF(ROUND($G876,2)&lt;0,-ROUND($G876,2),"")</f>
        <v/>
      </c>
      <c r="J876" s="20" t="n">
        <f aca="false">IF(ROUND($G876,2)=0,0,1)</f>
        <v>0</v>
      </c>
      <c r="K876" s="20" t="str">
        <f aca="false">IF($J876=0,"",SUM($J$873:$J876))</f>
        <v/>
      </c>
      <c r="L876" s="20" t="str">
        <f aca="false">IF($K876="","",$A876*100+$K876)</f>
        <v/>
      </c>
      <c r="M876" s="48" t="str">
        <f aca="false">IFERROR(INDEX(输入报销!$D:$D,MATCH($A876&amp;"-4",输入报销!$J:$J,0))&amp;"","")</f>
        <v/>
      </c>
    </row>
    <row r="877" customFormat="false" ht="13.5" hidden="false" customHeight="false" outlineLevel="0" collapsed="false">
      <c r="A877" s="47" t="n">
        <v>68</v>
      </c>
      <c r="C877" s="48" t="str">
        <f aca="false">助手报销!$C69</f>
        <v/>
      </c>
      <c r="D877" s="81" t="s">
        <v>483</v>
      </c>
      <c r="E877" s="48" t="str">
        <f aca="false">IFERROR(INDEX(输入报销!$E:$E,MATCH($A877&amp;"-5",输入报销!$J:$J,0))&amp;"","")</f>
        <v/>
      </c>
      <c r="F877" s="48" t="str">
        <f aca="false">IFERROR(INDEX(输入报销!$F:$F,MATCH($A877&amp;"-5",输入报销!$J:$J,0))&amp;"","")</f>
        <v/>
      </c>
      <c r="G877" s="49" t="n">
        <f aca="false">IFERROR(ROUND(INDEX(输入报销!$G:$G,MATCH($A877&amp;"-5",输入报销!$J:$J,0)),2),0)</f>
        <v>0</v>
      </c>
      <c r="H877" s="49" t="str">
        <f aca="false">IF(ROUND($G877,2)&gt;0,ROUND($G877,2),"")</f>
        <v/>
      </c>
      <c r="I877" s="49" t="str">
        <f aca="false">IF(ROUND($G877,2)&lt;0,-ROUND($G877,2),"")</f>
        <v/>
      </c>
      <c r="J877" s="20" t="n">
        <f aca="false">IF(ROUND($G877,2)=0,0,1)</f>
        <v>0</v>
      </c>
      <c r="K877" s="20" t="str">
        <f aca="false">IF($J877=0,"",SUM($J$873:$J877))</f>
        <v/>
      </c>
      <c r="L877" s="20" t="str">
        <f aca="false">IF($K877="","",$A877*100+$K877)</f>
        <v/>
      </c>
      <c r="M877" s="48" t="str">
        <f aca="false">IFERROR(INDEX(输入报销!$D:$D,MATCH($A877&amp;"-5",输入报销!$J:$J,0))&amp;"","")</f>
        <v/>
      </c>
    </row>
    <row r="878" customFormat="false" ht="13.5" hidden="false" customHeight="false" outlineLevel="0" collapsed="false">
      <c r="A878" s="47" t="n">
        <v>68</v>
      </c>
      <c r="C878" s="48" t="str">
        <f aca="false">助手报销!$C69</f>
        <v/>
      </c>
      <c r="D878" s="81" t="s">
        <v>484</v>
      </c>
      <c r="E878" s="48" t="str">
        <f aca="false">IFERROR(INDEX(输入报销!$E:$E,MATCH($A878&amp;"-6",输入报销!$J:$J,0))&amp;"","")</f>
        <v/>
      </c>
      <c r="F878" s="48" t="str">
        <f aca="false">IFERROR(INDEX(输入报销!$F:$F,MATCH($A878&amp;"-6",输入报销!$J:$J,0))&amp;"","")</f>
        <v/>
      </c>
      <c r="G878" s="49" t="n">
        <f aca="false">IFERROR(ROUND(INDEX(输入报销!$G:$G,MATCH($A878&amp;"-6",输入报销!$J:$J,0)),2),0)</f>
        <v>0</v>
      </c>
      <c r="H878" s="49" t="str">
        <f aca="false">IF(ROUND($G878,2)&gt;0,ROUND($G878,2),"")</f>
        <v/>
      </c>
      <c r="I878" s="49" t="str">
        <f aca="false">IF(ROUND($G878,2)&lt;0,-ROUND($G878,2),"")</f>
        <v/>
      </c>
      <c r="J878" s="20" t="n">
        <f aca="false">IF(ROUND($G878,2)=0,0,1)</f>
        <v>0</v>
      </c>
      <c r="K878" s="20" t="str">
        <f aca="false">IF($J878=0,"",SUM($J$873:$J878))</f>
        <v/>
      </c>
      <c r="L878" s="20" t="str">
        <f aca="false">IF($K878="","",$A878*100+$K878)</f>
        <v/>
      </c>
      <c r="M878" s="48" t="str">
        <f aca="false">IFERROR(INDEX(输入报销!$D:$D,MATCH($A878&amp;"-6",输入报销!$J:$J,0))&amp;"","")</f>
        <v/>
      </c>
    </row>
    <row r="879" customFormat="false" ht="13.5" hidden="false" customHeight="false" outlineLevel="0" collapsed="false">
      <c r="A879" s="47" t="n">
        <v>68</v>
      </c>
      <c r="C879" s="48" t="str">
        <f aca="false">助手报销!$C69</f>
        <v/>
      </c>
      <c r="D879" s="81" t="s">
        <v>485</v>
      </c>
      <c r="E879" s="48" t="str">
        <f aca="false">IFERROR(INDEX(输入报销!$E:$E,MATCH($A879&amp;"-7",输入报销!$J:$J,0))&amp;"","")</f>
        <v/>
      </c>
      <c r="F879" s="48" t="str">
        <f aca="false">IFERROR(INDEX(输入报销!$F:$F,MATCH($A879&amp;"-7",输入报销!$J:$J,0))&amp;"","")</f>
        <v/>
      </c>
      <c r="G879" s="49" t="n">
        <f aca="false">IFERROR(ROUND(INDEX(输入报销!$G:$G,MATCH($A879&amp;"-7",输入报销!$J:$J,0)),2),0)</f>
        <v>0</v>
      </c>
      <c r="H879" s="49" t="str">
        <f aca="false">IF(ROUND($G879,2)&gt;0,ROUND($G879,2),"")</f>
        <v/>
      </c>
      <c r="I879" s="49" t="str">
        <f aca="false">IF(ROUND($G879,2)&lt;0,-ROUND($G879,2),"")</f>
        <v/>
      </c>
      <c r="J879" s="20" t="n">
        <f aca="false">IF(ROUND($G879,2)=0,0,1)</f>
        <v>0</v>
      </c>
      <c r="K879" s="20" t="str">
        <f aca="false">IF($J879=0,"",SUM($J$873:$J879))</f>
        <v/>
      </c>
      <c r="L879" s="20" t="str">
        <f aca="false">IF($K879="","",$A879*100+$K879)</f>
        <v/>
      </c>
      <c r="M879" s="48" t="str">
        <f aca="false">IFERROR(INDEX(输入报销!$D:$D,MATCH($A879&amp;"-7",输入报销!$J:$J,0))&amp;"","")</f>
        <v/>
      </c>
    </row>
    <row r="880" customFormat="false" ht="13.5" hidden="false" customHeight="false" outlineLevel="0" collapsed="false">
      <c r="A880" s="47" t="n">
        <v>68</v>
      </c>
      <c r="C880" s="48" t="str">
        <f aca="false">助手报销!$C69</f>
        <v/>
      </c>
      <c r="D880" s="81" t="s">
        <v>486</v>
      </c>
      <c r="E880" s="48" t="str">
        <f aca="false">IFERROR(INDEX(输入报销!$E:$E,MATCH($A880&amp;"-8",输入报销!$J:$J,0))&amp;"","")</f>
        <v/>
      </c>
      <c r="F880" s="48" t="str">
        <f aca="false">IFERROR(INDEX(输入报销!$F:$F,MATCH($A880&amp;"-8",输入报销!$J:$J,0))&amp;"","")</f>
        <v/>
      </c>
      <c r="G880" s="49" t="n">
        <f aca="false">IFERROR(ROUND(INDEX(输入报销!$G:$G,MATCH($A880&amp;"-8",输入报销!$J:$J,0)),2),0)</f>
        <v>0</v>
      </c>
      <c r="H880" s="49" t="str">
        <f aca="false">IF(ROUND($G880,2)&gt;0,ROUND($G880,2),"")</f>
        <v/>
      </c>
      <c r="I880" s="49" t="str">
        <f aca="false">IF(ROUND($G880,2)&lt;0,-ROUND($G880,2),"")</f>
        <v/>
      </c>
      <c r="J880" s="20" t="n">
        <f aca="false">IF(ROUND($G880,2)=0,0,1)</f>
        <v>0</v>
      </c>
      <c r="K880" s="20" t="str">
        <f aca="false">IF($J880=0,"",SUM($J$873:$J880))</f>
        <v/>
      </c>
      <c r="L880" s="20" t="str">
        <f aca="false">IF($K880="","",$A880*100+$K880)</f>
        <v/>
      </c>
      <c r="M880" s="48" t="str">
        <f aca="false">IFERROR(INDEX(输入报销!$D:$D,MATCH($A880&amp;"-8",输入报销!$J:$J,0))&amp;"","")</f>
        <v/>
      </c>
    </row>
    <row r="881" customFormat="false" ht="13.5" hidden="false" customHeight="false" outlineLevel="0" collapsed="false">
      <c r="A881" s="47" t="n">
        <v>68</v>
      </c>
      <c r="C881" s="48" t="str">
        <f aca="false">助手报销!$C69</f>
        <v/>
      </c>
      <c r="D881" s="81" t="s">
        <v>487</v>
      </c>
      <c r="E881" s="48" t="str">
        <f aca="false">IFERROR(INDEX(输入报销!$E:$E,MATCH($A881&amp;"-9",输入报销!$J:$J,0))&amp;"","")</f>
        <v/>
      </c>
      <c r="F881" s="48" t="str">
        <f aca="false">IFERROR(INDEX(输入报销!$F:$F,MATCH($A881&amp;"-9",输入报销!$J:$J,0))&amp;"","")</f>
        <v/>
      </c>
      <c r="G881" s="49" t="n">
        <f aca="false">IFERROR(ROUND(INDEX(输入报销!$G:$G,MATCH($A881&amp;"-9",输入报销!$J:$J,0)),2),0)</f>
        <v>0</v>
      </c>
      <c r="H881" s="49" t="str">
        <f aca="false">IF(ROUND($G881,2)&gt;0,ROUND($G881,2),"")</f>
        <v/>
      </c>
      <c r="I881" s="49" t="str">
        <f aca="false">IF(ROUND($G881,2)&lt;0,-ROUND($G881,2),"")</f>
        <v/>
      </c>
      <c r="J881" s="20" t="n">
        <f aca="false">IF(ROUND($G881,2)=0,0,1)</f>
        <v>0</v>
      </c>
      <c r="K881" s="20" t="str">
        <f aca="false">IF($J881=0,"",SUM($J$873:$J881))</f>
        <v/>
      </c>
      <c r="L881" s="20" t="str">
        <f aca="false">IF($K881="","",$A881*100+$K881)</f>
        <v/>
      </c>
      <c r="M881" s="48" t="str">
        <f aca="false">IFERROR(INDEX(输入报销!$D:$D,MATCH($A881&amp;"-9",输入报销!$J:$J,0))&amp;"","")</f>
        <v/>
      </c>
    </row>
    <row r="882" customFormat="false" ht="13.5" hidden="false" customHeight="false" outlineLevel="0" collapsed="false">
      <c r="A882" s="47" t="n">
        <v>68</v>
      </c>
      <c r="C882" s="48" t="str">
        <f aca="false">助手报销!$C69</f>
        <v/>
      </c>
      <c r="D882" s="81" t="s">
        <v>488</v>
      </c>
      <c r="E882" s="48" t="str">
        <f aca="false">IFERROR(INDEX(输入报销!$E:$E,MATCH($A882&amp;"-10",输入报销!$J:$J,0))&amp;"","")</f>
        <v/>
      </c>
      <c r="F882" s="48" t="str">
        <f aca="false">IFERROR(INDEX(输入报销!$F:$F,MATCH($A882&amp;"-10",输入报销!$J:$J,0))&amp;"","")</f>
        <v/>
      </c>
      <c r="G882" s="49" t="n">
        <f aca="false">IFERROR(ROUND(INDEX(输入报销!$G:$G,MATCH($A882&amp;"-10",输入报销!$J:$J,0)),2),0)</f>
        <v>0</v>
      </c>
      <c r="H882" s="49" t="str">
        <f aca="false">IF(ROUND($G882,2)&gt;0,ROUND($G882,2),"")</f>
        <v/>
      </c>
      <c r="I882" s="49" t="str">
        <f aca="false">IF(ROUND($G882,2)&lt;0,-ROUND($G882,2),"")</f>
        <v/>
      </c>
      <c r="J882" s="20" t="n">
        <f aca="false">IF(ROUND($G882,2)=0,0,1)</f>
        <v>0</v>
      </c>
      <c r="K882" s="20" t="str">
        <f aca="false">IF($J882=0,"",SUM($J$873:$J882))</f>
        <v/>
      </c>
      <c r="L882" s="20" t="str">
        <f aca="false">IF($K882="","",$A882*100+$K882)</f>
        <v/>
      </c>
      <c r="M882" s="48" t="str">
        <f aca="false">IFERROR(INDEX(输入报销!$D:$D,MATCH($A882&amp;"-10",输入报销!$J:$J,0))&amp;"","")</f>
        <v/>
      </c>
    </row>
    <row r="883" customFormat="false" ht="13.5" hidden="false" customHeight="false" outlineLevel="0" collapsed="false">
      <c r="A883" s="47" t="n">
        <v>68</v>
      </c>
      <c r="C883" s="48" t="str">
        <f aca="false">助手报销!$C69</f>
        <v/>
      </c>
      <c r="D883" s="81" t="s">
        <v>489</v>
      </c>
      <c r="E883" s="48" t="str">
        <f aca="false">参数!$B$6</f>
        <v>库存现金</v>
      </c>
      <c r="F883" s="48" t="str">
        <f aca="false">""</f>
        <v/>
      </c>
      <c r="G883" s="49" t="n">
        <f aca="false">-ROUND(SUMIFS(输入报销!$G:$G,输入报销!$A:$A,$A883,输入报销!$H:$H,参数!$B$6),2)</f>
        <v>-0</v>
      </c>
      <c r="H883" s="49" t="str">
        <f aca="false">IF(ROUND($G883,2)&gt;0,ROUND($G883,2),"")</f>
        <v/>
      </c>
      <c r="I883" s="49" t="str">
        <f aca="false">IF(ROUND($G883,2)&lt;0,-ROUND($G883,2),"")</f>
        <v/>
      </c>
      <c r="J883" s="20" t="n">
        <f aca="false">IF(ROUND($G883,2)=0,0,1)</f>
        <v>0</v>
      </c>
      <c r="K883" s="20" t="str">
        <f aca="false">IF($J883=0,"",SUM($J$873:$J883))</f>
        <v/>
      </c>
      <c r="L883" s="20" t="str">
        <f aca="false">IF($K883="","",$A883*100+$K883)</f>
        <v/>
      </c>
      <c r="M883" s="48" t="str">
        <f aca="false">""</f>
        <v/>
      </c>
    </row>
    <row r="884" customFormat="false" ht="13.5" hidden="false" customHeight="false" outlineLevel="0" collapsed="false">
      <c r="A884" s="47" t="n">
        <v>68</v>
      </c>
      <c r="C884" s="48" t="str">
        <f aca="false">助手报销!$C69</f>
        <v/>
      </c>
      <c r="D884" s="81" t="s">
        <v>490</v>
      </c>
      <c r="E884" s="48" t="str">
        <f aca="false">参数!$B$7</f>
        <v>银行存款</v>
      </c>
      <c r="F884" s="48" t="str">
        <f aca="false">""</f>
        <v/>
      </c>
      <c r="G884" s="49" t="n">
        <f aca="false">-ROUND(SUMIFS(输入报销!$G:$G,输入报销!$A:$A,$A884,输入报销!$H:$H,参数!$B$7),2)</f>
        <v>-0</v>
      </c>
      <c r="H884" s="49" t="str">
        <f aca="false">IF(ROUND($G884,2)&gt;0,ROUND($G884,2),"")</f>
        <v/>
      </c>
      <c r="I884" s="49" t="str">
        <f aca="false">IF(ROUND($G884,2)&lt;0,-ROUND($G884,2),"")</f>
        <v/>
      </c>
      <c r="J884" s="20" t="n">
        <f aca="false">IF(ROUND($G884,2)=0,0,1)</f>
        <v>0</v>
      </c>
      <c r="K884" s="20" t="str">
        <f aca="false">IF($J884=0,"",SUM($J$873:$J884))</f>
        <v/>
      </c>
      <c r="L884" s="20" t="str">
        <f aca="false">IF($K884="","",$A884*100+$K884)</f>
        <v/>
      </c>
      <c r="M884" s="48" t="str">
        <f aca="false">""</f>
        <v/>
      </c>
    </row>
    <row r="885" customFormat="false" ht="13.5" hidden="false" customHeight="false" outlineLevel="0" collapsed="false">
      <c r="A885" s="47" t="n">
        <v>68</v>
      </c>
      <c r="C885" s="48" t="str">
        <f aca="false">助手报销!$C69</f>
        <v/>
      </c>
      <c r="D885" s="81" t="s">
        <v>491</v>
      </c>
      <c r="E885" s="48" t="str">
        <f aca="false">参数!$B$8</f>
        <v>其他应付款</v>
      </c>
      <c r="F885" s="48" t="str">
        <f aca="false">""</f>
        <v/>
      </c>
      <c r="G885" s="49" t="n">
        <f aca="false">-ROUND(SUMIFS(输入报销!$G:$G,输入报销!$A:$A,$A885,输入报销!$H:$H,参数!$B$8),2)</f>
        <v>-0</v>
      </c>
      <c r="H885" s="49" t="str">
        <f aca="false">IF(ROUND($G885,2)&gt;0,ROUND($G885,2),"")</f>
        <v/>
      </c>
      <c r="I885" s="49" t="str">
        <f aca="false">IF(ROUND($G885,2)&lt;0,-ROUND($G885,2),"")</f>
        <v/>
      </c>
      <c r="J885" s="20" t="n">
        <f aca="false">IF(ROUND($G885,2)=0,0,1)</f>
        <v>0</v>
      </c>
      <c r="K885" s="20" t="str">
        <f aca="false">IF($J885=0,"",SUM($J$873:$J885))</f>
        <v/>
      </c>
      <c r="L885" s="20" t="str">
        <f aca="false">IF($K885="","",$A885*100+$K885)</f>
        <v/>
      </c>
      <c r="M885" s="48" t="str">
        <f aca="false">""</f>
        <v/>
      </c>
    </row>
    <row r="886" customFormat="false" ht="13.5" hidden="false" customHeight="false" outlineLevel="0" collapsed="false">
      <c r="A886" s="47" t="n">
        <v>69</v>
      </c>
      <c r="C886" s="48" t="str">
        <f aca="false">助手报销!$C70</f>
        <v/>
      </c>
      <c r="D886" s="81" t="s">
        <v>479</v>
      </c>
      <c r="E886" s="48" t="str">
        <f aca="false">IFERROR(INDEX(输入报销!$E:$E,MATCH($A886&amp;"-1",输入报销!$J:$J,0))&amp;"","")</f>
        <v/>
      </c>
      <c r="F886" s="48" t="str">
        <f aca="false">IFERROR(INDEX(输入报销!$F:$F,MATCH($A886&amp;"-1",输入报销!$J:$J,0))&amp;"","")</f>
        <v/>
      </c>
      <c r="G886" s="49" t="n">
        <f aca="false">IFERROR(ROUND(INDEX(输入报销!$G:$G,MATCH($A886&amp;"-1",输入报销!$J:$J,0)),2),0)</f>
        <v>0</v>
      </c>
      <c r="H886" s="49" t="str">
        <f aca="false">IF(ROUND($G886,2)&gt;0,ROUND($G886,2),"")</f>
        <v/>
      </c>
      <c r="I886" s="49" t="str">
        <f aca="false">IF(ROUND($G886,2)&lt;0,-ROUND($G886,2),"")</f>
        <v/>
      </c>
      <c r="J886" s="20" t="n">
        <f aca="false">IF(ROUND($G886,2)=0,0,1)</f>
        <v>0</v>
      </c>
      <c r="K886" s="20" t="str">
        <f aca="false">IF($J886=0,"",SUM($J$886:$J886))</f>
        <v/>
      </c>
      <c r="L886" s="20" t="str">
        <f aca="false">IF($K886="","",$A886*100+$K886)</f>
        <v/>
      </c>
      <c r="M886" s="48" t="str">
        <f aca="false">IFERROR(INDEX(输入报销!$D:$D,MATCH($A886&amp;"-1",输入报销!$J:$J,0))&amp;"","")</f>
        <v/>
      </c>
    </row>
    <row r="887" customFormat="false" ht="13.5" hidden="false" customHeight="false" outlineLevel="0" collapsed="false">
      <c r="A887" s="47" t="n">
        <v>69</v>
      </c>
      <c r="C887" s="48" t="str">
        <f aca="false">助手报销!$C70</f>
        <v/>
      </c>
      <c r="D887" s="81" t="s">
        <v>480</v>
      </c>
      <c r="E887" s="48" t="str">
        <f aca="false">IFERROR(INDEX(输入报销!$E:$E,MATCH($A887&amp;"-2",输入报销!$J:$J,0))&amp;"","")</f>
        <v/>
      </c>
      <c r="F887" s="48" t="str">
        <f aca="false">IFERROR(INDEX(输入报销!$F:$F,MATCH($A887&amp;"-2",输入报销!$J:$J,0))&amp;"","")</f>
        <v/>
      </c>
      <c r="G887" s="49" t="n">
        <f aca="false">IFERROR(ROUND(INDEX(输入报销!$G:$G,MATCH($A887&amp;"-2",输入报销!$J:$J,0)),2),0)</f>
        <v>0</v>
      </c>
      <c r="H887" s="49" t="str">
        <f aca="false">IF(ROUND($G887,2)&gt;0,ROUND($G887,2),"")</f>
        <v/>
      </c>
      <c r="I887" s="49" t="str">
        <f aca="false">IF(ROUND($G887,2)&lt;0,-ROUND($G887,2),"")</f>
        <v/>
      </c>
      <c r="J887" s="20" t="n">
        <f aca="false">IF(ROUND($G887,2)=0,0,1)</f>
        <v>0</v>
      </c>
      <c r="K887" s="20" t="str">
        <f aca="false">IF($J887=0,"",SUM($J$886:$J887))</f>
        <v/>
      </c>
      <c r="L887" s="20" t="str">
        <f aca="false">IF($K887="","",$A887*100+$K887)</f>
        <v/>
      </c>
      <c r="M887" s="48" t="str">
        <f aca="false">IFERROR(INDEX(输入报销!$D:$D,MATCH($A887&amp;"-2",输入报销!$J:$J,0))&amp;"","")</f>
        <v/>
      </c>
    </row>
    <row r="888" customFormat="false" ht="13.5" hidden="false" customHeight="false" outlineLevel="0" collapsed="false">
      <c r="A888" s="47" t="n">
        <v>69</v>
      </c>
      <c r="C888" s="48" t="str">
        <f aca="false">助手报销!$C70</f>
        <v/>
      </c>
      <c r="D888" s="81" t="s">
        <v>481</v>
      </c>
      <c r="E888" s="48" t="str">
        <f aca="false">IFERROR(INDEX(输入报销!$E:$E,MATCH($A888&amp;"-3",输入报销!$J:$J,0))&amp;"","")</f>
        <v/>
      </c>
      <c r="F888" s="48" t="str">
        <f aca="false">IFERROR(INDEX(输入报销!$F:$F,MATCH($A888&amp;"-3",输入报销!$J:$J,0))&amp;"","")</f>
        <v/>
      </c>
      <c r="G888" s="49" t="n">
        <f aca="false">IFERROR(ROUND(INDEX(输入报销!$G:$G,MATCH($A888&amp;"-3",输入报销!$J:$J,0)),2),0)</f>
        <v>0</v>
      </c>
      <c r="H888" s="49" t="str">
        <f aca="false">IF(ROUND($G888,2)&gt;0,ROUND($G888,2),"")</f>
        <v/>
      </c>
      <c r="I888" s="49" t="str">
        <f aca="false">IF(ROUND($G888,2)&lt;0,-ROUND($G888,2),"")</f>
        <v/>
      </c>
      <c r="J888" s="20" t="n">
        <f aca="false">IF(ROUND($G888,2)=0,0,1)</f>
        <v>0</v>
      </c>
      <c r="K888" s="20" t="str">
        <f aca="false">IF($J888=0,"",SUM($J$886:$J888))</f>
        <v/>
      </c>
      <c r="L888" s="20" t="str">
        <f aca="false">IF($K888="","",$A888*100+$K888)</f>
        <v/>
      </c>
      <c r="M888" s="48" t="str">
        <f aca="false">IFERROR(INDEX(输入报销!$D:$D,MATCH($A888&amp;"-3",输入报销!$J:$J,0))&amp;"","")</f>
        <v/>
      </c>
    </row>
    <row r="889" customFormat="false" ht="13.5" hidden="false" customHeight="false" outlineLevel="0" collapsed="false">
      <c r="A889" s="47" t="n">
        <v>69</v>
      </c>
      <c r="C889" s="48" t="str">
        <f aca="false">助手报销!$C70</f>
        <v/>
      </c>
      <c r="D889" s="81" t="s">
        <v>482</v>
      </c>
      <c r="E889" s="48" t="str">
        <f aca="false">IFERROR(INDEX(输入报销!$E:$E,MATCH($A889&amp;"-4",输入报销!$J:$J,0))&amp;"","")</f>
        <v/>
      </c>
      <c r="F889" s="48" t="str">
        <f aca="false">IFERROR(INDEX(输入报销!$F:$F,MATCH($A889&amp;"-4",输入报销!$J:$J,0))&amp;"","")</f>
        <v/>
      </c>
      <c r="G889" s="49" t="n">
        <f aca="false">IFERROR(ROUND(INDEX(输入报销!$G:$G,MATCH($A889&amp;"-4",输入报销!$J:$J,0)),2),0)</f>
        <v>0</v>
      </c>
      <c r="H889" s="49" t="str">
        <f aca="false">IF(ROUND($G889,2)&gt;0,ROUND($G889,2),"")</f>
        <v/>
      </c>
      <c r="I889" s="49" t="str">
        <f aca="false">IF(ROUND($G889,2)&lt;0,-ROUND($G889,2),"")</f>
        <v/>
      </c>
      <c r="J889" s="20" t="n">
        <f aca="false">IF(ROUND($G889,2)=0,0,1)</f>
        <v>0</v>
      </c>
      <c r="K889" s="20" t="str">
        <f aca="false">IF($J889=0,"",SUM($J$886:$J889))</f>
        <v/>
      </c>
      <c r="L889" s="20" t="str">
        <f aca="false">IF($K889="","",$A889*100+$K889)</f>
        <v/>
      </c>
      <c r="M889" s="48" t="str">
        <f aca="false">IFERROR(INDEX(输入报销!$D:$D,MATCH($A889&amp;"-4",输入报销!$J:$J,0))&amp;"","")</f>
        <v/>
      </c>
    </row>
    <row r="890" customFormat="false" ht="13.5" hidden="false" customHeight="false" outlineLevel="0" collapsed="false">
      <c r="A890" s="47" t="n">
        <v>69</v>
      </c>
      <c r="C890" s="48" t="str">
        <f aca="false">助手报销!$C70</f>
        <v/>
      </c>
      <c r="D890" s="81" t="s">
        <v>483</v>
      </c>
      <c r="E890" s="48" t="str">
        <f aca="false">IFERROR(INDEX(输入报销!$E:$E,MATCH($A890&amp;"-5",输入报销!$J:$J,0))&amp;"","")</f>
        <v/>
      </c>
      <c r="F890" s="48" t="str">
        <f aca="false">IFERROR(INDEX(输入报销!$F:$F,MATCH($A890&amp;"-5",输入报销!$J:$J,0))&amp;"","")</f>
        <v/>
      </c>
      <c r="G890" s="49" t="n">
        <f aca="false">IFERROR(ROUND(INDEX(输入报销!$G:$G,MATCH($A890&amp;"-5",输入报销!$J:$J,0)),2),0)</f>
        <v>0</v>
      </c>
      <c r="H890" s="49" t="str">
        <f aca="false">IF(ROUND($G890,2)&gt;0,ROUND($G890,2),"")</f>
        <v/>
      </c>
      <c r="I890" s="49" t="str">
        <f aca="false">IF(ROUND($G890,2)&lt;0,-ROUND($G890,2),"")</f>
        <v/>
      </c>
      <c r="J890" s="20" t="n">
        <f aca="false">IF(ROUND($G890,2)=0,0,1)</f>
        <v>0</v>
      </c>
      <c r="K890" s="20" t="str">
        <f aca="false">IF($J890=0,"",SUM($J$886:$J890))</f>
        <v/>
      </c>
      <c r="L890" s="20" t="str">
        <f aca="false">IF($K890="","",$A890*100+$K890)</f>
        <v/>
      </c>
      <c r="M890" s="48" t="str">
        <f aca="false">IFERROR(INDEX(输入报销!$D:$D,MATCH($A890&amp;"-5",输入报销!$J:$J,0))&amp;"","")</f>
        <v/>
      </c>
    </row>
    <row r="891" customFormat="false" ht="13.5" hidden="false" customHeight="false" outlineLevel="0" collapsed="false">
      <c r="A891" s="47" t="n">
        <v>69</v>
      </c>
      <c r="C891" s="48" t="str">
        <f aca="false">助手报销!$C70</f>
        <v/>
      </c>
      <c r="D891" s="81" t="s">
        <v>484</v>
      </c>
      <c r="E891" s="48" t="str">
        <f aca="false">IFERROR(INDEX(输入报销!$E:$E,MATCH($A891&amp;"-6",输入报销!$J:$J,0))&amp;"","")</f>
        <v/>
      </c>
      <c r="F891" s="48" t="str">
        <f aca="false">IFERROR(INDEX(输入报销!$F:$F,MATCH($A891&amp;"-6",输入报销!$J:$J,0))&amp;"","")</f>
        <v/>
      </c>
      <c r="G891" s="49" t="n">
        <f aca="false">IFERROR(ROUND(INDEX(输入报销!$G:$G,MATCH($A891&amp;"-6",输入报销!$J:$J,0)),2),0)</f>
        <v>0</v>
      </c>
      <c r="H891" s="49" t="str">
        <f aca="false">IF(ROUND($G891,2)&gt;0,ROUND($G891,2),"")</f>
        <v/>
      </c>
      <c r="I891" s="49" t="str">
        <f aca="false">IF(ROUND($G891,2)&lt;0,-ROUND($G891,2),"")</f>
        <v/>
      </c>
      <c r="J891" s="20" t="n">
        <f aca="false">IF(ROUND($G891,2)=0,0,1)</f>
        <v>0</v>
      </c>
      <c r="K891" s="20" t="str">
        <f aca="false">IF($J891=0,"",SUM($J$886:$J891))</f>
        <v/>
      </c>
      <c r="L891" s="20" t="str">
        <f aca="false">IF($K891="","",$A891*100+$K891)</f>
        <v/>
      </c>
      <c r="M891" s="48" t="str">
        <f aca="false">IFERROR(INDEX(输入报销!$D:$D,MATCH($A891&amp;"-6",输入报销!$J:$J,0))&amp;"","")</f>
        <v/>
      </c>
    </row>
    <row r="892" customFormat="false" ht="13.5" hidden="false" customHeight="false" outlineLevel="0" collapsed="false">
      <c r="A892" s="47" t="n">
        <v>69</v>
      </c>
      <c r="C892" s="48" t="str">
        <f aca="false">助手报销!$C70</f>
        <v/>
      </c>
      <c r="D892" s="81" t="s">
        <v>485</v>
      </c>
      <c r="E892" s="48" t="str">
        <f aca="false">IFERROR(INDEX(输入报销!$E:$E,MATCH($A892&amp;"-7",输入报销!$J:$J,0))&amp;"","")</f>
        <v/>
      </c>
      <c r="F892" s="48" t="str">
        <f aca="false">IFERROR(INDEX(输入报销!$F:$F,MATCH($A892&amp;"-7",输入报销!$J:$J,0))&amp;"","")</f>
        <v/>
      </c>
      <c r="G892" s="49" t="n">
        <f aca="false">IFERROR(ROUND(INDEX(输入报销!$G:$G,MATCH($A892&amp;"-7",输入报销!$J:$J,0)),2),0)</f>
        <v>0</v>
      </c>
      <c r="H892" s="49" t="str">
        <f aca="false">IF(ROUND($G892,2)&gt;0,ROUND($G892,2),"")</f>
        <v/>
      </c>
      <c r="I892" s="49" t="str">
        <f aca="false">IF(ROUND($G892,2)&lt;0,-ROUND($G892,2),"")</f>
        <v/>
      </c>
      <c r="J892" s="20" t="n">
        <f aca="false">IF(ROUND($G892,2)=0,0,1)</f>
        <v>0</v>
      </c>
      <c r="K892" s="20" t="str">
        <f aca="false">IF($J892=0,"",SUM($J$886:$J892))</f>
        <v/>
      </c>
      <c r="L892" s="20" t="str">
        <f aca="false">IF($K892="","",$A892*100+$K892)</f>
        <v/>
      </c>
      <c r="M892" s="48" t="str">
        <f aca="false">IFERROR(INDEX(输入报销!$D:$D,MATCH($A892&amp;"-7",输入报销!$J:$J,0))&amp;"","")</f>
        <v/>
      </c>
    </row>
    <row r="893" customFormat="false" ht="13.5" hidden="false" customHeight="false" outlineLevel="0" collapsed="false">
      <c r="A893" s="47" t="n">
        <v>69</v>
      </c>
      <c r="C893" s="48" t="str">
        <f aca="false">助手报销!$C70</f>
        <v/>
      </c>
      <c r="D893" s="81" t="s">
        <v>486</v>
      </c>
      <c r="E893" s="48" t="str">
        <f aca="false">IFERROR(INDEX(输入报销!$E:$E,MATCH($A893&amp;"-8",输入报销!$J:$J,0))&amp;"","")</f>
        <v/>
      </c>
      <c r="F893" s="48" t="str">
        <f aca="false">IFERROR(INDEX(输入报销!$F:$F,MATCH($A893&amp;"-8",输入报销!$J:$J,0))&amp;"","")</f>
        <v/>
      </c>
      <c r="G893" s="49" t="n">
        <f aca="false">IFERROR(ROUND(INDEX(输入报销!$G:$G,MATCH($A893&amp;"-8",输入报销!$J:$J,0)),2),0)</f>
        <v>0</v>
      </c>
      <c r="H893" s="49" t="str">
        <f aca="false">IF(ROUND($G893,2)&gt;0,ROUND($G893,2),"")</f>
        <v/>
      </c>
      <c r="I893" s="49" t="str">
        <f aca="false">IF(ROUND($G893,2)&lt;0,-ROUND($G893,2),"")</f>
        <v/>
      </c>
      <c r="J893" s="20" t="n">
        <f aca="false">IF(ROUND($G893,2)=0,0,1)</f>
        <v>0</v>
      </c>
      <c r="K893" s="20" t="str">
        <f aca="false">IF($J893=0,"",SUM($J$886:$J893))</f>
        <v/>
      </c>
      <c r="L893" s="20" t="str">
        <f aca="false">IF($K893="","",$A893*100+$K893)</f>
        <v/>
      </c>
      <c r="M893" s="48" t="str">
        <f aca="false">IFERROR(INDEX(输入报销!$D:$D,MATCH($A893&amp;"-8",输入报销!$J:$J,0))&amp;"","")</f>
        <v/>
      </c>
    </row>
    <row r="894" customFormat="false" ht="13.5" hidden="false" customHeight="false" outlineLevel="0" collapsed="false">
      <c r="A894" s="47" t="n">
        <v>69</v>
      </c>
      <c r="C894" s="48" t="str">
        <f aca="false">助手报销!$C70</f>
        <v/>
      </c>
      <c r="D894" s="81" t="s">
        <v>487</v>
      </c>
      <c r="E894" s="48" t="str">
        <f aca="false">IFERROR(INDEX(输入报销!$E:$E,MATCH($A894&amp;"-9",输入报销!$J:$J,0))&amp;"","")</f>
        <v/>
      </c>
      <c r="F894" s="48" t="str">
        <f aca="false">IFERROR(INDEX(输入报销!$F:$F,MATCH($A894&amp;"-9",输入报销!$J:$J,0))&amp;"","")</f>
        <v/>
      </c>
      <c r="G894" s="49" t="n">
        <f aca="false">IFERROR(ROUND(INDEX(输入报销!$G:$G,MATCH($A894&amp;"-9",输入报销!$J:$J,0)),2),0)</f>
        <v>0</v>
      </c>
      <c r="H894" s="49" t="str">
        <f aca="false">IF(ROUND($G894,2)&gt;0,ROUND($G894,2),"")</f>
        <v/>
      </c>
      <c r="I894" s="49" t="str">
        <f aca="false">IF(ROUND($G894,2)&lt;0,-ROUND($G894,2),"")</f>
        <v/>
      </c>
      <c r="J894" s="20" t="n">
        <f aca="false">IF(ROUND($G894,2)=0,0,1)</f>
        <v>0</v>
      </c>
      <c r="K894" s="20" t="str">
        <f aca="false">IF($J894=0,"",SUM($J$886:$J894))</f>
        <v/>
      </c>
      <c r="L894" s="20" t="str">
        <f aca="false">IF($K894="","",$A894*100+$K894)</f>
        <v/>
      </c>
      <c r="M894" s="48" t="str">
        <f aca="false">IFERROR(INDEX(输入报销!$D:$D,MATCH($A894&amp;"-9",输入报销!$J:$J,0))&amp;"","")</f>
        <v/>
      </c>
    </row>
    <row r="895" customFormat="false" ht="13.5" hidden="false" customHeight="false" outlineLevel="0" collapsed="false">
      <c r="A895" s="47" t="n">
        <v>69</v>
      </c>
      <c r="C895" s="48" t="str">
        <f aca="false">助手报销!$C70</f>
        <v/>
      </c>
      <c r="D895" s="81" t="s">
        <v>488</v>
      </c>
      <c r="E895" s="48" t="str">
        <f aca="false">IFERROR(INDEX(输入报销!$E:$E,MATCH($A895&amp;"-10",输入报销!$J:$J,0))&amp;"","")</f>
        <v/>
      </c>
      <c r="F895" s="48" t="str">
        <f aca="false">IFERROR(INDEX(输入报销!$F:$F,MATCH($A895&amp;"-10",输入报销!$J:$J,0))&amp;"","")</f>
        <v/>
      </c>
      <c r="G895" s="49" t="n">
        <f aca="false">IFERROR(ROUND(INDEX(输入报销!$G:$G,MATCH($A895&amp;"-10",输入报销!$J:$J,0)),2),0)</f>
        <v>0</v>
      </c>
      <c r="H895" s="49" t="str">
        <f aca="false">IF(ROUND($G895,2)&gt;0,ROUND($G895,2),"")</f>
        <v/>
      </c>
      <c r="I895" s="49" t="str">
        <f aca="false">IF(ROUND($G895,2)&lt;0,-ROUND($G895,2),"")</f>
        <v/>
      </c>
      <c r="J895" s="20" t="n">
        <f aca="false">IF(ROUND($G895,2)=0,0,1)</f>
        <v>0</v>
      </c>
      <c r="K895" s="20" t="str">
        <f aca="false">IF($J895=0,"",SUM($J$886:$J895))</f>
        <v/>
      </c>
      <c r="L895" s="20" t="str">
        <f aca="false">IF($K895="","",$A895*100+$K895)</f>
        <v/>
      </c>
      <c r="M895" s="48" t="str">
        <f aca="false">IFERROR(INDEX(输入报销!$D:$D,MATCH($A895&amp;"-10",输入报销!$J:$J,0))&amp;"","")</f>
        <v/>
      </c>
    </row>
    <row r="896" customFormat="false" ht="13.5" hidden="false" customHeight="false" outlineLevel="0" collapsed="false">
      <c r="A896" s="47" t="n">
        <v>69</v>
      </c>
      <c r="C896" s="48" t="str">
        <f aca="false">助手报销!$C70</f>
        <v/>
      </c>
      <c r="D896" s="81" t="s">
        <v>489</v>
      </c>
      <c r="E896" s="48" t="str">
        <f aca="false">参数!$B$6</f>
        <v>库存现金</v>
      </c>
      <c r="F896" s="48" t="str">
        <f aca="false">""</f>
        <v/>
      </c>
      <c r="G896" s="49" t="n">
        <f aca="false">-ROUND(SUMIFS(输入报销!$G:$G,输入报销!$A:$A,$A896,输入报销!$H:$H,参数!$B$6),2)</f>
        <v>-0</v>
      </c>
      <c r="H896" s="49" t="str">
        <f aca="false">IF(ROUND($G896,2)&gt;0,ROUND($G896,2),"")</f>
        <v/>
      </c>
      <c r="I896" s="49" t="str">
        <f aca="false">IF(ROUND($G896,2)&lt;0,-ROUND($G896,2),"")</f>
        <v/>
      </c>
      <c r="J896" s="20" t="n">
        <f aca="false">IF(ROUND($G896,2)=0,0,1)</f>
        <v>0</v>
      </c>
      <c r="K896" s="20" t="str">
        <f aca="false">IF($J896=0,"",SUM($J$886:$J896))</f>
        <v/>
      </c>
      <c r="L896" s="20" t="str">
        <f aca="false">IF($K896="","",$A896*100+$K896)</f>
        <v/>
      </c>
      <c r="M896" s="48" t="str">
        <f aca="false">""</f>
        <v/>
      </c>
    </row>
    <row r="897" customFormat="false" ht="13.5" hidden="false" customHeight="false" outlineLevel="0" collapsed="false">
      <c r="A897" s="47" t="n">
        <v>69</v>
      </c>
      <c r="C897" s="48" t="str">
        <f aca="false">助手报销!$C70</f>
        <v/>
      </c>
      <c r="D897" s="81" t="s">
        <v>490</v>
      </c>
      <c r="E897" s="48" t="str">
        <f aca="false">参数!$B$7</f>
        <v>银行存款</v>
      </c>
      <c r="F897" s="48" t="str">
        <f aca="false">""</f>
        <v/>
      </c>
      <c r="G897" s="49" t="n">
        <f aca="false">-ROUND(SUMIFS(输入报销!$G:$G,输入报销!$A:$A,$A897,输入报销!$H:$H,参数!$B$7),2)</f>
        <v>-0</v>
      </c>
      <c r="H897" s="49" t="str">
        <f aca="false">IF(ROUND($G897,2)&gt;0,ROUND($G897,2),"")</f>
        <v/>
      </c>
      <c r="I897" s="49" t="str">
        <f aca="false">IF(ROUND($G897,2)&lt;0,-ROUND($G897,2),"")</f>
        <v/>
      </c>
      <c r="J897" s="20" t="n">
        <f aca="false">IF(ROUND($G897,2)=0,0,1)</f>
        <v>0</v>
      </c>
      <c r="K897" s="20" t="str">
        <f aca="false">IF($J897=0,"",SUM($J$886:$J897))</f>
        <v/>
      </c>
      <c r="L897" s="20" t="str">
        <f aca="false">IF($K897="","",$A897*100+$K897)</f>
        <v/>
      </c>
      <c r="M897" s="48" t="str">
        <f aca="false">""</f>
        <v/>
      </c>
    </row>
    <row r="898" customFormat="false" ht="13.5" hidden="false" customHeight="false" outlineLevel="0" collapsed="false">
      <c r="A898" s="47" t="n">
        <v>69</v>
      </c>
      <c r="C898" s="48" t="str">
        <f aca="false">助手报销!$C70</f>
        <v/>
      </c>
      <c r="D898" s="81" t="s">
        <v>491</v>
      </c>
      <c r="E898" s="48" t="str">
        <f aca="false">参数!$B$8</f>
        <v>其他应付款</v>
      </c>
      <c r="F898" s="48" t="str">
        <f aca="false">""</f>
        <v/>
      </c>
      <c r="G898" s="49" t="n">
        <f aca="false">-ROUND(SUMIFS(输入报销!$G:$G,输入报销!$A:$A,$A898,输入报销!$H:$H,参数!$B$8),2)</f>
        <v>-0</v>
      </c>
      <c r="H898" s="49" t="str">
        <f aca="false">IF(ROUND($G898,2)&gt;0,ROUND($G898,2),"")</f>
        <v/>
      </c>
      <c r="I898" s="49" t="str">
        <f aca="false">IF(ROUND($G898,2)&lt;0,-ROUND($G898,2),"")</f>
        <v/>
      </c>
      <c r="J898" s="20" t="n">
        <f aca="false">IF(ROUND($G898,2)=0,0,1)</f>
        <v>0</v>
      </c>
      <c r="K898" s="20" t="str">
        <f aca="false">IF($J898=0,"",SUM($J$886:$J898))</f>
        <v/>
      </c>
      <c r="L898" s="20" t="str">
        <f aca="false">IF($K898="","",$A898*100+$K898)</f>
        <v/>
      </c>
      <c r="M898" s="48" t="str">
        <f aca="false">""</f>
        <v/>
      </c>
    </row>
    <row r="899" customFormat="false" ht="13.5" hidden="false" customHeight="false" outlineLevel="0" collapsed="false">
      <c r="A899" s="47" t="n">
        <v>70</v>
      </c>
      <c r="C899" s="48" t="str">
        <f aca="false">助手报销!$C71</f>
        <v/>
      </c>
      <c r="D899" s="81" t="s">
        <v>479</v>
      </c>
      <c r="E899" s="48" t="str">
        <f aca="false">IFERROR(INDEX(输入报销!$E:$E,MATCH($A899&amp;"-1",输入报销!$J:$J,0))&amp;"","")</f>
        <v/>
      </c>
      <c r="F899" s="48" t="str">
        <f aca="false">IFERROR(INDEX(输入报销!$F:$F,MATCH($A899&amp;"-1",输入报销!$J:$J,0))&amp;"","")</f>
        <v/>
      </c>
      <c r="G899" s="49" t="n">
        <f aca="false">IFERROR(ROUND(INDEX(输入报销!$G:$G,MATCH($A899&amp;"-1",输入报销!$J:$J,0)),2),0)</f>
        <v>0</v>
      </c>
      <c r="H899" s="49" t="str">
        <f aca="false">IF(ROUND($G899,2)&gt;0,ROUND($G899,2),"")</f>
        <v/>
      </c>
      <c r="I899" s="49" t="str">
        <f aca="false">IF(ROUND($G899,2)&lt;0,-ROUND($G899,2),"")</f>
        <v/>
      </c>
      <c r="J899" s="20" t="n">
        <f aca="false">IF(ROUND($G899,2)=0,0,1)</f>
        <v>0</v>
      </c>
      <c r="K899" s="20" t="str">
        <f aca="false">IF($J899=0,"",SUM($J$899:$J899))</f>
        <v/>
      </c>
      <c r="L899" s="20" t="str">
        <f aca="false">IF($K899="","",$A899*100+$K899)</f>
        <v/>
      </c>
      <c r="M899" s="48" t="str">
        <f aca="false">IFERROR(INDEX(输入报销!$D:$D,MATCH($A899&amp;"-1",输入报销!$J:$J,0))&amp;"","")</f>
        <v/>
      </c>
    </row>
    <row r="900" customFormat="false" ht="13.5" hidden="false" customHeight="false" outlineLevel="0" collapsed="false">
      <c r="A900" s="47" t="n">
        <v>70</v>
      </c>
      <c r="C900" s="48" t="str">
        <f aca="false">助手报销!$C71</f>
        <v/>
      </c>
      <c r="D900" s="81" t="s">
        <v>480</v>
      </c>
      <c r="E900" s="48" t="str">
        <f aca="false">IFERROR(INDEX(输入报销!$E:$E,MATCH($A900&amp;"-2",输入报销!$J:$J,0))&amp;"","")</f>
        <v/>
      </c>
      <c r="F900" s="48" t="str">
        <f aca="false">IFERROR(INDEX(输入报销!$F:$F,MATCH($A900&amp;"-2",输入报销!$J:$J,0))&amp;"","")</f>
        <v/>
      </c>
      <c r="G900" s="49" t="n">
        <f aca="false">IFERROR(ROUND(INDEX(输入报销!$G:$G,MATCH($A900&amp;"-2",输入报销!$J:$J,0)),2),0)</f>
        <v>0</v>
      </c>
      <c r="H900" s="49" t="str">
        <f aca="false">IF(ROUND($G900,2)&gt;0,ROUND($G900,2),"")</f>
        <v/>
      </c>
      <c r="I900" s="49" t="str">
        <f aca="false">IF(ROUND($G900,2)&lt;0,-ROUND($G900,2),"")</f>
        <v/>
      </c>
      <c r="J900" s="20" t="n">
        <f aca="false">IF(ROUND($G900,2)=0,0,1)</f>
        <v>0</v>
      </c>
      <c r="K900" s="20" t="str">
        <f aca="false">IF($J900=0,"",SUM($J$899:$J900))</f>
        <v/>
      </c>
      <c r="L900" s="20" t="str">
        <f aca="false">IF($K900="","",$A900*100+$K900)</f>
        <v/>
      </c>
      <c r="M900" s="48" t="str">
        <f aca="false">IFERROR(INDEX(输入报销!$D:$D,MATCH($A900&amp;"-2",输入报销!$J:$J,0))&amp;"","")</f>
        <v/>
      </c>
    </row>
    <row r="901" customFormat="false" ht="13.5" hidden="false" customHeight="false" outlineLevel="0" collapsed="false">
      <c r="A901" s="47" t="n">
        <v>70</v>
      </c>
      <c r="C901" s="48" t="str">
        <f aca="false">助手报销!$C71</f>
        <v/>
      </c>
      <c r="D901" s="81" t="s">
        <v>481</v>
      </c>
      <c r="E901" s="48" t="str">
        <f aca="false">IFERROR(INDEX(输入报销!$E:$E,MATCH($A901&amp;"-3",输入报销!$J:$J,0))&amp;"","")</f>
        <v/>
      </c>
      <c r="F901" s="48" t="str">
        <f aca="false">IFERROR(INDEX(输入报销!$F:$F,MATCH($A901&amp;"-3",输入报销!$J:$J,0))&amp;"","")</f>
        <v/>
      </c>
      <c r="G901" s="49" t="n">
        <f aca="false">IFERROR(ROUND(INDEX(输入报销!$G:$G,MATCH($A901&amp;"-3",输入报销!$J:$J,0)),2),0)</f>
        <v>0</v>
      </c>
      <c r="H901" s="49" t="str">
        <f aca="false">IF(ROUND($G901,2)&gt;0,ROUND($G901,2),"")</f>
        <v/>
      </c>
      <c r="I901" s="49" t="str">
        <f aca="false">IF(ROUND($G901,2)&lt;0,-ROUND($G901,2),"")</f>
        <v/>
      </c>
      <c r="J901" s="20" t="n">
        <f aca="false">IF(ROUND($G901,2)=0,0,1)</f>
        <v>0</v>
      </c>
      <c r="K901" s="20" t="str">
        <f aca="false">IF($J901=0,"",SUM($J$899:$J901))</f>
        <v/>
      </c>
      <c r="L901" s="20" t="str">
        <f aca="false">IF($K901="","",$A901*100+$K901)</f>
        <v/>
      </c>
      <c r="M901" s="48" t="str">
        <f aca="false">IFERROR(INDEX(输入报销!$D:$D,MATCH($A901&amp;"-3",输入报销!$J:$J,0))&amp;"","")</f>
        <v/>
      </c>
    </row>
    <row r="902" customFormat="false" ht="13.5" hidden="false" customHeight="false" outlineLevel="0" collapsed="false">
      <c r="A902" s="47" t="n">
        <v>70</v>
      </c>
      <c r="C902" s="48" t="str">
        <f aca="false">助手报销!$C71</f>
        <v/>
      </c>
      <c r="D902" s="81" t="s">
        <v>482</v>
      </c>
      <c r="E902" s="48" t="str">
        <f aca="false">IFERROR(INDEX(输入报销!$E:$E,MATCH($A902&amp;"-4",输入报销!$J:$J,0))&amp;"","")</f>
        <v/>
      </c>
      <c r="F902" s="48" t="str">
        <f aca="false">IFERROR(INDEX(输入报销!$F:$F,MATCH($A902&amp;"-4",输入报销!$J:$J,0))&amp;"","")</f>
        <v/>
      </c>
      <c r="G902" s="49" t="n">
        <f aca="false">IFERROR(ROUND(INDEX(输入报销!$G:$G,MATCH($A902&amp;"-4",输入报销!$J:$J,0)),2),0)</f>
        <v>0</v>
      </c>
      <c r="H902" s="49" t="str">
        <f aca="false">IF(ROUND($G902,2)&gt;0,ROUND($G902,2),"")</f>
        <v/>
      </c>
      <c r="I902" s="49" t="str">
        <f aca="false">IF(ROUND($G902,2)&lt;0,-ROUND($G902,2),"")</f>
        <v/>
      </c>
      <c r="J902" s="20" t="n">
        <f aca="false">IF(ROUND($G902,2)=0,0,1)</f>
        <v>0</v>
      </c>
      <c r="K902" s="20" t="str">
        <f aca="false">IF($J902=0,"",SUM($J$899:$J902))</f>
        <v/>
      </c>
      <c r="L902" s="20" t="str">
        <f aca="false">IF($K902="","",$A902*100+$K902)</f>
        <v/>
      </c>
      <c r="M902" s="48" t="str">
        <f aca="false">IFERROR(INDEX(输入报销!$D:$D,MATCH($A902&amp;"-4",输入报销!$J:$J,0))&amp;"","")</f>
        <v/>
      </c>
    </row>
    <row r="903" customFormat="false" ht="13.5" hidden="false" customHeight="false" outlineLevel="0" collapsed="false">
      <c r="A903" s="47" t="n">
        <v>70</v>
      </c>
      <c r="C903" s="48" t="str">
        <f aca="false">助手报销!$C71</f>
        <v/>
      </c>
      <c r="D903" s="81" t="s">
        <v>483</v>
      </c>
      <c r="E903" s="48" t="str">
        <f aca="false">IFERROR(INDEX(输入报销!$E:$E,MATCH($A903&amp;"-5",输入报销!$J:$J,0))&amp;"","")</f>
        <v/>
      </c>
      <c r="F903" s="48" t="str">
        <f aca="false">IFERROR(INDEX(输入报销!$F:$F,MATCH($A903&amp;"-5",输入报销!$J:$J,0))&amp;"","")</f>
        <v/>
      </c>
      <c r="G903" s="49" t="n">
        <f aca="false">IFERROR(ROUND(INDEX(输入报销!$G:$G,MATCH($A903&amp;"-5",输入报销!$J:$J,0)),2),0)</f>
        <v>0</v>
      </c>
      <c r="H903" s="49" t="str">
        <f aca="false">IF(ROUND($G903,2)&gt;0,ROUND($G903,2),"")</f>
        <v/>
      </c>
      <c r="I903" s="49" t="str">
        <f aca="false">IF(ROUND($G903,2)&lt;0,-ROUND($G903,2),"")</f>
        <v/>
      </c>
      <c r="J903" s="20" t="n">
        <f aca="false">IF(ROUND($G903,2)=0,0,1)</f>
        <v>0</v>
      </c>
      <c r="K903" s="20" t="str">
        <f aca="false">IF($J903=0,"",SUM($J$899:$J903))</f>
        <v/>
      </c>
      <c r="L903" s="20" t="str">
        <f aca="false">IF($K903="","",$A903*100+$K903)</f>
        <v/>
      </c>
      <c r="M903" s="48" t="str">
        <f aca="false">IFERROR(INDEX(输入报销!$D:$D,MATCH($A903&amp;"-5",输入报销!$J:$J,0))&amp;"","")</f>
        <v/>
      </c>
    </row>
    <row r="904" customFormat="false" ht="13.5" hidden="false" customHeight="false" outlineLevel="0" collapsed="false">
      <c r="A904" s="47" t="n">
        <v>70</v>
      </c>
      <c r="C904" s="48" t="str">
        <f aca="false">助手报销!$C71</f>
        <v/>
      </c>
      <c r="D904" s="81" t="s">
        <v>484</v>
      </c>
      <c r="E904" s="48" t="str">
        <f aca="false">IFERROR(INDEX(输入报销!$E:$E,MATCH($A904&amp;"-6",输入报销!$J:$J,0))&amp;"","")</f>
        <v/>
      </c>
      <c r="F904" s="48" t="str">
        <f aca="false">IFERROR(INDEX(输入报销!$F:$F,MATCH($A904&amp;"-6",输入报销!$J:$J,0))&amp;"","")</f>
        <v/>
      </c>
      <c r="G904" s="49" t="n">
        <f aca="false">IFERROR(ROUND(INDEX(输入报销!$G:$G,MATCH($A904&amp;"-6",输入报销!$J:$J,0)),2),0)</f>
        <v>0</v>
      </c>
      <c r="H904" s="49" t="str">
        <f aca="false">IF(ROUND($G904,2)&gt;0,ROUND($G904,2),"")</f>
        <v/>
      </c>
      <c r="I904" s="49" t="str">
        <f aca="false">IF(ROUND($G904,2)&lt;0,-ROUND($G904,2),"")</f>
        <v/>
      </c>
      <c r="J904" s="20" t="n">
        <f aca="false">IF(ROUND($G904,2)=0,0,1)</f>
        <v>0</v>
      </c>
      <c r="K904" s="20" t="str">
        <f aca="false">IF($J904=0,"",SUM($J$899:$J904))</f>
        <v/>
      </c>
      <c r="L904" s="20" t="str">
        <f aca="false">IF($K904="","",$A904*100+$K904)</f>
        <v/>
      </c>
      <c r="M904" s="48" t="str">
        <f aca="false">IFERROR(INDEX(输入报销!$D:$D,MATCH($A904&amp;"-6",输入报销!$J:$J,0))&amp;"","")</f>
        <v/>
      </c>
    </row>
    <row r="905" customFormat="false" ht="13.5" hidden="false" customHeight="false" outlineLevel="0" collapsed="false">
      <c r="A905" s="47" t="n">
        <v>70</v>
      </c>
      <c r="C905" s="48" t="str">
        <f aca="false">助手报销!$C71</f>
        <v/>
      </c>
      <c r="D905" s="81" t="s">
        <v>485</v>
      </c>
      <c r="E905" s="48" t="str">
        <f aca="false">IFERROR(INDEX(输入报销!$E:$E,MATCH($A905&amp;"-7",输入报销!$J:$J,0))&amp;"","")</f>
        <v/>
      </c>
      <c r="F905" s="48" t="str">
        <f aca="false">IFERROR(INDEX(输入报销!$F:$F,MATCH($A905&amp;"-7",输入报销!$J:$J,0))&amp;"","")</f>
        <v/>
      </c>
      <c r="G905" s="49" t="n">
        <f aca="false">IFERROR(ROUND(INDEX(输入报销!$G:$G,MATCH($A905&amp;"-7",输入报销!$J:$J,0)),2),0)</f>
        <v>0</v>
      </c>
      <c r="H905" s="49" t="str">
        <f aca="false">IF(ROUND($G905,2)&gt;0,ROUND($G905,2),"")</f>
        <v/>
      </c>
      <c r="I905" s="49" t="str">
        <f aca="false">IF(ROUND($G905,2)&lt;0,-ROUND($G905,2),"")</f>
        <v/>
      </c>
      <c r="J905" s="20" t="n">
        <f aca="false">IF(ROUND($G905,2)=0,0,1)</f>
        <v>0</v>
      </c>
      <c r="K905" s="20" t="str">
        <f aca="false">IF($J905=0,"",SUM($J$899:$J905))</f>
        <v/>
      </c>
      <c r="L905" s="20" t="str">
        <f aca="false">IF($K905="","",$A905*100+$K905)</f>
        <v/>
      </c>
      <c r="M905" s="48" t="str">
        <f aca="false">IFERROR(INDEX(输入报销!$D:$D,MATCH($A905&amp;"-7",输入报销!$J:$J,0))&amp;"","")</f>
        <v/>
      </c>
    </row>
    <row r="906" customFormat="false" ht="13.5" hidden="false" customHeight="false" outlineLevel="0" collapsed="false">
      <c r="A906" s="47" t="n">
        <v>70</v>
      </c>
      <c r="C906" s="48" t="str">
        <f aca="false">助手报销!$C71</f>
        <v/>
      </c>
      <c r="D906" s="81" t="s">
        <v>486</v>
      </c>
      <c r="E906" s="48" t="str">
        <f aca="false">IFERROR(INDEX(输入报销!$E:$E,MATCH($A906&amp;"-8",输入报销!$J:$J,0))&amp;"","")</f>
        <v/>
      </c>
      <c r="F906" s="48" t="str">
        <f aca="false">IFERROR(INDEX(输入报销!$F:$F,MATCH($A906&amp;"-8",输入报销!$J:$J,0))&amp;"","")</f>
        <v/>
      </c>
      <c r="G906" s="49" t="n">
        <f aca="false">IFERROR(ROUND(INDEX(输入报销!$G:$G,MATCH($A906&amp;"-8",输入报销!$J:$J,0)),2),0)</f>
        <v>0</v>
      </c>
      <c r="H906" s="49" t="str">
        <f aca="false">IF(ROUND($G906,2)&gt;0,ROUND($G906,2),"")</f>
        <v/>
      </c>
      <c r="I906" s="49" t="str">
        <f aca="false">IF(ROUND($G906,2)&lt;0,-ROUND($G906,2),"")</f>
        <v/>
      </c>
      <c r="J906" s="20" t="n">
        <f aca="false">IF(ROUND($G906,2)=0,0,1)</f>
        <v>0</v>
      </c>
      <c r="K906" s="20" t="str">
        <f aca="false">IF($J906=0,"",SUM($J$899:$J906))</f>
        <v/>
      </c>
      <c r="L906" s="20" t="str">
        <f aca="false">IF($K906="","",$A906*100+$K906)</f>
        <v/>
      </c>
      <c r="M906" s="48" t="str">
        <f aca="false">IFERROR(INDEX(输入报销!$D:$D,MATCH($A906&amp;"-8",输入报销!$J:$J,0))&amp;"","")</f>
        <v/>
      </c>
    </row>
    <row r="907" customFormat="false" ht="13.5" hidden="false" customHeight="false" outlineLevel="0" collapsed="false">
      <c r="A907" s="47" t="n">
        <v>70</v>
      </c>
      <c r="C907" s="48" t="str">
        <f aca="false">助手报销!$C71</f>
        <v/>
      </c>
      <c r="D907" s="81" t="s">
        <v>487</v>
      </c>
      <c r="E907" s="48" t="str">
        <f aca="false">IFERROR(INDEX(输入报销!$E:$E,MATCH($A907&amp;"-9",输入报销!$J:$J,0))&amp;"","")</f>
        <v/>
      </c>
      <c r="F907" s="48" t="str">
        <f aca="false">IFERROR(INDEX(输入报销!$F:$F,MATCH($A907&amp;"-9",输入报销!$J:$J,0))&amp;"","")</f>
        <v/>
      </c>
      <c r="G907" s="49" t="n">
        <f aca="false">IFERROR(ROUND(INDEX(输入报销!$G:$G,MATCH($A907&amp;"-9",输入报销!$J:$J,0)),2),0)</f>
        <v>0</v>
      </c>
      <c r="H907" s="49" t="str">
        <f aca="false">IF(ROUND($G907,2)&gt;0,ROUND($G907,2),"")</f>
        <v/>
      </c>
      <c r="I907" s="49" t="str">
        <f aca="false">IF(ROUND($G907,2)&lt;0,-ROUND($G907,2),"")</f>
        <v/>
      </c>
      <c r="J907" s="20" t="n">
        <f aca="false">IF(ROUND($G907,2)=0,0,1)</f>
        <v>0</v>
      </c>
      <c r="K907" s="20" t="str">
        <f aca="false">IF($J907=0,"",SUM($J$899:$J907))</f>
        <v/>
      </c>
      <c r="L907" s="20" t="str">
        <f aca="false">IF($K907="","",$A907*100+$K907)</f>
        <v/>
      </c>
      <c r="M907" s="48" t="str">
        <f aca="false">IFERROR(INDEX(输入报销!$D:$D,MATCH($A907&amp;"-9",输入报销!$J:$J,0))&amp;"","")</f>
        <v/>
      </c>
    </row>
    <row r="908" customFormat="false" ht="13.5" hidden="false" customHeight="false" outlineLevel="0" collapsed="false">
      <c r="A908" s="47" t="n">
        <v>70</v>
      </c>
      <c r="C908" s="48" t="str">
        <f aca="false">助手报销!$C71</f>
        <v/>
      </c>
      <c r="D908" s="81" t="s">
        <v>488</v>
      </c>
      <c r="E908" s="48" t="str">
        <f aca="false">IFERROR(INDEX(输入报销!$E:$E,MATCH($A908&amp;"-10",输入报销!$J:$J,0))&amp;"","")</f>
        <v/>
      </c>
      <c r="F908" s="48" t="str">
        <f aca="false">IFERROR(INDEX(输入报销!$F:$F,MATCH($A908&amp;"-10",输入报销!$J:$J,0))&amp;"","")</f>
        <v/>
      </c>
      <c r="G908" s="49" t="n">
        <f aca="false">IFERROR(ROUND(INDEX(输入报销!$G:$G,MATCH($A908&amp;"-10",输入报销!$J:$J,0)),2),0)</f>
        <v>0</v>
      </c>
      <c r="H908" s="49" t="str">
        <f aca="false">IF(ROUND($G908,2)&gt;0,ROUND($G908,2),"")</f>
        <v/>
      </c>
      <c r="I908" s="49" t="str">
        <f aca="false">IF(ROUND($G908,2)&lt;0,-ROUND($G908,2),"")</f>
        <v/>
      </c>
      <c r="J908" s="20" t="n">
        <f aca="false">IF(ROUND($G908,2)=0,0,1)</f>
        <v>0</v>
      </c>
      <c r="K908" s="20" t="str">
        <f aca="false">IF($J908=0,"",SUM($J$899:$J908))</f>
        <v/>
      </c>
      <c r="L908" s="20" t="str">
        <f aca="false">IF($K908="","",$A908*100+$K908)</f>
        <v/>
      </c>
      <c r="M908" s="48" t="str">
        <f aca="false">IFERROR(INDEX(输入报销!$D:$D,MATCH($A908&amp;"-10",输入报销!$J:$J,0))&amp;"","")</f>
        <v/>
      </c>
    </row>
    <row r="909" customFormat="false" ht="13.5" hidden="false" customHeight="false" outlineLevel="0" collapsed="false">
      <c r="A909" s="47" t="n">
        <v>70</v>
      </c>
      <c r="C909" s="48" t="str">
        <f aca="false">助手报销!$C71</f>
        <v/>
      </c>
      <c r="D909" s="81" t="s">
        <v>489</v>
      </c>
      <c r="E909" s="48" t="str">
        <f aca="false">参数!$B$6</f>
        <v>库存现金</v>
      </c>
      <c r="F909" s="48" t="str">
        <f aca="false">""</f>
        <v/>
      </c>
      <c r="G909" s="49" t="n">
        <f aca="false">-ROUND(SUMIFS(输入报销!$G:$G,输入报销!$A:$A,$A909,输入报销!$H:$H,参数!$B$6),2)</f>
        <v>-0</v>
      </c>
      <c r="H909" s="49" t="str">
        <f aca="false">IF(ROUND($G909,2)&gt;0,ROUND($G909,2),"")</f>
        <v/>
      </c>
      <c r="I909" s="49" t="str">
        <f aca="false">IF(ROUND($G909,2)&lt;0,-ROUND($G909,2),"")</f>
        <v/>
      </c>
      <c r="J909" s="20" t="n">
        <f aca="false">IF(ROUND($G909,2)=0,0,1)</f>
        <v>0</v>
      </c>
      <c r="K909" s="20" t="str">
        <f aca="false">IF($J909=0,"",SUM($J$899:$J909))</f>
        <v/>
      </c>
      <c r="L909" s="20" t="str">
        <f aca="false">IF($K909="","",$A909*100+$K909)</f>
        <v/>
      </c>
      <c r="M909" s="48" t="str">
        <f aca="false">""</f>
        <v/>
      </c>
    </row>
    <row r="910" customFormat="false" ht="13.5" hidden="false" customHeight="false" outlineLevel="0" collapsed="false">
      <c r="A910" s="47" t="n">
        <v>70</v>
      </c>
      <c r="C910" s="48" t="str">
        <f aca="false">助手报销!$C71</f>
        <v/>
      </c>
      <c r="D910" s="81" t="s">
        <v>490</v>
      </c>
      <c r="E910" s="48" t="str">
        <f aca="false">参数!$B$7</f>
        <v>银行存款</v>
      </c>
      <c r="F910" s="48" t="str">
        <f aca="false">""</f>
        <v/>
      </c>
      <c r="G910" s="49" t="n">
        <f aca="false">-ROUND(SUMIFS(输入报销!$G:$G,输入报销!$A:$A,$A910,输入报销!$H:$H,参数!$B$7),2)</f>
        <v>-0</v>
      </c>
      <c r="H910" s="49" t="str">
        <f aca="false">IF(ROUND($G910,2)&gt;0,ROUND($G910,2),"")</f>
        <v/>
      </c>
      <c r="I910" s="49" t="str">
        <f aca="false">IF(ROUND($G910,2)&lt;0,-ROUND($G910,2),"")</f>
        <v/>
      </c>
      <c r="J910" s="20" t="n">
        <f aca="false">IF(ROUND($G910,2)=0,0,1)</f>
        <v>0</v>
      </c>
      <c r="K910" s="20" t="str">
        <f aca="false">IF($J910=0,"",SUM($J$899:$J910))</f>
        <v/>
      </c>
      <c r="L910" s="20" t="str">
        <f aca="false">IF($K910="","",$A910*100+$K910)</f>
        <v/>
      </c>
      <c r="M910" s="48" t="str">
        <f aca="false">""</f>
        <v/>
      </c>
    </row>
    <row r="911" customFormat="false" ht="13.5" hidden="false" customHeight="false" outlineLevel="0" collapsed="false">
      <c r="A911" s="47" t="n">
        <v>70</v>
      </c>
      <c r="C911" s="48" t="str">
        <f aca="false">助手报销!$C71</f>
        <v/>
      </c>
      <c r="D911" s="81" t="s">
        <v>491</v>
      </c>
      <c r="E911" s="48" t="str">
        <f aca="false">参数!$B$8</f>
        <v>其他应付款</v>
      </c>
      <c r="F911" s="48" t="str">
        <f aca="false">""</f>
        <v/>
      </c>
      <c r="G911" s="49" t="n">
        <f aca="false">-ROUND(SUMIFS(输入报销!$G:$G,输入报销!$A:$A,$A911,输入报销!$H:$H,参数!$B$8),2)</f>
        <v>-0</v>
      </c>
      <c r="H911" s="49" t="str">
        <f aca="false">IF(ROUND($G911,2)&gt;0,ROUND($G911,2),"")</f>
        <v/>
      </c>
      <c r="I911" s="49" t="str">
        <f aca="false">IF(ROUND($G911,2)&lt;0,-ROUND($G911,2),"")</f>
        <v/>
      </c>
      <c r="J911" s="20" t="n">
        <f aca="false">IF(ROUND($G911,2)=0,0,1)</f>
        <v>0</v>
      </c>
      <c r="K911" s="20" t="str">
        <f aca="false">IF($J911=0,"",SUM($J$899:$J911))</f>
        <v/>
      </c>
      <c r="L911" s="20" t="str">
        <f aca="false">IF($K911="","",$A911*100+$K911)</f>
        <v/>
      </c>
      <c r="M911" s="48" t="str">
        <f aca="false">""</f>
        <v/>
      </c>
    </row>
    <row r="912" customFormat="false" ht="13.5" hidden="false" customHeight="false" outlineLevel="0" collapsed="false">
      <c r="A912" s="47" t="n">
        <v>71</v>
      </c>
      <c r="C912" s="48" t="str">
        <f aca="false">助手报销!$C72</f>
        <v/>
      </c>
      <c r="D912" s="81" t="s">
        <v>479</v>
      </c>
      <c r="E912" s="48" t="str">
        <f aca="false">IFERROR(INDEX(输入报销!$E:$E,MATCH($A912&amp;"-1",输入报销!$J:$J,0))&amp;"","")</f>
        <v/>
      </c>
      <c r="F912" s="48" t="str">
        <f aca="false">IFERROR(INDEX(输入报销!$F:$F,MATCH($A912&amp;"-1",输入报销!$J:$J,0))&amp;"","")</f>
        <v/>
      </c>
      <c r="G912" s="49" t="n">
        <f aca="false">IFERROR(ROUND(INDEX(输入报销!$G:$G,MATCH($A912&amp;"-1",输入报销!$J:$J,0)),2),0)</f>
        <v>0</v>
      </c>
      <c r="H912" s="49" t="str">
        <f aca="false">IF(ROUND($G912,2)&gt;0,ROUND($G912,2),"")</f>
        <v/>
      </c>
      <c r="I912" s="49" t="str">
        <f aca="false">IF(ROUND($G912,2)&lt;0,-ROUND($G912,2),"")</f>
        <v/>
      </c>
      <c r="J912" s="20" t="n">
        <f aca="false">IF(ROUND($G912,2)=0,0,1)</f>
        <v>0</v>
      </c>
      <c r="K912" s="20" t="str">
        <f aca="false">IF($J912=0,"",SUM($J$912:$J912))</f>
        <v/>
      </c>
      <c r="L912" s="20" t="str">
        <f aca="false">IF($K912="","",$A912*100+$K912)</f>
        <v/>
      </c>
      <c r="M912" s="48" t="str">
        <f aca="false">IFERROR(INDEX(输入报销!$D:$D,MATCH($A912&amp;"-1",输入报销!$J:$J,0))&amp;"","")</f>
        <v/>
      </c>
    </row>
    <row r="913" customFormat="false" ht="13.5" hidden="false" customHeight="false" outlineLevel="0" collapsed="false">
      <c r="A913" s="47" t="n">
        <v>71</v>
      </c>
      <c r="C913" s="48" t="str">
        <f aca="false">助手报销!$C72</f>
        <v/>
      </c>
      <c r="D913" s="81" t="s">
        <v>480</v>
      </c>
      <c r="E913" s="48" t="str">
        <f aca="false">IFERROR(INDEX(输入报销!$E:$E,MATCH($A913&amp;"-2",输入报销!$J:$J,0))&amp;"","")</f>
        <v/>
      </c>
      <c r="F913" s="48" t="str">
        <f aca="false">IFERROR(INDEX(输入报销!$F:$F,MATCH($A913&amp;"-2",输入报销!$J:$J,0))&amp;"","")</f>
        <v/>
      </c>
      <c r="G913" s="49" t="n">
        <f aca="false">IFERROR(ROUND(INDEX(输入报销!$G:$G,MATCH($A913&amp;"-2",输入报销!$J:$J,0)),2),0)</f>
        <v>0</v>
      </c>
      <c r="H913" s="49" t="str">
        <f aca="false">IF(ROUND($G913,2)&gt;0,ROUND($G913,2),"")</f>
        <v/>
      </c>
      <c r="I913" s="49" t="str">
        <f aca="false">IF(ROUND($G913,2)&lt;0,-ROUND($G913,2),"")</f>
        <v/>
      </c>
      <c r="J913" s="20" t="n">
        <f aca="false">IF(ROUND($G913,2)=0,0,1)</f>
        <v>0</v>
      </c>
      <c r="K913" s="20" t="str">
        <f aca="false">IF($J913=0,"",SUM($J$912:$J913))</f>
        <v/>
      </c>
      <c r="L913" s="20" t="str">
        <f aca="false">IF($K913="","",$A913*100+$K913)</f>
        <v/>
      </c>
      <c r="M913" s="48" t="str">
        <f aca="false">IFERROR(INDEX(输入报销!$D:$D,MATCH($A913&amp;"-2",输入报销!$J:$J,0))&amp;"","")</f>
        <v/>
      </c>
    </row>
    <row r="914" customFormat="false" ht="13.5" hidden="false" customHeight="false" outlineLevel="0" collapsed="false">
      <c r="A914" s="47" t="n">
        <v>71</v>
      </c>
      <c r="C914" s="48" t="str">
        <f aca="false">助手报销!$C72</f>
        <v/>
      </c>
      <c r="D914" s="81" t="s">
        <v>481</v>
      </c>
      <c r="E914" s="48" t="str">
        <f aca="false">IFERROR(INDEX(输入报销!$E:$E,MATCH($A914&amp;"-3",输入报销!$J:$J,0))&amp;"","")</f>
        <v/>
      </c>
      <c r="F914" s="48" t="str">
        <f aca="false">IFERROR(INDEX(输入报销!$F:$F,MATCH($A914&amp;"-3",输入报销!$J:$J,0))&amp;"","")</f>
        <v/>
      </c>
      <c r="G914" s="49" t="n">
        <f aca="false">IFERROR(ROUND(INDEX(输入报销!$G:$G,MATCH($A914&amp;"-3",输入报销!$J:$J,0)),2),0)</f>
        <v>0</v>
      </c>
      <c r="H914" s="49" t="str">
        <f aca="false">IF(ROUND($G914,2)&gt;0,ROUND($G914,2),"")</f>
        <v/>
      </c>
      <c r="I914" s="49" t="str">
        <f aca="false">IF(ROUND($G914,2)&lt;0,-ROUND($G914,2),"")</f>
        <v/>
      </c>
      <c r="J914" s="20" t="n">
        <f aca="false">IF(ROUND($G914,2)=0,0,1)</f>
        <v>0</v>
      </c>
      <c r="K914" s="20" t="str">
        <f aca="false">IF($J914=0,"",SUM($J$912:$J914))</f>
        <v/>
      </c>
      <c r="L914" s="20" t="str">
        <f aca="false">IF($K914="","",$A914*100+$K914)</f>
        <v/>
      </c>
      <c r="M914" s="48" t="str">
        <f aca="false">IFERROR(INDEX(输入报销!$D:$D,MATCH($A914&amp;"-3",输入报销!$J:$J,0))&amp;"","")</f>
        <v/>
      </c>
    </row>
    <row r="915" customFormat="false" ht="13.5" hidden="false" customHeight="false" outlineLevel="0" collapsed="false">
      <c r="A915" s="47" t="n">
        <v>71</v>
      </c>
      <c r="C915" s="48" t="str">
        <f aca="false">助手报销!$C72</f>
        <v/>
      </c>
      <c r="D915" s="81" t="s">
        <v>482</v>
      </c>
      <c r="E915" s="48" t="str">
        <f aca="false">IFERROR(INDEX(输入报销!$E:$E,MATCH($A915&amp;"-4",输入报销!$J:$J,0))&amp;"","")</f>
        <v/>
      </c>
      <c r="F915" s="48" t="str">
        <f aca="false">IFERROR(INDEX(输入报销!$F:$F,MATCH($A915&amp;"-4",输入报销!$J:$J,0))&amp;"","")</f>
        <v/>
      </c>
      <c r="G915" s="49" t="n">
        <f aca="false">IFERROR(ROUND(INDEX(输入报销!$G:$G,MATCH($A915&amp;"-4",输入报销!$J:$J,0)),2),0)</f>
        <v>0</v>
      </c>
      <c r="H915" s="49" t="str">
        <f aca="false">IF(ROUND($G915,2)&gt;0,ROUND($G915,2),"")</f>
        <v/>
      </c>
      <c r="I915" s="49" t="str">
        <f aca="false">IF(ROUND($G915,2)&lt;0,-ROUND($G915,2),"")</f>
        <v/>
      </c>
      <c r="J915" s="20" t="n">
        <f aca="false">IF(ROUND($G915,2)=0,0,1)</f>
        <v>0</v>
      </c>
      <c r="K915" s="20" t="str">
        <f aca="false">IF($J915=0,"",SUM($J$912:$J915))</f>
        <v/>
      </c>
      <c r="L915" s="20" t="str">
        <f aca="false">IF($K915="","",$A915*100+$K915)</f>
        <v/>
      </c>
      <c r="M915" s="48" t="str">
        <f aca="false">IFERROR(INDEX(输入报销!$D:$D,MATCH($A915&amp;"-4",输入报销!$J:$J,0))&amp;"","")</f>
        <v/>
      </c>
    </row>
    <row r="916" customFormat="false" ht="13.5" hidden="false" customHeight="false" outlineLevel="0" collapsed="false">
      <c r="A916" s="47" t="n">
        <v>71</v>
      </c>
      <c r="C916" s="48" t="str">
        <f aca="false">助手报销!$C72</f>
        <v/>
      </c>
      <c r="D916" s="81" t="s">
        <v>483</v>
      </c>
      <c r="E916" s="48" t="str">
        <f aca="false">IFERROR(INDEX(输入报销!$E:$E,MATCH($A916&amp;"-5",输入报销!$J:$J,0))&amp;"","")</f>
        <v/>
      </c>
      <c r="F916" s="48" t="str">
        <f aca="false">IFERROR(INDEX(输入报销!$F:$F,MATCH($A916&amp;"-5",输入报销!$J:$J,0))&amp;"","")</f>
        <v/>
      </c>
      <c r="G916" s="49" t="n">
        <f aca="false">IFERROR(ROUND(INDEX(输入报销!$G:$G,MATCH($A916&amp;"-5",输入报销!$J:$J,0)),2),0)</f>
        <v>0</v>
      </c>
      <c r="H916" s="49" t="str">
        <f aca="false">IF(ROUND($G916,2)&gt;0,ROUND($G916,2),"")</f>
        <v/>
      </c>
      <c r="I916" s="49" t="str">
        <f aca="false">IF(ROUND($G916,2)&lt;0,-ROUND($G916,2),"")</f>
        <v/>
      </c>
      <c r="J916" s="20" t="n">
        <f aca="false">IF(ROUND($G916,2)=0,0,1)</f>
        <v>0</v>
      </c>
      <c r="K916" s="20" t="str">
        <f aca="false">IF($J916=0,"",SUM($J$912:$J916))</f>
        <v/>
      </c>
      <c r="L916" s="20" t="str">
        <f aca="false">IF($K916="","",$A916*100+$K916)</f>
        <v/>
      </c>
      <c r="M916" s="48" t="str">
        <f aca="false">IFERROR(INDEX(输入报销!$D:$D,MATCH($A916&amp;"-5",输入报销!$J:$J,0))&amp;"","")</f>
        <v/>
      </c>
    </row>
    <row r="917" customFormat="false" ht="13.5" hidden="false" customHeight="false" outlineLevel="0" collapsed="false">
      <c r="A917" s="47" t="n">
        <v>71</v>
      </c>
      <c r="C917" s="48" t="str">
        <f aca="false">助手报销!$C72</f>
        <v/>
      </c>
      <c r="D917" s="81" t="s">
        <v>484</v>
      </c>
      <c r="E917" s="48" t="str">
        <f aca="false">IFERROR(INDEX(输入报销!$E:$E,MATCH($A917&amp;"-6",输入报销!$J:$J,0))&amp;"","")</f>
        <v/>
      </c>
      <c r="F917" s="48" t="str">
        <f aca="false">IFERROR(INDEX(输入报销!$F:$F,MATCH($A917&amp;"-6",输入报销!$J:$J,0))&amp;"","")</f>
        <v/>
      </c>
      <c r="G917" s="49" t="n">
        <f aca="false">IFERROR(ROUND(INDEX(输入报销!$G:$G,MATCH($A917&amp;"-6",输入报销!$J:$J,0)),2),0)</f>
        <v>0</v>
      </c>
      <c r="H917" s="49" t="str">
        <f aca="false">IF(ROUND($G917,2)&gt;0,ROUND($G917,2),"")</f>
        <v/>
      </c>
      <c r="I917" s="49" t="str">
        <f aca="false">IF(ROUND($G917,2)&lt;0,-ROUND($G917,2),"")</f>
        <v/>
      </c>
      <c r="J917" s="20" t="n">
        <f aca="false">IF(ROUND($G917,2)=0,0,1)</f>
        <v>0</v>
      </c>
      <c r="K917" s="20" t="str">
        <f aca="false">IF($J917=0,"",SUM($J$912:$J917))</f>
        <v/>
      </c>
      <c r="L917" s="20" t="str">
        <f aca="false">IF($K917="","",$A917*100+$K917)</f>
        <v/>
      </c>
      <c r="M917" s="48" t="str">
        <f aca="false">IFERROR(INDEX(输入报销!$D:$D,MATCH($A917&amp;"-6",输入报销!$J:$J,0))&amp;"","")</f>
        <v/>
      </c>
    </row>
    <row r="918" customFormat="false" ht="13.5" hidden="false" customHeight="false" outlineLevel="0" collapsed="false">
      <c r="A918" s="47" t="n">
        <v>71</v>
      </c>
      <c r="C918" s="48" t="str">
        <f aca="false">助手报销!$C72</f>
        <v/>
      </c>
      <c r="D918" s="81" t="s">
        <v>485</v>
      </c>
      <c r="E918" s="48" t="str">
        <f aca="false">IFERROR(INDEX(输入报销!$E:$E,MATCH($A918&amp;"-7",输入报销!$J:$J,0))&amp;"","")</f>
        <v/>
      </c>
      <c r="F918" s="48" t="str">
        <f aca="false">IFERROR(INDEX(输入报销!$F:$F,MATCH($A918&amp;"-7",输入报销!$J:$J,0))&amp;"","")</f>
        <v/>
      </c>
      <c r="G918" s="49" t="n">
        <f aca="false">IFERROR(ROUND(INDEX(输入报销!$G:$G,MATCH($A918&amp;"-7",输入报销!$J:$J,0)),2),0)</f>
        <v>0</v>
      </c>
      <c r="H918" s="49" t="str">
        <f aca="false">IF(ROUND($G918,2)&gt;0,ROUND($G918,2),"")</f>
        <v/>
      </c>
      <c r="I918" s="49" t="str">
        <f aca="false">IF(ROUND($G918,2)&lt;0,-ROUND($G918,2),"")</f>
        <v/>
      </c>
      <c r="J918" s="20" t="n">
        <f aca="false">IF(ROUND($G918,2)=0,0,1)</f>
        <v>0</v>
      </c>
      <c r="K918" s="20" t="str">
        <f aca="false">IF($J918=0,"",SUM($J$912:$J918))</f>
        <v/>
      </c>
      <c r="L918" s="20" t="str">
        <f aca="false">IF($K918="","",$A918*100+$K918)</f>
        <v/>
      </c>
      <c r="M918" s="48" t="str">
        <f aca="false">IFERROR(INDEX(输入报销!$D:$D,MATCH($A918&amp;"-7",输入报销!$J:$J,0))&amp;"","")</f>
        <v/>
      </c>
    </row>
    <row r="919" customFormat="false" ht="13.5" hidden="false" customHeight="false" outlineLevel="0" collapsed="false">
      <c r="A919" s="47" t="n">
        <v>71</v>
      </c>
      <c r="C919" s="48" t="str">
        <f aca="false">助手报销!$C72</f>
        <v/>
      </c>
      <c r="D919" s="81" t="s">
        <v>486</v>
      </c>
      <c r="E919" s="48" t="str">
        <f aca="false">IFERROR(INDEX(输入报销!$E:$E,MATCH($A919&amp;"-8",输入报销!$J:$J,0))&amp;"","")</f>
        <v/>
      </c>
      <c r="F919" s="48" t="str">
        <f aca="false">IFERROR(INDEX(输入报销!$F:$F,MATCH($A919&amp;"-8",输入报销!$J:$J,0))&amp;"","")</f>
        <v/>
      </c>
      <c r="G919" s="49" t="n">
        <f aca="false">IFERROR(ROUND(INDEX(输入报销!$G:$G,MATCH($A919&amp;"-8",输入报销!$J:$J,0)),2),0)</f>
        <v>0</v>
      </c>
      <c r="H919" s="49" t="str">
        <f aca="false">IF(ROUND($G919,2)&gt;0,ROUND($G919,2),"")</f>
        <v/>
      </c>
      <c r="I919" s="49" t="str">
        <f aca="false">IF(ROUND($G919,2)&lt;0,-ROUND($G919,2),"")</f>
        <v/>
      </c>
      <c r="J919" s="20" t="n">
        <f aca="false">IF(ROUND($G919,2)=0,0,1)</f>
        <v>0</v>
      </c>
      <c r="K919" s="20" t="str">
        <f aca="false">IF($J919=0,"",SUM($J$912:$J919))</f>
        <v/>
      </c>
      <c r="L919" s="20" t="str">
        <f aca="false">IF($K919="","",$A919*100+$K919)</f>
        <v/>
      </c>
      <c r="M919" s="48" t="str">
        <f aca="false">IFERROR(INDEX(输入报销!$D:$D,MATCH($A919&amp;"-8",输入报销!$J:$J,0))&amp;"","")</f>
        <v/>
      </c>
    </row>
    <row r="920" customFormat="false" ht="13.5" hidden="false" customHeight="false" outlineLevel="0" collapsed="false">
      <c r="A920" s="47" t="n">
        <v>71</v>
      </c>
      <c r="C920" s="48" t="str">
        <f aca="false">助手报销!$C72</f>
        <v/>
      </c>
      <c r="D920" s="81" t="s">
        <v>487</v>
      </c>
      <c r="E920" s="48" t="str">
        <f aca="false">IFERROR(INDEX(输入报销!$E:$E,MATCH($A920&amp;"-9",输入报销!$J:$J,0))&amp;"","")</f>
        <v/>
      </c>
      <c r="F920" s="48" t="str">
        <f aca="false">IFERROR(INDEX(输入报销!$F:$F,MATCH($A920&amp;"-9",输入报销!$J:$J,0))&amp;"","")</f>
        <v/>
      </c>
      <c r="G920" s="49" t="n">
        <f aca="false">IFERROR(ROUND(INDEX(输入报销!$G:$G,MATCH($A920&amp;"-9",输入报销!$J:$J,0)),2),0)</f>
        <v>0</v>
      </c>
      <c r="H920" s="49" t="str">
        <f aca="false">IF(ROUND($G920,2)&gt;0,ROUND($G920,2),"")</f>
        <v/>
      </c>
      <c r="I920" s="49" t="str">
        <f aca="false">IF(ROUND($G920,2)&lt;0,-ROUND($G920,2),"")</f>
        <v/>
      </c>
      <c r="J920" s="20" t="n">
        <f aca="false">IF(ROUND($G920,2)=0,0,1)</f>
        <v>0</v>
      </c>
      <c r="K920" s="20" t="str">
        <f aca="false">IF($J920=0,"",SUM($J$912:$J920))</f>
        <v/>
      </c>
      <c r="L920" s="20" t="str">
        <f aca="false">IF($K920="","",$A920*100+$K920)</f>
        <v/>
      </c>
      <c r="M920" s="48" t="str">
        <f aca="false">IFERROR(INDEX(输入报销!$D:$D,MATCH($A920&amp;"-9",输入报销!$J:$J,0))&amp;"","")</f>
        <v/>
      </c>
    </row>
    <row r="921" customFormat="false" ht="13.5" hidden="false" customHeight="false" outlineLevel="0" collapsed="false">
      <c r="A921" s="47" t="n">
        <v>71</v>
      </c>
      <c r="C921" s="48" t="str">
        <f aca="false">助手报销!$C72</f>
        <v/>
      </c>
      <c r="D921" s="81" t="s">
        <v>488</v>
      </c>
      <c r="E921" s="48" t="str">
        <f aca="false">IFERROR(INDEX(输入报销!$E:$E,MATCH($A921&amp;"-10",输入报销!$J:$J,0))&amp;"","")</f>
        <v/>
      </c>
      <c r="F921" s="48" t="str">
        <f aca="false">IFERROR(INDEX(输入报销!$F:$F,MATCH($A921&amp;"-10",输入报销!$J:$J,0))&amp;"","")</f>
        <v/>
      </c>
      <c r="G921" s="49" t="n">
        <f aca="false">IFERROR(ROUND(INDEX(输入报销!$G:$G,MATCH($A921&amp;"-10",输入报销!$J:$J,0)),2),0)</f>
        <v>0</v>
      </c>
      <c r="H921" s="49" t="str">
        <f aca="false">IF(ROUND($G921,2)&gt;0,ROUND($G921,2),"")</f>
        <v/>
      </c>
      <c r="I921" s="49" t="str">
        <f aca="false">IF(ROUND($G921,2)&lt;0,-ROUND($G921,2),"")</f>
        <v/>
      </c>
      <c r="J921" s="20" t="n">
        <f aca="false">IF(ROUND($G921,2)=0,0,1)</f>
        <v>0</v>
      </c>
      <c r="K921" s="20" t="str">
        <f aca="false">IF($J921=0,"",SUM($J$912:$J921))</f>
        <v/>
      </c>
      <c r="L921" s="20" t="str">
        <f aca="false">IF($K921="","",$A921*100+$K921)</f>
        <v/>
      </c>
      <c r="M921" s="48" t="str">
        <f aca="false">IFERROR(INDEX(输入报销!$D:$D,MATCH($A921&amp;"-10",输入报销!$J:$J,0))&amp;"","")</f>
        <v/>
      </c>
    </row>
    <row r="922" customFormat="false" ht="13.5" hidden="false" customHeight="false" outlineLevel="0" collapsed="false">
      <c r="A922" s="47" t="n">
        <v>71</v>
      </c>
      <c r="C922" s="48" t="str">
        <f aca="false">助手报销!$C72</f>
        <v/>
      </c>
      <c r="D922" s="81" t="s">
        <v>489</v>
      </c>
      <c r="E922" s="48" t="str">
        <f aca="false">参数!$B$6</f>
        <v>库存现金</v>
      </c>
      <c r="F922" s="48" t="str">
        <f aca="false">""</f>
        <v/>
      </c>
      <c r="G922" s="49" t="n">
        <f aca="false">-ROUND(SUMIFS(输入报销!$G:$G,输入报销!$A:$A,$A922,输入报销!$H:$H,参数!$B$6),2)</f>
        <v>-0</v>
      </c>
      <c r="H922" s="49" t="str">
        <f aca="false">IF(ROUND($G922,2)&gt;0,ROUND($G922,2),"")</f>
        <v/>
      </c>
      <c r="I922" s="49" t="str">
        <f aca="false">IF(ROUND($G922,2)&lt;0,-ROUND($G922,2),"")</f>
        <v/>
      </c>
      <c r="J922" s="20" t="n">
        <f aca="false">IF(ROUND($G922,2)=0,0,1)</f>
        <v>0</v>
      </c>
      <c r="K922" s="20" t="str">
        <f aca="false">IF($J922=0,"",SUM($J$912:$J922))</f>
        <v/>
      </c>
      <c r="L922" s="20" t="str">
        <f aca="false">IF($K922="","",$A922*100+$K922)</f>
        <v/>
      </c>
      <c r="M922" s="48" t="str">
        <f aca="false">""</f>
        <v/>
      </c>
    </row>
    <row r="923" customFormat="false" ht="13.5" hidden="false" customHeight="false" outlineLevel="0" collapsed="false">
      <c r="A923" s="47" t="n">
        <v>71</v>
      </c>
      <c r="C923" s="48" t="str">
        <f aca="false">助手报销!$C72</f>
        <v/>
      </c>
      <c r="D923" s="81" t="s">
        <v>490</v>
      </c>
      <c r="E923" s="48" t="str">
        <f aca="false">参数!$B$7</f>
        <v>银行存款</v>
      </c>
      <c r="F923" s="48" t="str">
        <f aca="false">""</f>
        <v/>
      </c>
      <c r="G923" s="49" t="n">
        <f aca="false">-ROUND(SUMIFS(输入报销!$G:$G,输入报销!$A:$A,$A923,输入报销!$H:$H,参数!$B$7),2)</f>
        <v>-0</v>
      </c>
      <c r="H923" s="49" t="str">
        <f aca="false">IF(ROUND($G923,2)&gt;0,ROUND($G923,2),"")</f>
        <v/>
      </c>
      <c r="I923" s="49" t="str">
        <f aca="false">IF(ROUND($G923,2)&lt;0,-ROUND($G923,2),"")</f>
        <v/>
      </c>
      <c r="J923" s="20" t="n">
        <f aca="false">IF(ROUND($G923,2)=0,0,1)</f>
        <v>0</v>
      </c>
      <c r="K923" s="20" t="str">
        <f aca="false">IF($J923=0,"",SUM($J$912:$J923))</f>
        <v/>
      </c>
      <c r="L923" s="20" t="str">
        <f aca="false">IF($K923="","",$A923*100+$K923)</f>
        <v/>
      </c>
      <c r="M923" s="48" t="str">
        <f aca="false">""</f>
        <v/>
      </c>
    </row>
    <row r="924" customFormat="false" ht="13.5" hidden="false" customHeight="false" outlineLevel="0" collapsed="false">
      <c r="A924" s="47" t="n">
        <v>71</v>
      </c>
      <c r="C924" s="48" t="str">
        <f aca="false">助手报销!$C72</f>
        <v/>
      </c>
      <c r="D924" s="81" t="s">
        <v>491</v>
      </c>
      <c r="E924" s="48" t="str">
        <f aca="false">参数!$B$8</f>
        <v>其他应付款</v>
      </c>
      <c r="F924" s="48" t="str">
        <f aca="false">""</f>
        <v/>
      </c>
      <c r="G924" s="49" t="n">
        <f aca="false">-ROUND(SUMIFS(输入报销!$G:$G,输入报销!$A:$A,$A924,输入报销!$H:$H,参数!$B$8),2)</f>
        <v>-0</v>
      </c>
      <c r="H924" s="49" t="str">
        <f aca="false">IF(ROUND($G924,2)&gt;0,ROUND($G924,2),"")</f>
        <v/>
      </c>
      <c r="I924" s="49" t="str">
        <f aca="false">IF(ROUND($G924,2)&lt;0,-ROUND($G924,2),"")</f>
        <v/>
      </c>
      <c r="J924" s="20" t="n">
        <f aca="false">IF(ROUND($G924,2)=0,0,1)</f>
        <v>0</v>
      </c>
      <c r="K924" s="20" t="str">
        <f aca="false">IF($J924=0,"",SUM($J$912:$J924))</f>
        <v/>
      </c>
      <c r="L924" s="20" t="str">
        <f aca="false">IF($K924="","",$A924*100+$K924)</f>
        <v/>
      </c>
      <c r="M924" s="48" t="str">
        <f aca="false">""</f>
        <v/>
      </c>
    </row>
    <row r="925" customFormat="false" ht="13.5" hidden="false" customHeight="false" outlineLevel="0" collapsed="false">
      <c r="A925" s="47" t="n">
        <v>72</v>
      </c>
      <c r="C925" s="48" t="str">
        <f aca="false">助手报销!$C73</f>
        <v/>
      </c>
      <c r="D925" s="81" t="s">
        <v>479</v>
      </c>
      <c r="E925" s="48" t="str">
        <f aca="false">IFERROR(INDEX(输入报销!$E:$E,MATCH($A925&amp;"-1",输入报销!$J:$J,0))&amp;"","")</f>
        <v/>
      </c>
      <c r="F925" s="48" t="str">
        <f aca="false">IFERROR(INDEX(输入报销!$F:$F,MATCH($A925&amp;"-1",输入报销!$J:$J,0))&amp;"","")</f>
        <v/>
      </c>
      <c r="G925" s="49" t="n">
        <f aca="false">IFERROR(ROUND(INDEX(输入报销!$G:$G,MATCH($A925&amp;"-1",输入报销!$J:$J,0)),2),0)</f>
        <v>0</v>
      </c>
      <c r="H925" s="49" t="str">
        <f aca="false">IF(ROUND($G925,2)&gt;0,ROUND($G925,2),"")</f>
        <v/>
      </c>
      <c r="I925" s="49" t="str">
        <f aca="false">IF(ROUND($G925,2)&lt;0,-ROUND($G925,2),"")</f>
        <v/>
      </c>
      <c r="J925" s="20" t="n">
        <f aca="false">IF(ROUND($G925,2)=0,0,1)</f>
        <v>0</v>
      </c>
      <c r="K925" s="20" t="str">
        <f aca="false">IF($J925=0,"",SUM($J$925:$J925))</f>
        <v/>
      </c>
      <c r="L925" s="20" t="str">
        <f aca="false">IF($K925="","",$A925*100+$K925)</f>
        <v/>
      </c>
      <c r="M925" s="48" t="str">
        <f aca="false">IFERROR(INDEX(输入报销!$D:$D,MATCH($A925&amp;"-1",输入报销!$J:$J,0))&amp;"","")</f>
        <v/>
      </c>
    </row>
    <row r="926" customFormat="false" ht="13.5" hidden="false" customHeight="false" outlineLevel="0" collapsed="false">
      <c r="A926" s="47" t="n">
        <v>72</v>
      </c>
      <c r="C926" s="48" t="str">
        <f aca="false">助手报销!$C73</f>
        <v/>
      </c>
      <c r="D926" s="81" t="s">
        <v>480</v>
      </c>
      <c r="E926" s="48" t="str">
        <f aca="false">IFERROR(INDEX(输入报销!$E:$E,MATCH($A926&amp;"-2",输入报销!$J:$J,0))&amp;"","")</f>
        <v/>
      </c>
      <c r="F926" s="48" t="str">
        <f aca="false">IFERROR(INDEX(输入报销!$F:$F,MATCH($A926&amp;"-2",输入报销!$J:$J,0))&amp;"","")</f>
        <v/>
      </c>
      <c r="G926" s="49" t="n">
        <f aca="false">IFERROR(ROUND(INDEX(输入报销!$G:$G,MATCH($A926&amp;"-2",输入报销!$J:$J,0)),2),0)</f>
        <v>0</v>
      </c>
      <c r="H926" s="49" t="str">
        <f aca="false">IF(ROUND($G926,2)&gt;0,ROUND($G926,2),"")</f>
        <v/>
      </c>
      <c r="I926" s="49" t="str">
        <f aca="false">IF(ROUND($G926,2)&lt;0,-ROUND($G926,2),"")</f>
        <v/>
      </c>
      <c r="J926" s="20" t="n">
        <f aca="false">IF(ROUND($G926,2)=0,0,1)</f>
        <v>0</v>
      </c>
      <c r="K926" s="20" t="str">
        <f aca="false">IF($J926=0,"",SUM($J$925:$J926))</f>
        <v/>
      </c>
      <c r="L926" s="20" t="str">
        <f aca="false">IF($K926="","",$A926*100+$K926)</f>
        <v/>
      </c>
      <c r="M926" s="48" t="str">
        <f aca="false">IFERROR(INDEX(输入报销!$D:$D,MATCH($A926&amp;"-2",输入报销!$J:$J,0))&amp;"","")</f>
        <v/>
      </c>
    </row>
    <row r="927" customFormat="false" ht="13.5" hidden="false" customHeight="false" outlineLevel="0" collapsed="false">
      <c r="A927" s="47" t="n">
        <v>72</v>
      </c>
      <c r="C927" s="48" t="str">
        <f aca="false">助手报销!$C73</f>
        <v/>
      </c>
      <c r="D927" s="81" t="s">
        <v>481</v>
      </c>
      <c r="E927" s="48" t="str">
        <f aca="false">IFERROR(INDEX(输入报销!$E:$E,MATCH($A927&amp;"-3",输入报销!$J:$J,0))&amp;"","")</f>
        <v/>
      </c>
      <c r="F927" s="48" t="str">
        <f aca="false">IFERROR(INDEX(输入报销!$F:$F,MATCH($A927&amp;"-3",输入报销!$J:$J,0))&amp;"","")</f>
        <v/>
      </c>
      <c r="G927" s="49" t="n">
        <f aca="false">IFERROR(ROUND(INDEX(输入报销!$G:$G,MATCH($A927&amp;"-3",输入报销!$J:$J,0)),2),0)</f>
        <v>0</v>
      </c>
      <c r="H927" s="49" t="str">
        <f aca="false">IF(ROUND($G927,2)&gt;0,ROUND($G927,2),"")</f>
        <v/>
      </c>
      <c r="I927" s="49" t="str">
        <f aca="false">IF(ROUND($G927,2)&lt;0,-ROUND($G927,2),"")</f>
        <v/>
      </c>
      <c r="J927" s="20" t="n">
        <f aca="false">IF(ROUND($G927,2)=0,0,1)</f>
        <v>0</v>
      </c>
      <c r="K927" s="20" t="str">
        <f aca="false">IF($J927=0,"",SUM($J$925:$J927))</f>
        <v/>
      </c>
      <c r="L927" s="20" t="str">
        <f aca="false">IF($K927="","",$A927*100+$K927)</f>
        <v/>
      </c>
      <c r="M927" s="48" t="str">
        <f aca="false">IFERROR(INDEX(输入报销!$D:$D,MATCH($A927&amp;"-3",输入报销!$J:$J,0))&amp;"","")</f>
        <v/>
      </c>
    </row>
    <row r="928" customFormat="false" ht="13.5" hidden="false" customHeight="false" outlineLevel="0" collapsed="false">
      <c r="A928" s="47" t="n">
        <v>72</v>
      </c>
      <c r="C928" s="48" t="str">
        <f aca="false">助手报销!$C73</f>
        <v/>
      </c>
      <c r="D928" s="81" t="s">
        <v>482</v>
      </c>
      <c r="E928" s="48" t="str">
        <f aca="false">IFERROR(INDEX(输入报销!$E:$E,MATCH($A928&amp;"-4",输入报销!$J:$J,0))&amp;"","")</f>
        <v/>
      </c>
      <c r="F928" s="48" t="str">
        <f aca="false">IFERROR(INDEX(输入报销!$F:$F,MATCH($A928&amp;"-4",输入报销!$J:$J,0))&amp;"","")</f>
        <v/>
      </c>
      <c r="G928" s="49" t="n">
        <f aca="false">IFERROR(ROUND(INDEX(输入报销!$G:$G,MATCH($A928&amp;"-4",输入报销!$J:$J,0)),2),0)</f>
        <v>0</v>
      </c>
      <c r="H928" s="49" t="str">
        <f aca="false">IF(ROUND($G928,2)&gt;0,ROUND($G928,2),"")</f>
        <v/>
      </c>
      <c r="I928" s="49" t="str">
        <f aca="false">IF(ROUND($G928,2)&lt;0,-ROUND($G928,2),"")</f>
        <v/>
      </c>
      <c r="J928" s="20" t="n">
        <f aca="false">IF(ROUND($G928,2)=0,0,1)</f>
        <v>0</v>
      </c>
      <c r="K928" s="20" t="str">
        <f aca="false">IF($J928=0,"",SUM($J$925:$J928))</f>
        <v/>
      </c>
      <c r="L928" s="20" t="str">
        <f aca="false">IF($K928="","",$A928*100+$K928)</f>
        <v/>
      </c>
      <c r="M928" s="48" t="str">
        <f aca="false">IFERROR(INDEX(输入报销!$D:$D,MATCH($A928&amp;"-4",输入报销!$J:$J,0))&amp;"","")</f>
        <v/>
      </c>
    </row>
    <row r="929" customFormat="false" ht="13.5" hidden="false" customHeight="false" outlineLevel="0" collapsed="false">
      <c r="A929" s="47" t="n">
        <v>72</v>
      </c>
      <c r="C929" s="48" t="str">
        <f aca="false">助手报销!$C73</f>
        <v/>
      </c>
      <c r="D929" s="81" t="s">
        <v>483</v>
      </c>
      <c r="E929" s="48" t="str">
        <f aca="false">IFERROR(INDEX(输入报销!$E:$E,MATCH($A929&amp;"-5",输入报销!$J:$J,0))&amp;"","")</f>
        <v/>
      </c>
      <c r="F929" s="48" t="str">
        <f aca="false">IFERROR(INDEX(输入报销!$F:$F,MATCH($A929&amp;"-5",输入报销!$J:$J,0))&amp;"","")</f>
        <v/>
      </c>
      <c r="G929" s="49" t="n">
        <f aca="false">IFERROR(ROUND(INDEX(输入报销!$G:$G,MATCH($A929&amp;"-5",输入报销!$J:$J,0)),2),0)</f>
        <v>0</v>
      </c>
      <c r="H929" s="49" t="str">
        <f aca="false">IF(ROUND($G929,2)&gt;0,ROUND($G929,2),"")</f>
        <v/>
      </c>
      <c r="I929" s="49" t="str">
        <f aca="false">IF(ROUND($G929,2)&lt;0,-ROUND($G929,2),"")</f>
        <v/>
      </c>
      <c r="J929" s="20" t="n">
        <f aca="false">IF(ROUND($G929,2)=0,0,1)</f>
        <v>0</v>
      </c>
      <c r="K929" s="20" t="str">
        <f aca="false">IF($J929=0,"",SUM($J$925:$J929))</f>
        <v/>
      </c>
      <c r="L929" s="20" t="str">
        <f aca="false">IF($K929="","",$A929*100+$K929)</f>
        <v/>
      </c>
      <c r="M929" s="48" t="str">
        <f aca="false">IFERROR(INDEX(输入报销!$D:$D,MATCH($A929&amp;"-5",输入报销!$J:$J,0))&amp;"","")</f>
        <v/>
      </c>
    </row>
    <row r="930" customFormat="false" ht="13.5" hidden="false" customHeight="false" outlineLevel="0" collapsed="false">
      <c r="A930" s="47" t="n">
        <v>72</v>
      </c>
      <c r="C930" s="48" t="str">
        <f aca="false">助手报销!$C73</f>
        <v/>
      </c>
      <c r="D930" s="81" t="s">
        <v>484</v>
      </c>
      <c r="E930" s="48" t="str">
        <f aca="false">IFERROR(INDEX(输入报销!$E:$E,MATCH($A930&amp;"-6",输入报销!$J:$J,0))&amp;"","")</f>
        <v/>
      </c>
      <c r="F930" s="48" t="str">
        <f aca="false">IFERROR(INDEX(输入报销!$F:$F,MATCH($A930&amp;"-6",输入报销!$J:$J,0))&amp;"","")</f>
        <v/>
      </c>
      <c r="G930" s="49" t="n">
        <f aca="false">IFERROR(ROUND(INDEX(输入报销!$G:$G,MATCH($A930&amp;"-6",输入报销!$J:$J,0)),2),0)</f>
        <v>0</v>
      </c>
      <c r="H930" s="49" t="str">
        <f aca="false">IF(ROUND($G930,2)&gt;0,ROUND($G930,2),"")</f>
        <v/>
      </c>
      <c r="I930" s="49" t="str">
        <f aca="false">IF(ROUND($G930,2)&lt;0,-ROUND($G930,2),"")</f>
        <v/>
      </c>
      <c r="J930" s="20" t="n">
        <f aca="false">IF(ROUND($G930,2)=0,0,1)</f>
        <v>0</v>
      </c>
      <c r="K930" s="20" t="str">
        <f aca="false">IF($J930=0,"",SUM($J$925:$J930))</f>
        <v/>
      </c>
      <c r="L930" s="20" t="str">
        <f aca="false">IF($K930="","",$A930*100+$K930)</f>
        <v/>
      </c>
      <c r="M930" s="48" t="str">
        <f aca="false">IFERROR(INDEX(输入报销!$D:$D,MATCH($A930&amp;"-6",输入报销!$J:$J,0))&amp;"","")</f>
        <v/>
      </c>
    </row>
    <row r="931" customFormat="false" ht="13.5" hidden="false" customHeight="false" outlineLevel="0" collapsed="false">
      <c r="A931" s="47" t="n">
        <v>72</v>
      </c>
      <c r="C931" s="48" t="str">
        <f aca="false">助手报销!$C73</f>
        <v/>
      </c>
      <c r="D931" s="81" t="s">
        <v>485</v>
      </c>
      <c r="E931" s="48" t="str">
        <f aca="false">IFERROR(INDEX(输入报销!$E:$E,MATCH($A931&amp;"-7",输入报销!$J:$J,0))&amp;"","")</f>
        <v/>
      </c>
      <c r="F931" s="48" t="str">
        <f aca="false">IFERROR(INDEX(输入报销!$F:$F,MATCH($A931&amp;"-7",输入报销!$J:$J,0))&amp;"","")</f>
        <v/>
      </c>
      <c r="G931" s="49" t="n">
        <f aca="false">IFERROR(ROUND(INDEX(输入报销!$G:$G,MATCH($A931&amp;"-7",输入报销!$J:$J,0)),2),0)</f>
        <v>0</v>
      </c>
      <c r="H931" s="49" t="str">
        <f aca="false">IF(ROUND($G931,2)&gt;0,ROUND($G931,2),"")</f>
        <v/>
      </c>
      <c r="I931" s="49" t="str">
        <f aca="false">IF(ROUND($G931,2)&lt;0,-ROUND($G931,2),"")</f>
        <v/>
      </c>
      <c r="J931" s="20" t="n">
        <f aca="false">IF(ROUND($G931,2)=0,0,1)</f>
        <v>0</v>
      </c>
      <c r="K931" s="20" t="str">
        <f aca="false">IF($J931=0,"",SUM($J$925:$J931))</f>
        <v/>
      </c>
      <c r="L931" s="20" t="str">
        <f aca="false">IF($K931="","",$A931*100+$K931)</f>
        <v/>
      </c>
      <c r="M931" s="48" t="str">
        <f aca="false">IFERROR(INDEX(输入报销!$D:$D,MATCH($A931&amp;"-7",输入报销!$J:$J,0))&amp;"","")</f>
        <v/>
      </c>
    </row>
    <row r="932" customFormat="false" ht="13.5" hidden="false" customHeight="false" outlineLevel="0" collapsed="false">
      <c r="A932" s="47" t="n">
        <v>72</v>
      </c>
      <c r="C932" s="48" t="str">
        <f aca="false">助手报销!$C73</f>
        <v/>
      </c>
      <c r="D932" s="81" t="s">
        <v>486</v>
      </c>
      <c r="E932" s="48" t="str">
        <f aca="false">IFERROR(INDEX(输入报销!$E:$E,MATCH($A932&amp;"-8",输入报销!$J:$J,0))&amp;"","")</f>
        <v/>
      </c>
      <c r="F932" s="48" t="str">
        <f aca="false">IFERROR(INDEX(输入报销!$F:$F,MATCH($A932&amp;"-8",输入报销!$J:$J,0))&amp;"","")</f>
        <v/>
      </c>
      <c r="G932" s="49" t="n">
        <f aca="false">IFERROR(ROUND(INDEX(输入报销!$G:$G,MATCH($A932&amp;"-8",输入报销!$J:$J,0)),2),0)</f>
        <v>0</v>
      </c>
      <c r="H932" s="49" t="str">
        <f aca="false">IF(ROUND($G932,2)&gt;0,ROUND($G932,2),"")</f>
        <v/>
      </c>
      <c r="I932" s="49" t="str">
        <f aca="false">IF(ROUND($G932,2)&lt;0,-ROUND($G932,2),"")</f>
        <v/>
      </c>
      <c r="J932" s="20" t="n">
        <f aca="false">IF(ROUND($G932,2)=0,0,1)</f>
        <v>0</v>
      </c>
      <c r="K932" s="20" t="str">
        <f aca="false">IF($J932=0,"",SUM($J$925:$J932))</f>
        <v/>
      </c>
      <c r="L932" s="20" t="str">
        <f aca="false">IF($K932="","",$A932*100+$K932)</f>
        <v/>
      </c>
      <c r="M932" s="48" t="str">
        <f aca="false">IFERROR(INDEX(输入报销!$D:$D,MATCH($A932&amp;"-8",输入报销!$J:$J,0))&amp;"","")</f>
        <v/>
      </c>
    </row>
    <row r="933" customFormat="false" ht="13.5" hidden="false" customHeight="false" outlineLevel="0" collapsed="false">
      <c r="A933" s="47" t="n">
        <v>72</v>
      </c>
      <c r="C933" s="48" t="str">
        <f aca="false">助手报销!$C73</f>
        <v/>
      </c>
      <c r="D933" s="81" t="s">
        <v>487</v>
      </c>
      <c r="E933" s="48" t="str">
        <f aca="false">IFERROR(INDEX(输入报销!$E:$E,MATCH($A933&amp;"-9",输入报销!$J:$J,0))&amp;"","")</f>
        <v/>
      </c>
      <c r="F933" s="48" t="str">
        <f aca="false">IFERROR(INDEX(输入报销!$F:$F,MATCH($A933&amp;"-9",输入报销!$J:$J,0))&amp;"","")</f>
        <v/>
      </c>
      <c r="G933" s="49" t="n">
        <f aca="false">IFERROR(ROUND(INDEX(输入报销!$G:$G,MATCH($A933&amp;"-9",输入报销!$J:$J,0)),2),0)</f>
        <v>0</v>
      </c>
      <c r="H933" s="49" t="str">
        <f aca="false">IF(ROUND($G933,2)&gt;0,ROUND($G933,2),"")</f>
        <v/>
      </c>
      <c r="I933" s="49" t="str">
        <f aca="false">IF(ROUND($G933,2)&lt;0,-ROUND($G933,2),"")</f>
        <v/>
      </c>
      <c r="J933" s="20" t="n">
        <f aca="false">IF(ROUND($G933,2)=0,0,1)</f>
        <v>0</v>
      </c>
      <c r="K933" s="20" t="str">
        <f aca="false">IF($J933=0,"",SUM($J$925:$J933))</f>
        <v/>
      </c>
      <c r="L933" s="20" t="str">
        <f aca="false">IF($K933="","",$A933*100+$K933)</f>
        <v/>
      </c>
      <c r="M933" s="48" t="str">
        <f aca="false">IFERROR(INDEX(输入报销!$D:$D,MATCH($A933&amp;"-9",输入报销!$J:$J,0))&amp;"","")</f>
        <v/>
      </c>
    </row>
    <row r="934" customFormat="false" ht="13.5" hidden="false" customHeight="false" outlineLevel="0" collapsed="false">
      <c r="A934" s="47" t="n">
        <v>72</v>
      </c>
      <c r="C934" s="48" t="str">
        <f aca="false">助手报销!$C73</f>
        <v/>
      </c>
      <c r="D934" s="81" t="s">
        <v>488</v>
      </c>
      <c r="E934" s="48" t="str">
        <f aca="false">IFERROR(INDEX(输入报销!$E:$E,MATCH($A934&amp;"-10",输入报销!$J:$J,0))&amp;"","")</f>
        <v/>
      </c>
      <c r="F934" s="48" t="str">
        <f aca="false">IFERROR(INDEX(输入报销!$F:$F,MATCH($A934&amp;"-10",输入报销!$J:$J,0))&amp;"","")</f>
        <v/>
      </c>
      <c r="G934" s="49" t="n">
        <f aca="false">IFERROR(ROUND(INDEX(输入报销!$G:$G,MATCH($A934&amp;"-10",输入报销!$J:$J,0)),2),0)</f>
        <v>0</v>
      </c>
      <c r="H934" s="49" t="str">
        <f aca="false">IF(ROUND($G934,2)&gt;0,ROUND($G934,2),"")</f>
        <v/>
      </c>
      <c r="I934" s="49" t="str">
        <f aca="false">IF(ROUND($G934,2)&lt;0,-ROUND($G934,2),"")</f>
        <v/>
      </c>
      <c r="J934" s="20" t="n">
        <f aca="false">IF(ROUND($G934,2)=0,0,1)</f>
        <v>0</v>
      </c>
      <c r="K934" s="20" t="str">
        <f aca="false">IF($J934=0,"",SUM($J$925:$J934))</f>
        <v/>
      </c>
      <c r="L934" s="20" t="str">
        <f aca="false">IF($K934="","",$A934*100+$K934)</f>
        <v/>
      </c>
      <c r="M934" s="48" t="str">
        <f aca="false">IFERROR(INDEX(输入报销!$D:$D,MATCH($A934&amp;"-10",输入报销!$J:$J,0))&amp;"","")</f>
        <v/>
      </c>
    </row>
    <row r="935" customFormat="false" ht="13.5" hidden="false" customHeight="false" outlineLevel="0" collapsed="false">
      <c r="A935" s="47" t="n">
        <v>72</v>
      </c>
      <c r="C935" s="48" t="str">
        <f aca="false">助手报销!$C73</f>
        <v/>
      </c>
      <c r="D935" s="81" t="s">
        <v>489</v>
      </c>
      <c r="E935" s="48" t="str">
        <f aca="false">参数!$B$6</f>
        <v>库存现金</v>
      </c>
      <c r="F935" s="48" t="str">
        <f aca="false">""</f>
        <v/>
      </c>
      <c r="G935" s="49" t="n">
        <f aca="false">-ROUND(SUMIFS(输入报销!$G:$G,输入报销!$A:$A,$A935,输入报销!$H:$H,参数!$B$6),2)</f>
        <v>-0</v>
      </c>
      <c r="H935" s="49" t="str">
        <f aca="false">IF(ROUND($G935,2)&gt;0,ROUND($G935,2),"")</f>
        <v/>
      </c>
      <c r="I935" s="49" t="str">
        <f aca="false">IF(ROUND($G935,2)&lt;0,-ROUND($G935,2),"")</f>
        <v/>
      </c>
      <c r="J935" s="20" t="n">
        <f aca="false">IF(ROUND($G935,2)=0,0,1)</f>
        <v>0</v>
      </c>
      <c r="K935" s="20" t="str">
        <f aca="false">IF($J935=0,"",SUM($J$925:$J935))</f>
        <v/>
      </c>
      <c r="L935" s="20" t="str">
        <f aca="false">IF($K935="","",$A935*100+$K935)</f>
        <v/>
      </c>
      <c r="M935" s="48" t="str">
        <f aca="false">""</f>
        <v/>
      </c>
    </row>
    <row r="936" customFormat="false" ht="13.5" hidden="false" customHeight="false" outlineLevel="0" collapsed="false">
      <c r="A936" s="47" t="n">
        <v>72</v>
      </c>
      <c r="C936" s="48" t="str">
        <f aca="false">助手报销!$C73</f>
        <v/>
      </c>
      <c r="D936" s="81" t="s">
        <v>490</v>
      </c>
      <c r="E936" s="48" t="str">
        <f aca="false">参数!$B$7</f>
        <v>银行存款</v>
      </c>
      <c r="F936" s="48" t="str">
        <f aca="false">""</f>
        <v/>
      </c>
      <c r="G936" s="49" t="n">
        <f aca="false">-ROUND(SUMIFS(输入报销!$G:$G,输入报销!$A:$A,$A936,输入报销!$H:$H,参数!$B$7),2)</f>
        <v>-0</v>
      </c>
      <c r="H936" s="49" t="str">
        <f aca="false">IF(ROUND($G936,2)&gt;0,ROUND($G936,2),"")</f>
        <v/>
      </c>
      <c r="I936" s="49" t="str">
        <f aca="false">IF(ROUND($G936,2)&lt;0,-ROUND($G936,2),"")</f>
        <v/>
      </c>
      <c r="J936" s="20" t="n">
        <f aca="false">IF(ROUND($G936,2)=0,0,1)</f>
        <v>0</v>
      </c>
      <c r="K936" s="20" t="str">
        <f aca="false">IF($J936=0,"",SUM($J$925:$J936))</f>
        <v/>
      </c>
      <c r="L936" s="20" t="str">
        <f aca="false">IF($K936="","",$A936*100+$K936)</f>
        <v/>
      </c>
      <c r="M936" s="48" t="str">
        <f aca="false">""</f>
        <v/>
      </c>
    </row>
    <row r="937" customFormat="false" ht="13.5" hidden="false" customHeight="false" outlineLevel="0" collapsed="false">
      <c r="A937" s="47" t="n">
        <v>72</v>
      </c>
      <c r="C937" s="48" t="str">
        <f aca="false">助手报销!$C73</f>
        <v/>
      </c>
      <c r="D937" s="81" t="s">
        <v>491</v>
      </c>
      <c r="E937" s="48" t="str">
        <f aca="false">参数!$B$8</f>
        <v>其他应付款</v>
      </c>
      <c r="F937" s="48" t="str">
        <f aca="false">""</f>
        <v/>
      </c>
      <c r="G937" s="49" t="n">
        <f aca="false">-ROUND(SUMIFS(输入报销!$G:$G,输入报销!$A:$A,$A937,输入报销!$H:$H,参数!$B$8),2)</f>
        <v>-0</v>
      </c>
      <c r="H937" s="49" t="str">
        <f aca="false">IF(ROUND($G937,2)&gt;0,ROUND($G937,2),"")</f>
        <v/>
      </c>
      <c r="I937" s="49" t="str">
        <f aca="false">IF(ROUND($G937,2)&lt;0,-ROUND($G937,2),"")</f>
        <v/>
      </c>
      <c r="J937" s="20" t="n">
        <f aca="false">IF(ROUND($G937,2)=0,0,1)</f>
        <v>0</v>
      </c>
      <c r="K937" s="20" t="str">
        <f aca="false">IF($J937=0,"",SUM($J$925:$J937))</f>
        <v/>
      </c>
      <c r="L937" s="20" t="str">
        <f aca="false">IF($K937="","",$A937*100+$K937)</f>
        <v/>
      </c>
      <c r="M937" s="48" t="str">
        <f aca="false">""</f>
        <v/>
      </c>
    </row>
    <row r="938" customFormat="false" ht="13.5" hidden="false" customHeight="false" outlineLevel="0" collapsed="false">
      <c r="A938" s="47" t="n">
        <v>73</v>
      </c>
      <c r="C938" s="48" t="str">
        <f aca="false">助手报销!$C74</f>
        <v/>
      </c>
      <c r="D938" s="81" t="s">
        <v>479</v>
      </c>
      <c r="E938" s="48" t="str">
        <f aca="false">IFERROR(INDEX(输入报销!$E:$E,MATCH($A938&amp;"-1",输入报销!$J:$J,0))&amp;"","")</f>
        <v/>
      </c>
      <c r="F938" s="48" t="str">
        <f aca="false">IFERROR(INDEX(输入报销!$F:$F,MATCH($A938&amp;"-1",输入报销!$J:$J,0))&amp;"","")</f>
        <v/>
      </c>
      <c r="G938" s="49" t="n">
        <f aca="false">IFERROR(ROUND(INDEX(输入报销!$G:$G,MATCH($A938&amp;"-1",输入报销!$J:$J,0)),2),0)</f>
        <v>0</v>
      </c>
      <c r="H938" s="49" t="str">
        <f aca="false">IF(ROUND($G938,2)&gt;0,ROUND($G938,2),"")</f>
        <v/>
      </c>
      <c r="I938" s="49" t="str">
        <f aca="false">IF(ROUND($G938,2)&lt;0,-ROUND($G938,2),"")</f>
        <v/>
      </c>
      <c r="J938" s="20" t="n">
        <f aca="false">IF(ROUND($G938,2)=0,0,1)</f>
        <v>0</v>
      </c>
      <c r="K938" s="20" t="str">
        <f aca="false">IF($J938=0,"",SUM($J$938:$J938))</f>
        <v/>
      </c>
      <c r="L938" s="20" t="str">
        <f aca="false">IF($K938="","",$A938*100+$K938)</f>
        <v/>
      </c>
      <c r="M938" s="48" t="str">
        <f aca="false">IFERROR(INDEX(输入报销!$D:$D,MATCH($A938&amp;"-1",输入报销!$J:$J,0))&amp;"","")</f>
        <v/>
      </c>
    </row>
    <row r="939" customFormat="false" ht="13.5" hidden="false" customHeight="false" outlineLevel="0" collapsed="false">
      <c r="A939" s="47" t="n">
        <v>73</v>
      </c>
      <c r="C939" s="48" t="str">
        <f aca="false">助手报销!$C74</f>
        <v/>
      </c>
      <c r="D939" s="81" t="s">
        <v>480</v>
      </c>
      <c r="E939" s="48" t="str">
        <f aca="false">IFERROR(INDEX(输入报销!$E:$E,MATCH($A939&amp;"-2",输入报销!$J:$J,0))&amp;"","")</f>
        <v/>
      </c>
      <c r="F939" s="48" t="str">
        <f aca="false">IFERROR(INDEX(输入报销!$F:$F,MATCH($A939&amp;"-2",输入报销!$J:$J,0))&amp;"","")</f>
        <v/>
      </c>
      <c r="G939" s="49" t="n">
        <f aca="false">IFERROR(ROUND(INDEX(输入报销!$G:$G,MATCH($A939&amp;"-2",输入报销!$J:$J,0)),2),0)</f>
        <v>0</v>
      </c>
      <c r="H939" s="49" t="str">
        <f aca="false">IF(ROUND($G939,2)&gt;0,ROUND($G939,2),"")</f>
        <v/>
      </c>
      <c r="I939" s="49" t="str">
        <f aca="false">IF(ROUND($G939,2)&lt;0,-ROUND($G939,2),"")</f>
        <v/>
      </c>
      <c r="J939" s="20" t="n">
        <f aca="false">IF(ROUND($G939,2)=0,0,1)</f>
        <v>0</v>
      </c>
      <c r="K939" s="20" t="str">
        <f aca="false">IF($J939=0,"",SUM($J$938:$J939))</f>
        <v/>
      </c>
      <c r="L939" s="20" t="str">
        <f aca="false">IF($K939="","",$A939*100+$K939)</f>
        <v/>
      </c>
      <c r="M939" s="48" t="str">
        <f aca="false">IFERROR(INDEX(输入报销!$D:$D,MATCH($A939&amp;"-2",输入报销!$J:$J,0))&amp;"","")</f>
        <v/>
      </c>
    </row>
    <row r="940" customFormat="false" ht="13.5" hidden="false" customHeight="false" outlineLevel="0" collapsed="false">
      <c r="A940" s="47" t="n">
        <v>73</v>
      </c>
      <c r="C940" s="48" t="str">
        <f aca="false">助手报销!$C74</f>
        <v/>
      </c>
      <c r="D940" s="81" t="s">
        <v>481</v>
      </c>
      <c r="E940" s="48" t="str">
        <f aca="false">IFERROR(INDEX(输入报销!$E:$E,MATCH($A940&amp;"-3",输入报销!$J:$J,0))&amp;"","")</f>
        <v/>
      </c>
      <c r="F940" s="48" t="str">
        <f aca="false">IFERROR(INDEX(输入报销!$F:$F,MATCH($A940&amp;"-3",输入报销!$J:$J,0))&amp;"","")</f>
        <v/>
      </c>
      <c r="G940" s="49" t="n">
        <f aca="false">IFERROR(ROUND(INDEX(输入报销!$G:$G,MATCH($A940&amp;"-3",输入报销!$J:$J,0)),2),0)</f>
        <v>0</v>
      </c>
      <c r="H940" s="49" t="str">
        <f aca="false">IF(ROUND($G940,2)&gt;0,ROUND($G940,2),"")</f>
        <v/>
      </c>
      <c r="I940" s="49" t="str">
        <f aca="false">IF(ROUND($G940,2)&lt;0,-ROUND($G940,2),"")</f>
        <v/>
      </c>
      <c r="J940" s="20" t="n">
        <f aca="false">IF(ROUND($G940,2)=0,0,1)</f>
        <v>0</v>
      </c>
      <c r="K940" s="20" t="str">
        <f aca="false">IF($J940=0,"",SUM($J$938:$J940))</f>
        <v/>
      </c>
      <c r="L940" s="20" t="str">
        <f aca="false">IF($K940="","",$A940*100+$K940)</f>
        <v/>
      </c>
      <c r="M940" s="48" t="str">
        <f aca="false">IFERROR(INDEX(输入报销!$D:$D,MATCH($A940&amp;"-3",输入报销!$J:$J,0))&amp;"","")</f>
        <v/>
      </c>
    </row>
    <row r="941" customFormat="false" ht="13.5" hidden="false" customHeight="false" outlineLevel="0" collapsed="false">
      <c r="A941" s="47" t="n">
        <v>73</v>
      </c>
      <c r="C941" s="48" t="str">
        <f aca="false">助手报销!$C74</f>
        <v/>
      </c>
      <c r="D941" s="81" t="s">
        <v>482</v>
      </c>
      <c r="E941" s="48" t="str">
        <f aca="false">IFERROR(INDEX(输入报销!$E:$E,MATCH($A941&amp;"-4",输入报销!$J:$J,0))&amp;"","")</f>
        <v/>
      </c>
      <c r="F941" s="48" t="str">
        <f aca="false">IFERROR(INDEX(输入报销!$F:$F,MATCH($A941&amp;"-4",输入报销!$J:$J,0))&amp;"","")</f>
        <v/>
      </c>
      <c r="G941" s="49" t="n">
        <f aca="false">IFERROR(ROUND(INDEX(输入报销!$G:$G,MATCH($A941&amp;"-4",输入报销!$J:$J,0)),2),0)</f>
        <v>0</v>
      </c>
      <c r="H941" s="49" t="str">
        <f aca="false">IF(ROUND($G941,2)&gt;0,ROUND($G941,2),"")</f>
        <v/>
      </c>
      <c r="I941" s="49" t="str">
        <f aca="false">IF(ROUND($G941,2)&lt;0,-ROUND($G941,2),"")</f>
        <v/>
      </c>
      <c r="J941" s="20" t="n">
        <f aca="false">IF(ROUND($G941,2)=0,0,1)</f>
        <v>0</v>
      </c>
      <c r="K941" s="20" t="str">
        <f aca="false">IF($J941=0,"",SUM($J$938:$J941))</f>
        <v/>
      </c>
      <c r="L941" s="20" t="str">
        <f aca="false">IF($K941="","",$A941*100+$K941)</f>
        <v/>
      </c>
      <c r="M941" s="48" t="str">
        <f aca="false">IFERROR(INDEX(输入报销!$D:$D,MATCH($A941&amp;"-4",输入报销!$J:$J,0))&amp;"","")</f>
        <v/>
      </c>
    </row>
    <row r="942" customFormat="false" ht="13.5" hidden="false" customHeight="false" outlineLevel="0" collapsed="false">
      <c r="A942" s="47" t="n">
        <v>73</v>
      </c>
      <c r="C942" s="48" t="str">
        <f aca="false">助手报销!$C74</f>
        <v/>
      </c>
      <c r="D942" s="81" t="s">
        <v>483</v>
      </c>
      <c r="E942" s="48" t="str">
        <f aca="false">IFERROR(INDEX(输入报销!$E:$E,MATCH($A942&amp;"-5",输入报销!$J:$J,0))&amp;"","")</f>
        <v/>
      </c>
      <c r="F942" s="48" t="str">
        <f aca="false">IFERROR(INDEX(输入报销!$F:$F,MATCH($A942&amp;"-5",输入报销!$J:$J,0))&amp;"","")</f>
        <v/>
      </c>
      <c r="G942" s="49" t="n">
        <f aca="false">IFERROR(ROUND(INDEX(输入报销!$G:$G,MATCH($A942&amp;"-5",输入报销!$J:$J,0)),2),0)</f>
        <v>0</v>
      </c>
      <c r="H942" s="49" t="str">
        <f aca="false">IF(ROUND($G942,2)&gt;0,ROUND($G942,2),"")</f>
        <v/>
      </c>
      <c r="I942" s="49" t="str">
        <f aca="false">IF(ROUND($G942,2)&lt;0,-ROUND($G942,2),"")</f>
        <v/>
      </c>
      <c r="J942" s="20" t="n">
        <f aca="false">IF(ROUND($G942,2)=0,0,1)</f>
        <v>0</v>
      </c>
      <c r="K942" s="20" t="str">
        <f aca="false">IF($J942=0,"",SUM($J$938:$J942))</f>
        <v/>
      </c>
      <c r="L942" s="20" t="str">
        <f aca="false">IF($K942="","",$A942*100+$K942)</f>
        <v/>
      </c>
      <c r="M942" s="48" t="str">
        <f aca="false">IFERROR(INDEX(输入报销!$D:$D,MATCH($A942&amp;"-5",输入报销!$J:$J,0))&amp;"","")</f>
        <v/>
      </c>
    </row>
    <row r="943" customFormat="false" ht="13.5" hidden="false" customHeight="false" outlineLevel="0" collapsed="false">
      <c r="A943" s="47" t="n">
        <v>73</v>
      </c>
      <c r="C943" s="48" t="str">
        <f aca="false">助手报销!$C74</f>
        <v/>
      </c>
      <c r="D943" s="81" t="s">
        <v>484</v>
      </c>
      <c r="E943" s="48" t="str">
        <f aca="false">IFERROR(INDEX(输入报销!$E:$E,MATCH($A943&amp;"-6",输入报销!$J:$J,0))&amp;"","")</f>
        <v/>
      </c>
      <c r="F943" s="48" t="str">
        <f aca="false">IFERROR(INDEX(输入报销!$F:$F,MATCH($A943&amp;"-6",输入报销!$J:$J,0))&amp;"","")</f>
        <v/>
      </c>
      <c r="G943" s="49" t="n">
        <f aca="false">IFERROR(ROUND(INDEX(输入报销!$G:$G,MATCH($A943&amp;"-6",输入报销!$J:$J,0)),2),0)</f>
        <v>0</v>
      </c>
      <c r="H943" s="49" t="str">
        <f aca="false">IF(ROUND($G943,2)&gt;0,ROUND($G943,2),"")</f>
        <v/>
      </c>
      <c r="I943" s="49" t="str">
        <f aca="false">IF(ROUND($G943,2)&lt;0,-ROUND($G943,2),"")</f>
        <v/>
      </c>
      <c r="J943" s="20" t="n">
        <f aca="false">IF(ROUND($G943,2)=0,0,1)</f>
        <v>0</v>
      </c>
      <c r="K943" s="20" t="str">
        <f aca="false">IF($J943=0,"",SUM($J$938:$J943))</f>
        <v/>
      </c>
      <c r="L943" s="20" t="str">
        <f aca="false">IF($K943="","",$A943*100+$K943)</f>
        <v/>
      </c>
      <c r="M943" s="48" t="str">
        <f aca="false">IFERROR(INDEX(输入报销!$D:$D,MATCH($A943&amp;"-6",输入报销!$J:$J,0))&amp;"","")</f>
        <v/>
      </c>
    </row>
    <row r="944" customFormat="false" ht="13.5" hidden="false" customHeight="false" outlineLevel="0" collapsed="false">
      <c r="A944" s="47" t="n">
        <v>73</v>
      </c>
      <c r="C944" s="48" t="str">
        <f aca="false">助手报销!$C74</f>
        <v/>
      </c>
      <c r="D944" s="81" t="s">
        <v>485</v>
      </c>
      <c r="E944" s="48" t="str">
        <f aca="false">IFERROR(INDEX(输入报销!$E:$E,MATCH($A944&amp;"-7",输入报销!$J:$J,0))&amp;"","")</f>
        <v/>
      </c>
      <c r="F944" s="48" t="str">
        <f aca="false">IFERROR(INDEX(输入报销!$F:$F,MATCH($A944&amp;"-7",输入报销!$J:$J,0))&amp;"","")</f>
        <v/>
      </c>
      <c r="G944" s="49" t="n">
        <f aca="false">IFERROR(ROUND(INDEX(输入报销!$G:$G,MATCH($A944&amp;"-7",输入报销!$J:$J,0)),2),0)</f>
        <v>0</v>
      </c>
      <c r="H944" s="49" t="str">
        <f aca="false">IF(ROUND($G944,2)&gt;0,ROUND($G944,2),"")</f>
        <v/>
      </c>
      <c r="I944" s="49" t="str">
        <f aca="false">IF(ROUND($G944,2)&lt;0,-ROUND($G944,2),"")</f>
        <v/>
      </c>
      <c r="J944" s="20" t="n">
        <f aca="false">IF(ROUND($G944,2)=0,0,1)</f>
        <v>0</v>
      </c>
      <c r="K944" s="20" t="str">
        <f aca="false">IF($J944=0,"",SUM($J$938:$J944))</f>
        <v/>
      </c>
      <c r="L944" s="20" t="str">
        <f aca="false">IF($K944="","",$A944*100+$K944)</f>
        <v/>
      </c>
      <c r="M944" s="48" t="str">
        <f aca="false">IFERROR(INDEX(输入报销!$D:$D,MATCH($A944&amp;"-7",输入报销!$J:$J,0))&amp;"","")</f>
        <v/>
      </c>
    </row>
    <row r="945" customFormat="false" ht="13.5" hidden="false" customHeight="false" outlineLevel="0" collapsed="false">
      <c r="A945" s="47" t="n">
        <v>73</v>
      </c>
      <c r="C945" s="48" t="str">
        <f aca="false">助手报销!$C74</f>
        <v/>
      </c>
      <c r="D945" s="81" t="s">
        <v>486</v>
      </c>
      <c r="E945" s="48" t="str">
        <f aca="false">IFERROR(INDEX(输入报销!$E:$E,MATCH($A945&amp;"-8",输入报销!$J:$J,0))&amp;"","")</f>
        <v/>
      </c>
      <c r="F945" s="48" t="str">
        <f aca="false">IFERROR(INDEX(输入报销!$F:$F,MATCH($A945&amp;"-8",输入报销!$J:$J,0))&amp;"","")</f>
        <v/>
      </c>
      <c r="G945" s="49" t="n">
        <f aca="false">IFERROR(ROUND(INDEX(输入报销!$G:$G,MATCH($A945&amp;"-8",输入报销!$J:$J,0)),2),0)</f>
        <v>0</v>
      </c>
      <c r="H945" s="49" t="str">
        <f aca="false">IF(ROUND($G945,2)&gt;0,ROUND($G945,2),"")</f>
        <v/>
      </c>
      <c r="I945" s="49" t="str">
        <f aca="false">IF(ROUND($G945,2)&lt;0,-ROUND($G945,2),"")</f>
        <v/>
      </c>
      <c r="J945" s="20" t="n">
        <f aca="false">IF(ROUND($G945,2)=0,0,1)</f>
        <v>0</v>
      </c>
      <c r="K945" s="20" t="str">
        <f aca="false">IF($J945=0,"",SUM($J$938:$J945))</f>
        <v/>
      </c>
      <c r="L945" s="20" t="str">
        <f aca="false">IF($K945="","",$A945*100+$K945)</f>
        <v/>
      </c>
      <c r="M945" s="48" t="str">
        <f aca="false">IFERROR(INDEX(输入报销!$D:$D,MATCH($A945&amp;"-8",输入报销!$J:$J,0))&amp;"","")</f>
        <v/>
      </c>
    </row>
    <row r="946" customFormat="false" ht="13.5" hidden="false" customHeight="false" outlineLevel="0" collapsed="false">
      <c r="A946" s="47" t="n">
        <v>73</v>
      </c>
      <c r="C946" s="48" t="str">
        <f aca="false">助手报销!$C74</f>
        <v/>
      </c>
      <c r="D946" s="81" t="s">
        <v>487</v>
      </c>
      <c r="E946" s="48" t="str">
        <f aca="false">IFERROR(INDEX(输入报销!$E:$E,MATCH($A946&amp;"-9",输入报销!$J:$J,0))&amp;"","")</f>
        <v/>
      </c>
      <c r="F946" s="48" t="str">
        <f aca="false">IFERROR(INDEX(输入报销!$F:$F,MATCH($A946&amp;"-9",输入报销!$J:$J,0))&amp;"","")</f>
        <v/>
      </c>
      <c r="G946" s="49" t="n">
        <f aca="false">IFERROR(ROUND(INDEX(输入报销!$G:$G,MATCH($A946&amp;"-9",输入报销!$J:$J,0)),2),0)</f>
        <v>0</v>
      </c>
      <c r="H946" s="49" t="str">
        <f aca="false">IF(ROUND($G946,2)&gt;0,ROUND($G946,2),"")</f>
        <v/>
      </c>
      <c r="I946" s="49" t="str">
        <f aca="false">IF(ROUND($G946,2)&lt;0,-ROUND($G946,2),"")</f>
        <v/>
      </c>
      <c r="J946" s="20" t="n">
        <f aca="false">IF(ROUND($G946,2)=0,0,1)</f>
        <v>0</v>
      </c>
      <c r="K946" s="20" t="str">
        <f aca="false">IF($J946=0,"",SUM($J$938:$J946))</f>
        <v/>
      </c>
      <c r="L946" s="20" t="str">
        <f aca="false">IF($K946="","",$A946*100+$K946)</f>
        <v/>
      </c>
      <c r="M946" s="48" t="str">
        <f aca="false">IFERROR(INDEX(输入报销!$D:$D,MATCH($A946&amp;"-9",输入报销!$J:$J,0))&amp;"","")</f>
        <v/>
      </c>
    </row>
    <row r="947" customFormat="false" ht="13.5" hidden="false" customHeight="false" outlineLevel="0" collapsed="false">
      <c r="A947" s="47" t="n">
        <v>73</v>
      </c>
      <c r="C947" s="48" t="str">
        <f aca="false">助手报销!$C74</f>
        <v/>
      </c>
      <c r="D947" s="81" t="s">
        <v>488</v>
      </c>
      <c r="E947" s="48" t="str">
        <f aca="false">IFERROR(INDEX(输入报销!$E:$E,MATCH($A947&amp;"-10",输入报销!$J:$J,0))&amp;"","")</f>
        <v/>
      </c>
      <c r="F947" s="48" t="str">
        <f aca="false">IFERROR(INDEX(输入报销!$F:$F,MATCH($A947&amp;"-10",输入报销!$J:$J,0))&amp;"","")</f>
        <v/>
      </c>
      <c r="G947" s="49" t="n">
        <f aca="false">IFERROR(ROUND(INDEX(输入报销!$G:$G,MATCH($A947&amp;"-10",输入报销!$J:$J,0)),2),0)</f>
        <v>0</v>
      </c>
      <c r="H947" s="49" t="str">
        <f aca="false">IF(ROUND($G947,2)&gt;0,ROUND($G947,2),"")</f>
        <v/>
      </c>
      <c r="I947" s="49" t="str">
        <f aca="false">IF(ROUND($G947,2)&lt;0,-ROUND($G947,2),"")</f>
        <v/>
      </c>
      <c r="J947" s="20" t="n">
        <f aca="false">IF(ROUND($G947,2)=0,0,1)</f>
        <v>0</v>
      </c>
      <c r="K947" s="20" t="str">
        <f aca="false">IF($J947=0,"",SUM($J$938:$J947))</f>
        <v/>
      </c>
      <c r="L947" s="20" t="str">
        <f aca="false">IF($K947="","",$A947*100+$K947)</f>
        <v/>
      </c>
      <c r="M947" s="48" t="str">
        <f aca="false">IFERROR(INDEX(输入报销!$D:$D,MATCH($A947&amp;"-10",输入报销!$J:$J,0))&amp;"","")</f>
        <v/>
      </c>
    </row>
    <row r="948" customFormat="false" ht="13.5" hidden="false" customHeight="false" outlineLevel="0" collapsed="false">
      <c r="A948" s="47" t="n">
        <v>73</v>
      </c>
      <c r="C948" s="48" t="str">
        <f aca="false">助手报销!$C74</f>
        <v/>
      </c>
      <c r="D948" s="81" t="s">
        <v>489</v>
      </c>
      <c r="E948" s="48" t="str">
        <f aca="false">参数!$B$6</f>
        <v>库存现金</v>
      </c>
      <c r="F948" s="48" t="str">
        <f aca="false">""</f>
        <v/>
      </c>
      <c r="G948" s="49" t="n">
        <f aca="false">-ROUND(SUMIFS(输入报销!$G:$G,输入报销!$A:$A,$A948,输入报销!$H:$H,参数!$B$6),2)</f>
        <v>-0</v>
      </c>
      <c r="H948" s="49" t="str">
        <f aca="false">IF(ROUND($G948,2)&gt;0,ROUND($G948,2),"")</f>
        <v/>
      </c>
      <c r="I948" s="49" t="str">
        <f aca="false">IF(ROUND($G948,2)&lt;0,-ROUND($G948,2),"")</f>
        <v/>
      </c>
      <c r="J948" s="20" t="n">
        <f aca="false">IF(ROUND($G948,2)=0,0,1)</f>
        <v>0</v>
      </c>
      <c r="K948" s="20" t="str">
        <f aca="false">IF($J948=0,"",SUM($J$938:$J948))</f>
        <v/>
      </c>
      <c r="L948" s="20" t="str">
        <f aca="false">IF($K948="","",$A948*100+$K948)</f>
        <v/>
      </c>
      <c r="M948" s="48" t="str">
        <f aca="false">""</f>
        <v/>
      </c>
    </row>
    <row r="949" customFormat="false" ht="13.5" hidden="false" customHeight="false" outlineLevel="0" collapsed="false">
      <c r="A949" s="47" t="n">
        <v>73</v>
      </c>
      <c r="C949" s="48" t="str">
        <f aca="false">助手报销!$C74</f>
        <v/>
      </c>
      <c r="D949" s="81" t="s">
        <v>490</v>
      </c>
      <c r="E949" s="48" t="str">
        <f aca="false">参数!$B$7</f>
        <v>银行存款</v>
      </c>
      <c r="F949" s="48" t="str">
        <f aca="false">""</f>
        <v/>
      </c>
      <c r="G949" s="49" t="n">
        <f aca="false">-ROUND(SUMIFS(输入报销!$G:$G,输入报销!$A:$A,$A949,输入报销!$H:$H,参数!$B$7),2)</f>
        <v>-0</v>
      </c>
      <c r="H949" s="49" t="str">
        <f aca="false">IF(ROUND($G949,2)&gt;0,ROUND($G949,2),"")</f>
        <v/>
      </c>
      <c r="I949" s="49" t="str">
        <f aca="false">IF(ROUND($G949,2)&lt;0,-ROUND($G949,2),"")</f>
        <v/>
      </c>
      <c r="J949" s="20" t="n">
        <f aca="false">IF(ROUND($G949,2)=0,0,1)</f>
        <v>0</v>
      </c>
      <c r="K949" s="20" t="str">
        <f aca="false">IF($J949=0,"",SUM($J$938:$J949))</f>
        <v/>
      </c>
      <c r="L949" s="20" t="str">
        <f aca="false">IF($K949="","",$A949*100+$K949)</f>
        <v/>
      </c>
      <c r="M949" s="48" t="str">
        <f aca="false">""</f>
        <v/>
      </c>
    </row>
    <row r="950" customFormat="false" ht="13.5" hidden="false" customHeight="false" outlineLevel="0" collapsed="false">
      <c r="A950" s="47" t="n">
        <v>73</v>
      </c>
      <c r="C950" s="48" t="str">
        <f aca="false">助手报销!$C74</f>
        <v/>
      </c>
      <c r="D950" s="81" t="s">
        <v>491</v>
      </c>
      <c r="E950" s="48" t="str">
        <f aca="false">参数!$B$8</f>
        <v>其他应付款</v>
      </c>
      <c r="F950" s="48" t="str">
        <f aca="false">""</f>
        <v/>
      </c>
      <c r="G950" s="49" t="n">
        <f aca="false">-ROUND(SUMIFS(输入报销!$G:$G,输入报销!$A:$A,$A950,输入报销!$H:$H,参数!$B$8),2)</f>
        <v>-0</v>
      </c>
      <c r="H950" s="49" t="str">
        <f aca="false">IF(ROUND($G950,2)&gt;0,ROUND($G950,2),"")</f>
        <v/>
      </c>
      <c r="I950" s="49" t="str">
        <f aca="false">IF(ROUND($G950,2)&lt;0,-ROUND($G950,2),"")</f>
        <v/>
      </c>
      <c r="J950" s="20" t="n">
        <f aca="false">IF(ROUND($G950,2)=0,0,1)</f>
        <v>0</v>
      </c>
      <c r="K950" s="20" t="str">
        <f aca="false">IF($J950=0,"",SUM($J$938:$J950))</f>
        <v/>
      </c>
      <c r="L950" s="20" t="str">
        <f aca="false">IF($K950="","",$A950*100+$K950)</f>
        <v/>
      </c>
      <c r="M950" s="48" t="str">
        <f aca="false">""</f>
        <v/>
      </c>
    </row>
    <row r="951" customFormat="false" ht="13.5" hidden="false" customHeight="false" outlineLevel="0" collapsed="false">
      <c r="A951" s="47" t="n">
        <v>74</v>
      </c>
      <c r="C951" s="48" t="str">
        <f aca="false">助手报销!$C75</f>
        <v/>
      </c>
      <c r="D951" s="81" t="s">
        <v>479</v>
      </c>
      <c r="E951" s="48" t="str">
        <f aca="false">IFERROR(INDEX(输入报销!$E:$E,MATCH($A951&amp;"-1",输入报销!$J:$J,0))&amp;"","")</f>
        <v/>
      </c>
      <c r="F951" s="48" t="str">
        <f aca="false">IFERROR(INDEX(输入报销!$F:$F,MATCH($A951&amp;"-1",输入报销!$J:$J,0))&amp;"","")</f>
        <v/>
      </c>
      <c r="G951" s="49" t="n">
        <f aca="false">IFERROR(ROUND(INDEX(输入报销!$G:$G,MATCH($A951&amp;"-1",输入报销!$J:$J,0)),2),0)</f>
        <v>0</v>
      </c>
      <c r="H951" s="49" t="str">
        <f aca="false">IF(ROUND($G951,2)&gt;0,ROUND($G951,2),"")</f>
        <v/>
      </c>
      <c r="I951" s="49" t="str">
        <f aca="false">IF(ROUND($G951,2)&lt;0,-ROUND($G951,2),"")</f>
        <v/>
      </c>
      <c r="J951" s="20" t="n">
        <f aca="false">IF(ROUND($G951,2)=0,0,1)</f>
        <v>0</v>
      </c>
      <c r="K951" s="20" t="str">
        <f aca="false">IF($J951=0,"",SUM($J$951:$J951))</f>
        <v/>
      </c>
      <c r="L951" s="20" t="str">
        <f aca="false">IF($K951="","",$A951*100+$K951)</f>
        <v/>
      </c>
      <c r="M951" s="48" t="str">
        <f aca="false">IFERROR(INDEX(输入报销!$D:$D,MATCH($A951&amp;"-1",输入报销!$J:$J,0))&amp;"","")</f>
        <v/>
      </c>
    </row>
    <row r="952" customFormat="false" ht="13.5" hidden="false" customHeight="false" outlineLevel="0" collapsed="false">
      <c r="A952" s="47" t="n">
        <v>74</v>
      </c>
      <c r="C952" s="48" t="str">
        <f aca="false">助手报销!$C75</f>
        <v/>
      </c>
      <c r="D952" s="81" t="s">
        <v>480</v>
      </c>
      <c r="E952" s="48" t="str">
        <f aca="false">IFERROR(INDEX(输入报销!$E:$E,MATCH($A952&amp;"-2",输入报销!$J:$J,0))&amp;"","")</f>
        <v/>
      </c>
      <c r="F952" s="48" t="str">
        <f aca="false">IFERROR(INDEX(输入报销!$F:$F,MATCH($A952&amp;"-2",输入报销!$J:$J,0))&amp;"","")</f>
        <v/>
      </c>
      <c r="G952" s="49" t="n">
        <f aca="false">IFERROR(ROUND(INDEX(输入报销!$G:$G,MATCH($A952&amp;"-2",输入报销!$J:$J,0)),2),0)</f>
        <v>0</v>
      </c>
      <c r="H952" s="49" t="str">
        <f aca="false">IF(ROUND($G952,2)&gt;0,ROUND($G952,2),"")</f>
        <v/>
      </c>
      <c r="I952" s="49" t="str">
        <f aca="false">IF(ROUND($G952,2)&lt;0,-ROUND($G952,2),"")</f>
        <v/>
      </c>
      <c r="J952" s="20" t="n">
        <f aca="false">IF(ROUND($G952,2)=0,0,1)</f>
        <v>0</v>
      </c>
      <c r="K952" s="20" t="str">
        <f aca="false">IF($J952=0,"",SUM($J$951:$J952))</f>
        <v/>
      </c>
      <c r="L952" s="20" t="str">
        <f aca="false">IF($K952="","",$A952*100+$K952)</f>
        <v/>
      </c>
      <c r="M952" s="48" t="str">
        <f aca="false">IFERROR(INDEX(输入报销!$D:$D,MATCH($A952&amp;"-2",输入报销!$J:$J,0))&amp;"","")</f>
        <v/>
      </c>
    </row>
    <row r="953" customFormat="false" ht="13.5" hidden="false" customHeight="false" outlineLevel="0" collapsed="false">
      <c r="A953" s="47" t="n">
        <v>74</v>
      </c>
      <c r="C953" s="48" t="str">
        <f aca="false">助手报销!$C75</f>
        <v/>
      </c>
      <c r="D953" s="81" t="s">
        <v>481</v>
      </c>
      <c r="E953" s="48" t="str">
        <f aca="false">IFERROR(INDEX(输入报销!$E:$E,MATCH($A953&amp;"-3",输入报销!$J:$J,0))&amp;"","")</f>
        <v/>
      </c>
      <c r="F953" s="48" t="str">
        <f aca="false">IFERROR(INDEX(输入报销!$F:$F,MATCH($A953&amp;"-3",输入报销!$J:$J,0))&amp;"","")</f>
        <v/>
      </c>
      <c r="G953" s="49" t="n">
        <f aca="false">IFERROR(ROUND(INDEX(输入报销!$G:$G,MATCH($A953&amp;"-3",输入报销!$J:$J,0)),2),0)</f>
        <v>0</v>
      </c>
      <c r="H953" s="49" t="str">
        <f aca="false">IF(ROUND($G953,2)&gt;0,ROUND($G953,2),"")</f>
        <v/>
      </c>
      <c r="I953" s="49" t="str">
        <f aca="false">IF(ROUND($G953,2)&lt;0,-ROUND($G953,2),"")</f>
        <v/>
      </c>
      <c r="J953" s="20" t="n">
        <f aca="false">IF(ROUND($G953,2)=0,0,1)</f>
        <v>0</v>
      </c>
      <c r="K953" s="20" t="str">
        <f aca="false">IF($J953=0,"",SUM($J$951:$J953))</f>
        <v/>
      </c>
      <c r="L953" s="20" t="str">
        <f aca="false">IF($K953="","",$A953*100+$K953)</f>
        <v/>
      </c>
      <c r="M953" s="48" t="str">
        <f aca="false">IFERROR(INDEX(输入报销!$D:$D,MATCH($A953&amp;"-3",输入报销!$J:$J,0))&amp;"","")</f>
        <v/>
      </c>
    </row>
    <row r="954" customFormat="false" ht="13.5" hidden="false" customHeight="false" outlineLevel="0" collapsed="false">
      <c r="A954" s="47" t="n">
        <v>74</v>
      </c>
      <c r="C954" s="48" t="str">
        <f aca="false">助手报销!$C75</f>
        <v/>
      </c>
      <c r="D954" s="81" t="s">
        <v>482</v>
      </c>
      <c r="E954" s="48" t="str">
        <f aca="false">IFERROR(INDEX(输入报销!$E:$E,MATCH($A954&amp;"-4",输入报销!$J:$J,0))&amp;"","")</f>
        <v/>
      </c>
      <c r="F954" s="48" t="str">
        <f aca="false">IFERROR(INDEX(输入报销!$F:$F,MATCH($A954&amp;"-4",输入报销!$J:$J,0))&amp;"","")</f>
        <v/>
      </c>
      <c r="G954" s="49" t="n">
        <f aca="false">IFERROR(ROUND(INDEX(输入报销!$G:$G,MATCH($A954&amp;"-4",输入报销!$J:$J,0)),2),0)</f>
        <v>0</v>
      </c>
      <c r="H954" s="49" t="str">
        <f aca="false">IF(ROUND($G954,2)&gt;0,ROUND($G954,2),"")</f>
        <v/>
      </c>
      <c r="I954" s="49" t="str">
        <f aca="false">IF(ROUND($G954,2)&lt;0,-ROUND($G954,2),"")</f>
        <v/>
      </c>
      <c r="J954" s="20" t="n">
        <f aca="false">IF(ROUND($G954,2)=0,0,1)</f>
        <v>0</v>
      </c>
      <c r="K954" s="20" t="str">
        <f aca="false">IF($J954=0,"",SUM($J$951:$J954))</f>
        <v/>
      </c>
      <c r="L954" s="20" t="str">
        <f aca="false">IF($K954="","",$A954*100+$K954)</f>
        <v/>
      </c>
      <c r="M954" s="48" t="str">
        <f aca="false">IFERROR(INDEX(输入报销!$D:$D,MATCH($A954&amp;"-4",输入报销!$J:$J,0))&amp;"","")</f>
        <v/>
      </c>
    </row>
    <row r="955" customFormat="false" ht="13.5" hidden="false" customHeight="false" outlineLevel="0" collapsed="false">
      <c r="A955" s="47" t="n">
        <v>74</v>
      </c>
      <c r="C955" s="48" t="str">
        <f aca="false">助手报销!$C75</f>
        <v/>
      </c>
      <c r="D955" s="81" t="s">
        <v>483</v>
      </c>
      <c r="E955" s="48" t="str">
        <f aca="false">IFERROR(INDEX(输入报销!$E:$E,MATCH($A955&amp;"-5",输入报销!$J:$J,0))&amp;"","")</f>
        <v/>
      </c>
      <c r="F955" s="48" t="str">
        <f aca="false">IFERROR(INDEX(输入报销!$F:$F,MATCH($A955&amp;"-5",输入报销!$J:$J,0))&amp;"","")</f>
        <v/>
      </c>
      <c r="G955" s="49" t="n">
        <f aca="false">IFERROR(ROUND(INDEX(输入报销!$G:$G,MATCH($A955&amp;"-5",输入报销!$J:$J,0)),2),0)</f>
        <v>0</v>
      </c>
      <c r="H955" s="49" t="str">
        <f aca="false">IF(ROUND($G955,2)&gt;0,ROUND($G955,2),"")</f>
        <v/>
      </c>
      <c r="I955" s="49" t="str">
        <f aca="false">IF(ROUND($G955,2)&lt;0,-ROUND($G955,2),"")</f>
        <v/>
      </c>
      <c r="J955" s="20" t="n">
        <f aca="false">IF(ROUND($G955,2)=0,0,1)</f>
        <v>0</v>
      </c>
      <c r="K955" s="20" t="str">
        <f aca="false">IF($J955=0,"",SUM($J$951:$J955))</f>
        <v/>
      </c>
      <c r="L955" s="20" t="str">
        <f aca="false">IF($K955="","",$A955*100+$K955)</f>
        <v/>
      </c>
      <c r="M955" s="48" t="str">
        <f aca="false">IFERROR(INDEX(输入报销!$D:$D,MATCH($A955&amp;"-5",输入报销!$J:$J,0))&amp;"","")</f>
        <v/>
      </c>
    </row>
    <row r="956" customFormat="false" ht="13.5" hidden="false" customHeight="false" outlineLevel="0" collapsed="false">
      <c r="A956" s="47" t="n">
        <v>74</v>
      </c>
      <c r="C956" s="48" t="str">
        <f aca="false">助手报销!$C75</f>
        <v/>
      </c>
      <c r="D956" s="81" t="s">
        <v>484</v>
      </c>
      <c r="E956" s="48" t="str">
        <f aca="false">IFERROR(INDEX(输入报销!$E:$E,MATCH($A956&amp;"-6",输入报销!$J:$J,0))&amp;"","")</f>
        <v/>
      </c>
      <c r="F956" s="48" t="str">
        <f aca="false">IFERROR(INDEX(输入报销!$F:$F,MATCH($A956&amp;"-6",输入报销!$J:$J,0))&amp;"","")</f>
        <v/>
      </c>
      <c r="G956" s="49" t="n">
        <f aca="false">IFERROR(ROUND(INDEX(输入报销!$G:$G,MATCH($A956&amp;"-6",输入报销!$J:$J,0)),2),0)</f>
        <v>0</v>
      </c>
      <c r="H956" s="49" t="str">
        <f aca="false">IF(ROUND($G956,2)&gt;0,ROUND($G956,2),"")</f>
        <v/>
      </c>
      <c r="I956" s="49" t="str">
        <f aca="false">IF(ROUND($G956,2)&lt;0,-ROUND($G956,2),"")</f>
        <v/>
      </c>
      <c r="J956" s="20" t="n">
        <f aca="false">IF(ROUND($G956,2)=0,0,1)</f>
        <v>0</v>
      </c>
      <c r="K956" s="20" t="str">
        <f aca="false">IF($J956=0,"",SUM($J$951:$J956))</f>
        <v/>
      </c>
      <c r="L956" s="20" t="str">
        <f aca="false">IF($K956="","",$A956*100+$K956)</f>
        <v/>
      </c>
      <c r="M956" s="48" t="str">
        <f aca="false">IFERROR(INDEX(输入报销!$D:$D,MATCH($A956&amp;"-6",输入报销!$J:$J,0))&amp;"","")</f>
        <v/>
      </c>
    </row>
    <row r="957" customFormat="false" ht="13.5" hidden="false" customHeight="false" outlineLevel="0" collapsed="false">
      <c r="A957" s="47" t="n">
        <v>74</v>
      </c>
      <c r="C957" s="48" t="str">
        <f aca="false">助手报销!$C75</f>
        <v/>
      </c>
      <c r="D957" s="81" t="s">
        <v>485</v>
      </c>
      <c r="E957" s="48" t="str">
        <f aca="false">IFERROR(INDEX(输入报销!$E:$E,MATCH($A957&amp;"-7",输入报销!$J:$J,0))&amp;"","")</f>
        <v/>
      </c>
      <c r="F957" s="48" t="str">
        <f aca="false">IFERROR(INDEX(输入报销!$F:$F,MATCH($A957&amp;"-7",输入报销!$J:$J,0))&amp;"","")</f>
        <v/>
      </c>
      <c r="G957" s="49" t="n">
        <f aca="false">IFERROR(ROUND(INDEX(输入报销!$G:$G,MATCH($A957&amp;"-7",输入报销!$J:$J,0)),2),0)</f>
        <v>0</v>
      </c>
      <c r="H957" s="49" t="str">
        <f aca="false">IF(ROUND($G957,2)&gt;0,ROUND($G957,2),"")</f>
        <v/>
      </c>
      <c r="I957" s="49" t="str">
        <f aca="false">IF(ROUND($G957,2)&lt;0,-ROUND($G957,2),"")</f>
        <v/>
      </c>
      <c r="J957" s="20" t="n">
        <f aca="false">IF(ROUND($G957,2)=0,0,1)</f>
        <v>0</v>
      </c>
      <c r="K957" s="20" t="str">
        <f aca="false">IF($J957=0,"",SUM($J$951:$J957))</f>
        <v/>
      </c>
      <c r="L957" s="20" t="str">
        <f aca="false">IF($K957="","",$A957*100+$K957)</f>
        <v/>
      </c>
      <c r="M957" s="48" t="str">
        <f aca="false">IFERROR(INDEX(输入报销!$D:$D,MATCH($A957&amp;"-7",输入报销!$J:$J,0))&amp;"","")</f>
        <v/>
      </c>
    </row>
    <row r="958" customFormat="false" ht="13.5" hidden="false" customHeight="false" outlineLevel="0" collapsed="false">
      <c r="A958" s="47" t="n">
        <v>74</v>
      </c>
      <c r="C958" s="48" t="str">
        <f aca="false">助手报销!$C75</f>
        <v/>
      </c>
      <c r="D958" s="81" t="s">
        <v>486</v>
      </c>
      <c r="E958" s="48" t="str">
        <f aca="false">IFERROR(INDEX(输入报销!$E:$E,MATCH($A958&amp;"-8",输入报销!$J:$J,0))&amp;"","")</f>
        <v/>
      </c>
      <c r="F958" s="48" t="str">
        <f aca="false">IFERROR(INDEX(输入报销!$F:$F,MATCH($A958&amp;"-8",输入报销!$J:$J,0))&amp;"","")</f>
        <v/>
      </c>
      <c r="G958" s="49" t="n">
        <f aca="false">IFERROR(ROUND(INDEX(输入报销!$G:$G,MATCH($A958&amp;"-8",输入报销!$J:$J,0)),2),0)</f>
        <v>0</v>
      </c>
      <c r="H958" s="49" t="str">
        <f aca="false">IF(ROUND($G958,2)&gt;0,ROUND($G958,2),"")</f>
        <v/>
      </c>
      <c r="I958" s="49" t="str">
        <f aca="false">IF(ROUND($G958,2)&lt;0,-ROUND($G958,2),"")</f>
        <v/>
      </c>
      <c r="J958" s="20" t="n">
        <f aca="false">IF(ROUND($G958,2)=0,0,1)</f>
        <v>0</v>
      </c>
      <c r="K958" s="20" t="str">
        <f aca="false">IF($J958=0,"",SUM($J$951:$J958))</f>
        <v/>
      </c>
      <c r="L958" s="20" t="str">
        <f aca="false">IF($K958="","",$A958*100+$K958)</f>
        <v/>
      </c>
      <c r="M958" s="48" t="str">
        <f aca="false">IFERROR(INDEX(输入报销!$D:$D,MATCH($A958&amp;"-8",输入报销!$J:$J,0))&amp;"","")</f>
        <v/>
      </c>
    </row>
    <row r="959" customFormat="false" ht="13.5" hidden="false" customHeight="false" outlineLevel="0" collapsed="false">
      <c r="A959" s="47" t="n">
        <v>74</v>
      </c>
      <c r="C959" s="48" t="str">
        <f aca="false">助手报销!$C75</f>
        <v/>
      </c>
      <c r="D959" s="81" t="s">
        <v>487</v>
      </c>
      <c r="E959" s="48" t="str">
        <f aca="false">IFERROR(INDEX(输入报销!$E:$E,MATCH($A959&amp;"-9",输入报销!$J:$J,0))&amp;"","")</f>
        <v/>
      </c>
      <c r="F959" s="48" t="str">
        <f aca="false">IFERROR(INDEX(输入报销!$F:$F,MATCH($A959&amp;"-9",输入报销!$J:$J,0))&amp;"","")</f>
        <v/>
      </c>
      <c r="G959" s="49" t="n">
        <f aca="false">IFERROR(ROUND(INDEX(输入报销!$G:$G,MATCH($A959&amp;"-9",输入报销!$J:$J,0)),2),0)</f>
        <v>0</v>
      </c>
      <c r="H959" s="49" t="str">
        <f aca="false">IF(ROUND($G959,2)&gt;0,ROUND($G959,2),"")</f>
        <v/>
      </c>
      <c r="I959" s="49" t="str">
        <f aca="false">IF(ROUND($G959,2)&lt;0,-ROUND($G959,2),"")</f>
        <v/>
      </c>
      <c r="J959" s="20" t="n">
        <f aca="false">IF(ROUND($G959,2)=0,0,1)</f>
        <v>0</v>
      </c>
      <c r="K959" s="20" t="str">
        <f aca="false">IF($J959=0,"",SUM($J$951:$J959))</f>
        <v/>
      </c>
      <c r="L959" s="20" t="str">
        <f aca="false">IF($K959="","",$A959*100+$K959)</f>
        <v/>
      </c>
      <c r="M959" s="48" t="str">
        <f aca="false">IFERROR(INDEX(输入报销!$D:$D,MATCH($A959&amp;"-9",输入报销!$J:$J,0))&amp;"","")</f>
        <v/>
      </c>
    </row>
    <row r="960" customFormat="false" ht="13.5" hidden="false" customHeight="false" outlineLevel="0" collapsed="false">
      <c r="A960" s="47" t="n">
        <v>74</v>
      </c>
      <c r="C960" s="48" t="str">
        <f aca="false">助手报销!$C75</f>
        <v/>
      </c>
      <c r="D960" s="81" t="s">
        <v>488</v>
      </c>
      <c r="E960" s="48" t="str">
        <f aca="false">IFERROR(INDEX(输入报销!$E:$E,MATCH($A960&amp;"-10",输入报销!$J:$J,0))&amp;"","")</f>
        <v/>
      </c>
      <c r="F960" s="48" t="str">
        <f aca="false">IFERROR(INDEX(输入报销!$F:$F,MATCH($A960&amp;"-10",输入报销!$J:$J,0))&amp;"","")</f>
        <v/>
      </c>
      <c r="G960" s="49" t="n">
        <f aca="false">IFERROR(ROUND(INDEX(输入报销!$G:$G,MATCH($A960&amp;"-10",输入报销!$J:$J,0)),2),0)</f>
        <v>0</v>
      </c>
      <c r="H960" s="49" t="str">
        <f aca="false">IF(ROUND($G960,2)&gt;0,ROUND($G960,2),"")</f>
        <v/>
      </c>
      <c r="I960" s="49" t="str">
        <f aca="false">IF(ROUND($G960,2)&lt;0,-ROUND($G960,2),"")</f>
        <v/>
      </c>
      <c r="J960" s="20" t="n">
        <f aca="false">IF(ROUND($G960,2)=0,0,1)</f>
        <v>0</v>
      </c>
      <c r="K960" s="20" t="str">
        <f aca="false">IF($J960=0,"",SUM($J$951:$J960))</f>
        <v/>
      </c>
      <c r="L960" s="20" t="str">
        <f aca="false">IF($K960="","",$A960*100+$K960)</f>
        <v/>
      </c>
      <c r="M960" s="48" t="str">
        <f aca="false">IFERROR(INDEX(输入报销!$D:$D,MATCH($A960&amp;"-10",输入报销!$J:$J,0))&amp;"","")</f>
        <v/>
      </c>
    </row>
    <row r="961" customFormat="false" ht="13.5" hidden="false" customHeight="false" outlineLevel="0" collapsed="false">
      <c r="A961" s="47" t="n">
        <v>74</v>
      </c>
      <c r="C961" s="48" t="str">
        <f aca="false">助手报销!$C75</f>
        <v/>
      </c>
      <c r="D961" s="81" t="s">
        <v>489</v>
      </c>
      <c r="E961" s="48" t="str">
        <f aca="false">参数!$B$6</f>
        <v>库存现金</v>
      </c>
      <c r="F961" s="48" t="str">
        <f aca="false">""</f>
        <v/>
      </c>
      <c r="G961" s="49" t="n">
        <f aca="false">-ROUND(SUMIFS(输入报销!$G:$G,输入报销!$A:$A,$A961,输入报销!$H:$H,参数!$B$6),2)</f>
        <v>-0</v>
      </c>
      <c r="H961" s="49" t="str">
        <f aca="false">IF(ROUND($G961,2)&gt;0,ROUND($G961,2),"")</f>
        <v/>
      </c>
      <c r="I961" s="49" t="str">
        <f aca="false">IF(ROUND($G961,2)&lt;0,-ROUND($G961,2),"")</f>
        <v/>
      </c>
      <c r="J961" s="20" t="n">
        <f aca="false">IF(ROUND($G961,2)=0,0,1)</f>
        <v>0</v>
      </c>
      <c r="K961" s="20" t="str">
        <f aca="false">IF($J961=0,"",SUM($J$951:$J961))</f>
        <v/>
      </c>
      <c r="L961" s="20" t="str">
        <f aca="false">IF($K961="","",$A961*100+$K961)</f>
        <v/>
      </c>
      <c r="M961" s="48" t="str">
        <f aca="false">""</f>
        <v/>
      </c>
    </row>
    <row r="962" customFormat="false" ht="13.5" hidden="false" customHeight="false" outlineLevel="0" collapsed="false">
      <c r="A962" s="47" t="n">
        <v>74</v>
      </c>
      <c r="C962" s="48" t="str">
        <f aca="false">助手报销!$C75</f>
        <v/>
      </c>
      <c r="D962" s="81" t="s">
        <v>490</v>
      </c>
      <c r="E962" s="48" t="str">
        <f aca="false">参数!$B$7</f>
        <v>银行存款</v>
      </c>
      <c r="F962" s="48" t="str">
        <f aca="false">""</f>
        <v/>
      </c>
      <c r="G962" s="49" t="n">
        <f aca="false">-ROUND(SUMIFS(输入报销!$G:$G,输入报销!$A:$A,$A962,输入报销!$H:$H,参数!$B$7),2)</f>
        <v>-0</v>
      </c>
      <c r="H962" s="49" t="str">
        <f aca="false">IF(ROUND($G962,2)&gt;0,ROUND($G962,2),"")</f>
        <v/>
      </c>
      <c r="I962" s="49" t="str">
        <f aca="false">IF(ROUND($G962,2)&lt;0,-ROUND($G962,2),"")</f>
        <v/>
      </c>
      <c r="J962" s="20" t="n">
        <f aca="false">IF(ROUND($G962,2)=0,0,1)</f>
        <v>0</v>
      </c>
      <c r="K962" s="20" t="str">
        <f aca="false">IF($J962=0,"",SUM($J$951:$J962))</f>
        <v/>
      </c>
      <c r="L962" s="20" t="str">
        <f aca="false">IF($K962="","",$A962*100+$K962)</f>
        <v/>
      </c>
      <c r="M962" s="48" t="str">
        <f aca="false">""</f>
        <v/>
      </c>
    </row>
    <row r="963" customFormat="false" ht="13.5" hidden="false" customHeight="false" outlineLevel="0" collapsed="false">
      <c r="A963" s="47" t="n">
        <v>74</v>
      </c>
      <c r="C963" s="48" t="str">
        <f aca="false">助手报销!$C75</f>
        <v/>
      </c>
      <c r="D963" s="81" t="s">
        <v>491</v>
      </c>
      <c r="E963" s="48" t="str">
        <f aca="false">参数!$B$8</f>
        <v>其他应付款</v>
      </c>
      <c r="F963" s="48" t="str">
        <f aca="false">""</f>
        <v/>
      </c>
      <c r="G963" s="49" t="n">
        <f aca="false">-ROUND(SUMIFS(输入报销!$G:$G,输入报销!$A:$A,$A963,输入报销!$H:$H,参数!$B$8),2)</f>
        <v>-0</v>
      </c>
      <c r="H963" s="49" t="str">
        <f aca="false">IF(ROUND($G963,2)&gt;0,ROUND($G963,2),"")</f>
        <v/>
      </c>
      <c r="I963" s="49" t="str">
        <f aca="false">IF(ROUND($G963,2)&lt;0,-ROUND($G963,2),"")</f>
        <v/>
      </c>
      <c r="J963" s="20" t="n">
        <f aca="false">IF(ROUND($G963,2)=0,0,1)</f>
        <v>0</v>
      </c>
      <c r="K963" s="20" t="str">
        <f aca="false">IF($J963=0,"",SUM($J$951:$J963))</f>
        <v/>
      </c>
      <c r="L963" s="20" t="str">
        <f aca="false">IF($K963="","",$A963*100+$K963)</f>
        <v/>
      </c>
      <c r="M963" s="48" t="str">
        <f aca="false">""</f>
        <v/>
      </c>
    </row>
    <row r="964" customFormat="false" ht="13.5" hidden="false" customHeight="false" outlineLevel="0" collapsed="false">
      <c r="A964" s="47" t="n">
        <v>75</v>
      </c>
      <c r="C964" s="48" t="str">
        <f aca="false">助手报销!$C76</f>
        <v/>
      </c>
      <c r="D964" s="81" t="s">
        <v>479</v>
      </c>
      <c r="E964" s="48" t="str">
        <f aca="false">IFERROR(INDEX(输入报销!$E:$E,MATCH($A964&amp;"-1",输入报销!$J:$J,0))&amp;"","")</f>
        <v/>
      </c>
      <c r="F964" s="48" t="str">
        <f aca="false">IFERROR(INDEX(输入报销!$F:$F,MATCH($A964&amp;"-1",输入报销!$J:$J,0))&amp;"","")</f>
        <v/>
      </c>
      <c r="G964" s="49" t="n">
        <f aca="false">IFERROR(ROUND(INDEX(输入报销!$G:$G,MATCH($A964&amp;"-1",输入报销!$J:$J,0)),2),0)</f>
        <v>0</v>
      </c>
      <c r="H964" s="49" t="str">
        <f aca="false">IF(ROUND($G964,2)&gt;0,ROUND($G964,2),"")</f>
        <v/>
      </c>
      <c r="I964" s="49" t="str">
        <f aca="false">IF(ROUND($G964,2)&lt;0,-ROUND($G964,2),"")</f>
        <v/>
      </c>
      <c r="J964" s="20" t="n">
        <f aca="false">IF(ROUND($G964,2)=0,0,1)</f>
        <v>0</v>
      </c>
      <c r="K964" s="20" t="str">
        <f aca="false">IF($J964=0,"",SUM($J$964:$J964))</f>
        <v/>
      </c>
      <c r="L964" s="20" t="str">
        <f aca="false">IF($K964="","",$A964*100+$K964)</f>
        <v/>
      </c>
      <c r="M964" s="48" t="str">
        <f aca="false">IFERROR(INDEX(输入报销!$D:$D,MATCH($A964&amp;"-1",输入报销!$J:$J,0))&amp;"","")</f>
        <v/>
      </c>
    </row>
    <row r="965" customFormat="false" ht="13.5" hidden="false" customHeight="false" outlineLevel="0" collapsed="false">
      <c r="A965" s="47" t="n">
        <v>75</v>
      </c>
      <c r="C965" s="48" t="str">
        <f aca="false">助手报销!$C76</f>
        <v/>
      </c>
      <c r="D965" s="81" t="s">
        <v>480</v>
      </c>
      <c r="E965" s="48" t="str">
        <f aca="false">IFERROR(INDEX(输入报销!$E:$E,MATCH($A965&amp;"-2",输入报销!$J:$J,0))&amp;"","")</f>
        <v/>
      </c>
      <c r="F965" s="48" t="str">
        <f aca="false">IFERROR(INDEX(输入报销!$F:$F,MATCH($A965&amp;"-2",输入报销!$J:$J,0))&amp;"","")</f>
        <v/>
      </c>
      <c r="G965" s="49" t="n">
        <f aca="false">IFERROR(ROUND(INDEX(输入报销!$G:$G,MATCH($A965&amp;"-2",输入报销!$J:$J,0)),2),0)</f>
        <v>0</v>
      </c>
      <c r="H965" s="49" t="str">
        <f aca="false">IF(ROUND($G965,2)&gt;0,ROUND($G965,2),"")</f>
        <v/>
      </c>
      <c r="I965" s="49" t="str">
        <f aca="false">IF(ROUND($G965,2)&lt;0,-ROUND($G965,2),"")</f>
        <v/>
      </c>
      <c r="J965" s="20" t="n">
        <f aca="false">IF(ROUND($G965,2)=0,0,1)</f>
        <v>0</v>
      </c>
      <c r="K965" s="20" t="str">
        <f aca="false">IF($J965=0,"",SUM($J$964:$J965))</f>
        <v/>
      </c>
      <c r="L965" s="20" t="str">
        <f aca="false">IF($K965="","",$A965*100+$K965)</f>
        <v/>
      </c>
      <c r="M965" s="48" t="str">
        <f aca="false">IFERROR(INDEX(输入报销!$D:$D,MATCH($A965&amp;"-2",输入报销!$J:$J,0))&amp;"","")</f>
        <v/>
      </c>
    </row>
    <row r="966" customFormat="false" ht="13.5" hidden="false" customHeight="false" outlineLevel="0" collapsed="false">
      <c r="A966" s="47" t="n">
        <v>75</v>
      </c>
      <c r="C966" s="48" t="str">
        <f aca="false">助手报销!$C76</f>
        <v/>
      </c>
      <c r="D966" s="81" t="s">
        <v>481</v>
      </c>
      <c r="E966" s="48" t="str">
        <f aca="false">IFERROR(INDEX(输入报销!$E:$E,MATCH($A966&amp;"-3",输入报销!$J:$J,0))&amp;"","")</f>
        <v/>
      </c>
      <c r="F966" s="48" t="str">
        <f aca="false">IFERROR(INDEX(输入报销!$F:$F,MATCH($A966&amp;"-3",输入报销!$J:$J,0))&amp;"","")</f>
        <v/>
      </c>
      <c r="G966" s="49" t="n">
        <f aca="false">IFERROR(ROUND(INDEX(输入报销!$G:$G,MATCH($A966&amp;"-3",输入报销!$J:$J,0)),2),0)</f>
        <v>0</v>
      </c>
      <c r="H966" s="49" t="str">
        <f aca="false">IF(ROUND($G966,2)&gt;0,ROUND($G966,2),"")</f>
        <v/>
      </c>
      <c r="I966" s="49" t="str">
        <f aca="false">IF(ROUND($G966,2)&lt;0,-ROUND($G966,2),"")</f>
        <v/>
      </c>
      <c r="J966" s="20" t="n">
        <f aca="false">IF(ROUND($G966,2)=0,0,1)</f>
        <v>0</v>
      </c>
      <c r="K966" s="20" t="str">
        <f aca="false">IF($J966=0,"",SUM($J$964:$J966))</f>
        <v/>
      </c>
      <c r="L966" s="20" t="str">
        <f aca="false">IF($K966="","",$A966*100+$K966)</f>
        <v/>
      </c>
      <c r="M966" s="48" t="str">
        <f aca="false">IFERROR(INDEX(输入报销!$D:$D,MATCH($A966&amp;"-3",输入报销!$J:$J,0))&amp;"","")</f>
        <v/>
      </c>
    </row>
    <row r="967" customFormat="false" ht="13.5" hidden="false" customHeight="false" outlineLevel="0" collapsed="false">
      <c r="A967" s="47" t="n">
        <v>75</v>
      </c>
      <c r="C967" s="48" t="str">
        <f aca="false">助手报销!$C76</f>
        <v/>
      </c>
      <c r="D967" s="81" t="s">
        <v>482</v>
      </c>
      <c r="E967" s="48" t="str">
        <f aca="false">IFERROR(INDEX(输入报销!$E:$E,MATCH($A967&amp;"-4",输入报销!$J:$J,0))&amp;"","")</f>
        <v/>
      </c>
      <c r="F967" s="48" t="str">
        <f aca="false">IFERROR(INDEX(输入报销!$F:$F,MATCH($A967&amp;"-4",输入报销!$J:$J,0))&amp;"","")</f>
        <v/>
      </c>
      <c r="G967" s="49" t="n">
        <f aca="false">IFERROR(ROUND(INDEX(输入报销!$G:$G,MATCH($A967&amp;"-4",输入报销!$J:$J,0)),2),0)</f>
        <v>0</v>
      </c>
      <c r="H967" s="49" t="str">
        <f aca="false">IF(ROUND($G967,2)&gt;0,ROUND($G967,2),"")</f>
        <v/>
      </c>
      <c r="I967" s="49" t="str">
        <f aca="false">IF(ROUND($G967,2)&lt;0,-ROUND($G967,2),"")</f>
        <v/>
      </c>
      <c r="J967" s="20" t="n">
        <f aca="false">IF(ROUND($G967,2)=0,0,1)</f>
        <v>0</v>
      </c>
      <c r="K967" s="20" t="str">
        <f aca="false">IF($J967=0,"",SUM($J$964:$J967))</f>
        <v/>
      </c>
      <c r="L967" s="20" t="str">
        <f aca="false">IF($K967="","",$A967*100+$K967)</f>
        <v/>
      </c>
      <c r="M967" s="48" t="str">
        <f aca="false">IFERROR(INDEX(输入报销!$D:$D,MATCH($A967&amp;"-4",输入报销!$J:$J,0))&amp;"","")</f>
        <v/>
      </c>
    </row>
    <row r="968" customFormat="false" ht="13.5" hidden="false" customHeight="false" outlineLevel="0" collapsed="false">
      <c r="A968" s="47" t="n">
        <v>75</v>
      </c>
      <c r="C968" s="48" t="str">
        <f aca="false">助手报销!$C76</f>
        <v/>
      </c>
      <c r="D968" s="81" t="s">
        <v>483</v>
      </c>
      <c r="E968" s="48" t="str">
        <f aca="false">IFERROR(INDEX(输入报销!$E:$E,MATCH($A968&amp;"-5",输入报销!$J:$J,0))&amp;"","")</f>
        <v/>
      </c>
      <c r="F968" s="48" t="str">
        <f aca="false">IFERROR(INDEX(输入报销!$F:$F,MATCH($A968&amp;"-5",输入报销!$J:$J,0))&amp;"","")</f>
        <v/>
      </c>
      <c r="G968" s="49" t="n">
        <f aca="false">IFERROR(ROUND(INDEX(输入报销!$G:$G,MATCH($A968&amp;"-5",输入报销!$J:$J,0)),2),0)</f>
        <v>0</v>
      </c>
      <c r="H968" s="49" t="str">
        <f aca="false">IF(ROUND($G968,2)&gt;0,ROUND($G968,2),"")</f>
        <v/>
      </c>
      <c r="I968" s="49" t="str">
        <f aca="false">IF(ROUND($G968,2)&lt;0,-ROUND($G968,2),"")</f>
        <v/>
      </c>
      <c r="J968" s="20" t="n">
        <f aca="false">IF(ROUND($G968,2)=0,0,1)</f>
        <v>0</v>
      </c>
      <c r="K968" s="20" t="str">
        <f aca="false">IF($J968=0,"",SUM($J$964:$J968))</f>
        <v/>
      </c>
      <c r="L968" s="20" t="str">
        <f aca="false">IF($K968="","",$A968*100+$K968)</f>
        <v/>
      </c>
      <c r="M968" s="48" t="str">
        <f aca="false">IFERROR(INDEX(输入报销!$D:$D,MATCH($A968&amp;"-5",输入报销!$J:$J,0))&amp;"","")</f>
        <v/>
      </c>
    </row>
    <row r="969" customFormat="false" ht="13.5" hidden="false" customHeight="false" outlineLevel="0" collapsed="false">
      <c r="A969" s="47" t="n">
        <v>75</v>
      </c>
      <c r="C969" s="48" t="str">
        <f aca="false">助手报销!$C76</f>
        <v/>
      </c>
      <c r="D969" s="81" t="s">
        <v>484</v>
      </c>
      <c r="E969" s="48" t="str">
        <f aca="false">IFERROR(INDEX(输入报销!$E:$E,MATCH($A969&amp;"-6",输入报销!$J:$J,0))&amp;"","")</f>
        <v/>
      </c>
      <c r="F969" s="48" t="str">
        <f aca="false">IFERROR(INDEX(输入报销!$F:$F,MATCH($A969&amp;"-6",输入报销!$J:$J,0))&amp;"","")</f>
        <v/>
      </c>
      <c r="G969" s="49" t="n">
        <f aca="false">IFERROR(ROUND(INDEX(输入报销!$G:$G,MATCH($A969&amp;"-6",输入报销!$J:$J,0)),2),0)</f>
        <v>0</v>
      </c>
      <c r="H969" s="49" t="str">
        <f aca="false">IF(ROUND($G969,2)&gt;0,ROUND($G969,2),"")</f>
        <v/>
      </c>
      <c r="I969" s="49" t="str">
        <f aca="false">IF(ROUND($G969,2)&lt;0,-ROUND($G969,2),"")</f>
        <v/>
      </c>
      <c r="J969" s="20" t="n">
        <f aca="false">IF(ROUND($G969,2)=0,0,1)</f>
        <v>0</v>
      </c>
      <c r="K969" s="20" t="str">
        <f aca="false">IF($J969=0,"",SUM($J$964:$J969))</f>
        <v/>
      </c>
      <c r="L969" s="20" t="str">
        <f aca="false">IF($K969="","",$A969*100+$K969)</f>
        <v/>
      </c>
      <c r="M969" s="48" t="str">
        <f aca="false">IFERROR(INDEX(输入报销!$D:$D,MATCH($A969&amp;"-6",输入报销!$J:$J,0))&amp;"","")</f>
        <v/>
      </c>
    </row>
    <row r="970" customFormat="false" ht="13.5" hidden="false" customHeight="false" outlineLevel="0" collapsed="false">
      <c r="A970" s="47" t="n">
        <v>75</v>
      </c>
      <c r="C970" s="48" t="str">
        <f aca="false">助手报销!$C76</f>
        <v/>
      </c>
      <c r="D970" s="81" t="s">
        <v>485</v>
      </c>
      <c r="E970" s="48" t="str">
        <f aca="false">IFERROR(INDEX(输入报销!$E:$E,MATCH($A970&amp;"-7",输入报销!$J:$J,0))&amp;"","")</f>
        <v/>
      </c>
      <c r="F970" s="48" t="str">
        <f aca="false">IFERROR(INDEX(输入报销!$F:$F,MATCH($A970&amp;"-7",输入报销!$J:$J,0))&amp;"","")</f>
        <v/>
      </c>
      <c r="G970" s="49" t="n">
        <f aca="false">IFERROR(ROUND(INDEX(输入报销!$G:$G,MATCH($A970&amp;"-7",输入报销!$J:$J,0)),2),0)</f>
        <v>0</v>
      </c>
      <c r="H970" s="49" t="str">
        <f aca="false">IF(ROUND($G970,2)&gt;0,ROUND($G970,2),"")</f>
        <v/>
      </c>
      <c r="I970" s="49" t="str">
        <f aca="false">IF(ROUND($G970,2)&lt;0,-ROUND($G970,2),"")</f>
        <v/>
      </c>
      <c r="J970" s="20" t="n">
        <f aca="false">IF(ROUND($G970,2)=0,0,1)</f>
        <v>0</v>
      </c>
      <c r="K970" s="20" t="str">
        <f aca="false">IF($J970=0,"",SUM($J$964:$J970))</f>
        <v/>
      </c>
      <c r="L970" s="20" t="str">
        <f aca="false">IF($K970="","",$A970*100+$K970)</f>
        <v/>
      </c>
      <c r="M970" s="48" t="str">
        <f aca="false">IFERROR(INDEX(输入报销!$D:$D,MATCH($A970&amp;"-7",输入报销!$J:$J,0))&amp;"","")</f>
        <v/>
      </c>
    </row>
    <row r="971" customFormat="false" ht="13.5" hidden="false" customHeight="false" outlineLevel="0" collapsed="false">
      <c r="A971" s="47" t="n">
        <v>75</v>
      </c>
      <c r="C971" s="48" t="str">
        <f aca="false">助手报销!$C76</f>
        <v/>
      </c>
      <c r="D971" s="81" t="s">
        <v>486</v>
      </c>
      <c r="E971" s="48" t="str">
        <f aca="false">IFERROR(INDEX(输入报销!$E:$E,MATCH($A971&amp;"-8",输入报销!$J:$J,0))&amp;"","")</f>
        <v/>
      </c>
      <c r="F971" s="48" t="str">
        <f aca="false">IFERROR(INDEX(输入报销!$F:$F,MATCH($A971&amp;"-8",输入报销!$J:$J,0))&amp;"","")</f>
        <v/>
      </c>
      <c r="G971" s="49" t="n">
        <f aca="false">IFERROR(ROUND(INDEX(输入报销!$G:$G,MATCH($A971&amp;"-8",输入报销!$J:$J,0)),2),0)</f>
        <v>0</v>
      </c>
      <c r="H971" s="49" t="str">
        <f aca="false">IF(ROUND($G971,2)&gt;0,ROUND($G971,2),"")</f>
        <v/>
      </c>
      <c r="I971" s="49" t="str">
        <f aca="false">IF(ROUND($G971,2)&lt;0,-ROUND($G971,2),"")</f>
        <v/>
      </c>
      <c r="J971" s="20" t="n">
        <f aca="false">IF(ROUND($G971,2)=0,0,1)</f>
        <v>0</v>
      </c>
      <c r="K971" s="20" t="str">
        <f aca="false">IF($J971=0,"",SUM($J$964:$J971))</f>
        <v/>
      </c>
      <c r="L971" s="20" t="str">
        <f aca="false">IF($K971="","",$A971*100+$K971)</f>
        <v/>
      </c>
      <c r="M971" s="48" t="str">
        <f aca="false">IFERROR(INDEX(输入报销!$D:$D,MATCH($A971&amp;"-8",输入报销!$J:$J,0))&amp;"","")</f>
        <v/>
      </c>
    </row>
    <row r="972" customFormat="false" ht="13.5" hidden="false" customHeight="false" outlineLevel="0" collapsed="false">
      <c r="A972" s="47" t="n">
        <v>75</v>
      </c>
      <c r="C972" s="48" t="str">
        <f aca="false">助手报销!$C76</f>
        <v/>
      </c>
      <c r="D972" s="81" t="s">
        <v>487</v>
      </c>
      <c r="E972" s="48" t="str">
        <f aca="false">IFERROR(INDEX(输入报销!$E:$E,MATCH($A972&amp;"-9",输入报销!$J:$J,0))&amp;"","")</f>
        <v/>
      </c>
      <c r="F972" s="48" t="str">
        <f aca="false">IFERROR(INDEX(输入报销!$F:$F,MATCH($A972&amp;"-9",输入报销!$J:$J,0))&amp;"","")</f>
        <v/>
      </c>
      <c r="G972" s="49" t="n">
        <f aca="false">IFERROR(ROUND(INDEX(输入报销!$G:$G,MATCH($A972&amp;"-9",输入报销!$J:$J,0)),2),0)</f>
        <v>0</v>
      </c>
      <c r="H972" s="49" t="str">
        <f aca="false">IF(ROUND($G972,2)&gt;0,ROUND($G972,2),"")</f>
        <v/>
      </c>
      <c r="I972" s="49" t="str">
        <f aca="false">IF(ROUND($G972,2)&lt;0,-ROUND($G972,2),"")</f>
        <v/>
      </c>
      <c r="J972" s="20" t="n">
        <f aca="false">IF(ROUND($G972,2)=0,0,1)</f>
        <v>0</v>
      </c>
      <c r="K972" s="20" t="str">
        <f aca="false">IF($J972=0,"",SUM($J$964:$J972))</f>
        <v/>
      </c>
      <c r="L972" s="20" t="str">
        <f aca="false">IF($K972="","",$A972*100+$K972)</f>
        <v/>
      </c>
      <c r="M972" s="48" t="str">
        <f aca="false">IFERROR(INDEX(输入报销!$D:$D,MATCH($A972&amp;"-9",输入报销!$J:$J,0))&amp;"","")</f>
        <v/>
      </c>
    </row>
    <row r="973" customFormat="false" ht="13.5" hidden="false" customHeight="false" outlineLevel="0" collapsed="false">
      <c r="A973" s="47" t="n">
        <v>75</v>
      </c>
      <c r="C973" s="48" t="str">
        <f aca="false">助手报销!$C76</f>
        <v/>
      </c>
      <c r="D973" s="81" t="s">
        <v>488</v>
      </c>
      <c r="E973" s="48" t="str">
        <f aca="false">IFERROR(INDEX(输入报销!$E:$E,MATCH($A973&amp;"-10",输入报销!$J:$J,0))&amp;"","")</f>
        <v/>
      </c>
      <c r="F973" s="48" t="str">
        <f aca="false">IFERROR(INDEX(输入报销!$F:$F,MATCH($A973&amp;"-10",输入报销!$J:$J,0))&amp;"","")</f>
        <v/>
      </c>
      <c r="G973" s="49" t="n">
        <f aca="false">IFERROR(ROUND(INDEX(输入报销!$G:$G,MATCH($A973&amp;"-10",输入报销!$J:$J,0)),2),0)</f>
        <v>0</v>
      </c>
      <c r="H973" s="49" t="str">
        <f aca="false">IF(ROUND($G973,2)&gt;0,ROUND($G973,2),"")</f>
        <v/>
      </c>
      <c r="I973" s="49" t="str">
        <f aca="false">IF(ROUND($G973,2)&lt;0,-ROUND($G973,2),"")</f>
        <v/>
      </c>
      <c r="J973" s="20" t="n">
        <f aca="false">IF(ROUND($G973,2)=0,0,1)</f>
        <v>0</v>
      </c>
      <c r="K973" s="20" t="str">
        <f aca="false">IF($J973=0,"",SUM($J$964:$J973))</f>
        <v/>
      </c>
      <c r="L973" s="20" t="str">
        <f aca="false">IF($K973="","",$A973*100+$K973)</f>
        <v/>
      </c>
      <c r="M973" s="48" t="str">
        <f aca="false">IFERROR(INDEX(输入报销!$D:$D,MATCH($A973&amp;"-10",输入报销!$J:$J,0))&amp;"","")</f>
        <v/>
      </c>
    </row>
    <row r="974" customFormat="false" ht="13.5" hidden="false" customHeight="false" outlineLevel="0" collapsed="false">
      <c r="A974" s="47" t="n">
        <v>75</v>
      </c>
      <c r="C974" s="48" t="str">
        <f aca="false">助手报销!$C76</f>
        <v/>
      </c>
      <c r="D974" s="81" t="s">
        <v>489</v>
      </c>
      <c r="E974" s="48" t="str">
        <f aca="false">参数!$B$6</f>
        <v>库存现金</v>
      </c>
      <c r="F974" s="48" t="str">
        <f aca="false">""</f>
        <v/>
      </c>
      <c r="G974" s="49" t="n">
        <f aca="false">-ROUND(SUMIFS(输入报销!$G:$G,输入报销!$A:$A,$A974,输入报销!$H:$H,参数!$B$6),2)</f>
        <v>-0</v>
      </c>
      <c r="H974" s="49" t="str">
        <f aca="false">IF(ROUND($G974,2)&gt;0,ROUND($G974,2),"")</f>
        <v/>
      </c>
      <c r="I974" s="49" t="str">
        <f aca="false">IF(ROUND($G974,2)&lt;0,-ROUND($G974,2),"")</f>
        <v/>
      </c>
      <c r="J974" s="20" t="n">
        <f aca="false">IF(ROUND($G974,2)=0,0,1)</f>
        <v>0</v>
      </c>
      <c r="K974" s="20" t="str">
        <f aca="false">IF($J974=0,"",SUM($J$964:$J974))</f>
        <v/>
      </c>
      <c r="L974" s="20" t="str">
        <f aca="false">IF($K974="","",$A974*100+$K974)</f>
        <v/>
      </c>
      <c r="M974" s="48" t="str">
        <f aca="false">""</f>
        <v/>
      </c>
    </row>
    <row r="975" customFormat="false" ht="13.5" hidden="false" customHeight="false" outlineLevel="0" collapsed="false">
      <c r="A975" s="47" t="n">
        <v>75</v>
      </c>
      <c r="C975" s="48" t="str">
        <f aca="false">助手报销!$C76</f>
        <v/>
      </c>
      <c r="D975" s="81" t="s">
        <v>490</v>
      </c>
      <c r="E975" s="48" t="str">
        <f aca="false">参数!$B$7</f>
        <v>银行存款</v>
      </c>
      <c r="F975" s="48" t="str">
        <f aca="false">""</f>
        <v/>
      </c>
      <c r="G975" s="49" t="n">
        <f aca="false">-ROUND(SUMIFS(输入报销!$G:$G,输入报销!$A:$A,$A975,输入报销!$H:$H,参数!$B$7),2)</f>
        <v>-0</v>
      </c>
      <c r="H975" s="49" t="str">
        <f aca="false">IF(ROUND($G975,2)&gt;0,ROUND($G975,2),"")</f>
        <v/>
      </c>
      <c r="I975" s="49" t="str">
        <f aca="false">IF(ROUND($G975,2)&lt;0,-ROUND($G975,2),"")</f>
        <v/>
      </c>
      <c r="J975" s="20" t="n">
        <f aca="false">IF(ROUND($G975,2)=0,0,1)</f>
        <v>0</v>
      </c>
      <c r="K975" s="20" t="str">
        <f aca="false">IF($J975=0,"",SUM($J$964:$J975))</f>
        <v/>
      </c>
      <c r="L975" s="20" t="str">
        <f aca="false">IF($K975="","",$A975*100+$K975)</f>
        <v/>
      </c>
      <c r="M975" s="48" t="str">
        <f aca="false">""</f>
        <v/>
      </c>
    </row>
    <row r="976" customFormat="false" ht="13.5" hidden="false" customHeight="false" outlineLevel="0" collapsed="false">
      <c r="A976" s="47" t="n">
        <v>75</v>
      </c>
      <c r="C976" s="48" t="str">
        <f aca="false">助手报销!$C76</f>
        <v/>
      </c>
      <c r="D976" s="81" t="s">
        <v>491</v>
      </c>
      <c r="E976" s="48" t="str">
        <f aca="false">参数!$B$8</f>
        <v>其他应付款</v>
      </c>
      <c r="F976" s="48" t="str">
        <f aca="false">""</f>
        <v/>
      </c>
      <c r="G976" s="49" t="n">
        <f aca="false">-ROUND(SUMIFS(输入报销!$G:$G,输入报销!$A:$A,$A976,输入报销!$H:$H,参数!$B$8),2)</f>
        <v>-0</v>
      </c>
      <c r="H976" s="49" t="str">
        <f aca="false">IF(ROUND($G976,2)&gt;0,ROUND($G976,2),"")</f>
        <v/>
      </c>
      <c r="I976" s="49" t="str">
        <f aca="false">IF(ROUND($G976,2)&lt;0,-ROUND($G976,2),"")</f>
        <v/>
      </c>
      <c r="J976" s="20" t="n">
        <f aca="false">IF(ROUND($G976,2)=0,0,1)</f>
        <v>0</v>
      </c>
      <c r="K976" s="20" t="str">
        <f aca="false">IF($J976=0,"",SUM($J$964:$J976))</f>
        <v/>
      </c>
      <c r="L976" s="20" t="str">
        <f aca="false">IF($K976="","",$A976*100+$K976)</f>
        <v/>
      </c>
      <c r="M976" s="48" t="str">
        <f aca="false">""</f>
        <v/>
      </c>
    </row>
    <row r="977" customFormat="false" ht="13.5" hidden="false" customHeight="false" outlineLevel="0" collapsed="false">
      <c r="A977" s="47" t="n">
        <v>76</v>
      </c>
      <c r="C977" s="48" t="str">
        <f aca="false">助手报销!$C77</f>
        <v/>
      </c>
      <c r="D977" s="81" t="s">
        <v>479</v>
      </c>
      <c r="E977" s="48" t="str">
        <f aca="false">IFERROR(INDEX(输入报销!$E:$E,MATCH($A977&amp;"-1",输入报销!$J:$J,0))&amp;"","")</f>
        <v/>
      </c>
      <c r="F977" s="48" t="str">
        <f aca="false">IFERROR(INDEX(输入报销!$F:$F,MATCH($A977&amp;"-1",输入报销!$J:$J,0))&amp;"","")</f>
        <v/>
      </c>
      <c r="G977" s="49" t="n">
        <f aca="false">IFERROR(ROUND(INDEX(输入报销!$G:$G,MATCH($A977&amp;"-1",输入报销!$J:$J,0)),2),0)</f>
        <v>0</v>
      </c>
      <c r="H977" s="49" t="str">
        <f aca="false">IF(ROUND($G977,2)&gt;0,ROUND($G977,2),"")</f>
        <v/>
      </c>
      <c r="I977" s="49" t="str">
        <f aca="false">IF(ROUND($G977,2)&lt;0,-ROUND($G977,2),"")</f>
        <v/>
      </c>
      <c r="J977" s="20" t="n">
        <f aca="false">IF(ROUND($G977,2)=0,0,1)</f>
        <v>0</v>
      </c>
      <c r="K977" s="20" t="str">
        <f aca="false">IF($J977=0,"",SUM($J$977:$J977))</f>
        <v/>
      </c>
      <c r="L977" s="20" t="str">
        <f aca="false">IF($K977="","",$A977*100+$K977)</f>
        <v/>
      </c>
      <c r="M977" s="48" t="str">
        <f aca="false">IFERROR(INDEX(输入报销!$D:$D,MATCH($A977&amp;"-1",输入报销!$J:$J,0))&amp;"","")</f>
        <v/>
      </c>
    </row>
    <row r="978" customFormat="false" ht="13.5" hidden="false" customHeight="false" outlineLevel="0" collapsed="false">
      <c r="A978" s="47" t="n">
        <v>76</v>
      </c>
      <c r="C978" s="48" t="str">
        <f aca="false">助手报销!$C77</f>
        <v/>
      </c>
      <c r="D978" s="81" t="s">
        <v>480</v>
      </c>
      <c r="E978" s="48" t="str">
        <f aca="false">IFERROR(INDEX(输入报销!$E:$E,MATCH($A978&amp;"-2",输入报销!$J:$J,0))&amp;"","")</f>
        <v/>
      </c>
      <c r="F978" s="48" t="str">
        <f aca="false">IFERROR(INDEX(输入报销!$F:$F,MATCH($A978&amp;"-2",输入报销!$J:$J,0))&amp;"","")</f>
        <v/>
      </c>
      <c r="G978" s="49" t="n">
        <f aca="false">IFERROR(ROUND(INDEX(输入报销!$G:$G,MATCH($A978&amp;"-2",输入报销!$J:$J,0)),2),0)</f>
        <v>0</v>
      </c>
      <c r="H978" s="49" t="str">
        <f aca="false">IF(ROUND($G978,2)&gt;0,ROUND($G978,2),"")</f>
        <v/>
      </c>
      <c r="I978" s="49" t="str">
        <f aca="false">IF(ROUND($G978,2)&lt;0,-ROUND($G978,2),"")</f>
        <v/>
      </c>
      <c r="J978" s="20" t="n">
        <f aca="false">IF(ROUND($G978,2)=0,0,1)</f>
        <v>0</v>
      </c>
      <c r="K978" s="20" t="str">
        <f aca="false">IF($J978=0,"",SUM($J$977:$J978))</f>
        <v/>
      </c>
      <c r="L978" s="20" t="str">
        <f aca="false">IF($K978="","",$A978*100+$K978)</f>
        <v/>
      </c>
      <c r="M978" s="48" t="str">
        <f aca="false">IFERROR(INDEX(输入报销!$D:$D,MATCH($A978&amp;"-2",输入报销!$J:$J,0))&amp;"","")</f>
        <v/>
      </c>
    </row>
    <row r="979" customFormat="false" ht="13.5" hidden="false" customHeight="false" outlineLevel="0" collapsed="false">
      <c r="A979" s="47" t="n">
        <v>76</v>
      </c>
      <c r="C979" s="48" t="str">
        <f aca="false">助手报销!$C77</f>
        <v/>
      </c>
      <c r="D979" s="81" t="s">
        <v>481</v>
      </c>
      <c r="E979" s="48" t="str">
        <f aca="false">IFERROR(INDEX(输入报销!$E:$E,MATCH($A979&amp;"-3",输入报销!$J:$J,0))&amp;"","")</f>
        <v/>
      </c>
      <c r="F979" s="48" t="str">
        <f aca="false">IFERROR(INDEX(输入报销!$F:$F,MATCH($A979&amp;"-3",输入报销!$J:$J,0))&amp;"","")</f>
        <v/>
      </c>
      <c r="G979" s="49" t="n">
        <f aca="false">IFERROR(ROUND(INDEX(输入报销!$G:$G,MATCH($A979&amp;"-3",输入报销!$J:$J,0)),2),0)</f>
        <v>0</v>
      </c>
      <c r="H979" s="49" t="str">
        <f aca="false">IF(ROUND($G979,2)&gt;0,ROUND($G979,2),"")</f>
        <v/>
      </c>
      <c r="I979" s="49" t="str">
        <f aca="false">IF(ROUND($G979,2)&lt;0,-ROUND($G979,2),"")</f>
        <v/>
      </c>
      <c r="J979" s="20" t="n">
        <f aca="false">IF(ROUND($G979,2)=0,0,1)</f>
        <v>0</v>
      </c>
      <c r="K979" s="20" t="str">
        <f aca="false">IF($J979=0,"",SUM($J$977:$J979))</f>
        <v/>
      </c>
      <c r="L979" s="20" t="str">
        <f aca="false">IF($K979="","",$A979*100+$K979)</f>
        <v/>
      </c>
      <c r="M979" s="48" t="str">
        <f aca="false">IFERROR(INDEX(输入报销!$D:$D,MATCH($A979&amp;"-3",输入报销!$J:$J,0))&amp;"","")</f>
        <v/>
      </c>
    </row>
    <row r="980" customFormat="false" ht="13.5" hidden="false" customHeight="false" outlineLevel="0" collapsed="false">
      <c r="A980" s="47" t="n">
        <v>76</v>
      </c>
      <c r="C980" s="48" t="str">
        <f aca="false">助手报销!$C77</f>
        <v/>
      </c>
      <c r="D980" s="81" t="s">
        <v>482</v>
      </c>
      <c r="E980" s="48" t="str">
        <f aca="false">IFERROR(INDEX(输入报销!$E:$E,MATCH($A980&amp;"-4",输入报销!$J:$J,0))&amp;"","")</f>
        <v/>
      </c>
      <c r="F980" s="48" t="str">
        <f aca="false">IFERROR(INDEX(输入报销!$F:$F,MATCH($A980&amp;"-4",输入报销!$J:$J,0))&amp;"","")</f>
        <v/>
      </c>
      <c r="G980" s="49" t="n">
        <f aca="false">IFERROR(ROUND(INDEX(输入报销!$G:$G,MATCH($A980&amp;"-4",输入报销!$J:$J,0)),2),0)</f>
        <v>0</v>
      </c>
      <c r="H980" s="49" t="str">
        <f aca="false">IF(ROUND($G980,2)&gt;0,ROUND($G980,2),"")</f>
        <v/>
      </c>
      <c r="I980" s="49" t="str">
        <f aca="false">IF(ROUND($G980,2)&lt;0,-ROUND($G980,2),"")</f>
        <v/>
      </c>
      <c r="J980" s="20" t="n">
        <f aca="false">IF(ROUND($G980,2)=0,0,1)</f>
        <v>0</v>
      </c>
      <c r="K980" s="20" t="str">
        <f aca="false">IF($J980=0,"",SUM($J$977:$J980))</f>
        <v/>
      </c>
      <c r="L980" s="20" t="str">
        <f aca="false">IF($K980="","",$A980*100+$K980)</f>
        <v/>
      </c>
      <c r="M980" s="48" t="str">
        <f aca="false">IFERROR(INDEX(输入报销!$D:$D,MATCH($A980&amp;"-4",输入报销!$J:$J,0))&amp;"","")</f>
        <v/>
      </c>
    </row>
    <row r="981" customFormat="false" ht="13.5" hidden="false" customHeight="false" outlineLevel="0" collapsed="false">
      <c r="A981" s="47" t="n">
        <v>76</v>
      </c>
      <c r="C981" s="48" t="str">
        <f aca="false">助手报销!$C77</f>
        <v/>
      </c>
      <c r="D981" s="81" t="s">
        <v>483</v>
      </c>
      <c r="E981" s="48" t="str">
        <f aca="false">IFERROR(INDEX(输入报销!$E:$E,MATCH($A981&amp;"-5",输入报销!$J:$J,0))&amp;"","")</f>
        <v/>
      </c>
      <c r="F981" s="48" t="str">
        <f aca="false">IFERROR(INDEX(输入报销!$F:$F,MATCH($A981&amp;"-5",输入报销!$J:$J,0))&amp;"","")</f>
        <v/>
      </c>
      <c r="G981" s="49" t="n">
        <f aca="false">IFERROR(ROUND(INDEX(输入报销!$G:$G,MATCH($A981&amp;"-5",输入报销!$J:$J,0)),2),0)</f>
        <v>0</v>
      </c>
      <c r="H981" s="49" t="str">
        <f aca="false">IF(ROUND($G981,2)&gt;0,ROUND($G981,2),"")</f>
        <v/>
      </c>
      <c r="I981" s="49" t="str">
        <f aca="false">IF(ROUND($G981,2)&lt;0,-ROUND($G981,2),"")</f>
        <v/>
      </c>
      <c r="J981" s="20" t="n">
        <f aca="false">IF(ROUND($G981,2)=0,0,1)</f>
        <v>0</v>
      </c>
      <c r="K981" s="20" t="str">
        <f aca="false">IF($J981=0,"",SUM($J$977:$J981))</f>
        <v/>
      </c>
      <c r="L981" s="20" t="str">
        <f aca="false">IF($K981="","",$A981*100+$K981)</f>
        <v/>
      </c>
      <c r="M981" s="48" t="str">
        <f aca="false">IFERROR(INDEX(输入报销!$D:$D,MATCH($A981&amp;"-5",输入报销!$J:$J,0))&amp;"","")</f>
        <v/>
      </c>
    </row>
    <row r="982" customFormat="false" ht="13.5" hidden="false" customHeight="false" outlineLevel="0" collapsed="false">
      <c r="A982" s="47" t="n">
        <v>76</v>
      </c>
      <c r="C982" s="48" t="str">
        <f aca="false">助手报销!$C77</f>
        <v/>
      </c>
      <c r="D982" s="81" t="s">
        <v>484</v>
      </c>
      <c r="E982" s="48" t="str">
        <f aca="false">IFERROR(INDEX(输入报销!$E:$E,MATCH($A982&amp;"-6",输入报销!$J:$J,0))&amp;"","")</f>
        <v/>
      </c>
      <c r="F982" s="48" t="str">
        <f aca="false">IFERROR(INDEX(输入报销!$F:$F,MATCH($A982&amp;"-6",输入报销!$J:$J,0))&amp;"","")</f>
        <v/>
      </c>
      <c r="G982" s="49" t="n">
        <f aca="false">IFERROR(ROUND(INDEX(输入报销!$G:$G,MATCH($A982&amp;"-6",输入报销!$J:$J,0)),2),0)</f>
        <v>0</v>
      </c>
      <c r="H982" s="49" t="str">
        <f aca="false">IF(ROUND($G982,2)&gt;0,ROUND($G982,2),"")</f>
        <v/>
      </c>
      <c r="I982" s="49" t="str">
        <f aca="false">IF(ROUND($G982,2)&lt;0,-ROUND($G982,2),"")</f>
        <v/>
      </c>
      <c r="J982" s="20" t="n">
        <f aca="false">IF(ROUND($G982,2)=0,0,1)</f>
        <v>0</v>
      </c>
      <c r="K982" s="20" t="str">
        <f aca="false">IF($J982=0,"",SUM($J$977:$J982))</f>
        <v/>
      </c>
      <c r="L982" s="20" t="str">
        <f aca="false">IF($K982="","",$A982*100+$K982)</f>
        <v/>
      </c>
      <c r="M982" s="48" t="str">
        <f aca="false">IFERROR(INDEX(输入报销!$D:$D,MATCH($A982&amp;"-6",输入报销!$J:$J,0))&amp;"","")</f>
        <v/>
      </c>
    </row>
    <row r="983" customFormat="false" ht="13.5" hidden="false" customHeight="false" outlineLevel="0" collapsed="false">
      <c r="A983" s="47" t="n">
        <v>76</v>
      </c>
      <c r="C983" s="48" t="str">
        <f aca="false">助手报销!$C77</f>
        <v/>
      </c>
      <c r="D983" s="81" t="s">
        <v>485</v>
      </c>
      <c r="E983" s="48" t="str">
        <f aca="false">IFERROR(INDEX(输入报销!$E:$E,MATCH($A983&amp;"-7",输入报销!$J:$J,0))&amp;"","")</f>
        <v/>
      </c>
      <c r="F983" s="48" t="str">
        <f aca="false">IFERROR(INDEX(输入报销!$F:$F,MATCH($A983&amp;"-7",输入报销!$J:$J,0))&amp;"","")</f>
        <v/>
      </c>
      <c r="G983" s="49" t="n">
        <f aca="false">IFERROR(ROUND(INDEX(输入报销!$G:$G,MATCH($A983&amp;"-7",输入报销!$J:$J,0)),2),0)</f>
        <v>0</v>
      </c>
      <c r="H983" s="49" t="str">
        <f aca="false">IF(ROUND($G983,2)&gt;0,ROUND($G983,2),"")</f>
        <v/>
      </c>
      <c r="I983" s="49" t="str">
        <f aca="false">IF(ROUND($G983,2)&lt;0,-ROUND($G983,2),"")</f>
        <v/>
      </c>
      <c r="J983" s="20" t="n">
        <f aca="false">IF(ROUND($G983,2)=0,0,1)</f>
        <v>0</v>
      </c>
      <c r="K983" s="20" t="str">
        <f aca="false">IF($J983=0,"",SUM($J$977:$J983))</f>
        <v/>
      </c>
      <c r="L983" s="20" t="str">
        <f aca="false">IF($K983="","",$A983*100+$K983)</f>
        <v/>
      </c>
      <c r="M983" s="48" t="str">
        <f aca="false">IFERROR(INDEX(输入报销!$D:$D,MATCH($A983&amp;"-7",输入报销!$J:$J,0))&amp;"","")</f>
        <v/>
      </c>
    </row>
    <row r="984" customFormat="false" ht="13.5" hidden="false" customHeight="false" outlineLevel="0" collapsed="false">
      <c r="A984" s="47" t="n">
        <v>76</v>
      </c>
      <c r="C984" s="48" t="str">
        <f aca="false">助手报销!$C77</f>
        <v/>
      </c>
      <c r="D984" s="81" t="s">
        <v>486</v>
      </c>
      <c r="E984" s="48" t="str">
        <f aca="false">IFERROR(INDEX(输入报销!$E:$E,MATCH($A984&amp;"-8",输入报销!$J:$J,0))&amp;"","")</f>
        <v/>
      </c>
      <c r="F984" s="48" t="str">
        <f aca="false">IFERROR(INDEX(输入报销!$F:$F,MATCH($A984&amp;"-8",输入报销!$J:$J,0))&amp;"","")</f>
        <v/>
      </c>
      <c r="G984" s="49" t="n">
        <f aca="false">IFERROR(ROUND(INDEX(输入报销!$G:$G,MATCH($A984&amp;"-8",输入报销!$J:$J,0)),2),0)</f>
        <v>0</v>
      </c>
      <c r="H984" s="49" t="str">
        <f aca="false">IF(ROUND($G984,2)&gt;0,ROUND($G984,2),"")</f>
        <v/>
      </c>
      <c r="I984" s="49" t="str">
        <f aca="false">IF(ROUND($G984,2)&lt;0,-ROUND($G984,2),"")</f>
        <v/>
      </c>
      <c r="J984" s="20" t="n">
        <f aca="false">IF(ROUND($G984,2)=0,0,1)</f>
        <v>0</v>
      </c>
      <c r="K984" s="20" t="str">
        <f aca="false">IF($J984=0,"",SUM($J$977:$J984))</f>
        <v/>
      </c>
      <c r="L984" s="20" t="str">
        <f aca="false">IF($K984="","",$A984*100+$K984)</f>
        <v/>
      </c>
      <c r="M984" s="48" t="str">
        <f aca="false">IFERROR(INDEX(输入报销!$D:$D,MATCH($A984&amp;"-8",输入报销!$J:$J,0))&amp;"","")</f>
        <v/>
      </c>
    </row>
    <row r="985" customFormat="false" ht="13.5" hidden="false" customHeight="false" outlineLevel="0" collapsed="false">
      <c r="A985" s="47" t="n">
        <v>76</v>
      </c>
      <c r="C985" s="48" t="str">
        <f aca="false">助手报销!$C77</f>
        <v/>
      </c>
      <c r="D985" s="81" t="s">
        <v>487</v>
      </c>
      <c r="E985" s="48" t="str">
        <f aca="false">IFERROR(INDEX(输入报销!$E:$E,MATCH($A985&amp;"-9",输入报销!$J:$J,0))&amp;"","")</f>
        <v/>
      </c>
      <c r="F985" s="48" t="str">
        <f aca="false">IFERROR(INDEX(输入报销!$F:$F,MATCH($A985&amp;"-9",输入报销!$J:$J,0))&amp;"","")</f>
        <v/>
      </c>
      <c r="G985" s="49" t="n">
        <f aca="false">IFERROR(ROUND(INDEX(输入报销!$G:$G,MATCH($A985&amp;"-9",输入报销!$J:$J,0)),2),0)</f>
        <v>0</v>
      </c>
      <c r="H985" s="49" t="str">
        <f aca="false">IF(ROUND($G985,2)&gt;0,ROUND($G985,2),"")</f>
        <v/>
      </c>
      <c r="I985" s="49" t="str">
        <f aca="false">IF(ROUND($G985,2)&lt;0,-ROUND($G985,2),"")</f>
        <v/>
      </c>
      <c r="J985" s="20" t="n">
        <f aca="false">IF(ROUND($G985,2)=0,0,1)</f>
        <v>0</v>
      </c>
      <c r="K985" s="20" t="str">
        <f aca="false">IF($J985=0,"",SUM($J$977:$J985))</f>
        <v/>
      </c>
      <c r="L985" s="20" t="str">
        <f aca="false">IF($K985="","",$A985*100+$K985)</f>
        <v/>
      </c>
      <c r="M985" s="48" t="str">
        <f aca="false">IFERROR(INDEX(输入报销!$D:$D,MATCH($A985&amp;"-9",输入报销!$J:$J,0))&amp;"","")</f>
        <v/>
      </c>
    </row>
    <row r="986" customFormat="false" ht="13.5" hidden="false" customHeight="false" outlineLevel="0" collapsed="false">
      <c r="A986" s="47" t="n">
        <v>76</v>
      </c>
      <c r="C986" s="48" t="str">
        <f aca="false">助手报销!$C77</f>
        <v/>
      </c>
      <c r="D986" s="81" t="s">
        <v>488</v>
      </c>
      <c r="E986" s="48" t="str">
        <f aca="false">IFERROR(INDEX(输入报销!$E:$E,MATCH($A986&amp;"-10",输入报销!$J:$J,0))&amp;"","")</f>
        <v/>
      </c>
      <c r="F986" s="48" t="str">
        <f aca="false">IFERROR(INDEX(输入报销!$F:$F,MATCH($A986&amp;"-10",输入报销!$J:$J,0))&amp;"","")</f>
        <v/>
      </c>
      <c r="G986" s="49" t="n">
        <f aca="false">IFERROR(ROUND(INDEX(输入报销!$G:$G,MATCH($A986&amp;"-10",输入报销!$J:$J,0)),2),0)</f>
        <v>0</v>
      </c>
      <c r="H986" s="49" t="str">
        <f aca="false">IF(ROUND($G986,2)&gt;0,ROUND($G986,2),"")</f>
        <v/>
      </c>
      <c r="I986" s="49" t="str">
        <f aca="false">IF(ROUND($G986,2)&lt;0,-ROUND($G986,2),"")</f>
        <v/>
      </c>
      <c r="J986" s="20" t="n">
        <f aca="false">IF(ROUND($G986,2)=0,0,1)</f>
        <v>0</v>
      </c>
      <c r="K986" s="20" t="str">
        <f aca="false">IF($J986=0,"",SUM($J$977:$J986))</f>
        <v/>
      </c>
      <c r="L986" s="20" t="str">
        <f aca="false">IF($K986="","",$A986*100+$K986)</f>
        <v/>
      </c>
      <c r="M986" s="48" t="str">
        <f aca="false">IFERROR(INDEX(输入报销!$D:$D,MATCH($A986&amp;"-10",输入报销!$J:$J,0))&amp;"","")</f>
        <v/>
      </c>
    </row>
    <row r="987" customFormat="false" ht="13.5" hidden="false" customHeight="false" outlineLevel="0" collapsed="false">
      <c r="A987" s="47" t="n">
        <v>76</v>
      </c>
      <c r="C987" s="48" t="str">
        <f aca="false">助手报销!$C77</f>
        <v/>
      </c>
      <c r="D987" s="81" t="s">
        <v>489</v>
      </c>
      <c r="E987" s="48" t="str">
        <f aca="false">参数!$B$6</f>
        <v>库存现金</v>
      </c>
      <c r="F987" s="48" t="str">
        <f aca="false">""</f>
        <v/>
      </c>
      <c r="G987" s="49" t="n">
        <f aca="false">-ROUND(SUMIFS(输入报销!$G:$G,输入报销!$A:$A,$A987,输入报销!$H:$H,参数!$B$6),2)</f>
        <v>-0</v>
      </c>
      <c r="H987" s="49" t="str">
        <f aca="false">IF(ROUND($G987,2)&gt;0,ROUND($G987,2),"")</f>
        <v/>
      </c>
      <c r="I987" s="49" t="str">
        <f aca="false">IF(ROUND($G987,2)&lt;0,-ROUND($G987,2),"")</f>
        <v/>
      </c>
      <c r="J987" s="20" t="n">
        <f aca="false">IF(ROUND($G987,2)=0,0,1)</f>
        <v>0</v>
      </c>
      <c r="K987" s="20" t="str">
        <f aca="false">IF($J987=0,"",SUM($J$977:$J987))</f>
        <v/>
      </c>
      <c r="L987" s="20" t="str">
        <f aca="false">IF($K987="","",$A987*100+$K987)</f>
        <v/>
      </c>
      <c r="M987" s="48" t="str">
        <f aca="false">""</f>
        <v/>
      </c>
    </row>
    <row r="988" customFormat="false" ht="13.5" hidden="false" customHeight="false" outlineLevel="0" collapsed="false">
      <c r="A988" s="47" t="n">
        <v>76</v>
      </c>
      <c r="C988" s="48" t="str">
        <f aca="false">助手报销!$C77</f>
        <v/>
      </c>
      <c r="D988" s="81" t="s">
        <v>490</v>
      </c>
      <c r="E988" s="48" t="str">
        <f aca="false">参数!$B$7</f>
        <v>银行存款</v>
      </c>
      <c r="F988" s="48" t="str">
        <f aca="false">""</f>
        <v/>
      </c>
      <c r="G988" s="49" t="n">
        <f aca="false">-ROUND(SUMIFS(输入报销!$G:$G,输入报销!$A:$A,$A988,输入报销!$H:$H,参数!$B$7),2)</f>
        <v>-0</v>
      </c>
      <c r="H988" s="49" t="str">
        <f aca="false">IF(ROUND($G988,2)&gt;0,ROUND($G988,2),"")</f>
        <v/>
      </c>
      <c r="I988" s="49" t="str">
        <f aca="false">IF(ROUND($G988,2)&lt;0,-ROUND($G988,2),"")</f>
        <v/>
      </c>
      <c r="J988" s="20" t="n">
        <f aca="false">IF(ROUND($G988,2)=0,0,1)</f>
        <v>0</v>
      </c>
      <c r="K988" s="20" t="str">
        <f aca="false">IF($J988=0,"",SUM($J$977:$J988))</f>
        <v/>
      </c>
      <c r="L988" s="20" t="str">
        <f aca="false">IF($K988="","",$A988*100+$K988)</f>
        <v/>
      </c>
      <c r="M988" s="48" t="str">
        <f aca="false">""</f>
        <v/>
      </c>
    </row>
    <row r="989" customFormat="false" ht="13.5" hidden="false" customHeight="false" outlineLevel="0" collapsed="false">
      <c r="A989" s="47" t="n">
        <v>76</v>
      </c>
      <c r="C989" s="48" t="str">
        <f aca="false">助手报销!$C77</f>
        <v/>
      </c>
      <c r="D989" s="81" t="s">
        <v>491</v>
      </c>
      <c r="E989" s="48" t="str">
        <f aca="false">参数!$B$8</f>
        <v>其他应付款</v>
      </c>
      <c r="F989" s="48" t="str">
        <f aca="false">""</f>
        <v/>
      </c>
      <c r="G989" s="49" t="n">
        <f aca="false">-ROUND(SUMIFS(输入报销!$G:$G,输入报销!$A:$A,$A989,输入报销!$H:$H,参数!$B$8),2)</f>
        <v>-0</v>
      </c>
      <c r="H989" s="49" t="str">
        <f aca="false">IF(ROUND($G989,2)&gt;0,ROUND($G989,2),"")</f>
        <v/>
      </c>
      <c r="I989" s="49" t="str">
        <f aca="false">IF(ROUND($G989,2)&lt;0,-ROUND($G989,2),"")</f>
        <v/>
      </c>
      <c r="J989" s="20" t="n">
        <f aca="false">IF(ROUND($G989,2)=0,0,1)</f>
        <v>0</v>
      </c>
      <c r="K989" s="20" t="str">
        <f aca="false">IF($J989=0,"",SUM($J$977:$J989))</f>
        <v/>
      </c>
      <c r="L989" s="20" t="str">
        <f aca="false">IF($K989="","",$A989*100+$K989)</f>
        <v/>
      </c>
      <c r="M989" s="48" t="str">
        <f aca="false">""</f>
        <v/>
      </c>
    </row>
    <row r="990" customFormat="false" ht="13.5" hidden="false" customHeight="false" outlineLevel="0" collapsed="false">
      <c r="A990" s="47" t="n">
        <v>77</v>
      </c>
      <c r="C990" s="48" t="str">
        <f aca="false">助手报销!$C78</f>
        <v/>
      </c>
      <c r="D990" s="81" t="s">
        <v>479</v>
      </c>
      <c r="E990" s="48" t="str">
        <f aca="false">IFERROR(INDEX(输入报销!$E:$E,MATCH($A990&amp;"-1",输入报销!$J:$J,0))&amp;"","")</f>
        <v/>
      </c>
      <c r="F990" s="48" t="str">
        <f aca="false">IFERROR(INDEX(输入报销!$F:$F,MATCH($A990&amp;"-1",输入报销!$J:$J,0))&amp;"","")</f>
        <v/>
      </c>
      <c r="G990" s="49" t="n">
        <f aca="false">IFERROR(ROUND(INDEX(输入报销!$G:$G,MATCH($A990&amp;"-1",输入报销!$J:$J,0)),2),0)</f>
        <v>0</v>
      </c>
      <c r="H990" s="49" t="str">
        <f aca="false">IF(ROUND($G990,2)&gt;0,ROUND($G990,2),"")</f>
        <v/>
      </c>
      <c r="I990" s="49" t="str">
        <f aca="false">IF(ROUND($G990,2)&lt;0,-ROUND($G990,2),"")</f>
        <v/>
      </c>
      <c r="J990" s="20" t="n">
        <f aca="false">IF(ROUND($G990,2)=0,0,1)</f>
        <v>0</v>
      </c>
      <c r="K990" s="20" t="str">
        <f aca="false">IF($J990=0,"",SUM($J$990:$J990))</f>
        <v/>
      </c>
      <c r="L990" s="20" t="str">
        <f aca="false">IF($K990="","",$A990*100+$K990)</f>
        <v/>
      </c>
      <c r="M990" s="48" t="str">
        <f aca="false">IFERROR(INDEX(输入报销!$D:$D,MATCH($A990&amp;"-1",输入报销!$J:$J,0))&amp;"","")</f>
        <v/>
      </c>
    </row>
    <row r="991" customFormat="false" ht="13.5" hidden="false" customHeight="false" outlineLevel="0" collapsed="false">
      <c r="A991" s="47" t="n">
        <v>77</v>
      </c>
      <c r="C991" s="48" t="str">
        <f aca="false">助手报销!$C78</f>
        <v/>
      </c>
      <c r="D991" s="81" t="s">
        <v>480</v>
      </c>
      <c r="E991" s="48" t="str">
        <f aca="false">IFERROR(INDEX(输入报销!$E:$E,MATCH($A991&amp;"-2",输入报销!$J:$J,0))&amp;"","")</f>
        <v/>
      </c>
      <c r="F991" s="48" t="str">
        <f aca="false">IFERROR(INDEX(输入报销!$F:$F,MATCH($A991&amp;"-2",输入报销!$J:$J,0))&amp;"","")</f>
        <v/>
      </c>
      <c r="G991" s="49" t="n">
        <f aca="false">IFERROR(ROUND(INDEX(输入报销!$G:$G,MATCH($A991&amp;"-2",输入报销!$J:$J,0)),2),0)</f>
        <v>0</v>
      </c>
      <c r="H991" s="49" t="str">
        <f aca="false">IF(ROUND($G991,2)&gt;0,ROUND($G991,2),"")</f>
        <v/>
      </c>
      <c r="I991" s="49" t="str">
        <f aca="false">IF(ROUND($G991,2)&lt;0,-ROUND($G991,2),"")</f>
        <v/>
      </c>
      <c r="J991" s="20" t="n">
        <f aca="false">IF(ROUND($G991,2)=0,0,1)</f>
        <v>0</v>
      </c>
      <c r="K991" s="20" t="str">
        <f aca="false">IF($J991=0,"",SUM($J$990:$J991))</f>
        <v/>
      </c>
      <c r="L991" s="20" t="str">
        <f aca="false">IF($K991="","",$A991*100+$K991)</f>
        <v/>
      </c>
      <c r="M991" s="48" t="str">
        <f aca="false">IFERROR(INDEX(输入报销!$D:$D,MATCH($A991&amp;"-2",输入报销!$J:$J,0))&amp;"","")</f>
        <v/>
      </c>
    </row>
    <row r="992" customFormat="false" ht="13.5" hidden="false" customHeight="false" outlineLevel="0" collapsed="false">
      <c r="A992" s="47" t="n">
        <v>77</v>
      </c>
      <c r="C992" s="48" t="str">
        <f aca="false">助手报销!$C78</f>
        <v/>
      </c>
      <c r="D992" s="81" t="s">
        <v>481</v>
      </c>
      <c r="E992" s="48" t="str">
        <f aca="false">IFERROR(INDEX(输入报销!$E:$E,MATCH($A992&amp;"-3",输入报销!$J:$J,0))&amp;"","")</f>
        <v/>
      </c>
      <c r="F992" s="48" t="str">
        <f aca="false">IFERROR(INDEX(输入报销!$F:$F,MATCH($A992&amp;"-3",输入报销!$J:$J,0))&amp;"","")</f>
        <v/>
      </c>
      <c r="G992" s="49" t="n">
        <f aca="false">IFERROR(ROUND(INDEX(输入报销!$G:$G,MATCH($A992&amp;"-3",输入报销!$J:$J,0)),2),0)</f>
        <v>0</v>
      </c>
      <c r="H992" s="49" t="str">
        <f aca="false">IF(ROUND($G992,2)&gt;0,ROUND($G992,2),"")</f>
        <v/>
      </c>
      <c r="I992" s="49" t="str">
        <f aca="false">IF(ROUND($G992,2)&lt;0,-ROUND($G992,2),"")</f>
        <v/>
      </c>
      <c r="J992" s="20" t="n">
        <f aca="false">IF(ROUND($G992,2)=0,0,1)</f>
        <v>0</v>
      </c>
      <c r="K992" s="20" t="str">
        <f aca="false">IF($J992=0,"",SUM($J$990:$J992))</f>
        <v/>
      </c>
      <c r="L992" s="20" t="str">
        <f aca="false">IF($K992="","",$A992*100+$K992)</f>
        <v/>
      </c>
      <c r="M992" s="48" t="str">
        <f aca="false">IFERROR(INDEX(输入报销!$D:$D,MATCH($A992&amp;"-3",输入报销!$J:$J,0))&amp;"","")</f>
        <v/>
      </c>
    </row>
    <row r="993" customFormat="false" ht="13.5" hidden="false" customHeight="false" outlineLevel="0" collapsed="false">
      <c r="A993" s="47" t="n">
        <v>77</v>
      </c>
      <c r="C993" s="48" t="str">
        <f aca="false">助手报销!$C78</f>
        <v/>
      </c>
      <c r="D993" s="81" t="s">
        <v>482</v>
      </c>
      <c r="E993" s="48" t="str">
        <f aca="false">IFERROR(INDEX(输入报销!$E:$E,MATCH($A993&amp;"-4",输入报销!$J:$J,0))&amp;"","")</f>
        <v/>
      </c>
      <c r="F993" s="48" t="str">
        <f aca="false">IFERROR(INDEX(输入报销!$F:$F,MATCH($A993&amp;"-4",输入报销!$J:$J,0))&amp;"","")</f>
        <v/>
      </c>
      <c r="G993" s="49" t="n">
        <f aca="false">IFERROR(ROUND(INDEX(输入报销!$G:$G,MATCH($A993&amp;"-4",输入报销!$J:$J,0)),2),0)</f>
        <v>0</v>
      </c>
      <c r="H993" s="49" t="str">
        <f aca="false">IF(ROUND($G993,2)&gt;0,ROUND($G993,2),"")</f>
        <v/>
      </c>
      <c r="I993" s="49" t="str">
        <f aca="false">IF(ROUND($G993,2)&lt;0,-ROUND($G993,2),"")</f>
        <v/>
      </c>
      <c r="J993" s="20" t="n">
        <f aca="false">IF(ROUND($G993,2)=0,0,1)</f>
        <v>0</v>
      </c>
      <c r="K993" s="20" t="str">
        <f aca="false">IF($J993=0,"",SUM($J$990:$J993))</f>
        <v/>
      </c>
      <c r="L993" s="20" t="str">
        <f aca="false">IF($K993="","",$A993*100+$K993)</f>
        <v/>
      </c>
      <c r="M993" s="48" t="str">
        <f aca="false">IFERROR(INDEX(输入报销!$D:$D,MATCH($A993&amp;"-4",输入报销!$J:$J,0))&amp;"","")</f>
        <v/>
      </c>
    </row>
    <row r="994" customFormat="false" ht="13.5" hidden="false" customHeight="false" outlineLevel="0" collapsed="false">
      <c r="A994" s="47" t="n">
        <v>77</v>
      </c>
      <c r="C994" s="48" t="str">
        <f aca="false">助手报销!$C78</f>
        <v/>
      </c>
      <c r="D994" s="81" t="s">
        <v>483</v>
      </c>
      <c r="E994" s="48" t="str">
        <f aca="false">IFERROR(INDEX(输入报销!$E:$E,MATCH($A994&amp;"-5",输入报销!$J:$J,0))&amp;"","")</f>
        <v/>
      </c>
      <c r="F994" s="48" t="str">
        <f aca="false">IFERROR(INDEX(输入报销!$F:$F,MATCH($A994&amp;"-5",输入报销!$J:$J,0))&amp;"","")</f>
        <v/>
      </c>
      <c r="G994" s="49" t="n">
        <f aca="false">IFERROR(ROUND(INDEX(输入报销!$G:$G,MATCH($A994&amp;"-5",输入报销!$J:$J,0)),2),0)</f>
        <v>0</v>
      </c>
      <c r="H994" s="49" t="str">
        <f aca="false">IF(ROUND($G994,2)&gt;0,ROUND($G994,2),"")</f>
        <v/>
      </c>
      <c r="I994" s="49" t="str">
        <f aca="false">IF(ROUND($G994,2)&lt;0,-ROUND($G994,2),"")</f>
        <v/>
      </c>
      <c r="J994" s="20" t="n">
        <f aca="false">IF(ROUND($G994,2)=0,0,1)</f>
        <v>0</v>
      </c>
      <c r="K994" s="20" t="str">
        <f aca="false">IF($J994=0,"",SUM($J$990:$J994))</f>
        <v/>
      </c>
      <c r="L994" s="20" t="str">
        <f aca="false">IF($K994="","",$A994*100+$K994)</f>
        <v/>
      </c>
      <c r="M994" s="48" t="str">
        <f aca="false">IFERROR(INDEX(输入报销!$D:$D,MATCH($A994&amp;"-5",输入报销!$J:$J,0))&amp;"","")</f>
        <v/>
      </c>
    </row>
    <row r="995" customFormat="false" ht="13.5" hidden="false" customHeight="false" outlineLevel="0" collapsed="false">
      <c r="A995" s="47" t="n">
        <v>77</v>
      </c>
      <c r="C995" s="48" t="str">
        <f aca="false">助手报销!$C78</f>
        <v/>
      </c>
      <c r="D995" s="81" t="s">
        <v>484</v>
      </c>
      <c r="E995" s="48" t="str">
        <f aca="false">IFERROR(INDEX(输入报销!$E:$E,MATCH($A995&amp;"-6",输入报销!$J:$J,0))&amp;"","")</f>
        <v/>
      </c>
      <c r="F995" s="48" t="str">
        <f aca="false">IFERROR(INDEX(输入报销!$F:$F,MATCH($A995&amp;"-6",输入报销!$J:$J,0))&amp;"","")</f>
        <v/>
      </c>
      <c r="G995" s="49" t="n">
        <f aca="false">IFERROR(ROUND(INDEX(输入报销!$G:$G,MATCH($A995&amp;"-6",输入报销!$J:$J,0)),2),0)</f>
        <v>0</v>
      </c>
      <c r="H995" s="49" t="str">
        <f aca="false">IF(ROUND($G995,2)&gt;0,ROUND($G995,2),"")</f>
        <v/>
      </c>
      <c r="I995" s="49" t="str">
        <f aca="false">IF(ROUND($G995,2)&lt;0,-ROUND($G995,2),"")</f>
        <v/>
      </c>
      <c r="J995" s="20" t="n">
        <f aca="false">IF(ROUND($G995,2)=0,0,1)</f>
        <v>0</v>
      </c>
      <c r="K995" s="20" t="str">
        <f aca="false">IF($J995=0,"",SUM($J$990:$J995))</f>
        <v/>
      </c>
      <c r="L995" s="20" t="str">
        <f aca="false">IF($K995="","",$A995*100+$K995)</f>
        <v/>
      </c>
      <c r="M995" s="48" t="str">
        <f aca="false">IFERROR(INDEX(输入报销!$D:$D,MATCH($A995&amp;"-6",输入报销!$J:$J,0))&amp;"","")</f>
        <v/>
      </c>
    </row>
    <row r="996" customFormat="false" ht="13.5" hidden="false" customHeight="false" outlineLevel="0" collapsed="false">
      <c r="A996" s="47" t="n">
        <v>77</v>
      </c>
      <c r="C996" s="48" t="str">
        <f aca="false">助手报销!$C78</f>
        <v/>
      </c>
      <c r="D996" s="81" t="s">
        <v>485</v>
      </c>
      <c r="E996" s="48" t="str">
        <f aca="false">IFERROR(INDEX(输入报销!$E:$E,MATCH($A996&amp;"-7",输入报销!$J:$J,0))&amp;"","")</f>
        <v/>
      </c>
      <c r="F996" s="48" t="str">
        <f aca="false">IFERROR(INDEX(输入报销!$F:$F,MATCH($A996&amp;"-7",输入报销!$J:$J,0))&amp;"","")</f>
        <v/>
      </c>
      <c r="G996" s="49" t="n">
        <f aca="false">IFERROR(ROUND(INDEX(输入报销!$G:$G,MATCH($A996&amp;"-7",输入报销!$J:$J,0)),2),0)</f>
        <v>0</v>
      </c>
      <c r="H996" s="49" t="str">
        <f aca="false">IF(ROUND($G996,2)&gt;0,ROUND($G996,2),"")</f>
        <v/>
      </c>
      <c r="I996" s="49" t="str">
        <f aca="false">IF(ROUND($G996,2)&lt;0,-ROUND($G996,2),"")</f>
        <v/>
      </c>
      <c r="J996" s="20" t="n">
        <f aca="false">IF(ROUND($G996,2)=0,0,1)</f>
        <v>0</v>
      </c>
      <c r="K996" s="20" t="str">
        <f aca="false">IF($J996=0,"",SUM($J$990:$J996))</f>
        <v/>
      </c>
      <c r="L996" s="20" t="str">
        <f aca="false">IF($K996="","",$A996*100+$K996)</f>
        <v/>
      </c>
      <c r="M996" s="48" t="str">
        <f aca="false">IFERROR(INDEX(输入报销!$D:$D,MATCH($A996&amp;"-7",输入报销!$J:$J,0))&amp;"","")</f>
        <v/>
      </c>
    </row>
    <row r="997" customFormat="false" ht="13.5" hidden="false" customHeight="false" outlineLevel="0" collapsed="false">
      <c r="A997" s="47" t="n">
        <v>77</v>
      </c>
      <c r="C997" s="48" t="str">
        <f aca="false">助手报销!$C78</f>
        <v/>
      </c>
      <c r="D997" s="81" t="s">
        <v>486</v>
      </c>
      <c r="E997" s="48" t="str">
        <f aca="false">IFERROR(INDEX(输入报销!$E:$E,MATCH($A997&amp;"-8",输入报销!$J:$J,0))&amp;"","")</f>
        <v/>
      </c>
      <c r="F997" s="48" t="str">
        <f aca="false">IFERROR(INDEX(输入报销!$F:$F,MATCH($A997&amp;"-8",输入报销!$J:$J,0))&amp;"","")</f>
        <v/>
      </c>
      <c r="G997" s="49" t="n">
        <f aca="false">IFERROR(ROUND(INDEX(输入报销!$G:$G,MATCH($A997&amp;"-8",输入报销!$J:$J,0)),2),0)</f>
        <v>0</v>
      </c>
      <c r="H997" s="49" t="str">
        <f aca="false">IF(ROUND($G997,2)&gt;0,ROUND($G997,2),"")</f>
        <v/>
      </c>
      <c r="I997" s="49" t="str">
        <f aca="false">IF(ROUND($G997,2)&lt;0,-ROUND($G997,2),"")</f>
        <v/>
      </c>
      <c r="J997" s="20" t="n">
        <f aca="false">IF(ROUND($G997,2)=0,0,1)</f>
        <v>0</v>
      </c>
      <c r="K997" s="20" t="str">
        <f aca="false">IF($J997=0,"",SUM($J$990:$J997))</f>
        <v/>
      </c>
      <c r="L997" s="20" t="str">
        <f aca="false">IF($K997="","",$A997*100+$K997)</f>
        <v/>
      </c>
      <c r="M997" s="48" t="str">
        <f aca="false">IFERROR(INDEX(输入报销!$D:$D,MATCH($A997&amp;"-8",输入报销!$J:$J,0))&amp;"","")</f>
        <v/>
      </c>
    </row>
    <row r="998" customFormat="false" ht="13.5" hidden="false" customHeight="false" outlineLevel="0" collapsed="false">
      <c r="A998" s="47" t="n">
        <v>77</v>
      </c>
      <c r="C998" s="48" t="str">
        <f aca="false">助手报销!$C78</f>
        <v/>
      </c>
      <c r="D998" s="81" t="s">
        <v>487</v>
      </c>
      <c r="E998" s="48" t="str">
        <f aca="false">IFERROR(INDEX(输入报销!$E:$E,MATCH($A998&amp;"-9",输入报销!$J:$J,0))&amp;"","")</f>
        <v/>
      </c>
      <c r="F998" s="48" t="str">
        <f aca="false">IFERROR(INDEX(输入报销!$F:$F,MATCH($A998&amp;"-9",输入报销!$J:$J,0))&amp;"","")</f>
        <v/>
      </c>
      <c r="G998" s="49" t="n">
        <f aca="false">IFERROR(ROUND(INDEX(输入报销!$G:$G,MATCH($A998&amp;"-9",输入报销!$J:$J,0)),2),0)</f>
        <v>0</v>
      </c>
      <c r="H998" s="49" t="str">
        <f aca="false">IF(ROUND($G998,2)&gt;0,ROUND($G998,2),"")</f>
        <v/>
      </c>
      <c r="I998" s="49" t="str">
        <f aca="false">IF(ROUND($G998,2)&lt;0,-ROUND($G998,2),"")</f>
        <v/>
      </c>
      <c r="J998" s="20" t="n">
        <f aca="false">IF(ROUND($G998,2)=0,0,1)</f>
        <v>0</v>
      </c>
      <c r="K998" s="20" t="str">
        <f aca="false">IF($J998=0,"",SUM($J$990:$J998))</f>
        <v/>
      </c>
      <c r="L998" s="20" t="str">
        <f aca="false">IF($K998="","",$A998*100+$K998)</f>
        <v/>
      </c>
      <c r="M998" s="48" t="str">
        <f aca="false">IFERROR(INDEX(输入报销!$D:$D,MATCH($A998&amp;"-9",输入报销!$J:$J,0))&amp;"","")</f>
        <v/>
      </c>
    </row>
    <row r="999" customFormat="false" ht="13.5" hidden="false" customHeight="false" outlineLevel="0" collapsed="false">
      <c r="A999" s="47" t="n">
        <v>77</v>
      </c>
      <c r="C999" s="48" t="str">
        <f aca="false">助手报销!$C78</f>
        <v/>
      </c>
      <c r="D999" s="81" t="s">
        <v>488</v>
      </c>
      <c r="E999" s="48" t="str">
        <f aca="false">IFERROR(INDEX(输入报销!$E:$E,MATCH($A999&amp;"-10",输入报销!$J:$J,0))&amp;"","")</f>
        <v/>
      </c>
      <c r="F999" s="48" t="str">
        <f aca="false">IFERROR(INDEX(输入报销!$F:$F,MATCH($A999&amp;"-10",输入报销!$J:$J,0))&amp;"","")</f>
        <v/>
      </c>
      <c r="G999" s="49" t="n">
        <f aca="false">IFERROR(ROUND(INDEX(输入报销!$G:$G,MATCH($A999&amp;"-10",输入报销!$J:$J,0)),2),0)</f>
        <v>0</v>
      </c>
      <c r="H999" s="49" t="str">
        <f aca="false">IF(ROUND($G999,2)&gt;0,ROUND($G999,2),"")</f>
        <v/>
      </c>
      <c r="I999" s="49" t="str">
        <f aca="false">IF(ROUND($G999,2)&lt;0,-ROUND($G999,2),"")</f>
        <v/>
      </c>
      <c r="J999" s="20" t="n">
        <f aca="false">IF(ROUND($G999,2)=0,0,1)</f>
        <v>0</v>
      </c>
      <c r="K999" s="20" t="str">
        <f aca="false">IF($J999=0,"",SUM($J$990:$J999))</f>
        <v/>
      </c>
      <c r="L999" s="20" t="str">
        <f aca="false">IF($K999="","",$A999*100+$K999)</f>
        <v/>
      </c>
      <c r="M999" s="48" t="str">
        <f aca="false">IFERROR(INDEX(输入报销!$D:$D,MATCH($A999&amp;"-10",输入报销!$J:$J,0))&amp;"","")</f>
        <v/>
      </c>
    </row>
    <row r="1000" customFormat="false" ht="13.5" hidden="false" customHeight="false" outlineLevel="0" collapsed="false">
      <c r="A1000" s="47" t="n">
        <v>77</v>
      </c>
      <c r="C1000" s="48" t="str">
        <f aca="false">助手报销!$C78</f>
        <v/>
      </c>
      <c r="D1000" s="81" t="s">
        <v>489</v>
      </c>
      <c r="E1000" s="48" t="str">
        <f aca="false">参数!$B$6</f>
        <v>库存现金</v>
      </c>
      <c r="F1000" s="48" t="str">
        <f aca="false">""</f>
        <v/>
      </c>
      <c r="G1000" s="49" t="n">
        <f aca="false">-ROUND(SUMIFS(输入报销!$G:$G,输入报销!$A:$A,$A1000,输入报销!$H:$H,参数!$B$6),2)</f>
        <v>-0</v>
      </c>
      <c r="H1000" s="49" t="str">
        <f aca="false">IF(ROUND($G1000,2)&gt;0,ROUND($G1000,2),"")</f>
        <v/>
      </c>
      <c r="I1000" s="49" t="str">
        <f aca="false">IF(ROUND($G1000,2)&lt;0,-ROUND($G1000,2),"")</f>
        <v/>
      </c>
      <c r="J1000" s="20" t="n">
        <f aca="false">IF(ROUND($G1000,2)=0,0,1)</f>
        <v>0</v>
      </c>
      <c r="K1000" s="20" t="str">
        <f aca="false">IF($J1000=0,"",SUM($J$990:$J1000))</f>
        <v/>
      </c>
      <c r="L1000" s="20" t="str">
        <f aca="false">IF($K1000="","",$A1000*100+$K1000)</f>
        <v/>
      </c>
      <c r="M1000" s="48" t="str">
        <f aca="false">""</f>
        <v/>
      </c>
    </row>
    <row r="1001" customFormat="false" ht="13.5" hidden="false" customHeight="false" outlineLevel="0" collapsed="false">
      <c r="A1001" s="47" t="n">
        <v>77</v>
      </c>
      <c r="C1001" s="48" t="str">
        <f aca="false">助手报销!$C78</f>
        <v/>
      </c>
      <c r="D1001" s="81" t="s">
        <v>490</v>
      </c>
      <c r="E1001" s="48" t="str">
        <f aca="false">参数!$B$7</f>
        <v>银行存款</v>
      </c>
      <c r="F1001" s="48" t="str">
        <f aca="false">""</f>
        <v/>
      </c>
      <c r="G1001" s="49" t="n">
        <f aca="false">-ROUND(SUMIFS(输入报销!$G:$G,输入报销!$A:$A,$A1001,输入报销!$H:$H,参数!$B$7),2)</f>
        <v>-0</v>
      </c>
      <c r="H1001" s="49" t="str">
        <f aca="false">IF(ROUND($G1001,2)&gt;0,ROUND($G1001,2),"")</f>
        <v/>
      </c>
      <c r="I1001" s="49" t="str">
        <f aca="false">IF(ROUND($G1001,2)&lt;0,-ROUND($G1001,2),"")</f>
        <v/>
      </c>
      <c r="J1001" s="20" t="n">
        <f aca="false">IF(ROUND($G1001,2)=0,0,1)</f>
        <v>0</v>
      </c>
      <c r="K1001" s="20" t="str">
        <f aca="false">IF($J1001=0,"",SUM($J$990:$J1001))</f>
        <v/>
      </c>
      <c r="L1001" s="20" t="str">
        <f aca="false">IF($K1001="","",$A1001*100+$K1001)</f>
        <v/>
      </c>
      <c r="M1001" s="48" t="str">
        <f aca="false">""</f>
        <v/>
      </c>
    </row>
    <row r="1002" customFormat="false" ht="13.5" hidden="false" customHeight="false" outlineLevel="0" collapsed="false">
      <c r="A1002" s="47" t="n">
        <v>77</v>
      </c>
      <c r="C1002" s="48" t="str">
        <f aca="false">助手报销!$C78</f>
        <v/>
      </c>
      <c r="D1002" s="81" t="s">
        <v>491</v>
      </c>
      <c r="E1002" s="48" t="str">
        <f aca="false">参数!$B$8</f>
        <v>其他应付款</v>
      </c>
      <c r="F1002" s="48" t="str">
        <f aca="false">""</f>
        <v/>
      </c>
      <c r="G1002" s="49" t="n">
        <f aca="false">-ROUND(SUMIFS(输入报销!$G:$G,输入报销!$A:$A,$A1002,输入报销!$H:$H,参数!$B$8),2)</f>
        <v>-0</v>
      </c>
      <c r="H1002" s="49" t="str">
        <f aca="false">IF(ROUND($G1002,2)&gt;0,ROUND($G1002,2),"")</f>
        <v/>
      </c>
      <c r="I1002" s="49" t="str">
        <f aca="false">IF(ROUND($G1002,2)&lt;0,-ROUND($G1002,2),"")</f>
        <v/>
      </c>
      <c r="J1002" s="20" t="n">
        <f aca="false">IF(ROUND($G1002,2)=0,0,1)</f>
        <v>0</v>
      </c>
      <c r="K1002" s="20" t="str">
        <f aca="false">IF($J1002=0,"",SUM($J$990:$J1002))</f>
        <v/>
      </c>
      <c r="L1002" s="20" t="str">
        <f aca="false">IF($K1002="","",$A1002*100+$K1002)</f>
        <v/>
      </c>
      <c r="M1002" s="48" t="str">
        <f aca="false">""</f>
        <v/>
      </c>
    </row>
    <row r="1003" customFormat="false" ht="13.5" hidden="false" customHeight="false" outlineLevel="0" collapsed="false">
      <c r="A1003" s="47" t="n">
        <v>78</v>
      </c>
      <c r="C1003" s="48" t="str">
        <f aca="false">助手报销!$C79</f>
        <v/>
      </c>
      <c r="D1003" s="81" t="s">
        <v>479</v>
      </c>
      <c r="E1003" s="48" t="str">
        <f aca="false">IFERROR(INDEX(输入报销!$E:$E,MATCH($A1003&amp;"-1",输入报销!$J:$J,0))&amp;"","")</f>
        <v/>
      </c>
      <c r="F1003" s="48" t="str">
        <f aca="false">IFERROR(INDEX(输入报销!$F:$F,MATCH($A1003&amp;"-1",输入报销!$J:$J,0))&amp;"","")</f>
        <v/>
      </c>
      <c r="G1003" s="49" t="n">
        <f aca="false">IFERROR(ROUND(INDEX(输入报销!$G:$G,MATCH($A1003&amp;"-1",输入报销!$J:$J,0)),2),0)</f>
        <v>0</v>
      </c>
      <c r="H1003" s="49" t="str">
        <f aca="false">IF(ROUND($G1003,2)&gt;0,ROUND($G1003,2),"")</f>
        <v/>
      </c>
      <c r="I1003" s="49" t="str">
        <f aca="false">IF(ROUND($G1003,2)&lt;0,-ROUND($G1003,2),"")</f>
        <v/>
      </c>
      <c r="J1003" s="20" t="n">
        <f aca="false">IF(ROUND($G1003,2)=0,0,1)</f>
        <v>0</v>
      </c>
      <c r="K1003" s="20" t="str">
        <f aca="false">IF($J1003=0,"",SUM($J$1003:$J1003))</f>
        <v/>
      </c>
      <c r="L1003" s="20" t="str">
        <f aca="false">IF($K1003="","",$A1003*100+$K1003)</f>
        <v/>
      </c>
      <c r="M1003" s="48" t="str">
        <f aca="false">IFERROR(INDEX(输入报销!$D:$D,MATCH($A1003&amp;"-1",输入报销!$J:$J,0))&amp;"","")</f>
        <v/>
      </c>
    </row>
    <row r="1004" customFormat="false" ht="13.5" hidden="false" customHeight="false" outlineLevel="0" collapsed="false">
      <c r="A1004" s="47" t="n">
        <v>78</v>
      </c>
      <c r="C1004" s="48" t="str">
        <f aca="false">助手报销!$C79</f>
        <v/>
      </c>
      <c r="D1004" s="81" t="s">
        <v>480</v>
      </c>
      <c r="E1004" s="48" t="str">
        <f aca="false">IFERROR(INDEX(输入报销!$E:$E,MATCH($A1004&amp;"-2",输入报销!$J:$J,0))&amp;"","")</f>
        <v/>
      </c>
      <c r="F1004" s="48" t="str">
        <f aca="false">IFERROR(INDEX(输入报销!$F:$F,MATCH($A1004&amp;"-2",输入报销!$J:$J,0))&amp;"","")</f>
        <v/>
      </c>
      <c r="G1004" s="49" t="n">
        <f aca="false">IFERROR(ROUND(INDEX(输入报销!$G:$G,MATCH($A1004&amp;"-2",输入报销!$J:$J,0)),2),0)</f>
        <v>0</v>
      </c>
      <c r="H1004" s="49" t="str">
        <f aca="false">IF(ROUND($G1004,2)&gt;0,ROUND($G1004,2),"")</f>
        <v/>
      </c>
      <c r="I1004" s="49" t="str">
        <f aca="false">IF(ROUND($G1004,2)&lt;0,-ROUND($G1004,2),"")</f>
        <v/>
      </c>
      <c r="J1004" s="20" t="n">
        <f aca="false">IF(ROUND($G1004,2)=0,0,1)</f>
        <v>0</v>
      </c>
      <c r="K1004" s="20" t="str">
        <f aca="false">IF($J1004=0,"",SUM($J$1003:$J1004))</f>
        <v/>
      </c>
      <c r="L1004" s="20" t="str">
        <f aca="false">IF($K1004="","",$A1004*100+$K1004)</f>
        <v/>
      </c>
      <c r="M1004" s="48" t="str">
        <f aca="false">IFERROR(INDEX(输入报销!$D:$D,MATCH($A1004&amp;"-2",输入报销!$J:$J,0))&amp;"","")</f>
        <v/>
      </c>
    </row>
    <row r="1005" customFormat="false" ht="13.5" hidden="false" customHeight="false" outlineLevel="0" collapsed="false">
      <c r="A1005" s="47" t="n">
        <v>78</v>
      </c>
      <c r="C1005" s="48" t="str">
        <f aca="false">助手报销!$C79</f>
        <v/>
      </c>
      <c r="D1005" s="81" t="s">
        <v>481</v>
      </c>
      <c r="E1005" s="48" t="str">
        <f aca="false">IFERROR(INDEX(输入报销!$E:$E,MATCH($A1005&amp;"-3",输入报销!$J:$J,0))&amp;"","")</f>
        <v/>
      </c>
      <c r="F1005" s="48" t="str">
        <f aca="false">IFERROR(INDEX(输入报销!$F:$F,MATCH($A1005&amp;"-3",输入报销!$J:$J,0))&amp;"","")</f>
        <v/>
      </c>
      <c r="G1005" s="49" t="n">
        <f aca="false">IFERROR(ROUND(INDEX(输入报销!$G:$G,MATCH($A1005&amp;"-3",输入报销!$J:$J,0)),2),0)</f>
        <v>0</v>
      </c>
      <c r="H1005" s="49" t="str">
        <f aca="false">IF(ROUND($G1005,2)&gt;0,ROUND($G1005,2),"")</f>
        <v/>
      </c>
      <c r="I1005" s="49" t="str">
        <f aca="false">IF(ROUND($G1005,2)&lt;0,-ROUND($G1005,2),"")</f>
        <v/>
      </c>
      <c r="J1005" s="20" t="n">
        <f aca="false">IF(ROUND($G1005,2)=0,0,1)</f>
        <v>0</v>
      </c>
      <c r="K1005" s="20" t="str">
        <f aca="false">IF($J1005=0,"",SUM($J$1003:$J1005))</f>
        <v/>
      </c>
      <c r="L1005" s="20" t="str">
        <f aca="false">IF($K1005="","",$A1005*100+$K1005)</f>
        <v/>
      </c>
      <c r="M1005" s="48" t="str">
        <f aca="false">IFERROR(INDEX(输入报销!$D:$D,MATCH($A1005&amp;"-3",输入报销!$J:$J,0))&amp;"","")</f>
        <v/>
      </c>
    </row>
    <row r="1006" customFormat="false" ht="13.5" hidden="false" customHeight="false" outlineLevel="0" collapsed="false">
      <c r="A1006" s="47" t="n">
        <v>78</v>
      </c>
      <c r="C1006" s="48" t="str">
        <f aca="false">助手报销!$C79</f>
        <v/>
      </c>
      <c r="D1006" s="81" t="s">
        <v>482</v>
      </c>
      <c r="E1006" s="48" t="str">
        <f aca="false">IFERROR(INDEX(输入报销!$E:$E,MATCH($A1006&amp;"-4",输入报销!$J:$J,0))&amp;"","")</f>
        <v/>
      </c>
      <c r="F1006" s="48" t="str">
        <f aca="false">IFERROR(INDEX(输入报销!$F:$F,MATCH($A1006&amp;"-4",输入报销!$J:$J,0))&amp;"","")</f>
        <v/>
      </c>
      <c r="G1006" s="49" t="n">
        <f aca="false">IFERROR(ROUND(INDEX(输入报销!$G:$G,MATCH($A1006&amp;"-4",输入报销!$J:$J,0)),2),0)</f>
        <v>0</v>
      </c>
      <c r="H1006" s="49" t="str">
        <f aca="false">IF(ROUND($G1006,2)&gt;0,ROUND($G1006,2),"")</f>
        <v/>
      </c>
      <c r="I1006" s="49" t="str">
        <f aca="false">IF(ROUND($G1006,2)&lt;0,-ROUND($G1006,2),"")</f>
        <v/>
      </c>
      <c r="J1006" s="20" t="n">
        <f aca="false">IF(ROUND($G1006,2)=0,0,1)</f>
        <v>0</v>
      </c>
      <c r="K1006" s="20" t="str">
        <f aca="false">IF($J1006=0,"",SUM($J$1003:$J1006))</f>
        <v/>
      </c>
      <c r="L1006" s="20" t="str">
        <f aca="false">IF($K1006="","",$A1006*100+$K1006)</f>
        <v/>
      </c>
      <c r="M1006" s="48" t="str">
        <f aca="false">IFERROR(INDEX(输入报销!$D:$D,MATCH($A1006&amp;"-4",输入报销!$J:$J,0))&amp;"","")</f>
        <v/>
      </c>
    </row>
    <row r="1007" customFormat="false" ht="13.5" hidden="false" customHeight="false" outlineLevel="0" collapsed="false">
      <c r="A1007" s="47" t="n">
        <v>78</v>
      </c>
      <c r="C1007" s="48" t="str">
        <f aca="false">助手报销!$C79</f>
        <v/>
      </c>
      <c r="D1007" s="81" t="s">
        <v>483</v>
      </c>
      <c r="E1007" s="48" t="str">
        <f aca="false">IFERROR(INDEX(输入报销!$E:$E,MATCH($A1007&amp;"-5",输入报销!$J:$J,0))&amp;"","")</f>
        <v/>
      </c>
      <c r="F1007" s="48" t="str">
        <f aca="false">IFERROR(INDEX(输入报销!$F:$F,MATCH($A1007&amp;"-5",输入报销!$J:$J,0))&amp;"","")</f>
        <v/>
      </c>
      <c r="G1007" s="49" t="n">
        <f aca="false">IFERROR(ROUND(INDEX(输入报销!$G:$G,MATCH($A1007&amp;"-5",输入报销!$J:$J,0)),2),0)</f>
        <v>0</v>
      </c>
      <c r="H1007" s="49" t="str">
        <f aca="false">IF(ROUND($G1007,2)&gt;0,ROUND($G1007,2),"")</f>
        <v/>
      </c>
      <c r="I1007" s="49" t="str">
        <f aca="false">IF(ROUND($G1007,2)&lt;0,-ROUND($G1007,2),"")</f>
        <v/>
      </c>
      <c r="J1007" s="20" t="n">
        <f aca="false">IF(ROUND($G1007,2)=0,0,1)</f>
        <v>0</v>
      </c>
      <c r="K1007" s="20" t="str">
        <f aca="false">IF($J1007=0,"",SUM($J$1003:$J1007))</f>
        <v/>
      </c>
      <c r="L1007" s="20" t="str">
        <f aca="false">IF($K1007="","",$A1007*100+$K1007)</f>
        <v/>
      </c>
      <c r="M1007" s="48" t="str">
        <f aca="false">IFERROR(INDEX(输入报销!$D:$D,MATCH($A1007&amp;"-5",输入报销!$J:$J,0))&amp;"","")</f>
        <v/>
      </c>
    </row>
    <row r="1008" customFormat="false" ht="13.5" hidden="false" customHeight="false" outlineLevel="0" collapsed="false">
      <c r="A1008" s="47" t="n">
        <v>78</v>
      </c>
      <c r="C1008" s="48" t="str">
        <f aca="false">助手报销!$C79</f>
        <v/>
      </c>
      <c r="D1008" s="81" t="s">
        <v>484</v>
      </c>
      <c r="E1008" s="48" t="str">
        <f aca="false">IFERROR(INDEX(输入报销!$E:$E,MATCH($A1008&amp;"-6",输入报销!$J:$J,0))&amp;"","")</f>
        <v/>
      </c>
      <c r="F1008" s="48" t="str">
        <f aca="false">IFERROR(INDEX(输入报销!$F:$F,MATCH($A1008&amp;"-6",输入报销!$J:$J,0))&amp;"","")</f>
        <v/>
      </c>
      <c r="G1008" s="49" t="n">
        <f aca="false">IFERROR(ROUND(INDEX(输入报销!$G:$G,MATCH($A1008&amp;"-6",输入报销!$J:$J,0)),2),0)</f>
        <v>0</v>
      </c>
      <c r="H1008" s="49" t="str">
        <f aca="false">IF(ROUND($G1008,2)&gt;0,ROUND($G1008,2),"")</f>
        <v/>
      </c>
      <c r="I1008" s="49" t="str">
        <f aca="false">IF(ROUND($G1008,2)&lt;0,-ROUND($G1008,2),"")</f>
        <v/>
      </c>
      <c r="J1008" s="20" t="n">
        <f aca="false">IF(ROUND($G1008,2)=0,0,1)</f>
        <v>0</v>
      </c>
      <c r="K1008" s="20" t="str">
        <f aca="false">IF($J1008=0,"",SUM($J$1003:$J1008))</f>
        <v/>
      </c>
      <c r="L1008" s="20" t="str">
        <f aca="false">IF($K1008="","",$A1008*100+$K1008)</f>
        <v/>
      </c>
      <c r="M1008" s="48" t="str">
        <f aca="false">IFERROR(INDEX(输入报销!$D:$D,MATCH($A1008&amp;"-6",输入报销!$J:$J,0))&amp;"","")</f>
        <v/>
      </c>
    </row>
    <row r="1009" customFormat="false" ht="13.5" hidden="false" customHeight="false" outlineLevel="0" collapsed="false">
      <c r="A1009" s="47" t="n">
        <v>78</v>
      </c>
      <c r="C1009" s="48" t="str">
        <f aca="false">助手报销!$C79</f>
        <v/>
      </c>
      <c r="D1009" s="81" t="s">
        <v>485</v>
      </c>
      <c r="E1009" s="48" t="str">
        <f aca="false">IFERROR(INDEX(输入报销!$E:$E,MATCH($A1009&amp;"-7",输入报销!$J:$J,0))&amp;"","")</f>
        <v/>
      </c>
      <c r="F1009" s="48" t="str">
        <f aca="false">IFERROR(INDEX(输入报销!$F:$F,MATCH($A1009&amp;"-7",输入报销!$J:$J,0))&amp;"","")</f>
        <v/>
      </c>
      <c r="G1009" s="49" t="n">
        <f aca="false">IFERROR(ROUND(INDEX(输入报销!$G:$G,MATCH($A1009&amp;"-7",输入报销!$J:$J,0)),2),0)</f>
        <v>0</v>
      </c>
      <c r="H1009" s="49" t="str">
        <f aca="false">IF(ROUND($G1009,2)&gt;0,ROUND($G1009,2),"")</f>
        <v/>
      </c>
      <c r="I1009" s="49" t="str">
        <f aca="false">IF(ROUND($G1009,2)&lt;0,-ROUND($G1009,2),"")</f>
        <v/>
      </c>
      <c r="J1009" s="20" t="n">
        <f aca="false">IF(ROUND($G1009,2)=0,0,1)</f>
        <v>0</v>
      </c>
      <c r="K1009" s="20" t="str">
        <f aca="false">IF($J1009=0,"",SUM($J$1003:$J1009))</f>
        <v/>
      </c>
      <c r="L1009" s="20" t="str">
        <f aca="false">IF($K1009="","",$A1009*100+$K1009)</f>
        <v/>
      </c>
      <c r="M1009" s="48" t="str">
        <f aca="false">IFERROR(INDEX(输入报销!$D:$D,MATCH($A1009&amp;"-7",输入报销!$J:$J,0))&amp;"","")</f>
        <v/>
      </c>
    </row>
    <row r="1010" customFormat="false" ht="13.5" hidden="false" customHeight="false" outlineLevel="0" collapsed="false">
      <c r="A1010" s="47" t="n">
        <v>78</v>
      </c>
      <c r="C1010" s="48" t="str">
        <f aca="false">助手报销!$C79</f>
        <v/>
      </c>
      <c r="D1010" s="81" t="s">
        <v>486</v>
      </c>
      <c r="E1010" s="48" t="str">
        <f aca="false">IFERROR(INDEX(输入报销!$E:$E,MATCH($A1010&amp;"-8",输入报销!$J:$J,0))&amp;"","")</f>
        <v/>
      </c>
      <c r="F1010" s="48" t="str">
        <f aca="false">IFERROR(INDEX(输入报销!$F:$F,MATCH($A1010&amp;"-8",输入报销!$J:$J,0))&amp;"","")</f>
        <v/>
      </c>
      <c r="G1010" s="49" t="n">
        <f aca="false">IFERROR(ROUND(INDEX(输入报销!$G:$G,MATCH($A1010&amp;"-8",输入报销!$J:$J,0)),2),0)</f>
        <v>0</v>
      </c>
      <c r="H1010" s="49" t="str">
        <f aca="false">IF(ROUND($G1010,2)&gt;0,ROUND($G1010,2),"")</f>
        <v/>
      </c>
      <c r="I1010" s="49" t="str">
        <f aca="false">IF(ROUND($G1010,2)&lt;0,-ROUND($G1010,2),"")</f>
        <v/>
      </c>
      <c r="J1010" s="20" t="n">
        <f aca="false">IF(ROUND($G1010,2)=0,0,1)</f>
        <v>0</v>
      </c>
      <c r="K1010" s="20" t="str">
        <f aca="false">IF($J1010=0,"",SUM($J$1003:$J1010))</f>
        <v/>
      </c>
      <c r="L1010" s="20" t="str">
        <f aca="false">IF($K1010="","",$A1010*100+$K1010)</f>
        <v/>
      </c>
      <c r="M1010" s="48" t="str">
        <f aca="false">IFERROR(INDEX(输入报销!$D:$D,MATCH($A1010&amp;"-8",输入报销!$J:$J,0))&amp;"","")</f>
        <v/>
      </c>
    </row>
    <row r="1011" customFormat="false" ht="13.5" hidden="false" customHeight="false" outlineLevel="0" collapsed="false">
      <c r="A1011" s="47" t="n">
        <v>78</v>
      </c>
      <c r="C1011" s="48" t="str">
        <f aca="false">助手报销!$C79</f>
        <v/>
      </c>
      <c r="D1011" s="81" t="s">
        <v>487</v>
      </c>
      <c r="E1011" s="48" t="str">
        <f aca="false">IFERROR(INDEX(输入报销!$E:$E,MATCH($A1011&amp;"-9",输入报销!$J:$J,0))&amp;"","")</f>
        <v/>
      </c>
      <c r="F1011" s="48" t="str">
        <f aca="false">IFERROR(INDEX(输入报销!$F:$F,MATCH($A1011&amp;"-9",输入报销!$J:$J,0))&amp;"","")</f>
        <v/>
      </c>
      <c r="G1011" s="49" t="n">
        <f aca="false">IFERROR(ROUND(INDEX(输入报销!$G:$G,MATCH($A1011&amp;"-9",输入报销!$J:$J,0)),2),0)</f>
        <v>0</v>
      </c>
      <c r="H1011" s="49" t="str">
        <f aca="false">IF(ROUND($G1011,2)&gt;0,ROUND($G1011,2),"")</f>
        <v/>
      </c>
      <c r="I1011" s="49" t="str">
        <f aca="false">IF(ROUND($G1011,2)&lt;0,-ROUND($G1011,2),"")</f>
        <v/>
      </c>
      <c r="J1011" s="20" t="n">
        <f aca="false">IF(ROUND($G1011,2)=0,0,1)</f>
        <v>0</v>
      </c>
      <c r="K1011" s="20" t="str">
        <f aca="false">IF($J1011=0,"",SUM($J$1003:$J1011))</f>
        <v/>
      </c>
      <c r="L1011" s="20" t="str">
        <f aca="false">IF($K1011="","",$A1011*100+$K1011)</f>
        <v/>
      </c>
      <c r="M1011" s="48" t="str">
        <f aca="false">IFERROR(INDEX(输入报销!$D:$D,MATCH($A1011&amp;"-9",输入报销!$J:$J,0))&amp;"","")</f>
        <v/>
      </c>
    </row>
    <row r="1012" customFormat="false" ht="13.5" hidden="false" customHeight="false" outlineLevel="0" collapsed="false">
      <c r="A1012" s="47" t="n">
        <v>78</v>
      </c>
      <c r="C1012" s="48" t="str">
        <f aca="false">助手报销!$C79</f>
        <v/>
      </c>
      <c r="D1012" s="81" t="s">
        <v>488</v>
      </c>
      <c r="E1012" s="48" t="str">
        <f aca="false">IFERROR(INDEX(输入报销!$E:$E,MATCH($A1012&amp;"-10",输入报销!$J:$J,0))&amp;"","")</f>
        <v/>
      </c>
      <c r="F1012" s="48" t="str">
        <f aca="false">IFERROR(INDEX(输入报销!$F:$F,MATCH($A1012&amp;"-10",输入报销!$J:$J,0))&amp;"","")</f>
        <v/>
      </c>
      <c r="G1012" s="49" t="n">
        <f aca="false">IFERROR(ROUND(INDEX(输入报销!$G:$G,MATCH($A1012&amp;"-10",输入报销!$J:$J,0)),2),0)</f>
        <v>0</v>
      </c>
      <c r="H1012" s="49" t="str">
        <f aca="false">IF(ROUND($G1012,2)&gt;0,ROUND($G1012,2),"")</f>
        <v/>
      </c>
      <c r="I1012" s="49" t="str">
        <f aca="false">IF(ROUND($G1012,2)&lt;0,-ROUND($G1012,2),"")</f>
        <v/>
      </c>
      <c r="J1012" s="20" t="n">
        <f aca="false">IF(ROUND($G1012,2)=0,0,1)</f>
        <v>0</v>
      </c>
      <c r="K1012" s="20" t="str">
        <f aca="false">IF($J1012=0,"",SUM($J$1003:$J1012))</f>
        <v/>
      </c>
      <c r="L1012" s="20" t="str">
        <f aca="false">IF($K1012="","",$A1012*100+$K1012)</f>
        <v/>
      </c>
      <c r="M1012" s="48" t="str">
        <f aca="false">IFERROR(INDEX(输入报销!$D:$D,MATCH($A1012&amp;"-10",输入报销!$J:$J,0))&amp;"","")</f>
        <v/>
      </c>
    </row>
    <row r="1013" customFormat="false" ht="13.5" hidden="false" customHeight="false" outlineLevel="0" collapsed="false">
      <c r="A1013" s="47" t="n">
        <v>78</v>
      </c>
      <c r="C1013" s="48" t="str">
        <f aca="false">助手报销!$C79</f>
        <v/>
      </c>
      <c r="D1013" s="81" t="s">
        <v>489</v>
      </c>
      <c r="E1013" s="48" t="str">
        <f aca="false">参数!$B$6</f>
        <v>库存现金</v>
      </c>
      <c r="F1013" s="48" t="str">
        <f aca="false">""</f>
        <v/>
      </c>
      <c r="G1013" s="49" t="n">
        <f aca="false">-ROUND(SUMIFS(输入报销!$G:$G,输入报销!$A:$A,$A1013,输入报销!$H:$H,参数!$B$6),2)</f>
        <v>-0</v>
      </c>
      <c r="H1013" s="49" t="str">
        <f aca="false">IF(ROUND($G1013,2)&gt;0,ROUND($G1013,2),"")</f>
        <v/>
      </c>
      <c r="I1013" s="49" t="str">
        <f aca="false">IF(ROUND($G1013,2)&lt;0,-ROUND($G1013,2),"")</f>
        <v/>
      </c>
      <c r="J1013" s="20" t="n">
        <f aca="false">IF(ROUND($G1013,2)=0,0,1)</f>
        <v>0</v>
      </c>
      <c r="K1013" s="20" t="str">
        <f aca="false">IF($J1013=0,"",SUM($J$1003:$J1013))</f>
        <v/>
      </c>
      <c r="L1013" s="20" t="str">
        <f aca="false">IF($K1013="","",$A1013*100+$K1013)</f>
        <v/>
      </c>
      <c r="M1013" s="48" t="str">
        <f aca="false">""</f>
        <v/>
      </c>
    </row>
    <row r="1014" customFormat="false" ht="13.5" hidden="false" customHeight="false" outlineLevel="0" collapsed="false">
      <c r="A1014" s="47" t="n">
        <v>78</v>
      </c>
      <c r="C1014" s="48" t="str">
        <f aca="false">助手报销!$C79</f>
        <v/>
      </c>
      <c r="D1014" s="81" t="s">
        <v>490</v>
      </c>
      <c r="E1014" s="48" t="str">
        <f aca="false">参数!$B$7</f>
        <v>银行存款</v>
      </c>
      <c r="F1014" s="48" t="str">
        <f aca="false">""</f>
        <v/>
      </c>
      <c r="G1014" s="49" t="n">
        <f aca="false">-ROUND(SUMIFS(输入报销!$G:$G,输入报销!$A:$A,$A1014,输入报销!$H:$H,参数!$B$7),2)</f>
        <v>-0</v>
      </c>
      <c r="H1014" s="49" t="str">
        <f aca="false">IF(ROUND($G1014,2)&gt;0,ROUND($G1014,2),"")</f>
        <v/>
      </c>
      <c r="I1014" s="49" t="str">
        <f aca="false">IF(ROUND($G1014,2)&lt;0,-ROUND($G1014,2),"")</f>
        <v/>
      </c>
      <c r="J1014" s="20" t="n">
        <f aca="false">IF(ROUND($G1014,2)=0,0,1)</f>
        <v>0</v>
      </c>
      <c r="K1014" s="20" t="str">
        <f aca="false">IF($J1014=0,"",SUM($J$1003:$J1014))</f>
        <v/>
      </c>
      <c r="L1014" s="20" t="str">
        <f aca="false">IF($K1014="","",$A1014*100+$K1014)</f>
        <v/>
      </c>
      <c r="M1014" s="48" t="str">
        <f aca="false">""</f>
        <v/>
      </c>
    </row>
    <row r="1015" customFormat="false" ht="13.5" hidden="false" customHeight="false" outlineLevel="0" collapsed="false">
      <c r="A1015" s="47" t="n">
        <v>78</v>
      </c>
      <c r="C1015" s="48" t="str">
        <f aca="false">助手报销!$C79</f>
        <v/>
      </c>
      <c r="D1015" s="81" t="s">
        <v>491</v>
      </c>
      <c r="E1015" s="48" t="str">
        <f aca="false">参数!$B$8</f>
        <v>其他应付款</v>
      </c>
      <c r="F1015" s="48" t="str">
        <f aca="false">""</f>
        <v/>
      </c>
      <c r="G1015" s="49" t="n">
        <f aca="false">-ROUND(SUMIFS(输入报销!$G:$G,输入报销!$A:$A,$A1015,输入报销!$H:$H,参数!$B$8),2)</f>
        <v>-0</v>
      </c>
      <c r="H1015" s="49" t="str">
        <f aca="false">IF(ROUND($G1015,2)&gt;0,ROUND($G1015,2),"")</f>
        <v/>
      </c>
      <c r="I1015" s="49" t="str">
        <f aca="false">IF(ROUND($G1015,2)&lt;0,-ROUND($G1015,2),"")</f>
        <v/>
      </c>
      <c r="J1015" s="20" t="n">
        <f aca="false">IF(ROUND($G1015,2)=0,0,1)</f>
        <v>0</v>
      </c>
      <c r="K1015" s="20" t="str">
        <f aca="false">IF($J1015=0,"",SUM($J$1003:$J1015))</f>
        <v/>
      </c>
      <c r="L1015" s="20" t="str">
        <f aca="false">IF($K1015="","",$A1015*100+$K1015)</f>
        <v/>
      </c>
      <c r="M1015" s="48" t="str">
        <f aca="false">""</f>
        <v/>
      </c>
    </row>
    <row r="1016" customFormat="false" ht="13.5" hidden="false" customHeight="false" outlineLevel="0" collapsed="false">
      <c r="A1016" s="47" t="n">
        <v>79</v>
      </c>
      <c r="C1016" s="48" t="str">
        <f aca="false">助手报销!$C80</f>
        <v/>
      </c>
      <c r="D1016" s="81" t="s">
        <v>479</v>
      </c>
      <c r="E1016" s="48" t="str">
        <f aca="false">IFERROR(INDEX(输入报销!$E:$E,MATCH($A1016&amp;"-1",输入报销!$J:$J,0))&amp;"","")</f>
        <v/>
      </c>
      <c r="F1016" s="48" t="str">
        <f aca="false">IFERROR(INDEX(输入报销!$F:$F,MATCH($A1016&amp;"-1",输入报销!$J:$J,0))&amp;"","")</f>
        <v/>
      </c>
      <c r="G1016" s="49" t="n">
        <f aca="false">IFERROR(ROUND(INDEX(输入报销!$G:$G,MATCH($A1016&amp;"-1",输入报销!$J:$J,0)),2),0)</f>
        <v>0</v>
      </c>
      <c r="H1016" s="49" t="str">
        <f aca="false">IF(ROUND($G1016,2)&gt;0,ROUND($G1016,2),"")</f>
        <v/>
      </c>
      <c r="I1016" s="49" t="str">
        <f aca="false">IF(ROUND($G1016,2)&lt;0,-ROUND($G1016,2),"")</f>
        <v/>
      </c>
      <c r="J1016" s="20" t="n">
        <f aca="false">IF(ROUND($G1016,2)=0,0,1)</f>
        <v>0</v>
      </c>
      <c r="K1016" s="20" t="str">
        <f aca="false">IF($J1016=0,"",SUM($J$1016:$J1016))</f>
        <v/>
      </c>
      <c r="L1016" s="20" t="str">
        <f aca="false">IF($K1016="","",$A1016*100+$K1016)</f>
        <v/>
      </c>
      <c r="M1016" s="48" t="str">
        <f aca="false">IFERROR(INDEX(输入报销!$D:$D,MATCH($A1016&amp;"-1",输入报销!$J:$J,0))&amp;"","")</f>
        <v/>
      </c>
    </row>
    <row r="1017" customFormat="false" ht="13.5" hidden="false" customHeight="false" outlineLevel="0" collapsed="false">
      <c r="A1017" s="47" t="n">
        <v>79</v>
      </c>
      <c r="C1017" s="48" t="str">
        <f aca="false">助手报销!$C80</f>
        <v/>
      </c>
      <c r="D1017" s="81" t="s">
        <v>480</v>
      </c>
      <c r="E1017" s="48" t="str">
        <f aca="false">IFERROR(INDEX(输入报销!$E:$E,MATCH($A1017&amp;"-2",输入报销!$J:$J,0))&amp;"","")</f>
        <v/>
      </c>
      <c r="F1017" s="48" t="str">
        <f aca="false">IFERROR(INDEX(输入报销!$F:$F,MATCH($A1017&amp;"-2",输入报销!$J:$J,0))&amp;"","")</f>
        <v/>
      </c>
      <c r="G1017" s="49" t="n">
        <f aca="false">IFERROR(ROUND(INDEX(输入报销!$G:$G,MATCH($A1017&amp;"-2",输入报销!$J:$J,0)),2),0)</f>
        <v>0</v>
      </c>
      <c r="H1017" s="49" t="str">
        <f aca="false">IF(ROUND($G1017,2)&gt;0,ROUND($G1017,2),"")</f>
        <v/>
      </c>
      <c r="I1017" s="49" t="str">
        <f aca="false">IF(ROUND($G1017,2)&lt;0,-ROUND($G1017,2),"")</f>
        <v/>
      </c>
      <c r="J1017" s="20" t="n">
        <f aca="false">IF(ROUND($G1017,2)=0,0,1)</f>
        <v>0</v>
      </c>
      <c r="K1017" s="20" t="str">
        <f aca="false">IF($J1017=0,"",SUM($J$1016:$J1017))</f>
        <v/>
      </c>
      <c r="L1017" s="20" t="str">
        <f aca="false">IF($K1017="","",$A1017*100+$K1017)</f>
        <v/>
      </c>
      <c r="M1017" s="48" t="str">
        <f aca="false">IFERROR(INDEX(输入报销!$D:$D,MATCH($A1017&amp;"-2",输入报销!$J:$J,0))&amp;"","")</f>
        <v/>
      </c>
    </row>
    <row r="1018" customFormat="false" ht="13.5" hidden="false" customHeight="false" outlineLevel="0" collapsed="false">
      <c r="A1018" s="47" t="n">
        <v>79</v>
      </c>
      <c r="C1018" s="48" t="str">
        <f aca="false">助手报销!$C80</f>
        <v/>
      </c>
      <c r="D1018" s="81" t="s">
        <v>481</v>
      </c>
      <c r="E1018" s="48" t="str">
        <f aca="false">IFERROR(INDEX(输入报销!$E:$E,MATCH($A1018&amp;"-3",输入报销!$J:$J,0))&amp;"","")</f>
        <v/>
      </c>
      <c r="F1018" s="48" t="str">
        <f aca="false">IFERROR(INDEX(输入报销!$F:$F,MATCH($A1018&amp;"-3",输入报销!$J:$J,0))&amp;"","")</f>
        <v/>
      </c>
      <c r="G1018" s="49" t="n">
        <f aca="false">IFERROR(ROUND(INDEX(输入报销!$G:$G,MATCH($A1018&amp;"-3",输入报销!$J:$J,0)),2),0)</f>
        <v>0</v>
      </c>
      <c r="H1018" s="49" t="str">
        <f aca="false">IF(ROUND($G1018,2)&gt;0,ROUND($G1018,2),"")</f>
        <v/>
      </c>
      <c r="I1018" s="49" t="str">
        <f aca="false">IF(ROUND($G1018,2)&lt;0,-ROUND($G1018,2),"")</f>
        <v/>
      </c>
      <c r="J1018" s="20" t="n">
        <f aca="false">IF(ROUND($G1018,2)=0,0,1)</f>
        <v>0</v>
      </c>
      <c r="K1018" s="20" t="str">
        <f aca="false">IF($J1018=0,"",SUM($J$1016:$J1018))</f>
        <v/>
      </c>
      <c r="L1018" s="20" t="str">
        <f aca="false">IF($K1018="","",$A1018*100+$K1018)</f>
        <v/>
      </c>
      <c r="M1018" s="48" t="str">
        <f aca="false">IFERROR(INDEX(输入报销!$D:$D,MATCH($A1018&amp;"-3",输入报销!$J:$J,0))&amp;"","")</f>
        <v/>
      </c>
    </row>
    <row r="1019" customFormat="false" ht="13.5" hidden="false" customHeight="false" outlineLevel="0" collapsed="false">
      <c r="A1019" s="47" t="n">
        <v>79</v>
      </c>
      <c r="C1019" s="48" t="str">
        <f aca="false">助手报销!$C80</f>
        <v/>
      </c>
      <c r="D1019" s="81" t="s">
        <v>482</v>
      </c>
      <c r="E1019" s="48" t="str">
        <f aca="false">IFERROR(INDEX(输入报销!$E:$E,MATCH($A1019&amp;"-4",输入报销!$J:$J,0))&amp;"","")</f>
        <v/>
      </c>
      <c r="F1019" s="48" t="str">
        <f aca="false">IFERROR(INDEX(输入报销!$F:$F,MATCH($A1019&amp;"-4",输入报销!$J:$J,0))&amp;"","")</f>
        <v/>
      </c>
      <c r="G1019" s="49" t="n">
        <f aca="false">IFERROR(ROUND(INDEX(输入报销!$G:$G,MATCH($A1019&amp;"-4",输入报销!$J:$J,0)),2),0)</f>
        <v>0</v>
      </c>
      <c r="H1019" s="49" t="str">
        <f aca="false">IF(ROUND($G1019,2)&gt;0,ROUND($G1019,2),"")</f>
        <v/>
      </c>
      <c r="I1019" s="49" t="str">
        <f aca="false">IF(ROUND($G1019,2)&lt;0,-ROUND($G1019,2),"")</f>
        <v/>
      </c>
      <c r="J1019" s="20" t="n">
        <f aca="false">IF(ROUND($G1019,2)=0,0,1)</f>
        <v>0</v>
      </c>
      <c r="K1019" s="20" t="str">
        <f aca="false">IF($J1019=0,"",SUM($J$1016:$J1019))</f>
        <v/>
      </c>
      <c r="L1019" s="20" t="str">
        <f aca="false">IF($K1019="","",$A1019*100+$K1019)</f>
        <v/>
      </c>
      <c r="M1019" s="48" t="str">
        <f aca="false">IFERROR(INDEX(输入报销!$D:$D,MATCH($A1019&amp;"-4",输入报销!$J:$J,0))&amp;"","")</f>
        <v/>
      </c>
    </row>
    <row r="1020" customFormat="false" ht="13.5" hidden="false" customHeight="false" outlineLevel="0" collapsed="false">
      <c r="A1020" s="47" t="n">
        <v>79</v>
      </c>
      <c r="C1020" s="48" t="str">
        <f aca="false">助手报销!$C80</f>
        <v/>
      </c>
      <c r="D1020" s="81" t="s">
        <v>483</v>
      </c>
      <c r="E1020" s="48" t="str">
        <f aca="false">IFERROR(INDEX(输入报销!$E:$E,MATCH($A1020&amp;"-5",输入报销!$J:$J,0))&amp;"","")</f>
        <v/>
      </c>
      <c r="F1020" s="48" t="str">
        <f aca="false">IFERROR(INDEX(输入报销!$F:$F,MATCH($A1020&amp;"-5",输入报销!$J:$J,0))&amp;"","")</f>
        <v/>
      </c>
      <c r="G1020" s="49" t="n">
        <f aca="false">IFERROR(ROUND(INDEX(输入报销!$G:$G,MATCH($A1020&amp;"-5",输入报销!$J:$J,0)),2),0)</f>
        <v>0</v>
      </c>
      <c r="H1020" s="49" t="str">
        <f aca="false">IF(ROUND($G1020,2)&gt;0,ROUND($G1020,2),"")</f>
        <v/>
      </c>
      <c r="I1020" s="49" t="str">
        <f aca="false">IF(ROUND($G1020,2)&lt;0,-ROUND($G1020,2),"")</f>
        <v/>
      </c>
      <c r="J1020" s="20" t="n">
        <f aca="false">IF(ROUND($G1020,2)=0,0,1)</f>
        <v>0</v>
      </c>
      <c r="K1020" s="20" t="str">
        <f aca="false">IF($J1020=0,"",SUM($J$1016:$J1020))</f>
        <v/>
      </c>
      <c r="L1020" s="20" t="str">
        <f aca="false">IF($K1020="","",$A1020*100+$K1020)</f>
        <v/>
      </c>
      <c r="M1020" s="48" t="str">
        <f aca="false">IFERROR(INDEX(输入报销!$D:$D,MATCH($A1020&amp;"-5",输入报销!$J:$J,0))&amp;"","")</f>
        <v/>
      </c>
    </row>
    <row r="1021" customFormat="false" ht="13.5" hidden="false" customHeight="false" outlineLevel="0" collapsed="false">
      <c r="A1021" s="47" t="n">
        <v>79</v>
      </c>
      <c r="C1021" s="48" t="str">
        <f aca="false">助手报销!$C80</f>
        <v/>
      </c>
      <c r="D1021" s="81" t="s">
        <v>484</v>
      </c>
      <c r="E1021" s="48" t="str">
        <f aca="false">IFERROR(INDEX(输入报销!$E:$E,MATCH($A1021&amp;"-6",输入报销!$J:$J,0))&amp;"","")</f>
        <v/>
      </c>
      <c r="F1021" s="48" t="str">
        <f aca="false">IFERROR(INDEX(输入报销!$F:$F,MATCH($A1021&amp;"-6",输入报销!$J:$J,0))&amp;"","")</f>
        <v/>
      </c>
      <c r="G1021" s="49" t="n">
        <f aca="false">IFERROR(ROUND(INDEX(输入报销!$G:$G,MATCH($A1021&amp;"-6",输入报销!$J:$J,0)),2),0)</f>
        <v>0</v>
      </c>
      <c r="H1021" s="49" t="str">
        <f aca="false">IF(ROUND($G1021,2)&gt;0,ROUND($G1021,2),"")</f>
        <v/>
      </c>
      <c r="I1021" s="49" t="str">
        <f aca="false">IF(ROUND($G1021,2)&lt;0,-ROUND($G1021,2),"")</f>
        <v/>
      </c>
      <c r="J1021" s="20" t="n">
        <f aca="false">IF(ROUND($G1021,2)=0,0,1)</f>
        <v>0</v>
      </c>
      <c r="K1021" s="20" t="str">
        <f aca="false">IF($J1021=0,"",SUM($J$1016:$J1021))</f>
        <v/>
      </c>
      <c r="L1021" s="20" t="str">
        <f aca="false">IF($K1021="","",$A1021*100+$K1021)</f>
        <v/>
      </c>
      <c r="M1021" s="48" t="str">
        <f aca="false">IFERROR(INDEX(输入报销!$D:$D,MATCH($A1021&amp;"-6",输入报销!$J:$J,0))&amp;"","")</f>
        <v/>
      </c>
    </row>
    <row r="1022" customFormat="false" ht="13.5" hidden="false" customHeight="false" outlineLevel="0" collapsed="false">
      <c r="A1022" s="47" t="n">
        <v>79</v>
      </c>
      <c r="C1022" s="48" t="str">
        <f aca="false">助手报销!$C80</f>
        <v/>
      </c>
      <c r="D1022" s="81" t="s">
        <v>485</v>
      </c>
      <c r="E1022" s="48" t="str">
        <f aca="false">IFERROR(INDEX(输入报销!$E:$E,MATCH($A1022&amp;"-7",输入报销!$J:$J,0))&amp;"","")</f>
        <v/>
      </c>
      <c r="F1022" s="48" t="str">
        <f aca="false">IFERROR(INDEX(输入报销!$F:$F,MATCH($A1022&amp;"-7",输入报销!$J:$J,0))&amp;"","")</f>
        <v/>
      </c>
      <c r="G1022" s="49" t="n">
        <f aca="false">IFERROR(ROUND(INDEX(输入报销!$G:$G,MATCH($A1022&amp;"-7",输入报销!$J:$J,0)),2),0)</f>
        <v>0</v>
      </c>
      <c r="H1022" s="49" t="str">
        <f aca="false">IF(ROUND($G1022,2)&gt;0,ROUND($G1022,2),"")</f>
        <v/>
      </c>
      <c r="I1022" s="49" t="str">
        <f aca="false">IF(ROUND($G1022,2)&lt;0,-ROUND($G1022,2),"")</f>
        <v/>
      </c>
      <c r="J1022" s="20" t="n">
        <f aca="false">IF(ROUND($G1022,2)=0,0,1)</f>
        <v>0</v>
      </c>
      <c r="K1022" s="20" t="str">
        <f aca="false">IF($J1022=0,"",SUM($J$1016:$J1022))</f>
        <v/>
      </c>
      <c r="L1022" s="20" t="str">
        <f aca="false">IF($K1022="","",$A1022*100+$K1022)</f>
        <v/>
      </c>
      <c r="M1022" s="48" t="str">
        <f aca="false">IFERROR(INDEX(输入报销!$D:$D,MATCH($A1022&amp;"-7",输入报销!$J:$J,0))&amp;"","")</f>
        <v/>
      </c>
    </row>
    <row r="1023" customFormat="false" ht="13.5" hidden="false" customHeight="false" outlineLevel="0" collapsed="false">
      <c r="A1023" s="47" t="n">
        <v>79</v>
      </c>
      <c r="C1023" s="48" t="str">
        <f aca="false">助手报销!$C80</f>
        <v/>
      </c>
      <c r="D1023" s="81" t="s">
        <v>486</v>
      </c>
      <c r="E1023" s="48" t="str">
        <f aca="false">IFERROR(INDEX(输入报销!$E:$E,MATCH($A1023&amp;"-8",输入报销!$J:$J,0))&amp;"","")</f>
        <v/>
      </c>
      <c r="F1023" s="48" t="str">
        <f aca="false">IFERROR(INDEX(输入报销!$F:$F,MATCH($A1023&amp;"-8",输入报销!$J:$J,0))&amp;"","")</f>
        <v/>
      </c>
      <c r="G1023" s="49" t="n">
        <f aca="false">IFERROR(ROUND(INDEX(输入报销!$G:$G,MATCH($A1023&amp;"-8",输入报销!$J:$J,0)),2),0)</f>
        <v>0</v>
      </c>
      <c r="H1023" s="49" t="str">
        <f aca="false">IF(ROUND($G1023,2)&gt;0,ROUND($G1023,2),"")</f>
        <v/>
      </c>
      <c r="I1023" s="49" t="str">
        <f aca="false">IF(ROUND($G1023,2)&lt;0,-ROUND($G1023,2),"")</f>
        <v/>
      </c>
      <c r="J1023" s="20" t="n">
        <f aca="false">IF(ROUND($G1023,2)=0,0,1)</f>
        <v>0</v>
      </c>
      <c r="K1023" s="20" t="str">
        <f aca="false">IF($J1023=0,"",SUM($J$1016:$J1023))</f>
        <v/>
      </c>
      <c r="L1023" s="20" t="str">
        <f aca="false">IF($K1023="","",$A1023*100+$K1023)</f>
        <v/>
      </c>
      <c r="M1023" s="48" t="str">
        <f aca="false">IFERROR(INDEX(输入报销!$D:$D,MATCH($A1023&amp;"-8",输入报销!$J:$J,0))&amp;"","")</f>
        <v/>
      </c>
    </row>
    <row r="1024" customFormat="false" ht="13.5" hidden="false" customHeight="false" outlineLevel="0" collapsed="false">
      <c r="A1024" s="47" t="n">
        <v>79</v>
      </c>
      <c r="C1024" s="48" t="str">
        <f aca="false">助手报销!$C80</f>
        <v/>
      </c>
      <c r="D1024" s="81" t="s">
        <v>487</v>
      </c>
      <c r="E1024" s="48" t="str">
        <f aca="false">IFERROR(INDEX(输入报销!$E:$E,MATCH($A1024&amp;"-9",输入报销!$J:$J,0))&amp;"","")</f>
        <v/>
      </c>
      <c r="F1024" s="48" t="str">
        <f aca="false">IFERROR(INDEX(输入报销!$F:$F,MATCH($A1024&amp;"-9",输入报销!$J:$J,0))&amp;"","")</f>
        <v/>
      </c>
      <c r="G1024" s="49" t="n">
        <f aca="false">IFERROR(ROUND(INDEX(输入报销!$G:$G,MATCH($A1024&amp;"-9",输入报销!$J:$J,0)),2),0)</f>
        <v>0</v>
      </c>
      <c r="H1024" s="49" t="str">
        <f aca="false">IF(ROUND($G1024,2)&gt;0,ROUND($G1024,2),"")</f>
        <v/>
      </c>
      <c r="I1024" s="49" t="str">
        <f aca="false">IF(ROUND($G1024,2)&lt;0,-ROUND($G1024,2),"")</f>
        <v/>
      </c>
      <c r="J1024" s="20" t="n">
        <f aca="false">IF(ROUND($G1024,2)=0,0,1)</f>
        <v>0</v>
      </c>
      <c r="K1024" s="20" t="str">
        <f aca="false">IF($J1024=0,"",SUM($J$1016:$J1024))</f>
        <v/>
      </c>
      <c r="L1024" s="20" t="str">
        <f aca="false">IF($K1024="","",$A1024*100+$K1024)</f>
        <v/>
      </c>
      <c r="M1024" s="48" t="str">
        <f aca="false">IFERROR(INDEX(输入报销!$D:$D,MATCH($A1024&amp;"-9",输入报销!$J:$J,0))&amp;"","")</f>
        <v/>
      </c>
    </row>
    <row r="1025" customFormat="false" ht="13.5" hidden="false" customHeight="false" outlineLevel="0" collapsed="false">
      <c r="A1025" s="47" t="n">
        <v>79</v>
      </c>
      <c r="C1025" s="48" t="str">
        <f aca="false">助手报销!$C80</f>
        <v/>
      </c>
      <c r="D1025" s="81" t="s">
        <v>488</v>
      </c>
      <c r="E1025" s="48" t="str">
        <f aca="false">IFERROR(INDEX(输入报销!$E:$E,MATCH($A1025&amp;"-10",输入报销!$J:$J,0))&amp;"","")</f>
        <v/>
      </c>
      <c r="F1025" s="48" t="str">
        <f aca="false">IFERROR(INDEX(输入报销!$F:$F,MATCH($A1025&amp;"-10",输入报销!$J:$J,0))&amp;"","")</f>
        <v/>
      </c>
      <c r="G1025" s="49" t="n">
        <f aca="false">IFERROR(ROUND(INDEX(输入报销!$G:$G,MATCH($A1025&amp;"-10",输入报销!$J:$J,0)),2),0)</f>
        <v>0</v>
      </c>
      <c r="H1025" s="49" t="str">
        <f aca="false">IF(ROUND($G1025,2)&gt;0,ROUND($G1025,2),"")</f>
        <v/>
      </c>
      <c r="I1025" s="49" t="str">
        <f aca="false">IF(ROUND($G1025,2)&lt;0,-ROUND($G1025,2),"")</f>
        <v/>
      </c>
      <c r="J1025" s="20" t="n">
        <f aca="false">IF(ROUND($G1025,2)=0,0,1)</f>
        <v>0</v>
      </c>
      <c r="K1025" s="20" t="str">
        <f aca="false">IF($J1025=0,"",SUM($J$1016:$J1025))</f>
        <v/>
      </c>
      <c r="L1025" s="20" t="str">
        <f aca="false">IF($K1025="","",$A1025*100+$K1025)</f>
        <v/>
      </c>
      <c r="M1025" s="48" t="str">
        <f aca="false">IFERROR(INDEX(输入报销!$D:$D,MATCH($A1025&amp;"-10",输入报销!$J:$J,0))&amp;"","")</f>
        <v/>
      </c>
    </row>
    <row r="1026" customFormat="false" ht="13.5" hidden="false" customHeight="false" outlineLevel="0" collapsed="false">
      <c r="A1026" s="47" t="n">
        <v>79</v>
      </c>
      <c r="C1026" s="48" t="str">
        <f aca="false">助手报销!$C80</f>
        <v/>
      </c>
      <c r="D1026" s="81" t="s">
        <v>489</v>
      </c>
      <c r="E1026" s="48" t="str">
        <f aca="false">参数!$B$6</f>
        <v>库存现金</v>
      </c>
      <c r="F1026" s="48" t="str">
        <f aca="false">""</f>
        <v/>
      </c>
      <c r="G1026" s="49" t="n">
        <f aca="false">-ROUND(SUMIFS(输入报销!$G:$G,输入报销!$A:$A,$A1026,输入报销!$H:$H,参数!$B$6),2)</f>
        <v>-0</v>
      </c>
      <c r="H1026" s="49" t="str">
        <f aca="false">IF(ROUND($G1026,2)&gt;0,ROUND($G1026,2),"")</f>
        <v/>
      </c>
      <c r="I1026" s="49" t="str">
        <f aca="false">IF(ROUND($G1026,2)&lt;0,-ROUND($G1026,2),"")</f>
        <v/>
      </c>
      <c r="J1026" s="20" t="n">
        <f aca="false">IF(ROUND($G1026,2)=0,0,1)</f>
        <v>0</v>
      </c>
      <c r="K1026" s="20" t="str">
        <f aca="false">IF($J1026=0,"",SUM($J$1016:$J1026))</f>
        <v/>
      </c>
      <c r="L1026" s="20" t="str">
        <f aca="false">IF($K1026="","",$A1026*100+$K1026)</f>
        <v/>
      </c>
      <c r="M1026" s="48" t="str">
        <f aca="false">""</f>
        <v/>
      </c>
    </row>
    <row r="1027" customFormat="false" ht="13.5" hidden="false" customHeight="false" outlineLevel="0" collapsed="false">
      <c r="A1027" s="47" t="n">
        <v>79</v>
      </c>
      <c r="C1027" s="48" t="str">
        <f aca="false">助手报销!$C80</f>
        <v/>
      </c>
      <c r="D1027" s="81" t="s">
        <v>490</v>
      </c>
      <c r="E1027" s="48" t="str">
        <f aca="false">参数!$B$7</f>
        <v>银行存款</v>
      </c>
      <c r="F1027" s="48" t="str">
        <f aca="false">""</f>
        <v/>
      </c>
      <c r="G1027" s="49" t="n">
        <f aca="false">-ROUND(SUMIFS(输入报销!$G:$G,输入报销!$A:$A,$A1027,输入报销!$H:$H,参数!$B$7),2)</f>
        <v>-0</v>
      </c>
      <c r="H1027" s="49" t="str">
        <f aca="false">IF(ROUND($G1027,2)&gt;0,ROUND($G1027,2),"")</f>
        <v/>
      </c>
      <c r="I1027" s="49" t="str">
        <f aca="false">IF(ROUND($G1027,2)&lt;0,-ROUND($G1027,2),"")</f>
        <v/>
      </c>
      <c r="J1027" s="20" t="n">
        <f aca="false">IF(ROUND($G1027,2)=0,0,1)</f>
        <v>0</v>
      </c>
      <c r="K1027" s="20" t="str">
        <f aca="false">IF($J1027=0,"",SUM($J$1016:$J1027))</f>
        <v/>
      </c>
      <c r="L1027" s="20" t="str">
        <f aca="false">IF($K1027="","",$A1027*100+$K1027)</f>
        <v/>
      </c>
      <c r="M1027" s="48" t="str">
        <f aca="false">""</f>
        <v/>
      </c>
    </row>
    <row r="1028" customFormat="false" ht="13.5" hidden="false" customHeight="false" outlineLevel="0" collapsed="false">
      <c r="A1028" s="47" t="n">
        <v>79</v>
      </c>
      <c r="C1028" s="48" t="str">
        <f aca="false">助手报销!$C80</f>
        <v/>
      </c>
      <c r="D1028" s="81" t="s">
        <v>491</v>
      </c>
      <c r="E1028" s="48" t="str">
        <f aca="false">参数!$B$8</f>
        <v>其他应付款</v>
      </c>
      <c r="F1028" s="48" t="str">
        <f aca="false">""</f>
        <v/>
      </c>
      <c r="G1028" s="49" t="n">
        <f aca="false">-ROUND(SUMIFS(输入报销!$G:$G,输入报销!$A:$A,$A1028,输入报销!$H:$H,参数!$B$8),2)</f>
        <v>-0</v>
      </c>
      <c r="H1028" s="49" t="str">
        <f aca="false">IF(ROUND($G1028,2)&gt;0,ROUND($G1028,2),"")</f>
        <v/>
      </c>
      <c r="I1028" s="49" t="str">
        <f aca="false">IF(ROUND($G1028,2)&lt;0,-ROUND($G1028,2),"")</f>
        <v/>
      </c>
      <c r="J1028" s="20" t="n">
        <f aca="false">IF(ROUND($G1028,2)=0,0,1)</f>
        <v>0</v>
      </c>
      <c r="K1028" s="20" t="str">
        <f aca="false">IF($J1028=0,"",SUM($J$1016:$J1028))</f>
        <v/>
      </c>
      <c r="L1028" s="20" t="str">
        <f aca="false">IF($K1028="","",$A1028*100+$K1028)</f>
        <v/>
      </c>
      <c r="M1028" s="48" t="str">
        <f aca="false">""</f>
        <v/>
      </c>
    </row>
    <row r="1029" customFormat="false" ht="13.5" hidden="false" customHeight="false" outlineLevel="0" collapsed="false">
      <c r="A1029" s="47" t="n">
        <v>80</v>
      </c>
      <c r="C1029" s="48" t="str">
        <f aca="false">助手报销!$C81</f>
        <v/>
      </c>
      <c r="D1029" s="81" t="s">
        <v>479</v>
      </c>
      <c r="E1029" s="48" t="str">
        <f aca="false">IFERROR(INDEX(输入报销!$E:$E,MATCH($A1029&amp;"-1",输入报销!$J:$J,0))&amp;"","")</f>
        <v/>
      </c>
      <c r="F1029" s="48" t="str">
        <f aca="false">IFERROR(INDEX(输入报销!$F:$F,MATCH($A1029&amp;"-1",输入报销!$J:$J,0))&amp;"","")</f>
        <v/>
      </c>
      <c r="G1029" s="49" t="n">
        <f aca="false">IFERROR(ROUND(INDEX(输入报销!$G:$G,MATCH($A1029&amp;"-1",输入报销!$J:$J,0)),2),0)</f>
        <v>0</v>
      </c>
      <c r="H1029" s="49" t="str">
        <f aca="false">IF(ROUND($G1029,2)&gt;0,ROUND($G1029,2),"")</f>
        <v/>
      </c>
      <c r="I1029" s="49" t="str">
        <f aca="false">IF(ROUND($G1029,2)&lt;0,-ROUND($G1029,2),"")</f>
        <v/>
      </c>
      <c r="J1029" s="20" t="n">
        <f aca="false">IF(ROUND($G1029,2)=0,0,1)</f>
        <v>0</v>
      </c>
      <c r="K1029" s="20" t="str">
        <f aca="false">IF($J1029=0,"",SUM($J$1029:$J1029))</f>
        <v/>
      </c>
      <c r="L1029" s="20" t="str">
        <f aca="false">IF($K1029="","",$A1029*100+$K1029)</f>
        <v/>
      </c>
      <c r="M1029" s="48" t="str">
        <f aca="false">IFERROR(INDEX(输入报销!$D:$D,MATCH($A1029&amp;"-1",输入报销!$J:$J,0))&amp;"","")</f>
        <v/>
      </c>
    </row>
    <row r="1030" customFormat="false" ht="13.5" hidden="false" customHeight="false" outlineLevel="0" collapsed="false">
      <c r="A1030" s="47" t="n">
        <v>80</v>
      </c>
      <c r="C1030" s="48" t="str">
        <f aca="false">助手报销!$C81</f>
        <v/>
      </c>
      <c r="D1030" s="81" t="s">
        <v>480</v>
      </c>
      <c r="E1030" s="48" t="str">
        <f aca="false">IFERROR(INDEX(输入报销!$E:$E,MATCH($A1030&amp;"-2",输入报销!$J:$J,0))&amp;"","")</f>
        <v/>
      </c>
      <c r="F1030" s="48" t="str">
        <f aca="false">IFERROR(INDEX(输入报销!$F:$F,MATCH($A1030&amp;"-2",输入报销!$J:$J,0))&amp;"","")</f>
        <v/>
      </c>
      <c r="G1030" s="49" t="n">
        <f aca="false">IFERROR(ROUND(INDEX(输入报销!$G:$G,MATCH($A1030&amp;"-2",输入报销!$J:$J,0)),2),0)</f>
        <v>0</v>
      </c>
      <c r="H1030" s="49" t="str">
        <f aca="false">IF(ROUND($G1030,2)&gt;0,ROUND($G1030,2),"")</f>
        <v/>
      </c>
      <c r="I1030" s="49" t="str">
        <f aca="false">IF(ROUND($G1030,2)&lt;0,-ROUND($G1030,2),"")</f>
        <v/>
      </c>
      <c r="J1030" s="20" t="n">
        <f aca="false">IF(ROUND($G1030,2)=0,0,1)</f>
        <v>0</v>
      </c>
      <c r="K1030" s="20" t="str">
        <f aca="false">IF($J1030=0,"",SUM($J$1029:$J1030))</f>
        <v/>
      </c>
      <c r="L1030" s="20" t="str">
        <f aca="false">IF($K1030="","",$A1030*100+$K1030)</f>
        <v/>
      </c>
      <c r="M1030" s="48" t="str">
        <f aca="false">IFERROR(INDEX(输入报销!$D:$D,MATCH($A1030&amp;"-2",输入报销!$J:$J,0))&amp;"","")</f>
        <v/>
      </c>
    </row>
    <row r="1031" customFormat="false" ht="13.5" hidden="false" customHeight="false" outlineLevel="0" collapsed="false">
      <c r="A1031" s="47" t="n">
        <v>80</v>
      </c>
      <c r="C1031" s="48" t="str">
        <f aca="false">助手报销!$C81</f>
        <v/>
      </c>
      <c r="D1031" s="81" t="s">
        <v>481</v>
      </c>
      <c r="E1031" s="48" t="str">
        <f aca="false">IFERROR(INDEX(输入报销!$E:$E,MATCH($A1031&amp;"-3",输入报销!$J:$J,0))&amp;"","")</f>
        <v/>
      </c>
      <c r="F1031" s="48" t="str">
        <f aca="false">IFERROR(INDEX(输入报销!$F:$F,MATCH($A1031&amp;"-3",输入报销!$J:$J,0))&amp;"","")</f>
        <v/>
      </c>
      <c r="G1031" s="49" t="n">
        <f aca="false">IFERROR(ROUND(INDEX(输入报销!$G:$G,MATCH($A1031&amp;"-3",输入报销!$J:$J,0)),2),0)</f>
        <v>0</v>
      </c>
      <c r="H1031" s="49" t="str">
        <f aca="false">IF(ROUND($G1031,2)&gt;0,ROUND($G1031,2),"")</f>
        <v/>
      </c>
      <c r="I1031" s="49" t="str">
        <f aca="false">IF(ROUND($G1031,2)&lt;0,-ROUND($G1031,2),"")</f>
        <v/>
      </c>
      <c r="J1031" s="20" t="n">
        <f aca="false">IF(ROUND($G1031,2)=0,0,1)</f>
        <v>0</v>
      </c>
      <c r="K1031" s="20" t="str">
        <f aca="false">IF($J1031=0,"",SUM($J$1029:$J1031))</f>
        <v/>
      </c>
      <c r="L1031" s="20" t="str">
        <f aca="false">IF($K1031="","",$A1031*100+$K1031)</f>
        <v/>
      </c>
      <c r="M1031" s="48" t="str">
        <f aca="false">IFERROR(INDEX(输入报销!$D:$D,MATCH($A1031&amp;"-3",输入报销!$J:$J,0))&amp;"","")</f>
        <v/>
      </c>
    </row>
    <row r="1032" customFormat="false" ht="13.5" hidden="false" customHeight="false" outlineLevel="0" collapsed="false">
      <c r="A1032" s="47" t="n">
        <v>80</v>
      </c>
      <c r="C1032" s="48" t="str">
        <f aca="false">助手报销!$C81</f>
        <v/>
      </c>
      <c r="D1032" s="81" t="s">
        <v>482</v>
      </c>
      <c r="E1032" s="48" t="str">
        <f aca="false">IFERROR(INDEX(输入报销!$E:$E,MATCH($A1032&amp;"-4",输入报销!$J:$J,0))&amp;"","")</f>
        <v/>
      </c>
      <c r="F1032" s="48" t="str">
        <f aca="false">IFERROR(INDEX(输入报销!$F:$F,MATCH($A1032&amp;"-4",输入报销!$J:$J,0))&amp;"","")</f>
        <v/>
      </c>
      <c r="G1032" s="49" t="n">
        <f aca="false">IFERROR(ROUND(INDEX(输入报销!$G:$G,MATCH($A1032&amp;"-4",输入报销!$J:$J,0)),2),0)</f>
        <v>0</v>
      </c>
      <c r="H1032" s="49" t="str">
        <f aca="false">IF(ROUND($G1032,2)&gt;0,ROUND($G1032,2),"")</f>
        <v/>
      </c>
      <c r="I1032" s="49" t="str">
        <f aca="false">IF(ROUND($G1032,2)&lt;0,-ROUND($G1032,2),"")</f>
        <v/>
      </c>
      <c r="J1032" s="20" t="n">
        <f aca="false">IF(ROUND($G1032,2)=0,0,1)</f>
        <v>0</v>
      </c>
      <c r="K1032" s="20" t="str">
        <f aca="false">IF($J1032=0,"",SUM($J$1029:$J1032))</f>
        <v/>
      </c>
      <c r="L1032" s="20" t="str">
        <f aca="false">IF($K1032="","",$A1032*100+$K1032)</f>
        <v/>
      </c>
      <c r="M1032" s="48" t="str">
        <f aca="false">IFERROR(INDEX(输入报销!$D:$D,MATCH($A1032&amp;"-4",输入报销!$J:$J,0))&amp;"","")</f>
        <v/>
      </c>
    </row>
    <row r="1033" customFormat="false" ht="13.5" hidden="false" customHeight="false" outlineLevel="0" collapsed="false">
      <c r="A1033" s="47" t="n">
        <v>80</v>
      </c>
      <c r="C1033" s="48" t="str">
        <f aca="false">助手报销!$C81</f>
        <v/>
      </c>
      <c r="D1033" s="81" t="s">
        <v>483</v>
      </c>
      <c r="E1033" s="48" t="str">
        <f aca="false">IFERROR(INDEX(输入报销!$E:$E,MATCH($A1033&amp;"-5",输入报销!$J:$J,0))&amp;"","")</f>
        <v/>
      </c>
      <c r="F1033" s="48" t="str">
        <f aca="false">IFERROR(INDEX(输入报销!$F:$F,MATCH($A1033&amp;"-5",输入报销!$J:$J,0))&amp;"","")</f>
        <v/>
      </c>
      <c r="G1033" s="49" t="n">
        <f aca="false">IFERROR(ROUND(INDEX(输入报销!$G:$G,MATCH($A1033&amp;"-5",输入报销!$J:$J,0)),2),0)</f>
        <v>0</v>
      </c>
      <c r="H1033" s="49" t="str">
        <f aca="false">IF(ROUND($G1033,2)&gt;0,ROUND($G1033,2),"")</f>
        <v/>
      </c>
      <c r="I1033" s="49" t="str">
        <f aca="false">IF(ROUND($G1033,2)&lt;0,-ROUND($G1033,2),"")</f>
        <v/>
      </c>
      <c r="J1033" s="20" t="n">
        <f aca="false">IF(ROUND($G1033,2)=0,0,1)</f>
        <v>0</v>
      </c>
      <c r="K1033" s="20" t="str">
        <f aca="false">IF($J1033=0,"",SUM($J$1029:$J1033))</f>
        <v/>
      </c>
      <c r="L1033" s="20" t="str">
        <f aca="false">IF($K1033="","",$A1033*100+$K1033)</f>
        <v/>
      </c>
      <c r="M1033" s="48" t="str">
        <f aca="false">IFERROR(INDEX(输入报销!$D:$D,MATCH($A1033&amp;"-5",输入报销!$J:$J,0))&amp;"","")</f>
        <v/>
      </c>
    </row>
    <row r="1034" customFormat="false" ht="13.5" hidden="false" customHeight="false" outlineLevel="0" collapsed="false">
      <c r="A1034" s="47" t="n">
        <v>80</v>
      </c>
      <c r="C1034" s="48" t="str">
        <f aca="false">助手报销!$C81</f>
        <v/>
      </c>
      <c r="D1034" s="81" t="s">
        <v>484</v>
      </c>
      <c r="E1034" s="48" t="str">
        <f aca="false">IFERROR(INDEX(输入报销!$E:$E,MATCH($A1034&amp;"-6",输入报销!$J:$J,0))&amp;"","")</f>
        <v/>
      </c>
      <c r="F1034" s="48" t="str">
        <f aca="false">IFERROR(INDEX(输入报销!$F:$F,MATCH($A1034&amp;"-6",输入报销!$J:$J,0))&amp;"","")</f>
        <v/>
      </c>
      <c r="G1034" s="49" t="n">
        <f aca="false">IFERROR(ROUND(INDEX(输入报销!$G:$G,MATCH($A1034&amp;"-6",输入报销!$J:$J,0)),2),0)</f>
        <v>0</v>
      </c>
      <c r="H1034" s="49" t="str">
        <f aca="false">IF(ROUND($G1034,2)&gt;0,ROUND($G1034,2),"")</f>
        <v/>
      </c>
      <c r="I1034" s="49" t="str">
        <f aca="false">IF(ROUND($G1034,2)&lt;0,-ROUND($G1034,2),"")</f>
        <v/>
      </c>
      <c r="J1034" s="20" t="n">
        <f aca="false">IF(ROUND($G1034,2)=0,0,1)</f>
        <v>0</v>
      </c>
      <c r="K1034" s="20" t="str">
        <f aca="false">IF($J1034=0,"",SUM($J$1029:$J1034))</f>
        <v/>
      </c>
      <c r="L1034" s="20" t="str">
        <f aca="false">IF($K1034="","",$A1034*100+$K1034)</f>
        <v/>
      </c>
      <c r="M1034" s="48" t="str">
        <f aca="false">IFERROR(INDEX(输入报销!$D:$D,MATCH($A1034&amp;"-6",输入报销!$J:$J,0))&amp;"","")</f>
        <v/>
      </c>
    </row>
    <row r="1035" customFormat="false" ht="13.5" hidden="false" customHeight="false" outlineLevel="0" collapsed="false">
      <c r="A1035" s="47" t="n">
        <v>80</v>
      </c>
      <c r="C1035" s="48" t="str">
        <f aca="false">助手报销!$C81</f>
        <v/>
      </c>
      <c r="D1035" s="81" t="s">
        <v>485</v>
      </c>
      <c r="E1035" s="48" t="str">
        <f aca="false">IFERROR(INDEX(输入报销!$E:$E,MATCH($A1035&amp;"-7",输入报销!$J:$J,0))&amp;"","")</f>
        <v/>
      </c>
      <c r="F1035" s="48" t="str">
        <f aca="false">IFERROR(INDEX(输入报销!$F:$F,MATCH($A1035&amp;"-7",输入报销!$J:$J,0))&amp;"","")</f>
        <v/>
      </c>
      <c r="G1035" s="49" t="n">
        <f aca="false">IFERROR(ROUND(INDEX(输入报销!$G:$G,MATCH($A1035&amp;"-7",输入报销!$J:$J,0)),2),0)</f>
        <v>0</v>
      </c>
      <c r="H1035" s="49" t="str">
        <f aca="false">IF(ROUND($G1035,2)&gt;0,ROUND($G1035,2),"")</f>
        <v/>
      </c>
      <c r="I1035" s="49" t="str">
        <f aca="false">IF(ROUND($G1035,2)&lt;0,-ROUND($G1035,2),"")</f>
        <v/>
      </c>
      <c r="J1035" s="20" t="n">
        <f aca="false">IF(ROUND($G1035,2)=0,0,1)</f>
        <v>0</v>
      </c>
      <c r="K1035" s="20" t="str">
        <f aca="false">IF($J1035=0,"",SUM($J$1029:$J1035))</f>
        <v/>
      </c>
      <c r="L1035" s="20" t="str">
        <f aca="false">IF($K1035="","",$A1035*100+$K1035)</f>
        <v/>
      </c>
      <c r="M1035" s="48" t="str">
        <f aca="false">IFERROR(INDEX(输入报销!$D:$D,MATCH($A1035&amp;"-7",输入报销!$J:$J,0))&amp;"","")</f>
        <v/>
      </c>
    </row>
    <row r="1036" customFormat="false" ht="13.5" hidden="false" customHeight="false" outlineLevel="0" collapsed="false">
      <c r="A1036" s="47" t="n">
        <v>80</v>
      </c>
      <c r="C1036" s="48" t="str">
        <f aca="false">助手报销!$C81</f>
        <v/>
      </c>
      <c r="D1036" s="81" t="s">
        <v>486</v>
      </c>
      <c r="E1036" s="48" t="str">
        <f aca="false">IFERROR(INDEX(输入报销!$E:$E,MATCH($A1036&amp;"-8",输入报销!$J:$J,0))&amp;"","")</f>
        <v/>
      </c>
      <c r="F1036" s="48" t="str">
        <f aca="false">IFERROR(INDEX(输入报销!$F:$F,MATCH($A1036&amp;"-8",输入报销!$J:$J,0))&amp;"","")</f>
        <v/>
      </c>
      <c r="G1036" s="49" t="n">
        <f aca="false">IFERROR(ROUND(INDEX(输入报销!$G:$G,MATCH($A1036&amp;"-8",输入报销!$J:$J,0)),2),0)</f>
        <v>0</v>
      </c>
      <c r="H1036" s="49" t="str">
        <f aca="false">IF(ROUND($G1036,2)&gt;0,ROUND($G1036,2),"")</f>
        <v/>
      </c>
      <c r="I1036" s="49" t="str">
        <f aca="false">IF(ROUND($G1036,2)&lt;0,-ROUND($G1036,2),"")</f>
        <v/>
      </c>
      <c r="J1036" s="20" t="n">
        <f aca="false">IF(ROUND($G1036,2)=0,0,1)</f>
        <v>0</v>
      </c>
      <c r="K1036" s="20" t="str">
        <f aca="false">IF($J1036=0,"",SUM($J$1029:$J1036))</f>
        <v/>
      </c>
      <c r="L1036" s="20" t="str">
        <f aca="false">IF($K1036="","",$A1036*100+$K1036)</f>
        <v/>
      </c>
      <c r="M1036" s="48" t="str">
        <f aca="false">IFERROR(INDEX(输入报销!$D:$D,MATCH($A1036&amp;"-8",输入报销!$J:$J,0))&amp;"","")</f>
        <v/>
      </c>
    </row>
    <row r="1037" customFormat="false" ht="13.5" hidden="false" customHeight="false" outlineLevel="0" collapsed="false">
      <c r="A1037" s="47" t="n">
        <v>80</v>
      </c>
      <c r="C1037" s="48" t="str">
        <f aca="false">助手报销!$C81</f>
        <v/>
      </c>
      <c r="D1037" s="81" t="s">
        <v>487</v>
      </c>
      <c r="E1037" s="48" t="str">
        <f aca="false">IFERROR(INDEX(输入报销!$E:$E,MATCH($A1037&amp;"-9",输入报销!$J:$J,0))&amp;"","")</f>
        <v/>
      </c>
      <c r="F1037" s="48" t="str">
        <f aca="false">IFERROR(INDEX(输入报销!$F:$F,MATCH($A1037&amp;"-9",输入报销!$J:$J,0))&amp;"","")</f>
        <v/>
      </c>
      <c r="G1037" s="49" t="n">
        <f aca="false">IFERROR(ROUND(INDEX(输入报销!$G:$G,MATCH($A1037&amp;"-9",输入报销!$J:$J,0)),2),0)</f>
        <v>0</v>
      </c>
      <c r="H1037" s="49" t="str">
        <f aca="false">IF(ROUND($G1037,2)&gt;0,ROUND($G1037,2),"")</f>
        <v/>
      </c>
      <c r="I1037" s="49" t="str">
        <f aca="false">IF(ROUND($G1037,2)&lt;0,-ROUND($G1037,2),"")</f>
        <v/>
      </c>
      <c r="J1037" s="20" t="n">
        <f aca="false">IF(ROUND($G1037,2)=0,0,1)</f>
        <v>0</v>
      </c>
      <c r="K1037" s="20" t="str">
        <f aca="false">IF($J1037=0,"",SUM($J$1029:$J1037))</f>
        <v/>
      </c>
      <c r="L1037" s="20" t="str">
        <f aca="false">IF($K1037="","",$A1037*100+$K1037)</f>
        <v/>
      </c>
      <c r="M1037" s="48" t="str">
        <f aca="false">IFERROR(INDEX(输入报销!$D:$D,MATCH($A1037&amp;"-9",输入报销!$J:$J,0))&amp;"","")</f>
        <v/>
      </c>
    </row>
    <row r="1038" customFormat="false" ht="13.5" hidden="false" customHeight="false" outlineLevel="0" collapsed="false">
      <c r="A1038" s="47" t="n">
        <v>80</v>
      </c>
      <c r="C1038" s="48" t="str">
        <f aca="false">助手报销!$C81</f>
        <v/>
      </c>
      <c r="D1038" s="81" t="s">
        <v>488</v>
      </c>
      <c r="E1038" s="48" t="str">
        <f aca="false">IFERROR(INDEX(输入报销!$E:$E,MATCH($A1038&amp;"-10",输入报销!$J:$J,0))&amp;"","")</f>
        <v/>
      </c>
      <c r="F1038" s="48" t="str">
        <f aca="false">IFERROR(INDEX(输入报销!$F:$F,MATCH($A1038&amp;"-10",输入报销!$J:$J,0))&amp;"","")</f>
        <v/>
      </c>
      <c r="G1038" s="49" t="n">
        <f aca="false">IFERROR(ROUND(INDEX(输入报销!$G:$G,MATCH($A1038&amp;"-10",输入报销!$J:$J,0)),2),0)</f>
        <v>0</v>
      </c>
      <c r="H1038" s="49" t="str">
        <f aca="false">IF(ROUND($G1038,2)&gt;0,ROUND($G1038,2),"")</f>
        <v/>
      </c>
      <c r="I1038" s="49" t="str">
        <f aca="false">IF(ROUND($G1038,2)&lt;0,-ROUND($G1038,2),"")</f>
        <v/>
      </c>
      <c r="J1038" s="20" t="n">
        <f aca="false">IF(ROUND($G1038,2)=0,0,1)</f>
        <v>0</v>
      </c>
      <c r="K1038" s="20" t="str">
        <f aca="false">IF($J1038=0,"",SUM($J$1029:$J1038))</f>
        <v/>
      </c>
      <c r="L1038" s="20" t="str">
        <f aca="false">IF($K1038="","",$A1038*100+$K1038)</f>
        <v/>
      </c>
      <c r="M1038" s="48" t="str">
        <f aca="false">IFERROR(INDEX(输入报销!$D:$D,MATCH($A1038&amp;"-10",输入报销!$J:$J,0))&amp;"","")</f>
        <v/>
      </c>
    </row>
    <row r="1039" customFormat="false" ht="13.5" hidden="false" customHeight="false" outlineLevel="0" collapsed="false">
      <c r="A1039" s="47" t="n">
        <v>80</v>
      </c>
      <c r="C1039" s="48" t="str">
        <f aca="false">助手报销!$C81</f>
        <v/>
      </c>
      <c r="D1039" s="81" t="s">
        <v>489</v>
      </c>
      <c r="E1039" s="48" t="str">
        <f aca="false">参数!$B$6</f>
        <v>库存现金</v>
      </c>
      <c r="F1039" s="48" t="str">
        <f aca="false">""</f>
        <v/>
      </c>
      <c r="G1039" s="49" t="n">
        <f aca="false">-ROUND(SUMIFS(输入报销!$G:$G,输入报销!$A:$A,$A1039,输入报销!$H:$H,参数!$B$6),2)</f>
        <v>-0</v>
      </c>
      <c r="H1039" s="49" t="str">
        <f aca="false">IF(ROUND($G1039,2)&gt;0,ROUND($G1039,2),"")</f>
        <v/>
      </c>
      <c r="I1039" s="49" t="str">
        <f aca="false">IF(ROUND($G1039,2)&lt;0,-ROUND($G1039,2),"")</f>
        <v/>
      </c>
      <c r="J1039" s="20" t="n">
        <f aca="false">IF(ROUND($G1039,2)=0,0,1)</f>
        <v>0</v>
      </c>
      <c r="K1039" s="20" t="str">
        <f aca="false">IF($J1039=0,"",SUM($J$1029:$J1039))</f>
        <v/>
      </c>
      <c r="L1039" s="20" t="str">
        <f aca="false">IF($K1039="","",$A1039*100+$K1039)</f>
        <v/>
      </c>
      <c r="M1039" s="48" t="str">
        <f aca="false">""</f>
        <v/>
      </c>
    </row>
    <row r="1040" customFormat="false" ht="13.5" hidden="false" customHeight="false" outlineLevel="0" collapsed="false">
      <c r="A1040" s="47" t="n">
        <v>80</v>
      </c>
      <c r="C1040" s="48" t="str">
        <f aca="false">助手报销!$C81</f>
        <v/>
      </c>
      <c r="D1040" s="81" t="s">
        <v>490</v>
      </c>
      <c r="E1040" s="48" t="str">
        <f aca="false">参数!$B$7</f>
        <v>银行存款</v>
      </c>
      <c r="F1040" s="48" t="str">
        <f aca="false">""</f>
        <v/>
      </c>
      <c r="G1040" s="49" t="n">
        <f aca="false">-ROUND(SUMIFS(输入报销!$G:$G,输入报销!$A:$A,$A1040,输入报销!$H:$H,参数!$B$7),2)</f>
        <v>-0</v>
      </c>
      <c r="H1040" s="49" t="str">
        <f aca="false">IF(ROUND($G1040,2)&gt;0,ROUND($G1040,2),"")</f>
        <v/>
      </c>
      <c r="I1040" s="49" t="str">
        <f aca="false">IF(ROUND($G1040,2)&lt;0,-ROUND($G1040,2),"")</f>
        <v/>
      </c>
      <c r="J1040" s="20" t="n">
        <f aca="false">IF(ROUND($G1040,2)=0,0,1)</f>
        <v>0</v>
      </c>
      <c r="K1040" s="20" t="str">
        <f aca="false">IF($J1040=0,"",SUM($J$1029:$J1040))</f>
        <v/>
      </c>
      <c r="L1040" s="20" t="str">
        <f aca="false">IF($K1040="","",$A1040*100+$K1040)</f>
        <v/>
      </c>
      <c r="M1040" s="48" t="str">
        <f aca="false">""</f>
        <v/>
      </c>
    </row>
    <row r="1041" customFormat="false" ht="13.5" hidden="false" customHeight="false" outlineLevel="0" collapsed="false">
      <c r="A1041" s="47" t="n">
        <v>80</v>
      </c>
      <c r="C1041" s="48" t="str">
        <f aca="false">助手报销!$C81</f>
        <v/>
      </c>
      <c r="D1041" s="81" t="s">
        <v>491</v>
      </c>
      <c r="E1041" s="48" t="str">
        <f aca="false">参数!$B$8</f>
        <v>其他应付款</v>
      </c>
      <c r="F1041" s="48" t="str">
        <f aca="false">""</f>
        <v/>
      </c>
      <c r="G1041" s="49" t="n">
        <f aca="false">-ROUND(SUMIFS(输入报销!$G:$G,输入报销!$A:$A,$A1041,输入报销!$H:$H,参数!$B$8),2)</f>
        <v>-0</v>
      </c>
      <c r="H1041" s="49" t="str">
        <f aca="false">IF(ROUND($G1041,2)&gt;0,ROUND($G1041,2),"")</f>
        <v/>
      </c>
      <c r="I1041" s="49" t="str">
        <f aca="false">IF(ROUND($G1041,2)&lt;0,-ROUND($G1041,2),"")</f>
        <v/>
      </c>
      <c r="J1041" s="20" t="n">
        <f aca="false">IF(ROUND($G1041,2)=0,0,1)</f>
        <v>0</v>
      </c>
      <c r="K1041" s="20" t="str">
        <f aca="false">IF($J1041=0,"",SUM($J$1029:$J1041))</f>
        <v/>
      </c>
      <c r="L1041" s="20" t="str">
        <f aca="false">IF($K1041="","",$A1041*100+$K1041)</f>
        <v/>
      </c>
      <c r="M1041" s="48" t="str">
        <f aca="false">""</f>
        <v/>
      </c>
    </row>
    <row r="1042" customFormat="false" ht="13.5" hidden="false" customHeight="false" outlineLevel="0" collapsed="false">
      <c r="A1042" s="47" t="n">
        <v>81</v>
      </c>
      <c r="C1042" s="48" t="str">
        <f aca="false">助手报销!$C82</f>
        <v/>
      </c>
      <c r="D1042" s="81" t="s">
        <v>479</v>
      </c>
      <c r="E1042" s="48" t="str">
        <f aca="false">IFERROR(INDEX(输入报销!$E:$E,MATCH($A1042&amp;"-1",输入报销!$J:$J,0))&amp;"","")</f>
        <v/>
      </c>
      <c r="F1042" s="48" t="str">
        <f aca="false">IFERROR(INDEX(输入报销!$F:$F,MATCH($A1042&amp;"-1",输入报销!$J:$J,0))&amp;"","")</f>
        <v/>
      </c>
      <c r="G1042" s="49" t="n">
        <f aca="false">IFERROR(ROUND(INDEX(输入报销!$G:$G,MATCH($A1042&amp;"-1",输入报销!$J:$J,0)),2),0)</f>
        <v>0</v>
      </c>
      <c r="H1042" s="49" t="str">
        <f aca="false">IF(ROUND($G1042,2)&gt;0,ROUND($G1042,2),"")</f>
        <v/>
      </c>
      <c r="I1042" s="49" t="str">
        <f aca="false">IF(ROUND($G1042,2)&lt;0,-ROUND($G1042,2),"")</f>
        <v/>
      </c>
      <c r="J1042" s="20" t="n">
        <f aca="false">IF(ROUND($G1042,2)=0,0,1)</f>
        <v>0</v>
      </c>
      <c r="K1042" s="20" t="str">
        <f aca="false">IF($J1042=0,"",SUM($J$1042:$J1042))</f>
        <v/>
      </c>
      <c r="L1042" s="20" t="str">
        <f aca="false">IF($K1042="","",$A1042*100+$K1042)</f>
        <v/>
      </c>
      <c r="M1042" s="48" t="str">
        <f aca="false">IFERROR(INDEX(输入报销!$D:$D,MATCH($A1042&amp;"-1",输入报销!$J:$J,0))&amp;"","")</f>
        <v/>
      </c>
    </row>
    <row r="1043" customFormat="false" ht="13.5" hidden="false" customHeight="false" outlineLevel="0" collapsed="false">
      <c r="A1043" s="47" t="n">
        <v>81</v>
      </c>
      <c r="C1043" s="48" t="str">
        <f aca="false">助手报销!$C82</f>
        <v/>
      </c>
      <c r="D1043" s="81" t="s">
        <v>480</v>
      </c>
      <c r="E1043" s="48" t="str">
        <f aca="false">IFERROR(INDEX(输入报销!$E:$E,MATCH($A1043&amp;"-2",输入报销!$J:$J,0))&amp;"","")</f>
        <v/>
      </c>
      <c r="F1043" s="48" t="str">
        <f aca="false">IFERROR(INDEX(输入报销!$F:$F,MATCH($A1043&amp;"-2",输入报销!$J:$J,0))&amp;"","")</f>
        <v/>
      </c>
      <c r="G1043" s="49" t="n">
        <f aca="false">IFERROR(ROUND(INDEX(输入报销!$G:$G,MATCH($A1043&amp;"-2",输入报销!$J:$J,0)),2),0)</f>
        <v>0</v>
      </c>
      <c r="H1043" s="49" t="str">
        <f aca="false">IF(ROUND($G1043,2)&gt;0,ROUND($G1043,2),"")</f>
        <v/>
      </c>
      <c r="I1043" s="49" t="str">
        <f aca="false">IF(ROUND($G1043,2)&lt;0,-ROUND($G1043,2),"")</f>
        <v/>
      </c>
      <c r="J1043" s="20" t="n">
        <f aca="false">IF(ROUND($G1043,2)=0,0,1)</f>
        <v>0</v>
      </c>
      <c r="K1043" s="20" t="str">
        <f aca="false">IF($J1043=0,"",SUM($J$1042:$J1043))</f>
        <v/>
      </c>
      <c r="L1043" s="20" t="str">
        <f aca="false">IF($K1043="","",$A1043*100+$K1043)</f>
        <v/>
      </c>
      <c r="M1043" s="48" t="str">
        <f aca="false">IFERROR(INDEX(输入报销!$D:$D,MATCH($A1043&amp;"-2",输入报销!$J:$J,0))&amp;"","")</f>
        <v/>
      </c>
    </row>
    <row r="1044" customFormat="false" ht="13.5" hidden="false" customHeight="false" outlineLevel="0" collapsed="false">
      <c r="A1044" s="47" t="n">
        <v>81</v>
      </c>
      <c r="C1044" s="48" t="str">
        <f aca="false">助手报销!$C82</f>
        <v/>
      </c>
      <c r="D1044" s="81" t="s">
        <v>481</v>
      </c>
      <c r="E1044" s="48" t="str">
        <f aca="false">IFERROR(INDEX(输入报销!$E:$E,MATCH($A1044&amp;"-3",输入报销!$J:$J,0))&amp;"","")</f>
        <v/>
      </c>
      <c r="F1044" s="48" t="str">
        <f aca="false">IFERROR(INDEX(输入报销!$F:$F,MATCH($A1044&amp;"-3",输入报销!$J:$J,0))&amp;"","")</f>
        <v/>
      </c>
      <c r="G1044" s="49" t="n">
        <f aca="false">IFERROR(ROUND(INDEX(输入报销!$G:$G,MATCH($A1044&amp;"-3",输入报销!$J:$J,0)),2),0)</f>
        <v>0</v>
      </c>
      <c r="H1044" s="49" t="str">
        <f aca="false">IF(ROUND($G1044,2)&gt;0,ROUND($G1044,2),"")</f>
        <v/>
      </c>
      <c r="I1044" s="49" t="str">
        <f aca="false">IF(ROUND($G1044,2)&lt;0,-ROUND($G1044,2),"")</f>
        <v/>
      </c>
      <c r="J1044" s="20" t="n">
        <f aca="false">IF(ROUND($G1044,2)=0,0,1)</f>
        <v>0</v>
      </c>
      <c r="K1044" s="20" t="str">
        <f aca="false">IF($J1044=0,"",SUM($J$1042:$J1044))</f>
        <v/>
      </c>
      <c r="L1044" s="20" t="str">
        <f aca="false">IF($K1044="","",$A1044*100+$K1044)</f>
        <v/>
      </c>
      <c r="M1044" s="48" t="str">
        <f aca="false">IFERROR(INDEX(输入报销!$D:$D,MATCH($A1044&amp;"-3",输入报销!$J:$J,0))&amp;"","")</f>
        <v/>
      </c>
    </row>
    <row r="1045" customFormat="false" ht="13.5" hidden="false" customHeight="false" outlineLevel="0" collapsed="false">
      <c r="A1045" s="47" t="n">
        <v>81</v>
      </c>
      <c r="C1045" s="48" t="str">
        <f aca="false">助手报销!$C82</f>
        <v/>
      </c>
      <c r="D1045" s="81" t="s">
        <v>482</v>
      </c>
      <c r="E1045" s="48" t="str">
        <f aca="false">IFERROR(INDEX(输入报销!$E:$E,MATCH($A1045&amp;"-4",输入报销!$J:$J,0))&amp;"","")</f>
        <v/>
      </c>
      <c r="F1045" s="48" t="str">
        <f aca="false">IFERROR(INDEX(输入报销!$F:$F,MATCH($A1045&amp;"-4",输入报销!$J:$J,0))&amp;"","")</f>
        <v/>
      </c>
      <c r="G1045" s="49" t="n">
        <f aca="false">IFERROR(ROUND(INDEX(输入报销!$G:$G,MATCH($A1045&amp;"-4",输入报销!$J:$J,0)),2),0)</f>
        <v>0</v>
      </c>
      <c r="H1045" s="49" t="str">
        <f aca="false">IF(ROUND($G1045,2)&gt;0,ROUND($G1045,2),"")</f>
        <v/>
      </c>
      <c r="I1045" s="49" t="str">
        <f aca="false">IF(ROUND($G1045,2)&lt;0,-ROUND($G1045,2),"")</f>
        <v/>
      </c>
      <c r="J1045" s="20" t="n">
        <f aca="false">IF(ROUND($G1045,2)=0,0,1)</f>
        <v>0</v>
      </c>
      <c r="K1045" s="20" t="str">
        <f aca="false">IF($J1045=0,"",SUM($J$1042:$J1045))</f>
        <v/>
      </c>
      <c r="L1045" s="20" t="str">
        <f aca="false">IF($K1045="","",$A1045*100+$K1045)</f>
        <v/>
      </c>
      <c r="M1045" s="48" t="str">
        <f aca="false">IFERROR(INDEX(输入报销!$D:$D,MATCH($A1045&amp;"-4",输入报销!$J:$J,0))&amp;"","")</f>
        <v/>
      </c>
    </row>
    <row r="1046" customFormat="false" ht="13.5" hidden="false" customHeight="false" outlineLevel="0" collapsed="false">
      <c r="A1046" s="47" t="n">
        <v>81</v>
      </c>
      <c r="C1046" s="48" t="str">
        <f aca="false">助手报销!$C82</f>
        <v/>
      </c>
      <c r="D1046" s="81" t="s">
        <v>483</v>
      </c>
      <c r="E1046" s="48" t="str">
        <f aca="false">IFERROR(INDEX(输入报销!$E:$E,MATCH($A1046&amp;"-5",输入报销!$J:$J,0))&amp;"","")</f>
        <v/>
      </c>
      <c r="F1046" s="48" t="str">
        <f aca="false">IFERROR(INDEX(输入报销!$F:$F,MATCH($A1046&amp;"-5",输入报销!$J:$J,0))&amp;"","")</f>
        <v/>
      </c>
      <c r="G1046" s="49" t="n">
        <f aca="false">IFERROR(ROUND(INDEX(输入报销!$G:$G,MATCH($A1046&amp;"-5",输入报销!$J:$J,0)),2),0)</f>
        <v>0</v>
      </c>
      <c r="H1046" s="49" t="str">
        <f aca="false">IF(ROUND($G1046,2)&gt;0,ROUND($G1046,2),"")</f>
        <v/>
      </c>
      <c r="I1046" s="49" t="str">
        <f aca="false">IF(ROUND($G1046,2)&lt;0,-ROUND($G1046,2),"")</f>
        <v/>
      </c>
      <c r="J1046" s="20" t="n">
        <f aca="false">IF(ROUND($G1046,2)=0,0,1)</f>
        <v>0</v>
      </c>
      <c r="K1046" s="20" t="str">
        <f aca="false">IF($J1046=0,"",SUM($J$1042:$J1046))</f>
        <v/>
      </c>
      <c r="L1046" s="20" t="str">
        <f aca="false">IF($K1046="","",$A1046*100+$K1046)</f>
        <v/>
      </c>
      <c r="M1046" s="48" t="str">
        <f aca="false">IFERROR(INDEX(输入报销!$D:$D,MATCH($A1046&amp;"-5",输入报销!$J:$J,0))&amp;"","")</f>
        <v/>
      </c>
    </row>
    <row r="1047" customFormat="false" ht="13.5" hidden="false" customHeight="false" outlineLevel="0" collapsed="false">
      <c r="A1047" s="47" t="n">
        <v>81</v>
      </c>
      <c r="C1047" s="48" t="str">
        <f aca="false">助手报销!$C82</f>
        <v/>
      </c>
      <c r="D1047" s="81" t="s">
        <v>484</v>
      </c>
      <c r="E1047" s="48" t="str">
        <f aca="false">IFERROR(INDEX(输入报销!$E:$E,MATCH($A1047&amp;"-6",输入报销!$J:$J,0))&amp;"","")</f>
        <v/>
      </c>
      <c r="F1047" s="48" t="str">
        <f aca="false">IFERROR(INDEX(输入报销!$F:$F,MATCH($A1047&amp;"-6",输入报销!$J:$J,0))&amp;"","")</f>
        <v/>
      </c>
      <c r="G1047" s="49" t="n">
        <f aca="false">IFERROR(ROUND(INDEX(输入报销!$G:$G,MATCH($A1047&amp;"-6",输入报销!$J:$J,0)),2),0)</f>
        <v>0</v>
      </c>
      <c r="H1047" s="49" t="str">
        <f aca="false">IF(ROUND($G1047,2)&gt;0,ROUND($G1047,2),"")</f>
        <v/>
      </c>
      <c r="I1047" s="49" t="str">
        <f aca="false">IF(ROUND($G1047,2)&lt;0,-ROUND($G1047,2),"")</f>
        <v/>
      </c>
      <c r="J1047" s="20" t="n">
        <f aca="false">IF(ROUND($G1047,2)=0,0,1)</f>
        <v>0</v>
      </c>
      <c r="K1047" s="20" t="str">
        <f aca="false">IF($J1047=0,"",SUM($J$1042:$J1047))</f>
        <v/>
      </c>
      <c r="L1047" s="20" t="str">
        <f aca="false">IF($K1047="","",$A1047*100+$K1047)</f>
        <v/>
      </c>
      <c r="M1047" s="48" t="str">
        <f aca="false">IFERROR(INDEX(输入报销!$D:$D,MATCH($A1047&amp;"-6",输入报销!$J:$J,0))&amp;"","")</f>
        <v/>
      </c>
    </row>
    <row r="1048" customFormat="false" ht="13.5" hidden="false" customHeight="false" outlineLevel="0" collapsed="false">
      <c r="A1048" s="47" t="n">
        <v>81</v>
      </c>
      <c r="C1048" s="48" t="str">
        <f aca="false">助手报销!$C82</f>
        <v/>
      </c>
      <c r="D1048" s="81" t="s">
        <v>485</v>
      </c>
      <c r="E1048" s="48" t="str">
        <f aca="false">IFERROR(INDEX(输入报销!$E:$E,MATCH($A1048&amp;"-7",输入报销!$J:$J,0))&amp;"","")</f>
        <v/>
      </c>
      <c r="F1048" s="48" t="str">
        <f aca="false">IFERROR(INDEX(输入报销!$F:$F,MATCH($A1048&amp;"-7",输入报销!$J:$J,0))&amp;"","")</f>
        <v/>
      </c>
      <c r="G1048" s="49" t="n">
        <f aca="false">IFERROR(ROUND(INDEX(输入报销!$G:$G,MATCH($A1048&amp;"-7",输入报销!$J:$J,0)),2),0)</f>
        <v>0</v>
      </c>
      <c r="H1048" s="49" t="str">
        <f aca="false">IF(ROUND($G1048,2)&gt;0,ROUND($G1048,2),"")</f>
        <v/>
      </c>
      <c r="I1048" s="49" t="str">
        <f aca="false">IF(ROUND($G1048,2)&lt;0,-ROUND($G1048,2),"")</f>
        <v/>
      </c>
      <c r="J1048" s="20" t="n">
        <f aca="false">IF(ROUND($G1048,2)=0,0,1)</f>
        <v>0</v>
      </c>
      <c r="K1048" s="20" t="str">
        <f aca="false">IF($J1048=0,"",SUM($J$1042:$J1048))</f>
        <v/>
      </c>
      <c r="L1048" s="20" t="str">
        <f aca="false">IF($K1048="","",$A1048*100+$K1048)</f>
        <v/>
      </c>
      <c r="M1048" s="48" t="str">
        <f aca="false">IFERROR(INDEX(输入报销!$D:$D,MATCH($A1048&amp;"-7",输入报销!$J:$J,0))&amp;"","")</f>
        <v/>
      </c>
    </row>
    <row r="1049" customFormat="false" ht="13.5" hidden="false" customHeight="false" outlineLevel="0" collapsed="false">
      <c r="A1049" s="47" t="n">
        <v>81</v>
      </c>
      <c r="C1049" s="48" t="str">
        <f aca="false">助手报销!$C82</f>
        <v/>
      </c>
      <c r="D1049" s="81" t="s">
        <v>486</v>
      </c>
      <c r="E1049" s="48" t="str">
        <f aca="false">IFERROR(INDEX(输入报销!$E:$E,MATCH($A1049&amp;"-8",输入报销!$J:$J,0))&amp;"","")</f>
        <v/>
      </c>
      <c r="F1049" s="48" t="str">
        <f aca="false">IFERROR(INDEX(输入报销!$F:$F,MATCH($A1049&amp;"-8",输入报销!$J:$J,0))&amp;"","")</f>
        <v/>
      </c>
      <c r="G1049" s="49" t="n">
        <f aca="false">IFERROR(ROUND(INDEX(输入报销!$G:$G,MATCH($A1049&amp;"-8",输入报销!$J:$J,0)),2),0)</f>
        <v>0</v>
      </c>
      <c r="H1049" s="49" t="str">
        <f aca="false">IF(ROUND($G1049,2)&gt;0,ROUND($G1049,2),"")</f>
        <v/>
      </c>
      <c r="I1049" s="49" t="str">
        <f aca="false">IF(ROUND($G1049,2)&lt;0,-ROUND($G1049,2),"")</f>
        <v/>
      </c>
      <c r="J1049" s="20" t="n">
        <f aca="false">IF(ROUND($G1049,2)=0,0,1)</f>
        <v>0</v>
      </c>
      <c r="K1049" s="20" t="str">
        <f aca="false">IF($J1049=0,"",SUM($J$1042:$J1049))</f>
        <v/>
      </c>
      <c r="L1049" s="20" t="str">
        <f aca="false">IF($K1049="","",$A1049*100+$K1049)</f>
        <v/>
      </c>
      <c r="M1049" s="48" t="str">
        <f aca="false">IFERROR(INDEX(输入报销!$D:$D,MATCH($A1049&amp;"-8",输入报销!$J:$J,0))&amp;"","")</f>
        <v/>
      </c>
    </row>
    <row r="1050" customFormat="false" ht="13.5" hidden="false" customHeight="false" outlineLevel="0" collapsed="false">
      <c r="A1050" s="47" t="n">
        <v>81</v>
      </c>
      <c r="C1050" s="48" t="str">
        <f aca="false">助手报销!$C82</f>
        <v/>
      </c>
      <c r="D1050" s="81" t="s">
        <v>487</v>
      </c>
      <c r="E1050" s="48" t="str">
        <f aca="false">IFERROR(INDEX(输入报销!$E:$E,MATCH($A1050&amp;"-9",输入报销!$J:$J,0))&amp;"","")</f>
        <v/>
      </c>
      <c r="F1050" s="48" t="str">
        <f aca="false">IFERROR(INDEX(输入报销!$F:$F,MATCH($A1050&amp;"-9",输入报销!$J:$J,0))&amp;"","")</f>
        <v/>
      </c>
      <c r="G1050" s="49" t="n">
        <f aca="false">IFERROR(ROUND(INDEX(输入报销!$G:$G,MATCH($A1050&amp;"-9",输入报销!$J:$J,0)),2),0)</f>
        <v>0</v>
      </c>
      <c r="H1050" s="49" t="str">
        <f aca="false">IF(ROUND($G1050,2)&gt;0,ROUND($G1050,2),"")</f>
        <v/>
      </c>
      <c r="I1050" s="49" t="str">
        <f aca="false">IF(ROUND($G1050,2)&lt;0,-ROUND($G1050,2),"")</f>
        <v/>
      </c>
      <c r="J1050" s="20" t="n">
        <f aca="false">IF(ROUND($G1050,2)=0,0,1)</f>
        <v>0</v>
      </c>
      <c r="K1050" s="20" t="str">
        <f aca="false">IF($J1050=0,"",SUM($J$1042:$J1050))</f>
        <v/>
      </c>
      <c r="L1050" s="20" t="str">
        <f aca="false">IF($K1050="","",$A1050*100+$K1050)</f>
        <v/>
      </c>
      <c r="M1050" s="48" t="str">
        <f aca="false">IFERROR(INDEX(输入报销!$D:$D,MATCH($A1050&amp;"-9",输入报销!$J:$J,0))&amp;"","")</f>
        <v/>
      </c>
    </row>
    <row r="1051" customFormat="false" ht="13.5" hidden="false" customHeight="false" outlineLevel="0" collapsed="false">
      <c r="A1051" s="47" t="n">
        <v>81</v>
      </c>
      <c r="C1051" s="48" t="str">
        <f aca="false">助手报销!$C82</f>
        <v/>
      </c>
      <c r="D1051" s="81" t="s">
        <v>488</v>
      </c>
      <c r="E1051" s="48" t="str">
        <f aca="false">IFERROR(INDEX(输入报销!$E:$E,MATCH($A1051&amp;"-10",输入报销!$J:$J,0))&amp;"","")</f>
        <v/>
      </c>
      <c r="F1051" s="48" t="str">
        <f aca="false">IFERROR(INDEX(输入报销!$F:$F,MATCH($A1051&amp;"-10",输入报销!$J:$J,0))&amp;"","")</f>
        <v/>
      </c>
      <c r="G1051" s="49" t="n">
        <f aca="false">IFERROR(ROUND(INDEX(输入报销!$G:$G,MATCH($A1051&amp;"-10",输入报销!$J:$J,0)),2),0)</f>
        <v>0</v>
      </c>
      <c r="H1051" s="49" t="str">
        <f aca="false">IF(ROUND($G1051,2)&gt;0,ROUND($G1051,2),"")</f>
        <v/>
      </c>
      <c r="I1051" s="49" t="str">
        <f aca="false">IF(ROUND($G1051,2)&lt;0,-ROUND($G1051,2),"")</f>
        <v/>
      </c>
      <c r="J1051" s="20" t="n">
        <f aca="false">IF(ROUND($G1051,2)=0,0,1)</f>
        <v>0</v>
      </c>
      <c r="K1051" s="20" t="str">
        <f aca="false">IF($J1051=0,"",SUM($J$1042:$J1051))</f>
        <v/>
      </c>
      <c r="L1051" s="20" t="str">
        <f aca="false">IF($K1051="","",$A1051*100+$K1051)</f>
        <v/>
      </c>
      <c r="M1051" s="48" t="str">
        <f aca="false">IFERROR(INDEX(输入报销!$D:$D,MATCH($A1051&amp;"-10",输入报销!$J:$J,0))&amp;"","")</f>
        <v/>
      </c>
    </row>
    <row r="1052" customFormat="false" ht="13.5" hidden="false" customHeight="false" outlineLevel="0" collapsed="false">
      <c r="A1052" s="47" t="n">
        <v>81</v>
      </c>
      <c r="C1052" s="48" t="str">
        <f aca="false">助手报销!$C82</f>
        <v/>
      </c>
      <c r="D1052" s="81" t="s">
        <v>489</v>
      </c>
      <c r="E1052" s="48" t="str">
        <f aca="false">参数!$B$6</f>
        <v>库存现金</v>
      </c>
      <c r="F1052" s="48" t="str">
        <f aca="false">""</f>
        <v/>
      </c>
      <c r="G1052" s="49" t="n">
        <f aca="false">-ROUND(SUMIFS(输入报销!$G:$G,输入报销!$A:$A,$A1052,输入报销!$H:$H,参数!$B$6),2)</f>
        <v>-0</v>
      </c>
      <c r="H1052" s="49" t="str">
        <f aca="false">IF(ROUND($G1052,2)&gt;0,ROUND($G1052,2),"")</f>
        <v/>
      </c>
      <c r="I1052" s="49" t="str">
        <f aca="false">IF(ROUND($G1052,2)&lt;0,-ROUND($G1052,2),"")</f>
        <v/>
      </c>
      <c r="J1052" s="20" t="n">
        <f aca="false">IF(ROUND($G1052,2)=0,0,1)</f>
        <v>0</v>
      </c>
      <c r="K1052" s="20" t="str">
        <f aca="false">IF($J1052=0,"",SUM($J$1042:$J1052))</f>
        <v/>
      </c>
      <c r="L1052" s="20" t="str">
        <f aca="false">IF($K1052="","",$A1052*100+$K1052)</f>
        <v/>
      </c>
      <c r="M1052" s="48" t="str">
        <f aca="false">""</f>
        <v/>
      </c>
    </row>
    <row r="1053" customFormat="false" ht="13.5" hidden="false" customHeight="false" outlineLevel="0" collapsed="false">
      <c r="A1053" s="47" t="n">
        <v>81</v>
      </c>
      <c r="C1053" s="48" t="str">
        <f aca="false">助手报销!$C82</f>
        <v/>
      </c>
      <c r="D1053" s="81" t="s">
        <v>490</v>
      </c>
      <c r="E1053" s="48" t="str">
        <f aca="false">参数!$B$7</f>
        <v>银行存款</v>
      </c>
      <c r="F1053" s="48" t="str">
        <f aca="false">""</f>
        <v/>
      </c>
      <c r="G1053" s="49" t="n">
        <f aca="false">-ROUND(SUMIFS(输入报销!$G:$G,输入报销!$A:$A,$A1053,输入报销!$H:$H,参数!$B$7),2)</f>
        <v>-0</v>
      </c>
      <c r="H1053" s="49" t="str">
        <f aca="false">IF(ROUND($G1053,2)&gt;0,ROUND($G1053,2),"")</f>
        <v/>
      </c>
      <c r="I1053" s="49" t="str">
        <f aca="false">IF(ROUND($G1053,2)&lt;0,-ROUND($G1053,2),"")</f>
        <v/>
      </c>
      <c r="J1053" s="20" t="n">
        <f aca="false">IF(ROUND($G1053,2)=0,0,1)</f>
        <v>0</v>
      </c>
      <c r="K1053" s="20" t="str">
        <f aca="false">IF($J1053=0,"",SUM($J$1042:$J1053))</f>
        <v/>
      </c>
      <c r="L1053" s="20" t="str">
        <f aca="false">IF($K1053="","",$A1053*100+$K1053)</f>
        <v/>
      </c>
      <c r="M1053" s="48" t="str">
        <f aca="false">""</f>
        <v/>
      </c>
    </row>
    <row r="1054" customFormat="false" ht="13.5" hidden="false" customHeight="false" outlineLevel="0" collapsed="false">
      <c r="A1054" s="47" t="n">
        <v>81</v>
      </c>
      <c r="C1054" s="48" t="str">
        <f aca="false">助手报销!$C82</f>
        <v/>
      </c>
      <c r="D1054" s="81" t="s">
        <v>491</v>
      </c>
      <c r="E1054" s="48" t="str">
        <f aca="false">参数!$B$8</f>
        <v>其他应付款</v>
      </c>
      <c r="F1054" s="48" t="str">
        <f aca="false">""</f>
        <v/>
      </c>
      <c r="G1054" s="49" t="n">
        <f aca="false">-ROUND(SUMIFS(输入报销!$G:$G,输入报销!$A:$A,$A1054,输入报销!$H:$H,参数!$B$8),2)</f>
        <v>-0</v>
      </c>
      <c r="H1054" s="49" t="str">
        <f aca="false">IF(ROUND($G1054,2)&gt;0,ROUND($G1054,2),"")</f>
        <v/>
      </c>
      <c r="I1054" s="49" t="str">
        <f aca="false">IF(ROUND($G1054,2)&lt;0,-ROUND($G1054,2),"")</f>
        <v/>
      </c>
      <c r="J1054" s="20" t="n">
        <f aca="false">IF(ROUND($G1054,2)=0,0,1)</f>
        <v>0</v>
      </c>
      <c r="K1054" s="20" t="str">
        <f aca="false">IF($J1054=0,"",SUM($J$1042:$J1054))</f>
        <v/>
      </c>
      <c r="L1054" s="20" t="str">
        <f aca="false">IF($K1054="","",$A1054*100+$K1054)</f>
        <v/>
      </c>
      <c r="M1054" s="48" t="str">
        <f aca="false">""</f>
        <v/>
      </c>
    </row>
    <row r="1055" customFormat="false" ht="13.5" hidden="false" customHeight="false" outlineLevel="0" collapsed="false">
      <c r="A1055" s="47" t="n">
        <v>82</v>
      </c>
      <c r="C1055" s="48" t="str">
        <f aca="false">助手报销!$C83</f>
        <v/>
      </c>
      <c r="D1055" s="81" t="s">
        <v>479</v>
      </c>
      <c r="E1055" s="48" t="str">
        <f aca="false">IFERROR(INDEX(输入报销!$E:$E,MATCH($A1055&amp;"-1",输入报销!$J:$J,0))&amp;"","")</f>
        <v/>
      </c>
      <c r="F1055" s="48" t="str">
        <f aca="false">IFERROR(INDEX(输入报销!$F:$F,MATCH($A1055&amp;"-1",输入报销!$J:$J,0))&amp;"","")</f>
        <v/>
      </c>
      <c r="G1055" s="49" t="n">
        <f aca="false">IFERROR(ROUND(INDEX(输入报销!$G:$G,MATCH($A1055&amp;"-1",输入报销!$J:$J,0)),2),0)</f>
        <v>0</v>
      </c>
      <c r="H1055" s="49" t="str">
        <f aca="false">IF(ROUND($G1055,2)&gt;0,ROUND($G1055,2),"")</f>
        <v/>
      </c>
      <c r="I1055" s="49" t="str">
        <f aca="false">IF(ROUND($G1055,2)&lt;0,-ROUND($G1055,2),"")</f>
        <v/>
      </c>
      <c r="J1055" s="20" t="n">
        <f aca="false">IF(ROUND($G1055,2)=0,0,1)</f>
        <v>0</v>
      </c>
      <c r="K1055" s="20" t="str">
        <f aca="false">IF($J1055=0,"",SUM($J$1055:$J1055))</f>
        <v/>
      </c>
      <c r="L1055" s="20" t="str">
        <f aca="false">IF($K1055="","",$A1055*100+$K1055)</f>
        <v/>
      </c>
      <c r="M1055" s="48" t="str">
        <f aca="false">IFERROR(INDEX(输入报销!$D:$D,MATCH($A1055&amp;"-1",输入报销!$J:$J,0))&amp;"","")</f>
        <v/>
      </c>
    </row>
    <row r="1056" customFormat="false" ht="13.5" hidden="false" customHeight="false" outlineLevel="0" collapsed="false">
      <c r="A1056" s="47" t="n">
        <v>82</v>
      </c>
      <c r="C1056" s="48" t="str">
        <f aca="false">助手报销!$C83</f>
        <v/>
      </c>
      <c r="D1056" s="81" t="s">
        <v>480</v>
      </c>
      <c r="E1056" s="48" t="str">
        <f aca="false">IFERROR(INDEX(输入报销!$E:$E,MATCH($A1056&amp;"-2",输入报销!$J:$J,0))&amp;"","")</f>
        <v/>
      </c>
      <c r="F1056" s="48" t="str">
        <f aca="false">IFERROR(INDEX(输入报销!$F:$F,MATCH($A1056&amp;"-2",输入报销!$J:$J,0))&amp;"","")</f>
        <v/>
      </c>
      <c r="G1056" s="49" t="n">
        <f aca="false">IFERROR(ROUND(INDEX(输入报销!$G:$G,MATCH($A1056&amp;"-2",输入报销!$J:$J,0)),2),0)</f>
        <v>0</v>
      </c>
      <c r="H1056" s="49" t="str">
        <f aca="false">IF(ROUND($G1056,2)&gt;0,ROUND($G1056,2),"")</f>
        <v/>
      </c>
      <c r="I1056" s="49" t="str">
        <f aca="false">IF(ROUND($G1056,2)&lt;0,-ROUND($G1056,2),"")</f>
        <v/>
      </c>
      <c r="J1056" s="20" t="n">
        <f aca="false">IF(ROUND($G1056,2)=0,0,1)</f>
        <v>0</v>
      </c>
      <c r="K1056" s="20" t="str">
        <f aca="false">IF($J1056=0,"",SUM($J$1055:$J1056))</f>
        <v/>
      </c>
      <c r="L1056" s="20" t="str">
        <f aca="false">IF($K1056="","",$A1056*100+$K1056)</f>
        <v/>
      </c>
      <c r="M1056" s="48" t="str">
        <f aca="false">IFERROR(INDEX(输入报销!$D:$D,MATCH($A1056&amp;"-2",输入报销!$J:$J,0))&amp;"","")</f>
        <v/>
      </c>
    </row>
    <row r="1057" customFormat="false" ht="13.5" hidden="false" customHeight="false" outlineLevel="0" collapsed="false">
      <c r="A1057" s="47" t="n">
        <v>82</v>
      </c>
      <c r="C1057" s="48" t="str">
        <f aca="false">助手报销!$C83</f>
        <v/>
      </c>
      <c r="D1057" s="81" t="s">
        <v>481</v>
      </c>
      <c r="E1057" s="48" t="str">
        <f aca="false">IFERROR(INDEX(输入报销!$E:$E,MATCH($A1057&amp;"-3",输入报销!$J:$J,0))&amp;"","")</f>
        <v/>
      </c>
      <c r="F1057" s="48" t="str">
        <f aca="false">IFERROR(INDEX(输入报销!$F:$F,MATCH($A1057&amp;"-3",输入报销!$J:$J,0))&amp;"","")</f>
        <v/>
      </c>
      <c r="G1057" s="49" t="n">
        <f aca="false">IFERROR(ROUND(INDEX(输入报销!$G:$G,MATCH($A1057&amp;"-3",输入报销!$J:$J,0)),2),0)</f>
        <v>0</v>
      </c>
      <c r="H1057" s="49" t="str">
        <f aca="false">IF(ROUND($G1057,2)&gt;0,ROUND($G1057,2),"")</f>
        <v/>
      </c>
      <c r="I1057" s="49" t="str">
        <f aca="false">IF(ROUND($G1057,2)&lt;0,-ROUND($G1057,2),"")</f>
        <v/>
      </c>
      <c r="J1057" s="20" t="n">
        <f aca="false">IF(ROUND($G1057,2)=0,0,1)</f>
        <v>0</v>
      </c>
      <c r="K1057" s="20" t="str">
        <f aca="false">IF($J1057=0,"",SUM($J$1055:$J1057))</f>
        <v/>
      </c>
      <c r="L1057" s="20" t="str">
        <f aca="false">IF($K1057="","",$A1057*100+$K1057)</f>
        <v/>
      </c>
      <c r="M1057" s="48" t="str">
        <f aca="false">IFERROR(INDEX(输入报销!$D:$D,MATCH($A1057&amp;"-3",输入报销!$J:$J,0))&amp;"","")</f>
        <v/>
      </c>
    </row>
    <row r="1058" customFormat="false" ht="13.5" hidden="false" customHeight="false" outlineLevel="0" collapsed="false">
      <c r="A1058" s="47" t="n">
        <v>82</v>
      </c>
      <c r="C1058" s="48" t="str">
        <f aca="false">助手报销!$C83</f>
        <v/>
      </c>
      <c r="D1058" s="81" t="s">
        <v>482</v>
      </c>
      <c r="E1058" s="48" t="str">
        <f aca="false">IFERROR(INDEX(输入报销!$E:$E,MATCH($A1058&amp;"-4",输入报销!$J:$J,0))&amp;"","")</f>
        <v/>
      </c>
      <c r="F1058" s="48" t="str">
        <f aca="false">IFERROR(INDEX(输入报销!$F:$F,MATCH($A1058&amp;"-4",输入报销!$J:$J,0))&amp;"","")</f>
        <v/>
      </c>
      <c r="G1058" s="49" t="n">
        <f aca="false">IFERROR(ROUND(INDEX(输入报销!$G:$G,MATCH($A1058&amp;"-4",输入报销!$J:$J,0)),2),0)</f>
        <v>0</v>
      </c>
      <c r="H1058" s="49" t="str">
        <f aca="false">IF(ROUND($G1058,2)&gt;0,ROUND($G1058,2),"")</f>
        <v/>
      </c>
      <c r="I1058" s="49" t="str">
        <f aca="false">IF(ROUND($G1058,2)&lt;0,-ROUND($G1058,2),"")</f>
        <v/>
      </c>
      <c r="J1058" s="20" t="n">
        <f aca="false">IF(ROUND($G1058,2)=0,0,1)</f>
        <v>0</v>
      </c>
      <c r="K1058" s="20" t="str">
        <f aca="false">IF($J1058=0,"",SUM($J$1055:$J1058))</f>
        <v/>
      </c>
      <c r="L1058" s="20" t="str">
        <f aca="false">IF($K1058="","",$A1058*100+$K1058)</f>
        <v/>
      </c>
      <c r="M1058" s="48" t="str">
        <f aca="false">IFERROR(INDEX(输入报销!$D:$D,MATCH($A1058&amp;"-4",输入报销!$J:$J,0))&amp;"","")</f>
        <v/>
      </c>
    </row>
    <row r="1059" customFormat="false" ht="13.5" hidden="false" customHeight="false" outlineLevel="0" collapsed="false">
      <c r="A1059" s="47" t="n">
        <v>82</v>
      </c>
      <c r="C1059" s="48" t="str">
        <f aca="false">助手报销!$C83</f>
        <v/>
      </c>
      <c r="D1059" s="81" t="s">
        <v>483</v>
      </c>
      <c r="E1059" s="48" t="str">
        <f aca="false">IFERROR(INDEX(输入报销!$E:$E,MATCH($A1059&amp;"-5",输入报销!$J:$J,0))&amp;"","")</f>
        <v/>
      </c>
      <c r="F1059" s="48" t="str">
        <f aca="false">IFERROR(INDEX(输入报销!$F:$F,MATCH($A1059&amp;"-5",输入报销!$J:$J,0))&amp;"","")</f>
        <v/>
      </c>
      <c r="G1059" s="49" t="n">
        <f aca="false">IFERROR(ROUND(INDEX(输入报销!$G:$G,MATCH($A1059&amp;"-5",输入报销!$J:$J,0)),2),0)</f>
        <v>0</v>
      </c>
      <c r="H1059" s="49" t="str">
        <f aca="false">IF(ROUND($G1059,2)&gt;0,ROUND($G1059,2),"")</f>
        <v/>
      </c>
      <c r="I1059" s="49" t="str">
        <f aca="false">IF(ROUND($G1059,2)&lt;0,-ROUND($G1059,2),"")</f>
        <v/>
      </c>
      <c r="J1059" s="20" t="n">
        <f aca="false">IF(ROUND($G1059,2)=0,0,1)</f>
        <v>0</v>
      </c>
      <c r="K1059" s="20" t="str">
        <f aca="false">IF($J1059=0,"",SUM($J$1055:$J1059))</f>
        <v/>
      </c>
      <c r="L1059" s="20" t="str">
        <f aca="false">IF($K1059="","",$A1059*100+$K1059)</f>
        <v/>
      </c>
      <c r="M1059" s="48" t="str">
        <f aca="false">IFERROR(INDEX(输入报销!$D:$D,MATCH($A1059&amp;"-5",输入报销!$J:$J,0))&amp;"","")</f>
        <v/>
      </c>
    </row>
    <row r="1060" customFormat="false" ht="13.5" hidden="false" customHeight="false" outlineLevel="0" collapsed="false">
      <c r="A1060" s="47" t="n">
        <v>82</v>
      </c>
      <c r="C1060" s="48" t="str">
        <f aca="false">助手报销!$C83</f>
        <v/>
      </c>
      <c r="D1060" s="81" t="s">
        <v>484</v>
      </c>
      <c r="E1060" s="48" t="str">
        <f aca="false">IFERROR(INDEX(输入报销!$E:$E,MATCH($A1060&amp;"-6",输入报销!$J:$J,0))&amp;"","")</f>
        <v/>
      </c>
      <c r="F1060" s="48" t="str">
        <f aca="false">IFERROR(INDEX(输入报销!$F:$F,MATCH($A1060&amp;"-6",输入报销!$J:$J,0))&amp;"","")</f>
        <v/>
      </c>
      <c r="G1060" s="49" t="n">
        <f aca="false">IFERROR(ROUND(INDEX(输入报销!$G:$G,MATCH($A1060&amp;"-6",输入报销!$J:$J,0)),2),0)</f>
        <v>0</v>
      </c>
      <c r="H1060" s="49" t="str">
        <f aca="false">IF(ROUND($G1060,2)&gt;0,ROUND($G1060,2),"")</f>
        <v/>
      </c>
      <c r="I1060" s="49" t="str">
        <f aca="false">IF(ROUND($G1060,2)&lt;0,-ROUND($G1060,2),"")</f>
        <v/>
      </c>
      <c r="J1060" s="20" t="n">
        <f aca="false">IF(ROUND($G1060,2)=0,0,1)</f>
        <v>0</v>
      </c>
      <c r="K1060" s="20" t="str">
        <f aca="false">IF($J1060=0,"",SUM($J$1055:$J1060))</f>
        <v/>
      </c>
      <c r="L1060" s="20" t="str">
        <f aca="false">IF($K1060="","",$A1060*100+$K1060)</f>
        <v/>
      </c>
      <c r="M1060" s="48" t="str">
        <f aca="false">IFERROR(INDEX(输入报销!$D:$D,MATCH($A1060&amp;"-6",输入报销!$J:$J,0))&amp;"","")</f>
        <v/>
      </c>
    </row>
    <row r="1061" customFormat="false" ht="13.5" hidden="false" customHeight="false" outlineLevel="0" collapsed="false">
      <c r="A1061" s="47" t="n">
        <v>82</v>
      </c>
      <c r="C1061" s="48" t="str">
        <f aca="false">助手报销!$C83</f>
        <v/>
      </c>
      <c r="D1061" s="81" t="s">
        <v>485</v>
      </c>
      <c r="E1061" s="48" t="str">
        <f aca="false">IFERROR(INDEX(输入报销!$E:$E,MATCH($A1061&amp;"-7",输入报销!$J:$J,0))&amp;"","")</f>
        <v/>
      </c>
      <c r="F1061" s="48" t="str">
        <f aca="false">IFERROR(INDEX(输入报销!$F:$F,MATCH($A1061&amp;"-7",输入报销!$J:$J,0))&amp;"","")</f>
        <v/>
      </c>
      <c r="G1061" s="49" t="n">
        <f aca="false">IFERROR(ROUND(INDEX(输入报销!$G:$G,MATCH($A1061&amp;"-7",输入报销!$J:$J,0)),2),0)</f>
        <v>0</v>
      </c>
      <c r="H1061" s="49" t="str">
        <f aca="false">IF(ROUND($G1061,2)&gt;0,ROUND($G1061,2),"")</f>
        <v/>
      </c>
      <c r="I1061" s="49" t="str">
        <f aca="false">IF(ROUND($G1061,2)&lt;0,-ROUND($G1061,2),"")</f>
        <v/>
      </c>
      <c r="J1061" s="20" t="n">
        <f aca="false">IF(ROUND($G1061,2)=0,0,1)</f>
        <v>0</v>
      </c>
      <c r="K1061" s="20" t="str">
        <f aca="false">IF($J1061=0,"",SUM($J$1055:$J1061))</f>
        <v/>
      </c>
      <c r="L1061" s="20" t="str">
        <f aca="false">IF($K1061="","",$A1061*100+$K1061)</f>
        <v/>
      </c>
      <c r="M1061" s="48" t="str">
        <f aca="false">IFERROR(INDEX(输入报销!$D:$D,MATCH($A1061&amp;"-7",输入报销!$J:$J,0))&amp;"","")</f>
        <v/>
      </c>
    </row>
    <row r="1062" customFormat="false" ht="13.5" hidden="false" customHeight="false" outlineLevel="0" collapsed="false">
      <c r="A1062" s="47" t="n">
        <v>82</v>
      </c>
      <c r="C1062" s="48" t="str">
        <f aca="false">助手报销!$C83</f>
        <v/>
      </c>
      <c r="D1062" s="81" t="s">
        <v>486</v>
      </c>
      <c r="E1062" s="48" t="str">
        <f aca="false">IFERROR(INDEX(输入报销!$E:$E,MATCH($A1062&amp;"-8",输入报销!$J:$J,0))&amp;"","")</f>
        <v/>
      </c>
      <c r="F1062" s="48" t="str">
        <f aca="false">IFERROR(INDEX(输入报销!$F:$F,MATCH($A1062&amp;"-8",输入报销!$J:$J,0))&amp;"","")</f>
        <v/>
      </c>
      <c r="G1062" s="49" t="n">
        <f aca="false">IFERROR(ROUND(INDEX(输入报销!$G:$G,MATCH($A1062&amp;"-8",输入报销!$J:$J,0)),2),0)</f>
        <v>0</v>
      </c>
      <c r="H1062" s="49" t="str">
        <f aca="false">IF(ROUND($G1062,2)&gt;0,ROUND($G1062,2),"")</f>
        <v/>
      </c>
      <c r="I1062" s="49" t="str">
        <f aca="false">IF(ROUND($G1062,2)&lt;0,-ROUND($G1062,2),"")</f>
        <v/>
      </c>
      <c r="J1062" s="20" t="n">
        <f aca="false">IF(ROUND($G1062,2)=0,0,1)</f>
        <v>0</v>
      </c>
      <c r="K1062" s="20" t="str">
        <f aca="false">IF($J1062=0,"",SUM($J$1055:$J1062))</f>
        <v/>
      </c>
      <c r="L1062" s="20" t="str">
        <f aca="false">IF($K1062="","",$A1062*100+$K1062)</f>
        <v/>
      </c>
      <c r="M1062" s="48" t="str">
        <f aca="false">IFERROR(INDEX(输入报销!$D:$D,MATCH($A1062&amp;"-8",输入报销!$J:$J,0))&amp;"","")</f>
        <v/>
      </c>
    </row>
    <row r="1063" customFormat="false" ht="13.5" hidden="false" customHeight="false" outlineLevel="0" collapsed="false">
      <c r="A1063" s="47" t="n">
        <v>82</v>
      </c>
      <c r="C1063" s="48" t="str">
        <f aca="false">助手报销!$C83</f>
        <v/>
      </c>
      <c r="D1063" s="81" t="s">
        <v>487</v>
      </c>
      <c r="E1063" s="48" t="str">
        <f aca="false">IFERROR(INDEX(输入报销!$E:$E,MATCH($A1063&amp;"-9",输入报销!$J:$J,0))&amp;"","")</f>
        <v/>
      </c>
      <c r="F1063" s="48" t="str">
        <f aca="false">IFERROR(INDEX(输入报销!$F:$F,MATCH($A1063&amp;"-9",输入报销!$J:$J,0))&amp;"","")</f>
        <v/>
      </c>
      <c r="G1063" s="49" t="n">
        <f aca="false">IFERROR(ROUND(INDEX(输入报销!$G:$G,MATCH($A1063&amp;"-9",输入报销!$J:$J,0)),2),0)</f>
        <v>0</v>
      </c>
      <c r="H1063" s="49" t="str">
        <f aca="false">IF(ROUND($G1063,2)&gt;0,ROUND($G1063,2),"")</f>
        <v/>
      </c>
      <c r="I1063" s="49" t="str">
        <f aca="false">IF(ROUND($G1063,2)&lt;0,-ROUND($G1063,2),"")</f>
        <v/>
      </c>
      <c r="J1063" s="20" t="n">
        <f aca="false">IF(ROUND($G1063,2)=0,0,1)</f>
        <v>0</v>
      </c>
      <c r="K1063" s="20" t="str">
        <f aca="false">IF($J1063=0,"",SUM($J$1055:$J1063))</f>
        <v/>
      </c>
      <c r="L1063" s="20" t="str">
        <f aca="false">IF($K1063="","",$A1063*100+$K1063)</f>
        <v/>
      </c>
      <c r="M1063" s="48" t="str">
        <f aca="false">IFERROR(INDEX(输入报销!$D:$D,MATCH($A1063&amp;"-9",输入报销!$J:$J,0))&amp;"","")</f>
        <v/>
      </c>
    </row>
    <row r="1064" customFormat="false" ht="13.5" hidden="false" customHeight="false" outlineLevel="0" collapsed="false">
      <c r="A1064" s="47" t="n">
        <v>82</v>
      </c>
      <c r="C1064" s="48" t="str">
        <f aca="false">助手报销!$C83</f>
        <v/>
      </c>
      <c r="D1064" s="81" t="s">
        <v>488</v>
      </c>
      <c r="E1064" s="48" t="str">
        <f aca="false">IFERROR(INDEX(输入报销!$E:$E,MATCH($A1064&amp;"-10",输入报销!$J:$J,0))&amp;"","")</f>
        <v/>
      </c>
      <c r="F1064" s="48" t="str">
        <f aca="false">IFERROR(INDEX(输入报销!$F:$F,MATCH($A1064&amp;"-10",输入报销!$J:$J,0))&amp;"","")</f>
        <v/>
      </c>
      <c r="G1064" s="49" t="n">
        <f aca="false">IFERROR(ROUND(INDEX(输入报销!$G:$G,MATCH($A1064&amp;"-10",输入报销!$J:$J,0)),2),0)</f>
        <v>0</v>
      </c>
      <c r="H1064" s="49" t="str">
        <f aca="false">IF(ROUND($G1064,2)&gt;0,ROUND($G1064,2),"")</f>
        <v/>
      </c>
      <c r="I1064" s="49" t="str">
        <f aca="false">IF(ROUND($G1064,2)&lt;0,-ROUND($G1064,2),"")</f>
        <v/>
      </c>
      <c r="J1064" s="20" t="n">
        <f aca="false">IF(ROUND($G1064,2)=0,0,1)</f>
        <v>0</v>
      </c>
      <c r="K1064" s="20" t="str">
        <f aca="false">IF($J1064=0,"",SUM($J$1055:$J1064))</f>
        <v/>
      </c>
      <c r="L1064" s="20" t="str">
        <f aca="false">IF($K1064="","",$A1064*100+$K1064)</f>
        <v/>
      </c>
      <c r="M1064" s="48" t="str">
        <f aca="false">IFERROR(INDEX(输入报销!$D:$D,MATCH($A1064&amp;"-10",输入报销!$J:$J,0))&amp;"","")</f>
        <v/>
      </c>
    </row>
    <row r="1065" customFormat="false" ht="13.5" hidden="false" customHeight="false" outlineLevel="0" collapsed="false">
      <c r="A1065" s="47" t="n">
        <v>82</v>
      </c>
      <c r="C1065" s="48" t="str">
        <f aca="false">助手报销!$C83</f>
        <v/>
      </c>
      <c r="D1065" s="81" t="s">
        <v>489</v>
      </c>
      <c r="E1065" s="48" t="str">
        <f aca="false">参数!$B$6</f>
        <v>库存现金</v>
      </c>
      <c r="F1065" s="48" t="str">
        <f aca="false">""</f>
        <v/>
      </c>
      <c r="G1065" s="49" t="n">
        <f aca="false">-ROUND(SUMIFS(输入报销!$G:$G,输入报销!$A:$A,$A1065,输入报销!$H:$H,参数!$B$6),2)</f>
        <v>-0</v>
      </c>
      <c r="H1065" s="49" t="str">
        <f aca="false">IF(ROUND($G1065,2)&gt;0,ROUND($G1065,2),"")</f>
        <v/>
      </c>
      <c r="I1065" s="49" t="str">
        <f aca="false">IF(ROUND($G1065,2)&lt;0,-ROUND($G1065,2),"")</f>
        <v/>
      </c>
      <c r="J1065" s="20" t="n">
        <f aca="false">IF(ROUND($G1065,2)=0,0,1)</f>
        <v>0</v>
      </c>
      <c r="K1065" s="20" t="str">
        <f aca="false">IF($J1065=0,"",SUM($J$1055:$J1065))</f>
        <v/>
      </c>
      <c r="L1065" s="20" t="str">
        <f aca="false">IF($K1065="","",$A1065*100+$K1065)</f>
        <v/>
      </c>
      <c r="M1065" s="48" t="str">
        <f aca="false">""</f>
        <v/>
      </c>
    </row>
    <row r="1066" customFormat="false" ht="13.5" hidden="false" customHeight="false" outlineLevel="0" collapsed="false">
      <c r="A1066" s="47" t="n">
        <v>82</v>
      </c>
      <c r="C1066" s="48" t="str">
        <f aca="false">助手报销!$C83</f>
        <v/>
      </c>
      <c r="D1066" s="81" t="s">
        <v>490</v>
      </c>
      <c r="E1066" s="48" t="str">
        <f aca="false">参数!$B$7</f>
        <v>银行存款</v>
      </c>
      <c r="F1066" s="48" t="str">
        <f aca="false">""</f>
        <v/>
      </c>
      <c r="G1066" s="49" t="n">
        <f aca="false">-ROUND(SUMIFS(输入报销!$G:$G,输入报销!$A:$A,$A1066,输入报销!$H:$H,参数!$B$7),2)</f>
        <v>-0</v>
      </c>
      <c r="H1066" s="49" t="str">
        <f aca="false">IF(ROUND($G1066,2)&gt;0,ROUND($G1066,2),"")</f>
        <v/>
      </c>
      <c r="I1066" s="49" t="str">
        <f aca="false">IF(ROUND($G1066,2)&lt;0,-ROUND($G1066,2),"")</f>
        <v/>
      </c>
      <c r="J1066" s="20" t="n">
        <f aca="false">IF(ROUND($G1066,2)=0,0,1)</f>
        <v>0</v>
      </c>
      <c r="K1066" s="20" t="str">
        <f aca="false">IF($J1066=0,"",SUM($J$1055:$J1066))</f>
        <v/>
      </c>
      <c r="L1066" s="20" t="str">
        <f aca="false">IF($K1066="","",$A1066*100+$K1066)</f>
        <v/>
      </c>
      <c r="M1066" s="48" t="str">
        <f aca="false">""</f>
        <v/>
      </c>
    </row>
    <row r="1067" customFormat="false" ht="13.5" hidden="false" customHeight="false" outlineLevel="0" collapsed="false">
      <c r="A1067" s="47" t="n">
        <v>82</v>
      </c>
      <c r="C1067" s="48" t="str">
        <f aca="false">助手报销!$C83</f>
        <v/>
      </c>
      <c r="D1067" s="81" t="s">
        <v>491</v>
      </c>
      <c r="E1067" s="48" t="str">
        <f aca="false">参数!$B$8</f>
        <v>其他应付款</v>
      </c>
      <c r="F1067" s="48" t="str">
        <f aca="false">""</f>
        <v/>
      </c>
      <c r="G1067" s="49" t="n">
        <f aca="false">-ROUND(SUMIFS(输入报销!$G:$G,输入报销!$A:$A,$A1067,输入报销!$H:$H,参数!$B$8),2)</f>
        <v>-0</v>
      </c>
      <c r="H1067" s="49" t="str">
        <f aca="false">IF(ROUND($G1067,2)&gt;0,ROUND($G1067,2),"")</f>
        <v/>
      </c>
      <c r="I1067" s="49" t="str">
        <f aca="false">IF(ROUND($G1067,2)&lt;0,-ROUND($G1067,2),"")</f>
        <v/>
      </c>
      <c r="J1067" s="20" t="n">
        <f aca="false">IF(ROUND($G1067,2)=0,0,1)</f>
        <v>0</v>
      </c>
      <c r="K1067" s="20" t="str">
        <f aca="false">IF($J1067=0,"",SUM($J$1055:$J1067))</f>
        <v/>
      </c>
      <c r="L1067" s="20" t="str">
        <f aca="false">IF($K1067="","",$A1067*100+$K1067)</f>
        <v/>
      </c>
      <c r="M1067" s="48" t="str">
        <f aca="false">""</f>
        <v/>
      </c>
    </row>
    <row r="1068" customFormat="false" ht="13.5" hidden="false" customHeight="false" outlineLevel="0" collapsed="false">
      <c r="A1068" s="47" t="n">
        <v>83</v>
      </c>
      <c r="C1068" s="48" t="str">
        <f aca="false">助手报销!$C84</f>
        <v/>
      </c>
      <c r="D1068" s="81" t="s">
        <v>479</v>
      </c>
      <c r="E1068" s="48" t="str">
        <f aca="false">IFERROR(INDEX(输入报销!$E:$E,MATCH($A1068&amp;"-1",输入报销!$J:$J,0))&amp;"","")</f>
        <v/>
      </c>
      <c r="F1068" s="48" t="str">
        <f aca="false">IFERROR(INDEX(输入报销!$F:$F,MATCH($A1068&amp;"-1",输入报销!$J:$J,0))&amp;"","")</f>
        <v/>
      </c>
      <c r="G1068" s="49" t="n">
        <f aca="false">IFERROR(ROUND(INDEX(输入报销!$G:$G,MATCH($A1068&amp;"-1",输入报销!$J:$J,0)),2),0)</f>
        <v>0</v>
      </c>
      <c r="H1068" s="49" t="str">
        <f aca="false">IF(ROUND($G1068,2)&gt;0,ROUND($G1068,2),"")</f>
        <v/>
      </c>
      <c r="I1068" s="49" t="str">
        <f aca="false">IF(ROUND($G1068,2)&lt;0,-ROUND($G1068,2),"")</f>
        <v/>
      </c>
      <c r="J1068" s="20" t="n">
        <f aca="false">IF(ROUND($G1068,2)=0,0,1)</f>
        <v>0</v>
      </c>
      <c r="K1068" s="20" t="str">
        <f aca="false">IF($J1068=0,"",SUM($J$1068:$J1068))</f>
        <v/>
      </c>
      <c r="L1068" s="20" t="str">
        <f aca="false">IF($K1068="","",$A1068*100+$K1068)</f>
        <v/>
      </c>
      <c r="M1068" s="48" t="str">
        <f aca="false">IFERROR(INDEX(输入报销!$D:$D,MATCH($A1068&amp;"-1",输入报销!$J:$J,0))&amp;"","")</f>
        <v/>
      </c>
    </row>
    <row r="1069" customFormat="false" ht="13.5" hidden="false" customHeight="false" outlineLevel="0" collapsed="false">
      <c r="A1069" s="47" t="n">
        <v>83</v>
      </c>
      <c r="C1069" s="48" t="str">
        <f aca="false">助手报销!$C84</f>
        <v/>
      </c>
      <c r="D1069" s="81" t="s">
        <v>480</v>
      </c>
      <c r="E1069" s="48" t="str">
        <f aca="false">IFERROR(INDEX(输入报销!$E:$E,MATCH($A1069&amp;"-2",输入报销!$J:$J,0))&amp;"","")</f>
        <v/>
      </c>
      <c r="F1069" s="48" t="str">
        <f aca="false">IFERROR(INDEX(输入报销!$F:$F,MATCH($A1069&amp;"-2",输入报销!$J:$J,0))&amp;"","")</f>
        <v/>
      </c>
      <c r="G1069" s="49" t="n">
        <f aca="false">IFERROR(ROUND(INDEX(输入报销!$G:$G,MATCH($A1069&amp;"-2",输入报销!$J:$J,0)),2),0)</f>
        <v>0</v>
      </c>
      <c r="H1069" s="49" t="str">
        <f aca="false">IF(ROUND($G1069,2)&gt;0,ROUND($G1069,2),"")</f>
        <v/>
      </c>
      <c r="I1069" s="49" t="str">
        <f aca="false">IF(ROUND($G1069,2)&lt;0,-ROUND($G1069,2),"")</f>
        <v/>
      </c>
      <c r="J1069" s="20" t="n">
        <f aca="false">IF(ROUND($G1069,2)=0,0,1)</f>
        <v>0</v>
      </c>
      <c r="K1069" s="20" t="str">
        <f aca="false">IF($J1069=0,"",SUM($J$1068:$J1069))</f>
        <v/>
      </c>
      <c r="L1069" s="20" t="str">
        <f aca="false">IF($K1069="","",$A1069*100+$K1069)</f>
        <v/>
      </c>
      <c r="M1069" s="48" t="str">
        <f aca="false">IFERROR(INDEX(输入报销!$D:$D,MATCH($A1069&amp;"-2",输入报销!$J:$J,0))&amp;"","")</f>
        <v/>
      </c>
    </row>
    <row r="1070" customFormat="false" ht="13.5" hidden="false" customHeight="false" outlineLevel="0" collapsed="false">
      <c r="A1070" s="47" t="n">
        <v>83</v>
      </c>
      <c r="C1070" s="48" t="str">
        <f aca="false">助手报销!$C84</f>
        <v/>
      </c>
      <c r="D1070" s="81" t="s">
        <v>481</v>
      </c>
      <c r="E1070" s="48" t="str">
        <f aca="false">IFERROR(INDEX(输入报销!$E:$E,MATCH($A1070&amp;"-3",输入报销!$J:$J,0))&amp;"","")</f>
        <v/>
      </c>
      <c r="F1070" s="48" t="str">
        <f aca="false">IFERROR(INDEX(输入报销!$F:$F,MATCH($A1070&amp;"-3",输入报销!$J:$J,0))&amp;"","")</f>
        <v/>
      </c>
      <c r="G1070" s="49" t="n">
        <f aca="false">IFERROR(ROUND(INDEX(输入报销!$G:$G,MATCH($A1070&amp;"-3",输入报销!$J:$J,0)),2),0)</f>
        <v>0</v>
      </c>
      <c r="H1070" s="49" t="str">
        <f aca="false">IF(ROUND($G1070,2)&gt;0,ROUND($G1070,2),"")</f>
        <v/>
      </c>
      <c r="I1070" s="49" t="str">
        <f aca="false">IF(ROUND($G1070,2)&lt;0,-ROUND($G1070,2),"")</f>
        <v/>
      </c>
      <c r="J1070" s="20" t="n">
        <f aca="false">IF(ROUND($G1070,2)=0,0,1)</f>
        <v>0</v>
      </c>
      <c r="K1070" s="20" t="str">
        <f aca="false">IF($J1070=0,"",SUM($J$1068:$J1070))</f>
        <v/>
      </c>
      <c r="L1070" s="20" t="str">
        <f aca="false">IF($K1070="","",$A1070*100+$K1070)</f>
        <v/>
      </c>
      <c r="M1070" s="48" t="str">
        <f aca="false">IFERROR(INDEX(输入报销!$D:$D,MATCH($A1070&amp;"-3",输入报销!$J:$J,0))&amp;"","")</f>
        <v/>
      </c>
    </row>
    <row r="1071" customFormat="false" ht="13.5" hidden="false" customHeight="false" outlineLevel="0" collapsed="false">
      <c r="A1071" s="47" t="n">
        <v>83</v>
      </c>
      <c r="C1071" s="48" t="str">
        <f aca="false">助手报销!$C84</f>
        <v/>
      </c>
      <c r="D1071" s="81" t="s">
        <v>482</v>
      </c>
      <c r="E1071" s="48" t="str">
        <f aca="false">IFERROR(INDEX(输入报销!$E:$E,MATCH($A1071&amp;"-4",输入报销!$J:$J,0))&amp;"","")</f>
        <v/>
      </c>
      <c r="F1071" s="48" t="str">
        <f aca="false">IFERROR(INDEX(输入报销!$F:$F,MATCH($A1071&amp;"-4",输入报销!$J:$J,0))&amp;"","")</f>
        <v/>
      </c>
      <c r="G1071" s="49" t="n">
        <f aca="false">IFERROR(ROUND(INDEX(输入报销!$G:$G,MATCH($A1071&amp;"-4",输入报销!$J:$J,0)),2),0)</f>
        <v>0</v>
      </c>
      <c r="H1071" s="49" t="str">
        <f aca="false">IF(ROUND($G1071,2)&gt;0,ROUND($G1071,2),"")</f>
        <v/>
      </c>
      <c r="I1071" s="49" t="str">
        <f aca="false">IF(ROUND($G1071,2)&lt;0,-ROUND($G1071,2),"")</f>
        <v/>
      </c>
      <c r="J1071" s="20" t="n">
        <f aca="false">IF(ROUND($G1071,2)=0,0,1)</f>
        <v>0</v>
      </c>
      <c r="K1071" s="20" t="str">
        <f aca="false">IF($J1071=0,"",SUM($J$1068:$J1071))</f>
        <v/>
      </c>
      <c r="L1071" s="20" t="str">
        <f aca="false">IF($K1071="","",$A1071*100+$K1071)</f>
        <v/>
      </c>
      <c r="M1071" s="48" t="str">
        <f aca="false">IFERROR(INDEX(输入报销!$D:$D,MATCH($A1071&amp;"-4",输入报销!$J:$J,0))&amp;"","")</f>
        <v/>
      </c>
    </row>
    <row r="1072" customFormat="false" ht="13.5" hidden="false" customHeight="false" outlineLevel="0" collapsed="false">
      <c r="A1072" s="47" t="n">
        <v>83</v>
      </c>
      <c r="C1072" s="48" t="str">
        <f aca="false">助手报销!$C84</f>
        <v/>
      </c>
      <c r="D1072" s="81" t="s">
        <v>483</v>
      </c>
      <c r="E1072" s="48" t="str">
        <f aca="false">IFERROR(INDEX(输入报销!$E:$E,MATCH($A1072&amp;"-5",输入报销!$J:$J,0))&amp;"","")</f>
        <v/>
      </c>
      <c r="F1072" s="48" t="str">
        <f aca="false">IFERROR(INDEX(输入报销!$F:$F,MATCH($A1072&amp;"-5",输入报销!$J:$J,0))&amp;"","")</f>
        <v/>
      </c>
      <c r="G1072" s="49" t="n">
        <f aca="false">IFERROR(ROUND(INDEX(输入报销!$G:$G,MATCH($A1072&amp;"-5",输入报销!$J:$J,0)),2),0)</f>
        <v>0</v>
      </c>
      <c r="H1072" s="49" t="str">
        <f aca="false">IF(ROUND($G1072,2)&gt;0,ROUND($G1072,2),"")</f>
        <v/>
      </c>
      <c r="I1072" s="49" t="str">
        <f aca="false">IF(ROUND($G1072,2)&lt;0,-ROUND($G1072,2),"")</f>
        <v/>
      </c>
      <c r="J1072" s="20" t="n">
        <f aca="false">IF(ROUND($G1072,2)=0,0,1)</f>
        <v>0</v>
      </c>
      <c r="K1072" s="20" t="str">
        <f aca="false">IF($J1072=0,"",SUM($J$1068:$J1072))</f>
        <v/>
      </c>
      <c r="L1072" s="20" t="str">
        <f aca="false">IF($K1072="","",$A1072*100+$K1072)</f>
        <v/>
      </c>
      <c r="M1072" s="48" t="str">
        <f aca="false">IFERROR(INDEX(输入报销!$D:$D,MATCH($A1072&amp;"-5",输入报销!$J:$J,0))&amp;"","")</f>
        <v/>
      </c>
    </row>
    <row r="1073" customFormat="false" ht="13.5" hidden="false" customHeight="false" outlineLevel="0" collapsed="false">
      <c r="A1073" s="47" t="n">
        <v>83</v>
      </c>
      <c r="C1073" s="48" t="str">
        <f aca="false">助手报销!$C84</f>
        <v/>
      </c>
      <c r="D1073" s="81" t="s">
        <v>484</v>
      </c>
      <c r="E1073" s="48" t="str">
        <f aca="false">IFERROR(INDEX(输入报销!$E:$E,MATCH($A1073&amp;"-6",输入报销!$J:$J,0))&amp;"","")</f>
        <v/>
      </c>
      <c r="F1073" s="48" t="str">
        <f aca="false">IFERROR(INDEX(输入报销!$F:$F,MATCH($A1073&amp;"-6",输入报销!$J:$J,0))&amp;"","")</f>
        <v/>
      </c>
      <c r="G1073" s="49" t="n">
        <f aca="false">IFERROR(ROUND(INDEX(输入报销!$G:$G,MATCH($A1073&amp;"-6",输入报销!$J:$J,0)),2),0)</f>
        <v>0</v>
      </c>
      <c r="H1073" s="49" t="str">
        <f aca="false">IF(ROUND($G1073,2)&gt;0,ROUND($G1073,2),"")</f>
        <v/>
      </c>
      <c r="I1073" s="49" t="str">
        <f aca="false">IF(ROUND($G1073,2)&lt;0,-ROUND($G1073,2),"")</f>
        <v/>
      </c>
      <c r="J1073" s="20" t="n">
        <f aca="false">IF(ROUND($G1073,2)=0,0,1)</f>
        <v>0</v>
      </c>
      <c r="K1073" s="20" t="str">
        <f aca="false">IF($J1073=0,"",SUM($J$1068:$J1073))</f>
        <v/>
      </c>
      <c r="L1073" s="20" t="str">
        <f aca="false">IF($K1073="","",$A1073*100+$K1073)</f>
        <v/>
      </c>
      <c r="M1073" s="48" t="str">
        <f aca="false">IFERROR(INDEX(输入报销!$D:$D,MATCH($A1073&amp;"-6",输入报销!$J:$J,0))&amp;"","")</f>
        <v/>
      </c>
    </row>
    <row r="1074" customFormat="false" ht="13.5" hidden="false" customHeight="false" outlineLevel="0" collapsed="false">
      <c r="A1074" s="47" t="n">
        <v>83</v>
      </c>
      <c r="C1074" s="48" t="str">
        <f aca="false">助手报销!$C84</f>
        <v/>
      </c>
      <c r="D1074" s="81" t="s">
        <v>485</v>
      </c>
      <c r="E1074" s="48" t="str">
        <f aca="false">IFERROR(INDEX(输入报销!$E:$E,MATCH($A1074&amp;"-7",输入报销!$J:$J,0))&amp;"","")</f>
        <v/>
      </c>
      <c r="F1074" s="48" t="str">
        <f aca="false">IFERROR(INDEX(输入报销!$F:$F,MATCH($A1074&amp;"-7",输入报销!$J:$J,0))&amp;"","")</f>
        <v/>
      </c>
      <c r="G1074" s="49" t="n">
        <f aca="false">IFERROR(ROUND(INDEX(输入报销!$G:$G,MATCH($A1074&amp;"-7",输入报销!$J:$J,0)),2),0)</f>
        <v>0</v>
      </c>
      <c r="H1074" s="49" t="str">
        <f aca="false">IF(ROUND($G1074,2)&gt;0,ROUND($G1074,2),"")</f>
        <v/>
      </c>
      <c r="I1074" s="49" t="str">
        <f aca="false">IF(ROUND($G1074,2)&lt;0,-ROUND($G1074,2),"")</f>
        <v/>
      </c>
      <c r="J1074" s="20" t="n">
        <f aca="false">IF(ROUND($G1074,2)=0,0,1)</f>
        <v>0</v>
      </c>
      <c r="K1074" s="20" t="str">
        <f aca="false">IF($J1074=0,"",SUM($J$1068:$J1074))</f>
        <v/>
      </c>
      <c r="L1074" s="20" t="str">
        <f aca="false">IF($K1074="","",$A1074*100+$K1074)</f>
        <v/>
      </c>
      <c r="M1074" s="48" t="str">
        <f aca="false">IFERROR(INDEX(输入报销!$D:$D,MATCH($A1074&amp;"-7",输入报销!$J:$J,0))&amp;"","")</f>
        <v/>
      </c>
    </row>
    <row r="1075" customFormat="false" ht="13.5" hidden="false" customHeight="false" outlineLevel="0" collapsed="false">
      <c r="A1075" s="47" t="n">
        <v>83</v>
      </c>
      <c r="C1075" s="48" t="str">
        <f aca="false">助手报销!$C84</f>
        <v/>
      </c>
      <c r="D1075" s="81" t="s">
        <v>486</v>
      </c>
      <c r="E1075" s="48" t="str">
        <f aca="false">IFERROR(INDEX(输入报销!$E:$E,MATCH($A1075&amp;"-8",输入报销!$J:$J,0))&amp;"","")</f>
        <v/>
      </c>
      <c r="F1075" s="48" t="str">
        <f aca="false">IFERROR(INDEX(输入报销!$F:$F,MATCH($A1075&amp;"-8",输入报销!$J:$J,0))&amp;"","")</f>
        <v/>
      </c>
      <c r="G1075" s="49" t="n">
        <f aca="false">IFERROR(ROUND(INDEX(输入报销!$G:$G,MATCH($A1075&amp;"-8",输入报销!$J:$J,0)),2),0)</f>
        <v>0</v>
      </c>
      <c r="H1075" s="49" t="str">
        <f aca="false">IF(ROUND($G1075,2)&gt;0,ROUND($G1075,2),"")</f>
        <v/>
      </c>
      <c r="I1075" s="49" t="str">
        <f aca="false">IF(ROUND($G1075,2)&lt;0,-ROUND($G1075,2),"")</f>
        <v/>
      </c>
      <c r="J1075" s="20" t="n">
        <f aca="false">IF(ROUND($G1075,2)=0,0,1)</f>
        <v>0</v>
      </c>
      <c r="K1075" s="20" t="str">
        <f aca="false">IF($J1075=0,"",SUM($J$1068:$J1075))</f>
        <v/>
      </c>
      <c r="L1075" s="20" t="str">
        <f aca="false">IF($K1075="","",$A1075*100+$K1075)</f>
        <v/>
      </c>
      <c r="M1075" s="48" t="str">
        <f aca="false">IFERROR(INDEX(输入报销!$D:$D,MATCH($A1075&amp;"-8",输入报销!$J:$J,0))&amp;"","")</f>
        <v/>
      </c>
    </row>
    <row r="1076" customFormat="false" ht="13.5" hidden="false" customHeight="false" outlineLevel="0" collapsed="false">
      <c r="A1076" s="47" t="n">
        <v>83</v>
      </c>
      <c r="C1076" s="48" t="str">
        <f aca="false">助手报销!$C84</f>
        <v/>
      </c>
      <c r="D1076" s="81" t="s">
        <v>487</v>
      </c>
      <c r="E1076" s="48" t="str">
        <f aca="false">IFERROR(INDEX(输入报销!$E:$E,MATCH($A1076&amp;"-9",输入报销!$J:$J,0))&amp;"","")</f>
        <v/>
      </c>
      <c r="F1076" s="48" t="str">
        <f aca="false">IFERROR(INDEX(输入报销!$F:$F,MATCH($A1076&amp;"-9",输入报销!$J:$J,0))&amp;"","")</f>
        <v/>
      </c>
      <c r="G1076" s="49" t="n">
        <f aca="false">IFERROR(ROUND(INDEX(输入报销!$G:$G,MATCH($A1076&amp;"-9",输入报销!$J:$J,0)),2),0)</f>
        <v>0</v>
      </c>
      <c r="H1076" s="49" t="str">
        <f aca="false">IF(ROUND($G1076,2)&gt;0,ROUND($G1076,2),"")</f>
        <v/>
      </c>
      <c r="I1076" s="49" t="str">
        <f aca="false">IF(ROUND($G1076,2)&lt;0,-ROUND($G1076,2),"")</f>
        <v/>
      </c>
      <c r="J1076" s="20" t="n">
        <f aca="false">IF(ROUND($G1076,2)=0,0,1)</f>
        <v>0</v>
      </c>
      <c r="K1076" s="20" t="str">
        <f aca="false">IF($J1076=0,"",SUM($J$1068:$J1076))</f>
        <v/>
      </c>
      <c r="L1076" s="20" t="str">
        <f aca="false">IF($K1076="","",$A1076*100+$K1076)</f>
        <v/>
      </c>
      <c r="M1076" s="48" t="str">
        <f aca="false">IFERROR(INDEX(输入报销!$D:$D,MATCH($A1076&amp;"-9",输入报销!$J:$J,0))&amp;"","")</f>
        <v/>
      </c>
    </row>
    <row r="1077" customFormat="false" ht="13.5" hidden="false" customHeight="false" outlineLevel="0" collapsed="false">
      <c r="A1077" s="47" t="n">
        <v>83</v>
      </c>
      <c r="C1077" s="48" t="str">
        <f aca="false">助手报销!$C84</f>
        <v/>
      </c>
      <c r="D1077" s="81" t="s">
        <v>488</v>
      </c>
      <c r="E1077" s="48" t="str">
        <f aca="false">IFERROR(INDEX(输入报销!$E:$E,MATCH($A1077&amp;"-10",输入报销!$J:$J,0))&amp;"","")</f>
        <v/>
      </c>
      <c r="F1077" s="48" t="str">
        <f aca="false">IFERROR(INDEX(输入报销!$F:$F,MATCH($A1077&amp;"-10",输入报销!$J:$J,0))&amp;"","")</f>
        <v/>
      </c>
      <c r="G1077" s="49" t="n">
        <f aca="false">IFERROR(ROUND(INDEX(输入报销!$G:$G,MATCH($A1077&amp;"-10",输入报销!$J:$J,0)),2),0)</f>
        <v>0</v>
      </c>
      <c r="H1077" s="49" t="str">
        <f aca="false">IF(ROUND($G1077,2)&gt;0,ROUND($G1077,2),"")</f>
        <v/>
      </c>
      <c r="I1077" s="49" t="str">
        <f aca="false">IF(ROUND($G1077,2)&lt;0,-ROUND($G1077,2),"")</f>
        <v/>
      </c>
      <c r="J1077" s="20" t="n">
        <f aca="false">IF(ROUND($G1077,2)=0,0,1)</f>
        <v>0</v>
      </c>
      <c r="K1077" s="20" t="str">
        <f aca="false">IF($J1077=0,"",SUM($J$1068:$J1077))</f>
        <v/>
      </c>
      <c r="L1077" s="20" t="str">
        <f aca="false">IF($K1077="","",$A1077*100+$K1077)</f>
        <v/>
      </c>
      <c r="M1077" s="48" t="str">
        <f aca="false">IFERROR(INDEX(输入报销!$D:$D,MATCH($A1077&amp;"-10",输入报销!$J:$J,0))&amp;"","")</f>
        <v/>
      </c>
    </row>
    <row r="1078" customFormat="false" ht="13.5" hidden="false" customHeight="false" outlineLevel="0" collapsed="false">
      <c r="A1078" s="47" t="n">
        <v>83</v>
      </c>
      <c r="C1078" s="48" t="str">
        <f aca="false">助手报销!$C84</f>
        <v/>
      </c>
      <c r="D1078" s="81" t="s">
        <v>489</v>
      </c>
      <c r="E1078" s="48" t="str">
        <f aca="false">参数!$B$6</f>
        <v>库存现金</v>
      </c>
      <c r="F1078" s="48" t="str">
        <f aca="false">""</f>
        <v/>
      </c>
      <c r="G1078" s="49" t="n">
        <f aca="false">-ROUND(SUMIFS(输入报销!$G:$G,输入报销!$A:$A,$A1078,输入报销!$H:$H,参数!$B$6),2)</f>
        <v>-0</v>
      </c>
      <c r="H1078" s="49" t="str">
        <f aca="false">IF(ROUND($G1078,2)&gt;0,ROUND($G1078,2),"")</f>
        <v/>
      </c>
      <c r="I1078" s="49" t="str">
        <f aca="false">IF(ROUND($G1078,2)&lt;0,-ROUND($G1078,2),"")</f>
        <v/>
      </c>
      <c r="J1078" s="20" t="n">
        <f aca="false">IF(ROUND($G1078,2)=0,0,1)</f>
        <v>0</v>
      </c>
      <c r="K1078" s="20" t="str">
        <f aca="false">IF($J1078=0,"",SUM($J$1068:$J1078))</f>
        <v/>
      </c>
      <c r="L1078" s="20" t="str">
        <f aca="false">IF($K1078="","",$A1078*100+$K1078)</f>
        <v/>
      </c>
      <c r="M1078" s="48" t="str">
        <f aca="false">""</f>
        <v/>
      </c>
    </row>
    <row r="1079" customFormat="false" ht="13.5" hidden="false" customHeight="false" outlineLevel="0" collapsed="false">
      <c r="A1079" s="47" t="n">
        <v>83</v>
      </c>
      <c r="C1079" s="48" t="str">
        <f aca="false">助手报销!$C84</f>
        <v/>
      </c>
      <c r="D1079" s="81" t="s">
        <v>490</v>
      </c>
      <c r="E1079" s="48" t="str">
        <f aca="false">参数!$B$7</f>
        <v>银行存款</v>
      </c>
      <c r="F1079" s="48" t="str">
        <f aca="false">""</f>
        <v/>
      </c>
      <c r="G1079" s="49" t="n">
        <f aca="false">-ROUND(SUMIFS(输入报销!$G:$G,输入报销!$A:$A,$A1079,输入报销!$H:$H,参数!$B$7),2)</f>
        <v>-0</v>
      </c>
      <c r="H1079" s="49" t="str">
        <f aca="false">IF(ROUND($G1079,2)&gt;0,ROUND($G1079,2),"")</f>
        <v/>
      </c>
      <c r="I1079" s="49" t="str">
        <f aca="false">IF(ROUND($G1079,2)&lt;0,-ROUND($G1079,2),"")</f>
        <v/>
      </c>
      <c r="J1079" s="20" t="n">
        <f aca="false">IF(ROUND($G1079,2)=0,0,1)</f>
        <v>0</v>
      </c>
      <c r="K1079" s="20" t="str">
        <f aca="false">IF($J1079=0,"",SUM($J$1068:$J1079))</f>
        <v/>
      </c>
      <c r="L1079" s="20" t="str">
        <f aca="false">IF($K1079="","",$A1079*100+$K1079)</f>
        <v/>
      </c>
      <c r="M1079" s="48" t="str">
        <f aca="false">""</f>
        <v/>
      </c>
    </row>
    <row r="1080" customFormat="false" ht="13.5" hidden="false" customHeight="false" outlineLevel="0" collapsed="false">
      <c r="A1080" s="47" t="n">
        <v>83</v>
      </c>
      <c r="C1080" s="48" t="str">
        <f aca="false">助手报销!$C84</f>
        <v/>
      </c>
      <c r="D1080" s="81" t="s">
        <v>491</v>
      </c>
      <c r="E1080" s="48" t="str">
        <f aca="false">参数!$B$8</f>
        <v>其他应付款</v>
      </c>
      <c r="F1080" s="48" t="str">
        <f aca="false">""</f>
        <v/>
      </c>
      <c r="G1080" s="49" t="n">
        <f aca="false">-ROUND(SUMIFS(输入报销!$G:$G,输入报销!$A:$A,$A1080,输入报销!$H:$H,参数!$B$8),2)</f>
        <v>-0</v>
      </c>
      <c r="H1080" s="49" t="str">
        <f aca="false">IF(ROUND($G1080,2)&gt;0,ROUND($G1080,2),"")</f>
        <v/>
      </c>
      <c r="I1080" s="49" t="str">
        <f aca="false">IF(ROUND($G1080,2)&lt;0,-ROUND($G1080,2),"")</f>
        <v/>
      </c>
      <c r="J1080" s="20" t="n">
        <f aca="false">IF(ROUND($G1080,2)=0,0,1)</f>
        <v>0</v>
      </c>
      <c r="K1080" s="20" t="str">
        <f aca="false">IF($J1080=0,"",SUM($J$1068:$J1080))</f>
        <v/>
      </c>
      <c r="L1080" s="20" t="str">
        <f aca="false">IF($K1080="","",$A1080*100+$K1080)</f>
        <v/>
      </c>
      <c r="M1080" s="48" t="str">
        <f aca="false">""</f>
        <v/>
      </c>
    </row>
    <row r="1081" customFormat="false" ht="13.5" hidden="false" customHeight="false" outlineLevel="0" collapsed="false">
      <c r="A1081" s="47" t="n">
        <v>84</v>
      </c>
      <c r="C1081" s="48" t="str">
        <f aca="false">助手报销!$C85</f>
        <v/>
      </c>
      <c r="D1081" s="81" t="s">
        <v>479</v>
      </c>
      <c r="E1081" s="48" t="str">
        <f aca="false">IFERROR(INDEX(输入报销!$E:$E,MATCH($A1081&amp;"-1",输入报销!$J:$J,0))&amp;"","")</f>
        <v/>
      </c>
      <c r="F1081" s="48" t="str">
        <f aca="false">IFERROR(INDEX(输入报销!$F:$F,MATCH($A1081&amp;"-1",输入报销!$J:$J,0))&amp;"","")</f>
        <v/>
      </c>
      <c r="G1081" s="49" t="n">
        <f aca="false">IFERROR(ROUND(INDEX(输入报销!$G:$G,MATCH($A1081&amp;"-1",输入报销!$J:$J,0)),2),0)</f>
        <v>0</v>
      </c>
      <c r="H1081" s="49" t="str">
        <f aca="false">IF(ROUND($G1081,2)&gt;0,ROUND($G1081,2),"")</f>
        <v/>
      </c>
      <c r="I1081" s="49" t="str">
        <f aca="false">IF(ROUND($G1081,2)&lt;0,-ROUND($G1081,2),"")</f>
        <v/>
      </c>
      <c r="J1081" s="20" t="n">
        <f aca="false">IF(ROUND($G1081,2)=0,0,1)</f>
        <v>0</v>
      </c>
      <c r="K1081" s="20" t="str">
        <f aca="false">IF($J1081=0,"",SUM($J$1081:$J1081))</f>
        <v/>
      </c>
      <c r="L1081" s="20" t="str">
        <f aca="false">IF($K1081="","",$A1081*100+$K1081)</f>
        <v/>
      </c>
      <c r="M1081" s="48" t="str">
        <f aca="false">IFERROR(INDEX(输入报销!$D:$D,MATCH($A1081&amp;"-1",输入报销!$J:$J,0))&amp;"","")</f>
        <v/>
      </c>
    </row>
    <row r="1082" customFormat="false" ht="13.5" hidden="false" customHeight="false" outlineLevel="0" collapsed="false">
      <c r="A1082" s="47" t="n">
        <v>84</v>
      </c>
      <c r="C1082" s="48" t="str">
        <f aca="false">助手报销!$C85</f>
        <v/>
      </c>
      <c r="D1082" s="81" t="s">
        <v>480</v>
      </c>
      <c r="E1082" s="48" t="str">
        <f aca="false">IFERROR(INDEX(输入报销!$E:$E,MATCH($A1082&amp;"-2",输入报销!$J:$J,0))&amp;"","")</f>
        <v/>
      </c>
      <c r="F1082" s="48" t="str">
        <f aca="false">IFERROR(INDEX(输入报销!$F:$F,MATCH($A1082&amp;"-2",输入报销!$J:$J,0))&amp;"","")</f>
        <v/>
      </c>
      <c r="G1082" s="49" t="n">
        <f aca="false">IFERROR(ROUND(INDEX(输入报销!$G:$G,MATCH($A1082&amp;"-2",输入报销!$J:$J,0)),2),0)</f>
        <v>0</v>
      </c>
      <c r="H1082" s="49" t="str">
        <f aca="false">IF(ROUND($G1082,2)&gt;0,ROUND($G1082,2),"")</f>
        <v/>
      </c>
      <c r="I1082" s="49" t="str">
        <f aca="false">IF(ROUND($G1082,2)&lt;0,-ROUND($G1082,2),"")</f>
        <v/>
      </c>
      <c r="J1082" s="20" t="n">
        <f aca="false">IF(ROUND($G1082,2)=0,0,1)</f>
        <v>0</v>
      </c>
      <c r="K1082" s="20" t="str">
        <f aca="false">IF($J1082=0,"",SUM($J$1081:$J1082))</f>
        <v/>
      </c>
      <c r="L1082" s="20" t="str">
        <f aca="false">IF($K1082="","",$A1082*100+$K1082)</f>
        <v/>
      </c>
      <c r="M1082" s="48" t="str">
        <f aca="false">IFERROR(INDEX(输入报销!$D:$D,MATCH($A1082&amp;"-2",输入报销!$J:$J,0))&amp;"","")</f>
        <v/>
      </c>
    </row>
    <row r="1083" customFormat="false" ht="13.5" hidden="false" customHeight="false" outlineLevel="0" collapsed="false">
      <c r="A1083" s="47" t="n">
        <v>84</v>
      </c>
      <c r="C1083" s="48" t="str">
        <f aca="false">助手报销!$C85</f>
        <v/>
      </c>
      <c r="D1083" s="81" t="s">
        <v>481</v>
      </c>
      <c r="E1083" s="48" t="str">
        <f aca="false">IFERROR(INDEX(输入报销!$E:$E,MATCH($A1083&amp;"-3",输入报销!$J:$J,0))&amp;"","")</f>
        <v/>
      </c>
      <c r="F1083" s="48" t="str">
        <f aca="false">IFERROR(INDEX(输入报销!$F:$F,MATCH($A1083&amp;"-3",输入报销!$J:$J,0))&amp;"","")</f>
        <v/>
      </c>
      <c r="G1083" s="49" t="n">
        <f aca="false">IFERROR(ROUND(INDEX(输入报销!$G:$G,MATCH($A1083&amp;"-3",输入报销!$J:$J,0)),2),0)</f>
        <v>0</v>
      </c>
      <c r="H1083" s="49" t="str">
        <f aca="false">IF(ROUND($G1083,2)&gt;0,ROUND($G1083,2),"")</f>
        <v/>
      </c>
      <c r="I1083" s="49" t="str">
        <f aca="false">IF(ROUND($G1083,2)&lt;0,-ROUND($G1083,2),"")</f>
        <v/>
      </c>
      <c r="J1083" s="20" t="n">
        <f aca="false">IF(ROUND($G1083,2)=0,0,1)</f>
        <v>0</v>
      </c>
      <c r="K1083" s="20" t="str">
        <f aca="false">IF($J1083=0,"",SUM($J$1081:$J1083))</f>
        <v/>
      </c>
      <c r="L1083" s="20" t="str">
        <f aca="false">IF($K1083="","",$A1083*100+$K1083)</f>
        <v/>
      </c>
      <c r="M1083" s="48" t="str">
        <f aca="false">IFERROR(INDEX(输入报销!$D:$D,MATCH($A1083&amp;"-3",输入报销!$J:$J,0))&amp;"","")</f>
        <v/>
      </c>
    </row>
    <row r="1084" customFormat="false" ht="13.5" hidden="false" customHeight="false" outlineLevel="0" collapsed="false">
      <c r="A1084" s="47" t="n">
        <v>84</v>
      </c>
      <c r="C1084" s="48" t="str">
        <f aca="false">助手报销!$C85</f>
        <v/>
      </c>
      <c r="D1084" s="81" t="s">
        <v>482</v>
      </c>
      <c r="E1084" s="48" t="str">
        <f aca="false">IFERROR(INDEX(输入报销!$E:$E,MATCH($A1084&amp;"-4",输入报销!$J:$J,0))&amp;"","")</f>
        <v/>
      </c>
      <c r="F1084" s="48" t="str">
        <f aca="false">IFERROR(INDEX(输入报销!$F:$F,MATCH($A1084&amp;"-4",输入报销!$J:$J,0))&amp;"","")</f>
        <v/>
      </c>
      <c r="G1084" s="49" t="n">
        <f aca="false">IFERROR(ROUND(INDEX(输入报销!$G:$G,MATCH($A1084&amp;"-4",输入报销!$J:$J,0)),2),0)</f>
        <v>0</v>
      </c>
      <c r="H1084" s="49" t="str">
        <f aca="false">IF(ROUND($G1084,2)&gt;0,ROUND($G1084,2),"")</f>
        <v/>
      </c>
      <c r="I1084" s="49" t="str">
        <f aca="false">IF(ROUND($G1084,2)&lt;0,-ROUND($G1084,2),"")</f>
        <v/>
      </c>
      <c r="J1084" s="20" t="n">
        <f aca="false">IF(ROUND($G1084,2)=0,0,1)</f>
        <v>0</v>
      </c>
      <c r="K1084" s="20" t="str">
        <f aca="false">IF($J1084=0,"",SUM($J$1081:$J1084))</f>
        <v/>
      </c>
      <c r="L1084" s="20" t="str">
        <f aca="false">IF($K1084="","",$A1084*100+$K1084)</f>
        <v/>
      </c>
      <c r="M1084" s="48" t="str">
        <f aca="false">IFERROR(INDEX(输入报销!$D:$D,MATCH($A1084&amp;"-4",输入报销!$J:$J,0))&amp;"","")</f>
        <v/>
      </c>
    </row>
    <row r="1085" customFormat="false" ht="13.5" hidden="false" customHeight="false" outlineLevel="0" collapsed="false">
      <c r="A1085" s="47" t="n">
        <v>84</v>
      </c>
      <c r="C1085" s="48" t="str">
        <f aca="false">助手报销!$C85</f>
        <v/>
      </c>
      <c r="D1085" s="81" t="s">
        <v>483</v>
      </c>
      <c r="E1085" s="48" t="str">
        <f aca="false">IFERROR(INDEX(输入报销!$E:$E,MATCH($A1085&amp;"-5",输入报销!$J:$J,0))&amp;"","")</f>
        <v/>
      </c>
      <c r="F1085" s="48" t="str">
        <f aca="false">IFERROR(INDEX(输入报销!$F:$F,MATCH($A1085&amp;"-5",输入报销!$J:$J,0))&amp;"","")</f>
        <v/>
      </c>
      <c r="G1085" s="49" t="n">
        <f aca="false">IFERROR(ROUND(INDEX(输入报销!$G:$G,MATCH($A1085&amp;"-5",输入报销!$J:$J,0)),2),0)</f>
        <v>0</v>
      </c>
      <c r="H1085" s="49" t="str">
        <f aca="false">IF(ROUND($G1085,2)&gt;0,ROUND($G1085,2),"")</f>
        <v/>
      </c>
      <c r="I1085" s="49" t="str">
        <f aca="false">IF(ROUND($G1085,2)&lt;0,-ROUND($G1085,2),"")</f>
        <v/>
      </c>
      <c r="J1085" s="20" t="n">
        <f aca="false">IF(ROUND($G1085,2)=0,0,1)</f>
        <v>0</v>
      </c>
      <c r="K1085" s="20" t="str">
        <f aca="false">IF($J1085=0,"",SUM($J$1081:$J1085))</f>
        <v/>
      </c>
      <c r="L1085" s="20" t="str">
        <f aca="false">IF($K1085="","",$A1085*100+$K1085)</f>
        <v/>
      </c>
      <c r="M1085" s="48" t="str">
        <f aca="false">IFERROR(INDEX(输入报销!$D:$D,MATCH($A1085&amp;"-5",输入报销!$J:$J,0))&amp;"","")</f>
        <v/>
      </c>
    </row>
    <row r="1086" customFormat="false" ht="13.5" hidden="false" customHeight="false" outlineLevel="0" collapsed="false">
      <c r="A1086" s="47" t="n">
        <v>84</v>
      </c>
      <c r="C1086" s="48" t="str">
        <f aca="false">助手报销!$C85</f>
        <v/>
      </c>
      <c r="D1086" s="81" t="s">
        <v>484</v>
      </c>
      <c r="E1086" s="48" t="str">
        <f aca="false">IFERROR(INDEX(输入报销!$E:$E,MATCH($A1086&amp;"-6",输入报销!$J:$J,0))&amp;"","")</f>
        <v/>
      </c>
      <c r="F1086" s="48" t="str">
        <f aca="false">IFERROR(INDEX(输入报销!$F:$F,MATCH($A1086&amp;"-6",输入报销!$J:$J,0))&amp;"","")</f>
        <v/>
      </c>
      <c r="G1086" s="49" t="n">
        <f aca="false">IFERROR(ROUND(INDEX(输入报销!$G:$G,MATCH($A1086&amp;"-6",输入报销!$J:$J,0)),2),0)</f>
        <v>0</v>
      </c>
      <c r="H1086" s="49" t="str">
        <f aca="false">IF(ROUND($G1086,2)&gt;0,ROUND($G1086,2),"")</f>
        <v/>
      </c>
      <c r="I1086" s="49" t="str">
        <f aca="false">IF(ROUND($G1086,2)&lt;0,-ROUND($G1086,2),"")</f>
        <v/>
      </c>
      <c r="J1086" s="20" t="n">
        <f aca="false">IF(ROUND($G1086,2)=0,0,1)</f>
        <v>0</v>
      </c>
      <c r="K1086" s="20" t="str">
        <f aca="false">IF($J1086=0,"",SUM($J$1081:$J1086))</f>
        <v/>
      </c>
      <c r="L1086" s="20" t="str">
        <f aca="false">IF($K1086="","",$A1086*100+$K1086)</f>
        <v/>
      </c>
      <c r="M1086" s="48" t="str">
        <f aca="false">IFERROR(INDEX(输入报销!$D:$D,MATCH($A1086&amp;"-6",输入报销!$J:$J,0))&amp;"","")</f>
        <v/>
      </c>
    </row>
    <row r="1087" customFormat="false" ht="13.5" hidden="false" customHeight="false" outlineLevel="0" collapsed="false">
      <c r="A1087" s="47" t="n">
        <v>84</v>
      </c>
      <c r="C1087" s="48" t="str">
        <f aca="false">助手报销!$C85</f>
        <v/>
      </c>
      <c r="D1087" s="81" t="s">
        <v>485</v>
      </c>
      <c r="E1087" s="48" t="str">
        <f aca="false">IFERROR(INDEX(输入报销!$E:$E,MATCH($A1087&amp;"-7",输入报销!$J:$J,0))&amp;"","")</f>
        <v/>
      </c>
      <c r="F1087" s="48" t="str">
        <f aca="false">IFERROR(INDEX(输入报销!$F:$F,MATCH($A1087&amp;"-7",输入报销!$J:$J,0))&amp;"","")</f>
        <v/>
      </c>
      <c r="G1087" s="49" t="n">
        <f aca="false">IFERROR(ROUND(INDEX(输入报销!$G:$G,MATCH($A1087&amp;"-7",输入报销!$J:$J,0)),2),0)</f>
        <v>0</v>
      </c>
      <c r="H1087" s="49" t="str">
        <f aca="false">IF(ROUND($G1087,2)&gt;0,ROUND($G1087,2),"")</f>
        <v/>
      </c>
      <c r="I1087" s="49" t="str">
        <f aca="false">IF(ROUND($G1087,2)&lt;0,-ROUND($G1087,2),"")</f>
        <v/>
      </c>
      <c r="J1087" s="20" t="n">
        <f aca="false">IF(ROUND($G1087,2)=0,0,1)</f>
        <v>0</v>
      </c>
      <c r="K1087" s="20" t="str">
        <f aca="false">IF($J1087=0,"",SUM($J$1081:$J1087))</f>
        <v/>
      </c>
      <c r="L1087" s="20" t="str">
        <f aca="false">IF($K1087="","",$A1087*100+$K1087)</f>
        <v/>
      </c>
      <c r="M1087" s="48" t="str">
        <f aca="false">IFERROR(INDEX(输入报销!$D:$D,MATCH($A1087&amp;"-7",输入报销!$J:$J,0))&amp;"","")</f>
        <v/>
      </c>
    </row>
    <row r="1088" customFormat="false" ht="13.5" hidden="false" customHeight="false" outlineLevel="0" collapsed="false">
      <c r="A1088" s="47" t="n">
        <v>84</v>
      </c>
      <c r="C1088" s="48" t="str">
        <f aca="false">助手报销!$C85</f>
        <v/>
      </c>
      <c r="D1088" s="81" t="s">
        <v>486</v>
      </c>
      <c r="E1088" s="48" t="str">
        <f aca="false">IFERROR(INDEX(输入报销!$E:$E,MATCH($A1088&amp;"-8",输入报销!$J:$J,0))&amp;"","")</f>
        <v/>
      </c>
      <c r="F1088" s="48" t="str">
        <f aca="false">IFERROR(INDEX(输入报销!$F:$F,MATCH($A1088&amp;"-8",输入报销!$J:$J,0))&amp;"","")</f>
        <v/>
      </c>
      <c r="G1088" s="49" t="n">
        <f aca="false">IFERROR(ROUND(INDEX(输入报销!$G:$G,MATCH($A1088&amp;"-8",输入报销!$J:$J,0)),2),0)</f>
        <v>0</v>
      </c>
      <c r="H1088" s="49" t="str">
        <f aca="false">IF(ROUND($G1088,2)&gt;0,ROUND($G1088,2),"")</f>
        <v/>
      </c>
      <c r="I1088" s="49" t="str">
        <f aca="false">IF(ROUND($G1088,2)&lt;0,-ROUND($G1088,2),"")</f>
        <v/>
      </c>
      <c r="J1088" s="20" t="n">
        <f aca="false">IF(ROUND($G1088,2)=0,0,1)</f>
        <v>0</v>
      </c>
      <c r="K1088" s="20" t="str">
        <f aca="false">IF($J1088=0,"",SUM($J$1081:$J1088))</f>
        <v/>
      </c>
      <c r="L1088" s="20" t="str">
        <f aca="false">IF($K1088="","",$A1088*100+$K1088)</f>
        <v/>
      </c>
      <c r="M1088" s="48" t="str">
        <f aca="false">IFERROR(INDEX(输入报销!$D:$D,MATCH($A1088&amp;"-8",输入报销!$J:$J,0))&amp;"","")</f>
        <v/>
      </c>
    </row>
    <row r="1089" customFormat="false" ht="13.5" hidden="false" customHeight="false" outlineLevel="0" collapsed="false">
      <c r="A1089" s="47" t="n">
        <v>84</v>
      </c>
      <c r="C1089" s="48" t="str">
        <f aca="false">助手报销!$C85</f>
        <v/>
      </c>
      <c r="D1089" s="81" t="s">
        <v>487</v>
      </c>
      <c r="E1089" s="48" t="str">
        <f aca="false">IFERROR(INDEX(输入报销!$E:$E,MATCH($A1089&amp;"-9",输入报销!$J:$J,0))&amp;"","")</f>
        <v/>
      </c>
      <c r="F1089" s="48" t="str">
        <f aca="false">IFERROR(INDEX(输入报销!$F:$F,MATCH($A1089&amp;"-9",输入报销!$J:$J,0))&amp;"","")</f>
        <v/>
      </c>
      <c r="G1089" s="49" t="n">
        <f aca="false">IFERROR(ROUND(INDEX(输入报销!$G:$G,MATCH($A1089&amp;"-9",输入报销!$J:$J,0)),2),0)</f>
        <v>0</v>
      </c>
      <c r="H1089" s="49" t="str">
        <f aca="false">IF(ROUND($G1089,2)&gt;0,ROUND($G1089,2),"")</f>
        <v/>
      </c>
      <c r="I1089" s="49" t="str">
        <f aca="false">IF(ROUND($G1089,2)&lt;0,-ROUND($G1089,2),"")</f>
        <v/>
      </c>
      <c r="J1089" s="20" t="n">
        <f aca="false">IF(ROUND($G1089,2)=0,0,1)</f>
        <v>0</v>
      </c>
      <c r="K1089" s="20" t="str">
        <f aca="false">IF($J1089=0,"",SUM($J$1081:$J1089))</f>
        <v/>
      </c>
      <c r="L1089" s="20" t="str">
        <f aca="false">IF($K1089="","",$A1089*100+$K1089)</f>
        <v/>
      </c>
      <c r="M1089" s="48" t="str">
        <f aca="false">IFERROR(INDEX(输入报销!$D:$D,MATCH($A1089&amp;"-9",输入报销!$J:$J,0))&amp;"","")</f>
        <v/>
      </c>
    </row>
    <row r="1090" customFormat="false" ht="13.5" hidden="false" customHeight="false" outlineLevel="0" collapsed="false">
      <c r="A1090" s="47" t="n">
        <v>84</v>
      </c>
      <c r="C1090" s="48" t="str">
        <f aca="false">助手报销!$C85</f>
        <v/>
      </c>
      <c r="D1090" s="81" t="s">
        <v>488</v>
      </c>
      <c r="E1090" s="48" t="str">
        <f aca="false">IFERROR(INDEX(输入报销!$E:$E,MATCH($A1090&amp;"-10",输入报销!$J:$J,0))&amp;"","")</f>
        <v/>
      </c>
      <c r="F1090" s="48" t="str">
        <f aca="false">IFERROR(INDEX(输入报销!$F:$F,MATCH($A1090&amp;"-10",输入报销!$J:$J,0))&amp;"","")</f>
        <v/>
      </c>
      <c r="G1090" s="49" t="n">
        <f aca="false">IFERROR(ROUND(INDEX(输入报销!$G:$G,MATCH($A1090&amp;"-10",输入报销!$J:$J,0)),2),0)</f>
        <v>0</v>
      </c>
      <c r="H1090" s="49" t="str">
        <f aca="false">IF(ROUND($G1090,2)&gt;0,ROUND($G1090,2),"")</f>
        <v/>
      </c>
      <c r="I1090" s="49" t="str">
        <f aca="false">IF(ROUND($G1090,2)&lt;0,-ROUND($G1090,2),"")</f>
        <v/>
      </c>
      <c r="J1090" s="20" t="n">
        <f aca="false">IF(ROUND($G1090,2)=0,0,1)</f>
        <v>0</v>
      </c>
      <c r="K1090" s="20" t="str">
        <f aca="false">IF($J1090=0,"",SUM($J$1081:$J1090))</f>
        <v/>
      </c>
      <c r="L1090" s="20" t="str">
        <f aca="false">IF($K1090="","",$A1090*100+$K1090)</f>
        <v/>
      </c>
      <c r="M1090" s="48" t="str">
        <f aca="false">IFERROR(INDEX(输入报销!$D:$D,MATCH($A1090&amp;"-10",输入报销!$J:$J,0))&amp;"","")</f>
        <v/>
      </c>
    </row>
    <row r="1091" customFormat="false" ht="13.5" hidden="false" customHeight="false" outlineLevel="0" collapsed="false">
      <c r="A1091" s="47" t="n">
        <v>84</v>
      </c>
      <c r="C1091" s="48" t="str">
        <f aca="false">助手报销!$C85</f>
        <v/>
      </c>
      <c r="D1091" s="81" t="s">
        <v>489</v>
      </c>
      <c r="E1091" s="48" t="str">
        <f aca="false">参数!$B$6</f>
        <v>库存现金</v>
      </c>
      <c r="F1091" s="48" t="str">
        <f aca="false">""</f>
        <v/>
      </c>
      <c r="G1091" s="49" t="n">
        <f aca="false">-ROUND(SUMIFS(输入报销!$G:$G,输入报销!$A:$A,$A1091,输入报销!$H:$H,参数!$B$6),2)</f>
        <v>-0</v>
      </c>
      <c r="H1091" s="49" t="str">
        <f aca="false">IF(ROUND($G1091,2)&gt;0,ROUND($G1091,2),"")</f>
        <v/>
      </c>
      <c r="I1091" s="49" t="str">
        <f aca="false">IF(ROUND($G1091,2)&lt;0,-ROUND($G1091,2),"")</f>
        <v/>
      </c>
      <c r="J1091" s="20" t="n">
        <f aca="false">IF(ROUND($G1091,2)=0,0,1)</f>
        <v>0</v>
      </c>
      <c r="K1091" s="20" t="str">
        <f aca="false">IF($J1091=0,"",SUM($J$1081:$J1091))</f>
        <v/>
      </c>
      <c r="L1091" s="20" t="str">
        <f aca="false">IF($K1091="","",$A1091*100+$K1091)</f>
        <v/>
      </c>
      <c r="M1091" s="48" t="str">
        <f aca="false">""</f>
        <v/>
      </c>
    </row>
    <row r="1092" customFormat="false" ht="13.5" hidden="false" customHeight="false" outlineLevel="0" collapsed="false">
      <c r="A1092" s="47" t="n">
        <v>84</v>
      </c>
      <c r="C1092" s="48" t="str">
        <f aca="false">助手报销!$C85</f>
        <v/>
      </c>
      <c r="D1092" s="81" t="s">
        <v>490</v>
      </c>
      <c r="E1092" s="48" t="str">
        <f aca="false">参数!$B$7</f>
        <v>银行存款</v>
      </c>
      <c r="F1092" s="48" t="str">
        <f aca="false">""</f>
        <v/>
      </c>
      <c r="G1092" s="49" t="n">
        <f aca="false">-ROUND(SUMIFS(输入报销!$G:$G,输入报销!$A:$A,$A1092,输入报销!$H:$H,参数!$B$7),2)</f>
        <v>-0</v>
      </c>
      <c r="H1092" s="49" t="str">
        <f aca="false">IF(ROUND($G1092,2)&gt;0,ROUND($G1092,2),"")</f>
        <v/>
      </c>
      <c r="I1092" s="49" t="str">
        <f aca="false">IF(ROUND($G1092,2)&lt;0,-ROUND($G1092,2),"")</f>
        <v/>
      </c>
      <c r="J1092" s="20" t="n">
        <f aca="false">IF(ROUND($G1092,2)=0,0,1)</f>
        <v>0</v>
      </c>
      <c r="K1092" s="20" t="str">
        <f aca="false">IF($J1092=0,"",SUM($J$1081:$J1092))</f>
        <v/>
      </c>
      <c r="L1092" s="20" t="str">
        <f aca="false">IF($K1092="","",$A1092*100+$K1092)</f>
        <v/>
      </c>
      <c r="M1092" s="48" t="str">
        <f aca="false">""</f>
        <v/>
      </c>
    </row>
    <row r="1093" customFormat="false" ht="13.5" hidden="false" customHeight="false" outlineLevel="0" collapsed="false">
      <c r="A1093" s="47" t="n">
        <v>84</v>
      </c>
      <c r="C1093" s="48" t="str">
        <f aca="false">助手报销!$C85</f>
        <v/>
      </c>
      <c r="D1093" s="81" t="s">
        <v>491</v>
      </c>
      <c r="E1093" s="48" t="str">
        <f aca="false">参数!$B$8</f>
        <v>其他应付款</v>
      </c>
      <c r="F1093" s="48" t="str">
        <f aca="false">""</f>
        <v/>
      </c>
      <c r="G1093" s="49" t="n">
        <f aca="false">-ROUND(SUMIFS(输入报销!$G:$G,输入报销!$A:$A,$A1093,输入报销!$H:$H,参数!$B$8),2)</f>
        <v>-0</v>
      </c>
      <c r="H1093" s="49" t="str">
        <f aca="false">IF(ROUND($G1093,2)&gt;0,ROUND($G1093,2),"")</f>
        <v/>
      </c>
      <c r="I1093" s="49" t="str">
        <f aca="false">IF(ROUND($G1093,2)&lt;0,-ROUND($G1093,2),"")</f>
        <v/>
      </c>
      <c r="J1093" s="20" t="n">
        <f aca="false">IF(ROUND($G1093,2)=0,0,1)</f>
        <v>0</v>
      </c>
      <c r="K1093" s="20" t="str">
        <f aca="false">IF($J1093=0,"",SUM($J$1081:$J1093))</f>
        <v/>
      </c>
      <c r="L1093" s="20" t="str">
        <f aca="false">IF($K1093="","",$A1093*100+$K1093)</f>
        <v/>
      </c>
      <c r="M1093" s="48" t="str">
        <f aca="false">""</f>
        <v/>
      </c>
    </row>
    <row r="1094" customFormat="false" ht="13.5" hidden="false" customHeight="false" outlineLevel="0" collapsed="false">
      <c r="A1094" s="47" t="n">
        <v>85</v>
      </c>
      <c r="C1094" s="48" t="str">
        <f aca="false">助手报销!$C86</f>
        <v/>
      </c>
      <c r="D1094" s="81" t="s">
        <v>479</v>
      </c>
      <c r="E1094" s="48" t="str">
        <f aca="false">IFERROR(INDEX(输入报销!$E:$E,MATCH($A1094&amp;"-1",输入报销!$J:$J,0))&amp;"","")</f>
        <v/>
      </c>
      <c r="F1094" s="48" t="str">
        <f aca="false">IFERROR(INDEX(输入报销!$F:$F,MATCH($A1094&amp;"-1",输入报销!$J:$J,0))&amp;"","")</f>
        <v/>
      </c>
      <c r="G1094" s="49" t="n">
        <f aca="false">IFERROR(ROUND(INDEX(输入报销!$G:$G,MATCH($A1094&amp;"-1",输入报销!$J:$J,0)),2),0)</f>
        <v>0</v>
      </c>
      <c r="H1094" s="49" t="str">
        <f aca="false">IF(ROUND($G1094,2)&gt;0,ROUND($G1094,2),"")</f>
        <v/>
      </c>
      <c r="I1094" s="49" t="str">
        <f aca="false">IF(ROUND($G1094,2)&lt;0,-ROUND($G1094,2),"")</f>
        <v/>
      </c>
      <c r="J1094" s="20" t="n">
        <f aca="false">IF(ROUND($G1094,2)=0,0,1)</f>
        <v>0</v>
      </c>
      <c r="K1094" s="20" t="str">
        <f aca="false">IF($J1094=0,"",SUM($J$1094:$J1094))</f>
        <v/>
      </c>
      <c r="L1094" s="20" t="str">
        <f aca="false">IF($K1094="","",$A1094*100+$K1094)</f>
        <v/>
      </c>
      <c r="M1094" s="48" t="str">
        <f aca="false">IFERROR(INDEX(输入报销!$D:$D,MATCH($A1094&amp;"-1",输入报销!$J:$J,0))&amp;"","")</f>
        <v/>
      </c>
    </row>
    <row r="1095" customFormat="false" ht="13.5" hidden="false" customHeight="false" outlineLevel="0" collapsed="false">
      <c r="A1095" s="47" t="n">
        <v>85</v>
      </c>
      <c r="C1095" s="48" t="str">
        <f aca="false">助手报销!$C86</f>
        <v/>
      </c>
      <c r="D1095" s="81" t="s">
        <v>480</v>
      </c>
      <c r="E1095" s="48" t="str">
        <f aca="false">IFERROR(INDEX(输入报销!$E:$E,MATCH($A1095&amp;"-2",输入报销!$J:$J,0))&amp;"","")</f>
        <v/>
      </c>
      <c r="F1095" s="48" t="str">
        <f aca="false">IFERROR(INDEX(输入报销!$F:$F,MATCH($A1095&amp;"-2",输入报销!$J:$J,0))&amp;"","")</f>
        <v/>
      </c>
      <c r="G1095" s="49" t="n">
        <f aca="false">IFERROR(ROUND(INDEX(输入报销!$G:$G,MATCH($A1095&amp;"-2",输入报销!$J:$J,0)),2),0)</f>
        <v>0</v>
      </c>
      <c r="H1095" s="49" t="str">
        <f aca="false">IF(ROUND($G1095,2)&gt;0,ROUND($G1095,2),"")</f>
        <v/>
      </c>
      <c r="I1095" s="49" t="str">
        <f aca="false">IF(ROUND($G1095,2)&lt;0,-ROUND($G1095,2),"")</f>
        <v/>
      </c>
      <c r="J1095" s="20" t="n">
        <f aca="false">IF(ROUND($G1095,2)=0,0,1)</f>
        <v>0</v>
      </c>
      <c r="K1095" s="20" t="str">
        <f aca="false">IF($J1095=0,"",SUM($J$1094:$J1095))</f>
        <v/>
      </c>
      <c r="L1095" s="20" t="str">
        <f aca="false">IF($K1095="","",$A1095*100+$K1095)</f>
        <v/>
      </c>
      <c r="M1095" s="48" t="str">
        <f aca="false">IFERROR(INDEX(输入报销!$D:$D,MATCH($A1095&amp;"-2",输入报销!$J:$J,0))&amp;"","")</f>
        <v/>
      </c>
    </row>
    <row r="1096" customFormat="false" ht="13.5" hidden="false" customHeight="false" outlineLevel="0" collapsed="false">
      <c r="A1096" s="47" t="n">
        <v>85</v>
      </c>
      <c r="C1096" s="48" t="str">
        <f aca="false">助手报销!$C86</f>
        <v/>
      </c>
      <c r="D1096" s="81" t="s">
        <v>481</v>
      </c>
      <c r="E1096" s="48" t="str">
        <f aca="false">IFERROR(INDEX(输入报销!$E:$E,MATCH($A1096&amp;"-3",输入报销!$J:$J,0))&amp;"","")</f>
        <v/>
      </c>
      <c r="F1096" s="48" t="str">
        <f aca="false">IFERROR(INDEX(输入报销!$F:$F,MATCH($A1096&amp;"-3",输入报销!$J:$J,0))&amp;"","")</f>
        <v/>
      </c>
      <c r="G1096" s="49" t="n">
        <f aca="false">IFERROR(ROUND(INDEX(输入报销!$G:$G,MATCH($A1096&amp;"-3",输入报销!$J:$J,0)),2),0)</f>
        <v>0</v>
      </c>
      <c r="H1096" s="49" t="str">
        <f aca="false">IF(ROUND($G1096,2)&gt;0,ROUND($G1096,2),"")</f>
        <v/>
      </c>
      <c r="I1096" s="49" t="str">
        <f aca="false">IF(ROUND($G1096,2)&lt;0,-ROUND($G1096,2),"")</f>
        <v/>
      </c>
      <c r="J1096" s="20" t="n">
        <f aca="false">IF(ROUND($G1096,2)=0,0,1)</f>
        <v>0</v>
      </c>
      <c r="K1096" s="20" t="str">
        <f aca="false">IF($J1096=0,"",SUM($J$1094:$J1096))</f>
        <v/>
      </c>
      <c r="L1096" s="20" t="str">
        <f aca="false">IF($K1096="","",$A1096*100+$K1096)</f>
        <v/>
      </c>
      <c r="M1096" s="48" t="str">
        <f aca="false">IFERROR(INDEX(输入报销!$D:$D,MATCH($A1096&amp;"-3",输入报销!$J:$J,0))&amp;"","")</f>
        <v/>
      </c>
    </row>
    <row r="1097" customFormat="false" ht="13.5" hidden="false" customHeight="false" outlineLevel="0" collapsed="false">
      <c r="A1097" s="47" t="n">
        <v>85</v>
      </c>
      <c r="C1097" s="48" t="str">
        <f aca="false">助手报销!$C86</f>
        <v/>
      </c>
      <c r="D1097" s="81" t="s">
        <v>482</v>
      </c>
      <c r="E1097" s="48" t="str">
        <f aca="false">IFERROR(INDEX(输入报销!$E:$E,MATCH($A1097&amp;"-4",输入报销!$J:$J,0))&amp;"","")</f>
        <v/>
      </c>
      <c r="F1097" s="48" t="str">
        <f aca="false">IFERROR(INDEX(输入报销!$F:$F,MATCH($A1097&amp;"-4",输入报销!$J:$J,0))&amp;"","")</f>
        <v/>
      </c>
      <c r="G1097" s="49" t="n">
        <f aca="false">IFERROR(ROUND(INDEX(输入报销!$G:$G,MATCH($A1097&amp;"-4",输入报销!$J:$J,0)),2),0)</f>
        <v>0</v>
      </c>
      <c r="H1097" s="49" t="str">
        <f aca="false">IF(ROUND($G1097,2)&gt;0,ROUND($G1097,2),"")</f>
        <v/>
      </c>
      <c r="I1097" s="49" t="str">
        <f aca="false">IF(ROUND($G1097,2)&lt;0,-ROUND($G1097,2),"")</f>
        <v/>
      </c>
      <c r="J1097" s="20" t="n">
        <f aca="false">IF(ROUND($G1097,2)=0,0,1)</f>
        <v>0</v>
      </c>
      <c r="K1097" s="20" t="str">
        <f aca="false">IF($J1097=0,"",SUM($J$1094:$J1097))</f>
        <v/>
      </c>
      <c r="L1097" s="20" t="str">
        <f aca="false">IF($K1097="","",$A1097*100+$K1097)</f>
        <v/>
      </c>
      <c r="M1097" s="48" t="str">
        <f aca="false">IFERROR(INDEX(输入报销!$D:$D,MATCH($A1097&amp;"-4",输入报销!$J:$J,0))&amp;"","")</f>
        <v/>
      </c>
    </row>
    <row r="1098" customFormat="false" ht="13.5" hidden="false" customHeight="false" outlineLevel="0" collapsed="false">
      <c r="A1098" s="47" t="n">
        <v>85</v>
      </c>
      <c r="C1098" s="48" t="str">
        <f aca="false">助手报销!$C86</f>
        <v/>
      </c>
      <c r="D1098" s="81" t="s">
        <v>483</v>
      </c>
      <c r="E1098" s="48" t="str">
        <f aca="false">IFERROR(INDEX(输入报销!$E:$E,MATCH($A1098&amp;"-5",输入报销!$J:$J,0))&amp;"","")</f>
        <v/>
      </c>
      <c r="F1098" s="48" t="str">
        <f aca="false">IFERROR(INDEX(输入报销!$F:$F,MATCH($A1098&amp;"-5",输入报销!$J:$J,0))&amp;"","")</f>
        <v/>
      </c>
      <c r="G1098" s="49" t="n">
        <f aca="false">IFERROR(ROUND(INDEX(输入报销!$G:$G,MATCH($A1098&amp;"-5",输入报销!$J:$J,0)),2),0)</f>
        <v>0</v>
      </c>
      <c r="H1098" s="49" t="str">
        <f aca="false">IF(ROUND($G1098,2)&gt;0,ROUND($G1098,2),"")</f>
        <v/>
      </c>
      <c r="I1098" s="49" t="str">
        <f aca="false">IF(ROUND($G1098,2)&lt;0,-ROUND($G1098,2),"")</f>
        <v/>
      </c>
      <c r="J1098" s="20" t="n">
        <f aca="false">IF(ROUND($G1098,2)=0,0,1)</f>
        <v>0</v>
      </c>
      <c r="K1098" s="20" t="str">
        <f aca="false">IF($J1098=0,"",SUM($J$1094:$J1098))</f>
        <v/>
      </c>
      <c r="L1098" s="20" t="str">
        <f aca="false">IF($K1098="","",$A1098*100+$K1098)</f>
        <v/>
      </c>
      <c r="M1098" s="48" t="str">
        <f aca="false">IFERROR(INDEX(输入报销!$D:$D,MATCH($A1098&amp;"-5",输入报销!$J:$J,0))&amp;"","")</f>
        <v/>
      </c>
    </row>
    <row r="1099" customFormat="false" ht="13.5" hidden="false" customHeight="false" outlineLevel="0" collapsed="false">
      <c r="A1099" s="47" t="n">
        <v>85</v>
      </c>
      <c r="C1099" s="48" t="str">
        <f aca="false">助手报销!$C86</f>
        <v/>
      </c>
      <c r="D1099" s="81" t="s">
        <v>484</v>
      </c>
      <c r="E1099" s="48" t="str">
        <f aca="false">IFERROR(INDEX(输入报销!$E:$E,MATCH($A1099&amp;"-6",输入报销!$J:$J,0))&amp;"","")</f>
        <v/>
      </c>
      <c r="F1099" s="48" t="str">
        <f aca="false">IFERROR(INDEX(输入报销!$F:$F,MATCH($A1099&amp;"-6",输入报销!$J:$J,0))&amp;"","")</f>
        <v/>
      </c>
      <c r="G1099" s="49" t="n">
        <f aca="false">IFERROR(ROUND(INDEX(输入报销!$G:$G,MATCH($A1099&amp;"-6",输入报销!$J:$J,0)),2),0)</f>
        <v>0</v>
      </c>
      <c r="H1099" s="49" t="str">
        <f aca="false">IF(ROUND($G1099,2)&gt;0,ROUND($G1099,2),"")</f>
        <v/>
      </c>
      <c r="I1099" s="49" t="str">
        <f aca="false">IF(ROUND($G1099,2)&lt;0,-ROUND($G1099,2),"")</f>
        <v/>
      </c>
      <c r="J1099" s="20" t="n">
        <f aca="false">IF(ROUND($G1099,2)=0,0,1)</f>
        <v>0</v>
      </c>
      <c r="K1099" s="20" t="str">
        <f aca="false">IF($J1099=0,"",SUM($J$1094:$J1099))</f>
        <v/>
      </c>
      <c r="L1099" s="20" t="str">
        <f aca="false">IF($K1099="","",$A1099*100+$K1099)</f>
        <v/>
      </c>
      <c r="M1099" s="48" t="str">
        <f aca="false">IFERROR(INDEX(输入报销!$D:$D,MATCH($A1099&amp;"-6",输入报销!$J:$J,0))&amp;"","")</f>
        <v/>
      </c>
    </row>
    <row r="1100" customFormat="false" ht="13.5" hidden="false" customHeight="false" outlineLevel="0" collapsed="false">
      <c r="A1100" s="47" t="n">
        <v>85</v>
      </c>
      <c r="C1100" s="48" t="str">
        <f aca="false">助手报销!$C86</f>
        <v/>
      </c>
      <c r="D1100" s="81" t="s">
        <v>485</v>
      </c>
      <c r="E1100" s="48" t="str">
        <f aca="false">IFERROR(INDEX(输入报销!$E:$E,MATCH($A1100&amp;"-7",输入报销!$J:$J,0))&amp;"","")</f>
        <v/>
      </c>
      <c r="F1100" s="48" t="str">
        <f aca="false">IFERROR(INDEX(输入报销!$F:$F,MATCH($A1100&amp;"-7",输入报销!$J:$J,0))&amp;"","")</f>
        <v/>
      </c>
      <c r="G1100" s="49" t="n">
        <f aca="false">IFERROR(ROUND(INDEX(输入报销!$G:$G,MATCH($A1100&amp;"-7",输入报销!$J:$J,0)),2),0)</f>
        <v>0</v>
      </c>
      <c r="H1100" s="49" t="str">
        <f aca="false">IF(ROUND($G1100,2)&gt;0,ROUND($G1100,2),"")</f>
        <v/>
      </c>
      <c r="I1100" s="49" t="str">
        <f aca="false">IF(ROUND($G1100,2)&lt;0,-ROUND($G1100,2),"")</f>
        <v/>
      </c>
      <c r="J1100" s="20" t="n">
        <f aca="false">IF(ROUND($G1100,2)=0,0,1)</f>
        <v>0</v>
      </c>
      <c r="K1100" s="20" t="str">
        <f aca="false">IF($J1100=0,"",SUM($J$1094:$J1100))</f>
        <v/>
      </c>
      <c r="L1100" s="20" t="str">
        <f aca="false">IF($K1100="","",$A1100*100+$K1100)</f>
        <v/>
      </c>
      <c r="M1100" s="48" t="str">
        <f aca="false">IFERROR(INDEX(输入报销!$D:$D,MATCH($A1100&amp;"-7",输入报销!$J:$J,0))&amp;"","")</f>
        <v/>
      </c>
    </row>
    <row r="1101" customFormat="false" ht="13.5" hidden="false" customHeight="false" outlineLevel="0" collapsed="false">
      <c r="A1101" s="47" t="n">
        <v>85</v>
      </c>
      <c r="C1101" s="48" t="str">
        <f aca="false">助手报销!$C86</f>
        <v/>
      </c>
      <c r="D1101" s="81" t="s">
        <v>486</v>
      </c>
      <c r="E1101" s="48" t="str">
        <f aca="false">IFERROR(INDEX(输入报销!$E:$E,MATCH($A1101&amp;"-8",输入报销!$J:$J,0))&amp;"","")</f>
        <v/>
      </c>
      <c r="F1101" s="48" t="str">
        <f aca="false">IFERROR(INDEX(输入报销!$F:$F,MATCH($A1101&amp;"-8",输入报销!$J:$J,0))&amp;"","")</f>
        <v/>
      </c>
      <c r="G1101" s="49" t="n">
        <f aca="false">IFERROR(ROUND(INDEX(输入报销!$G:$G,MATCH($A1101&amp;"-8",输入报销!$J:$J,0)),2),0)</f>
        <v>0</v>
      </c>
      <c r="H1101" s="49" t="str">
        <f aca="false">IF(ROUND($G1101,2)&gt;0,ROUND($G1101,2),"")</f>
        <v/>
      </c>
      <c r="I1101" s="49" t="str">
        <f aca="false">IF(ROUND($G1101,2)&lt;0,-ROUND($G1101,2),"")</f>
        <v/>
      </c>
      <c r="J1101" s="20" t="n">
        <f aca="false">IF(ROUND($G1101,2)=0,0,1)</f>
        <v>0</v>
      </c>
      <c r="K1101" s="20" t="str">
        <f aca="false">IF($J1101=0,"",SUM($J$1094:$J1101))</f>
        <v/>
      </c>
      <c r="L1101" s="20" t="str">
        <f aca="false">IF($K1101="","",$A1101*100+$K1101)</f>
        <v/>
      </c>
      <c r="M1101" s="48" t="str">
        <f aca="false">IFERROR(INDEX(输入报销!$D:$D,MATCH($A1101&amp;"-8",输入报销!$J:$J,0))&amp;"","")</f>
        <v/>
      </c>
    </row>
    <row r="1102" customFormat="false" ht="13.5" hidden="false" customHeight="false" outlineLevel="0" collapsed="false">
      <c r="A1102" s="47" t="n">
        <v>85</v>
      </c>
      <c r="C1102" s="48" t="str">
        <f aca="false">助手报销!$C86</f>
        <v/>
      </c>
      <c r="D1102" s="81" t="s">
        <v>487</v>
      </c>
      <c r="E1102" s="48" t="str">
        <f aca="false">IFERROR(INDEX(输入报销!$E:$E,MATCH($A1102&amp;"-9",输入报销!$J:$J,0))&amp;"","")</f>
        <v/>
      </c>
      <c r="F1102" s="48" t="str">
        <f aca="false">IFERROR(INDEX(输入报销!$F:$F,MATCH($A1102&amp;"-9",输入报销!$J:$J,0))&amp;"","")</f>
        <v/>
      </c>
      <c r="G1102" s="49" t="n">
        <f aca="false">IFERROR(ROUND(INDEX(输入报销!$G:$G,MATCH($A1102&amp;"-9",输入报销!$J:$J,0)),2),0)</f>
        <v>0</v>
      </c>
      <c r="H1102" s="49" t="str">
        <f aca="false">IF(ROUND($G1102,2)&gt;0,ROUND($G1102,2),"")</f>
        <v/>
      </c>
      <c r="I1102" s="49" t="str">
        <f aca="false">IF(ROUND($G1102,2)&lt;0,-ROUND($G1102,2),"")</f>
        <v/>
      </c>
      <c r="J1102" s="20" t="n">
        <f aca="false">IF(ROUND($G1102,2)=0,0,1)</f>
        <v>0</v>
      </c>
      <c r="K1102" s="20" t="str">
        <f aca="false">IF($J1102=0,"",SUM($J$1094:$J1102))</f>
        <v/>
      </c>
      <c r="L1102" s="20" t="str">
        <f aca="false">IF($K1102="","",$A1102*100+$K1102)</f>
        <v/>
      </c>
      <c r="M1102" s="48" t="str">
        <f aca="false">IFERROR(INDEX(输入报销!$D:$D,MATCH($A1102&amp;"-9",输入报销!$J:$J,0))&amp;"","")</f>
        <v/>
      </c>
    </row>
    <row r="1103" customFormat="false" ht="13.5" hidden="false" customHeight="false" outlineLevel="0" collapsed="false">
      <c r="A1103" s="47" t="n">
        <v>85</v>
      </c>
      <c r="C1103" s="48" t="str">
        <f aca="false">助手报销!$C86</f>
        <v/>
      </c>
      <c r="D1103" s="81" t="s">
        <v>488</v>
      </c>
      <c r="E1103" s="48" t="str">
        <f aca="false">IFERROR(INDEX(输入报销!$E:$E,MATCH($A1103&amp;"-10",输入报销!$J:$J,0))&amp;"","")</f>
        <v/>
      </c>
      <c r="F1103" s="48" t="str">
        <f aca="false">IFERROR(INDEX(输入报销!$F:$F,MATCH($A1103&amp;"-10",输入报销!$J:$J,0))&amp;"","")</f>
        <v/>
      </c>
      <c r="G1103" s="49" t="n">
        <f aca="false">IFERROR(ROUND(INDEX(输入报销!$G:$G,MATCH($A1103&amp;"-10",输入报销!$J:$J,0)),2),0)</f>
        <v>0</v>
      </c>
      <c r="H1103" s="49" t="str">
        <f aca="false">IF(ROUND($G1103,2)&gt;0,ROUND($G1103,2),"")</f>
        <v/>
      </c>
      <c r="I1103" s="49" t="str">
        <f aca="false">IF(ROUND($G1103,2)&lt;0,-ROUND($G1103,2),"")</f>
        <v/>
      </c>
      <c r="J1103" s="20" t="n">
        <f aca="false">IF(ROUND($G1103,2)=0,0,1)</f>
        <v>0</v>
      </c>
      <c r="K1103" s="20" t="str">
        <f aca="false">IF($J1103=0,"",SUM($J$1094:$J1103))</f>
        <v/>
      </c>
      <c r="L1103" s="20" t="str">
        <f aca="false">IF($K1103="","",$A1103*100+$K1103)</f>
        <v/>
      </c>
      <c r="M1103" s="48" t="str">
        <f aca="false">IFERROR(INDEX(输入报销!$D:$D,MATCH($A1103&amp;"-10",输入报销!$J:$J,0))&amp;"","")</f>
        <v/>
      </c>
    </row>
    <row r="1104" customFormat="false" ht="13.5" hidden="false" customHeight="false" outlineLevel="0" collapsed="false">
      <c r="A1104" s="47" t="n">
        <v>85</v>
      </c>
      <c r="C1104" s="48" t="str">
        <f aca="false">助手报销!$C86</f>
        <v/>
      </c>
      <c r="D1104" s="81" t="s">
        <v>489</v>
      </c>
      <c r="E1104" s="48" t="str">
        <f aca="false">参数!$B$6</f>
        <v>库存现金</v>
      </c>
      <c r="F1104" s="48" t="str">
        <f aca="false">""</f>
        <v/>
      </c>
      <c r="G1104" s="49" t="n">
        <f aca="false">-ROUND(SUMIFS(输入报销!$G:$G,输入报销!$A:$A,$A1104,输入报销!$H:$H,参数!$B$6),2)</f>
        <v>-0</v>
      </c>
      <c r="H1104" s="49" t="str">
        <f aca="false">IF(ROUND($G1104,2)&gt;0,ROUND($G1104,2),"")</f>
        <v/>
      </c>
      <c r="I1104" s="49" t="str">
        <f aca="false">IF(ROUND($G1104,2)&lt;0,-ROUND($G1104,2),"")</f>
        <v/>
      </c>
      <c r="J1104" s="20" t="n">
        <f aca="false">IF(ROUND($G1104,2)=0,0,1)</f>
        <v>0</v>
      </c>
      <c r="K1104" s="20" t="str">
        <f aca="false">IF($J1104=0,"",SUM($J$1094:$J1104))</f>
        <v/>
      </c>
      <c r="L1104" s="20" t="str">
        <f aca="false">IF($K1104="","",$A1104*100+$K1104)</f>
        <v/>
      </c>
      <c r="M1104" s="48" t="str">
        <f aca="false">""</f>
        <v/>
      </c>
    </row>
    <row r="1105" customFormat="false" ht="13.5" hidden="false" customHeight="false" outlineLevel="0" collapsed="false">
      <c r="A1105" s="47" t="n">
        <v>85</v>
      </c>
      <c r="C1105" s="48" t="str">
        <f aca="false">助手报销!$C86</f>
        <v/>
      </c>
      <c r="D1105" s="81" t="s">
        <v>490</v>
      </c>
      <c r="E1105" s="48" t="str">
        <f aca="false">参数!$B$7</f>
        <v>银行存款</v>
      </c>
      <c r="F1105" s="48" t="str">
        <f aca="false">""</f>
        <v/>
      </c>
      <c r="G1105" s="49" t="n">
        <f aca="false">-ROUND(SUMIFS(输入报销!$G:$G,输入报销!$A:$A,$A1105,输入报销!$H:$H,参数!$B$7),2)</f>
        <v>-0</v>
      </c>
      <c r="H1105" s="49" t="str">
        <f aca="false">IF(ROUND($G1105,2)&gt;0,ROUND($G1105,2),"")</f>
        <v/>
      </c>
      <c r="I1105" s="49" t="str">
        <f aca="false">IF(ROUND($G1105,2)&lt;0,-ROUND($G1105,2),"")</f>
        <v/>
      </c>
      <c r="J1105" s="20" t="n">
        <f aca="false">IF(ROUND($G1105,2)=0,0,1)</f>
        <v>0</v>
      </c>
      <c r="K1105" s="20" t="str">
        <f aca="false">IF($J1105=0,"",SUM($J$1094:$J1105))</f>
        <v/>
      </c>
      <c r="L1105" s="20" t="str">
        <f aca="false">IF($K1105="","",$A1105*100+$K1105)</f>
        <v/>
      </c>
      <c r="M1105" s="48" t="str">
        <f aca="false">""</f>
        <v/>
      </c>
    </row>
    <row r="1106" customFormat="false" ht="13.5" hidden="false" customHeight="false" outlineLevel="0" collapsed="false">
      <c r="A1106" s="47" t="n">
        <v>85</v>
      </c>
      <c r="C1106" s="48" t="str">
        <f aca="false">助手报销!$C86</f>
        <v/>
      </c>
      <c r="D1106" s="81" t="s">
        <v>491</v>
      </c>
      <c r="E1106" s="48" t="str">
        <f aca="false">参数!$B$8</f>
        <v>其他应付款</v>
      </c>
      <c r="F1106" s="48" t="str">
        <f aca="false">""</f>
        <v/>
      </c>
      <c r="G1106" s="49" t="n">
        <f aca="false">-ROUND(SUMIFS(输入报销!$G:$G,输入报销!$A:$A,$A1106,输入报销!$H:$H,参数!$B$8),2)</f>
        <v>-0</v>
      </c>
      <c r="H1106" s="49" t="str">
        <f aca="false">IF(ROUND($G1106,2)&gt;0,ROUND($G1106,2),"")</f>
        <v/>
      </c>
      <c r="I1106" s="49" t="str">
        <f aca="false">IF(ROUND($G1106,2)&lt;0,-ROUND($G1106,2),"")</f>
        <v/>
      </c>
      <c r="J1106" s="20" t="n">
        <f aca="false">IF(ROUND($G1106,2)=0,0,1)</f>
        <v>0</v>
      </c>
      <c r="K1106" s="20" t="str">
        <f aca="false">IF($J1106=0,"",SUM($J$1094:$J1106))</f>
        <v/>
      </c>
      <c r="L1106" s="20" t="str">
        <f aca="false">IF($K1106="","",$A1106*100+$K1106)</f>
        <v/>
      </c>
      <c r="M1106" s="48" t="str">
        <f aca="false">""</f>
        <v/>
      </c>
    </row>
    <row r="1107" customFormat="false" ht="13.5" hidden="false" customHeight="false" outlineLevel="0" collapsed="false">
      <c r="A1107" s="47" t="n">
        <v>86</v>
      </c>
      <c r="C1107" s="48" t="str">
        <f aca="false">助手报销!$C87</f>
        <v/>
      </c>
      <c r="D1107" s="81" t="s">
        <v>479</v>
      </c>
      <c r="E1107" s="48" t="str">
        <f aca="false">IFERROR(INDEX(输入报销!$E:$E,MATCH($A1107&amp;"-1",输入报销!$J:$J,0))&amp;"","")</f>
        <v/>
      </c>
      <c r="F1107" s="48" t="str">
        <f aca="false">IFERROR(INDEX(输入报销!$F:$F,MATCH($A1107&amp;"-1",输入报销!$J:$J,0))&amp;"","")</f>
        <v/>
      </c>
      <c r="G1107" s="49" t="n">
        <f aca="false">IFERROR(ROUND(INDEX(输入报销!$G:$G,MATCH($A1107&amp;"-1",输入报销!$J:$J,0)),2),0)</f>
        <v>0</v>
      </c>
      <c r="H1107" s="49" t="str">
        <f aca="false">IF(ROUND($G1107,2)&gt;0,ROUND($G1107,2),"")</f>
        <v/>
      </c>
      <c r="I1107" s="49" t="str">
        <f aca="false">IF(ROUND($G1107,2)&lt;0,-ROUND($G1107,2),"")</f>
        <v/>
      </c>
      <c r="J1107" s="20" t="n">
        <f aca="false">IF(ROUND($G1107,2)=0,0,1)</f>
        <v>0</v>
      </c>
      <c r="K1107" s="20" t="str">
        <f aca="false">IF($J1107=0,"",SUM($J$1107:$J1107))</f>
        <v/>
      </c>
      <c r="L1107" s="20" t="str">
        <f aca="false">IF($K1107="","",$A1107*100+$K1107)</f>
        <v/>
      </c>
      <c r="M1107" s="48" t="str">
        <f aca="false">IFERROR(INDEX(输入报销!$D:$D,MATCH($A1107&amp;"-1",输入报销!$J:$J,0))&amp;"","")</f>
        <v/>
      </c>
    </row>
    <row r="1108" customFormat="false" ht="13.5" hidden="false" customHeight="false" outlineLevel="0" collapsed="false">
      <c r="A1108" s="47" t="n">
        <v>86</v>
      </c>
      <c r="C1108" s="48" t="str">
        <f aca="false">助手报销!$C87</f>
        <v/>
      </c>
      <c r="D1108" s="81" t="s">
        <v>480</v>
      </c>
      <c r="E1108" s="48" t="str">
        <f aca="false">IFERROR(INDEX(输入报销!$E:$E,MATCH($A1108&amp;"-2",输入报销!$J:$J,0))&amp;"","")</f>
        <v/>
      </c>
      <c r="F1108" s="48" t="str">
        <f aca="false">IFERROR(INDEX(输入报销!$F:$F,MATCH($A1108&amp;"-2",输入报销!$J:$J,0))&amp;"","")</f>
        <v/>
      </c>
      <c r="G1108" s="49" t="n">
        <f aca="false">IFERROR(ROUND(INDEX(输入报销!$G:$G,MATCH($A1108&amp;"-2",输入报销!$J:$J,0)),2),0)</f>
        <v>0</v>
      </c>
      <c r="H1108" s="49" t="str">
        <f aca="false">IF(ROUND($G1108,2)&gt;0,ROUND($G1108,2),"")</f>
        <v/>
      </c>
      <c r="I1108" s="49" t="str">
        <f aca="false">IF(ROUND($G1108,2)&lt;0,-ROUND($G1108,2),"")</f>
        <v/>
      </c>
      <c r="J1108" s="20" t="n">
        <f aca="false">IF(ROUND($G1108,2)=0,0,1)</f>
        <v>0</v>
      </c>
      <c r="K1108" s="20" t="str">
        <f aca="false">IF($J1108=0,"",SUM($J$1107:$J1108))</f>
        <v/>
      </c>
      <c r="L1108" s="20" t="str">
        <f aca="false">IF($K1108="","",$A1108*100+$K1108)</f>
        <v/>
      </c>
      <c r="M1108" s="48" t="str">
        <f aca="false">IFERROR(INDEX(输入报销!$D:$D,MATCH($A1108&amp;"-2",输入报销!$J:$J,0))&amp;"","")</f>
        <v/>
      </c>
    </row>
    <row r="1109" customFormat="false" ht="13.5" hidden="false" customHeight="false" outlineLevel="0" collapsed="false">
      <c r="A1109" s="47" t="n">
        <v>86</v>
      </c>
      <c r="C1109" s="48" t="str">
        <f aca="false">助手报销!$C87</f>
        <v/>
      </c>
      <c r="D1109" s="81" t="s">
        <v>481</v>
      </c>
      <c r="E1109" s="48" t="str">
        <f aca="false">IFERROR(INDEX(输入报销!$E:$E,MATCH($A1109&amp;"-3",输入报销!$J:$J,0))&amp;"","")</f>
        <v/>
      </c>
      <c r="F1109" s="48" t="str">
        <f aca="false">IFERROR(INDEX(输入报销!$F:$F,MATCH($A1109&amp;"-3",输入报销!$J:$J,0))&amp;"","")</f>
        <v/>
      </c>
      <c r="G1109" s="49" t="n">
        <f aca="false">IFERROR(ROUND(INDEX(输入报销!$G:$G,MATCH($A1109&amp;"-3",输入报销!$J:$J,0)),2),0)</f>
        <v>0</v>
      </c>
      <c r="H1109" s="49" t="str">
        <f aca="false">IF(ROUND($G1109,2)&gt;0,ROUND($G1109,2),"")</f>
        <v/>
      </c>
      <c r="I1109" s="49" t="str">
        <f aca="false">IF(ROUND($G1109,2)&lt;0,-ROUND($G1109,2),"")</f>
        <v/>
      </c>
      <c r="J1109" s="20" t="n">
        <f aca="false">IF(ROUND($G1109,2)=0,0,1)</f>
        <v>0</v>
      </c>
      <c r="K1109" s="20" t="str">
        <f aca="false">IF($J1109=0,"",SUM($J$1107:$J1109))</f>
        <v/>
      </c>
      <c r="L1109" s="20" t="str">
        <f aca="false">IF($K1109="","",$A1109*100+$K1109)</f>
        <v/>
      </c>
      <c r="M1109" s="48" t="str">
        <f aca="false">IFERROR(INDEX(输入报销!$D:$D,MATCH($A1109&amp;"-3",输入报销!$J:$J,0))&amp;"","")</f>
        <v/>
      </c>
    </row>
    <row r="1110" customFormat="false" ht="13.5" hidden="false" customHeight="false" outlineLevel="0" collapsed="false">
      <c r="A1110" s="47" t="n">
        <v>86</v>
      </c>
      <c r="C1110" s="48" t="str">
        <f aca="false">助手报销!$C87</f>
        <v/>
      </c>
      <c r="D1110" s="81" t="s">
        <v>482</v>
      </c>
      <c r="E1110" s="48" t="str">
        <f aca="false">IFERROR(INDEX(输入报销!$E:$E,MATCH($A1110&amp;"-4",输入报销!$J:$J,0))&amp;"","")</f>
        <v/>
      </c>
      <c r="F1110" s="48" t="str">
        <f aca="false">IFERROR(INDEX(输入报销!$F:$F,MATCH($A1110&amp;"-4",输入报销!$J:$J,0))&amp;"","")</f>
        <v/>
      </c>
      <c r="G1110" s="49" t="n">
        <f aca="false">IFERROR(ROUND(INDEX(输入报销!$G:$G,MATCH($A1110&amp;"-4",输入报销!$J:$J,0)),2),0)</f>
        <v>0</v>
      </c>
      <c r="H1110" s="49" t="str">
        <f aca="false">IF(ROUND($G1110,2)&gt;0,ROUND($G1110,2),"")</f>
        <v/>
      </c>
      <c r="I1110" s="49" t="str">
        <f aca="false">IF(ROUND($G1110,2)&lt;0,-ROUND($G1110,2),"")</f>
        <v/>
      </c>
      <c r="J1110" s="20" t="n">
        <f aca="false">IF(ROUND($G1110,2)=0,0,1)</f>
        <v>0</v>
      </c>
      <c r="K1110" s="20" t="str">
        <f aca="false">IF($J1110=0,"",SUM($J$1107:$J1110))</f>
        <v/>
      </c>
      <c r="L1110" s="20" t="str">
        <f aca="false">IF($K1110="","",$A1110*100+$K1110)</f>
        <v/>
      </c>
      <c r="M1110" s="48" t="str">
        <f aca="false">IFERROR(INDEX(输入报销!$D:$D,MATCH($A1110&amp;"-4",输入报销!$J:$J,0))&amp;"","")</f>
        <v/>
      </c>
    </row>
    <row r="1111" customFormat="false" ht="13.5" hidden="false" customHeight="false" outlineLevel="0" collapsed="false">
      <c r="A1111" s="47" t="n">
        <v>86</v>
      </c>
      <c r="C1111" s="48" t="str">
        <f aca="false">助手报销!$C87</f>
        <v/>
      </c>
      <c r="D1111" s="81" t="s">
        <v>483</v>
      </c>
      <c r="E1111" s="48" t="str">
        <f aca="false">IFERROR(INDEX(输入报销!$E:$E,MATCH($A1111&amp;"-5",输入报销!$J:$J,0))&amp;"","")</f>
        <v/>
      </c>
      <c r="F1111" s="48" t="str">
        <f aca="false">IFERROR(INDEX(输入报销!$F:$F,MATCH($A1111&amp;"-5",输入报销!$J:$J,0))&amp;"","")</f>
        <v/>
      </c>
      <c r="G1111" s="49" t="n">
        <f aca="false">IFERROR(ROUND(INDEX(输入报销!$G:$G,MATCH($A1111&amp;"-5",输入报销!$J:$J,0)),2),0)</f>
        <v>0</v>
      </c>
      <c r="H1111" s="49" t="str">
        <f aca="false">IF(ROUND($G1111,2)&gt;0,ROUND($G1111,2),"")</f>
        <v/>
      </c>
      <c r="I1111" s="49" t="str">
        <f aca="false">IF(ROUND($G1111,2)&lt;0,-ROUND($G1111,2),"")</f>
        <v/>
      </c>
      <c r="J1111" s="20" t="n">
        <f aca="false">IF(ROUND($G1111,2)=0,0,1)</f>
        <v>0</v>
      </c>
      <c r="K1111" s="20" t="str">
        <f aca="false">IF($J1111=0,"",SUM($J$1107:$J1111))</f>
        <v/>
      </c>
      <c r="L1111" s="20" t="str">
        <f aca="false">IF($K1111="","",$A1111*100+$K1111)</f>
        <v/>
      </c>
      <c r="M1111" s="48" t="str">
        <f aca="false">IFERROR(INDEX(输入报销!$D:$D,MATCH($A1111&amp;"-5",输入报销!$J:$J,0))&amp;"","")</f>
        <v/>
      </c>
    </row>
    <row r="1112" customFormat="false" ht="13.5" hidden="false" customHeight="false" outlineLevel="0" collapsed="false">
      <c r="A1112" s="47" t="n">
        <v>86</v>
      </c>
      <c r="C1112" s="48" t="str">
        <f aca="false">助手报销!$C87</f>
        <v/>
      </c>
      <c r="D1112" s="81" t="s">
        <v>484</v>
      </c>
      <c r="E1112" s="48" t="str">
        <f aca="false">IFERROR(INDEX(输入报销!$E:$E,MATCH($A1112&amp;"-6",输入报销!$J:$J,0))&amp;"","")</f>
        <v/>
      </c>
      <c r="F1112" s="48" t="str">
        <f aca="false">IFERROR(INDEX(输入报销!$F:$F,MATCH($A1112&amp;"-6",输入报销!$J:$J,0))&amp;"","")</f>
        <v/>
      </c>
      <c r="G1112" s="49" t="n">
        <f aca="false">IFERROR(ROUND(INDEX(输入报销!$G:$G,MATCH($A1112&amp;"-6",输入报销!$J:$J,0)),2),0)</f>
        <v>0</v>
      </c>
      <c r="H1112" s="49" t="str">
        <f aca="false">IF(ROUND($G1112,2)&gt;0,ROUND($G1112,2),"")</f>
        <v/>
      </c>
      <c r="I1112" s="49" t="str">
        <f aca="false">IF(ROUND($G1112,2)&lt;0,-ROUND($G1112,2),"")</f>
        <v/>
      </c>
      <c r="J1112" s="20" t="n">
        <f aca="false">IF(ROUND($G1112,2)=0,0,1)</f>
        <v>0</v>
      </c>
      <c r="K1112" s="20" t="str">
        <f aca="false">IF($J1112=0,"",SUM($J$1107:$J1112))</f>
        <v/>
      </c>
      <c r="L1112" s="20" t="str">
        <f aca="false">IF($K1112="","",$A1112*100+$K1112)</f>
        <v/>
      </c>
      <c r="M1112" s="48" t="str">
        <f aca="false">IFERROR(INDEX(输入报销!$D:$D,MATCH($A1112&amp;"-6",输入报销!$J:$J,0))&amp;"","")</f>
        <v/>
      </c>
    </row>
    <row r="1113" customFormat="false" ht="13.5" hidden="false" customHeight="false" outlineLevel="0" collapsed="false">
      <c r="A1113" s="47" t="n">
        <v>86</v>
      </c>
      <c r="C1113" s="48" t="str">
        <f aca="false">助手报销!$C87</f>
        <v/>
      </c>
      <c r="D1113" s="81" t="s">
        <v>485</v>
      </c>
      <c r="E1113" s="48" t="str">
        <f aca="false">IFERROR(INDEX(输入报销!$E:$E,MATCH($A1113&amp;"-7",输入报销!$J:$J,0))&amp;"","")</f>
        <v/>
      </c>
      <c r="F1113" s="48" t="str">
        <f aca="false">IFERROR(INDEX(输入报销!$F:$F,MATCH($A1113&amp;"-7",输入报销!$J:$J,0))&amp;"","")</f>
        <v/>
      </c>
      <c r="G1113" s="49" t="n">
        <f aca="false">IFERROR(ROUND(INDEX(输入报销!$G:$G,MATCH($A1113&amp;"-7",输入报销!$J:$J,0)),2),0)</f>
        <v>0</v>
      </c>
      <c r="H1113" s="49" t="str">
        <f aca="false">IF(ROUND($G1113,2)&gt;0,ROUND($G1113,2),"")</f>
        <v/>
      </c>
      <c r="I1113" s="49" t="str">
        <f aca="false">IF(ROUND($G1113,2)&lt;0,-ROUND($G1113,2),"")</f>
        <v/>
      </c>
      <c r="J1113" s="20" t="n">
        <f aca="false">IF(ROUND($G1113,2)=0,0,1)</f>
        <v>0</v>
      </c>
      <c r="K1113" s="20" t="str">
        <f aca="false">IF($J1113=0,"",SUM($J$1107:$J1113))</f>
        <v/>
      </c>
      <c r="L1113" s="20" t="str">
        <f aca="false">IF($K1113="","",$A1113*100+$K1113)</f>
        <v/>
      </c>
      <c r="M1113" s="48" t="str">
        <f aca="false">IFERROR(INDEX(输入报销!$D:$D,MATCH($A1113&amp;"-7",输入报销!$J:$J,0))&amp;"","")</f>
        <v/>
      </c>
    </row>
    <row r="1114" customFormat="false" ht="13.5" hidden="false" customHeight="false" outlineLevel="0" collapsed="false">
      <c r="A1114" s="47" t="n">
        <v>86</v>
      </c>
      <c r="C1114" s="48" t="str">
        <f aca="false">助手报销!$C87</f>
        <v/>
      </c>
      <c r="D1114" s="81" t="s">
        <v>486</v>
      </c>
      <c r="E1114" s="48" t="str">
        <f aca="false">IFERROR(INDEX(输入报销!$E:$E,MATCH($A1114&amp;"-8",输入报销!$J:$J,0))&amp;"","")</f>
        <v/>
      </c>
      <c r="F1114" s="48" t="str">
        <f aca="false">IFERROR(INDEX(输入报销!$F:$F,MATCH($A1114&amp;"-8",输入报销!$J:$J,0))&amp;"","")</f>
        <v/>
      </c>
      <c r="G1114" s="49" t="n">
        <f aca="false">IFERROR(ROUND(INDEX(输入报销!$G:$G,MATCH($A1114&amp;"-8",输入报销!$J:$J,0)),2),0)</f>
        <v>0</v>
      </c>
      <c r="H1114" s="49" t="str">
        <f aca="false">IF(ROUND($G1114,2)&gt;0,ROUND($G1114,2),"")</f>
        <v/>
      </c>
      <c r="I1114" s="49" t="str">
        <f aca="false">IF(ROUND($G1114,2)&lt;0,-ROUND($G1114,2),"")</f>
        <v/>
      </c>
      <c r="J1114" s="20" t="n">
        <f aca="false">IF(ROUND($G1114,2)=0,0,1)</f>
        <v>0</v>
      </c>
      <c r="K1114" s="20" t="str">
        <f aca="false">IF($J1114=0,"",SUM($J$1107:$J1114))</f>
        <v/>
      </c>
      <c r="L1114" s="20" t="str">
        <f aca="false">IF($K1114="","",$A1114*100+$K1114)</f>
        <v/>
      </c>
      <c r="M1114" s="48" t="str">
        <f aca="false">IFERROR(INDEX(输入报销!$D:$D,MATCH($A1114&amp;"-8",输入报销!$J:$J,0))&amp;"","")</f>
        <v/>
      </c>
    </row>
    <row r="1115" customFormat="false" ht="13.5" hidden="false" customHeight="false" outlineLevel="0" collapsed="false">
      <c r="A1115" s="47" t="n">
        <v>86</v>
      </c>
      <c r="C1115" s="48" t="str">
        <f aca="false">助手报销!$C87</f>
        <v/>
      </c>
      <c r="D1115" s="81" t="s">
        <v>487</v>
      </c>
      <c r="E1115" s="48" t="str">
        <f aca="false">IFERROR(INDEX(输入报销!$E:$E,MATCH($A1115&amp;"-9",输入报销!$J:$J,0))&amp;"","")</f>
        <v/>
      </c>
      <c r="F1115" s="48" t="str">
        <f aca="false">IFERROR(INDEX(输入报销!$F:$F,MATCH($A1115&amp;"-9",输入报销!$J:$J,0))&amp;"","")</f>
        <v/>
      </c>
      <c r="G1115" s="49" t="n">
        <f aca="false">IFERROR(ROUND(INDEX(输入报销!$G:$G,MATCH($A1115&amp;"-9",输入报销!$J:$J,0)),2),0)</f>
        <v>0</v>
      </c>
      <c r="H1115" s="49" t="str">
        <f aca="false">IF(ROUND($G1115,2)&gt;0,ROUND($G1115,2),"")</f>
        <v/>
      </c>
      <c r="I1115" s="49" t="str">
        <f aca="false">IF(ROUND($G1115,2)&lt;0,-ROUND($G1115,2),"")</f>
        <v/>
      </c>
      <c r="J1115" s="20" t="n">
        <f aca="false">IF(ROUND($G1115,2)=0,0,1)</f>
        <v>0</v>
      </c>
      <c r="K1115" s="20" t="str">
        <f aca="false">IF($J1115=0,"",SUM($J$1107:$J1115))</f>
        <v/>
      </c>
      <c r="L1115" s="20" t="str">
        <f aca="false">IF($K1115="","",$A1115*100+$K1115)</f>
        <v/>
      </c>
      <c r="M1115" s="48" t="str">
        <f aca="false">IFERROR(INDEX(输入报销!$D:$D,MATCH($A1115&amp;"-9",输入报销!$J:$J,0))&amp;"","")</f>
        <v/>
      </c>
    </row>
    <row r="1116" customFormat="false" ht="13.5" hidden="false" customHeight="false" outlineLevel="0" collapsed="false">
      <c r="A1116" s="47" t="n">
        <v>86</v>
      </c>
      <c r="C1116" s="48" t="str">
        <f aca="false">助手报销!$C87</f>
        <v/>
      </c>
      <c r="D1116" s="81" t="s">
        <v>488</v>
      </c>
      <c r="E1116" s="48" t="str">
        <f aca="false">IFERROR(INDEX(输入报销!$E:$E,MATCH($A1116&amp;"-10",输入报销!$J:$J,0))&amp;"","")</f>
        <v/>
      </c>
      <c r="F1116" s="48" t="str">
        <f aca="false">IFERROR(INDEX(输入报销!$F:$F,MATCH($A1116&amp;"-10",输入报销!$J:$J,0))&amp;"","")</f>
        <v/>
      </c>
      <c r="G1116" s="49" t="n">
        <f aca="false">IFERROR(ROUND(INDEX(输入报销!$G:$G,MATCH($A1116&amp;"-10",输入报销!$J:$J,0)),2),0)</f>
        <v>0</v>
      </c>
      <c r="H1116" s="49" t="str">
        <f aca="false">IF(ROUND($G1116,2)&gt;0,ROUND($G1116,2),"")</f>
        <v/>
      </c>
      <c r="I1116" s="49" t="str">
        <f aca="false">IF(ROUND($G1116,2)&lt;0,-ROUND($G1116,2),"")</f>
        <v/>
      </c>
      <c r="J1116" s="20" t="n">
        <f aca="false">IF(ROUND($G1116,2)=0,0,1)</f>
        <v>0</v>
      </c>
      <c r="K1116" s="20" t="str">
        <f aca="false">IF($J1116=0,"",SUM($J$1107:$J1116))</f>
        <v/>
      </c>
      <c r="L1116" s="20" t="str">
        <f aca="false">IF($K1116="","",$A1116*100+$K1116)</f>
        <v/>
      </c>
      <c r="M1116" s="48" t="str">
        <f aca="false">IFERROR(INDEX(输入报销!$D:$D,MATCH($A1116&amp;"-10",输入报销!$J:$J,0))&amp;"","")</f>
        <v/>
      </c>
    </row>
    <row r="1117" customFormat="false" ht="13.5" hidden="false" customHeight="false" outlineLevel="0" collapsed="false">
      <c r="A1117" s="47" t="n">
        <v>86</v>
      </c>
      <c r="C1117" s="48" t="str">
        <f aca="false">助手报销!$C87</f>
        <v/>
      </c>
      <c r="D1117" s="81" t="s">
        <v>489</v>
      </c>
      <c r="E1117" s="48" t="str">
        <f aca="false">参数!$B$6</f>
        <v>库存现金</v>
      </c>
      <c r="F1117" s="48" t="str">
        <f aca="false">""</f>
        <v/>
      </c>
      <c r="G1117" s="49" t="n">
        <f aca="false">-ROUND(SUMIFS(输入报销!$G:$G,输入报销!$A:$A,$A1117,输入报销!$H:$H,参数!$B$6),2)</f>
        <v>-0</v>
      </c>
      <c r="H1117" s="49" t="str">
        <f aca="false">IF(ROUND($G1117,2)&gt;0,ROUND($G1117,2),"")</f>
        <v/>
      </c>
      <c r="I1117" s="49" t="str">
        <f aca="false">IF(ROUND($G1117,2)&lt;0,-ROUND($G1117,2),"")</f>
        <v/>
      </c>
      <c r="J1117" s="20" t="n">
        <f aca="false">IF(ROUND($G1117,2)=0,0,1)</f>
        <v>0</v>
      </c>
      <c r="K1117" s="20" t="str">
        <f aca="false">IF($J1117=0,"",SUM($J$1107:$J1117))</f>
        <v/>
      </c>
      <c r="L1117" s="20" t="str">
        <f aca="false">IF($K1117="","",$A1117*100+$K1117)</f>
        <v/>
      </c>
      <c r="M1117" s="48" t="str">
        <f aca="false">""</f>
        <v/>
      </c>
    </row>
    <row r="1118" customFormat="false" ht="13.5" hidden="false" customHeight="false" outlineLevel="0" collapsed="false">
      <c r="A1118" s="47" t="n">
        <v>86</v>
      </c>
      <c r="C1118" s="48" t="str">
        <f aca="false">助手报销!$C87</f>
        <v/>
      </c>
      <c r="D1118" s="81" t="s">
        <v>490</v>
      </c>
      <c r="E1118" s="48" t="str">
        <f aca="false">参数!$B$7</f>
        <v>银行存款</v>
      </c>
      <c r="F1118" s="48" t="str">
        <f aca="false">""</f>
        <v/>
      </c>
      <c r="G1118" s="49" t="n">
        <f aca="false">-ROUND(SUMIFS(输入报销!$G:$G,输入报销!$A:$A,$A1118,输入报销!$H:$H,参数!$B$7),2)</f>
        <v>-0</v>
      </c>
      <c r="H1118" s="49" t="str">
        <f aca="false">IF(ROUND($G1118,2)&gt;0,ROUND($G1118,2),"")</f>
        <v/>
      </c>
      <c r="I1118" s="49" t="str">
        <f aca="false">IF(ROUND($G1118,2)&lt;0,-ROUND($G1118,2),"")</f>
        <v/>
      </c>
      <c r="J1118" s="20" t="n">
        <f aca="false">IF(ROUND($G1118,2)=0,0,1)</f>
        <v>0</v>
      </c>
      <c r="K1118" s="20" t="str">
        <f aca="false">IF($J1118=0,"",SUM($J$1107:$J1118))</f>
        <v/>
      </c>
      <c r="L1118" s="20" t="str">
        <f aca="false">IF($K1118="","",$A1118*100+$K1118)</f>
        <v/>
      </c>
      <c r="M1118" s="48" t="str">
        <f aca="false">""</f>
        <v/>
      </c>
    </row>
    <row r="1119" customFormat="false" ht="13.5" hidden="false" customHeight="false" outlineLevel="0" collapsed="false">
      <c r="A1119" s="47" t="n">
        <v>86</v>
      </c>
      <c r="C1119" s="48" t="str">
        <f aca="false">助手报销!$C87</f>
        <v/>
      </c>
      <c r="D1119" s="81" t="s">
        <v>491</v>
      </c>
      <c r="E1119" s="48" t="str">
        <f aca="false">参数!$B$8</f>
        <v>其他应付款</v>
      </c>
      <c r="F1119" s="48" t="str">
        <f aca="false">""</f>
        <v/>
      </c>
      <c r="G1119" s="49" t="n">
        <f aca="false">-ROUND(SUMIFS(输入报销!$G:$G,输入报销!$A:$A,$A1119,输入报销!$H:$H,参数!$B$8),2)</f>
        <v>-0</v>
      </c>
      <c r="H1119" s="49" t="str">
        <f aca="false">IF(ROUND($G1119,2)&gt;0,ROUND($G1119,2),"")</f>
        <v/>
      </c>
      <c r="I1119" s="49" t="str">
        <f aca="false">IF(ROUND($G1119,2)&lt;0,-ROUND($G1119,2),"")</f>
        <v/>
      </c>
      <c r="J1119" s="20" t="n">
        <f aca="false">IF(ROUND($G1119,2)=0,0,1)</f>
        <v>0</v>
      </c>
      <c r="K1119" s="20" t="str">
        <f aca="false">IF($J1119=0,"",SUM($J$1107:$J1119))</f>
        <v/>
      </c>
      <c r="L1119" s="20" t="str">
        <f aca="false">IF($K1119="","",$A1119*100+$K1119)</f>
        <v/>
      </c>
      <c r="M1119" s="48" t="str">
        <f aca="false">""</f>
        <v/>
      </c>
    </row>
    <row r="1120" customFormat="false" ht="13.5" hidden="false" customHeight="false" outlineLevel="0" collapsed="false">
      <c r="A1120" s="47" t="n">
        <v>87</v>
      </c>
      <c r="C1120" s="48" t="str">
        <f aca="false">助手报销!$C88</f>
        <v/>
      </c>
      <c r="D1120" s="81" t="s">
        <v>479</v>
      </c>
      <c r="E1120" s="48" t="str">
        <f aca="false">IFERROR(INDEX(输入报销!$E:$E,MATCH($A1120&amp;"-1",输入报销!$J:$J,0))&amp;"","")</f>
        <v/>
      </c>
      <c r="F1120" s="48" t="str">
        <f aca="false">IFERROR(INDEX(输入报销!$F:$F,MATCH($A1120&amp;"-1",输入报销!$J:$J,0))&amp;"","")</f>
        <v/>
      </c>
      <c r="G1120" s="49" t="n">
        <f aca="false">IFERROR(ROUND(INDEX(输入报销!$G:$G,MATCH($A1120&amp;"-1",输入报销!$J:$J,0)),2),0)</f>
        <v>0</v>
      </c>
      <c r="H1120" s="49" t="str">
        <f aca="false">IF(ROUND($G1120,2)&gt;0,ROUND($G1120,2),"")</f>
        <v/>
      </c>
      <c r="I1120" s="49" t="str">
        <f aca="false">IF(ROUND($G1120,2)&lt;0,-ROUND($G1120,2),"")</f>
        <v/>
      </c>
      <c r="J1120" s="20" t="n">
        <f aca="false">IF(ROUND($G1120,2)=0,0,1)</f>
        <v>0</v>
      </c>
      <c r="K1120" s="20" t="str">
        <f aca="false">IF($J1120=0,"",SUM($J$1120:$J1120))</f>
        <v/>
      </c>
      <c r="L1120" s="20" t="str">
        <f aca="false">IF($K1120="","",$A1120*100+$K1120)</f>
        <v/>
      </c>
      <c r="M1120" s="48" t="str">
        <f aca="false">IFERROR(INDEX(输入报销!$D:$D,MATCH($A1120&amp;"-1",输入报销!$J:$J,0))&amp;"","")</f>
        <v/>
      </c>
    </row>
    <row r="1121" customFormat="false" ht="13.5" hidden="false" customHeight="false" outlineLevel="0" collapsed="false">
      <c r="A1121" s="47" t="n">
        <v>87</v>
      </c>
      <c r="C1121" s="48" t="str">
        <f aca="false">助手报销!$C88</f>
        <v/>
      </c>
      <c r="D1121" s="81" t="s">
        <v>480</v>
      </c>
      <c r="E1121" s="48" t="str">
        <f aca="false">IFERROR(INDEX(输入报销!$E:$E,MATCH($A1121&amp;"-2",输入报销!$J:$J,0))&amp;"","")</f>
        <v/>
      </c>
      <c r="F1121" s="48" t="str">
        <f aca="false">IFERROR(INDEX(输入报销!$F:$F,MATCH($A1121&amp;"-2",输入报销!$J:$J,0))&amp;"","")</f>
        <v/>
      </c>
      <c r="G1121" s="49" t="n">
        <f aca="false">IFERROR(ROUND(INDEX(输入报销!$G:$G,MATCH($A1121&amp;"-2",输入报销!$J:$J,0)),2),0)</f>
        <v>0</v>
      </c>
      <c r="H1121" s="49" t="str">
        <f aca="false">IF(ROUND($G1121,2)&gt;0,ROUND($G1121,2),"")</f>
        <v/>
      </c>
      <c r="I1121" s="49" t="str">
        <f aca="false">IF(ROUND($G1121,2)&lt;0,-ROUND($G1121,2),"")</f>
        <v/>
      </c>
      <c r="J1121" s="20" t="n">
        <f aca="false">IF(ROUND($G1121,2)=0,0,1)</f>
        <v>0</v>
      </c>
      <c r="K1121" s="20" t="str">
        <f aca="false">IF($J1121=0,"",SUM($J$1120:$J1121))</f>
        <v/>
      </c>
      <c r="L1121" s="20" t="str">
        <f aca="false">IF($K1121="","",$A1121*100+$K1121)</f>
        <v/>
      </c>
      <c r="M1121" s="48" t="str">
        <f aca="false">IFERROR(INDEX(输入报销!$D:$D,MATCH($A1121&amp;"-2",输入报销!$J:$J,0))&amp;"","")</f>
        <v/>
      </c>
    </row>
    <row r="1122" customFormat="false" ht="13.5" hidden="false" customHeight="false" outlineLevel="0" collapsed="false">
      <c r="A1122" s="47" t="n">
        <v>87</v>
      </c>
      <c r="C1122" s="48" t="str">
        <f aca="false">助手报销!$C88</f>
        <v/>
      </c>
      <c r="D1122" s="81" t="s">
        <v>481</v>
      </c>
      <c r="E1122" s="48" t="str">
        <f aca="false">IFERROR(INDEX(输入报销!$E:$E,MATCH($A1122&amp;"-3",输入报销!$J:$J,0))&amp;"","")</f>
        <v/>
      </c>
      <c r="F1122" s="48" t="str">
        <f aca="false">IFERROR(INDEX(输入报销!$F:$F,MATCH($A1122&amp;"-3",输入报销!$J:$J,0))&amp;"","")</f>
        <v/>
      </c>
      <c r="G1122" s="49" t="n">
        <f aca="false">IFERROR(ROUND(INDEX(输入报销!$G:$G,MATCH($A1122&amp;"-3",输入报销!$J:$J,0)),2),0)</f>
        <v>0</v>
      </c>
      <c r="H1122" s="49" t="str">
        <f aca="false">IF(ROUND($G1122,2)&gt;0,ROUND($G1122,2),"")</f>
        <v/>
      </c>
      <c r="I1122" s="49" t="str">
        <f aca="false">IF(ROUND($G1122,2)&lt;0,-ROUND($G1122,2),"")</f>
        <v/>
      </c>
      <c r="J1122" s="20" t="n">
        <f aca="false">IF(ROUND($G1122,2)=0,0,1)</f>
        <v>0</v>
      </c>
      <c r="K1122" s="20" t="str">
        <f aca="false">IF($J1122=0,"",SUM($J$1120:$J1122))</f>
        <v/>
      </c>
      <c r="L1122" s="20" t="str">
        <f aca="false">IF($K1122="","",$A1122*100+$K1122)</f>
        <v/>
      </c>
      <c r="M1122" s="48" t="str">
        <f aca="false">IFERROR(INDEX(输入报销!$D:$D,MATCH($A1122&amp;"-3",输入报销!$J:$J,0))&amp;"","")</f>
        <v/>
      </c>
    </row>
    <row r="1123" customFormat="false" ht="13.5" hidden="false" customHeight="false" outlineLevel="0" collapsed="false">
      <c r="A1123" s="47" t="n">
        <v>87</v>
      </c>
      <c r="C1123" s="48" t="str">
        <f aca="false">助手报销!$C88</f>
        <v/>
      </c>
      <c r="D1123" s="81" t="s">
        <v>482</v>
      </c>
      <c r="E1123" s="48" t="str">
        <f aca="false">IFERROR(INDEX(输入报销!$E:$E,MATCH($A1123&amp;"-4",输入报销!$J:$J,0))&amp;"","")</f>
        <v/>
      </c>
      <c r="F1123" s="48" t="str">
        <f aca="false">IFERROR(INDEX(输入报销!$F:$F,MATCH($A1123&amp;"-4",输入报销!$J:$J,0))&amp;"","")</f>
        <v/>
      </c>
      <c r="G1123" s="49" t="n">
        <f aca="false">IFERROR(ROUND(INDEX(输入报销!$G:$G,MATCH($A1123&amp;"-4",输入报销!$J:$J,0)),2),0)</f>
        <v>0</v>
      </c>
      <c r="H1123" s="49" t="str">
        <f aca="false">IF(ROUND($G1123,2)&gt;0,ROUND($G1123,2),"")</f>
        <v/>
      </c>
      <c r="I1123" s="49" t="str">
        <f aca="false">IF(ROUND($G1123,2)&lt;0,-ROUND($G1123,2),"")</f>
        <v/>
      </c>
      <c r="J1123" s="20" t="n">
        <f aca="false">IF(ROUND($G1123,2)=0,0,1)</f>
        <v>0</v>
      </c>
      <c r="K1123" s="20" t="str">
        <f aca="false">IF($J1123=0,"",SUM($J$1120:$J1123))</f>
        <v/>
      </c>
      <c r="L1123" s="20" t="str">
        <f aca="false">IF($K1123="","",$A1123*100+$K1123)</f>
        <v/>
      </c>
      <c r="M1123" s="48" t="str">
        <f aca="false">IFERROR(INDEX(输入报销!$D:$D,MATCH($A1123&amp;"-4",输入报销!$J:$J,0))&amp;"","")</f>
        <v/>
      </c>
    </row>
    <row r="1124" customFormat="false" ht="13.5" hidden="false" customHeight="false" outlineLevel="0" collapsed="false">
      <c r="A1124" s="47" t="n">
        <v>87</v>
      </c>
      <c r="C1124" s="48" t="str">
        <f aca="false">助手报销!$C88</f>
        <v/>
      </c>
      <c r="D1124" s="81" t="s">
        <v>483</v>
      </c>
      <c r="E1124" s="48" t="str">
        <f aca="false">IFERROR(INDEX(输入报销!$E:$E,MATCH($A1124&amp;"-5",输入报销!$J:$J,0))&amp;"","")</f>
        <v/>
      </c>
      <c r="F1124" s="48" t="str">
        <f aca="false">IFERROR(INDEX(输入报销!$F:$F,MATCH($A1124&amp;"-5",输入报销!$J:$J,0))&amp;"","")</f>
        <v/>
      </c>
      <c r="G1124" s="49" t="n">
        <f aca="false">IFERROR(ROUND(INDEX(输入报销!$G:$G,MATCH($A1124&amp;"-5",输入报销!$J:$J,0)),2),0)</f>
        <v>0</v>
      </c>
      <c r="H1124" s="49" t="str">
        <f aca="false">IF(ROUND($G1124,2)&gt;0,ROUND($G1124,2),"")</f>
        <v/>
      </c>
      <c r="I1124" s="49" t="str">
        <f aca="false">IF(ROUND($G1124,2)&lt;0,-ROUND($G1124,2),"")</f>
        <v/>
      </c>
      <c r="J1124" s="20" t="n">
        <f aca="false">IF(ROUND($G1124,2)=0,0,1)</f>
        <v>0</v>
      </c>
      <c r="K1124" s="20" t="str">
        <f aca="false">IF($J1124=0,"",SUM($J$1120:$J1124))</f>
        <v/>
      </c>
      <c r="L1124" s="20" t="str">
        <f aca="false">IF($K1124="","",$A1124*100+$K1124)</f>
        <v/>
      </c>
      <c r="M1124" s="48" t="str">
        <f aca="false">IFERROR(INDEX(输入报销!$D:$D,MATCH($A1124&amp;"-5",输入报销!$J:$J,0))&amp;"","")</f>
        <v/>
      </c>
    </row>
    <row r="1125" customFormat="false" ht="13.5" hidden="false" customHeight="false" outlineLevel="0" collapsed="false">
      <c r="A1125" s="47" t="n">
        <v>87</v>
      </c>
      <c r="C1125" s="48" t="str">
        <f aca="false">助手报销!$C88</f>
        <v/>
      </c>
      <c r="D1125" s="81" t="s">
        <v>484</v>
      </c>
      <c r="E1125" s="48" t="str">
        <f aca="false">IFERROR(INDEX(输入报销!$E:$E,MATCH($A1125&amp;"-6",输入报销!$J:$J,0))&amp;"","")</f>
        <v/>
      </c>
      <c r="F1125" s="48" t="str">
        <f aca="false">IFERROR(INDEX(输入报销!$F:$F,MATCH($A1125&amp;"-6",输入报销!$J:$J,0))&amp;"","")</f>
        <v/>
      </c>
      <c r="G1125" s="49" t="n">
        <f aca="false">IFERROR(ROUND(INDEX(输入报销!$G:$G,MATCH($A1125&amp;"-6",输入报销!$J:$J,0)),2),0)</f>
        <v>0</v>
      </c>
      <c r="H1125" s="49" t="str">
        <f aca="false">IF(ROUND($G1125,2)&gt;0,ROUND($G1125,2),"")</f>
        <v/>
      </c>
      <c r="I1125" s="49" t="str">
        <f aca="false">IF(ROUND($G1125,2)&lt;0,-ROUND($G1125,2),"")</f>
        <v/>
      </c>
      <c r="J1125" s="20" t="n">
        <f aca="false">IF(ROUND($G1125,2)=0,0,1)</f>
        <v>0</v>
      </c>
      <c r="K1125" s="20" t="str">
        <f aca="false">IF($J1125=0,"",SUM($J$1120:$J1125))</f>
        <v/>
      </c>
      <c r="L1125" s="20" t="str">
        <f aca="false">IF($K1125="","",$A1125*100+$K1125)</f>
        <v/>
      </c>
      <c r="M1125" s="48" t="str">
        <f aca="false">IFERROR(INDEX(输入报销!$D:$D,MATCH($A1125&amp;"-6",输入报销!$J:$J,0))&amp;"","")</f>
        <v/>
      </c>
    </row>
    <row r="1126" customFormat="false" ht="13.5" hidden="false" customHeight="false" outlineLevel="0" collapsed="false">
      <c r="A1126" s="47" t="n">
        <v>87</v>
      </c>
      <c r="C1126" s="48" t="str">
        <f aca="false">助手报销!$C88</f>
        <v/>
      </c>
      <c r="D1126" s="81" t="s">
        <v>485</v>
      </c>
      <c r="E1126" s="48" t="str">
        <f aca="false">IFERROR(INDEX(输入报销!$E:$E,MATCH($A1126&amp;"-7",输入报销!$J:$J,0))&amp;"","")</f>
        <v/>
      </c>
      <c r="F1126" s="48" t="str">
        <f aca="false">IFERROR(INDEX(输入报销!$F:$F,MATCH($A1126&amp;"-7",输入报销!$J:$J,0))&amp;"","")</f>
        <v/>
      </c>
      <c r="G1126" s="49" t="n">
        <f aca="false">IFERROR(ROUND(INDEX(输入报销!$G:$G,MATCH($A1126&amp;"-7",输入报销!$J:$J,0)),2),0)</f>
        <v>0</v>
      </c>
      <c r="H1126" s="49" t="str">
        <f aca="false">IF(ROUND($G1126,2)&gt;0,ROUND($G1126,2),"")</f>
        <v/>
      </c>
      <c r="I1126" s="49" t="str">
        <f aca="false">IF(ROUND($G1126,2)&lt;0,-ROUND($G1126,2),"")</f>
        <v/>
      </c>
      <c r="J1126" s="20" t="n">
        <f aca="false">IF(ROUND($G1126,2)=0,0,1)</f>
        <v>0</v>
      </c>
      <c r="K1126" s="20" t="str">
        <f aca="false">IF($J1126=0,"",SUM($J$1120:$J1126))</f>
        <v/>
      </c>
      <c r="L1126" s="20" t="str">
        <f aca="false">IF($K1126="","",$A1126*100+$K1126)</f>
        <v/>
      </c>
      <c r="M1126" s="48" t="str">
        <f aca="false">IFERROR(INDEX(输入报销!$D:$D,MATCH($A1126&amp;"-7",输入报销!$J:$J,0))&amp;"","")</f>
        <v/>
      </c>
    </row>
    <row r="1127" customFormat="false" ht="13.5" hidden="false" customHeight="false" outlineLevel="0" collapsed="false">
      <c r="A1127" s="47" t="n">
        <v>87</v>
      </c>
      <c r="C1127" s="48" t="str">
        <f aca="false">助手报销!$C88</f>
        <v/>
      </c>
      <c r="D1127" s="81" t="s">
        <v>486</v>
      </c>
      <c r="E1127" s="48" t="str">
        <f aca="false">IFERROR(INDEX(输入报销!$E:$E,MATCH($A1127&amp;"-8",输入报销!$J:$J,0))&amp;"","")</f>
        <v/>
      </c>
      <c r="F1127" s="48" t="str">
        <f aca="false">IFERROR(INDEX(输入报销!$F:$F,MATCH($A1127&amp;"-8",输入报销!$J:$J,0))&amp;"","")</f>
        <v/>
      </c>
      <c r="G1127" s="49" t="n">
        <f aca="false">IFERROR(ROUND(INDEX(输入报销!$G:$G,MATCH($A1127&amp;"-8",输入报销!$J:$J,0)),2),0)</f>
        <v>0</v>
      </c>
      <c r="H1127" s="49" t="str">
        <f aca="false">IF(ROUND($G1127,2)&gt;0,ROUND($G1127,2),"")</f>
        <v/>
      </c>
      <c r="I1127" s="49" t="str">
        <f aca="false">IF(ROUND($G1127,2)&lt;0,-ROUND($G1127,2),"")</f>
        <v/>
      </c>
      <c r="J1127" s="20" t="n">
        <f aca="false">IF(ROUND($G1127,2)=0,0,1)</f>
        <v>0</v>
      </c>
      <c r="K1127" s="20" t="str">
        <f aca="false">IF($J1127=0,"",SUM($J$1120:$J1127))</f>
        <v/>
      </c>
      <c r="L1127" s="20" t="str">
        <f aca="false">IF($K1127="","",$A1127*100+$K1127)</f>
        <v/>
      </c>
      <c r="M1127" s="48" t="str">
        <f aca="false">IFERROR(INDEX(输入报销!$D:$D,MATCH($A1127&amp;"-8",输入报销!$J:$J,0))&amp;"","")</f>
        <v/>
      </c>
    </row>
    <row r="1128" customFormat="false" ht="13.5" hidden="false" customHeight="false" outlineLevel="0" collapsed="false">
      <c r="A1128" s="47" t="n">
        <v>87</v>
      </c>
      <c r="C1128" s="48" t="str">
        <f aca="false">助手报销!$C88</f>
        <v/>
      </c>
      <c r="D1128" s="81" t="s">
        <v>487</v>
      </c>
      <c r="E1128" s="48" t="str">
        <f aca="false">IFERROR(INDEX(输入报销!$E:$E,MATCH($A1128&amp;"-9",输入报销!$J:$J,0))&amp;"","")</f>
        <v/>
      </c>
      <c r="F1128" s="48" t="str">
        <f aca="false">IFERROR(INDEX(输入报销!$F:$F,MATCH($A1128&amp;"-9",输入报销!$J:$J,0))&amp;"","")</f>
        <v/>
      </c>
      <c r="G1128" s="49" t="n">
        <f aca="false">IFERROR(ROUND(INDEX(输入报销!$G:$G,MATCH($A1128&amp;"-9",输入报销!$J:$J,0)),2),0)</f>
        <v>0</v>
      </c>
      <c r="H1128" s="49" t="str">
        <f aca="false">IF(ROUND($G1128,2)&gt;0,ROUND($G1128,2),"")</f>
        <v/>
      </c>
      <c r="I1128" s="49" t="str">
        <f aca="false">IF(ROUND($G1128,2)&lt;0,-ROUND($G1128,2),"")</f>
        <v/>
      </c>
      <c r="J1128" s="20" t="n">
        <f aca="false">IF(ROUND($G1128,2)=0,0,1)</f>
        <v>0</v>
      </c>
      <c r="K1128" s="20" t="str">
        <f aca="false">IF($J1128=0,"",SUM($J$1120:$J1128))</f>
        <v/>
      </c>
      <c r="L1128" s="20" t="str">
        <f aca="false">IF($K1128="","",$A1128*100+$K1128)</f>
        <v/>
      </c>
      <c r="M1128" s="48" t="str">
        <f aca="false">IFERROR(INDEX(输入报销!$D:$D,MATCH($A1128&amp;"-9",输入报销!$J:$J,0))&amp;"","")</f>
        <v/>
      </c>
    </row>
    <row r="1129" customFormat="false" ht="13.5" hidden="false" customHeight="false" outlineLevel="0" collapsed="false">
      <c r="A1129" s="47" t="n">
        <v>87</v>
      </c>
      <c r="C1129" s="48" t="str">
        <f aca="false">助手报销!$C88</f>
        <v/>
      </c>
      <c r="D1129" s="81" t="s">
        <v>488</v>
      </c>
      <c r="E1129" s="48" t="str">
        <f aca="false">IFERROR(INDEX(输入报销!$E:$E,MATCH($A1129&amp;"-10",输入报销!$J:$J,0))&amp;"","")</f>
        <v/>
      </c>
      <c r="F1129" s="48" t="str">
        <f aca="false">IFERROR(INDEX(输入报销!$F:$F,MATCH($A1129&amp;"-10",输入报销!$J:$J,0))&amp;"","")</f>
        <v/>
      </c>
      <c r="G1129" s="49" t="n">
        <f aca="false">IFERROR(ROUND(INDEX(输入报销!$G:$G,MATCH($A1129&amp;"-10",输入报销!$J:$J,0)),2),0)</f>
        <v>0</v>
      </c>
      <c r="H1129" s="49" t="str">
        <f aca="false">IF(ROUND($G1129,2)&gt;0,ROUND($G1129,2),"")</f>
        <v/>
      </c>
      <c r="I1129" s="49" t="str">
        <f aca="false">IF(ROUND($G1129,2)&lt;0,-ROUND($G1129,2),"")</f>
        <v/>
      </c>
      <c r="J1129" s="20" t="n">
        <f aca="false">IF(ROUND($G1129,2)=0,0,1)</f>
        <v>0</v>
      </c>
      <c r="K1129" s="20" t="str">
        <f aca="false">IF($J1129=0,"",SUM($J$1120:$J1129))</f>
        <v/>
      </c>
      <c r="L1129" s="20" t="str">
        <f aca="false">IF($K1129="","",$A1129*100+$K1129)</f>
        <v/>
      </c>
      <c r="M1129" s="48" t="str">
        <f aca="false">IFERROR(INDEX(输入报销!$D:$D,MATCH($A1129&amp;"-10",输入报销!$J:$J,0))&amp;"","")</f>
        <v/>
      </c>
    </row>
    <row r="1130" customFormat="false" ht="13.5" hidden="false" customHeight="false" outlineLevel="0" collapsed="false">
      <c r="A1130" s="47" t="n">
        <v>87</v>
      </c>
      <c r="C1130" s="48" t="str">
        <f aca="false">助手报销!$C88</f>
        <v/>
      </c>
      <c r="D1130" s="81" t="s">
        <v>489</v>
      </c>
      <c r="E1130" s="48" t="str">
        <f aca="false">参数!$B$6</f>
        <v>库存现金</v>
      </c>
      <c r="F1130" s="48" t="str">
        <f aca="false">""</f>
        <v/>
      </c>
      <c r="G1130" s="49" t="n">
        <f aca="false">-ROUND(SUMIFS(输入报销!$G:$G,输入报销!$A:$A,$A1130,输入报销!$H:$H,参数!$B$6),2)</f>
        <v>-0</v>
      </c>
      <c r="H1130" s="49" t="str">
        <f aca="false">IF(ROUND($G1130,2)&gt;0,ROUND($G1130,2),"")</f>
        <v/>
      </c>
      <c r="I1130" s="49" t="str">
        <f aca="false">IF(ROUND($G1130,2)&lt;0,-ROUND($G1130,2),"")</f>
        <v/>
      </c>
      <c r="J1130" s="20" t="n">
        <f aca="false">IF(ROUND($G1130,2)=0,0,1)</f>
        <v>0</v>
      </c>
      <c r="K1130" s="20" t="str">
        <f aca="false">IF($J1130=0,"",SUM($J$1120:$J1130))</f>
        <v/>
      </c>
      <c r="L1130" s="20" t="str">
        <f aca="false">IF($K1130="","",$A1130*100+$K1130)</f>
        <v/>
      </c>
      <c r="M1130" s="48" t="str">
        <f aca="false">""</f>
        <v/>
      </c>
    </row>
    <row r="1131" customFormat="false" ht="13.5" hidden="false" customHeight="false" outlineLevel="0" collapsed="false">
      <c r="A1131" s="47" t="n">
        <v>87</v>
      </c>
      <c r="C1131" s="48" t="str">
        <f aca="false">助手报销!$C88</f>
        <v/>
      </c>
      <c r="D1131" s="81" t="s">
        <v>490</v>
      </c>
      <c r="E1131" s="48" t="str">
        <f aca="false">参数!$B$7</f>
        <v>银行存款</v>
      </c>
      <c r="F1131" s="48" t="str">
        <f aca="false">""</f>
        <v/>
      </c>
      <c r="G1131" s="49" t="n">
        <f aca="false">-ROUND(SUMIFS(输入报销!$G:$G,输入报销!$A:$A,$A1131,输入报销!$H:$H,参数!$B$7),2)</f>
        <v>-0</v>
      </c>
      <c r="H1131" s="49" t="str">
        <f aca="false">IF(ROUND($G1131,2)&gt;0,ROUND($G1131,2),"")</f>
        <v/>
      </c>
      <c r="I1131" s="49" t="str">
        <f aca="false">IF(ROUND($G1131,2)&lt;0,-ROUND($G1131,2),"")</f>
        <v/>
      </c>
      <c r="J1131" s="20" t="n">
        <f aca="false">IF(ROUND($G1131,2)=0,0,1)</f>
        <v>0</v>
      </c>
      <c r="K1131" s="20" t="str">
        <f aca="false">IF($J1131=0,"",SUM($J$1120:$J1131))</f>
        <v/>
      </c>
      <c r="L1131" s="20" t="str">
        <f aca="false">IF($K1131="","",$A1131*100+$K1131)</f>
        <v/>
      </c>
      <c r="M1131" s="48" t="str">
        <f aca="false">""</f>
        <v/>
      </c>
    </row>
    <row r="1132" customFormat="false" ht="13.5" hidden="false" customHeight="false" outlineLevel="0" collapsed="false">
      <c r="A1132" s="47" t="n">
        <v>87</v>
      </c>
      <c r="C1132" s="48" t="str">
        <f aca="false">助手报销!$C88</f>
        <v/>
      </c>
      <c r="D1132" s="81" t="s">
        <v>491</v>
      </c>
      <c r="E1132" s="48" t="str">
        <f aca="false">参数!$B$8</f>
        <v>其他应付款</v>
      </c>
      <c r="F1132" s="48" t="str">
        <f aca="false">""</f>
        <v/>
      </c>
      <c r="G1132" s="49" t="n">
        <f aca="false">-ROUND(SUMIFS(输入报销!$G:$G,输入报销!$A:$A,$A1132,输入报销!$H:$H,参数!$B$8),2)</f>
        <v>-0</v>
      </c>
      <c r="H1132" s="49" t="str">
        <f aca="false">IF(ROUND($G1132,2)&gt;0,ROUND($G1132,2),"")</f>
        <v/>
      </c>
      <c r="I1132" s="49" t="str">
        <f aca="false">IF(ROUND($G1132,2)&lt;0,-ROUND($G1132,2),"")</f>
        <v/>
      </c>
      <c r="J1132" s="20" t="n">
        <f aca="false">IF(ROUND($G1132,2)=0,0,1)</f>
        <v>0</v>
      </c>
      <c r="K1132" s="20" t="str">
        <f aca="false">IF($J1132=0,"",SUM($J$1120:$J1132))</f>
        <v/>
      </c>
      <c r="L1132" s="20" t="str">
        <f aca="false">IF($K1132="","",$A1132*100+$K1132)</f>
        <v/>
      </c>
      <c r="M1132" s="48" t="str">
        <f aca="false">""</f>
        <v/>
      </c>
    </row>
    <row r="1133" customFormat="false" ht="13.5" hidden="false" customHeight="false" outlineLevel="0" collapsed="false">
      <c r="A1133" s="47" t="n">
        <v>88</v>
      </c>
      <c r="C1133" s="48" t="str">
        <f aca="false">助手报销!$C89</f>
        <v/>
      </c>
      <c r="D1133" s="81" t="s">
        <v>479</v>
      </c>
      <c r="E1133" s="48" t="str">
        <f aca="false">IFERROR(INDEX(输入报销!$E:$E,MATCH($A1133&amp;"-1",输入报销!$J:$J,0))&amp;"","")</f>
        <v/>
      </c>
      <c r="F1133" s="48" t="str">
        <f aca="false">IFERROR(INDEX(输入报销!$F:$F,MATCH($A1133&amp;"-1",输入报销!$J:$J,0))&amp;"","")</f>
        <v/>
      </c>
      <c r="G1133" s="49" t="n">
        <f aca="false">IFERROR(ROUND(INDEX(输入报销!$G:$G,MATCH($A1133&amp;"-1",输入报销!$J:$J,0)),2),0)</f>
        <v>0</v>
      </c>
      <c r="H1133" s="49" t="str">
        <f aca="false">IF(ROUND($G1133,2)&gt;0,ROUND($G1133,2),"")</f>
        <v/>
      </c>
      <c r="I1133" s="49" t="str">
        <f aca="false">IF(ROUND($G1133,2)&lt;0,-ROUND($G1133,2),"")</f>
        <v/>
      </c>
      <c r="J1133" s="20" t="n">
        <f aca="false">IF(ROUND($G1133,2)=0,0,1)</f>
        <v>0</v>
      </c>
      <c r="K1133" s="20" t="str">
        <f aca="false">IF($J1133=0,"",SUM($J$1133:$J1133))</f>
        <v/>
      </c>
      <c r="L1133" s="20" t="str">
        <f aca="false">IF($K1133="","",$A1133*100+$K1133)</f>
        <v/>
      </c>
      <c r="M1133" s="48" t="str">
        <f aca="false">IFERROR(INDEX(输入报销!$D:$D,MATCH($A1133&amp;"-1",输入报销!$J:$J,0))&amp;"","")</f>
        <v/>
      </c>
    </row>
    <row r="1134" customFormat="false" ht="13.5" hidden="false" customHeight="false" outlineLevel="0" collapsed="false">
      <c r="A1134" s="47" t="n">
        <v>88</v>
      </c>
      <c r="C1134" s="48" t="str">
        <f aca="false">助手报销!$C89</f>
        <v/>
      </c>
      <c r="D1134" s="81" t="s">
        <v>480</v>
      </c>
      <c r="E1134" s="48" t="str">
        <f aca="false">IFERROR(INDEX(输入报销!$E:$E,MATCH($A1134&amp;"-2",输入报销!$J:$J,0))&amp;"","")</f>
        <v/>
      </c>
      <c r="F1134" s="48" t="str">
        <f aca="false">IFERROR(INDEX(输入报销!$F:$F,MATCH($A1134&amp;"-2",输入报销!$J:$J,0))&amp;"","")</f>
        <v/>
      </c>
      <c r="G1134" s="49" t="n">
        <f aca="false">IFERROR(ROUND(INDEX(输入报销!$G:$G,MATCH($A1134&amp;"-2",输入报销!$J:$J,0)),2),0)</f>
        <v>0</v>
      </c>
      <c r="H1134" s="49" t="str">
        <f aca="false">IF(ROUND($G1134,2)&gt;0,ROUND($G1134,2),"")</f>
        <v/>
      </c>
      <c r="I1134" s="49" t="str">
        <f aca="false">IF(ROUND($G1134,2)&lt;0,-ROUND($G1134,2),"")</f>
        <v/>
      </c>
      <c r="J1134" s="20" t="n">
        <f aca="false">IF(ROUND($G1134,2)=0,0,1)</f>
        <v>0</v>
      </c>
      <c r="K1134" s="20" t="str">
        <f aca="false">IF($J1134=0,"",SUM($J$1133:$J1134))</f>
        <v/>
      </c>
      <c r="L1134" s="20" t="str">
        <f aca="false">IF($K1134="","",$A1134*100+$K1134)</f>
        <v/>
      </c>
      <c r="M1134" s="48" t="str">
        <f aca="false">IFERROR(INDEX(输入报销!$D:$D,MATCH($A1134&amp;"-2",输入报销!$J:$J,0))&amp;"","")</f>
        <v/>
      </c>
    </row>
    <row r="1135" customFormat="false" ht="13.5" hidden="false" customHeight="false" outlineLevel="0" collapsed="false">
      <c r="A1135" s="47" t="n">
        <v>88</v>
      </c>
      <c r="C1135" s="48" t="str">
        <f aca="false">助手报销!$C89</f>
        <v/>
      </c>
      <c r="D1135" s="81" t="s">
        <v>481</v>
      </c>
      <c r="E1135" s="48" t="str">
        <f aca="false">IFERROR(INDEX(输入报销!$E:$E,MATCH($A1135&amp;"-3",输入报销!$J:$J,0))&amp;"","")</f>
        <v/>
      </c>
      <c r="F1135" s="48" t="str">
        <f aca="false">IFERROR(INDEX(输入报销!$F:$F,MATCH($A1135&amp;"-3",输入报销!$J:$J,0))&amp;"","")</f>
        <v/>
      </c>
      <c r="G1135" s="49" t="n">
        <f aca="false">IFERROR(ROUND(INDEX(输入报销!$G:$G,MATCH($A1135&amp;"-3",输入报销!$J:$J,0)),2),0)</f>
        <v>0</v>
      </c>
      <c r="H1135" s="49" t="str">
        <f aca="false">IF(ROUND($G1135,2)&gt;0,ROUND($G1135,2),"")</f>
        <v/>
      </c>
      <c r="I1135" s="49" t="str">
        <f aca="false">IF(ROUND($G1135,2)&lt;0,-ROUND($G1135,2),"")</f>
        <v/>
      </c>
      <c r="J1135" s="20" t="n">
        <f aca="false">IF(ROUND($G1135,2)=0,0,1)</f>
        <v>0</v>
      </c>
      <c r="K1135" s="20" t="str">
        <f aca="false">IF($J1135=0,"",SUM($J$1133:$J1135))</f>
        <v/>
      </c>
      <c r="L1135" s="20" t="str">
        <f aca="false">IF($K1135="","",$A1135*100+$K1135)</f>
        <v/>
      </c>
      <c r="M1135" s="48" t="str">
        <f aca="false">IFERROR(INDEX(输入报销!$D:$D,MATCH($A1135&amp;"-3",输入报销!$J:$J,0))&amp;"","")</f>
        <v/>
      </c>
    </row>
    <row r="1136" customFormat="false" ht="13.5" hidden="false" customHeight="false" outlineLevel="0" collapsed="false">
      <c r="A1136" s="47" t="n">
        <v>88</v>
      </c>
      <c r="C1136" s="48" t="str">
        <f aca="false">助手报销!$C89</f>
        <v/>
      </c>
      <c r="D1136" s="81" t="s">
        <v>482</v>
      </c>
      <c r="E1136" s="48" t="str">
        <f aca="false">IFERROR(INDEX(输入报销!$E:$E,MATCH($A1136&amp;"-4",输入报销!$J:$J,0))&amp;"","")</f>
        <v/>
      </c>
      <c r="F1136" s="48" t="str">
        <f aca="false">IFERROR(INDEX(输入报销!$F:$F,MATCH($A1136&amp;"-4",输入报销!$J:$J,0))&amp;"","")</f>
        <v/>
      </c>
      <c r="G1136" s="49" t="n">
        <f aca="false">IFERROR(ROUND(INDEX(输入报销!$G:$G,MATCH($A1136&amp;"-4",输入报销!$J:$J,0)),2),0)</f>
        <v>0</v>
      </c>
      <c r="H1136" s="49" t="str">
        <f aca="false">IF(ROUND($G1136,2)&gt;0,ROUND($G1136,2),"")</f>
        <v/>
      </c>
      <c r="I1136" s="49" t="str">
        <f aca="false">IF(ROUND($G1136,2)&lt;0,-ROUND($G1136,2),"")</f>
        <v/>
      </c>
      <c r="J1136" s="20" t="n">
        <f aca="false">IF(ROUND($G1136,2)=0,0,1)</f>
        <v>0</v>
      </c>
      <c r="K1136" s="20" t="str">
        <f aca="false">IF($J1136=0,"",SUM($J$1133:$J1136))</f>
        <v/>
      </c>
      <c r="L1136" s="20" t="str">
        <f aca="false">IF($K1136="","",$A1136*100+$K1136)</f>
        <v/>
      </c>
      <c r="M1136" s="48" t="str">
        <f aca="false">IFERROR(INDEX(输入报销!$D:$D,MATCH($A1136&amp;"-4",输入报销!$J:$J,0))&amp;"","")</f>
        <v/>
      </c>
    </row>
    <row r="1137" customFormat="false" ht="13.5" hidden="false" customHeight="false" outlineLevel="0" collapsed="false">
      <c r="A1137" s="47" t="n">
        <v>88</v>
      </c>
      <c r="C1137" s="48" t="str">
        <f aca="false">助手报销!$C89</f>
        <v/>
      </c>
      <c r="D1137" s="81" t="s">
        <v>483</v>
      </c>
      <c r="E1137" s="48" t="str">
        <f aca="false">IFERROR(INDEX(输入报销!$E:$E,MATCH($A1137&amp;"-5",输入报销!$J:$J,0))&amp;"","")</f>
        <v/>
      </c>
      <c r="F1137" s="48" t="str">
        <f aca="false">IFERROR(INDEX(输入报销!$F:$F,MATCH($A1137&amp;"-5",输入报销!$J:$J,0))&amp;"","")</f>
        <v/>
      </c>
      <c r="G1137" s="49" t="n">
        <f aca="false">IFERROR(ROUND(INDEX(输入报销!$G:$G,MATCH($A1137&amp;"-5",输入报销!$J:$J,0)),2),0)</f>
        <v>0</v>
      </c>
      <c r="H1137" s="49" t="str">
        <f aca="false">IF(ROUND($G1137,2)&gt;0,ROUND($G1137,2),"")</f>
        <v/>
      </c>
      <c r="I1137" s="49" t="str">
        <f aca="false">IF(ROUND($G1137,2)&lt;0,-ROUND($G1137,2),"")</f>
        <v/>
      </c>
      <c r="J1137" s="20" t="n">
        <f aca="false">IF(ROUND($G1137,2)=0,0,1)</f>
        <v>0</v>
      </c>
      <c r="K1137" s="20" t="str">
        <f aca="false">IF($J1137=0,"",SUM($J$1133:$J1137))</f>
        <v/>
      </c>
      <c r="L1137" s="20" t="str">
        <f aca="false">IF($K1137="","",$A1137*100+$K1137)</f>
        <v/>
      </c>
      <c r="M1137" s="48" t="str">
        <f aca="false">IFERROR(INDEX(输入报销!$D:$D,MATCH($A1137&amp;"-5",输入报销!$J:$J,0))&amp;"","")</f>
        <v/>
      </c>
    </row>
    <row r="1138" customFormat="false" ht="13.5" hidden="false" customHeight="false" outlineLevel="0" collapsed="false">
      <c r="A1138" s="47" t="n">
        <v>88</v>
      </c>
      <c r="C1138" s="48" t="str">
        <f aca="false">助手报销!$C89</f>
        <v/>
      </c>
      <c r="D1138" s="81" t="s">
        <v>484</v>
      </c>
      <c r="E1138" s="48" t="str">
        <f aca="false">IFERROR(INDEX(输入报销!$E:$E,MATCH($A1138&amp;"-6",输入报销!$J:$J,0))&amp;"","")</f>
        <v/>
      </c>
      <c r="F1138" s="48" t="str">
        <f aca="false">IFERROR(INDEX(输入报销!$F:$F,MATCH($A1138&amp;"-6",输入报销!$J:$J,0))&amp;"","")</f>
        <v/>
      </c>
      <c r="G1138" s="49" t="n">
        <f aca="false">IFERROR(ROUND(INDEX(输入报销!$G:$G,MATCH($A1138&amp;"-6",输入报销!$J:$J,0)),2),0)</f>
        <v>0</v>
      </c>
      <c r="H1138" s="49" t="str">
        <f aca="false">IF(ROUND($G1138,2)&gt;0,ROUND($G1138,2),"")</f>
        <v/>
      </c>
      <c r="I1138" s="49" t="str">
        <f aca="false">IF(ROUND($G1138,2)&lt;0,-ROUND($G1138,2),"")</f>
        <v/>
      </c>
      <c r="J1138" s="20" t="n">
        <f aca="false">IF(ROUND($G1138,2)=0,0,1)</f>
        <v>0</v>
      </c>
      <c r="K1138" s="20" t="str">
        <f aca="false">IF($J1138=0,"",SUM($J$1133:$J1138))</f>
        <v/>
      </c>
      <c r="L1138" s="20" t="str">
        <f aca="false">IF($K1138="","",$A1138*100+$K1138)</f>
        <v/>
      </c>
      <c r="M1138" s="48" t="str">
        <f aca="false">IFERROR(INDEX(输入报销!$D:$D,MATCH($A1138&amp;"-6",输入报销!$J:$J,0))&amp;"","")</f>
        <v/>
      </c>
    </row>
    <row r="1139" customFormat="false" ht="13.5" hidden="false" customHeight="false" outlineLevel="0" collapsed="false">
      <c r="A1139" s="47" t="n">
        <v>88</v>
      </c>
      <c r="C1139" s="48" t="str">
        <f aca="false">助手报销!$C89</f>
        <v/>
      </c>
      <c r="D1139" s="81" t="s">
        <v>485</v>
      </c>
      <c r="E1139" s="48" t="str">
        <f aca="false">IFERROR(INDEX(输入报销!$E:$E,MATCH($A1139&amp;"-7",输入报销!$J:$J,0))&amp;"","")</f>
        <v/>
      </c>
      <c r="F1139" s="48" t="str">
        <f aca="false">IFERROR(INDEX(输入报销!$F:$F,MATCH($A1139&amp;"-7",输入报销!$J:$J,0))&amp;"","")</f>
        <v/>
      </c>
      <c r="G1139" s="49" t="n">
        <f aca="false">IFERROR(ROUND(INDEX(输入报销!$G:$G,MATCH($A1139&amp;"-7",输入报销!$J:$J,0)),2),0)</f>
        <v>0</v>
      </c>
      <c r="H1139" s="49" t="str">
        <f aca="false">IF(ROUND($G1139,2)&gt;0,ROUND($G1139,2),"")</f>
        <v/>
      </c>
      <c r="I1139" s="49" t="str">
        <f aca="false">IF(ROUND($G1139,2)&lt;0,-ROUND($G1139,2),"")</f>
        <v/>
      </c>
      <c r="J1139" s="20" t="n">
        <f aca="false">IF(ROUND($G1139,2)=0,0,1)</f>
        <v>0</v>
      </c>
      <c r="K1139" s="20" t="str">
        <f aca="false">IF($J1139=0,"",SUM($J$1133:$J1139))</f>
        <v/>
      </c>
      <c r="L1139" s="20" t="str">
        <f aca="false">IF($K1139="","",$A1139*100+$K1139)</f>
        <v/>
      </c>
      <c r="M1139" s="48" t="str">
        <f aca="false">IFERROR(INDEX(输入报销!$D:$D,MATCH($A1139&amp;"-7",输入报销!$J:$J,0))&amp;"","")</f>
        <v/>
      </c>
    </row>
    <row r="1140" customFormat="false" ht="13.5" hidden="false" customHeight="false" outlineLevel="0" collapsed="false">
      <c r="A1140" s="47" t="n">
        <v>88</v>
      </c>
      <c r="C1140" s="48" t="str">
        <f aca="false">助手报销!$C89</f>
        <v/>
      </c>
      <c r="D1140" s="81" t="s">
        <v>486</v>
      </c>
      <c r="E1140" s="48" t="str">
        <f aca="false">IFERROR(INDEX(输入报销!$E:$E,MATCH($A1140&amp;"-8",输入报销!$J:$J,0))&amp;"","")</f>
        <v/>
      </c>
      <c r="F1140" s="48" t="str">
        <f aca="false">IFERROR(INDEX(输入报销!$F:$F,MATCH($A1140&amp;"-8",输入报销!$J:$J,0))&amp;"","")</f>
        <v/>
      </c>
      <c r="G1140" s="49" t="n">
        <f aca="false">IFERROR(ROUND(INDEX(输入报销!$G:$G,MATCH($A1140&amp;"-8",输入报销!$J:$J,0)),2),0)</f>
        <v>0</v>
      </c>
      <c r="H1140" s="49" t="str">
        <f aca="false">IF(ROUND($G1140,2)&gt;0,ROUND($G1140,2),"")</f>
        <v/>
      </c>
      <c r="I1140" s="49" t="str">
        <f aca="false">IF(ROUND($G1140,2)&lt;0,-ROUND($G1140,2),"")</f>
        <v/>
      </c>
      <c r="J1140" s="20" t="n">
        <f aca="false">IF(ROUND($G1140,2)=0,0,1)</f>
        <v>0</v>
      </c>
      <c r="K1140" s="20" t="str">
        <f aca="false">IF($J1140=0,"",SUM($J$1133:$J1140))</f>
        <v/>
      </c>
      <c r="L1140" s="20" t="str">
        <f aca="false">IF($K1140="","",$A1140*100+$K1140)</f>
        <v/>
      </c>
      <c r="M1140" s="48" t="str">
        <f aca="false">IFERROR(INDEX(输入报销!$D:$D,MATCH($A1140&amp;"-8",输入报销!$J:$J,0))&amp;"","")</f>
        <v/>
      </c>
    </row>
    <row r="1141" customFormat="false" ht="13.5" hidden="false" customHeight="false" outlineLevel="0" collapsed="false">
      <c r="A1141" s="47" t="n">
        <v>88</v>
      </c>
      <c r="C1141" s="48" t="str">
        <f aca="false">助手报销!$C89</f>
        <v/>
      </c>
      <c r="D1141" s="81" t="s">
        <v>487</v>
      </c>
      <c r="E1141" s="48" t="str">
        <f aca="false">IFERROR(INDEX(输入报销!$E:$E,MATCH($A1141&amp;"-9",输入报销!$J:$J,0))&amp;"","")</f>
        <v/>
      </c>
      <c r="F1141" s="48" t="str">
        <f aca="false">IFERROR(INDEX(输入报销!$F:$F,MATCH($A1141&amp;"-9",输入报销!$J:$J,0))&amp;"","")</f>
        <v/>
      </c>
      <c r="G1141" s="49" t="n">
        <f aca="false">IFERROR(ROUND(INDEX(输入报销!$G:$G,MATCH($A1141&amp;"-9",输入报销!$J:$J,0)),2),0)</f>
        <v>0</v>
      </c>
      <c r="H1141" s="49" t="str">
        <f aca="false">IF(ROUND($G1141,2)&gt;0,ROUND($G1141,2),"")</f>
        <v/>
      </c>
      <c r="I1141" s="49" t="str">
        <f aca="false">IF(ROUND($G1141,2)&lt;0,-ROUND($G1141,2),"")</f>
        <v/>
      </c>
      <c r="J1141" s="20" t="n">
        <f aca="false">IF(ROUND($G1141,2)=0,0,1)</f>
        <v>0</v>
      </c>
      <c r="K1141" s="20" t="str">
        <f aca="false">IF($J1141=0,"",SUM($J$1133:$J1141))</f>
        <v/>
      </c>
      <c r="L1141" s="20" t="str">
        <f aca="false">IF($K1141="","",$A1141*100+$K1141)</f>
        <v/>
      </c>
      <c r="M1141" s="48" t="str">
        <f aca="false">IFERROR(INDEX(输入报销!$D:$D,MATCH($A1141&amp;"-9",输入报销!$J:$J,0))&amp;"","")</f>
        <v/>
      </c>
    </row>
    <row r="1142" customFormat="false" ht="13.5" hidden="false" customHeight="false" outlineLevel="0" collapsed="false">
      <c r="A1142" s="47" t="n">
        <v>88</v>
      </c>
      <c r="C1142" s="48" t="str">
        <f aca="false">助手报销!$C89</f>
        <v/>
      </c>
      <c r="D1142" s="81" t="s">
        <v>488</v>
      </c>
      <c r="E1142" s="48" t="str">
        <f aca="false">IFERROR(INDEX(输入报销!$E:$E,MATCH($A1142&amp;"-10",输入报销!$J:$J,0))&amp;"","")</f>
        <v/>
      </c>
      <c r="F1142" s="48" t="str">
        <f aca="false">IFERROR(INDEX(输入报销!$F:$F,MATCH($A1142&amp;"-10",输入报销!$J:$J,0))&amp;"","")</f>
        <v/>
      </c>
      <c r="G1142" s="49" t="n">
        <f aca="false">IFERROR(ROUND(INDEX(输入报销!$G:$G,MATCH($A1142&amp;"-10",输入报销!$J:$J,0)),2),0)</f>
        <v>0</v>
      </c>
      <c r="H1142" s="49" t="str">
        <f aca="false">IF(ROUND($G1142,2)&gt;0,ROUND($G1142,2),"")</f>
        <v/>
      </c>
      <c r="I1142" s="49" t="str">
        <f aca="false">IF(ROUND($G1142,2)&lt;0,-ROUND($G1142,2),"")</f>
        <v/>
      </c>
      <c r="J1142" s="20" t="n">
        <f aca="false">IF(ROUND($G1142,2)=0,0,1)</f>
        <v>0</v>
      </c>
      <c r="K1142" s="20" t="str">
        <f aca="false">IF($J1142=0,"",SUM($J$1133:$J1142))</f>
        <v/>
      </c>
      <c r="L1142" s="20" t="str">
        <f aca="false">IF($K1142="","",$A1142*100+$K1142)</f>
        <v/>
      </c>
      <c r="M1142" s="48" t="str">
        <f aca="false">IFERROR(INDEX(输入报销!$D:$D,MATCH($A1142&amp;"-10",输入报销!$J:$J,0))&amp;"","")</f>
        <v/>
      </c>
    </row>
    <row r="1143" customFormat="false" ht="13.5" hidden="false" customHeight="false" outlineLevel="0" collapsed="false">
      <c r="A1143" s="47" t="n">
        <v>88</v>
      </c>
      <c r="C1143" s="48" t="str">
        <f aca="false">助手报销!$C89</f>
        <v/>
      </c>
      <c r="D1143" s="81" t="s">
        <v>489</v>
      </c>
      <c r="E1143" s="48" t="str">
        <f aca="false">参数!$B$6</f>
        <v>库存现金</v>
      </c>
      <c r="F1143" s="48" t="str">
        <f aca="false">""</f>
        <v/>
      </c>
      <c r="G1143" s="49" t="n">
        <f aca="false">-ROUND(SUMIFS(输入报销!$G:$G,输入报销!$A:$A,$A1143,输入报销!$H:$H,参数!$B$6),2)</f>
        <v>-0</v>
      </c>
      <c r="H1143" s="49" t="str">
        <f aca="false">IF(ROUND($G1143,2)&gt;0,ROUND($G1143,2),"")</f>
        <v/>
      </c>
      <c r="I1143" s="49" t="str">
        <f aca="false">IF(ROUND($G1143,2)&lt;0,-ROUND($G1143,2),"")</f>
        <v/>
      </c>
      <c r="J1143" s="20" t="n">
        <f aca="false">IF(ROUND($G1143,2)=0,0,1)</f>
        <v>0</v>
      </c>
      <c r="K1143" s="20" t="str">
        <f aca="false">IF($J1143=0,"",SUM($J$1133:$J1143))</f>
        <v/>
      </c>
      <c r="L1143" s="20" t="str">
        <f aca="false">IF($K1143="","",$A1143*100+$K1143)</f>
        <v/>
      </c>
      <c r="M1143" s="48" t="str">
        <f aca="false">""</f>
        <v/>
      </c>
    </row>
    <row r="1144" customFormat="false" ht="13.5" hidden="false" customHeight="false" outlineLevel="0" collapsed="false">
      <c r="A1144" s="47" t="n">
        <v>88</v>
      </c>
      <c r="C1144" s="48" t="str">
        <f aca="false">助手报销!$C89</f>
        <v/>
      </c>
      <c r="D1144" s="81" t="s">
        <v>490</v>
      </c>
      <c r="E1144" s="48" t="str">
        <f aca="false">参数!$B$7</f>
        <v>银行存款</v>
      </c>
      <c r="F1144" s="48" t="str">
        <f aca="false">""</f>
        <v/>
      </c>
      <c r="G1144" s="49" t="n">
        <f aca="false">-ROUND(SUMIFS(输入报销!$G:$G,输入报销!$A:$A,$A1144,输入报销!$H:$H,参数!$B$7),2)</f>
        <v>-0</v>
      </c>
      <c r="H1144" s="49" t="str">
        <f aca="false">IF(ROUND($G1144,2)&gt;0,ROUND($G1144,2),"")</f>
        <v/>
      </c>
      <c r="I1144" s="49" t="str">
        <f aca="false">IF(ROUND($G1144,2)&lt;0,-ROUND($G1144,2),"")</f>
        <v/>
      </c>
      <c r="J1144" s="20" t="n">
        <f aca="false">IF(ROUND($G1144,2)=0,0,1)</f>
        <v>0</v>
      </c>
      <c r="K1144" s="20" t="str">
        <f aca="false">IF($J1144=0,"",SUM($J$1133:$J1144))</f>
        <v/>
      </c>
      <c r="L1144" s="20" t="str">
        <f aca="false">IF($K1144="","",$A1144*100+$K1144)</f>
        <v/>
      </c>
      <c r="M1144" s="48" t="str">
        <f aca="false">""</f>
        <v/>
      </c>
    </row>
    <row r="1145" customFormat="false" ht="13.5" hidden="false" customHeight="false" outlineLevel="0" collapsed="false">
      <c r="A1145" s="47" t="n">
        <v>88</v>
      </c>
      <c r="C1145" s="48" t="str">
        <f aca="false">助手报销!$C89</f>
        <v/>
      </c>
      <c r="D1145" s="81" t="s">
        <v>491</v>
      </c>
      <c r="E1145" s="48" t="str">
        <f aca="false">参数!$B$8</f>
        <v>其他应付款</v>
      </c>
      <c r="F1145" s="48" t="str">
        <f aca="false">""</f>
        <v/>
      </c>
      <c r="G1145" s="49" t="n">
        <f aca="false">-ROUND(SUMIFS(输入报销!$G:$G,输入报销!$A:$A,$A1145,输入报销!$H:$H,参数!$B$8),2)</f>
        <v>-0</v>
      </c>
      <c r="H1145" s="49" t="str">
        <f aca="false">IF(ROUND($G1145,2)&gt;0,ROUND($G1145,2),"")</f>
        <v/>
      </c>
      <c r="I1145" s="49" t="str">
        <f aca="false">IF(ROUND($G1145,2)&lt;0,-ROUND($G1145,2),"")</f>
        <v/>
      </c>
      <c r="J1145" s="20" t="n">
        <f aca="false">IF(ROUND($G1145,2)=0,0,1)</f>
        <v>0</v>
      </c>
      <c r="K1145" s="20" t="str">
        <f aca="false">IF($J1145=0,"",SUM($J$1133:$J1145))</f>
        <v/>
      </c>
      <c r="L1145" s="20" t="str">
        <f aca="false">IF($K1145="","",$A1145*100+$K1145)</f>
        <v/>
      </c>
      <c r="M1145" s="48" t="str">
        <f aca="false">""</f>
        <v/>
      </c>
    </row>
    <row r="1146" customFormat="false" ht="13.5" hidden="false" customHeight="false" outlineLevel="0" collapsed="false">
      <c r="A1146" s="47" t="n">
        <v>89</v>
      </c>
      <c r="C1146" s="48" t="str">
        <f aca="false">助手报销!$C90</f>
        <v/>
      </c>
      <c r="D1146" s="81" t="s">
        <v>479</v>
      </c>
      <c r="E1146" s="48" t="str">
        <f aca="false">IFERROR(INDEX(输入报销!$E:$E,MATCH($A1146&amp;"-1",输入报销!$J:$J,0))&amp;"","")</f>
        <v/>
      </c>
      <c r="F1146" s="48" t="str">
        <f aca="false">IFERROR(INDEX(输入报销!$F:$F,MATCH($A1146&amp;"-1",输入报销!$J:$J,0))&amp;"","")</f>
        <v/>
      </c>
      <c r="G1146" s="49" t="n">
        <f aca="false">IFERROR(ROUND(INDEX(输入报销!$G:$G,MATCH($A1146&amp;"-1",输入报销!$J:$J,0)),2),0)</f>
        <v>0</v>
      </c>
      <c r="H1146" s="49" t="str">
        <f aca="false">IF(ROUND($G1146,2)&gt;0,ROUND($G1146,2),"")</f>
        <v/>
      </c>
      <c r="I1146" s="49" t="str">
        <f aca="false">IF(ROUND($G1146,2)&lt;0,-ROUND($G1146,2),"")</f>
        <v/>
      </c>
      <c r="J1146" s="20" t="n">
        <f aca="false">IF(ROUND($G1146,2)=0,0,1)</f>
        <v>0</v>
      </c>
      <c r="K1146" s="20" t="str">
        <f aca="false">IF($J1146=0,"",SUM($J$1146:$J1146))</f>
        <v/>
      </c>
      <c r="L1146" s="20" t="str">
        <f aca="false">IF($K1146="","",$A1146*100+$K1146)</f>
        <v/>
      </c>
      <c r="M1146" s="48" t="str">
        <f aca="false">IFERROR(INDEX(输入报销!$D:$D,MATCH($A1146&amp;"-1",输入报销!$J:$J,0))&amp;"","")</f>
        <v/>
      </c>
    </row>
    <row r="1147" customFormat="false" ht="13.5" hidden="false" customHeight="false" outlineLevel="0" collapsed="false">
      <c r="A1147" s="47" t="n">
        <v>89</v>
      </c>
      <c r="C1147" s="48" t="str">
        <f aca="false">助手报销!$C90</f>
        <v/>
      </c>
      <c r="D1147" s="81" t="s">
        <v>480</v>
      </c>
      <c r="E1147" s="48" t="str">
        <f aca="false">IFERROR(INDEX(输入报销!$E:$E,MATCH($A1147&amp;"-2",输入报销!$J:$J,0))&amp;"","")</f>
        <v/>
      </c>
      <c r="F1147" s="48" t="str">
        <f aca="false">IFERROR(INDEX(输入报销!$F:$F,MATCH($A1147&amp;"-2",输入报销!$J:$J,0))&amp;"","")</f>
        <v/>
      </c>
      <c r="G1147" s="49" t="n">
        <f aca="false">IFERROR(ROUND(INDEX(输入报销!$G:$G,MATCH($A1147&amp;"-2",输入报销!$J:$J,0)),2),0)</f>
        <v>0</v>
      </c>
      <c r="H1147" s="49" t="str">
        <f aca="false">IF(ROUND($G1147,2)&gt;0,ROUND($G1147,2),"")</f>
        <v/>
      </c>
      <c r="I1147" s="49" t="str">
        <f aca="false">IF(ROUND($G1147,2)&lt;0,-ROUND($G1147,2),"")</f>
        <v/>
      </c>
      <c r="J1147" s="20" t="n">
        <f aca="false">IF(ROUND($G1147,2)=0,0,1)</f>
        <v>0</v>
      </c>
      <c r="K1147" s="20" t="str">
        <f aca="false">IF($J1147=0,"",SUM($J$1146:$J1147))</f>
        <v/>
      </c>
      <c r="L1147" s="20" t="str">
        <f aca="false">IF($K1147="","",$A1147*100+$K1147)</f>
        <v/>
      </c>
      <c r="M1147" s="48" t="str">
        <f aca="false">IFERROR(INDEX(输入报销!$D:$D,MATCH($A1147&amp;"-2",输入报销!$J:$J,0))&amp;"","")</f>
        <v/>
      </c>
    </row>
    <row r="1148" customFormat="false" ht="13.5" hidden="false" customHeight="false" outlineLevel="0" collapsed="false">
      <c r="A1148" s="47" t="n">
        <v>89</v>
      </c>
      <c r="C1148" s="48" t="str">
        <f aca="false">助手报销!$C90</f>
        <v/>
      </c>
      <c r="D1148" s="81" t="s">
        <v>481</v>
      </c>
      <c r="E1148" s="48" t="str">
        <f aca="false">IFERROR(INDEX(输入报销!$E:$E,MATCH($A1148&amp;"-3",输入报销!$J:$J,0))&amp;"","")</f>
        <v/>
      </c>
      <c r="F1148" s="48" t="str">
        <f aca="false">IFERROR(INDEX(输入报销!$F:$F,MATCH($A1148&amp;"-3",输入报销!$J:$J,0))&amp;"","")</f>
        <v/>
      </c>
      <c r="G1148" s="49" t="n">
        <f aca="false">IFERROR(ROUND(INDEX(输入报销!$G:$G,MATCH($A1148&amp;"-3",输入报销!$J:$J,0)),2),0)</f>
        <v>0</v>
      </c>
      <c r="H1148" s="49" t="str">
        <f aca="false">IF(ROUND($G1148,2)&gt;0,ROUND($G1148,2),"")</f>
        <v/>
      </c>
      <c r="I1148" s="49" t="str">
        <f aca="false">IF(ROUND($G1148,2)&lt;0,-ROUND($G1148,2),"")</f>
        <v/>
      </c>
      <c r="J1148" s="20" t="n">
        <f aca="false">IF(ROUND($G1148,2)=0,0,1)</f>
        <v>0</v>
      </c>
      <c r="K1148" s="20" t="str">
        <f aca="false">IF($J1148=0,"",SUM($J$1146:$J1148))</f>
        <v/>
      </c>
      <c r="L1148" s="20" t="str">
        <f aca="false">IF($K1148="","",$A1148*100+$K1148)</f>
        <v/>
      </c>
      <c r="M1148" s="48" t="str">
        <f aca="false">IFERROR(INDEX(输入报销!$D:$D,MATCH($A1148&amp;"-3",输入报销!$J:$J,0))&amp;"","")</f>
        <v/>
      </c>
    </row>
    <row r="1149" customFormat="false" ht="13.5" hidden="false" customHeight="false" outlineLevel="0" collapsed="false">
      <c r="A1149" s="47" t="n">
        <v>89</v>
      </c>
      <c r="C1149" s="48" t="str">
        <f aca="false">助手报销!$C90</f>
        <v/>
      </c>
      <c r="D1149" s="81" t="s">
        <v>482</v>
      </c>
      <c r="E1149" s="48" t="str">
        <f aca="false">IFERROR(INDEX(输入报销!$E:$E,MATCH($A1149&amp;"-4",输入报销!$J:$J,0))&amp;"","")</f>
        <v/>
      </c>
      <c r="F1149" s="48" t="str">
        <f aca="false">IFERROR(INDEX(输入报销!$F:$F,MATCH($A1149&amp;"-4",输入报销!$J:$J,0))&amp;"","")</f>
        <v/>
      </c>
      <c r="G1149" s="49" t="n">
        <f aca="false">IFERROR(ROUND(INDEX(输入报销!$G:$G,MATCH($A1149&amp;"-4",输入报销!$J:$J,0)),2),0)</f>
        <v>0</v>
      </c>
      <c r="H1149" s="49" t="str">
        <f aca="false">IF(ROUND($G1149,2)&gt;0,ROUND($G1149,2),"")</f>
        <v/>
      </c>
      <c r="I1149" s="49" t="str">
        <f aca="false">IF(ROUND($G1149,2)&lt;0,-ROUND($G1149,2),"")</f>
        <v/>
      </c>
      <c r="J1149" s="20" t="n">
        <f aca="false">IF(ROUND($G1149,2)=0,0,1)</f>
        <v>0</v>
      </c>
      <c r="K1149" s="20" t="str">
        <f aca="false">IF($J1149=0,"",SUM($J$1146:$J1149))</f>
        <v/>
      </c>
      <c r="L1149" s="20" t="str">
        <f aca="false">IF($K1149="","",$A1149*100+$K1149)</f>
        <v/>
      </c>
      <c r="M1149" s="48" t="str">
        <f aca="false">IFERROR(INDEX(输入报销!$D:$D,MATCH($A1149&amp;"-4",输入报销!$J:$J,0))&amp;"","")</f>
        <v/>
      </c>
    </row>
    <row r="1150" customFormat="false" ht="13.5" hidden="false" customHeight="false" outlineLevel="0" collapsed="false">
      <c r="A1150" s="47" t="n">
        <v>89</v>
      </c>
      <c r="C1150" s="48" t="str">
        <f aca="false">助手报销!$C90</f>
        <v/>
      </c>
      <c r="D1150" s="81" t="s">
        <v>483</v>
      </c>
      <c r="E1150" s="48" t="str">
        <f aca="false">IFERROR(INDEX(输入报销!$E:$E,MATCH($A1150&amp;"-5",输入报销!$J:$J,0))&amp;"","")</f>
        <v/>
      </c>
      <c r="F1150" s="48" t="str">
        <f aca="false">IFERROR(INDEX(输入报销!$F:$F,MATCH($A1150&amp;"-5",输入报销!$J:$J,0))&amp;"","")</f>
        <v/>
      </c>
      <c r="G1150" s="49" t="n">
        <f aca="false">IFERROR(ROUND(INDEX(输入报销!$G:$G,MATCH($A1150&amp;"-5",输入报销!$J:$J,0)),2),0)</f>
        <v>0</v>
      </c>
      <c r="H1150" s="49" t="str">
        <f aca="false">IF(ROUND($G1150,2)&gt;0,ROUND($G1150,2),"")</f>
        <v/>
      </c>
      <c r="I1150" s="49" t="str">
        <f aca="false">IF(ROUND($G1150,2)&lt;0,-ROUND($G1150,2),"")</f>
        <v/>
      </c>
      <c r="J1150" s="20" t="n">
        <f aca="false">IF(ROUND($G1150,2)=0,0,1)</f>
        <v>0</v>
      </c>
      <c r="K1150" s="20" t="str">
        <f aca="false">IF($J1150=0,"",SUM($J$1146:$J1150))</f>
        <v/>
      </c>
      <c r="L1150" s="20" t="str">
        <f aca="false">IF($K1150="","",$A1150*100+$K1150)</f>
        <v/>
      </c>
      <c r="M1150" s="48" t="str">
        <f aca="false">IFERROR(INDEX(输入报销!$D:$D,MATCH($A1150&amp;"-5",输入报销!$J:$J,0))&amp;"","")</f>
        <v/>
      </c>
    </row>
    <row r="1151" customFormat="false" ht="13.5" hidden="false" customHeight="false" outlineLevel="0" collapsed="false">
      <c r="A1151" s="47" t="n">
        <v>89</v>
      </c>
      <c r="C1151" s="48" t="str">
        <f aca="false">助手报销!$C90</f>
        <v/>
      </c>
      <c r="D1151" s="81" t="s">
        <v>484</v>
      </c>
      <c r="E1151" s="48" t="str">
        <f aca="false">IFERROR(INDEX(输入报销!$E:$E,MATCH($A1151&amp;"-6",输入报销!$J:$J,0))&amp;"","")</f>
        <v/>
      </c>
      <c r="F1151" s="48" t="str">
        <f aca="false">IFERROR(INDEX(输入报销!$F:$F,MATCH($A1151&amp;"-6",输入报销!$J:$J,0))&amp;"","")</f>
        <v/>
      </c>
      <c r="G1151" s="49" t="n">
        <f aca="false">IFERROR(ROUND(INDEX(输入报销!$G:$G,MATCH($A1151&amp;"-6",输入报销!$J:$J,0)),2),0)</f>
        <v>0</v>
      </c>
      <c r="H1151" s="49" t="str">
        <f aca="false">IF(ROUND($G1151,2)&gt;0,ROUND($G1151,2),"")</f>
        <v/>
      </c>
      <c r="I1151" s="49" t="str">
        <f aca="false">IF(ROUND($G1151,2)&lt;0,-ROUND($G1151,2),"")</f>
        <v/>
      </c>
      <c r="J1151" s="20" t="n">
        <f aca="false">IF(ROUND($G1151,2)=0,0,1)</f>
        <v>0</v>
      </c>
      <c r="K1151" s="20" t="str">
        <f aca="false">IF($J1151=0,"",SUM($J$1146:$J1151))</f>
        <v/>
      </c>
      <c r="L1151" s="20" t="str">
        <f aca="false">IF($K1151="","",$A1151*100+$K1151)</f>
        <v/>
      </c>
      <c r="M1151" s="48" t="str">
        <f aca="false">IFERROR(INDEX(输入报销!$D:$D,MATCH($A1151&amp;"-6",输入报销!$J:$J,0))&amp;"","")</f>
        <v/>
      </c>
    </row>
    <row r="1152" customFormat="false" ht="13.5" hidden="false" customHeight="false" outlineLevel="0" collapsed="false">
      <c r="A1152" s="47" t="n">
        <v>89</v>
      </c>
      <c r="C1152" s="48" t="str">
        <f aca="false">助手报销!$C90</f>
        <v/>
      </c>
      <c r="D1152" s="81" t="s">
        <v>485</v>
      </c>
      <c r="E1152" s="48" t="str">
        <f aca="false">IFERROR(INDEX(输入报销!$E:$E,MATCH($A1152&amp;"-7",输入报销!$J:$J,0))&amp;"","")</f>
        <v/>
      </c>
      <c r="F1152" s="48" t="str">
        <f aca="false">IFERROR(INDEX(输入报销!$F:$F,MATCH($A1152&amp;"-7",输入报销!$J:$J,0))&amp;"","")</f>
        <v/>
      </c>
      <c r="G1152" s="49" t="n">
        <f aca="false">IFERROR(ROUND(INDEX(输入报销!$G:$G,MATCH($A1152&amp;"-7",输入报销!$J:$J,0)),2),0)</f>
        <v>0</v>
      </c>
      <c r="H1152" s="49" t="str">
        <f aca="false">IF(ROUND($G1152,2)&gt;0,ROUND($G1152,2),"")</f>
        <v/>
      </c>
      <c r="I1152" s="49" t="str">
        <f aca="false">IF(ROUND($G1152,2)&lt;0,-ROUND($G1152,2),"")</f>
        <v/>
      </c>
      <c r="J1152" s="20" t="n">
        <f aca="false">IF(ROUND($G1152,2)=0,0,1)</f>
        <v>0</v>
      </c>
      <c r="K1152" s="20" t="str">
        <f aca="false">IF($J1152=0,"",SUM($J$1146:$J1152))</f>
        <v/>
      </c>
      <c r="L1152" s="20" t="str">
        <f aca="false">IF($K1152="","",$A1152*100+$K1152)</f>
        <v/>
      </c>
      <c r="M1152" s="48" t="str">
        <f aca="false">IFERROR(INDEX(输入报销!$D:$D,MATCH($A1152&amp;"-7",输入报销!$J:$J,0))&amp;"","")</f>
        <v/>
      </c>
    </row>
    <row r="1153" customFormat="false" ht="13.5" hidden="false" customHeight="false" outlineLevel="0" collapsed="false">
      <c r="A1153" s="47" t="n">
        <v>89</v>
      </c>
      <c r="C1153" s="48" t="str">
        <f aca="false">助手报销!$C90</f>
        <v/>
      </c>
      <c r="D1153" s="81" t="s">
        <v>486</v>
      </c>
      <c r="E1153" s="48" t="str">
        <f aca="false">IFERROR(INDEX(输入报销!$E:$E,MATCH($A1153&amp;"-8",输入报销!$J:$J,0))&amp;"","")</f>
        <v/>
      </c>
      <c r="F1153" s="48" t="str">
        <f aca="false">IFERROR(INDEX(输入报销!$F:$F,MATCH($A1153&amp;"-8",输入报销!$J:$J,0))&amp;"","")</f>
        <v/>
      </c>
      <c r="G1153" s="49" t="n">
        <f aca="false">IFERROR(ROUND(INDEX(输入报销!$G:$G,MATCH($A1153&amp;"-8",输入报销!$J:$J,0)),2),0)</f>
        <v>0</v>
      </c>
      <c r="H1153" s="49" t="str">
        <f aca="false">IF(ROUND($G1153,2)&gt;0,ROUND($G1153,2),"")</f>
        <v/>
      </c>
      <c r="I1153" s="49" t="str">
        <f aca="false">IF(ROUND($G1153,2)&lt;0,-ROUND($G1153,2),"")</f>
        <v/>
      </c>
      <c r="J1153" s="20" t="n">
        <f aca="false">IF(ROUND($G1153,2)=0,0,1)</f>
        <v>0</v>
      </c>
      <c r="K1153" s="20" t="str">
        <f aca="false">IF($J1153=0,"",SUM($J$1146:$J1153))</f>
        <v/>
      </c>
      <c r="L1153" s="20" t="str">
        <f aca="false">IF($K1153="","",$A1153*100+$K1153)</f>
        <v/>
      </c>
      <c r="M1153" s="48" t="str">
        <f aca="false">IFERROR(INDEX(输入报销!$D:$D,MATCH($A1153&amp;"-8",输入报销!$J:$J,0))&amp;"","")</f>
        <v/>
      </c>
    </row>
    <row r="1154" customFormat="false" ht="13.5" hidden="false" customHeight="false" outlineLevel="0" collapsed="false">
      <c r="A1154" s="47" t="n">
        <v>89</v>
      </c>
      <c r="C1154" s="48" t="str">
        <f aca="false">助手报销!$C90</f>
        <v/>
      </c>
      <c r="D1154" s="81" t="s">
        <v>487</v>
      </c>
      <c r="E1154" s="48" t="str">
        <f aca="false">IFERROR(INDEX(输入报销!$E:$E,MATCH($A1154&amp;"-9",输入报销!$J:$J,0))&amp;"","")</f>
        <v/>
      </c>
      <c r="F1154" s="48" t="str">
        <f aca="false">IFERROR(INDEX(输入报销!$F:$F,MATCH($A1154&amp;"-9",输入报销!$J:$J,0))&amp;"","")</f>
        <v/>
      </c>
      <c r="G1154" s="49" t="n">
        <f aca="false">IFERROR(ROUND(INDEX(输入报销!$G:$G,MATCH($A1154&amp;"-9",输入报销!$J:$J,0)),2),0)</f>
        <v>0</v>
      </c>
      <c r="H1154" s="49" t="str">
        <f aca="false">IF(ROUND($G1154,2)&gt;0,ROUND($G1154,2),"")</f>
        <v/>
      </c>
      <c r="I1154" s="49" t="str">
        <f aca="false">IF(ROUND($G1154,2)&lt;0,-ROUND($G1154,2),"")</f>
        <v/>
      </c>
      <c r="J1154" s="20" t="n">
        <f aca="false">IF(ROUND($G1154,2)=0,0,1)</f>
        <v>0</v>
      </c>
      <c r="K1154" s="20" t="str">
        <f aca="false">IF($J1154=0,"",SUM($J$1146:$J1154))</f>
        <v/>
      </c>
      <c r="L1154" s="20" t="str">
        <f aca="false">IF($K1154="","",$A1154*100+$K1154)</f>
        <v/>
      </c>
      <c r="M1154" s="48" t="str">
        <f aca="false">IFERROR(INDEX(输入报销!$D:$D,MATCH($A1154&amp;"-9",输入报销!$J:$J,0))&amp;"","")</f>
        <v/>
      </c>
    </row>
    <row r="1155" customFormat="false" ht="13.5" hidden="false" customHeight="false" outlineLevel="0" collapsed="false">
      <c r="A1155" s="47" t="n">
        <v>89</v>
      </c>
      <c r="C1155" s="48" t="str">
        <f aca="false">助手报销!$C90</f>
        <v/>
      </c>
      <c r="D1155" s="81" t="s">
        <v>488</v>
      </c>
      <c r="E1155" s="48" t="str">
        <f aca="false">IFERROR(INDEX(输入报销!$E:$E,MATCH($A1155&amp;"-10",输入报销!$J:$J,0))&amp;"","")</f>
        <v/>
      </c>
      <c r="F1155" s="48" t="str">
        <f aca="false">IFERROR(INDEX(输入报销!$F:$F,MATCH($A1155&amp;"-10",输入报销!$J:$J,0))&amp;"","")</f>
        <v/>
      </c>
      <c r="G1155" s="49" t="n">
        <f aca="false">IFERROR(ROUND(INDEX(输入报销!$G:$G,MATCH($A1155&amp;"-10",输入报销!$J:$J,0)),2),0)</f>
        <v>0</v>
      </c>
      <c r="H1155" s="49" t="str">
        <f aca="false">IF(ROUND($G1155,2)&gt;0,ROUND($G1155,2),"")</f>
        <v/>
      </c>
      <c r="I1155" s="49" t="str">
        <f aca="false">IF(ROUND($G1155,2)&lt;0,-ROUND($G1155,2),"")</f>
        <v/>
      </c>
      <c r="J1155" s="20" t="n">
        <f aca="false">IF(ROUND($G1155,2)=0,0,1)</f>
        <v>0</v>
      </c>
      <c r="K1155" s="20" t="str">
        <f aca="false">IF($J1155=0,"",SUM($J$1146:$J1155))</f>
        <v/>
      </c>
      <c r="L1155" s="20" t="str">
        <f aca="false">IF($K1155="","",$A1155*100+$K1155)</f>
        <v/>
      </c>
      <c r="M1155" s="48" t="str">
        <f aca="false">IFERROR(INDEX(输入报销!$D:$D,MATCH($A1155&amp;"-10",输入报销!$J:$J,0))&amp;"","")</f>
        <v/>
      </c>
    </row>
    <row r="1156" customFormat="false" ht="13.5" hidden="false" customHeight="false" outlineLevel="0" collapsed="false">
      <c r="A1156" s="47" t="n">
        <v>89</v>
      </c>
      <c r="C1156" s="48" t="str">
        <f aca="false">助手报销!$C90</f>
        <v/>
      </c>
      <c r="D1156" s="81" t="s">
        <v>489</v>
      </c>
      <c r="E1156" s="48" t="str">
        <f aca="false">参数!$B$6</f>
        <v>库存现金</v>
      </c>
      <c r="F1156" s="48" t="str">
        <f aca="false">""</f>
        <v/>
      </c>
      <c r="G1156" s="49" t="n">
        <f aca="false">-ROUND(SUMIFS(输入报销!$G:$G,输入报销!$A:$A,$A1156,输入报销!$H:$H,参数!$B$6),2)</f>
        <v>-0</v>
      </c>
      <c r="H1156" s="49" t="str">
        <f aca="false">IF(ROUND($G1156,2)&gt;0,ROUND($G1156,2),"")</f>
        <v/>
      </c>
      <c r="I1156" s="49" t="str">
        <f aca="false">IF(ROUND($G1156,2)&lt;0,-ROUND($G1156,2),"")</f>
        <v/>
      </c>
      <c r="J1156" s="20" t="n">
        <f aca="false">IF(ROUND($G1156,2)=0,0,1)</f>
        <v>0</v>
      </c>
      <c r="K1156" s="20" t="str">
        <f aca="false">IF($J1156=0,"",SUM($J$1146:$J1156))</f>
        <v/>
      </c>
      <c r="L1156" s="20" t="str">
        <f aca="false">IF($K1156="","",$A1156*100+$K1156)</f>
        <v/>
      </c>
      <c r="M1156" s="48" t="str">
        <f aca="false">""</f>
        <v/>
      </c>
    </row>
    <row r="1157" customFormat="false" ht="13.5" hidden="false" customHeight="false" outlineLevel="0" collapsed="false">
      <c r="A1157" s="47" t="n">
        <v>89</v>
      </c>
      <c r="C1157" s="48" t="str">
        <f aca="false">助手报销!$C90</f>
        <v/>
      </c>
      <c r="D1157" s="81" t="s">
        <v>490</v>
      </c>
      <c r="E1157" s="48" t="str">
        <f aca="false">参数!$B$7</f>
        <v>银行存款</v>
      </c>
      <c r="F1157" s="48" t="str">
        <f aca="false">""</f>
        <v/>
      </c>
      <c r="G1157" s="49" t="n">
        <f aca="false">-ROUND(SUMIFS(输入报销!$G:$G,输入报销!$A:$A,$A1157,输入报销!$H:$H,参数!$B$7),2)</f>
        <v>-0</v>
      </c>
      <c r="H1157" s="49" t="str">
        <f aca="false">IF(ROUND($G1157,2)&gt;0,ROUND($G1157,2),"")</f>
        <v/>
      </c>
      <c r="I1157" s="49" t="str">
        <f aca="false">IF(ROUND($G1157,2)&lt;0,-ROUND($G1157,2),"")</f>
        <v/>
      </c>
      <c r="J1157" s="20" t="n">
        <f aca="false">IF(ROUND($G1157,2)=0,0,1)</f>
        <v>0</v>
      </c>
      <c r="K1157" s="20" t="str">
        <f aca="false">IF($J1157=0,"",SUM($J$1146:$J1157))</f>
        <v/>
      </c>
      <c r="L1157" s="20" t="str">
        <f aca="false">IF($K1157="","",$A1157*100+$K1157)</f>
        <v/>
      </c>
      <c r="M1157" s="48" t="str">
        <f aca="false">""</f>
        <v/>
      </c>
    </row>
    <row r="1158" customFormat="false" ht="13.5" hidden="false" customHeight="false" outlineLevel="0" collapsed="false">
      <c r="A1158" s="47" t="n">
        <v>89</v>
      </c>
      <c r="C1158" s="48" t="str">
        <f aca="false">助手报销!$C90</f>
        <v/>
      </c>
      <c r="D1158" s="81" t="s">
        <v>491</v>
      </c>
      <c r="E1158" s="48" t="str">
        <f aca="false">参数!$B$8</f>
        <v>其他应付款</v>
      </c>
      <c r="F1158" s="48" t="str">
        <f aca="false">""</f>
        <v/>
      </c>
      <c r="G1158" s="49" t="n">
        <f aca="false">-ROUND(SUMIFS(输入报销!$G:$G,输入报销!$A:$A,$A1158,输入报销!$H:$H,参数!$B$8),2)</f>
        <v>-0</v>
      </c>
      <c r="H1158" s="49" t="str">
        <f aca="false">IF(ROUND($G1158,2)&gt;0,ROUND($G1158,2),"")</f>
        <v/>
      </c>
      <c r="I1158" s="49" t="str">
        <f aca="false">IF(ROUND($G1158,2)&lt;0,-ROUND($G1158,2),"")</f>
        <v/>
      </c>
      <c r="J1158" s="20" t="n">
        <f aca="false">IF(ROUND($G1158,2)=0,0,1)</f>
        <v>0</v>
      </c>
      <c r="K1158" s="20" t="str">
        <f aca="false">IF($J1158=0,"",SUM($J$1146:$J1158))</f>
        <v/>
      </c>
      <c r="L1158" s="20" t="str">
        <f aca="false">IF($K1158="","",$A1158*100+$K1158)</f>
        <v/>
      </c>
      <c r="M1158" s="48" t="str">
        <f aca="false">""</f>
        <v/>
      </c>
    </row>
    <row r="1159" customFormat="false" ht="13.5" hidden="false" customHeight="false" outlineLevel="0" collapsed="false">
      <c r="A1159" s="47" t="n">
        <v>90</v>
      </c>
      <c r="C1159" s="48" t="str">
        <f aca="false">助手报销!$C91</f>
        <v/>
      </c>
      <c r="D1159" s="81" t="s">
        <v>479</v>
      </c>
      <c r="E1159" s="48" t="str">
        <f aca="false">IFERROR(INDEX(输入报销!$E:$E,MATCH($A1159&amp;"-1",输入报销!$J:$J,0))&amp;"","")</f>
        <v/>
      </c>
      <c r="F1159" s="48" t="str">
        <f aca="false">IFERROR(INDEX(输入报销!$F:$F,MATCH($A1159&amp;"-1",输入报销!$J:$J,0))&amp;"","")</f>
        <v/>
      </c>
      <c r="G1159" s="49" t="n">
        <f aca="false">IFERROR(ROUND(INDEX(输入报销!$G:$G,MATCH($A1159&amp;"-1",输入报销!$J:$J,0)),2),0)</f>
        <v>0</v>
      </c>
      <c r="H1159" s="49" t="str">
        <f aca="false">IF(ROUND($G1159,2)&gt;0,ROUND($G1159,2),"")</f>
        <v/>
      </c>
      <c r="I1159" s="49" t="str">
        <f aca="false">IF(ROUND($G1159,2)&lt;0,-ROUND($G1159,2),"")</f>
        <v/>
      </c>
      <c r="J1159" s="20" t="n">
        <f aca="false">IF(ROUND($G1159,2)=0,0,1)</f>
        <v>0</v>
      </c>
      <c r="K1159" s="20" t="str">
        <f aca="false">IF($J1159=0,"",SUM($J$1159:$J1159))</f>
        <v/>
      </c>
      <c r="L1159" s="20" t="str">
        <f aca="false">IF($K1159="","",$A1159*100+$K1159)</f>
        <v/>
      </c>
      <c r="M1159" s="48" t="str">
        <f aca="false">IFERROR(INDEX(输入报销!$D:$D,MATCH($A1159&amp;"-1",输入报销!$J:$J,0))&amp;"","")</f>
        <v/>
      </c>
    </row>
    <row r="1160" customFormat="false" ht="13.5" hidden="false" customHeight="false" outlineLevel="0" collapsed="false">
      <c r="A1160" s="47" t="n">
        <v>90</v>
      </c>
      <c r="C1160" s="48" t="str">
        <f aca="false">助手报销!$C91</f>
        <v/>
      </c>
      <c r="D1160" s="81" t="s">
        <v>480</v>
      </c>
      <c r="E1160" s="48" t="str">
        <f aca="false">IFERROR(INDEX(输入报销!$E:$E,MATCH($A1160&amp;"-2",输入报销!$J:$J,0))&amp;"","")</f>
        <v/>
      </c>
      <c r="F1160" s="48" t="str">
        <f aca="false">IFERROR(INDEX(输入报销!$F:$F,MATCH($A1160&amp;"-2",输入报销!$J:$J,0))&amp;"","")</f>
        <v/>
      </c>
      <c r="G1160" s="49" t="n">
        <f aca="false">IFERROR(ROUND(INDEX(输入报销!$G:$G,MATCH($A1160&amp;"-2",输入报销!$J:$J,0)),2),0)</f>
        <v>0</v>
      </c>
      <c r="H1160" s="49" t="str">
        <f aca="false">IF(ROUND($G1160,2)&gt;0,ROUND($G1160,2),"")</f>
        <v/>
      </c>
      <c r="I1160" s="49" t="str">
        <f aca="false">IF(ROUND($G1160,2)&lt;0,-ROUND($G1160,2),"")</f>
        <v/>
      </c>
      <c r="J1160" s="20" t="n">
        <f aca="false">IF(ROUND($G1160,2)=0,0,1)</f>
        <v>0</v>
      </c>
      <c r="K1160" s="20" t="str">
        <f aca="false">IF($J1160=0,"",SUM($J$1159:$J1160))</f>
        <v/>
      </c>
      <c r="L1160" s="20" t="str">
        <f aca="false">IF($K1160="","",$A1160*100+$K1160)</f>
        <v/>
      </c>
      <c r="M1160" s="48" t="str">
        <f aca="false">IFERROR(INDEX(输入报销!$D:$D,MATCH($A1160&amp;"-2",输入报销!$J:$J,0))&amp;"","")</f>
        <v/>
      </c>
    </row>
    <row r="1161" customFormat="false" ht="13.5" hidden="false" customHeight="false" outlineLevel="0" collapsed="false">
      <c r="A1161" s="47" t="n">
        <v>90</v>
      </c>
      <c r="C1161" s="48" t="str">
        <f aca="false">助手报销!$C91</f>
        <v/>
      </c>
      <c r="D1161" s="81" t="s">
        <v>481</v>
      </c>
      <c r="E1161" s="48" t="str">
        <f aca="false">IFERROR(INDEX(输入报销!$E:$E,MATCH($A1161&amp;"-3",输入报销!$J:$J,0))&amp;"","")</f>
        <v/>
      </c>
      <c r="F1161" s="48" t="str">
        <f aca="false">IFERROR(INDEX(输入报销!$F:$F,MATCH($A1161&amp;"-3",输入报销!$J:$J,0))&amp;"","")</f>
        <v/>
      </c>
      <c r="G1161" s="49" t="n">
        <f aca="false">IFERROR(ROUND(INDEX(输入报销!$G:$G,MATCH($A1161&amp;"-3",输入报销!$J:$J,0)),2),0)</f>
        <v>0</v>
      </c>
      <c r="H1161" s="49" t="str">
        <f aca="false">IF(ROUND($G1161,2)&gt;0,ROUND($G1161,2),"")</f>
        <v/>
      </c>
      <c r="I1161" s="49" t="str">
        <f aca="false">IF(ROUND($G1161,2)&lt;0,-ROUND($G1161,2),"")</f>
        <v/>
      </c>
      <c r="J1161" s="20" t="n">
        <f aca="false">IF(ROUND($G1161,2)=0,0,1)</f>
        <v>0</v>
      </c>
      <c r="K1161" s="20" t="str">
        <f aca="false">IF($J1161=0,"",SUM($J$1159:$J1161))</f>
        <v/>
      </c>
      <c r="L1161" s="20" t="str">
        <f aca="false">IF($K1161="","",$A1161*100+$K1161)</f>
        <v/>
      </c>
      <c r="M1161" s="48" t="str">
        <f aca="false">IFERROR(INDEX(输入报销!$D:$D,MATCH($A1161&amp;"-3",输入报销!$J:$J,0))&amp;"","")</f>
        <v/>
      </c>
    </row>
    <row r="1162" customFormat="false" ht="13.5" hidden="false" customHeight="false" outlineLevel="0" collapsed="false">
      <c r="A1162" s="47" t="n">
        <v>90</v>
      </c>
      <c r="C1162" s="48" t="str">
        <f aca="false">助手报销!$C91</f>
        <v/>
      </c>
      <c r="D1162" s="81" t="s">
        <v>482</v>
      </c>
      <c r="E1162" s="48" t="str">
        <f aca="false">IFERROR(INDEX(输入报销!$E:$E,MATCH($A1162&amp;"-4",输入报销!$J:$J,0))&amp;"","")</f>
        <v/>
      </c>
      <c r="F1162" s="48" t="str">
        <f aca="false">IFERROR(INDEX(输入报销!$F:$F,MATCH($A1162&amp;"-4",输入报销!$J:$J,0))&amp;"","")</f>
        <v/>
      </c>
      <c r="G1162" s="49" t="n">
        <f aca="false">IFERROR(ROUND(INDEX(输入报销!$G:$G,MATCH($A1162&amp;"-4",输入报销!$J:$J,0)),2),0)</f>
        <v>0</v>
      </c>
      <c r="H1162" s="49" t="str">
        <f aca="false">IF(ROUND($G1162,2)&gt;0,ROUND($G1162,2),"")</f>
        <v/>
      </c>
      <c r="I1162" s="49" t="str">
        <f aca="false">IF(ROUND($G1162,2)&lt;0,-ROUND($G1162,2),"")</f>
        <v/>
      </c>
      <c r="J1162" s="20" t="n">
        <f aca="false">IF(ROUND($G1162,2)=0,0,1)</f>
        <v>0</v>
      </c>
      <c r="K1162" s="20" t="str">
        <f aca="false">IF($J1162=0,"",SUM($J$1159:$J1162))</f>
        <v/>
      </c>
      <c r="L1162" s="20" t="str">
        <f aca="false">IF($K1162="","",$A1162*100+$K1162)</f>
        <v/>
      </c>
      <c r="M1162" s="48" t="str">
        <f aca="false">IFERROR(INDEX(输入报销!$D:$D,MATCH($A1162&amp;"-4",输入报销!$J:$J,0))&amp;"","")</f>
        <v/>
      </c>
    </row>
    <row r="1163" customFormat="false" ht="13.5" hidden="false" customHeight="false" outlineLevel="0" collapsed="false">
      <c r="A1163" s="47" t="n">
        <v>90</v>
      </c>
      <c r="C1163" s="48" t="str">
        <f aca="false">助手报销!$C91</f>
        <v/>
      </c>
      <c r="D1163" s="81" t="s">
        <v>483</v>
      </c>
      <c r="E1163" s="48" t="str">
        <f aca="false">IFERROR(INDEX(输入报销!$E:$E,MATCH($A1163&amp;"-5",输入报销!$J:$J,0))&amp;"","")</f>
        <v/>
      </c>
      <c r="F1163" s="48" t="str">
        <f aca="false">IFERROR(INDEX(输入报销!$F:$F,MATCH($A1163&amp;"-5",输入报销!$J:$J,0))&amp;"","")</f>
        <v/>
      </c>
      <c r="G1163" s="49" t="n">
        <f aca="false">IFERROR(ROUND(INDEX(输入报销!$G:$G,MATCH($A1163&amp;"-5",输入报销!$J:$J,0)),2),0)</f>
        <v>0</v>
      </c>
      <c r="H1163" s="49" t="str">
        <f aca="false">IF(ROUND($G1163,2)&gt;0,ROUND($G1163,2),"")</f>
        <v/>
      </c>
      <c r="I1163" s="49" t="str">
        <f aca="false">IF(ROUND($G1163,2)&lt;0,-ROUND($G1163,2),"")</f>
        <v/>
      </c>
      <c r="J1163" s="20" t="n">
        <f aca="false">IF(ROUND($G1163,2)=0,0,1)</f>
        <v>0</v>
      </c>
      <c r="K1163" s="20" t="str">
        <f aca="false">IF($J1163=0,"",SUM($J$1159:$J1163))</f>
        <v/>
      </c>
      <c r="L1163" s="20" t="str">
        <f aca="false">IF($K1163="","",$A1163*100+$K1163)</f>
        <v/>
      </c>
      <c r="M1163" s="48" t="str">
        <f aca="false">IFERROR(INDEX(输入报销!$D:$D,MATCH($A1163&amp;"-5",输入报销!$J:$J,0))&amp;"","")</f>
        <v/>
      </c>
    </row>
    <row r="1164" customFormat="false" ht="13.5" hidden="false" customHeight="false" outlineLevel="0" collapsed="false">
      <c r="A1164" s="47" t="n">
        <v>90</v>
      </c>
      <c r="C1164" s="48" t="str">
        <f aca="false">助手报销!$C91</f>
        <v/>
      </c>
      <c r="D1164" s="81" t="s">
        <v>484</v>
      </c>
      <c r="E1164" s="48" t="str">
        <f aca="false">IFERROR(INDEX(输入报销!$E:$E,MATCH($A1164&amp;"-6",输入报销!$J:$J,0))&amp;"","")</f>
        <v/>
      </c>
      <c r="F1164" s="48" t="str">
        <f aca="false">IFERROR(INDEX(输入报销!$F:$F,MATCH($A1164&amp;"-6",输入报销!$J:$J,0))&amp;"","")</f>
        <v/>
      </c>
      <c r="G1164" s="49" t="n">
        <f aca="false">IFERROR(ROUND(INDEX(输入报销!$G:$G,MATCH($A1164&amp;"-6",输入报销!$J:$J,0)),2),0)</f>
        <v>0</v>
      </c>
      <c r="H1164" s="49" t="str">
        <f aca="false">IF(ROUND($G1164,2)&gt;0,ROUND($G1164,2),"")</f>
        <v/>
      </c>
      <c r="I1164" s="49" t="str">
        <f aca="false">IF(ROUND($G1164,2)&lt;0,-ROUND($G1164,2),"")</f>
        <v/>
      </c>
      <c r="J1164" s="20" t="n">
        <f aca="false">IF(ROUND($G1164,2)=0,0,1)</f>
        <v>0</v>
      </c>
      <c r="K1164" s="20" t="str">
        <f aca="false">IF($J1164=0,"",SUM($J$1159:$J1164))</f>
        <v/>
      </c>
      <c r="L1164" s="20" t="str">
        <f aca="false">IF($K1164="","",$A1164*100+$K1164)</f>
        <v/>
      </c>
      <c r="M1164" s="48" t="str">
        <f aca="false">IFERROR(INDEX(输入报销!$D:$D,MATCH($A1164&amp;"-6",输入报销!$J:$J,0))&amp;"","")</f>
        <v/>
      </c>
    </row>
    <row r="1165" customFormat="false" ht="13.5" hidden="false" customHeight="false" outlineLevel="0" collapsed="false">
      <c r="A1165" s="47" t="n">
        <v>90</v>
      </c>
      <c r="C1165" s="48" t="str">
        <f aca="false">助手报销!$C91</f>
        <v/>
      </c>
      <c r="D1165" s="81" t="s">
        <v>485</v>
      </c>
      <c r="E1165" s="48" t="str">
        <f aca="false">IFERROR(INDEX(输入报销!$E:$E,MATCH($A1165&amp;"-7",输入报销!$J:$J,0))&amp;"","")</f>
        <v/>
      </c>
      <c r="F1165" s="48" t="str">
        <f aca="false">IFERROR(INDEX(输入报销!$F:$F,MATCH($A1165&amp;"-7",输入报销!$J:$J,0))&amp;"","")</f>
        <v/>
      </c>
      <c r="G1165" s="49" t="n">
        <f aca="false">IFERROR(ROUND(INDEX(输入报销!$G:$G,MATCH($A1165&amp;"-7",输入报销!$J:$J,0)),2),0)</f>
        <v>0</v>
      </c>
      <c r="H1165" s="49" t="str">
        <f aca="false">IF(ROUND($G1165,2)&gt;0,ROUND($G1165,2),"")</f>
        <v/>
      </c>
      <c r="I1165" s="49" t="str">
        <f aca="false">IF(ROUND($G1165,2)&lt;0,-ROUND($G1165,2),"")</f>
        <v/>
      </c>
      <c r="J1165" s="20" t="n">
        <f aca="false">IF(ROUND($G1165,2)=0,0,1)</f>
        <v>0</v>
      </c>
      <c r="K1165" s="20" t="str">
        <f aca="false">IF($J1165=0,"",SUM($J$1159:$J1165))</f>
        <v/>
      </c>
      <c r="L1165" s="20" t="str">
        <f aca="false">IF($K1165="","",$A1165*100+$K1165)</f>
        <v/>
      </c>
      <c r="M1165" s="48" t="str">
        <f aca="false">IFERROR(INDEX(输入报销!$D:$D,MATCH($A1165&amp;"-7",输入报销!$J:$J,0))&amp;"","")</f>
        <v/>
      </c>
    </row>
    <row r="1166" customFormat="false" ht="13.5" hidden="false" customHeight="false" outlineLevel="0" collapsed="false">
      <c r="A1166" s="47" t="n">
        <v>90</v>
      </c>
      <c r="C1166" s="48" t="str">
        <f aca="false">助手报销!$C91</f>
        <v/>
      </c>
      <c r="D1166" s="81" t="s">
        <v>486</v>
      </c>
      <c r="E1166" s="48" t="str">
        <f aca="false">IFERROR(INDEX(输入报销!$E:$E,MATCH($A1166&amp;"-8",输入报销!$J:$J,0))&amp;"","")</f>
        <v/>
      </c>
      <c r="F1166" s="48" t="str">
        <f aca="false">IFERROR(INDEX(输入报销!$F:$F,MATCH($A1166&amp;"-8",输入报销!$J:$J,0))&amp;"","")</f>
        <v/>
      </c>
      <c r="G1166" s="49" t="n">
        <f aca="false">IFERROR(ROUND(INDEX(输入报销!$G:$G,MATCH($A1166&amp;"-8",输入报销!$J:$J,0)),2),0)</f>
        <v>0</v>
      </c>
      <c r="H1166" s="49" t="str">
        <f aca="false">IF(ROUND($G1166,2)&gt;0,ROUND($G1166,2),"")</f>
        <v/>
      </c>
      <c r="I1166" s="49" t="str">
        <f aca="false">IF(ROUND($G1166,2)&lt;0,-ROUND($G1166,2),"")</f>
        <v/>
      </c>
      <c r="J1166" s="20" t="n">
        <f aca="false">IF(ROUND($G1166,2)=0,0,1)</f>
        <v>0</v>
      </c>
      <c r="K1166" s="20" t="str">
        <f aca="false">IF($J1166=0,"",SUM($J$1159:$J1166))</f>
        <v/>
      </c>
      <c r="L1166" s="20" t="str">
        <f aca="false">IF($K1166="","",$A1166*100+$K1166)</f>
        <v/>
      </c>
      <c r="M1166" s="48" t="str">
        <f aca="false">IFERROR(INDEX(输入报销!$D:$D,MATCH($A1166&amp;"-8",输入报销!$J:$J,0))&amp;"","")</f>
        <v/>
      </c>
    </row>
    <row r="1167" customFormat="false" ht="13.5" hidden="false" customHeight="false" outlineLevel="0" collapsed="false">
      <c r="A1167" s="47" t="n">
        <v>90</v>
      </c>
      <c r="C1167" s="48" t="str">
        <f aca="false">助手报销!$C91</f>
        <v/>
      </c>
      <c r="D1167" s="81" t="s">
        <v>487</v>
      </c>
      <c r="E1167" s="48" t="str">
        <f aca="false">IFERROR(INDEX(输入报销!$E:$E,MATCH($A1167&amp;"-9",输入报销!$J:$J,0))&amp;"","")</f>
        <v/>
      </c>
      <c r="F1167" s="48" t="str">
        <f aca="false">IFERROR(INDEX(输入报销!$F:$F,MATCH($A1167&amp;"-9",输入报销!$J:$J,0))&amp;"","")</f>
        <v/>
      </c>
      <c r="G1167" s="49" t="n">
        <f aca="false">IFERROR(ROUND(INDEX(输入报销!$G:$G,MATCH($A1167&amp;"-9",输入报销!$J:$J,0)),2),0)</f>
        <v>0</v>
      </c>
      <c r="H1167" s="49" t="str">
        <f aca="false">IF(ROUND($G1167,2)&gt;0,ROUND($G1167,2),"")</f>
        <v/>
      </c>
      <c r="I1167" s="49" t="str">
        <f aca="false">IF(ROUND($G1167,2)&lt;0,-ROUND($G1167,2),"")</f>
        <v/>
      </c>
      <c r="J1167" s="20" t="n">
        <f aca="false">IF(ROUND($G1167,2)=0,0,1)</f>
        <v>0</v>
      </c>
      <c r="K1167" s="20" t="str">
        <f aca="false">IF($J1167=0,"",SUM($J$1159:$J1167))</f>
        <v/>
      </c>
      <c r="L1167" s="20" t="str">
        <f aca="false">IF($K1167="","",$A1167*100+$K1167)</f>
        <v/>
      </c>
      <c r="M1167" s="48" t="str">
        <f aca="false">IFERROR(INDEX(输入报销!$D:$D,MATCH($A1167&amp;"-9",输入报销!$J:$J,0))&amp;"","")</f>
        <v/>
      </c>
    </row>
    <row r="1168" customFormat="false" ht="13.5" hidden="false" customHeight="false" outlineLevel="0" collapsed="false">
      <c r="A1168" s="47" t="n">
        <v>90</v>
      </c>
      <c r="C1168" s="48" t="str">
        <f aca="false">助手报销!$C91</f>
        <v/>
      </c>
      <c r="D1168" s="81" t="s">
        <v>488</v>
      </c>
      <c r="E1168" s="48" t="str">
        <f aca="false">IFERROR(INDEX(输入报销!$E:$E,MATCH($A1168&amp;"-10",输入报销!$J:$J,0))&amp;"","")</f>
        <v/>
      </c>
      <c r="F1168" s="48" t="str">
        <f aca="false">IFERROR(INDEX(输入报销!$F:$F,MATCH($A1168&amp;"-10",输入报销!$J:$J,0))&amp;"","")</f>
        <v/>
      </c>
      <c r="G1168" s="49" t="n">
        <f aca="false">IFERROR(ROUND(INDEX(输入报销!$G:$G,MATCH($A1168&amp;"-10",输入报销!$J:$J,0)),2),0)</f>
        <v>0</v>
      </c>
      <c r="H1168" s="49" t="str">
        <f aca="false">IF(ROUND($G1168,2)&gt;0,ROUND($G1168,2),"")</f>
        <v/>
      </c>
      <c r="I1168" s="49" t="str">
        <f aca="false">IF(ROUND($G1168,2)&lt;0,-ROUND($G1168,2),"")</f>
        <v/>
      </c>
      <c r="J1168" s="20" t="n">
        <f aca="false">IF(ROUND($G1168,2)=0,0,1)</f>
        <v>0</v>
      </c>
      <c r="K1168" s="20" t="str">
        <f aca="false">IF($J1168=0,"",SUM($J$1159:$J1168))</f>
        <v/>
      </c>
      <c r="L1168" s="20" t="str">
        <f aca="false">IF($K1168="","",$A1168*100+$K1168)</f>
        <v/>
      </c>
      <c r="M1168" s="48" t="str">
        <f aca="false">IFERROR(INDEX(输入报销!$D:$D,MATCH($A1168&amp;"-10",输入报销!$J:$J,0))&amp;"","")</f>
        <v/>
      </c>
    </row>
    <row r="1169" customFormat="false" ht="13.5" hidden="false" customHeight="false" outlineLevel="0" collapsed="false">
      <c r="A1169" s="47" t="n">
        <v>90</v>
      </c>
      <c r="C1169" s="48" t="str">
        <f aca="false">助手报销!$C91</f>
        <v/>
      </c>
      <c r="D1169" s="81" t="s">
        <v>489</v>
      </c>
      <c r="E1169" s="48" t="str">
        <f aca="false">参数!$B$6</f>
        <v>库存现金</v>
      </c>
      <c r="F1169" s="48" t="str">
        <f aca="false">""</f>
        <v/>
      </c>
      <c r="G1169" s="49" t="n">
        <f aca="false">-ROUND(SUMIFS(输入报销!$G:$G,输入报销!$A:$A,$A1169,输入报销!$H:$H,参数!$B$6),2)</f>
        <v>-0</v>
      </c>
      <c r="H1169" s="49" t="str">
        <f aca="false">IF(ROUND($G1169,2)&gt;0,ROUND($G1169,2),"")</f>
        <v/>
      </c>
      <c r="I1169" s="49" t="str">
        <f aca="false">IF(ROUND($G1169,2)&lt;0,-ROUND($G1169,2),"")</f>
        <v/>
      </c>
      <c r="J1169" s="20" t="n">
        <f aca="false">IF(ROUND($G1169,2)=0,0,1)</f>
        <v>0</v>
      </c>
      <c r="K1169" s="20" t="str">
        <f aca="false">IF($J1169=0,"",SUM($J$1159:$J1169))</f>
        <v/>
      </c>
      <c r="L1169" s="20" t="str">
        <f aca="false">IF($K1169="","",$A1169*100+$K1169)</f>
        <v/>
      </c>
      <c r="M1169" s="48" t="str">
        <f aca="false">""</f>
        <v/>
      </c>
    </row>
    <row r="1170" customFormat="false" ht="13.5" hidden="false" customHeight="false" outlineLevel="0" collapsed="false">
      <c r="A1170" s="47" t="n">
        <v>90</v>
      </c>
      <c r="C1170" s="48" t="str">
        <f aca="false">助手报销!$C91</f>
        <v/>
      </c>
      <c r="D1170" s="81" t="s">
        <v>490</v>
      </c>
      <c r="E1170" s="48" t="str">
        <f aca="false">参数!$B$7</f>
        <v>银行存款</v>
      </c>
      <c r="F1170" s="48" t="str">
        <f aca="false">""</f>
        <v/>
      </c>
      <c r="G1170" s="49" t="n">
        <f aca="false">-ROUND(SUMIFS(输入报销!$G:$G,输入报销!$A:$A,$A1170,输入报销!$H:$H,参数!$B$7),2)</f>
        <v>-0</v>
      </c>
      <c r="H1170" s="49" t="str">
        <f aca="false">IF(ROUND($G1170,2)&gt;0,ROUND($G1170,2),"")</f>
        <v/>
      </c>
      <c r="I1170" s="49" t="str">
        <f aca="false">IF(ROUND($G1170,2)&lt;0,-ROUND($G1170,2),"")</f>
        <v/>
      </c>
      <c r="J1170" s="20" t="n">
        <f aca="false">IF(ROUND($G1170,2)=0,0,1)</f>
        <v>0</v>
      </c>
      <c r="K1170" s="20" t="str">
        <f aca="false">IF($J1170=0,"",SUM($J$1159:$J1170))</f>
        <v/>
      </c>
      <c r="L1170" s="20" t="str">
        <f aca="false">IF($K1170="","",$A1170*100+$K1170)</f>
        <v/>
      </c>
      <c r="M1170" s="48" t="str">
        <f aca="false">""</f>
        <v/>
      </c>
    </row>
    <row r="1171" customFormat="false" ht="13.5" hidden="false" customHeight="false" outlineLevel="0" collapsed="false">
      <c r="A1171" s="47" t="n">
        <v>90</v>
      </c>
      <c r="C1171" s="48" t="str">
        <f aca="false">助手报销!$C91</f>
        <v/>
      </c>
      <c r="D1171" s="81" t="s">
        <v>491</v>
      </c>
      <c r="E1171" s="48" t="str">
        <f aca="false">参数!$B$8</f>
        <v>其他应付款</v>
      </c>
      <c r="F1171" s="48" t="str">
        <f aca="false">""</f>
        <v/>
      </c>
      <c r="G1171" s="49" t="n">
        <f aca="false">-ROUND(SUMIFS(输入报销!$G:$G,输入报销!$A:$A,$A1171,输入报销!$H:$H,参数!$B$8),2)</f>
        <v>-0</v>
      </c>
      <c r="H1171" s="49" t="str">
        <f aca="false">IF(ROUND($G1171,2)&gt;0,ROUND($G1171,2),"")</f>
        <v/>
      </c>
      <c r="I1171" s="49" t="str">
        <f aca="false">IF(ROUND($G1171,2)&lt;0,-ROUND($G1171,2),"")</f>
        <v/>
      </c>
      <c r="J1171" s="20" t="n">
        <f aca="false">IF(ROUND($G1171,2)=0,0,1)</f>
        <v>0</v>
      </c>
      <c r="K1171" s="20" t="str">
        <f aca="false">IF($J1171=0,"",SUM($J$1159:$J1171))</f>
        <v/>
      </c>
      <c r="L1171" s="20" t="str">
        <f aca="false">IF($K1171="","",$A1171*100+$K1171)</f>
        <v/>
      </c>
      <c r="M1171" s="48" t="str">
        <f aca="false">""</f>
        <v/>
      </c>
    </row>
    <row r="1172" customFormat="false" ht="13.5" hidden="false" customHeight="false" outlineLevel="0" collapsed="false">
      <c r="A1172" s="47" t="n">
        <v>91</v>
      </c>
      <c r="C1172" s="48" t="str">
        <f aca="false">助手报销!$C92</f>
        <v/>
      </c>
      <c r="D1172" s="81" t="s">
        <v>479</v>
      </c>
      <c r="E1172" s="48" t="str">
        <f aca="false">IFERROR(INDEX(输入报销!$E:$E,MATCH($A1172&amp;"-1",输入报销!$J:$J,0))&amp;"","")</f>
        <v/>
      </c>
      <c r="F1172" s="48" t="str">
        <f aca="false">IFERROR(INDEX(输入报销!$F:$F,MATCH($A1172&amp;"-1",输入报销!$J:$J,0))&amp;"","")</f>
        <v/>
      </c>
      <c r="G1172" s="49" t="n">
        <f aca="false">IFERROR(ROUND(INDEX(输入报销!$G:$G,MATCH($A1172&amp;"-1",输入报销!$J:$J,0)),2),0)</f>
        <v>0</v>
      </c>
      <c r="H1172" s="49" t="str">
        <f aca="false">IF(ROUND($G1172,2)&gt;0,ROUND($G1172,2),"")</f>
        <v/>
      </c>
      <c r="I1172" s="49" t="str">
        <f aca="false">IF(ROUND($G1172,2)&lt;0,-ROUND($G1172,2),"")</f>
        <v/>
      </c>
      <c r="J1172" s="20" t="n">
        <f aca="false">IF(ROUND($G1172,2)=0,0,1)</f>
        <v>0</v>
      </c>
      <c r="K1172" s="20" t="str">
        <f aca="false">IF($J1172=0,"",SUM($J$1172:$J1172))</f>
        <v/>
      </c>
      <c r="L1172" s="20" t="str">
        <f aca="false">IF($K1172="","",$A1172*100+$K1172)</f>
        <v/>
      </c>
      <c r="M1172" s="48" t="str">
        <f aca="false">IFERROR(INDEX(输入报销!$D:$D,MATCH($A1172&amp;"-1",输入报销!$J:$J,0))&amp;"","")</f>
        <v/>
      </c>
    </row>
    <row r="1173" customFormat="false" ht="13.5" hidden="false" customHeight="false" outlineLevel="0" collapsed="false">
      <c r="A1173" s="47" t="n">
        <v>91</v>
      </c>
      <c r="C1173" s="48" t="str">
        <f aca="false">助手报销!$C92</f>
        <v/>
      </c>
      <c r="D1173" s="81" t="s">
        <v>480</v>
      </c>
      <c r="E1173" s="48" t="str">
        <f aca="false">IFERROR(INDEX(输入报销!$E:$E,MATCH($A1173&amp;"-2",输入报销!$J:$J,0))&amp;"","")</f>
        <v/>
      </c>
      <c r="F1173" s="48" t="str">
        <f aca="false">IFERROR(INDEX(输入报销!$F:$F,MATCH($A1173&amp;"-2",输入报销!$J:$J,0))&amp;"","")</f>
        <v/>
      </c>
      <c r="G1173" s="49" t="n">
        <f aca="false">IFERROR(ROUND(INDEX(输入报销!$G:$G,MATCH($A1173&amp;"-2",输入报销!$J:$J,0)),2),0)</f>
        <v>0</v>
      </c>
      <c r="H1173" s="49" t="str">
        <f aca="false">IF(ROUND($G1173,2)&gt;0,ROUND($G1173,2),"")</f>
        <v/>
      </c>
      <c r="I1173" s="49" t="str">
        <f aca="false">IF(ROUND($G1173,2)&lt;0,-ROUND($G1173,2),"")</f>
        <v/>
      </c>
      <c r="J1173" s="20" t="n">
        <f aca="false">IF(ROUND($G1173,2)=0,0,1)</f>
        <v>0</v>
      </c>
      <c r="K1173" s="20" t="str">
        <f aca="false">IF($J1173=0,"",SUM($J$1172:$J1173))</f>
        <v/>
      </c>
      <c r="L1173" s="20" t="str">
        <f aca="false">IF($K1173="","",$A1173*100+$K1173)</f>
        <v/>
      </c>
      <c r="M1173" s="48" t="str">
        <f aca="false">IFERROR(INDEX(输入报销!$D:$D,MATCH($A1173&amp;"-2",输入报销!$J:$J,0))&amp;"","")</f>
        <v/>
      </c>
    </row>
    <row r="1174" customFormat="false" ht="13.5" hidden="false" customHeight="false" outlineLevel="0" collapsed="false">
      <c r="A1174" s="47" t="n">
        <v>91</v>
      </c>
      <c r="C1174" s="48" t="str">
        <f aca="false">助手报销!$C92</f>
        <v/>
      </c>
      <c r="D1174" s="81" t="s">
        <v>481</v>
      </c>
      <c r="E1174" s="48" t="str">
        <f aca="false">IFERROR(INDEX(输入报销!$E:$E,MATCH($A1174&amp;"-3",输入报销!$J:$J,0))&amp;"","")</f>
        <v/>
      </c>
      <c r="F1174" s="48" t="str">
        <f aca="false">IFERROR(INDEX(输入报销!$F:$F,MATCH($A1174&amp;"-3",输入报销!$J:$J,0))&amp;"","")</f>
        <v/>
      </c>
      <c r="G1174" s="49" t="n">
        <f aca="false">IFERROR(ROUND(INDEX(输入报销!$G:$G,MATCH($A1174&amp;"-3",输入报销!$J:$J,0)),2),0)</f>
        <v>0</v>
      </c>
      <c r="H1174" s="49" t="str">
        <f aca="false">IF(ROUND($G1174,2)&gt;0,ROUND($G1174,2),"")</f>
        <v/>
      </c>
      <c r="I1174" s="49" t="str">
        <f aca="false">IF(ROUND($G1174,2)&lt;0,-ROUND($G1174,2),"")</f>
        <v/>
      </c>
      <c r="J1174" s="20" t="n">
        <f aca="false">IF(ROUND($G1174,2)=0,0,1)</f>
        <v>0</v>
      </c>
      <c r="K1174" s="20" t="str">
        <f aca="false">IF($J1174=0,"",SUM($J$1172:$J1174))</f>
        <v/>
      </c>
      <c r="L1174" s="20" t="str">
        <f aca="false">IF($K1174="","",$A1174*100+$K1174)</f>
        <v/>
      </c>
      <c r="M1174" s="48" t="str">
        <f aca="false">IFERROR(INDEX(输入报销!$D:$D,MATCH($A1174&amp;"-3",输入报销!$J:$J,0))&amp;"","")</f>
        <v/>
      </c>
    </row>
    <row r="1175" customFormat="false" ht="13.5" hidden="false" customHeight="false" outlineLevel="0" collapsed="false">
      <c r="A1175" s="47" t="n">
        <v>91</v>
      </c>
      <c r="C1175" s="48" t="str">
        <f aca="false">助手报销!$C92</f>
        <v/>
      </c>
      <c r="D1175" s="81" t="s">
        <v>482</v>
      </c>
      <c r="E1175" s="48" t="str">
        <f aca="false">IFERROR(INDEX(输入报销!$E:$E,MATCH($A1175&amp;"-4",输入报销!$J:$J,0))&amp;"","")</f>
        <v/>
      </c>
      <c r="F1175" s="48" t="str">
        <f aca="false">IFERROR(INDEX(输入报销!$F:$F,MATCH($A1175&amp;"-4",输入报销!$J:$J,0))&amp;"","")</f>
        <v/>
      </c>
      <c r="G1175" s="49" t="n">
        <f aca="false">IFERROR(ROUND(INDEX(输入报销!$G:$G,MATCH($A1175&amp;"-4",输入报销!$J:$J,0)),2),0)</f>
        <v>0</v>
      </c>
      <c r="H1175" s="49" t="str">
        <f aca="false">IF(ROUND($G1175,2)&gt;0,ROUND($G1175,2),"")</f>
        <v/>
      </c>
      <c r="I1175" s="49" t="str">
        <f aca="false">IF(ROUND($G1175,2)&lt;0,-ROUND($G1175,2),"")</f>
        <v/>
      </c>
      <c r="J1175" s="20" t="n">
        <f aca="false">IF(ROUND($G1175,2)=0,0,1)</f>
        <v>0</v>
      </c>
      <c r="K1175" s="20" t="str">
        <f aca="false">IF($J1175=0,"",SUM($J$1172:$J1175))</f>
        <v/>
      </c>
      <c r="L1175" s="20" t="str">
        <f aca="false">IF($K1175="","",$A1175*100+$K1175)</f>
        <v/>
      </c>
      <c r="M1175" s="48" t="str">
        <f aca="false">IFERROR(INDEX(输入报销!$D:$D,MATCH($A1175&amp;"-4",输入报销!$J:$J,0))&amp;"","")</f>
        <v/>
      </c>
    </row>
    <row r="1176" customFormat="false" ht="13.5" hidden="false" customHeight="false" outlineLevel="0" collapsed="false">
      <c r="A1176" s="47" t="n">
        <v>91</v>
      </c>
      <c r="C1176" s="48" t="str">
        <f aca="false">助手报销!$C92</f>
        <v/>
      </c>
      <c r="D1176" s="81" t="s">
        <v>483</v>
      </c>
      <c r="E1176" s="48" t="str">
        <f aca="false">IFERROR(INDEX(输入报销!$E:$E,MATCH($A1176&amp;"-5",输入报销!$J:$J,0))&amp;"","")</f>
        <v/>
      </c>
      <c r="F1176" s="48" t="str">
        <f aca="false">IFERROR(INDEX(输入报销!$F:$F,MATCH($A1176&amp;"-5",输入报销!$J:$J,0))&amp;"","")</f>
        <v/>
      </c>
      <c r="G1176" s="49" t="n">
        <f aca="false">IFERROR(ROUND(INDEX(输入报销!$G:$G,MATCH($A1176&amp;"-5",输入报销!$J:$J,0)),2),0)</f>
        <v>0</v>
      </c>
      <c r="H1176" s="49" t="str">
        <f aca="false">IF(ROUND($G1176,2)&gt;0,ROUND($G1176,2),"")</f>
        <v/>
      </c>
      <c r="I1176" s="49" t="str">
        <f aca="false">IF(ROUND($G1176,2)&lt;0,-ROUND($G1176,2),"")</f>
        <v/>
      </c>
      <c r="J1176" s="20" t="n">
        <f aca="false">IF(ROUND($G1176,2)=0,0,1)</f>
        <v>0</v>
      </c>
      <c r="K1176" s="20" t="str">
        <f aca="false">IF($J1176=0,"",SUM($J$1172:$J1176))</f>
        <v/>
      </c>
      <c r="L1176" s="20" t="str">
        <f aca="false">IF($K1176="","",$A1176*100+$K1176)</f>
        <v/>
      </c>
      <c r="M1176" s="48" t="str">
        <f aca="false">IFERROR(INDEX(输入报销!$D:$D,MATCH($A1176&amp;"-5",输入报销!$J:$J,0))&amp;"","")</f>
        <v/>
      </c>
    </row>
    <row r="1177" customFormat="false" ht="13.5" hidden="false" customHeight="false" outlineLevel="0" collapsed="false">
      <c r="A1177" s="47" t="n">
        <v>91</v>
      </c>
      <c r="C1177" s="48" t="str">
        <f aca="false">助手报销!$C92</f>
        <v/>
      </c>
      <c r="D1177" s="81" t="s">
        <v>484</v>
      </c>
      <c r="E1177" s="48" t="str">
        <f aca="false">IFERROR(INDEX(输入报销!$E:$E,MATCH($A1177&amp;"-6",输入报销!$J:$J,0))&amp;"","")</f>
        <v/>
      </c>
      <c r="F1177" s="48" t="str">
        <f aca="false">IFERROR(INDEX(输入报销!$F:$F,MATCH($A1177&amp;"-6",输入报销!$J:$J,0))&amp;"","")</f>
        <v/>
      </c>
      <c r="G1177" s="49" t="n">
        <f aca="false">IFERROR(ROUND(INDEX(输入报销!$G:$G,MATCH($A1177&amp;"-6",输入报销!$J:$J,0)),2),0)</f>
        <v>0</v>
      </c>
      <c r="H1177" s="49" t="str">
        <f aca="false">IF(ROUND($G1177,2)&gt;0,ROUND($G1177,2),"")</f>
        <v/>
      </c>
      <c r="I1177" s="49" t="str">
        <f aca="false">IF(ROUND($G1177,2)&lt;0,-ROUND($G1177,2),"")</f>
        <v/>
      </c>
      <c r="J1177" s="20" t="n">
        <f aca="false">IF(ROUND($G1177,2)=0,0,1)</f>
        <v>0</v>
      </c>
      <c r="K1177" s="20" t="str">
        <f aca="false">IF($J1177=0,"",SUM($J$1172:$J1177))</f>
        <v/>
      </c>
      <c r="L1177" s="20" t="str">
        <f aca="false">IF($K1177="","",$A1177*100+$K1177)</f>
        <v/>
      </c>
      <c r="M1177" s="48" t="str">
        <f aca="false">IFERROR(INDEX(输入报销!$D:$D,MATCH($A1177&amp;"-6",输入报销!$J:$J,0))&amp;"","")</f>
        <v/>
      </c>
    </row>
    <row r="1178" customFormat="false" ht="13.5" hidden="false" customHeight="false" outlineLevel="0" collapsed="false">
      <c r="A1178" s="47" t="n">
        <v>91</v>
      </c>
      <c r="C1178" s="48" t="str">
        <f aca="false">助手报销!$C92</f>
        <v/>
      </c>
      <c r="D1178" s="81" t="s">
        <v>485</v>
      </c>
      <c r="E1178" s="48" t="str">
        <f aca="false">IFERROR(INDEX(输入报销!$E:$E,MATCH($A1178&amp;"-7",输入报销!$J:$J,0))&amp;"","")</f>
        <v/>
      </c>
      <c r="F1178" s="48" t="str">
        <f aca="false">IFERROR(INDEX(输入报销!$F:$F,MATCH($A1178&amp;"-7",输入报销!$J:$J,0))&amp;"","")</f>
        <v/>
      </c>
      <c r="G1178" s="49" t="n">
        <f aca="false">IFERROR(ROUND(INDEX(输入报销!$G:$G,MATCH($A1178&amp;"-7",输入报销!$J:$J,0)),2),0)</f>
        <v>0</v>
      </c>
      <c r="H1178" s="49" t="str">
        <f aca="false">IF(ROUND($G1178,2)&gt;0,ROUND($G1178,2),"")</f>
        <v/>
      </c>
      <c r="I1178" s="49" t="str">
        <f aca="false">IF(ROUND($G1178,2)&lt;0,-ROUND($G1178,2),"")</f>
        <v/>
      </c>
      <c r="J1178" s="20" t="n">
        <f aca="false">IF(ROUND($G1178,2)=0,0,1)</f>
        <v>0</v>
      </c>
      <c r="K1178" s="20" t="str">
        <f aca="false">IF($J1178=0,"",SUM($J$1172:$J1178))</f>
        <v/>
      </c>
      <c r="L1178" s="20" t="str">
        <f aca="false">IF($K1178="","",$A1178*100+$K1178)</f>
        <v/>
      </c>
      <c r="M1178" s="48" t="str">
        <f aca="false">IFERROR(INDEX(输入报销!$D:$D,MATCH($A1178&amp;"-7",输入报销!$J:$J,0))&amp;"","")</f>
        <v/>
      </c>
    </row>
    <row r="1179" customFormat="false" ht="13.5" hidden="false" customHeight="false" outlineLevel="0" collapsed="false">
      <c r="A1179" s="47" t="n">
        <v>91</v>
      </c>
      <c r="C1179" s="48" t="str">
        <f aca="false">助手报销!$C92</f>
        <v/>
      </c>
      <c r="D1179" s="81" t="s">
        <v>486</v>
      </c>
      <c r="E1179" s="48" t="str">
        <f aca="false">IFERROR(INDEX(输入报销!$E:$E,MATCH($A1179&amp;"-8",输入报销!$J:$J,0))&amp;"","")</f>
        <v/>
      </c>
      <c r="F1179" s="48" t="str">
        <f aca="false">IFERROR(INDEX(输入报销!$F:$F,MATCH($A1179&amp;"-8",输入报销!$J:$J,0))&amp;"","")</f>
        <v/>
      </c>
      <c r="G1179" s="49" t="n">
        <f aca="false">IFERROR(ROUND(INDEX(输入报销!$G:$G,MATCH($A1179&amp;"-8",输入报销!$J:$J,0)),2),0)</f>
        <v>0</v>
      </c>
      <c r="H1179" s="49" t="str">
        <f aca="false">IF(ROUND($G1179,2)&gt;0,ROUND($G1179,2),"")</f>
        <v/>
      </c>
      <c r="I1179" s="49" t="str">
        <f aca="false">IF(ROUND($G1179,2)&lt;0,-ROUND($G1179,2),"")</f>
        <v/>
      </c>
      <c r="J1179" s="20" t="n">
        <f aca="false">IF(ROUND($G1179,2)=0,0,1)</f>
        <v>0</v>
      </c>
      <c r="K1179" s="20" t="str">
        <f aca="false">IF($J1179=0,"",SUM($J$1172:$J1179))</f>
        <v/>
      </c>
      <c r="L1179" s="20" t="str">
        <f aca="false">IF($K1179="","",$A1179*100+$K1179)</f>
        <v/>
      </c>
      <c r="M1179" s="48" t="str">
        <f aca="false">IFERROR(INDEX(输入报销!$D:$D,MATCH($A1179&amp;"-8",输入报销!$J:$J,0))&amp;"","")</f>
        <v/>
      </c>
    </row>
    <row r="1180" customFormat="false" ht="13.5" hidden="false" customHeight="false" outlineLevel="0" collapsed="false">
      <c r="A1180" s="47" t="n">
        <v>91</v>
      </c>
      <c r="C1180" s="48" t="str">
        <f aca="false">助手报销!$C92</f>
        <v/>
      </c>
      <c r="D1180" s="81" t="s">
        <v>487</v>
      </c>
      <c r="E1180" s="48" t="str">
        <f aca="false">IFERROR(INDEX(输入报销!$E:$E,MATCH($A1180&amp;"-9",输入报销!$J:$J,0))&amp;"","")</f>
        <v/>
      </c>
      <c r="F1180" s="48" t="str">
        <f aca="false">IFERROR(INDEX(输入报销!$F:$F,MATCH($A1180&amp;"-9",输入报销!$J:$J,0))&amp;"","")</f>
        <v/>
      </c>
      <c r="G1180" s="49" t="n">
        <f aca="false">IFERROR(ROUND(INDEX(输入报销!$G:$G,MATCH($A1180&amp;"-9",输入报销!$J:$J,0)),2),0)</f>
        <v>0</v>
      </c>
      <c r="H1180" s="49" t="str">
        <f aca="false">IF(ROUND($G1180,2)&gt;0,ROUND($G1180,2),"")</f>
        <v/>
      </c>
      <c r="I1180" s="49" t="str">
        <f aca="false">IF(ROUND($G1180,2)&lt;0,-ROUND($G1180,2),"")</f>
        <v/>
      </c>
      <c r="J1180" s="20" t="n">
        <f aca="false">IF(ROUND($G1180,2)=0,0,1)</f>
        <v>0</v>
      </c>
      <c r="K1180" s="20" t="str">
        <f aca="false">IF($J1180=0,"",SUM($J$1172:$J1180))</f>
        <v/>
      </c>
      <c r="L1180" s="20" t="str">
        <f aca="false">IF($K1180="","",$A1180*100+$K1180)</f>
        <v/>
      </c>
      <c r="M1180" s="48" t="str">
        <f aca="false">IFERROR(INDEX(输入报销!$D:$D,MATCH($A1180&amp;"-9",输入报销!$J:$J,0))&amp;"","")</f>
        <v/>
      </c>
    </row>
    <row r="1181" customFormat="false" ht="13.5" hidden="false" customHeight="false" outlineLevel="0" collapsed="false">
      <c r="A1181" s="47" t="n">
        <v>91</v>
      </c>
      <c r="C1181" s="48" t="str">
        <f aca="false">助手报销!$C92</f>
        <v/>
      </c>
      <c r="D1181" s="81" t="s">
        <v>488</v>
      </c>
      <c r="E1181" s="48" t="str">
        <f aca="false">IFERROR(INDEX(输入报销!$E:$E,MATCH($A1181&amp;"-10",输入报销!$J:$J,0))&amp;"","")</f>
        <v/>
      </c>
      <c r="F1181" s="48" t="str">
        <f aca="false">IFERROR(INDEX(输入报销!$F:$F,MATCH($A1181&amp;"-10",输入报销!$J:$J,0))&amp;"","")</f>
        <v/>
      </c>
      <c r="G1181" s="49" t="n">
        <f aca="false">IFERROR(ROUND(INDEX(输入报销!$G:$G,MATCH($A1181&amp;"-10",输入报销!$J:$J,0)),2),0)</f>
        <v>0</v>
      </c>
      <c r="H1181" s="49" t="str">
        <f aca="false">IF(ROUND($G1181,2)&gt;0,ROUND($G1181,2),"")</f>
        <v/>
      </c>
      <c r="I1181" s="49" t="str">
        <f aca="false">IF(ROUND($G1181,2)&lt;0,-ROUND($G1181,2),"")</f>
        <v/>
      </c>
      <c r="J1181" s="20" t="n">
        <f aca="false">IF(ROUND($G1181,2)=0,0,1)</f>
        <v>0</v>
      </c>
      <c r="K1181" s="20" t="str">
        <f aca="false">IF($J1181=0,"",SUM($J$1172:$J1181))</f>
        <v/>
      </c>
      <c r="L1181" s="20" t="str">
        <f aca="false">IF($K1181="","",$A1181*100+$K1181)</f>
        <v/>
      </c>
      <c r="M1181" s="48" t="str">
        <f aca="false">IFERROR(INDEX(输入报销!$D:$D,MATCH($A1181&amp;"-10",输入报销!$J:$J,0))&amp;"","")</f>
        <v/>
      </c>
    </row>
    <row r="1182" customFormat="false" ht="13.5" hidden="false" customHeight="false" outlineLevel="0" collapsed="false">
      <c r="A1182" s="47" t="n">
        <v>91</v>
      </c>
      <c r="C1182" s="48" t="str">
        <f aca="false">助手报销!$C92</f>
        <v/>
      </c>
      <c r="D1182" s="81" t="s">
        <v>489</v>
      </c>
      <c r="E1182" s="48" t="str">
        <f aca="false">参数!$B$6</f>
        <v>库存现金</v>
      </c>
      <c r="F1182" s="48" t="str">
        <f aca="false">""</f>
        <v/>
      </c>
      <c r="G1182" s="49" t="n">
        <f aca="false">-ROUND(SUMIFS(输入报销!$G:$G,输入报销!$A:$A,$A1182,输入报销!$H:$H,参数!$B$6),2)</f>
        <v>-0</v>
      </c>
      <c r="H1182" s="49" t="str">
        <f aca="false">IF(ROUND($G1182,2)&gt;0,ROUND($G1182,2),"")</f>
        <v/>
      </c>
      <c r="I1182" s="49" t="str">
        <f aca="false">IF(ROUND($G1182,2)&lt;0,-ROUND($G1182,2),"")</f>
        <v/>
      </c>
      <c r="J1182" s="20" t="n">
        <f aca="false">IF(ROUND($G1182,2)=0,0,1)</f>
        <v>0</v>
      </c>
      <c r="K1182" s="20" t="str">
        <f aca="false">IF($J1182=0,"",SUM($J$1172:$J1182))</f>
        <v/>
      </c>
      <c r="L1182" s="20" t="str">
        <f aca="false">IF($K1182="","",$A1182*100+$K1182)</f>
        <v/>
      </c>
      <c r="M1182" s="48" t="str">
        <f aca="false">""</f>
        <v/>
      </c>
    </row>
    <row r="1183" customFormat="false" ht="13.5" hidden="false" customHeight="false" outlineLevel="0" collapsed="false">
      <c r="A1183" s="47" t="n">
        <v>91</v>
      </c>
      <c r="C1183" s="48" t="str">
        <f aca="false">助手报销!$C92</f>
        <v/>
      </c>
      <c r="D1183" s="81" t="s">
        <v>490</v>
      </c>
      <c r="E1183" s="48" t="str">
        <f aca="false">参数!$B$7</f>
        <v>银行存款</v>
      </c>
      <c r="F1183" s="48" t="str">
        <f aca="false">""</f>
        <v/>
      </c>
      <c r="G1183" s="49" t="n">
        <f aca="false">-ROUND(SUMIFS(输入报销!$G:$G,输入报销!$A:$A,$A1183,输入报销!$H:$H,参数!$B$7),2)</f>
        <v>-0</v>
      </c>
      <c r="H1183" s="49" t="str">
        <f aca="false">IF(ROUND($G1183,2)&gt;0,ROUND($G1183,2),"")</f>
        <v/>
      </c>
      <c r="I1183" s="49" t="str">
        <f aca="false">IF(ROUND($G1183,2)&lt;0,-ROUND($G1183,2),"")</f>
        <v/>
      </c>
      <c r="J1183" s="20" t="n">
        <f aca="false">IF(ROUND($G1183,2)=0,0,1)</f>
        <v>0</v>
      </c>
      <c r="K1183" s="20" t="str">
        <f aca="false">IF($J1183=0,"",SUM($J$1172:$J1183))</f>
        <v/>
      </c>
      <c r="L1183" s="20" t="str">
        <f aca="false">IF($K1183="","",$A1183*100+$K1183)</f>
        <v/>
      </c>
      <c r="M1183" s="48" t="str">
        <f aca="false">""</f>
        <v/>
      </c>
    </row>
    <row r="1184" customFormat="false" ht="13.5" hidden="false" customHeight="false" outlineLevel="0" collapsed="false">
      <c r="A1184" s="47" t="n">
        <v>91</v>
      </c>
      <c r="C1184" s="48" t="str">
        <f aca="false">助手报销!$C92</f>
        <v/>
      </c>
      <c r="D1184" s="81" t="s">
        <v>491</v>
      </c>
      <c r="E1184" s="48" t="str">
        <f aca="false">参数!$B$8</f>
        <v>其他应付款</v>
      </c>
      <c r="F1184" s="48" t="str">
        <f aca="false">""</f>
        <v/>
      </c>
      <c r="G1184" s="49" t="n">
        <f aca="false">-ROUND(SUMIFS(输入报销!$G:$G,输入报销!$A:$A,$A1184,输入报销!$H:$H,参数!$B$8),2)</f>
        <v>-0</v>
      </c>
      <c r="H1184" s="49" t="str">
        <f aca="false">IF(ROUND($G1184,2)&gt;0,ROUND($G1184,2),"")</f>
        <v/>
      </c>
      <c r="I1184" s="49" t="str">
        <f aca="false">IF(ROUND($G1184,2)&lt;0,-ROUND($G1184,2),"")</f>
        <v/>
      </c>
      <c r="J1184" s="20" t="n">
        <f aca="false">IF(ROUND($G1184,2)=0,0,1)</f>
        <v>0</v>
      </c>
      <c r="K1184" s="20" t="str">
        <f aca="false">IF($J1184=0,"",SUM($J$1172:$J1184))</f>
        <v/>
      </c>
      <c r="L1184" s="20" t="str">
        <f aca="false">IF($K1184="","",$A1184*100+$K1184)</f>
        <v/>
      </c>
      <c r="M1184" s="48" t="str">
        <f aca="false">""</f>
        <v/>
      </c>
    </row>
    <row r="1185" customFormat="false" ht="13.5" hidden="false" customHeight="false" outlineLevel="0" collapsed="false">
      <c r="A1185" s="47" t="n">
        <v>92</v>
      </c>
      <c r="C1185" s="48" t="str">
        <f aca="false">助手报销!$C93</f>
        <v/>
      </c>
      <c r="D1185" s="81" t="s">
        <v>479</v>
      </c>
      <c r="E1185" s="48" t="str">
        <f aca="false">IFERROR(INDEX(输入报销!$E:$E,MATCH($A1185&amp;"-1",输入报销!$J:$J,0))&amp;"","")</f>
        <v/>
      </c>
      <c r="F1185" s="48" t="str">
        <f aca="false">IFERROR(INDEX(输入报销!$F:$F,MATCH($A1185&amp;"-1",输入报销!$J:$J,0))&amp;"","")</f>
        <v/>
      </c>
      <c r="G1185" s="49" t="n">
        <f aca="false">IFERROR(ROUND(INDEX(输入报销!$G:$G,MATCH($A1185&amp;"-1",输入报销!$J:$J,0)),2),0)</f>
        <v>0</v>
      </c>
      <c r="H1185" s="49" t="str">
        <f aca="false">IF(ROUND($G1185,2)&gt;0,ROUND($G1185,2),"")</f>
        <v/>
      </c>
      <c r="I1185" s="49" t="str">
        <f aca="false">IF(ROUND($G1185,2)&lt;0,-ROUND($G1185,2),"")</f>
        <v/>
      </c>
      <c r="J1185" s="20" t="n">
        <f aca="false">IF(ROUND($G1185,2)=0,0,1)</f>
        <v>0</v>
      </c>
      <c r="K1185" s="20" t="str">
        <f aca="false">IF($J1185=0,"",SUM($J$1185:$J1185))</f>
        <v/>
      </c>
      <c r="L1185" s="20" t="str">
        <f aca="false">IF($K1185="","",$A1185*100+$K1185)</f>
        <v/>
      </c>
      <c r="M1185" s="48" t="str">
        <f aca="false">IFERROR(INDEX(输入报销!$D:$D,MATCH($A1185&amp;"-1",输入报销!$J:$J,0))&amp;"","")</f>
        <v/>
      </c>
    </row>
    <row r="1186" customFormat="false" ht="13.5" hidden="false" customHeight="false" outlineLevel="0" collapsed="false">
      <c r="A1186" s="47" t="n">
        <v>92</v>
      </c>
      <c r="C1186" s="48" t="str">
        <f aca="false">助手报销!$C93</f>
        <v/>
      </c>
      <c r="D1186" s="81" t="s">
        <v>480</v>
      </c>
      <c r="E1186" s="48" t="str">
        <f aca="false">IFERROR(INDEX(输入报销!$E:$E,MATCH($A1186&amp;"-2",输入报销!$J:$J,0))&amp;"","")</f>
        <v/>
      </c>
      <c r="F1186" s="48" t="str">
        <f aca="false">IFERROR(INDEX(输入报销!$F:$F,MATCH($A1186&amp;"-2",输入报销!$J:$J,0))&amp;"","")</f>
        <v/>
      </c>
      <c r="G1186" s="49" t="n">
        <f aca="false">IFERROR(ROUND(INDEX(输入报销!$G:$G,MATCH($A1186&amp;"-2",输入报销!$J:$J,0)),2),0)</f>
        <v>0</v>
      </c>
      <c r="H1186" s="49" t="str">
        <f aca="false">IF(ROUND($G1186,2)&gt;0,ROUND($G1186,2),"")</f>
        <v/>
      </c>
      <c r="I1186" s="49" t="str">
        <f aca="false">IF(ROUND($G1186,2)&lt;0,-ROUND($G1186,2),"")</f>
        <v/>
      </c>
      <c r="J1186" s="20" t="n">
        <f aca="false">IF(ROUND($G1186,2)=0,0,1)</f>
        <v>0</v>
      </c>
      <c r="K1186" s="20" t="str">
        <f aca="false">IF($J1186=0,"",SUM($J$1185:$J1186))</f>
        <v/>
      </c>
      <c r="L1186" s="20" t="str">
        <f aca="false">IF($K1186="","",$A1186*100+$K1186)</f>
        <v/>
      </c>
      <c r="M1186" s="48" t="str">
        <f aca="false">IFERROR(INDEX(输入报销!$D:$D,MATCH($A1186&amp;"-2",输入报销!$J:$J,0))&amp;"","")</f>
        <v/>
      </c>
    </row>
    <row r="1187" customFormat="false" ht="13.5" hidden="false" customHeight="false" outlineLevel="0" collapsed="false">
      <c r="A1187" s="47" t="n">
        <v>92</v>
      </c>
      <c r="C1187" s="48" t="str">
        <f aca="false">助手报销!$C93</f>
        <v/>
      </c>
      <c r="D1187" s="81" t="s">
        <v>481</v>
      </c>
      <c r="E1187" s="48" t="str">
        <f aca="false">IFERROR(INDEX(输入报销!$E:$E,MATCH($A1187&amp;"-3",输入报销!$J:$J,0))&amp;"","")</f>
        <v/>
      </c>
      <c r="F1187" s="48" t="str">
        <f aca="false">IFERROR(INDEX(输入报销!$F:$F,MATCH($A1187&amp;"-3",输入报销!$J:$J,0))&amp;"","")</f>
        <v/>
      </c>
      <c r="G1187" s="49" t="n">
        <f aca="false">IFERROR(ROUND(INDEX(输入报销!$G:$G,MATCH($A1187&amp;"-3",输入报销!$J:$J,0)),2),0)</f>
        <v>0</v>
      </c>
      <c r="H1187" s="49" t="str">
        <f aca="false">IF(ROUND($G1187,2)&gt;0,ROUND($G1187,2),"")</f>
        <v/>
      </c>
      <c r="I1187" s="49" t="str">
        <f aca="false">IF(ROUND($G1187,2)&lt;0,-ROUND($G1187,2),"")</f>
        <v/>
      </c>
      <c r="J1187" s="20" t="n">
        <f aca="false">IF(ROUND($G1187,2)=0,0,1)</f>
        <v>0</v>
      </c>
      <c r="K1187" s="20" t="str">
        <f aca="false">IF($J1187=0,"",SUM($J$1185:$J1187))</f>
        <v/>
      </c>
      <c r="L1187" s="20" t="str">
        <f aca="false">IF($K1187="","",$A1187*100+$K1187)</f>
        <v/>
      </c>
      <c r="M1187" s="48" t="str">
        <f aca="false">IFERROR(INDEX(输入报销!$D:$D,MATCH($A1187&amp;"-3",输入报销!$J:$J,0))&amp;"","")</f>
        <v/>
      </c>
    </row>
    <row r="1188" customFormat="false" ht="13.5" hidden="false" customHeight="false" outlineLevel="0" collapsed="false">
      <c r="A1188" s="47" t="n">
        <v>92</v>
      </c>
      <c r="C1188" s="48" t="str">
        <f aca="false">助手报销!$C93</f>
        <v/>
      </c>
      <c r="D1188" s="81" t="s">
        <v>482</v>
      </c>
      <c r="E1188" s="48" t="str">
        <f aca="false">IFERROR(INDEX(输入报销!$E:$E,MATCH($A1188&amp;"-4",输入报销!$J:$J,0))&amp;"","")</f>
        <v/>
      </c>
      <c r="F1188" s="48" t="str">
        <f aca="false">IFERROR(INDEX(输入报销!$F:$F,MATCH($A1188&amp;"-4",输入报销!$J:$J,0))&amp;"","")</f>
        <v/>
      </c>
      <c r="G1188" s="49" t="n">
        <f aca="false">IFERROR(ROUND(INDEX(输入报销!$G:$G,MATCH($A1188&amp;"-4",输入报销!$J:$J,0)),2),0)</f>
        <v>0</v>
      </c>
      <c r="H1188" s="49" t="str">
        <f aca="false">IF(ROUND($G1188,2)&gt;0,ROUND($G1188,2),"")</f>
        <v/>
      </c>
      <c r="I1188" s="49" t="str">
        <f aca="false">IF(ROUND($G1188,2)&lt;0,-ROUND($G1188,2),"")</f>
        <v/>
      </c>
      <c r="J1188" s="20" t="n">
        <f aca="false">IF(ROUND($G1188,2)=0,0,1)</f>
        <v>0</v>
      </c>
      <c r="K1188" s="20" t="str">
        <f aca="false">IF($J1188=0,"",SUM($J$1185:$J1188))</f>
        <v/>
      </c>
      <c r="L1188" s="20" t="str">
        <f aca="false">IF($K1188="","",$A1188*100+$K1188)</f>
        <v/>
      </c>
      <c r="M1188" s="48" t="str">
        <f aca="false">IFERROR(INDEX(输入报销!$D:$D,MATCH($A1188&amp;"-4",输入报销!$J:$J,0))&amp;"","")</f>
        <v/>
      </c>
    </row>
    <row r="1189" customFormat="false" ht="13.5" hidden="false" customHeight="false" outlineLevel="0" collapsed="false">
      <c r="A1189" s="47" t="n">
        <v>92</v>
      </c>
      <c r="C1189" s="48" t="str">
        <f aca="false">助手报销!$C93</f>
        <v/>
      </c>
      <c r="D1189" s="81" t="s">
        <v>483</v>
      </c>
      <c r="E1189" s="48" t="str">
        <f aca="false">IFERROR(INDEX(输入报销!$E:$E,MATCH($A1189&amp;"-5",输入报销!$J:$J,0))&amp;"","")</f>
        <v/>
      </c>
      <c r="F1189" s="48" t="str">
        <f aca="false">IFERROR(INDEX(输入报销!$F:$F,MATCH($A1189&amp;"-5",输入报销!$J:$J,0))&amp;"","")</f>
        <v/>
      </c>
      <c r="G1189" s="49" t="n">
        <f aca="false">IFERROR(ROUND(INDEX(输入报销!$G:$G,MATCH($A1189&amp;"-5",输入报销!$J:$J,0)),2),0)</f>
        <v>0</v>
      </c>
      <c r="H1189" s="49" t="str">
        <f aca="false">IF(ROUND($G1189,2)&gt;0,ROUND($G1189,2),"")</f>
        <v/>
      </c>
      <c r="I1189" s="49" t="str">
        <f aca="false">IF(ROUND($G1189,2)&lt;0,-ROUND($G1189,2),"")</f>
        <v/>
      </c>
      <c r="J1189" s="20" t="n">
        <f aca="false">IF(ROUND($G1189,2)=0,0,1)</f>
        <v>0</v>
      </c>
      <c r="K1189" s="20" t="str">
        <f aca="false">IF($J1189=0,"",SUM($J$1185:$J1189))</f>
        <v/>
      </c>
      <c r="L1189" s="20" t="str">
        <f aca="false">IF($K1189="","",$A1189*100+$K1189)</f>
        <v/>
      </c>
      <c r="M1189" s="48" t="str">
        <f aca="false">IFERROR(INDEX(输入报销!$D:$D,MATCH($A1189&amp;"-5",输入报销!$J:$J,0))&amp;"","")</f>
        <v/>
      </c>
    </row>
    <row r="1190" customFormat="false" ht="13.5" hidden="false" customHeight="false" outlineLevel="0" collapsed="false">
      <c r="A1190" s="47" t="n">
        <v>92</v>
      </c>
      <c r="C1190" s="48" t="str">
        <f aca="false">助手报销!$C93</f>
        <v/>
      </c>
      <c r="D1190" s="81" t="s">
        <v>484</v>
      </c>
      <c r="E1190" s="48" t="str">
        <f aca="false">IFERROR(INDEX(输入报销!$E:$E,MATCH($A1190&amp;"-6",输入报销!$J:$J,0))&amp;"","")</f>
        <v/>
      </c>
      <c r="F1190" s="48" t="str">
        <f aca="false">IFERROR(INDEX(输入报销!$F:$F,MATCH($A1190&amp;"-6",输入报销!$J:$J,0))&amp;"","")</f>
        <v/>
      </c>
      <c r="G1190" s="49" t="n">
        <f aca="false">IFERROR(ROUND(INDEX(输入报销!$G:$G,MATCH($A1190&amp;"-6",输入报销!$J:$J,0)),2),0)</f>
        <v>0</v>
      </c>
      <c r="H1190" s="49" t="str">
        <f aca="false">IF(ROUND($G1190,2)&gt;0,ROUND($G1190,2),"")</f>
        <v/>
      </c>
      <c r="I1190" s="49" t="str">
        <f aca="false">IF(ROUND($G1190,2)&lt;0,-ROUND($G1190,2),"")</f>
        <v/>
      </c>
      <c r="J1190" s="20" t="n">
        <f aca="false">IF(ROUND($G1190,2)=0,0,1)</f>
        <v>0</v>
      </c>
      <c r="K1190" s="20" t="str">
        <f aca="false">IF($J1190=0,"",SUM($J$1185:$J1190))</f>
        <v/>
      </c>
      <c r="L1190" s="20" t="str">
        <f aca="false">IF($K1190="","",$A1190*100+$K1190)</f>
        <v/>
      </c>
      <c r="M1190" s="48" t="str">
        <f aca="false">IFERROR(INDEX(输入报销!$D:$D,MATCH($A1190&amp;"-6",输入报销!$J:$J,0))&amp;"","")</f>
        <v/>
      </c>
    </row>
    <row r="1191" customFormat="false" ht="13.5" hidden="false" customHeight="false" outlineLevel="0" collapsed="false">
      <c r="A1191" s="47" t="n">
        <v>92</v>
      </c>
      <c r="C1191" s="48" t="str">
        <f aca="false">助手报销!$C93</f>
        <v/>
      </c>
      <c r="D1191" s="81" t="s">
        <v>485</v>
      </c>
      <c r="E1191" s="48" t="str">
        <f aca="false">IFERROR(INDEX(输入报销!$E:$E,MATCH($A1191&amp;"-7",输入报销!$J:$J,0))&amp;"","")</f>
        <v/>
      </c>
      <c r="F1191" s="48" t="str">
        <f aca="false">IFERROR(INDEX(输入报销!$F:$F,MATCH($A1191&amp;"-7",输入报销!$J:$J,0))&amp;"","")</f>
        <v/>
      </c>
      <c r="G1191" s="49" t="n">
        <f aca="false">IFERROR(ROUND(INDEX(输入报销!$G:$G,MATCH($A1191&amp;"-7",输入报销!$J:$J,0)),2),0)</f>
        <v>0</v>
      </c>
      <c r="H1191" s="49" t="str">
        <f aca="false">IF(ROUND($G1191,2)&gt;0,ROUND($G1191,2),"")</f>
        <v/>
      </c>
      <c r="I1191" s="49" t="str">
        <f aca="false">IF(ROUND($G1191,2)&lt;0,-ROUND($G1191,2),"")</f>
        <v/>
      </c>
      <c r="J1191" s="20" t="n">
        <f aca="false">IF(ROUND($G1191,2)=0,0,1)</f>
        <v>0</v>
      </c>
      <c r="K1191" s="20" t="str">
        <f aca="false">IF($J1191=0,"",SUM($J$1185:$J1191))</f>
        <v/>
      </c>
      <c r="L1191" s="20" t="str">
        <f aca="false">IF($K1191="","",$A1191*100+$K1191)</f>
        <v/>
      </c>
      <c r="M1191" s="48" t="str">
        <f aca="false">IFERROR(INDEX(输入报销!$D:$D,MATCH($A1191&amp;"-7",输入报销!$J:$J,0))&amp;"","")</f>
        <v/>
      </c>
    </row>
    <row r="1192" customFormat="false" ht="13.5" hidden="false" customHeight="false" outlineLevel="0" collapsed="false">
      <c r="A1192" s="47" t="n">
        <v>92</v>
      </c>
      <c r="C1192" s="48" t="str">
        <f aca="false">助手报销!$C93</f>
        <v/>
      </c>
      <c r="D1192" s="81" t="s">
        <v>486</v>
      </c>
      <c r="E1192" s="48" t="str">
        <f aca="false">IFERROR(INDEX(输入报销!$E:$E,MATCH($A1192&amp;"-8",输入报销!$J:$J,0))&amp;"","")</f>
        <v/>
      </c>
      <c r="F1192" s="48" t="str">
        <f aca="false">IFERROR(INDEX(输入报销!$F:$F,MATCH($A1192&amp;"-8",输入报销!$J:$J,0))&amp;"","")</f>
        <v/>
      </c>
      <c r="G1192" s="49" t="n">
        <f aca="false">IFERROR(ROUND(INDEX(输入报销!$G:$G,MATCH($A1192&amp;"-8",输入报销!$J:$J,0)),2),0)</f>
        <v>0</v>
      </c>
      <c r="H1192" s="49" t="str">
        <f aca="false">IF(ROUND($G1192,2)&gt;0,ROUND($G1192,2),"")</f>
        <v/>
      </c>
      <c r="I1192" s="49" t="str">
        <f aca="false">IF(ROUND($G1192,2)&lt;0,-ROUND($G1192,2),"")</f>
        <v/>
      </c>
      <c r="J1192" s="20" t="n">
        <f aca="false">IF(ROUND($G1192,2)=0,0,1)</f>
        <v>0</v>
      </c>
      <c r="K1192" s="20" t="str">
        <f aca="false">IF($J1192=0,"",SUM($J$1185:$J1192))</f>
        <v/>
      </c>
      <c r="L1192" s="20" t="str">
        <f aca="false">IF($K1192="","",$A1192*100+$K1192)</f>
        <v/>
      </c>
      <c r="M1192" s="48" t="str">
        <f aca="false">IFERROR(INDEX(输入报销!$D:$D,MATCH($A1192&amp;"-8",输入报销!$J:$J,0))&amp;"","")</f>
        <v/>
      </c>
    </row>
    <row r="1193" customFormat="false" ht="13.5" hidden="false" customHeight="false" outlineLevel="0" collapsed="false">
      <c r="A1193" s="47" t="n">
        <v>92</v>
      </c>
      <c r="C1193" s="48" t="str">
        <f aca="false">助手报销!$C93</f>
        <v/>
      </c>
      <c r="D1193" s="81" t="s">
        <v>487</v>
      </c>
      <c r="E1193" s="48" t="str">
        <f aca="false">IFERROR(INDEX(输入报销!$E:$E,MATCH($A1193&amp;"-9",输入报销!$J:$J,0))&amp;"","")</f>
        <v/>
      </c>
      <c r="F1193" s="48" t="str">
        <f aca="false">IFERROR(INDEX(输入报销!$F:$F,MATCH($A1193&amp;"-9",输入报销!$J:$J,0))&amp;"","")</f>
        <v/>
      </c>
      <c r="G1193" s="49" t="n">
        <f aca="false">IFERROR(ROUND(INDEX(输入报销!$G:$G,MATCH($A1193&amp;"-9",输入报销!$J:$J,0)),2),0)</f>
        <v>0</v>
      </c>
      <c r="H1193" s="49" t="str">
        <f aca="false">IF(ROUND($G1193,2)&gt;0,ROUND($G1193,2),"")</f>
        <v/>
      </c>
      <c r="I1193" s="49" t="str">
        <f aca="false">IF(ROUND($G1193,2)&lt;0,-ROUND($G1193,2),"")</f>
        <v/>
      </c>
      <c r="J1193" s="20" t="n">
        <f aca="false">IF(ROUND($G1193,2)=0,0,1)</f>
        <v>0</v>
      </c>
      <c r="K1193" s="20" t="str">
        <f aca="false">IF($J1193=0,"",SUM($J$1185:$J1193))</f>
        <v/>
      </c>
      <c r="L1193" s="20" t="str">
        <f aca="false">IF($K1193="","",$A1193*100+$K1193)</f>
        <v/>
      </c>
      <c r="M1193" s="48" t="str">
        <f aca="false">IFERROR(INDEX(输入报销!$D:$D,MATCH($A1193&amp;"-9",输入报销!$J:$J,0))&amp;"","")</f>
        <v/>
      </c>
    </row>
    <row r="1194" customFormat="false" ht="13.5" hidden="false" customHeight="false" outlineLevel="0" collapsed="false">
      <c r="A1194" s="47" t="n">
        <v>92</v>
      </c>
      <c r="C1194" s="48" t="str">
        <f aca="false">助手报销!$C93</f>
        <v/>
      </c>
      <c r="D1194" s="81" t="s">
        <v>488</v>
      </c>
      <c r="E1194" s="48" t="str">
        <f aca="false">IFERROR(INDEX(输入报销!$E:$E,MATCH($A1194&amp;"-10",输入报销!$J:$J,0))&amp;"","")</f>
        <v/>
      </c>
      <c r="F1194" s="48" t="str">
        <f aca="false">IFERROR(INDEX(输入报销!$F:$F,MATCH($A1194&amp;"-10",输入报销!$J:$J,0))&amp;"","")</f>
        <v/>
      </c>
      <c r="G1194" s="49" t="n">
        <f aca="false">IFERROR(ROUND(INDEX(输入报销!$G:$G,MATCH($A1194&amp;"-10",输入报销!$J:$J,0)),2),0)</f>
        <v>0</v>
      </c>
      <c r="H1194" s="49" t="str">
        <f aca="false">IF(ROUND($G1194,2)&gt;0,ROUND($G1194,2),"")</f>
        <v/>
      </c>
      <c r="I1194" s="49" t="str">
        <f aca="false">IF(ROUND($G1194,2)&lt;0,-ROUND($G1194,2),"")</f>
        <v/>
      </c>
      <c r="J1194" s="20" t="n">
        <f aca="false">IF(ROUND($G1194,2)=0,0,1)</f>
        <v>0</v>
      </c>
      <c r="K1194" s="20" t="str">
        <f aca="false">IF($J1194=0,"",SUM($J$1185:$J1194))</f>
        <v/>
      </c>
      <c r="L1194" s="20" t="str">
        <f aca="false">IF($K1194="","",$A1194*100+$K1194)</f>
        <v/>
      </c>
      <c r="M1194" s="48" t="str">
        <f aca="false">IFERROR(INDEX(输入报销!$D:$D,MATCH($A1194&amp;"-10",输入报销!$J:$J,0))&amp;"","")</f>
        <v/>
      </c>
    </row>
    <row r="1195" customFormat="false" ht="13.5" hidden="false" customHeight="false" outlineLevel="0" collapsed="false">
      <c r="A1195" s="47" t="n">
        <v>92</v>
      </c>
      <c r="C1195" s="48" t="str">
        <f aca="false">助手报销!$C93</f>
        <v/>
      </c>
      <c r="D1195" s="81" t="s">
        <v>489</v>
      </c>
      <c r="E1195" s="48" t="str">
        <f aca="false">参数!$B$6</f>
        <v>库存现金</v>
      </c>
      <c r="F1195" s="48" t="str">
        <f aca="false">""</f>
        <v/>
      </c>
      <c r="G1195" s="49" t="n">
        <f aca="false">-ROUND(SUMIFS(输入报销!$G:$G,输入报销!$A:$A,$A1195,输入报销!$H:$H,参数!$B$6),2)</f>
        <v>-0</v>
      </c>
      <c r="H1195" s="49" t="str">
        <f aca="false">IF(ROUND($G1195,2)&gt;0,ROUND($G1195,2),"")</f>
        <v/>
      </c>
      <c r="I1195" s="49" t="str">
        <f aca="false">IF(ROUND($G1195,2)&lt;0,-ROUND($G1195,2),"")</f>
        <v/>
      </c>
      <c r="J1195" s="20" t="n">
        <f aca="false">IF(ROUND($G1195,2)=0,0,1)</f>
        <v>0</v>
      </c>
      <c r="K1195" s="20" t="str">
        <f aca="false">IF($J1195=0,"",SUM($J$1185:$J1195))</f>
        <v/>
      </c>
      <c r="L1195" s="20" t="str">
        <f aca="false">IF($K1195="","",$A1195*100+$K1195)</f>
        <v/>
      </c>
      <c r="M1195" s="48" t="str">
        <f aca="false">""</f>
        <v/>
      </c>
    </row>
    <row r="1196" customFormat="false" ht="13.5" hidden="false" customHeight="false" outlineLevel="0" collapsed="false">
      <c r="A1196" s="47" t="n">
        <v>92</v>
      </c>
      <c r="C1196" s="48" t="str">
        <f aca="false">助手报销!$C93</f>
        <v/>
      </c>
      <c r="D1196" s="81" t="s">
        <v>490</v>
      </c>
      <c r="E1196" s="48" t="str">
        <f aca="false">参数!$B$7</f>
        <v>银行存款</v>
      </c>
      <c r="F1196" s="48" t="str">
        <f aca="false">""</f>
        <v/>
      </c>
      <c r="G1196" s="49" t="n">
        <f aca="false">-ROUND(SUMIFS(输入报销!$G:$G,输入报销!$A:$A,$A1196,输入报销!$H:$H,参数!$B$7),2)</f>
        <v>-0</v>
      </c>
      <c r="H1196" s="49" t="str">
        <f aca="false">IF(ROUND($G1196,2)&gt;0,ROUND($G1196,2),"")</f>
        <v/>
      </c>
      <c r="I1196" s="49" t="str">
        <f aca="false">IF(ROUND($G1196,2)&lt;0,-ROUND($G1196,2),"")</f>
        <v/>
      </c>
      <c r="J1196" s="20" t="n">
        <f aca="false">IF(ROUND($G1196,2)=0,0,1)</f>
        <v>0</v>
      </c>
      <c r="K1196" s="20" t="str">
        <f aca="false">IF($J1196=0,"",SUM($J$1185:$J1196))</f>
        <v/>
      </c>
      <c r="L1196" s="20" t="str">
        <f aca="false">IF($K1196="","",$A1196*100+$K1196)</f>
        <v/>
      </c>
      <c r="M1196" s="48" t="str">
        <f aca="false">""</f>
        <v/>
      </c>
    </row>
    <row r="1197" customFormat="false" ht="13.5" hidden="false" customHeight="false" outlineLevel="0" collapsed="false">
      <c r="A1197" s="47" t="n">
        <v>92</v>
      </c>
      <c r="C1197" s="48" t="str">
        <f aca="false">助手报销!$C93</f>
        <v/>
      </c>
      <c r="D1197" s="81" t="s">
        <v>491</v>
      </c>
      <c r="E1197" s="48" t="str">
        <f aca="false">参数!$B$8</f>
        <v>其他应付款</v>
      </c>
      <c r="F1197" s="48" t="str">
        <f aca="false">""</f>
        <v/>
      </c>
      <c r="G1197" s="49" t="n">
        <f aca="false">-ROUND(SUMIFS(输入报销!$G:$G,输入报销!$A:$A,$A1197,输入报销!$H:$H,参数!$B$8),2)</f>
        <v>-0</v>
      </c>
      <c r="H1197" s="49" t="str">
        <f aca="false">IF(ROUND($G1197,2)&gt;0,ROUND($G1197,2),"")</f>
        <v/>
      </c>
      <c r="I1197" s="49" t="str">
        <f aca="false">IF(ROUND($G1197,2)&lt;0,-ROUND($G1197,2),"")</f>
        <v/>
      </c>
      <c r="J1197" s="20" t="n">
        <f aca="false">IF(ROUND($G1197,2)=0,0,1)</f>
        <v>0</v>
      </c>
      <c r="K1197" s="20" t="str">
        <f aca="false">IF($J1197=0,"",SUM($J$1185:$J1197))</f>
        <v/>
      </c>
      <c r="L1197" s="20" t="str">
        <f aca="false">IF($K1197="","",$A1197*100+$K1197)</f>
        <v/>
      </c>
      <c r="M1197" s="48" t="str">
        <f aca="false">""</f>
        <v/>
      </c>
    </row>
    <row r="1198" customFormat="false" ht="13.5" hidden="false" customHeight="false" outlineLevel="0" collapsed="false">
      <c r="A1198" s="47" t="n">
        <v>93</v>
      </c>
      <c r="C1198" s="48" t="str">
        <f aca="false">助手报销!$C94</f>
        <v/>
      </c>
      <c r="D1198" s="81" t="s">
        <v>479</v>
      </c>
      <c r="E1198" s="48" t="str">
        <f aca="false">IFERROR(INDEX(输入报销!$E:$E,MATCH($A1198&amp;"-1",输入报销!$J:$J,0))&amp;"","")</f>
        <v/>
      </c>
      <c r="F1198" s="48" t="str">
        <f aca="false">IFERROR(INDEX(输入报销!$F:$F,MATCH($A1198&amp;"-1",输入报销!$J:$J,0))&amp;"","")</f>
        <v/>
      </c>
      <c r="G1198" s="49" t="n">
        <f aca="false">IFERROR(ROUND(INDEX(输入报销!$G:$G,MATCH($A1198&amp;"-1",输入报销!$J:$J,0)),2),0)</f>
        <v>0</v>
      </c>
      <c r="H1198" s="49" t="str">
        <f aca="false">IF(ROUND($G1198,2)&gt;0,ROUND($G1198,2),"")</f>
        <v/>
      </c>
      <c r="I1198" s="49" t="str">
        <f aca="false">IF(ROUND($G1198,2)&lt;0,-ROUND($G1198,2),"")</f>
        <v/>
      </c>
      <c r="J1198" s="20" t="n">
        <f aca="false">IF(ROUND($G1198,2)=0,0,1)</f>
        <v>0</v>
      </c>
      <c r="K1198" s="20" t="str">
        <f aca="false">IF($J1198=0,"",SUM($J$1198:$J1198))</f>
        <v/>
      </c>
      <c r="L1198" s="20" t="str">
        <f aca="false">IF($K1198="","",$A1198*100+$K1198)</f>
        <v/>
      </c>
      <c r="M1198" s="48" t="str">
        <f aca="false">IFERROR(INDEX(输入报销!$D:$D,MATCH($A1198&amp;"-1",输入报销!$J:$J,0))&amp;"","")</f>
        <v/>
      </c>
    </row>
    <row r="1199" customFormat="false" ht="13.5" hidden="false" customHeight="false" outlineLevel="0" collapsed="false">
      <c r="A1199" s="47" t="n">
        <v>93</v>
      </c>
      <c r="C1199" s="48" t="str">
        <f aca="false">助手报销!$C94</f>
        <v/>
      </c>
      <c r="D1199" s="81" t="s">
        <v>480</v>
      </c>
      <c r="E1199" s="48" t="str">
        <f aca="false">IFERROR(INDEX(输入报销!$E:$E,MATCH($A1199&amp;"-2",输入报销!$J:$J,0))&amp;"","")</f>
        <v/>
      </c>
      <c r="F1199" s="48" t="str">
        <f aca="false">IFERROR(INDEX(输入报销!$F:$F,MATCH($A1199&amp;"-2",输入报销!$J:$J,0))&amp;"","")</f>
        <v/>
      </c>
      <c r="G1199" s="49" t="n">
        <f aca="false">IFERROR(ROUND(INDEX(输入报销!$G:$G,MATCH($A1199&amp;"-2",输入报销!$J:$J,0)),2),0)</f>
        <v>0</v>
      </c>
      <c r="H1199" s="49" t="str">
        <f aca="false">IF(ROUND($G1199,2)&gt;0,ROUND($G1199,2),"")</f>
        <v/>
      </c>
      <c r="I1199" s="49" t="str">
        <f aca="false">IF(ROUND($G1199,2)&lt;0,-ROUND($G1199,2),"")</f>
        <v/>
      </c>
      <c r="J1199" s="20" t="n">
        <f aca="false">IF(ROUND($G1199,2)=0,0,1)</f>
        <v>0</v>
      </c>
      <c r="K1199" s="20" t="str">
        <f aca="false">IF($J1199=0,"",SUM($J$1198:$J1199))</f>
        <v/>
      </c>
      <c r="L1199" s="20" t="str">
        <f aca="false">IF($K1199="","",$A1199*100+$K1199)</f>
        <v/>
      </c>
      <c r="M1199" s="48" t="str">
        <f aca="false">IFERROR(INDEX(输入报销!$D:$D,MATCH($A1199&amp;"-2",输入报销!$J:$J,0))&amp;"","")</f>
        <v/>
      </c>
    </row>
    <row r="1200" customFormat="false" ht="13.5" hidden="false" customHeight="false" outlineLevel="0" collapsed="false">
      <c r="A1200" s="47" t="n">
        <v>93</v>
      </c>
      <c r="C1200" s="48" t="str">
        <f aca="false">助手报销!$C94</f>
        <v/>
      </c>
      <c r="D1200" s="81" t="s">
        <v>481</v>
      </c>
      <c r="E1200" s="48" t="str">
        <f aca="false">IFERROR(INDEX(输入报销!$E:$E,MATCH($A1200&amp;"-3",输入报销!$J:$J,0))&amp;"","")</f>
        <v/>
      </c>
      <c r="F1200" s="48" t="str">
        <f aca="false">IFERROR(INDEX(输入报销!$F:$F,MATCH($A1200&amp;"-3",输入报销!$J:$J,0))&amp;"","")</f>
        <v/>
      </c>
      <c r="G1200" s="49" t="n">
        <f aca="false">IFERROR(ROUND(INDEX(输入报销!$G:$G,MATCH($A1200&amp;"-3",输入报销!$J:$J,0)),2),0)</f>
        <v>0</v>
      </c>
      <c r="H1200" s="49" t="str">
        <f aca="false">IF(ROUND($G1200,2)&gt;0,ROUND($G1200,2),"")</f>
        <v/>
      </c>
      <c r="I1200" s="49" t="str">
        <f aca="false">IF(ROUND($G1200,2)&lt;0,-ROUND($G1200,2),"")</f>
        <v/>
      </c>
      <c r="J1200" s="20" t="n">
        <f aca="false">IF(ROUND($G1200,2)=0,0,1)</f>
        <v>0</v>
      </c>
      <c r="K1200" s="20" t="str">
        <f aca="false">IF($J1200=0,"",SUM($J$1198:$J1200))</f>
        <v/>
      </c>
      <c r="L1200" s="20" t="str">
        <f aca="false">IF($K1200="","",$A1200*100+$K1200)</f>
        <v/>
      </c>
      <c r="M1200" s="48" t="str">
        <f aca="false">IFERROR(INDEX(输入报销!$D:$D,MATCH($A1200&amp;"-3",输入报销!$J:$J,0))&amp;"","")</f>
        <v/>
      </c>
    </row>
    <row r="1201" customFormat="false" ht="13.5" hidden="false" customHeight="false" outlineLevel="0" collapsed="false">
      <c r="A1201" s="47" t="n">
        <v>93</v>
      </c>
      <c r="C1201" s="48" t="str">
        <f aca="false">助手报销!$C94</f>
        <v/>
      </c>
      <c r="D1201" s="81" t="s">
        <v>482</v>
      </c>
      <c r="E1201" s="48" t="str">
        <f aca="false">IFERROR(INDEX(输入报销!$E:$E,MATCH($A1201&amp;"-4",输入报销!$J:$J,0))&amp;"","")</f>
        <v/>
      </c>
      <c r="F1201" s="48" t="str">
        <f aca="false">IFERROR(INDEX(输入报销!$F:$F,MATCH($A1201&amp;"-4",输入报销!$J:$J,0))&amp;"","")</f>
        <v/>
      </c>
      <c r="G1201" s="49" t="n">
        <f aca="false">IFERROR(ROUND(INDEX(输入报销!$G:$G,MATCH($A1201&amp;"-4",输入报销!$J:$J,0)),2),0)</f>
        <v>0</v>
      </c>
      <c r="H1201" s="49" t="str">
        <f aca="false">IF(ROUND($G1201,2)&gt;0,ROUND($G1201,2),"")</f>
        <v/>
      </c>
      <c r="I1201" s="49" t="str">
        <f aca="false">IF(ROUND($G1201,2)&lt;0,-ROUND($G1201,2),"")</f>
        <v/>
      </c>
      <c r="J1201" s="20" t="n">
        <f aca="false">IF(ROUND($G1201,2)=0,0,1)</f>
        <v>0</v>
      </c>
      <c r="K1201" s="20" t="str">
        <f aca="false">IF($J1201=0,"",SUM($J$1198:$J1201))</f>
        <v/>
      </c>
      <c r="L1201" s="20" t="str">
        <f aca="false">IF($K1201="","",$A1201*100+$K1201)</f>
        <v/>
      </c>
      <c r="M1201" s="48" t="str">
        <f aca="false">IFERROR(INDEX(输入报销!$D:$D,MATCH($A1201&amp;"-4",输入报销!$J:$J,0))&amp;"","")</f>
        <v/>
      </c>
    </row>
    <row r="1202" customFormat="false" ht="13.5" hidden="false" customHeight="false" outlineLevel="0" collapsed="false">
      <c r="A1202" s="47" t="n">
        <v>93</v>
      </c>
      <c r="C1202" s="48" t="str">
        <f aca="false">助手报销!$C94</f>
        <v/>
      </c>
      <c r="D1202" s="81" t="s">
        <v>483</v>
      </c>
      <c r="E1202" s="48" t="str">
        <f aca="false">IFERROR(INDEX(输入报销!$E:$E,MATCH($A1202&amp;"-5",输入报销!$J:$J,0))&amp;"","")</f>
        <v/>
      </c>
      <c r="F1202" s="48" t="str">
        <f aca="false">IFERROR(INDEX(输入报销!$F:$F,MATCH($A1202&amp;"-5",输入报销!$J:$J,0))&amp;"","")</f>
        <v/>
      </c>
      <c r="G1202" s="49" t="n">
        <f aca="false">IFERROR(ROUND(INDEX(输入报销!$G:$G,MATCH($A1202&amp;"-5",输入报销!$J:$J,0)),2),0)</f>
        <v>0</v>
      </c>
      <c r="H1202" s="49" t="str">
        <f aca="false">IF(ROUND($G1202,2)&gt;0,ROUND($G1202,2),"")</f>
        <v/>
      </c>
      <c r="I1202" s="49" t="str">
        <f aca="false">IF(ROUND($G1202,2)&lt;0,-ROUND($G1202,2),"")</f>
        <v/>
      </c>
      <c r="J1202" s="20" t="n">
        <f aca="false">IF(ROUND($G1202,2)=0,0,1)</f>
        <v>0</v>
      </c>
      <c r="K1202" s="20" t="str">
        <f aca="false">IF($J1202=0,"",SUM($J$1198:$J1202))</f>
        <v/>
      </c>
      <c r="L1202" s="20" t="str">
        <f aca="false">IF($K1202="","",$A1202*100+$K1202)</f>
        <v/>
      </c>
      <c r="M1202" s="48" t="str">
        <f aca="false">IFERROR(INDEX(输入报销!$D:$D,MATCH($A1202&amp;"-5",输入报销!$J:$J,0))&amp;"","")</f>
        <v/>
      </c>
    </row>
    <row r="1203" customFormat="false" ht="13.5" hidden="false" customHeight="false" outlineLevel="0" collapsed="false">
      <c r="A1203" s="47" t="n">
        <v>93</v>
      </c>
      <c r="C1203" s="48" t="str">
        <f aca="false">助手报销!$C94</f>
        <v/>
      </c>
      <c r="D1203" s="81" t="s">
        <v>484</v>
      </c>
      <c r="E1203" s="48" t="str">
        <f aca="false">IFERROR(INDEX(输入报销!$E:$E,MATCH($A1203&amp;"-6",输入报销!$J:$J,0))&amp;"","")</f>
        <v/>
      </c>
      <c r="F1203" s="48" t="str">
        <f aca="false">IFERROR(INDEX(输入报销!$F:$F,MATCH($A1203&amp;"-6",输入报销!$J:$J,0))&amp;"","")</f>
        <v/>
      </c>
      <c r="G1203" s="49" t="n">
        <f aca="false">IFERROR(ROUND(INDEX(输入报销!$G:$G,MATCH($A1203&amp;"-6",输入报销!$J:$J,0)),2),0)</f>
        <v>0</v>
      </c>
      <c r="H1203" s="49" t="str">
        <f aca="false">IF(ROUND($G1203,2)&gt;0,ROUND($G1203,2),"")</f>
        <v/>
      </c>
      <c r="I1203" s="49" t="str">
        <f aca="false">IF(ROUND($G1203,2)&lt;0,-ROUND($G1203,2),"")</f>
        <v/>
      </c>
      <c r="J1203" s="20" t="n">
        <f aca="false">IF(ROUND($G1203,2)=0,0,1)</f>
        <v>0</v>
      </c>
      <c r="K1203" s="20" t="str">
        <f aca="false">IF($J1203=0,"",SUM($J$1198:$J1203))</f>
        <v/>
      </c>
      <c r="L1203" s="20" t="str">
        <f aca="false">IF($K1203="","",$A1203*100+$K1203)</f>
        <v/>
      </c>
      <c r="M1203" s="48" t="str">
        <f aca="false">IFERROR(INDEX(输入报销!$D:$D,MATCH($A1203&amp;"-6",输入报销!$J:$J,0))&amp;"","")</f>
        <v/>
      </c>
    </row>
    <row r="1204" customFormat="false" ht="13.5" hidden="false" customHeight="false" outlineLevel="0" collapsed="false">
      <c r="A1204" s="47" t="n">
        <v>93</v>
      </c>
      <c r="C1204" s="48" t="str">
        <f aca="false">助手报销!$C94</f>
        <v/>
      </c>
      <c r="D1204" s="81" t="s">
        <v>485</v>
      </c>
      <c r="E1204" s="48" t="str">
        <f aca="false">IFERROR(INDEX(输入报销!$E:$E,MATCH($A1204&amp;"-7",输入报销!$J:$J,0))&amp;"","")</f>
        <v/>
      </c>
      <c r="F1204" s="48" t="str">
        <f aca="false">IFERROR(INDEX(输入报销!$F:$F,MATCH($A1204&amp;"-7",输入报销!$J:$J,0))&amp;"","")</f>
        <v/>
      </c>
      <c r="G1204" s="49" t="n">
        <f aca="false">IFERROR(ROUND(INDEX(输入报销!$G:$G,MATCH($A1204&amp;"-7",输入报销!$J:$J,0)),2),0)</f>
        <v>0</v>
      </c>
      <c r="H1204" s="49" t="str">
        <f aca="false">IF(ROUND($G1204,2)&gt;0,ROUND($G1204,2),"")</f>
        <v/>
      </c>
      <c r="I1204" s="49" t="str">
        <f aca="false">IF(ROUND($G1204,2)&lt;0,-ROUND($G1204,2),"")</f>
        <v/>
      </c>
      <c r="J1204" s="20" t="n">
        <f aca="false">IF(ROUND($G1204,2)=0,0,1)</f>
        <v>0</v>
      </c>
      <c r="K1204" s="20" t="str">
        <f aca="false">IF($J1204=0,"",SUM($J$1198:$J1204))</f>
        <v/>
      </c>
      <c r="L1204" s="20" t="str">
        <f aca="false">IF($K1204="","",$A1204*100+$K1204)</f>
        <v/>
      </c>
      <c r="M1204" s="48" t="str">
        <f aca="false">IFERROR(INDEX(输入报销!$D:$D,MATCH($A1204&amp;"-7",输入报销!$J:$J,0))&amp;"","")</f>
        <v/>
      </c>
    </row>
    <row r="1205" customFormat="false" ht="13.5" hidden="false" customHeight="false" outlineLevel="0" collapsed="false">
      <c r="A1205" s="47" t="n">
        <v>93</v>
      </c>
      <c r="C1205" s="48" t="str">
        <f aca="false">助手报销!$C94</f>
        <v/>
      </c>
      <c r="D1205" s="81" t="s">
        <v>486</v>
      </c>
      <c r="E1205" s="48" t="str">
        <f aca="false">IFERROR(INDEX(输入报销!$E:$E,MATCH($A1205&amp;"-8",输入报销!$J:$J,0))&amp;"","")</f>
        <v/>
      </c>
      <c r="F1205" s="48" t="str">
        <f aca="false">IFERROR(INDEX(输入报销!$F:$F,MATCH($A1205&amp;"-8",输入报销!$J:$J,0))&amp;"","")</f>
        <v/>
      </c>
      <c r="G1205" s="49" t="n">
        <f aca="false">IFERROR(ROUND(INDEX(输入报销!$G:$G,MATCH($A1205&amp;"-8",输入报销!$J:$J,0)),2),0)</f>
        <v>0</v>
      </c>
      <c r="H1205" s="49" t="str">
        <f aca="false">IF(ROUND($G1205,2)&gt;0,ROUND($G1205,2),"")</f>
        <v/>
      </c>
      <c r="I1205" s="49" t="str">
        <f aca="false">IF(ROUND($G1205,2)&lt;0,-ROUND($G1205,2),"")</f>
        <v/>
      </c>
      <c r="J1205" s="20" t="n">
        <f aca="false">IF(ROUND($G1205,2)=0,0,1)</f>
        <v>0</v>
      </c>
      <c r="K1205" s="20" t="str">
        <f aca="false">IF($J1205=0,"",SUM($J$1198:$J1205))</f>
        <v/>
      </c>
      <c r="L1205" s="20" t="str">
        <f aca="false">IF($K1205="","",$A1205*100+$K1205)</f>
        <v/>
      </c>
      <c r="M1205" s="48" t="str">
        <f aca="false">IFERROR(INDEX(输入报销!$D:$D,MATCH($A1205&amp;"-8",输入报销!$J:$J,0))&amp;"","")</f>
        <v/>
      </c>
    </row>
    <row r="1206" customFormat="false" ht="13.5" hidden="false" customHeight="false" outlineLevel="0" collapsed="false">
      <c r="A1206" s="47" t="n">
        <v>93</v>
      </c>
      <c r="C1206" s="48" t="str">
        <f aca="false">助手报销!$C94</f>
        <v/>
      </c>
      <c r="D1206" s="81" t="s">
        <v>487</v>
      </c>
      <c r="E1206" s="48" t="str">
        <f aca="false">IFERROR(INDEX(输入报销!$E:$E,MATCH($A1206&amp;"-9",输入报销!$J:$J,0))&amp;"","")</f>
        <v/>
      </c>
      <c r="F1206" s="48" t="str">
        <f aca="false">IFERROR(INDEX(输入报销!$F:$F,MATCH($A1206&amp;"-9",输入报销!$J:$J,0))&amp;"","")</f>
        <v/>
      </c>
      <c r="G1206" s="49" t="n">
        <f aca="false">IFERROR(ROUND(INDEX(输入报销!$G:$G,MATCH($A1206&amp;"-9",输入报销!$J:$J,0)),2),0)</f>
        <v>0</v>
      </c>
      <c r="H1206" s="49" t="str">
        <f aca="false">IF(ROUND($G1206,2)&gt;0,ROUND($G1206,2),"")</f>
        <v/>
      </c>
      <c r="I1206" s="49" t="str">
        <f aca="false">IF(ROUND($G1206,2)&lt;0,-ROUND($G1206,2),"")</f>
        <v/>
      </c>
      <c r="J1206" s="20" t="n">
        <f aca="false">IF(ROUND($G1206,2)=0,0,1)</f>
        <v>0</v>
      </c>
      <c r="K1206" s="20" t="str">
        <f aca="false">IF($J1206=0,"",SUM($J$1198:$J1206))</f>
        <v/>
      </c>
      <c r="L1206" s="20" t="str">
        <f aca="false">IF($K1206="","",$A1206*100+$K1206)</f>
        <v/>
      </c>
      <c r="M1206" s="48" t="str">
        <f aca="false">IFERROR(INDEX(输入报销!$D:$D,MATCH($A1206&amp;"-9",输入报销!$J:$J,0))&amp;"","")</f>
        <v/>
      </c>
    </row>
    <row r="1207" customFormat="false" ht="13.5" hidden="false" customHeight="false" outlineLevel="0" collapsed="false">
      <c r="A1207" s="47" t="n">
        <v>93</v>
      </c>
      <c r="C1207" s="48" t="str">
        <f aca="false">助手报销!$C94</f>
        <v/>
      </c>
      <c r="D1207" s="81" t="s">
        <v>488</v>
      </c>
      <c r="E1207" s="48" t="str">
        <f aca="false">IFERROR(INDEX(输入报销!$E:$E,MATCH($A1207&amp;"-10",输入报销!$J:$J,0))&amp;"","")</f>
        <v/>
      </c>
      <c r="F1207" s="48" t="str">
        <f aca="false">IFERROR(INDEX(输入报销!$F:$F,MATCH($A1207&amp;"-10",输入报销!$J:$J,0))&amp;"","")</f>
        <v/>
      </c>
      <c r="G1207" s="49" t="n">
        <f aca="false">IFERROR(ROUND(INDEX(输入报销!$G:$G,MATCH($A1207&amp;"-10",输入报销!$J:$J,0)),2),0)</f>
        <v>0</v>
      </c>
      <c r="H1207" s="49" t="str">
        <f aca="false">IF(ROUND($G1207,2)&gt;0,ROUND($G1207,2),"")</f>
        <v/>
      </c>
      <c r="I1207" s="49" t="str">
        <f aca="false">IF(ROUND($G1207,2)&lt;0,-ROUND($G1207,2),"")</f>
        <v/>
      </c>
      <c r="J1207" s="20" t="n">
        <f aca="false">IF(ROUND($G1207,2)=0,0,1)</f>
        <v>0</v>
      </c>
      <c r="K1207" s="20" t="str">
        <f aca="false">IF($J1207=0,"",SUM($J$1198:$J1207))</f>
        <v/>
      </c>
      <c r="L1207" s="20" t="str">
        <f aca="false">IF($K1207="","",$A1207*100+$K1207)</f>
        <v/>
      </c>
      <c r="M1207" s="48" t="str">
        <f aca="false">IFERROR(INDEX(输入报销!$D:$D,MATCH($A1207&amp;"-10",输入报销!$J:$J,0))&amp;"","")</f>
        <v/>
      </c>
    </row>
    <row r="1208" customFormat="false" ht="13.5" hidden="false" customHeight="false" outlineLevel="0" collapsed="false">
      <c r="A1208" s="47" t="n">
        <v>93</v>
      </c>
      <c r="C1208" s="48" t="str">
        <f aca="false">助手报销!$C94</f>
        <v/>
      </c>
      <c r="D1208" s="81" t="s">
        <v>489</v>
      </c>
      <c r="E1208" s="48" t="str">
        <f aca="false">参数!$B$6</f>
        <v>库存现金</v>
      </c>
      <c r="F1208" s="48" t="str">
        <f aca="false">""</f>
        <v/>
      </c>
      <c r="G1208" s="49" t="n">
        <f aca="false">-ROUND(SUMIFS(输入报销!$G:$G,输入报销!$A:$A,$A1208,输入报销!$H:$H,参数!$B$6),2)</f>
        <v>-0</v>
      </c>
      <c r="H1208" s="49" t="str">
        <f aca="false">IF(ROUND($G1208,2)&gt;0,ROUND($G1208,2),"")</f>
        <v/>
      </c>
      <c r="I1208" s="49" t="str">
        <f aca="false">IF(ROUND($G1208,2)&lt;0,-ROUND($G1208,2),"")</f>
        <v/>
      </c>
      <c r="J1208" s="20" t="n">
        <f aca="false">IF(ROUND($G1208,2)=0,0,1)</f>
        <v>0</v>
      </c>
      <c r="K1208" s="20" t="str">
        <f aca="false">IF($J1208=0,"",SUM($J$1198:$J1208))</f>
        <v/>
      </c>
      <c r="L1208" s="20" t="str">
        <f aca="false">IF($K1208="","",$A1208*100+$K1208)</f>
        <v/>
      </c>
      <c r="M1208" s="48" t="str">
        <f aca="false">""</f>
        <v/>
      </c>
    </row>
    <row r="1209" customFormat="false" ht="13.5" hidden="false" customHeight="false" outlineLevel="0" collapsed="false">
      <c r="A1209" s="47" t="n">
        <v>93</v>
      </c>
      <c r="C1209" s="48" t="str">
        <f aca="false">助手报销!$C94</f>
        <v/>
      </c>
      <c r="D1209" s="81" t="s">
        <v>490</v>
      </c>
      <c r="E1209" s="48" t="str">
        <f aca="false">参数!$B$7</f>
        <v>银行存款</v>
      </c>
      <c r="F1209" s="48" t="str">
        <f aca="false">""</f>
        <v/>
      </c>
      <c r="G1209" s="49" t="n">
        <f aca="false">-ROUND(SUMIFS(输入报销!$G:$G,输入报销!$A:$A,$A1209,输入报销!$H:$H,参数!$B$7),2)</f>
        <v>-0</v>
      </c>
      <c r="H1209" s="49" t="str">
        <f aca="false">IF(ROUND($G1209,2)&gt;0,ROUND($G1209,2),"")</f>
        <v/>
      </c>
      <c r="I1209" s="49" t="str">
        <f aca="false">IF(ROUND($G1209,2)&lt;0,-ROUND($G1209,2),"")</f>
        <v/>
      </c>
      <c r="J1209" s="20" t="n">
        <f aca="false">IF(ROUND($G1209,2)=0,0,1)</f>
        <v>0</v>
      </c>
      <c r="K1209" s="20" t="str">
        <f aca="false">IF($J1209=0,"",SUM($J$1198:$J1209))</f>
        <v/>
      </c>
      <c r="L1209" s="20" t="str">
        <f aca="false">IF($K1209="","",$A1209*100+$K1209)</f>
        <v/>
      </c>
      <c r="M1209" s="48" t="str">
        <f aca="false">""</f>
        <v/>
      </c>
    </row>
    <row r="1210" customFormat="false" ht="13.5" hidden="false" customHeight="false" outlineLevel="0" collapsed="false">
      <c r="A1210" s="47" t="n">
        <v>93</v>
      </c>
      <c r="C1210" s="48" t="str">
        <f aca="false">助手报销!$C94</f>
        <v/>
      </c>
      <c r="D1210" s="81" t="s">
        <v>491</v>
      </c>
      <c r="E1210" s="48" t="str">
        <f aca="false">参数!$B$8</f>
        <v>其他应付款</v>
      </c>
      <c r="F1210" s="48" t="str">
        <f aca="false">""</f>
        <v/>
      </c>
      <c r="G1210" s="49" t="n">
        <f aca="false">-ROUND(SUMIFS(输入报销!$G:$G,输入报销!$A:$A,$A1210,输入报销!$H:$H,参数!$B$8),2)</f>
        <v>-0</v>
      </c>
      <c r="H1210" s="49" t="str">
        <f aca="false">IF(ROUND($G1210,2)&gt;0,ROUND($G1210,2),"")</f>
        <v/>
      </c>
      <c r="I1210" s="49" t="str">
        <f aca="false">IF(ROUND($G1210,2)&lt;0,-ROUND($G1210,2),"")</f>
        <v/>
      </c>
      <c r="J1210" s="20" t="n">
        <f aca="false">IF(ROUND($G1210,2)=0,0,1)</f>
        <v>0</v>
      </c>
      <c r="K1210" s="20" t="str">
        <f aca="false">IF($J1210=0,"",SUM($J$1198:$J1210))</f>
        <v/>
      </c>
      <c r="L1210" s="20" t="str">
        <f aca="false">IF($K1210="","",$A1210*100+$K1210)</f>
        <v/>
      </c>
      <c r="M1210" s="48" t="str">
        <f aca="false">""</f>
        <v/>
      </c>
    </row>
    <row r="1211" customFormat="false" ht="13.5" hidden="false" customHeight="false" outlineLevel="0" collapsed="false">
      <c r="A1211" s="47" t="n">
        <v>94</v>
      </c>
      <c r="C1211" s="48" t="str">
        <f aca="false">助手报销!$C95</f>
        <v/>
      </c>
      <c r="D1211" s="81" t="s">
        <v>479</v>
      </c>
      <c r="E1211" s="48" t="str">
        <f aca="false">IFERROR(INDEX(输入报销!$E:$E,MATCH($A1211&amp;"-1",输入报销!$J:$J,0))&amp;"","")</f>
        <v/>
      </c>
      <c r="F1211" s="48" t="str">
        <f aca="false">IFERROR(INDEX(输入报销!$F:$F,MATCH($A1211&amp;"-1",输入报销!$J:$J,0))&amp;"","")</f>
        <v/>
      </c>
      <c r="G1211" s="49" t="n">
        <f aca="false">IFERROR(ROUND(INDEX(输入报销!$G:$G,MATCH($A1211&amp;"-1",输入报销!$J:$J,0)),2),0)</f>
        <v>0</v>
      </c>
      <c r="H1211" s="49" t="str">
        <f aca="false">IF(ROUND($G1211,2)&gt;0,ROUND($G1211,2),"")</f>
        <v/>
      </c>
      <c r="I1211" s="49" t="str">
        <f aca="false">IF(ROUND($G1211,2)&lt;0,-ROUND($G1211,2),"")</f>
        <v/>
      </c>
      <c r="J1211" s="20" t="n">
        <f aca="false">IF(ROUND($G1211,2)=0,0,1)</f>
        <v>0</v>
      </c>
      <c r="K1211" s="20" t="str">
        <f aca="false">IF($J1211=0,"",SUM($J$1211:$J1211))</f>
        <v/>
      </c>
      <c r="L1211" s="20" t="str">
        <f aca="false">IF($K1211="","",$A1211*100+$K1211)</f>
        <v/>
      </c>
      <c r="M1211" s="48" t="str">
        <f aca="false">IFERROR(INDEX(输入报销!$D:$D,MATCH($A1211&amp;"-1",输入报销!$J:$J,0))&amp;"","")</f>
        <v/>
      </c>
    </row>
    <row r="1212" customFormat="false" ht="13.5" hidden="false" customHeight="false" outlineLevel="0" collapsed="false">
      <c r="A1212" s="47" t="n">
        <v>94</v>
      </c>
      <c r="C1212" s="48" t="str">
        <f aca="false">助手报销!$C95</f>
        <v/>
      </c>
      <c r="D1212" s="81" t="s">
        <v>480</v>
      </c>
      <c r="E1212" s="48" t="str">
        <f aca="false">IFERROR(INDEX(输入报销!$E:$E,MATCH($A1212&amp;"-2",输入报销!$J:$J,0))&amp;"","")</f>
        <v/>
      </c>
      <c r="F1212" s="48" t="str">
        <f aca="false">IFERROR(INDEX(输入报销!$F:$F,MATCH($A1212&amp;"-2",输入报销!$J:$J,0))&amp;"","")</f>
        <v/>
      </c>
      <c r="G1212" s="49" t="n">
        <f aca="false">IFERROR(ROUND(INDEX(输入报销!$G:$G,MATCH($A1212&amp;"-2",输入报销!$J:$J,0)),2),0)</f>
        <v>0</v>
      </c>
      <c r="H1212" s="49" t="str">
        <f aca="false">IF(ROUND($G1212,2)&gt;0,ROUND($G1212,2),"")</f>
        <v/>
      </c>
      <c r="I1212" s="49" t="str">
        <f aca="false">IF(ROUND($G1212,2)&lt;0,-ROUND($G1212,2),"")</f>
        <v/>
      </c>
      <c r="J1212" s="20" t="n">
        <f aca="false">IF(ROUND($G1212,2)=0,0,1)</f>
        <v>0</v>
      </c>
      <c r="K1212" s="20" t="str">
        <f aca="false">IF($J1212=0,"",SUM($J$1211:$J1212))</f>
        <v/>
      </c>
      <c r="L1212" s="20" t="str">
        <f aca="false">IF($K1212="","",$A1212*100+$K1212)</f>
        <v/>
      </c>
      <c r="M1212" s="48" t="str">
        <f aca="false">IFERROR(INDEX(输入报销!$D:$D,MATCH($A1212&amp;"-2",输入报销!$J:$J,0))&amp;"","")</f>
        <v/>
      </c>
    </row>
    <row r="1213" customFormat="false" ht="13.5" hidden="false" customHeight="false" outlineLevel="0" collapsed="false">
      <c r="A1213" s="47" t="n">
        <v>94</v>
      </c>
      <c r="C1213" s="48" t="str">
        <f aca="false">助手报销!$C95</f>
        <v/>
      </c>
      <c r="D1213" s="81" t="s">
        <v>481</v>
      </c>
      <c r="E1213" s="48" t="str">
        <f aca="false">IFERROR(INDEX(输入报销!$E:$E,MATCH($A1213&amp;"-3",输入报销!$J:$J,0))&amp;"","")</f>
        <v/>
      </c>
      <c r="F1213" s="48" t="str">
        <f aca="false">IFERROR(INDEX(输入报销!$F:$F,MATCH($A1213&amp;"-3",输入报销!$J:$J,0))&amp;"","")</f>
        <v/>
      </c>
      <c r="G1213" s="49" t="n">
        <f aca="false">IFERROR(ROUND(INDEX(输入报销!$G:$G,MATCH($A1213&amp;"-3",输入报销!$J:$J,0)),2),0)</f>
        <v>0</v>
      </c>
      <c r="H1213" s="49" t="str">
        <f aca="false">IF(ROUND($G1213,2)&gt;0,ROUND($G1213,2),"")</f>
        <v/>
      </c>
      <c r="I1213" s="49" t="str">
        <f aca="false">IF(ROUND($G1213,2)&lt;0,-ROUND($G1213,2),"")</f>
        <v/>
      </c>
      <c r="J1213" s="20" t="n">
        <f aca="false">IF(ROUND($G1213,2)=0,0,1)</f>
        <v>0</v>
      </c>
      <c r="K1213" s="20" t="str">
        <f aca="false">IF($J1213=0,"",SUM($J$1211:$J1213))</f>
        <v/>
      </c>
      <c r="L1213" s="20" t="str">
        <f aca="false">IF($K1213="","",$A1213*100+$K1213)</f>
        <v/>
      </c>
      <c r="M1213" s="48" t="str">
        <f aca="false">IFERROR(INDEX(输入报销!$D:$D,MATCH($A1213&amp;"-3",输入报销!$J:$J,0))&amp;"","")</f>
        <v/>
      </c>
    </row>
    <row r="1214" customFormat="false" ht="13.5" hidden="false" customHeight="false" outlineLevel="0" collapsed="false">
      <c r="A1214" s="47" t="n">
        <v>94</v>
      </c>
      <c r="C1214" s="48" t="str">
        <f aca="false">助手报销!$C95</f>
        <v/>
      </c>
      <c r="D1214" s="81" t="s">
        <v>482</v>
      </c>
      <c r="E1214" s="48" t="str">
        <f aca="false">IFERROR(INDEX(输入报销!$E:$E,MATCH($A1214&amp;"-4",输入报销!$J:$J,0))&amp;"","")</f>
        <v/>
      </c>
      <c r="F1214" s="48" t="str">
        <f aca="false">IFERROR(INDEX(输入报销!$F:$F,MATCH($A1214&amp;"-4",输入报销!$J:$J,0))&amp;"","")</f>
        <v/>
      </c>
      <c r="G1214" s="49" t="n">
        <f aca="false">IFERROR(ROUND(INDEX(输入报销!$G:$G,MATCH($A1214&amp;"-4",输入报销!$J:$J,0)),2),0)</f>
        <v>0</v>
      </c>
      <c r="H1214" s="49" t="str">
        <f aca="false">IF(ROUND($G1214,2)&gt;0,ROUND($G1214,2),"")</f>
        <v/>
      </c>
      <c r="I1214" s="49" t="str">
        <f aca="false">IF(ROUND($G1214,2)&lt;0,-ROUND($G1214,2),"")</f>
        <v/>
      </c>
      <c r="J1214" s="20" t="n">
        <f aca="false">IF(ROUND($G1214,2)=0,0,1)</f>
        <v>0</v>
      </c>
      <c r="K1214" s="20" t="str">
        <f aca="false">IF($J1214=0,"",SUM($J$1211:$J1214))</f>
        <v/>
      </c>
      <c r="L1214" s="20" t="str">
        <f aca="false">IF($K1214="","",$A1214*100+$K1214)</f>
        <v/>
      </c>
      <c r="M1214" s="48" t="str">
        <f aca="false">IFERROR(INDEX(输入报销!$D:$D,MATCH($A1214&amp;"-4",输入报销!$J:$J,0))&amp;"","")</f>
        <v/>
      </c>
    </row>
    <row r="1215" customFormat="false" ht="13.5" hidden="false" customHeight="false" outlineLevel="0" collapsed="false">
      <c r="A1215" s="47" t="n">
        <v>94</v>
      </c>
      <c r="C1215" s="48" t="str">
        <f aca="false">助手报销!$C95</f>
        <v/>
      </c>
      <c r="D1215" s="81" t="s">
        <v>483</v>
      </c>
      <c r="E1215" s="48" t="str">
        <f aca="false">IFERROR(INDEX(输入报销!$E:$E,MATCH($A1215&amp;"-5",输入报销!$J:$J,0))&amp;"","")</f>
        <v/>
      </c>
      <c r="F1215" s="48" t="str">
        <f aca="false">IFERROR(INDEX(输入报销!$F:$F,MATCH($A1215&amp;"-5",输入报销!$J:$J,0))&amp;"","")</f>
        <v/>
      </c>
      <c r="G1215" s="49" t="n">
        <f aca="false">IFERROR(ROUND(INDEX(输入报销!$G:$G,MATCH($A1215&amp;"-5",输入报销!$J:$J,0)),2),0)</f>
        <v>0</v>
      </c>
      <c r="H1215" s="49" t="str">
        <f aca="false">IF(ROUND($G1215,2)&gt;0,ROUND($G1215,2),"")</f>
        <v/>
      </c>
      <c r="I1215" s="49" t="str">
        <f aca="false">IF(ROUND($G1215,2)&lt;0,-ROUND($G1215,2),"")</f>
        <v/>
      </c>
      <c r="J1215" s="20" t="n">
        <f aca="false">IF(ROUND($G1215,2)=0,0,1)</f>
        <v>0</v>
      </c>
      <c r="K1215" s="20" t="str">
        <f aca="false">IF($J1215=0,"",SUM($J$1211:$J1215))</f>
        <v/>
      </c>
      <c r="L1215" s="20" t="str">
        <f aca="false">IF($K1215="","",$A1215*100+$K1215)</f>
        <v/>
      </c>
      <c r="M1215" s="48" t="str">
        <f aca="false">IFERROR(INDEX(输入报销!$D:$D,MATCH($A1215&amp;"-5",输入报销!$J:$J,0))&amp;"","")</f>
        <v/>
      </c>
    </row>
    <row r="1216" customFormat="false" ht="13.5" hidden="false" customHeight="false" outlineLevel="0" collapsed="false">
      <c r="A1216" s="47" t="n">
        <v>94</v>
      </c>
      <c r="C1216" s="48" t="str">
        <f aca="false">助手报销!$C95</f>
        <v/>
      </c>
      <c r="D1216" s="81" t="s">
        <v>484</v>
      </c>
      <c r="E1216" s="48" t="str">
        <f aca="false">IFERROR(INDEX(输入报销!$E:$E,MATCH($A1216&amp;"-6",输入报销!$J:$J,0))&amp;"","")</f>
        <v/>
      </c>
      <c r="F1216" s="48" t="str">
        <f aca="false">IFERROR(INDEX(输入报销!$F:$F,MATCH($A1216&amp;"-6",输入报销!$J:$J,0))&amp;"","")</f>
        <v/>
      </c>
      <c r="G1216" s="49" t="n">
        <f aca="false">IFERROR(ROUND(INDEX(输入报销!$G:$G,MATCH($A1216&amp;"-6",输入报销!$J:$J,0)),2),0)</f>
        <v>0</v>
      </c>
      <c r="H1216" s="49" t="str">
        <f aca="false">IF(ROUND($G1216,2)&gt;0,ROUND($G1216,2),"")</f>
        <v/>
      </c>
      <c r="I1216" s="49" t="str">
        <f aca="false">IF(ROUND($G1216,2)&lt;0,-ROUND($G1216,2),"")</f>
        <v/>
      </c>
      <c r="J1216" s="20" t="n">
        <f aca="false">IF(ROUND($G1216,2)=0,0,1)</f>
        <v>0</v>
      </c>
      <c r="K1216" s="20" t="str">
        <f aca="false">IF($J1216=0,"",SUM($J$1211:$J1216))</f>
        <v/>
      </c>
      <c r="L1216" s="20" t="str">
        <f aca="false">IF($K1216="","",$A1216*100+$K1216)</f>
        <v/>
      </c>
      <c r="M1216" s="48" t="str">
        <f aca="false">IFERROR(INDEX(输入报销!$D:$D,MATCH($A1216&amp;"-6",输入报销!$J:$J,0))&amp;"","")</f>
        <v/>
      </c>
    </row>
    <row r="1217" customFormat="false" ht="13.5" hidden="false" customHeight="false" outlineLevel="0" collapsed="false">
      <c r="A1217" s="47" t="n">
        <v>94</v>
      </c>
      <c r="C1217" s="48" t="str">
        <f aca="false">助手报销!$C95</f>
        <v/>
      </c>
      <c r="D1217" s="81" t="s">
        <v>485</v>
      </c>
      <c r="E1217" s="48" t="str">
        <f aca="false">IFERROR(INDEX(输入报销!$E:$E,MATCH($A1217&amp;"-7",输入报销!$J:$J,0))&amp;"","")</f>
        <v/>
      </c>
      <c r="F1217" s="48" t="str">
        <f aca="false">IFERROR(INDEX(输入报销!$F:$F,MATCH($A1217&amp;"-7",输入报销!$J:$J,0))&amp;"","")</f>
        <v/>
      </c>
      <c r="G1217" s="49" t="n">
        <f aca="false">IFERROR(ROUND(INDEX(输入报销!$G:$G,MATCH($A1217&amp;"-7",输入报销!$J:$J,0)),2),0)</f>
        <v>0</v>
      </c>
      <c r="H1217" s="49" t="str">
        <f aca="false">IF(ROUND($G1217,2)&gt;0,ROUND($G1217,2),"")</f>
        <v/>
      </c>
      <c r="I1217" s="49" t="str">
        <f aca="false">IF(ROUND($G1217,2)&lt;0,-ROUND($G1217,2),"")</f>
        <v/>
      </c>
      <c r="J1217" s="20" t="n">
        <f aca="false">IF(ROUND($G1217,2)=0,0,1)</f>
        <v>0</v>
      </c>
      <c r="K1217" s="20" t="str">
        <f aca="false">IF($J1217=0,"",SUM($J$1211:$J1217))</f>
        <v/>
      </c>
      <c r="L1217" s="20" t="str">
        <f aca="false">IF($K1217="","",$A1217*100+$K1217)</f>
        <v/>
      </c>
      <c r="M1217" s="48" t="str">
        <f aca="false">IFERROR(INDEX(输入报销!$D:$D,MATCH($A1217&amp;"-7",输入报销!$J:$J,0))&amp;"","")</f>
        <v/>
      </c>
    </row>
    <row r="1218" customFormat="false" ht="13.5" hidden="false" customHeight="false" outlineLevel="0" collapsed="false">
      <c r="A1218" s="47" t="n">
        <v>94</v>
      </c>
      <c r="C1218" s="48" t="str">
        <f aca="false">助手报销!$C95</f>
        <v/>
      </c>
      <c r="D1218" s="81" t="s">
        <v>486</v>
      </c>
      <c r="E1218" s="48" t="str">
        <f aca="false">IFERROR(INDEX(输入报销!$E:$E,MATCH($A1218&amp;"-8",输入报销!$J:$J,0))&amp;"","")</f>
        <v/>
      </c>
      <c r="F1218" s="48" t="str">
        <f aca="false">IFERROR(INDEX(输入报销!$F:$F,MATCH($A1218&amp;"-8",输入报销!$J:$J,0))&amp;"","")</f>
        <v/>
      </c>
      <c r="G1218" s="49" t="n">
        <f aca="false">IFERROR(ROUND(INDEX(输入报销!$G:$G,MATCH($A1218&amp;"-8",输入报销!$J:$J,0)),2),0)</f>
        <v>0</v>
      </c>
      <c r="H1218" s="49" t="str">
        <f aca="false">IF(ROUND($G1218,2)&gt;0,ROUND($G1218,2),"")</f>
        <v/>
      </c>
      <c r="I1218" s="49" t="str">
        <f aca="false">IF(ROUND($G1218,2)&lt;0,-ROUND($G1218,2),"")</f>
        <v/>
      </c>
      <c r="J1218" s="20" t="n">
        <f aca="false">IF(ROUND($G1218,2)=0,0,1)</f>
        <v>0</v>
      </c>
      <c r="K1218" s="20" t="str">
        <f aca="false">IF($J1218=0,"",SUM($J$1211:$J1218))</f>
        <v/>
      </c>
      <c r="L1218" s="20" t="str">
        <f aca="false">IF($K1218="","",$A1218*100+$K1218)</f>
        <v/>
      </c>
      <c r="M1218" s="48" t="str">
        <f aca="false">IFERROR(INDEX(输入报销!$D:$D,MATCH($A1218&amp;"-8",输入报销!$J:$J,0))&amp;"","")</f>
        <v/>
      </c>
    </row>
    <row r="1219" customFormat="false" ht="13.5" hidden="false" customHeight="false" outlineLevel="0" collapsed="false">
      <c r="A1219" s="47" t="n">
        <v>94</v>
      </c>
      <c r="C1219" s="48" t="str">
        <f aca="false">助手报销!$C95</f>
        <v/>
      </c>
      <c r="D1219" s="81" t="s">
        <v>487</v>
      </c>
      <c r="E1219" s="48" t="str">
        <f aca="false">IFERROR(INDEX(输入报销!$E:$E,MATCH($A1219&amp;"-9",输入报销!$J:$J,0))&amp;"","")</f>
        <v/>
      </c>
      <c r="F1219" s="48" t="str">
        <f aca="false">IFERROR(INDEX(输入报销!$F:$F,MATCH($A1219&amp;"-9",输入报销!$J:$J,0))&amp;"","")</f>
        <v/>
      </c>
      <c r="G1219" s="49" t="n">
        <f aca="false">IFERROR(ROUND(INDEX(输入报销!$G:$G,MATCH($A1219&amp;"-9",输入报销!$J:$J,0)),2),0)</f>
        <v>0</v>
      </c>
      <c r="H1219" s="49" t="str">
        <f aca="false">IF(ROUND($G1219,2)&gt;0,ROUND($G1219,2),"")</f>
        <v/>
      </c>
      <c r="I1219" s="49" t="str">
        <f aca="false">IF(ROUND($G1219,2)&lt;0,-ROUND($G1219,2),"")</f>
        <v/>
      </c>
      <c r="J1219" s="20" t="n">
        <f aca="false">IF(ROUND($G1219,2)=0,0,1)</f>
        <v>0</v>
      </c>
      <c r="K1219" s="20" t="str">
        <f aca="false">IF($J1219=0,"",SUM($J$1211:$J1219))</f>
        <v/>
      </c>
      <c r="L1219" s="20" t="str">
        <f aca="false">IF($K1219="","",$A1219*100+$K1219)</f>
        <v/>
      </c>
      <c r="M1219" s="48" t="str">
        <f aca="false">IFERROR(INDEX(输入报销!$D:$D,MATCH($A1219&amp;"-9",输入报销!$J:$J,0))&amp;"","")</f>
        <v/>
      </c>
    </row>
    <row r="1220" customFormat="false" ht="13.5" hidden="false" customHeight="false" outlineLevel="0" collapsed="false">
      <c r="A1220" s="47" t="n">
        <v>94</v>
      </c>
      <c r="C1220" s="48" t="str">
        <f aca="false">助手报销!$C95</f>
        <v/>
      </c>
      <c r="D1220" s="81" t="s">
        <v>488</v>
      </c>
      <c r="E1220" s="48" t="str">
        <f aca="false">IFERROR(INDEX(输入报销!$E:$E,MATCH($A1220&amp;"-10",输入报销!$J:$J,0))&amp;"","")</f>
        <v/>
      </c>
      <c r="F1220" s="48" t="str">
        <f aca="false">IFERROR(INDEX(输入报销!$F:$F,MATCH($A1220&amp;"-10",输入报销!$J:$J,0))&amp;"","")</f>
        <v/>
      </c>
      <c r="G1220" s="49" t="n">
        <f aca="false">IFERROR(ROUND(INDEX(输入报销!$G:$G,MATCH($A1220&amp;"-10",输入报销!$J:$J,0)),2),0)</f>
        <v>0</v>
      </c>
      <c r="H1220" s="49" t="str">
        <f aca="false">IF(ROUND($G1220,2)&gt;0,ROUND($G1220,2),"")</f>
        <v/>
      </c>
      <c r="I1220" s="49" t="str">
        <f aca="false">IF(ROUND($G1220,2)&lt;0,-ROUND($G1220,2),"")</f>
        <v/>
      </c>
      <c r="J1220" s="20" t="n">
        <f aca="false">IF(ROUND($G1220,2)=0,0,1)</f>
        <v>0</v>
      </c>
      <c r="K1220" s="20" t="str">
        <f aca="false">IF($J1220=0,"",SUM($J$1211:$J1220))</f>
        <v/>
      </c>
      <c r="L1220" s="20" t="str">
        <f aca="false">IF($K1220="","",$A1220*100+$K1220)</f>
        <v/>
      </c>
      <c r="M1220" s="48" t="str">
        <f aca="false">IFERROR(INDEX(输入报销!$D:$D,MATCH($A1220&amp;"-10",输入报销!$J:$J,0))&amp;"","")</f>
        <v/>
      </c>
    </row>
    <row r="1221" customFormat="false" ht="13.5" hidden="false" customHeight="false" outlineLevel="0" collapsed="false">
      <c r="A1221" s="47" t="n">
        <v>94</v>
      </c>
      <c r="C1221" s="48" t="str">
        <f aca="false">助手报销!$C95</f>
        <v/>
      </c>
      <c r="D1221" s="81" t="s">
        <v>489</v>
      </c>
      <c r="E1221" s="48" t="str">
        <f aca="false">参数!$B$6</f>
        <v>库存现金</v>
      </c>
      <c r="F1221" s="48" t="str">
        <f aca="false">""</f>
        <v/>
      </c>
      <c r="G1221" s="49" t="n">
        <f aca="false">-ROUND(SUMIFS(输入报销!$G:$G,输入报销!$A:$A,$A1221,输入报销!$H:$H,参数!$B$6),2)</f>
        <v>-0</v>
      </c>
      <c r="H1221" s="49" t="str">
        <f aca="false">IF(ROUND($G1221,2)&gt;0,ROUND($G1221,2),"")</f>
        <v/>
      </c>
      <c r="I1221" s="49" t="str">
        <f aca="false">IF(ROUND($G1221,2)&lt;0,-ROUND($G1221,2),"")</f>
        <v/>
      </c>
      <c r="J1221" s="20" t="n">
        <f aca="false">IF(ROUND($G1221,2)=0,0,1)</f>
        <v>0</v>
      </c>
      <c r="K1221" s="20" t="str">
        <f aca="false">IF($J1221=0,"",SUM($J$1211:$J1221))</f>
        <v/>
      </c>
      <c r="L1221" s="20" t="str">
        <f aca="false">IF($K1221="","",$A1221*100+$K1221)</f>
        <v/>
      </c>
      <c r="M1221" s="48" t="str">
        <f aca="false">""</f>
        <v/>
      </c>
    </row>
    <row r="1222" customFormat="false" ht="13.5" hidden="false" customHeight="false" outlineLevel="0" collapsed="false">
      <c r="A1222" s="47" t="n">
        <v>94</v>
      </c>
      <c r="C1222" s="48" t="str">
        <f aca="false">助手报销!$C95</f>
        <v/>
      </c>
      <c r="D1222" s="81" t="s">
        <v>490</v>
      </c>
      <c r="E1222" s="48" t="str">
        <f aca="false">参数!$B$7</f>
        <v>银行存款</v>
      </c>
      <c r="F1222" s="48" t="str">
        <f aca="false">""</f>
        <v/>
      </c>
      <c r="G1222" s="49" t="n">
        <f aca="false">-ROUND(SUMIFS(输入报销!$G:$G,输入报销!$A:$A,$A1222,输入报销!$H:$H,参数!$B$7),2)</f>
        <v>-0</v>
      </c>
      <c r="H1222" s="49" t="str">
        <f aca="false">IF(ROUND($G1222,2)&gt;0,ROUND($G1222,2),"")</f>
        <v/>
      </c>
      <c r="I1222" s="49" t="str">
        <f aca="false">IF(ROUND($G1222,2)&lt;0,-ROUND($G1222,2),"")</f>
        <v/>
      </c>
      <c r="J1222" s="20" t="n">
        <f aca="false">IF(ROUND($G1222,2)=0,0,1)</f>
        <v>0</v>
      </c>
      <c r="K1222" s="20" t="str">
        <f aca="false">IF($J1222=0,"",SUM($J$1211:$J1222))</f>
        <v/>
      </c>
      <c r="L1222" s="20" t="str">
        <f aca="false">IF($K1222="","",$A1222*100+$K1222)</f>
        <v/>
      </c>
      <c r="M1222" s="48" t="str">
        <f aca="false">""</f>
        <v/>
      </c>
    </row>
    <row r="1223" customFormat="false" ht="13.5" hidden="false" customHeight="false" outlineLevel="0" collapsed="false">
      <c r="A1223" s="47" t="n">
        <v>94</v>
      </c>
      <c r="C1223" s="48" t="str">
        <f aca="false">助手报销!$C95</f>
        <v/>
      </c>
      <c r="D1223" s="81" t="s">
        <v>491</v>
      </c>
      <c r="E1223" s="48" t="str">
        <f aca="false">参数!$B$8</f>
        <v>其他应付款</v>
      </c>
      <c r="F1223" s="48" t="str">
        <f aca="false">""</f>
        <v/>
      </c>
      <c r="G1223" s="49" t="n">
        <f aca="false">-ROUND(SUMIFS(输入报销!$G:$G,输入报销!$A:$A,$A1223,输入报销!$H:$H,参数!$B$8),2)</f>
        <v>-0</v>
      </c>
      <c r="H1223" s="49" t="str">
        <f aca="false">IF(ROUND($G1223,2)&gt;0,ROUND($G1223,2),"")</f>
        <v/>
      </c>
      <c r="I1223" s="49" t="str">
        <f aca="false">IF(ROUND($G1223,2)&lt;0,-ROUND($G1223,2),"")</f>
        <v/>
      </c>
      <c r="J1223" s="20" t="n">
        <f aca="false">IF(ROUND($G1223,2)=0,0,1)</f>
        <v>0</v>
      </c>
      <c r="K1223" s="20" t="str">
        <f aca="false">IF($J1223=0,"",SUM($J$1211:$J1223))</f>
        <v/>
      </c>
      <c r="L1223" s="20" t="str">
        <f aca="false">IF($K1223="","",$A1223*100+$K1223)</f>
        <v/>
      </c>
      <c r="M1223" s="48" t="str">
        <f aca="false">""</f>
        <v/>
      </c>
    </row>
    <row r="1224" customFormat="false" ht="13.5" hidden="false" customHeight="false" outlineLevel="0" collapsed="false">
      <c r="A1224" s="47" t="n">
        <v>95</v>
      </c>
      <c r="C1224" s="48" t="str">
        <f aca="false">助手报销!$C96</f>
        <v/>
      </c>
      <c r="D1224" s="81" t="s">
        <v>479</v>
      </c>
      <c r="E1224" s="48" t="str">
        <f aca="false">IFERROR(INDEX(输入报销!$E:$E,MATCH($A1224&amp;"-1",输入报销!$J:$J,0))&amp;"","")</f>
        <v/>
      </c>
      <c r="F1224" s="48" t="str">
        <f aca="false">IFERROR(INDEX(输入报销!$F:$F,MATCH($A1224&amp;"-1",输入报销!$J:$J,0))&amp;"","")</f>
        <v/>
      </c>
      <c r="G1224" s="49" t="n">
        <f aca="false">IFERROR(ROUND(INDEX(输入报销!$G:$G,MATCH($A1224&amp;"-1",输入报销!$J:$J,0)),2),0)</f>
        <v>0</v>
      </c>
      <c r="H1224" s="49" t="str">
        <f aca="false">IF(ROUND($G1224,2)&gt;0,ROUND($G1224,2),"")</f>
        <v/>
      </c>
      <c r="I1224" s="49" t="str">
        <f aca="false">IF(ROUND($G1224,2)&lt;0,-ROUND($G1224,2),"")</f>
        <v/>
      </c>
      <c r="J1224" s="20" t="n">
        <f aca="false">IF(ROUND($G1224,2)=0,0,1)</f>
        <v>0</v>
      </c>
      <c r="K1224" s="20" t="str">
        <f aca="false">IF($J1224=0,"",SUM($J$1224:$J1224))</f>
        <v/>
      </c>
      <c r="L1224" s="20" t="str">
        <f aca="false">IF($K1224="","",$A1224*100+$K1224)</f>
        <v/>
      </c>
      <c r="M1224" s="48" t="str">
        <f aca="false">IFERROR(INDEX(输入报销!$D:$D,MATCH($A1224&amp;"-1",输入报销!$J:$J,0))&amp;"","")</f>
        <v/>
      </c>
    </row>
    <row r="1225" customFormat="false" ht="13.5" hidden="false" customHeight="false" outlineLevel="0" collapsed="false">
      <c r="A1225" s="47" t="n">
        <v>95</v>
      </c>
      <c r="C1225" s="48" t="str">
        <f aca="false">助手报销!$C96</f>
        <v/>
      </c>
      <c r="D1225" s="81" t="s">
        <v>480</v>
      </c>
      <c r="E1225" s="48" t="str">
        <f aca="false">IFERROR(INDEX(输入报销!$E:$E,MATCH($A1225&amp;"-2",输入报销!$J:$J,0))&amp;"","")</f>
        <v/>
      </c>
      <c r="F1225" s="48" t="str">
        <f aca="false">IFERROR(INDEX(输入报销!$F:$F,MATCH($A1225&amp;"-2",输入报销!$J:$J,0))&amp;"","")</f>
        <v/>
      </c>
      <c r="G1225" s="49" t="n">
        <f aca="false">IFERROR(ROUND(INDEX(输入报销!$G:$G,MATCH($A1225&amp;"-2",输入报销!$J:$J,0)),2),0)</f>
        <v>0</v>
      </c>
      <c r="H1225" s="49" t="str">
        <f aca="false">IF(ROUND($G1225,2)&gt;0,ROUND($G1225,2),"")</f>
        <v/>
      </c>
      <c r="I1225" s="49" t="str">
        <f aca="false">IF(ROUND($G1225,2)&lt;0,-ROUND($G1225,2),"")</f>
        <v/>
      </c>
      <c r="J1225" s="20" t="n">
        <f aca="false">IF(ROUND($G1225,2)=0,0,1)</f>
        <v>0</v>
      </c>
      <c r="K1225" s="20" t="str">
        <f aca="false">IF($J1225=0,"",SUM($J$1224:$J1225))</f>
        <v/>
      </c>
      <c r="L1225" s="20" t="str">
        <f aca="false">IF($K1225="","",$A1225*100+$K1225)</f>
        <v/>
      </c>
      <c r="M1225" s="48" t="str">
        <f aca="false">IFERROR(INDEX(输入报销!$D:$D,MATCH($A1225&amp;"-2",输入报销!$J:$J,0))&amp;"","")</f>
        <v/>
      </c>
    </row>
    <row r="1226" customFormat="false" ht="13.5" hidden="false" customHeight="false" outlineLevel="0" collapsed="false">
      <c r="A1226" s="47" t="n">
        <v>95</v>
      </c>
      <c r="C1226" s="48" t="str">
        <f aca="false">助手报销!$C96</f>
        <v/>
      </c>
      <c r="D1226" s="81" t="s">
        <v>481</v>
      </c>
      <c r="E1226" s="48" t="str">
        <f aca="false">IFERROR(INDEX(输入报销!$E:$E,MATCH($A1226&amp;"-3",输入报销!$J:$J,0))&amp;"","")</f>
        <v/>
      </c>
      <c r="F1226" s="48" t="str">
        <f aca="false">IFERROR(INDEX(输入报销!$F:$F,MATCH($A1226&amp;"-3",输入报销!$J:$J,0))&amp;"","")</f>
        <v/>
      </c>
      <c r="G1226" s="49" t="n">
        <f aca="false">IFERROR(ROUND(INDEX(输入报销!$G:$G,MATCH($A1226&amp;"-3",输入报销!$J:$J,0)),2),0)</f>
        <v>0</v>
      </c>
      <c r="H1226" s="49" t="str">
        <f aca="false">IF(ROUND($G1226,2)&gt;0,ROUND($G1226,2),"")</f>
        <v/>
      </c>
      <c r="I1226" s="49" t="str">
        <f aca="false">IF(ROUND($G1226,2)&lt;0,-ROUND($G1226,2),"")</f>
        <v/>
      </c>
      <c r="J1226" s="20" t="n">
        <f aca="false">IF(ROUND($G1226,2)=0,0,1)</f>
        <v>0</v>
      </c>
      <c r="K1226" s="20" t="str">
        <f aca="false">IF($J1226=0,"",SUM($J$1224:$J1226))</f>
        <v/>
      </c>
      <c r="L1226" s="20" t="str">
        <f aca="false">IF($K1226="","",$A1226*100+$K1226)</f>
        <v/>
      </c>
      <c r="M1226" s="48" t="str">
        <f aca="false">IFERROR(INDEX(输入报销!$D:$D,MATCH($A1226&amp;"-3",输入报销!$J:$J,0))&amp;"","")</f>
        <v/>
      </c>
    </row>
    <row r="1227" customFormat="false" ht="13.5" hidden="false" customHeight="false" outlineLevel="0" collapsed="false">
      <c r="A1227" s="47" t="n">
        <v>95</v>
      </c>
      <c r="C1227" s="48" t="str">
        <f aca="false">助手报销!$C96</f>
        <v/>
      </c>
      <c r="D1227" s="81" t="s">
        <v>482</v>
      </c>
      <c r="E1227" s="48" t="str">
        <f aca="false">IFERROR(INDEX(输入报销!$E:$E,MATCH($A1227&amp;"-4",输入报销!$J:$J,0))&amp;"","")</f>
        <v/>
      </c>
      <c r="F1227" s="48" t="str">
        <f aca="false">IFERROR(INDEX(输入报销!$F:$F,MATCH($A1227&amp;"-4",输入报销!$J:$J,0))&amp;"","")</f>
        <v/>
      </c>
      <c r="G1227" s="49" t="n">
        <f aca="false">IFERROR(ROUND(INDEX(输入报销!$G:$G,MATCH($A1227&amp;"-4",输入报销!$J:$J,0)),2),0)</f>
        <v>0</v>
      </c>
      <c r="H1227" s="49" t="str">
        <f aca="false">IF(ROUND($G1227,2)&gt;0,ROUND($G1227,2),"")</f>
        <v/>
      </c>
      <c r="I1227" s="49" t="str">
        <f aca="false">IF(ROUND($G1227,2)&lt;0,-ROUND($G1227,2),"")</f>
        <v/>
      </c>
      <c r="J1227" s="20" t="n">
        <f aca="false">IF(ROUND($G1227,2)=0,0,1)</f>
        <v>0</v>
      </c>
      <c r="K1227" s="20" t="str">
        <f aca="false">IF($J1227=0,"",SUM($J$1224:$J1227))</f>
        <v/>
      </c>
      <c r="L1227" s="20" t="str">
        <f aca="false">IF($K1227="","",$A1227*100+$K1227)</f>
        <v/>
      </c>
      <c r="M1227" s="48" t="str">
        <f aca="false">IFERROR(INDEX(输入报销!$D:$D,MATCH($A1227&amp;"-4",输入报销!$J:$J,0))&amp;"","")</f>
        <v/>
      </c>
    </row>
    <row r="1228" customFormat="false" ht="13.5" hidden="false" customHeight="false" outlineLevel="0" collapsed="false">
      <c r="A1228" s="47" t="n">
        <v>95</v>
      </c>
      <c r="C1228" s="48" t="str">
        <f aca="false">助手报销!$C96</f>
        <v/>
      </c>
      <c r="D1228" s="81" t="s">
        <v>483</v>
      </c>
      <c r="E1228" s="48" t="str">
        <f aca="false">IFERROR(INDEX(输入报销!$E:$E,MATCH($A1228&amp;"-5",输入报销!$J:$J,0))&amp;"","")</f>
        <v/>
      </c>
      <c r="F1228" s="48" t="str">
        <f aca="false">IFERROR(INDEX(输入报销!$F:$F,MATCH($A1228&amp;"-5",输入报销!$J:$J,0))&amp;"","")</f>
        <v/>
      </c>
      <c r="G1228" s="49" t="n">
        <f aca="false">IFERROR(ROUND(INDEX(输入报销!$G:$G,MATCH($A1228&amp;"-5",输入报销!$J:$J,0)),2),0)</f>
        <v>0</v>
      </c>
      <c r="H1228" s="49" t="str">
        <f aca="false">IF(ROUND($G1228,2)&gt;0,ROUND($G1228,2),"")</f>
        <v/>
      </c>
      <c r="I1228" s="49" t="str">
        <f aca="false">IF(ROUND($G1228,2)&lt;0,-ROUND($G1228,2),"")</f>
        <v/>
      </c>
      <c r="J1228" s="20" t="n">
        <f aca="false">IF(ROUND($G1228,2)=0,0,1)</f>
        <v>0</v>
      </c>
      <c r="K1228" s="20" t="str">
        <f aca="false">IF($J1228=0,"",SUM($J$1224:$J1228))</f>
        <v/>
      </c>
      <c r="L1228" s="20" t="str">
        <f aca="false">IF($K1228="","",$A1228*100+$K1228)</f>
        <v/>
      </c>
      <c r="M1228" s="48" t="str">
        <f aca="false">IFERROR(INDEX(输入报销!$D:$D,MATCH($A1228&amp;"-5",输入报销!$J:$J,0))&amp;"","")</f>
        <v/>
      </c>
    </row>
    <row r="1229" customFormat="false" ht="13.5" hidden="false" customHeight="false" outlineLevel="0" collapsed="false">
      <c r="A1229" s="47" t="n">
        <v>95</v>
      </c>
      <c r="C1229" s="48" t="str">
        <f aca="false">助手报销!$C96</f>
        <v/>
      </c>
      <c r="D1229" s="81" t="s">
        <v>484</v>
      </c>
      <c r="E1229" s="48" t="str">
        <f aca="false">IFERROR(INDEX(输入报销!$E:$E,MATCH($A1229&amp;"-6",输入报销!$J:$J,0))&amp;"","")</f>
        <v/>
      </c>
      <c r="F1229" s="48" t="str">
        <f aca="false">IFERROR(INDEX(输入报销!$F:$F,MATCH($A1229&amp;"-6",输入报销!$J:$J,0))&amp;"","")</f>
        <v/>
      </c>
      <c r="G1229" s="49" t="n">
        <f aca="false">IFERROR(ROUND(INDEX(输入报销!$G:$G,MATCH($A1229&amp;"-6",输入报销!$J:$J,0)),2),0)</f>
        <v>0</v>
      </c>
      <c r="H1229" s="49" t="str">
        <f aca="false">IF(ROUND($G1229,2)&gt;0,ROUND($G1229,2),"")</f>
        <v/>
      </c>
      <c r="I1229" s="49" t="str">
        <f aca="false">IF(ROUND($G1229,2)&lt;0,-ROUND($G1229,2),"")</f>
        <v/>
      </c>
      <c r="J1229" s="20" t="n">
        <f aca="false">IF(ROUND($G1229,2)=0,0,1)</f>
        <v>0</v>
      </c>
      <c r="K1229" s="20" t="str">
        <f aca="false">IF($J1229=0,"",SUM($J$1224:$J1229))</f>
        <v/>
      </c>
      <c r="L1229" s="20" t="str">
        <f aca="false">IF($K1229="","",$A1229*100+$K1229)</f>
        <v/>
      </c>
      <c r="M1229" s="48" t="str">
        <f aca="false">IFERROR(INDEX(输入报销!$D:$D,MATCH($A1229&amp;"-6",输入报销!$J:$J,0))&amp;"","")</f>
        <v/>
      </c>
    </row>
    <row r="1230" customFormat="false" ht="13.5" hidden="false" customHeight="false" outlineLevel="0" collapsed="false">
      <c r="A1230" s="47" t="n">
        <v>95</v>
      </c>
      <c r="C1230" s="48" t="str">
        <f aca="false">助手报销!$C96</f>
        <v/>
      </c>
      <c r="D1230" s="81" t="s">
        <v>485</v>
      </c>
      <c r="E1230" s="48" t="str">
        <f aca="false">IFERROR(INDEX(输入报销!$E:$E,MATCH($A1230&amp;"-7",输入报销!$J:$J,0))&amp;"","")</f>
        <v/>
      </c>
      <c r="F1230" s="48" t="str">
        <f aca="false">IFERROR(INDEX(输入报销!$F:$F,MATCH($A1230&amp;"-7",输入报销!$J:$J,0))&amp;"","")</f>
        <v/>
      </c>
      <c r="G1230" s="49" t="n">
        <f aca="false">IFERROR(ROUND(INDEX(输入报销!$G:$G,MATCH($A1230&amp;"-7",输入报销!$J:$J,0)),2),0)</f>
        <v>0</v>
      </c>
      <c r="H1230" s="49" t="str">
        <f aca="false">IF(ROUND($G1230,2)&gt;0,ROUND($G1230,2),"")</f>
        <v/>
      </c>
      <c r="I1230" s="49" t="str">
        <f aca="false">IF(ROUND($G1230,2)&lt;0,-ROUND($G1230,2),"")</f>
        <v/>
      </c>
      <c r="J1230" s="20" t="n">
        <f aca="false">IF(ROUND($G1230,2)=0,0,1)</f>
        <v>0</v>
      </c>
      <c r="K1230" s="20" t="str">
        <f aca="false">IF($J1230=0,"",SUM($J$1224:$J1230))</f>
        <v/>
      </c>
      <c r="L1230" s="20" t="str">
        <f aca="false">IF($K1230="","",$A1230*100+$K1230)</f>
        <v/>
      </c>
      <c r="M1230" s="48" t="str">
        <f aca="false">IFERROR(INDEX(输入报销!$D:$D,MATCH($A1230&amp;"-7",输入报销!$J:$J,0))&amp;"","")</f>
        <v/>
      </c>
    </row>
    <row r="1231" customFormat="false" ht="13.5" hidden="false" customHeight="false" outlineLevel="0" collapsed="false">
      <c r="A1231" s="47" t="n">
        <v>95</v>
      </c>
      <c r="C1231" s="48" t="str">
        <f aca="false">助手报销!$C96</f>
        <v/>
      </c>
      <c r="D1231" s="81" t="s">
        <v>486</v>
      </c>
      <c r="E1231" s="48" t="str">
        <f aca="false">IFERROR(INDEX(输入报销!$E:$E,MATCH($A1231&amp;"-8",输入报销!$J:$J,0))&amp;"","")</f>
        <v/>
      </c>
      <c r="F1231" s="48" t="str">
        <f aca="false">IFERROR(INDEX(输入报销!$F:$F,MATCH($A1231&amp;"-8",输入报销!$J:$J,0))&amp;"","")</f>
        <v/>
      </c>
      <c r="G1231" s="49" t="n">
        <f aca="false">IFERROR(ROUND(INDEX(输入报销!$G:$G,MATCH($A1231&amp;"-8",输入报销!$J:$J,0)),2),0)</f>
        <v>0</v>
      </c>
      <c r="H1231" s="49" t="str">
        <f aca="false">IF(ROUND($G1231,2)&gt;0,ROUND($G1231,2),"")</f>
        <v/>
      </c>
      <c r="I1231" s="49" t="str">
        <f aca="false">IF(ROUND($G1231,2)&lt;0,-ROUND($G1231,2),"")</f>
        <v/>
      </c>
      <c r="J1231" s="20" t="n">
        <f aca="false">IF(ROUND($G1231,2)=0,0,1)</f>
        <v>0</v>
      </c>
      <c r="K1231" s="20" t="str">
        <f aca="false">IF($J1231=0,"",SUM($J$1224:$J1231))</f>
        <v/>
      </c>
      <c r="L1231" s="20" t="str">
        <f aca="false">IF($K1231="","",$A1231*100+$K1231)</f>
        <v/>
      </c>
      <c r="M1231" s="48" t="str">
        <f aca="false">IFERROR(INDEX(输入报销!$D:$D,MATCH($A1231&amp;"-8",输入报销!$J:$J,0))&amp;"","")</f>
        <v/>
      </c>
    </row>
    <row r="1232" customFormat="false" ht="13.5" hidden="false" customHeight="false" outlineLevel="0" collapsed="false">
      <c r="A1232" s="47" t="n">
        <v>95</v>
      </c>
      <c r="C1232" s="48" t="str">
        <f aca="false">助手报销!$C96</f>
        <v/>
      </c>
      <c r="D1232" s="81" t="s">
        <v>487</v>
      </c>
      <c r="E1232" s="48" t="str">
        <f aca="false">IFERROR(INDEX(输入报销!$E:$E,MATCH($A1232&amp;"-9",输入报销!$J:$J,0))&amp;"","")</f>
        <v/>
      </c>
      <c r="F1232" s="48" t="str">
        <f aca="false">IFERROR(INDEX(输入报销!$F:$F,MATCH($A1232&amp;"-9",输入报销!$J:$J,0))&amp;"","")</f>
        <v/>
      </c>
      <c r="G1232" s="49" t="n">
        <f aca="false">IFERROR(ROUND(INDEX(输入报销!$G:$G,MATCH($A1232&amp;"-9",输入报销!$J:$J,0)),2),0)</f>
        <v>0</v>
      </c>
      <c r="H1232" s="49" t="str">
        <f aca="false">IF(ROUND($G1232,2)&gt;0,ROUND($G1232,2),"")</f>
        <v/>
      </c>
      <c r="I1232" s="49" t="str">
        <f aca="false">IF(ROUND($G1232,2)&lt;0,-ROUND($G1232,2),"")</f>
        <v/>
      </c>
      <c r="J1232" s="20" t="n">
        <f aca="false">IF(ROUND($G1232,2)=0,0,1)</f>
        <v>0</v>
      </c>
      <c r="K1232" s="20" t="str">
        <f aca="false">IF($J1232=0,"",SUM($J$1224:$J1232))</f>
        <v/>
      </c>
      <c r="L1232" s="20" t="str">
        <f aca="false">IF($K1232="","",$A1232*100+$K1232)</f>
        <v/>
      </c>
      <c r="M1232" s="48" t="str">
        <f aca="false">IFERROR(INDEX(输入报销!$D:$D,MATCH($A1232&amp;"-9",输入报销!$J:$J,0))&amp;"","")</f>
        <v/>
      </c>
    </row>
    <row r="1233" customFormat="false" ht="13.5" hidden="false" customHeight="false" outlineLevel="0" collapsed="false">
      <c r="A1233" s="47" t="n">
        <v>95</v>
      </c>
      <c r="C1233" s="48" t="str">
        <f aca="false">助手报销!$C96</f>
        <v/>
      </c>
      <c r="D1233" s="81" t="s">
        <v>488</v>
      </c>
      <c r="E1233" s="48" t="str">
        <f aca="false">IFERROR(INDEX(输入报销!$E:$E,MATCH($A1233&amp;"-10",输入报销!$J:$J,0))&amp;"","")</f>
        <v/>
      </c>
      <c r="F1233" s="48" t="str">
        <f aca="false">IFERROR(INDEX(输入报销!$F:$F,MATCH($A1233&amp;"-10",输入报销!$J:$J,0))&amp;"","")</f>
        <v/>
      </c>
      <c r="G1233" s="49" t="n">
        <f aca="false">IFERROR(ROUND(INDEX(输入报销!$G:$G,MATCH($A1233&amp;"-10",输入报销!$J:$J,0)),2),0)</f>
        <v>0</v>
      </c>
      <c r="H1233" s="49" t="str">
        <f aca="false">IF(ROUND($G1233,2)&gt;0,ROUND($G1233,2),"")</f>
        <v/>
      </c>
      <c r="I1233" s="49" t="str">
        <f aca="false">IF(ROUND($G1233,2)&lt;0,-ROUND($G1233,2),"")</f>
        <v/>
      </c>
      <c r="J1233" s="20" t="n">
        <f aca="false">IF(ROUND($G1233,2)=0,0,1)</f>
        <v>0</v>
      </c>
      <c r="K1233" s="20" t="str">
        <f aca="false">IF($J1233=0,"",SUM($J$1224:$J1233))</f>
        <v/>
      </c>
      <c r="L1233" s="20" t="str">
        <f aca="false">IF($K1233="","",$A1233*100+$K1233)</f>
        <v/>
      </c>
      <c r="M1233" s="48" t="str">
        <f aca="false">IFERROR(INDEX(输入报销!$D:$D,MATCH($A1233&amp;"-10",输入报销!$J:$J,0))&amp;"","")</f>
        <v/>
      </c>
    </row>
    <row r="1234" customFormat="false" ht="13.5" hidden="false" customHeight="false" outlineLevel="0" collapsed="false">
      <c r="A1234" s="47" t="n">
        <v>95</v>
      </c>
      <c r="C1234" s="48" t="str">
        <f aca="false">助手报销!$C96</f>
        <v/>
      </c>
      <c r="D1234" s="81" t="s">
        <v>489</v>
      </c>
      <c r="E1234" s="48" t="str">
        <f aca="false">参数!$B$6</f>
        <v>库存现金</v>
      </c>
      <c r="F1234" s="48" t="str">
        <f aca="false">""</f>
        <v/>
      </c>
      <c r="G1234" s="49" t="n">
        <f aca="false">-ROUND(SUMIFS(输入报销!$G:$G,输入报销!$A:$A,$A1234,输入报销!$H:$H,参数!$B$6),2)</f>
        <v>-0</v>
      </c>
      <c r="H1234" s="49" t="str">
        <f aca="false">IF(ROUND($G1234,2)&gt;0,ROUND($G1234,2),"")</f>
        <v/>
      </c>
      <c r="I1234" s="49" t="str">
        <f aca="false">IF(ROUND($G1234,2)&lt;0,-ROUND($G1234,2),"")</f>
        <v/>
      </c>
      <c r="J1234" s="20" t="n">
        <f aca="false">IF(ROUND($G1234,2)=0,0,1)</f>
        <v>0</v>
      </c>
      <c r="K1234" s="20" t="str">
        <f aca="false">IF($J1234=0,"",SUM($J$1224:$J1234))</f>
        <v/>
      </c>
      <c r="L1234" s="20" t="str">
        <f aca="false">IF($K1234="","",$A1234*100+$K1234)</f>
        <v/>
      </c>
      <c r="M1234" s="48" t="str">
        <f aca="false">""</f>
        <v/>
      </c>
    </row>
    <row r="1235" customFormat="false" ht="13.5" hidden="false" customHeight="false" outlineLevel="0" collapsed="false">
      <c r="A1235" s="47" t="n">
        <v>95</v>
      </c>
      <c r="C1235" s="48" t="str">
        <f aca="false">助手报销!$C96</f>
        <v/>
      </c>
      <c r="D1235" s="81" t="s">
        <v>490</v>
      </c>
      <c r="E1235" s="48" t="str">
        <f aca="false">参数!$B$7</f>
        <v>银行存款</v>
      </c>
      <c r="F1235" s="48" t="str">
        <f aca="false">""</f>
        <v/>
      </c>
      <c r="G1235" s="49" t="n">
        <f aca="false">-ROUND(SUMIFS(输入报销!$G:$G,输入报销!$A:$A,$A1235,输入报销!$H:$H,参数!$B$7),2)</f>
        <v>-0</v>
      </c>
      <c r="H1235" s="49" t="str">
        <f aca="false">IF(ROUND($G1235,2)&gt;0,ROUND($G1235,2),"")</f>
        <v/>
      </c>
      <c r="I1235" s="49" t="str">
        <f aca="false">IF(ROUND($G1235,2)&lt;0,-ROUND($G1235,2),"")</f>
        <v/>
      </c>
      <c r="J1235" s="20" t="n">
        <f aca="false">IF(ROUND($G1235,2)=0,0,1)</f>
        <v>0</v>
      </c>
      <c r="K1235" s="20" t="str">
        <f aca="false">IF($J1235=0,"",SUM($J$1224:$J1235))</f>
        <v/>
      </c>
      <c r="L1235" s="20" t="str">
        <f aca="false">IF($K1235="","",$A1235*100+$K1235)</f>
        <v/>
      </c>
      <c r="M1235" s="48" t="str">
        <f aca="false">""</f>
        <v/>
      </c>
    </row>
    <row r="1236" customFormat="false" ht="13.5" hidden="false" customHeight="false" outlineLevel="0" collapsed="false">
      <c r="A1236" s="47" t="n">
        <v>95</v>
      </c>
      <c r="C1236" s="48" t="str">
        <f aca="false">助手报销!$C96</f>
        <v/>
      </c>
      <c r="D1236" s="81" t="s">
        <v>491</v>
      </c>
      <c r="E1236" s="48" t="str">
        <f aca="false">参数!$B$8</f>
        <v>其他应付款</v>
      </c>
      <c r="F1236" s="48" t="str">
        <f aca="false">""</f>
        <v/>
      </c>
      <c r="G1236" s="49" t="n">
        <f aca="false">-ROUND(SUMIFS(输入报销!$G:$G,输入报销!$A:$A,$A1236,输入报销!$H:$H,参数!$B$8),2)</f>
        <v>-0</v>
      </c>
      <c r="H1236" s="49" t="str">
        <f aca="false">IF(ROUND($G1236,2)&gt;0,ROUND($G1236,2),"")</f>
        <v/>
      </c>
      <c r="I1236" s="49" t="str">
        <f aca="false">IF(ROUND($G1236,2)&lt;0,-ROUND($G1236,2),"")</f>
        <v/>
      </c>
      <c r="J1236" s="20" t="n">
        <f aca="false">IF(ROUND($G1236,2)=0,0,1)</f>
        <v>0</v>
      </c>
      <c r="K1236" s="20" t="str">
        <f aca="false">IF($J1236=0,"",SUM($J$1224:$J1236))</f>
        <v/>
      </c>
      <c r="L1236" s="20" t="str">
        <f aca="false">IF($K1236="","",$A1236*100+$K1236)</f>
        <v/>
      </c>
      <c r="M1236" s="48" t="str">
        <f aca="false">""</f>
        <v/>
      </c>
    </row>
    <row r="1237" customFormat="false" ht="13.5" hidden="false" customHeight="false" outlineLevel="0" collapsed="false">
      <c r="A1237" s="47" t="n">
        <v>96</v>
      </c>
      <c r="C1237" s="48" t="str">
        <f aca="false">助手报销!$C97</f>
        <v/>
      </c>
      <c r="D1237" s="81" t="s">
        <v>479</v>
      </c>
      <c r="E1237" s="48" t="str">
        <f aca="false">IFERROR(INDEX(输入报销!$E:$E,MATCH($A1237&amp;"-1",输入报销!$J:$J,0))&amp;"","")</f>
        <v/>
      </c>
      <c r="F1237" s="48" t="str">
        <f aca="false">IFERROR(INDEX(输入报销!$F:$F,MATCH($A1237&amp;"-1",输入报销!$J:$J,0))&amp;"","")</f>
        <v/>
      </c>
      <c r="G1237" s="49" t="n">
        <f aca="false">IFERROR(ROUND(INDEX(输入报销!$G:$G,MATCH($A1237&amp;"-1",输入报销!$J:$J,0)),2),0)</f>
        <v>0</v>
      </c>
      <c r="H1237" s="49" t="str">
        <f aca="false">IF(ROUND($G1237,2)&gt;0,ROUND($G1237,2),"")</f>
        <v/>
      </c>
      <c r="I1237" s="49" t="str">
        <f aca="false">IF(ROUND($G1237,2)&lt;0,-ROUND($G1237,2),"")</f>
        <v/>
      </c>
      <c r="J1237" s="20" t="n">
        <f aca="false">IF(ROUND($G1237,2)=0,0,1)</f>
        <v>0</v>
      </c>
      <c r="K1237" s="20" t="str">
        <f aca="false">IF($J1237=0,"",SUM($J$1237:$J1237))</f>
        <v/>
      </c>
      <c r="L1237" s="20" t="str">
        <f aca="false">IF($K1237="","",$A1237*100+$K1237)</f>
        <v/>
      </c>
      <c r="M1237" s="48" t="str">
        <f aca="false">IFERROR(INDEX(输入报销!$D:$D,MATCH($A1237&amp;"-1",输入报销!$J:$J,0))&amp;"","")</f>
        <v/>
      </c>
    </row>
    <row r="1238" customFormat="false" ht="13.5" hidden="false" customHeight="false" outlineLevel="0" collapsed="false">
      <c r="A1238" s="47" t="n">
        <v>96</v>
      </c>
      <c r="C1238" s="48" t="str">
        <f aca="false">助手报销!$C97</f>
        <v/>
      </c>
      <c r="D1238" s="81" t="s">
        <v>480</v>
      </c>
      <c r="E1238" s="48" t="str">
        <f aca="false">IFERROR(INDEX(输入报销!$E:$E,MATCH($A1238&amp;"-2",输入报销!$J:$J,0))&amp;"","")</f>
        <v/>
      </c>
      <c r="F1238" s="48" t="str">
        <f aca="false">IFERROR(INDEX(输入报销!$F:$F,MATCH($A1238&amp;"-2",输入报销!$J:$J,0))&amp;"","")</f>
        <v/>
      </c>
      <c r="G1238" s="49" t="n">
        <f aca="false">IFERROR(ROUND(INDEX(输入报销!$G:$G,MATCH($A1238&amp;"-2",输入报销!$J:$J,0)),2),0)</f>
        <v>0</v>
      </c>
      <c r="H1238" s="49" t="str">
        <f aca="false">IF(ROUND($G1238,2)&gt;0,ROUND($G1238,2),"")</f>
        <v/>
      </c>
      <c r="I1238" s="49" t="str">
        <f aca="false">IF(ROUND($G1238,2)&lt;0,-ROUND($G1238,2),"")</f>
        <v/>
      </c>
      <c r="J1238" s="20" t="n">
        <f aca="false">IF(ROUND($G1238,2)=0,0,1)</f>
        <v>0</v>
      </c>
      <c r="K1238" s="20" t="str">
        <f aca="false">IF($J1238=0,"",SUM($J$1237:$J1238))</f>
        <v/>
      </c>
      <c r="L1238" s="20" t="str">
        <f aca="false">IF($K1238="","",$A1238*100+$K1238)</f>
        <v/>
      </c>
      <c r="M1238" s="48" t="str">
        <f aca="false">IFERROR(INDEX(输入报销!$D:$D,MATCH($A1238&amp;"-2",输入报销!$J:$J,0))&amp;"","")</f>
        <v/>
      </c>
    </row>
    <row r="1239" customFormat="false" ht="13.5" hidden="false" customHeight="false" outlineLevel="0" collapsed="false">
      <c r="A1239" s="47" t="n">
        <v>96</v>
      </c>
      <c r="C1239" s="48" t="str">
        <f aca="false">助手报销!$C97</f>
        <v/>
      </c>
      <c r="D1239" s="81" t="s">
        <v>481</v>
      </c>
      <c r="E1239" s="48" t="str">
        <f aca="false">IFERROR(INDEX(输入报销!$E:$E,MATCH($A1239&amp;"-3",输入报销!$J:$J,0))&amp;"","")</f>
        <v/>
      </c>
      <c r="F1239" s="48" t="str">
        <f aca="false">IFERROR(INDEX(输入报销!$F:$F,MATCH($A1239&amp;"-3",输入报销!$J:$J,0))&amp;"","")</f>
        <v/>
      </c>
      <c r="G1239" s="49" t="n">
        <f aca="false">IFERROR(ROUND(INDEX(输入报销!$G:$G,MATCH($A1239&amp;"-3",输入报销!$J:$J,0)),2),0)</f>
        <v>0</v>
      </c>
      <c r="H1239" s="49" t="str">
        <f aca="false">IF(ROUND($G1239,2)&gt;0,ROUND($G1239,2),"")</f>
        <v/>
      </c>
      <c r="I1239" s="49" t="str">
        <f aca="false">IF(ROUND($G1239,2)&lt;0,-ROUND($G1239,2),"")</f>
        <v/>
      </c>
      <c r="J1239" s="20" t="n">
        <f aca="false">IF(ROUND($G1239,2)=0,0,1)</f>
        <v>0</v>
      </c>
      <c r="K1239" s="20" t="str">
        <f aca="false">IF($J1239=0,"",SUM($J$1237:$J1239))</f>
        <v/>
      </c>
      <c r="L1239" s="20" t="str">
        <f aca="false">IF($K1239="","",$A1239*100+$K1239)</f>
        <v/>
      </c>
      <c r="M1239" s="48" t="str">
        <f aca="false">IFERROR(INDEX(输入报销!$D:$D,MATCH($A1239&amp;"-3",输入报销!$J:$J,0))&amp;"","")</f>
        <v/>
      </c>
    </row>
    <row r="1240" customFormat="false" ht="13.5" hidden="false" customHeight="false" outlineLevel="0" collapsed="false">
      <c r="A1240" s="47" t="n">
        <v>96</v>
      </c>
      <c r="C1240" s="48" t="str">
        <f aca="false">助手报销!$C97</f>
        <v/>
      </c>
      <c r="D1240" s="81" t="s">
        <v>482</v>
      </c>
      <c r="E1240" s="48" t="str">
        <f aca="false">IFERROR(INDEX(输入报销!$E:$E,MATCH($A1240&amp;"-4",输入报销!$J:$J,0))&amp;"","")</f>
        <v/>
      </c>
      <c r="F1240" s="48" t="str">
        <f aca="false">IFERROR(INDEX(输入报销!$F:$F,MATCH($A1240&amp;"-4",输入报销!$J:$J,0))&amp;"","")</f>
        <v/>
      </c>
      <c r="G1240" s="49" t="n">
        <f aca="false">IFERROR(ROUND(INDEX(输入报销!$G:$G,MATCH($A1240&amp;"-4",输入报销!$J:$J,0)),2),0)</f>
        <v>0</v>
      </c>
      <c r="H1240" s="49" t="str">
        <f aca="false">IF(ROUND($G1240,2)&gt;0,ROUND($G1240,2),"")</f>
        <v/>
      </c>
      <c r="I1240" s="49" t="str">
        <f aca="false">IF(ROUND($G1240,2)&lt;0,-ROUND($G1240,2),"")</f>
        <v/>
      </c>
      <c r="J1240" s="20" t="n">
        <f aca="false">IF(ROUND($G1240,2)=0,0,1)</f>
        <v>0</v>
      </c>
      <c r="K1240" s="20" t="str">
        <f aca="false">IF($J1240=0,"",SUM($J$1237:$J1240))</f>
        <v/>
      </c>
      <c r="L1240" s="20" t="str">
        <f aca="false">IF($K1240="","",$A1240*100+$K1240)</f>
        <v/>
      </c>
      <c r="M1240" s="48" t="str">
        <f aca="false">IFERROR(INDEX(输入报销!$D:$D,MATCH($A1240&amp;"-4",输入报销!$J:$J,0))&amp;"","")</f>
        <v/>
      </c>
    </row>
    <row r="1241" customFormat="false" ht="13.5" hidden="false" customHeight="false" outlineLevel="0" collapsed="false">
      <c r="A1241" s="47" t="n">
        <v>96</v>
      </c>
      <c r="C1241" s="48" t="str">
        <f aca="false">助手报销!$C97</f>
        <v/>
      </c>
      <c r="D1241" s="81" t="s">
        <v>483</v>
      </c>
      <c r="E1241" s="48" t="str">
        <f aca="false">IFERROR(INDEX(输入报销!$E:$E,MATCH($A1241&amp;"-5",输入报销!$J:$J,0))&amp;"","")</f>
        <v/>
      </c>
      <c r="F1241" s="48" t="str">
        <f aca="false">IFERROR(INDEX(输入报销!$F:$F,MATCH($A1241&amp;"-5",输入报销!$J:$J,0))&amp;"","")</f>
        <v/>
      </c>
      <c r="G1241" s="49" t="n">
        <f aca="false">IFERROR(ROUND(INDEX(输入报销!$G:$G,MATCH($A1241&amp;"-5",输入报销!$J:$J,0)),2),0)</f>
        <v>0</v>
      </c>
      <c r="H1241" s="49" t="str">
        <f aca="false">IF(ROUND($G1241,2)&gt;0,ROUND($G1241,2),"")</f>
        <v/>
      </c>
      <c r="I1241" s="49" t="str">
        <f aca="false">IF(ROUND($G1241,2)&lt;0,-ROUND($G1241,2),"")</f>
        <v/>
      </c>
      <c r="J1241" s="20" t="n">
        <f aca="false">IF(ROUND($G1241,2)=0,0,1)</f>
        <v>0</v>
      </c>
      <c r="K1241" s="20" t="str">
        <f aca="false">IF($J1241=0,"",SUM($J$1237:$J1241))</f>
        <v/>
      </c>
      <c r="L1241" s="20" t="str">
        <f aca="false">IF($K1241="","",$A1241*100+$K1241)</f>
        <v/>
      </c>
      <c r="M1241" s="48" t="str">
        <f aca="false">IFERROR(INDEX(输入报销!$D:$D,MATCH($A1241&amp;"-5",输入报销!$J:$J,0))&amp;"","")</f>
        <v/>
      </c>
    </row>
    <row r="1242" customFormat="false" ht="13.5" hidden="false" customHeight="false" outlineLevel="0" collapsed="false">
      <c r="A1242" s="47" t="n">
        <v>96</v>
      </c>
      <c r="C1242" s="48" t="str">
        <f aca="false">助手报销!$C97</f>
        <v/>
      </c>
      <c r="D1242" s="81" t="s">
        <v>484</v>
      </c>
      <c r="E1242" s="48" t="str">
        <f aca="false">IFERROR(INDEX(输入报销!$E:$E,MATCH($A1242&amp;"-6",输入报销!$J:$J,0))&amp;"","")</f>
        <v/>
      </c>
      <c r="F1242" s="48" t="str">
        <f aca="false">IFERROR(INDEX(输入报销!$F:$F,MATCH($A1242&amp;"-6",输入报销!$J:$J,0))&amp;"","")</f>
        <v/>
      </c>
      <c r="G1242" s="49" t="n">
        <f aca="false">IFERROR(ROUND(INDEX(输入报销!$G:$G,MATCH($A1242&amp;"-6",输入报销!$J:$J,0)),2),0)</f>
        <v>0</v>
      </c>
      <c r="H1242" s="49" t="str">
        <f aca="false">IF(ROUND($G1242,2)&gt;0,ROUND($G1242,2),"")</f>
        <v/>
      </c>
      <c r="I1242" s="49" t="str">
        <f aca="false">IF(ROUND($G1242,2)&lt;0,-ROUND($G1242,2),"")</f>
        <v/>
      </c>
      <c r="J1242" s="20" t="n">
        <f aca="false">IF(ROUND($G1242,2)=0,0,1)</f>
        <v>0</v>
      </c>
      <c r="K1242" s="20" t="str">
        <f aca="false">IF($J1242=0,"",SUM($J$1237:$J1242))</f>
        <v/>
      </c>
      <c r="L1242" s="20" t="str">
        <f aca="false">IF($K1242="","",$A1242*100+$K1242)</f>
        <v/>
      </c>
      <c r="M1242" s="48" t="str">
        <f aca="false">IFERROR(INDEX(输入报销!$D:$D,MATCH($A1242&amp;"-6",输入报销!$J:$J,0))&amp;"","")</f>
        <v/>
      </c>
    </row>
    <row r="1243" customFormat="false" ht="13.5" hidden="false" customHeight="false" outlineLevel="0" collapsed="false">
      <c r="A1243" s="47" t="n">
        <v>96</v>
      </c>
      <c r="C1243" s="48" t="str">
        <f aca="false">助手报销!$C97</f>
        <v/>
      </c>
      <c r="D1243" s="81" t="s">
        <v>485</v>
      </c>
      <c r="E1243" s="48" t="str">
        <f aca="false">IFERROR(INDEX(输入报销!$E:$E,MATCH($A1243&amp;"-7",输入报销!$J:$J,0))&amp;"","")</f>
        <v/>
      </c>
      <c r="F1243" s="48" t="str">
        <f aca="false">IFERROR(INDEX(输入报销!$F:$F,MATCH($A1243&amp;"-7",输入报销!$J:$J,0))&amp;"","")</f>
        <v/>
      </c>
      <c r="G1243" s="49" t="n">
        <f aca="false">IFERROR(ROUND(INDEX(输入报销!$G:$G,MATCH($A1243&amp;"-7",输入报销!$J:$J,0)),2),0)</f>
        <v>0</v>
      </c>
      <c r="H1243" s="49" t="str">
        <f aca="false">IF(ROUND($G1243,2)&gt;0,ROUND($G1243,2),"")</f>
        <v/>
      </c>
      <c r="I1243" s="49" t="str">
        <f aca="false">IF(ROUND($G1243,2)&lt;0,-ROUND($G1243,2),"")</f>
        <v/>
      </c>
      <c r="J1243" s="20" t="n">
        <f aca="false">IF(ROUND($G1243,2)=0,0,1)</f>
        <v>0</v>
      </c>
      <c r="K1243" s="20" t="str">
        <f aca="false">IF($J1243=0,"",SUM($J$1237:$J1243))</f>
        <v/>
      </c>
      <c r="L1243" s="20" t="str">
        <f aca="false">IF($K1243="","",$A1243*100+$K1243)</f>
        <v/>
      </c>
      <c r="M1243" s="48" t="str">
        <f aca="false">IFERROR(INDEX(输入报销!$D:$D,MATCH($A1243&amp;"-7",输入报销!$J:$J,0))&amp;"","")</f>
        <v/>
      </c>
    </row>
    <row r="1244" customFormat="false" ht="13.5" hidden="false" customHeight="false" outlineLevel="0" collapsed="false">
      <c r="A1244" s="47" t="n">
        <v>96</v>
      </c>
      <c r="C1244" s="48" t="str">
        <f aca="false">助手报销!$C97</f>
        <v/>
      </c>
      <c r="D1244" s="81" t="s">
        <v>486</v>
      </c>
      <c r="E1244" s="48" t="str">
        <f aca="false">IFERROR(INDEX(输入报销!$E:$E,MATCH($A1244&amp;"-8",输入报销!$J:$J,0))&amp;"","")</f>
        <v/>
      </c>
      <c r="F1244" s="48" t="str">
        <f aca="false">IFERROR(INDEX(输入报销!$F:$F,MATCH($A1244&amp;"-8",输入报销!$J:$J,0))&amp;"","")</f>
        <v/>
      </c>
      <c r="G1244" s="49" t="n">
        <f aca="false">IFERROR(ROUND(INDEX(输入报销!$G:$G,MATCH($A1244&amp;"-8",输入报销!$J:$J,0)),2),0)</f>
        <v>0</v>
      </c>
      <c r="H1244" s="49" t="str">
        <f aca="false">IF(ROUND($G1244,2)&gt;0,ROUND($G1244,2),"")</f>
        <v/>
      </c>
      <c r="I1244" s="49" t="str">
        <f aca="false">IF(ROUND($G1244,2)&lt;0,-ROUND($G1244,2),"")</f>
        <v/>
      </c>
      <c r="J1244" s="20" t="n">
        <f aca="false">IF(ROUND($G1244,2)=0,0,1)</f>
        <v>0</v>
      </c>
      <c r="K1244" s="20" t="str">
        <f aca="false">IF($J1244=0,"",SUM($J$1237:$J1244))</f>
        <v/>
      </c>
      <c r="L1244" s="20" t="str">
        <f aca="false">IF($K1244="","",$A1244*100+$K1244)</f>
        <v/>
      </c>
      <c r="M1244" s="48" t="str">
        <f aca="false">IFERROR(INDEX(输入报销!$D:$D,MATCH($A1244&amp;"-8",输入报销!$J:$J,0))&amp;"","")</f>
        <v/>
      </c>
    </row>
    <row r="1245" customFormat="false" ht="13.5" hidden="false" customHeight="false" outlineLevel="0" collapsed="false">
      <c r="A1245" s="47" t="n">
        <v>96</v>
      </c>
      <c r="C1245" s="48" t="str">
        <f aca="false">助手报销!$C97</f>
        <v/>
      </c>
      <c r="D1245" s="81" t="s">
        <v>487</v>
      </c>
      <c r="E1245" s="48" t="str">
        <f aca="false">IFERROR(INDEX(输入报销!$E:$E,MATCH($A1245&amp;"-9",输入报销!$J:$J,0))&amp;"","")</f>
        <v/>
      </c>
      <c r="F1245" s="48" t="str">
        <f aca="false">IFERROR(INDEX(输入报销!$F:$F,MATCH($A1245&amp;"-9",输入报销!$J:$J,0))&amp;"","")</f>
        <v/>
      </c>
      <c r="G1245" s="49" t="n">
        <f aca="false">IFERROR(ROUND(INDEX(输入报销!$G:$G,MATCH($A1245&amp;"-9",输入报销!$J:$J,0)),2),0)</f>
        <v>0</v>
      </c>
      <c r="H1245" s="49" t="str">
        <f aca="false">IF(ROUND($G1245,2)&gt;0,ROUND($G1245,2),"")</f>
        <v/>
      </c>
      <c r="I1245" s="49" t="str">
        <f aca="false">IF(ROUND($G1245,2)&lt;0,-ROUND($G1245,2),"")</f>
        <v/>
      </c>
      <c r="J1245" s="20" t="n">
        <f aca="false">IF(ROUND($G1245,2)=0,0,1)</f>
        <v>0</v>
      </c>
      <c r="K1245" s="20" t="str">
        <f aca="false">IF($J1245=0,"",SUM($J$1237:$J1245))</f>
        <v/>
      </c>
      <c r="L1245" s="20" t="str">
        <f aca="false">IF($K1245="","",$A1245*100+$K1245)</f>
        <v/>
      </c>
      <c r="M1245" s="48" t="str">
        <f aca="false">IFERROR(INDEX(输入报销!$D:$D,MATCH($A1245&amp;"-9",输入报销!$J:$J,0))&amp;"","")</f>
        <v/>
      </c>
    </row>
    <row r="1246" customFormat="false" ht="13.5" hidden="false" customHeight="false" outlineLevel="0" collapsed="false">
      <c r="A1246" s="47" t="n">
        <v>96</v>
      </c>
      <c r="C1246" s="48" t="str">
        <f aca="false">助手报销!$C97</f>
        <v/>
      </c>
      <c r="D1246" s="81" t="s">
        <v>488</v>
      </c>
      <c r="E1246" s="48" t="str">
        <f aca="false">IFERROR(INDEX(输入报销!$E:$E,MATCH($A1246&amp;"-10",输入报销!$J:$J,0))&amp;"","")</f>
        <v/>
      </c>
      <c r="F1246" s="48" t="str">
        <f aca="false">IFERROR(INDEX(输入报销!$F:$F,MATCH($A1246&amp;"-10",输入报销!$J:$J,0))&amp;"","")</f>
        <v/>
      </c>
      <c r="G1246" s="49" t="n">
        <f aca="false">IFERROR(ROUND(INDEX(输入报销!$G:$G,MATCH($A1246&amp;"-10",输入报销!$J:$J,0)),2),0)</f>
        <v>0</v>
      </c>
      <c r="H1246" s="49" t="str">
        <f aca="false">IF(ROUND($G1246,2)&gt;0,ROUND($G1246,2),"")</f>
        <v/>
      </c>
      <c r="I1246" s="49" t="str">
        <f aca="false">IF(ROUND($G1246,2)&lt;0,-ROUND($G1246,2),"")</f>
        <v/>
      </c>
      <c r="J1246" s="20" t="n">
        <f aca="false">IF(ROUND($G1246,2)=0,0,1)</f>
        <v>0</v>
      </c>
      <c r="K1246" s="20" t="str">
        <f aca="false">IF($J1246=0,"",SUM($J$1237:$J1246))</f>
        <v/>
      </c>
      <c r="L1246" s="20" t="str">
        <f aca="false">IF($K1246="","",$A1246*100+$K1246)</f>
        <v/>
      </c>
      <c r="M1246" s="48" t="str">
        <f aca="false">IFERROR(INDEX(输入报销!$D:$D,MATCH($A1246&amp;"-10",输入报销!$J:$J,0))&amp;"","")</f>
        <v/>
      </c>
    </row>
    <row r="1247" customFormat="false" ht="13.5" hidden="false" customHeight="false" outlineLevel="0" collapsed="false">
      <c r="A1247" s="47" t="n">
        <v>96</v>
      </c>
      <c r="C1247" s="48" t="str">
        <f aca="false">助手报销!$C97</f>
        <v/>
      </c>
      <c r="D1247" s="81" t="s">
        <v>489</v>
      </c>
      <c r="E1247" s="48" t="str">
        <f aca="false">参数!$B$6</f>
        <v>库存现金</v>
      </c>
      <c r="F1247" s="48" t="str">
        <f aca="false">""</f>
        <v/>
      </c>
      <c r="G1247" s="49" t="n">
        <f aca="false">-ROUND(SUMIFS(输入报销!$G:$G,输入报销!$A:$A,$A1247,输入报销!$H:$H,参数!$B$6),2)</f>
        <v>-0</v>
      </c>
      <c r="H1247" s="49" t="str">
        <f aca="false">IF(ROUND($G1247,2)&gt;0,ROUND($G1247,2),"")</f>
        <v/>
      </c>
      <c r="I1247" s="49" t="str">
        <f aca="false">IF(ROUND($G1247,2)&lt;0,-ROUND($G1247,2),"")</f>
        <v/>
      </c>
      <c r="J1247" s="20" t="n">
        <f aca="false">IF(ROUND($G1247,2)=0,0,1)</f>
        <v>0</v>
      </c>
      <c r="K1247" s="20" t="str">
        <f aca="false">IF($J1247=0,"",SUM($J$1237:$J1247))</f>
        <v/>
      </c>
      <c r="L1247" s="20" t="str">
        <f aca="false">IF($K1247="","",$A1247*100+$K1247)</f>
        <v/>
      </c>
      <c r="M1247" s="48" t="str">
        <f aca="false">""</f>
        <v/>
      </c>
    </row>
    <row r="1248" customFormat="false" ht="13.5" hidden="false" customHeight="false" outlineLevel="0" collapsed="false">
      <c r="A1248" s="47" t="n">
        <v>96</v>
      </c>
      <c r="C1248" s="48" t="str">
        <f aca="false">助手报销!$C97</f>
        <v/>
      </c>
      <c r="D1248" s="81" t="s">
        <v>490</v>
      </c>
      <c r="E1248" s="48" t="str">
        <f aca="false">参数!$B$7</f>
        <v>银行存款</v>
      </c>
      <c r="F1248" s="48" t="str">
        <f aca="false">""</f>
        <v/>
      </c>
      <c r="G1248" s="49" t="n">
        <f aca="false">-ROUND(SUMIFS(输入报销!$G:$G,输入报销!$A:$A,$A1248,输入报销!$H:$H,参数!$B$7),2)</f>
        <v>-0</v>
      </c>
      <c r="H1248" s="49" t="str">
        <f aca="false">IF(ROUND($G1248,2)&gt;0,ROUND($G1248,2),"")</f>
        <v/>
      </c>
      <c r="I1248" s="49" t="str">
        <f aca="false">IF(ROUND($G1248,2)&lt;0,-ROUND($G1248,2),"")</f>
        <v/>
      </c>
      <c r="J1248" s="20" t="n">
        <f aca="false">IF(ROUND($G1248,2)=0,0,1)</f>
        <v>0</v>
      </c>
      <c r="K1248" s="20" t="str">
        <f aca="false">IF($J1248=0,"",SUM($J$1237:$J1248))</f>
        <v/>
      </c>
      <c r="L1248" s="20" t="str">
        <f aca="false">IF($K1248="","",$A1248*100+$K1248)</f>
        <v/>
      </c>
      <c r="M1248" s="48" t="str">
        <f aca="false">""</f>
        <v/>
      </c>
    </row>
    <row r="1249" customFormat="false" ht="13.5" hidden="false" customHeight="false" outlineLevel="0" collapsed="false">
      <c r="A1249" s="47" t="n">
        <v>96</v>
      </c>
      <c r="C1249" s="48" t="str">
        <f aca="false">助手报销!$C97</f>
        <v/>
      </c>
      <c r="D1249" s="81" t="s">
        <v>491</v>
      </c>
      <c r="E1249" s="48" t="str">
        <f aca="false">参数!$B$8</f>
        <v>其他应付款</v>
      </c>
      <c r="F1249" s="48" t="str">
        <f aca="false">""</f>
        <v/>
      </c>
      <c r="G1249" s="49" t="n">
        <f aca="false">-ROUND(SUMIFS(输入报销!$G:$G,输入报销!$A:$A,$A1249,输入报销!$H:$H,参数!$B$8),2)</f>
        <v>-0</v>
      </c>
      <c r="H1249" s="49" t="str">
        <f aca="false">IF(ROUND($G1249,2)&gt;0,ROUND($G1249,2),"")</f>
        <v/>
      </c>
      <c r="I1249" s="49" t="str">
        <f aca="false">IF(ROUND($G1249,2)&lt;0,-ROUND($G1249,2),"")</f>
        <v/>
      </c>
      <c r="J1249" s="20" t="n">
        <f aca="false">IF(ROUND($G1249,2)=0,0,1)</f>
        <v>0</v>
      </c>
      <c r="K1249" s="20" t="str">
        <f aca="false">IF($J1249=0,"",SUM($J$1237:$J1249))</f>
        <v/>
      </c>
      <c r="L1249" s="20" t="str">
        <f aca="false">IF($K1249="","",$A1249*100+$K1249)</f>
        <v/>
      </c>
      <c r="M1249" s="48" t="str">
        <f aca="false">""</f>
        <v/>
      </c>
    </row>
    <row r="1250" customFormat="false" ht="13.5" hidden="false" customHeight="false" outlineLevel="0" collapsed="false">
      <c r="A1250" s="47" t="n">
        <v>97</v>
      </c>
      <c r="C1250" s="48" t="str">
        <f aca="false">助手报销!$C98</f>
        <v/>
      </c>
      <c r="D1250" s="81" t="s">
        <v>479</v>
      </c>
      <c r="E1250" s="48" t="str">
        <f aca="false">IFERROR(INDEX(输入报销!$E:$E,MATCH($A1250&amp;"-1",输入报销!$J:$J,0))&amp;"","")</f>
        <v/>
      </c>
      <c r="F1250" s="48" t="str">
        <f aca="false">IFERROR(INDEX(输入报销!$F:$F,MATCH($A1250&amp;"-1",输入报销!$J:$J,0))&amp;"","")</f>
        <v/>
      </c>
      <c r="G1250" s="49" t="n">
        <f aca="false">IFERROR(ROUND(INDEX(输入报销!$G:$G,MATCH($A1250&amp;"-1",输入报销!$J:$J,0)),2),0)</f>
        <v>0</v>
      </c>
      <c r="H1250" s="49" t="str">
        <f aca="false">IF(ROUND($G1250,2)&gt;0,ROUND($G1250,2),"")</f>
        <v/>
      </c>
      <c r="I1250" s="49" t="str">
        <f aca="false">IF(ROUND($G1250,2)&lt;0,-ROUND($G1250,2),"")</f>
        <v/>
      </c>
      <c r="J1250" s="20" t="n">
        <f aca="false">IF(ROUND($G1250,2)=0,0,1)</f>
        <v>0</v>
      </c>
      <c r="K1250" s="20" t="str">
        <f aca="false">IF($J1250=0,"",SUM($J$1250:$J1250))</f>
        <v/>
      </c>
      <c r="L1250" s="20" t="str">
        <f aca="false">IF($K1250="","",$A1250*100+$K1250)</f>
        <v/>
      </c>
      <c r="M1250" s="48" t="str">
        <f aca="false">IFERROR(INDEX(输入报销!$D:$D,MATCH($A1250&amp;"-1",输入报销!$J:$J,0))&amp;"","")</f>
        <v/>
      </c>
    </row>
    <row r="1251" customFormat="false" ht="13.5" hidden="false" customHeight="false" outlineLevel="0" collapsed="false">
      <c r="A1251" s="47" t="n">
        <v>97</v>
      </c>
      <c r="C1251" s="48" t="str">
        <f aca="false">助手报销!$C98</f>
        <v/>
      </c>
      <c r="D1251" s="81" t="s">
        <v>480</v>
      </c>
      <c r="E1251" s="48" t="str">
        <f aca="false">IFERROR(INDEX(输入报销!$E:$E,MATCH($A1251&amp;"-2",输入报销!$J:$J,0))&amp;"","")</f>
        <v/>
      </c>
      <c r="F1251" s="48" t="str">
        <f aca="false">IFERROR(INDEX(输入报销!$F:$F,MATCH($A1251&amp;"-2",输入报销!$J:$J,0))&amp;"","")</f>
        <v/>
      </c>
      <c r="G1251" s="49" t="n">
        <f aca="false">IFERROR(ROUND(INDEX(输入报销!$G:$G,MATCH($A1251&amp;"-2",输入报销!$J:$J,0)),2),0)</f>
        <v>0</v>
      </c>
      <c r="H1251" s="49" t="str">
        <f aca="false">IF(ROUND($G1251,2)&gt;0,ROUND($G1251,2),"")</f>
        <v/>
      </c>
      <c r="I1251" s="49" t="str">
        <f aca="false">IF(ROUND($G1251,2)&lt;0,-ROUND($G1251,2),"")</f>
        <v/>
      </c>
      <c r="J1251" s="20" t="n">
        <f aca="false">IF(ROUND($G1251,2)=0,0,1)</f>
        <v>0</v>
      </c>
      <c r="K1251" s="20" t="str">
        <f aca="false">IF($J1251=0,"",SUM($J$1250:$J1251))</f>
        <v/>
      </c>
      <c r="L1251" s="20" t="str">
        <f aca="false">IF($K1251="","",$A1251*100+$K1251)</f>
        <v/>
      </c>
      <c r="M1251" s="48" t="str">
        <f aca="false">IFERROR(INDEX(输入报销!$D:$D,MATCH($A1251&amp;"-2",输入报销!$J:$J,0))&amp;"","")</f>
        <v/>
      </c>
    </row>
    <row r="1252" customFormat="false" ht="13.5" hidden="false" customHeight="false" outlineLevel="0" collapsed="false">
      <c r="A1252" s="47" t="n">
        <v>97</v>
      </c>
      <c r="C1252" s="48" t="str">
        <f aca="false">助手报销!$C98</f>
        <v/>
      </c>
      <c r="D1252" s="81" t="s">
        <v>481</v>
      </c>
      <c r="E1252" s="48" t="str">
        <f aca="false">IFERROR(INDEX(输入报销!$E:$E,MATCH($A1252&amp;"-3",输入报销!$J:$J,0))&amp;"","")</f>
        <v/>
      </c>
      <c r="F1252" s="48" t="str">
        <f aca="false">IFERROR(INDEX(输入报销!$F:$F,MATCH($A1252&amp;"-3",输入报销!$J:$J,0))&amp;"","")</f>
        <v/>
      </c>
      <c r="G1252" s="49" t="n">
        <f aca="false">IFERROR(ROUND(INDEX(输入报销!$G:$G,MATCH($A1252&amp;"-3",输入报销!$J:$J,0)),2),0)</f>
        <v>0</v>
      </c>
      <c r="H1252" s="49" t="str">
        <f aca="false">IF(ROUND($G1252,2)&gt;0,ROUND($G1252,2),"")</f>
        <v/>
      </c>
      <c r="I1252" s="49" t="str">
        <f aca="false">IF(ROUND($G1252,2)&lt;0,-ROUND($G1252,2),"")</f>
        <v/>
      </c>
      <c r="J1252" s="20" t="n">
        <f aca="false">IF(ROUND($G1252,2)=0,0,1)</f>
        <v>0</v>
      </c>
      <c r="K1252" s="20" t="str">
        <f aca="false">IF($J1252=0,"",SUM($J$1250:$J1252))</f>
        <v/>
      </c>
      <c r="L1252" s="20" t="str">
        <f aca="false">IF($K1252="","",$A1252*100+$K1252)</f>
        <v/>
      </c>
      <c r="M1252" s="48" t="str">
        <f aca="false">IFERROR(INDEX(输入报销!$D:$D,MATCH($A1252&amp;"-3",输入报销!$J:$J,0))&amp;"","")</f>
        <v/>
      </c>
    </row>
    <row r="1253" customFormat="false" ht="13.5" hidden="false" customHeight="false" outlineLevel="0" collapsed="false">
      <c r="A1253" s="47" t="n">
        <v>97</v>
      </c>
      <c r="C1253" s="48" t="str">
        <f aca="false">助手报销!$C98</f>
        <v/>
      </c>
      <c r="D1253" s="81" t="s">
        <v>482</v>
      </c>
      <c r="E1253" s="48" t="str">
        <f aca="false">IFERROR(INDEX(输入报销!$E:$E,MATCH($A1253&amp;"-4",输入报销!$J:$J,0))&amp;"","")</f>
        <v/>
      </c>
      <c r="F1253" s="48" t="str">
        <f aca="false">IFERROR(INDEX(输入报销!$F:$F,MATCH($A1253&amp;"-4",输入报销!$J:$J,0))&amp;"","")</f>
        <v/>
      </c>
      <c r="G1253" s="49" t="n">
        <f aca="false">IFERROR(ROUND(INDEX(输入报销!$G:$G,MATCH($A1253&amp;"-4",输入报销!$J:$J,0)),2),0)</f>
        <v>0</v>
      </c>
      <c r="H1253" s="49" t="str">
        <f aca="false">IF(ROUND($G1253,2)&gt;0,ROUND($G1253,2),"")</f>
        <v/>
      </c>
      <c r="I1253" s="49" t="str">
        <f aca="false">IF(ROUND($G1253,2)&lt;0,-ROUND($G1253,2),"")</f>
        <v/>
      </c>
      <c r="J1253" s="20" t="n">
        <f aca="false">IF(ROUND($G1253,2)=0,0,1)</f>
        <v>0</v>
      </c>
      <c r="K1253" s="20" t="str">
        <f aca="false">IF($J1253=0,"",SUM($J$1250:$J1253))</f>
        <v/>
      </c>
      <c r="L1253" s="20" t="str">
        <f aca="false">IF($K1253="","",$A1253*100+$K1253)</f>
        <v/>
      </c>
      <c r="M1253" s="48" t="str">
        <f aca="false">IFERROR(INDEX(输入报销!$D:$D,MATCH($A1253&amp;"-4",输入报销!$J:$J,0))&amp;"","")</f>
        <v/>
      </c>
    </row>
    <row r="1254" customFormat="false" ht="13.5" hidden="false" customHeight="false" outlineLevel="0" collapsed="false">
      <c r="A1254" s="47" t="n">
        <v>97</v>
      </c>
      <c r="C1254" s="48" t="str">
        <f aca="false">助手报销!$C98</f>
        <v/>
      </c>
      <c r="D1254" s="81" t="s">
        <v>483</v>
      </c>
      <c r="E1254" s="48" t="str">
        <f aca="false">IFERROR(INDEX(输入报销!$E:$E,MATCH($A1254&amp;"-5",输入报销!$J:$J,0))&amp;"","")</f>
        <v/>
      </c>
      <c r="F1254" s="48" t="str">
        <f aca="false">IFERROR(INDEX(输入报销!$F:$F,MATCH($A1254&amp;"-5",输入报销!$J:$J,0))&amp;"","")</f>
        <v/>
      </c>
      <c r="G1254" s="49" t="n">
        <f aca="false">IFERROR(ROUND(INDEX(输入报销!$G:$G,MATCH($A1254&amp;"-5",输入报销!$J:$J,0)),2),0)</f>
        <v>0</v>
      </c>
      <c r="H1254" s="49" t="str">
        <f aca="false">IF(ROUND($G1254,2)&gt;0,ROUND($G1254,2),"")</f>
        <v/>
      </c>
      <c r="I1254" s="49" t="str">
        <f aca="false">IF(ROUND($G1254,2)&lt;0,-ROUND($G1254,2),"")</f>
        <v/>
      </c>
      <c r="J1254" s="20" t="n">
        <f aca="false">IF(ROUND($G1254,2)=0,0,1)</f>
        <v>0</v>
      </c>
      <c r="K1254" s="20" t="str">
        <f aca="false">IF($J1254=0,"",SUM($J$1250:$J1254))</f>
        <v/>
      </c>
      <c r="L1254" s="20" t="str">
        <f aca="false">IF($K1254="","",$A1254*100+$K1254)</f>
        <v/>
      </c>
      <c r="M1254" s="48" t="str">
        <f aca="false">IFERROR(INDEX(输入报销!$D:$D,MATCH($A1254&amp;"-5",输入报销!$J:$J,0))&amp;"","")</f>
        <v/>
      </c>
    </row>
    <row r="1255" customFormat="false" ht="13.5" hidden="false" customHeight="false" outlineLevel="0" collapsed="false">
      <c r="A1255" s="47" t="n">
        <v>97</v>
      </c>
      <c r="C1255" s="48" t="str">
        <f aca="false">助手报销!$C98</f>
        <v/>
      </c>
      <c r="D1255" s="81" t="s">
        <v>484</v>
      </c>
      <c r="E1255" s="48" t="str">
        <f aca="false">IFERROR(INDEX(输入报销!$E:$E,MATCH($A1255&amp;"-6",输入报销!$J:$J,0))&amp;"","")</f>
        <v/>
      </c>
      <c r="F1255" s="48" t="str">
        <f aca="false">IFERROR(INDEX(输入报销!$F:$F,MATCH($A1255&amp;"-6",输入报销!$J:$J,0))&amp;"","")</f>
        <v/>
      </c>
      <c r="G1255" s="49" t="n">
        <f aca="false">IFERROR(ROUND(INDEX(输入报销!$G:$G,MATCH($A1255&amp;"-6",输入报销!$J:$J,0)),2),0)</f>
        <v>0</v>
      </c>
      <c r="H1255" s="49" t="str">
        <f aca="false">IF(ROUND($G1255,2)&gt;0,ROUND($G1255,2),"")</f>
        <v/>
      </c>
      <c r="I1255" s="49" t="str">
        <f aca="false">IF(ROUND($G1255,2)&lt;0,-ROUND($G1255,2),"")</f>
        <v/>
      </c>
      <c r="J1255" s="20" t="n">
        <f aca="false">IF(ROUND($G1255,2)=0,0,1)</f>
        <v>0</v>
      </c>
      <c r="K1255" s="20" t="str">
        <f aca="false">IF($J1255=0,"",SUM($J$1250:$J1255))</f>
        <v/>
      </c>
      <c r="L1255" s="20" t="str">
        <f aca="false">IF($K1255="","",$A1255*100+$K1255)</f>
        <v/>
      </c>
      <c r="M1255" s="48" t="str">
        <f aca="false">IFERROR(INDEX(输入报销!$D:$D,MATCH($A1255&amp;"-6",输入报销!$J:$J,0))&amp;"","")</f>
        <v/>
      </c>
    </row>
    <row r="1256" customFormat="false" ht="13.5" hidden="false" customHeight="false" outlineLevel="0" collapsed="false">
      <c r="A1256" s="47" t="n">
        <v>97</v>
      </c>
      <c r="C1256" s="48" t="str">
        <f aca="false">助手报销!$C98</f>
        <v/>
      </c>
      <c r="D1256" s="81" t="s">
        <v>485</v>
      </c>
      <c r="E1256" s="48" t="str">
        <f aca="false">IFERROR(INDEX(输入报销!$E:$E,MATCH($A1256&amp;"-7",输入报销!$J:$J,0))&amp;"","")</f>
        <v/>
      </c>
      <c r="F1256" s="48" t="str">
        <f aca="false">IFERROR(INDEX(输入报销!$F:$F,MATCH($A1256&amp;"-7",输入报销!$J:$J,0))&amp;"","")</f>
        <v/>
      </c>
      <c r="G1256" s="49" t="n">
        <f aca="false">IFERROR(ROUND(INDEX(输入报销!$G:$G,MATCH($A1256&amp;"-7",输入报销!$J:$J,0)),2),0)</f>
        <v>0</v>
      </c>
      <c r="H1256" s="49" t="str">
        <f aca="false">IF(ROUND($G1256,2)&gt;0,ROUND($G1256,2),"")</f>
        <v/>
      </c>
      <c r="I1256" s="49" t="str">
        <f aca="false">IF(ROUND($G1256,2)&lt;0,-ROUND($G1256,2),"")</f>
        <v/>
      </c>
      <c r="J1256" s="20" t="n">
        <f aca="false">IF(ROUND($G1256,2)=0,0,1)</f>
        <v>0</v>
      </c>
      <c r="K1256" s="20" t="str">
        <f aca="false">IF($J1256=0,"",SUM($J$1250:$J1256))</f>
        <v/>
      </c>
      <c r="L1256" s="20" t="str">
        <f aca="false">IF($K1256="","",$A1256*100+$K1256)</f>
        <v/>
      </c>
      <c r="M1256" s="48" t="str">
        <f aca="false">IFERROR(INDEX(输入报销!$D:$D,MATCH($A1256&amp;"-7",输入报销!$J:$J,0))&amp;"","")</f>
        <v/>
      </c>
    </row>
    <row r="1257" customFormat="false" ht="13.5" hidden="false" customHeight="false" outlineLevel="0" collapsed="false">
      <c r="A1257" s="47" t="n">
        <v>97</v>
      </c>
      <c r="C1257" s="48" t="str">
        <f aca="false">助手报销!$C98</f>
        <v/>
      </c>
      <c r="D1257" s="81" t="s">
        <v>486</v>
      </c>
      <c r="E1257" s="48" t="str">
        <f aca="false">IFERROR(INDEX(输入报销!$E:$E,MATCH($A1257&amp;"-8",输入报销!$J:$J,0))&amp;"","")</f>
        <v/>
      </c>
      <c r="F1257" s="48" t="str">
        <f aca="false">IFERROR(INDEX(输入报销!$F:$F,MATCH($A1257&amp;"-8",输入报销!$J:$J,0))&amp;"","")</f>
        <v/>
      </c>
      <c r="G1257" s="49" t="n">
        <f aca="false">IFERROR(ROUND(INDEX(输入报销!$G:$G,MATCH($A1257&amp;"-8",输入报销!$J:$J,0)),2),0)</f>
        <v>0</v>
      </c>
      <c r="H1257" s="49" t="str">
        <f aca="false">IF(ROUND($G1257,2)&gt;0,ROUND($G1257,2),"")</f>
        <v/>
      </c>
      <c r="I1257" s="49" t="str">
        <f aca="false">IF(ROUND($G1257,2)&lt;0,-ROUND($G1257,2),"")</f>
        <v/>
      </c>
      <c r="J1257" s="20" t="n">
        <f aca="false">IF(ROUND($G1257,2)=0,0,1)</f>
        <v>0</v>
      </c>
      <c r="K1257" s="20" t="str">
        <f aca="false">IF($J1257=0,"",SUM($J$1250:$J1257))</f>
        <v/>
      </c>
      <c r="L1257" s="20" t="str">
        <f aca="false">IF($K1257="","",$A1257*100+$K1257)</f>
        <v/>
      </c>
      <c r="M1257" s="48" t="str">
        <f aca="false">IFERROR(INDEX(输入报销!$D:$D,MATCH($A1257&amp;"-8",输入报销!$J:$J,0))&amp;"","")</f>
        <v/>
      </c>
    </row>
    <row r="1258" customFormat="false" ht="13.5" hidden="false" customHeight="false" outlineLevel="0" collapsed="false">
      <c r="A1258" s="47" t="n">
        <v>97</v>
      </c>
      <c r="C1258" s="48" t="str">
        <f aca="false">助手报销!$C98</f>
        <v/>
      </c>
      <c r="D1258" s="81" t="s">
        <v>487</v>
      </c>
      <c r="E1258" s="48" t="str">
        <f aca="false">IFERROR(INDEX(输入报销!$E:$E,MATCH($A1258&amp;"-9",输入报销!$J:$J,0))&amp;"","")</f>
        <v/>
      </c>
      <c r="F1258" s="48" t="str">
        <f aca="false">IFERROR(INDEX(输入报销!$F:$F,MATCH($A1258&amp;"-9",输入报销!$J:$J,0))&amp;"","")</f>
        <v/>
      </c>
      <c r="G1258" s="49" t="n">
        <f aca="false">IFERROR(ROUND(INDEX(输入报销!$G:$G,MATCH($A1258&amp;"-9",输入报销!$J:$J,0)),2),0)</f>
        <v>0</v>
      </c>
      <c r="H1258" s="49" t="str">
        <f aca="false">IF(ROUND($G1258,2)&gt;0,ROUND($G1258,2),"")</f>
        <v/>
      </c>
      <c r="I1258" s="49" t="str">
        <f aca="false">IF(ROUND($G1258,2)&lt;0,-ROUND($G1258,2),"")</f>
        <v/>
      </c>
      <c r="J1258" s="20" t="n">
        <f aca="false">IF(ROUND($G1258,2)=0,0,1)</f>
        <v>0</v>
      </c>
      <c r="K1258" s="20" t="str">
        <f aca="false">IF($J1258=0,"",SUM($J$1250:$J1258))</f>
        <v/>
      </c>
      <c r="L1258" s="20" t="str">
        <f aca="false">IF($K1258="","",$A1258*100+$K1258)</f>
        <v/>
      </c>
      <c r="M1258" s="48" t="str">
        <f aca="false">IFERROR(INDEX(输入报销!$D:$D,MATCH($A1258&amp;"-9",输入报销!$J:$J,0))&amp;"","")</f>
        <v/>
      </c>
    </row>
    <row r="1259" customFormat="false" ht="13.5" hidden="false" customHeight="false" outlineLevel="0" collapsed="false">
      <c r="A1259" s="47" t="n">
        <v>97</v>
      </c>
      <c r="C1259" s="48" t="str">
        <f aca="false">助手报销!$C98</f>
        <v/>
      </c>
      <c r="D1259" s="81" t="s">
        <v>488</v>
      </c>
      <c r="E1259" s="48" t="str">
        <f aca="false">IFERROR(INDEX(输入报销!$E:$E,MATCH($A1259&amp;"-10",输入报销!$J:$J,0))&amp;"","")</f>
        <v/>
      </c>
      <c r="F1259" s="48" t="str">
        <f aca="false">IFERROR(INDEX(输入报销!$F:$F,MATCH($A1259&amp;"-10",输入报销!$J:$J,0))&amp;"","")</f>
        <v/>
      </c>
      <c r="G1259" s="49" t="n">
        <f aca="false">IFERROR(ROUND(INDEX(输入报销!$G:$G,MATCH($A1259&amp;"-10",输入报销!$J:$J,0)),2),0)</f>
        <v>0</v>
      </c>
      <c r="H1259" s="49" t="str">
        <f aca="false">IF(ROUND($G1259,2)&gt;0,ROUND($G1259,2),"")</f>
        <v/>
      </c>
      <c r="I1259" s="49" t="str">
        <f aca="false">IF(ROUND($G1259,2)&lt;0,-ROUND($G1259,2),"")</f>
        <v/>
      </c>
      <c r="J1259" s="20" t="n">
        <f aca="false">IF(ROUND($G1259,2)=0,0,1)</f>
        <v>0</v>
      </c>
      <c r="K1259" s="20" t="str">
        <f aca="false">IF($J1259=0,"",SUM($J$1250:$J1259))</f>
        <v/>
      </c>
      <c r="L1259" s="20" t="str">
        <f aca="false">IF($K1259="","",$A1259*100+$K1259)</f>
        <v/>
      </c>
      <c r="M1259" s="48" t="str">
        <f aca="false">IFERROR(INDEX(输入报销!$D:$D,MATCH($A1259&amp;"-10",输入报销!$J:$J,0))&amp;"","")</f>
        <v/>
      </c>
    </row>
    <row r="1260" customFormat="false" ht="13.5" hidden="false" customHeight="false" outlineLevel="0" collapsed="false">
      <c r="A1260" s="47" t="n">
        <v>97</v>
      </c>
      <c r="C1260" s="48" t="str">
        <f aca="false">助手报销!$C98</f>
        <v/>
      </c>
      <c r="D1260" s="81" t="s">
        <v>489</v>
      </c>
      <c r="E1260" s="48" t="str">
        <f aca="false">参数!$B$6</f>
        <v>库存现金</v>
      </c>
      <c r="F1260" s="48" t="str">
        <f aca="false">""</f>
        <v/>
      </c>
      <c r="G1260" s="49" t="n">
        <f aca="false">-ROUND(SUMIFS(输入报销!$G:$G,输入报销!$A:$A,$A1260,输入报销!$H:$H,参数!$B$6),2)</f>
        <v>-0</v>
      </c>
      <c r="H1260" s="49" t="str">
        <f aca="false">IF(ROUND($G1260,2)&gt;0,ROUND($G1260,2),"")</f>
        <v/>
      </c>
      <c r="I1260" s="49" t="str">
        <f aca="false">IF(ROUND($G1260,2)&lt;0,-ROUND($G1260,2),"")</f>
        <v/>
      </c>
      <c r="J1260" s="20" t="n">
        <f aca="false">IF(ROUND($G1260,2)=0,0,1)</f>
        <v>0</v>
      </c>
      <c r="K1260" s="20" t="str">
        <f aca="false">IF($J1260=0,"",SUM($J$1250:$J1260))</f>
        <v/>
      </c>
      <c r="L1260" s="20" t="str">
        <f aca="false">IF($K1260="","",$A1260*100+$K1260)</f>
        <v/>
      </c>
      <c r="M1260" s="48" t="str">
        <f aca="false">""</f>
        <v/>
      </c>
    </row>
    <row r="1261" customFormat="false" ht="13.5" hidden="false" customHeight="false" outlineLevel="0" collapsed="false">
      <c r="A1261" s="47" t="n">
        <v>97</v>
      </c>
      <c r="C1261" s="48" t="str">
        <f aca="false">助手报销!$C98</f>
        <v/>
      </c>
      <c r="D1261" s="81" t="s">
        <v>490</v>
      </c>
      <c r="E1261" s="48" t="str">
        <f aca="false">参数!$B$7</f>
        <v>银行存款</v>
      </c>
      <c r="F1261" s="48" t="str">
        <f aca="false">""</f>
        <v/>
      </c>
      <c r="G1261" s="49" t="n">
        <f aca="false">-ROUND(SUMIFS(输入报销!$G:$G,输入报销!$A:$A,$A1261,输入报销!$H:$H,参数!$B$7),2)</f>
        <v>-0</v>
      </c>
      <c r="H1261" s="49" t="str">
        <f aca="false">IF(ROUND($G1261,2)&gt;0,ROUND($G1261,2),"")</f>
        <v/>
      </c>
      <c r="I1261" s="49" t="str">
        <f aca="false">IF(ROUND($G1261,2)&lt;0,-ROUND($G1261,2),"")</f>
        <v/>
      </c>
      <c r="J1261" s="20" t="n">
        <f aca="false">IF(ROUND($G1261,2)=0,0,1)</f>
        <v>0</v>
      </c>
      <c r="K1261" s="20" t="str">
        <f aca="false">IF($J1261=0,"",SUM($J$1250:$J1261))</f>
        <v/>
      </c>
      <c r="L1261" s="20" t="str">
        <f aca="false">IF($K1261="","",$A1261*100+$K1261)</f>
        <v/>
      </c>
      <c r="M1261" s="48" t="str">
        <f aca="false">""</f>
        <v/>
      </c>
    </row>
    <row r="1262" customFormat="false" ht="13.5" hidden="false" customHeight="false" outlineLevel="0" collapsed="false">
      <c r="A1262" s="47" t="n">
        <v>97</v>
      </c>
      <c r="C1262" s="48" t="str">
        <f aca="false">助手报销!$C98</f>
        <v/>
      </c>
      <c r="D1262" s="81" t="s">
        <v>491</v>
      </c>
      <c r="E1262" s="48" t="str">
        <f aca="false">参数!$B$8</f>
        <v>其他应付款</v>
      </c>
      <c r="F1262" s="48" t="str">
        <f aca="false">""</f>
        <v/>
      </c>
      <c r="G1262" s="49" t="n">
        <f aca="false">-ROUND(SUMIFS(输入报销!$G:$G,输入报销!$A:$A,$A1262,输入报销!$H:$H,参数!$B$8),2)</f>
        <v>-0</v>
      </c>
      <c r="H1262" s="49" t="str">
        <f aca="false">IF(ROUND($G1262,2)&gt;0,ROUND($G1262,2),"")</f>
        <v/>
      </c>
      <c r="I1262" s="49" t="str">
        <f aca="false">IF(ROUND($G1262,2)&lt;0,-ROUND($G1262,2),"")</f>
        <v/>
      </c>
      <c r="J1262" s="20" t="n">
        <f aca="false">IF(ROUND($G1262,2)=0,0,1)</f>
        <v>0</v>
      </c>
      <c r="K1262" s="20" t="str">
        <f aca="false">IF($J1262=0,"",SUM($J$1250:$J1262))</f>
        <v/>
      </c>
      <c r="L1262" s="20" t="str">
        <f aca="false">IF($K1262="","",$A1262*100+$K1262)</f>
        <v/>
      </c>
      <c r="M1262" s="48" t="str">
        <f aca="false">""</f>
        <v/>
      </c>
    </row>
    <row r="1263" customFormat="false" ht="13.5" hidden="false" customHeight="false" outlineLevel="0" collapsed="false">
      <c r="A1263" s="47" t="n">
        <v>98</v>
      </c>
      <c r="C1263" s="48" t="str">
        <f aca="false">助手报销!$C99</f>
        <v/>
      </c>
      <c r="D1263" s="81" t="s">
        <v>479</v>
      </c>
      <c r="E1263" s="48" t="str">
        <f aca="false">IFERROR(INDEX(输入报销!$E:$E,MATCH($A1263&amp;"-1",输入报销!$J:$J,0))&amp;"","")</f>
        <v/>
      </c>
      <c r="F1263" s="48" t="str">
        <f aca="false">IFERROR(INDEX(输入报销!$F:$F,MATCH($A1263&amp;"-1",输入报销!$J:$J,0))&amp;"","")</f>
        <v/>
      </c>
      <c r="G1263" s="49" t="n">
        <f aca="false">IFERROR(ROUND(INDEX(输入报销!$G:$G,MATCH($A1263&amp;"-1",输入报销!$J:$J,0)),2),0)</f>
        <v>0</v>
      </c>
      <c r="H1263" s="49" t="str">
        <f aca="false">IF(ROUND($G1263,2)&gt;0,ROUND($G1263,2),"")</f>
        <v/>
      </c>
      <c r="I1263" s="49" t="str">
        <f aca="false">IF(ROUND($G1263,2)&lt;0,-ROUND($G1263,2),"")</f>
        <v/>
      </c>
      <c r="J1263" s="20" t="n">
        <f aca="false">IF(ROUND($G1263,2)=0,0,1)</f>
        <v>0</v>
      </c>
      <c r="K1263" s="20" t="str">
        <f aca="false">IF($J1263=0,"",SUM($J$1263:$J1263))</f>
        <v/>
      </c>
      <c r="L1263" s="20" t="str">
        <f aca="false">IF($K1263="","",$A1263*100+$K1263)</f>
        <v/>
      </c>
      <c r="M1263" s="48" t="str">
        <f aca="false">IFERROR(INDEX(输入报销!$D:$D,MATCH($A1263&amp;"-1",输入报销!$J:$J,0))&amp;"","")</f>
        <v/>
      </c>
    </row>
    <row r="1264" customFormat="false" ht="13.5" hidden="false" customHeight="false" outlineLevel="0" collapsed="false">
      <c r="A1264" s="47" t="n">
        <v>98</v>
      </c>
      <c r="C1264" s="48" t="str">
        <f aca="false">助手报销!$C99</f>
        <v/>
      </c>
      <c r="D1264" s="81" t="s">
        <v>480</v>
      </c>
      <c r="E1264" s="48" t="str">
        <f aca="false">IFERROR(INDEX(输入报销!$E:$E,MATCH($A1264&amp;"-2",输入报销!$J:$J,0))&amp;"","")</f>
        <v/>
      </c>
      <c r="F1264" s="48" t="str">
        <f aca="false">IFERROR(INDEX(输入报销!$F:$F,MATCH($A1264&amp;"-2",输入报销!$J:$J,0))&amp;"","")</f>
        <v/>
      </c>
      <c r="G1264" s="49" t="n">
        <f aca="false">IFERROR(ROUND(INDEX(输入报销!$G:$G,MATCH($A1264&amp;"-2",输入报销!$J:$J,0)),2),0)</f>
        <v>0</v>
      </c>
      <c r="H1264" s="49" t="str">
        <f aca="false">IF(ROUND($G1264,2)&gt;0,ROUND($G1264,2),"")</f>
        <v/>
      </c>
      <c r="I1264" s="49" t="str">
        <f aca="false">IF(ROUND($G1264,2)&lt;0,-ROUND($G1264,2),"")</f>
        <v/>
      </c>
      <c r="J1264" s="20" t="n">
        <f aca="false">IF(ROUND($G1264,2)=0,0,1)</f>
        <v>0</v>
      </c>
      <c r="K1264" s="20" t="str">
        <f aca="false">IF($J1264=0,"",SUM($J$1263:$J1264))</f>
        <v/>
      </c>
      <c r="L1264" s="20" t="str">
        <f aca="false">IF($K1264="","",$A1264*100+$K1264)</f>
        <v/>
      </c>
      <c r="M1264" s="48" t="str">
        <f aca="false">IFERROR(INDEX(输入报销!$D:$D,MATCH($A1264&amp;"-2",输入报销!$J:$J,0))&amp;"","")</f>
        <v/>
      </c>
    </row>
    <row r="1265" customFormat="false" ht="13.5" hidden="false" customHeight="false" outlineLevel="0" collapsed="false">
      <c r="A1265" s="47" t="n">
        <v>98</v>
      </c>
      <c r="C1265" s="48" t="str">
        <f aca="false">助手报销!$C99</f>
        <v/>
      </c>
      <c r="D1265" s="81" t="s">
        <v>481</v>
      </c>
      <c r="E1265" s="48" t="str">
        <f aca="false">IFERROR(INDEX(输入报销!$E:$E,MATCH($A1265&amp;"-3",输入报销!$J:$J,0))&amp;"","")</f>
        <v/>
      </c>
      <c r="F1265" s="48" t="str">
        <f aca="false">IFERROR(INDEX(输入报销!$F:$F,MATCH($A1265&amp;"-3",输入报销!$J:$J,0))&amp;"","")</f>
        <v/>
      </c>
      <c r="G1265" s="49" t="n">
        <f aca="false">IFERROR(ROUND(INDEX(输入报销!$G:$G,MATCH($A1265&amp;"-3",输入报销!$J:$J,0)),2),0)</f>
        <v>0</v>
      </c>
      <c r="H1265" s="49" t="str">
        <f aca="false">IF(ROUND($G1265,2)&gt;0,ROUND($G1265,2),"")</f>
        <v/>
      </c>
      <c r="I1265" s="49" t="str">
        <f aca="false">IF(ROUND($G1265,2)&lt;0,-ROUND($G1265,2),"")</f>
        <v/>
      </c>
      <c r="J1265" s="20" t="n">
        <f aca="false">IF(ROUND($G1265,2)=0,0,1)</f>
        <v>0</v>
      </c>
      <c r="K1265" s="20" t="str">
        <f aca="false">IF($J1265=0,"",SUM($J$1263:$J1265))</f>
        <v/>
      </c>
      <c r="L1265" s="20" t="str">
        <f aca="false">IF($K1265="","",$A1265*100+$K1265)</f>
        <v/>
      </c>
      <c r="M1265" s="48" t="str">
        <f aca="false">IFERROR(INDEX(输入报销!$D:$D,MATCH($A1265&amp;"-3",输入报销!$J:$J,0))&amp;"","")</f>
        <v/>
      </c>
    </row>
    <row r="1266" customFormat="false" ht="13.5" hidden="false" customHeight="false" outlineLevel="0" collapsed="false">
      <c r="A1266" s="47" t="n">
        <v>98</v>
      </c>
      <c r="C1266" s="48" t="str">
        <f aca="false">助手报销!$C99</f>
        <v/>
      </c>
      <c r="D1266" s="81" t="s">
        <v>482</v>
      </c>
      <c r="E1266" s="48" t="str">
        <f aca="false">IFERROR(INDEX(输入报销!$E:$E,MATCH($A1266&amp;"-4",输入报销!$J:$J,0))&amp;"","")</f>
        <v/>
      </c>
      <c r="F1266" s="48" t="str">
        <f aca="false">IFERROR(INDEX(输入报销!$F:$F,MATCH($A1266&amp;"-4",输入报销!$J:$J,0))&amp;"","")</f>
        <v/>
      </c>
      <c r="G1266" s="49" t="n">
        <f aca="false">IFERROR(ROUND(INDEX(输入报销!$G:$G,MATCH($A1266&amp;"-4",输入报销!$J:$J,0)),2),0)</f>
        <v>0</v>
      </c>
      <c r="H1266" s="49" t="str">
        <f aca="false">IF(ROUND($G1266,2)&gt;0,ROUND($G1266,2),"")</f>
        <v/>
      </c>
      <c r="I1266" s="49" t="str">
        <f aca="false">IF(ROUND($G1266,2)&lt;0,-ROUND($G1266,2),"")</f>
        <v/>
      </c>
      <c r="J1266" s="20" t="n">
        <f aca="false">IF(ROUND($G1266,2)=0,0,1)</f>
        <v>0</v>
      </c>
      <c r="K1266" s="20" t="str">
        <f aca="false">IF($J1266=0,"",SUM($J$1263:$J1266))</f>
        <v/>
      </c>
      <c r="L1266" s="20" t="str">
        <f aca="false">IF($K1266="","",$A1266*100+$K1266)</f>
        <v/>
      </c>
      <c r="M1266" s="48" t="str">
        <f aca="false">IFERROR(INDEX(输入报销!$D:$D,MATCH($A1266&amp;"-4",输入报销!$J:$J,0))&amp;"","")</f>
        <v/>
      </c>
    </row>
    <row r="1267" customFormat="false" ht="13.5" hidden="false" customHeight="false" outlineLevel="0" collapsed="false">
      <c r="A1267" s="47" t="n">
        <v>98</v>
      </c>
      <c r="C1267" s="48" t="str">
        <f aca="false">助手报销!$C99</f>
        <v/>
      </c>
      <c r="D1267" s="81" t="s">
        <v>483</v>
      </c>
      <c r="E1267" s="48" t="str">
        <f aca="false">IFERROR(INDEX(输入报销!$E:$E,MATCH($A1267&amp;"-5",输入报销!$J:$J,0))&amp;"","")</f>
        <v/>
      </c>
      <c r="F1267" s="48" t="str">
        <f aca="false">IFERROR(INDEX(输入报销!$F:$F,MATCH($A1267&amp;"-5",输入报销!$J:$J,0))&amp;"","")</f>
        <v/>
      </c>
      <c r="G1267" s="49" t="n">
        <f aca="false">IFERROR(ROUND(INDEX(输入报销!$G:$G,MATCH($A1267&amp;"-5",输入报销!$J:$J,0)),2),0)</f>
        <v>0</v>
      </c>
      <c r="H1267" s="49" t="str">
        <f aca="false">IF(ROUND($G1267,2)&gt;0,ROUND($G1267,2),"")</f>
        <v/>
      </c>
      <c r="I1267" s="49" t="str">
        <f aca="false">IF(ROUND($G1267,2)&lt;0,-ROUND($G1267,2),"")</f>
        <v/>
      </c>
      <c r="J1267" s="20" t="n">
        <f aca="false">IF(ROUND($G1267,2)=0,0,1)</f>
        <v>0</v>
      </c>
      <c r="K1267" s="20" t="str">
        <f aca="false">IF($J1267=0,"",SUM($J$1263:$J1267))</f>
        <v/>
      </c>
      <c r="L1267" s="20" t="str">
        <f aca="false">IF($K1267="","",$A1267*100+$K1267)</f>
        <v/>
      </c>
      <c r="M1267" s="48" t="str">
        <f aca="false">IFERROR(INDEX(输入报销!$D:$D,MATCH($A1267&amp;"-5",输入报销!$J:$J,0))&amp;"","")</f>
        <v/>
      </c>
    </row>
    <row r="1268" customFormat="false" ht="13.5" hidden="false" customHeight="false" outlineLevel="0" collapsed="false">
      <c r="A1268" s="47" t="n">
        <v>98</v>
      </c>
      <c r="C1268" s="48" t="str">
        <f aca="false">助手报销!$C99</f>
        <v/>
      </c>
      <c r="D1268" s="81" t="s">
        <v>484</v>
      </c>
      <c r="E1268" s="48" t="str">
        <f aca="false">IFERROR(INDEX(输入报销!$E:$E,MATCH($A1268&amp;"-6",输入报销!$J:$J,0))&amp;"","")</f>
        <v/>
      </c>
      <c r="F1268" s="48" t="str">
        <f aca="false">IFERROR(INDEX(输入报销!$F:$F,MATCH($A1268&amp;"-6",输入报销!$J:$J,0))&amp;"","")</f>
        <v/>
      </c>
      <c r="G1268" s="49" t="n">
        <f aca="false">IFERROR(ROUND(INDEX(输入报销!$G:$G,MATCH($A1268&amp;"-6",输入报销!$J:$J,0)),2),0)</f>
        <v>0</v>
      </c>
      <c r="H1268" s="49" t="str">
        <f aca="false">IF(ROUND($G1268,2)&gt;0,ROUND($G1268,2),"")</f>
        <v/>
      </c>
      <c r="I1268" s="49" t="str">
        <f aca="false">IF(ROUND($G1268,2)&lt;0,-ROUND($G1268,2),"")</f>
        <v/>
      </c>
      <c r="J1268" s="20" t="n">
        <f aca="false">IF(ROUND($G1268,2)=0,0,1)</f>
        <v>0</v>
      </c>
      <c r="K1268" s="20" t="str">
        <f aca="false">IF($J1268=0,"",SUM($J$1263:$J1268))</f>
        <v/>
      </c>
      <c r="L1268" s="20" t="str">
        <f aca="false">IF($K1268="","",$A1268*100+$K1268)</f>
        <v/>
      </c>
      <c r="M1268" s="48" t="str">
        <f aca="false">IFERROR(INDEX(输入报销!$D:$D,MATCH($A1268&amp;"-6",输入报销!$J:$J,0))&amp;"","")</f>
        <v/>
      </c>
    </row>
    <row r="1269" customFormat="false" ht="13.5" hidden="false" customHeight="false" outlineLevel="0" collapsed="false">
      <c r="A1269" s="47" t="n">
        <v>98</v>
      </c>
      <c r="C1269" s="48" t="str">
        <f aca="false">助手报销!$C99</f>
        <v/>
      </c>
      <c r="D1269" s="81" t="s">
        <v>485</v>
      </c>
      <c r="E1269" s="48" t="str">
        <f aca="false">IFERROR(INDEX(输入报销!$E:$E,MATCH($A1269&amp;"-7",输入报销!$J:$J,0))&amp;"","")</f>
        <v/>
      </c>
      <c r="F1269" s="48" t="str">
        <f aca="false">IFERROR(INDEX(输入报销!$F:$F,MATCH($A1269&amp;"-7",输入报销!$J:$J,0))&amp;"","")</f>
        <v/>
      </c>
      <c r="G1269" s="49" t="n">
        <f aca="false">IFERROR(ROUND(INDEX(输入报销!$G:$G,MATCH($A1269&amp;"-7",输入报销!$J:$J,0)),2),0)</f>
        <v>0</v>
      </c>
      <c r="H1269" s="49" t="str">
        <f aca="false">IF(ROUND($G1269,2)&gt;0,ROUND($G1269,2),"")</f>
        <v/>
      </c>
      <c r="I1269" s="49" t="str">
        <f aca="false">IF(ROUND($G1269,2)&lt;0,-ROUND($G1269,2),"")</f>
        <v/>
      </c>
      <c r="J1269" s="20" t="n">
        <f aca="false">IF(ROUND($G1269,2)=0,0,1)</f>
        <v>0</v>
      </c>
      <c r="K1269" s="20" t="str">
        <f aca="false">IF($J1269=0,"",SUM($J$1263:$J1269))</f>
        <v/>
      </c>
      <c r="L1269" s="20" t="str">
        <f aca="false">IF($K1269="","",$A1269*100+$K1269)</f>
        <v/>
      </c>
      <c r="M1269" s="48" t="str">
        <f aca="false">IFERROR(INDEX(输入报销!$D:$D,MATCH($A1269&amp;"-7",输入报销!$J:$J,0))&amp;"","")</f>
        <v/>
      </c>
    </row>
    <row r="1270" customFormat="false" ht="13.5" hidden="false" customHeight="false" outlineLevel="0" collapsed="false">
      <c r="A1270" s="47" t="n">
        <v>98</v>
      </c>
      <c r="C1270" s="48" t="str">
        <f aca="false">助手报销!$C99</f>
        <v/>
      </c>
      <c r="D1270" s="81" t="s">
        <v>486</v>
      </c>
      <c r="E1270" s="48" t="str">
        <f aca="false">IFERROR(INDEX(输入报销!$E:$E,MATCH($A1270&amp;"-8",输入报销!$J:$J,0))&amp;"","")</f>
        <v/>
      </c>
      <c r="F1270" s="48" t="str">
        <f aca="false">IFERROR(INDEX(输入报销!$F:$F,MATCH($A1270&amp;"-8",输入报销!$J:$J,0))&amp;"","")</f>
        <v/>
      </c>
      <c r="G1270" s="49" t="n">
        <f aca="false">IFERROR(ROUND(INDEX(输入报销!$G:$G,MATCH($A1270&amp;"-8",输入报销!$J:$J,0)),2),0)</f>
        <v>0</v>
      </c>
      <c r="H1270" s="49" t="str">
        <f aca="false">IF(ROUND($G1270,2)&gt;0,ROUND($G1270,2),"")</f>
        <v/>
      </c>
      <c r="I1270" s="49" t="str">
        <f aca="false">IF(ROUND($G1270,2)&lt;0,-ROUND($G1270,2),"")</f>
        <v/>
      </c>
      <c r="J1270" s="20" t="n">
        <f aca="false">IF(ROUND($G1270,2)=0,0,1)</f>
        <v>0</v>
      </c>
      <c r="K1270" s="20" t="str">
        <f aca="false">IF($J1270=0,"",SUM($J$1263:$J1270))</f>
        <v/>
      </c>
      <c r="L1270" s="20" t="str">
        <f aca="false">IF($K1270="","",$A1270*100+$K1270)</f>
        <v/>
      </c>
      <c r="M1270" s="48" t="str">
        <f aca="false">IFERROR(INDEX(输入报销!$D:$D,MATCH($A1270&amp;"-8",输入报销!$J:$J,0))&amp;"","")</f>
        <v/>
      </c>
    </row>
    <row r="1271" customFormat="false" ht="13.5" hidden="false" customHeight="false" outlineLevel="0" collapsed="false">
      <c r="A1271" s="47" t="n">
        <v>98</v>
      </c>
      <c r="C1271" s="48" t="str">
        <f aca="false">助手报销!$C99</f>
        <v/>
      </c>
      <c r="D1271" s="81" t="s">
        <v>487</v>
      </c>
      <c r="E1271" s="48" t="str">
        <f aca="false">IFERROR(INDEX(输入报销!$E:$E,MATCH($A1271&amp;"-9",输入报销!$J:$J,0))&amp;"","")</f>
        <v/>
      </c>
      <c r="F1271" s="48" t="str">
        <f aca="false">IFERROR(INDEX(输入报销!$F:$F,MATCH($A1271&amp;"-9",输入报销!$J:$J,0))&amp;"","")</f>
        <v/>
      </c>
      <c r="G1271" s="49" t="n">
        <f aca="false">IFERROR(ROUND(INDEX(输入报销!$G:$G,MATCH($A1271&amp;"-9",输入报销!$J:$J,0)),2),0)</f>
        <v>0</v>
      </c>
      <c r="H1271" s="49" t="str">
        <f aca="false">IF(ROUND($G1271,2)&gt;0,ROUND($G1271,2),"")</f>
        <v/>
      </c>
      <c r="I1271" s="49" t="str">
        <f aca="false">IF(ROUND($G1271,2)&lt;0,-ROUND($G1271,2),"")</f>
        <v/>
      </c>
      <c r="J1271" s="20" t="n">
        <f aca="false">IF(ROUND($G1271,2)=0,0,1)</f>
        <v>0</v>
      </c>
      <c r="K1271" s="20" t="str">
        <f aca="false">IF($J1271=0,"",SUM($J$1263:$J1271))</f>
        <v/>
      </c>
      <c r="L1271" s="20" t="str">
        <f aca="false">IF($K1271="","",$A1271*100+$K1271)</f>
        <v/>
      </c>
      <c r="M1271" s="48" t="str">
        <f aca="false">IFERROR(INDEX(输入报销!$D:$D,MATCH($A1271&amp;"-9",输入报销!$J:$J,0))&amp;"","")</f>
        <v/>
      </c>
    </row>
    <row r="1272" customFormat="false" ht="13.5" hidden="false" customHeight="false" outlineLevel="0" collapsed="false">
      <c r="A1272" s="47" t="n">
        <v>98</v>
      </c>
      <c r="C1272" s="48" t="str">
        <f aca="false">助手报销!$C99</f>
        <v/>
      </c>
      <c r="D1272" s="81" t="s">
        <v>488</v>
      </c>
      <c r="E1272" s="48" t="str">
        <f aca="false">IFERROR(INDEX(输入报销!$E:$E,MATCH($A1272&amp;"-10",输入报销!$J:$J,0))&amp;"","")</f>
        <v/>
      </c>
      <c r="F1272" s="48" t="str">
        <f aca="false">IFERROR(INDEX(输入报销!$F:$F,MATCH($A1272&amp;"-10",输入报销!$J:$J,0))&amp;"","")</f>
        <v/>
      </c>
      <c r="G1272" s="49" t="n">
        <f aca="false">IFERROR(ROUND(INDEX(输入报销!$G:$G,MATCH($A1272&amp;"-10",输入报销!$J:$J,0)),2),0)</f>
        <v>0</v>
      </c>
      <c r="H1272" s="49" t="str">
        <f aca="false">IF(ROUND($G1272,2)&gt;0,ROUND($G1272,2),"")</f>
        <v/>
      </c>
      <c r="I1272" s="49" t="str">
        <f aca="false">IF(ROUND($G1272,2)&lt;0,-ROUND($G1272,2),"")</f>
        <v/>
      </c>
      <c r="J1272" s="20" t="n">
        <f aca="false">IF(ROUND($G1272,2)=0,0,1)</f>
        <v>0</v>
      </c>
      <c r="K1272" s="20" t="str">
        <f aca="false">IF($J1272=0,"",SUM($J$1263:$J1272))</f>
        <v/>
      </c>
      <c r="L1272" s="20" t="str">
        <f aca="false">IF($K1272="","",$A1272*100+$K1272)</f>
        <v/>
      </c>
      <c r="M1272" s="48" t="str">
        <f aca="false">IFERROR(INDEX(输入报销!$D:$D,MATCH($A1272&amp;"-10",输入报销!$J:$J,0))&amp;"","")</f>
        <v/>
      </c>
    </row>
    <row r="1273" customFormat="false" ht="13.5" hidden="false" customHeight="false" outlineLevel="0" collapsed="false">
      <c r="A1273" s="47" t="n">
        <v>98</v>
      </c>
      <c r="C1273" s="48" t="str">
        <f aca="false">助手报销!$C99</f>
        <v/>
      </c>
      <c r="D1273" s="81" t="s">
        <v>489</v>
      </c>
      <c r="E1273" s="48" t="str">
        <f aca="false">参数!$B$6</f>
        <v>库存现金</v>
      </c>
      <c r="F1273" s="48" t="str">
        <f aca="false">""</f>
        <v/>
      </c>
      <c r="G1273" s="49" t="n">
        <f aca="false">-ROUND(SUMIFS(输入报销!$G:$G,输入报销!$A:$A,$A1273,输入报销!$H:$H,参数!$B$6),2)</f>
        <v>-0</v>
      </c>
      <c r="H1273" s="49" t="str">
        <f aca="false">IF(ROUND($G1273,2)&gt;0,ROUND($G1273,2),"")</f>
        <v/>
      </c>
      <c r="I1273" s="49" t="str">
        <f aca="false">IF(ROUND($G1273,2)&lt;0,-ROUND($G1273,2),"")</f>
        <v/>
      </c>
      <c r="J1273" s="20" t="n">
        <f aca="false">IF(ROUND($G1273,2)=0,0,1)</f>
        <v>0</v>
      </c>
      <c r="K1273" s="20" t="str">
        <f aca="false">IF($J1273=0,"",SUM($J$1263:$J1273))</f>
        <v/>
      </c>
      <c r="L1273" s="20" t="str">
        <f aca="false">IF($K1273="","",$A1273*100+$K1273)</f>
        <v/>
      </c>
      <c r="M1273" s="48" t="str">
        <f aca="false">""</f>
        <v/>
      </c>
    </row>
    <row r="1274" customFormat="false" ht="13.5" hidden="false" customHeight="false" outlineLevel="0" collapsed="false">
      <c r="A1274" s="47" t="n">
        <v>98</v>
      </c>
      <c r="C1274" s="48" t="str">
        <f aca="false">助手报销!$C99</f>
        <v/>
      </c>
      <c r="D1274" s="81" t="s">
        <v>490</v>
      </c>
      <c r="E1274" s="48" t="str">
        <f aca="false">参数!$B$7</f>
        <v>银行存款</v>
      </c>
      <c r="F1274" s="48" t="str">
        <f aca="false">""</f>
        <v/>
      </c>
      <c r="G1274" s="49" t="n">
        <f aca="false">-ROUND(SUMIFS(输入报销!$G:$G,输入报销!$A:$A,$A1274,输入报销!$H:$H,参数!$B$7),2)</f>
        <v>-0</v>
      </c>
      <c r="H1274" s="49" t="str">
        <f aca="false">IF(ROUND($G1274,2)&gt;0,ROUND($G1274,2),"")</f>
        <v/>
      </c>
      <c r="I1274" s="49" t="str">
        <f aca="false">IF(ROUND($G1274,2)&lt;0,-ROUND($G1274,2),"")</f>
        <v/>
      </c>
      <c r="J1274" s="20" t="n">
        <f aca="false">IF(ROUND($G1274,2)=0,0,1)</f>
        <v>0</v>
      </c>
      <c r="K1274" s="20" t="str">
        <f aca="false">IF($J1274=0,"",SUM($J$1263:$J1274))</f>
        <v/>
      </c>
      <c r="L1274" s="20" t="str">
        <f aca="false">IF($K1274="","",$A1274*100+$K1274)</f>
        <v/>
      </c>
      <c r="M1274" s="48" t="str">
        <f aca="false">""</f>
        <v/>
      </c>
    </row>
    <row r="1275" customFormat="false" ht="13.5" hidden="false" customHeight="false" outlineLevel="0" collapsed="false">
      <c r="A1275" s="47" t="n">
        <v>98</v>
      </c>
      <c r="C1275" s="48" t="str">
        <f aca="false">助手报销!$C99</f>
        <v/>
      </c>
      <c r="D1275" s="81" t="s">
        <v>491</v>
      </c>
      <c r="E1275" s="48" t="str">
        <f aca="false">参数!$B$8</f>
        <v>其他应付款</v>
      </c>
      <c r="F1275" s="48" t="str">
        <f aca="false">""</f>
        <v/>
      </c>
      <c r="G1275" s="49" t="n">
        <f aca="false">-ROUND(SUMIFS(输入报销!$G:$G,输入报销!$A:$A,$A1275,输入报销!$H:$H,参数!$B$8),2)</f>
        <v>-0</v>
      </c>
      <c r="H1275" s="49" t="str">
        <f aca="false">IF(ROUND($G1275,2)&gt;0,ROUND($G1275,2),"")</f>
        <v/>
      </c>
      <c r="I1275" s="49" t="str">
        <f aca="false">IF(ROUND($G1275,2)&lt;0,-ROUND($G1275,2),"")</f>
        <v/>
      </c>
      <c r="J1275" s="20" t="n">
        <f aca="false">IF(ROUND($G1275,2)=0,0,1)</f>
        <v>0</v>
      </c>
      <c r="K1275" s="20" t="str">
        <f aca="false">IF($J1275=0,"",SUM($J$1263:$J1275))</f>
        <v/>
      </c>
      <c r="L1275" s="20" t="str">
        <f aca="false">IF($K1275="","",$A1275*100+$K1275)</f>
        <v/>
      </c>
      <c r="M1275" s="48" t="str">
        <f aca="false">""</f>
        <v/>
      </c>
    </row>
    <row r="1276" customFormat="false" ht="13.5" hidden="false" customHeight="false" outlineLevel="0" collapsed="false">
      <c r="A1276" s="47" t="n">
        <v>99</v>
      </c>
      <c r="C1276" s="48" t="str">
        <f aca="false">助手报销!$C100</f>
        <v/>
      </c>
      <c r="D1276" s="81" t="s">
        <v>479</v>
      </c>
      <c r="E1276" s="48" t="str">
        <f aca="false">IFERROR(INDEX(输入报销!$E:$E,MATCH($A1276&amp;"-1",输入报销!$J:$J,0))&amp;"","")</f>
        <v/>
      </c>
      <c r="F1276" s="48" t="str">
        <f aca="false">IFERROR(INDEX(输入报销!$F:$F,MATCH($A1276&amp;"-1",输入报销!$J:$J,0))&amp;"","")</f>
        <v/>
      </c>
      <c r="G1276" s="49" t="n">
        <f aca="false">IFERROR(ROUND(INDEX(输入报销!$G:$G,MATCH($A1276&amp;"-1",输入报销!$J:$J,0)),2),0)</f>
        <v>0</v>
      </c>
      <c r="H1276" s="49" t="str">
        <f aca="false">IF(ROUND($G1276,2)&gt;0,ROUND($G1276,2),"")</f>
        <v/>
      </c>
      <c r="I1276" s="49" t="str">
        <f aca="false">IF(ROUND($G1276,2)&lt;0,-ROUND($G1276,2),"")</f>
        <v/>
      </c>
      <c r="J1276" s="20" t="n">
        <f aca="false">IF(ROUND($G1276,2)=0,0,1)</f>
        <v>0</v>
      </c>
      <c r="K1276" s="20" t="str">
        <f aca="false">IF($J1276=0,"",SUM($J$1276:$J1276))</f>
        <v/>
      </c>
      <c r="L1276" s="20" t="str">
        <f aca="false">IF($K1276="","",$A1276*100+$K1276)</f>
        <v/>
      </c>
      <c r="M1276" s="48" t="str">
        <f aca="false">IFERROR(INDEX(输入报销!$D:$D,MATCH($A1276&amp;"-1",输入报销!$J:$J,0))&amp;"","")</f>
        <v/>
      </c>
    </row>
    <row r="1277" customFormat="false" ht="13.5" hidden="false" customHeight="false" outlineLevel="0" collapsed="false">
      <c r="A1277" s="47" t="n">
        <v>99</v>
      </c>
      <c r="C1277" s="48" t="str">
        <f aca="false">助手报销!$C100</f>
        <v/>
      </c>
      <c r="D1277" s="81" t="s">
        <v>480</v>
      </c>
      <c r="E1277" s="48" t="str">
        <f aca="false">IFERROR(INDEX(输入报销!$E:$E,MATCH($A1277&amp;"-2",输入报销!$J:$J,0))&amp;"","")</f>
        <v/>
      </c>
      <c r="F1277" s="48" t="str">
        <f aca="false">IFERROR(INDEX(输入报销!$F:$F,MATCH($A1277&amp;"-2",输入报销!$J:$J,0))&amp;"","")</f>
        <v/>
      </c>
      <c r="G1277" s="49" t="n">
        <f aca="false">IFERROR(ROUND(INDEX(输入报销!$G:$G,MATCH($A1277&amp;"-2",输入报销!$J:$J,0)),2),0)</f>
        <v>0</v>
      </c>
      <c r="H1277" s="49" t="str">
        <f aca="false">IF(ROUND($G1277,2)&gt;0,ROUND($G1277,2),"")</f>
        <v/>
      </c>
      <c r="I1277" s="49" t="str">
        <f aca="false">IF(ROUND($G1277,2)&lt;0,-ROUND($G1277,2),"")</f>
        <v/>
      </c>
      <c r="J1277" s="20" t="n">
        <f aca="false">IF(ROUND($G1277,2)=0,0,1)</f>
        <v>0</v>
      </c>
      <c r="K1277" s="20" t="str">
        <f aca="false">IF($J1277=0,"",SUM($J$1276:$J1277))</f>
        <v/>
      </c>
      <c r="L1277" s="20" t="str">
        <f aca="false">IF($K1277="","",$A1277*100+$K1277)</f>
        <v/>
      </c>
      <c r="M1277" s="48" t="str">
        <f aca="false">IFERROR(INDEX(输入报销!$D:$D,MATCH($A1277&amp;"-2",输入报销!$J:$J,0))&amp;"","")</f>
        <v/>
      </c>
    </row>
    <row r="1278" customFormat="false" ht="13.5" hidden="false" customHeight="false" outlineLevel="0" collapsed="false">
      <c r="A1278" s="47" t="n">
        <v>99</v>
      </c>
      <c r="C1278" s="48" t="str">
        <f aca="false">助手报销!$C100</f>
        <v/>
      </c>
      <c r="D1278" s="81" t="s">
        <v>481</v>
      </c>
      <c r="E1278" s="48" t="str">
        <f aca="false">IFERROR(INDEX(输入报销!$E:$E,MATCH($A1278&amp;"-3",输入报销!$J:$J,0))&amp;"","")</f>
        <v/>
      </c>
      <c r="F1278" s="48" t="str">
        <f aca="false">IFERROR(INDEX(输入报销!$F:$F,MATCH($A1278&amp;"-3",输入报销!$J:$J,0))&amp;"","")</f>
        <v/>
      </c>
      <c r="G1278" s="49" t="n">
        <f aca="false">IFERROR(ROUND(INDEX(输入报销!$G:$G,MATCH($A1278&amp;"-3",输入报销!$J:$J,0)),2),0)</f>
        <v>0</v>
      </c>
      <c r="H1278" s="49" t="str">
        <f aca="false">IF(ROUND($G1278,2)&gt;0,ROUND($G1278,2),"")</f>
        <v/>
      </c>
      <c r="I1278" s="49" t="str">
        <f aca="false">IF(ROUND($G1278,2)&lt;0,-ROUND($G1278,2),"")</f>
        <v/>
      </c>
      <c r="J1278" s="20" t="n">
        <f aca="false">IF(ROUND($G1278,2)=0,0,1)</f>
        <v>0</v>
      </c>
      <c r="K1278" s="20" t="str">
        <f aca="false">IF($J1278=0,"",SUM($J$1276:$J1278))</f>
        <v/>
      </c>
      <c r="L1278" s="20" t="str">
        <f aca="false">IF($K1278="","",$A1278*100+$K1278)</f>
        <v/>
      </c>
      <c r="M1278" s="48" t="str">
        <f aca="false">IFERROR(INDEX(输入报销!$D:$D,MATCH($A1278&amp;"-3",输入报销!$J:$J,0))&amp;"","")</f>
        <v/>
      </c>
    </row>
    <row r="1279" customFormat="false" ht="13.5" hidden="false" customHeight="false" outlineLevel="0" collapsed="false">
      <c r="A1279" s="47" t="n">
        <v>99</v>
      </c>
      <c r="C1279" s="48" t="str">
        <f aca="false">助手报销!$C100</f>
        <v/>
      </c>
      <c r="D1279" s="81" t="s">
        <v>482</v>
      </c>
      <c r="E1279" s="48" t="str">
        <f aca="false">IFERROR(INDEX(输入报销!$E:$E,MATCH($A1279&amp;"-4",输入报销!$J:$J,0))&amp;"","")</f>
        <v/>
      </c>
      <c r="F1279" s="48" t="str">
        <f aca="false">IFERROR(INDEX(输入报销!$F:$F,MATCH($A1279&amp;"-4",输入报销!$J:$J,0))&amp;"","")</f>
        <v/>
      </c>
      <c r="G1279" s="49" t="n">
        <f aca="false">IFERROR(ROUND(INDEX(输入报销!$G:$G,MATCH($A1279&amp;"-4",输入报销!$J:$J,0)),2),0)</f>
        <v>0</v>
      </c>
      <c r="H1279" s="49" t="str">
        <f aca="false">IF(ROUND($G1279,2)&gt;0,ROUND($G1279,2),"")</f>
        <v/>
      </c>
      <c r="I1279" s="49" t="str">
        <f aca="false">IF(ROUND($G1279,2)&lt;0,-ROUND($G1279,2),"")</f>
        <v/>
      </c>
      <c r="J1279" s="20" t="n">
        <f aca="false">IF(ROUND($G1279,2)=0,0,1)</f>
        <v>0</v>
      </c>
      <c r="K1279" s="20" t="str">
        <f aca="false">IF($J1279=0,"",SUM($J$1276:$J1279))</f>
        <v/>
      </c>
      <c r="L1279" s="20" t="str">
        <f aca="false">IF($K1279="","",$A1279*100+$K1279)</f>
        <v/>
      </c>
      <c r="M1279" s="48" t="str">
        <f aca="false">IFERROR(INDEX(输入报销!$D:$D,MATCH($A1279&amp;"-4",输入报销!$J:$J,0))&amp;"","")</f>
        <v/>
      </c>
    </row>
    <row r="1280" customFormat="false" ht="13.5" hidden="false" customHeight="false" outlineLevel="0" collapsed="false">
      <c r="A1280" s="47" t="n">
        <v>99</v>
      </c>
      <c r="C1280" s="48" t="str">
        <f aca="false">助手报销!$C100</f>
        <v/>
      </c>
      <c r="D1280" s="81" t="s">
        <v>483</v>
      </c>
      <c r="E1280" s="48" t="str">
        <f aca="false">IFERROR(INDEX(输入报销!$E:$E,MATCH($A1280&amp;"-5",输入报销!$J:$J,0))&amp;"","")</f>
        <v/>
      </c>
      <c r="F1280" s="48" t="str">
        <f aca="false">IFERROR(INDEX(输入报销!$F:$F,MATCH($A1280&amp;"-5",输入报销!$J:$J,0))&amp;"","")</f>
        <v/>
      </c>
      <c r="G1280" s="49" t="n">
        <f aca="false">IFERROR(ROUND(INDEX(输入报销!$G:$G,MATCH($A1280&amp;"-5",输入报销!$J:$J,0)),2),0)</f>
        <v>0</v>
      </c>
      <c r="H1280" s="49" t="str">
        <f aca="false">IF(ROUND($G1280,2)&gt;0,ROUND($G1280,2),"")</f>
        <v/>
      </c>
      <c r="I1280" s="49" t="str">
        <f aca="false">IF(ROUND($G1280,2)&lt;0,-ROUND($G1280,2),"")</f>
        <v/>
      </c>
      <c r="J1280" s="20" t="n">
        <f aca="false">IF(ROUND($G1280,2)=0,0,1)</f>
        <v>0</v>
      </c>
      <c r="K1280" s="20" t="str">
        <f aca="false">IF($J1280=0,"",SUM($J$1276:$J1280))</f>
        <v/>
      </c>
      <c r="L1280" s="20" t="str">
        <f aca="false">IF($K1280="","",$A1280*100+$K1280)</f>
        <v/>
      </c>
      <c r="M1280" s="48" t="str">
        <f aca="false">IFERROR(INDEX(输入报销!$D:$D,MATCH($A1280&amp;"-5",输入报销!$J:$J,0))&amp;"","")</f>
        <v/>
      </c>
    </row>
    <row r="1281" customFormat="false" ht="13.5" hidden="false" customHeight="false" outlineLevel="0" collapsed="false">
      <c r="A1281" s="47" t="n">
        <v>99</v>
      </c>
      <c r="C1281" s="48" t="str">
        <f aca="false">助手报销!$C100</f>
        <v/>
      </c>
      <c r="D1281" s="81" t="s">
        <v>484</v>
      </c>
      <c r="E1281" s="48" t="str">
        <f aca="false">IFERROR(INDEX(输入报销!$E:$E,MATCH($A1281&amp;"-6",输入报销!$J:$J,0))&amp;"","")</f>
        <v/>
      </c>
      <c r="F1281" s="48" t="str">
        <f aca="false">IFERROR(INDEX(输入报销!$F:$F,MATCH($A1281&amp;"-6",输入报销!$J:$J,0))&amp;"","")</f>
        <v/>
      </c>
      <c r="G1281" s="49" t="n">
        <f aca="false">IFERROR(ROUND(INDEX(输入报销!$G:$G,MATCH($A1281&amp;"-6",输入报销!$J:$J,0)),2),0)</f>
        <v>0</v>
      </c>
      <c r="H1281" s="49" t="str">
        <f aca="false">IF(ROUND($G1281,2)&gt;0,ROUND($G1281,2),"")</f>
        <v/>
      </c>
      <c r="I1281" s="49" t="str">
        <f aca="false">IF(ROUND($G1281,2)&lt;0,-ROUND($G1281,2),"")</f>
        <v/>
      </c>
      <c r="J1281" s="20" t="n">
        <f aca="false">IF(ROUND($G1281,2)=0,0,1)</f>
        <v>0</v>
      </c>
      <c r="K1281" s="20" t="str">
        <f aca="false">IF($J1281=0,"",SUM($J$1276:$J1281))</f>
        <v/>
      </c>
      <c r="L1281" s="20" t="str">
        <f aca="false">IF($K1281="","",$A1281*100+$K1281)</f>
        <v/>
      </c>
      <c r="M1281" s="48" t="str">
        <f aca="false">IFERROR(INDEX(输入报销!$D:$D,MATCH($A1281&amp;"-6",输入报销!$J:$J,0))&amp;"","")</f>
        <v/>
      </c>
    </row>
    <row r="1282" customFormat="false" ht="13.5" hidden="false" customHeight="false" outlineLevel="0" collapsed="false">
      <c r="A1282" s="47" t="n">
        <v>99</v>
      </c>
      <c r="C1282" s="48" t="str">
        <f aca="false">助手报销!$C100</f>
        <v/>
      </c>
      <c r="D1282" s="81" t="s">
        <v>485</v>
      </c>
      <c r="E1282" s="48" t="str">
        <f aca="false">IFERROR(INDEX(输入报销!$E:$E,MATCH($A1282&amp;"-7",输入报销!$J:$J,0))&amp;"","")</f>
        <v/>
      </c>
      <c r="F1282" s="48" t="str">
        <f aca="false">IFERROR(INDEX(输入报销!$F:$F,MATCH($A1282&amp;"-7",输入报销!$J:$J,0))&amp;"","")</f>
        <v/>
      </c>
      <c r="G1282" s="49" t="n">
        <f aca="false">IFERROR(ROUND(INDEX(输入报销!$G:$G,MATCH($A1282&amp;"-7",输入报销!$J:$J,0)),2),0)</f>
        <v>0</v>
      </c>
      <c r="H1282" s="49" t="str">
        <f aca="false">IF(ROUND($G1282,2)&gt;0,ROUND($G1282,2),"")</f>
        <v/>
      </c>
      <c r="I1282" s="49" t="str">
        <f aca="false">IF(ROUND($G1282,2)&lt;0,-ROUND($G1282,2),"")</f>
        <v/>
      </c>
      <c r="J1282" s="20" t="n">
        <f aca="false">IF(ROUND($G1282,2)=0,0,1)</f>
        <v>0</v>
      </c>
      <c r="K1282" s="20" t="str">
        <f aca="false">IF($J1282=0,"",SUM($J$1276:$J1282))</f>
        <v/>
      </c>
      <c r="L1282" s="20" t="str">
        <f aca="false">IF($K1282="","",$A1282*100+$K1282)</f>
        <v/>
      </c>
      <c r="M1282" s="48" t="str">
        <f aca="false">IFERROR(INDEX(输入报销!$D:$D,MATCH($A1282&amp;"-7",输入报销!$J:$J,0))&amp;"","")</f>
        <v/>
      </c>
    </row>
    <row r="1283" customFormat="false" ht="13.5" hidden="false" customHeight="false" outlineLevel="0" collapsed="false">
      <c r="A1283" s="47" t="n">
        <v>99</v>
      </c>
      <c r="C1283" s="48" t="str">
        <f aca="false">助手报销!$C100</f>
        <v/>
      </c>
      <c r="D1283" s="81" t="s">
        <v>486</v>
      </c>
      <c r="E1283" s="48" t="str">
        <f aca="false">IFERROR(INDEX(输入报销!$E:$E,MATCH($A1283&amp;"-8",输入报销!$J:$J,0))&amp;"","")</f>
        <v/>
      </c>
      <c r="F1283" s="48" t="str">
        <f aca="false">IFERROR(INDEX(输入报销!$F:$F,MATCH($A1283&amp;"-8",输入报销!$J:$J,0))&amp;"","")</f>
        <v/>
      </c>
      <c r="G1283" s="49" t="n">
        <f aca="false">IFERROR(ROUND(INDEX(输入报销!$G:$G,MATCH($A1283&amp;"-8",输入报销!$J:$J,0)),2),0)</f>
        <v>0</v>
      </c>
      <c r="H1283" s="49" t="str">
        <f aca="false">IF(ROUND($G1283,2)&gt;0,ROUND($G1283,2),"")</f>
        <v/>
      </c>
      <c r="I1283" s="49" t="str">
        <f aca="false">IF(ROUND($G1283,2)&lt;0,-ROUND($G1283,2),"")</f>
        <v/>
      </c>
      <c r="J1283" s="20" t="n">
        <f aca="false">IF(ROUND($G1283,2)=0,0,1)</f>
        <v>0</v>
      </c>
      <c r="K1283" s="20" t="str">
        <f aca="false">IF($J1283=0,"",SUM($J$1276:$J1283))</f>
        <v/>
      </c>
      <c r="L1283" s="20" t="str">
        <f aca="false">IF($K1283="","",$A1283*100+$K1283)</f>
        <v/>
      </c>
      <c r="M1283" s="48" t="str">
        <f aca="false">IFERROR(INDEX(输入报销!$D:$D,MATCH($A1283&amp;"-8",输入报销!$J:$J,0))&amp;"","")</f>
        <v/>
      </c>
    </row>
    <row r="1284" customFormat="false" ht="13.5" hidden="false" customHeight="false" outlineLevel="0" collapsed="false">
      <c r="A1284" s="47" t="n">
        <v>99</v>
      </c>
      <c r="C1284" s="48" t="str">
        <f aca="false">助手报销!$C100</f>
        <v/>
      </c>
      <c r="D1284" s="81" t="s">
        <v>487</v>
      </c>
      <c r="E1284" s="48" t="str">
        <f aca="false">IFERROR(INDEX(输入报销!$E:$E,MATCH($A1284&amp;"-9",输入报销!$J:$J,0))&amp;"","")</f>
        <v/>
      </c>
      <c r="F1284" s="48" t="str">
        <f aca="false">IFERROR(INDEX(输入报销!$F:$F,MATCH($A1284&amp;"-9",输入报销!$J:$J,0))&amp;"","")</f>
        <v/>
      </c>
      <c r="G1284" s="49" t="n">
        <f aca="false">IFERROR(ROUND(INDEX(输入报销!$G:$G,MATCH($A1284&amp;"-9",输入报销!$J:$J,0)),2),0)</f>
        <v>0</v>
      </c>
      <c r="H1284" s="49" t="str">
        <f aca="false">IF(ROUND($G1284,2)&gt;0,ROUND($G1284,2),"")</f>
        <v/>
      </c>
      <c r="I1284" s="49" t="str">
        <f aca="false">IF(ROUND($G1284,2)&lt;0,-ROUND($G1284,2),"")</f>
        <v/>
      </c>
      <c r="J1284" s="20" t="n">
        <f aca="false">IF(ROUND($G1284,2)=0,0,1)</f>
        <v>0</v>
      </c>
      <c r="K1284" s="20" t="str">
        <f aca="false">IF($J1284=0,"",SUM($J$1276:$J1284))</f>
        <v/>
      </c>
      <c r="L1284" s="20" t="str">
        <f aca="false">IF($K1284="","",$A1284*100+$K1284)</f>
        <v/>
      </c>
      <c r="M1284" s="48" t="str">
        <f aca="false">IFERROR(INDEX(输入报销!$D:$D,MATCH($A1284&amp;"-9",输入报销!$J:$J,0))&amp;"","")</f>
        <v/>
      </c>
    </row>
    <row r="1285" customFormat="false" ht="13.5" hidden="false" customHeight="false" outlineLevel="0" collapsed="false">
      <c r="A1285" s="47" t="n">
        <v>99</v>
      </c>
      <c r="C1285" s="48" t="str">
        <f aca="false">助手报销!$C100</f>
        <v/>
      </c>
      <c r="D1285" s="81" t="s">
        <v>488</v>
      </c>
      <c r="E1285" s="48" t="str">
        <f aca="false">IFERROR(INDEX(输入报销!$E:$E,MATCH($A1285&amp;"-10",输入报销!$J:$J,0))&amp;"","")</f>
        <v/>
      </c>
      <c r="F1285" s="48" t="str">
        <f aca="false">IFERROR(INDEX(输入报销!$F:$F,MATCH($A1285&amp;"-10",输入报销!$J:$J,0))&amp;"","")</f>
        <v/>
      </c>
      <c r="G1285" s="49" t="n">
        <f aca="false">IFERROR(ROUND(INDEX(输入报销!$G:$G,MATCH($A1285&amp;"-10",输入报销!$J:$J,0)),2),0)</f>
        <v>0</v>
      </c>
      <c r="H1285" s="49" t="str">
        <f aca="false">IF(ROUND($G1285,2)&gt;0,ROUND($G1285,2),"")</f>
        <v/>
      </c>
      <c r="I1285" s="49" t="str">
        <f aca="false">IF(ROUND($G1285,2)&lt;0,-ROUND($G1285,2),"")</f>
        <v/>
      </c>
      <c r="J1285" s="20" t="n">
        <f aca="false">IF(ROUND($G1285,2)=0,0,1)</f>
        <v>0</v>
      </c>
      <c r="K1285" s="20" t="str">
        <f aca="false">IF($J1285=0,"",SUM($J$1276:$J1285))</f>
        <v/>
      </c>
      <c r="L1285" s="20" t="str">
        <f aca="false">IF($K1285="","",$A1285*100+$K1285)</f>
        <v/>
      </c>
      <c r="M1285" s="48" t="str">
        <f aca="false">IFERROR(INDEX(输入报销!$D:$D,MATCH($A1285&amp;"-10",输入报销!$J:$J,0))&amp;"","")</f>
        <v/>
      </c>
    </row>
    <row r="1286" customFormat="false" ht="13.5" hidden="false" customHeight="false" outlineLevel="0" collapsed="false">
      <c r="A1286" s="47" t="n">
        <v>99</v>
      </c>
      <c r="C1286" s="48" t="str">
        <f aca="false">助手报销!$C100</f>
        <v/>
      </c>
      <c r="D1286" s="81" t="s">
        <v>489</v>
      </c>
      <c r="E1286" s="48" t="str">
        <f aca="false">参数!$B$6</f>
        <v>库存现金</v>
      </c>
      <c r="F1286" s="48" t="str">
        <f aca="false">""</f>
        <v/>
      </c>
      <c r="G1286" s="49" t="n">
        <f aca="false">-ROUND(SUMIFS(输入报销!$G:$G,输入报销!$A:$A,$A1286,输入报销!$H:$H,参数!$B$6),2)</f>
        <v>-0</v>
      </c>
      <c r="H1286" s="49" t="str">
        <f aca="false">IF(ROUND($G1286,2)&gt;0,ROUND($G1286,2),"")</f>
        <v/>
      </c>
      <c r="I1286" s="49" t="str">
        <f aca="false">IF(ROUND($G1286,2)&lt;0,-ROUND($G1286,2),"")</f>
        <v/>
      </c>
      <c r="J1286" s="20" t="n">
        <f aca="false">IF(ROUND($G1286,2)=0,0,1)</f>
        <v>0</v>
      </c>
      <c r="K1286" s="20" t="str">
        <f aca="false">IF($J1286=0,"",SUM($J$1276:$J1286))</f>
        <v/>
      </c>
      <c r="L1286" s="20" t="str">
        <f aca="false">IF($K1286="","",$A1286*100+$K1286)</f>
        <v/>
      </c>
      <c r="M1286" s="48" t="str">
        <f aca="false">""</f>
        <v/>
      </c>
    </row>
    <row r="1287" customFormat="false" ht="13.5" hidden="false" customHeight="false" outlineLevel="0" collapsed="false">
      <c r="A1287" s="47" t="n">
        <v>99</v>
      </c>
      <c r="C1287" s="48" t="str">
        <f aca="false">助手报销!$C100</f>
        <v/>
      </c>
      <c r="D1287" s="81" t="s">
        <v>490</v>
      </c>
      <c r="E1287" s="48" t="str">
        <f aca="false">参数!$B$7</f>
        <v>银行存款</v>
      </c>
      <c r="F1287" s="48" t="str">
        <f aca="false">""</f>
        <v/>
      </c>
      <c r="G1287" s="49" t="n">
        <f aca="false">-ROUND(SUMIFS(输入报销!$G:$G,输入报销!$A:$A,$A1287,输入报销!$H:$H,参数!$B$7),2)</f>
        <v>-0</v>
      </c>
      <c r="H1287" s="49" t="str">
        <f aca="false">IF(ROUND($G1287,2)&gt;0,ROUND($G1287,2),"")</f>
        <v/>
      </c>
      <c r="I1287" s="49" t="str">
        <f aca="false">IF(ROUND($G1287,2)&lt;0,-ROUND($G1287,2),"")</f>
        <v/>
      </c>
      <c r="J1287" s="20" t="n">
        <f aca="false">IF(ROUND($G1287,2)=0,0,1)</f>
        <v>0</v>
      </c>
      <c r="K1287" s="20" t="str">
        <f aca="false">IF($J1287=0,"",SUM($J$1276:$J1287))</f>
        <v/>
      </c>
      <c r="L1287" s="20" t="str">
        <f aca="false">IF($K1287="","",$A1287*100+$K1287)</f>
        <v/>
      </c>
      <c r="M1287" s="48" t="str">
        <f aca="false">""</f>
        <v/>
      </c>
    </row>
    <row r="1288" customFormat="false" ht="13.5" hidden="false" customHeight="false" outlineLevel="0" collapsed="false">
      <c r="A1288" s="47" t="n">
        <v>99</v>
      </c>
      <c r="C1288" s="48" t="str">
        <f aca="false">助手报销!$C100</f>
        <v/>
      </c>
      <c r="D1288" s="81" t="s">
        <v>491</v>
      </c>
      <c r="E1288" s="48" t="str">
        <f aca="false">参数!$B$8</f>
        <v>其他应付款</v>
      </c>
      <c r="F1288" s="48" t="str">
        <f aca="false">""</f>
        <v/>
      </c>
      <c r="G1288" s="49" t="n">
        <f aca="false">-ROUND(SUMIFS(输入报销!$G:$G,输入报销!$A:$A,$A1288,输入报销!$H:$H,参数!$B$8),2)</f>
        <v>-0</v>
      </c>
      <c r="H1288" s="49" t="str">
        <f aca="false">IF(ROUND($G1288,2)&gt;0,ROUND($G1288,2),"")</f>
        <v/>
      </c>
      <c r="I1288" s="49" t="str">
        <f aca="false">IF(ROUND($G1288,2)&lt;0,-ROUND($G1288,2),"")</f>
        <v/>
      </c>
      <c r="J1288" s="20" t="n">
        <f aca="false">IF(ROUND($G1288,2)=0,0,1)</f>
        <v>0</v>
      </c>
      <c r="K1288" s="20" t="str">
        <f aca="false">IF($J1288=0,"",SUM($J$1276:$J1288))</f>
        <v/>
      </c>
      <c r="L1288" s="20" t="str">
        <f aca="false">IF($K1288="","",$A1288*100+$K1288)</f>
        <v/>
      </c>
      <c r="M1288" s="48" t="str">
        <f aca="false">""</f>
        <v/>
      </c>
    </row>
    <row r="1289" customFormat="false" ht="13.5" hidden="false" customHeight="false" outlineLevel="0" collapsed="false">
      <c r="A1289" s="47" t="n">
        <v>100</v>
      </c>
      <c r="C1289" s="48" t="str">
        <f aca="false">助手报销!$C101</f>
        <v/>
      </c>
      <c r="D1289" s="81" t="s">
        <v>479</v>
      </c>
      <c r="E1289" s="48" t="str">
        <f aca="false">IFERROR(INDEX(输入报销!$E:$E,MATCH($A1289&amp;"-1",输入报销!$J:$J,0))&amp;"","")</f>
        <v/>
      </c>
      <c r="F1289" s="48" t="str">
        <f aca="false">IFERROR(INDEX(输入报销!$F:$F,MATCH($A1289&amp;"-1",输入报销!$J:$J,0))&amp;"","")</f>
        <v/>
      </c>
      <c r="G1289" s="49" t="n">
        <f aca="false">IFERROR(ROUND(INDEX(输入报销!$G:$G,MATCH($A1289&amp;"-1",输入报销!$J:$J,0)),2),0)</f>
        <v>0</v>
      </c>
      <c r="H1289" s="49" t="str">
        <f aca="false">IF(ROUND($G1289,2)&gt;0,ROUND($G1289,2),"")</f>
        <v/>
      </c>
      <c r="I1289" s="49" t="str">
        <f aca="false">IF(ROUND($G1289,2)&lt;0,-ROUND($G1289,2),"")</f>
        <v/>
      </c>
      <c r="J1289" s="20" t="n">
        <f aca="false">IF(ROUND($G1289,2)=0,0,1)</f>
        <v>0</v>
      </c>
      <c r="K1289" s="20" t="str">
        <f aca="false">IF($J1289=0,"",SUM($J$1289:$J1289))</f>
        <v/>
      </c>
      <c r="L1289" s="20" t="str">
        <f aca="false">IF($K1289="","",$A1289*100+$K1289)</f>
        <v/>
      </c>
      <c r="M1289" s="48" t="str">
        <f aca="false">IFERROR(INDEX(输入报销!$D:$D,MATCH($A1289&amp;"-1",输入报销!$J:$J,0))&amp;"","")</f>
        <v/>
      </c>
    </row>
    <row r="1290" customFormat="false" ht="13.5" hidden="false" customHeight="false" outlineLevel="0" collapsed="false">
      <c r="A1290" s="47" t="n">
        <v>100</v>
      </c>
      <c r="C1290" s="48" t="str">
        <f aca="false">助手报销!$C101</f>
        <v/>
      </c>
      <c r="D1290" s="81" t="s">
        <v>480</v>
      </c>
      <c r="E1290" s="48" t="str">
        <f aca="false">IFERROR(INDEX(输入报销!$E:$E,MATCH($A1290&amp;"-2",输入报销!$J:$J,0))&amp;"","")</f>
        <v/>
      </c>
      <c r="F1290" s="48" t="str">
        <f aca="false">IFERROR(INDEX(输入报销!$F:$F,MATCH($A1290&amp;"-2",输入报销!$J:$J,0))&amp;"","")</f>
        <v/>
      </c>
      <c r="G1290" s="49" t="n">
        <f aca="false">IFERROR(ROUND(INDEX(输入报销!$G:$G,MATCH($A1290&amp;"-2",输入报销!$J:$J,0)),2),0)</f>
        <v>0</v>
      </c>
      <c r="H1290" s="49" t="str">
        <f aca="false">IF(ROUND($G1290,2)&gt;0,ROUND($G1290,2),"")</f>
        <v/>
      </c>
      <c r="I1290" s="49" t="str">
        <f aca="false">IF(ROUND($G1290,2)&lt;0,-ROUND($G1290,2),"")</f>
        <v/>
      </c>
      <c r="J1290" s="20" t="n">
        <f aca="false">IF(ROUND($G1290,2)=0,0,1)</f>
        <v>0</v>
      </c>
      <c r="K1290" s="20" t="str">
        <f aca="false">IF($J1290=0,"",SUM($J$1289:$J1290))</f>
        <v/>
      </c>
      <c r="L1290" s="20" t="str">
        <f aca="false">IF($K1290="","",$A1290*100+$K1290)</f>
        <v/>
      </c>
      <c r="M1290" s="48" t="str">
        <f aca="false">IFERROR(INDEX(输入报销!$D:$D,MATCH($A1290&amp;"-2",输入报销!$J:$J,0))&amp;"","")</f>
        <v/>
      </c>
    </row>
    <row r="1291" customFormat="false" ht="13.5" hidden="false" customHeight="false" outlineLevel="0" collapsed="false">
      <c r="A1291" s="47" t="n">
        <v>100</v>
      </c>
      <c r="C1291" s="48" t="str">
        <f aca="false">助手报销!$C101</f>
        <v/>
      </c>
      <c r="D1291" s="81" t="s">
        <v>481</v>
      </c>
      <c r="E1291" s="48" t="str">
        <f aca="false">IFERROR(INDEX(输入报销!$E:$E,MATCH($A1291&amp;"-3",输入报销!$J:$J,0))&amp;"","")</f>
        <v/>
      </c>
      <c r="F1291" s="48" t="str">
        <f aca="false">IFERROR(INDEX(输入报销!$F:$F,MATCH($A1291&amp;"-3",输入报销!$J:$J,0))&amp;"","")</f>
        <v/>
      </c>
      <c r="G1291" s="49" t="n">
        <f aca="false">IFERROR(ROUND(INDEX(输入报销!$G:$G,MATCH($A1291&amp;"-3",输入报销!$J:$J,0)),2),0)</f>
        <v>0</v>
      </c>
      <c r="H1291" s="49" t="str">
        <f aca="false">IF(ROUND($G1291,2)&gt;0,ROUND($G1291,2),"")</f>
        <v/>
      </c>
      <c r="I1291" s="49" t="str">
        <f aca="false">IF(ROUND($G1291,2)&lt;0,-ROUND($G1291,2),"")</f>
        <v/>
      </c>
      <c r="J1291" s="20" t="n">
        <f aca="false">IF(ROUND($G1291,2)=0,0,1)</f>
        <v>0</v>
      </c>
      <c r="K1291" s="20" t="str">
        <f aca="false">IF($J1291=0,"",SUM($J$1289:$J1291))</f>
        <v/>
      </c>
      <c r="L1291" s="20" t="str">
        <f aca="false">IF($K1291="","",$A1291*100+$K1291)</f>
        <v/>
      </c>
      <c r="M1291" s="48" t="str">
        <f aca="false">IFERROR(INDEX(输入报销!$D:$D,MATCH($A1291&amp;"-3",输入报销!$J:$J,0))&amp;"","")</f>
        <v/>
      </c>
    </row>
    <row r="1292" customFormat="false" ht="13.5" hidden="false" customHeight="false" outlineLevel="0" collapsed="false">
      <c r="A1292" s="47" t="n">
        <v>100</v>
      </c>
      <c r="C1292" s="48" t="str">
        <f aca="false">助手报销!$C101</f>
        <v/>
      </c>
      <c r="D1292" s="81" t="s">
        <v>482</v>
      </c>
      <c r="E1292" s="48" t="str">
        <f aca="false">IFERROR(INDEX(输入报销!$E:$E,MATCH($A1292&amp;"-4",输入报销!$J:$J,0))&amp;"","")</f>
        <v/>
      </c>
      <c r="F1292" s="48" t="str">
        <f aca="false">IFERROR(INDEX(输入报销!$F:$F,MATCH($A1292&amp;"-4",输入报销!$J:$J,0))&amp;"","")</f>
        <v/>
      </c>
      <c r="G1292" s="49" t="n">
        <f aca="false">IFERROR(ROUND(INDEX(输入报销!$G:$G,MATCH($A1292&amp;"-4",输入报销!$J:$J,0)),2),0)</f>
        <v>0</v>
      </c>
      <c r="H1292" s="49" t="str">
        <f aca="false">IF(ROUND($G1292,2)&gt;0,ROUND($G1292,2),"")</f>
        <v/>
      </c>
      <c r="I1292" s="49" t="str">
        <f aca="false">IF(ROUND($G1292,2)&lt;0,-ROUND($G1292,2),"")</f>
        <v/>
      </c>
      <c r="J1292" s="20" t="n">
        <f aca="false">IF(ROUND($G1292,2)=0,0,1)</f>
        <v>0</v>
      </c>
      <c r="K1292" s="20" t="str">
        <f aca="false">IF($J1292=0,"",SUM($J$1289:$J1292))</f>
        <v/>
      </c>
      <c r="L1292" s="20" t="str">
        <f aca="false">IF($K1292="","",$A1292*100+$K1292)</f>
        <v/>
      </c>
      <c r="M1292" s="48" t="str">
        <f aca="false">IFERROR(INDEX(输入报销!$D:$D,MATCH($A1292&amp;"-4",输入报销!$J:$J,0))&amp;"","")</f>
        <v/>
      </c>
    </row>
    <row r="1293" customFormat="false" ht="13.5" hidden="false" customHeight="false" outlineLevel="0" collapsed="false">
      <c r="A1293" s="47" t="n">
        <v>100</v>
      </c>
      <c r="C1293" s="48" t="str">
        <f aca="false">助手报销!$C101</f>
        <v/>
      </c>
      <c r="D1293" s="81" t="s">
        <v>483</v>
      </c>
      <c r="E1293" s="48" t="str">
        <f aca="false">IFERROR(INDEX(输入报销!$E:$E,MATCH($A1293&amp;"-5",输入报销!$J:$J,0))&amp;"","")</f>
        <v/>
      </c>
      <c r="F1293" s="48" t="str">
        <f aca="false">IFERROR(INDEX(输入报销!$F:$F,MATCH($A1293&amp;"-5",输入报销!$J:$J,0))&amp;"","")</f>
        <v/>
      </c>
      <c r="G1293" s="49" t="n">
        <f aca="false">IFERROR(ROUND(INDEX(输入报销!$G:$G,MATCH($A1293&amp;"-5",输入报销!$J:$J,0)),2),0)</f>
        <v>0</v>
      </c>
      <c r="H1293" s="49" t="str">
        <f aca="false">IF(ROUND($G1293,2)&gt;0,ROUND($G1293,2),"")</f>
        <v/>
      </c>
      <c r="I1293" s="49" t="str">
        <f aca="false">IF(ROUND($G1293,2)&lt;0,-ROUND($G1293,2),"")</f>
        <v/>
      </c>
      <c r="J1293" s="20" t="n">
        <f aca="false">IF(ROUND($G1293,2)=0,0,1)</f>
        <v>0</v>
      </c>
      <c r="K1293" s="20" t="str">
        <f aca="false">IF($J1293=0,"",SUM($J$1289:$J1293))</f>
        <v/>
      </c>
      <c r="L1293" s="20" t="str">
        <f aca="false">IF($K1293="","",$A1293*100+$K1293)</f>
        <v/>
      </c>
      <c r="M1293" s="48" t="str">
        <f aca="false">IFERROR(INDEX(输入报销!$D:$D,MATCH($A1293&amp;"-5",输入报销!$J:$J,0))&amp;"","")</f>
        <v/>
      </c>
    </row>
    <row r="1294" customFormat="false" ht="13.5" hidden="false" customHeight="false" outlineLevel="0" collapsed="false">
      <c r="A1294" s="47" t="n">
        <v>100</v>
      </c>
      <c r="C1294" s="48" t="str">
        <f aca="false">助手报销!$C101</f>
        <v/>
      </c>
      <c r="D1294" s="81" t="s">
        <v>484</v>
      </c>
      <c r="E1294" s="48" t="str">
        <f aca="false">IFERROR(INDEX(输入报销!$E:$E,MATCH($A1294&amp;"-6",输入报销!$J:$J,0))&amp;"","")</f>
        <v/>
      </c>
      <c r="F1294" s="48" t="str">
        <f aca="false">IFERROR(INDEX(输入报销!$F:$F,MATCH($A1294&amp;"-6",输入报销!$J:$J,0))&amp;"","")</f>
        <v/>
      </c>
      <c r="G1294" s="49" t="n">
        <f aca="false">IFERROR(ROUND(INDEX(输入报销!$G:$G,MATCH($A1294&amp;"-6",输入报销!$J:$J,0)),2),0)</f>
        <v>0</v>
      </c>
      <c r="H1294" s="49" t="str">
        <f aca="false">IF(ROUND($G1294,2)&gt;0,ROUND($G1294,2),"")</f>
        <v/>
      </c>
      <c r="I1294" s="49" t="str">
        <f aca="false">IF(ROUND($G1294,2)&lt;0,-ROUND($G1294,2),"")</f>
        <v/>
      </c>
      <c r="J1294" s="20" t="n">
        <f aca="false">IF(ROUND($G1294,2)=0,0,1)</f>
        <v>0</v>
      </c>
      <c r="K1294" s="20" t="str">
        <f aca="false">IF($J1294=0,"",SUM($J$1289:$J1294))</f>
        <v/>
      </c>
      <c r="L1294" s="20" t="str">
        <f aca="false">IF($K1294="","",$A1294*100+$K1294)</f>
        <v/>
      </c>
      <c r="M1294" s="48" t="str">
        <f aca="false">IFERROR(INDEX(输入报销!$D:$D,MATCH($A1294&amp;"-6",输入报销!$J:$J,0))&amp;"","")</f>
        <v/>
      </c>
    </row>
    <row r="1295" customFormat="false" ht="13.5" hidden="false" customHeight="false" outlineLevel="0" collapsed="false">
      <c r="A1295" s="47" t="n">
        <v>100</v>
      </c>
      <c r="C1295" s="48" t="str">
        <f aca="false">助手报销!$C101</f>
        <v/>
      </c>
      <c r="D1295" s="81" t="s">
        <v>485</v>
      </c>
      <c r="E1295" s="48" t="str">
        <f aca="false">IFERROR(INDEX(输入报销!$E:$E,MATCH($A1295&amp;"-7",输入报销!$J:$J,0))&amp;"","")</f>
        <v/>
      </c>
      <c r="F1295" s="48" t="str">
        <f aca="false">IFERROR(INDEX(输入报销!$F:$F,MATCH($A1295&amp;"-7",输入报销!$J:$J,0))&amp;"","")</f>
        <v/>
      </c>
      <c r="G1295" s="49" t="n">
        <f aca="false">IFERROR(ROUND(INDEX(输入报销!$G:$G,MATCH($A1295&amp;"-7",输入报销!$J:$J,0)),2),0)</f>
        <v>0</v>
      </c>
      <c r="H1295" s="49" t="str">
        <f aca="false">IF(ROUND($G1295,2)&gt;0,ROUND($G1295,2),"")</f>
        <v/>
      </c>
      <c r="I1295" s="49" t="str">
        <f aca="false">IF(ROUND($G1295,2)&lt;0,-ROUND($G1295,2),"")</f>
        <v/>
      </c>
      <c r="J1295" s="20" t="n">
        <f aca="false">IF(ROUND($G1295,2)=0,0,1)</f>
        <v>0</v>
      </c>
      <c r="K1295" s="20" t="str">
        <f aca="false">IF($J1295=0,"",SUM($J$1289:$J1295))</f>
        <v/>
      </c>
      <c r="L1295" s="20" t="str">
        <f aca="false">IF($K1295="","",$A1295*100+$K1295)</f>
        <v/>
      </c>
      <c r="M1295" s="48" t="str">
        <f aca="false">IFERROR(INDEX(输入报销!$D:$D,MATCH($A1295&amp;"-7",输入报销!$J:$J,0))&amp;"","")</f>
        <v/>
      </c>
    </row>
    <row r="1296" customFormat="false" ht="13.5" hidden="false" customHeight="false" outlineLevel="0" collapsed="false">
      <c r="A1296" s="47" t="n">
        <v>100</v>
      </c>
      <c r="C1296" s="48" t="str">
        <f aca="false">助手报销!$C101</f>
        <v/>
      </c>
      <c r="D1296" s="81" t="s">
        <v>486</v>
      </c>
      <c r="E1296" s="48" t="str">
        <f aca="false">IFERROR(INDEX(输入报销!$E:$E,MATCH($A1296&amp;"-8",输入报销!$J:$J,0))&amp;"","")</f>
        <v/>
      </c>
      <c r="F1296" s="48" t="str">
        <f aca="false">IFERROR(INDEX(输入报销!$F:$F,MATCH($A1296&amp;"-8",输入报销!$J:$J,0))&amp;"","")</f>
        <v/>
      </c>
      <c r="G1296" s="49" t="n">
        <f aca="false">IFERROR(ROUND(INDEX(输入报销!$G:$G,MATCH($A1296&amp;"-8",输入报销!$J:$J,0)),2),0)</f>
        <v>0</v>
      </c>
      <c r="H1296" s="49" t="str">
        <f aca="false">IF(ROUND($G1296,2)&gt;0,ROUND($G1296,2),"")</f>
        <v/>
      </c>
      <c r="I1296" s="49" t="str">
        <f aca="false">IF(ROUND($G1296,2)&lt;0,-ROUND($G1296,2),"")</f>
        <v/>
      </c>
      <c r="J1296" s="20" t="n">
        <f aca="false">IF(ROUND($G1296,2)=0,0,1)</f>
        <v>0</v>
      </c>
      <c r="K1296" s="20" t="str">
        <f aca="false">IF($J1296=0,"",SUM($J$1289:$J1296))</f>
        <v/>
      </c>
      <c r="L1296" s="20" t="str">
        <f aca="false">IF($K1296="","",$A1296*100+$K1296)</f>
        <v/>
      </c>
      <c r="M1296" s="48" t="str">
        <f aca="false">IFERROR(INDEX(输入报销!$D:$D,MATCH($A1296&amp;"-8",输入报销!$J:$J,0))&amp;"","")</f>
        <v/>
      </c>
    </row>
    <row r="1297" customFormat="false" ht="13.5" hidden="false" customHeight="false" outlineLevel="0" collapsed="false">
      <c r="A1297" s="47" t="n">
        <v>100</v>
      </c>
      <c r="C1297" s="48" t="str">
        <f aca="false">助手报销!$C101</f>
        <v/>
      </c>
      <c r="D1297" s="81" t="s">
        <v>487</v>
      </c>
      <c r="E1297" s="48" t="str">
        <f aca="false">IFERROR(INDEX(输入报销!$E:$E,MATCH($A1297&amp;"-9",输入报销!$J:$J,0))&amp;"","")</f>
        <v/>
      </c>
      <c r="F1297" s="48" t="str">
        <f aca="false">IFERROR(INDEX(输入报销!$F:$F,MATCH($A1297&amp;"-9",输入报销!$J:$J,0))&amp;"","")</f>
        <v/>
      </c>
      <c r="G1297" s="49" t="n">
        <f aca="false">IFERROR(ROUND(INDEX(输入报销!$G:$G,MATCH($A1297&amp;"-9",输入报销!$J:$J,0)),2),0)</f>
        <v>0</v>
      </c>
      <c r="H1297" s="49" t="str">
        <f aca="false">IF(ROUND($G1297,2)&gt;0,ROUND($G1297,2),"")</f>
        <v/>
      </c>
      <c r="I1297" s="49" t="str">
        <f aca="false">IF(ROUND($G1297,2)&lt;0,-ROUND($G1297,2),"")</f>
        <v/>
      </c>
      <c r="J1297" s="20" t="n">
        <f aca="false">IF(ROUND($G1297,2)=0,0,1)</f>
        <v>0</v>
      </c>
      <c r="K1297" s="20" t="str">
        <f aca="false">IF($J1297=0,"",SUM($J$1289:$J1297))</f>
        <v/>
      </c>
      <c r="L1297" s="20" t="str">
        <f aca="false">IF($K1297="","",$A1297*100+$K1297)</f>
        <v/>
      </c>
      <c r="M1297" s="48" t="str">
        <f aca="false">IFERROR(INDEX(输入报销!$D:$D,MATCH($A1297&amp;"-9",输入报销!$J:$J,0))&amp;"","")</f>
        <v/>
      </c>
    </row>
    <row r="1298" customFormat="false" ht="13.5" hidden="false" customHeight="false" outlineLevel="0" collapsed="false">
      <c r="A1298" s="47" t="n">
        <v>100</v>
      </c>
      <c r="C1298" s="48" t="str">
        <f aca="false">助手报销!$C101</f>
        <v/>
      </c>
      <c r="D1298" s="81" t="s">
        <v>488</v>
      </c>
      <c r="E1298" s="48" t="str">
        <f aca="false">IFERROR(INDEX(输入报销!$E:$E,MATCH($A1298&amp;"-10",输入报销!$J:$J,0))&amp;"","")</f>
        <v/>
      </c>
      <c r="F1298" s="48" t="str">
        <f aca="false">IFERROR(INDEX(输入报销!$F:$F,MATCH($A1298&amp;"-10",输入报销!$J:$J,0))&amp;"","")</f>
        <v/>
      </c>
      <c r="G1298" s="49" t="n">
        <f aca="false">IFERROR(ROUND(INDEX(输入报销!$G:$G,MATCH($A1298&amp;"-10",输入报销!$J:$J,0)),2),0)</f>
        <v>0</v>
      </c>
      <c r="H1298" s="49" t="str">
        <f aca="false">IF(ROUND($G1298,2)&gt;0,ROUND($G1298,2),"")</f>
        <v/>
      </c>
      <c r="I1298" s="49" t="str">
        <f aca="false">IF(ROUND($G1298,2)&lt;0,-ROUND($G1298,2),"")</f>
        <v/>
      </c>
      <c r="J1298" s="20" t="n">
        <f aca="false">IF(ROUND($G1298,2)=0,0,1)</f>
        <v>0</v>
      </c>
      <c r="K1298" s="20" t="str">
        <f aca="false">IF($J1298=0,"",SUM($J$1289:$J1298))</f>
        <v/>
      </c>
      <c r="L1298" s="20" t="str">
        <f aca="false">IF($K1298="","",$A1298*100+$K1298)</f>
        <v/>
      </c>
      <c r="M1298" s="48" t="str">
        <f aca="false">IFERROR(INDEX(输入报销!$D:$D,MATCH($A1298&amp;"-10",输入报销!$J:$J,0))&amp;"","")</f>
        <v/>
      </c>
    </row>
    <row r="1299" customFormat="false" ht="13.5" hidden="false" customHeight="false" outlineLevel="0" collapsed="false">
      <c r="A1299" s="47" t="n">
        <v>100</v>
      </c>
      <c r="C1299" s="48" t="str">
        <f aca="false">助手报销!$C101</f>
        <v/>
      </c>
      <c r="D1299" s="81" t="s">
        <v>489</v>
      </c>
      <c r="E1299" s="48" t="str">
        <f aca="false">参数!$B$6</f>
        <v>库存现金</v>
      </c>
      <c r="F1299" s="48" t="str">
        <f aca="false">""</f>
        <v/>
      </c>
      <c r="G1299" s="49" t="n">
        <f aca="false">-ROUND(SUMIFS(输入报销!$G:$G,输入报销!$A:$A,$A1299,输入报销!$H:$H,参数!$B$6),2)</f>
        <v>-0</v>
      </c>
      <c r="H1299" s="49" t="str">
        <f aca="false">IF(ROUND($G1299,2)&gt;0,ROUND($G1299,2),"")</f>
        <v/>
      </c>
      <c r="I1299" s="49" t="str">
        <f aca="false">IF(ROUND($G1299,2)&lt;0,-ROUND($G1299,2),"")</f>
        <v/>
      </c>
      <c r="J1299" s="20" t="n">
        <f aca="false">IF(ROUND($G1299,2)=0,0,1)</f>
        <v>0</v>
      </c>
      <c r="K1299" s="20" t="str">
        <f aca="false">IF($J1299=0,"",SUM($J$1289:$J1299))</f>
        <v/>
      </c>
      <c r="L1299" s="20" t="str">
        <f aca="false">IF($K1299="","",$A1299*100+$K1299)</f>
        <v/>
      </c>
      <c r="M1299" s="48" t="str">
        <f aca="false">""</f>
        <v/>
      </c>
    </row>
    <row r="1300" customFormat="false" ht="13.5" hidden="false" customHeight="false" outlineLevel="0" collapsed="false">
      <c r="A1300" s="47" t="n">
        <v>100</v>
      </c>
      <c r="C1300" s="48" t="str">
        <f aca="false">助手报销!$C101</f>
        <v/>
      </c>
      <c r="D1300" s="81" t="s">
        <v>490</v>
      </c>
      <c r="E1300" s="48" t="str">
        <f aca="false">参数!$B$7</f>
        <v>银行存款</v>
      </c>
      <c r="F1300" s="48" t="str">
        <f aca="false">""</f>
        <v/>
      </c>
      <c r="G1300" s="49" t="n">
        <f aca="false">-ROUND(SUMIFS(输入报销!$G:$G,输入报销!$A:$A,$A1300,输入报销!$H:$H,参数!$B$7),2)</f>
        <v>-0</v>
      </c>
      <c r="H1300" s="49" t="str">
        <f aca="false">IF(ROUND($G1300,2)&gt;0,ROUND($G1300,2),"")</f>
        <v/>
      </c>
      <c r="I1300" s="49" t="str">
        <f aca="false">IF(ROUND($G1300,2)&lt;0,-ROUND($G1300,2),"")</f>
        <v/>
      </c>
      <c r="J1300" s="20" t="n">
        <f aca="false">IF(ROUND($G1300,2)=0,0,1)</f>
        <v>0</v>
      </c>
      <c r="K1300" s="20" t="str">
        <f aca="false">IF($J1300=0,"",SUM($J$1289:$J1300))</f>
        <v/>
      </c>
      <c r="L1300" s="20" t="str">
        <f aca="false">IF($K1300="","",$A1300*100+$K1300)</f>
        <v/>
      </c>
      <c r="M1300" s="48" t="str">
        <f aca="false">""</f>
        <v/>
      </c>
    </row>
    <row r="1301" customFormat="false" ht="13.5" hidden="false" customHeight="false" outlineLevel="0" collapsed="false">
      <c r="A1301" s="47" t="n">
        <v>100</v>
      </c>
      <c r="C1301" s="48" t="str">
        <f aca="false">助手报销!$C101</f>
        <v/>
      </c>
      <c r="D1301" s="81" t="s">
        <v>491</v>
      </c>
      <c r="E1301" s="48" t="str">
        <f aca="false">参数!$B$8</f>
        <v>其他应付款</v>
      </c>
      <c r="F1301" s="48" t="str">
        <f aca="false">""</f>
        <v/>
      </c>
      <c r="G1301" s="49" t="n">
        <f aca="false">-ROUND(SUMIFS(输入报销!$G:$G,输入报销!$A:$A,$A1301,输入报销!$H:$H,参数!$B$8),2)</f>
        <v>-0</v>
      </c>
      <c r="H1301" s="49" t="str">
        <f aca="false">IF(ROUND($G1301,2)&gt;0,ROUND($G1301,2),"")</f>
        <v/>
      </c>
      <c r="I1301" s="49" t="str">
        <f aca="false">IF(ROUND($G1301,2)&lt;0,-ROUND($G1301,2),"")</f>
        <v/>
      </c>
      <c r="J1301" s="20" t="n">
        <f aca="false">IF(ROUND($G1301,2)=0,0,1)</f>
        <v>0</v>
      </c>
      <c r="K1301" s="20" t="str">
        <f aca="false">IF($J1301=0,"",SUM($J$1289:$J1301))</f>
        <v/>
      </c>
      <c r="L1301" s="20" t="str">
        <f aca="false">IF($K1301="","",$A1301*100+$K1301)</f>
        <v/>
      </c>
      <c r="M1301" s="48" t="str">
        <f aca="false">""</f>
        <v/>
      </c>
    </row>
    <row r="1302" customFormat="false" ht="13.5" hidden="false" customHeight="false" outlineLevel="0" collapsed="false">
      <c r="A1302" s="47" t="n">
        <v>101</v>
      </c>
      <c r="C1302" s="48" t="str">
        <f aca="false">助手报销!$C102</f>
        <v/>
      </c>
      <c r="D1302" s="81" t="s">
        <v>479</v>
      </c>
      <c r="E1302" s="48" t="str">
        <f aca="false">IFERROR(INDEX(输入报销!$E:$E,MATCH($A1302&amp;"-1",输入报销!$J:$J,0))&amp;"","")</f>
        <v/>
      </c>
      <c r="F1302" s="48" t="str">
        <f aca="false">IFERROR(INDEX(输入报销!$F:$F,MATCH($A1302&amp;"-1",输入报销!$J:$J,0))&amp;"","")</f>
        <v/>
      </c>
      <c r="G1302" s="49" t="n">
        <f aca="false">IFERROR(ROUND(INDEX(输入报销!$G:$G,MATCH($A1302&amp;"-1",输入报销!$J:$J,0)),2),0)</f>
        <v>0</v>
      </c>
      <c r="H1302" s="49" t="str">
        <f aca="false">IF(ROUND($G1302,2)&gt;0,ROUND($G1302,2),"")</f>
        <v/>
      </c>
      <c r="I1302" s="49" t="str">
        <f aca="false">IF(ROUND($G1302,2)&lt;0,-ROUND($G1302,2),"")</f>
        <v/>
      </c>
      <c r="J1302" s="20" t="n">
        <f aca="false">IF(ROUND($G1302,2)=0,0,1)</f>
        <v>0</v>
      </c>
      <c r="K1302" s="20" t="str">
        <f aca="false">IF($J1302=0,"",SUM($J$1302:$J1302))</f>
        <v/>
      </c>
      <c r="L1302" s="20" t="str">
        <f aca="false">IF($K1302="","",$A1302*100+$K1302)</f>
        <v/>
      </c>
      <c r="M1302" s="48" t="str">
        <f aca="false">IFERROR(INDEX(输入报销!$D:$D,MATCH($A1302&amp;"-1",输入报销!$J:$J,0))&amp;"","")</f>
        <v/>
      </c>
    </row>
    <row r="1303" customFormat="false" ht="13.5" hidden="false" customHeight="false" outlineLevel="0" collapsed="false">
      <c r="A1303" s="47" t="n">
        <v>101</v>
      </c>
      <c r="C1303" s="48" t="str">
        <f aca="false">助手报销!$C102</f>
        <v/>
      </c>
      <c r="D1303" s="81" t="s">
        <v>480</v>
      </c>
      <c r="E1303" s="48" t="str">
        <f aca="false">IFERROR(INDEX(输入报销!$E:$E,MATCH($A1303&amp;"-2",输入报销!$J:$J,0))&amp;"","")</f>
        <v/>
      </c>
      <c r="F1303" s="48" t="str">
        <f aca="false">IFERROR(INDEX(输入报销!$F:$F,MATCH($A1303&amp;"-2",输入报销!$J:$J,0))&amp;"","")</f>
        <v/>
      </c>
      <c r="G1303" s="49" t="n">
        <f aca="false">IFERROR(ROUND(INDEX(输入报销!$G:$G,MATCH($A1303&amp;"-2",输入报销!$J:$J,0)),2),0)</f>
        <v>0</v>
      </c>
      <c r="H1303" s="49" t="str">
        <f aca="false">IF(ROUND($G1303,2)&gt;0,ROUND($G1303,2),"")</f>
        <v/>
      </c>
      <c r="I1303" s="49" t="str">
        <f aca="false">IF(ROUND($G1303,2)&lt;0,-ROUND($G1303,2),"")</f>
        <v/>
      </c>
      <c r="J1303" s="20" t="n">
        <f aca="false">IF(ROUND($G1303,2)=0,0,1)</f>
        <v>0</v>
      </c>
      <c r="K1303" s="20" t="str">
        <f aca="false">IF($J1303=0,"",SUM($J$1302:$J1303))</f>
        <v/>
      </c>
      <c r="L1303" s="20" t="str">
        <f aca="false">IF($K1303="","",$A1303*100+$K1303)</f>
        <v/>
      </c>
      <c r="M1303" s="48" t="str">
        <f aca="false">IFERROR(INDEX(输入报销!$D:$D,MATCH($A1303&amp;"-2",输入报销!$J:$J,0))&amp;"","")</f>
        <v/>
      </c>
    </row>
    <row r="1304" customFormat="false" ht="13.5" hidden="false" customHeight="false" outlineLevel="0" collapsed="false">
      <c r="A1304" s="47" t="n">
        <v>101</v>
      </c>
      <c r="C1304" s="48" t="str">
        <f aca="false">助手报销!$C102</f>
        <v/>
      </c>
      <c r="D1304" s="81" t="s">
        <v>481</v>
      </c>
      <c r="E1304" s="48" t="str">
        <f aca="false">IFERROR(INDEX(输入报销!$E:$E,MATCH($A1304&amp;"-3",输入报销!$J:$J,0))&amp;"","")</f>
        <v/>
      </c>
      <c r="F1304" s="48" t="str">
        <f aca="false">IFERROR(INDEX(输入报销!$F:$F,MATCH($A1304&amp;"-3",输入报销!$J:$J,0))&amp;"","")</f>
        <v/>
      </c>
      <c r="G1304" s="49" t="n">
        <f aca="false">IFERROR(ROUND(INDEX(输入报销!$G:$G,MATCH($A1304&amp;"-3",输入报销!$J:$J,0)),2),0)</f>
        <v>0</v>
      </c>
      <c r="H1304" s="49" t="str">
        <f aca="false">IF(ROUND($G1304,2)&gt;0,ROUND($G1304,2),"")</f>
        <v/>
      </c>
      <c r="I1304" s="49" t="str">
        <f aca="false">IF(ROUND($G1304,2)&lt;0,-ROUND($G1304,2),"")</f>
        <v/>
      </c>
      <c r="J1304" s="20" t="n">
        <f aca="false">IF(ROUND($G1304,2)=0,0,1)</f>
        <v>0</v>
      </c>
      <c r="K1304" s="20" t="str">
        <f aca="false">IF($J1304=0,"",SUM($J$1302:$J1304))</f>
        <v/>
      </c>
      <c r="L1304" s="20" t="str">
        <f aca="false">IF($K1304="","",$A1304*100+$K1304)</f>
        <v/>
      </c>
      <c r="M1304" s="48" t="str">
        <f aca="false">IFERROR(INDEX(输入报销!$D:$D,MATCH($A1304&amp;"-3",输入报销!$J:$J,0))&amp;"","")</f>
        <v/>
      </c>
    </row>
    <row r="1305" customFormat="false" ht="13.5" hidden="false" customHeight="false" outlineLevel="0" collapsed="false">
      <c r="A1305" s="47" t="n">
        <v>101</v>
      </c>
      <c r="C1305" s="48" t="str">
        <f aca="false">助手报销!$C102</f>
        <v/>
      </c>
      <c r="D1305" s="81" t="s">
        <v>482</v>
      </c>
      <c r="E1305" s="48" t="str">
        <f aca="false">IFERROR(INDEX(输入报销!$E:$E,MATCH($A1305&amp;"-4",输入报销!$J:$J,0))&amp;"","")</f>
        <v/>
      </c>
      <c r="F1305" s="48" t="str">
        <f aca="false">IFERROR(INDEX(输入报销!$F:$F,MATCH($A1305&amp;"-4",输入报销!$J:$J,0))&amp;"","")</f>
        <v/>
      </c>
      <c r="G1305" s="49" t="n">
        <f aca="false">IFERROR(ROUND(INDEX(输入报销!$G:$G,MATCH($A1305&amp;"-4",输入报销!$J:$J,0)),2),0)</f>
        <v>0</v>
      </c>
      <c r="H1305" s="49" t="str">
        <f aca="false">IF(ROUND($G1305,2)&gt;0,ROUND($G1305,2),"")</f>
        <v/>
      </c>
      <c r="I1305" s="49" t="str">
        <f aca="false">IF(ROUND($G1305,2)&lt;0,-ROUND($G1305,2),"")</f>
        <v/>
      </c>
      <c r="J1305" s="20" t="n">
        <f aca="false">IF(ROUND($G1305,2)=0,0,1)</f>
        <v>0</v>
      </c>
      <c r="K1305" s="20" t="str">
        <f aca="false">IF($J1305=0,"",SUM($J$1302:$J1305))</f>
        <v/>
      </c>
      <c r="L1305" s="20" t="str">
        <f aca="false">IF($K1305="","",$A1305*100+$K1305)</f>
        <v/>
      </c>
      <c r="M1305" s="48" t="str">
        <f aca="false">IFERROR(INDEX(输入报销!$D:$D,MATCH($A1305&amp;"-4",输入报销!$J:$J,0))&amp;"","")</f>
        <v/>
      </c>
    </row>
    <row r="1306" customFormat="false" ht="13.5" hidden="false" customHeight="false" outlineLevel="0" collapsed="false">
      <c r="A1306" s="47" t="n">
        <v>101</v>
      </c>
      <c r="C1306" s="48" t="str">
        <f aca="false">助手报销!$C102</f>
        <v/>
      </c>
      <c r="D1306" s="81" t="s">
        <v>483</v>
      </c>
      <c r="E1306" s="48" t="str">
        <f aca="false">IFERROR(INDEX(输入报销!$E:$E,MATCH($A1306&amp;"-5",输入报销!$J:$J,0))&amp;"","")</f>
        <v/>
      </c>
      <c r="F1306" s="48" t="str">
        <f aca="false">IFERROR(INDEX(输入报销!$F:$F,MATCH($A1306&amp;"-5",输入报销!$J:$J,0))&amp;"","")</f>
        <v/>
      </c>
      <c r="G1306" s="49" t="n">
        <f aca="false">IFERROR(ROUND(INDEX(输入报销!$G:$G,MATCH($A1306&amp;"-5",输入报销!$J:$J,0)),2),0)</f>
        <v>0</v>
      </c>
      <c r="H1306" s="49" t="str">
        <f aca="false">IF(ROUND($G1306,2)&gt;0,ROUND($G1306,2),"")</f>
        <v/>
      </c>
      <c r="I1306" s="49" t="str">
        <f aca="false">IF(ROUND($G1306,2)&lt;0,-ROUND($G1306,2),"")</f>
        <v/>
      </c>
      <c r="J1306" s="20" t="n">
        <f aca="false">IF(ROUND($G1306,2)=0,0,1)</f>
        <v>0</v>
      </c>
      <c r="K1306" s="20" t="str">
        <f aca="false">IF($J1306=0,"",SUM($J$1302:$J1306))</f>
        <v/>
      </c>
      <c r="L1306" s="20" t="str">
        <f aca="false">IF($K1306="","",$A1306*100+$K1306)</f>
        <v/>
      </c>
      <c r="M1306" s="48" t="str">
        <f aca="false">IFERROR(INDEX(输入报销!$D:$D,MATCH($A1306&amp;"-5",输入报销!$J:$J,0))&amp;"","")</f>
        <v/>
      </c>
    </row>
    <row r="1307" customFormat="false" ht="13.5" hidden="false" customHeight="false" outlineLevel="0" collapsed="false">
      <c r="A1307" s="47" t="n">
        <v>101</v>
      </c>
      <c r="C1307" s="48" t="str">
        <f aca="false">助手报销!$C102</f>
        <v/>
      </c>
      <c r="D1307" s="81" t="s">
        <v>484</v>
      </c>
      <c r="E1307" s="48" t="str">
        <f aca="false">IFERROR(INDEX(输入报销!$E:$E,MATCH($A1307&amp;"-6",输入报销!$J:$J,0))&amp;"","")</f>
        <v/>
      </c>
      <c r="F1307" s="48" t="str">
        <f aca="false">IFERROR(INDEX(输入报销!$F:$F,MATCH($A1307&amp;"-6",输入报销!$J:$J,0))&amp;"","")</f>
        <v/>
      </c>
      <c r="G1307" s="49" t="n">
        <f aca="false">IFERROR(ROUND(INDEX(输入报销!$G:$G,MATCH($A1307&amp;"-6",输入报销!$J:$J,0)),2),0)</f>
        <v>0</v>
      </c>
      <c r="H1307" s="49" t="str">
        <f aca="false">IF(ROUND($G1307,2)&gt;0,ROUND($G1307,2),"")</f>
        <v/>
      </c>
      <c r="I1307" s="49" t="str">
        <f aca="false">IF(ROUND($G1307,2)&lt;0,-ROUND($G1307,2),"")</f>
        <v/>
      </c>
      <c r="J1307" s="20" t="n">
        <f aca="false">IF(ROUND($G1307,2)=0,0,1)</f>
        <v>0</v>
      </c>
      <c r="K1307" s="20" t="str">
        <f aca="false">IF($J1307=0,"",SUM($J$1302:$J1307))</f>
        <v/>
      </c>
      <c r="L1307" s="20" t="str">
        <f aca="false">IF($K1307="","",$A1307*100+$K1307)</f>
        <v/>
      </c>
      <c r="M1307" s="48" t="str">
        <f aca="false">IFERROR(INDEX(输入报销!$D:$D,MATCH($A1307&amp;"-6",输入报销!$J:$J,0))&amp;"","")</f>
        <v/>
      </c>
    </row>
    <row r="1308" customFormat="false" ht="13.5" hidden="false" customHeight="false" outlineLevel="0" collapsed="false">
      <c r="A1308" s="47" t="n">
        <v>101</v>
      </c>
      <c r="C1308" s="48" t="str">
        <f aca="false">助手报销!$C102</f>
        <v/>
      </c>
      <c r="D1308" s="81" t="s">
        <v>485</v>
      </c>
      <c r="E1308" s="48" t="str">
        <f aca="false">IFERROR(INDEX(输入报销!$E:$E,MATCH($A1308&amp;"-7",输入报销!$J:$J,0))&amp;"","")</f>
        <v/>
      </c>
      <c r="F1308" s="48" t="str">
        <f aca="false">IFERROR(INDEX(输入报销!$F:$F,MATCH($A1308&amp;"-7",输入报销!$J:$J,0))&amp;"","")</f>
        <v/>
      </c>
      <c r="G1308" s="49" t="n">
        <f aca="false">IFERROR(ROUND(INDEX(输入报销!$G:$G,MATCH($A1308&amp;"-7",输入报销!$J:$J,0)),2),0)</f>
        <v>0</v>
      </c>
      <c r="H1308" s="49" t="str">
        <f aca="false">IF(ROUND($G1308,2)&gt;0,ROUND($G1308,2),"")</f>
        <v/>
      </c>
      <c r="I1308" s="49" t="str">
        <f aca="false">IF(ROUND($G1308,2)&lt;0,-ROUND($G1308,2),"")</f>
        <v/>
      </c>
      <c r="J1308" s="20" t="n">
        <f aca="false">IF(ROUND($G1308,2)=0,0,1)</f>
        <v>0</v>
      </c>
      <c r="K1308" s="20" t="str">
        <f aca="false">IF($J1308=0,"",SUM($J$1302:$J1308))</f>
        <v/>
      </c>
      <c r="L1308" s="20" t="str">
        <f aca="false">IF($K1308="","",$A1308*100+$K1308)</f>
        <v/>
      </c>
      <c r="M1308" s="48" t="str">
        <f aca="false">IFERROR(INDEX(输入报销!$D:$D,MATCH($A1308&amp;"-7",输入报销!$J:$J,0))&amp;"","")</f>
        <v/>
      </c>
    </row>
    <row r="1309" customFormat="false" ht="13.5" hidden="false" customHeight="false" outlineLevel="0" collapsed="false">
      <c r="A1309" s="47" t="n">
        <v>101</v>
      </c>
      <c r="C1309" s="48" t="str">
        <f aca="false">助手报销!$C102</f>
        <v/>
      </c>
      <c r="D1309" s="81" t="s">
        <v>486</v>
      </c>
      <c r="E1309" s="48" t="str">
        <f aca="false">IFERROR(INDEX(输入报销!$E:$E,MATCH($A1309&amp;"-8",输入报销!$J:$J,0))&amp;"","")</f>
        <v/>
      </c>
      <c r="F1309" s="48" t="str">
        <f aca="false">IFERROR(INDEX(输入报销!$F:$F,MATCH($A1309&amp;"-8",输入报销!$J:$J,0))&amp;"","")</f>
        <v/>
      </c>
      <c r="G1309" s="49" t="n">
        <f aca="false">IFERROR(ROUND(INDEX(输入报销!$G:$G,MATCH($A1309&amp;"-8",输入报销!$J:$J,0)),2),0)</f>
        <v>0</v>
      </c>
      <c r="H1309" s="49" t="str">
        <f aca="false">IF(ROUND($G1309,2)&gt;0,ROUND($G1309,2),"")</f>
        <v/>
      </c>
      <c r="I1309" s="49" t="str">
        <f aca="false">IF(ROUND($G1309,2)&lt;0,-ROUND($G1309,2),"")</f>
        <v/>
      </c>
      <c r="J1309" s="20" t="n">
        <f aca="false">IF(ROUND($G1309,2)=0,0,1)</f>
        <v>0</v>
      </c>
      <c r="K1309" s="20" t="str">
        <f aca="false">IF($J1309=0,"",SUM($J$1302:$J1309))</f>
        <v/>
      </c>
      <c r="L1309" s="20" t="str">
        <f aca="false">IF($K1309="","",$A1309*100+$K1309)</f>
        <v/>
      </c>
      <c r="M1309" s="48" t="str">
        <f aca="false">IFERROR(INDEX(输入报销!$D:$D,MATCH($A1309&amp;"-8",输入报销!$J:$J,0))&amp;"","")</f>
        <v/>
      </c>
    </row>
    <row r="1310" customFormat="false" ht="13.5" hidden="false" customHeight="false" outlineLevel="0" collapsed="false">
      <c r="A1310" s="47" t="n">
        <v>101</v>
      </c>
      <c r="C1310" s="48" t="str">
        <f aca="false">助手报销!$C102</f>
        <v/>
      </c>
      <c r="D1310" s="81" t="s">
        <v>487</v>
      </c>
      <c r="E1310" s="48" t="str">
        <f aca="false">IFERROR(INDEX(输入报销!$E:$E,MATCH($A1310&amp;"-9",输入报销!$J:$J,0))&amp;"","")</f>
        <v/>
      </c>
      <c r="F1310" s="48" t="str">
        <f aca="false">IFERROR(INDEX(输入报销!$F:$F,MATCH($A1310&amp;"-9",输入报销!$J:$J,0))&amp;"","")</f>
        <v/>
      </c>
      <c r="G1310" s="49" t="n">
        <f aca="false">IFERROR(ROUND(INDEX(输入报销!$G:$G,MATCH($A1310&amp;"-9",输入报销!$J:$J,0)),2),0)</f>
        <v>0</v>
      </c>
      <c r="H1310" s="49" t="str">
        <f aca="false">IF(ROUND($G1310,2)&gt;0,ROUND($G1310,2),"")</f>
        <v/>
      </c>
      <c r="I1310" s="49" t="str">
        <f aca="false">IF(ROUND($G1310,2)&lt;0,-ROUND($G1310,2),"")</f>
        <v/>
      </c>
      <c r="J1310" s="20" t="n">
        <f aca="false">IF(ROUND($G1310,2)=0,0,1)</f>
        <v>0</v>
      </c>
      <c r="K1310" s="20" t="str">
        <f aca="false">IF($J1310=0,"",SUM($J$1302:$J1310))</f>
        <v/>
      </c>
      <c r="L1310" s="20" t="str">
        <f aca="false">IF($K1310="","",$A1310*100+$K1310)</f>
        <v/>
      </c>
      <c r="M1310" s="48" t="str">
        <f aca="false">IFERROR(INDEX(输入报销!$D:$D,MATCH($A1310&amp;"-9",输入报销!$J:$J,0))&amp;"","")</f>
        <v/>
      </c>
    </row>
    <row r="1311" customFormat="false" ht="13.5" hidden="false" customHeight="false" outlineLevel="0" collapsed="false">
      <c r="A1311" s="47" t="n">
        <v>101</v>
      </c>
      <c r="C1311" s="48" t="str">
        <f aca="false">助手报销!$C102</f>
        <v/>
      </c>
      <c r="D1311" s="81" t="s">
        <v>488</v>
      </c>
      <c r="E1311" s="48" t="str">
        <f aca="false">IFERROR(INDEX(输入报销!$E:$E,MATCH($A1311&amp;"-10",输入报销!$J:$J,0))&amp;"","")</f>
        <v/>
      </c>
      <c r="F1311" s="48" t="str">
        <f aca="false">IFERROR(INDEX(输入报销!$F:$F,MATCH($A1311&amp;"-10",输入报销!$J:$J,0))&amp;"","")</f>
        <v/>
      </c>
      <c r="G1311" s="49" t="n">
        <f aca="false">IFERROR(ROUND(INDEX(输入报销!$G:$G,MATCH($A1311&amp;"-10",输入报销!$J:$J,0)),2),0)</f>
        <v>0</v>
      </c>
      <c r="H1311" s="49" t="str">
        <f aca="false">IF(ROUND($G1311,2)&gt;0,ROUND($G1311,2),"")</f>
        <v/>
      </c>
      <c r="I1311" s="49" t="str">
        <f aca="false">IF(ROUND($G1311,2)&lt;0,-ROUND($G1311,2),"")</f>
        <v/>
      </c>
      <c r="J1311" s="20" t="n">
        <f aca="false">IF(ROUND($G1311,2)=0,0,1)</f>
        <v>0</v>
      </c>
      <c r="K1311" s="20" t="str">
        <f aca="false">IF($J1311=0,"",SUM($J$1302:$J1311))</f>
        <v/>
      </c>
      <c r="L1311" s="20" t="str">
        <f aca="false">IF($K1311="","",$A1311*100+$K1311)</f>
        <v/>
      </c>
      <c r="M1311" s="48" t="str">
        <f aca="false">IFERROR(INDEX(输入报销!$D:$D,MATCH($A1311&amp;"-10",输入报销!$J:$J,0))&amp;"","")</f>
        <v/>
      </c>
    </row>
    <row r="1312" customFormat="false" ht="13.5" hidden="false" customHeight="false" outlineLevel="0" collapsed="false">
      <c r="A1312" s="47" t="n">
        <v>101</v>
      </c>
      <c r="C1312" s="48" t="str">
        <f aca="false">助手报销!$C102</f>
        <v/>
      </c>
      <c r="D1312" s="81" t="s">
        <v>489</v>
      </c>
      <c r="E1312" s="48" t="str">
        <f aca="false">参数!$B$6</f>
        <v>库存现金</v>
      </c>
      <c r="F1312" s="48" t="str">
        <f aca="false">""</f>
        <v/>
      </c>
      <c r="G1312" s="49" t="n">
        <f aca="false">-ROUND(SUMIFS(输入报销!$G:$G,输入报销!$A:$A,$A1312,输入报销!$H:$H,参数!$B$6),2)</f>
        <v>-0</v>
      </c>
      <c r="H1312" s="49" t="str">
        <f aca="false">IF(ROUND($G1312,2)&gt;0,ROUND($G1312,2),"")</f>
        <v/>
      </c>
      <c r="I1312" s="49" t="str">
        <f aca="false">IF(ROUND($G1312,2)&lt;0,-ROUND($G1312,2),"")</f>
        <v/>
      </c>
      <c r="J1312" s="20" t="n">
        <f aca="false">IF(ROUND($G1312,2)=0,0,1)</f>
        <v>0</v>
      </c>
      <c r="K1312" s="20" t="str">
        <f aca="false">IF($J1312=0,"",SUM($J$1302:$J1312))</f>
        <v/>
      </c>
      <c r="L1312" s="20" t="str">
        <f aca="false">IF($K1312="","",$A1312*100+$K1312)</f>
        <v/>
      </c>
      <c r="M1312" s="48" t="str">
        <f aca="false">""</f>
        <v/>
      </c>
    </row>
    <row r="1313" customFormat="false" ht="13.5" hidden="false" customHeight="false" outlineLevel="0" collapsed="false">
      <c r="A1313" s="47" t="n">
        <v>101</v>
      </c>
      <c r="C1313" s="48" t="str">
        <f aca="false">助手报销!$C102</f>
        <v/>
      </c>
      <c r="D1313" s="81" t="s">
        <v>490</v>
      </c>
      <c r="E1313" s="48" t="str">
        <f aca="false">参数!$B$7</f>
        <v>银行存款</v>
      </c>
      <c r="F1313" s="48" t="str">
        <f aca="false">""</f>
        <v/>
      </c>
      <c r="G1313" s="49" t="n">
        <f aca="false">-ROUND(SUMIFS(输入报销!$G:$G,输入报销!$A:$A,$A1313,输入报销!$H:$H,参数!$B$7),2)</f>
        <v>-0</v>
      </c>
      <c r="H1313" s="49" t="str">
        <f aca="false">IF(ROUND($G1313,2)&gt;0,ROUND($G1313,2),"")</f>
        <v/>
      </c>
      <c r="I1313" s="49" t="str">
        <f aca="false">IF(ROUND($G1313,2)&lt;0,-ROUND($G1313,2),"")</f>
        <v/>
      </c>
      <c r="J1313" s="20" t="n">
        <f aca="false">IF(ROUND($G1313,2)=0,0,1)</f>
        <v>0</v>
      </c>
      <c r="K1313" s="20" t="str">
        <f aca="false">IF($J1313=0,"",SUM($J$1302:$J1313))</f>
        <v/>
      </c>
      <c r="L1313" s="20" t="str">
        <f aca="false">IF($K1313="","",$A1313*100+$K1313)</f>
        <v/>
      </c>
      <c r="M1313" s="48" t="str">
        <f aca="false">""</f>
        <v/>
      </c>
    </row>
    <row r="1314" customFormat="false" ht="13.5" hidden="false" customHeight="false" outlineLevel="0" collapsed="false">
      <c r="A1314" s="47" t="n">
        <v>101</v>
      </c>
      <c r="C1314" s="48" t="str">
        <f aca="false">助手报销!$C102</f>
        <v/>
      </c>
      <c r="D1314" s="81" t="s">
        <v>491</v>
      </c>
      <c r="E1314" s="48" t="str">
        <f aca="false">参数!$B$8</f>
        <v>其他应付款</v>
      </c>
      <c r="F1314" s="48" t="str">
        <f aca="false">""</f>
        <v/>
      </c>
      <c r="G1314" s="49" t="n">
        <f aca="false">-ROUND(SUMIFS(输入报销!$G:$G,输入报销!$A:$A,$A1314,输入报销!$H:$H,参数!$B$8),2)</f>
        <v>-0</v>
      </c>
      <c r="H1314" s="49" t="str">
        <f aca="false">IF(ROUND($G1314,2)&gt;0,ROUND($G1314,2),"")</f>
        <v/>
      </c>
      <c r="I1314" s="49" t="str">
        <f aca="false">IF(ROUND($G1314,2)&lt;0,-ROUND($G1314,2),"")</f>
        <v/>
      </c>
      <c r="J1314" s="20" t="n">
        <f aca="false">IF(ROUND($G1314,2)=0,0,1)</f>
        <v>0</v>
      </c>
      <c r="K1314" s="20" t="str">
        <f aca="false">IF($J1314=0,"",SUM($J$1302:$J1314))</f>
        <v/>
      </c>
      <c r="L1314" s="20" t="str">
        <f aca="false">IF($K1314="","",$A1314*100+$K1314)</f>
        <v/>
      </c>
      <c r="M1314" s="48" t="str">
        <f aca="false">""</f>
        <v/>
      </c>
    </row>
    <row r="1315" customFormat="false" ht="13.5" hidden="false" customHeight="false" outlineLevel="0" collapsed="false">
      <c r="A1315" s="47" t="n">
        <v>102</v>
      </c>
      <c r="C1315" s="48" t="str">
        <f aca="false">助手报销!$C103</f>
        <v/>
      </c>
      <c r="D1315" s="81" t="s">
        <v>479</v>
      </c>
      <c r="E1315" s="48" t="str">
        <f aca="false">IFERROR(INDEX(输入报销!$E:$E,MATCH($A1315&amp;"-1",输入报销!$J:$J,0))&amp;"","")</f>
        <v/>
      </c>
      <c r="F1315" s="48" t="str">
        <f aca="false">IFERROR(INDEX(输入报销!$F:$F,MATCH($A1315&amp;"-1",输入报销!$J:$J,0))&amp;"","")</f>
        <v/>
      </c>
      <c r="G1315" s="49" t="n">
        <f aca="false">IFERROR(ROUND(INDEX(输入报销!$G:$G,MATCH($A1315&amp;"-1",输入报销!$J:$J,0)),2),0)</f>
        <v>0</v>
      </c>
      <c r="H1315" s="49" t="str">
        <f aca="false">IF(ROUND($G1315,2)&gt;0,ROUND($G1315,2),"")</f>
        <v/>
      </c>
      <c r="I1315" s="49" t="str">
        <f aca="false">IF(ROUND($G1315,2)&lt;0,-ROUND($G1315,2),"")</f>
        <v/>
      </c>
      <c r="J1315" s="20" t="n">
        <f aca="false">IF(ROUND($G1315,2)=0,0,1)</f>
        <v>0</v>
      </c>
      <c r="K1315" s="20" t="str">
        <f aca="false">IF($J1315=0,"",SUM($J$1315:$J1315))</f>
        <v/>
      </c>
      <c r="L1315" s="20" t="str">
        <f aca="false">IF($K1315="","",$A1315*100+$K1315)</f>
        <v/>
      </c>
      <c r="M1315" s="48" t="str">
        <f aca="false">IFERROR(INDEX(输入报销!$D:$D,MATCH($A1315&amp;"-1",输入报销!$J:$J,0))&amp;"","")</f>
        <v/>
      </c>
    </row>
    <row r="1316" customFormat="false" ht="13.5" hidden="false" customHeight="false" outlineLevel="0" collapsed="false">
      <c r="A1316" s="47" t="n">
        <v>102</v>
      </c>
      <c r="C1316" s="48" t="str">
        <f aca="false">助手报销!$C103</f>
        <v/>
      </c>
      <c r="D1316" s="81" t="s">
        <v>480</v>
      </c>
      <c r="E1316" s="48" t="str">
        <f aca="false">IFERROR(INDEX(输入报销!$E:$E,MATCH($A1316&amp;"-2",输入报销!$J:$J,0))&amp;"","")</f>
        <v/>
      </c>
      <c r="F1316" s="48" t="str">
        <f aca="false">IFERROR(INDEX(输入报销!$F:$F,MATCH($A1316&amp;"-2",输入报销!$J:$J,0))&amp;"","")</f>
        <v/>
      </c>
      <c r="G1316" s="49" t="n">
        <f aca="false">IFERROR(ROUND(INDEX(输入报销!$G:$G,MATCH($A1316&amp;"-2",输入报销!$J:$J,0)),2),0)</f>
        <v>0</v>
      </c>
      <c r="H1316" s="49" t="str">
        <f aca="false">IF(ROUND($G1316,2)&gt;0,ROUND($G1316,2),"")</f>
        <v/>
      </c>
      <c r="I1316" s="49" t="str">
        <f aca="false">IF(ROUND($G1316,2)&lt;0,-ROUND($G1316,2),"")</f>
        <v/>
      </c>
      <c r="J1316" s="20" t="n">
        <f aca="false">IF(ROUND($G1316,2)=0,0,1)</f>
        <v>0</v>
      </c>
      <c r="K1316" s="20" t="str">
        <f aca="false">IF($J1316=0,"",SUM($J$1315:$J1316))</f>
        <v/>
      </c>
      <c r="L1316" s="20" t="str">
        <f aca="false">IF($K1316="","",$A1316*100+$K1316)</f>
        <v/>
      </c>
      <c r="M1316" s="48" t="str">
        <f aca="false">IFERROR(INDEX(输入报销!$D:$D,MATCH($A1316&amp;"-2",输入报销!$J:$J,0))&amp;"","")</f>
        <v/>
      </c>
    </row>
    <row r="1317" customFormat="false" ht="13.5" hidden="false" customHeight="false" outlineLevel="0" collapsed="false">
      <c r="A1317" s="47" t="n">
        <v>102</v>
      </c>
      <c r="C1317" s="48" t="str">
        <f aca="false">助手报销!$C103</f>
        <v/>
      </c>
      <c r="D1317" s="81" t="s">
        <v>481</v>
      </c>
      <c r="E1317" s="48" t="str">
        <f aca="false">IFERROR(INDEX(输入报销!$E:$E,MATCH($A1317&amp;"-3",输入报销!$J:$J,0))&amp;"","")</f>
        <v/>
      </c>
      <c r="F1317" s="48" t="str">
        <f aca="false">IFERROR(INDEX(输入报销!$F:$F,MATCH($A1317&amp;"-3",输入报销!$J:$J,0))&amp;"","")</f>
        <v/>
      </c>
      <c r="G1317" s="49" t="n">
        <f aca="false">IFERROR(ROUND(INDEX(输入报销!$G:$G,MATCH($A1317&amp;"-3",输入报销!$J:$J,0)),2),0)</f>
        <v>0</v>
      </c>
      <c r="H1317" s="49" t="str">
        <f aca="false">IF(ROUND($G1317,2)&gt;0,ROUND($G1317,2),"")</f>
        <v/>
      </c>
      <c r="I1317" s="49" t="str">
        <f aca="false">IF(ROUND($G1317,2)&lt;0,-ROUND($G1317,2),"")</f>
        <v/>
      </c>
      <c r="J1317" s="20" t="n">
        <f aca="false">IF(ROUND($G1317,2)=0,0,1)</f>
        <v>0</v>
      </c>
      <c r="K1317" s="20" t="str">
        <f aca="false">IF($J1317=0,"",SUM($J$1315:$J1317))</f>
        <v/>
      </c>
      <c r="L1317" s="20" t="str">
        <f aca="false">IF($K1317="","",$A1317*100+$K1317)</f>
        <v/>
      </c>
      <c r="M1317" s="48" t="str">
        <f aca="false">IFERROR(INDEX(输入报销!$D:$D,MATCH($A1317&amp;"-3",输入报销!$J:$J,0))&amp;"","")</f>
        <v/>
      </c>
    </row>
    <row r="1318" customFormat="false" ht="13.5" hidden="false" customHeight="false" outlineLevel="0" collapsed="false">
      <c r="A1318" s="47" t="n">
        <v>102</v>
      </c>
      <c r="C1318" s="48" t="str">
        <f aca="false">助手报销!$C103</f>
        <v/>
      </c>
      <c r="D1318" s="81" t="s">
        <v>482</v>
      </c>
      <c r="E1318" s="48" t="str">
        <f aca="false">IFERROR(INDEX(输入报销!$E:$E,MATCH($A1318&amp;"-4",输入报销!$J:$J,0))&amp;"","")</f>
        <v/>
      </c>
      <c r="F1318" s="48" t="str">
        <f aca="false">IFERROR(INDEX(输入报销!$F:$F,MATCH($A1318&amp;"-4",输入报销!$J:$J,0))&amp;"","")</f>
        <v/>
      </c>
      <c r="G1318" s="49" t="n">
        <f aca="false">IFERROR(ROUND(INDEX(输入报销!$G:$G,MATCH($A1318&amp;"-4",输入报销!$J:$J,0)),2),0)</f>
        <v>0</v>
      </c>
      <c r="H1318" s="49" t="str">
        <f aca="false">IF(ROUND($G1318,2)&gt;0,ROUND($G1318,2),"")</f>
        <v/>
      </c>
      <c r="I1318" s="49" t="str">
        <f aca="false">IF(ROUND($G1318,2)&lt;0,-ROUND($G1318,2),"")</f>
        <v/>
      </c>
      <c r="J1318" s="20" t="n">
        <f aca="false">IF(ROUND($G1318,2)=0,0,1)</f>
        <v>0</v>
      </c>
      <c r="K1318" s="20" t="str">
        <f aca="false">IF($J1318=0,"",SUM($J$1315:$J1318))</f>
        <v/>
      </c>
      <c r="L1318" s="20" t="str">
        <f aca="false">IF($K1318="","",$A1318*100+$K1318)</f>
        <v/>
      </c>
      <c r="M1318" s="48" t="str">
        <f aca="false">IFERROR(INDEX(输入报销!$D:$D,MATCH($A1318&amp;"-4",输入报销!$J:$J,0))&amp;"","")</f>
        <v/>
      </c>
    </row>
    <row r="1319" customFormat="false" ht="13.5" hidden="false" customHeight="false" outlineLevel="0" collapsed="false">
      <c r="A1319" s="47" t="n">
        <v>102</v>
      </c>
      <c r="C1319" s="48" t="str">
        <f aca="false">助手报销!$C103</f>
        <v/>
      </c>
      <c r="D1319" s="81" t="s">
        <v>483</v>
      </c>
      <c r="E1319" s="48" t="str">
        <f aca="false">IFERROR(INDEX(输入报销!$E:$E,MATCH($A1319&amp;"-5",输入报销!$J:$J,0))&amp;"","")</f>
        <v/>
      </c>
      <c r="F1319" s="48" t="str">
        <f aca="false">IFERROR(INDEX(输入报销!$F:$F,MATCH($A1319&amp;"-5",输入报销!$J:$J,0))&amp;"","")</f>
        <v/>
      </c>
      <c r="G1319" s="49" t="n">
        <f aca="false">IFERROR(ROUND(INDEX(输入报销!$G:$G,MATCH($A1319&amp;"-5",输入报销!$J:$J,0)),2),0)</f>
        <v>0</v>
      </c>
      <c r="H1319" s="49" t="str">
        <f aca="false">IF(ROUND($G1319,2)&gt;0,ROUND($G1319,2),"")</f>
        <v/>
      </c>
      <c r="I1319" s="49" t="str">
        <f aca="false">IF(ROUND($G1319,2)&lt;0,-ROUND($G1319,2),"")</f>
        <v/>
      </c>
      <c r="J1319" s="20" t="n">
        <f aca="false">IF(ROUND($G1319,2)=0,0,1)</f>
        <v>0</v>
      </c>
      <c r="K1319" s="20" t="str">
        <f aca="false">IF($J1319=0,"",SUM($J$1315:$J1319))</f>
        <v/>
      </c>
      <c r="L1319" s="20" t="str">
        <f aca="false">IF($K1319="","",$A1319*100+$K1319)</f>
        <v/>
      </c>
      <c r="M1319" s="48" t="str">
        <f aca="false">IFERROR(INDEX(输入报销!$D:$D,MATCH($A1319&amp;"-5",输入报销!$J:$J,0))&amp;"","")</f>
        <v/>
      </c>
    </row>
    <row r="1320" customFormat="false" ht="13.5" hidden="false" customHeight="false" outlineLevel="0" collapsed="false">
      <c r="A1320" s="47" t="n">
        <v>102</v>
      </c>
      <c r="C1320" s="48" t="str">
        <f aca="false">助手报销!$C103</f>
        <v/>
      </c>
      <c r="D1320" s="81" t="s">
        <v>484</v>
      </c>
      <c r="E1320" s="48" t="str">
        <f aca="false">IFERROR(INDEX(输入报销!$E:$E,MATCH($A1320&amp;"-6",输入报销!$J:$J,0))&amp;"","")</f>
        <v/>
      </c>
      <c r="F1320" s="48" t="str">
        <f aca="false">IFERROR(INDEX(输入报销!$F:$F,MATCH($A1320&amp;"-6",输入报销!$J:$J,0))&amp;"","")</f>
        <v/>
      </c>
      <c r="G1320" s="49" t="n">
        <f aca="false">IFERROR(ROUND(INDEX(输入报销!$G:$G,MATCH($A1320&amp;"-6",输入报销!$J:$J,0)),2),0)</f>
        <v>0</v>
      </c>
      <c r="H1320" s="49" t="str">
        <f aca="false">IF(ROUND($G1320,2)&gt;0,ROUND($G1320,2),"")</f>
        <v/>
      </c>
      <c r="I1320" s="49" t="str">
        <f aca="false">IF(ROUND($G1320,2)&lt;0,-ROUND($G1320,2),"")</f>
        <v/>
      </c>
      <c r="J1320" s="20" t="n">
        <f aca="false">IF(ROUND($G1320,2)=0,0,1)</f>
        <v>0</v>
      </c>
      <c r="K1320" s="20" t="str">
        <f aca="false">IF($J1320=0,"",SUM($J$1315:$J1320))</f>
        <v/>
      </c>
      <c r="L1320" s="20" t="str">
        <f aca="false">IF($K1320="","",$A1320*100+$K1320)</f>
        <v/>
      </c>
      <c r="M1320" s="48" t="str">
        <f aca="false">IFERROR(INDEX(输入报销!$D:$D,MATCH($A1320&amp;"-6",输入报销!$J:$J,0))&amp;"","")</f>
        <v/>
      </c>
    </row>
    <row r="1321" customFormat="false" ht="13.5" hidden="false" customHeight="false" outlineLevel="0" collapsed="false">
      <c r="A1321" s="47" t="n">
        <v>102</v>
      </c>
      <c r="C1321" s="48" t="str">
        <f aca="false">助手报销!$C103</f>
        <v/>
      </c>
      <c r="D1321" s="81" t="s">
        <v>485</v>
      </c>
      <c r="E1321" s="48" t="str">
        <f aca="false">IFERROR(INDEX(输入报销!$E:$E,MATCH($A1321&amp;"-7",输入报销!$J:$J,0))&amp;"","")</f>
        <v/>
      </c>
      <c r="F1321" s="48" t="str">
        <f aca="false">IFERROR(INDEX(输入报销!$F:$F,MATCH($A1321&amp;"-7",输入报销!$J:$J,0))&amp;"","")</f>
        <v/>
      </c>
      <c r="G1321" s="49" t="n">
        <f aca="false">IFERROR(ROUND(INDEX(输入报销!$G:$G,MATCH($A1321&amp;"-7",输入报销!$J:$J,0)),2),0)</f>
        <v>0</v>
      </c>
      <c r="H1321" s="49" t="str">
        <f aca="false">IF(ROUND($G1321,2)&gt;0,ROUND($G1321,2),"")</f>
        <v/>
      </c>
      <c r="I1321" s="49" t="str">
        <f aca="false">IF(ROUND($G1321,2)&lt;0,-ROUND($G1321,2),"")</f>
        <v/>
      </c>
      <c r="J1321" s="20" t="n">
        <f aca="false">IF(ROUND($G1321,2)=0,0,1)</f>
        <v>0</v>
      </c>
      <c r="K1321" s="20" t="str">
        <f aca="false">IF($J1321=0,"",SUM($J$1315:$J1321))</f>
        <v/>
      </c>
      <c r="L1321" s="20" t="str">
        <f aca="false">IF($K1321="","",$A1321*100+$K1321)</f>
        <v/>
      </c>
      <c r="M1321" s="48" t="str">
        <f aca="false">IFERROR(INDEX(输入报销!$D:$D,MATCH($A1321&amp;"-7",输入报销!$J:$J,0))&amp;"","")</f>
        <v/>
      </c>
    </row>
    <row r="1322" customFormat="false" ht="13.5" hidden="false" customHeight="false" outlineLevel="0" collapsed="false">
      <c r="A1322" s="47" t="n">
        <v>102</v>
      </c>
      <c r="C1322" s="48" t="str">
        <f aca="false">助手报销!$C103</f>
        <v/>
      </c>
      <c r="D1322" s="81" t="s">
        <v>486</v>
      </c>
      <c r="E1322" s="48" t="str">
        <f aca="false">IFERROR(INDEX(输入报销!$E:$E,MATCH($A1322&amp;"-8",输入报销!$J:$J,0))&amp;"","")</f>
        <v/>
      </c>
      <c r="F1322" s="48" t="str">
        <f aca="false">IFERROR(INDEX(输入报销!$F:$F,MATCH($A1322&amp;"-8",输入报销!$J:$J,0))&amp;"","")</f>
        <v/>
      </c>
      <c r="G1322" s="49" t="n">
        <f aca="false">IFERROR(ROUND(INDEX(输入报销!$G:$G,MATCH($A1322&amp;"-8",输入报销!$J:$J,0)),2),0)</f>
        <v>0</v>
      </c>
      <c r="H1322" s="49" t="str">
        <f aca="false">IF(ROUND($G1322,2)&gt;0,ROUND($G1322,2),"")</f>
        <v/>
      </c>
      <c r="I1322" s="49" t="str">
        <f aca="false">IF(ROUND($G1322,2)&lt;0,-ROUND($G1322,2),"")</f>
        <v/>
      </c>
      <c r="J1322" s="20" t="n">
        <f aca="false">IF(ROUND($G1322,2)=0,0,1)</f>
        <v>0</v>
      </c>
      <c r="K1322" s="20" t="str">
        <f aca="false">IF($J1322=0,"",SUM($J$1315:$J1322))</f>
        <v/>
      </c>
      <c r="L1322" s="20" t="str">
        <f aca="false">IF($K1322="","",$A1322*100+$K1322)</f>
        <v/>
      </c>
      <c r="M1322" s="48" t="str">
        <f aca="false">IFERROR(INDEX(输入报销!$D:$D,MATCH($A1322&amp;"-8",输入报销!$J:$J,0))&amp;"","")</f>
        <v/>
      </c>
    </row>
    <row r="1323" customFormat="false" ht="13.5" hidden="false" customHeight="false" outlineLevel="0" collapsed="false">
      <c r="A1323" s="47" t="n">
        <v>102</v>
      </c>
      <c r="C1323" s="48" t="str">
        <f aca="false">助手报销!$C103</f>
        <v/>
      </c>
      <c r="D1323" s="81" t="s">
        <v>487</v>
      </c>
      <c r="E1323" s="48" t="str">
        <f aca="false">IFERROR(INDEX(输入报销!$E:$E,MATCH($A1323&amp;"-9",输入报销!$J:$J,0))&amp;"","")</f>
        <v/>
      </c>
      <c r="F1323" s="48" t="str">
        <f aca="false">IFERROR(INDEX(输入报销!$F:$F,MATCH($A1323&amp;"-9",输入报销!$J:$J,0))&amp;"","")</f>
        <v/>
      </c>
      <c r="G1323" s="49" t="n">
        <f aca="false">IFERROR(ROUND(INDEX(输入报销!$G:$G,MATCH($A1323&amp;"-9",输入报销!$J:$J,0)),2),0)</f>
        <v>0</v>
      </c>
      <c r="H1323" s="49" t="str">
        <f aca="false">IF(ROUND($G1323,2)&gt;0,ROUND($G1323,2),"")</f>
        <v/>
      </c>
      <c r="I1323" s="49" t="str">
        <f aca="false">IF(ROUND($G1323,2)&lt;0,-ROUND($G1323,2),"")</f>
        <v/>
      </c>
      <c r="J1323" s="20" t="n">
        <f aca="false">IF(ROUND($G1323,2)=0,0,1)</f>
        <v>0</v>
      </c>
      <c r="K1323" s="20" t="str">
        <f aca="false">IF($J1323=0,"",SUM($J$1315:$J1323))</f>
        <v/>
      </c>
      <c r="L1323" s="20" t="str">
        <f aca="false">IF($K1323="","",$A1323*100+$K1323)</f>
        <v/>
      </c>
      <c r="M1323" s="48" t="str">
        <f aca="false">IFERROR(INDEX(输入报销!$D:$D,MATCH($A1323&amp;"-9",输入报销!$J:$J,0))&amp;"","")</f>
        <v/>
      </c>
    </row>
    <row r="1324" customFormat="false" ht="13.5" hidden="false" customHeight="false" outlineLevel="0" collapsed="false">
      <c r="A1324" s="47" t="n">
        <v>102</v>
      </c>
      <c r="C1324" s="48" t="str">
        <f aca="false">助手报销!$C103</f>
        <v/>
      </c>
      <c r="D1324" s="81" t="s">
        <v>488</v>
      </c>
      <c r="E1324" s="48" t="str">
        <f aca="false">IFERROR(INDEX(输入报销!$E:$E,MATCH($A1324&amp;"-10",输入报销!$J:$J,0))&amp;"","")</f>
        <v/>
      </c>
      <c r="F1324" s="48" t="str">
        <f aca="false">IFERROR(INDEX(输入报销!$F:$F,MATCH($A1324&amp;"-10",输入报销!$J:$J,0))&amp;"","")</f>
        <v/>
      </c>
      <c r="G1324" s="49" t="n">
        <f aca="false">IFERROR(ROUND(INDEX(输入报销!$G:$G,MATCH($A1324&amp;"-10",输入报销!$J:$J,0)),2),0)</f>
        <v>0</v>
      </c>
      <c r="H1324" s="49" t="str">
        <f aca="false">IF(ROUND($G1324,2)&gt;0,ROUND($G1324,2),"")</f>
        <v/>
      </c>
      <c r="I1324" s="49" t="str">
        <f aca="false">IF(ROUND($G1324,2)&lt;0,-ROUND($G1324,2),"")</f>
        <v/>
      </c>
      <c r="J1324" s="20" t="n">
        <f aca="false">IF(ROUND($G1324,2)=0,0,1)</f>
        <v>0</v>
      </c>
      <c r="K1324" s="20" t="str">
        <f aca="false">IF($J1324=0,"",SUM($J$1315:$J1324))</f>
        <v/>
      </c>
      <c r="L1324" s="20" t="str">
        <f aca="false">IF($K1324="","",$A1324*100+$K1324)</f>
        <v/>
      </c>
      <c r="M1324" s="48" t="str">
        <f aca="false">IFERROR(INDEX(输入报销!$D:$D,MATCH($A1324&amp;"-10",输入报销!$J:$J,0))&amp;"","")</f>
        <v/>
      </c>
    </row>
    <row r="1325" customFormat="false" ht="13.5" hidden="false" customHeight="false" outlineLevel="0" collapsed="false">
      <c r="A1325" s="47" t="n">
        <v>102</v>
      </c>
      <c r="C1325" s="48" t="str">
        <f aca="false">助手报销!$C103</f>
        <v/>
      </c>
      <c r="D1325" s="81" t="s">
        <v>489</v>
      </c>
      <c r="E1325" s="48" t="str">
        <f aca="false">参数!$B$6</f>
        <v>库存现金</v>
      </c>
      <c r="F1325" s="48" t="str">
        <f aca="false">""</f>
        <v/>
      </c>
      <c r="G1325" s="49" t="n">
        <f aca="false">-ROUND(SUMIFS(输入报销!$G:$G,输入报销!$A:$A,$A1325,输入报销!$H:$H,参数!$B$6),2)</f>
        <v>-0</v>
      </c>
      <c r="H1325" s="49" t="str">
        <f aca="false">IF(ROUND($G1325,2)&gt;0,ROUND($G1325,2),"")</f>
        <v/>
      </c>
      <c r="I1325" s="49" t="str">
        <f aca="false">IF(ROUND($G1325,2)&lt;0,-ROUND($G1325,2),"")</f>
        <v/>
      </c>
      <c r="J1325" s="20" t="n">
        <f aca="false">IF(ROUND($G1325,2)=0,0,1)</f>
        <v>0</v>
      </c>
      <c r="K1325" s="20" t="str">
        <f aca="false">IF($J1325=0,"",SUM($J$1315:$J1325))</f>
        <v/>
      </c>
      <c r="L1325" s="20" t="str">
        <f aca="false">IF($K1325="","",$A1325*100+$K1325)</f>
        <v/>
      </c>
      <c r="M1325" s="48" t="str">
        <f aca="false">""</f>
        <v/>
      </c>
    </row>
    <row r="1326" customFormat="false" ht="13.5" hidden="false" customHeight="false" outlineLevel="0" collapsed="false">
      <c r="A1326" s="47" t="n">
        <v>102</v>
      </c>
      <c r="C1326" s="48" t="str">
        <f aca="false">助手报销!$C103</f>
        <v/>
      </c>
      <c r="D1326" s="81" t="s">
        <v>490</v>
      </c>
      <c r="E1326" s="48" t="str">
        <f aca="false">参数!$B$7</f>
        <v>银行存款</v>
      </c>
      <c r="F1326" s="48" t="str">
        <f aca="false">""</f>
        <v/>
      </c>
      <c r="G1326" s="49" t="n">
        <f aca="false">-ROUND(SUMIFS(输入报销!$G:$G,输入报销!$A:$A,$A1326,输入报销!$H:$H,参数!$B$7),2)</f>
        <v>-0</v>
      </c>
      <c r="H1326" s="49" t="str">
        <f aca="false">IF(ROUND($G1326,2)&gt;0,ROUND($G1326,2),"")</f>
        <v/>
      </c>
      <c r="I1326" s="49" t="str">
        <f aca="false">IF(ROUND($G1326,2)&lt;0,-ROUND($G1326,2),"")</f>
        <v/>
      </c>
      <c r="J1326" s="20" t="n">
        <f aca="false">IF(ROUND($G1326,2)=0,0,1)</f>
        <v>0</v>
      </c>
      <c r="K1326" s="20" t="str">
        <f aca="false">IF($J1326=0,"",SUM($J$1315:$J1326))</f>
        <v/>
      </c>
      <c r="L1326" s="20" t="str">
        <f aca="false">IF($K1326="","",$A1326*100+$K1326)</f>
        <v/>
      </c>
      <c r="M1326" s="48" t="str">
        <f aca="false">""</f>
        <v/>
      </c>
    </row>
    <row r="1327" customFormat="false" ht="13.5" hidden="false" customHeight="false" outlineLevel="0" collapsed="false">
      <c r="A1327" s="47" t="n">
        <v>102</v>
      </c>
      <c r="C1327" s="48" t="str">
        <f aca="false">助手报销!$C103</f>
        <v/>
      </c>
      <c r="D1327" s="81" t="s">
        <v>491</v>
      </c>
      <c r="E1327" s="48" t="str">
        <f aca="false">参数!$B$8</f>
        <v>其他应付款</v>
      </c>
      <c r="F1327" s="48" t="str">
        <f aca="false">""</f>
        <v/>
      </c>
      <c r="G1327" s="49" t="n">
        <f aca="false">-ROUND(SUMIFS(输入报销!$G:$G,输入报销!$A:$A,$A1327,输入报销!$H:$H,参数!$B$8),2)</f>
        <v>-0</v>
      </c>
      <c r="H1327" s="49" t="str">
        <f aca="false">IF(ROUND($G1327,2)&gt;0,ROUND($G1327,2),"")</f>
        <v/>
      </c>
      <c r="I1327" s="49" t="str">
        <f aca="false">IF(ROUND($G1327,2)&lt;0,-ROUND($G1327,2),"")</f>
        <v/>
      </c>
      <c r="J1327" s="20" t="n">
        <f aca="false">IF(ROUND($G1327,2)=0,0,1)</f>
        <v>0</v>
      </c>
      <c r="K1327" s="20" t="str">
        <f aca="false">IF($J1327=0,"",SUM($J$1315:$J1327))</f>
        <v/>
      </c>
      <c r="L1327" s="20" t="str">
        <f aca="false">IF($K1327="","",$A1327*100+$K1327)</f>
        <v/>
      </c>
      <c r="M1327" s="48" t="str">
        <f aca="false">""</f>
        <v/>
      </c>
    </row>
    <row r="1328" customFormat="false" ht="13.5" hidden="false" customHeight="false" outlineLevel="0" collapsed="false">
      <c r="A1328" s="47" t="n">
        <v>103</v>
      </c>
      <c r="C1328" s="48" t="str">
        <f aca="false">助手报销!$C104</f>
        <v/>
      </c>
      <c r="D1328" s="81" t="s">
        <v>479</v>
      </c>
      <c r="E1328" s="48" t="str">
        <f aca="false">IFERROR(INDEX(输入报销!$E:$E,MATCH($A1328&amp;"-1",输入报销!$J:$J,0))&amp;"","")</f>
        <v/>
      </c>
      <c r="F1328" s="48" t="str">
        <f aca="false">IFERROR(INDEX(输入报销!$F:$F,MATCH($A1328&amp;"-1",输入报销!$J:$J,0))&amp;"","")</f>
        <v/>
      </c>
      <c r="G1328" s="49" t="n">
        <f aca="false">IFERROR(ROUND(INDEX(输入报销!$G:$G,MATCH($A1328&amp;"-1",输入报销!$J:$J,0)),2),0)</f>
        <v>0</v>
      </c>
      <c r="H1328" s="49" t="str">
        <f aca="false">IF(ROUND($G1328,2)&gt;0,ROUND($G1328,2),"")</f>
        <v/>
      </c>
      <c r="I1328" s="49" t="str">
        <f aca="false">IF(ROUND($G1328,2)&lt;0,-ROUND($G1328,2),"")</f>
        <v/>
      </c>
      <c r="J1328" s="20" t="n">
        <f aca="false">IF(ROUND($G1328,2)=0,0,1)</f>
        <v>0</v>
      </c>
      <c r="K1328" s="20" t="str">
        <f aca="false">IF($J1328=0,"",SUM($J$1328:$J1328))</f>
        <v/>
      </c>
      <c r="L1328" s="20" t="str">
        <f aca="false">IF($K1328="","",$A1328*100+$K1328)</f>
        <v/>
      </c>
      <c r="M1328" s="48" t="str">
        <f aca="false">IFERROR(INDEX(输入报销!$D:$D,MATCH($A1328&amp;"-1",输入报销!$J:$J,0))&amp;"","")</f>
        <v/>
      </c>
    </row>
    <row r="1329" customFormat="false" ht="13.5" hidden="false" customHeight="false" outlineLevel="0" collapsed="false">
      <c r="A1329" s="47" t="n">
        <v>103</v>
      </c>
      <c r="C1329" s="48" t="str">
        <f aca="false">助手报销!$C104</f>
        <v/>
      </c>
      <c r="D1329" s="81" t="s">
        <v>480</v>
      </c>
      <c r="E1329" s="48" t="str">
        <f aca="false">IFERROR(INDEX(输入报销!$E:$E,MATCH($A1329&amp;"-2",输入报销!$J:$J,0))&amp;"","")</f>
        <v/>
      </c>
      <c r="F1329" s="48" t="str">
        <f aca="false">IFERROR(INDEX(输入报销!$F:$F,MATCH($A1329&amp;"-2",输入报销!$J:$J,0))&amp;"","")</f>
        <v/>
      </c>
      <c r="G1329" s="49" t="n">
        <f aca="false">IFERROR(ROUND(INDEX(输入报销!$G:$G,MATCH($A1329&amp;"-2",输入报销!$J:$J,0)),2),0)</f>
        <v>0</v>
      </c>
      <c r="H1329" s="49" t="str">
        <f aca="false">IF(ROUND($G1329,2)&gt;0,ROUND($G1329,2),"")</f>
        <v/>
      </c>
      <c r="I1329" s="49" t="str">
        <f aca="false">IF(ROUND($G1329,2)&lt;0,-ROUND($G1329,2),"")</f>
        <v/>
      </c>
      <c r="J1329" s="20" t="n">
        <f aca="false">IF(ROUND($G1329,2)=0,0,1)</f>
        <v>0</v>
      </c>
      <c r="K1329" s="20" t="str">
        <f aca="false">IF($J1329=0,"",SUM($J$1328:$J1329))</f>
        <v/>
      </c>
      <c r="L1329" s="20" t="str">
        <f aca="false">IF($K1329="","",$A1329*100+$K1329)</f>
        <v/>
      </c>
      <c r="M1329" s="48" t="str">
        <f aca="false">IFERROR(INDEX(输入报销!$D:$D,MATCH($A1329&amp;"-2",输入报销!$J:$J,0))&amp;"","")</f>
        <v/>
      </c>
    </row>
    <row r="1330" customFormat="false" ht="13.5" hidden="false" customHeight="false" outlineLevel="0" collapsed="false">
      <c r="A1330" s="47" t="n">
        <v>103</v>
      </c>
      <c r="C1330" s="48" t="str">
        <f aca="false">助手报销!$C104</f>
        <v/>
      </c>
      <c r="D1330" s="81" t="s">
        <v>481</v>
      </c>
      <c r="E1330" s="48" t="str">
        <f aca="false">IFERROR(INDEX(输入报销!$E:$E,MATCH($A1330&amp;"-3",输入报销!$J:$J,0))&amp;"","")</f>
        <v/>
      </c>
      <c r="F1330" s="48" t="str">
        <f aca="false">IFERROR(INDEX(输入报销!$F:$F,MATCH($A1330&amp;"-3",输入报销!$J:$J,0))&amp;"","")</f>
        <v/>
      </c>
      <c r="G1330" s="49" t="n">
        <f aca="false">IFERROR(ROUND(INDEX(输入报销!$G:$G,MATCH($A1330&amp;"-3",输入报销!$J:$J,0)),2),0)</f>
        <v>0</v>
      </c>
      <c r="H1330" s="49" t="str">
        <f aca="false">IF(ROUND($G1330,2)&gt;0,ROUND($G1330,2),"")</f>
        <v/>
      </c>
      <c r="I1330" s="49" t="str">
        <f aca="false">IF(ROUND($G1330,2)&lt;0,-ROUND($G1330,2),"")</f>
        <v/>
      </c>
      <c r="J1330" s="20" t="n">
        <f aca="false">IF(ROUND($G1330,2)=0,0,1)</f>
        <v>0</v>
      </c>
      <c r="K1330" s="20" t="str">
        <f aca="false">IF($J1330=0,"",SUM($J$1328:$J1330))</f>
        <v/>
      </c>
      <c r="L1330" s="20" t="str">
        <f aca="false">IF($K1330="","",$A1330*100+$K1330)</f>
        <v/>
      </c>
      <c r="M1330" s="48" t="str">
        <f aca="false">IFERROR(INDEX(输入报销!$D:$D,MATCH($A1330&amp;"-3",输入报销!$J:$J,0))&amp;"","")</f>
        <v/>
      </c>
    </row>
    <row r="1331" customFormat="false" ht="13.5" hidden="false" customHeight="false" outlineLevel="0" collapsed="false">
      <c r="A1331" s="47" t="n">
        <v>103</v>
      </c>
      <c r="C1331" s="48" t="str">
        <f aca="false">助手报销!$C104</f>
        <v/>
      </c>
      <c r="D1331" s="81" t="s">
        <v>482</v>
      </c>
      <c r="E1331" s="48" t="str">
        <f aca="false">IFERROR(INDEX(输入报销!$E:$E,MATCH($A1331&amp;"-4",输入报销!$J:$J,0))&amp;"","")</f>
        <v/>
      </c>
      <c r="F1331" s="48" t="str">
        <f aca="false">IFERROR(INDEX(输入报销!$F:$F,MATCH($A1331&amp;"-4",输入报销!$J:$J,0))&amp;"","")</f>
        <v/>
      </c>
      <c r="G1331" s="49" t="n">
        <f aca="false">IFERROR(ROUND(INDEX(输入报销!$G:$G,MATCH($A1331&amp;"-4",输入报销!$J:$J,0)),2),0)</f>
        <v>0</v>
      </c>
      <c r="H1331" s="49" t="str">
        <f aca="false">IF(ROUND($G1331,2)&gt;0,ROUND($G1331,2),"")</f>
        <v/>
      </c>
      <c r="I1331" s="49" t="str">
        <f aca="false">IF(ROUND($G1331,2)&lt;0,-ROUND($G1331,2),"")</f>
        <v/>
      </c>
      <c r="J1331" s="20" t="n">
        <f aca="false">IF(ROUND($G1331,2)=0,0,1)</f>
        <v>0</v>
      </c>
      <c r="K1331" s="20" t="str">
        <f aca="false">IF($J1331=0,"",SUM($J$1328:$J1331))</f>
        <v/>
      </c>
      <c r="L1331" s="20" t="str">
        <f aca="false">IF($K1331="","",$A1331*100+$K1331)</f>
        <v/>
      </c>
      <c r="M1331" s="48" t="str">
        <f aca="false">IFERROR(INDEX(输入报销!$D:$D,MATCH($A1331&amp;"-4",输入报销!$J:$J,0))&amp;"","")</f>
        <v/>
      </c>
    </row>
    <row r="1332" customFormat="false" ht="13.5" hidden="false" customHeight="false" outlineLevel="0" collapsed="false">
      <c r="A1332" s="47" t="n">
        <v>103</v>
      </c>
      <c r="C1332" s="48" t="str">
        <f aca="false">助手报销!$C104</f>
        <v/>
      </c>
      <c r="D1332" s="81" t="s">
        <v>483</v>
      </c>
      <c r="E1332" s="48" t="str">
        <f aca="false">IFERROR(INDEX(输入报销!$E:$E,MATCH($A1332&amp;"-5",输入报销!$J:$J,0))&amp;"","")</f>
        <v/>
      </c>
      <c r="F1332" s="48" t="str">
        <f aca="false">IFERROR(INDEX(输入报销!$F:$F,MATCH($A1332&amp;"-5",输入报销!$J:$J,0))&amp;"","")</f>
        <v/>
      </c>
      <c r="G1332" s="49" t="n">
        <f aca="false">IFERROR(ROUND(INDEX(输入报销!$G:$G,MATCH($A1332&amp;"-5",输入报销!$J:$J,0)),2),0)</f>
        <v>0</v>
      </c>
      <c r="H1332" s="49" t="str">
        <f aca="false">IF(ROUND($G1332,2)&gt;0,ROUND($G1332,2),"")</f>
        <v/>
      </c>
      <c r="I1332" s="49" t="str">
        <f aca="false">IF(ROUND($G1332,2)&lt;0,-ROUND($G1332,2),"")</f>
        <v/>
      </c>
      <c r="J1332" s="20" t="n">
        <f aca="false">IF(ROUND($G1332,2)=0,0,1)</f>
        <v>0</v>
      </c>
      <c r="K1332" s="20" t="str">
        <f aca="false">IF($J1332=0,"",SUM($J$1328:$J1332))</f>
        <v/>
      </c>
      <c r="L1332" s="20" t="str">
        <f aca="false">IF($K1332="","",$A1332*100+$K1332)</f>
        <v/>
      </c>
      <c r="M1332" s="48" t="str">
        <f aca="false">IFERROR(INDEX(输入报销!$D:$D,MATCH($A1332&amp;"-5",输入报销!$J:$J,0))&amp;"","")</f>
        <v/>
      </c>
    </row>
    <row r="1333" customFormat="false" ht="13.5" hidden="false" customHeight="false" outlineLevel="0" collapsed="false">
      <c r="A1333" s="47" t="n">
        <v>103</v>
      </c>
      <c r="C1333" s="48" t="str">
        <f aca="false">助手报销!$C104</f>
        <v/>
      </c>
      <c r="D1333" s="81" t="s">
        <v>484</v>
      </c>
      <c r="E1333" s="48" t="str">
        <f aca="false">IFERROR(INDEX(输入报销!$E:$E,MATCH($A1333&amp;"-6",输入报销!$J:$J,0))&amp;"","")</f>
        <v/>
      </c>
      <c r="F1333" s="48" t="str">
        <f aca="false">IFERROR(INDEX(输入报销!$F:$F,MATCH($A1333&amp;"-6",输入报销!$J:$J,0))&amp;"","")</f>
        <v/>
      </c>
      <c r="G1333" s="49" t="n">
        <f aca="false">IFERROR(ROUND(INDEX(输入报销!$G:$G,MATCH($A1333&amp;"-6",输入报销!$J:$J,0)),2),0)</f>
        <v>0</v>
      </c>
      <c r="H1333" s="49" t="str">
        <f aca="false">IF(ROUND($G1333,2)&gt;0,ROUND($G1333,2),"")</f>
        <v/>
      </c>
      <c r="I1333" s="49" t="str">
        <f aca="false">IF(ROUND($G1333,2)&lt;0,-ROUND($G1333,2),"")</f>
        <v/>
      </c>
      <c r="J1333" s="20" t="n">
        <f aca="false">IF(ROUND($G1333,2)=0,0,1)</f>
        <v>0</v>
      </c>
      <c r="K1333" s="20" t="str">
        <f aca="false">IF($J1333=0,"",SUM($J$1328:$J1333))</f>
        <v/>
      </c>
      <c r="L1333" s="20" t="str">
        <f aca="false">IF($K1333="","",$A1333*100+$K1333)</f>
        <v/>
      </c>
      <c r="M1333" s="48" t="str">
        <f aca="false">IFERROR(INDEX(输入报销!$D:$D,MATCH($A1333&amp;"-6",输入报销!$J:$J,0))&amp;"","")</f>
        <v/>
      </c>
    </row>
    <row r="1334" customFormat="false" ht="13.5" hidden="false" customHeight="false" outlineLevel="0" collapsed="false">
      <c r="A1334" s="47" t="n">
        <v>103</v>
      </c>
      <c r="C1334" s="48" t="str">
        <f aca="false">助手报销!$C104</f>
        <v/>
      </c>
      <c r="D1334" s="81" t="s">
        <v>485</v>
      </c>
      <c r="E1334" s="48" t="str">
        <f aca="false">IFERROR(INDEX(输入报销!$E:$E,MATCH($A1334&amp;"-7",输入报销!$J:$J,0))&amp;"","")</f>
        <v/>
      </c>
      <c r="F1334" s="48" t="str">
        <f aca="false">IFERROR(INDEX(输入报销!$F:$F,MATCH($A1334&amp;"-7",输入报销!$J:$J,0))&amp;"","")</f>
        <v/>
      </c>
      <c r="G1334" s="49" t="n">
        <f aca="false">IFERROR(ROUND(INDEX(输入报销!$G:$G,MATCH($A1334&amp;"-7",输入报销!$J:$J,0)),2),0)</f>
        <v>0</v>
      </c>
      <c r="H1334" s="49" t="str">
        <f aca="false">IF(ROUND($G1334,2)&gt;0,ROUND($G1334,2),"")</f>
        <v/>
      </c>
      <c r="I1334" s="49" t="str">
        <f aca="false">IF(ROUND($G1334,2)&lt;0,-ROUND($G1334,2),"")</f>
        <v/>
      </c>
      <c r="J1334" s="20" t="n">
        <f aca="false">IF(ROUND($G1334,2)=0,0,1)</f>
        <v>0</v>
      </c>
      <c r="K1334" s="20" t="str">
        <f aca="false">IF($J1334=0,"",SUM($J$1328:$J1334))</f>
        <v/>
      </c>
      <c r="L1334" s="20" t="str">
        <f aca="false">IF($K1334="","",$A1334*100+$K1334)</f>
        <v/>
      </c>
      <c r="M1334" s="48" t="str">
        <f aca="false">IFERROR(INDEX(输入报销!$D:$D,MATCH($A1334&amp;"-7",输入报销!$J:$J,0))&amp;"","")</f>
        <v/>
      </c>
    </row>
    <row r="1335" customFormat="false" ht="13.5" hidden="false" customHeight="false" outlineLevel="0" collapsed="false">
      <c r="A1335" s="47" t="n">
        <v>103</v>
      </c>
      <c r="C1335" s="48" t="str">
        <f aca="false">助手报销!$C104</f>
        <v/>
      </c>
      <c r="D1335" s="81" t="s">
        <v>486</v>
      </c>
      <c r="E1335" s="48" t="str">
        <f aca="false">IFERROR(INDEX(输入报销!$E:$E,MATCH($A1335&amp;"-8",输入报销!$J:$J,0))&amp;"","")</f>
        <v/>
      </c>
      <c r="F1335" s="48" t="str">
        <f aca="false">IFERROR(INDEX(输入报销!$F:$F,MATCH($A1335&amp;"-8",输入报销!$J:$J,0))&amp;"","")</f>
        <v/>
      </c>
      <c r="G1335" s="49" t="n">
        <f aca="false">IFERROR(ROUND(INDEX(输入报销!$G:$G,MATCH($A1335&amp;"-8",输入报销!$J:$J,0)),2),0)</f>
        <v>0</v>
      </c>
      <c r="H1335" s="49" t="str">
        <f aca="false">IF(ROUND($G1335,2)&gt;0,ROUND($G1335,2),"")</f>
        <v/>
      </c>
      <c r="I1335" s="49" t="str">
        <f aca="false">IF(ROUND($G1335,2)&lt;0,-ROUND($G1335,2),"")</f>
        <v/>
      </c>
      <c r="J1335" s="20" t="n">
        <f aca="false">IF(ROUND($G1335,2)=0,0,1)</f>
        <v>0</v>
      </c>
      <c r="K1335" s="20" t="str">
        <f aca="false">IF($J1335=0,"",SUM($J$1328:$J1335))</f>
        <v/>
      </c>
      <c r="L1335" s="20" t="str">
        <f aca="false">IF($K1335="","",$A1335*100+$K1335)</f>
        <v/>
      </c>
      <c r="M1335" s="48" t="str">
        <f aca="false">IFERROR(INDEX(输入报销!$D:$D,MATCH($A1335&amp;"-8",输入报销!$J:$J,0))&amp;"","")</f>
        <v/>
      </c>
    </row>
    <row r="1336" customFormat="false" ht="13.5" hidden="false" customHeight="false" outlineLevel="0" collapsed="false">
      <c r="A1336" s="47" t="n">
        <v>103</v>
      </c>
      <c r="C1336" s="48" t="str">
        <f aca="false">助手报销!$C104</f>
        <v/>
      </c>
      <c r="D1336" s="81" t="s">
        <v>487</v>
      </c>
      <c r="E1336" s="48" t="str">
        <f aca="false">IFERROR(INDEX(输入报销!$E:$E,MATCH($A1336&amp;"-9",输入报销!$J:$J,0))&amp;"","")</f>
        <v/>
      </c>
      <c r="F1336" s="48" t="str">
        <f aca="false">IFERROR(INDEX(输入报销!$F:$F,MATCH($A1336&amp;"-9",输入报销!$J:$J,0))&amp;"","")</f>
        <v/>
      </c>
      <c r="G1336" s="49" t="n">
        <f aca="false">IFERROR(ROUND(INDEX(输入报销!$G:$G,MATCH($A1336&amp;"-9",输入报销!$J:$J,0)),2),0)</f>
        <v>0</v>
      </c>
      <c r="H1336" s="49" t="str">
        <f aca="false">IF(ROUND($G1336,2)&gt;0,ROUND($G1336,2),"")</f>
        <v/>
      </c>
      <c r="I1336" s="49" t="str">
        <f aca="false">IF(ROUND($G1336,2)&lt;0,-ROUND($G1336,2),"")</f>
        <v/>
      </c>
      <c r="J1336" s="20" t="n">
        <f aca="false">IF(ROUND($G1336,2)=0,0,1)</f>
        <v>0</v>
      </c>
      <c r="K1336" s="20" t="str">
        <f aca="false">IF($J1336=0,"",SUM($J$1328:$J1336))</f>
        <v/>
      </c>
      <c r="L1336" s="20" t="str">
        <f aca="false">IF($K1336="","",$A1336*100+$K1336)</f>
        <v/>
      </c>
      <c r="M1336" s="48" t="str">
        <f aca="false">IFERROR(INDEX(输入报销!$D:$D,MATCH($A1336&amp;"-9",输入报销!$J:$J,0))&amp;"","")</f>
        <v/>
      </c>
    </row>
    <row r="1337" customFormat="false" ht="13.5" hidden="false" customHeight="false" outlineLevel="0" collapsed="false">
      <c r="A1337" s="47" t="n">
        <v>103</v>
      </c>
      <c r="C1337" s="48" t="str">
        <f aca="false">助手报销!$C104</f>
        <v/>
      </c>
      <c r="D1337" s="81" t="s">
        <v>488</v>
      </c>
      <c r="E1337" s="48" t="str">
        <f aca="false">IFERROR(INDEX(输入报销!$E:$E,MATCH($A1337&amp;"-10",输入报销!$J:$J,0))&amp;"","")</f>
        <v/>
      </c>
      <c r="F1337" s="48" t="str">
        <f aca="false">IFERROR(INDEX(输入报销!$F:$F,MATCH($A1337&amp;"-10",输入报销!$J:$J,0))&amp;"","")</f>
        <v/>
      </c>
      <c r="G1337" s="49" t="n">
        <f aca="false">IFERROR(ROUND(INDEX(输入报销!$G:$G,MATCH($A1337&amp;"-10",输入报销!$J:$J,0)),2),0)</f>
        <v>0</v>
      </c>
      <c r="H1337" s="49" t="str">
        <f aca="false">IF(ROUND($G1337,2)&gt;0,ROUND($G1337,2),"")</f>
        <v/>
      </c>
      <c r="I1337" s="49" t="str">
        <f aca="false">IF(ROUND($G1337,2)&lt;0,-ROUND($G1337,2),"")</f>
        <v/>
      </c>
      <c r="J1337" s="20" t="n">
        <f aca="false">IF(ROUND($G1337,2)=0,0,1)</f>
        <v>0</v>
      </c>
      <c r="K1337" s="20" t="str">
        <f aca="false">IF($J1337=0,"",SUM($J$1328:$J1337))</f>
        <v/>
      </c>
      <c r="L1337" s="20" t="str">
        <f aca="false">IF($K1337="","",$A1337*100+$K1337)</f>
        <v/>
      </c>
      <c r="M1337" s="48" t="str">
        <f aca="false">IFERROR(INDEX(输入报销!$D:$D,MATCH($A1337&amp;"-10",输入报销!$J:$J,0))&amp;"","")</f>
        <v/>
      </c>
    </row>
    <row r="1338" customFormat="false" ht="13.5" hidden="false" customHeight="false" outlineLevel="0" collapsed="false">
      <c r="A1338" s="47" t="n">
        <v>103</v>
      </c>
      <c r="C1338" s="48" t="str">
        <f aca="false">助手报销!$C104</f>
        <v/>
      </c>
      <c r="D1338" s="81" t="s">
        <v>489</v>
      </c>
      <c r="E1338" s="48" t="str">
        <f aca="false">参数!$B$6</f>
        <v>库存现金</v>
      </c>
      <c r="F1338" s="48" t="str">
        <f aca="false">""</f>
        <v/>
      </c>
      <c r="G1338" s="49" t="n">
        <f aca="false">-ROUND(SUMIFS(输入报销!$G:$G,输入报销!$A:$A,$A1338,输入报销!$H:$H,参数!$B$6),2)</f>
        <v>-0</v>
      </c>
      <c r="H1338" s="49" t="str">
        <f aca="false">IF(ROUND($G1338,2)&gt;0,ROUND($G1338,2),"")</f>
        <v/>
      </c>
      <c r="I1338" s="49" t="str">
        <f aca="false">IF(ROUND($G1338,2)&lt;0,-ROUND($G1338,2),"")</f>
        <v/>
      </c>
      <c r="J1338" s="20" t="n">
        <f aca="false">IF(ROUND($G1338,2)=0,0,1)</f>
        <v>0</v>
      </c>
      <c r="K1338" s="20" t="str">
        <f aca="false">IF($J1338=0,"",SUM($J$1328:$J1338))</f>
        <v/>
      </c>
      <c r="L1338" s="20" t="str">
        <f aca="false">IF($K1338="","",$A1338*100+$K1338)</f>
        <v/>
      </c>
      <c r="M1338" s="48" t="str">
        <f aca="false">""</f>
        <v/>
      </c>
    </row>
    <row r="1339" customFormat="false" ht="13.5" hidden="false" customHeight="false" outlineLevel="0" collapsed="false">
      <c r="A1339" s="47" t="n">
        <v>103</v>
      </c>
      <c r="C1339" s="48" t="str">
        <f aca="false">助手报销!$C104</f>
        <v/>
      </c>
      <c r="D1339" s="81" t="s">
        <v>490</v>
      </c>
      <c r="E1339" s="48" t="str">
        <f aca="false">参数!$B$7</f>
        <v>银行存款</v>
      </c>
      <c r="F1339" s="48" t="str">
        <f aca="false">""</f>
        <v/>
      </c>
      <c r="G1339" s="49" t="n">
        <f aca="false">-ROUND(SUMIFS(输入报销!$G:$G,输入报销!$A:$A,$A1339,输入报销!$H:$H,参数!$B$7),2)</f>
        <v>-0</v>
      </c>
      <c r="H1339" s="49" t="str">
        <f aca="false">IF(ROUND($G1339,2)&gt;0,ROUND($G1339,2),"")</f>
        <v/>
      </c>
      <c r="I1339" s="49" t="str">
        <f aca="false">IF(ROUND($G1339,2)&lt;0,-ROUND($G1339,2),"")</f>
        <v/>
      </c>
      <c r="J1339" s="20" t="n">
        <f aca="false">IF(ROUND($G1339,2)=0,0,1)</f>
        <v>0</v>
      </c>
      <c r="K1339" s="20" t="str">
        <f aca="false">IF($J1339=0,"",SUM($J$1328:$J1339))</f>
        <v/>
      </c>
      <c r="L1339" s="20" t="str">
        <f aca="false">IF($K1339="","",$A1339*100+$K1339)</f>
        <v/>
      </c>
      <c r="M1339" s="48" t="str">
        <f aca="false">""</f>
        <v/>
      </c>
    </row>
    <row r="1340" customFormat="false" ht="13.5" hidden="false" customHeight="false" outlineLevel="0" collapsed="false">
      <c r="A1340" s="47" t="n">
        <v>103</v>
      </c>
      <c r="C1340" s="48" t="str">
        <f aca="false">助手报销!$C104</f>
        <v/>
      </c>
      <c r="D1340" s="81" t="s">
        <v>491</v>
      </c>
      <c r="E1340" s="48" t="str">
        <f aca="false">参数!$B$8</f>
        <v>其他应付款</v>
      </c>
      <c r="F1340" s="48" t="str">
        <f aca="false">""</f>
        <v/>
      </c>
      <c r="G1340" s="49" t="n">
        <f aca="false">-ROUND(SUMIFS(输入报销!$G:$G,输入报销!$A:$A,$A1340,输入报销!$H:$H,参数!$B$8),2)</f>
        <v>-0</v>
      </c>
      <c r="H1340" s="49" t="str">
        <f aca="false">IF(ROUND($G1340,2)&gt;0,ROUND($G1340,2),"")</f>
        <v/>
      </c>
      <c r="I1340" s="49" t="str">
        <f aca="false">IF(ROUND($G1340,2)&lt;0,-ROUND($G1340,2),"")</f>
        <v/>
      </c>
      <c r="J1340" s="20" t="n">
        <f aca="false">IF(ROUND($G1340,2)=0,0,1)</f>
        <v>0</v>
      </c>
      <c r="K1340" s="20" t="str">
        <f aca="false">IF($J1340=0,"",SUM($J$1328:$J1340))</f>
        <v/>
      </c>
      <c r="L1340" s="20" t="str">
        <f aca="false">IF($K1340="","",$A1340*100+$K1340)</f>
        <v/>
      </c>
      <c r="M1340" s="48" t="str">
        <f aca="false">""</f>
        <v/>
      </c>
    </row>
    <row r="1341" customFormat="false" ht="13.5" hidden="false" customHeight="false" outlineLevel="0" collapsed="false">
      <c r="A1341" s="47" t="n">
        <v>104</v>
      </c>
      <c r="C1341" s="48" t="str">
        <f aca="false">助手报销!$C105</f>
        <v/>
      </c>
      <c r="D1341" s="81" t="s">
        <v>479</v>
      </c>
      <c r="E1341" s="48" t="str">
        <f aca="false">IFERROR(INDEX(输入报销!$E:$E,MATCH($A1341&amp;"-1",输入报销!$J:$J,0))&amp;"","")</f>
        <v/>
      </c>
      <c r="F1341" s="48" t="str">
        <f aca="false">IFERROR(INDEX(输入报销!$F:$F,MATCH($A1341&amp;"-1",输入报销!$J:$J,0))&amp;"","")</f>
        <v/>
      </c>
      <c r="G1341" s="49" t="n">
        <f aca="false">IFERROR(ROUND(INDEX(输入报销!$G:$G,MATCH($A1341&amp;"-1",输入报销!$J:$J,0)),2),0)</f>
        <v>0</v>
      </c>
      <c r="H1341" s="49" t="str">
        <f aca="false">IF(ROUND($G1341,2)&gt;0,ROUND($G1341,2),"")</f>
        <v/>
      </c>
      <c r="I1341" s="49" t="str">
        <f aca="false">IF(ROUND($G1341,2)&lt;0,-ROUND($G1341,2),"")</f>
        <v/>
      </c>
      <c r="J1341" s="20" t="n">
        <f aca="false">IF(ROUND($G1341,2)=0,0,1)</f>
        <v>0</v>
      </c>
      <c r="K1341" s="20" t="str">
        <f aca="false">IF($J1341=0,"",SUM($J$1341:$J1341))</f>
        <v/>
      </c>
      <c r="L1341" s="20" t="str">
        <f aca="false">IF($K1341="","",$A1341*100+$K1341)</f>
        <v/>
      </c>
      <c r="M1341" s="48" t="str">
        <f aca="false">IFERROR(INDEX(输入报销!$D:$D,MATCH($A1341&amp;"-1",输入报销!$J:$J,0))&amp;"","")</f>
        <v/>
      </c>
    </row>
    <row r="1342" customFormat="false" ht="13.5" hidden="false" customHeight="false" outlineLevel="0" collapsed="false">
      <c r="A1342" s="47" t="n">
        <v>104</v>
      </c>
      <c r="C1342" s="48" t="str">
        <f aca="false">助手报销!$C105</f>
        <v/>
      </c>
      <c r="D1342" s="81" t="s">
        <v>480</v>
      </c>
      <c r="E1342" s="48" t="str">
        <f aca="false">IFERROR(INDEX(输入报销!$E:$E,MATCH($A1342&amp;"-2",输入报销!$J:$J,0))&amp;"","")</f>
        <v/>
      </c>
      <c r="F1342" s="48" t="str">
        <f aca="false">IFERROR(INDEX(输入报销!$F:$F,MATCH($A1342&amp;"-2",输入报销!$J:$J,0))&amp;"","")</f>
        <v/>
      </c>
      <c r="G1342" s="49" t="n">
        <f aca="false">IFERROR(ROUND(INDEX(输入报销!$G:$G,MATCH($A1342&amp;"-2",输入报销!$J:$J,0)),2),0)</f>
        <v>0</v>
      </c>
      <c r="H1342" s="49" t="str">
        <f aca="false">IF(ROUND($G1342,2)&gt;0,ROUND($G1342,2),"")</f>
        <v/>
      </c>
      <c r="I1342" s="49" t="str">
        <f aca="false">IF(ROUND($G1342,2)&lt;0,-ROUND($G1342,2),"")</f>
        <v/>
      </c>
      <c r="J1342" s="20" t="n">
        <f aca="false">IF(ROUND($G1342,2)=0,0,1)</f>
        <v>0</v>
      </c>
      <c r="K1342" s="20" t="str">
        <f aca="false">IF($J1342=0,"",SUM($J$1341:$J1342))</f>
        <v/>
      </c>
      <c r="L1342" s="20" t="str">
        <f aca="false">IF($K1342="","",$A1342*100+$K1342)</f>
        <v/>
      </c>
      <c r="M1342" s="48" t="str">
        <f aca="false">IFERROR(INDEX(输入报销!$D:$D,MATCH($A1342&amp;"-2",输入报销!$J:$J,0))&amp;"","")</f>
        <v/>
      </c>
    </row>
    <row r="1343" customFormat="false" ht="13.5" hidden="false" customHeight="false" outlineLevel="0" collapsed="false">
      <c r="A1343" s="47" t="n">
        <v>104</v>
      </c>
      <c r="C1343" s="48" t="str">
        <f aca="false">助手报销!$C105</f>
        <v/>
      </c>
      <c r="D1343" s="81" t="s">
        <v>481</v>
      </c>
      <c r="E1343" s="48" t="str">
        <f aca="false">IFERROR(INDEX(输入报销!$E:$E,MATCH($A1343&amp;"-3",输入报销!$J:$J,0))&amp;"","")</f>
        <v/>
      </c>
      <c r="F1343" s="48" t="str">
        <f aca="false">IFERROR(INDEX(输入报销!$F:$F,MATCH($A1343&amp;"-3",输入报销!$J:$J,0))&amp;"","")</f>
        <v/>
      </c>
      <c r="G1343" s="49" t="n">
        <f aca="false">IFERROR(ROUND(INDEX(输入报销!$G:$G,MATCH($A1343&amp;"-3",输入报销!$J:$J,0)),2),0)</f>
        <v>0</v>
      </c>
      <c r="H1343" s="49" t="str">
        <f aca="false">IF(ROUND($G1343,2)&gt;0,ROUND($G1343,2),"")</f>
        <v/>
      </c>
      <c r="I1343" s="49" t="str">
        <f aca="false">IF(ROUND($G1343,2)&lt;0,-ROUND($G1343,2),"")</f>
        <v/>
      </c>
      <c r="J1343" s="20" t="n">
        <f aca="false">IF(ROUND($G1343,2)=0,0,1)</f>
        <v>0</v>
      </c>
      <c r="K1343" s="20" t="str">
        <f aca="false">IF($J1343=0,"",SUM($J$1341:$J1343))</f>
        <v/>
      </c>
      <c r="L1343" s="20" t="str">
        <f aca="false">IF($K1343="","",$A1343*100+$K1343)</f>
        <v/>
      </c>
      <c r="M1343" s="48" t="str">
        <f aca="false">IFERROR(INDEX(输入报销!$D:$D,MATCH($A1343&amp;"-3",输入报销!$J:$J,0))&amp;"","")</f>
        <v/>
      </c>
    </row>
    <row r="1344" customFormat="false" ht="13.5" hidden="false" customHeight="false" outlineLevel="0" collapsed="false">
      <c r="A1344" s="47" t="n">
        <v>104</v>
      </c>
      <c r="C1344" s="48" t="str">
        <f aca="false">助手报销!$C105</f>
        <v/>
      </c>
      <c r="D1344" s="81" t="s">
        <v>482</v>
      </c>
      <c r="E1344" s="48" t="str">
        <f aca="false">IFERROR(INDEX(输入报销!$E:$E,MATCH($A1344&amp;"-4",输入报销!$J:$J,0))&amp;"","")</f>
        <v/>
      </c>
      <c r="F1344" s="48" t="str">
        <f aca="false">IFERROR(INDEX(输入报销!$F:$F,MATCH($A1344&amp;"-4",输入报销!$J:$J,0))&amp;"","")</f>
        <v/>
      </c>
      <c r="G1344" s="49" t="n">
        <f aca="false">IFERROR(ROUND(INDEX(输入报销!$G:$G,MATCH($A1344&amp;"-4",输入报销!$J:$J,0)),2),0)</f>
        <v>0</v>
      </c>
      <c r="H1344" s="49" t="str">
        <f aca="false">IF(ROUND($G1344,2)&gt;0,ROUND($G1344,2),"")</f>
        <v/>
      </c>
      <c r="I1344" s="49" t="str">
        <f aca="false">IF(ROUND($G1344,2)&lt;0,-ROUND($G1344,2),"")</f>
        <v/>
      </c>
      <c r="J1344" s="20" t="n">
        <f aca="false">IF(ROUND($G1344,2)=0,0,1)</f>
        <v>0</v>
      </c>
      <c r="K1344" s="20" t="str">
        <f aca="false">IF($J1344=0,"",SUM($J$1341:$J1344))</f>
        <v/>
      </c>
      <c r="L1344" s="20" t="str">
        <f aca="false">IF($K1344="","",$A1344*100+$K1344)</f>
        <v/>
      </c>
      <c r="M1344" s="48" t="str">
        <f aca="false">IFERROR(INDEX(输入报销!$D:$D,MATCH($A1344&amp;"-4",输入报销!$J:$J,0))&amp;"","")</f>
        <v/>
      </c>
    </row>
    <row r="1345" customFormat="false" ht="13.5" hidden="false" customHeight="false" outlineLevel="0" collapsed="false">
      <c r="A1345" s="47" t="n">
        <v>104</v>
      </c>
      <c r="C1345" s="48" t="str">
        <f aca="false">助手报销!$C105</f>
        <v/>
      </c>
      <c r="D1345" s="81" t="s">
        <v>483</v>
      </c>
      <c r="E1345" s="48" t="str">
        <f aca="false">IFERROR(INDEX(输入报销!$E:$E,MATCH($A1345&amp;"-5",输入报销!$J:$J,0))&amp;"","")</f>
        <v/>
      </c>
      <c r="F1345" s="48" t="str">
        <f aca="false">IFERROR(INDEX(输入报销!$F:$F,MATCH($A1345&amp;"-5",输入报销!$J:$J,0))&amp;"","")</f>
        <v/>
      </c>
      <c r="G1345" s="49" t="n">
        <f aca="false">IFERROR(ROUND(INDEX(输入报销!$G:$G,MATCH($A1345&amp;"-5",输入报销!$J:$J,0)),2),0)</f>
        <v>0</v>
      </c>
      <c r="H1345" s="49" t="str">
        <f aca="false">IF(ROUND($G1345,2)&gt;0,ROUND($G1345,2),"")</f>
        <v/>
      </c>
      <c r="I1345" s="49" t="str">
        <f aca="false">IF(ROUND($G1345,2)&lt;0,-ROUND($G1345,2),"")</f>
        <v/>
      </c>
      <c r="J1345" s="20" t="n">
        <f aca="false">IF(ROUND($G1345,2)=0,0,1)</f>
        <v>0</v>
      </c>
      <c r="K1345" s="20" t="str">
        <f aca="false">IF($J1345=0,"",SUM($J$1341:$J1345))</f>
        <v/>
      </c>
      <c r="L1345" s="20" t="str">
        <f aca="false">IF($K1345="","",$A1345*100+$K1345)</f>
        <v/>
      </c>
      <c r="M1345" s="48" t="str">
        <f aca="false">IFERROR(INDEX(输入报销!$D:$D,MATCH($A1345&amp;"-5",输入报销!$J:$J,0))&amp;"","")</f>
        <v/>
      </c>
    </row>
    <row r="1346" customFormat="false" ht="13.5" hidden="false" customHeight="false" outlineLevel="0" collapsed="false">
      <c r="A1346" s="47" t="n">
        <v>104</v>
      </c>
      <c r="C1346" s="48" t="str">
        <f aca="false">助手报销!$C105</f>
        <v/>
      </c>
      <c r="D1346" s="81" t="s">
        <v>484</v>
      </c>
      <c r="E1346" s="48" t="str">
        <f aca="false">IFERROR(INDEX(输入报销!$E:$E,MATCH($A1346&amp;"-6",输入报销!$J:$J,0))&amp;"","")</f>
        <v/>
      </c>
      <c r="F1346" s="48" t="str">
        <f aca="false">IFERROR(INDEX(输入报销!$F:$F,MATCH($A1346&amp;"-6",输入报销!$J:$J,0))&amp;"","")</f>
        <v/>
      </c>
      <c r="G1346" s="49" t="n">
        <f aca="false">IFERROR(ROUND(INDEX(输入报销!$G:$G,MATCH($A1346&amp;"-6",输入报销!$J:$J,0)),2),0)</f>
        <v>0</v>
      </c>
      <c r="H1346" s="49" t="str">
        <f aca="false">IF(ROUND($G1346,2)&gt;0,ROUND($G1346,2),"")</f>
        <v/>
      </c>
      <c r="I1346" s="49" t="str">
        <f aca="false">IF(ROUND($G1346,2)&lt;0,-ROUND($G1346,2),"")</f>
        <v/>
      </c>
      <c r="J1346" s="20" t="n">
        <f aca="false">IF(ROUND($G1346,2)=0,0,1)</f>
        <v>0</v>
      </c>
      <c r="K1346" s="20" t="str">
        <f aca="false">IF($J1346=0,"",SUM($J$1341:$J1346))</f>
        <v/>
      </c>
      <c r="L1346" s="20" t="str">
        <f aca="false">IF($K1346="","",$A1346*100+$K1346)</f>
        <v/>
      </c>
      <c r="M1346" s="48" t="str">
        <f aca="false">IFERROR(INDEX(输入报销!$D:$D,MATCH($A1346&amp;"-6",输入报销!$J:$J,0))&amp;"","")</f>
        <v/>
      </c>
    </row>
    <row r="1347" customFormat="false" ht="13.5" hidden="false" customHeight="false" outlineLevel="0" collapsed="false">
      <c r="A1347" s="47" t="n">
        <v>104</v>
      </c>
      <c r="C1347" s="48" t="str">
        <f aca="false">助手报销!$C105</f>
        <v/>
      </c>
      <c r="D1347" s="81" t="s">
        <v>485</v>
      </c>
      <c r="E1347" s="48" t="str">
        <f aca="false">IFERROR(INDEX(输入报销!$E:$E,MATCH($A1347&amp;"-7",输入报销!$J:$J,0))&amp;"","")</f>
        <v/>
      </c>
      <c r="F1347" s="48" t="str">
        <f aca="false">IFERROR(INDEX(输入报销!$F:$F,MATCH($A1347&amp;"-7",输入报销!$J:$J,0))&amp;"","")</f>
        <v/>
      </c>
      <c r="G1347" s="49" t="n">
        <f aca="false">IFERROR(ROUND(INDEX(输入报销!$G:$G,MATCH($A1347&amp;"-7",输入报销!$J:$J,0)),2),0)</f>
        <v>0</v>
      </c>
      <c r="H1347" s="49" t="str">
        <f aca="false">IF(ROUND($G1347,2)&gt;0,ROUND($G1347,2),"")</f>
        <v/>
      </c>
      <c r="I1347" s="49" t="str">
        <f aca="false">IF(ROUND($G1347,2)&lt;0,-ROUND($G1347,2),"")</f>
        <v/>
      </c>
      <c r="J1347" s="20" t="n">
        <f aca="false">IF(ROUND($G1347,2)=0,0,1)</f>
        <v>0</v>
      </c>
      <c r="K1347" s="20" t="str">
        <f aca="false">IF($J1347=0,"",SUM($J$1341:$J1347))</f>
        <v/>
      </c>
      <c r="L1347" s="20" t="str">
        <f aca="false">IF($K1347="","",$A1347*100+$K1347)</f>
        <v/>
      </c>
      <c r="M1347" s="48" t="str">
        <f aca="false">IFERROR(INDEX(输入报销!$D:$D,MATCH($A1347&amp;"-7",输入报销!$J:$J,0))&amp;"","")</f>
        <v/>
      </c>
    </row>
    <row r="1348" customFormat="false" ht="13.5" hidden="false" customHeight="false" outlineLevel="0" collapsed="false">
      <c r="A1348" s="47" t="n">
        <v>104</v>
      </c>
      <c r="C1348" s="48" t="str">
        <f aca="false">助手报销!$C105</f>
        <v/>
      </c>
      <c r="D1348" s="81" t="s">
        <v>486</v>
      </c>
      <c r="E1348" s="48" t="str">
        <f aca="false">IFERROR(INDEX(输入报销!$E:$E,MATCH($A1348&amp;"-8",输入报销!$J:$J,0))&amp;"","")</f>
        <v/>
      </c>
      <c r="F1348" s="48" t="str">
        <f aca="false">IFERROR(INDEX(输入报销!$F:$F,MATCH($A1348&amp;"-8",输入报销!$J:$J,0))&amp;"","")</f>
        <v/>
      </c>
      <c r="G1348" s="49" t="n">
        <f aca="false">IFERROR(ROUND(INDEX(输入报销!$G:$G,MATCH($A1348&amp;"-8",输入报销!$J:$J,0)),2),0)</f>
        <v>0</v>
      </c>
      <c r="H1348" s="49" t="str">
        <f aca="false">IF(ROUND($G1348,2)&gt;0,ROUND($G1348,2),"")</f>
        <v/>
      </c>
      <c r="I1348" s="49" t="str">
        <f aca="false">IF(ROUND($G1348,2)&lt;0,-ROUND($G1348,2),"")</f>
        <v/>
      </c>
      <c r="J1348" s="20" t="n">
        <f aca="false">IF(ROUND($G1348,2)=0,0,1)</f>
        <v>0</v>
      </c>
      <c r="K1348" s="20" t="str">
        <f aca="false">IF($J1348=0,"",SUM($J$1341:$J1348))</f>
        <v/>
      </c>
      <c r="L1348" s="20" t="str">
        <f aca="false">IF($K1348="","",$A1348*100+$K1348)</f>
        <v/>
      </c>
      <c r="M1348" s="48" t="str">
        <f aca="false">IFERROR(INDEX(输入报销!$D:$D,MATCH($A1348&amp;"-8",输入报销!$J:$J,0))&amp;"","")</f>
        <v/>
      </c>
    </row>
    <row r="1349" customFormat="false" ht="13.5" hidden="false" customHeight="false" outlineLevel="0" collapsed="false">
      <c r="A1349" s="47" t="n">
        <v>104</v>
      </c>
      <c r="C1349" s="48" t="str">
        <f aca="false">助手报销!$C105</f>
        <v/>
      </c>
      <c r="D1349" s="81" t="s">
        <v>487</v>
      </c>
      <c r="E1349" s="48" t="str">
        <f aca="false">IFERROR(INDEX(输入报销!$E:$E,MATCH($A1349&amp;"-9",输入报销!$J:$J,0))&amp;"","")</f>
        <v/>
      </c>
      <c r="F1349" s="48" t="str">
        <f aca="false">IFERROR(INDEX(输入报销!$F:$F,MATCH($A1349&amp;"-9",输入报销!$J:$J,0))&amp;"","")</f>
        <v/>
      </c>
      <c r="G1349" s="49" t="n">
        <f aca="false">IFERROR(ROUND(INDEX(输入报销!$G:$G,MATCH($A1349&amp;"-9",输入报销!$J:$J,0)),2),0)</f>
        <v>0</v>
      </c>
      <c r="H1349" s="49" t="str">
        <f aca="false">IF(ROUND($G1349,2)&gt;0,ROUND($G1349,2),"")</f>
        <v/>
      </c>
      <c r="I1349" s="49" t="str">
        <f aca="false">IF(ROUND($G1349,2)&lt;0,-ROUND($G1349,2),"")</f>
        <v/>
      </c>
      <c r="J1349" s="20" t="n">
        <f aca="false">IF(ROUND($G1349,2)=0,0,1)</f>
        <v>0</v>
      </c>
      <c r="K1349" s="20" t="str">
        <f aca="false">IF($J1349=0,"",SUM($J$1341:$J1349))</f>
        <v/>
      </c>
      <c r="L1349" s="20" t="str">
        <f aca="false">IF($K1349="","",$A1349*100+$K1349)</f>
        <v/>
      </c>
      <c r="M1349" s="48" t="str">
        <f aca="false">IFERROR(INDEX(输入报销!$D:$D,MATCH($A1349&amp;"-9",输入报销!$J:$J,0))&amp;"","")</f>
        <v/>
      </c>
    </row>
    <row r="1350" customFormat="false" ht="13.5" hidden="false" customHeight="false" outlineLevel="0" collapsed="false">
      <c r="A1350" s="47" t="n">
        <v>104</v>
      </c>
      <c r="C1350" s="48" t="str">
        <f aca="false">助手报销!$C105</f>
        <v/>
      </c>
      <c r="D1350" s="81" t="s">
        <v>488</v>
      </c>
      <c r="E1350" s="48" t="str">
        <f aca="false">IFERROR(INDEX(输入报销!$E:$E,MATCH($A1350&amp;"-10",输入报销!$J:$J,0))&amp;"","")</f>
        <v/>
      </c>
      <c r="F1350" s="48" t="str">
        <f aca="false">IFERROR(INDEX(输入报销!$F:$F,MATCH($A1350&amp;"-10",输入报销!$J:$J,0))&amp;"","")</f>
        <v/>
      </c>
      <c r="G1350" s="49" t="n">
        <f aca="false">IFERROR(ROUND(INDEX(输入报销!$G:$G,MATCH($A1350&amp;"-10",输入报销!$J:$J,0)),2),0)</f>
        <v>0</v>
      </c>
      <c r="H1350" s="49" t="str">
        <f aca="false">IF(ROUND($G1350,2)&gt;0,ROUND($G1350,2),"")</f>
        <v/>
      </c>
      <c r="I1350" s="49" t="str">
        <f aca="false">IF(ROUND($G1350,2)&lt;0,-ROUND($G1350,2),"")</f>
        <v/>
      </c>
      <c r="J1350" s="20" t="n">
        <f aca="false">IF(ROUND($G1350,2)=0,0,1)</f>
        <v>0</v>
      </c>
      <c r="K1350" s="20" t="str">
        <f aca="false">IF($J1350=0,"",SUM($J$1341:$J1350))</f>
        <v/>
      </c>
      <c r="L1350" s="20" t="str">
        <f aca="false">IF($K1350="","",$A1350*100+$K1350)</f>
        <v/>
      </c>
      <c r="M1350" s="48" t="str">
        <f aca="false">IFERROR(INDEX(输入报销!$D:$D,MATCH($A1350&amp;"-10",输入报销!$J:$J,0))&amp;"","")</f>
        <v/>
      </c>
    </row>
    <row r="1351" customFormat="false" ht="13.5" hidden="false" customHeight="false" outlineLevel="0" collapsed="false">
      <c r="A1351" s="47" t="n">
        <v>104</v>
      </c>
      <c r="C1351" s="48" t="str">
        <f aca="false">助手报销!$C105</f>
        <v/>
      </c>
      <c r="D1351" s="81" t="s">
        <v>489</v>
      </c>
      <c r="E1351" s="48" t="str">
        <f aca="false">参数!$B$6</f>
        <v>库存现金</v>
      </c>
      <c r="F1351" s="48" t="str">
        <f aca="false">""</f>
        <v/>
      </c>
      <c r="G1351" s="49" t="n">
        <f aca="false">-ROUND(SUMIFS(输入报销!$G:$G,输入报销!$A:$A,$A1351,输入报销!$H:$H,参数!$B$6),2)</f>
        <v>-0</v>
      </c>
      <c r="H1351" s="49" t="str">
        <f aca="false">IF(ROUND($G1351,2)&gt;0,ROUND($G1351,2),"")</f>
        <v/>
      </c>
      <c r="I1351" s="49" t="str">
        <f aca="false">IF(ROUND($G1351,2)&lt;0,-ROUND($G1351,2),"")</f>
        <v/>
      </c>
      <c r="J1351" s="20" t="n">
        <f aca="false">IF(ROUND($G1351,2)=0,0,1)</f>
        <v>0</v>
      </c>
      <c r="K1351" s="20" t="str">
        <f aca="false">IF($J1351=0,"",SUM($J$1341:$J1351))</f>
        <v/>
      </c>
      <c r="L1351" s="20" t="str">
        <f aca="false">IF($K1351="","",$A1351*100+$K1351)</f>
        <v/>
      </c>
      <c r="M1351" s="48" t="str">
        <f aca="false">""</f>
        <v/>
      </c>
    </row>
    <row r="1352" customFormat="false" ht="13.5" hidden="false" customHeight="false" outlineLevel="0" collapsed="false">
      <c r="A1352" s="47" t="n">
        <v>104</v>
      </c>
      <c r="C1352" s="48" t="str">
        <f aca="false">助手报销!$C105</f>
        <v/>
      </c>
      <c r="D1352" s="81" t="s">
        <v>490</v>
      </c>
      <c r="E1352" s="48" t="str">
        <f aca="false">参数!$B$7</f>
        <v>银行存款</v>
      </c>
      <c r="F1352" s="48" t="str">
        <f aca="false">""</f>
        <v/>
      </c>
      <c r="G1352" s="49" t="n">
        <f aca="false">-ROUND(SUMIFS(输入报销!$G:$G,输入报销!$A:$A,$A1352,输入报销!$H:$H,参数!$B$7),2)</f>
        <v>-0</v>
      </c>
      <c r="H1352" s="49" t="str">
        <f aca="false">IF(ROUND($G1352,2)&gt;0,ROUND($G1352,2),"")</f>
        <v/>
      </c>
      <c r="I1352" s="49" t="str">
        <f aca="false">IF(ROUND($G1352,2)&lt;0,-ROUND($G1352,2),"")</f>
        <v/>
      </c>
      <c r="J1352" s="20" t="n">
        <f aca="false">IF(ROUND($G1352,2)=0,0,1)</f>
        <v>0</v>
      </c>
      <c r="K1352" s="20" t="str">
        <f aca="false">IF($J1352=0,"",SUM($J$1341:$J1352))</f>
        <v/>
      </c>
      <c r="L1352" s="20" t="str">
        <f aca="false">IF($K1352="","",$A1352*100+$K1352)</f>
        <v/>
      </c>
      <c r="M1352" s="48" t="str">
        <f aca="false">""</f>
        <v/>
      </c>
    </row>
    <row r="1353" customFormat="false" ht="13.5" hidden="false" customHeight="false" outlineLevel="0" collapsed="false">
      <c r="A1353" s="47" t="n">
        <v>104</v>
      </c>
      <c r="C1353" s="48" t="str">
        <f aca="false">助手报销!$C105</f>
        <v/>
      </c>
      <c r="D1353" s="81" t="s">
        <v>491</v>
      </c>
      <c r="E1353" s="48" t="str">
        <f aca="false">参数!$B$8</f>
        <v>其他应付款</v>
      </c>
      <c r="F1353" s="48" t="str">
        <f aca="false">""</f>
        <v/>
      </c>
      <c r="G1353" s="49" t="n">
        <f aca="false">-ROUND(SUMIFS(输入报销!$G:$G,输入报销!$A:$A,$A1353,输入报销!$H:$H,参数!$B$8),2)</f>
        <v>-0</v>
      </c>
      <c r="H1353" s="49" t="str">
        <f aca="false">IF(ROUND($G1353,2)&gt;0,ROUND($G1353,2),"")</f>
        <v/>
      </c>
      <c r="I1353" s="49" t="str">
        <f aca="false">IF(ROUND($G1353,2)&lt;0,-ROUND($G1353,2),"")</f>
        <v/>
      </c>
      <c r="J1353" s="20" t="n">
        <f aca="false">IF(ROUND($G1353,2)=0,0,1)</f>
        <v>0</v>
      </c>
      <c r="K1353" s="20" t="str">
        <f aca="false">IF($J1353=0,"",SUM($J$1341:$J1353))</f>
        <v/>
      </c>
      <c r="L1353" s="20" t="str">
        <f aca="false">IF($K1353="","",$A1353*100+$K1353)</f>
        <v/>
      </c>
      <c r="M1353" s="48" t="str">
        <f aca="false">""</f>
        <v/>
      </c>
    </row>
    <row r="1354" customFormat="false" ht="13.5" hidden="false" customHeight="false" outlineLevel="0" collapsed="false">
      <c r="A1354" s="47" t="n">
        <v>105</v>
      </c>
      <c r="C1354" s="48" t="str">
        <f aca="false">助手报销!$C106</f>
        <v/>
      </c>
      <c r="D1354" s="81" t="s">
        <v>479</v>
      </c>
      <c r="E1354" s="48" t="str">
        <f aca="false">IFERROR(INDEX(输入报销!$E:$E,MATCH($A1354&amp;"-1",输入报销!$J:$J,0))&amp;"","")</f>
        <v/>
      </c>
      <c r="F1354" s="48" t="str">
        <f aca="false">IFERROR(INDEX(输入报销!$F:$F,MATCH($A1354&amp;"-1",输入报销!$J:$J,0))&amp;"","")</f>
        <v/>
      </c>
      <c r="G1354" s="49" t="n">
        <f aca="false">IFERROR(ROUND(INDEX(输入报销!$G:$G,MATCH($A1354&amp;"-1",输入报销!$J:$J,0)),2),0)</f>
        <v>0</v>
      </c>
      <c r="H1354" s="49" t="str">
        <f aca="false">IF(ROUND($G1354,2)&gt;0,ROUND($G1354,2),"")</f>
        <v/>
      </c>
      <c r="I1354" s="49" t="str">
        <f aca="false">IF(ROUND($G1354,2)&lt;0,-ROUND($G1354,2),"")</f>
        <v/>
      </c>
      <c r="J1354" s="20" t="n">
        <f aca="false">IF(ROUND($G1354,2)=0,0,1)</f>
        <v>0</v>
      </c>
      <c r="K1354" s="20" t="str">
        <f aca="false">IF($J1354=0,"",SUM($J$1354:$J1354))</f>
        <v/>
      </c>
      <c r="L1354" s="20" t="str">
        <f aca="false">IF($K1354="","",$A1354*100+$K1354)</f>
        <v/>
      </c>
      <c r="M1354" s="48" t="str">
        <f aca="false">IFERROR(INDEX(输入报销!$D:$D,MATCH($A1354&amp;"-1",输入报销!$J:$J,0))&amp;"","")</f>
        <v/>
      </c>
    </row>
    <row r="1355" customFormat="false" ht="13.5" hidden="false" customHeight="false" outlineLevel="0" collapsed="false">
      <c r="A1355" s="47" t="n">
        <v>105</v>
      </c>
      <c r="C1355" s="48" t="str">
        <f aca="false">助手报销!$C106</f>
        <v/>
      </c>
      <c r="D1355" s="81" t="s">
        <v>480</v>
      </c>
      <c r="E1355" s="48" t="str">
        <f aca="false">IFERROR(INDEX(输入报销!$E:$E,MATCH($A1355&amp;"-2",输入报销!$J:$J,0))&amp;"","")</f>
        <v/>
      </c>
      <c r="F1355" s="48" t="str">
        <f aca="false">IFERROR(INDEX(输入报销!$F:$F,MATCH($A1355&amp;"-2",输入报销!$J:$J,0))&amp;"","")</f>
        <v/>
      </c>
      <c r="G1355" s="49" t="n">
        <f aca="false">IFERROR(ROUND(INDEX(输入报销!$G:$G,MATCH($A1355&amp;"-2",输入报销!$J:$J,0)),2),0)</f>
        <v>0</v>
      </c>
      <c r="H1355" s="49" t="str">
        <f aca="false">IF(ROUND($G1355,2)&gt;0,ROUND($G1355,2),"")</f>
        <v/>
      </c>
      <c r="I1355" s="49" t="str">
        <f aca="false">IF(ROUND($G1355,2)&lt;0,-ROUND($G1355,2),"")</f>
        <v/>
      </c>
      <c r="J1355" s="20" t="n">
        <f aca="false">IF(ROUND($G1355,2)=0,0,1)</f>
        <v>0</v>
      </c>
      <c r="K1355" s="20" t="str">
        <f aca="false">IF($J1355=0,"",SUM($J$1354:$J1355))</f>
        <v/>
      </c>
      <c r="L1355" s="20" t="str">
        <f aca="false">IF($K1355="","",$A1355*100+$K1355)</f>
        <v/>
      </c>
      <c r="M1355" s="48" t="str">
        <f aca="false">IFERROR(INDEX(输入报销!$D:$D,MATCH($A1355&amp;"-2",输入报销!$J:$J,0))&amp;"","")</f>
        <v/>
      </c>
    </row>
    <row r="1356" customFormat="false" ht="13.5" hidden="false" customHeight="false" outlineLevel="0" collapsed="false">
      <c r="A1356" s="47" t="n">
        <v>105</v>
      </c>
      <c r="C1356" s="48" t="str">
        <f aca="false">助手报销!$C106</f>
        <v/>
      </c>
      <c r="D1356" s="81" t="s">
        <v>481</v>
      </c>
      <c r="E1356" s="48" t="str">
        <f aca="false">IFERROR(INDEX(输入报销!$E:$E,MATCH($A1356&amp;"-3",输入报销!$J:$J,0))&amp;"","")</f>
        <v/>
      </c>
      <c r="F1356" s="48" t="str">
        <f aca="false">IFERROR(INDEX(输入报销!$F:$F,MATCH($A1356&amp;"-3",输入报销!$J:$J,0))&amp;"","")</f>
        <v/>
      </c>
      <c r="G1356" s="49" t="n">
        <f aca="false">IFERROR(ROUND(INDEX(输入报销!$G:$G,MATCH($A1356&amp;"-3",输入报销!$J:$J,0)),2),0)</f>
        <v>0</v>
      </c>
      <c r="H1356" s="49" t="str">
        <f aca="false">IF(ROUND($G1356,2)&gt;0,ROUND($G1356,2),"")</f>
        <v/>
      </c>
      <c r="I1356" s="49" t="str">
        <f aca="false">IF(ROUND($G1356,2)&lt;0,-ROUND($G1356,2),"")</f>
        <v/>
      </c>
      <c r="J1356" s="20" t="n">
        <f aca="false">IF(ROUND($G1356,2)=0,0,1)</f>
        <v>0</v>
      </c>
      <c r="K1356" s="20" t="str">
        <f aca="false">IF($J1356=0,"",SUM($J$1354:$J1356))</f>
        <v/>
      </c>
      <c r="L1356" s="20" t="str">
        <f aca="false">IF($K1356="","",$A1356*100+$K1356)</f>
        <v/>
      </c>
      <c r="M1356" s="48" t="str">
        <f aca="false">IFERROR(INDEX(输入报销!$D:$D,MATCH($A1356&amp;"-3",输入报销!$J:$J,0))&amp;"","")</f>
        <v/>
      </c>
    </row>
    <row r="1357" customFormat="false" ht="13.5" hidden="false" customHeight="false" outlineLevel="0" collapsed="false">
      <c r="A1357" s="47" t="n">
        <v>105</v>
      </c>
      <c r="C1357" s="48" t="str">
        <f aca="false">助手报销!$C106</f>
        <v/>
      </c>
      <c r="D1357" s="81" t="s">
        <v>482</v>
      </c>
      <c r="E1357" s="48" t="str">
        <f aca="false">IFERROR(INDEX(输入报销!$E:$E,MATCH($A1357&amp;"-4",输入报销!$J:$J,0))&amp;"","")</f>
        <v/>
      </c>
      <c r="F1357" s="48" t="str">
        <f aca="false">IFERROR(INDEX(输入报销!$F:$F,MATCH($A1357&amp;"-4",输入报销!$J:$J,0))&amp;"","")</f>
        <v/>
      </c>
      <c r="G1357" s="49" t="n">
        <f aca="false">IFERROR(ROUND(INDEX(输入报销!$G:$G,MATCH($A1357&amp;"-4",输入报销!$J:$J,0)),2),0)</f>
        <v>0</v>
      </c>
      <c r="H1357" s="49" t="str">
        <f aca="false">IF(ROUND($G1357,2)&gt;0,ROUND($G1357,2),"")</f>
        <v/>
      </c>
      <c r="I1357" s="49" t="str">
        <f aca="false">IF(ROUND($G1357,2)&lt;0,-ROUND($G1357,2),"")</f>
        <v/>
      </c>
      <c r="J1357" s="20" t="n">
        <f aca="false">IF(ROUND($G1357,2)=0,0,1)</f>
        <v>0</v>
      </c>
      <c r="K1357" s="20" t="str">
        <f aca="false">IF($J1357=0,"",SUM($J$1354:$J1357))</f>
        <v/>
      </c>
      <c r="L1357" s="20" t="str">
        <f aca="false">IF($K1357="","",$A1357*100+$K1357)</f>
        <v/>
      </c>
      <c r="M1357" s="48" t="str">
        <f aca="false">IFERROR(INDEX(输入报销!$D:$D,MATCH($A1357&amp;"-4",输入报销!$J:$J,0))&amp;"","")</f>
        <v/>
      </c>
    </row>
    <row r="1358" customFormat="false" ht="13.5" hidden="false" customHeight="false" outlineLevel="0" collapsed="false">
      <c r="A1358" s="47" t="n">
        <v>105</v>
      </c>
      <c r="C1358" s="48" t="str">
        <f aca="false">助手报销!$C106</f>
        <v/>
      </c>
      <c r="D1358" s="81" t="s">
        <v>483</v>
      </c>
      <c r="E1358" s="48" t="str">
        <f aca="false">IFERROR(INDEX(输入报销!$E:$E,MATCH($A1358&amp;"-5",输入报销!$J:$J,0))&amp;"","")</f>
        <v/>
      </c>
      <c r="F1358" s="48" t="str">
        <f aca="false">IFERROR(INDEX(输入报销!$F:$F,MATCH($A1358&amp;"-5",输入报销!$J:$J,0))&amp;"","")</f>
        <v/>
      </c>
      <c r="G1358" s="49" t="n">
        <f aca="false">IFERROR(ROUND(INDEX(输入报销!$G:$G,MATCH($A1358&amp;"-5",输入报销!$J:$J,0)),2),0)</f>
        <v>0</v>
      </c>
      <c r="H1358" s="49" t="str">
        <f aca="false">IF(ROUND($G1358,2)&gt;0,ROUND($G1358,2),"")</f>
        <v/>
      </c>
      <c r="I1358" s="49" t="str">
        <f aca="false">IF(ROUND($G1358,2)&lt;0,-ROUND($G1358,2),"")</f>
        <v/>
      </c>
      <c r="J1358" s="20" t="n">
        <f aca="false">IF(ROUND($G1358,2)=0,0,1)</f>
        <v>0</v>
      </c>
      <c r="K1358" s="20" t="str">
        <f aca="false">IF($J1358=0,"",SUM($J$1354:$J1358))</f>
        <v/>
      </c>
      <c r="L1358" s="20" t="str">
        <f aca="false">IF($K1358="","",$A1358*100+$K1358)</f>
        <v/>
      </c>
      <c r="M1358" s="48" t="str">
        <f aca="false">IFERROR(INDEX(输入报销!$D:$D,MATCH($A1358&amp;"-5",输入报销!$J:$J,0))&amp;"","")</f>
        <v/>
      </c>
    </row>
    <row r="1359" customFormat="false" ht="13.5" hidden="false" customHeight="false" outlineLevel="0" collapsed="false">
      <c r="A1359" s="47" t="n">
        <v>105</v>
      </c>
      <c r="C1359" s="48" t="str">
        <f aca="false">助手报销!$C106</f>
        <v/>
      </c>
      <c r="D1359" s="81" t="s">
        <v>484</v>
      </c>
      <c r="E1359" s="48" t="str">
        <f aca="false">IFERROR(INDEX(输入报销!$E:$E,MATCH($A1359&amp;"-6",输入报销!$J:$J,0))&amp;"","")</f>
        <v/>
      </c>
      <c r="F1359" s="48" t="str">
        <f aca="false">IFERROR(INDEX(输入报销!$F:$F,MATCH($A1359&amp;"-6",输入报销!$J:$J,0))&amp;"","")</f>
        <v/>
      </c>
      <c r="G1359" s="49" t="n">
        <f aca="false">IFERROR(ROUND(INDEX(输入报销!$G:$G,MATCH($A1359&amp;"-6",输入报销!$J:$J,0)),2),0)</f>
        <v>0</v>
      </c>
      <c r="H1359" s="49" t="str">
        <f aca="false">IF(ROUND($G1359,2)&gt;0,ROUND($G1359,2),"")</f>
        <v/>
      </c>
      <c r="I1359" s="49" t="str">
        <f aca="false">IF(ROUND($G1359,2)&lt;0,-ROUND($G1359,2),"")</f>
        <v/>
      </c>
      <c r="J1359" s="20" t="n">
        <f aca="false">IF(ROUND($G1359,2)=0,0,1)</f>
        <v>0</v>
      </c>
      <c r="K1359" s="20" t="str">
        <f aca="false">IF($J1359=0,"",SUM($J$1354:$J1359))</f>
        <v/>
      </c>
      <c r="L1359" s="20" t="str">
        <f aca="false">IF($K1359="","",$A1359*100+$K1359)</f>
        <v/>
      </c>
      <c r="M1359" s="48" t="str">
        <f aca="false">IFERROR(INDEX(输入报销!$D:$D,MATCH($A1359&amp;"-6",输入报销!$J:$J,0))&amp;"","")</f>
        <v/>
      </c>
    </row>
    <row r="1360" customFormat="false" ht="13.5" hidden="false" customHeight="false" outlineLevel="0" collapsed="false">
      <c r="A1360" s="47" t="n">
        <v>105</v>
      </c>
      <c r="C1360" s="48" t="str">
        <f aca="false">助手报销!$C106</f>
        <v/>
      </c>
      <c r="D1360" s="81" t="s">
        <v>485</v>
      </c>
      <c r="E1360" s="48" t="str">
        <f aca="false">IFERROR(INDEX(输入报销!$E:$E,MATCH($A1360&amp;"-7",输入报销!$J:$J,0))&amp;"","")</f>
        <v/>
      </c>
      <c r="F1360" s="48" t="str">
        <f aca="false">IFERROR(INDEX(输入报销!$F:$F,MATCH($A1360&amp;"-7",输入报销!$J:$J,0))&amp;"","")</f>
        <v/>
      </c>
      <c r="G1360" s="49" t="n">
        <f aca="false">IFERROR(ROUND(INDEX(输入报销!$G:$G,MATCH($A1360&amp;"-7",输入报销!$J:$J,0)),2),0)</f>
        <v>0</v>
      </c>
      <c r="H1360" s="49" t="str">
        <f aca="false">IF(ROUND($G1360,2)&gt;0,ROUND($G1360,2),"")</f>
        <v/>
      </c>
      <c r="I1360" s="49" t="str">
        <f aca="false">IF(ROUND($G1360,2)&lt;0,-ROUND($G1360,2),"")</f>
        <v/>
      </c>
      <c r="J1360" s="20" t="n">
        <f aca="false">IF(ROUND($G1360,2)=0,0,1)</f>
        <v>0</v>
      </c>
      <c r="K1360" s="20" t="str">
        <f aca="false">IF($J1360=0,"",SUM($J$1354:$J1360))</f>
        <v/>
      </c>
      <c r="L1360" s="20" t="str">
        <f aca="false">IF($K1360="","",$A1360*100+$K1360)</f>
        <v/>
      </c>
      <c r="M1360" s="48" t="str">
        <f aca="false">IFERROR(INDEX(输入报销!$D:$D,MATCH($A1360&amp;"-7",输入报销!$J:$J,0))&amp;"","")</f>
        <v/>
      </c>
    </row>
    <row r="1361" customFormat="false" ht="13.5" hidden="false" customHeight="false" outlineLevel="0" collapsed="false">
      <c r="A1361" s="47" t="n">
        <v>105</v>
      </c>
      <c r="C1361" s="48" t="str">
        <f aca="false">助手报销!$C106</f>
        <v/>
      </c>
      <c r="D1361" s="81" t="s">
        <v>486</v>
      </c>
      <c r="E1361" s="48" t="str">
        <f aca="false">IFERROR(INDEX(输入报销!$E:$E,MATCH($A1361&amp;"-8",输入报销!$J:$J,0))&amp;"","")</f>
        <v/>
      </c>
      <c r="F1361" s="48" t="str">
        <f aca="false">IFERROR(INDEX(输入报销!$F:$F,MATCH($A1361&amp;"-8",输入报销!$J:$J,0))&amp;"","")</f>
        <v/>
      </c>
      <c r="G1361" s="49" t="n">
        <f aca="false">IFERROR(ROUND(INDEX(输入报销!$G:$G,MATCH($A1361&amp;"-8",输入报销!$J:$J,0)),2),0)</f>
        <v>0</v>
      </c>
      <c r="H1361" s="49" t="str">
        <f aca="false">IF(ROUND($G1361,2)&gt;0,ROUND($G1361,2),"")</f>
        <v/>
      </c>
      <c r="I1361" s="49" t="str">
        <f aca="false">IF(ROUND($G1361,2)&lt;0,-ROUND($G1361,2),"")</f>
        <v/>
      </c>
      <c r="J1361" s="20" t="n">
        <f aca="false">IF(ROUND($G1361,2)=0,0,1)</f>
        <v>0</v>
      </c>
      <c r="K1361" s="20" t="str">
        <f aca="false">IF($J1361=0,"",SUM($J$1354:$J1361))</f>
        <v/>
      </c>
      <c r="L1361" s="20" t="str">
        <f aca="false">IF($K1361="","",$A1361*100+$K1361)</f>
        <v/>
      </c>
      <c r="M1361" s="48" t="str">
        <f aca="false">IFERROR(INDEX(输入报销!$D:$D,MATCH($A1361&amp;"-8",输入报销!$J:$J,0))&amp;"","")</f>
        <v/>
      </c>
    </row>
    <row r="1362" customFormat="false" ht="13.5" hidden="false" customHeight="false" outlineLevel="0" collapsed="false">
      <c r="A1362" s="47" t="n">
        <v>105</v>
      </c>
      <c r="C1362" s="48" t="str">
        <f aca="false">助手报销!$C106</f>
        <v/>
      </c>
      <c r="D1362" s="81" t="s">
        <v>487</v>
      </c>
      <c r="E1362" s="48" t="str">
        <f aca="false">IFERROR(INDEX(输入报销!$E:$E,MATCH($A1362&amp;"-9",输入报销!$J:$J,0))&amp;"","")</f>
        <v/>
      </c>
      <c r="F1362" s="48" t="str">
        <f aca="false">IFERROR(INDEX(输入报销!$F:$F,MATCH($A1362&amp;"-9",输入报销!$J:$J,0))&amp;"","")</f>
        <v/>
      </c>
      <c r="G1362" s="49" t="n">
        <f aca="false">IFERROR(ROUND(INDEX(输入报销!$G:$G,MATCH($A1362&amp;"-9",输入报销!$J:$J,0)),2),0)</f>
        <v>0</v>
      </c>
      <c r="H1362" s="49" t="str">
        <f aca="false">IF(ROUND($G1362,2)&gt;0,ROUND($G1362,2),"")</f>
        <v/>
      </c>
      <c r="I1362" s="49" t="str">
        <f aca="false">IF(ROUND($G1362,2)&lt;0,-ROUND($G1362,2),"")</f>
        <v/>
      </c>
      <c r="J1362" s="20" t="n">
        <f aca="false">IF(ROUND($G1362,2)=0,0,1)</f>
        <v>0</v>
      </c>
      <c r="K1362" s="20" t="str">
        <f aca="false">IF($J1362=0,"",SUM($J$1354:$J1362))</f>
        <v/>
      </c>
      <c r="L1362" s="20" t="str">
        <f aca="false">IF($K1362="","",$A1362*100+$K1362)</f>
        <v/>
      </c>
      <c r="M1362" s="48" t="str">
        <f aca="false">IFERROR(INDEX(输入报销!$D:$D,MATCH($A1362&amp;"-9",输入报销!$J:$J,0))&amp;"","")</f>
        <v/>
      </c>
    </row>
    <row r="1363" customFormat="false" ht="13.5" hidden="false" customHeight="false" outlineLevel="0" collapsed="false">
      <c r="A1363" s="47" t="n">
        <v>105</v>
      </c>
      <c r="C1363" s="48" t="str">
        <f aca="false">助手报销!$C106</f>
        <v/>
      </c>
      <c r="D1363" s="81" t="s">
        <v>488</v>
      </c>
      <c r="E1363" s="48" t="str">
        <f aca="false">IFERROR(INDEX(输入报销!$E:$E,MATCH($A1363&amp;"-10",输入报销!$J:$J,0))&amp;"","")</f>
        <v/>
      </c>
      <c r="F1363" s="48" t="str">
        <f aca="false">IFERROR(INDEX(输入报销!$F:$F,MATCH($A1363&amp;"-10",输入报销!$J:$J,0))&amp;"","")</f>
        <v/>
      </c>
      <c r="G1363" s="49" t="n">
        <f aca="false">IFERROR(ROUND(INDEX(输入报销!$G:$G,MATCH($A1363&amp;"-10",输入报销!$J:$J,0)),2),0)</f>
        <v>0</v>
      </c>
      <c r="H1363" s="49" t="str">
        <f aca="false">IF(ROUND($G1363,2)&gt;0,ROUND($G1363,2),"")</f>
        <v/>
      </c>
      <c r="I1363" s="49" t="str">
        <f aca="false">IF(ROUND($G1363,2)&lt;0,-ROUND($G1363,2),"")</f>
        <v/>
      </c>
      <c r="J1363" s="20" t="n">
        <f aca="false">IF(ROUND($G1363,2)=0,0,1)</f>
        <v>0</v>
      </c>
      <c r="K1363" s="20" t="str">
        <f aca="false">IF($J1363=0,"",SUM($J$1354:$J1363))</f>
        <v/>
      </c>
      <c r="L1363" s="20" t="str">
        <f aca="false">IF($K1363="","",$A1363*100+$K1363)</f>
        <v/>
      </c>
      <c r="M1363" s="48" t="str">
        <f aca="false">IFERROR(INDEX(输入报销!$D:$D,MATCH($A1363&amp;"-10",输入报销!$J:$J,0))&amp;"","")</f>
        <v/>
      </c>
    </row>
    <row r="1364" customFormat="false" ht="13.5" hidden="false" customHeight="false" outlineLevel="0" collapsed="false">
      <c r="A1364" s="47" t="n">
        <v>105</v>
      </c>
      <c r="C1364" s="48" t="str">
        <f aca="false">助手报销!$C106</f>
        <v/>
      </c>
      <c r="D1364" s="81" t="s">
        <v>489</v>
      </c>
      <c r="E1364" s="48" t="str">
        <f aca="false">参数!$B$6</f>
        <v>库存现金</v>
      </c>
      <c r="F1364" s="48" t="str">
        <f aca="false">""</f>
        <v/>
      </c>
      <c r="G1364" s="49" t="n">
        <f aca="false">-ROUND(SUMIFS(输入报销!$G:$G,输入报销!$A:$A,$A1364,输入报销!$H:$H,参数!$B$6),2)</f>
        <v>-0</v>
      </c>
      <c r="H1364" s="49" t="str">
        <f aca="false">IF(ROUND($G1364,2)&gt;0,ROUND($G1364,2),"")</f>
        <v/>
      </c>
      <c r="I1364" s="49" t="str">
        <f aca="false">IF(ROUND($G1364,2)&lt;0,-ROUND($G1364,2),"")</f>
        <v/>
      </c>
      <c r="J1364" s="20" t="n">
        <f aca="false">IF(ROUND($G1364,2)=0,0,1)</f>
        <v>0</v>
      </c>
      <c r="K1364" s="20" t="str">
        <f aca="false">IF($J1364=0,"",SUM($J$1354:$J1364))</f>
        <v/>
      </c>
      <c r="L1364" s="20" t="str">
        <f aca="false">IF($K1364="","",$A1364*100+$K1364)</f>
        <v/>
      </c>
      <c r="M1364" s="48" t="str">
        <f aca="false">""</f>
        <v/>
      </c>
    </row>
    <row r="1365" customFormat="false" ht="13.5" hidden="false" customHeight="false" outlineLevel="0" collapsed="false">
      <c r="A1365" s="47" t="n">
        <v>105</v>
      </c>
      <c r="C1365" s="48" t="str">
        <f aca="false">助手报销!$C106</f>
        <v/>
      </c>
      <c r="D1365" s="81" t="s">
        <v>490</v>
      </c>
      <c r="E1365" s="48" t="str">
        <f aca="false">参数!$B$7</f>
        <v>银行存款</v>
      </c>
      <c r="F1365" s="48" t="str">
        <f aca="false">""</f>
        <v/>
      </c>
      <c r="G1365" s="49" t="n">
        <f aca="false">-ROUND(SUMIFS(输入报销!$G:$G,输入报销!$A:$A,$A1365,输入报销!$H:$H,参数!$B$7),2)</f>
        <v>-0</v>
      </c>
      <c r="H1365" s="49" t="str">
        <f aca="false">IF(ROUND($G1365,2)&gt;0,ROUND($G1365,2),"")</f>
        <v/>
      </c>
      <c r="I1365" s="49" t="str">
        <f aca="false">IF(ROUND($G1365,2)&lt;0,-ROUND($G1365,2),"")</f>
        <v/>
      </c>
      <c r="J1365" s="20" t="n">
        <f aca="false">IF(ROUND($G1365,2)=0,0,1)</f>
        <v>0</v>
      </c>
      <c r="K1365" s="20" t="str">
        <f aca="false">IF($J1365=0,"",SUM($J$1354:$J1365))</f>
        <v/>
      </c>
      <c r="L1365" s="20" t="str">
        <f aca="false">IF($K1365="","",$A1365*100+$K1365)</f>
        <v/>
      </c>
      <c r="M1365" s="48" t="str">
        <f aca="false">""</f>
        <v/>
      </c>
    </row>
    <row r="1366" customFormat="false" ht="13.5" hidden="false" customHeight="false" outlineLevel="0" collapsed="false">
      <c r="A1366" s="47" t="n">
        <v>105</v>
      </c>
      <c r="C1366" s="48" t="str">
        <f aca="false">助手报销!$C106</f>
        <v/>
      </c>
      <c r="D1366" s="81" t="s">
        <v>491</v>
      </c>
      <c r="E1366" s="48" t="str">
        <f aca="false">参数!$B$8</f>
        <v>其他应付款</v>
      </c>
      <c r="F1366" s="48" t="str">
        <f aca="false">""</f>
        <v/>
      </c>
      <c r="G1366" s="49" t="n">
        <f aca="false">-ROUND(SUMIFS(输入报销!$G:$G,输入报销!$A:$A,$A1366,输入报销!$H:$H,参数!$B$8),2)</f>
        <v>-0</v>
      </c>
      <c r="H1366" s="49" t="str">
        <f aca="false">IF(ROUND($G1366,2)&gt;0,ROUND($G1366,2),"")</f>
        <v/>
      </c>
      <c r="I1366" s="49" t="str">
        <f aca="false">IF(ROUND($G1366,2)&lt;0,-ROUND($G1366,2),"")</f>
        <v/>
      </c>
      <c r="J1366" s="20" t="n">
        <f aca="false">IF(ROUND($G1366,2)=0,0,1)</f>
        <v>0</v>
      </c>
      <c r="K1366" s="20" t="str">
        <f aca="false">IF($J1366=0,"",SUM($J$1354:$J1366))</f>
        <v/>
      </c>
      <c r="L1366" s="20" t="str">
        <f aca="false">IF($K1366="","",$A1366*100+$K1366)</f>
        <v/>
      </c>
      <c r="M1366" s="48" t="str">
        <f aca="false">""</f>
        <v/>
      </c>
    </row>
    <row r="1367" customFormat="false" ht="13.5" hidden="false" customHeight="false" outlineLevel="0" collapsed="false">
      <c r="A1367" s="47" t="n">
        <v>106</v>
      </c>
      <c r="C1367" s="48" t="str">
        <f aca="false">助手报销!$C107</f>
        <v/>
      </c>
      <c r="D1367" s="81" t="s">
        <v>479</v>
      </c>
      <c r="E1367" s="48" t="str">
        <f aca="false">IFERROR(INDEX(输入报销!$E:$E,MATCH($A1367&amp;"-1",输入报销!$J:$J,0))&amp;"","")</f>
        <v/>
      </c>
      <c r="F1367" s="48" t="str">
        <f aca="false">IFERROR(INDEX(输入报销!$F:$F,MATCH($A1367&amp;"-1",输入报销!$J:$J,0))&amp;"","")</f>
        <v/>
      </c>
      <c r="G1367" s="49" t="n">
        <f aca="false">IFERROR(ROUND(INDEX(输入报销!$G:$G,MATCH($A1367&amp;"-1",输入报销!$J:$J,0)),2),0)</f>
        <v>0</v>
      </c>
      <c r="H1367" s="49" t="str">
        <f aca="false">IF(ROUND($G1367,2)&gt;0,ROUND($G1367,2),"")</f>
        <v/>
      </c>
      <c r="I1367" s="49" t="str">
        <f aca="false">IF(ROUND($G1367,2)&lt;0,-ROUND($G1367,2),"")</f>
        <v/>
      </c>
      <c r="J1367" s="20" t="n">
        <f aca="false">IF(ROUND($G1367,2)=0,0,1)</f>
        <v>0</v>
      </c>
      <c r="K1367" s="20" t="str">
        <f aca="false">IF($J1367=0,"",SUM($J$1367:$J1367))</f>
        <v/>
      </c>
      <c r="L1367" s="20" t="str">
        <f aca="false">IF($K1367="","",$A1367*100+$K1367)</f>
        <v/>
      </c>
      <c r="M1367" s="48" t="str">
        <f aca="false">IFERROR(INDEX(输入报销!$D:$D,MATCH($A1367&amp;"-1",输入报销!$J:$J,0))&amp;"","")</f>
        <v/>
      </c>
    </row>
    <row r="1368" customFormat="false" ht="13.5" hidden="false" customHeight="false" outlineLevel="0" collapsed="false">
      <c r="A1368" s="47" t="n">
        <v>106</v>
      </c>
      <c r="C1368" s="48" t="str">
        <f aca="false">助手报销!$C107</f>
        <v/>
      </c>
      <c r="D1368" s="81" t="s">
        <v>480</v>
      </c>
      <c r="E1368" s="48" t="str">
        <f aca="false">IFERROR(INDEX(输入报销!$E:$E,MATCH($A1368&amp;"-2",输入报销!$J:$J,0))&amp;"","")</f>
        <v/>
      </c>
      <c r="F1368" s="48" t="str">
        <f aca="false">IFERROR(INDEX(输入报销!$F:$F,MATCH($A1368&amp;"-2",输入报销!$J:$J,0))&amp;"","")</f>
        <v/>
      </c>
      <c r="G1368" s="49" t="n">
        <f aca="false">IFERROR(ROUND(INDEX(输入报销!$G:$G,MATCH($A1368&amp;"-2",输入报销!$J:$J,0)),2),0)</f>
        <v>0</v>
      </c>
      <c r="H1368" s="49" t="str">
        <f aca="false">IF(ROUND($G1368,2)&gt;0,ROUND($G1368,2),"")</f>
        <v/>
      </c>
      <c r="I1368" s="49" t="str">
        <f aca="false">IF(ROUND($G1368,2)&lt;0,-ROUND($G1368,2),"")</f>
        <v/>
      </c>
      <c r="J1368" s="20" t="n">
        <f aca="false">IF(ROUND($G1368,2)=0,0,1)</f>
        <v>0</v>
      </c>
      <c r="K1368" s="20" t="str">
        <f aca="false">IF($J1368=0,"",SUM($J$1367:$J1368))</f>
        <v/>
      </c>
      <c r="L1368" s="20" t="str">
        <f aca="false">IF($K1368="","",$A1368*100+$K1368)</f>
        <v/>
      </c>
      <c r="M1368" s="48" t="str">
        <f aca="false">IFERROR(INDEX(输入报销!$D:$D,MATCH($A1368&amp;"-2",输入报销!$J:$J,0))&amp;"","")</f>
        <v/>
      </c>
    </row>
    <row r="1369" customFormat="false" ht="13.5" hidden="false" customHeight="false" outlineLevel="0" collapsed="false">
      <c r="A1369" s="47" t="n">
        <v>106</v>
      </c>
      <c r="C1369" s="48" t="str">
        <f aca="false">助手报销!$C107</f>
        <v/>
      </c>
      <c r="D1369" s="81" t="s">
        <v>481</v>
      </c>
      <c r="E1369" s="48" t="str">
        <f aca="false">IFERROR(INDEX(输入报销!$E:$E,MATCH($A1369&amp;"-3",输入报销!$J:$J,0))&amp;"","")</f>
        <v/>
      </c>
      <c r="F1369" s="48" t="str">
        <f aca="false">IFERROR(INDEX(输入报销!$F:$F,MATCH($A1369&amp;"-3",输入报销!$J:$J,0))&amp;"","")</f>
        <v/>
      </c>
      <c r="G1369" s="49" t="n">
        <f aca="false">IFERROR(ROUND(INDEX(输入报销!$G:$G,MATCH($A1369&amp;"-3",输入报销!$J:$J,0)),2),0)</f>
        <v>0</v>
      </c>
      <c r="H1369" s="49" t="str">
        <f aca="false">IF(ROUND($G1369,2)&gt;0,ROUND($G1369,2),"")</f>
        <v/>
      </c>
      <c r="I1369" s="49" t="str">
        <f aca="false">IF(ROUND($G1369,2)&lt;0,-ROUND($G1369,2),"")</f>
        <v/>
      </c>
      <c r="J1369" s="20" t="n">
        <f aca="false">IF(ROUND($G1369,2)=0,0,1)</f>
        <v>0</v>
      </c>
      <c r="K1369" s="20" t="str">
        <f aca="false">IF($J1369=0,"",SUM($J$1367:$J1369))</f>
        <v/>
      </c>
      <c r="L1369" s="20" t="str">
        <f aca="false">IF($K1369="","",$A1369*100+$K1369)</f>
        <v/>
      </c>
      <c r="M1369" s="48" t="str">
        <f aca="false">IFERROR(INDEX(输入报销!$D:$D,MATCH($A1369&amp;"-3",输入报销!$J:$J,0))&amp;"","")</f>
        <v/>
      </c>
    </row>
    <row r="1370" customFormat="false" ht="13.5" hidden="false" customHeight="false" outlineLevel="0" collapsed="false">
      <c r="A1370" s="47" t="n">
        <v>106</v>
      </c>
      <c r="C1370" s="48" t="str">
        <f aca="false">助手报销!$C107</f>
        <v/>
      </c>
      <c r="D1370" s="81" t="s">
        <v>482</v>
      </c>
      <c r="E1370" s="48" t="str">
        <f aca="false">IFERROR(INDEX(输入报销!$E:$E,MATCH($A1370&amp;"-4",输入报销!$J:$J,0))&amp;"","")</f>
        <v/>
      </c>
      <c r="F1370" s="48" t="str">
        <f aca="false">IFERROR(INDEX(输入报销!$F:$F,MATCH($A1370&amp;"-4",输入报销!$J:$J,0))&amp;"","")</f>
        <v/>
      </c>
      <c r="G1370" s="49" t="n">
        <f aca="false">IFERROR(ROUND(INDEX(输入报销!$G:$G,MATCH($A1370&amp;"-4",输入报销!$J:$J,0)),2),0)</f>
        <v>0</v>
      </c>
      <c r="H1370" s="49" t="str">
        <f aca="false">IF(ROUND($G1370,2)&gt;0,ROUND($G1370,2),"")</f>
        <v/>
      </c>
      <c r="I1370" s="49" t="str">
        <f aca="false">IF(ROUND($G1370,2)&lt;0,-ROUND($G1370,2),"")</f>
        <v/>
      </c>
      <c r="J1370" s="20" t="n">
        <f aca="false">IF(ROUND($G1370,2)=0,0,1)</f>
        <v>0</v>
      </c>
      <c r="K1370" s="20" t="str">
        <f aca="false">IF($J1370=0,"",SUM($J$1367:$J1370))</f>
        <v/>
      </c>
      <c r="L1370" s="20" t="str">
        <f aca="false">IF($K1370="","",$A1370*100+$K1370)</f>
        <v/>
      </c>
      <c r="M1370" s="48" t="str">
        <f aca="false">IFERROR(INDEX(输入报销!$D:$D,MATCH($A1370&amp;"-4",输入报销!$J:$J,0))&amp;"","")</f>
        <v/>
      </c>
    </row>
    <row r="1371" customFormat="false" ht="13.5" hidden="false" customHeight="false" outlineLevel="0" collapsed="false">
      <c r="A1371" s="47" t="n">
        <v>106</v>
      </c>
      <c r="C1371" s="48" t="str">
        <f aca="false">助手报销!$C107</f>
        <v/>
      </c>
      <c r="D1371" s="81" t="s">
        <v>483</v>
      </c>
      <c r="E1371" s="48" t="str">
        <f aca="false">IFERROR(INDEX(输入报销!$E:$E,MATCH($A1371&amp;"-5",输入报销!$J:$J,0))&amp;"","")</f>
        <v/>
      </c>
      <c r="F1371" s="48" t="str">
        <f aca="false">IFERROR(INDEX(输入报销!$F:$F,MATCH($A1371&amp;"-5",输入报销!$J:$J,0))&amp;"","")</f>
        <v/>
      </c>
      <c r="G1371" s="49" t="n">
        <f aca="false">IFERROR(ROUND(INDEX(输入报销!$G:$G,MATCH($A1371&amp;"-5",输入报销!$J:$J,0)),2),0)</f>
        <v>0</v>
      </c>
      <c r="H1371" s="49" t="str">
        <f aca="false">IF(ROUND($G1371,2)&gt;0,ROUND($G1371,2),"")</f>
        <v/>
      </c>
      <c r="I1371" s="49" t="str">
        <f aca="false">IF(ROUND($G1371,2)&lt;0,-ROUND($G1371,2),"")</f>
        <v/>
      </c>
      <c r="J1371" s="20" t="n">
        <f aca="false">IF(ROUND($G1371,2)=0,0,1)</f>
        <v>0</v>
      </c>
      <c r="K1371" s="20" t="str">
        <f aca="false">IF($J1371=0,"",SUM($J$1367:$J1371))</f>
        <v/>
      </c>
      <c r="L1371" s="20" t="str">
        <f aca="false">IF($K1371="","",$A1371*100+$K1371)</f>
        <v/>
      </c>
      <c r="M1371" s="48" t="str">
        <f aca="false">IFERROR(INDEX(输入报销!$D:$D,MATCH($A1371&amp;"-5",输入报销!$J:$J,0))&amp;"","")</f>
        <v/>
      </c>
    </row>
    <row r="1372" customFormat="false" ht="13.5" hidden="false" customHeight="false" outlineLevel="0" collapsed="false">
      <c r="A1372" s="47" t="n">
        <v>106</v>
      </c>
      <c r="C1372" s="48" t="str">
        <f aca="false">助手报销!$C107</f>
        <v/>
      </c>
      <c r="D1372" s="81" t="s">
        <v>484</v>
      </c>
      <c r="E1372" s="48" t="str">
        <f aca="false">IFERROR(INDEX(输入报销!$E:$E,MATCH($A1372&amp;"-6",输入报销!$J:$J,0))&amp;"","")</f>
        <v/>
      </c>
      <c r="F1372" s="48" t="str">
        <f aca="false">IFERROR(INDEX(输入报销!$F:$F,MATCH($A1372&amp;"-6",输入报销!$J:$J,0))&amp;"","")</f>
        <v/>
      </c>
      <c r="G1372" s="49" t="n">
        <f aca="false">IFERROR(ROUND(INDEX(输入报销!$G:$G,MATCH($A1372&amp;"-6",输入报销!$J:$J,0)),2),0)</f>
        <v>0</v>
      </c>
      <c r="H1372" s="49" t="str">
        <f aca="false">IF(ROUND($G1372,2)&gt;0,ROUND($G1372,2),"")</f>
        <v/>
      </c>
      <c r="I1372" s="49" t="str">
        <f aca="false">IF(ROUND($G1372,2)&lt;0,-ROUND($G1372,2),"")</f>
        <v/>
      </c>
      <c r="J1372" s="20" t="n">
        <f aca="false">IF(ROUND($G1372,2)=0,0,1)</f>
        <v>0</v>
      </c>
      <c r="K1372" s="20" t="str">
        <f aca="false">IF($J1372=0,"",SUM($J$1367:$J1372))</f>
        <v/>
      </c>
      <c r="L1372" s="20" t="str">
        <f aca="false">IF($K1372="","",$A1372*100+$K1372)</f>
        <v/>
      </c>
      <c r="M1372" s="48" t="str">
        <f aca="false">IFERROR(INDEX(输入报销!$D:$D,MATCH($A1372&amp;"-6",输入报销!$J:$J,0))&amp;"","")</f>
        <v/>
      </c>
    </row>
    <row r="1373" customFormat="false" ht="13.5" hidden="false" customHeight="false" outlineLevel="0" collapsed="false">
      <c r="A1373" s="47" t="n">
        <v>106</v>
      </c>
      <c r="C1373" s="48" t="str">
        <f aca="false">助手报销!$C107</f>
        <v/>
      </c>
      <c r="D1373" s="81" t="s">
        <v>485</v>
      </c>
      <c r="E1373" s="48" t="str">
        <f aca="false">IFERROR(INDEX(输入报销!$E:$E,MATCH($A1373&amp;"-7",输入报销!$J:$J,0))&amp;"","")</f>
        <v/>
      </c>
      <c r="F1373" s="48" t="str">
        <f aca="false">IFERROR(INDEX(输入报销!$F:$F,MATCH($A1373&amp;"-7",输入报销!$J:$J,0))&amp;"","")</f>
        <v/>
      </c>
      <c r="G1373" s="49" t="n">
        <f aca="false">IFERROR(ROUND(INDEX(输入报销!$G:$G,MATCH($A1373&amp;"-7",输入报销!$J:$J,0)),2),0)</f>
        <v>0</v>
      </c>
      <c r="H1373" s="49" t="str">
        <f aca="false">IF(ROUND($G1373,2)&gt;0,ROUND($G1373,2),"")</f>
        <v/>
      </c>
      <c r="I1373" s="49" t="str">
        <f aca="false">IF(ROUND($G1373,2)&lt;0,-ROUND($G1373,2),"")</f>
        <v/>
      </c>
      <c r="J1373" s="20" t="n">
        <f aca="false">IF(ROUND($G1373,2)=0,0,1)</f>
        <v>0</v>
      </c>
      <c r="K1373" s="20" t="str">
        <f aca="false">IF($J1373=0,"",SUM($J$1367:$J1373))</f>
        <v/>
      </c>
      <c r="L1373" s="20" t="str">
        <f aca="false">IF($K1373="","",$A1373*100+$K1373)</f>
        <v/>
      </c>
      <c r="M1373" s="48" t="str">
        <f aca="false">IFERROR(INDEX(输入报销!$D:$D,MATCH($A1373&amp;"-7",输入报销!$J:$J,0))&amp;"","")</f>
        <v/>
      </c>
    </row>
    <row r="1374" customFormat="false" ht="13.5" hidden="false" customHeight="false" outlineLevel="0" collapsed="false">
      <c r="A1374" s="47" t="n">
        <v>106</v>
      </c>
      <c r="C1374" s="48" t="str">
        <f aca="false">助手报销!$C107</f>
        <v/>
      </c>
      <c r="D1374" s="81" t="s">
        <v>486</v>
      </c>
      <c r="E1374" s="48" t="str">
        <f aca="false">IFERROR(INDEX(输入报销!$E:$E,MATCH($A1374&amp;"-8",输入报销!$J:$J,0))&amp;"","")</f>
        <v/>
      </c>
      <c r="F1374" s="48" t="str">
        <f aca="false">IFERROR(INDEX(输入报销!$F:$F,MATCH($A1374&amp;"-8",输入报销!$J:$J,0))&amp;"","")</f>
        <v/>
      </c>
      <c r="G1374" s="49" t="n">
        <f aca="false">IFERROR(ROUND(INDEX(输入报销!$G:$G,MATCH($A1374&amp;"-8",输入报销!$J:$J,0)),2),0)</f>
        <v>0</v>
      </c>
      <c r="H1374" s="49" t="str">
        <f aca="false">IF(ROUND($G1374,2)&gt;0,ROUND($G1374,2),"")</f>
        <v/>
      </c>
      <c r="I1374" s="49" t="str">
        <f aca="false">IF(ROUND($G1374,2)&lt;0,-ROUND($G1374,2),"")</f>
        <v/>
      </c>
      <c r="J1374" s="20" t="n">
        <f aca="false">IF(ROUND($G1374,2)=0,0,1)</f>
        <v>0</v>
      </c>
      <c r="K1374" s="20" t="str">
        <f aca="false">IF($J1374=0,"",SUM($J$1367:$J1374))</f>
        <v/>
      </c>
      <c r="L1374" s="20" t="str">
        <f aca="false">IF($K1374="","",$A1374*100+$K1374)</f>
        <v/>
      </c>
      <c r="M1374" s="48" t="str">
        <f aca="false">IFERROR(INDEX(输入报销!$D:$D,MATCH($A1374&amp;"-8",输入报销!$J:$J,0))&amp;"","")</f>
        <v/>
      </c>
    </row>
    <row r="1375" customFormat="false" ht="13.5" hidden="false" customHeight="false" outlineLevel="0" collapsed="false">
      <c r="A1375" s="47" t="n">
        <v>106</v>
      </c>
      <c r="C1375" s="48" t="str">
        <f aca="false">助手报销!$C107</f>
        <v/>
      </c>
      <c r="D1375" s="81" t="s">
        <v>487</v>
      </c>
      <c r="E1375" s="48" t="str">
        <f aca="false">IFERROR(INDEX(输入报销!$E:$E,MATCH($A1375&amp;"-9",输入报销!$J:$J,0))&amp;"","")</f>
        <v/>
      </c>
      <c r="F1375" s="48" t="str">
        <f aca="false">IFERROR(INDEX(输入报销!$F:$F,MATCH($A1375&amp;"-9",输入报销!$J:$J,0))&amp;"","")</f>
        <v/>
      </c>
      <c r="G1375" s="49" t="n">
        <f aca="false">IFERROR(ROUND(INDEX(输入报销!$G:$G,MATCH($A1375&amp;"-9",输入报销!$J:$J,0)),2),0)</f>
        <v>0</v>
      </c>
      <c r="H1375" s="49" t="str">
        <f aca="false">IF(ROUND($G1375,2)&gt;0,ROUND($G1375,2),"")</f>
        <v/>
      </c>
      <c r="I1375" s="49" t="str">
        <f aca="false">IF(ROUND($G1375,2)&lt;0,-ROUND($G1375,2),"")</f>
        <v/>
      </c>
      <c r="J1375" s="20" t="n">
        <f aca="false">IF(ROUND($G1375,2)=0,0,1)</f>
        <v>0</v>
      </c>
      <c r="K1375" s="20" t="str">
        <f aca="false">IF($J1375=0,"",SUM($J$1367:$J1375))</f>
        <v/>
      </c>
      <c r="L1375" s="20" t="str">
        <f aca="false">IF($K1375="","",$A1375*100+$K1375)</f>
        <v/>
      </c>
      <c r="M1375" s="48" t="str">
        <f aca="false">IFERROR(INDEX(输入报销!$D:$D,MATCH($A1375&amp;"-9",输入报销!$J:$J,0))&amp;"","")</f>
        <v/>
      </c>
    </row>
    <row r="1376" customFormat="false" ht="13.5" hidden="false" customHeight="false" outlineLevel="0" collapsed="false">
      <c r="A1376" s="47" t="n">
        <v>106</v>
      </c>
      <c r="C1376" s="48" t="str">
        <f aca="false">助手报销!$C107</f>
        <v/>
      </c>
      <c r="D1376" s="81" t="s">
        <v>488</v>
      </c>
      <c r="E1376" s="48" t="str">
        <f aca="false">IFERROR(INDEX(输入报销!$E:$E,MATCH($A1376&amp;"-10",输入报销!$J:$J,0))&amp;"","")</f>
        <v/>
      </c>
      <c r="F1376" s="48" t="str">
        <f aca="false">IFERROR(INDEX(输入报销!$F:$F,MATCH($A1376&amp;"-10",输入报销!$J:$J,0))&amp;"","")</f>
        <v/>
      </c>
      <c r="G1376" s="49" t="n">
        <f aca="false">IFERROR(ROUND(INDEX(输入报销!$G:$G,MATCH($A1376&amp;"-10",输入报销!$J:$J,0)),2),0)</f>
        <v>0</v>
      </c>
      <c r="H1376" s="49" t="str">
        <f aca="false">IF(ROUND($G1376,2)&gt;0,ROUND($G1376,2),"")</f>
        <v/>
      </c>
      <c r="I1376" s="49" t="str">
        <f aca="false">IF(ROUND($G1376,2)&lt;0,-ROUND($G1376,2),"")</f>
        <v/>
      </c>
      <c r="J1376" s="20" t="n">
        <f aca="false">IF(ROUND($G1376,2)=0,0,1)</f>
        <v>0</v>
      </c>
      <c r="K1376" s="20" t="str">
        <f aca="false">IF($J1376=0,"",SUM($J$1367:$J1376))</f>
        <v/>
      </c>
      <c r="L1376" s="20" t="str">
        <f aca="false">IF($K1376="","",$A1376*100+$K1376)</f>
        <v/>
      </c>
      <c r="M1376" s="48" t="str">
        <f aca="false">IFERROR(INDEX(输入报销!$D:$D,MATCH($A1376&amp;"-10",输入报销!$J:$J,0))&amp;"","")</f>
        <v/>
      </c>
    </row>
    <row r="1377" customFormat="false" ht="13.5" hidden="false" customHeight="false" outlineLevel="0" collapsed="false">
      <c r="A1377" s="47" t="n">
        <v>106</v>
      </c>
      <c r="C1377" s="48" t="str">
        <f aca="false">助手报销!$C107</f>
        <v/>
      </c>
      <c r="D1377" s="81" t="s">
        <v>489</v>
      </c>
      <c r="E1377" s="48" t="str">
        <f aca="false">参数!$B$6</f>
        <v>库存现金</v>
      </c>
      <c r="F1377" s="48" t="str">
        <f aca="false">""</f>
        <v/>
      </c>
      <c r="G1377" s="49" t="n">
        <f aca="false">-ROUND(SUMIFS(输入报销!$G:$G,输入报销!$A:$A,$A1377,输入报销!$H:$H,参数!$B$6),2)</f>
        <v>-0</v>
      </c>
      <c r="H1377" s="49" t="str">
        <f aca="false">IF(ROUND($G1377,2)&gt;0,ROUND($G1377,2),"")</f>
        <v/>
      </c>
      <c r="I1377" s="49" t="str">
        <f aca="false">IF(ROUND($G1377,2)&lt;0,-ROUND($G1377,2),"")</f>
        <v/>
      </c>
      <c r="J1377" s="20" t="n">
        <f aca="false">IF(ROUND($G1377,2)=0,0,1)</f>
        <v>0</v>
      </c>
      <c r="K1377" s="20" t="str">
        <f aca="false">IF($J1377=0,"",SUM($J$1367:$J1377))</f>
        <v/>
      </c>
      <c r="L1377" s="20" t="str">
        <f aca="false">IF($K1377="","",$A1377*100+$K1377)</f>
        <v/>
      </c>
      <c r="M1377" s="48" t="str">
        <f aca="false">""</f>
        <v/>
      </c>
    </row>
    <row r="1378" customFormat="false" ht="13.5" hidden="false" customHeight="false" outlineLevel="0" collapsed="false">
      <c r="A1378" s="47" t="n">
        <v>106</v>
      </c>
      <c r="C1378" s="48" t="str">
        <f aca="false">助手报销!$C107</f>
        <v/>
      </c>
      <c r="D1378" s="81" t="s">
        <v>490</v>
      </c>
      <c r="E1378" s="48" t="str">
        <f aca="false">参数!$B$7</f>
        <v>银行存款</v>
      </c>
      <c r="F1378" s="48" t="str">
        <f aca="false">""</f>
        <v/>
      </c>
      <c r="G1378" s="49" t="n">
        <f aca="false">-ROUND(SUMIFS(输入报销!$G:$G,输入报销!$A:$A,$A1378,输入报销!$H:$H,参数!$B$7),2)</f>
        <v>-0</v>
      </c>
      <c r="H1378" s="49" t="str">
        <f aca="false">IF(ROUND($G1378,2)&gt;0,ROUND($G1378,2),"")</f>
        <v/>
      </c>
      <c r="I1378" s="49" t="str">
        <f aca="false">IF(ROUND($G1378,2)&lt;0,-ROUND($G1378,2),"")</f>
        <v/>
      </c>
      <c r="J1378" s="20" t="n">
        <f aca="false">IF(ROUND($G1378,2)=0,0,1)</f>
        <v>0</v>
      </c>
      <c r="K1378" s="20" t="str">
        <f aca="false">IF($J1378=0,"",SUM($J$1367:$J1378))</f>
        <v/>
      </c>
      <c r="L1378" s="20" t="str">
        <f aca="false">IF($K1378="","",$A1378*100+$K1378)</f>
        <v/>
      </c>
      <c r="M1378" s="48" t="str">
        <f aca="false">""</f>
        <v/>
      </c>
    </row>
    <row r="1379" customFormat="false" ht="13.5" hidden="false" customHeight="false" outlineLevel="0" collapsed="false">
      <c r="A1379" s="47" t="n">
        <v>106</v>
      </c>
      <c r="C1379" s="48" t="str">
        <f aca="false">助手报销!$C107</f>
        <v/>
      </c>
      <c r="D1379" s="81" t="s">
        <v>491</v>
      </c>
      <c r="E1379" s="48" t="str">
        <f aca="false">参数!$B$8</f>
        <v>其他应付款</v>
      </c>
      <c r="F1379" s="48" t="str">
        <f aca="false">""</f>
        <v/>
      </c>
      <c r="G1379" s="49" t="n">
        <f aca="false">-ROUND(SUMIFS(输入报销!$G:$G,输入报销!$A:$A,$A1379,输入报销!$H:$H,参数!$B$8),2)</f>
        <v>-0</v>
      </c>
      <c r="H1379" s="49" t="str">
        <f aca="false">IF(ROUND($G1379,2)&gt;0,ROUND($G1379,2),"")</f>
        <v/>
      </c>
      <c r="I1379" s="49" t="str">
        <f aca="false">IF(ROUND($G1379,2)&lt;0,-ROUND($G1379,2),"")</f>
        <v/>
      </c>
      <c r="J1379" s="20" t="n">
        <f aca="false">IF(ROUND($G1379,2)=0,0,1)</f>
        <v>0</v>
      </c>
      <c r="K1379" s="20" t="str">
        <f aca="false">IF($J1379=0,"",SUM($J$1367:$J1379))</f>
        <v/>
      </c>
      <c r="L1379" s="20" t="str">
        <f aca="false">IF($K1379="","",$A1379*100+$K1379)</f>
        <v/>
      </c>
      <c r="M1379" s="48" t="str">
        <f aca="false">""</f>
        <v/>
      </c>
    </row>
    <row r="1380" customFormat="false" ht="13.5" hidden="false" customHeight="false" outlineLevel="0" collapsed="false">
      <c r="A1380" s="47" t="n">
        <v>107</v>
      </c>
      <c r="C1380" s="48" t="str">
        <f aca="false">助手报销!$C108</f>
        <v/>
      </c>
      <c r="D1380" s="81" t="s">
        <v>479</v>
      </c>
      <c r="E1380" s="48" t="str">
        <f aca="false">IFERROR(INDEX(输入报销!$E:$E,MATCH($A1380&amp;"-1",输入报销!$J:$J,0))&amp;"","")</f>
        <v/>
      </c>
      <c r="F1380" s="48" t="str">
        <f aca="false">IFERROR(INDEX(输入报销!$F:$F,MATCH($A1380&amp;"-1",输入报销!$J:$J,0))&amp;"","")</f>
        <v/>
      </c>
      <c r="G1380" s="49" t="n">
        <f aca="false">IFERROR(ROUND(INDEX(输入报销!$G:$G,MATCH($A1380&amp;"-1",输入报销!$J:$J,0)),2),0)</f>
        <v>0</v>
      </c>
      <c r="H1380" s="49" t="str">
        <f aca="false">IF(ROUND($G1380,2)&gt;0,ROUND($G1380,2),"")</f>
        <v/>
      </c>
      <c r="I1380" s="49" t="str">
        <f aca="false">IF(ROUND($G1380,2)&lt;0,-ROUND($G1380,2),"")</f>
        <v/>
      </c>
      <c r="J1380" s="20" t="n">
        <f aca="false">IF(ROUND($G1380,2)=0,0,1)</f>
        <v>0</v>
      </c>
      <c r="K1380" s="20" t="str">
        <f aca="false">IF($J1380=0,"",SUM($J$1380:$J1380))</f>
        <v/>
      </c>
      <c r="L1380" s="20" t="str">
        <f aca="false">IF($K1380="","",$A1380*100+$K1380)</f>
        <v/>
      </c>
      <c r="M1380" s="48" t="str">
        <f aca="false">IFERROR(INDEX(输入报销!$D:$D,MATCH($A1380&amp;"-1",输入报销!$J:$J,0))&amp;"","")</f>
        <v/>
      </c>
    </row>
    <row r="1381" customFormat="false" ht="13.5" hidden="false" customHeight="false" outlineLevel="0" collapsed="false">
      <c r="A1381" s="47" t="n">
        <v>107</v>
      </c>
      <c r="C1381" s="48" t="str">
        <f aca="false">助手报销!$C108</f>
        <v/>
      </c>
      <c r="D1381" s="81" t="s">
        <v>480</v>
      </c>
      <c r="E1381" s="48" t="str">
        <f aca="false">IFERROR(INDEX(输入报销!$E:$E,MATCH($A1381&amp;"-2",输入报销!$J:$J,0))&amp;"","")</f>
        <v/>
      </c>
      <c r="F1381" s="48" t="str">
        <f aca="false">IFERROR(INDEX(输入报销!$F:$F,MATCH($A1381&amp;"-2",输入报销!$J:$J,0))&amp;"","")</f>
        <v/>
      </c>
      <c r="G1381" s="49" t="n">
        <f aca="false">IFERROR(ROUND(INDEX(输入报销!$G:$G,MATCH($A1381&amp;"-2",输入报销!$J:$J,0)),2),0)</f>
        <v>0</v>
      </c>
      <c r="H1381" s="49" t="str">
        <f aca="false">IF(ROUND($G1381,2)&gt;0,ROUND($G1381,2),"")</f>
        <v/>
      </c>
      <c r="I1381" s="49" t="str">
        <f aca="false">IF(ROUND($G1381,2)&lt;0,-ROUND($G1381,2),"")</f>
        <v/>
      </c>
      <c r="J1381" s="20" t="n">
        <f aca="false">IF(ROUND($G1381,2)=0,0,1)</f>
        <v>0</v>
      </c>
      <c r="K1381" s="20" t="str">
        <f aca="false">IF($J1381=0,"",SUM($J$1380:$J1381))</f>
        <v/>
      </c>
      <c r="L1381" s="20" t="str">
        <f aca="false">IF($K1381="","",$A1381*100+$K1381)</f>
        <v/>
      </c>
      <c r="M1381" s="48" t="str">
        <f aca="false">IFERROR(INDEX(输入报销!$D:$D,MATCH($A1381&amp;"-2",输入报销!$J:$J,0))&amp;"","")</f>
        <v/>
      </c>
    </row>
    <row r="1382" customFormat="false" ht="13.5" hidden="false" customHeight="false" outlineLevel="0" collapsed="false">
      <c r="A1382" s="47" t="n">
        <v>107</v>
      </c>
      <c r="C1382" s="48" t="str">
        <f aca="false">助手报销!$C108</f>
        <v/>
      </c>
      <c r="D1382" s="81" t="s">
        <v>481</v>
      </c>
      <c r="E1382" s="48" t="str">
        <f aca="false">IFERROR(INDEX(输入报销!$E:$E,MATCH($A1382&amp;"-3",输入报销!$J:$J,0))&amp;"","")</f>
        <v/>
      </c>
      <c r="F1382" s="48" t="str">
        <f aca="false">IFERROR(INDEX(输入报销!$F:$F,MATCH($A1382&amp;"-3",输入报销!$J:$J,0))&amp;"","")</f>
        <v/>
      </c>
      <c r="G1382" s="49" t="n">
        <f aca="false">IFERROR(ROUND(INDEX(输入报销!$G:$G,MATCH($A1382&amp;"-3",输入报销!$J:$J,0)),2),0)</f>
        <v>0</v>
      </c>
      <c r="H1382" s="49" t="str">
        <f aca="false">IF(ROUND($G1382,2)&gt;0,ROUND($G1382,2),"")</f>
        <v/>
      </c>
      <c r="I1382" s="49" t="str">
        <f aca="false">IF(ROUND($G1382,2)&lt;0,-ROUND($G1382,2),"")</f>
        <v/>
      </c>
      <c r="J1382" s="20" t="n">
        <f aca="false">IF(ROUND($G1382,2)=0,0,1)</f>
        <v>0</v>
      </c>
      <c r="K1382" s="20" t="str">
        <f aca="false">IF($J1382=0,"",SUM($J$1380:$J1382))</f>
        <v/>
      </c>
      <c r="L1382" s="20" t="str">
        <f aca="false">IF($K1382="","",$A1382*100+$K1382)</f>
        <v/>
      </c>
      <c r="M1382" s="48" t="str">
        <f aca="false">IFERROR(INDEX(输入报销!$D:$D,MATCH($A1382&amp;"-3",输入报销!$J:$J,0))&amp;"","")</f>
        <v/>
      </c>
    </row>
    <row r="1383" customFormat="false" ht="13.5" hidden="false" customHeight="false" outlineLevel="0" collapsed="false">
      <c r="A1383" s="47" t="n">
        <v>107</v>
      </c>
      <c r="C1383" s="48" t="str">
        <f aca="false">助手报销!$C108</f>
        <v/>
      </c>
      <c r="D1383" s="81" t="s">
        <v>482</v>
      </c>
      <c r="E1383" s="48" t="str">
        <f aca="false">IFERROR(INDEX(输入报销!$E:$E,MATCH($A1383&amp;"-4",输入报销!$J:$J,0))&amp;"","")</f>
        <v/>
      </c>
      <c r="F1383" s="48" t="str">
        <f aca="false">IFERROR(INDEX(输入报销!$F:$F,MATCH($A1383&amp;"-4",输入报销!$J:$J,0))&amp;"","")</f>
        <v/>
      </c>
      <c r="G1383" s="49" t="n">
        <f aca="false">IFERROR(ROUND(INDEX(输入报销!$G:$G,MATCH($A1383&amp;"-4",输入报销!$J:$J,0)),2),0)</f>
        <v>0</v>
      </c>
      <c r="H1383" s="49" t="str">
        <f aca="false">IF(ROUND($G1383,2)&gt;0,ROUND($G1383,2),"")</f>
        <v/>
      </c>
      <c r="I1383" s="49" t="str">
        <f aca="false">IF(ROUND($G1383,2)&lt;0,-ROUND($G1383,2),"")</f>
        <v/>
      </c>
      <c r="J1383" s="20" t="n">
        <f aca="false">IF(ROUND($G1383,2)=0,0,1)</f>
        <v>0</v>
      </c>
      <c r="K1383" s="20" t="str">
        <f aca="false">IF($J1383=0,"",SUM($J$1380:$J1383))</f>
        <v/>
      </c>
      <c r="L1383" s="20" t="str">
        <f aca="false">IF($K1383="","",$A1383*100+$K1383)</f>
        <v/>
      </c>
      <c r="M1383" s="48" t="str">
        <f aca="false">IFERROR(INDEX(输入报销!$D:$D,MATCH($A1383&amp;"-4",输入报销!$J:$J,0))&amp;"","")</f>
        <v/>
      </c>
    </row>
    <row r="1384" customFormat="false" ht="13.5" hidden="false" customHeight="false" outlineLevel="0" collapsed="false">
      <c r="A1384" s="47" t="n">
        <v>107</v>
      </c>
      <c r="C1384" s="48" t="str">
        <f aca="false">助手报销!$C108</f>
        <v/>
      </c>
      <c r="D1384" s="81" t="s">
        <v>483</v>
      </c>
      <c r="E1384" s="48" t="str">
        <f aca="false">IFERROR(INDEX(输入报销!$E:$E,MATCH($A1384&amp;"-5",输入报销!$J:$J,0))&amp;"","")</f>
        <v/>
      </c>
      <c r="F1384" s="48" t="str">
        <f aca="false">IFERROR(INDEX(输入报销!$F:$F,MATCH($A1384&amp;"-5",输入报销!$J:$J,0))&amp;"","")</f>
        <v/>
      </c>
      <c r="G1384" s="49" t="n">
        <f aca="false">IFERROR(ROUND(INDEX(输入报销!$G:$G,MATCH($A1384&amp;"-5",输入报销!$J:$J,0)),2),0)</f>
        <v>0</v>
      </c>
      <c r="H1384" s="49" t="str">
        <f aca="false">IF(ROUND($G1384,2)&gt;0,ROUND($G1384,2),"")</f>
        <v/>
      </c>
      <c r="I1384" s="49" t="str">
        <f aca="false">IF(ROUND($G1384,2)&lt;0,-ROUND($G1384,2),"")</f>
        <v/>
      </c>
      <c r="J1384" s="20" t="n">
        <f aca="false">IF(ROUND($G1384,2)=0,0,1)</f>
        <v>0</v>
      </c>
      <c r="K1384" s="20" t="str">
        <f aca="false">IF($J1384=0,"",SUM($J$1380:$J1384))</f>
        <v/>
      </c>
      <c r="L1384" s="20" t="str">
        <f aca="false">IF($K1384="","",$A1384*100+$K1384)</f>
        <v/>
      </c>
      <c r="M1384" s="48" t="str">
        <f aca="false">IFERROR(INDEX(输入报销!$D:$D,MATCH($A1384&amp;"-5",输入报销!$J:$J,0))&amp;"","")</f>
        <v/>
      </c>
    </row>
    <row r="1385" customFormat="false" ht="13.5" hidden="false" customHeight="false" outlineLevel="0" collapsed="false">
      <c r="A1385" s="47" t="n">
        <v>107</v>
      </c>
      <c r="C1385" s="48" t="str">
        <f aca="false">助手报销!$C108</f>
        <v/>
      </c>
      <c r="D1385" s="81" t="s">
        <v>484</v>
      </c>
      <c r="E1385" s="48" t="str">
        <f aca="false">IFERROR(INDEX(输入报销!$E:$E,MATCH($A1385&amp;"-6",输入报销!$J:$J,0))&amp;"","")</f>
        <v/>
      </c>
      <c r="F1385" s="48" t="str">
        <f aca="false">IFERROR(INDEX(输入报销!$F:$F,MATCH($A1385&amp;"-6",输入报销!$J:$J,0))&amp;"","")</f>
        <v/>
      </c>
      <c r="G1385" s="49" t="n">
        <f aca="false">IFERROR(ROUND(INDEX(输入报销!$G:$G,MATCH($A1385&amp;"-6",输入报销!$J:$J,0)),2),0)</f>
        <v>0</v>
      </c>
      <c r="H1385" s="49" t="str">
        <f aca="false">IF(ROUND($G1385,2)&gt;0,ROUND($G1385,2),"")</f>
        <v/>
      </c>
      <c r="I1385" s="49" t="str">
        <f aca="false">IF(ROUND($G1385,2)&lt;0,-ROUND($G1385,2),"")</f>
        <v/>
      </c>
      <c r="J1385" s="20" t="n">
        <f aca="false">IF(ROUND($G1385,2)=0,0,1)</f>
        <v>0</v>
      </c>
      <c r="K1385" s="20" t="str">
        <f aca="false">IF($J1385=0,"",SUM($J$1380:$J1385))</f>
        <v/>
      </c>
      <c r="L1385" s="20" t="str">
        <f aca="false">IF($K1385="","",$A1385*100+$K1385)</f>
        <v/>
      </c>
      <c r="M1385" s="48" t="str">
        <f aca="false">IFERROR(INDEX(输入报销!$D:$D,MATCH($A1385&amp;"-6",输入报销!$J:$J,0))&amp;"","")</f>
        <v/>
      </c>
    </row>
    <row r="1386" customFormat="false" ht="13.5" hidden="false" customHeight="false" outlineLevel="0" collapsed="false">
      <c r="A1386" s="47" t="n">
        <v>107</v>
      </c>
      <c r="C1386" s="48" t="str">
        <f aca="false">助手报销!$C108</f>
        <v/>
      </c>
      <c r="D1386" s="81" t="s">
        <v>485</v>
      </c>
      <c r="E1386" s="48" t="str">
        <f aca="false">IFERROR(INDEX(输入报销!$E:$E,MATCH($A1386&amp;"-7",输入报销!$J:$J,0))&amp;"","")</f>
        <v/>
      </c>
      <c r="F1386" s="48" t="str">
        <f aca="false">IFERROR(INDEX(输入报销!$F:$F,MATCH($A1386&amp;"-7",输入报销!$J:$J,0))&amp;"","")</f>
        <v/>
      </c>
      <c r="G1386" s="49" t="n">
        <f aca="false">IFERROR(ROUND(INDEX(输入报销!$G:$G,MATCH($A1386&amp;"-7",输入报销!$J:$J,0)),2),0)</f>
        <v>0</v>
      </c>
      <c r="H1386" s="49" t="str">
        <f aca="false">IF(ROUND($G1386,2)&gt;0,ROUND($G1386,2),"")</f>
        <v/>
      </c>
      <c r="I1386" s="49" t="str">
        <f aca="false">IF(ROUND($G1386,2)&lt;0,-ROUND($G1386,2),"")</f>
        <v/>
      </c>
      <c r="J1386" s="20" t="n">
        <f aca="false">IF(ROUND($G1386,2)=0,0,1)</f>
        <v>0</v>
      </c>
      <c r="K1386" s="20" t="str">
        <f aca="false">IF($J1386=0,"",SUM($J$1380:$J1386))</f>
        <v/>
      </c>
      <c r="L1386" s="20" t="str">
        <f aca="false">IF($K1386="","",$A1386*100+$K1386)</f>
        <v/>
      </c>
      <c r="M1386" s="48" t="str">
        <f aca="false">IFERROR(INDEX(输入报销!$D:$D,MATCH($A1386&amp;"-7",输入报销!$J:$J,0))&amp;"","")</f>
        <v/>
      </c>
    </row>
    <row r="1387" customFormat="false" ht="13.5" hidden="false" customHeight="false" outlineLevel="0" collapsed="false">
      <c r="A1387" s="47" t="n">
        <v>107</v>
      </c>
      <c r="C1387" s="48" t="str">
        <f aca="false">助手报销!$C108</f>
        <v/>
      </c>
      <c r="D1387" s="81" t="s">
        <v>486</v>
      </c>
      <c r="E1387" s="48" t="str">
        <f aca="false">IFERROR(INDEX(输入报销!$E:$E,MATCH($A1387&amp;"-8",输入报销!$J:$J,0))&amp;"","")</f>
        <v/>
      </c>
      <c r="F1387" s="48" t="str">
        <f aca="false">IFERROR(INDEX(输入报销!$F:$F,MATCH($A1387&amp;"-8",输入报销!$J:$J,0))&amp;"","")</f>
        <v/>
      </c>
      <c r="G1387" s="49" t="n">
        <f aca="false">IFERROR(ROUND(INDEX(输入报销!$G:$G,MATCH($A1387&amp;"-8",输入报销!$J:$J,0)),2),0)</f>
        <v>0</v>
      </c>
      <c r="H1387" s="49" t="str">
        <f aca="false">IF(ROUND($G1387,2)&gt;0,ROUND($G1387,2),"")</f>
        <v/>
      </c>
      <c r="I1387" s="49" t="str">
        <f aca="false">IF(ROUND($G1387,2)&lt;0,-ROUND($G1387,2),"")</f>
        <v/>
      </c>
      <c r="J1387" s="20" t="n">
        <f aca="false">IF(ROUND($G1387,2)=0,0,1)</f>
        <v>0</v>
      </c>
      <c r="K1387" s="20" t="str">
        <f aca="false">IF($J1387=0,"",SUM($J$1380:$J1387))</f>
        <v/>
      </c>
      <c r="L1387" s="20" t="str">
        <f aca="false">IF($K1387="","",$A1387*100+$K1387)</f>
        <v/>
      </c>
      <c r="M1387" s="48" t="str">
        <f aca="false">IFERROR(INDEX(输入报销!$D:$D,MATCH($A1387&amp;"-8",输入报销!$J:$J,0))&amp;"","")</f>
        <v/>
      </c>
    </row>
    <row r="1388" customFormat="false" ht="13.5" hidden="false" customHeight="false" outlineLevel="0" collapsed="false">
      <c r="A1388" s="47" t="n">
        <v>107</v>
      </c>
      <c r="C1388" s="48" t="str">
        <f aca="false">助手报销!$C108</f>
        <v/>
      </c>
      <c r="D1388" s="81" t="s">
        <v>487</v>
      </c>
      <c r="E1388" s="48" t="str">
        <f aca="false">IFERROR(INDEX(输入报销!$E:$E,MATCH($A1388&amp;"-9",输入报销!$J:$J,0))&amp;"","")</f>
        <v/>
      </c>
      <c r="F1388" s="48" t="str">
        <f aca="false">IFERROR(INDEX(输入报销!$F:$F,MATCH($A1388&amp;"-9",输入报销!$J:$J,0))&amp;"","")</f>
        <v/>
      </c>
      <c r="G1388" s="49" t="n">
        <f aca="false">IFERROR(ROUND(INDEX(输入报销!$G:$G,MATCH($A1388&amp;"-9",输入报销!$J:$J,0)),2),0)</f>
        <v>0</v>
      </c>
      <c r="H1388" s="49" t="str">
        <f aca="false">IF(ROUND($G1388,2)&gt;0,ROUND($G1388,2),"")</f>
        <v/>
      </c>
      <c r="I1388" s="49" t="str">
        <f aca="false">IF(ROUND($G1388,2)&lt;0,-ROUND($G1388,2),"")</f>
        <v/>
      </c>
      <c r="J1388" s="20" t="n">
        <f aca="false">IF(ROUND($G1388,2)=0,0,1)</f>
        <v>0</v>
      </c>
      <c r="K1388" s="20" t="str">
        <f aca="false">IF($J1388=0,"",SUM($J$1380:$J1388))</f>
        <v/>
      </c>
      <c r="L1388" s="20" t="str">
        <f aca="false">IF($K1388="","",$A1388*100+$K1388)</f>
        <v/>
      </c>
      <c r="M1388" s="48" t="str">
        <f aca="false">IFERROR(INDEX(输入报销!$D:$D,MATCH($A1388&amp;"-9",输入报销!$J:$J,0))&amp;"","")</f>
        <v/>
      </c>
    </row>
    <row r="1389" customFormat="false" ht="13.5" hidden="false" customHeight="false" outlineLevel="0" collapsed="false">
      <c r="A1389" s="47" t="n">
        <v>107</v>
      </c>
      <c r="C1389" s="48" t="str">
        <f aca="false">助手报销!$C108</f>
        <v/>
      </c>
      <c r="D1389" s="81" t="s">
        <v>488</v>
      </c>
      <c r="E1389" s="48" t="str">
        <f aca="false">IFERROR(INDEX(输入报销!$E:$E,MATCH($A1389&amp;"-10",输入报销!$J:$J,0))&amp;"","")</f>
        <v/>
      </c>
      <c r="F1389" s="48" t="str">
        <f aca="false">IFERROR(INDEX(输入报销!$F:$F,MATCH($A1389&amp;"-10",输入报销!$J:$J,0))&amp;"","")</f>
        <v/>
      </c>
      <c r="G1389" s="49" t="n">
        <f aca="false">IFERROR(ROUND(INDEX(输入报销!$G:$G,MATCH($A1389&amp;"-10",输入报销!$J:$J,0)),2),0)</f>
        <v>0</v>
      </c>
      <c r="H1389" s="49" t="str">
        <f aca="false">IF(ROUND($G1389,2)&gt;0,ROUND($G1389,2),"")</f>
        <v/>
      </c>
      <c r="I1389" s="49" t="str">
        <f aca="false">IF(ROUND($G1389,2)&lt;0,-ROUND($G1389,2),"")</f>
        <v/>
      </c>
      <c r="J1389" s="20" t="n">
        <f aca="false">IF(ROUND($G1389,2)=0,0,1)</f>
        <v>0</v>
      </c>
      <c r="K1389" s="20" t="str">
        <f aca="false">IF($J1389=0,"",SUM($J$1380:$J1389))</f>
        <v/>
      </c>
      <c r="L1389" s="20" t="str">
        <f aca="false">IF($K1389="","",$A1389*100+$K1389)</f>
        <v/>
      </c>
      <c r="M1389" s="48" t="str">
        <f aca="false">IFERROR(INDEX(输入报销!$D:$D,MATCH($A1389&amp;"-10",输入报销!$J:$J,0))&amp;"","")</f>
        <v/>
      </c>
    </row>
    <row r="1390" customFormat="false" ht="13.5" hidden="false" customHeight="false" outlineLevel="0" collapsed="false">
      <c r="A1390" s="47" t="n">
        <v>107</v>
      </c>
      <c r="C1390" s="48" t="str">
        <f aca="false">助手报销!$C108</f>
        <v/>
      </c>
      <c r="D1390" s="81" t="s">
        <v>489</v>
      </c>
      <c r="E1390" s="48" t="str">
        <f aca="false">参数!$B$6</f>
        <v>库存现金</v>
      </c>
      <c r="F1390" s="48" t="str">
        <f aca="false">""</f>
        <v/>
      </c>
      <c r="G1390" s="49" t="n">
        <f aca="false">-ROUND(SUMIFS(输入报销!$G:$G,输入报销!$A:$A,$A1390,输入报销!$H:$H,参数!$B$6),2)</f>
        <v>-0</v>
      </c>
      <c r="H1390" s="49" t="str">
        <f aca="false">IF(ROUND($G1390,2)&gt;0,ROUND($G1390,2),"")</f>
        <v/>
      </c>
      <c r="I1390" s="49" t="str">
        <f aca="false">IF(ROUND($G1390,2)&lt;0,-ROUND($G1390,2),"")</f>
        <v/>
      </c>
      <c r="J1390" s="20" t="n">
        <f aca="false">IF(ROUND($G1390,2)=0,0,1)</f>
        <v>0</v>
      </c>
      <c r="K1390" s="20" t="str">
        <f aca="false">IF($J1390=0,"",SUM($J$1380:$J1390))</f>
        <v/>
      </c>
      <c r="L1390" s="20" t="str">
        <f aca="false">IF($K1390="","",$A1390*100+$K1390)</f>
        <v/>
      </c>
      <c r="M1390" s="48" t="str">
        <f aca="false">""</f>
        <v/>
      </c>
    </row>
    <row r="1391" customFormat="false" ht="13.5" hidden="false" customHeight="false" outlineLevel="0" collapsed="false">
      <c r="A1391" s="47" t="n">
        <v>107</v>
      </c>
      <c r="C1391" s="48" t="str">
        <f aca="false">助手报销!$C108</f>
        <v/>
      </c>
      <c r="D1391" s="81" t="s">
        <v>490</v>
      </c>
      <c r="E1391" s="48" t="str">
        <f aca="false">参数!$B$7</f>
        <v>银行存款</v>
      </c>
      <c r="F1391" s="48" t="str">
        <f aca="false">""</f>
        <v/>
      </c>
      <c r="G1391" s="49" t="n">
        <f aca="false">-ROUND(SUMIFS(输入报销!$G:$G,输入报销!$A:$A,$A1391,输入报销!$H:$H,参数!$B$7),2)</f>
        <v>-0</v>
      </c>
      <c r="H1391" s="49" t="str">
        <f aca="false">IF(ROUND($G1391,2)&gt;0,ROUND($G1391,2),"")</f>
        <v/>
      </c>
      <c r="I1391" s="49" t="str">
        <f aca="false">IF(ROUND($G1391,2)&lt;0,-ROUND($G1391,2),"")</f>
        <v/>
      </c>
      <c r="J1391" s="20" t="n">
        <f aca="false">IF(ROUND($G1391,2)=0,0,1)</f>
        <v>0</v>
      </c>
      <c r="K1391" s="20" t="str">
        <f aca="false">IF($J1391=0,"",SUM($J$1380:$J1391))</f>
        <v/>
      </c>
      <c r="L1391" s="20" t="str">
        <f aca="false">IF($K1391="","",$A1391*100+$K1391)</f>
        <v/>
      </c>
      <c r="M1391" s="48" t="str">
        <f aca="false">""</f>
        <v/>
      </c>
    </row>
    <row r="1392" customFormat="false" ht="13.5" hidden="false" customHeight="false" outlineLevel="0" collapsed="false">
      <c r="A1392" s="47" t="n">
        <v>107</v>
      </c>
      <c r="C1392" s="48" t="str">
        <f aca="false">助手报销!$C108</f>
        <v/>
      </c>
      <c r="D1392" s="81" t="s">
        <v>491</v>
      </c>
      <c r="E1392" s="48" t="str">
        <f aca="false">参数!$B$8</f>
        <v>其他应付款</v>
      </c>
      <c r="F1392" s="48" t="str">
        <f aca="false">""</f>
        <v/>
      </c>
      <c r="G1392" s="49" t="n">
        <f aca="false">-ROUND(SUMIFS(输入报销!$G:$G,输入报销!$A:$A,$A1392,输入报销!$H:$H,参数!$B$8),2)</f>
        <v>-0</v>
      </c>
      <c r="H1392" s="49" t="str">
        <f aca="false">IF(ROUND($G1392,2)&gt;0,ROUND($G1392,2),"")</f>
        <v/>
      </c>
      <c r="I1392" s="49" t="str">
        <f aca="false">IF(ROUND($G1392,2)&lt;0,-ROUND($G1392,2),"")</f>
        <v/>
      </c>
      <c r="J1392" s="20" t="n">
        <f aca="false">IF(ROUND($G1392,2)=0,0,1)</f>
        <v>0</v>
      </c>
      <c r="K1392" s="20" t="str">
        <f aca="false">IF($J1392=0,"",SUM($J$1380:$J1392))</f>
        <v/>
      </c>
      <c r="L1392" s="20" t="str">
        <f aca="false">IF($K1392="","",$A1392*100+$K1392)</f>
        <v/>
      </c>
      <c r="M1392" s="48" t="str">
        <f aca="false">""</f>
        <v/>
      </c>
    </row>
    <row r="1393" customFormat="false" ht="13.5" hidden="false" customHeight="false" outlineLevel="0" collapsed="false">
      <c r="A1393" s="47" t="n">
        <v>108</v>
      </c>
      <c r="C1393" s="48" t="str">
        <f aca="false">助手报销!$C109</f>
        <v/>
      </c>
      <c r="D1393" s="81" t="s">
        <v>479</v>
      </c>
      <c r="E1393" s="48" t="str">
        <f aca="false">IFERROR(INDEX(输入报销!$E:$E,MATCH($A1393&amp;"-1",输入报销!$J:$J,0))&amp;"","")</f>
        <v/>
      </c>
      <c r="F1393" s="48" t="str">
        <f aca="false">IFERROR(INDEX(输入报销!$F:$F,MATCH($A1393&amp;"-1",输入报销!$J:$J,0))&amp;"","")</f>
        <v/>
      </c>
      <c r="G1393" s="49" t="n">
        <f aca="false">IFERROR(ROUND(INDEX(输入报销!$G:$G,MATCH($A1393&amp;"-1",输入报销!$J:$J,0)),2),0)</f>
        <v>0</v>
      </c>
      <c r="H1393" s="49" t="str">
        <f aca="false">IF(ROUND($G1393,2)&gt;0,ROUND($G1393,2),"")</f>
        <v/>
      </c>
      <c r="I1393" s="49" t="str">
        <f aca="false">IF(ROUND($G1393,2)&lt;0,-ROUND($G1393,2),"")</f>
        <v/>
      </c>
      <c r="J1393" s="20" t="n">
        <f aca="false">IF(ROUND($G1393,2)=0,0,1)</f>
        <v>0</v>
      </c>
      <c r="K1393" s="20" t="str">
        <f aca="false">IF($J1393=0,"",SUM($J$1393:$J1393))</f>
        <v/>
      </c>
      <c r="L1393" s="20" t="str">
        <f aca="false">IF($K1393="","",$A1393*100+$K1393)</f>
        <v/>
      </c>
      <c r="M1393" s="48" t="str">
        <f aca="false">IFERROR(INDEX(输入报销!$D:$D,MATCH($A1393&amp;"-1",输入报销!$J:$J,0))&amp;"","")</f>
        <v/>
      </c>
    </row>
    <row r="1394" customFormat="false" ht="13.5" hidden="false" customHeight="false" outlineLevel="0" collapsed="false">
      <c r="A1394" s="47" t="n">
        <v>108</v>
      </c>
      <c r="C1394" s="48" t="str">
        <f aca="false">助手报销!$C109</f>
        <v/>
      </c>
      <c r="D1394" s="81" t="s">
        <v>480</v>
      </c>
      <c r="E1394" s="48" t="str">
        <f aca="false">IFERROR(INDEX(输入报销!$E:$E,MATCH($A1394&amp;"-2",输入报销!$J:$J,0))&amp;"","")</f>
        <v/>
      </c>
      <c r="F1394" s="48" t="str">
        <f aca="false">IFERROR(INDEX(输入报销!$F:$F,MATCH($A1394&amp;"-2",输入报销!$J:$J,0))&amp;"","")</f>
        <v/>
      </c>
      <c r="G1394" s="49" t="n">
        <f aca="false">IFERROR(ROUND(INDEX(输入报销!$G:$G,MATCH($A1394&amp;"-2",输入报销!$J:$J,0)),2),0)</f>
        <v>0</v>
      </c>
      <c r="H1394" s="49" t="str">
        <f aca="false">IF(ROUND($G1394,2)&gt;0,ROUND($G1394,2),"")</f>
        <v/>
      </c>
      <c r="I1394" s="49" t="str">
        <f aca="false">IF(ROUND($G1394,2)&lt;0,-ROUND($G1394,2),"")</f>
        <v/>
      </c>
      <c r="J1394" s="20" t="n">
        <f aca="false">IF(ROUND($G1394,2)=0,0,1)</f>
        <v>0</v>
      </c>
      <c r="K1394" s="20" t="str">
        <f aca="false">IF($J1394=0,"",SUM($J$1393:$J1394))</f>
        <v/>
      </c>
      <c r="L1394" s="20" t="str">
        <f aca="false">IF($K1394="","",$A1394*100+$K1394)</f>
        <v/>
      </c>
      <c r="M1394" s="48" t="str">
        <f aca="false">IFERROR(INDEX(输入报销!$D:$D,MATCH($A1394&amp;"-2",输入报销!$J:$J,0))&amp;"","")</f>
        <v/>
      </c>
    </row>
    <row r="1395" customFormat="false" ht="13.5" hidden="false" customHeight="false" outlineLevel="0" collapsed="false">
      <c r="A1395" s="47" t="n">
        <v>108</v>
      </c>
      <c r="C1395" s="48" t="str">
        <f aca="false">助手报销!$C109</f>
        <v/>
      </c>
      <c r="D1395" s="81" t="s">
        <v>481</v>
      </c>
      <c r="E1395" s="48" t="str">
        <f aca="false">IFERROR(INDEX(输入报销!$E:$E,MATCH($A1395&amp;"-3",输入报销!$J:$J,0))&amp;"","")</f>
        <v/>
      </c>
      <c r="F1395" s="48" t="str">
        <f aca="false">IFERROR(INDEX(输入报销!$F:$F,MATCH($A1395&amp;"-3",输入报销!$J:$J,0))&amp;"","")</f>
        <v/>
      </c>
      <c r="G1395" s="49" t="n">
        <f aca="false">IFERROR(ROUND(INDEX(输入报销!$G:$G,MATCH($A1395&amp;"-3",输入报销!$J:$J,0)),2),0)</f>
        <v>0</v>
      </c>
      <c r="H1395" s="49" t="str">
        <f aca="false">IF(ROUND($G1395,2)&gt;0,ROUND($G1395,2),"")</f>
        <v/>
      </c>
      <c r="I1395" s="49" t="str">
        <f aca="false">IF(ROUND($G1395,2)&lt;0,-ROUND($G1395,2),"")</f>
        <v/>
      </c>
      <c r="J1395" s="20" t="n">
        <f aca="false">IF(ROUND($G1395,2)=0,0,1)</f>
        <v>0</v>
      </c>
      <c r="K1395" s="20" t="str">
        <f aca="false">IF($J1395=0,"",SUM($J$1393:$J1395))</f>
        <v/>
      </c>
      <c r="L1395" s="20" t="str">
        <f aca="false">IF($K1395="","",$A1395*100+$K1395)</f>
        <v/>
      </c>
      <c r="M1395" s="48" t="str">
        <f aca="false">IFERROR(INDEX(输入报销!$D:$D,MATCH($A1395&amp;"-3",输入报销!$J:$J,0))&amp;"","")</f>
        <v/>
      </c>
    </row>
    <row r="1396" customFormat="false" ht="13.5" hidden="false" customHeight="false" outlineLevel="0" collapsed="false">
      <c r="A1396" s="47" t="n">
        <v>108</v>
      </c>
      <c r="C1396" s="48" t="str">
        <f aca="false">助手报销!$C109</f>
        <v/>
      </c>
      <c r="D1396" s="81" t="s">
        <v>482</v>
      </c>
      <c r="E1396" s="48" t="str">
        <f aca="false">IFERROR(INDEX(输入报销!$E:$E,MATCH($A1396&amp;"-4",输入报销!$J:$J,0))&amp;"","")</f>
        <v/>
      </c>
      <c r="F1396" s="48" t="str">
        <f aca="false">IFERROR(INDEX(输入报销!$F:$F,MATCH($A1396&amp;"-4",输入报销!$J:$J,0))&amp;"","")</f>
        <v/>
      </c>
      <c r="G1396" s="49" t="n">
        <f aca="false">IFERROR(ROUND(INDEX(输入报销!$G:$G,MATCH($A1396&amp;"-4",输入报销!$J:$J,0)),2),0)</f>
        <v>0</v>
      </c>
      <c r="H1396" s="49" t="str">
        <f aca="false">IF(ROUND($G1396,2)&gt;0,ROUND($G1396,2),"")</f>
        <v/>
      </c>
      <c r="I1396" s="49" t="str">
        <f aca="false">IF(ROUND($G1396,2)&lt;0,-ROUND($G1396,2),"")</f>
        <v/>
      </c>
      <c r="J1396" s="20" t="n">
        <f aca="false">IF(ROUND($G1396,2)=0,0,1)</f>
        <v>0</v>
      </c>
      <c r="K1396" s="20" t="str">
        <f aca="false">IF($J1396=0,"",SUM($J$1393:$J1396))</f>
        <v/>
      </c>
      <c r="L1396" s="20" t="str">
        <f aca="false">IF($K1396="","",$A1396*100+$K1396)</f>
        <v/>
      </c>
      <c r="M1396" s="48" t="str">
        <f aca="false">IFERROR(INDEX(输入报销!$D:$D,MATCH($A1396&amp;"-4",输入报销!$J:$J,0))&amp;"","")</f>
        <v/>
      </c>
    </row>
    <row r="1397" customFormat="false" ht="13.5" hidden="false" customHeight="false" outlineLevel="0" collapsed="false">
      <c r="A1397" s="47" t="n">
        <v>108</v>
      </c>
      <c r="C1397" s="48" t="str">
        <f aca="false">助手报销!$C109</f>
        <v/>
      </c>
      <c r="D1397" s="81" t="s">
        <v>483</v>
      </c>
      <c r="E1397" s="48" t="str">
        <f aca="false">IFERROR(INDEX(输入报销!$E:$E,MATCH($A1397&amp;"-5",输入报销!$J:$J,0))&amp;"","")</f>
        <v/>
      </c>
      <c r="F1397" s="48" t="str">
        <f aca="false">IFERROR(INDEX(输入报销!$F:$F,MATCH($A1397&amp;"-5",输入报销!$J:$J,0))&amp;"","")</f>
        <v/>
      </c>
      <c r="G1397" s="49" t="n">
        <f aca="false">IFERROR(ROUND(INDEX(输入报销!$G:$G,MATCH($A1397&amp;"-5",输入报销!$J:$J,0)),2),0)</f>
        <v>0</v>
      </c>
      <c r="H1397" s="49" t="str">
        <f aca="false">IF(ROUND($G1397,2)&gt;0,ROUND($G1397,2),"")</f>
        <v/>
      </c>
      <c r="I1397" s="49" t="str">
        <f aca="false">IF(ROUND($G1397,2)&lt;0,-ROUND($G1397,2),"")</f>
        <v/>
      </c>
      <c r="J1397" s="20" t="n">
        <f aca="false">IF(ROUND($G1397,2)=0,0,1)</f>
        <v>0</v>
      </c>
      <c r="K1397" s="20" t="str">
        <f aca="false">IF($J1397=0,"",SUM($J$1393:$J1397))</f>
        <v/>
      </c>
      <c r="L1397" s="20" t="str">
        <f aca="false">IF($K1397="","",$A1397*100+$K1397)</f>
        <v/>
      </c>
      <c r="M1397" s="48" t="str">
        <f aca="false">IFERROR(INDEX(输入报销!$D:$D,MATCH($A1397&amp;"-5",输入报销!$J:$J,0))&amp;"","")</f>
        <v/>
      </c>
    </row>
    <row r="1398" customFormat="false" ht="13.5" hidden="false" customHeight="false" outlineLevel="0" collapsed="false">
      <c r="A1398" s="47" t="n">
        <v>108</v>
      </c>
      <c r="C1398" s="48" t="str">
        <f aca="false">助手报销!$C109</f>
        <v/>
      </c>
      <c r="D1398" s="81" t="s">
        <v>484</v>
      </c>
      <c r="E1398" s="48" t="str">
        <f aca="false">IFERROR(INDEX(输入报销!$E:$E,MATCH($A1398&amp;"-6",输入报销!$J:$J,0))&amp;"","")</f>
        <v/>
      </c>
      <c r="F1398" s="48" t="str">
        <f aca="false">IFERROR(INDEX(输入报销!$F:$F,MATCH($A1398&amp;"-6",输入报销!$J:$J,0))&amp;"","")</f>
        <v/>
      </c>
      <c r="G1398" s="49" t="n">
        <f aca="false">IFERROR(ROUND(INDEX(输入报销!$G:$G,MATCH($A1398&amp;"-6",输入报销!$J:$J,0)),2),0)</f>
        <v>0</v>
      </c>
      <c r="H1398" s="49" t="str">
        <f aca="false">IF(ROUND($G1398,2)&gt;0,ROUND($G1398,2),"")</f>
        <v/>
      </c>
      <c r="I1398" s="49" t="str">
        <f aca="false">IF(ROUND($G1398,2)&lt;0,-ROUND($G1398,2),"")</f>
        <v/>
      </c>
      <c r="J1398" s="20" t="n">
        <f aca="false">IF(ROUND($G1398,2)=0,0,1)</f>
        <v>0</v>
      </c>
      <c r="K1398" s="20" t="str">
        <f aca="false">IF($J1398=0,"",SUM($J$1393:$J1398))</f>
        <v/>
      </c>
      <c r="L1398" s="20" t="str">
        <f aca="false">IF($K1398="","",$A1398*100+$K1398)</f>
        <v/>
      </c>
      <c r="M1398" s="48" t="str">
        <f aca="false">IFERROR(INDEX(输入报销!$D:$D,MATCH($A1398&amp;"-6",输入报销!$J:$J,0))&amp;"","")</f>
        <v/>
      </c>
    </row>
    <row r="1399" customFormat="false" ht="13.5" hidden="false" customHeight="false" outlineLevel="0" collapsed="false">
      <c r="A1399" s="47" t="n">
        <v>108</v>
      </c>
      <c r="C1399" s="48" t="str">
        <f aca="false">助手报销!$C109</f>
        <v/>
      </c>
      <c r="D1399" s="81" t="s">
        <v>485</v>
      </c>
      <c r="E1399" s="48" t="str">
        <f aca="false">IFERROR(INDEX(输入报销!$E:$E,MATCH($A1399&amp;"-7",输入报销!$J:$J,0))&amp;"","")</f>
        <v/>
      </c>
      <c r="F1399" s="48" t="str">
        <f aca="false">IFERROR(INDEX(输入报销!$F:$F,MATCH($A1399&amp;"-7",输入报销!$J:$J,0))&amp;"","")</f>
        <v/>
      </c>
      <c r="G1399" s="49" t="n">
        <f aca="false">IFERROR(ROUND(INDEX(输入报销!$G:$G,MATCH($A1399&amp;"-7",输入报销!$J:$J,0)),2),0)</f>
        <v>0</v>
      </c>
      <c r="H1399" s="49" t="str">
        <f aca="false">IF(ROUND($G1399,2)&gt;0,ROUND($G1399,2),"")</f>
        <v/>
      </c>
      <c r="I1399" s="49" t="str">
        <f aca="false">IF(ROUND($G1399,2)&lt;0,-ROUND($G1399,2),"")</f>
        <v/>
      </c>
      <c r="J1399" s="20" t="n">
        <f aca="false">IF(ROUND($G1399,2)=0,0,1)</f>
        <v>0</v>
      </c>
      <c r="K1399" s="20" t="str">
        <f aca="false">IF($J1399=0,"",SUM($J$1393:$J1399))</f>
        <v/>
      </c>
      <c r="L1399" s="20" t="str">
        <f aca="false">IF($K1399="","",$A1399*100+$K1399)</f>
        <v/>
      </c>
      <c r="M1399" s="48" t="str">
        <f aca="false">IFERROR(INDEX(输入报销!$D:$D,MATCH($A1399&amp;"-7",输入报销!$J:$J,0))&amp;"","")</f>
        <v/>
      </c>
    </row>
    <row r="1400" customFormat="false" ht="13.5" hidden="false" customHeight="false" outlineLevel="0" collapsed="false">
      <c r="A1400" s="47" t="n">
        <v>108</v>
      </c>
      <c r="C1400" s="48" t="str">
        <f aca="false">助手报销!$C109</f>
        <v/>
      </c>
      <c r="D1400" s="81" t="s">
        <v>486</v>
      </c>
      <c r="E1400" s="48" t="str">
        <f aca="false">IFERROR(INDEX(输入报销!$E:$E,MATCH($A1400&amp;"-8",输入报销!$J:$J,0))&amp;"","")</f>
        <v/>
      </c>
      <c r="F1400" s="48" t="str">
        <f aca="false">IFERROR(INDEX(输入报销!$F:$F,MATCH($A1400&amp;"-8",输入报销!$J:$J,0))&amp;"","")</f>
        <v/>
      </c>
      <c r="G1400" s="49" t="n">
        <f aca="false">IFERROR(ROUND(INDEX(输入报销!$G:$G,MATCH($A1400&amp;"-8",输入报销!$J:$J,0)),2),0)</f>
        <v>0</v>
      </c>
      <c r="H1400" s="49" t="str">
        <f aca="false">IF(ROUND($G1400,2)&gt;0,ROUND($G1400,2),"")</f>
        <v/>
      </c>
      <c r="I1400" s="49" t="str">
        <f aca="false">IF(ROUND($G1400,2)&lt;0,-ROUND($G1400,2),"")</f>
        <v/>
      </c>
      <c r="J1400" s="20" t="n">
        <f aca="false">IF(ROUND($G1400,2)=0,0,1)</f>
        <v>0</v>
      </c>
      <c r="K1400" s="20" t="str">
        <f aca="false">IF($J1400=0,"",SUM($J$1393:$J1400))</f>
        <v/>
      </c>
      <c r="L1400" s="20" t="str">
        <f aca="false">IF($K1400="","",$A1400*100+$K1400)</f>
        <v/>
      </c>
      <c r="M1400" s="48" t="str">
        <f aca="false">IFERROR(INDEX(输入报销!$D:$D,MATCH($A1400&amp;"-8",输入报销!$J:$J,0))&amp;"","")</f>
        <v/>
      </c>
    </row>
    <row r="1401" customFormat="false" ht="13.5" hidden="false" customHeight="false" outlineLevel="0" collapsed="false">
      <c r="A1401" s="47" t="n">
        <v>108</v>
      </c>
      <c r="C1401" s="48" t="str">
        <f aca="false">助手报销!$C109</f>
        <v/>
      </c>
      <c r="D1401" s="81" t="s">
        <v>487</v>
      </c>
      <c r="E1401" s="48" t="str">
        <f aca="false">IFERROR(INDEX(输入报销!$E:$E,MATCH($A1401&amp;"-9",输入报销!$J:$J,0))&amp;"","")</f>
        <v/>
      </c>
      <c r="F1401" s="48" t="str">
        <f aca="false">IFERROR(INDEX(输入报销!$F:$F,MATCH($A1401&amp;"-9",输入报销!$J:$J,0))&amp;"","")</f>
        <v/>
      </c>
      <c r="G1401" s="49" t="n">
        <f aca="false">IFERROR(ROUND(INDEX(输入报销!$G:$G,MATCH($A1401&amp;"-9",输入报销!$J:$J,0)),2),0)</f>
        <v>0</v>
      </c>
      <c r="H1401" s="49" t="str">
        <f aca="false">IF(ROUND($G1401,2)&gt;0,ROUND($G1401,2),"")</f>
        <v/>
      </c>
      <c r="I1401" s="49" t="str">
        <f aca="false">IF(ROUND($G1401,2)&lt;0,-ROUND($G1401,2),"")</f>
        <v/>
      </c>
      <c r="J1401" s="20" t="n">
        <f aca="false">IF(ROUND($G1401,2)=0,0,1)</f>
        <v>0</v>
      </c>
      <c r="K1401" s="20" t="str">
        <f aca="false">IF($J1401=0,"",SUM($J$1393:$J1401))</f>
        <v/>
      </c>
      <c r="L1401" s="20" t="str">
        <f aca="false">IF($K1401="","",$A1401*100+$K1401)</f>
        <v/>
      </c>
      <c r="M1401" s="48" t="str">
        <f aca="false">IFERROR(INDEX(输入报销!$D:$D,MATCH($A1401&amp;"-9",输入报销!$J:$J,0))&amp;"","")</f>
        <v/>
      </c>
    </row>
    <row r="1402" customFormat="false" ht="13.5" hidden="false" customHeight="false" outlineLevel="0" collapsed="false">
      <c r="A1402" s="47" t="n">
        <v>108</v>
      </c>
      <c r="C1402" s="48" t="str">
        <f aca="false">助手报销!$C109</f>
        <v/>
      </c>
      <c r="D1402" s="81" t="s">
        <v>488</v>
      </c>
      <c r="E1402" s="48" t="str">
        <f aca="false">IFERROR(INDEX(输入报销!$E:$E,MATCH($A1402&amp;"-10",输入报销!$J:$J,0))&amp;"","")</f>
        <v/>
      </c>
      <c r="F1402" s="48" t="str">
        <f aca="false">IFERROR(INDEX(输入报销!$F:$F,MATCH($A1402&amp;"-10",输入报销!$J:$J,0))&amp;"","")</f>
        <v/>
      </c>
      <c r="G1402" s="49" t="n">
        <f aca="false">IFERROR(ROUND(INDEX(输入报销!$G:$G,MATCH($A1402&amp;"-10",输入报销!$J:$J,0)),2),0)</f>
        <v>0</v>
      </c>
      <c r="H1402" s="49" t="str">
        <f aca="false">IF(ROUND($G1402,2)&gt;0,ROUND($G1402,2),"")</f>
        <v/>
      </c>
      <c r="I1402" s="49" t="str">
        <f aca="false">IF(ROUND($G1402,2)&lt;0,-ROUND($G1402,2),"")</f>
        <v/>
      </c>
      <c r="J1402" s="20" t="n">
        <f aca="false">IF(ROUND($G1402,2)=0,0,1)</f>
        <v>0</v>
      </c>
      <c r="K1402" s="20" t="str">
        <f aca="false">IF($J1402=0,"",SUM($J$1393:$J1402))</f>
        <v/>
      </c>
      <c r="L1402" s="20" t="str">
        <f aca="false">IF($K1402="","",$A1402*100+$K1402)</f>
        <v/>
      </c>
      <c r="M1402" s="48" t="str">
        <f aca="false">IFERROR(INDEX(输入报销!$D:$D,MATCH($A1402&amp;"-10",输入报销!$J:$J,0))&amp;"","")</f>
        <v/>
      </c>
    </row>
    <row r="1403" customFormat="false" ht="13.5" hidden="false" customHeight="false" outlineLevel="0" collapsed="false">
      <c r="A1403" s="47" t="n">
        <v>108</v>
      </c>
      <c r="C1403" s="48" t="str">
        <f aca="false">助手报销!$C109</f>
        <v/>
      </c>
      <c r="D1403" s="81" t="s">
        <v>489</v>
      </c>
      <c r="E1403" s="48" t="str">
        <f aca="false">参数!$B$6</f>
        <v>库存现金</v>
      </c>
      <c r="F1403" s="48" t="str">
        <f aca="false">""</f>
        <v/>
      </c>
      <c r="G1403" s="49" t="n">
        <f aca="false">-ROUND(SUMIFS(输入报销!$G:$G,输入报销!$A:$A,$A1403,输入报销!$H:$H,参数!$B$6),2)</f>
        <v>-0</v>
      </c>
      <c r="H1403" s="49" t="str">
        <f aca="false">IF(ROUND($G1403,2)&gt;0,ROUND($G1403,2),"")</f>
        <v/>
      </c>
      <c r="I1403" s="49" t="str">
        <f aca="false">IF(ROUND($G1403,2)&lt;0,-ROUND($G1403,2),"")</f>
        <v/>
      </c>
      <c r="J1403" s="20" t="n">
        <f aca="false">IF(ROUND($G1403,2)=0,0,1)</f>
        <v>0</v>
      </c>
      <c r="K1403" s="20" t="str">
        <f aca="false">IF($J1403=0,"",SUM($J$1393:$J1403))</f>
        <v/>
      </c>
      <c r="L1403" s="20" t="str">
        <f aca="false">IF($K1403="","",$A1403*100+$K1403)</f>
        <v/>
      </c>
      <c r="M1403" s="48" t="str">
        <f aca="false">""</f>
        <v/>
      </c>
    </row>
    <row r="1404" customFormat="false" ht="13.5" hidden="false" customHeight="false" outlineLevel="0" collapsed="false">
      <c r="A1404" s="47" t="n">
        <v>108</v>
      </c>
      <c r="C1404" s="48" t="str">
        <f aca="false">助手报销!$C109</f>
        <v/>
      </c>
      <c r="D1404" s="81" t="s">
        <v>490</v>
      </c>
      <c r="E1404" s="48" t="str">
        <f aca="false">参数!$B$7</f>
        <v>银行存款</v>
      </c>
      <c r="F1404" s="48" t="str">
        <f aca="false">""</f>
        <v/>
      </c>
      <c r="G1404" s="49" t="n">
        <f aca="false">-ROUND(SUMIFS(输入报销!$G:$G,输入报销!$A:$A,$A1404,输入报销!$H:$H,参数!$B$7),2)</f>
        <v>-0</v>
      </c>
      <c r="H1404" s="49" t="str">
        <f aca="false">IF(ROUND($G1404,2)&gt;0,ROUND($G1404,2),"")</f>
        <v/>
      </c>
      <c r="I1404" s="49" t="str">
        <f aca="false">IF(ROUND($G1404,2)&lt;0,-ROUND($G1404,2),"")</f>
        <v/>
      </c>
      <c r="J1404" s="20" t="n">
        <f aca="false">IF(ROUND($G1404,2)=0,0,1)</f>
        <v>0</v>
      </c>
      <c r="K1404" s="20" t="str">
        <f aca="false">IF($J1404=0,"",SUM($J$1393:$J1404))</f>
        <v/>
      </c>
      <c r="L1404" s="20" t="str">
        <f aca="false">IF($K1404="","",$A1404*100+$K1404)</f>
        <v/>
      </c>
      <c r="M1404" s="48" t="str">
        <f aca="false">""</f>
        <v/>
      </c>
    </row>
    <row r="1405" customFormat="false" ht="13.5" hidden="false" customHeight="false" outlineLevel="0" collapsed="false">
      <c r="A1405" s="47" t="n">
        <v>108</v>
      </c>
      <c r="C1405" s="48" t="str">
        <f aca="false">助手报销!$C109</f>
        <v/>
      </c>
      <c r="D1405" s="81" t="s">
        <v>491</v>
      </c>
      <c r="E1405" s="48" t="str">
        <f aca="false">参数!$B$8</f>
        <v>其他应付款</v>
      </c>
      <c r="F1405" s="48" t="str">
        <f aca="false">""</f>
        <v/>
      </c>
      <c r="G1405" s="49" t="n">
        <f aca="false">-ROUND(SUMIFS(输入报销!$G:$G,输入报销!$A:$A,$A1405,输入报销!$H:$H,参数!$B$8),2)</f>
        <v>-0</v>
      </c>
      <c r="H1405" s="49" t="str">
        <f aca="false">IF(ROUND($G1405,2)&gt;0,ROUND($G1405,2),"")</f>
        <v/>
      </c>
      <c r="I1405" s="49" t="str">
        <f aca="false">IF(ROUND($G1405,2)&lt;0,-ROUND($G1405,2),"")</f>
        <v/>
      </c>
      <c r="J1405" s="20" t="n">
        <f aca="false">IF(ROUND($G1405,2)=0,0,1)</f>
        <v>0</v>
      </c>
      <c r="K1405" s="20" t="str">
        <f aca="false">IF($J1405=0,"",SUM($J$1393:$J1405))</f>
        <v/>
      </c>
      <c r="L1405" s="20" t="str">
        <f aca="false">IF($K1405="","",$A1405*100+$K1405)</f>
        <v/>
      </c>
      <c r="M1405" s="48" t="str">
        <f aca="false">""</f>
        <v/>
      </c>
    </row>
    <row r="1406" customFormat="false" ht="13.5" hidden="false" customHeight="false" outlineLevel="0" collapsed="false">
      <c r="A1406" s="47" t="n">
        <v>109</v>
      </c>
      <c r="C1406" s="48" t="str">
        <f aca="false">助手报销!$C110</f>
        <v/>
      </c>
      <c r="D1406" s="81" t="s">
        <v>479</v>
      </c>
      <c r="E1406" s="48" t="str">
        <f aca="false">IFERROR(INDEX(输入报销!$E:$E,MATCH($A1406&amp;"-1",输入报销!$J:$J,0))&amp;"","")</f>
        <v/>
      </c>
      <c r="F1406" s="48" t="str">
        <f aca="false">IFERROR(INDEX(输入报销!$F:$F,MATCH($A1406&amp;"-1",输入报销!$J:$J,0))&amp;"","")</f>
        <v/>
      </c>
      <c r="G1406" s="49" t="n">
        <f aca="false">IFERROR(ROUND(INDEX(输入报销!$G:$G,MATCH($A1406&amp;"-1",输入报销!$J:$J,0)),2),0)</f>
        <v>0</v>
      </c>
      <c r="H1406" s="49" t="str">
        <f aca="false">IF(ROUND($G1406,2)&gt;0,ROUND($G1406,2),"")</f>
        <v/>
      </c>
      <c r="I1406" s="49" t="str">
        <f aca="false">IF(ROUND($G1406,2)&lt;0,-ROUND($G1406,2),"")</f>
        <v/>
      </c>
      <c r="J1406" s="20" t="n">
        <f aca="false">IF(ROUND($G1406,2)=0,0,1)</f>
        <v>0</v>
      </c>
      <c r="K1406" s="20" t="str">
        <f aca="false">IF($J1406=0,"",SUM($J$1406:$J1406))</f>
        <v/>
      </c>
      <c r="L1406" s="20" t="str">
        <f aca="false">IF($K1406="","",$A1406*100+$K1406)</f>
        <v/>
      </c>
      <c r="M1406" s="48" t="str">
        <f aca="false">IFERROR(INDEX(输入报销!$D:$D,MATCH($A1406&amp;"-1",输入报销!$J:$J,0))&amp;"","")</f>
        <v/>
      </c>
    </row>
    <row r="1407" customFormat="false" ht="13.5" hidden="false" customHeight="false" outlineLevel="0" collapsed="false">
      <c r="A1407" s="47" t="n">
        <v>109</v>
      </c>
      <c r="C1407" s="48" t="str">
        <f aca="false">助手报销!$C110</f>
        <v/>
      </c>
      <c r="D1407" s="81" t="s">
        <v>480</v>
      </c>
      <c r="E1407" s="48" t="str">
        <f aca="false">IFERROR(INDEX(输入报销!$E:$E,MATCH($A1407&amp;"-2",输入报销!$J:$J,0))&amp;"","")</f>
        <v/>
      </c>
      <c r="F1407" s="48" t="str">
        <f aca="false">IFERROR(INDEX(输入报销!$F:$F,MATCH($A1407&amp;"-2",输入报销!$J:$J,0))&amp;"","")</f>
        <v/>
      </c>
      <c r="G1407" s="49" t="n">
        <f aca="false">IFERROR(ROUND(INDEX(输入报销!$G:$G,MATCH($A1407&amp;"-2",输入报销!$J:$J,0)),2),0)</f>
        <v>0</v>
      </c>
      <c r="H1407" s="49" t="str">
        <f aca="false">IF(ROUND($G1407,2)&gt;0,ROUND($G1407,2),"")</f>
        <v/>
      </c>
      <c r="I1407" s="49" t="str">
        <f aca="false">IF(ROUND($G1407,2)&lt;0,-ROUND($G1407,2),"")</f>
        <v/>
      </c>
      <c r="J1407" s="20" t="n">
        <f aca="false">IF(ROUND($G1407,2)=0,0,1)</f>
        <v>0</v>
      </c>
      <c r="K1407" s="20" t="str">
        <f aca="false">IF($J1407=0,"",SUM($J$1406:$J1407))</f>
        <v/>
      </c>
      <c r="L1407" s="20" t="str">
        <f aca="false">IF($K1407="","",$A1407*100+$K1407)</f>
        <v/>
      </c>
      <c r="M1407" s="48" t="str">
        <f aca="false">IFERROR(INDEX(输入报销!$D:$D,MATCH($A1407&amp;"-2",输入报销!$J:$J,0))&amp;"","")</f>
        <v/>
      </c>
    </row>
    <row r="1408" customFormat="false" ht="13.5" hidden="false" customHeight="false" outlineLevel="0" collapsed="false">
      <c r="A1408" s="47" t="n">
        <v>109</v>
      </c>
      <c r="C1408" s="48" t="str">
        <f aca="false">助手报销!$C110</f>
        <v/>
      </c>
      <c r="D1408" s="81" t="s">
        <v>481</v>
      </c>
      <c r="E1408" s="48" t="str">
        <f aca="false">IFERROR(INDEX(输入报销!$E:$E,MATCH($A1408&amp;"-3",输入报销!$J:$J,0))&amp;"","")</f>
        <v/>
      </c>
      <c r="F1408" s="48" t="str">
        <f aca="false">IFERROR(INDEX(输入报销!$F:$F,MATCH($A1408&amp;"-3",输入报销!$J:$J,0))&amp;"","")</f>
        <v/>
      </c>
      <c r="G1408" s="49" t="n">
        <f aca="false">IFERROR(ROUND(INDEX(输入报销!$G:$G,MATCH($A1408&amp;"-3",输入报销!$J:$J,0)),2),0)</f>
        <v>0</v>
      </c>
      <c r="H1408" s="49" t="str">
        <f aca="false">IF(ROUND($G1408,2)&gt;0,ROUND($G1408,2),"")</f>
        <v/>
      </c>
      <c r="I1408" s="49" t="str">
        <f aca="false">IF(ROUND($G1408,2)&lt;0,-ROUND($G1408,2),"")</f>
        <v/>
      </c>
      <c r="J1408" s="20" t="n">
        <f aca="false">IF(ROUND($G1408,2)=0,0,1)</f>
        <v>0</v>
      </c>
      <c r="K1408" s="20" t="str">
        <f aca="false">IF($J1408=0,"",SUM($J$1406:$J1408))</f>
        <v/>
      </c>
      <c r="L1408" s="20" t="str">
        <f aca="false">IF($K1408="","",$A1408*100+$K1408)</f>
        <v/>
      </c>
      <c r="M1408" s="48" t="str">
        <f aca="false">IFERROR(INDEX(输入报销!$D:$D,MATCH($A1408&amp;"-3",输入报销!$J:$J,0))&amp;"","")</f>
        <v/>
      </c>
    </row>
    <row r="1409" customFormat="false" ht="13.5" hidden="false" customHeight="false" outlineLevel="0" collapsed="false">
      <c r="A1409" s="47" t="n">
        <v>109</v>
      </c>
      <c r="C1409" s="48" t="str">
        <f aca="false">助手报销!$C110</f>
        <v/>
      </c>
      <c r="D1409" s="81" t="s">
        <v>482</v>
      </c>
      <c r="E1409" s="48" t="str">
        <f aca="false">IFERROR(INDEX(输入报销!$E:$E,MATCH($A1409&amp;"-4",输入报销!$J:$J,0))&amp;"","")</f>
        <v/>
      </c>
      <c r="F1409" s="48" t="str">
        <f aca="false">IFERROR(INDEX(输入报销!$F:$F,MATCH($A1409&amp;"-4",输入报销!$J:$J,0))&amp;"","")</f>
        <v/>
      </c>
      <c r="G1409" s="49" t="n">
        <f aca="false">IFERROR(ROUND(INDEX(输入报销!$G:$G,MATCH($A1409&amp;"-4",输入报销!$J:$J,0)),2),0)</f>
        <v>0</v>
      </c>
      <c r="H1409" s="49" t="str">
        <f aca="false">IF(ROUND($G1409,2)&gt;0,ROUND($G1409,2),"")</f>
        <v/>
      </c>
      <c r="I1409" s="49" t="str">
        <f aca="false">IF(ROUND($G1409,2)&lt;0,-ROUND($G1409,2),"")</f>
        <v/>
      </c>
      <c r="J1409" s="20" t="n">
        <f aca="false">IF(ROUND($G1409,2)=0,0,1)</f>
        <v>0</v>
      </c>
      <c r="K1409" s="20" t="str">
        <f aca="false">IF($J1409=0,"",SUM($J$1406:$J1409))</f>
        <v/>
      </c>
      <c r="L1409" s="20" t="str">
        <f aca="false">IF($K1409="","",$A1409*100+$K1409)</f>
        <v/>
      </c>
      <c r="M1409" s="48" t="str">
        <f aca="false">IFERROR(INDEX(输入报销!$D:$D,MATCH($A1409&amp;"-4",输入报销!$J:$J,0))&amp;"","")</f>
        <v/>
      </c>
    </row>
    <row r="1410" customFormat="false" ht="13.5" hidden="false" customHeight="false" outlineLevel="0" collapsed="false">
      <c r="A1410" s="47" t="n">
        <v>109</v>
      </c>
      <c r="C1410" s="48" t="str">
        <f aca="false">助手报销!$C110</f>
        <v/>
      </c>
      <c r="D1410" s="81" t="s">
        <v>483</v>
      </c>
      <c r="E1410" s="48" t="str">
        <f aca="false">IFERROR(INDEX(输入报销!$E:$E,MATCH($A1410&amp;"-5",输入报销!$J:$J,0))&amp;"","")</f>
        <v/>
      </c>
      <c r="F1410" s="48" t="str">
        <f aca="false">IFERROR(INDEX(输入报销!$F:$F,MATCH($A1410&amp;"-5",输入报销!$J:$J,0))&amp;"","")</f>
        <v/>
      </c>
      <c r="G1410" s="49" t="n">
        <f aca="false">IFERROR(ROUND(INDEX(输入报销!$G:$G,MATCH($A1410&amp;"-5",输入报销!$J:$J,0)),2),0)</f>
        <v>0</v>
      </c>
      <c r="H1410" s="49" t="str">
        <f aca="false">IF(ROUND($G1410,2)&gt;0,ROUND($G1410,2),"")</f>
        <v/>
      </c>
      <c r="I1410" s="49" t="str">
        <f aca="false">IF(ROUND($G1410,2)&lt;0,-ROUND($G1410,2),"")</f>
        <v/>
      </c>
      <c r="J1410" s="20" t="n">
        <f aca="false">IF(ROUND($G1410,2)=0,0,1)</f>
        <v>0</v>
      </c>
      <c r="K1410" s="20" t="str">
        <f aca="false">IF($J1410=0,"",SUM($J$1406:$J1410))</f>
        <v/>
      </c>
      <c r="L1410" s="20" t="str">
        <f aca="false">IF($K1410="","",$A1410*100+$K1410)</f>
        <v/>
      </c>
      <c r="M1410" s="48" t="str">
        <f aca="false">IFERROR(INDEX(输入报销!$D:$D,MATCH($A1410&amp;"-5",输入报销!$J:$J,0))&amp;"","")</f>
        <v/>
      </c>
    </row>
    <row r="1411" customFormat="false" ht="13.5" hidden="false" customHeight="false" outlineLevel="0" collapsed="false">
      <c r="A1411" s="47" t="n">
        <v>109</v>
      </c>
      <c r="C1411" s="48" t="str">
        <f aca="false">助手报销!$C110</f>
        <v/>
      </c>
      <c r="D1411" s="81" t="s">
        <v>484</v>
      </c>
      <c r="E1411" s="48" t="str">
        <f aca="false">IFERROR(INDEX(输入报销!$E:$E,MATCH($A1411&amp;"-6",输入报销!$J:$J,0))&amp;"","")</f>
        <v/>
      </c>
      <c r="F1411" s="48" t="str">
        <f aca="false">IFERROR(INDEX(输入报销!$F:$F,MATCH($A1411&amp;"-6",输入报销!$J:$J,0))&amp;"","")</f>
        <v/>
      </c>
      <c r="G1411" s="49" t="n">
        <f aca="false">IFERROR(ROUND(INDEX(输入报销!$G:$G,MATCH($A1411&amp;"-6",输入报销!$J:$J,0)),2),0)</f>
        <v>0</v>
      </c>
      <c r="H1411" s="49" t="str">
        <f aca="false">IF(ROUND($G1411,2)&gt;0,ROUND($G1411,2),"")</f>
        <v/>
      </c>
      <c r="I1411" s="49" t="str">
        <f aca="false">IF(ROUND($G1411,2)&lt;0,-ROUND($G1411,2),"")</f>
        <v/>
      </c>
      <c r="J1411" s="20" t="n">
        <f aca="false">IF(ROUND($G1411,2)=0,0,1)</f>
        <v>0</v>
      </c>
      <c r="K1411" s="20" t="str">
        <f aca="false">IF($J1411=0,"",SUM($J$1406:$J1411))</f>
        <v/>
      </c>
      <c r="L1411" s="20" t="str">
        <f aca="false">IF($K1411="","",$A1411*100+$K1411)</f>
        <v/>
      </c>
      <c r="M1411" s="48" t="str">
        <f aca="false">IFERROR(INDEX(输入报销!$D:$D,MATCH($A1411&amp;"-6",输入报销!$J:$J,0))&amp;"","")</f>
        <v/>
      </c>
    </row>
    <row r="1412" customFormat="false" ht="13.5" hidden="false" customHeight="false" outlineLevel="0" collapsed="false">
      <c r="A1412" s="47" t="n">
        <v>109</v>
      </c>
      <c r="C1412" s="48" t="str">
        <f aca="false">助手报销!$C110</f>
        <v/>
      </c>
      <c r="D1412" s="81" t="s">
        <v>485</v>
      </c>
      <c r="E1412" s="48" t="str">
        <f aca="false">IFERROR(INDEX(输入报销!$E:$E,MATCH($A1412&amp;"-7",输入报销!$J:$J,0))&amp;"","")</f>
        <v/>
      </c>
      <c r="F1412" s="48" t="str">
        <f aca="false">IFERROR(INDEX(输入报销!$F:$F,MATCH($A1412&amp;"-7",输入报销!$J:$J,0))&amp;"","")</f>
        <v/>
      </c>
      <c r="G1412" s="49" t="n">
        <f aca="false">IFERROR(ROUND(INDEX(输入报销!$G:$G,MATCH($A1412&amp;"-7",输入报销!$J:$J,0)),2),0)</f>
        <v>0</v>
      </c>
      <c r="H1412" s="49" t="str">
        <f aca="false">IF(ROUND($G1412,2)&gt;0,ROUND($G1412,2),"")</f>
        <v/>
      </c>
      <c r="I1412" s="49" t="str">
        <f aca="false">IF(ROUND($G1412,2)&lt;0,-ROUND($G1412,2),"")</f>
        <v/>
      </c>
      <c r="J1412" s="20" t="n">
        <f aca="false">IF(ROUND($G1412,2)=0,0,1)</f>
        <v>0</v>
      </c>
      <c r="K1412" s="20" t="str">
        <f aca="false">IF($J1412=0,"",SUM($J$1406:$J1412))</f>
        <v/>
      </c>
      <c r="L1412" s="20" t="str">
        <f aca="false">IF($K1412="","",$A1412*100+$K1412)</f>
        <v/>
      </c>
      <c r="M1412" s="48" t="str">
        <f aca="false">IFERROR(INDEX(输入报销!$D:$D,MATCH($A1412&amp;"-7",输入报销!$J:$J,0))&amp;"","")</f>
        <v/>
      </c>
    </row>
    <row r="1413" customFormat="false" ht="13.5" hidden="false" customHeight="false" outlineLevel="0" collapsed="false">
      <c r="A1413" s="47" t="n">
        <v>109</v>
      </c>
      <c r="C1413" s="48" t="str">
        <f aca="false">助手报销!$C110</f>
        <v/>
      </c>
      <c r="D1413" s="81" t="s">
        <v>486</v>
      </c>
      <c r="E1413" s="48" t="str">
        <f aca="false">IFERROR(INDEX(输入报销!$E:$E,MATCH($A1413&amp;"-8",输入报销!$J:$J,0))&amp;"","")</f>
        <v/>
      </c>
      <c r="F1413" s="48" t="str">
        <f aca="false">IFERROR(INDEX(输入报销!$F:$F,MATCH($A1413&amp;"-8",输入报销!$J:$J,0))&amp;"","")</f>
        <v/>
      </c>
      <c r="G1413" s="49" t="n">
        <f aca="false">IFERROR(ROUND(INDEX(输入报销!$G:$G,MATCH($A1413&amp;"-8",输入报销!$J:$J,0)),2),0)</f>
        <v>0</v>
      </c>
      <c r="H1413" s="49" t="str">
        <f aca="false">IF(ROUND($G1413,2)&gt;0,ROUND($G1413,2),"")</f>
        <v/>
      </c>
      <c r="I1413" s="49" t="str">
        <f aca="false">IF(ROUND($G1413,2)&lt;0,-ROUND($G1413,2),"")</f>
        <v/>
      </c>
      <c r="J1413" s="20" t="n">
        <f aca="false">IF(ROUND($G1413,2)=0,0,1)</f>
        <v>0</v>
      </c>
      <c r="K1413" s="20" t="str">
        <f aca="false">IF($J1413=0,"",SUM($J$1406:$J1413))</f>
        <v/>
      </c>
      <c r="L1413" s="20" t="str">
        <f aca="false">IF($K1413="","",$A1413*100+$K1413)</f>
        <v/>
      </c>
      <c r="M1413" s="48" t="str">
        <f aca="false">IFERROR(INDEX(输入报销!$D:$D,MATCH($A1413&amp;"-8",输入报销!$J:$J,0))&amp;"","")</f>
        <v/>
      </c>
    </row>
    <row r="1414" customFormat="false" ht="13.5" hidden="false" customHeight="false" outlineLevel="0" collapsed="false">
      <c r="A1414" s="47" t="n">
        <v>109</v>
      </c>
      <c r="C1414" s="48" t="str">
        <f aca="false">助手报销!$C110</f>
        <v/>
      </c>
      <c r="D1414" s="81" t="s">
        <v>487</v>
      </c>
      <c r="E1414" s="48" t="str">
        <f aca="false">IFERROR(INDEX(输入报销!$E:$E,MATCH($A1414&amp;"-9",输入报销!$J:$J,0))&amp;"","")</f>
        <v/>
      </c>
      <c r="F1414" s="48" t="str">
        <f aca="false">IFERROR(INDEX(输入报销!$F:$F,MATCH($A1414&amp;"-9",输入报销!$J:$J,0))&amp;"","")</f>
        <v/>
      </c>
      <c r="G1414" s="49" t="n">
        <f aca="false">IFERROR(ROUND(INDEX(输入报销!$G:$G,MATCH($A1414&amp;"-9",输入报销!$J:$J,0)),2),0)</f>
        <v>0</v>
      </c>
      <c r="H1414" s="49" t="str">
        <f aca="false">IF(ROUND($G1414,2)&gt;0,ROUND($G1414,2),"")</f>
        <v/>
      </c>
      <c r="I1414" s="49" t="str">
        <f aca="false">IF(ROUND($G1414,2)&lt;0,-ROUND($G1414,2),"")</f>
        <v/>
      </c>
      <c r="J1414" s="20" t="n">
        <f aca="false">IF(ROUND($G1414,2)=0,0,1)</f>
        <v>0</v>
      </c>
      <c r="K1414" s="20" t="str">
        <f aca="false">IF($J1414=0,"",SUM($J$1406:$J1414))</f>
        <v/>
      </c>
      <c r="L1414" s="20" t="str">
        <f aca="false">IF($K1414="","",$A1414*100+$K1414)</f>
        <v/>
      </c>
      <c r="M1414" s="48" t="str">
        <f aca="false">IFERROR(INDEX(输入报销!$D:$D,MATCH($A1414&amp;"-9",输入报销!$J:$J,0))&amp;"","")</f>
        <v/>
      </c>
    </row>
    <row r="1415" customFormat="false" ht="13.5" hidden="false" customHeight="false" outlineLevel="0" collapsed="false">
      <c r="A1415" s="47" t="n">
        <v>109</v>
      </c>
      <c r="C1415" s="48" t="str">
        <f aca="false">助手报销!$C110</f>
        <v/>
      </c>
      <c r="D1415" s="81" t="s">
        <v>488</v>
      </c>
      <c r="E1415" s="48" t="str">
        <f aca="false">IFERROR(INDEX(输入报销!$E:$E,MATCH($A1415&amp;"-10",输入报销!$J:$J,0))&amp;"","")</f>
        <v/>
      </c>
      <c r="F1415" s="48" t="str">
        <f aca="false">IFERROR(INDEX(输入报销!$F:$F,MATCH($A1415&amp;"-10",输入报销!$J:$J,0))&amp;"","")</f>
        <v/>
      </c>
      <c r="G1415" s="49" t="n">
        <f aca="false">IFERROR(ROUND(INDEX(输入报销!$G:$G,MATCH($A1415&amp;"-10",输入报销!$J:$J,0)),2),0)</f>
        <v>0</v>
      </c>
      <c r="H1415" s="49" t="str">
        <f aca="false">IF(ROUND($G1415,2)&gt;0,ROUND($G1415,2),"")</f>
        <v/>
      </c>
      <c r="I1415" s="49" t="str">
        <f aca="false">IF(ROUND($G1415,2)&lt;0,-ROUND($G1415,2),"")</f>
        <v/>
      </c>
      <c r="J1415" s="20" t="n">
        <f aca="false">IF(ROUND($G1415,2)=0,0,1)</f>
        <v>0</v>
      </c>
      <c r="K1415" s="20" t="str">
        <f aca="false">IF($J1415=0,"",SUM($J$1406:$J1415))</f>
        <v/>
      </c>
      <c r="L1415" s="20" t="str">
        <f aca="false">IF($K1415="","",$A1415*100+$K1415)</f>
        <v/>
      </c>
      <c r="M1415" s="48" t="str">
        <f aca="false">IFERROR(INDEX(输入报销!$D:$D,MATCH($A1415&amp;"-10",输入报销!$J:$J,0))&amp;"","")</f>
        <v/>
      </c>
    </row>
    <row r="1416" customFormat="false" ht="13.5" hidden="false" customHeight="false" outlineLevel="0" collapsed="false">
      <c r="A1416" s="47" t="n">
        <v>109</v>
      </c>
      <c r="C1416" s="48" t="str">
        <f aca="false">助手报销!$C110</f>
        <v/>
      </c>
      <c r="D1416" s="81" t="s">
        <v>489</v>
      </c>
      <c r="E1416" s="48" t="str">
        <f aca="false">参数!$B$6</f>
        <v>库存现金</v>
      </c>
      <c r="F1416" s="48" t="str">
        <f aca="false">""</f>
        <v/>
      </c>
      <c r="G1416" s="49" t="n">
        <f aca="false">-ROUND(SUMIFS(输入报销!$G:$G,输入报销!$A:$A,$A1416,输入报销!$H:$H,参数!$B$6),2)</f>
        <v>-0</v>
      </c>
      <c r="H1416" s="49" t="str">
        <f aca="false">IF(ROUND($G1416,2)&gt;0,ROUND($G1416,2),"")</f>
        <v/>
      </c>
      <c r="I1416" s="49" t="str">
        <f aca="false">IF(ROUND($G1416,2)&lt;0,-ROUND($G1416,2),"")</f>
        <v/>
      </c>
      <c r="J1416" s="20" t="n">
        <f aca="false">IF(ROUND($G1416,2)=0,0,1)</f>
        <v>0</v>
      </c>
      <c r="K1416" s="20" t="str">
        <f aca="false">IF($J1416=0,"",SUM($J$1406:$J1416))</f>
        <v/>
      </c>
      <c r="L1416" s="20" t="str">
        <f aca="false">IF($K1416="","",$A1416*100+$K1416)</f>
        <v/>
      </c>
      <c r="M1416" s="48" t="str">
        <f aca="false">""</f>
        <v/>
      </c>
    </row>
    <row r="1417" customFormat="false" ht="13.5" hidden="false" customHeight="false" outlineLevel="0" collapsed="false">
      <c r="A1417" s="47" t="n">
        <v>109</v>
      </c>
      <c r="C1417" s="48" t="str">
        <f aca="false">助手报销!$C110</f>
        <v/>
      </c>
      <c r="D1417" s="81" t="s">
        <v>490</v>
      </c>
      <c r="E1417" s="48" t="str">
        <f aca="false">参数!$B$7</f>
        <v>银行存款</v>
      </c>
      <c r="F1417" s="48" t="str">
        <f aca="false">""</f>
        <v/>
      </c>
      <c r="G1417" s="49" t="n">
        <f aca="false">-ROUND(SUMIFS(输入报销!$G:$G,输入报销!$A:$A,$A1417,输入报销!$H:$H,参数!$B$7),2)</f>
        <v>-0</v>
      </c>
      <c r="H1417" s="49" t="str">
        <f aca="false">IF(ROUND($G1417,2)&gt;0,ROUND($G1417,2),"")</f>
        <v/>
      </c>
      <c r="I1417" s="49" t="str">
        <f aca="false">IF(ROUND($G1417,2)&lt;0,-ROUND($G1417,2),"")</f>
        <v/>
      </c>
      <c r="J1417" s="20" t="n">
        <f aca="false">IF(ROUND($G1417,2)=0,0,1)</f>
        <v>0</v>
      </c>
      <c r="K1417" s="20" t="str">
        <f aca="false">IF($J1417=0,"",SUM($J$1406:$J1417))</f>
        <v/>
      </c>
      <c r="L1417" s="20" t="str">
        <f aca="false">IF($K1417="","",$A1417*100+$K1417)</f>
        <v/>
      </c>
      <c r="M1417" s="48" t="str">
        <f aca="false">""</f>
        <v/>
      </c>
    </row>
    <row r="1418" customFormat="false" ht="13.5" hidden="false" customHeight="false" outlineLevel="0" collapsed="false">
      <c r="A1418" s="47" t="n">
        <v>109</v>
      </c>
      <c r="C1418" s="48" t="str">
        <f aca="false">助手报销!$C110</f>
        <v/>
      </c>
      <c r="D1418" s="81" t="s">
        <v>491</v>
      </c>
      <c r="E1418" s="48" t="str">
        <f aca="false">参数!$B$8</f>
        <v>其他应付款</v>
      </c>
      <c r="F1418" s="48" t="str">
        <f aca="false">""</f>
        <v/>
      </c>
      <c r="G1418" s="49" t="n">
        <f aca="false">-ROUND(SUMIFS(输入报销!$G:$G,输入报销!$A:$A,$A1418,输入报销!$H:$H,参数!$B$8),2)</f>
        <v>-0</v>
      </c>
      <c r="H1418" s="49" t="str">
        <f aca="false">IF(ROUND($G1418,2)&gt;0,ROUND($G1418,2),"")</f>
        <v/>
      </c>
      <c r="I1418" s="49" t="str">
        <f aca="false">IF(ROUND($G1418,2)&lt;0,-ROUND($G1418,2),"")</f>
        <v/>
      </c>
      <c r="J1418" s="20" t="n">
        <f aca="false">IF(ROUND($G1418,2)=0,0,1)</f>
        <v>0</v>
      </c>
      <c r="K1418" s="20" t="str">
        <f aca="false">IF($J1418=0,"",SUM($J$1406:$J1418))</f>
        <v/>
      </c>
      <c r="L1418" s="20" t="str">
        <f aca="false">IF($K1418="","",$A1418*100+$K1418)</f>
        <v/>
      </c>
      <c r="M1418" s="48" t="str">
        <f aca="false">""</f>
        <v/>
      </c>
    </row>
    <row r="1419" customFormat="false" ht="13.5" hidden="false" customHeight="false" outlineLevel="0" collapsed="false">
      <c r="A1419" s="47" t="n">
        <v>110</v>
      </c>
      <c r="C1419" s="48" t="str">
        <f aca="false">助手报销!$C111</f>
        <v/>
      </c>
      <c r="D1419" s="81" t="s">
        <v>479</v>
      </c>
      <c r="E1419" s="48" t="str">
        <f aca="false">IFERROR(INDEX(输入报销!$E:$E,MATCH($A1419&amp;"-1",输入报销!$J:$J,0))&amp;"","")</f>
        <v/>
      </c>
      <c r="F1419" s="48" t="str">
        <f aca="false">IFERROR(INDEX(输入报销!$F:$F,MATCH($A1419&amp;"-1",输入报销!$J:$J,0))&amp;"","")</f>
        <v/>
      </c>
      <c r="G1419" s="49" t="n">
        <f aca="false">IFERROR(ROUND(INDEX(输入报销!$G:$G,MATCH($A1419&amp;"-1",输入报销!$J:$J,0)),2),0)</f>
        <v>0</v>
      </c>
      <c r="H1419" s="49" t="str">
        <f aca="false">IF(ROUND($G1419,2)&gt;0,ROUND($G1419,2),"")</f>
        <v/>
      </c>
      <c r="I1419" s="49" t="str">
        <f aca="false">IF(ROUND($G1419,2)&lt;0,-ROUND($G1419,2),"")</f>
        <v/>
      </c>
      <c r="J1419" s="20" t="n">
        <f aca="false">IF(ROUND($G1419,2)=0,0,1)</f>
        <v>0</v>
      </c>
      <c r="K1419" s="20" t="str">
        <f aca="false">IF($J1419=0,"",SUM($J$1419:$J1419))</f>
        <v/>
      </c>
      <c r="L1419" s="20" t="str">
        <f aca="false">IF($K1419="","",$A1419*100+$K1419)</f>
        <v/>
      </c>
      <c r="M1419" s="48" t="str">
        <f aca="false">IFERROR(INDEX(输入报销!$D:$D,MATCH($A1419&amp;"-1",输入报销!$J:$J,0))&amp;"","")</f>
        <v/>
      </c>
    </row>
    <row r="1420" customFormat="false" ht="13.5" hidden="false" customHeight="false" outlineLevel="0" collapsed="false">
      <c r="A1420" s="47" t="n">
        <v>110</v>
      </c>
      <c r="C1420" s="48" t="str">
        <f aca="false">助手报销!$C111</f>
        <v/>
      </c>
      <c r="D1420" s="81" t="s">
        <v>480</v>
      </c>
      <c r="E1420" s="48" t="str">
        <f aca="false">IFERROR(INDEX(输入报销!$E:$E,MATCH($A1420&amp;"-2",输入报销!$J:$J,0))&amp;"","")</f>
        <v/>
      </c>
      <c r="F1420" s="48" t="str">
        <f aca="false">IFERROR(INDEX(输入报销!$F:$F,MATCH($A1420&amp;"-2",输入报销!$J:$J,0))&amp;"","")</f>
        <v/>
      </c>
      <c r="G1420" s="49" t="n">
        <f aca="false">IFERROR(ROUND(INDEX(输入报销!$G:$G,MATCH($A1420&amp;"-2",输入报销!$J:$J,0)),2),0)</f>
        <v>0</v>
      </c>
      <c r="H1420" s="49" t="str">
        <f aca="false">IF(ROUND($G1420,2)&gt;0,ROUND($G1420,2),"")</f>
        <v/>
      </c>
      <c r="I1420" s="49" t="str">
        <f aca="false">IF(ROUND($G1420,2)&lt;0,-ROUND($G1420,2),"")</f>
        <v/>
      </c>
      <c r="J1420" s="20" t="n">
        <f aca="false">IF(ROUND($G1420,2)=0,0,1)</f>
        <v>0</v>
      </c>
      <c r="K1420" s="20" t="str">
        <f aca="false">IF($J1420=0,"",SUM($J$1419:$J1420))</f>
        <v/>
      </c>
      <c r="L1420" s="20" t="str">
        <f aca="false">IF($K1420="","",$A1420*100+$K1420)</f>
        <v/>
      </c>
      <c r="M1420" s="48" t="str">
        <f aca="false">IFERROR(INDEX(输入报销!$D:$D,MATCH($A1420&amp;"-2",输入报销!$J:$J,0))&amp;"","")</f>
        <v/>
      </c>
    </row>
    <row r="1421" customFormat="false" ht="13.5" hidden="false" customHeight="false" outlineLevel="0" collapsed="false">
      <c r="A1421" s="47" t="n">
        <v>110</v>
      </c>
      <c r="C1421" s="48" t="str">
        <f aca="false">助手报销!$C111</f>
        <v/>
      </c>
      <c r="D1421" s="81" t="s">
        <v>481</v>
      </c>
      <c r="E1421" s="48" t="str">
        <f aca="false">IFERROR(INDEX(输入报销!$E:$E,MATCH($A1421&amp;"-3",输入报销!$J:$J,0))&amp;"","")</f>
        <v/>
      </c>
      <c r="F1421" s="48" t="str">
        <f aca="false">IFERROR(INDEX(输入报销!$F:$F,MATCH($A1421&amp;"-3",输入报销!$J:$J,0))&amp;"","")</f>
        <v/>
      </c>
      <c r="G1421" s="49" t="n">
        <f aca="false">IFERROR(ROUND(INDEX(输入报销!$G:$G,MATCH($A1421&amp;"-3",输入报销!$J:$J,0)),2),0)</f>
        <v>0</v>
      </c>
      <c r="H1421" s="49" t="str">
        <f aca="false">IF(ROUND($G1421,2)&gt;0,ROUND($G1421,2),"")</f>
        <v/>
      </c>
      <c r="I1421" s="49" t="str">
        <f aca="false">IF(ROUND($G1421,2)&lt;0,-ROUND($G1421,2),"")</f>
        <v/>
      </c>
      <c r="J1421" s="20" t="n">
        <f aca="false">IF(ROUND($G1421,2)=0,0,1)</f>
        <v>0</v>
      </c>
      <c r="K1421" s="20" t="str">
        <f aca="false">IF($J1421=0,"",SUM($J$1419:$J1421))</f>
        <v/>
      </c>
      <c r="L1421" s="20" t="str">
        <f aca="false">IF($K1421="","",$A1421*100+$K1421)</f>
        <v/>
      </c>
      <c r="M1421" s="48" t="str">
        <f aca="false">IFERROR(INDEX(输入报销!$D:$D,MATCH($A1421&amp;"-3",输入报销!$J:$J,0))&amp;"","")</f>
        <v/>
      </c>
    </row>
    <row r="1422" customFormat="false" ht="13.5" hidden="false" customHeight="false" outlineLevel="0" collapsed="false">
      <c r="A1422" s="47" t="n">
        <v>110</v>
      </c>
      <c r="C1422" s="48" t="str">
        <f aca="false">助手报销!$C111</f>
        <v/>
      </c>
      <c r="D1422" s="81" t="s">
        <v>482</v>
      </c>
      <c r="E1422" s="48" t="str">
        <f aca="false">IFERROR(INDEX(输入报销!$E:$E,MATCH($A1422&amp;"-4",输入报销!$J:$J,0))&amp;"","")</f>
        <v/>
      </c>
      <c r="F1422" s="48" t="str">
        <f aca="false">IFERROR(INDEX(输入报销!$F:$F,MATCH($A1422&amp;"-4",输入报销!$J:$J,0))&amp;"","")</f>
        <v/>
      </c>
      <c r="G1422" s="49" t="n">
        <f aca="false">IFERROR(ROUND(INDEX(输入报销!$G:$G,MATCH($A1422&amp;"-4",输入报销!$J:$J,0)),2),0)</f>
        <v>0</v>
      </c>
      <c r="H1422" s="49" t="str">
        <f aca="false">IF(ROUND($G1422,2)&gt;0,ROUND($G1422,2),"")</f>
        <v/>
      </c>
      <c r="I1422" s="49" t="str">
        <f aca="false">IF(ROUND($G1422,2)&lt;0,-ROUND($G1422,2),"")</f>
        <v/>
      </c>
      <c r="J1422" s="20" t="n">
        <f aca="false">IF(ROUND($G1422,2)=0,0,1)</f>
        <v>0</v>
      </c>
      <c r="K1422" s="20" t="str">
        <f aca="false">IF($J1422=0,"",SUM($J$1419:$J1422))</f>
        <v/>
      </c>
      <c r="L1422" s="20" t="str">
        <f aca="false">IF($K1422="","",$A1422*100+$K1422)</f>
        <v/>
      </c>
      <c r="M1422" s="48" t="str">
        <f aca="false">IFERROR(INDEX(输入报销!$D:$D,MATCH($A1422&amp;"-4",输入报销!$J:$J,0))&amp;"","")</f>
        <v/>
      </c>
    </row>
    <row r="1423" customFormat="false" ht="13.5" hidden="false" customHeight="false" outlineLevel="0" collapsed="false">
      <c r="A1423" s="47" t="n">
        <v>110</v>
      </c>
      <c r="C1423" s="48" t="str">
        <f aca="false">助手报销!$C111</f>
        <v/>
      </c>
      <c r="D1423" s="81" t="s">
        <v>483</v>
      </c>
      <c r="E1423" s="48" t="str">
        <f aca="false">IFERROR(INDEX(输入报销!$E:$E,MATCH($A1423&amp;"-5",输入报销!$J:$J,0))&amp;"","")</f>
        <v/>
      </c>
      <c r="F1423" s="48" t="str">
        <f aca="false">IFERROR(INDEX(输入报销!$F:$F,MATCH($A1423&amp;"-5",输入报销!$J:$J,0))&amp;"","")</f>
        <v/>
      </c>
      <c r="G1423" s="49" t="n">
        <f aca="false">IFERROR(ROUND(INDEX(输入报销!$G:$G,MATCH($A1423&amp;"-5",输入报销!$J:$J,0)),2),0)</f>
        <v>0</v>
      </c>
      <c r="H1423" s="49" t="str">
        <f aca="false">IF(ROUND($G1423,2)&gt;0,ROUND($G1423,2),"")</f>
        <v/>
      </c>
      <c r="I1423" s="49" t="str">
        <f aca="false">IF(ROUND($G1423,2)&lt;0,-ROUND($G1423,2),"")</f>
        <v/>
      </c>
      <c r="J1423" s="20" t="n">
        <f aca="false">IF(ROUND($G1423,2)=0,0,1)</f>
        <v>0</v>
      </c>
      <c r="K1423" s="20" t="str">
        <f aca="false">IF($J1423=0,"",SUM($J$1419:$J1423))</f>
        <v/>
      </c>
      <c r="L1423" s="20" t="str">
        <f aca="false">IF($K1423="","",$A1423*100+$K1423)</f>
        <v/>
      </c>
      <c r="M1423" s="48" t="str">
        <f aca="false">IFERROR(INDEX(输入报销!$D:$D,MATCH($A1423&amp;"-5",输入报销!$J:$J,0))&amp;"","")</f>
        <v/>
      </c>
    </row>
    <row r="1424" customFormat="false" ht="13.5" hidden="false" customHeight="false" outlineLevel="0" collapsed="false">
      <c r="A1424" s="47" t="n">
        <v>110</v>
      </c>
      <c r="C1424" s="48" t="str">
        <f aca="false">助手报销!$C111</f>
        <v/>
      </c>
      <c r="D1424" s="81" t="s">
        <v>484</v>
      </c>
      <c r="E1424" s="48" t="str">
        <f aca="false">IFERROR(INDEX(输入报销!$E:$E,MATCH($A1424&amp;"-6",输入报销!$J:$J,0))&amp;"","")</f>
        <v/>
      </c>
      <c r="F1424" s="48" t="str">
        <f aca="false">IFERROR(INDEX(输入报销!$F:$F,MATCH($A1424&amp;"-6",输入报销!$J:$J,0))&amp;"","")</f>
        <v/>
      </c>
      <c r="G1424" s="49" t="n">
        <f aca="false">IFERROR(ROUND(INDEX(输入报销!$G:$G,MATCH($A1424&amp;"-6",输入报销!$J:$J,0)),2),0)</f>
        <v>0</v>
      </c>
      <c r="H1424" s="49" t="str">
        <f aca="false">IF(ROUND($G1424,2)&gt;0,ROUND($G1424,2),"")</f>
        <v/>
      </c>
      <c r="I1424" s="49" t="str">
        <f aca="false">IF(ROUND($G1424,2)&lt;0,-ROUND($G1424,2),"")</f>
        <v/>
      </c>
      <c r="J1424" s="20" t="n">
        <f aca="false">IF(ROUND($G1424,2)=0,0,1)</f>
        <v>0</v>
      </c>
      <c r="K1424" s="20" t="str">
        <f aca="false">IF($J1424=0,"",SUM($J$1419:$J1424))</f>
        <v/>
      </c>
      <c r="L1424" s="20" t="str">
        <f aca="false">IF($K1424="","",$A1424*100+$K1424)</f>
        <v/>
      </c>
      <c r="M1424" s="48" t="str">
        <f aca="false">IFERROR(INDEX(输入报销!$D:$D,MATCH($A1424&amp;"-6",输入报销!$J:$J,0))&amp;"","")</f>
        <v/>
      </c>
    </row>
    <row r="1425" customFormat="false" ht="13.5" hidden="false" customHeight="false" outlineLevel="0" collapsed="false">
      <c r="A1425" s="47" t="n">
        <v>110</v>
      </c>
      <c r="C1425" s="48" t="str">
        <f aca="false">助手报销!$C111</f>
        <v/>
      </c>
      <c r="D1425" s="81" t="s">
        <v>485</v>
      </c>
      <c r="E1425" s="48" t="str">
        <f aca="false">IFERROR(INDEX(输入报销!$E:$E,MATCH($A1425&amp;"-7",输入报销!$J:$J,0))&amp;"","")</f>
        <v/>
      </c>
      <c r="F1425" s="48" t="str">
        <f aca="false">IFERROR(INDEX(输入报销!$F:$F,MATCH($A1425&amp;"-7",输入报销!$J:$J,0))&amp;"","")</f>
        <v/>
      </c>
      <c r="G1425" s="49" t="n">
        <f aca="false">IFERROR(ROUND(INDEX(输入报销!$G:$G,MATCH($A1425&amp;"-7",输入报销!$J:$J,0)),2),0)</f>
        <v>0</v>
      </c>
      <c r="H1425" s="49" t="str">
        <f aca="false">IF(ROUND($G1425,2)&gt;0,ROUND($G1425,2),"")</f>
        <v/>
      </c>
      <c r="I1425" s="49" t="str">
        <f aca="false">IF(ROUND($G1425,2)&lt;0,-ROUND($G1425,2),"")</f>
        <v/>
      </c>
      <c r="J1425" s="20" t="n">
        <f aca="false">IF(ROUND($G1425,2)=0,0,1)</f>
        <v>0</v>
      </c>
      <c r="K1425" s="20" t="str">
        <f aca="false">IF($J1425=0,"",SUM($J$1419:$J1425))</f>
        <v/>
      </c>
      <c r="L1425" s="20" t="str">
        <f aca="false">IF($K1425="","",$A1425*100+$K1425)</f>
        <v/>
      </c>
      <c r="M1425" s="48" t="str">
        <f aca="false">IFERROR(INDEX(输入报销!$D:$D,MATCH($A1425&amp;"-7",输入报销!$J:$J,0))&amp;"","")</f>
        <v/>
      </c>
    </row>
    <row r="1426" customFormat="false" ht="13.5" hidden="false" customHeight="false" outlineLevel="0" collapsed="false">
      <c r="A1426" s="47" t="n">
        <v>110</v>
      </c>
      <c r="C1426" s="48" t="str">
        <f aca="false">助手报销!$C111</f>
        <v/>
      </c>
      <c r="D1426" s="81" t="s">
        <v>486</v>
      </c>
      <c r="E1426" s="48" t="str">
        <f aca="false">IFERROR(INDEX(输入报销!$E:$E,MATCH($A1426&amp;"-8",输入报销!$J:$J,0))&amp;"","")</f>
        <v/>
      </c>
      <c r="F1426" s="48" t="str">
        <f aca="false">IFERROR(INDEX(输入报销!$F:$F,MATCH($A1426&amp;"-8",输入报销!$J:$J,0))&amp;"","")</f>
        <v/>
      </c>
      <c r="G1426" s="49" t="n">
        <f aca="false">IFERROR(ROUND(INDEX(输入报销!$G:$G,MATCH($A1426&amp;"-8",输入报销!$J:$J,0)),2),0)</f>
        <v>0</v>
      </c>
      <c r="H1426" s="49" t="str">
        <f aca="false">IF(ROUND($G1426,2)&gt;0,ROUND($G1426,2),"")</f>
        <v/>
      </c>
      <c r="I1426" s="49" t="str">
        <f aca="false">IF(ROUND($G1426,2)&lt;0,-ROUND($G1426,2),"")</f>
        <v/>
      </c>
      <c r="J1426" s="20" t="n">
        <f aca="false">IF(ROUND($G1426,2)=0,0,1)</f>
        <v>0</v>
      </c>
      <c r="K1426" s="20" t="str">
        <f aca="false">IF($J1426=0,"",SUM($J$1419:$J1426))</f>
        <v/>
      </c>
      <c r="L1426" s="20" t="str">
        <f aca="false">IF($K1426="","",$A1426*100+$K1426)</f>
        <v/>
      </c>
      <c r="M1426" s="48" t="str">
        <f aca="false">IFERROR(INDEX(输入报销!$D:$D,MATCH($A1426&amp;"-8",输入报销!$J:$J,0))&amp;"","")</f>
        <v/>
      </c>
    </row>
    <row r="1427" customFormat="false" ht="13.5" hidden="false" customHeight="false" outlineLevel="0" collapsed="false">
      <c r="A1427" s="47" t="n">
        <v>110</v>
      </c>
      <c r="C1427" s="48" t="str">
        <f aca="false">助手报销!$C111</f>
        <v/>
      </c>
      <c r="D1427" s="81" t="s">
        <v>487</v>
      </c>
      <c r="E1427" s="48" t="str">
        <f aca="false">IFERROR(INDEX(输入报销!$E:$E,MATCH($A1427&amp;"-9",输入报销!$J:$J,0))&amp;"","")</f>
        <v/>
      </c>
      <c r="F1427" s="48" t="str">
        <f aca="false">IFERROR(INDEX(输入报销!$F:$F,MATCH($A1427&amp;"-9",输入报销!$J:$J,0))&amp;"","")</f>
        <v/>
      </c>
      <c r="G1427" s="49" t="n">
        <f aca="false">IFERROR(ROUND(INDEX(输入报销!$G:$G,MATCH($A1427&amp;"-9",输入报销!$J:$J,0)),2),0)</f>
        <v>0</v>
      </c>
      <c r="H1427" s="49" t="str">
        <f aca="false">IF(ROUND($G1427,2)&gt;0,ROUND($G1427,2),"")</f>
        <v/>
      </c>
      <c r="I1427" s="49" t="str">
        <f aca="false">IF(ROUND($G1427,2)&lt;0,-ROUND($G1427,2),"")</f>
        <v/>
      </c>
      <c r="J1427" s="20" t="n">
        <f aca="false">IF(ROUND($G1427,2)=0,0,1)</f>
        <v>0</v>
      </c>
      <c r="K1427" s="20" t="str">
        <f aca="false">IF($J1427=0,"",SUM($J$1419:$J1427))</f>
        <v/>
      </c>
      <c r="L1427" s="20" t="str">
        <f aca="false">IF($K1427="","",$A1427*100+$K1427)</f>
        <v/>
      </c>
      <c r="M1427" s="48" t="str">
        <f aca="false">IFERROR(INDEX(输入报销!$D:$D,MATCH($A1427&amp;"-9",输入报销!$J:$J,0))&amp;"","")</f>
        <v/>
      </c>
    </row>
    <row r="1428" customFormat="false" ht="13.5" hidden="false" customHeight="false" outlineLevel="0" collapsed="false">
      <c r="A1428" s="47" t="n">
        <v>110</v>
      </c>
      <c r="C1428" s="48" t="str">
        <f aca="false">助手报销!$C111</f>
        <v/>
      </c>
      <c r="D1428" s="81" t="s">
        <v>488</v>
      </c>
      <c r="E1428" s="48" t="str">
        <f aca="false">IFERROR(INDEX(输入报销!$E:$E,MATCH($A1428&amp;"-10",输入报销!$J:$J,0))&amp;"","")</f>
        <v/>
      </c>
      <c r="F1428" s="48" t="str">
        <f aca="false">IFERROR(INDEX(输入报销!$F:$F,MATCH($A1428&amp;"-10",输入报销!$J:$J,0))&amp;"","")</f>
        <v/>
      </c>
      <c r="G1428" s="49" t="n">
        <f aca="false">IFERROR(ROUND(INDEX(输入报销!$G:$G,MATCH($A1428&amp;"-10",输入报销!$J:$J,0)),2),0)</f>
        <v>0</v>
      </c>
      <c r="H1428" s="49" t="str">
        <f aca="false">IF(ROUND($G1428,2)&gt;0,ROUND($G1428,2),"")</f>
        <v/>
      </c>
      <c r="I1428" s="49" t="str">
        <f aca="false">IF(ROUND($G1428,2)&lt;0,-ROUND($G1428,2),"")</f>
        <v/>
      </c>
      <c r="J1428" s="20" t="n">
        <f aca="false">IF(ROUND($G1428,2)=0,0,1)</f>
        <v>0</v>
      </c>
      <c r="K1428" s="20" t="str">
        <f aca="false">IF($J1428=0,"",SUM($J$1419:$J1428))</f>
        <v/>
      </c>
      <c r="L1428" s="20" t="str">
        <f aca="false">IF($K1428="","",$A1428*100+$K1428)</f>
        <v/>
      </c>
      <c r="M1428" s="48" t="str">
        <f aca="false">IFERROR(INDEX(输入报销!$D:$D,MATCH($A1428&amp;"-10",输入报销!$J:$J,0))&amp;"","")</f>
        <v/>
      </c>
    </row>
    <row r="1429" customFormat="false" ht="13.5" hidden="false" customHeight="false" outlineLevel="0" collapsed="false">
      <c r="A1429" s="47" t="n">
        <v>110</v>
      </c>
      <c r="C1429" s="48" t="str">
        <f aca="false">助手报销!$C111</f>
        <v/>
      </c>
      <c r="D1429" s="81" t="s">
        <v>489</v>
      </c>
      <c r="E1429" s="48" t="str">
        <f aca="false">参数!$B$6</f>
        <v>库存现金</v>
      </c>
      <c r="F1429" s="48" t="str">
        <f aca="false">""</f>
        <v/>
      </c>
      <c r="G1429" s="49" t="n">
        <f aca="false">-ROUND(SUMIFS(输入报销!$G:$G,输入报销!$A:$A,$A1429,输入报销!$H:$H,参数!$B$6),2)</f>
        <v>-0</v>
      </c>
      <c r="H1429" s="49" t="str">
        <f aca="false">IF(ROUND($G1429,2)&gt;0,ROUND($G1429,2),"")</f>
        <v/>
      </c>
      <c r="I1429" s="49" t="str">
        <f aca="false">IF(ROUND($G1429,2)&lt;0,-ROUND($G1429,2),"")</f>
        <v/>
      </c>
      <c r="J1429" s="20" t="n">
        <f aca="false">IF(ROUND($G1429,2)=0,0,1)</f>
        <v>0</v>
      </c>
      <c r="K1429" s="20" t="str">
        <f aca="false">IF($J1429=0,"",SUM($J$1419:$J1429))</f>
        <v/>
      </c>
      <c r="L1429" s="20" t="str">
        <f aca="false">IF($K1429="","",$A1429*100+$K1429)</f>
        <v/>
      </c>
      <c r="M1429" s="48" t="str">
        <f aca="false">""</f>
        <v/>
      </c>
    </row>
    <row r="1430" customFormat="false" ht="13.5" hidden="false" customHeight="false" outlineLevel="0" collapsed="false">
      <c r="A1430" s="47" t="n">
        <v>110</v>
      </c>
      <c r="C1430" s="48" t="str">
        <f aca="false">助手报销!$C111</f>
        <v/>
      </c>
      <c r="D1430" s="81" t="s">
        <v>490</v>
      </c>
      <c r="E1430" s="48" t="str">
        <f aca="false">参数!$B$7</f>
        <v>银行存款</v>
      </c>
      <c r="F1430" s="48" t="str">
        <f aca="false">""</f>
        <v/>
      </c>
      <c r="G1430" s="49" t="n">
        <f aca="false">-ROUND(SUMIFS(输入报销!$G:$G,输入报销!$A:$A,$A1430,输入报销!$H:$H,参数!$B$7),2)</f>
        <v>-0</v>
      </c>
      <c r="H1430" s="49" t="str">
        <f aca="false">IF(ROUND($G1430,2)&gt;0,ROUND($G1430,2),"")</f>
        <v/>
      </c>
      <c r="I1430" s="49" t="str">
        <f aca="false">IF(ROUND($G1430,2)&lt;0,-ROUND($G1430,2),"")</f>
        <v/>
      </c>
      <c r="J1430" s="20" t="n">
        <f aca="false">IF(ROUND($G1430,2)=0,0,1)</f>
        <v>0</v>
      </c>
      <c r="K1430" s="20" t="str">
        <f aca="false">IF($J1430=0,"",SUM($J$1419:$J1430))</f>
        <v/>
      </c>
      <c r="L1430" s="20" t="str">
        <f aca="false">IF($K1430="","",$A1430*100+$K1430)</f>
        <v/>
      </c>
      <c r="M1430" s="48" t="str">
        <f aca="false">""</f>
        <v/>
      </c>
    </row>
    <row r="1431" customFormat="false" ht="13.5" hidden="false" customHeight="false" outlineLevel="0" collapsed="false">
      <c r="A1431" s="47" t="n">
        <v>110</v>
      </c>
      <c r="C1431" s="48" t="str">
        <f aca="false">助手报销!$C111</f>
        <v/>
      </c>
      <c r="D1431" s="81" t="s">
        <v>491</v>
      </c>
      <c r="E1431" s="48" t="str">
        <f aca="false">参数!$B$8</f>
        <v>其他应付款</v>
      </c>
      <c r="F1431" s="48" t="str">
        <f aca="false">""</f>
        <v/>
      </c>
      <c r="G1431" s="49" t="n">
        <f aca="false">-ROUND(SUMIFS(输入报销!$G:$G,输入报销!$A:$A,$A1431,输入报销!$H:$H,参数!$B$8),2)</f>
        <v>-0</v>
      </c>
      <c r="H1431" s="49" t="str">
        <f aca="false">IF(ROUND($G1431,2)&gt;0,ROUND($G1431,2),"")</f>
        <v/>
      </c>
      <c r="I1431" s="49" t="str">
        <f aca="false">IF(ROUND($G1431,2)&lt;0,-ROUND($G1431,2),"")</f>
        <v/>
      </c>
      <c r="J1431" s="20" t="n">
        <f aca="false">IF(ROUND($G1431,2)=0,0,1)</f>
        <v>0</v>
      </c>
      <c r="K1431" s="20" t="str">
        <f aca="false">IF($J1431=0,"",SUM($J$1419:$J1431))</f>
        <v/>
      </c>
      <c r="L1431" s="20" t="str">
        <f aca="false">IF($K1431="","",$A1431*100+$K1431)</f>
        <v/>
      </c>
      <c r="M1431" s="48" t="str">
        <f aca="false">""</f>
        <v/>
      </c>
    </row>
    <row r="1432" customFormat="false" ht="13.5" hidden="false" customHeight="false" outlineLevel="0" collapsed="false">
      <c r="A1432" s="47" t="n">
        <v>111</v>
      </c>
      <c r="C1432" s="48" t="str">
        <f aca="false">助手报销!$C112</f>
        <v/>
      </c>
      <c r="D1432" s="81" t="s">
        <v>479</v>
      </c>
      <c r="E1432" s="48" t="str">
        <f aca="false">IFERROR(INDEX(输入报销!$E:$E,MATCH($A1432&amp;"-1",输入报销!$J:$J,0))&amp;"","")</f>
        <v/>
      </c>
      <c r="F1432" s="48" t="str">
        <f aca="false">IFERROR(INDEX(输入报销!$F:$F,MATCH($A1432&amp;"-1",输入报销!$J:$J,0))&amp;"","")</f>
        <v/>
      </c>
      <c r="G1432" s="49" t="n">
        <f aca="false">IFERROR(ROUND(INDEX(输入报销!$G:$G,MATCH($A1432&amp;"-1",输入报销!$J:$J,0)),2),0)</f>
        <v>0</v>
      </c>
      <c r="H1432" s="49" t="str">
        <f aca="false">IF(ROUND($G1432,2)&gt;0,ROUND($G1432,2),"")</f>
        <v/>
      </c>
      <c r="I1432" s="49" t="str">
        <f aca="false">IF(ROUND($G1432,2)&lt;0,-ROUND($G1432,2),"")</f>
        <v/>
      </c>
      <c r="J1432" s="20" t="n">
        <f aca="false">IF(ROUND($G1432,2)=0,0,1)</f>
        <v>0</v>
      </c>
      <c r="K1432" s="20" t="str">
        <f aca="false">IF($J1432=0,"",SUM($J$1432:$J1432))</f>
        <v/>
      </c>
      <c r="L1432" s="20" t="str">
        <f aca="false">IF($K1432="","",$A1432*100+$K1432)</f>
        <v/>
      </c>
      <c r="M1432" s="48" t="str">
        <f aca="false">IFERROR(INDEX(输入报销!$D:$D,MATCH($A1432&amp;"-1",输入报销!$J:$J,0))&amp;"","")</f>
        <v/>
      </c>
    </row>
    <row r="1433" customFormat="false" ht="13.5" hidden="false" customHeight="false" outlineLevel="0" collapsed="false">
      <c r="A1433" s="47" t="n">
        <v>111</v>
      </c>
      <c r="C1433" s="48" t="str">
        <f aca="false">助手报销!$C112</f>
        <v/>
      </c>
      <c r="D1433" s="81" t="s">
        <v>480</v>
      </c>
      <c r="E1433" s="48" t="str">
        <f aca="false">IFERROR(INDEX(输入报销!$E:$E,MATCH($A1433&amp;"-2",输入报销!$J:$J,0))&amp;"","")</f>
        <v/>
      </c>
      <c r="F1433" s="48" t="str">
        <f aca="false">IFERROR(INDEX(输入报销!$F:$F,MATCH($A1433&amp;"-2",输入报销!$J:$J,0))&amp;"","")</f>
        <v/>
      </c>
      <c r="G1433" s="49" t="n">
        <f aca="false">IFERROR(ROUND(INDEX(输入报销!$G:$G,MATCH($A1433&amp;"-2",输入报销!$J:$J,0)),2),0)</f>
        <v>0</v>
      </c>
      <c r="H1433" s="49" t="str">
        <f aca="false">IF(ROUND($G1433,2)&gt;0,ROUND($G1433,2),"")</f>
        <v/>
      </c>
      <c r="I1433" s="49" t="str">
        <f aca="false">IF(ROUND($G1433,2)&lt;0,-ROUND($G1433,2),"")</f>
        <v/>
      </c>
      <c r="J1433" s="20" t="n">
        <f aca="false">IF(ROUND($G1433,2)=0,0,1)</f>
        <v>0</v>
      </c>
      <c r="K1433" s="20" t="str">
        <f aca="false">IF($J1433=0,"",SUM($J$1432:$J1433))</f>
        <v/>
      </c>
      <c r="L1433" s="20" t="str">
        <f aca="false">IF($K1433="","",$A1433*100+$K1433)</f>
        <v/>
      </c>
      <c r="M1433" s="48" t="str">
        <f aca="false">IFERROR(INDEX(输入报销!$D:$D,MATCH($A1433&amp;"-2",输入报销!$J:$J,0))&amp;"","")</f>
        <v/>
      </c>
    </row>
    <row r="1434" customFormat="false" ht="13.5" hidden="false" customHeight="false" outlineLevel="0" collapsed="false">
      <c r="A1434" s="47" t="n">
        <v>111</v>
      </c>
      <c r="C1434" s="48" t="str">
        <f aca="false">助手报销!$C112</f>
        <v/>
      </c>
      <c r="D1434" s="81" t="s">
        <v>481</v>
      </c>
      <c r="E1434" s="48" t="str">
        <f aca="false">IFERROR(INDEX(输入报销!$E:$E,MATCH($A1434&amp;"-3",输入报销!$J:$J,0))&amp;"","")</f>
        <v/>
      </c>
      <c r="F1434" s="48" t="str">
        <f aca="false">IFERROR(INDEX(输入报销!$F:$F,MATCH($A1434&amp;"-3",输入报销!$J:$J,0))&amp;"","")</f>
        <v/>
      </c>
      <c r="G1434" s="49" t="n">
        <f aca="false">IFERROR(ROUND(INDEX(输入报销!$G:$G,MATCH($A1434&amp;"-3",输入报销!$J:$J,0)),2),0)</f>
        <v>0</v>
      </c>
      <c r="H1434" s="49" t="str">
        <f aca="false">IF(ROUND($G1434,2)&gt;0,ROUND($G1434,2),"")</f>
        <v/>
      </c>
      <c r="I1434" s="49" t="str">
        <f aca="false">IF(ROUND($G1434,2)&lt;0,-ROUND($G1434,2),"")</f>
        <v/>
      </c>
      <c r="J1434" s="20" t="n">
        <f aca="false">IF(ROUND($G1434,2)=0,0,1)</f>
        <v>0</v>
      </c>
      <c r="K1434" s="20" t="str">
        <f aca="false">IF($J1434=0,"",SUM($J$1432:$J1434))</f>
        <v/>
      </c>
      <c r="L1434" s="20" t="str">
        <f aca="false">IF($K1434="","",$A1434*100+$K1434)</f>
        <v/>
      </c>
      <c r="M1434" s="48" t="str">
        <f aca="false">IFERROR(INDEX(输入报销!$D:$D,MATCH($A1434&amp;"-3",输入报销!$J:$J,0))&amp;"","")</f>
        <v/>
      </c>
    </row>
    <row r="1435" customFormat="false" ht="13.5" hidden="false" customHeight="false" outlineLevel="0" collapsed="false">
      <c r="A1435" s="47" t="n">
        <v>111</v>
      </c>
      <c r="C1435" s="48" t="str">
        <f aca="false">助手报销!$C112</f>
        <v/>
      </c>
      <c r="D1435" s="81" t="s">
        <v>482</v>
      </c>
      <c r="E1435" s="48" t="str">
        <f aca="false">IFERROR(INDEX(输入报销!$E:$E,MATCH($A1435&amp;"-4",输入报销!$J:$J,0))&amp;"","")</f>
        <v/>
      </c>
      <c r="F1435" s="48" t="str">
        <f aca="false">IFERROR(INDEX(输入报销!$F:$F,MATCH($A1435&amp;"-4",输入报销!$J:$J,0))&amp;"","")</f>
        <v/>
      </c>
      <c r="G1435" s="49" t="n">
        <f aca="false">IFERROR(ROUND(INDEX(输入报销!$G:$G,MATCH($A1435&amp;"-4",输入报销!$J:$J,0)),2),0)</f>
        <v>0</v>
      </c>
      <c r="H1435" s="49" t="str">
        <f aca="false">IF(ROUND($G1435,2)&gt;0,ROUND($G1435,2),"")</f>
        <v/>
      </c>
      <c r="I1435" s="49" t="str">
        <f aca="false">IF(ROUND($G1435,2)&lt;0,-ROUND($G1435,2),"")</f>
        <v/>
      </c>
      <c r="J1435" s="20" t="n">
        <f aca="false">IF(ROUND($G1435,2)=0,0,1)</f>
        <v>0</v>
      </c>
      <c r="K1435" s="20" t="str">
        <f aca="false">IF($J1435=0,"",SUM($J$1432:$J1435))</f>
        <v/>
      </c>
      <c r="L1435" s="20" t="str">
        <f aca="false">IF($K1435="","",$A1435*100+$K1435)</f>
        <v/>
      </c>
      <c r="M1435" s="48" t="str">
        <f aca="false">IFERROR(INDEX(输入报销!$D:$D,MATCH($A1435&amp;"-4",输入报销!$J:$J,0))&amp;"","")</f>
        <v/>
      </c>
    </row>
    <row r="1436" customFormat="false" ht="13.5" hidden="false" customHeight="false" outlineLevel="0" collapsed="false">
      <c r="A1436" s="47" t="n">
        <v>111</v>
      </c>
      <c r="C1436" s="48" t="str">
        <f aca="false">助手报销!$C112</f>
        <v/>
      </c>
      <c r="D1436" s="81" t="s">
        <v>483</v>
      </c>
      <c r="E1436" s="48" t="str">
        <f aca="false">IFERROR(INDEX(输入报销!$E:$E,MATCH($A1436&amp;"-5",输入报销!$J:$J,0))&amp;"","")</f>
        <v/>
      </c>
      <c r="F1436" s="48" t="str">
        <f aca="false">IFERROR(INDEX(输入报销!$F:$F,MATCH($A1436&amp;"-5",输入报销!$J:$J,0))&amp;"","")</f>
        <v/>
      </c>
      <c r="G1436" s="49" t="n">
        <f aca="false">IFERROR(ROUND(INDEX(输入报销!$G:$G,MATCH($A1436&amp;"-5",输入报销!$J:$J,0)),2),0)</f>
        <v>0</v>
      </c>
      <c r="H1436" s="49" t="str">
        <f aca="false">IF(ROUND($G1436,2)&gt;0,ROUND($G1436,2),"")</f>
        <v/>
      </c>
      <c r="I1436" s="49" t="str">
        <f aca="false">IF(ROUND($G1436,2)&lt;0,-ROUND($G1436,2),"")</f>
        <v/>
      </c>
      <c r="J1436" s="20" t="n">
        <f aca="false">IF(ROUND($G1436,2)=0,0,1)</f>
        <v>0</v>
      </c>
      <c r="K1436" s="20" t="str">
        <f aca="false">IF($J1436=0,"",SUM($J$1432:$J1436))</f>
        <v/>
      </c>
      <c r="L1436" s="20" t="str">
        <f aca="false">IF($K1436="","",$A1436*100+$K1436)</f>
        <v/>
      </c>
      <c r="M1436" s="48" t="str">
        <f aca="false">IFERROR(INDEX(输入报销!$D:$D,MATCH($A1436&amp;"-5",输入报销!$J:$J,0))&amp;"","")</f>
        <v/>
      </c>
    </row>
    <row r="1437" customFormat="false" ht="13.5" hidden="false" customHeight="false" outlineLevel="0" collapsed="false">
      <c r="A1437" s="47" t="n">
        <v>111</v>
      </c>
      <c r="C1437" s="48" t="str">
        <f aca="false">助手报销!$C112</f>
        <v/>
      </c>
      <c r="D1437" s="81" t="s">
        <v>484</v>
      </c>
      <c r="E1437" s="48" t="str">
        <f aca="false">IFERROR(INDEX(输入报销!$E:$E,MATCH($A1437&amp;"-6",输入报销!$J:$J,0))&amp;"","")</f>
        <v/>
      </c>
      <c r="F1437" s="48" t="str">
        <f aca="false">IFERROR(INDEX(输入报销!$F:$F,MATCH($A1437&amp;"-6",输入报销!$J:$J,0))&amp;"","")</f>
        <v/>
      </c>
      <c r="G1437" s="49" t="n">
        <f aca="false">IFERROR(ROUND(INDEX(输入报销!$G:$G,MATCH($A1437&amp;"-6",输入报销!$J:$J,0)),2),0)</f>
        <v>0</v>
      </c>
      <c r="H1437" s="49" t="str">
        <f aca="false">IF(ROUND($G1437,2)&gt;0,ROUND($G1437,2),"")</f>
        <v/>
      </c>
      <c r="I1437" s="49" t="str">
        <f aca="false">IF(ROUND($G1437,2)&lt;0,-ROUND($G1437,2),"")</f>
        <v/>
      </c>
      <c r="J1437" s="20" t="n">
        <f aca="false">IF(ROUND($G1437,2)=0,0,1)</f>
        <v>0</v>
      </c>
      <c r="K1437" s="20" t="str">
        <f aca="false">IF($J1437=0,"",SUM($J$1432:$J1437))</f>
        <v/>
      </c>
      <c r="L1437" s="20" t="str">
        <f aca="false">IF($K1437="","",$A1437*100+$K1437)</f>
        <v/>
      </c>
      <c r="M1437" s="48" t="str">
        <f aca="false">IFERROR(INDEX(输入报销!$D:$D,MATCH($A1437&amp;"-6",输入报销!$J:$J,0))&amp;"","")</f>
        <v/>
      </c>
    </row>
    <row r="1438" customFormat="false" ht="13.5" hidden="false" customHeight="false" outlineLevel="0" collapsed="false">
      <c r="A1438" s="47" t="n">
        <v>111</v>
      </c>
      <c r="C1438" s="48" t="str">
        <f aca="false">助手报销!$C112</f>
        <v/>
      </c>
      <c r="D1438" s="81" t="s">
        <v>485</v>
      </c>
      <c r="E1438" s="48" t="str">
        <f aca="false">IFERROR(INDEX(输入报销!$E:$E,MATCH($A1438&amp;"-7",输入报销!$J:$J,0))&amp;"","")</f>
        <v/>
      </c>
      <c r="F1438" s="48" t="str">
        <f aca="false">IFERROR(INDEX(输入报销!$F:$F,MATCH($A1438&amp;"-7",输入报销!$J:$J,0))&amp;"","")</f>
        <v/>
      </c>
      <c r="G1438" s="49" t="n">
        <f aca="false">IFERROR(ROUND(INDEX(输入报销!$G:$G,MATCH($A1438&amp;"-7",输入报销!$J:$J,0)),2),0)</f>
        <v>0</v>
      </c>
      <c r="H1438" s="49" t="str">
        <f aca="false">IF(ROUND($G1438,2)&gt;0,ROUND($G1438,2),"")</f>
        <v/>
      </c>
      <c r="I1438" s="49" t="str">
        <f aca="false">IF(ROUND($G1438,2)&lt;0,-ROUND($G1438,2),"")</f>
        <v/>
      </c>
      <c r="J1438" s="20" t="n">
        <f aca="false">IF(ROUND($G1438,2)=0,0,1)</f>
        <v>0</v>
      </c>
      <c r="K1438" s="20" t="str">
        <f aca="false">IF($J1438=0,"",SUM($J$1432:$J1438))</f>
        <v/>
      </c>
      <c r="L1438" s="20" t="str">
        <f aca="false">IF($K1438="","",$A1438*100+$K1438)</f>
        <v/>
      </c>
      <c r="M1438" s="48" t="str">
        <f aca="false">IFERROR(INDEX(输入报销!$D:$D,MATCH($A1438&amp;"-7",输入报销!$J:$J,0))&amp;"","")</f>
        <v/>
      </c>
    </row>
    <row r="1439" customFormat="false" ht="13.5" hidden="false" customHeight="false" outlineLevel="0" collapsed="false">
      <c r="A1439" s="47" t="n">
        <v>111</v>
      </c>
      <c r="C1439" s="48" t="str">
        <f aca="false">助手报销!$C112</f>
        <v/>
      </c>
      <c r="D1439" s="81" t="s">
        <v>486</v>
      </c>
      <c r="E1439" s="48" t="str">
        <f aca="false">IFERROR(INDEX(输入报销!$E:$E,MATCH($A1439&amp;"-8",输入报销!$J:$J,0))&amp;"","")</f>
        <v/>
      </c>
      <c r="F1439" s="48" t="str">
        <f aca="false">IFERROR(INDEX(输入报销!$F:$F,MATCH($A1439&amp;"-8",输入报销!$J:$J,0))&amp;"","")</f>
        <v/>
      </c>
      <c r="G1439" s="49" t="n">
        <f aca="false">IFERROR(ROUND(INDEX(输入报销!$G:$G,MATCH($A1439&amp;"-8",输入报销!$J:$J,0)),2),0)</f>
        <v>0</v>
      </c>
      <c r="H1439" s="49" t="str">
        <f aca="false">IF(ROUND($G1439,2)&gt;0,ROUND($G1439,2),"")</f>
        <v/>
      </c>
      <c r="I1439" s="49" t="str">
        <f aca="false">IF(ROUND($G1439,2)&lt;0,-ROUND($G1439,2),"")</f>
        <v/>
      </c>
      <c r="J1439" s="20" t="n">
        <f aca="false">IF(ROUND($G1439,2)=0,0,1)</f>
        <v>0</v>
      </c>
      <c r="K1439" s="20" t="str">
        <f aca="false">IF($J1439=0,"",SUM($J$1432:$J1439))</f>
        <v/>
      </c>
      <c r="L1439" s="20" t="str">
        <f aca="false">IF($K1439="","",$A1439*100+$K1439)</f>
        <v/>
      </c>
      <c r="M1439" s="48" t="str">
        <f aca="false">IFERROR(INDEX(输入报销!$D:$D,MATCH($A1439&amp;"-8",输入报销!$J:$J,0))&amp;"","")</f>
        <v/>
      </c>
    </row>
    <row r="1440" customFormat="false" ht="13.5" hidden="false" customHeight="false" outlineLevel="0" collapsed="false">
      <c r="A1440" s="47" t="n">
        <v>111</v>
      </c>
      <c r="C1440" s="48" t="str">
        <f aca="false">助手报销!$C112</f>
        <v/>
      </c>
      <c r="D1440" s="81" t="s">
        <v>487</v>
      </c>
      <c r="E1440" s="48" t="str">
        <f aca="false">IFERROR(INDEX(输入报销!$E:$E,MATCH($A1440&amp;"-9",输入报销!$J:$J,0))&amp;"","")</f>
        <v/>
      </c>
      <c r="F1440" s="48" t="str">
        <f aca="false">IFERROR(INDEX(输入报销!$F:$F,MATCH($A1440&amp;"-9",输入报销!$J:$J,0))&amp;"","")</f>
        <v/>
      </c>
      <c r="G1440" s="49" t="n">
        <f aca="false">IFERROR(ROUND(INDEX(输入报销!$G:$G,MATCH($A1440&amp;"-9",输入报销!$J:$J,0)),2),0)</f>
        <v>0</v>
      </c>
      <c r="H1440" s="49" t="str">
        <f aca="false">IF(ROUND($G1440,2)&gt;0,ROUND($G1440,2),"")</f>
        <v/>
      </c>
      <c r="I1440" s="49" t="str">
        <f aca="false">IF(ROUND($G1440,2)&lt;0,-ROUND($G1440,2),"")</f>
        <v/>
      </c>
      <c r="J1440" s="20" t="n">
        <f aca="false">IF(ROUND($G1440,2)=0,0,1)</f>
        <v>0</v>
      </c>
      <c r="K1440" s="20" t="str">
        <f aca="false">IF($J1440=0,"",SUM($J$1432:$J1440))</f>
        <v/>
      </c>
      <c r="L1440" s="20" t="str">
        <f aca="false">IF($K1440="","",$A1440*100+$K1440)</f>
        <v/>
      </c>
      <c r="M1440" s="48" t="str">
        <f aca="false">IFERROR(INDEX(输入报销!$D:$D,MATCH($A1440&amp;"-9",输入报销!$J:$J,0))&amp;"","")</f>
        <v/>
      </c>
    </row>
    <row r="1441" customFormat="false" ht="13.5" hidden="false" customHeight="false" outlineLevel="0" collapsed="false">
      <c r="A1441" s="47" t="n">
        <v>111</v>
      </c>
      <c r="C1441" s="48" t="str">
        <f aca="false">助手报销!$C112</f>
        <v/>
      </c>
      <c r="D1441" s="81" t="s">
        <v>488</v>
      </c>
      <c r="E1441" s="48" t="str">
        <f aca="false">IFERROR(INDEX(输入报销!$E:$E,MATCH($A1441&amp;"-10",输入报销!$J:$J,0))&amp;"","")</f>
        <v/>
      </c>
      <c r="F1441" s="48" t="str">
        <f aca="false">IFERROR(INDEX(输入报销!$F:$F,MATCH($A1441&amp;"-10",输入报销!$J:$J,0))&amp;"","")</f>
        <v/>
      </c>
      <c r="G1441" s="49" t="n">
        <f aca="false">IFERROR(ROUND(INDEX(输入报销!$G:$G,MATCH($A1441&amp;"-10",输入报销!$J:$J,0)),2),0)</f>
        <v>0</v>
      </c>
      <c r="H1441" s="49" t="str">
        <f aca="false">IF(ROUND($G1441,2)&gt;0,ROUND($G1441,2),"")</f>
        <v/>
      </c>
      <c r="I1441" s="49" t="str">
        <f aca="false">IF(ROUND($G1441,2)&lt;0,-ROUND($G1441,2),"")</f>
        <v/>
      </c>
      <c r="J1441" s="20" t="n">
        <f aca="false">IF(ROUND($G1441,2)=0,0,1)</f>
        <v>0</v>
      </c>
      <c r="K1441" s="20" t="str">
        <f aca="false">IF($J1441=0,"",SUM($J$1432:$J1441))</f>
        <v/>
      </c>
      <c r="L1441" s="20" t="str">
        <f aca="false">IF($K1441="","",$A1441*100+$K1441)</f>
        <v/>
      </c>
      <c r="M1441" s="48" t="str">
        <f aca="false">IFERROR(INDEX(输入报销!$D:$D,MATCH($A1441&amp;"-10",输入报销!$J:$J,0))&amp;"","")</f>
        <v/>
      </c>
    </row>
    <row r="1442" customFormat="false" ht="13.5" hidden="false" customHeight="false" outlineLevel="0" collapsed="false">
      <c r="A1442" s="47" t="n">
        <v>111</v>
      </c>
      <c r="C1442" s="48" t="str">
        <f aca="false">助手报销!$C112</f>
        <v/>
      </c>
      <c r="D1442" s="81" t="s">
        <v>489</v>
      </c>
      <c r="E1442" s="48" t="str">
        <f aca="false">参数!$B$6</f>
        <v>库存现金</v>
      </c>
      <c r="F1442" s="48" t="str">
        <f aca="false">""</f>
        <v/>
      </c>
      <c r="G1442" s="49" t="n">
        <f aca="false">-ROUND(SUMIFS(输入报销!$G:$G,输入报销!$A:$A,$A1442,输入报销!$H:$H,参数!$B$6),2)</f>
        <v>-0</v>
      </c>
      <c r="H1442" s="49" t="str">
        <f aca="false">IF(ROUND($G1442,2)&gt;0,ROUND($G1442,2),"")</f>
        <v/>
      </c>
      <c r="I1442" s="49" t="str">
        <f aca="false">IF(ROUND($G1442,2)&lt;0,-ROUND($G1442,2),"")</f>
        <v/>
      </c>
      <c r="J1442" s="20" t="n">
        <f aca="false">IF(ROUND($G1442,2)=0,0,1)</f>
        <v>0</v>
      </c>
      <c r="K1442" s="20" t="str">
        <f aca="false">IF($J1442=0,"",SUM($J$1432:$J1442))</f>
        <v/>
      </c>
      <c r="L1442" s="20" t="str">
        <f aca="false">IF($K1442="","",$A1442*100+$K1442)</f>
        <v/>
      </c>
      <c r="M1442" s="48" t="str">
        <f aca="false">""</f>
        <v/>
      </c>
    </row>
    <row r="1443" customFormat="false" ht="13.5" hidden="false" customHeight="false" outlineLevel="0" collapsed="false">
      <c r="A1443" s="47" t="n">
        <v>111</v>
      </c>
      <c r="C1443" s="48" t="str">
        <f aca="false">助手报销!$C112</f>
        <v/>
      </c>
      <c r="D1443" s="81" t="s">
        <v>490</v>
      </c>
      <c r="E1443" s="48" t="str">
        <f aca="false">参数!$B$7</f>
        <v>银行存款</v>
      </c>
      <c r="F1443" s="48" t="str">
        <f aca="false">""</f>
        <v/>
      </c>
      <c r="G1443" s="49" t="n">
        <f aca="false">-ROUND(SUMIFS(输入报销!$G:$G,输入报销!$A:$A,$A1443,输入报销!$H:$H,参数!$B$7),2)</f>
        <v>-0</v>
      </c>
      <c r="H1443" s="49" t="str">
        <f aca="false">IF(ROUND($G1443,2)&gt;0,ROUND($G1443,2),"")</f>
        <v/>
      </c>
      <c r="I1443" s="49" t="str">
        <f aca="false">IF(ROUND($G1443,2)&lt;0,-ROUND($G1443,2),"")</f>
        <v/>
      </c>
      <c r="J1443" s="20" t="n">
        <f aca="false">IF(ROUND($G1443,2)=0,0,1)</f>
        <v>0</v>
      </c>
      <c r="K1443" s="20" t="str">
        <f aca="false">IF($J1443=0,"",SUM($J$1432:$J1443))</f>
        <v/>
      </c>
      <c r="L1443" s="20" t="str">
        <f aca="false">IF($K1443="","",$A1443*100+$K1443)</f>
        <v/>
      </c>
      <c r="M1443" s="48" t="str">
        <f aca="false">""</f>
        <v/>
      </c>
    </row>
    <row r="1444" customFormat="false" ht="13.5" hidden="false" customHeight="false" outlineLevel="0" collapsed="false">
      <c r="A1444" s="47" t="n">
        <v>111</v>
      </c>
      <c r="C1444" s="48" t="str">
        <f aca="false">助手报销!$C112</f>
        <v/>
      </c>
      <c r="D1444" s="81" t="s">
        <v>491</v>
      </c>
      <c r="E1444" s="48" t="str">
        <f aca="false">参数!$B$8</f>
        <v>其他应付款</v>
      </c>
      <c r="F1444" s="48" t="str">
        <f aca="false">""</f>
        <v/>
      </c>
      <c r="G1444" s="49" t="n">
        <f aca="false">-ROUND(SUMIFS(输入报销!$G:$G,输入报销!$A:$A,$A1444,输入报销!$H:$H,参数!$B$8),2)</f>
        <v>-0</v>
      </c>
      <c r="H1444" s="49" t="str">
        <f aca="false">IF(ROUND($G1444,2)&gt;0,ROUND($G1444,2),"")</f>
        <v/>
      </c>
      <c r="I1444" s="49" t="str">
        <f aca="false">IF(ROUND($G1444,2)&lt;0,-ROUND($G1444,2),"")</f>
        <v/>
      </c>
      <c r="J1444" s="20" t="n">
        <f aca="false">IF(ROUND($G1444,2)=0,0,1)</f>
        <v>0</v>
      </c>
      <c r="K1444" s="20" t="str">
        <f aca="false">IF($J1444=0,"",SUM($J$1432:$J1444))</f>
        <v/>
      </c>
      <c r="L1444" s="20" t="str">
        <f aca="false">IF($K1444="","",$A1444*100+$K1444)</f>
        <v/>
      </c>
      <c r="M1444" s="48" t="str">
        <f aca="false">""</f>
        <v/>
      </c>
    </row>
    <row r="1445" customFormat="false" ht="13.5" hidden="false" customHeight="false" outlineLevel="0" collapsed="false">
      <c r="A1445" s="47" t="n">
        <v>112</v>
      </c>
      <c r="C1445" s="48" t="str">
        <f aca="false">助手报销!$C113</f>
        <v/>
      </c>
      <c r="D1445" s="81" t="s">
        <v>479</v>
      </c>
      <c r="E1445" s="48" t="str">
        <f aca="false">IFERROR(INDEX(输入报销!$E:$E,MATCH($A1445&amp;"-1",输入报销!$J:$J,0))&amp;"","")</f>
        <v/>
      </c>
      <c r="F1445" s="48" t="str">
        <f aca="false">IFERROR(INDEX(输入报销!$F:$F,MATCH($A1445&amp;"-1",输入报销!$J:$J,0))&amp;"","")</f>
        <v/>
      </c>
      <c r="G1445" s="49" t="n">
        <f aca="false">IFERROR(ROUND(INDEX(输入报销!$G:$G,MATCH($A1445&amp;"-1",输入报销!$J:$J,0)),2),0)</f>
        <v>0</v>
      </c>
      <c r="H1445" s="49" t="str">
        <f aca="false">IF(ROUND($G1445,2)&gt;0,ROUND($G1445,2),"")</f>
        <v/>
      </c>
      <c r="I1445" s="49" t="str">
        <f aca="false">IF(ROUND($G1445,2)&lt;0,-ROUND($G1445,2),"")</f>
        <v/>
      </c>
      <c r="J1445" s="20" t="n">
        <f aca="false">IF(ROUND($G1445,2)=0,0,1)</f>
        <v>0</v>
      </c>
      <c r="K1445" s="20" t="str">
        <f aca="false">IF($J1445=0,"",SUM($J$1445:$J1445))</f>
        <v/>
      </c>
      <c r="L1445" s="20" t="str">
        <f aca="false">IF($K1445="","",$A1445*100+$K1445)</f>
        <v/>
      </c>
      <c r="M1445" s="48" t="str">
        <f aca="false">IFERROR(INDEX(输入报销!$D:$D,MATCH($A1445&amp;"-1",输入报销!$J:$J,0))&amp;"","")</f>
        <v/>
      </c>
    </row>
    <row r="1446" customFormat="false" ht="13.5" hidden="false" customHeight="false" outlineLevel="0" collapsed="false">
      <c r="A1446" s="47" t="n">
        <v>112</v>
      </c>
      <c r="C1446" s="48" t="str">
        <f aca="false">助手报销!$C113</f>
        <v/>
      </c>
      <c r="D1446" s="81" t="s">
        <v>480</v>
      </c>
      <c r="E1446" s="48" t="str">
        <f aca="false">IFERROR(INDEX(输入报销!$E:$E,MATCH($A1446&amp;"-2",输入报销!$J:$J,0))&amp;"","")</f>
        <v/>
      </c>
      <c r="F1446" s="48" t="str">
        <f aca="false">IFERROR(INDEX(输入报销!$F:$F,MATCH($A1446&amp;"-2",输入报销!$J:$J,0))&amp;"","")</f>
        <v/>
      </c>
      <c r="G1446" s="49" t="n">
        <f aca="false">IFERROR(ROUND(INDEX(输入报销!$G:$G,MATCH($A1446&amp;"-2",输入报销!$J:$J,0)),2),0)</f>
        <v>0</v>
      </c>
      <c r="H1446" s="49" t="str">
        <f aca="false">IF(ROUND($G1446,2)&gt;0,ROUND($G1446,2),"")</f>
        <v/>
      </c>
      <c r="I1446" s="49" t="str">
        <f aca="false">IF(ROUND($G1446,2)&lt;0,-ROUND($G1446,2),"")</f>
        <v/>
      </c>
      <c r="J1446" s="20" t="n">
        <f aca="false">IF(ROUND($G1446,2)=0,0,1)</f>
        <v>0</v>
      </c>
      <c r="K1446" s="20" t="str">
        <f aca="false">IF($J1446=0,"",SUM($J$1445:$J1446))</f>
        <v/>
      </c>
      <c r="L1446" s="20" t="str">
        <f aca="false">IF($K1446="","",$A1446*100+$K1446)</f>
        <v/>
      </c>
      <c r="M1446" s="48" t="str">
        <f aca="false">IFERROR(INDEX(输入报销!$D:$D,MATCH($A1446&amp;"-2",输入报销!$J:$J,0))&amp;"","")</f>
        <v/>
      </c>
    </row>
    <row r="1447" customFormat="false" ht="13.5" hidden="false" customHeight="false" outlineLevel="0" collapsed="false">
      <c r="A1447" s="47" t="n">
        <v>112</v>
      </c>
      <c r="C1447" s="48" t="str">
        <f aca="false">助手报销!$C113</f>
        <v/>
      </c>
      <c r="D1447" s="81" t="s">
        <v>481</v>
      </c>
      <c r="E1447" s="48" t="str">
        <f aca="false">IFERROR(INDEX(输入报销!$E:$E,MATCH($A1447&amp;"-3",输入报销!$J:$J,0))&amp;"","")</f>
        <v/>
      </c>
      <c r="F1447" s="48" t="str">
        <f aca="false">IFERROR(INDEX(输入报销!$F:$F,MATCH($A1447&amp;"-3",输入报销!$J:$J,0))&amp;"","")</f>
        <v/>
      </c>
      <c r="G1447" s="49" t="n">
        <f aca="false">IFERROR(ROUND(INDEX(输入报销!$G:$G,MATCH($A1447&amp;"-3",输入报销!$J:$J,0)),2),0)</f>
        <v>0</v>
      </c>
      <c r="H1447" s="49" t="str">
        <f aca="false">IF(ROUND($G1447,2)&gt;0,ROUND($G1447,2),"")</f>
        <v/>
      </c>
      <c r="I1447" s="49" t="str">
        <f aca="false">IF(ROUND($G1447,2)&lt;0,-ROUND($G1447,2),"")</f>
        <v/>
      </c>
      <c r="J1447" s="20" t="n">
        <f aca="false">IF(ROUND($G1447,2)=0,0,1)</f>
        <v>0</v>
      </c>
      <c r="K1447" s="20" t="str">
        <f aca="false">IF($J1447=0,"",SUM($J$1445:$J1447))</f>
        <v/>
      </c>
      <c r="L1447" s="20" t="str">
        <f aca="false">IF($K1447="","",$A1447*100+$K1447)</f>
        <v/>
      </c>
      <c r="M1447" s="48" t="str">
        <f aca="false">IFERROR(INDEX(输入报销!$D:$D,MATCH($A1447&amp;"-3",输入报销!$J:$J,0))&amp;"","")</f>
        <v/>
      </c>
    </row>
    <row r="1448" customFormat="false" ht="13.5" hidden="false" customHeight="false" outlineLevel="0" collapsed="false">
      <c r="A1448" s="47" t="n">
        <v>112</v>
      </c>
      <c r="C1448" s="48" t="str">
        <f aca="false">助手报销!$C113</f>
        <v/>
      </c>
      <c r="D1448" s="81" t="s">
        <v>482</v>
      </c>
      <c r="E1448" s="48" t="str">
        <f aca="false">IFERROR(INDEX(输入报销!$E:$E,MATCH($A1448&amp;"-4",输入报销!$J:$J,0))&amp;"","")</f>
        <v/>
      </c>
      <c r="F1448" s="48" t="str">
        <f aca="false">IFERROR(INDEX(输入报销!$F:$F,MATCH($A1448&amp;"-4",输入报销!$J:$J,0))&amp;"","")</f>
        <v/>
      </c>
      <c r="G1448" s="49" t="n">
        <f aca="false">IFERROR(ROUND(INDEX(输入报销!$G:$G,MATCH($A1448&amp;"-4",输入报销!$J:$J,0)),2),0)</f>
        <v>0</v>
      </c>
      <c r="H1448" s="49" t="str">
        <f aca="false">IF(ROUND($G1448,2)&gt;0,ROUND($G1448,2),"")</f>
        <v/>
      </c>
      <c r="I1448" s="49" t="str">
        <f aca="false">IF(ROUND($G1448,2)&lt;0,-ROUND($G1448,2),"")</f>
        <v/>
      </c>
      <c r="J1448" s="20" t="n">
        <f aca="false">IF(ROUND($G1448,2)=0,0,1)</f>
        <v>0</v>
      </c>
      <c r="K1448" s="20" t="str">
        <f aca="false">IF($J1448=0,"",SUM($J$1445:$J1448))</f>
        <v/>
      </c>
      <c r="L1448" s="20" t="str">
        <f aca="false">IF($K1448="","",$A1448*100+$K1448)</f>
        <v/>
      </c>
      <c r="M1448" s="48" t="str">
        <f aca="false">IFERROR(INDEX(输入报销!$D:$D,MATCH($A1448&amp;"-4",输入报销!$J:$J,0))&amp;"","")</f>
        <v/>
      </c>
    </row>
    <row r="1449" customFormat="false" ht="13.5" hidden="false" customHeight="false" outlineLevel="0" collapsed="false">
      <c r="A1449" s="47" t="n">
        <v>112</v>
      </c>
      <c r="C1449" s="48" t="str">
        <f aca="false">助手报销!$C113</f>
        <v/>
      </c>
      <c r="D1449" s="81" t="s">
        <v>483</v>
      </c>
      <c r="E1449" s="48" t="str">
        <f aca="false">IFERROR(INDEX(输入报销!$E:$E,MATCH($A1449&amp;"-5",输入报销!$J:$J,0))&amp;"","")</f>
        <v/>
      </c>
      <c r="F1449" s="48" t="str">
        <f aca="false">IFERROR(INDEX(输入报销!$F:$F,MATCH($A1449&amp;"-5",输入报销!$J:$J,0))&amp;"","")</f>
        <v/>
      </c>
      <c r="G1449" s="49" t="n">
        <f aca="false">IFERROR(ROUND(INDEX(输入报销!$G:$G,MATCH($A1449&amp;"-5",输入报销!$J:$J,0)),2),0)</f>
        <v>0</v>
      </c>
      <c r="H1449" s="49" t="str">
        <f aca="false">IF(ROUND($G1449,2)&gt;0,ROUND($G1449,2),"")</f>
        <v/>
      </c>
      <c r="I1449" s="49" t="str">
        <f aca="false">IF(ROUND($G1449,2)&lt;0,-ROUND($G1449,2),"")</f>
        <v/>
      </c>
      <c r="J1449" s="20" t="n">
        <f aca="false">IF(ROUND($G1449,2)=0,0,1)</f>
        <v>0</v>
      </c>
      <c r="K1449" s="20" t="str">
        <f aca="false">IF($J1449=0,"",SUM($J$1445:$J1449))</f>
        <v/>
      </c>
      <c r="L1449" s="20" t="str">
        <f aca="false">IF($K1449="","",$A1449*100+$K1449)</f>
        <v/>
      </c>
      <c r="M1449" s="48" t="str">
        <f aca="false">IFERROR(INDEX(输入报销!$D:$D,MATCH($A1449&amp;"-5",输入报销!$J:$J,0))&amp;"","")</f>
        <v/>
      </c>
    </row>
    <row r="1450" customFormat="false" ht="13.5" hidden="false" customHeight="false" outlineLevel="0" collapsed="false">
      <c r="A1450" s="47" t="n">
        <v>112</v>
      </c>
      <c r="C1450" s="48" t="str">
        <f aca="false">助手报销!$C113</f>
        <v/>
      </c>
      <c r="D1450" s="81" t="s">
        <v>484</v>
      </c>
      <c r="E1450" s="48" t="str">
        <f aca="false">IFERROR(INDEX(输入报销!$E:$E,MATCH($A1450&amp;"-6",输入报销!$J:$J,0))&amp;"","")</f>
        <v/>
      </c>
      <c r="F1450" s="48" t="str">
        <f aca="false">IFERROR(INDEX(输入报销!$F:$F,MATCH($A1450&amp;"-6",输入报销!$J:$J,0))&amp;"","")</f>
        <v/>
      </c>
      <c r="G1450" s="49" t="n">
        <f aca="false">IFERROR(ROUND(INDEX(输入报销!$G:$G,MATCH($A1450&amp;"-6",输入报销!$J:$J,0)),2),0)</f>
        <v>0</v>
      </c>
      <c r="H1450" s="49" t="str">
        <f aca="false">IF(ROUND($G1450,2)&gt;0,ROUND($G1450,2),"")</f>
        <v/>
      </c>
      <c r="I1450" s="49" t="str">
        <f aca="false">IF(ROUND($G1450,2)&lt;0,-ROUND($G1450,2),"")</f>
        <v/>
      </c>
      <c r="J1450" s="20" t="n">
        <f aca="false">IF(ROUND($G1450,2)=0,0,1)</f>
        <v>0</v>
      </c>
      <c r="K1450" s="20" t="str">
        <f aca="false">IF($J1450=0,"",SUM($J$1445:$J1450))</f>
        <v/>
      </c>
      <c r="L1450" s="20" t="str">
        <f aca="false">IF($K1450="","",$A1450*100+$K1450)</f>
        <v/>
      </c>
      <c r="M1450" s="48" t="str">
        <f aca="false">IFERROR(INDEX(输入报销!$D:$D,MATCH($A1450&amp;"-6",输入报销!$J:$J,0))&amp;"","")</f>
        <v/>
      </c>
    </row>
    <row r="1451" customFormat="false" ht="13.5" hidden="false" customHeight="false" outlineLevel="0" collapsed="false">
      <c r="A1451" s="47" t="n">
        <v>112</v>
      </c>
      <c r="C1451" s="48" t="str">
        <f aca="false">助手报销!$C113</f>
        <v/>
      </c>
      <c r="D1451" s="81" t="s">
        <v>485</v>
      </c>
      <c r="E1451" s="48" t="str">
        <f aca="false">IFERROR(INDEX(输入报销!$E:$E,MATCH($A1451&amp;"-7",输入报销!$J:$J,0))&amp;"","")</f>
        <v/>
      </c>
      <c r="F1451" s="48" t="str">
        <f aca="false">IFERROR(INDEX(输入报销!$F:$F,MATCH($A1451&amp;"-7",输入报销!$J:$J,0))&amp;"","")</f>
        <v/>
      </c>
      <c r="G1451" s="49" t="n">
        <f aca="false">IFERROR(ROUND(INDEX(输入报销!$G:$G,MATCH($A1451&amp;"-7",输入报销!$J:$J,0)),2),0)</f>
        <v>0</v>
      </c>
      <c r="H1451" s="49" t="str">
        <f aca="false">IF(ROUND($G1451,2)&gt;0,ROUND($G1451,2),"")</f>
        <v/>
      </c>
      <c r="I1451" s="49" t="str">
        <f aca="false">IF(ROUND($G1451,2)&lt;0,-ROUND($G1451,2),"")</f>
        <v/>
      </c>
      <c r="J1451" s="20" t="n">
        <f aca="false">IF(ROUND($G1451,2)=0,0,1)</f>
        <v>0</v>
      </c>
      <c r="K1451" s="20" t="str">
        <f aca="false">IF($J1451=0,"",SUM($J$1445:$J1451))</f>
        <v/>
      </c>
      <c r="L1451" s="20" t="str">
        <f aca="false">IF($K1451="","",$A1451*100+$K1451)</f>
        <v/>
      </c>
      <c r="M1451" s="48" t="str">
        <f aca="false">IFERROR(INDEX(输入报销!$D:$D,MATCH($A1451&amp;"-7",输入报销!$J:$J,0))&amp;"","")</f>
        <v/>
      </c>
    </row>
    <row r="1452" customFormat="false" ht="13.5" hidden="false" customHeight="false" outlineLevel="0" collapsed="false">
      <c r="A1452" s="47" t="n">
        <v>112</v>
      </c>
      <c r="C1452" s="48" t="str">
        <f aca="false">助手报销!$C113</f>
        <v/>
      </c>
      <c r="D1452" s="81" t="s">
        <v>486</v>
      </c>
      <c r="E1452" s="48" t="str">
        <f aca="false">IFERROR(INDEX(输入报销!$E:$E,MATCH($A1452&amp;"-8",输入报销!$J:$J,0))&amp;"","")</f>
        <v/>
      </c>
      <c r="F1452" s="48" t="str">
        <f aca="false">IFERROR(INDEX(输入报销!$F:$F,MATCH($A1452&amp;"-8",输入报销!$J:$J,0))&amp;"","")</f>
        <v/>
      </c>
      <c r="G1452" s="49" t="n">
        <f aca="false">IFERROR(ROUND(INDEX(输入报销!$G:$G,MATCH($A1452&amp;"-8",输入报销!$J:$J,0)),2),0)</f>
        <v>0</v>
      </c>
      <c r="H1452" s="49" t="str">
        <f aca="false">IF(ROUND($G1452,2)&gt;0,ROUND($G1452,2),"")</f>
        <v/>
      </c>
      <c r="I1452" s="49" t="str">
        <f aca="false">IF(ROUND($G1452,2)&lt;0,-ROUND($G1452,2),"")</f>
        <v/>
      </c>
      <c r="J1452" s="20" t="n">
        <f aca="false">IF(ROUND($G1452,2)=0,0,1)</f>
        <v>0</v>
      </c>
      <c r="K1452" s="20" t="str">
        <f aca="false">IF($J1452=0,"",SUM($J$1445:$J1452))</f>
        <v/>
      </c>
      <c r="L1452" s="20" t="str">
        <f aca="false">IF($K1452="","",$A1452*100+$K1452)</f>
        <v/>
      </c>
      <c r="M1452" s="48" t="str">
        <f aca="false">IFERROR(INDEX(输入报销!$D:$D,MATCH($A1452&amp;"-8",输入报销!$J:$J,0))&amp;"","")</f>
        <v/>
      </c>
    </row>
    <row r="1453" customFormat="false" ht="13.5" hidden="false" customHeight="false" outlineLevel="0" collapsed="false">
      <c r="A1453" s="47" t="n">
        <v>112</v>
      </c>
      <c r="C1453" s="48" t="str">
        <f aca="false">助手报销!$C113</f>
        <v/>
      </c>
      <c r="D1453" s="81" t="s">
        <v>487</v>
      </c>
      <c r="E1453" s="48" t="str">
        <f aca="false">IFERROR(INDEX(输入报销!$E:$E,MATCH($A1453&amp;"-9",输入报销!$J:$J,0))&amp;"","")</f>
        <v/>
      </c>
      <c r="F1453" s="48" t="str">
        <f aca="false">IFERROR(INDEX(输入报销!$F:$F,MATCH($A1453&amp;"-9",输入报销!$J:$J,0))&amp;"","")</f>
        <v/>
      </c>
      <c r="G1453" s="49" t="n">
        <f aca="false">IFERROR(ROUND(INDEX(输入报销!$G:$G,MATCH($A1453&amp;"-9",输入报销!$J:$J,0)),2),0)</f>
        <v>0</v>
      </c>
      <c r="H1453" s="49" t="str">
        <f aca="false">IF(ROUND($G1453,2)&gt;0,ROUND($G1453,2),"")</f>
        <v/>
      </c>
      <c r="I1453" s="49" t="str">
        <f aca="false">IF(ROUND($G1453,2)&lt;0,-ROUND($G1453,2),"")</f>
        <v/>
      </c>
      <c r="J1453" s="20" t="n">
        <f aca="false">IF(ROUND($G1453,2)=0,0,1)</f>
        <v>0</v>
      </c>
      <c r="K1453" s="20" t="str">
        <f aca="false">IF($J1453=0,"",SUM($J$1445:$J1453))</f>
        <v/>
      </c>
      <c r="L1453" s="20" t="str">
        <f aca="false">IF($K1453="","",$A1453*100+$K1453)</f>
        <v/>
      </c>
      <c r="M1453" s="48" t="str">
        <f aca="false">IFERROR(INDEX(输入报销!$D:$D,MATCH($A1453&amp;"-9",输入报销!$J:$J,0))&amp;"","")</f>
        <v/>
      </c>
    </row>
    <row r="1454" customFormat="false" ht="13.5" hidden="false" customHeight="false" outlineLevel="0" collapsed="false">
      <c r="A1454" s="47" t="n">
        <v>112</v>
      </c>
      <c r="C1454" s="48" t="str">
        <f aca="false">助手报销!$C113</f>
        <v/>
      </c>
      <c r="D1454" s="81" t="s">
        <v>488</v>
      </c>
      <c r="E1454" s="48" t="str">
        <f aca="false">IFERROR(INDEX(输入报销!$E:$E,MATCH($A1454&amp;"-10",输入报销!$J:$J,0))&amp;"","")</f>
        <v/>
      </c>
      <c r="F1454" s="48" t="str">
        <f aca="false">IFERROR(INDEX(输入报销!$F:$F,MATCH($A1454&amp;"-10",输入报销!$J:$J,0))&amp;"","")</f>
        <v/>
      </c>
      <c r="G1454" s="49" t="n">
        <f aca="false">IFERROR(ROUND(INDEX(输入报销!$G:$G,MATCH($A1454&amp;"-10",输入报销!$J:$J,0)),2),0)</f>
        <v>0</v>
      </c>
      <c r="H1454" s="49" t="str">
        <f aca="false">IF(ROUND($G1454,2)&gt;0,ROUND($G1454,2),"")</f>
        <v/>
      </c>
      <c r="I1454" s="49" t="str">
        <f aca="false">IF(ROUND($G1454,2)&lt;0,-ROUND($G1454,2),"")</f>
        <v/>
      </c>
      <c r="J1454" s="20" t="n">
        <f aca="false">IF(ROUND($G1454,2)=0,0,1)</f>
        <v>0</v>
      </c>
      <c r="K1454" s="20" t="str">
        <f aca="false">IF($J1454=0,"",SUM($J$1445:$J1454))</f>
        <v/>
      </c>
      <c r="L1454" s="20" t="str">
        <f aca="false">IF($K1454="","",$A1454*100+$K1454)</f>
        <v/>
      </c>
      <c r="M1454" s="48" t="str">
        <f aca="false">IFERROR(INDEX(输入报销!$D:$D,MATCH($A1454&amp;"-10",输入报销!$J:$J,0))&amp;"","")</f>
        <v/>
      </c>
    </row>
    <row r="1455" customFormat="false" ht="13.5" hidden="false" customHeight="false" outlineLevel="0" collapsed="false">
      <c r="A1455" s="47" t="n">
        <v>112</v>
      </c>
      <c r="C1455" s="48" t="str">
        <f aca="false">助手报销!$C113</f>
        <v/>
      </c>
      <c r="D1455" s="81" t="s">
        <v>489</v>
      </c>
      <c r="E1455" s="48" t="str">
        <f aca="false">参数!$B$6</f>
        <v>库存现金</v>
      </c>
      <c r="F1455" s="48" t="str">
        <f aca="false">""</f>
        <v/>
      </c>
      <c r="G1455" s="49" t="n">
        <f aca="false">-ROUND(SUMIFS(输入报销!$G:$G,输入报销!$A:$A,$A1455,输入报销!$H:$H,参数!$B$6),2)</f>
        <v>-0</v>
      </c>
      <c r="H1455" s="49" t="str">
        <f aca="false">IF(ROUND($G1455,2)&gt;0,ROUND($G1455,2),"")</f>
        <v/>
      </c>
      <c r="I1455" s="49" t="str">
        <f aca="false">IF(ROUND($G1455,2)&lt;0,-ROUND($G1455,2),"")</f>
        <v/>
      </c>
      <c r="J1455" s="20" t="n">
        <f aca="false">IF(ROUND($G1455,2)=0,0,1)</f>
        <v>0</v>
      </c>
      <c r="K1455" s="20" t="str">
        <f aca="false">IF($J1455=0,"",SUM($J$1445:$J1455))</f>
        <v/>
      </c>
      <c r="L1455" s="20" t="str">
        <f aca="false">IF($K1455="","",$A1455*100+$K1455)</f>
        <v/>
      </c>
      <c r="M1455" s="48" t="str">
        <f aca="false">""</f>
        <v/>
      </c>
    </row>
    <row r="1456" customFormat="false" ht="13.5" hidden="false" customHeight="false" outlineLevel="0" collapsed="false">
      <c r="A1456" s="47" t="n">
        <v>112</v>
      </c>
      <c r="C1456" s="48" t="str">
        <f aca="false">助手报销!$C113</f>
        <v/>
      </c>
      <c r="D1456" s="81" t="s">
        <v>490</v>
      </c>
      <c r="E1456" s="48" t="str">
        <f aca="false">参数!$B$7</f>
        <v>银行存款</v>
      </c>
      <c r="F1456" s="48" t="str">
        <f aca="false">""</f>
        <v/>
      </c>
      <c r="G1456" s="49" t="n">
        <f aca="false">-ROUND(SUMIFS(输入报销!$G:$G,输入报销!$A:$A,$A1456,输入报销!$H:$H,参数!$B$7),2)</f>
        <v>-0</v>
      </c>
      <c r="H1456" s="49" t="str">
        <f aca="false">IF(ROUND($G1456,2)&gt;0,ROUND($G1456,2),"")</f>
        <v/>
      </c>
      <c r="I1456" s="49" t="str">
        <f aca="false">IF(ROUND($G1456,2)&lt;0,-ROUND($G1456,2),"")</f>
        <v/>
      </c>
      <c r="J1456" s="20" t="n">
        <f aca="false">IF(ROUND($G1456,2)=0,0,1)</f>
        <v>0</v>
      </c>
      <c r="K1456" s="20" t="str">
        <f aca="false">IF($J1456=0,"",SUM($J$1445:$J1456))</f>
        <v/>
      </c>
      <c r="L1456" s="20" t="str">
        <f aca="false">IF($K1456="","",$A1456*100+$K1456)</f>
        <v/>
      </c>
      <c r="M1456" s="48" t="str">
        <f aca="false">""</f>
        <v/>
      </c>
    </row>
    <row r="1457" customFormat="false" ht="13.5" hidden="false" customHeight="false" outlineLevel="0" collapsed="false">
      <c r="A1457" s="47" t="n">
        <v>112</v>
      </c>
      <c r="C1457" s="48" t="str">
        <f aca="false">助手报销!$C113</f>
        <v/>
      </c>
      <c r="D1457" s="81" t="s">
        <v>491</v>
      </c>
      <c r="E1457" s="48" t="str">
        <f aca="false">参数!$B$8</f>
        <v>其他应付款</v>
      </c>
      <c r="F1457" s="48" t="str">
        <f aca="false">""</f>
        <v/>
      </c>
      <c r="G1457" s="49" t="n">
        <f aca="false">-ROUND(SUMIFS(输入报销!$G:$G,输入报销!$A:$A,$A1457,输入报销!$H:$H,参数!$B$8),2)</f>
        <v>-0</v>
      </c>
      <c r="H1457" s="49" t="str">
        <f aca="false">IF(ROUND($G1457,2)&gt;0,ROUND($G1457,2),"")</f>
        <v/>
      </c>
      <c r="I1457" s="49" t="str">
        <f aca="false">IF(ROUND($G1457,2)&lt;0,-ROUND($G1457,2),"")</f>
        <v/>
      </c>
      <c r="J1457" s="20" t="n">
        <f aca="false">IF(ROUND($G1457,2)=0,0,1)</f>
        <v>0</v>
      </c>
      <c r="K1457" s="20" t="str">
        <f aca="false">IF($J1457=0,"",SUM($J$1445:$J1457))</f>
        <v/>
      </c>
      <c r="L1457" s="20" t="str">
        <f aca="false">IF($K1457="","",$A1457*100+$K1457)</f>
        <v/>
      </c>
      <c r="M1457" s="48" t="str">
        <f aca="false">""</f>
        <v/>
      </c>
    </row>
    <row r="1458" customFormat="false" ht="13.5" hidden="false" customHeight="false" outlineLevel="0" collapsed="false">
      <c r="A1458" s="47" t="n">
        <v>113</v>
      </c>
      <c r="C1458" s="48" t="str">
        <f aca="false">助手报销!$C114</f>
        <v/>
      </c>
      <c r="D1458" s="81" t="s">
        <v>479</v>
      </c>
      <c r="E1458" s="48" t="str">
        <f aca="false">IFERROR(INDEX(输入报销!$E:$E,MATCH($A1458&amp;"-1",输入报销!$J:$J,0))&amp;"","")</f>
        <v/>
      </c>
      <c r="F1458" s="48" t="str">
        <f aca="false">IFERROR(INDEX(输入报销!$F:$F,MATCH($A1458&amp;"-1",输入报销!$J:$J,0))&amp;"","")</f>
        <v/>
      </c>
      <c r="G1458" s="49" t="n">
        <f aca="false">IFERROR(ROUND(INDEX(输入报销!$G:$G,MATCH($A1458&amp;"-1",输入报销!$J:$J,0)),2),0)</f>
        <v>0</v>
      </c>
      <c r="H1458" s="49" t="str">
        <f aca="false">IF(ROUND($G1458,2)&gt;0,ROUND($G1458,2),"")</f>
        <v/>
      </c>
      <c r="I1458" s="49" t="str">
        <f aca="false">IF(ROUND($G1458,2)&lt;0,-ROUND($G1458,2),"")</f>
        <v/>
      </c>
      <c r="J1458" s="20" t="n">
        <f aca="false">IF(ROUND($G1458,2)=0,0,1)</f>
        <v>0</v>
      </c>
      <c r="K1458" s="20" t="str">
        <f aca="false">IF($J1458=0,"",SUM($J$1458:$J1458))</f>
        <v/>
      </c>
      <c r="L1458" s="20" t="str">
        <f aca="false">IF($K1458="","",$A1458*100+$K1458)</f>
        <v/>
      </c>
      <c r="M1458" s="48" t="str">
        <f aca="false">IFERROR(INDEX(输入报销!$D:$D,MATCH($A1458&amp;"-1",输入报销!$J:$J,0))&amp;"","")</f>
        <v/>
      </c>
    </row>
    <row r="1459" customFormat="false" ht="13.5" hidden="false" customHeight="false" outlineLevel="0" collapsed="false">
      <c r="A1459" s="47" t="n">
        <v>113</v>
      </c>
      <c r="C1459" s="48" t="str">
        <f aca="false">助手报销!$C114</f>
        <v/>
      </c>
      <c r="D1459" s="81" t="s">
        <v>480</v>
      </c>
      <c r="E1459" s="48" t="str">
        <f aca="false">IFERROR(INDEX(输入报销!$E:$E,MATCH($A1459&amp;"-2",输入报销!$J:$J,0))&amp;"","")</f>
        <v/>
      </c>
      <c r="F1459" s="48" t="str">
        <f aca="false">IFERROR(INDEX(输入报销!$F:$F,MATCH($A1459&amp;"-2",输入报销!$J:$J,0))&amp;"","")</f>
        <v/>
      </c>
      <c r="G1459" s="49" t="n">
        <f aca="false">IFERROR(ROUND(INDEX(输入报销!$G:$G,MATCH($A1459&amp;"-2",输入报销!$J:$J,0)),2),0)</f>
        <v>0</v>
      </c>
      <c r="H1459" s="49" t="str">
        <f aca="false">IF(ROUND($G1459,2)&gt;0,ROUND($G1459,2),"")</f>
        <v/>
      </c>
      <c r="I1459" s="49" t="str">
        <f aca="false">IF(ROUND($G1459,2)&lt;0,-ROUND($G1459,2),"")</f>
        <v/>
      </c>
      <c r="J1459" s="20" t="n">
        <f aca="false">IF(ROUND($G1459,2)=0,0,1)</f>
        <v>0</v>
      </c>
      <c r="K1459" s="20" t="str">
        <f aca="false">IF($J1459=0,"",SUM($J$1458:$J1459))</f>
        <v/>
      </c>
      <c r="L1459" s="20" t="str">
        <f aca="false">IF($K1459="","",$A1459*100+$K1459)</f>
        <v/>
      </c>
      <c r="M1459" s="48" t="str">
        <f aca="false">IFERROR(INDEX(输入报销!$D:$D,MATCH($A1459&amp;"-2",输入报销!$J:$J,0))&amp;"","")</f>
        <v/>
      </c>
    </row>
    <row r="1460" customFormat="false" ht="13.5" hidden="false" customHeight="false" outlineLevel="0" collapsed="false">
      <c r="A1460" s="47" t="n">
        <v>113</v>
      </c>
      <c r="C1460" s="48" t="str">
        <f aca="false">助手报销!$C114</f>
        <v/>
      </c>
      <c r="D1460" s="81" t="s">
        <v>481</v>
      </c>
      <c r="E1460" s="48" t="str">
        <f aca="false">IFERROR(INDEX(输入报销!$E:$E,MATCH($A1460&amp;"-3",输入报销!$J:$J,0))&amp;"","")</f>
        <v/>
      </c>
      <c r="F1460" s="48" t="str">
        <f aca="false">IFERROR(INDEX(输入报销!$F:$F,MATCH($A1460&amp;"-3",输入报销!$J:$J,0))&amp;"","")</f>
        <v/>
      </c>
      <c r="G1460" s="49" t="n">
        <f aca="false">IFERROR(ROUND(INDEX(输入报销!$G:$G,MATCH($A1460&amp;"-3",输入报销!$J:$J,0)),2),0)</f>
        <v>0</v>
      </c>
      <c r="H1460" s="49" t="str">
        <f aca="false">IF(ROUND($G1460,2)&gt;0,ROUND($G1460,2),"")</f>
        <v/>
      </c>
      <c r="I1460" s="49" t="str">
        <f aca="false">IF(ROUND($G1460,2)&lt;0,-ROUND($G1460,2),"")</f>
        <v/>
      </c>
      <c r="J1460" s="20" t="n">
        <f aca="false">IF(ROUND($G1460,2)=0,0,1)</f>
        <v>0</v>
      </c>
      <c r="K1460" s="20" t="str">
        <f aca="false">IF($J1460=0,"",SUM($J$1458:$J1460))</f>
        <v/>
      </c>
      <c r="L1460" s="20" t="str">
        <f aca="false">IF($K1460="","",$A1460*100+$K1460)</f>
        <v/>
      </c>
      <c r="M1460" s="48" t="str">
        <f aca="false">IFERROR(INDEX(输入报销!$D:$D,MATCH($A1460&amp;"-3",输入报销!$J:$J,0))&amp;"","")</f>
        <v/>
      </c>
    </row>
    <row r="1461" customFormat="false" ht="13.5" hidden="false" customHeight="false" outlineLevel="0" collapsed="false">
      <c r="A1461" s="47" t="n">
        <v>113</v>
      </c>
      <c r="C1461" s="48" t="str">
        <f aca="false">助手报销!$C114</f>
        <v/>
      </c>
      <c r="D1461" s="81" t="s">
        <v>482</v>
      </c>
      <c r="E1461" s="48" t="str">
        <f aca="false">IFERROR(INDEX(输入报销!$E:$E,MATCH($A1461&amp;"-4",输入报销!$J:$J,0))&amp;"","")</f>
        <v/>
      </c>
      <c r="F1461" s="48" t="str">
        <f aca="false">IFERROR(INDEX(输入报销!$F:$F,MATCH($A1461&amp;"-4",输入报销!$J:$J,0))&amp;"","")</f>
        <v/>
      </c>
      <c r="G1461" s="49" t="n">
        <f aca="false">IFERROR(ROUND(INDEX(输入报销!$G:$G,MATCH($A1461&amp;"-4",输入报销!$J:$J,0)),2),0)</f>
        <v>0</v>
      </c>
      <c r="H1461" s="49" t="str">
        <f aca="false">IF(ROUND($G1461,2)&gt;0,ROUND($G1461,2),"")</f>
        <v/>
      </c>
      <c r="I1461" s="49" t="str">
        <f aca="false">IF(ROUND($G1461,2)&lt;0,-ROUND($G1461,2),"")</f>
        <v/>
      </c>
      <c r="J1461" s="20" t="n">
        <f aca="false">IF(ROUND($G1461,2)=0,0,1)</f>
        <v>0</v>
      </c>
      <c r="K1461" s="20" t="str">
        <f aca="false">IF($J1461=0,"",SUM($J$1458:$J1461))</f>
        <v/>
      </c>
      <c r="L1461" s="20" t="str">
        <f aca="false">IF($K1461="","",$A1461*100+$K1461)</f>
        <v/>
      </c>
      <c r="M1461" s="48" t="str">
        <f aca="false">IFERROR(INDEX(输入报销!$D:$D,MATCH($A1461&amp;"-4",输入报销!$J:$J,0))&amp;"","")</f>
        <v/>
      </c>
    </row>
    <row r="1462" customFormat="false" ht="13.5" hidden="false" customHeight="false" outlineLevel="0" collapsed="false">
      <c r="A1462" s="47" t="n">
        <v>113</v>
      </c>
      <c r="C1462" s="48" t="str">
        <f aca="false">助手报销!$C114</f>
        <v/>
      </c>
      <c r="D1462" s="81" t="s">
        <v>483</v>
      </c>
      <c r="E1462" s="48" t="str">
        <f aca="false">IFERROR(INDEX(输入报销!$E:$E,MATCH($A1462&amp;"-5",输入报销!$J:$J,0))&amp;"","")</f>
        <v/>
      </c>
      <c r="F1462" s="48" t="str">
        <f aca="false">IFERROR(INDEX(输入报销!$F:$F,MATCH($A1462&amp;"-5",输入报销!$J:$J,0))&amp;"","")</f>
        <v/>
      </c>
      <c r="G1462" s="49" t="n">
        <f aca="false">IFERROR(ROUND(INDEX(输入报销!$G:$G,MATCH($A1462&amp;"-5",输入报销!$J:$J,0)),2),0)</f>
        <v>0</v>
      </c>
      <c r="H1462" s="49" t="str">
        <f aca="false">IF(ROUND($G1462,2)&gt;0,ROUND($G1462,2),"")</f>
        <v/>
      </c>
      <c r="I1462" s="49" t="str">
        <f aca="false">IF(ROUND($G1462,2)&lt;0,-ROUND($G1462,2),"")</f>
        <v/>
      </c>
      <c r="J1462" s="20" t="n">
        <f aca="false">IF(ROUND($G1462,2)=0,0,1)</f>
        <v>0</v>
      </c>
      <c r="K1462" s="20" t="str">
        <f aca="false">IF($J1462=0,"",SUM($J$1458:$J1462))</f>
        <v/>
      </c>
      <c r="L1462" s="20" t="str">
        <f aca="false">IF($K1462="","",$A1462*100+$K1462)</f>
        <v/>
      </c>
      <c r="M1462" s="48" t="str">
        <f aca="false">IFERROR(INDEX(输入报销!$D:$D,MATCH($A1462&amp;"-5",输入报销!$J:$J,0))&amp;"","")</f>
        <v/>
      </c>
    </row>
    <row r="1463" customFormat="false" ht="13.5" hidden="false" customHeight="false" outlineLevel="0" collapsed="false">
      <c r="A1463" s="47" t="n">
        <v>113</v>
      </c>
      <c r="C1463" s="48" t="str">
        <f aca="false">助手报销!$C114</f>
        <v/>
      </c>
      <c r="D1463" s="81" t="s">
        <v>484</v>
      </c>
      <c r="E1463" s="48" t="str">
        <f aca="false">IFERROR(INDEX(输入报销!$E:$E,MATCH($A1463&amp;"-6",输入报销!$J:$J,0))&amp;"","")</f>
        <v/>
      </c>
      <c r="F1463" s="48" t="str">
        <f aca="false">IFERROR(INDEX(输入报销!$F:$F,MATCH($A1463&amp;"-6",输入报销!$J:$J,0))&amp;"","")</f>
        <v/>
      </c>
      <c r="G1463" s="49" t="n">
        <f aca="false">IFERROR(ROUND(INDEX(输入报销!$G:$G,MATCH($A1463&amp;"-6",输入报销!$J:$J,0)),2),0)</f>
        <v>0</v>
      </c>
      <c r="H1463" s="49" t="str">
        <f aca="false">IF(ROUND($G1463,2)&gt;0,ROUND($G1463,2),"")</f>
        <v/>
      </c>
      <c r="I1463" s="49" t="str">
        <f aca="false">IF(ROUND($G1463,2)&lt;0,-ROUND($G1463,2),"")</f>
        <v/>
      </c>
      <c r="J1463" s="20" t="n">
        <f aca="false">IF(ROUND($G1463,2)=0,0,1)</f>
        <v>0</v>
      </c>
      <c r="K1463" s="20" t="str">
        <f aca="false">IF($J1463=0,"",SUM($J$1458:$J1463))</f>
        <v/>
      </c>
      <c r="L1463" s="20" t="str">
        <f aca="false">IF($K1463="","",$A1463*100+$K1463)</f>
        <v/>
      </c>
      <c r="M1463" s="48" t="str">
        <f aca="false">IFERROR(INDEX(输入报销!$D:$D,MATCH($A1463&amp;"-6",输入报销!$J:$J,0))&amp;"","")</f>
        <v/>
      </c>
    </row>
    <row r="1464" customFormat="false" ht="13.5" hidden="false" customHeight="false" outlineLevel="0" collapsed="false">
      <c r="A1464" s="47" t="n">
        <v>113</v>
      </c>
      <c r="C1464" s="48" t="str">
        <f aca="false">助手报销!$C114</f>
        <v/>
      </c>
      <c r="D1464" s="81" t="s">
        <v>485</v>
      </c>
      <c r="E1464" s="48" t="str">
        <f aca="false">IFERROR(INDEX(输入报销!$E:$E,MATCH($A1464&amp;"-7",输入报销!$J:$J,0))&amp;"","")</f>
        <v/>
      </c>
      <c r="F1464" s="48" t="str">
        <f aca="false">IFERROR(INDEX(输入报销!$F:$F,MATCH($A1464&amp;"-7",输入报销!$J:$J,0))&amp;"","")</f>
        <v/>
      </c>
      <c r="G1464" s="49" t="n">
        <f aca="false">IFERROR(ROUND(INDEX(输入报销!$G:$G,MATCH($A1464&amp;"-7",输入报销!$J:$J,0)),2),0)</f>
        <v>0</v>
      </c>
      <c r="H1464" s="49" t="str">
        <f aca="false">IF(ROUND($G1464,2)&gt;0,ROUND($G1464,2),"")</f>
        <v/>
      </c>
      <c r="I1464" s="49" t="str">
        <f aca="false">IF(ROUND($G1464,2)&lt;0,-ROUND($G1464,2),"")</f>
        <v/>
      </c>
      <c r="J1464" s="20" t="n">
        <f aca="false">IF(ROUND($G1464,2)=0,0,1)</f>
        <v>0</v>
      </c>
      <c r="K1464" s="20" t="str">
        <f aca="false">IF($J1464=0,"",SUM($J$1458:$J1464))</f>
        <v/>
      </c>
      <c r="L1464" s="20" t="str">
        <f aca="false">IF($K1464="","",$A1464*100+$K1464)</f>
        <v/>
      </c>
      <c r="M1464" s="48" t="str">
        <f aca="false">IFERROR(INDEX(输入报销!$D:$D,MATCH($A1464&amp;"-7",输入报销!$J:$J,0))&amp;"","")</f>
        <v/>
      </c>
    </row>
    <row r="1465" customFormat="false" ht="13.5" hidden="false" customHeight="false" outlineLevel="0" collapsed="false">
      <c r="A1465" s="47" t="n">
        <v>113</v>
      </c>
      <c r="C1465" s="48" t="str">
        <f aca="false">助手报销!$C114</f>
        <v/>
      </c>
      <c r="D1465" s="81" t="s">
        <v>486</v>
      </c>
      <c r="E1465" s="48" t="str">
        <f aca="false">IFERROR(INDEX(输入报销!$E:$E,MATCH($A1465&amp;"-8",输入报销!$J:$J,0))&amp;"","")</f>
        <v/>
      </c>
      <c r="F1465" s="48" t="str">
        <f aca="false">IFERROR(INDEX(输入报销!$F:$F,MATCH($A1465&amp;"-8",输入报销!$J:$J,0))&amp;"","")</f>
        <v/>
      </c>
      <c r="G1465" s="49" t="n">
        <f aca="false">IFERROR(ROUND(INDEX(输入报销!$G:$G,MATCH($A1465&amp;"-8",输入报销!$J:$J,0)),2),0)</f>
        <v>0</v>
      </c>
      <c r="H1465" s="49" t="str">
        <f aca="false">IF(ROUND($G1465,2)&gt;0,ROUND($G1465,2),"")</f>
        <v/>
      </c>
      <c r="I1465" s="49" t="str">
        <f aca="false">IF(ROUND($G1465,2)&lt;0,-ROUND($G1465,2),"")</f>
        <v/>
      </c>
      <c r="J1465" s="20" t="n">
        <f aca="false">IF(ROUND($G1465,2)=0,0,1)</f>
        <v>0</v>
      </c>
      <c r="K1465" s="20" t="str">
        <f aca="false">IF($J1465=0,"",SUM($J$1458:$J1465))</f>
        <v/>
      </c>
      <c r="L1465" s="20" t="str">
        <f aca="false">IF($K1465="","",$A1465*100+$K1465)</f>
        <v/>
      </c>
      <c r="M1465" s="48" t="str">
        <f aca="false">IFERROR(INDEX(输入报销!$D:$D,MATCH($A1465&amp;"-8",输入报销!$J:$J,0))&amp;"","")</f>
        <v/>
      </c>
    </row>
    <row r="1466" customFormat="false" ht="13.5" hidden="false" customHeight="false" outlineLevel="0" collapsed="false">
      <c r="A1466" s="47" t="n">
        <v>113</v>
      </c>
      <c r="C1466" s="48" t="str">
        <f aca="false">助手报销!$C114</f>
        <v/>
      </c>
      <c r="D1466" s="81" t="s">
        <v>487</v>
      </c>
      <c r="E1466" s="48" t="str">
        <f aca="false">IFERROR(INDEX(输入报销!$E:$E,MATCH($A1466&amp;"-9",输入报销!$J:$J,0))&amp;"","")</f>
        <v/>
      </c>
      <c r="F1466" s="48" t="str">
        <f aca="false">IFERROR(INDEX(输入报销!$F:$F,MATCH($A1466&amp;"-9",输入报销!$J:$J,0))&amp;"","")</f>
        <v/>
      </c>
      <c r="G1466" s="49" t="n">
        <f aca="false">IFERROR(ROUND(INDEX(输入报销!$G:$G,MATCH($A1466&amp;"-9",输入报销!$J:$J,0)),2),0)</f>
        <v>0</v>
      </c>
      <c r="H1466" s="49" t="str">
        <f aca="false">IF(ROUND($G1466,2)&gt;0,ROUND($G1466,2),"")</f>
        <v/>
      </c>
      <c r="I1466" s="49" t="str">
        <f aca="false">IF(ROUND($G1466,2)&lt;0,-ROUND($G1466,2),"")</f>
        <v/>
      </c>
      <c r="J1466" s="20" t="n">
        <f aca="false">IF(ROUND($G1466,2)=0,0,1)</f>
        <v>0</v>
      </c>
      <c r="K1466" s="20" t="str">
        <f aca="false">IF($J1466=0,"",SUM($J$1458:$J1466))</f>
        <v/>
      </c>
      <c r="L1466" s="20" t="str">
        <f aca="false">IF($K1466="","",$A1466*100+$K1466)</f>
        <v/>
      </c>
      <c r="M1466" s="48" t="str">
        <f aca="false">IFERROR(INDEX(输入报销!$D:$D,MATCH($A1466&amp;"-9",输入报销!$J:$J,0))&amp;"","")</f>
        <v/>
      </c>
    </row>
    <row r="1467" customFormat="false" ht="13.5" hidden="false" customHeight="false" outlineLevel="0" collapsed="false">
      <c r="A1467" s="47" t="n">
        <v>113</v>
      </c>
      <c r="C1467" s="48" t="str">
        <f aca="false">助手报销!$C114</f>
        <v/>
      </c>
      <c r="D1467" s="81" t="s">
        <v>488</v>
      </c>
      <c r="E1467" s="48" t="str">
        <f aca="false">IFERROR(INDEX(输入报销!$E:$E,MATCH($A1467&amp;"-10",输入报销!$J:$J,0))&amp;"","")</f>
        <v/>
      </c>
      <c r="F1467" s="48" t="str">
        <f aca="false">IFERROR(INDEX(输入报销!$F:$F,MATCH($A1467&amp;"-10",输入报销!$J:$J,0))&amp;"","")</f>
        <v/>
      </c>
      <c r="G1467" s="49" t="n">
        <f aca="false">IFERROR(ROUND(INDEX(输入报销!$G:$G,MATCH($A1467&amp;"-10",输入报销!$J:$J,0)),2),0)</f>
        <v>0</v>
      </c>
      <c r="H1467" s="49" t="str">
        <f aca="false">IF(ROUND($G1467,2)&gt;0,ROUND($G1467,2),"")</f>
        <v/>
      </c>
      <c r="I1467" s="49" t="str">
        <f aca="false">IF(ROUND($G1467,2)&lt;0,-ROUND($G1467,2),"")</f>
        <v/>
      </c>
      <c r="J1467" s="20" t="n">
        <f aca="false">IF(ROUND($G1467,2)=0,0,1)</f>
        <v>0</v>
      </c>
      <c r="K1467" s="20" t="str">
        <f aca="false">IF($J1467=0,"",SUM($J$1458:$J1467))</f>
        <v/>
      </c>
      <c r="L1467" s="20" t="str">
        <f aca="false">IF($K1467="","",$A1467*100+$K1467)</f>
        <v/>
      </c>
      <c r="M1467" s="48" t="str">
        <f aca="false">IFERROR(INDEX(输入报销!$D:$D,MATCH($A1467&amp;"-10",输入报销!$J:$J,0))&amp;"","")</f>
        <v/>
      </c>
    </row>
    <row r="1468" customFormat="false" ht="13.5" hidden="false" customHeight="false" outlineLevel="0" collapsed="false">
      <c r="A1468" s="47" t="n">
        <v>113</v>
      </c>
      <c r="C1468" s="48" t="str">
        <f aca="false">助手报销!$C114</f>
        <v/>
      </c>
      <c r="D1468" s="81" t="s">
        <v>489</v>
      </c>
      <c r="E1468" s="48" t="str">
        <f aca="false">参数!$B$6</f>
        <v>库存现金</v>
      </c>
      <c r="F1468" s="48" t="str">
        <f aca="false">""</f>
        <v/>
      </c>
      <c r="G1468" s="49" t="n">
        <f aca="false">-ROUND(SUMIFS(输入报销!$G:$G,输入报销!$A:$A,$A1468,输入报销!$H:$H,参数!$B$6),2)</f>
        <v>-0</v>
      </c>
      <c r="H1468" s="49" t="str">
        <f aca="false">IF(ROUND($G1468,2)&gt;0,ROUND($G1468,2),"")</f>
        <v/>
      </c>
      <c r="I1468" s="49" t="str">
        <f aca="false">IF(ROUND($G1468,2)&lt;0,-ROUND($G1468,2),"")</f>
        <v/>
      </c>
      <c r="J1468" s="20" t="n">
        <f aca="false">IF(ROUND($G1468,2)=0,0,1)</f>
        <v>0</v>
      </c>
      <c r="K1468" s="20" t="str">
        <f aca="false">IF($J1468=0,"",SUM($J$1458:$J1468))</f>
        <v/>
      </c>
      <c r="L1468" s="20" t="str">
        <f aca="false">IF($K1468="","",$A1468*100+$K1468)</f>
        <v/>
      </c>
      <c r="M1468" s="48" t="str">
        <f aca="false">""</f>
        <v/>
      </c>
    </row>
    <row r="1469" customFormat="false" ht="13.5" hidden="false" customHeight="false" outlineLevel="0" collapsed="false">
      <c r="A1469" s="47" t="n">
        <v>113</v>
      </c>
      <c r="C1469" s="48" t="str">
        <f aca="false">助手报销!$C114</f>
        <v/>
      </c>
      <c r="D1469" s="81" t="s">
        <v>490</v>
      </c>
      <c r="E1469" s="48" t="str">
        <f aca="false">参数!$B$7</f>
        <v>银行存款</v>
      </c>
      <c r="F1469" s="48" t="str">
        <f aca="false">""</f>
        <v/>
      </c>
      <c r="G1469" s="49" t="n">
        <f aca="false">-ROUND(SUMIFS(输入报销!$G:$G,输入报销!$A:$A,$A1469,输入报销!$H:$H,参数!$B$7),2)</f>
        <v>-0</v>
      </c>
      <c r="H1469" s="49" t="str">
        <f aca="false">IF(ROUND($G1469,2)&gt;0,ROUND($G1469,2),"")</f>
        <v/>
      </c>
      <c r="I1469" s="49" t="str">
        <f aca="false">IF(ROUND($G1469,2)&lt;0,-ROUND($G1469,2),"")</f>
        <v/>
      </c>
      <c r="J1469" s="20" t="n">
        <f aca="false">IF(ROUND($G1469,2)=0,0,1)</f>
        <v>0</v>
      </c>
      <c r="K1469" s="20" t="str">
        <f aca="false">IF($J1469=0,"",SUM($J$1458:$J1469))</f>
        <v/>
      </c>
      <c r="L1469" s="20" t="str">
        <f aca="false">IF($K1469="","",$A1469*100+$K1469)</f>
        <v/>
      </c>
      <c r="M1469" s="48" t="str">
        <f aca="false">""</f>
        <v/>
      </c>
    </row>
    <row r="1470" customFormat="false" ht="13.5" hidden="false" customHeight="false" outlineLevel="0" collapsed="false">
      <c r="A1470" s="47" t="n">
        <v>113</v>
      </c>
      <c r="C1470" s="48" t="str">
        <f aca="false">助手报销!$C114</f>
        <v/>
      </c>
      <c r="D1470" s="81" t="s">
        <v>491</v>
      </c>
      <c r="E1470" s="48" t="str">
        <f aca="false">参数!$B$8</f>
        <v>其他应付款</v>
      </c>
      <c r="F1470" s="48" t="str">
        <f aca="false">""</f>
        <v/>
      </c>
      <c r="G1470" s="49" t="n">
        <f aca="false">-ROUND(SUMIFS(输入报销!$G:$G,输入报销!$A:$A,$A1470,输入报销!$H:$H,参数!$B$8),2)</f>
        <v>-0</v>
      </c>
      <c r="H1470" s="49" t="str">
        <f aca="false">IF(ROUND($G1470,2)&gt;0,ROUND($G1470,2),"")</f>
        <v/>
      </c>
      <c r="I1470" s="49" t="str">
        <f aca="false">IF(ROUND($G1470,2)&lt;0,-ROUND($G1470,2),"")</f>
        <v/>
      </c>
      <c r="J1470" s="20" t="n">
        <f aca="false">IF(ROUND($G1470,2)=0,0,1)</f>
        <v>0</v>
      </c>
      <c r="K1470" s="20" t="str">
        <f aca="false">IF($J1470=0,"",SUM($J$1458:$J1470))</f>
        <v/>
      </c>
      <c r="L1470" s="20" t="str">
        <f aca="false">IF($K1470="","",$A1470*100+$K1470)</f>
        <v/>
      </c>
      <c r="M1470" s="48" t="str">
        <f aca="false">""</f>
        <v/>
      </c>
    </row>
    <row r="1471" customFormat="false" ht="13.5" hidden="false" customHeight="false" outlineLevel="0" collapsed="false">
      <c r="A1471" s="47" t="n">
        <v>114</v>
      </c>
      <c r="C1471" s="48" t="str">
        <f aca="false">助手报销!$C115</f>
        <v/>
      </c>
      <c r="D1471" s="81" t="s">
        <v>479</v>
      </c>
      <c r="E1471" s="48" t="str">
        <f aca="false">IFERROR(INDEX(输入报销!$E:$E,MATCH($A1471&amp;"-1",输入报销!$J:$J,0))&amp;"","")</f>
        <v/>
      </c>
      <c r="F1471" s="48" t="str">
        <f aca="false">IFERROR(INDEX(输入报销!$F:$F,MATCH($A1471&amp;"-1",输入报销!$J:$J,0))&amp;"","")</f>
        <v/>
      </c>
      <c r="G1471" s="49" t="n">
        <f aca="false">IFERROR(ROUND(INDEX(输入报销!$G:$G,MATCH($A1471&amp;"-1",输入报销!$J:$J,0)),2),0)</f>
        <v>0</v>
      </c>
      <c r="H1471" s="49" t="str">
        <f aca="false">IF(ROUND($G1471,2)&gt;0,ROUND($G1471,2),"")</f>
        <v/>
      </c>
      <c r="I1471" s="49" t="str">
        <f aca="false">IF(ROUND($G1471,2)&lt;0,-ROUND($G1471,2),"")</f>
        <v/>
      </c>
      <c r="J1471" s="20" t="n">
        <f aca="false">IF(ROUND($G1471,2)=0,0,1)</f>
        <v>0</v>
      </c>
      <c r="K1471" s="20" t="str">
        <f aca="false">IF($J1471=0,"",SUM($J$1471:$J1471))</f>
        <v/>
      </c>
      <c r="L1471" s="20" t="str">
        <f aca="false">IF($K1471="","",$A1471*100+$K1471)</f>
        <v/>
      </c>
      <c r="M1471" s="48" t="str">
        <f aca="false">IFERROR(INDEX(输入报销!$D:$D,MATCH($A1471&amp;"-1",输入报销!$J:$J,0))&amp;"","")</f>
        <v/>
      </c>
    </row>
    <row r="1472" customFormat="false" ht="13.5" hidden="false" customHeight="false" outlineLevel="0" collapsed="false">
      <c r="A1472" s="47" t="n">
        <v>114</v>
      </c>
      <c r="C1472" s="48" t="str">
        <f aca="false">助手报销!$C115</f>
        <v/>
      </c>
      <c r="D1472" s="81" t="s">
        <v>480</v>
      </c>
      <c r="E1472" s="48" t="str">
        <f aca="false">IFERROR(INDEX(输入报销!$E:$E,MATCH($A1472&amp;"-2",输入报销!$J:$J,0))&amp;"","")</f>
        <v/>
      </c>
      <c r="F1472" s="48" t="str">
        <f aca="false">IFERROR(INDEX(输入报销!$F:$F,MATCH($A1472&amp;"-2",输入报销!$J:$J,0))&amp;"","")</f>
        <v/>
      </c>
      <c r="G1472" s="49" t="n">
        <f aca="false">IFERROR(ROUND(INDEX(输入报销!$G:$G,MATCH($A1472&amp;"-2",输入报销!$J:$J,0)),2),0)</f>
        <v>0</v>
      </c>
      <c r="H1472" s="49" t="str">
        <f aca="false">IF(ROUND($G1472,2)&gt;0,ROUND($G1472,2),"")</f>
        <v/>
      </c>
      <c r="I1472" s="49" t="str">
        <f aca="false">IF(ROUND($G1472,2)&lt;0,-ROUND($G1472,2),"")</f>
        <v/>
      </c>
      <c r="J1472" s="20" t="n">
        <f aca="false">IF(ROUND($G1472,2)=0,0,1)</f>
        <v>0</v>
      </c>
      <c r="K1472" s="20" t="str">
        <f aca="false">IF($J1472=0,"",SUM($J$1471:$J1472))</f>
        <v/>
      </c>
      <c r="L1472" s="20" t="str">
        <f aca="false">IF($K1472="","",$A1472*100+$K1472)</f>
        <v/>
      </c>
      <c r="M1472" s="48" t="str">
        <f aca="false">IFERROR(INDEX(输入报销!$D:$D,MATCH($A1472&amp;"-2",输入报销!$J:$J,0))&amp;"","")</f>
        <v/>
      </c>
    </row>
    <row r="1473" customFormat="false" ht="13.5" hidden="false" customHeight="false" outlineLevel="0" collapsed="false">
      <c r="A1473" s="47" t="n">
        <v>114</v>
      </c>
      <c r="C1473" s="48" t="str">
        <f aca="false">助手报销!$C115</f>
        <v/>
      </c>
      <c r="D1473" s="81" t="s">
        <v>481</v>
      </c>
      <c r="E1473" s="48" t="str">
        <f aca="false">IFERROR(INDEX(输入报销!$E:$E,MATCH($A1473&amp;"-3",输入报销!$J:$J,0))&amp;"","")</f>
        <v/>
      </c>
      <c r="F1473" s="48" t="str">
        <f aca="false">IFERROR(INDEX(输入报销!$F:$F,MATCH($A1473&amp;"-3",输入报销!$J:$J,0))&amp;"","")</f>
        <v/>
      </c>
      <c r="G1473" s="49" t="n">
        <f aca="false">IFERROR(ROUND(INDEX(输入报销!$G:$G,MATCH($A1473&amp;"-3",输入报销!$J:$J,0)),2),0)</f>
        <v>0</v>
      </c>
      <c r="H1473" s="49" t="str">
        <f aca="false">IF(ROUND($G1473,2)&gt;0,ROUND($G1473,2),"")</f>
        <v/>
      </c>
      <c r="I1473" s="49" t="str">
        <f aca="false">IF(ROUND($G1473,2)&lt;0,-ROUND($G1473,2),"")</f>
        <v/>
      </c>
      <c r="J1473" s="20" t="n">
        <f aca="false">IF(ROUND($G1473,2)=0,0,1)</f>
        <v>0</v>
      </c>
      <c r="K1473" s="20" t="str">
        <f aca="false">IF($J1473=0,"",SUM($J$1471:$J1473))</f>
        <v/>
      </c>
      <c r="L1473" s="20" t="str">
        <f aca="false">IF($K1473="","",$A1473*100+$K1473)</f>
        <v/>
      </c>
      <c r="M1473" s="48" t="str">
        <f aca="false">IFERROR(INDEX(输入报销!$D:$D,MATCH($A1473&amp;"-3",输入报销!$J:$J,0))&amp;"","")</f>
        <v/>
      </c>
    </row>
    <row r="1474" customFormat="false" ht="13.5" hidden="false" customHeight="false" outlineLevel="0" collapsed="false">
      <c r="A1474" s="47" t="n">
        <v>114</v>
      </c>
      <c r="C1474" s="48" t="str">
        <f aca="false">助手报销!$C115</f>
        <v/>
      </c>
      <c r="D1474" s="81" t="s">
        <v>482</v>
      </c>
      <c r="E1474" s="48" t="str">
        <f aca="false">IFERROR(INDEX(输入报销!$E:$E,MATCH($A1474&amp;"-4",输入报销!$J:$J,0))&amp;"","")</f>
        <v/>
      </c>
      <c r="F1474" s="48" t="str">
        <f aca="false">IFERROR(INDEX(输入报销!$F:$F,MATCH($A1474&amp;"-4",输入报销!$J:$J,0))&amp;"","")</f>
        <v/>
      </c>
      <c r="G1474" s="49" t="n">
        <f aca="false">IFERROR(ROUND(INDEX(输入报销!$G:$G,MATCH($A1474&amp;"-4",输入报销!$J:$J,0)),2),0)</f>
        <v>0</v>
      </c>
      <c r="H1474" s="49" t="str">
        <f aca="false">IF(ROUND($G1474,2)&gt;0,ROUND($G1474,2),"")</f>
        <v/>
      </c>
      <c r="I1474" s="49" t="str">
        <f aca="false">IF(ROUND($G1474,2)&lt;0,-ROUND($G1474,2),"")</f>
        <v/>
      </c>
      <c r="J1474" s="20" t="n">
        <f aca="false">IF(ROUND($G1474,2)=0,0,1)</f>
        <v>0</v>
      </c>
      <c r="K1474" s="20" t="str">
        <f aca="false">IF($J1474=0,"",SUM($J$1471:$J1474))</f>
        <v/>
      </c>
      <c r="L1474" s="20" t="str">
        <f aca="false">IF($K1474="","",$A1474*100+$K1474)</f>
        <v/>
      </c>
      <c r="M1474" s="48" t="str">
        <f aca="false">IFERROR(INDEX(输入报销!$D:$D,MATCH($A1474&amp;"-4",输入报销!$J:$J,0))&amp;"","")</f>
        <v/>
      </c>
    </row>
    <row r="1475" customFormat="false" ht="13.5" hidden="false" customHeight="false" outlineLevel="0" collapsed="false">
      <c r="A1475" s="47" t="n">
        <v>114</v>
      </c>
      <c r="C1475" s="48" t="str">
        <f aca="false">助手报销!$C115</f>
        <v/>
      </c>
      <c r="D1475" s="81" t="s">
        <v>483</v>
      </c>
      <c r="E1475" s="48" t="str">
        <f aca="false">IFERROR(INDEX(输入报销!$E:$E,MATCH($A1475&amp;"-5",输入报销!$J:$J,0))&amp;"","")</f>
        <v/>
      </c>
      <c r="F1475" s="48" t="str">
        <f aca="false">IFERROR(INDEX(输入报销!$F:$F,MATCH($A1475&amp;"-5",输入报销!$J:$J,0))&amp;"","")</f>
        <v/>
      </c>
      <c r="G1475" s="49" t="n">
        <f aca="false">IFERROR(ROUND(INDEX(输入报销!$G:$G,MATCH($A1475&amp;"-5",输入报销!$J:$J,0)),2),0)</f>
        <v>0</v>
      </c>
      <c r="H1475" s="49" t="str">
        <f aca="false">IF(ROUND($G1475,2)&gt;0,ROUND($G1475,2),"")</f>
        <v/>
      </c>
      <c r="I1475" s="49" t="str">
        <f aca="false">IF(ROUND($G1475,2)&lt;0,-ROUND($G1475,2),"")</f>
        <v/>
      </c>
      <c r="J1475" s="20" t="n">
        <f aca="false">IF(ROUND($G1475,2)=0,0,1)</f>
        <v>0</v>
      </c>
      <c r="K1475" s="20" t="str">
        <f aca="false">IF($J1475=0,"",SUM($J$1471:$J1475))</f>
        <v/>
      </c>
      <c r="L1475" s="20" t="str">
        <f aca="false">IF($K1475="","",$A1475*100+$K1475)</f>
        <v/>
      </c>
      <c r="M1475" s="48" t="str">
        <f aca="false">IFERROR(INDEX(输入报销!$D:$D,MATCH($A1475&amp;"-5",输入报销!$J:$J,0))&amp;"","")</f>
        <v/>
      </c>
    </row>
    <row r="1476" customFormat="false" ht="13.5" hidden="false" customHeight="false" outlineLevel="0" collapsed="false">
      <c r="A1476" s="47" t="n">
        <v>114</v>
      </c>
      <c r="C1476" s="48" t="str">
        <f aca="false">助手报销!$C115</f>
        <v/>
      </c>
      <c r="D1476" s="81" t="s">
        <v>484</v>
      </c>
      <c r="E1476" s="48" t="str">
        <f aca="false">IFERROR(INDEX(输入报销!$E:$E,MATCH($A1476&amp;"-6",输入报销!$J:$J,0))&amp;"","")</f>
        <v/>
      </c>
      <c r="F1476" s="48" t="str">
        <f aca="false">IFERROR(INDEX(输入报销!$F:$F,MATCH($A1476&amp;"-6",输入报销!$J:$J,0))&amp;"","")</f>
        <v/>
      </c>
      <c r="G1476" s="49" t="n">
        <f aca="false">IFERROR(ROUND(INDEX(输入报销!$G:$G,MATCH($A1476&amp;"-6",输入报销!$J:$J,0)),2),0)</f>
        <v>0</v>
      </c>
      <c r="H1476" s="49" t="str">
        <f aca="false">IF(ROUND($G1476,2)&gt;0,ROUND($G1476,2),"")</f>
        <v/>
      </c>
      <c r="I1476" s="49" t="str">
        <f aca="false">IF(ROUND($G1476,2)&lt;0,-ROUND($G1476,2),"")</f>
        <v/>
      </c>
      <c r="J1476" s="20" t="n">
        <f aca="false">IF(ROUND($G1476,2)=0,0,1)</f>
        <v>0</v>
      </c>
      <c r="K1476" s="20" t="str">
        <f aca="false">IF($J1476=0,"",SUM($J$1471:$J1476))</f>
        <v/>
      </c>
      <c r="L1476" s="20" t="str">
        <f aca="false">IF($K1476="","",$A1476*100+$K1476)</f>
        <v/>
      </c>
      <c r="M1476" s="48" t="str">
        <f aca="false">IFERROR(INDEX(输入报销!$D:$D,MATCH($A1476&amp;"-6",输入报销!$J:$J,0))&amp;"","")</f>
        <v/>
      </c>
    </row>
    <row r="1477" customFormat="false" ht="13.5" hidden="false" customHeight="false" outlineLevel="0" collapsed="false">
      <c r="A1477" s="47" t="n">
        <v>114</v>
      </c>
      <c r="C1477" s="48" t="str">
        <f aca="false">助手报销!$C115</f>
        <v/>
      </c>
      <c r="D1477" s="81" t="s">
        <v>485</v>
      </c>
      <c r="E1477" s="48" t="str">
        <f aca="false">IFERROR(INDEX(输入报销!$E:$E,MATCH($A1477&amp;"-7",输入报销!$J:$J,0))&amp;"","")</f>
        <v/>
      </c>
      <c r="F1477" s="48" t="str">
        <f aca="false">IFERROR(INDEX(输入报销!$F:$F,MATCH($A1477&amp;"-7",输入报销!$J:$J,0))&amp;"","")</f>
        <v/>
      </c>
      <c r="G1477" s="49" t="n">
        <f aca="false">IFERROR(ROUND(INDEX(输入报销!$G:$G,MATCH($A1477&amp;"-7",输入报销!$J:$J,0)),2),0)</f>
        <v>0</v>
      </c>
      <c r="H1477" s="49" t="str">
        <f aca="false">IF(ROUND($G1477,2)&gt;0,ROUND($G1477,2),"")</f>
        <v/>
      </c>
      <c r="I1477" s="49" t="str">
        <f aca="false">IF(ROUND($G1477,2)&lt;0,-ROUND($G1477,2),"")</f>
        <v/>
      </c>
      <c r="J1477" s="20" t="n">
        <f aca="false">IF(ROUND($G1477,2)=0,0,1)</f>
        <v>0</v>
      </c>
      <c r="K1477" s="20" t="str">
        <f aca="false">IF($J1477=0,"",SUM($J$1471:$J1477))</f>
        <v/>
      </c>
      <c r="L1477" s="20" t="str">
        <f aca="false">IF($K1477="","",$A1477*100+$K1477)</f>
        <v/>
      </c>
      <c r="M1477" s="48" t="str">
        <f aca="false">IFERROR(INDEX(输入报销!$D:$D,MATCH($A1477&amp;"-7",输入报销!$J:$J,0))&amp;"","")</f>
        <v/>
      </c>
    </row>
    <row r="1478" customFormat="false" ht="13.5" hidden="false" customHeight="false" outlineLevel="0" collapsed="false">
      <c r="A1478" s="47" t="n">
        <v>114</v>
      </c>
      <c r="C1478" s="48" t="str">
        <f aca="false">助手报销!$C115</f>
        <v/>
      </c>
      <c r="D1478" s="81" t="s">
        <v>486</v>
      </c>
      <c r="E1478" s="48" t="str">
        <f aca="false">IFERROR(INDEX(输入报销!$E:$E,MATCH($A1478&amp;"-8",输入报销!$J:$J,0))&amp;"","")</f>
        <v/>
      </c>
      <c r="F1478" s="48" t="str">
        <f aca="false">IFERROR(INDEX(输入报销!$F:$F,MATCH($A1478&amp;"-8",输入报销!$J:$J,0))&amp;"","")</f>
        <v/>
      </c>
      <c r="G1478" s="49" t="n">
        <f aca="false">IFERROR(ROUND(INDEX(输入报销!$G:$G,MATCH($A1478&amp;"-8",输入报销!$J:$J,0)),2),0)</f>
        <v>0</v>
      </c>
      <c r="H1478" s="49" t="str">
        <f aca="false">IF(ROUND($G1478,2)&gt;0,ROUND($G1478,2),"")</f>
        <v/>
      </c>
      <c r="I1478" s="49" t="str">
        <f aca="false">IF(ROUND($G1478,2)&lt;0,-ROUND($G1478,2),"")</f>
        <v/>
      </c>
      <c r="J1478" s="20" t="n">
        <f aca="false">IF(ROUND($G1478,2)=0,0,1)</f>
        <v>0</v>
      </c>
      <c r="K1478" s="20" t="str">
        <f aca="false">IF($J1478=0,"",SUM($J$1471:$J1478))</f>
        <v/>
      </c>
      <c r="L1478" s="20" t="str">
        <f aca="false">IF($K1478="","",$A1478*100+$K1478)</f>
        <v/>
      </c>
      <c r="M1478" s="48" t="str">
        <f aca="false">IFERROR(INDEX(输入报销!$D:$D,MATCH($A1478&amp;"-8",输入报销!$J:$J,0))&amp;"","")</f>
        <v/>
      </c>
    </row>
    <row r="1479" customFormat="false" ht="13.5" hidden="false" customHeight="false" outlineLevel="0" collapsed="false">
      <c r="A1479" s="47" t="n">
        <v>114</v>
      </c>
      <c r="C1479" s="48" t="str">
        <f aca="false">助手报销!$C115</f>
        <v/>
      </c>
      <c r="D1479" s="81" t="s">
        <v>487</v>
      </c>
      <c r="E1479" s="48" t="str">
        <f aca="false">IFERROR(INDEX(输入报销!$E:$E,MATCH($A1479&amp;"-9",输入报销!$J:$J,0))&amp;"","")</f>
        <v/>
      </c>
      <c r="F1479" s="48" t="str">
        <f aca="false">IFERROR(INDEX(输入报销!$F:$F,MATCH($A1479&amp;"-9",输入报销!$J:$J,0))&amp;"","")</f>
        <v/>
      </c>
      <c r="G1479" s="49" t="n">
        <f aca="false">IFERROR(ROUND(INDEX(输入报销!$G:$G,MATCH($A1479&amp;"-9",输入报销!$J:$J,0)),2),0)</f>
        <v>0</v>
      </c>
      <c r="H1479" s="49" t="str">
        <f aca="false">IF(ROUND($G1479,2)&gt;0,ROUND($G1479,2),"")</f>
        <v/>
      </c>
      <c r="I1479" s="49" t="str">
        <f aca="false">IF(ROUND($G1479,2)&lt;0,-ROUND($G1479,2),"")</f>
        <v/>
      </c>
      <c r="J1479" s="20" t="n">
        <f aca="false">IF(ROUND($G1479,2)=0,0,1)</f>
        <v>0</v>
      </c>
      <c r="K1479" s="20" t="str">
        <f aca="false">IF($J1479=0,"",SUM($J$1471:$J1479))</f>
        <v/>
      </c>
      <c r="L1479" s="20" t="str">
        <f aca="false">IF($K1479="","",$A1479*100+$K1479)</f>
        <v/>
      </c>
      <c r="M1479" s="48" t="str">
        <f aca="false">IFERROR(INDEX(输入报销!$D:$D,MATCH($A1479&amp;"-9",输入报销!$J:$J,0))&amp;"","")</f>
        <v/>
      </c>
    </row>
    <row r="1480" customFormat="false" ht="13.5" hidden="false" customHeight="false" outlineLevel="0" collapsed="false">
      <c r="A1480" s="47" t="n">
        <v>114</v>
      </c>
      <c r="C1480" s="48" t="str">
        <f aca="false">助手报销!$C115</f>
        <v/>
      </c>
      <c r="D1480" s="81" t="s">
        <v>488</v>
      </c>
      <c r="E1480" s="48" t="str">
        <f aca="false">IFERROR(INDEX(输入报销!$E:$E,MATCH($A1480&amp;"-10",输入报销!$J:$J,0))&amp;"","")</f>
        <v/>
      </c>
      <c r="F1480" s="48" t="str">
        <f aca="false">IFERROR(INDEX(输入报销!$F:$F,MATCH($A1480&amp;"-10",输入报销!$J:$J,0))&amp;"","")</f>
        <v/>
      </c>
      <c r="G1480" s="49" t="n">
        <f aca="false">IFERROR(ROUND(INDEX(输入报销!$G:$G,MATCH($A1480&amp;"-10",输入报销!$J:$J,0)),2),0)</f>
        <v>0</v>
      </c>
      <c r="H1480" s="49" t="str">
        <f aca="false">IF(ROUND($G1480,2)&gt;0,ROUND($G1480,2),"")</f>
        <v/>
      </c>
      <c r="I1480" s="49" t="str">
        <f aca="false">IF(ROUND($G1480,2)&lt;0,-ROUND($G1480,2),"")</f>
        <v/>
      </c>
      <c r="J1480" s="20" t="n">
        <f aca="false">IF(ROUND($G1480,2)=0,0,1)</f>
        <v>0</v>
      </c>
      <c r="K1480" s="20" t="str">
        <f aca="false">IF($J1480=0,"",SUM($J$1471:$J1480))</f>
        <v/>
      </c>
      <c r="L1480" s="20" t="str">
        <f aca="false">IF($K1480="","",$A1480*100+$K1480)</f>
        <v/>
      </c>
      <c r="M1480" s="48" t="str">
        <f aca="false">IFERROR(INDEX(输入报销!$D:$D,MATCH($A1480&amp;"-10",输入报销!$J:$J,0))&amp;"","")</f>
        <v/>
      </c>
    </row>
    <row r="1481" customFormat="false" ht="13.5" hidden="false" customHeight="false" outlineLevel="0" collapsed="false">
      <c r="A1481" s="47" t="n">
        <v>114</v>
      </c>
      <c r="C1481" s="48" t="str">
        <f aca="false">助手报销!$C115</f>
        <v/>
      </c>
      <c r="D1481" s="81" t="s">
        <v>489</v>
      </c>
      <c r="E1481" s="48" t="str">
        <f aca="false">参数!$B$6</f>
        <v>库存现金</v>
      </c>
      <c r="F1481" s="48" t="str">
        <f aca="false">""</f>
        <v/>
      </c>
      <c r="G1481" s="49" t="n">
        <f aca="false">-ROUND(SUMIFS(输入报销!$G:$G,输入报销!$A:$A,$A1481,输入报销!$H:$H,参数!$B$6),2)</f>
        <v>-0</v>
      </c>
      <c r="H1481" s="49" t="str">
        <f aca="false">IF(ROUND($G1481,2)&gt;0,ROUND($G1481,2),"")</f>
        <v/>
      </c>
      <c r="I1481" s="49" t="str">
        <f aca="false">IF(ROUND($G1481,2)&lt;0,-ROUND($G1481,2),"")</f>
        <v/>
      </c>
      <c r="J1481" s="20" t="n">
        <f aca="false">IF(ROUND($G1481,2)=0,0,1)</f>
        <v>0</v>
      </c>
      <c r="K1481" s="20" t="str">
        <f aca="false">IF($J1481=0,"",SUM($J$1471:$J1481))</f>
        <v/>
      </c>
      <c r="L1481" s="20" t="str">
        <f aca="false">IF($K1481="","",$A1481*100+$K1481)</f>
        <v/>
      </c>
      <c r="M1481" s="48" t="str">
        <f aca="false">""</f>
        <v/>
      </c>
    </row>
    <row r="1482" customFormat="false" ht="13.5" hidden="false" customHeight="false" outlineLevel="0" collapsed="false">
      <c r="A1482" s="47" t="n">
        <v>114</v>
      </c>
      <c r="C1482" s="48" t="str">
        <f aca="false">助手报销!$C115</f>
        <v/>
      </c>
      <c r="D1482" s="81" t="s">
        <v>490</v>
      </c>
      <c r="E1482" s="48" t="str">
        <f aca="false">参数!$B$7</f>
        <v>银行存款</v>
      </c>
      <c r="F1482" s="48" t="str">
        <f aca="false">""</f>
        <v/>
      </c>
      <c r="G1482" s="49" t="n">
        <f aca="false">-ROUND(SUMIFS(输入报销!$G:$G,输入报销!$A:$A,$A1482,输入报销!$H:$H,参数!$B$7),2)</f>
        <v>-0</v>
      </c>
      <c r="H1482" s="49" t="str">
        <f aca="false">IF(ROUND($G1482,2)&gt;0,ROUND($G1482,2),"")</f>
        <v/>
      </c>
      <c r="I1482" s="49" t="str">
        <f aca="false">IF(ROUND($G1482,2)&lt;0,-ROUND($G1482,2),"")</f>
        <v/>
      </c>
      <c r="J1482" s="20" t="n">
        <f aca="false">IF(ROUND($G1482,2)=0,0,1)</f>
        <v>0</v>
      </c>
      <c r="K1482" s="20" t="str">
        <f aca="false">IF($J1482=0,"",SUM($J$1471:$J1482))</f>
        <v/>
      </c>
      <c r="L1482" s="20" t="str">
        <f aca="false">IF($K1482="","",$A1482*100+$K1482)</f>
        <v/>
      </c>
      <c r="M1482" s="48" t="str">
        <f aca="false">""</f>
        <v/>
      </c>
    </row>
    <row r="1483" customFormat="false" ht="13.5" hidden="false" customHeight="false" outlineLevel="0" collapsed="false">
      <c r="A1483" s="47" t="n">
        <v>114</v>
      </c>
      <c r="C1483" s="48" t="str">
        <f aca="false">助手报销!$C115</f>
        <v/>
      </c>
      <c r="D1483" s="81" t="s">
        <v>491</v>
      </c>
      <c r="E1483" s="48" t="str">
        <f aca="false">参数!$B$8</f>
        <v>其他应付款</v>
      </c>
      <c r="F1483" s="48" t="str">
        <f aca="false">""</f>
        <v/>
      </c>
      <c r="G1483" s="49" t="n">
        <f aca="false">-ROUND(SUMIFS(输入报销!$G:$G,输入报销!$A:$A,$A1483,输入报销!$H:$H,参数!$B$8),2)</f>
        <v>-0</v>
      </c>
      <c r="H1483" s="49" t="str">
        <f aca="false">IF(ROUND($G1483,2)&gt;0,ROUND($G1483,2),"")</f>
        <v/>
      </c>
      <c r="I1483" s="49" t="str">
        <f aca="false">IF(ROUND($G1483,2)&lt;0,-ROUND($G1483,2),"")</f>
        <v/>
      </c>
      <c r="J1483" s="20" t="n">
        <f aca="false">IF(ROUND($G1483,2)=0,0,1)</f>
        <v>0</v>
      </c>
      <c r="K1483" s="20" t="str">
        <f aca="false">IF($J1483=0,"",SUM($J$1471:$J1483))</f>
        <v/>
      </c>
      <c r="L1483" s="20" t="str">
        <f aca="false">IF($K1483="","",$A1483*100+$K1483)</f>
        <v/>
      </c>
      <c r="M1483" s="48" t="str">
        <f aca="false">""</f>
        <v/>
      </c>
    </row>
    <row r="1484" customFormat="false" ht="13.5" hidden="false" customHeight="false" outlineLevel="0" collapsed="false">
      <c r="A1484" s="47" t="n">
        <v>115</v>
      </c>
      <c r="C1484" s="48" t="str">
        <f aca="false">助手报销!$C116</f>
        <v/>
      </c>
      <c r="D1484" s="81" t="s">
        <v>479</v>
      </c>
      <c r="E1484" s="48" t="str">
        <f aca="false">IFERROR(INDEX(输入报销!$E:$E,MATCH($A1484&amp;"-1",输入报销!$J:$J,0))&amp;"","")</f>
        <v/>
      </c>
      <c r="F1484" s="48" t="str">
        <f aca="false">IFERROR(INDEX(输入报销!$F:$F,MATCH($A1484&amp;"-1",输入报销!$J:$J,0))&amp;"","")</f>
        <v/>
      </c>
      <c r="G1484" s="49" t="n">
        <f aca="false">IFERROR(ROUND(INDEX(输入报销!$G:$G,MATCH($A1484&amp;"-1",输入报销!$J:$J,0)),2),0)</f>
        <v>0</v>
      </c>
      <c r="H1484" s="49" t="str">
        <f aca="false">IF(ROUND($G1484,2)&gt;0,ROUND($G1484,2),"")</f>
        <v/>
      </c>
      <c r="I1484" s="49" t="str">
        <f aca="false">IF(ROUND($G1484,2)&lt;0,-ROUND($G1484,2),"")</f>
        <v/>
      </c>
      <c r="J1484" s="20" t="n">
        <f aca="false">IF(ROUND($G1484,2)=0,0,1)</f>
        <v>0</v>
      </c>
      <c r="K1484" s="20" t="str">
        <f aca="false">IF($J1484=0,"",SUM($J$1484:$J1484))</f>
        <v/>
      </c>
      <c r="L1484" s="20" t="str">
        <f aca="false">IF($K1484="","",$A1484*100+$K1484)</f>
        <v/>
      </c>
      <c r="M1484" s="48" t="str">
        <f aca="false">IFERROR(INDEX(输入报销!$D:$D,MATCH($A1484&amp;"-1",输入报销!$J:$J,0))&amp;"","")</f>
        <v/>
      </c>
    </row>
    <row r="1485" customFormat="false" ht="13.5" hidden="false" customHeight="false" outlineLevel="0" collapsed="false">
      <c r="A1485" s="47" t="n">
        <v>115</v>
      </c>
      <c r="C1485" s="48" t="str">
        <f aca="false">助手报销!$C116</f>
        <v/>
      </c>
      <c r="D1485" s="81" t="s">
        <v>480</v>
      </c>
      <c r="E1485" s="48" t="str">
        <f aca="false">IFERROR(INDEX(输入报销!$E:$E,MATCH($A1485&amp;"-2",输入报销!$J:$J,0))&amp;"","")</f>
        <v/>
      </c>
      <c r="F1485" s="48" t="str">
        <f aca="false">IFERROR(INDEX(输入报销!$F:$F,MATCH($A1485&amp;"-2",输入报销!$J:$J,0))&amp;"","")</f>
        <v/>
      </c>
      <c r="G1485" s="49" t="n">
        <f aca="false">IFERROR(ROUND(INDEX(输入报销!$G:$G,MATCH($A1485&amp;"-2",输入报销!$J:$J,0)),2),0)</f>
        <v>0</v>
      </c>
      <c r="H1485" s="49" t="str">
        <f aca="false">IF(ROUND($G1485,2)&gt;0,ROUND($G1485,2),"")</f>
        <v/>
      </c>
      <c r="I1485" s="49" t="str">
        <f aca="false">IF(ROUND($G1485,2)&lt;0,-ROUND($G1485,2),"")</f>
        <v/>
      </c>
      <c r="J1485" s="20" t="n">
        <f aca="false">IF(ROUND($G1485,2)=0,0,1)</f>
        <v>0</v>
      </c>
      <c r="K1485" s="20" t="str">
        <f aca="false">IF($J1485=0,"",SUM($J$1484:$J1485))</f>
        <v/>
      </c>
      <c r="L1485" s="20" t="str">
        <f aca="false">IF($K1485="","",$A1485*100+$K1485)</f>
        <v/>
      </c>
      <c r="M1485" s="48" t="str">
        <f aca="false">IFERROR(INDEX(输入报销!$D:$D,MATCH($A1485&amp;"-2",输入报销!$J:$J,0))&amp;"","")</f>
        <v/>
      </c>
    </row>
    <row r="1486" customFormat="false" ht="13.5" hidden="false" customHeight="false" outlineLevel="0" collapsed="false">
      <c r="A1486" s="47" t="n">
        <v>115</v>
      </c>
      <c r="C1486" s="48" t="str">
        <f aca="false">助手报销!$C116</f>
        <v/>
      </c>
      <c r="D1486" s="81" t="s">
        <v>481</v>
      </c>
      <c r="E1486" s="48" t="str">
        <f aca="false">IFERROR(INDEX(输入报销!$E:$E,MATCH($A1486&amp;"-3",输入报销!$J:$J,0))&amp;"","")</f>
        <v/>
      </c>
      <c r="F1486" s="48" t="str">
        <f aca="false">IFERROR(INDEX(输入报销!$F:$F,MATCH($A1486&amp;"-3",输入报销!$J:$J,0))&amp;"","")</f>
        <v/>
      </c>
      <c r="G1486" s="49" t="n">
        <f aca="false">IFERROR(ROUND(INDEX(输入报销!$G:$G,MATCH($A1486&amp;"-3",输入报销!$J:$J,0)),2),0)</f>
        <v>0</v>
      </c>
      <c r="H1486" s="49" t="str">
        <f aca="false">IF(ROUND($G1486,2)&gt;0,ROUND($G1486,2),"")</f>
        <v/>
      </c>
      <c r="I1486" s="49" t="str">
        <f aca="false">IF(ROUND($G1486,2)&lt;0,-ROUND($G1486,2),"")</f>
        <v/>
      </c>
      <c r="J1486" s="20" t="n">
        <f aca="false">IF(ROUND($G1486,2)=0,0,1)</f>
        <v>0</v>
      </c>
      <c r="K1486" s="20" t="str">
        <f aca="false">IF($J1486=0,"",SUM($J$1484:$J1486))</f>
        <v/>
      </c>
      <c r="L1486" s="20" t="str">
        <f aca="false">IF($K1486="","",$A1486*100+$K1486)</f>
        <v/>
      </c>
      <c r="M1486" s="48" t="str">
        <f aca="false">IFERROR(INDEX(输入报销!$D:$D,MATCH($A1486&amp;"-3",输入报销!$J:$J,0))&amp;"","")</f>
        <v/>
      </c>
    </row>
    <row r="1487" customFormat="false" ht="13.5" hidden="false" customHeight="false" outlineLevel="0" collapsed="false">
      <c r="A1487" s="47" t="n">
        <v>115</v>
      </c>
      <c r="C1487" s="48" t="str">
        <f aca="false">助手报销!$C116</f>
        <v/>
      </c>
      <c r="D1487" s="81" t="s">
        <v>482</v>
      </c>
      <c r="E1487" s="48" t="str">
        <f aca="false">IFERROR(INDEX(输入报销!$E:$E,MATCH($A1487&amp;"-4",输入报销!$J:$J,0))&amp;"","")</f>
        <v/>
      </c>
      <c r="F1487" s="48" t="str">
        <f aca="false">IFERROR(INDEX(输入报销!$F:$F,MATCH($A1487&amp;"-4",输入报销!$J:$J,0))&amp;"","")</f>
        <v/>
      </c>
      <c r="G1487" s="49" t="n">
        <f aca="false">IFERROR(ROUND(INDEX(输入报销!$G:$G,MATCH($A1487&amp;"-4",输入报销!$J:$J,0)),2),0)</f>
        <v>0</v>
      </c>
      <c r="H1487" s="49" t="str">
        <f aca="false">IF(ROUND($G1487,2)&gt;0,ROUND($G1487,2),"")</f>
        <v/>
      </c>
      <c r="I1487" s="49" t="str">
        <f aca="false">IF(ROUND($G1487,2)&lt;0,-ROUND($G1487,2),"")</f>
        <v/>
      </c>
      <c r="J1487" s="20" t="n">
        <f aca="false">IF(ROUND($G1487,2)=0,0,1)</f>
        <v>0</v>
      </c>
      <c r="K1487" s="20" t="str">
        <f aca="false">IF($J1487=0,"",SUM($J$1484:$J1487))</f>
        <v/>
      </c>
      <c r="L1487" s="20" t="str">
        <f aca="false">IF($K1487="","",$A1487*100+$K1487)</f>
        <v/>
      </c>
      <c r="M1487" s="48" t="str">
        <f aca="false">IFERROR(INDEX(输入报销!$D:$D,MATCH($A1487&amp;"-4",输入报销!$J:$J,0))&amp;"","")</f>
        <v/>
      </c>
    </row>
    <row r="1488" customFormat="false" ht="13.5" hidden="false" customHeight="false" outlineLevel="0" collapsed="false">
      <c r="A1488" s="47" t="n">
        <v>115</v>
      </c>
      <c r="C1488" s="48" t="str">
        <f aca="false">助手报销!$C116</f>
        <v/>
      </c>
      <c r="D1488" s="81" t="s">
        <v>483</v>
      </c>
      <c r="E1488" s="48" t="str">
        <f aca="false">IFERROR(INDEX(输入报销!$E:$E,MATCH($A1488&amp;"-5",输入报销!$J:$J,0))&amp;"","")</f>
        <v/>
      </c>
      <c r="F1488" s="48" t="str">
        <f aca="false">IFERROR(INDEX(输入报销!$F:$F,MATCH($A1488&amp;"-5",输入报销!$J:$J,0))&amp;"","")</f>
        <v/>
      </c>
      <c r="G1488" s="49" t="n">
        <f aca="false">IFERROR(ROUND(INDEX(输入报销!$G:$G,MATCH($A1488&amp;"-5",输入报销!$J:$J,0)),2),0)</f>
        <v>0</v>
      </c>
      <c r="H1488" s="49" t="str">
        <f aca="false">IF(ROUND($G1488,2)&gt;0,ROUND($G1488,2),"")</f>
        <v/>
      </c>
      <c r="I1488" s="49" t="str">
        <f aca="false">IF(ROUND($G1488,2)&lt;0,-ROUND($G1488,2),"")</f>
        <v/>
      </c>
      <c r="J1488" s="20" t="n">
        <f aca="false">IF(ROUND($G1488,2)=0,0,1)</f>
        <v>0</v>
      </c>
      <c r="K1488" s="20" t="str">
        <f aca="false">IF($J1488=0,"",SUM($J$1484:$J1488))</f>
        <v/>
      </c>
      <c r="L1488" s="20" t="str">
        <f aca="false">IF($K1488="","",$A1488*100+$K1488)</f>
        <v/>
      </c>
      <c r="M1488" s="48" t="str">
        <f aca="false">IFERROR(INDEX(输入报销!$D:$D,MATCH($A1488&amp;"-5",输入报销!$J:$J,0))&amp;"","")</f>
        <v/>
      </c>
    </row>
    <row r="1489" customFormat="false" ht="13.5" hidden="false" customHeight="false" outlineLevel="0" collapsed="false">
      <c r="A1489" s="47" t="n">
        <v>115</v>
      </c>
      <c r="C1489" s="48" t="str">
        <f aca="false">助手报销!$C116</f>
        <v/>
      </c>
      <c r="D1489" s="81" t="s">
        <v>484</v>
      </c>
      <c r="E1489" s="48" t="str">
        <f aca="false">IFERROR(INDEX(输入报销!$E:$E,MATCH($A1489&amp;"-6",输入报销!$J:$J,0))&amp;"","")</f>
        <v/>
      </c>
      <c r="F1489" s="48" t="str">
        <f aca="false">IFERROR(INDEX(输入报销!$F:$F,MATCH($A1489&amp;"-6",输入报销!$J:$J,0))&amp;"","")</f>
        <v/>
      </c>
      <c r="G1489" s="49" t="n">
        <f aca="false">IFERROR(ROUND(INDEX(输入报销!$G:$G,MATCH($A1489&amp;"-6",输入报销!$J:$J,0)),2),0)</f>
        <v>0</v>
      </c>
      <c r="H1489" s="49" t="str">
        <f aca="false">IF(ROUND($G1489,2)&gt;0,ROUND($G1489,2),"")</f>
        <v/>
      </c>
      <c r="I1489" s="49" t="str">
        <f aca="false">IF(ROUND($G1489,2)&lt;0,-ROUND($G1489,2),"")</f>
        <v/>
      </c>
      <c r="J1489" s="20" t="n">
        <f aca="false">IF(ROUND($G1489,2)=0,0,1)</f>
        <v>0</v>
      </c>
      <c r="K1489" s="20" t="str">
        <f aca="false">IF($J1489=0,"",SUM($J$1484:$J1489))</f>
        <v/>
      </c>
      <c r="L1489" s="20" t="str">
        <f aca="false">IF($K1489="","",$A1489*100+$K1489)</f>
        <v/>
      </c>
      <c r="M1489" s="48" t="str">
        <f aca="false">IFERROR(INDEX(输入报销!$D:$D,MATCH($A1489&amp;"-6",输入报销!$J:$J,0))&amp;"","")</f>
        <v/>
      </c>
    </row>
    <row r="1490" customFormat="false" ht="13.5" hidden="false" customHeight="false" outlineLevel="0" collapsed="false">
      <c r="A1490" s="47" t="n">
        <v>115</v>
      </c>
      <c r="C1490" s="48" t="str">
        <f aca="false">助手报销!$C116</f>
        <v/>
      </c>
      <c r="D1490" s="81" t="s">
        <v>485</v>
      </c>
      <c r="E1490" s="48" t="str">
        <f aca="false">IFERROR(INDEX(输入报销!$E:$E,MATCH($A1490&amp;"-7",输入报销!$J:$J,0))&amp;"","")</f>
        <v/>
      </c>
      <c r="F1490" s="48" t="str">
        <f aca="false">IFERROR(INDEX(输入报销!$F:$F,MATCH($A1490&amp;"-7",输入报销!$J:$J,0))&amp;"","")</f>
        <v/>
      </c>
      <c r="G1490" s="49" t="n">
        <f aca="false">IFERROR(ROUND(INDEX(输入报销!$G:$G,MATCH($A1490&amp;"-7",输入报销!$J:$J,0)),2),0)</f>
        <v>0</v>
      </c>
      <c r="H1490" s="49" t="str">
        <f aca="false">IF(ROUND($G1490,2)&gt;0,ROUND($G1490,2),"")</f>
        <v/>
      </c>
      <c r="I1490" s="49" t="str">
        <f aca="false">IF(ROUND($G1490,2)&lt;0,-ROUND($G1490,2),"")</f>
        <v/>
      </c>
      <c r="J1490" s="20" t="n">
        <f aca="false">IF(ROUND($G1490,2)=0,0,1)</f>
        <v>0</v>
      </c>
      <c r="K1490" s="20" t="str">
        <f aca="false">IF($J1490=0,"",SUM($J$1484:$J1490))</f>
        <v/>
      </c>
      <c r="L1490" s="20" t="str">
        <f aca="false">IF($K1490="","",$A1490*100+$K1490)</f>
        <v/>
      </c>
      <c r="M1490" s="48" t="str">
        <f aca="false">IFERROR(INDEX(输入报销!$D:$D,MATCH($A1490&amp;"-7",输入报销!$J:$J,0))&amp;"","")</f>
        <v/>
      </c>
    </row>
    <row r="1491" customFormat="false" ht="13.5" hidden="false" customHeight="false" outlineLevel="0" collapsed="false">
      <c r="A1491" s="47" t="n">
        <v>115</v>
      </c>
      <c r="C1491" s="48" t="str">
        <f aca="false">助手报销!$C116</f>
        <v/>
      </c>
      <c r="D1491" s="81" t="s">
        <v>486</v>
      </c>
      <c r="E1491" s="48" t="str">
        <f aca="false">IFERROR(INDEX(输入报销!$E:$E,MATCH($A1491&amp;"-8",输入报销!$J:$J,0))&amp;"","")</f>
        <v/>
      </c>
      <c r="F1491" s="48" t="str">
        <f aca="false">IFERROR(INDEX(输入报销!$F:$F,MATCH($A1491&amp;"-8",输入报销!$J:$J,0))&amp;"","")</f>
        <v/>
      </c>
      <c r="G1491" s="49" t="n">
        <f aca="false">IFERROR(ROUND(INDEX(输入报销!$G:$G,MATCH($A1491&amp;"-8",输入报销!$J:$J,0)),2),0)</f>
        <v>0</v>
      </c>
      <c r="H1491" s="49" t="str">
        <f aca="false">IF(ROUND($G1491,2)&gt;0,ROUND($G1491,2),"")</f>
        <v/>
      </c>
      <c r="I1491" s="49" t="str">
        <f aca="false">IF(ROUND($G1491,2)&lt;0,-ROUND($G1491,2),"")</f>
        <v/>
      </c>
      <c r="J1491" s="20" t="n">
        <f aca="false">IF(ROUND($G1491,2)=0,0,1)</f>
        <v>0</v>
      </c>
      <c r="K1491" s="20" t="str">
        <f aca="false">IF($J1491=0,"",SUM($J$1484:$J1491))</f>
        <v/>
      </c>
      <c r="L1491" s="20" t="str">
        <f aca="false">IF($K1491="","",$A1491*100+$K1491)</f>
        <v/>
      </c>
      <c r="M1491" s="48" t="str">
        <f aca="false">IFERROR(INDEX(输入报销!$D:$D,MATCH($A1491&amp;"-8",输入报销!$J:$J,0))&amp;"","")</f>
        <v/>
      </c>
    </row>
    <row r="1492" customFormat="false" ht="13.5" hidden="false" customHeight="false" outlineLevel="0" collapsed="false">
      <c r="A1492" s="47" t="n">
        <v>115</v>
      </c>
      <c r="C1492" s="48" t="str">
        <f aca="false">助手报销!$C116</f>
        <v/>
      </c>
      <c r="D1492" s="81" t="s">
        <v>487</v>
      </c>
      <c r="E1492" s="48" t="str">
        <f aca="false">IFERROR(INDEX(输入报销!$E:$E,MATCH($A1492&amp;"-9",输入报销!$J:$J,0))&amp;"","")</f>
        <v/>
      </c>
      <c r="F1492" s="48" t="str">
        <f aca="false">IFERROR(INDEX(输入报销!$F:$F,MATCH($A1492&amp;"-9",输入报销!$J:$J,0))&amp;"","")</f>
        <v/>
      </c>
      <c r="G1492" s="49" t="n">
        <f aca="false">IFERROR(ROUND(INDEX(输入报销!$G:$G,MATCH($A1492&amp;"-9",输入报销!$J:$J,0)),2),0)</f>
        <v>0</v>
      </c>
      <c r="H1492" s="49" t="str">
        <f aca="false">IF(ROUND($G1492,2)&gt;0,ROUND($G1492,2),"")</f>
        <v/>
      </c>
      <c r="I1492" s="49" t="str">
        <f aca="false">IF(ROUND($G1492,2)&lt;0,-ROUND($G1492,2),"")</f>
        <v/>
      </c>
      <c r="J1492" s="20" t="n">
        <f aca="false">IF(ROUND($G1492,2)=0,0,1)</f>
        <v>0</v>
      </c>
      <c r="K1492" s="20" t="str">
        <f aca="false">IF($J1492=0,"",SUM($J$1484:$J1492))</f>
        <v/>
      </c>
      <c r="L1492" s="20" t="str">
        <f aca="false">IF($K1492="","",$A1492*100+$K1492)</f>
        <v/>
      </c>
      <c r="M1492" s="48" t="str">
        <f aca="false">IFERROR(INDEX(输入报销!$D:$D,MATCH($A1492&amp;"-9",输入报销!$J:$J,0))&amp;"","")</f>
        <v/>
      </c>
    </row>
    <row r="1493" customFormat="false" ht="13.5" hidden="false" customHeight="false" outlineLevel="0" collapsed="false">
      <c r="A1493" s="47" t="n">
        <v>115</v>
      </c>
      <c r="C1493" s="48" t="str">
        <f aca="false">助手报销!$C116</f>
        <v/>
      </c>
      <c r="D1493" s="81" t="s">
        <v>488</v>
      </c>
      <c r="E1493" s="48" t="str">
        <f aca="false">IFERROR(INDEX(输入报销!$E:$E,MATCH($A1493&amp;"-10",输入报销!$J:$J,0))&amp;"","")</f>
        <v/>
      </c>
      <c r="F1493" s="48" t="str">
        <f aca="false">IFERROR(INDEX(输入报销!$F:$F,MATCH($A1493&amp;"-10",输入报销!$J:$J,0))&amp;"","")</f>
        <v/>
      </c>
      <c r="G1493" s="49" t="n">
        <f aca="false">IFERROR(ROUND(INDEX(输入报销!$G:$G,MATCH($A1493&amp;"-10",输入报销!$J:$J,0)),2),0)</f>
        <v>0</v>
      </c>
      <c r="H1493" s="49" t="str">
        <f aca="false">IF(ROUND($G1493,2)&gt;0,ROUND($G1493,2),"")</f>
        <v/>
      </c>
      <c r="I1493" s="49" t="str">
        <f aca="false">IF(ROUND($G1493,2)&lt;0,-ROUND($G1493,2),"")</f>
        <v/>
      </c>
      <c r="J1493" s="20" t="n">
        <f aca="false">IF(ROUND($G1493,2)=0,0,1)</f>
        <v>0</v>
      </c>
      <c r="K1493" s="20" t="str">
        <f aca="false">IF($J1493=0,"",SUM($J$1484:$J1493))</f>
        <v/>
      </c>
      <c r="L1493" s="20" t="str">
        <f aca="false">IF($K1493="","",$A1493*100+$K1493)</f>
        <v/>
      </c>
      <c r="M1493" s="48" t="str">
        <f aca="false">IFERROR(INDEX(输入报销!$D:$D,MATCH($A1493&amp;"-10",输入报销!$J:$J,0))&amp;"","")</f>
        <v/>
      </c>
    </row>
    <row r="1494" customFormat="false" ht="13.5" hidden="false" customHeight="false" outlineLevel="0" collapsed="false">
      <c r="A1494" s="47" t="n">
        <v>115</v>
      </c>
      <c r="C1494" s="48" t="str">
        <f aca="false">助手报销!$C116</f>
        <v/>
      </c>
      <c r="D1494" s="81" t="s">
        <v>489</v>
      </c>
      <c r="E1494" s="48" t="str">
        <f aca="false">参数!$B$6</f>
        <v>库存现金</v>
      </c>
      <c r="F1494" s="48" t="str">
        <f aca="false">""</f>
        <v/>
      </c>
      <c r="G1494" s="49" t="n">
        <f aca="false">-ROUND(SUMIFS(输入报销!$G:$G,输入报销!$A:$A,$A1494,输入报销!$H:$H,参数!$B$6),2)</f>
        <v>-0</v>
      </c>
      <c r="H1494" s="49" t="str">
        <f aca="false">IF(ROUND($G1494,2)&gt;0,ROUND($G1494,2),"")</f>
        <v/>
      </c>
      <c r="I1494" s="49" t="str">
        <f aca="false">IF(ROUND($G1494,2)&lt;0,-ROUND($G1494,2),"")</f>
        <v/>
      </c>
      <c r="J1494" s="20" t="n">
        <f aca="false">IF(ROUND($G1494,2)=0,0,1)</f>
        <v>0</v>
      </c>
      <c r="K1494" s="20" t="str">
        <f aca="false">IF($J1494=0,"",SUM($J$1484:$J1494))</f>
        <v/>
      </c>
      <c r="L1494" s="20" t="str">
        <f aca="false">IF($K1494="","",$A1494*100+$K1494)</f>
        <v/>
      </c>
      <c r="M1494" s="48" t="str">
        <f aca="false">""</f>
        <v/>
      </c>
    </row>
    <row r="1495" customFormat="false" ht="13.5" hidden="false" customHeight="false" outlineLevel="0" collapsed="false">
      <c r="A1495" s="47" t="n">
        <v>115</v>
      </c>
      <c r="C1495" s="48" t="str">
        <f aca="false">助手报销!$C116</f>
        <v/>
      </c>
      <c r="D1495" s="81" t="s">
        <v>490</v>
      </c>
      <c r="E1495" s="48" t="str">
        <f aca="false">参数!$B$7</f>
        <v>银行存款</v>
      </c>
      <c r="F1495" s="48" t="str">
        <f aca="false">""</f>
        <v/>
      </c>
      <c r="G1495" s="49" t="n">
        <f aca="false">-ROUND(SUMIFS(输入报销!$G:$G,输入报销!$A:$A,$A1495,输入报销!$H:$H,参数!$B$7),2)</f>
        <v>-0</v>
      </c>
      <c r="H1495" s="49" t="str">
        <f aca="false">IF(ROUND($G1495,2)&gt;0,ROUND($G1495,2),"")</f>
        <v/>
      </c>
      <c r="I1495" s="49" t="str">
        <f aca="false">IF(ROUND($G1495,2)&lt;0,-ROUND($G1495,2),"")</f>
        <v/>
      </c>
      <c r="J1495" s="20" t="n">
        <f aca="false">IF(ROUND($G1495,2)=0,0,1)</f>
        <v>0</v>
      </c>
      <c r="K1495" s="20" t="str">
        <f aca="false">IF($J1495=0,"",SUM($J$1484:$J1495))</f>
        <v/>
      </c>
      <c r="L1495" s="20" t="str">
        <f aca="false">IF($K1495="","",$A1495*100+$K1495)</f>
        <v/>
      </c>
      <c r="M1495" s="48" t="str">
        <f aca="false">""</f>
        <v/>
      </c>
    </row>
    <row r="1496" customFormat="false" ht="13.5" hidden="false" customHeight="false" outlineLevel="0" collapsed="false">
      <c r="A1496" s="47" t="n">
        <v>115</v>
      </c>
      <c r="C1496" s="48" t="str">
        <f aca="false">助手报销!$C116</f>
        <v/>
      </c>
      <c r="D1496" s="81" t="s">
        <v>491</v>
      </c>
      <c r="E1496" s="48" t="str">
        <f aca="false">参数!$B$8</f>
        <v>其他应付款</v>
      </c>
      <c r="F1496" s="48" t="str">
        <f aca="false">""</f>
        <v/>
      </c>
      <c r="G1496" s="49" t="n">
        <f aca="false">-ROUND(SUMIFS(输入报销!$G:$G,输入报销!$A:$A,$A1496,输入报销!$H:$H,参数!$B$8),2)</f>
        <v>-0</v>
      </c>
      <c r="H1496" s="49" t="str">
        <f aca="false">IF(ROUND($G1496,2)&gt;0,ROUND($G1496,2),"")</f>
        <v/>
      </c>
      <c r="I1496" s="49" t="str">
        <f aca="false">IF(ROUND($G1496,2)&lt;0,-ROUND($G1496,2),"")</f>
        <v/>
      </c>
      <c r="J1496" s="20" t="n">
        <f aca="false">IF(ROUND($G1496,2)=0,0,1)</f>
        <v>0</v>
      </c>
      <c r="K1496" s="20" t="str">
        <f aca="false">IF($J1496=0,"",SUM($J$1484:$J1496))</f>
        <v/>
      </c>
      <c r="L1496" s="20" t="str">
        <f aca="false">IF($K1496="","",$A1496*100+$K1496)</f>
        <v/>
      </c>
      <c r="M1496" s="48" t="str">
        <f aca="false">""</f>
        <v/>
      </c>
    </row>
    <row r="1497" customFormat="false" ht="13.5" hidden="false" customHeight="false" outlineLevel="0" collapsed="false">
      <c r="A1497" s="47" t="n">
        <v>116</v>
      </c>
      <c r="C1497" s="48" t="str">
        <f aca="false">助手报销!$C117</f>
        <v/>
      </c>
      <c r="D1497" s="81" t="s">
        <v>479</v>
      </c>
      <c r="E1497" s="48" t="str">
        <f aca="false">IFERROR(INDEX(输入报销!$E:$E,MATCH($A1497&amp;"-1",输入报销!$J:$J,0))&amp;"","")</f>
        <v/>
      </c>
      <c r="F1497" s="48" t="str">
        <f aca="false">IFERROR(INDEX(输入报销!$F:$F,MATCH($A1497&amp;"-1",输入报销!$J:$J,0))&amp;"","")</f>
        <v/>
      </c>
      <c r="G1497" s="49" t="n">
        <f aca="false">IFERROR(ROUND(INDEX(输入报销!$G:$G,MATCH($A1497&amp;"-1",输入报销!$J:$J,0)),2),0)</f>
        <v>0</v>
      </c>
      <c r="H1497" s="49" t="str">
        <f aca="false">IF(ROUND($G1497,2)&gt;0,ROUND($G1497,2),"")</f>
        <v/>
      </c>
      <c r="I1497" s="49" t="str">
        <f aca="false">IF(ROUND($G1497,2)&lt;0,-ROUND($G1497,2),"")</f>
        <v/>
      </c>
      <c r="J1497" s="20" t="n">
        <f aca="false">IF(ROUND($G1497,2)=0,0,1)</f>
        <v>0</v>
      </c>
      <c r="K1497" s="20" t="str">
        <f aca="false">IF($J1497=0,"",SUM($J$1497:$J1497))</f>
        <v/>
      </c>
      <c r="L1497" s="20" t="str">
        <f aca="false">IF($K1497="","",$A1497*100+$K1497)</f>
        <v/>
      </c>
      <c r="M1497" s="48" t="str">
        <f aca="false">IFERROR(INDEX(输入报销!$D:$D,MATCH($A1497&amp;"-1",输入报销!$J:$J,0))&amp;"","")</f>
        <v/>
      </c>
    </row>
    <row r="1498" customFormat="false" ht="13.5" hidden="false" customHeight="false" outlineLevel="0" collapsed="false">
      <c r="A1498" s="47" t="n">
        <v>116</v>
      </c>
      <c r="C1498" s="48" t="str">
        <f aca="false">助手报销!$C117</f>
        <v/>
      </c>
      <c r="D1498" s="81" t="s">
        <v>480</v>
      </c>
      <c r="E1498" s="48" t="str">
        <f aca="false">IFERROR(INDEX(输入报销!$E:$E,MATCH($A1498&amp;"-2",输入报销!$J:$J,0))&amp;"","")</f>
        <v/>
      </c>
      <c r="F1498" s="48" t="str">
        <f aca="false">IFERROR(INDEX(输入报销!$F:$F,MATCH($A1498&amp;"-2",输入报销!$J:$J,0))&amp;"","")</f>
        <v/>
      </c>
      <c r="G1498" s="49" t="n">
        <f aca="false">IFERROR(ROUND(INDEX(输入报销!$G:$G,MATCH($A1498&amp;"-2",输入报销!$J:$J,0)),2),0)</f>
        <v>0</v>
      </c>
      <c r="H1498" s="49" t="str">
        <f aca="false">IF(ROUND($G1498,2)&gt;0,ROUND($G1498,2),"")</f>
        <v/>
      </c>
      <c r="I1498" s="49" t="str">
        <f aca="false">IF(ROUND($G1498,2)&lt;0,-ROUND($G1498,2),"")</f>
        <v/>
      </c>
      <c r="J1498" s="20" t="n">
        <f aca="false">IF(ROUND($G1498,2)=0,0,1)</f>
        <v>0</v>
      </c>
      <c r="K1498" s="20" t="str">
        <f aca="false">IF($J1498=0,"",SUM($J$1497:$J1498))</f>
        <v/>
      </c>
      <c r="L1498" s="20" t="str">
        <f aca="false">IF($K1498="","",$A1498*100+$K1498)</f>
        <v/>
      </c>
      <c r="M1498" s="48" t="str">
        <f aca="false">IFERROR(INDEX(输入报销!$D:$D,MATCH($A1498&amp;"-2",输入报销!$J:$J,0))&amp;"","")</f>
        <v/>
      </c>
    </row>
    <row r="1499" customFormat="false" ht="13.5" hidden="false" customHeight="false" outlineLevel="0" collapsed="false">
      <c r="A1499" s="47" t="n">
        <v>116</v>
      </c>
      <c r="C1499" s="48" t="str">
        <f aca="false">助手报销!$C117</f>
        <v/>
      </c>
      <c r="D1499" s="81" t="s">
        <v>481</v>
      </c>
      <c r="E1499" s="48" t="str">
        <f aca="false">IFERROR(INDEX(输入报销!$E:$E,MATCH($A1499&amp;"-3",输入报销!$J:$J,0))&amp;"","")</f>
        <v/>
      </c>
      <c r="F1499" s="48" t="str">
        <f aca="false">IFERROR(INDEX(输入报销!$F:$F,MATCH($A1499&amp;"-3",输入报销!$J:$J,0))&amp;"","")</f>
        <v/>
      </c>
      <c r="G1499" s="49" t="n">
        <f aca="false">IFERROR(ROUND(INDEX(输入报销!$G:$G,MATCH($A1499&amp;"-3",输入报销!$J:$J,0)),2),0)</f>
        <v>0</v>
      </c>
      <c r="H1499" s="49" t="str">
        <f aca="false">IF(ROUND($G1499,2)&gt;0,ROUND($G1499,2),"")</f>
        <v/>
      </c>
      <c r="I1499" s="49" t="str">
        <f aca="false">IF(ROUND($G1499,2)&lt;0,-ROUND($G1499,2),"")</f>
        <v/>
      </c>
      <c r="J1499" s="20" t="n">
        <f aca="false">IF(ROUND($G1499,2)=0,0,1)</f>
        <v>0</v>
      </c>
      <c r="K1499" s="20" t="str">
        <f aca="false">IF($J1499=0,"",SUM($J$1497:$J1499))</f>
        <v/>
      </c>
      <c r="L1499" s="20" t="str">
        <f aca="false">IF($K1499="","",$A1499*100+$K1499)</f>
        <v/>
      </c>
      <c r="M1499" s="48" t="str">
        <f aca="false">IFERROR(INDEX(输入报销!$D:$D,MATCH($A1499&amp;"-3",输入报销!$J:$J,0))&amp;"","")</f>
        <v/>
      </c>
    </row>
    <row r="1500" customFormat="false" ht="13.5" hidden="false" customHeight="false" outlineLevel="0" collapsed="false">
      <c r="A1500" s="47" t="n">
        <v>116</v>
      </c>
      <c r="C1500" s="48" t="str">
        <f aca="false">助手报销!$C117</f>
        <v/>
      </c>
      <c r="D1500" s="81" t="s">
        <v>482</v>
      </c>
      <c r="E1500" s="48" t="str">
        <f aca="false">IFERROR(INDEX(输入报销!$E:$E,MATCH($A1500&amp;"-4",输入报销!$J:$J,0))&amp;"","")</f>
        <v/>
      </c>
      <c r="F1500" s="48" t="str">
        <f aca="false">IFERROR(INDEX(输入报销!$F:$F,MATCH($A1500&amp;"-4",输入报销!$J:$J,0))&amp;"","")</f>
        <v/>
      </c>
      <c r="G1500" s="49" t="n">
        <f aca="false">IFERROR(ROUND(INDEX(输入报销!$G:$G,MATCH($A1500&amp;"-4",输入报销!$J:$J,0)),2),0)</f>
        <v>0</v>
      </c>
      <c r="H1500" s="49" t="str">
        <f aca="false">IF(ROUND($G1500,2)&gt;0,ROUND($G1500,2),"")</f>
        <v/>
      </c>
      <c r="I1500" s="49" t="str">
        <f aca="false">IF(ROUND($G1500,2)&lt;0,-ROUND($G1500,2),"")</f>
        <v/>
      </c>
      <c r="J1500" s="20" t="n">
        <f aca="false">IF(ROUND($G1500,2)=0,0,1)</f>
        <v>0</v>
      </c>
      <c r="K1500" s="20" t="str">
        <f aca="false">IF($J1500=0,"",SUM($J$1497:$J1500))</f>
        <v/>
      </c>
      <c r="L1500" s="20" t="str">
        <f aca="false">IF($K1500="","",$A1500*100+$K1500)</f>
        <v/>
      </c>
      <c r="M1500" s="48" t="str">
        <f aca="false">IFERROR(INDEX(输入报销!$D:$D,MATCH($A1500&amp;"-4",输入报销!$J:$J,0))&amp;"","")</f>
        <v/>
      </c>
    </row>
    <row r="1501" customFormat="false" ht="13.5" hidden="false" customHeight="false" outlineLevel="0" collapsed="false">
      <c r="A1501" s="47" t="n">
        <v>116</v>
      </c>
      <c r="C1501" s="48" t="str">
        <f aca="false">助手报销!$C117</f>
        <v/>
      </c>
      <c r="D1501" s="81" t="s">
        <v>483</v>
      </c>
      <c r="E1501" s="48" t="str">
        <f aca="false">IFERROR(INDEX(输入报销!$E:$E,MATCH($A1501&amp;"-5",输入报销!$J:$J,0))&amp;"","")</f>
        <v/>
      </c>
      <c r="F1501" s="48" t="str">
        <f aca="false">IFERROR(INDEX(输入报销!$F:$F,MATCH($A1501&amp;"-5",输入报销!$J:$J,0))&amp;"","")</f>
        <v/>
      </c>
      <c r="G1501" s="49" t="n">
        <f aca="false">IFERROR(ROUND(INDEX(输入报销!$G:$G,MATCH($A1501&amp;"-5",输入报销!$J:$J,0)),2),0)</f>
        <v>0</v>
      </c>
      <c r="H1501" s="49" t="str">
        <f aca="false">IF(ROUND($G1501,2)&gt;0,ROUND($G1501,2),"")</f>
        <v/>
      </c>
      <c r="I1501" s="49" t="str">
        <f aca="false">IF(ROUND($G1501,2)&lt;0,-ROUND($G1501,2),"")</f>
        <v/>
      </c>
      <c r="J1501" s="20" t="n">
        <f aca="false">IF(ROUND($G1501,2)=0,0,1)</f>
        <v>0</v>
      </c>
      <c r="K1501" s="20" t="str">
        <f aca="false">IF($J1501=0,"",SUM($J$1497:$J1501))</f>
        <v/>
      </c>
      <c r="L1501" s="20" t="str">
        <f aca="false">IF($K1501="","",$A1501*100+$K1501)</f>
        <v/>
      </c>
      <c r="M1501" s="48" t="str">
        <f aca="false">IFERROR(INDEX(输入报销!$D:$D,MATCH($A1501&amp;"-5",输入报销!$J:$J,0))&amp;"","")</f>
        <v/>
      </c>
    </row>
    <row r="1502" customFormat="false" ht="13.5" hidden="false" customHeight="false" outlineLevel="0" collapsed="false">
      <c r="A1502" s="47" t="n">
        <v>116</v>
      </c>
      <c r="C1502" s="48" t="str">
        <f aca="false">助手报销!$C117</f>
        <v/>
      </c>
      <c r="D1502" s="81" t="s">
        <v>484</v>
      </c>
      <c r="E1502" s="48" t="str">
        <f aca="false">IFERROR(INDEX(输入报销!$E:$E,MATCH($A1502&amp;"-6",输入报销!$J:$J,0))&amp;"","")</f>
        <v/>
      </c>
      <c r="F1502" s="48" t="str">
        <f aca="false">IFERROR(INDEX(输入报销!$F:$F,MATCH($A1502&amp;"-6",输入报销!$J:$J,0))&amp;"","")</f>
        <v/>
      </c>
      <c r="G1502" s="49" t="n">
        <f aca="false">IFERROR(ROUND(INDEX(输入报销!$G:$G,MATCH($A1502&amp;"-6",输入报销!$J:$J,0)),2),0)</f>
        <v>0</v>
      </c>
      <c r="H1502" s="49" t="str">
        <f aca="false">IF(ROUND($G1502,2)&gt;0,ROUND($G1502,2),"")</f>
        <v/>
      </c>
      <c r="I1502" s="49" t="str">
        <f aca="false">IF(ROUND($G1502,2)&lt;0,-ROUND($G1502,2),"")</f>
        <v/>
      </c>
      <c r="J1502" s="20" t="n">
        <f aca="false">IF(ROUND($G1502,2)=0,0,1)</f>
        <v>0</v>
      </c>
      <c r="K1502" s="20" t="str">
        <f aca="false">IF($J1502=0,"",SUM($J$1497:$J1502))</f>
        <v/>
      </c>
      <c r="L1502" s="20" t="str">
        <f aca="false">IF($K1502="","",$A1502*100+$K1502)</f>
        <v/>
      </c>
      <c r="M1502" s="48" t="str">
        <f aca="false">IFERROR(INDEX(输入报销!$D:$D,MATCH($A1502&amp;"-6",输入报销!$J:$J,0))&amp;"","")</f>
        <v/>
      </c>
    </row>
    <row r="1503" customFormat="false" ht="13.5" hidden="false" customHeight="false" outlineLevel="0" collapsed="false">
      <c r="A1503" s="47" t="n">
        <v>116</v>
      </c>
      <c r="C1503" s="48" t="str">
        <f aca="false">助手报销!$C117</f>
        <v/>
      </c>
      <c r="D1503" s="81" t="s">
        <v>485</v>
      </c>
      <c r="E1503" s="48" t="str">
        <f aca="false">IFERROR(INDEX(输入报销!$E:$E,MATCH($A1503&amp;"-7",输入报销!$J:$J,0))&amp;"","")</f>
        <v/>
      </c>
      <c r="F1503" s="48" t="str">
        <f aca="false">IFERROR(INDEX(输入报销!$F:$F,MATCH($A1503&amp;"-7",输入报销!$J:$J,0))&amp;"","")</f>
        <v/>
      </c>
      <c r="G1503" s="49" t="n">
        <f aca="false">IFERROR(ROUND(INDEX(输入报销!$G:$G,MATCH($A1503&amp;"-7",输入报销!$J:$J,0)),2),0)</f>
        <v>0</v>
      </c>
      <c r="H1503" s="49" t="str">
        <f aca="false">IF(ROUND($G1503,2)&gt;0,ROUND($G1503,2),"")</f>
        <v/>
      </c>
      <c r="I1503" s="49" t="str">
        <f aca="false">IF(ROUND($G1503,2)&lt;0,-ROUND($G1503,2),"")</f>
        <v/>
      </c>
      <c r="J1503" s="20" t="n">
        <f aca="false">IF(ROUND($G1503,2)=0,0,1)</f>
        <v>0</v>
      </c>
      <c r="K1503" s="20" t="str">
        <f aca="false">IF($J1503=0,"",SUM($J$1497:$J1503))</f>
        <v/>
      </c>
      <c r="L1503" s="20" t="str">
        <f aca="false">IF($K1503="","",$A1503*100+$K1503)</f>
        <v/>
      </c>
      <c r="M1503" s="48" t="str">
        <f aca="false">IFERROR(INDEX(输入报销!$D:$D,MATCH($A1503&amp;"-7",输入报销!$J:$J,0))&amp;"","")</f>
        <v/>
      </c>
    </row>
    <row r="1504" customFormat="false" ht="13.5" hidden="false" customHeight="false" outlineLevel="0" collapsed="false">
      <c r="A1504" s="47" t="n">
        <v>116</v>
      </c>
      <c r="C1504" s="48" t="str">
        <f aca="false">助手报销!$C117</f>
        <v/>
      </c>
      <c r="D1504" s="81" t="s">
        <v>486</v>
      </c>
      <c r="E1504" s="48" t="str">
        <f aca="false">IFERROR(INDEX(输入报销!$E:$E,MATCH($A1504&amp;"-8",输入报销!$J:$J,0))&amp;"","")</f>
        <v/>
      </c>
      <c r="F1504" s="48" t="str">
        <f aca="false">IFERROR(INDEX(输入报销!$F:$F,MATCH($A1504&amp;"-8",输入报销!$J:$J,0))&amp;"","")</f>
        <v/>
      </c>
      <c r="G1504" s="49" t="n">
        <f aca="false">IFERROR(ROUND(INDEX(输入报销!$G:$G,MATCH($A1504&amp;"-8",输入报销!$J:$J,0)),2),0)</f>
        <v>0</v>
      </c>
      <c r="H1504" s="49" t="str">
        <f aca="false">IF(ROUND($G1504,2)&gt;0,ROUND($G1504,2),"")</f>
        <v/>
      </c>
      <c r="I1504" s="49" t="str">
        <f aca="false">IF(ROUND($G1504,2)&lt;0,-ROUND($G1504,2),"")</f>
        <v/>
      </c>
      <c r="J1504" s="20" t="n">
        <f aca="false">IF(ROUND($G1504,2)=0,0,1)</f>
        <v>0</v>
      </c>
      <c r="K1504" s="20" t="str">
        <f aca="false">IF($J1504=0,"",SUM($J$1497:$J1504))</f>
        <v/>
      </c>
      <c r="L1504" s="20" t="str">
        <f aca="false">IF($K1504="","",$A1504*100+$K1504)</f>
        <v/>
      </c>
      <c r="M1504" s="48" t="str">
        <f aca="false">IFERROR(INDEX(输入报销!$D:$D,MATCH($A1504&amp;"-8",输入报销!$J:$J,0))&amp;"","")</f>
        <v/>
      </c>
    </row>
    <row r="1505" customFormat="false" ht="13.5" hidden="false" customHeight="false" outlineLevel="0" collapsed="false">
      <c r="A1505" s="47" t="n">
        <v>116</v>
      </c>
      <c r="C1505" s="48" t="str">
        <f aca="false">助手报销!$C117</f>
        <v/>
      </c>
      <c r="D1505" s="81" t="s">
        <v>487</v>
      </c>
      <c r="E1505" s="48" t="str">
        <f aca="false">IFERROR(INDEX(输入报销!$E:$E,MATCH($A1505&amp;"-9",输入报销!$J:$J,0))&amp;"","")</f>
        <v/>
      </c>
      <c r="F1505" s="48" t="str">
        <f aca="false">IFERROR(INDEX(输入报销!$F:$F,MATCH($A1505&amp;"-9",输入报销!$J:$J,0))&amp;"","")</f>
        <v/>
      </c>
      <c r="G1505" s="49" t="n">
        <f aca="false">IFERROR(ROUND(INDEX(输入报销!$G:$G,MATCH($A1505&amp;"-9",输入报销!$J:$J,0)),2),0)</f>
        <v>0</v>
      </c>
      <c r="H1505" s="49" t="str">
        <f aca="false">IF(ROUND($G1505,2)&gt;0,ROUND($G1505,2),"")</f>
        <v/>
      </c>
      <c r="I1505" s="49" t="str">
        <f aca="false">IF(ROUND($G1505,2)&lt;0,-ROUND($G1505,2),"")</f>
        <v/>
      </c>
      <c r="J1505" s="20" t="n">
        <f aca="false">IF(ROUND($G1505,2)=0,0,1)</f>
        <v>0</v>
      </c>
      <c r="K1505" s="20" t="str">
        <f aca="false">IF($J1505=0,"",SUM($J$1497:$J1505))</f>
        <v/>
      </c>
      <c r="L1505" s="20" t="str">
        <f aca="false">IF($K1505="","",$A1505*100+$K1505)</f>
        <v/>
      </c>
      <c r="M1505" s="48" t="str">
        <f aca="false">IFERROR(INDEX(输入报销!$D:$D,MATCH($A1505&amp;"-9",输入报销!$J:$J,0))&amp;"","")</f>
        <v/>
      </c>
    </row>
    <row r="1506" customFormat="false" ht="13.5" hidden="false" customHeight="false" outlineLevel="0" collapsed="false">
      <c r="A1506" s="47" t="n">
        <v>116</v>
      </c>
      <c r="C1506" s="48" t="str">
        <f aca="false">助手报销!$C117</f>
        <v/>
      </c>
      <c r="D1506" s="81" t="s">
        <v>488</v>
      </c>
      <c r="E1506" s="48" t="str">
        <f aca="false">IFERROR(INDEX(输入报销!$E:$E,MATCH($A1506&amp;"-10",输入报销!$J:$J,0))&amp;"","")</f>
        <v/>
      </c>
      <c r="F1506" s="48" t="str">
        <f aca="false">IFERROR(INDEX(输入报销!$F:$F,MATCH($A1506&amp;"-10",输入报销!$J:$J,0))&amp;"","")</f>
        <v/>
      </c>
      <c r="G1506" s="49" t="n">
        <f aca="false">IFERROR(ROUND(INDEX(输入报销!$G:$G,MATCH($A1506&amp;"-10",输入报销!$J:$J,0)),2),0)</f>
        <v>0</v>
      </c>
      <c r="H1506" s="49" t="str">
        <f aca="false">IF(ROUND($G1506,2)&gt;0,ROUND($G1506,2),"")</f>
        <v/>
      </c>
      <c r="I1506" s="49" t="str">
        <f aca="false">IF(ROUND($G1506,2)&lt;0,-ROUND($G1506,2),"")</f>
        <v/>
      </c>
      <c r="J1506" s="20" t="n">
        <f aca="false">IF(ROUND($G1506,2)=0,0,1)</f>
        <v>0</v>
      </c>
      <c r="K1506" s="20" t="str">
        <f aca="false">IF($J1506=0,"",SUM($J$1497:$J1506))</f>
        <v/>
      </c>
      <c r="L1506" s="20" t="str">
        <f aca="false">IF($K1506="","",$A1506*100+$K1506)</f>
        <v/>
      </c>
      <c r="M1506" s="48" t="str">
        <f aca="false">IFERROR(INDEX(输入报销!$D:$D,MATCH($A1506&amp;"-10",输入报销!$J:$J,0))&amp;"","")</f>
        <v/>
      </c>
    </row>
    <row r="1507" customFormat="false" ht="13.5" hidden="false" customHeight="false" outlineLevel="0" collapsed="false">
      <c r="A1507" s="47" t="n">
        <v>116</v>
      </c>
      <c r="C1507" s="48" t="str">
        <f aca="false">助手报销!$C117</f>
        <v/>
      </c>
      <c r="D1507" s="81" t="s">
        <v>489</v>
      </c>
      <c r="E1507" s="48" t="str">
        <f aca="false">参数!$B$6</f>
        <v>库存现金</v>
      </c>
      <c r="F1507" s="48" t="str">
        <f aca="false">""</f>
        <v/>
      </c>
      <c r="G1507" s="49" t="n">
        <f aca="false">-ROUND(SUMIFS(输入报销!$G:$G,输入报销!$A:$A,$A1507,输入报销!$H:$H,参数!$B$6),2)</f>
        <v>-0</v>
      </c>
      <c r="H1507" s="49" t="str">
        <f aca="false">IF(ROUND($G1507,2)&gt;0,ROUND($G1507,2),"")</f>
        <v/>
      </c>
      <c r="I1507" s="49" t="str">
        <f aca="false">IF(ROUND($G1507,2)&lt;0,-ROUND($G1507,2),"")</f>
        <v/>
      </c>
      <c r="J1507" s="20" t="n">
        <f aca="false">IF(ROUND($G1507,2)=0,0,1)</f>
        <v>0</v>
      </c>
      <c r="K1507" s="20" t="str">
        <f aca="false">IF($J1507=0,"",SUM($J$1497:$J1507))</f>
        <v/>
      </c>
      <c r="L1507" s="20" t="str">
        <f aca="false">IF($K1507="","",$A1507*100+$K1507)</f>
        <v/>
      </c>
      <c r="M1507" s="48" t="str">
        <f aca="false">""</f>
        <v/>
      </c>
    </row>
    <row r="1508" customFormat="false" ht="13.5" hidden="false" customHeight="false" outlineLevel="0" collapsed="false">
      <c r="A1508" s="47" t="n">
        <v>116</v>
      </c>
      <c r="C1508" s="48" t="str">
        <f aca="false">助手报销!$C117</f>
        <v/>
      </c>
      <c r="D1508" s="81" t="s">
        <v>490</v>
      </c>
      <c r="E1508" s="48" t="str">
        <f aca="false">参数!$B$7</f>
        <v>银行存款</v>
      </c>
      <c r="F1508" s="48" t="str">
        <f aca="false">""</f>
        <v/>
      </c>
      <c r="G1508" s="49" t="n">
        <f aca="false">-ROUND(SUMIFS(输入报销!$G:$G,输入报销!$A:$A,$A1508,输入报销!$H:$H,参数!$B$7),2)</f>
        <v>-0</v>
      </c>
      <c r="H1508" s="49" t="str">
        <f aca="false">IF(ROUND($G1508,2)&gt;0,ROUND($G1508,2),"")</f>
        <v/>
      </c>
      <c r="I1508" s="49" t="str">
        <f aca="false">IF(ROUND($G1508,2)&lt;0,-ROUND($G1508,2),"")</f>
        <v/>
      </c>
      <c r="J1508" s="20" t="n">
        <f aca="false">IF(ROUND($G1508,2)=0,0,1)</f>
        <v>0</v>
      </c>
      <c r="K1508" s="20" t="str">
        <f aca="false">IF($J1508=0,"",SUM($J$1497:$J1508))</f>
        <v/>
      </c>
      <c r="L1508" s="20" t="str">
        <f aca="false">IF($K1508="","",$A1508*100+$K1508)</f>
        <v/>
      </c>
      <c r="M1508" s="48" t="str">
        <f aca="false">""</f>
        <v/>
      </c>
    </row>
    <row r="1509" customFormat="false" ht="13.5" hidden="false" customHeight="false" outlineLevel="0" collapsed="false">
      <c r="A1509" s="47" t="n">
        <v>116</v>
      </c>
      <c r="C1509" s="48" t="str">
        <f aca="false">助手报销!$C117</f>
        <v/>
      </c>
      <c r="D1509" s="81" t="s">
        <v>491</v>
      </c>
      <c r="E1509" s="48" t="str">
        <f aca="false">参数!$B$8</f>
        <v>其他应付款</v>
      </c>
      <c r="F1509" s="48" t="str">
        <f aca="false">""</f>
        <v/>
      </c>
      <c r="G1509" s="49" t="n">
        <f aca="false">-ROUND(SUMIFS(输入报销!$G:$G,输入报销!$A:$A,$A1509,输入报销!$H:$H,参数!$B$8),2)</f>
        <v>-0</v>
      </c>
      <c r="H1509" s="49" t="str">
        <f aca="false">IF(ROUND($G1509,2)&gt;0,ROUND($G1509,2),"")</f>
        <v/>
      </c>
      <c r="I1509" s="49" t="str">
        <f aca="false">IF(ROUND($G1509,2)&lt;0,-ROUND($G1509,2),"")</f>
        <v/>
      </c>
      <c r="J1509" s="20" t="n">
        <f aca="false">IF(ROUND($G1509,2)=0,0,1)</f>
        <v>0</v>
      </c>
      <c r="K1509" s="20" t="str">
        <f aca="false">IF($J1509=0,"",SUM($J$1497:$J1509))</f>
        <v/>
      </c>
      <c r="L1509" s="20" t="str">
        <f aca="false">IF($K1509="","",$A1509*100+$K1509)</f>
        <v/>
      </c>
      <c r="M1509" s="48" t="str">
        <f aca="false">""</f>
        <v/>
      </c>
    </row>
    <row r="1510" customFormat="false" ht="13.5" hidden="false" customHeight="false" outlineLevel="0" collapsed="false">
      <c r="A1510" s="47" t="n">
        <v>117</v>
      </c>
      <c r="C1510" s="48" t="str">
        <f aca="false">助手报销!$C118</f>
        <v/>
      </c>
      <c r="D1510" s="81" t="s">
        <v>479</v>
      </c>
      <c r="E1510" s="48" t="str">
        <f aca="false">IFERROR(INDEX(输入报销!$E:$E,MATCH($A1510&amp;"-1",输入报销!$J:$J,0))&amp;"","")</f>
        <v/>
      </c>
      <c r="F1510" s="48" t="str">
        <f aca="false">IFERROR(INDEX(输入报销!$F:$F,MATCH($A1510&amp;"-1",输入报销!$J:$J,0))&amp;"","")</f>
        <v/>
      </c>
      <c r="G1510" s="49" t="n">
        <f aca="false">IFERROR(ROUND(INDEX(输入报销!$G:$G,MATCH($A1510&amp;"-1",输入报销!$J:$J,0)),2),0)</f>
        <v>0</v>
      </c>
      <c r="H1510" s="49" t="str">
        <f aca="false">IF(ROUND($G1510,2)&gt;0,ROUND($G1510,2),"")</f>
        <v/>
      </c>
      <c r="I1510" s="49" t="str">
        <f aca="false">IF(ROUND($G1510,2)&lt;0,-ROUND($G1510,2),"")</f>
        <v/>
      </c>
      <c r="J1510" s="20" t="n">
        <f aca="false">IF(ROUND($G1510,2)=0,0,1)</f>
        <v>0</v>
      </c>
      <c r="K1510" s="20" t="str">
        <f aca="false">IF($J1510=0,"",SUM($J$1510:$J1510))</f>
        <v/>
      </c>
      <c r="L1510" s="20" t="str">
        <f aca="false">IF($K1510="","",$A1510*100+$K1510)</f>
        <v/>
      </c>
      <c r="M1510" s="48" t="str">
        <f aca="false">IFERROR(INDEX(输入报销!$D:$D,MATCH($A1510&amp;"-1",输入报销!$J:$J,0))&amp;"","")</f>
        <v/>
      </c>
    </row>
    <row r="1511" customFormat="false" ht="13.5" hidden="false" customHeight="false" outlineLevel="0" collapsed="false">
      <c r="A1511" s="47" t="n">
        <v>117</v>
      </c>
      <c r="C1511" s="48" t="str">
        <f aca="false">助手报销!$C118</f>
        <v/>
      </c>
      <c r="D1511" s="81" t="s">
        <v>480</v>
      </c>
      <c r="E1511" s="48" t="str">
        <f aca="false">IFERROR(INDEX(输入报销!$E:$E,MATCH($A1511&amp;"-2",输入报销!$J:$J,0))&amp;"","")</f>
        <v/>
      </c>
      <c r="F1511" s="48" t="str">
        <f aca="false">IFERROR(INDEX(输入报销!$F:$F,MATCH($A1511&amp;"-2",输入报销!$J:$J,0))&amp;"","")</f>
        <v/>
      </c>
      <c r="G1511" s="49" t="n">
        <f aca="false">IFERROR(ROUND(INDEX(输入报销!$G:$G,MATCH($A1511&amp;"-2",输入报销!$J:$J,0)),2),0)</f>
        <v>0</v>
      </c>
      <c r="H1511" s="49" t="str">
        <f aca="false">IF(ROUND($G1511,2)&gt;0,ROUND($G1511,2),"")</f>
        <v/>
      </c>
      <c r="I1511" s="49" t="str">
        <f aca="false">IF(ROUND($G1511,2)&lt;0,-ROUND($G1511,2),"")</f>
        <v/>
      </c>
      <c r="J1511" s="20" t="n">
        <f aca="false">IF(ROUND($G1511,2)=0,0,1)</f>
        <v>0</v>
      </c>
      <c r="K1511" s="20" t="str">
        <f aca="false">IF($J1511=0,"",SUM($J$1510:$J1511))</f>
        <v/>
      </c>
      <c r="L1511" s="20" t="str">
        <f aca="false">IF($K1511="","",$A1511*100+$K1511)</f>
        <v/>
      </c>
      <c r="M1511" s="48" t="str">
        <f aca="false">IFERROR(INDEX(输入报销!$D:$D,MATCH($A1511&amp;"-2",输入报销!$J:$J,0))&amp;"","")</f>
        <v/>
      </c>
    </row>
    <row r="1512" customFormat="false" ht="13.5" hidden="false" customHeight="false" outlineLevel="0" collapsed="false">
      <c r="A1512" s="47" t="n">
        <v>117</v>
      </c>
      <c r="C1512" s="48" t="str">
        <f aca="false">助手报销!$C118</f>
        <v/>
      </c>
      <c r="D1512" s="81" t="s">
        <v>481</v>
      </c>
      <c r="E1512" s="48" t="str">
        <f aca="false">IFERROR(INDEX(输入报销!$E:$E,MATCH($A1512&amp;"-3",输入报销!$J:$J,0))&amp;"","")</f>
        <v/>
      </c>
      <c r="F1512" s="48" t="str">
        <f aca="false">IFERROR(INDEX(输入报销!$F:$F,MATCH($A1512&amp;"-3",输入报销!$J:$J,0))&amp;"","")</f>
        <v/>
      </c>
      <c r="G1512" s="49" t="n">
        <f aca="false">IFERROR(ROUND(INDEX(输入报销!$G:$G,MATCH($A1512&amp;"-3",输入报销!$J:$J,0)),2),0)</f>
        <v>0</v>
      </c>
      <c r="H1512" s="49" t="str">
        <f aca="false">IF(ROUND($G1512,2)&gt;0,ROUND($G1512,2),"")</f>
        <v/>
      </c>
      <c r="I1512" s="49" t="str">
        <f aca="false">IF(ROUND($G1512,2)&lt;0,-ROUND($G1512,2),"")</f>
        <v/>
      </c>
      <c r="J1512" s="20" t="n">
        <f aca="false">IF(ROUND($G1512,2)=0,0,1)</f>
        <v>0</v>
      </c>
      <c r="K1512" s="20" t="str">
        <f aca="false">IF($J1512=0,"",SUM($J$1510:$J1512))</f>
        <v/>
      </c>
      <c r="L1512" s="20" t="str">
        <f aca="false">IF($K1512="","",$A1512*100+$K1512)</f>
        <v/>
      </c>
      <c r="M1512" s="48" t="str">
        <f aca="false">IFERROR(INDEX(输入报销!$D:$D,MATCH($A1512&amp;"-3",输入报销!$J:$J,0))&amp;"","")</f>
        <v/>
      </c>
    </row>
    <row r="1513" customFormat="false" ht="13.5" hidden="false" customHeight="false" outlineLevel="0" collapsed="false">
      <c r="A1513" s="47" t="n">
        <v>117</v>
      </c>
      <c r="C1513" s="48" t="str">
        <f aca="false">助手报销!$C118</f>
        <v/>
      </c>
      <c r="D1513" s="81" t="s">
        <v>482</v>
      </c>
      <c r="E1513" s="48" t="str">
        <f aca="false">IFERROR(INDEX(输入报销!$E:$E,MATCH($A1513&amp;"-4",输入报销!$J:$J,0))&amp;"","")</f>
        <v/>
      </c>
      <c r="F1513" s="48" t="str">
        <f aca="false">IFERROR(INDEX(输入报销!$F:$F,MATCH($A1513&amp;"-4",输入报销!$J:$J,0))&amp;"","")</f>
        <v/>
      </c>
      <c r="G1513" s="49" t="n">
        <f aca="false">IFERROR(ROUND(INDEX(输入报销!$G:$G,MATCH($A1513&amp;"-4",输入报销!$J:$J,0)),2),0)</f>
        <v>0</v>
      </c>
      <c r="H1513" s="49" t="str">
        <f aca="false">IF(ROUND($G1513,2)&gt;0,ROUND($G1513,2),"")</f>
        <v/>
      </c>
      <c r="I1513" s="49" t="str">
        <f aca="false">IF(ROUND($G1513,2)&lt;0,-ROUND($G1513,2),"")</f>
        <v/>
      </c>
      <c r="J1513" s="20" t="n">
        <f aca="false">IF(ROUND($G1513,2)=0,0,1)</f>
        <v>0</v>
      </c>
      <c r="K1513" s="20" t="str">
        <f aca="false">IF($J1513=0,"",SUM($J$1510:$J1513))</f>
        <v/>
      </c>
      <c r="L1513" s="20" t="str">
        <f aca="false">IF($K1513="","",$A1513*100+$K1513)</f>
        <v/>
      </c>
      <c r="M1513" s="48" t="str">
        <f aca="false">IFERROR(INDEX(输入报销!$D:$D,MATCH($A1513&amp;"-4",输入报销!$J:$J,0))&amp;"","")</f>
        <v/>
      </c>
    </row>
    <row r="1514" customFormat="false" ht="13.5" hidden="false" customHeight="false" outlineLevel="0" collapsed="false">
      <c r="A1514" s="47" t="n">
        <v>117</v>
      </c>
      <c r="C1514" s="48" t="str">
        <f aca="false">助手报销!$C118</f>
        <v/>
      </c>
      <c r="D1514" s="81" t="s">
        <v>483</v>
      </c>
      <c r="E1514" s="48" t="str">
        <f aca="false">IFERROR(INDEX(输入报销!$E:$E,MATCH($A1514&amp;"-5",输入报销!$J:$J,0))&amp;"","")</f>
        <v/>
      </c>
      <c r="F1514" s="48" t="str">
        <f aca="false">IFERROR(INDEX(输入报销!$F:$F,MATCH($A1514&amp;"-5",输入报销!$J:$J,0))&amp;"","")</f>
        <v/>
      </c>
      <c r="G1514" s="49" t="n">
        <f aca="false">IFERROR(ROUND(INDEX(输入报销!$G:$G,MATCH($A1514&amp;"-5",输入报销!$J:$J,0)),2),0)</f>
        <v>0</v>
      </c>
      <c r="H1514" s="49" t="str">
        <f aca="false">IF(ROUND($G1514,2)&gt;0,ROUND($G1514,2),"")</f>
        <v/>
      </c>
      <c r="I1514" s="49" t="str">
        <f aca="false">IF(ROUND($G1514,2)&lt;0,-ROUND($G1514,2),"")</f>
        <v/>
      </c>
      <c r="J1514" s="20" t="n">
        <f aca="false">IF(ROUND($G1514,2)=0,0,1)</f>
        <v>0</v>
      </c>
      <c r="K1514" s="20" t="str">
        <f aca="false">IF($J1514=0,"",SUM($J$1510:$J1514))</f>
        <v/>
      </c>
      <c r="L1514" s="20" t="str">
        <f aca="false">IF($K1514="","",$A1514*100+$K1514)</f>
        <v/>
      </c>
      <c r="M1514" s="48" t="str">
        <f aca="false">IFERROR(INDEX(输入报销!$D:$D,MATCH($A1514&amp;"-5",输入报销!$J:$J,0))&amp;"","")</f>
        <v/>
      </c>
    </row>
    <row r="1515" customFormat="false" ht="13.5" hidden="false" customHeight="false" outlineLevel="0" collapsed="false">
      <c r="A1515" s="47" t="n">
        <v>117</v>
      </c>
      <c r="C1515" s="48" t="str">
        <f aca="false">助手报销!$C118</f>
        <v/>
      </c>
      <c r="D1515" s="81" t="s">
        <v>484</v>
      </c>
      <c r="E1515" s="48" t="str">
        <f aca="false">IFERROR(INDEX(输入报销!$E:$E,MATCH($A1515&amp;"-6",输入报销!$J:$J,0))&amp;"","")</f>
        <v/>
      </c>
      <c r="F1515" s="48" t="str">
        <f aca="false">IFERROR(INDEX(输入报销!$F:$F,MATCH($A1515&amp;"-6",输入报销!$J:$J,0))&amp;"","")</f>
        <v/>
      </c>
      <c r="G1515" s="49" t="n">
        <f aca="false">IFERROR(ROUND(INDEX(输入报销!$G:$G,MATCH($A1515&amp;"-6",输入报销!$J:$J,0)),2),0)</f>
        <v>0</v>
      </c>
      <c r="H1515" s="49" t="str">
        <f aca="false">IF(ROUND($G1515,2)&gt;0,ROUND($G1515,2),"")</f>
        <v/>
      </c>
      <c r="I1515" s="49" t="str">
        <f aca="false">IF(ROUND($G1515,2)&lt;0,-ROUND($G1515,2),"")</f>
        <v/>
      </c>
      <c r="J1515" s="20" t="n">
        <f aca="false">IF(ROUND($G1515,2)=0,0,1)</f>
        <v>0</v>
      </c>
      <c r="K1515" s="20" t="str">
        <f aca="false">IF($J1515=0,"",SUM($J$1510:$J1515))</f>
        <v/>
      </c>
      <c r="L1515" s="20" t="str">
        <f aca="false">IF($K1515="","",$A1515*100+$K1515)</f>
        <v/>
      </c>
      <c r="M1515" s="48" t="str">
        <f aca="false">IFERROR(INDEX(输入报销!$D:$D,MATCH($A1515&amp;"-6",输入报销!$J:$J,0))&amp;"","")</f>
        <v/>
      </c>
    </row>
    <row r="1516" customFormat="false" ht="13.5" hidden="false" customHeight="false" outlineLevel="0" collapsed="false">
      <c r="A1516" s="47" t="n">
        <v>117</v>
      </c>
      <c r="C1516" s="48" t="str">
        <f aca="false">助手报销!$C118</f>
        <v/>
      </c>
      <c r="D1516" s="81" t="s">
        <v>485</v>
      </c>
      <c r="E1516" s="48" t="str">
        <f aca="false">IFERROR(INDEX(输入报销!$E:$E,MATCH($A1516&amp;"-7",输入报销!$J:$J,0))&amp;"","")</f>
        <v/>
      </c>
      <c r="F1516" s="48" t="str">
        <f aca="false">IFERROR(INDEX(输入报销!$F:$F,MATCH($A1516&amp;"-7",输入报销!$J:$J,0))&amp;"","")</f>
        <v/>
      </c>
      <c r="G1516" s="49" t="n">
        <f aca="false">IFERROR(ROUND(INDEX(输入报销!$G:$G,MATCH($A1516&amp;"-7",输入报销!$J:$J,0)),2),0)</f>
        <v>0</v>
      </c>
      <c r="H1516" s="49" t="str">
        <f aca="false">IF(ROUND($G1516,2)&gt;0,ROUND($G1516,2),"")</f>
        <v/>
      </c>
      <c r="I1516" s="49" t="str">
        <f aca="false">IF(ROUND($G1516,2)&lt;0,-ROUND($G1516,2),"")</f>
        <v/>
      </c>
      <c r="J1516" s="20" t="n">
        <f aca="false">IF(ROUND($G1516,2)=0,0,1)</f>
        <v>0</v>
      </c>
      <c r="K1516" s="20" t="str">
        <f aca="false">IF($J1516=0,"",SUM($J$1510:$J1516))</f>
        <v/>
      </c>
      <c r="L1516" s="20" t="str">
        <f aca="false">IF($K1516="","",$A1516*100+$K1516)</f>
        <v/>
      </c>
      <c r="M1516" s="48" t="str">
        <f aca="false">IFERROR(INDEX(输入报销!$D:$D,MATCH($A1516&amp;"-7",输入报销!$J:$J,0))&amp;"","")</f>
        <v/>
      </c>
    </row>
    <row r="1517" customFormat="false" ht="13.5" hidden="false" customHeight="false" outlineLevel="0" collapsed="false">
      <c r="A1517" s="47" t="n">
        <v>117</v>
      </c>
      <c r="C1517" s="48" t="str">
        <f aca="false">助手报销!$C118</f>
        <v/>
      </c>
      <c r="D1517" s="81" t="s">
        <v>486</v>
      </c>
      <c r="E1517" s="48" t="str">
        <f aca="false">IFERROR(INDEX(输入报销!$E:$E,MATCH($A1517&amp;"-8",输入报销!$J:$J,0))&amp;"","")</f>
        <v/>
      </c>
      <c r="F1517" s="48" t="str">
        <f aca="false">IFERROR(INDEX(输入报销!$F:$F,MATCH($A1517&amp;"-8",输入报销!$J:$J,0))&amp;"","")</f>
        <v/>
      </c>
      <c r="G1517" s="49" t="n">
        <f aca="false">IFERROR(ROUND(INDEX(输入报销!$G:$G,MATCH($A1517&amp;"-8",输入报销!$J:$J,0)),2),0)</f>
        <v>0</v>
      </c>
      <c r="H1517" s="49" t="str">
        <f aca="false">IF(ROUND($G1517,2)&gt;0,ROUND($G1517,2),"")</f>
        <v/>
      </c>
      <c r="I1517" s="49" t="str">
        <f aca="false">IF(ROUND($G1517,2)&lt;0,-ROUND($G1517,2),"")</f>
        <v/>
      </c>
      <c r="J1517" s="20" t="n">
        <f aca="false">IF(ROUND($G1517,2)=0,0,1)</f>
        <v>0</v>
      </c>
      <c r="K1517" s="20" t="str">
        <f aca="false">IF($J1517=0,"",SUM($J$1510:$J1517))</f>
        <v/>
      </c>
      <c r="L1517" s="20" t="str">
        <f aca="false">IF($K1517="","",$A1517*100+$K1517)</f>
        <v/>
      </c>
      <c r="M1517" s="48" t="str">
        <f aca="false">IFERROR(INDEX(输入报销!$D:$D,MATCH($A1517&amp;"-8",输入报销!$J:$J,0))&amp;"","")</f>
        <v/>
      </c>
    </row>
    <row r="1518" customFormat="false" ht="13.5" hidden="false" customHeight="false" outlineLevel="0" collapsed="false">
      <c r="A1518" s="47" t="n">
        <v>117</v>
      </c>
      <c r="C1518" s="48" t="str">
        <f aca="false">助手报销!$C118</f>
        <v/>
      </c>
      <c r="D1518" s="81" t="s">
        <v>487</v>
      </c>
      <c r="E1518" s="48" t="str">
        <f aca="false">IFERROR(INDEX(输入报销!$E:$E,MATCH($A1518&amp;"-9",输入报销!$J:$J,0))&amp;"","")</f>
        <v/>
      </c>
      <c r="F1518" s="48" t="str">
        <f aca="false">IFERROR(INDEX(输入报销!$F:$F,MATCH($A1518&amp;"-9",输入报销!$J:$J,0))&amp;"","")</f>
        <v/>
      </c>
      <c r="G1518" s="49" t="n">
        <f aca="false">IFERROR(ROUND(INDEX(输入报销!$G:$G,MATCH($A1518&amp;"-9",输入报销!$J:$J,0)),2),0)</f>
        <v>0</v>
      </c>
      <c r="H1518" s="49" t="str">
        <f aca="false">IF(ROUND($G1518,2)&gt;0,ROUND($G1518,2),"")</f>
        <v/>
      </c>
      <c r="I1518" s="49" t="str">
        <f aca="false">IF(ROUND($G1518,2)&lt;0,-ROUND($G1518,2),"")</f>
        <v/>
      </c>
      <c r="J1518" s="20" t="n">
        <f aca="false">IF(ROUND($G1518,2)=0,0,1)</f>
        <v>0</v>
      </c>
      <c r="K1518" s="20" t="str">
        <f aca="false">IF($J1518=0,"",SUM($J$1510:$J1518))</f>
        <v/>
      </c>
      <c r="L1518" s="20" t="str">
        <f aca="false">IF($K1518="","",$A1518*100+$K1518)</f>
        <v/>
      </c>
      <c r="M1518" s="48" t="str">
        <f aca="false">IFERROR(INDEX(输入报销!$D:$D,MATCH($A1518&amp;"-9",输入报销!$J:$J,0))&amp;"","")</f>
        <v/>
      </c>
    </row>
    <row r="1519" customFormat="false" ht="13.5" hidden="false" customHeight="false" outlineLevel="0" collapsed="false">
      <c r="A1519" s="47" t="n">
        <v>117</v>
      </c>
      <c r="C1519" s="48" t="str">
        <f aca="false">助手报销!$C118</f>
        <v/>
      </c>
      <c r="D1519" s="81" t="s">
        <v>488</v>
      </c>
      <c r="E1519" s="48" t="str">
        <f aca="false">IFERROR(INDEX(输入报销!$E:$E,MATCH($A1519&amp;"-10",输入报销!$J:$J,0))&amp;"","")</f>
        <v/>
      </c>
      <c r="F1519" s="48" t="str">
        <f aca="false">IFERROR(INDEX(输入报销!$F:$F,MATCH($A1519&amp;"-10",输入报销!$J:$J,0))&amp;"","")</f>
        <v/>
      </c>
      <c r="G1519" s="49" t="n">
        <f aca="false">IFERROR(ROUND(INDEX(输入报销!$G:$G,MATCH($A1519&amp;"-10",输入报销!$J:$J,0)),2),0)</f>
        <v>0</v>
      </c>
      <c r="H1519" s="49" t="str">
        <f aca="false">IF(ROUND($G1519,2)&gt;0,ROUND($G1519,2),"")</f>
        <v/>
      </c>
      <c r="I1519" s="49" t="str">
        <f aca="false">IF(ROUND($G1519,2)&lt;0,-ROUND($G1519,2),"")</f>
        <v/>
      </c>
      <c r="J1519" s="20" t="n">
        <f aca="false">IF(ROUND($G1519,2)=0,0,1)</f>
        <v>0</v>
      </c>
      <c r="K1519" s="20" t="str">
        <f aca="false">IF($J1519=0,"",SUM($J$1510:$J1519))</f>
        <v/>
      </c>
      <c r="L1519" s="20" t="str">
        <f aca="false">IF($K1519="","",$A1519*100+$K1519)</f>
        <v/>
      </c>
      <c r="M1519" s="48" t="str">
        <f aca="false">IFERROR(INDEX(输入报销!$D:$D,MATCH($A1519&amp;"-10",输入报销!$J:$J,0))&amp;"","")</f>
        <v/>
      </c>
    </row>
    <row r="1520" customFormat="false" ht="13.5" hidden="false" customHeight="false" outlineLevel="0" collapsed="false">
      <c r="A1520" s="47" t="n">
        <v>117</v>
      </c>
      <c r="C1520" s="48" t="str">
        <f aca="false">助手报销!$C118</f>
        <v/>
      </c>
      <c r="D1520" s="81" t="s">
        <v>489</v>
      </c>
      <c r="E1520" s="48" t="str">
        <f aca="false">参数!$B$6</f>
        <v>库存现金</v>
      </c>
      <c r="F1520" s="48" t="str">
        <f aca="false">""</f>
        <v/>
      </c>
      <c r="G1520" s="49" t="n">
        <f aca="false">-ROUND(SUMIFS(输入报销!$G:$G,输入报销!$A:$A,$A1520,输入报销!$H:$H,参数!$B$6),2)</f>
        <v>-0</v>
      </c>
      <c r="H1520" s="49" t="str">
        <f aca="false">IF(ROUND($G1520,2)&gt;0,ROUND($G1520,2),"")</f>
        <v/>
      </c>
      <c r="I1520" s="49" t="str">
        <f aca="false">IF(ROUND($G1520,2)&lt;0,-ROUND($G1520,2),"")</f>
        <v/>
      </c>
      <c r="J1520" s="20" t="n">
        <f aca="false">IF(ROUND($G1520,2)=0,0,1)</f>
        <v>0</v>
      </c>
      <c r="K1520" s="20" t="str">
        <f aca="false">IF($J1520=0,"",SUM($J$1510:$J1520))</f>
        <v/>
      </c>
      <c r="L1520" s="20" t="str">
        <f aca="false">IF($K1520="","",$A1520*100+$K1520)</f>
        <v/>
      </c>
      <c r="M1520" s="48" t="str">
        <f aca="false">""</f>
        <v/>
      </c>
    </row>
    <row r="1521" customFormat="false" ht="13.5" hidden="false" customHeight="false" outlineLevel="0" collapsed="false">
      <c r="A1521" s="47" t="n">
        <v>117</v>
      </c>
      <c r="C1521" s="48" t="str">
        <f aca="false">助手报销!$C118</f>
        <v/>
      </c>
      <c r="D1521" s="81" t="s">
        <v>490</v>
      </c>
      <c r="E1521" s="48" t="str">
        <f aca="false">参数!$B$7</f>
        <v>银行存款</v>
      </c>
      <c r="F1521" s="48" t="str">
        <f aca="false">""</f>
        <v/>
      </c>
      <c r="G1521" s="49" t="n">
        <f aca="false">-ROUND(SUMIFS(输入报销!$G:$G,输入报销!$A:$A,$A1521,输入报销!$H:$H,参数!$B$7),2)</f>
        <v>-0</v>
      </c>
      <c r="H1521" s="49" t="str">
        <f aca="false">IF(ROUND($G1521,2)&gt;0,ROUND($G1521,2),"")</f>
        <v/>
      </c>
      <c r="I1521" s="49" t="str">
        <f aca="false">IF(ROUND($G1521,2)&lt;0,-ROUND($G1521,2),"")</f>
        <v/>
      </c>
      <c r="J1521" s="20" t="n">
        <f aca="false">IF(ROUND($G1521,2)=0,0,1)</f>
        <v>0</v>
      </c>
      <c r="K1521" s="20" t="str">
        <f aca="false">IF($J1521=0,"",SUM($J$1510:$J1521))</f>
        <v/>
      </c>
      <c r="L1521" s="20" t="str">
        <f aca="false">IF($K1521="","",$A1521*100+$K1521)</f>
        <v/>
      </c>
      <c r="M1521" s="48" t="str">
        <f aca="false">""</f>
        <v/>
      </c>
    </row>
    <row r="1522" customFormat="false" ht="13.5" hidden="false" customHeight="false" outlineLevel="0" collapsed="false">
      <c r="A1522" s="47" t="n">
        <v>117</v>
      </c>
      <c r="C1522" s="48" t="str">
        <f aca="false">助手报销!$C118</f>
        <v/>
      </c>
      <c r="D1522" s="81" t="s">
        <v>491</v>
      </c>
      <c r="E1522" s="48" t="str">
        <f aca="false">参数!$B$8</f>
        <v>其他应付款</v>
      </c>
      <c r="F1522" s="48" t="str">
        <f aca="false">""</f>
        <v/>
      </c>
      <c r="G1522" s="49" t="n">
        <f aca="false">-ROUND(SUMIFS(输入报销!$G:$G,输入报销!$A:$A,$A1522,输入报销!$H:$H,参数!$B$8),2)</f>
        <v>-0</v>
      </c>
      <c r="H1522" s="49" t="str">
        <f aca="false">IF(ROUND($G1522,2)&gt;0,ROUND($G1522,2),"")</f>
        <v/>
      </c>
      <c r="I1522" s="49" t="str">
        <f aca="false">IF(ROUND($G1522,2)&lt;0,-ROUND($G1522,2),"")</f>
        <v/>
      </c>
      <c r="J1522" s="20" t="n">
        <f aca="false">IF(ROUND($G1522,2)=0,0,1)</f>
        <v>0</v>
      </c>
      <c r="K1522" s="20" t="str">
        <f aca="false">IF($J1522=0,"",SUM($J$1510:$J1522))</f>
        <v/>
      </c>
      <c r="L1522" s="20" t="str">
        <f aca="false">IF($K1522="","",$A1522*100+$K1522)</f>
        <v/>
      </c>
      <c r="M1522" s="48" t="str">
        <f aca="false">""</f>
        <v/>
      </c>
    </row>
    <row r="1523" customFormat="false" ht="13.5" hidden="false" customHeight="false" outlineLevel="0" collapsed="false">
      <c r="A1523" s="47" t="n">
        <v>118</v>
      </c>
      <c r="C1523" s="48" t="str">
        <f aca="false">助手报销!$C119</f>
        <v/>
      </c>
      <c r="D1523" s="81" t="s">
        <v>479</v>
      </c>
      <c r="E1523" s="48" t="str">
        <f aca="false">IFERROR(INDEX(输入报销!$E:$E,MATCH($A1523&amp;"-1",输入报销!$J:$J,0))&amp;"","")</f>
        <v/>
      </c>
      <c r="F1523" s="48" t="str">
        <f aca="false">IFERROR(INDEX(输入报销!$F:$F,MATCH($A1523&amp;"-1",输入报销!$J:$J,0))&amp;"","")</f>
        <v/>
      </c>
      <c r="G1523" s="49" t="n">
        <f aca="false">IFERROR(ROUND(INDEX(输入报销!$G:$G,MATCH($A1523&amp;"-1",输入报销!$J:$J,0)),2),0)</f>
        <v>0</v>
      </c>
      <c r="H1523" s="49" t="str">
        <f aca="false">IF(ROUND($G1523,2)&gt;0,ROUND($G1523,2),"")</f>
        <v/>
      </c>
      <c r="I1523" s="49" t="str">
        <f aca="false">IF(ROUND($G1523,2)&lt;0,-ROUND($G1523,2),"")</f>
        <v/>
      </c>
      <c r="J1523" s="20" t="n">
        <f aca="false">IF(ROUND($G1523,2)=0,0,1)</f>
        <v>0</v>
      </c>
      <c r="K1523" s="20" t="str">
        <f aca="false">IF($J1523=0,"",SUM($J$1523:$J1523))</f>
        <v/>
      </c>
      <c r="L1523" s="20" t="str">
        <f aca="false">IF($K1523="","",$A1523*100+$K1523)</f>
        <v/>
      </c>
      <c r="M1523" s="48" t="str">
        <f aca="false">IFERROR(INDEX(输入报销!$D:$D,MATCH($A1523&amp;"-1",输入报销!$J:$J,0))&amp;"","")</f>
        <v/>
      </c>
    </row>
    <row r="1524" customFormat="false" ht="13.5" hidden="false" customHeight="false" outlineLevel="0" collapsed="false">
      <c r="A1524" s="47" t="n">
        <v>118</v>
      </c>
      <c r="C1524" s="48" t="str">
        <f aca="false">助手报销!$C119</f>
        <v/>
      </c>
      <c r="D1524" s="81" t="s">
        <v>480</v>
      </c>
      <c r="E1524" s="48" t="str">
        <f aca="false">IFERROR(INDEX(输入报销!$E:$E,MATCH($A1524&amp;"-2",输入报销!$J:$J,0))&amp;"","")</f>
        <v/>
      </c>
      <c r="F1524" s="48" t="str">
        <f aca="false">IFERROR(INDEX(输入报销!$F:$F,MATCH($A1524&amp;"-2",输入报销!$J:$J,0))&amp;"","")</f>
        <v/>
      </c>
      <c r="G1524" s="49" t="n">
        <f aca="false">IFERROR(ROUND(INDEX(输入报销!$G:$G,MATCH($A1524&amp;"-2",输入报销!$J:$J,0)),2),0)</f>
        <v>0</v>
      </c>
      <c r="H1524" s="49" t="str">
        <f aca="false">IF(ROUND($G1524,2)&gt;0,ROUND($G1524,2),"")</f>
        <v/>
      </c>
      <c r="I1524" s="49" t="str">
        <f aca="false">IF(ROUND($G1524,2)&lt;0,-ROUND($G1524,2),"")</f>
        <v/>
      </c>
      <c r="J1524" s="20" t="n">
        <f aca="false">IF(ROUND($G1524,2)=0,0,1)</f>
        <v>0</v>
      </c>
      <c r="K1524" s="20" t="str">
        <f aca="false">IF($J1524=0,"",SUM($J$1523:$J1524))</f>
        <v/>
      </c>
      <c r="L1524" s="20" t="str">
        <f aca="false">IF($K1524="","",$A1524*100+$K1524)</f>
        <v/>
      </c>
      <c r="M1524" s="48" t="str">
        <f aca="false">IFERROR(INDEX(输入报销!$D:$D,MATCH($A1524&amp;"-2",输入报销!$J:$J,0))&amp;"","")</f>
        <v/>
      </c>
    </row>
    <row r="1525" customFormat="false" ht="13.5" hidden="false" customHeight="false" outlineLevel="0" collapsed="false">
      <c r="A1525" s="47" t="n">
        <v>118</v>
      </c>
      <c r="C1525" s="48" t="str">
        <f aca="false">助手报销!$C119</f>
        <v/>
      </c>
      <c r="D1525" s="81" t="s">
        <v>481</v>
      </c>
      <c r="E1525" s="48" t="str">
        <f aca="false">IFERROR(INDEX(输入报销!$E:$E,MATCH($A1525&amp;"-3",输入报销!$J:$J,0))&amp;"","")</f>
        <v/>
      </c>
      <c r="F1525" s="48" t="str">
        <f aca="false">IFERROR(INDEX(输入报销!$F:$F,MATCH($A1525&amp;"-3",输入报销!$J:$J,0))&amp;"","")</f>
        <v/>
      </c>
      <c r="G1525" s="49" t="n">
        <f aca="false">IFERROR(ROUND(INDEX(输入报销!$G:$G,MATCH($A1525&amp;"-3",输入报销!$J:$J,0)),2),0)</f>
        <v>0</v>
      </c>
      <c r="H1525" s="49" t="str">
        <f aca="false">IF(ROUND($G1525,2)&gt;0,ROUND($G1525,2),"")</f>
        <v/>
      </c>
      <c r="I1525" s="49" t="str">
        <f aca="false">IF(ROUND($G1525,2)&lt;0,-ROUND($G1525,2),"")</f>
        <v/>
      </c>
      <c r="J1525" s="20" t="n">
        <f aca="false">IF(ROUND($G1525,2)=0,0,1)</f>
        <v>0</v>
      </c>
      <c r="K1525" s="20" t="str">
        <f aca="false">IF($J1525=0,"",SUM($J$1523:$J1525))</f>
        <v/>
      </c>
      <c r="L1525" s="20" t="str">
        <f aca="false">IF($K1525="","",$A1525*100+$K1525)</f>
        <v/>
      </c>
      <c r="M1525" s="48" t="str">
        <f aca="false">IFERROR(INDEX(输入报销!$D:$D,MATCH($A1525&amp;"-3",输入报销!$J:$J,0))&amp;"","")</f>
        <v/>
      </c>
    </row>
    <row r="1526" customFormat="false" ht="13.5" hidden="false" customHeight="false" outlineLevel="0" collapsed="false">
      <c r="A1526" s="47" t="n">
        <v>118</v>
      </c>
      <c r="C1526" s="48" t="str">
        <f aca="false">助手报销!$C119</f>
        <v/>
      </c>
      <c r="D1526" s="81" t="s">
        <v>482</v>
      </c>
      <c r="E1526" s="48" t="str">
        <f aca="false">IFERROR(INDEX(输入报销!$E:$E,MATCH($A1526&amp;"-4",输入报销!$J:$J,0))&amp;"","")</f>
        <v/>
      </c>
      <c r="F1526" s="48" t="str">
        <f aca="false">IFERROR(INDEX(输入报销!$F:$F,MATCH($A1526&amp;"-4",输入报销!$J:$J,0))&amp;"","")</f>
        <v/>
      </c>
      <c r="G1526" s="49" t="n">
        <f aca="false">IFERROR(ROUND(INDEX(输入报销!$G:$G,MATCH($A1526&amp;"-4",输入报销!$J:$J,0)),2),0)</f>
        <v>0</v>
      </c>
      <c r="H1526" s="49" t="str">
        <f aca="false">IF(ROUND($G1526,2)&gt;0,ROUND($G1526,2),"")</f>
        <v/>
      </c>
      <c r="I1526" s="49" t="str">
        <f aca="false">IF(ROUND($G1526,2)&lt;0,-ROUND($G1526,2),"")</f>
        <v/>
      </c>
      <c r="J1526" s="20" t="n">
        <f aca="false">IF(ROUND($G1526,2)=0,0,1)</f>
        <v>0</v>
      </c>
      <c r="K1526" s="20" t="str">
        <f aca="false">IF($J1526=0,"",SUM($J$1523:$J1526))</f>
        <v/>
      </c>
      <c r="L1526" s="20" t="str">
        <f aca="false">IF($K1526="","",$A1526*100+$K1526)</f>
        <v/>
      </c>
      <c r="M1526" s="48" t="str">
        <f aca="false">IFERROR(INDEX(输入报销!$D:$D,MATCH($A1526&amp;"-4",输入报销!$J:$J,0))&amp;"","")</f>
        <v/>
      </c>
    </row>
    <row r="1527" customFormat="false" ht="13.5" hidden="false" customHeight="false" outlineLevel="0" collapsed="false">
      <c r="A1527" s="47" t="n">
        <v>118</v>
      </c>
      <c r="C1527" s="48" t="str">
        <f aca="false">助手报销!$C119</f>
        <v/>
      </c>
      <c r="D1527" s="81" t="s">
        <v>483</v>
      </c>
      <c r="E1527" s="48" t="str">
        <f aca="false">IFERROR(INDEX(输入报销!$E:$E,MATCH($A1527&amp;"-5",输入报销!$J:$J,0))&amp;"","")</f>
        <v/>
      </c>
      <c r="F1527" s="48" t="str">
        <f aca="false">IFERROR(INDEX(输入报销!$F:$F,MATCH($A1527&amp;"-5",输入报销!$J:$J,0))&amp;"","")</f>
        <v/>
      </c>
      <c r="G1527" s="49" t="n">
        <f aca="false">IFERROR(ROUND(INDEX(输入报销!$G:$G,MATCH($A1527&amp;"-5",输入报销!$J:$J,0)),2),0)</f>
        <v>0</v>
      </c>
      <c r="H1527" s="49" t="str">
        <f aca="false">IF(ROUND($G1527,2)&gt;0,ROUND($G1527,2),"")</f>
        <v/>
      </c>
      <c r="I1527" s="49" t="str">
        <f aca="false">IF(ROUND($G1527,2)&lt;0,-ROUND($G1527,2),"")</f>
        <v/>
      </c>
      <c r="J1527" s="20" t="n">
        <f aca="false">IF(ROUND($G1527,2)=0,0,1)</f>
        <v>0</v>
      </c>
      <c r="K1527" s="20" t="str">
        <f aca="false">IF($J1527=0,"",SUM($J$1523:$J1527))</f>
        <v/>
      </c>
      <c r="L1527" s="20" t="str">
        <f aca="false">IF($K1527="","",$A1527*100+$K1527)</f>
        <v/>
      </c>
      <c r="M1527" s="48" t="str">
        <f aca="false">IFERROR(INDEX(输入报销!$D:$D,MATCH($A1527&amp;"-5",输入报销!$J:$J,0))&amp;"","")</f>
        <v/>
      </c>
    </row>
    <row r="1528" customFormat="false" ht="13.5" hidden="false" customHeight="false" outlineLevel="0" collapsed="false">
      <c r="A1528" s="47" t="n">
        <v>118</v>
      </c>
      <c r="C1528" s="48" t="str">
        <f aca="false">助手报销!$C119</f>
        <v/>
      </c>
      <c r="D1528" s="81" t="s">
        <v>484</v>
      </c>
      <c r="E1528" s="48" t="str">
        <f aca="false">IFERROR(INDEX(输入报销!$E:$E,MATCH($A1528&amp;"-6",输入报销!$J:$J,0))&amp;"","")</f>
        <v/>
      </c>
      <c r="F1528" s="48" t="str">
        <f aca="false">IFERROR(INDEX(输入报销!$F:$F,MATCH($A1528&amp;"-6",输入报销!$J:$J,0))&amp;"","")</f>
        <v/>
      </c>
      <c r="G1528" s="49" t="n">
        <f aca="false">IFERROR(ROUND(INDEX(输入报销!$G:$G,MATCH($A1528&amp;"-6",输入报销!$J:$J,0)),2),0)</f>
        <v>0</v>
      </c>
      <c r="H1528" s="49" t="str">
        <f aca="false">IF(ROUND($G1528,2)&gt;0,ROUND($G1528,2),"")</f>
        <v/>
      </c>
      <c r="I1528" s="49" t="str">
        <f aca="false">IF(ROUND($G1528,2)&lt;0,-ROUND($G1528,2),"")</f>
        <v/>
      </c>
      <c r="J1528" s="20" t="n">
        <f aca="false">IF(ROUND($G1528,2)=0,0,1)</f>
        <v>0</v>
      </c>
      <c r="K1528" s="20" t="str">
        <f aca="false">IF($J1528=0,"",SUM($J$1523:$J1528))</f>
        <v/>
      </c>
      <c r="L1528" s="20" t="str">
        <f aca="false">IF($K1528="","",$A1528*100+$K1528)</f>
        <v/>
      </c>
      <c r="M1528" s="48" t="str">
        <f aca="false">IFERROR(INDEX(输入报销!$D:$D,MATCH($A1528&amp;"-6",输入报销!$J:$J,0))&amp;"","")</f>
        <v/>
      </c>
    </row>
    <row r="1529" customFormat="false" ht="13.5" hidden="false" customHeight="false" outlineLevel="0" collapsed="false">
      <c r="A1529" s="47" t="n">
        <v>118</v>
      </c>
      <c r="C1529" s="48" t="str">
        <f aca="false">助手报销!$C119</f>
        <v/>
      </c>
      <c r="D1529" s="81" t="s">
        <v>485</v>
      </c>
      <c r="E1529" s="48" t="str">
        <f aca="false">IFERROR(INDEX(输入报销!$E:$E,MATCH($A1529&amp;"-7",输入报销!$J:$J,0))&amp;"","")</f>
        <v/>
      </c>
      <c r="F1529" s="48" t="str">
        <f aca="false">IFERROR(INDEX(输入报销!$F:$F,MATCH($A1529&amp;"-7",输入报销!$J:$J,0))&amp;"","")</f>
        <v/>
      </c>
      <c r="G1529" s="49" t="n">
        <f aca="false">IFERROR(ROUND(INDEX(输入报销!$G:$G,MATCH($A1529&amp;"-7",输入报销!$J:$J,0)),2),0)</f>
        <v>0</v>
      </c>
      <c r="H1529" s="49" t="str">
        <f aca="false">IF(ROUND($G1529,2)&gt;0,ROUND($G1529,2),"")</f>
        <v/>
      </c>
      <c r="I1529" s="49" t="str">
        <f aca="false">IF(ROUND($G1529,2)&lt;0,-ROUND($G1529,2),"")</f>
        <v/>
      </c>
      <c r="J1529" s="20" t="n">
        <f aca="false">IF(ROUND($G1529,2)=0,0,1)</f>
        <v>0</v>
      </c>
      <c r="K1529" s="20" t="str">
        <f aca="false">IF($J1529=0,"",SUM($J$1523:$J1529))</f>
        <v/>
      </c>
      <c r="L1529" s="20" t="str">
        <f aca="false">IF($K1529="","",$A1529*100+$K1529)</f>
        <v/>
      </c>
      <c r="M1529" s="48" t="str">
        <f aca="false">IFERROR(INDEX(输入报销!$D:$D,MATCH($A1529&amp;"-7",输入报销!$J:$J,0))&amp;"","")</f>
        <v/>
      </c>
    </row>
    <row r="1530" customFormat="false" ht="13.5" hidden="false" customHeight="false" outlineLevel="0" collapsed="false">
      <c r="A1530" s="47" t="n">
        <v>118</v>
      </c>
      <c r="C1530" s="48" t="str">
        <f aca="false">助手报销!$C119</f>
        <v/>
      </c>
      <c r="D1530" s="81" t="s">
        <v>486</v>
      </c>
      <c r="E1530" s="48" t="str">
        <f aca="false">IFERROR(INDEX(输入报销!$E:$E,MATCH($A1530&amp;"-8",输入报销!$J:$J,0))&amp;"","")</f>
        <v/>
      </c>
      <c r="F1530" s="48" t="str">
        <f aca="false">IFERROR(INDEX(输入报销!$F:$F,MATCH($A1530&amp;"-8",输入报销!$J:$J,0))&amp;"","")</f>
        <v/>
      </c>
      <c r="G1530" s="49" t="n">
        <f aca="false">IFERROR(ROUND(INDEX(输入报销!$G:$G,MATCH($A1530&amp;"-8",输入报销!$J:$J,0)),2),0)</f>
        <v>0</v>
      </c>
      <c r="H1530" s="49" t="str">
        <f aca="false">IF(ROUND($G1530,2)&gt;0,ROUND($G1530,2),"")</f>
        <v/>
      </c>
      <c r="I1530" s="49" t="str">
        <f aca="false">IF(ROUND($G1530,2)&lt;0,-ROUND($G1530,2),"")</f>
        <v/>
      </c>
      <c r="J1530" s="20" t="n">
        <f aca="false">IF(ROUND($G1530,2)=0,0,1)</f>
        <v>0</v>
      </c>
      <c r="K1530" s="20" t="str">
        <f aca="false">IF($J1530=0,"",SUM($J$1523:$J1530))</f>
        <v/>
      </c>
      <c r="L1530" s="20" t="str">
        <f aca="false">IF($K1530="","",$A1530*100+$K1530)</f>
        <v/>
      </c>
      <c r="M1530" s="48" t="str">
        <f aca="false">IFERROR(INDEX(输入报销!$D:$D,MATCH($A1530&amp;"-8",输入报销!$J:$J,0))&amp;"","")</f>
        <v/>
      </c>
    </row>
    <row r="1531" customFormat="false" ht="13.5" hidden="false" customHeight="false" outlineLevel="0" collapsed="false">
      <c r="A1531" s="47" t="n">
        <v>118</v>
      </c>
      <c r="C1531" s="48" t="str">
        <f aca="false">助手报销!$C119</f>
        <v/>
      </c>
      <c r="D1531" s="81" t="s">
        <v>487</v>
      </c>
      <c r="E1531" s="48" t="str">
        <f aca="false">IFERROR(INDEX(输入报销!$E:$E,MATCH($A1531&amp;"-9",输入报销!$J:$J,0))&amp;"","")</f>
        <v/>
      </c>
      <c r="F1531" s="48" t="str">
        <f aca="false">IFERROR(INDEX(输入报销!$F:$F,MATCH($A1531&amp;"-9",输入报销!$J:$J,0))&amp;"","")</f>
        <v/>
      </c>
      <c r="G1531" s="49" t="n">
        <f aca="false">IFERROR(ROUND(INDEX(输入报销!$G:$G,MATCH($A1531&amp;"-9",输入报销!$J:$J,0)),2),0)</f>
        <v>0</v>
      </c>
      <c r="H1531" s="49" t="str">
        <f aca="false">IF(ROUND($G1531,2)&gt;0,ROUND($G1531,2),"")</f>
        <v/>
      </c>
      <c r="I1531" s="49" t="str">
        <f aca="false">IF(ROUND($G1531,2)&lt;0,-ROUND($G1531,2),"")</f>
        <v/>
      </c>
      <c r="J1531" s="20" t="n">
        <f aca="false">IF(ROUND($G1531,2)=0,0,1)</f>
        <v>0</v>
      </c>
      <c r="K1531" s="20" t="str">
        <f aca="false">IF($J1531=0,"",SUM($J$1523:$J1531))</f>
        <v/>
      </c>
      <c r="L1531" s="20" t="str">
        <f aca="false">IF($K1531="","",$A1531*100+$K1531)</f>
        <v/>
      </c>
      <c r="M1531" s="48" t="str">
        <f aca="false">IFERROR(INDEX(输入报销!$D:$D,MATCH($A1531&amp;"-9",输入报销!$J:$J,0))&amp;"","")</f>
        <v/>
      </c>
    </row>
    <row r="1532" customFormat="false" ht="13.5" hidden="false" customHeight="false" outlineLevel="0" collapsed="false">
      <c r="A1532" s="47" t="n">
        <v>118</v>
      </c>
      <c r="C1532" s="48" t="str">
        <f aca="false">助手报销!$C119</f>
        <v/>
      </c>
      <c r="D1532" s="81" t="s">
        <v>488</v>
      </c>
      <c r="E1532" s="48" t="str">
        <f aca="false">IFERROR(INDEX(输入报销!$E:$E,MATCH($A1532&amp;"-10",输入报销!$J:$J,0))&amp;"","")</f>
        <v/>
      </c>
      <c r="F1532" s="48" t="str">
        <f aca="false">IFERROR(INDEX(输入报销!$F:$F,MATCH($A1532&amp;"-10",输入报销!$J:$J,0))&amp;"","")</f>
        <v/>
      </c>
      <c r="G1532" s="49" t="n">
        <f aca="false">IFERROR(ROUND(INDEX(输入报销!$G:$G,MATCH($A1532&amp;"-10",输入报销!$J:$J,0)),2),0)</f>
        <v>0</v>
      </c>
      <c r="H1532" s="49" t="str">
        <f aca="false">IF(ROUND($G1532,2)&gt;0,ROUND($G1532,2),"")</f>
        <v/>
      </c>
      <c r="I1532" s="49" t="str">
        <f aca="false">IF(ROUND($G1532,2)&lt;0,-ROUND($G1532,2),"")</f>
        <v/>
      </c>
      <c r="J1532" s="20" t="n">
        <f aca="false">IF(ROUND($G1532,2)=0,0,1)</f>
        <v>0</v>
      </c>
      <c r="K1532" s="20" t="str">
        <f aca="false">IF($J1532=0,"",SUM($J$1523:$J1532))</f>
        <v/>
      </c>
      <c r="L1532" s="20" t="str">
        <f aca="false">IF($K1532="","",$A1532*100+$K1532)</f>
        <v/>
      </c>
      <c r="M1532" s="48" t="str">
        <f aca="false">IFERROR(INDEX(输入报销!$D:$D,MATCH($A1532&amp;"-10",输入报销!$J:$J,0))&amp;"","")</f>
        <v/>
      </c>
    </row>
    <row r="1533" customFormat="false" ht="13.5" hidden="false" customHeight="false" outlineLevel="0" collapsed="false">
      <c r="A1533" s="47" t="n">
        <v>118</v>
      </c>
      <c r="C1533" s="48" t="str">
        <f aca="false">助手报销!$C119</f>
        <v/>
      </c>
      <c r="D1533" s="81" t="s">
        <v>489</v>
      </c>
      <c r="E1533" s="48" t="str">
        <f aca="false">参数!$B$6</f>
        <v>库存现金</v>
      </c>
      <c r="F1533" s="48" t="str">
        <f aca="false">""</f>
        <v/>
      </c>
      <c r="G1533" s="49" t="n">
        <f aca="false">-ROUND(SUMIFS(输入报销!$G:$G,输入报销!$A:$A,$A1533,输入报销!$H:$H,参数!$B$6),2)</f>
        <v>-0</v>
      </c>
      <c r="H1533" s="49" t="str">
        <f aca="false">IF(ROUND($G1533,2)&gt;0,ROUND($G1533,2),"")</f>
        <v/>
      </c>
      <c r="I1533" s="49" t="str">
        <f aca="false">IF(ROUND($G1533,2)&lt;0,-ROUND($G1533,2),"")</f>
        <v/>
      </c>
      <c r="J1533" s="20" t="n">
        <f aca="false">IF(ROUND($G1533,2)=0,0,1)</f>
        <v>0</v>
      </c>
      <c r="K1533" s="20" t="str">
        <f aca="false">IF($J1533=0,"",SUM($J$1523:$J1533))</f>
        <v/>
      </c>
      <c r="L1533" s="20" t="str">
        <f aca="false">IF($K1533="","",$A1533*100+$K1533)</f>
        <v/>
      </c>
      <c r="M1533" s="48" t="str">
        <f aca="false">""</f>
        <v/>
      </c>
    </row>
    <row r="1534" customFormat="false" ht="13.5" hidden="false" customHeight="false" outlineLevel="0" collapsed="false">
      <c r="A1534" s="47" t="n">
        <v>118</v>
      </c>
      <c r="C1534" s="48" t="str">
        <f aca="false">助手报销!$C119</f>
        <v/>
      </c>
      <c r="D1534" s="81" t="s">
        <v>490</v>
      </c>
      <c r="E1534" s="48" t="str">
        <f aca="false">参数!$B$7</f>
        <v>银行存款</v>
      </c>
      <c r="F1534" s="48" t="str">
        <f aca="false">""</f>
        <v/>
      </c>
      <c r="G1534" s="49" t="n">
        <f aca="false">-ROUND(SUMIFS(输入报销!$G:$G,输入报销!$A:$A,$A1534,输入报销!$H:$H,参数!$B$7),2)</f>
        <v>-0</v>
      </c>
      <c r="H1534" s="49" t="str">
        <f aca="false">IF(ROUND($G1534,2)&gt;0,ROUND($G1534,2),"")</f>
        <v/>
      </c>
      <c r="I1534" s="49" t="str">
        <f aca="false">IF(ROUND($G1534,2)&lt;0,-ROUND($G1534,2),"")</f>
        <v/>
      </c>
      <c r="J1534" s="20" t="n">
        <f aca="false">IF(ROUND($G1534,2)=0,0,1)</f>
        <v>0</v>
      </c>
      <c r="K1534" s="20" t="str">
        <f aca="false">IF($J1534=0,"",SUM($J$1523:$J1534))</f>
        <v/>
      </c>
      <c r="L1534" s="20" t="str">
        <f aca="false">IF($K1534="","",$A1534*100+$K1534)</f>
        <v/>
      </c>
      <c r="M1534" s="48" t="str">
        <f aca="false">""</f>
        <v/>
      </c>
    </row>
    <row r="1535" customFormat="false" ht="13.5" hidden="false" customHeight="false" outlineLevel="0" collapsed="false">
      <c r="A1535" s="47" t="n">
        <v>118</v>
      </c>
      <c r="C1535" s="48" t="str">
        <f aca="false">助手报销!$C119</f>
        <v/>
      </c>
      <c r="D1535" s="81" t="s">
        <v>491</v>
      </c>
      <c r="E1535" s="48" t="str">
        <f aca="false">参数!$B$8</f>
        <v>其他应付款</v>
      </c>
      <c r="F1535" s="48" t="str">
        <f aca="false">""</f>
        <v/>
      </c>
      <c r="G1535" s="49" t="n">
        <f aca="false">-ROUND(SUMIFS(输入报销!$G:$G,输入报销!$A:$A,$A1535,输入报销!$H:$H,参数!$B$8),2)</f>
        <v>-0</v>
      </c>
      <c r="H1535" s="49" t="str">
        <f aca="false">IF(ROUND($G1535,2)&gt;0,ROUND($G1535,2),"")</f>
        <v/>
      </c>
      <c r="I1535" s="49" t="str">
        <f aca="false">IF(ROUND($G1535,2)&lt;0,-ROUND($G1535,2),"")</f>
        <v/>
      </c>
      <c r="J1535" s="20" t="n">
        <f aca="false">IF(ROUND($G1535,2)=0,0,1)</f>
        <v>0</v>
      </c>
      <c r="K1535" s="20" t="str">
        <f aca="false">IF($J1535=0,"",SUM($J$1523:$J1535))</f>
        <v/>
      </c>
      <c r="L1535" s="20" t="str">
        <f aca="false">IF($K1535="","",$A1535*100+$K1535)</f>
        <v/>
      </c>
      <c r="M1535" s="48" t="str">
        <f aca="false">""</f>
        <v/>
      </c>
    </row>
    <row r="1536" customFormat="false" ht="13.5" hidden="false" customHeight="false" outlineLevel="0" collapsed="false">
      <c r="A1536" s="47" t="n">
        <v>119</v>
      </c>
      <c r="C1536" s="48" t="str">
        <f aca="false">助手报销!$C120</f>
        <v/>
      </c>
      <c r="D1536" s="81" t="s">
        <v>479</v>
      </c>
      <c r="E1536" s="48" t="str">
        <f aca="false">IFERROR(INDEX(输入报销!$E:$E,MATCH($A1536&amp;"-1",输入报销!$J:$J,0))&amp;"","")</f>
        <v/>
      </c>
      <c r="F1536" s="48" t="str">
        <f aca="false">IFERROR(INDEX(输入报销!$F:$F,MATCH($A1536&amp;"-1",输入报销!$J:$J,0))&amp;"","")</f>
        <v/>
      </c>
      <c r="G1536" s="49" t="n">
        <f aca="false">IFERROR(ROUND(INDEX(输入报销!$G:$G,MATCH($A1536&amp;"-1",输入报销!$J:$J,0)),2),0)</f>
        <v>0</v>
      </c>
      <c r="H1536" s="49" t="str">
        <f aca="false">IF(ROUND($G1536,2)&gt;0,ROUND($G1536,2),"")</f>
        <v/>
      </c>
      <c r="I1536" s="49" t="str">
        <f aca="false">IF(ROUND($G1536,2)&lt;0,-ROUND($G1536,2),"")</f>
        <v/>
      </c>
      <c r="J1536" s="20" t="n">
        <f aca="false">IF(ROUND($G1536,2)=0,0,1)</f>
        <v>0</v>
      </c>
      <c r="K1536" s="20" t="str">
        <f aca="false">IF($J1536=0,"",SUM($J$1536:$J1536))</f>
        <v/>
      </c>
      <c r="L1536" s="20" t="str">
        <f aca="false">IF($K1536="","",$A1536*100+$K1536)</f>
        <v/>
      </c>
      <c r="M1536" s="48" t="str">
        <f aca="false">IFERROR(INDEX(输入报销!$D:$D,MATCH($A1536&amp;"-1",输入报销!$J:$J,0))&amp;"","")</f>
        <v/>
      </c>
    </row>
    <row r="1537" customFormat="false" ht="13.5" hidden="false" customHeight="false" outlineLevel="0" collapsed="false">
      <c r="A1537" s="47" t="n">
        <v>119</v>
      </c>
      <c r="C1537" s="48" t="str">
        <f aca="false">助手报销!$C120</f>
        <v/>
      </c>
      <c r="D1537" s="81" t="s">
        <v>480</v>
      </c>
      <c r="E1537" s="48" t="str">
        <f aca="false">IFERROR(INDEX(输入报销!$E:$E,MATCH($A1537&amp;"-2",输入报销!$J:$J,0))&amp;"","")</f>
        <v/>
      </c>
      <c r="F1537" s="48" t="str">
        <f aca="false">IFERROR(INDEX(输入报销!$F:$F,MATCH($A1537&amp;"-2",输入报销!$J:$J,0))&amp;"","")</f>
        <v/>
      </c>
      <c r="G1537" s="49" t="n">
        <f aca="false">IFERROR(ROUND(INDEX(输入报销!$G:$G,MATCH($A1537&amp;"-2",输入报销!$J:$J,0)),2),0)</f>
        <v>0</v>
      </c>
      <c r="H1537" s="49" t="str">
        <f aca="false">IF(ROUND($G1537,2)&gt;0,ROUND($G1537,2),"")</f>
        <v/>
      </c>
      <c r="I1537" s="49" t="str">
        <f aca="false">IF(ROUND($G1537,2)&lt;0,-ROUND($G1537,2),"")</f>
        <v/>
      </c>
      <c r="J1537" s="20" t="n">
        <f aca="false">IF(ROUND($G1537,2)=0,0,1)</f>
        <v>0</v>
      </c>
      <c r="K1537" s="20" t="str">
        <f aca="false">IF($J1537=0,"",SUM($J$1536:$J1537))</f>
        <v/>
      </c>
      <c r="L1537" s="20" t="str">
        <f aca="false">IF($K1537="","",$A1537*100+$K1537)</f>
        <v/>
      </c>
      <c r="M1537" s="48" t="str">
        <f aca="false">IFERROR(INDEX(输入报销!$D:$D,MATCH($A1537&amp;"-2",输入报销!$J:$J,0))&amp;"","")</f>
        <v/>
      </c>
    </row>
    <row r="1538" customFormat="false" ht="13.5" hidden="false" customHeight="false" outlineLevel="0" collapsed="false">
      <c r="A1538" s="47" t="n">
        <v>119</v>
      </c>
      <c r="C1538" s="48" t="str">
        <f aca="false">助手报销!$C120</f>
        <v/>
      </c>
      <c r="D1538" s="81" t="s">
        <v>481</v>
      </c>
      <c r="E1538" s="48" t="str">
        <f aca="false">IFERROR(INDEX(输入报销!$E:$E,MATCH($A1538&amp;"-3",输入报销!$J:$J,0))&amp;"","")</f>
        <v/>
      </c>
      <c r="F1538" s="48" t="str">
        <f aca="false">IFERROR(INDEX(输入报销!$F:$F,MATCH($A1538&amp;"-3",输入报销!$J:$J,0))&amp;"","")</f>
        <v/>
      </c>
      <c r="G1538" s="49" t="n">
        <f aca="false">IFERROR(ROUND(INDEX(输入报销!$G:$G,MATCH($A1538&amp;"-3",输入报销!$J:$J,0)),2),0)</f>
        <v>0</v>
      </c>
      <c r="H1538" s="49" t="str">
        <f aca="false">IF(ROUND($G1538,2)&gt;0,ROUND($G1538,2),"")</f>
        <v/>
      </c>
      <c r="I1538" s="49" t="str">
        <f aca="false">IF(ROUND($G1538,2)&lt;0,-ROUND($G1538,2),"")</f>
        <v/>
      </c>
      <c r="J1538" s="20" t="n">
        <f aca="false">IF(ROUND($G1538,2)=0,0,1)</f>
        <v>0</v>
      </c>
      <c r="K1538" s="20" t="str">
        <f aca="false">IF($J1538=0,"",SUM($J$1536:$J1538))</f>
        <v/>
      </c>
      <c r="L1538" s="20" t="str">
        <f aca="false">IF($K1538="","",$A1538*100+$K1538)</f>
        <v/>
      </c>
      <c r="M1538" s="48" t="str">
        <f aca="false">IFERROR(INDEX(输入报销!$D:$D,MATCH($A1538&amp;"-3",输入报销!$J:$J,0))&amp;"","")</f>
        <v/>
      </c>
    </row>
    <row r="1539" customFormat="false" ht="13.5" hidden="false" customHeight="false" outlineLevel="0" collapsed="false">
      <c r="A1539" s="47" t="n">
        <v>119</v>
      </c>
      <c r="C1539" s="48" t="str">
        <f aca="false">助手报销!$C120</f>
        <v/>
      </c>
      <c r="D1539" s="81" t="s">
        <v>482</v>
      </c>
      <c r="E1539" s="48" t="str">
        <f aca="false">IFERROR(INDEX(输入报销!$E:$E,MATCH($A1539&amp;"-4",输入报销!$J:$J,0))&amp;"","")</f>
        <v/>
      </c>
      <c r="F1539" s="48" t="str">
        <f aca="false">IFERROR(INDEX(输入报销!$F:$F,MATCH($A1539&amp;"-4",输入报销!$J:$J,0))&amp;"","")</f>
        <v/>
      </c>
      <c r="G1539" s="49" t="n">
        <f aca="false">IFERROR(ROUND(INDEX(输入报销!$G:$G,MATCH($A1539&amp;"-4",输入报销!$J:$J,0)),2),0)</f>
        <v>0</v>
      </c>
      <c r="H1539" s="49" t="str">
        <f aca="false">IF(ROUND($G1539,2)&gt;0,ROUND($G1539,2),"")</f>
        <v/>
      </c>
      <c r="I1539" s="49" t="str">
        <f aca="false">IF(ROUND($G1539,2)&lt;0,-ROUND($G1539,2),"")</f>
        <v/>
      </c>
      <c r="J1539" s="20" t="n">
        <f aca="false">IF(ROUND($G1539,2)=0,0,1)</f>
        <v>0</v>
      </c>
      <c r="K1539" s="20" t="str">
        <f aca="false">IF($J1539=0,"",SUM($J$1536:$J1539))</f>
        <v/>
      </c>
      <c r="L1539" s="20" t="str">
        <f aca="false">IF($K1539="","",$A1539*100+$K1539)</f>
        <v/>
      </c>
      <c r="M1539" s="48" t="str">
        <f aca="false">IFERROR(INDEX(输入报销!$D:$D,MATCH($A1539&amp;"-4",输入报销!$J:$J,0))&amp;"","")</f>
        <v/>
      </c>
    </row>
    <row r="1540" customFormat="false" ht="13.5" hidden="false" customHeight="false" outlineLevel="0" collapsed="false">
      <c r="A1540" s="47" t="n">
        <v>119</v>
      </c>
      <c r="C1540" s="48" t="str">
        <f aca="false">助手报销!$C120</f>
        <v/>
      </c>
      <c r="D1540" s="81" t="s">
        <v>483</v>
      </c>
      <c r="E1540" s="48" t="str">
        <f aca="false">IFERROR(INDEX(输入报销!$E:$E,MATCH($A1540&amp;"-5",输入报销!$J:$J,0))&amp;"","")</f>
        <v/>
      </c>
      <c r="F1540" s="48" t="str">
        <f aca="false">IFERROR(INDEX(输入报销!$F:$F,MATCH($A1540&amp;"-5",输入报销!$J:$J,0))&amp;"","")</f>
        <v/>
      </c>
      <c r="G1540" s="49" t="n">
        <f aca="false">IFERROR(ROUND(INDEX(输入报销!$G:$G,MATCH($A1540&amp;"-5",输入报销!$J:$J,0)),2),0)</f>
        <v>0</v>
      </c>
      <c r="H1540" s="49" t="str">
        <f aca="false">IF(ROUND($G1540,2)&gt;0,ROUND($G1540,2),"")</f>
        <v/>
      </c>
      <c r="I1540" s="49" t="str">
        <f aca="false">IF(ROUND($G1540,2)&lt;0,-ROUND($G1540,2),"")</f>
        <v/>
      </c>
      <c r="J1540" s="20" t="n">
        <f aca="false">IF(ROUND($G1540,2)=0,0,1)</f>
        <v>0</v>
      </c>
      <c r="K1540" s="20" t="str">
        <f aca="false">IF($J1540=0,"",SUM($J$1536:$J1540))</f>
        <v/>
      </c>
      <c r="L1540" s="20" t="str">
        <f aca="false">IF($K1540="","",$A1540*100+$K1540)</f>
        <v/>
      </c>
      <c r="M1540" s="48" t="str">
        <f aca="false">IFERROR(INDEX(输入报销!$D:$D,MATCH($A1540&amp;"-5",输入报销!$J:$J,0))&amp;"","")</f>
        <v/>
      </c>
    </row>
    <row r="1541" customFormat="false" ht="13.5" hidden="false" customHeight="false" outlineLevel="0" collapsed="false">
      <c r="A1541" s="47" t="n">
        <v>119</v>
      </c>
      <c r="C1541" s="48" t="str">
        <f aca="false">助手报销!$C120</f>
        <v/>
      </c>
      <c r="D1541" s="81" t="s">
        <v>484</v>
      </c>
      <c r="E1541" s="48" t="str">
        <f aca="false">IFERROR(INDEX(输入报销!$E:$E,MATCH($A1541&amp;"-6",输入报销!$J:$J,0))&amp;"","")</f>
        <v/>
      </c>
      <c r="F1541" s="48" t="str">
        <f aca="false">IFERROR(INDEX(输入报销!$F:$F,MATCH($A1541&amp;"-6",输入报销!$J:$J,0))&amp;"","")</f>
        <v/>
      </c>
      <c r="G1541" s="49" t="n">
        <f aca="false">IFERROR(ROUND(INDEX(输入报销!$G:$G,MATCH($A1541&amp;"-6",输入报销!$J:$J,0)),2),0)</f>
        <v>0</v>
      </c>
      <c r="H1541" s="49" t="str">
        <f aca="false">IF(ROUND($G1541,2)&gt;0,ROUND($G1541,2),"")</f>
        <v/>
      </c>
      <c r="I1541" s="49" t="str">
        <f aca="false">IF(ROUND($G1541,2)&lt;0,-ROUND($G1541,2),"")</f>
        <v/>
      </c>
      <c r="J1541" s="20" t="n">
        <f aca="false">IF(ROUND($G1541,2)=0,0,1)</f>
        <v>0</v>
      </c>
      <c r="K1541" s="20" t="str">
        <f aca="false">IF($J1541=0,"",SUM($J$1536:$J1541))</f>
        <v/>
      </c>
      <c r="L1541" s="20" t="str">
        <f aca="false">IF($K1541="","",$A1541*100+$K1541)</f>
        <v/>
      </c>
      <c r="M1541" s="48" t="str">
        <f aca="false">IFERROR(INDEX(输入报销!$D:$D,MATCH($A1541&amp;"-6",输入报销!$J:$J,0))&amp;"","")</f>
        <v/>
      </c>
    </row>
    <row r="1542" customFormat="false" ht="13.5" hidden="false" customHeight="false" outlineLevel="0" collapsed="false">
      <c r="A1542" s="47" t="n">
        <v>119</v>
      </c>
      <c r="C1542" s="48" t="str">
        <f aca="false">助手报销!$C120</f>
        <v/>
      </c>
      <c r="D1542" s="81" t="s">
        <v>485</v>
      </c>
      <c r="E1542" s="48" t="str">
        <f aca="false">IFERROR(INDEX(输入报销!$E:$E,MATCH($A1542&amp;"-7",输入报销!$J:$J,0))&amp;"","")</f>
        <v/>
      </c>
      <c r="F1542" s="48" t="str">
        <f aca="false">IFERROR(INDEX(输入报销!$F:$F,MATCH($A1542&amp;"-7",输入报销!$J:$J,0))&amp;"","")</f>
        <v/>
      </c>
      <c r="G1542" s="49" t="n">
        <f aca="false">IFERROR(ROUND(INDEX(输入报销!$G:$G,MATCH($A1542&amp;"-7",输入报销!$J:$J,0)),2),0)</f>
        <v>0</v>
      </c>
      <c r="H1542" s="49" t="str">
        <f aca="false">IF(ROUND($G1542,2)&gt;0,ROUND($G1542,2),"")</f>
        <v/>
      </c>
      <c r="I1542" s="49" t="str">
        <f aca="false">IF(ROUND($G1542,2)&lt;0,-ROUND($G1542,2),"")</f>
        <v/>
      </c>
      <c r="J1542" s="20" t="n">
        <f aca="false">IF(ROUND($G1542,2)=0,0,1)</f>
        <v>0</v>
      </c>
      <c r="K1542" s="20" t="str">
        <f aca="false">IF($J1542=0,"",SUM($J$1536:$J1542))</f>
        <v/>
      </c>
      <c r="L1542" s="20" t="str">
        <f aca="false">IF($K1542="","",$A1542*100+$K1542)</f>
        <v/>
      </c>
      <c r="M1542" s="48" t="str">
        <f aca="false">IFERROR(INDEX(输入报销!$D:$D,MATCH($A1542&amp;"-7",输入报销!$J:$J,0))&amp;"","")</f>
        <v/>
      </c>
    </row>
    <row r="1543" customFormat="false" ht="13.5" hidden="false" customHeight="false" outlineLevel="0" collapsed="false">
      <c r="A1543" s="47" t="n">
        <v>119</v>
      </c>
      <c r="C1543" s="48" t="str">
        <f aca="false">助手报销!$C120</f>
        <v/>
      </c>
      <c r="D1543" s="81" t="s">
        <v>486</v>
      </c>
      <c r="E1543" s="48" t="str">
        <f aca="false">IFERROR(INDEX(输入报销!$E:$E,MATCH($A1543&amp;"-8",输入报销!$J:$J,0))&amp;"","")</f>
        <v/>
      </c>
      <c r="F1543" s="48" t="str">
        <f aca="false">IFERROR(INDEX(输入报销!$F:$F,MATCH($A1543&amp;"-8",输入报销!$J:$J,0))&amp;"","")</f>
        <v/>
      </c>
      <c r="G1543" s="49" t="n">
        <f aca="false">IFERROR(ROUND(INDEX(输入报销!$G:$G,MATCH($A1543&amp;"-8",输入报销!$J:$J,0)),2),0)</f>
        <v>0</v>
      </c>
      <c r="H1543" s="49" t="str">
        <f aca="false">IF(ROUND($G1543,2)&gt;0,ROUND($G1543,2),"")</f>
        <v/>
      </c>
      <c r="I1543" s="49" t="str">
        <f aca="false">IF(ROUND($G1543,2)&lt;0,-ROUND($G1543,2),"")</f>
        <v/>
      </c>
      <c r="J1543" s="20" t="n">
        <f aca="false">IF(ROUND($G1543,2)=0,0,1)</f>
        <v>0</v>
      </c>
      <c r="K1543" s="20" t="str">
        <f aca="false">IF($J1543=0,"",SUM($J$1536:$J1543))</f>
        <v/>
      </c>
      <c r="L1543" s="20" t="str">
        <f aca="false">IF($K1543="","",$A1543*100+$K1543)</f>
        <v/>
      </c>
      <c r="M1543" s="48" t="str">
        <f aca="false">IFERROR(INDEX(输入报销!$D:$D,MATCH($A1543&amp;"-8",输入报销!$J:$J,0))&amp;"","")</f>
        <v/>
      </c>
    </row>
    <row r="1544" customFormat="false" ht="13.5" hidden="false" customHeight="false" outlineLevel="0" collapsed="false">
      <c r="A1544" s="47" t="n">
        <v>119</v>
      </c>
      <c r="C1544" s="48" t="str">
        <f aca="false">助手报销!$C120</f>
        <v/>
      </c>
      <c r="D1544" s="81" t="s">
        <v>487</v>
      </c>
      <c r="E1544" s="48" t="str">
        <f aca="false">IFERROR(INDEX(输入报销!$E:$E,MATCH($A1544&amp;"-9",输入报销!$J:$J,0))&amp;"","")</f>
        <v/>
      </c>
      <c r="F1544" s="48" t="str">
        <f aca="false">IFERROR(INDEX(输入报销!$F:$F,MATCH($A1544&amp;"-9",输入报销!$J:$J,0))&amp;"","")</f>
        <v/>
      </c>
      <c r="G1544" s="49" t="n">
        <f aca="false">IFERROR(ROUND(INDEX(输入报销!$G:$G,MATCH($A1544&amp;"-9",输入报销!$J:$J,0)),2),0)</f>
        <v>0</v>
      </c>
      <c r="H1544" s="49" t="str">
        <f aca="false">IF(ROUND($G1544,2)&gt;0,ROUND($G1544,2),"")</f>
        <v/>
      </c>
      <c r="I1544" s="49" t="str">
        <f aca="false">IF(ROUND($G1544,2)&lt;0,-ROUND($G1544,2),"")</f>
        <v/>
      </c>
      <c r="J1544" s="20" t="n">
        <f aca="false">IF(ROUND($G1544,2)=0,0,1)</f>
        <v>0</v>
      </c>
      <c r="K1544" s="20" t="str">
        <f aca="false">IF($J1544=0,"",SUM($J$1536:$J1544))</f>
        <v/>
      </c>
      <c r="L1544" s="20" t="str">
        <f aca="false">IF($K1544="","",$A1544*100+$K1544)</f>
        <v/>
      </c>
      <c r="M1544" s="48" t="str">
        <f aca="false">IFERROR(INDEX(输入报销!$D:$D,MATCH($A1544&amp;"-9",输入报销!$J:$J,0))&amp;"","")</f>
        <v/>
      </c>
    </row>
    <row r="1545" customFormat="false" ht="13.5" hidden="false" customHeight="false" outlineLevel="0" collapsed="false">
      <c r="A1545" s="47" t="n">
        <v>119</v>
      </c>
      <c r="C1545" s="48" t="str">
        <f aca="false">助手报销!$C120</f>
        <v/>
      </c>
      <c r="D1545" s="81" t="s">
        <v>488</v>
      </c>
      <c r="E1545" s="48" t="str">
        <f aca="false">IFERROR(INDEX(输入报销!$E:$E,MATCH($A1545&amp;"-10",输入报销!$J:$J,0))&amp;"","")</f>
        <v/>
      </c>
      <c r="F1545" s="48" t="str">
        <f aca="false">IFERROR(INDEX(输入报销!$F:$F,MATCH($A1545&amp;"-10",输入报销!$J:$J,0))&amp;"","")</f>
        <v/>
      </c>
      <c r="G1545" s="49" t="n">
        <f aca="false">IFERROR(ROUND(INDEX(输入报销!$G:$G,MATCH($A1545&amp;"-10",输入报销!$J:$J,0)),2),0)</f>
        <v>0</v>
      </c>
      <c r="H1545" s="49" t="str">
        <f aca="false">IF(ROUND($G1545,2)&gt;0,ROUND($G1545,2),"")</f>
        <v/>
      </c>
      <c r="I1545" s="49" t="str">
        <f aca="false">IF(ROUND($G1545,2)&lt;0,-ROUND($G1545,2),"")</f>
        <v/>
      </c>
      <c r="J1545" s="20" t="n">
        <f aca="false">IF(ROUND($G1545,2)=0,0,1)</f>
        <v>0</v>
      </c>
      <c r="K1545" s="20" t="str">
        <f aca="false">IF($J1545=0,"",SUM($J$1536:$J1545))</f>
        <v/>
      </c>
      <c r="L1545" s="20" t="str">
        <f aca="false">IF($K1545="","",$A1545*100+$K1545)</f>
        <v/>
      </c>
      <c r="M1545" s="48" t="str">
        <f aca="false">IFERROR(INDEX(输入报销!$D:$D,MATCH($A1545&amp;"-10",输入报销!$J:$J,0))&amp;"","")</f>
        <v/>
      </c>
    </row>
    <row r="1546" customFormat="false" ht="13.5" hidden="false" customHeight="false" outlineLevel="0" collapsed="false">
      <c r="A1546" s="47" t="n">
        <v>119</v>
      </c>
      <c r="C1546" s="48" t="str">
        <f aca="false">助手报销!$C120</f>
        <v/>
      </c>
      <c r="D1546" s="81" t="s">
        <v>489</v>
      </c>
      <c r="E1546" s="48" t="str">
        <f aca="false">参数!$B$6</f>
        <v>库存现金</v>
      </c>
      <c r="F1546" s="48" t="str">
        <f aca="false">""</f>
        <v/>
      </c>
      <c r="G1546" s="49" t="n">
        <f aca="false">-ROUND(SUMIFS(输入报销!$G:$G,输入报销!$A:$A,$A1546,输入报销!$H:$H,参数!$B$6),2)</f>
        <v>-0</v>
      </c>
      <c r="H1546" s="49" t="str">
        <f aca="false">IF(ROUND($G1546,2)&gt;0,ROUND($G1546,2),"")</f>
        <v/>
      </c>
      <c r="I1546" s="49" t="str">
        <f aca="false">IF(ROUND($G1546,2)&lt;0,-ROUND($G1546,2),"")</f>
        <v/>
      </c>
      <c r="J1546" s="20" t="n">
        <f aca="false">IF(ROUND($G1546,2)=0,0,1)</f>
        <v>0</v>
      </c>
      <c r="K1546" s="20" t="str">
        <f aca="false">IF($J1546=0,"",SUM($J$1536:$J1546))</f>
        <v/>
      </c>
      <c r="L1546" s="20" t="str">
        <f aca="false">IF($K1546="","",$A1546*100+$K1546)</f>
        <v/>
      </c>
      <c r="M1546" s="48" t="str">
        <f aca="false">""</f>
        <v/>
      </c>
    </row>
    <row r="1547" customFormat="false" ht="13.5" hidden="false" customHeight="false" outlineLevel="0" collapsed="false">
      <c r="A1547" s="47" t="n">
        <v>119</v>
      </c>
      <c r="C1547" s="48" t="str">
        <f aca="false">助手报销!$C120</f>
        <v/>
      </c>
      <c r="D1547" s="81" t="s">
        <v>490</v>
      </c>
      <c r="E1547" s="48" t="str">
        <f aca="false">参数!$B$7</f>
        <v>银行存款</v>
      </c>
      <c r="F1547" s="48" t="str">
        <f aca="false">""</f>
        <v/>
      </c>
      <c r="G1547" s="49" t="n">
        <f aca="false">-ROUND(SUMIFS(输入报销!$G:$G,输入报销!$A:$A,$A1547,输入报销!$H:$H,参数!$B$7),2)</f>
        <v>-0</v>
      </c>
      <c r="H1547" s="49" t="str">
        <f aca="false">IF(ROUND($G1547,2)&gt;0,ROUND($G1547,2),"")</f>
        <v/>
      </c>
      <c r="I1547" s="49" t="str">
        <f aca="false">IF(ROUND($G1547,2)&lt;0,-ROUND($G1547,2),"")</f>
        <v/>
      </c>
      <c r="J1547" s="20" t="n">
        <f aca="false">IF(ROUND($G1547,2)=0,0,1)</f>
        <v>0</v>
      </c>
      <c r="K1547" s="20" t="str">
        <f aca="false">IF($J1547=0,"",SUM($J$1536:$J1547))</f>
        <v/>
      </c>
      <c r="L1547" s="20" t="str">
        <f aca="false">IF($K1547="","",$A1547*100+$K1547)</f>
        <v/>
      </c>
      <c r="M1547" s="48" t="str">
        <f aca="false">""</f>
        <v/>
      </c>
    </row>
    <row r="1548" customFormat="false" ht="13.5" hidden="false" customHeight="false" outlineLevel="0" collapsed="false">
      <c r="A1548" s="47" t="n">
        <v>119</v>
      </c>
      <c r="C1548" s="48" t="str">
        <f aca="false">助手报销!$C120</f>
        <v/>
      </c>
      <c r="D1548" s="81" t="s">
        <v>491</v>
      </c>
      <c r="E1548" s="48" t="str">
        <f aca="false">参数!$B$8</f>
        <v>其他应付款</v>
      </c>
      <c r="F1548" s="48" t="str">
        <f aca="false">""</f>
        <v/>
      </c>
      <c r="G1548" s="49" t="n">
        <f aca="false">-ROUND(SUMIFS(输入报销!$G:$G,输入报销!$A:$A,$A1548,输入报销!$H:$H,参数!$B$8),2)</f>
        <v>-0</v>
      </c>
      <c r="H1548" s="49" t="str">
        <f aca="false">IF(ROUND($G1548,2)&gt;0,ROUND($G1548,2),"")</f>
        <v/>
      </c>
      <c r="I1548" s="49" t="str">
        <f aca="false">IF(ROUND($G1548,2)&lt;0,-ROUND($G1548,2),"")</f>
        <v/>
      </c>
      <c r="J1548" s="20" t="n">
        <f aca="false">IF(ROUND($G1548,2)=0,0,1)</f>
        <v>0</v>
      </c>
      <c r="K1548" s="20" t="str">
        <f aca="false">IF($J1548=0,"",SUM($J$1536:$J1548))</f>
        <v/>
      </c>
      <c r="L1548" s="20" t="str">
        <f aca="false">IF($K1548="","",$A1548*100+$K1548)</f>
        <v/>
      </c>
      <c r="M1548" s="48" t="str">
        <f aca="false">""</f>
        <v/>
      </c>
    </row>
    <row r="1549" customFormat="false" ht="13.5" hidden="false" customHeight="false" outlineLevel="0" collapsed="false">
      <c r="A1549" s="47" t="n">
        <v>120</v>
      </c>
      <c r="C1549" s="48" t="str">
        <f aca="false">助手报销!$C121</f>
        <v/>
      </c>
      <c r="D1549" s="81" t="s">
        <v>479</v>
      </c>
      <c r="E1549" s="48" t="str">
        <f aca="false">IFERROR(INDEX(输入报销!$E:$E,MATCH($A1549&amp;"-1",输入报销!$J:$J,0))&amp;"","")</f>
        <v/>
      </c>
      <c r="F1549" s="48" t="str">
        <f aca="false">IFERROR(INDEX(输入报销!$F:$F,MATCH($A1549&amp;"-1",输入报销!$J:$J,0))&amp;"","")</f>
        <v/>
      </c>
      <c r="G1549" s="49" t="n">
        <f aca="false">IFERROR(ROUND(INDEX(输入报销!$G:$G,MATCH($A1549&amp;"-1",输入报销!$J:$J,0)),2),0)</f>
        <v>0</v>
      </c>
      <c r="H1549" s="49" t="str">
        <f aca="false">IF(ROUND($G1549,2)&gt;0,ROUND($G1549,2),"")</f>
        <v/>
      </c>
      <c r="I1549" s="49" t="str">
        <f aca="false">IF(ROUND($G1549,2)&lt;0,-ROUND($G1549,2),"")</f>
        <v/>
      </c>
      <c r="J1549" s="20" t="n">
        <f aca="false">IF(ROUND($G1549,2)=0,0,1)</f>
        <v>0</v>
      </c>
      <c r="K1549" s="20" t="str">
        <f aca="false">IF($J1549=0,"",SUM($J$1549:$J1549))</f>
        <v/>
      </c>
      <c r="L1549" s="20" t="str">
        <f aca="false">IF($K1549="","",$A1549*100+$K1549)</f>
        <v/>
      </c>
      <c r="M1549" s="48" t="str">
        <f aca="false">IFERROR(INDEX(输入报销!$D:$D,MATCH($A1549&amp;"-1",输入报销!$J:$J,0))&amp;"","")</f>
        <v/>
      </c>
    </row>
    <row r="1550" customFormat="false" ht="13.5" hidden="false" customHeight="false" outlineLevel="0" collapsed="false">
      <c r="A1550" s="47" t="n">
        <v>120</v>
      </c>
      <c r="C1550" s="48" t="str">
        <f aca="false">助手报销!$C121</f>
        <v/>
      </c>
      <c r="D1550" s="81" t="s">
        <v>480</v>
      </c>
      <c r="E1550" s="48" t="str">
        <f aca="false">IFERROR(INDEX(输入报销!$E:$E,MATCH($A1550&amp;"-2",输入报销!$J:$J,0))&amp;"","")</f>
        <v/>
      </c>
      <c r="F1550" s="48" t="str">
        <f aca="false">IFERROR(INDEX(输入报销!$F:$F,MATCH($A1550&amp;"-2",输入报销!$J:$J,0))&amp;"","")</f>
        <v/>
      </c>
      <c r="G1550" s="49" t="n">
        <f aca="false">IFERROR(ROUND(INDEX(输入报销!$G:$G,MATCH($A1550&amp;"-2",输入报销!$J:$J,0)),2),0)</f>
        <v>0</v>
      </c>
      <c r="H1550" s="49" t="str">
        <f aca="false">IF(ROUND($G1550,2)&gt;0,ROUND($G1550,2),"")</f>
        <v/>
      </c>
      <c r="I1550" s="49" t="str">
        <f aca="false">IF(ROUND($G1550,2)&lt;0,-ROUND($G1550,2),"")</f>
        <v/>
      </c>
      <c r="J1550" s="20" t="n">
        <f aca="false">IF(ROUND($G1550,2)=0,0,1)</f>
        <v>0</v>
      </c>
      <c r="K1550" s="20" t="str">
        <f aca="false">IF($J1550=0,"",SUM($J$1549:$J1550))</f>
        <v/>
      </c>
      <c r="L1550" s="20" t="str">
        <f aca="false">IF($K1550="","",$A1550*100+$K1550)</f>
        <v/>
      </c>
      <c r="M1550" s="48" t="str">
        <f aca="false">IFERROR(INDEX(输入报销!$D:$D,MATCH($A1550&amp;"-2",输入报销!$J:$J,0))&amp;"","")</f>
        <v/>
      </c>
    </row>
    <row r="1551" customFormat="false" ht="13.5" hidden="false" customHeight="false" outlineLevel="0" collapsed="false">
      <c r="A1551" s="47" t="n">
        <v>120</v>
      </c>
      <c r="C1551" s="48" t="str">
        <f aca="false">助手报销!$C121</f>
        <v/>
      </c>
      <c r="D1551" s="81" t="s">
        <v>481</v>
      </c>
      <c r="E1551" s="48" t="str">
        <f aca="false">IFERROR(INDEX(输入报销!$E:$E,MATCH($A1551&amp;"-3",输入报销!$J:$J,0))&amp;"","")</f>
        <v/>
      </c>
      <c r="F1551" s="48" t="str">
        <f aca="false">IFERROR(INDEX(输入报销!$F:$F,MATCH($A1551&amp;"-3",输入报销!$J:$J,0))&amp;"","")</f>
        <v/>
      </c>
      <c r="G1551" s="49" t="n">
        <f aca="false">IFERROR(ROUND(INDEX(输入报销!$G:$G,MATCH($A1551&amp;"-3",输入报销!$J:$J,0)),2),0)</f>
        <v>0</v>
      </c>
      <c r="H1551" s="49" t="str">
        <f aca="false">IF(ROUND($G1551,2)&gt;0,ROUND($G1551,2),"")</f>
        <v/>
      </c>
      <c r="I1551" s="49" t="str">
        <f aca="false">IF(ROUND($G1551,2)&lt;0,-ROUND($G1551,2),"")</f>
        <v/>
      </c>
      <c r="J1551" s="20" t="n">
        <f aca="false">IF(ROUND($G1551,2)=0,0,1)</f>
        <v>0</v>
      </c>
      <c r="K1551" s="20" t="str">
        <f aca="false">IF($J1551=0,"",SUM($J$1549:$J1551))</f>
        <v/>
      </c>
      <c r="L1551" s="20" t="str">
        <f aca="false">IF($K1551="","",$A1551*100+$K1551)</f>
        <v/>
      </c>
      <c r="M1551" s="48" t="str">
        <f aca="false">IFERROR(INDEX(输入报销!$D:$D,MATCH($A1551&amp;"-3",输入报销!$J:$J,0))&amp;"","")</f>
        <v/>
      </c>
    </row>
    <row r="1552" customFormat="false" ht="13.5" hidden="false" customHeight="false" outlineLevel="0" collapsed="false">
      <c r="A1552" s="47" t="n">
        <v>120</v>
      </c>
      <c r="C1552" s="48" t="str">
        <f aca="false">助手报销!$C121</f>
        <v/>
      </c>
      <c r="D1552" s="81" t="s">
        <v>482</v>
      </c>
      <c r="E1552" s="48" t="str">
        <f aca="false">IFERROR(INDEX(输入报销!$E:$E,MATCH($A1552&amp;"-4",输入报销!$J:$J,0))&amp;"","")</f>
        <v/>
      </c>
      <c r="F1552" s="48" t="str">
        <f aca="false">IFERROR(INDEX(输入报销!$F:$F,MATCH($A1552&amp;"-4",输入报销!$J:$J,0))&amp;"","")</f>
        <v/>
      </c>
      <c r="G1552" s="49" t="n">
        <f aca="false">IFERROR(ROUND(INDEX(输入报销!$G:$G,MATCH($A1552&amp;"-4",输入报销!$J:$J,0)),2),0)</f>
        <v>0</v>
      </c>
      <c r="H1552" s="49" t="str">
        <f aca="false">IF(ROUND($G1552,2)&gt;0,ROUND($G1552,2),"")</f>
        <v/>
      </c>
      <c r="I1552" s="49" t="str">
        <f aca="false">IF(ROUND($G1552,2)&lt;0,-ROUND($G1552,2),"")</f>
        <v/>
      </c>
      <c r="J1552" s="20" t="n">
        <f aca="false">IF(ROUND($G1552,2)=0,0,1)</f>
        <v>0</v>
      </c>
      <c r="K1552" s="20" t="str">
        <f aca="false">IF($J1552=0,"",SUM($J$1549:$J1552))</f>
        <v/>
      </c>
      <c r="L1552" s="20" t="str">
        <f aca="false">IF($K1552="","",$A1552*100+$K1552)</f>
        <v/>
      </c>
      <c r="M1552" s="48" t="str">
        <f aca="false">IFERROR(INDEX(输入报销!$D:$D,MATCH($A1552&amp;"-4",输入报销!$J:$J,0))&amp;"","")</f>
        <v/>
      </c>
    </row>
    <row r="1553" customFormat="false" ht="13.5" hidden="false" customHeight="false" outlineLevel="0" collapsed="false">
      <c r="A1553" s="47" t="n">
        <v>120</v>
      </c>
      <c r="C1553" s="48" t="str">
        <f aca="false">助手报销!$C121</f>
        <v/>
      </c>
      <c r="D1553" s="81" t="s">
        <v>483</v>
      </c>
      <c r="E1553" s="48" t="str">
        <f aca="false">IFERROR(INDEX(输入报销!$E:$E,MATCH($A1553&amp;"-5",输入报销!$J:$J,0))&amp;"","")</f>
        <v/>
      </c>
      <c r="F1553" s="48" t="str">
        <f aca="false">IFERROR(INDEX(输入报销!$F:$F,MATCH($A1553&amp;"-5",输入报销!$J:$J,0))&amp;"","")</f>
        <v/>
      </c>
      <c r="G1553" s="49" t="n">
        <f aca="false">IFERROR(ROUND(INDEX(输入报销!$G:$G,MATCH($A1553&amp;"-5",输入报销!$J:$J,0)),2),0)</f>
        <v>0</v>
      </c>
      <c r="H1553" s="49" t="str">
        <f aca="false">IF(ROUND($G1553,2)&gt;0,ROUND($G1553,2),"")</f>
        <v/>
      </c>
      <c r="I1553" s="49" t="str">
        <f aca="false">IF(ROUND($G1553,2)&lt;0,-ROUND($G1553,2),"")</f>
        <v/>
      </c>
      <c r="J1553" s="20" t="n">
        <f aca="false">IF(ROUND($G1553,2)=0,0,1)</f>
        <v>0</v>
      </c>
      <c r="K1553" s="20" t="str">
        <f aca="false">IF($J1553=0,"",SUM($J$1549:$J1553))</f>
        <v/>
      </c>
      <c r="L1553" s="20" t="str">
        <f aca="false">IF($K1553="","",$A1553*100+$K1553)</f>
        <v/>
      </c>
      <c r="M1553" s="48" t="str">
        <f aca="false">IFERROR(INDEX(输入报销!$D:$D,MATCH($A1553&amp;"-5",输入报销!$J:$J,0))&amp;"","")</f>
        <v/>
      </c>
    </row>
    <row r="1554" customFormat="false" ht="13.5" hidden="false" customHeight="false" outlineLevel="0" collapsed="false">
      <c r="A1554" s="47" t="n">
        <v>120</v>
      </c>
      <c r="C1554" s="48" t="str">
        <f aca="false">助手报销!$C121</f>
        <v/>
      </c>
      <c r="D1554" s="81" t="s">
        <v>484</v>
      </c>
      <c r="E1554" s="48" t="str">
        <f aca="false">IFERROR(INDEX(输入报销!$E:$E,MATCH($A1554&amp;"-6",输入报销!$J:$J,0))&amp;"","")</f>
        <v/>
      </c>
      <c r="F1554" s="48" t="str">
        <f aca="false">IFERROR(INDEX(输入报销!$F:$F,MATCH($A1554&amp;"-6",输入报销!$J:$J,0))&amp;"","")</f>
        <v/>
      </c>
      <c r="G1554" s="49" t="n">
        <f aca="false">IFERROR(ROUND(INDEX(输入报销!$G:$G,MATCH($A1554&amp;"-6",输入报销!$J:$J,0)),2),0)</f>
        <v>0</v>
      </c>
      <c r="H1554" s="49" t="str">
        <f aca="false">IF(ROUND($G1554,2)&gt;0,ROUND($G1554,2),"")</f>
        <v/>
      </c>
      <c r="I1554" s="49" t="str">
        <f aca="false">IF(ROUND($G1554,2)&lt;0,-ROUND($G1554,2),"")</f>
        <v/>
      </c>
      <c r="J1554" s="20" t="n">
        <f aca="false">IF(ROUND($G1554,2)=0,0,1)</f>
        <v>0</v>
      </c>
      <c r="K1554" s="20" t="str">
        <f aca="false">IF($J1554=0,"",SUM($J$1549:$J1554))</f>
        <v/>
      </c>
      <c r="L1554" s="20" t="str">
        <f aca="false">IF($K1554="","",$A1554*100+$K1554)</f>
        <v/>
      </c>
      <c r="M1554" s="48" t="str">
        <f aca="false">IFERROR(INDEX(输入报销!$D:$D,MATCH($A1554&amp;"-6",输入报销!$J:$J,0))&amp;"","")</f>
        <v/>
      </c>
    </row>
    <row r="1555" customFormat="false" ht="13.5" hidden="false" customHeight="false" outlineLevel="0" collapsed="false">
      <c r="A1555" s="47" t="n">
        <v>120</v>
      </c>
      <c r="C1555" s="48" t="str">
        <f aca="false">助手报销!$C121</f>
        <v/>
      </c>
      <c r="D1555" s="81" t="s">
        <v>485</v>
      </c>
      <c r="E1555" s="48" t="str">
        <f aca="false">IFERROR(INDEX(输入报销!$E:$E,MATCH($A1555&amp;"-7",输入报销!$J:$J,0))&amp;"","")</f>
        <v/>
      </c>
      <c r="F1555" s="48" t="str">
        <f aca="false">IFERROR(INDEX(输入报销!$F:$F,MATCH($A1555&amp;"-7",输入报销!$J:$J,0))&amp;"","")</f>
        <v/>
      </c>
      <c r="G1555" s="49" t="n">
        <f aca="false">IFERROR(ROUND(INDEX(输入报销!$G:$G,MATCH($A1555&amp;"-7",输入报销!$J:$J,0)),2),0)</f>
        <v>0</v>
      </c>
      <c r="H1555" s="49" t="str">
        <f aca="false">IF(ROUND($G1555,2)&gt;0,ROUND($G1555,2),"")</f>
        <v/>
      </c>
      <c r="I1555" s="49" t="str">
        <f aca="false">IF(ROUND($G1555,2)&lt;0,-ROUND($G1555,2),"")</f>
        <v/>
      </c>
      <c r="J1555" s="20" t="n">
        <f aca="false">IF(ROUND($G1555,2)=0,0,1)</f>
        <v>0</v>
      </c>
      <c r="K1555" s="20" t="str">
        <f aca="false">IF($J1555=0,"",SUM($J$1549:$J1555))</f>
        <v/>
      </c>
      <c r="L1555" s="20" t="str">
        <f aca="false">IF($K1555="","",$A1555*100+$K1555)</f>
        <v/>
      </c>
      <c r="M1555" s="48" t="str">
        <f aca="false">IFERROR(INDEX(输入报销!$D:$D,MATCH($A1555&amp;"-7",输入报销!$J:$J,0))&amp;"","")</f>
        <v/>
      </c>
    </row>
    <row r="1556" customFormat="false" ht="13.5" hidden="false" customHeight="false" outlineLevel="0" collapsed="false">
      <c r="A1556" s="47" t="n">
        <v>120</v>
      </c>
      <c r="C1556" s="48" t="str">
        <f aca="false">助手报销!$C121</f>
        <v/>
      </c>
      <c r="D1556" s="81" t="s">
        <v>486</v>
      </c>
      <c r="E1556" s="48" t="str">
        <f aca="false">IFERROR(INDEX(输入报销!$E:$E,MATCH($A1556&amp;"-8",输入报销!$J:$J,0))&amp;"","")</f>
        <v/>
      </c>
      <c r="F1556" s="48" t="str">
        <f aca="false">IFERROR(INDEX(输入报销!$F:$F,MATCH($A1556&amp;"-8",输入报销!$J:$J,0))&amp;"","")</f>
        <v/>
      </c>
      <c r="G1556" s="49" t="n">
        <f aca="false">IFERROR(ROUND(INDEX(输入报销!$G:$G,MATCH($A1556&amp;"-8",输入报销!$J:$J,0)),2),0)</f>
        <v>0</v>
      </c>
      <c r="H1556" s="49" t="str">
        <f aca="false">IF(ROUND($G1556,2)&gt;0,ROUND($G1556,2),"")</f>
        <v/>
      </c>
      <c r="I1556" s="49" t="str">
        <f aca="false">IF(ROUND($G1556,2)&lt;0,-ROUND($G1556,2),"")</f>
        <v/>
      </c>
      <c r="J1556" s="20" t="n">
        <f aca="false">IF(ROUND($G1556,2)=0,0,1)</f>
        <v>0</v>
      </c>
      <c r="K1556" s="20" t="str">
        <f aca="false">IF($J1556=0,"",SUM($J$1549:$J1556))</f>
        <v/>
      </c>
      <c r="L1556" s="20" t="str">
        <f aca="false">IF($K1556="","",$A1556*100+$K1556)</f>
        <v/>
      </c>
      <c r="M1556" s="48" t="str">
        <f aca="false">IFERROR(INDEX(输入报销!$D:$D,MATCH($A1556&amp;"-8",输入报销!$J:$J,0))&amp;"","")</f>
        <v/>
      </c>
    </row>
    <row r="1557" customFormat="false" ht="13.5" hidden="false" customHeight="false" outlineLevel="0" collapsed="false">
      <c r="A1557" s="47" t="n">
        <v>120</v>
      </c>
      <c r="C1557" s="48" t="str">
        <f aca="false">助手报销!$C121</f>
        <v/>
      </c>
      <c r="D1557" s="81" t="s">
        <v>487</v>
      </c>
      <c r="E1557" s="48" t="str">
        <f aca="false">IFERROR(INDEX(输入报销!$E:$E,MATCH($A1557&amp;"-9",输入报销!$J:$J,0))&amp;"","")</f>
        <v/>
      </c>
      <c r="F1557" s="48" t="str">
        <f aca="false">IFERROR(INDEX(输入报销!$F:$F,MATCH($A1557&amp;"-9",输入报销!$J:$J,0))&amp;"","")</f>
        <v/>
      </c>
      <c r="G1557" s="49" t="n">
        <f aca="false">IFERROR(ROUND(INDEX(输入报销!$G:$G,MATCH($A1557&amp;"-9",输入报销!$J:$J,0)),2),0)</f>
        <v>0</v>
      </c>
      <c r="H1557" s="49" t="str">
        <f aca="false">IF(ROUND($G1557,2)&gt;0,ROUND($G1557,2),"")</f>
        <v/>
      </c>
      <c r="I1557" s="49" t="str">
        <f aca="false">IF(ROUND($G1557,2)&lt;0,-ROUND($G1557,2),"")</f>
        <v/>
      </c>
      <c r="J1557" s="20" t="n">
        <f aca="false">IF(ROUND($G1557,2)=0,0,1)</f>
        <v>0</v>
      </c>
      <c r="K1557" s="20" t="str">
        <f aca="false">IF($J1557=0,"",SUM($J$1549:$J1557))</f>
        <v/>
      </c>
      <c r="L1557" s="20" t="str">
        <f aca="false">IF($K1557="","",$A1557*100+$K1557)</f>
        <v/>
      </c>
      <c r="M1557" s="48" t="str">
        <f aca="false">IFERROR(INDEX(输入报销!$D:$D,MATCH($A1557&amp;"-9",输入报销!$J:$J,0))&amp;"","")</f>
        <v/>
      </c>
    </row>
    <row r="1558" customFormat="false" ht="13.5" hidden="false" customHeight="false" outlineLevel="0" collapsed="false">
      <c r="A1558" s="47" t="n">
        <v>120</v>
      </c>
      <c r="C1558" s="48" t="str">
        <f aca="false">助手报销!$C121</f>
        <v/>
      </c>
      <c r="D1558" s="81" t="s">
        <v>488</v>
      </c>
      <c r="E1558" s="48" t="str">
        <f aca="false">IFERROR(INDEX(输入报销!$E:$E,MATCH($A1558&amp;"-10",输入报销!$J:$J,0))&amp;"","")</f>
        <v/>
      </c>
      <c r="F1558" s="48" t="str">
        <f aca="false">IFERROR(INDEX(输入报销!$F:$F,MATCH($A1558&amp;"-10",输入报销!$J:$J,0))&amp;"","")</f>
        <v/>
      </c>
      <c r="G1558" s="49" t="n">
        <f aca="false">IFERROR(ROUND(INDEX(输入报销!$G:$G,MATCH($A1558&amp;"-10",输入报销!$J:$J,0)),2),0)</f>
        <v>0</v>
      </c>
      <c r="H1558" s="49" t="str">
        <f aca="false">IF(ROUND($G1558,2)&gt;0,ROUND($G1558,2),"")</f>
        <v/>
      </c>
      <c r="I1558" s="49" t="str">
        <f aca="false">IF(ROUND($G1558,2)&lt;0,-ROUND($G1558,2),"")</f>
        <v/>
      </c>
      <c r="J1558" s="20" t="n">
        <f aca="false">IF(ROUND($G1558,2)=0,0,1)</f>
        <v>0</v>
      </c>
      <c r="K1558" s="20" t="str">
        <f aca="false">IF($J1558=0,"",SUM($J$1549:$J1558))</f>
        <v/>
      </c>
      <c r="L1558" s="20" t="str">
        <f aca="false">IF($K1558="","",$A1558*100+$K1558)</f>
        <v/>
      </c>
      <c r="M1558" s="48" t="str">
        <f aca="false">IFERROR(INDEX(输入报销!$D:$D,MATCH($A1558&amp;"-10",输入报销!$J:$J,0))&amp;"","")</f>
        <v/>
      </c>
    </row>
    <row r="1559" customFormat="false" ht="13.5" hidden="false" customHeight="false" outlineLevel="0" collapsed="false">
      <c r="A1559" s="47" t="n">
        <v>120</v>
      </c>
      <c r="C1559" s="48" t="str">
        <f aca="false">助手报销!$C121</f>
        <v/>
      </c>
      <c r="D1559" s="81" t="s">
        <v>489</v>
      </c>
      <c r="E1559" s="48" t="str">
        <f aca="false">参数!$B$6</f>
        <v>库存现金</v>
      </c>
      <c r="F1559" s="48" t="str">
        <f aca="false">""</f>
        <v/>
      </c>
      <c r="G1559" s="49" t="n">
        <f aca="false">-ROUND(SUMIFS(输入报销!$G:$G,输入报销!$A:$A,$A1559,输入报销!$H:$H,参数!$B$6),2)</f>
        <v>-0</v>
      </c>
      <c r="H1559" s="49" t="str">
        <f aca="false">IF(ROUND($G1559,2)&gt;0,ROUND($G1559,2),"")</f>
        <v/>
      </c>
      <c r="I1559" s="49" t="str">
        <f aca="false">IF(ROUND($G1559,2)&lt;0,-ROUND($G1559,2),"")</f>
        <v/>
      </c>
      <c r="J1559" s="20" t="n">
        <f aca="false">IF(ROUND($G1559,2)=0,0,1)</f>
        <v>0</v>
      </c>
      <c r="K1559" s="20" t="str">
        <f aca="false">IF($J1559=0,"",SUM($J$1549:$J1559))</f>
        <v/>
      </c>
      <c r="L1559" s="20" t="str">
        <f aca="false">IF($K1559="","",$A1559*100+$K1559)</f>
        <v/>
      </c>
      <c r="M1559" s="48" t="str">
        <f aca="false">""</f>
        <v/>
      </c>
    </row>
    <row r="1560" customFormat="false" ht="13.5" hidden="false" customHeight="false" outlineLevel="0" collapsed="false">
      <c r="A1560" s="47" t="n">
        <v>120</v>
      </c>
      <c r="C1560" s="48" t="str">
        <f aca="false">助手报销!$C121</f>
        <v/>
      </c>
      <c r="D1560" s="81" t="s">
        <v>490</v>
      </c>
      <c r="E1560" s="48" t="str">
        <f aca="false">参数!$B$7</f>
        <v>银行存款</v>
      </c>
      <c r="F1560" s="48" t="str">
        <f aca="false">""</f>
        <v/>
      </c>
      <c r="G1560" s="49" t="n">
        <f aca="false">-ROUND(SUMIFS(输入报销!$G:$G,输入报销!$A:$A,$A1560,输入报销!$H:$H,参数!$B$7),2)</f>
        <v>-0</v>
      </c>
      <c r="H1560" s="49" t="str">
        <f aca="false">IF(ROUND($G1560,2)&gt;0,ROUND($G1560,2),"")</f>
        <v/>
      </c>
      <c r="I1560" s="49" t="str">
        <f aca="false">IF(ROUND($G1560,2)&lt;0,-ROUND($G1560,2),"")</f>
        <v/>
      </c>
      <c r="J1560" s="20" t="n">
        <f aca="false">IF(ROUND($G1560,2)=0,0,1)</f>
        <v>0</v>
      </c>
      <c r="K1560" s="20" t="str">
        <f aca="false">IF($J1560=0,"",SUM($J$1549:$J1560))</f>
        <v/>
      </c>
      <c r="L1560" s="20" t="str">
        <f aca="false">IF($K1560="","",$A1560*100+$K1560)</f>
        <v/>
      </c>
      <c r="M1560" s="48" t="str">
        <f aca="false">""</f>
        <v/>
      </c>
    </row>
    <row r="1561" customFormat="false" ht="13.5" hidden="false" customHeight="false" outlineLevel="0" collapsed="false">
      <c r="A1561" s="47" t="n">
        <v>120</v>
      </c>
      <c r="C1561" s="48" t="str">
        <f aca="false">助手报销!$C121</f>
        <v/>
      </c>
      <c r="D1561" s="81" t="s">
        <v>491</v>
      </c>
      <c r="E1561" s="48" t="str">
        <f aca="false">参数!$B$8</f>
        <v>其他应付款</v>
      </c>
      <c r="F1561" s="48" t="str">
        <f aca="false">""</f>
        <v/>
      </c>
      <c r="G1561" s="49" t="n">
        <f aca="false">-ROUND(SUMIFS(输入报销!$G:$G,输入报销!$A:$A,$A1561,输入报销!$H:$H,参数!$B$8),2)</f>
        <v>-0</v>
      </c>
      <c r="H1561" s="49" t="str">
        <f aca="false">IF(ROUND($G1561,2)&gt;0,ROUND($G1561,2),"")</f>
        <v/>
      </c>
      <c r="I1561" s="49" t="str">
        <f aca="false">IF(ROUND($G1561,2)&lt;0,-ROUND($G1561,2),"")</f>
        <v/>
      </c>
      <c r="J1561" s="20" t="n">
        <f aca="false">IF(ROUND($G1561,2)=0,0,1)</f>
        <v>0</v>
      </c>
      <c r="K1561" s="20" t="str">
        <f aca="false">IF($J1561=0,"",SUM($J$1549:$J1561))</f>
        <v/>
      </c>
      <c r="L1561" s="20" t="str">
        <f aca="false">IF($K1561="","",$A1561*100+$K1561)</f>
        <v/>
      </c>
      <c r="M1561" s="48" t="str">
        <f aca="false">""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1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P3" activeCellId="0" sqref="P3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10" min="5" style="0" width="3"/>
    <col collapsed="false" customWidth="true" hidden="false" outlineLevel="0" max="11" min="11" style="0" width="10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20" min="16" style="0" width="8"/>
    <col collapsed="false" customWidth="true" hidden="false" outlineLevel="0" max="23" min="23" style="0" width="7"/>
    <col collapsed="false" customWidth="true" hidden="false" outlineLevel="0" max="24" min="24" style="0" width="12"/>
  </cols>
  <sheetData>
    <row r="1" customFormat="false" ht="14.9" hidden="false" customHeight="false" outlineLevel="0" collapsed="false">
      <c r="A1" s="17" t="s">
        <v>410</v>
      </c>
      <c r="B1" s="17"/>
      <c r="C1" s="17" t="s">
        <v>412</v>
      </c>
      <c r="D1" s="17" t="s">
        <v>411</v>
      </c>
      <c r="E1" s="17"/>
      <c r="F1" s="17"/>
      <c r="G1" s="17"/>
      <c r="H1" s="17"/>
      <c r="I1" s="17"/>
      <c r="J1" s="17"/>
      <c r="K1" s="17" t="s">
        <v>458</v>
      </c>
      <c r="L1" s="17" t="s">
        <v>459</v>
      </c>
      <c r="M1" s="17" t="s">
        <v>460</v>
      </c>
      <c r="N1" s="17" t="s">
        <v>461</v>
      </c>
      <c r="O1" s="17" t="s">
        <v>462</v>
      </c>
      <c r="P1" s="50" t="s">
        <v>463</v>
      </c>
      <c r="Q1" s="50" t="s">
        <v>464</v>
      </c>
      <c r="R1" s="50" t="s">
        <v>465</v>
      </c>
      <c r="S1" s="50" t="s">
        <v>466</v>
      </c>
      <c r="T1" s="50" t="s">
        <v>467</v>
      </c>
      <c r="U1" s="51" t="s">
        <v>468</v>
      </c>
      <c r="V1" s="52" t="n">
        <f aca="false">SUM($L$2:$L$121)</f>
        <v>39</v>
      </c>
      <c r="W1" s="50" t="s">
        <v>469</v>
      </c>
      <c r="X1" s="50" t="s">
        <v>470</v>
      </c>
    </row>
    <row r="2" customFormat="false" ht="13.5" hidden="false" customHeight="false" outlineLevel="0" collapsed="false">
      <c r="A2" s="47" t="n">
        <v>1</v>
      </c>
      <c r="B2" s="38" t="str">
        <f aca="false">""</f>
        <v/>
      </c>
      <c r="C2" s="26" t="str">
        <f aca="false">IFERROR(INDEX(输入报销!$C:$C,MATCH($A2&amp;"-1",输入报销!$J:$J,0)),"")</f>
        <v>柏人商城店</v>
      </c>
      <c r="D2" s="14" t="n">
        <f aca="false">IFERROR(INDEX(输入报销!$B:$B,MATCH($A2&amp;"-1",输入报销!$J:$J,0)),参数!$B$2)</f>
        <v>46265</v>
      </c>
      <c r="K2" s="20" t="n">
        <f aca="false">SUM(分录报销!$J$2:$J$14)</f>
        <v>4</v>
      </c>
      <c r="L2" s="20" t="n">
        <f aca="false">IF(OR($K2=0,$W2=0),0,ROUNDUP($K2/6,0))</f>
        <v>1</v>
      </c>
      <c r="M2" s="20" t="n">
        <f aca="false">SUM($L$2:$L2)</f>
        <v>1</v>
      </c>
      <c r="N2" s="15" t="n">
        <f aca="false">ROUND(SUM(分录报销!$H$2:$H$14),2)</f>
        <v>336.7</v>
      </c>
      <c r="O2" s="15" t="n">
        <f aca="false">ROUND(SUM(分录报销!$I$2:$I$14),2)</f>
        <v>336.7</v>
      </c>
      <c r="P2" s="20" t="n">
        <f aca="false">IF($L2=0,"",COUNTIF($L$2:$L2,"&gt;0"))</f>
        <v>1</v>
      </c>
      <c r="Q2" s="47" t="n">
        <v>1</v>
      </c>
      <c r="R2" s="20" t="n">
        <f aca="false">IF(1&gt;$V$1,"",COUNTIF($M$2:$M$121,"&lt;"&amp;1)+1)</f>
        <v>1</v>
      </c>
      <c r="S2" s="20" t="n">
        <f aca="false">IF($R2="","",1-IF($R2=1,0,INDEX($M$2:$M$121,$R2-1)))</f>
        <v>1</v>
      </c>
      <c r="T2" s="20" t="n">
        <f aca="false">IF($R2="",0,IF($S2=INDEX($L$2:$L$121,$R2),1,0))</f>
        <v>1</v>
      </c>
      <c r="W2" s="20" t="n">
        <v>1</v>
      </c>
    </row>
    <row r="3" customFormat="false" ht="13.5" hidden="false" customHeight="false" outlineLevel="0" collapsed="false">
      <c r="A3" s="47" t="n">
        <v>2</v>
      </c>
      <c r="B3" s="38" t="str">
        <f aca="false">""</f>
        <v/>
      </c>
      <c r="C3" s="26" t="str">
        <f aca="false">IFERROR(INDEX(输入报销!$C:$C,MATCH($A3&amp;"-1",输入报销!$J:$J,0)),"")</f>
        <v>新隆店</v>
      </c>
      <c r="D3" s="14" t="n">
        <f aca="false">IFERROR(INDEX(输入报销!$B:$B,MATCH($A3&amp;"-1",输入报销!$J:$J,0)),参数!$B$2)</f>
        <v>46265</v>
      </c>
      <c r="K3" s="20" t="n">
        <f aca="false">SUM(分录报销!$J$15:$J$27)</f>
        <v>3</v>
      </c>
      <c r="L3" s="20" t="n">
        <f aca="false">IF(OR($K3=0,$W3=0),0,ROUNDUP($K3/6,0))</f>
        <v>1</v>
      </c>
      <c r="M3" s="20" t="n">
        <f aca="false">SUM($L$2:$L3)</f>
        <v>2</v>
      </c>
      <c r="N3" s="15" t="n">
        <f aca="false">ROUND(SUM(分录报销!$H$15:$H$27),2)</f>
        <v>1065</v>
      </c>
      <c r="O3" s="15" t="n">
        <f aca="false">ROUND(SUM(分录报销!$I$15:$I$27),2)</f>
        <v>1065</v>
      </c>
      <c r="P3" s="20" t="n">
        <f aca="false">IF($L3=0,"",COUNTIF($L$2:$L3,"&gt;0"))</f>
        <v>2</v>
      </c>
      <c r="Q3" s="47" t="n">
        <v>2</v>
      </c>
      <c r="R3" s="20" t="n">
        <f aca="false">IF(2&gt;$V$1,"",COUNTIF($M$2:$M$121,"&lt;"&amp;2)+1)</f>
        <v>2</v>
      </c>
      <c r="S3" s="20" t="n">
        <f aca="false">IF($R3="","",2-IF($R3=1,0,INDEX($M$2:$M$121,$R3-1)))</f>
        <v>1</v>
      </c>
      <c r="T3" s="20" t="n">
        <f aca="false">IF($R3="",0,IF($S3=INDEX($L$2:$L$121,$R3),1,0))</f>
        <v>1</v>
      </c>
      <c r="W3" s="20" t="n">
        <v>1</v>
      </c>
    </row>
    <row r="4" customFormat="false" ht="13.5" hidden="false" customHeight="false" outlineLevel="0" collapsed="false">
      <c r="A4" s="47" t="n">
        <v>3</v>
      </c>
      <c r="B4" s="38" t="str">
        <f aca="false">""</f>
        <v/>
      </c>
      <c r="C4" s="26" t="str">
        <f aca="false">IFERROR(INDEX(输入报销!$C:$C,MATCH($A4&amp;"-1",输入报销!$J:$J,0)),"")</f>
        <v>康庄路店</v>
      </c>
      <c r="D4" s="14" t="n">
        <f aca="false">IFERROR(INDEX(输入报销!$B:$B,MATCH($A4&amp;"-1",输入报销!$J:$J,0)),参数!$B$2)</f>
        <v>46265</v>
      </c>
      <c r="K4" s="20" t="n">
        <f aca="false">SUM(分录报销!$J$28:$J$40)</f>
        <v>4</v>
      </c>
      <c r="L4" s="20" t="n">
        <f aca="false">IF(OR($K4=0,$W4=0),0,ROUNDUP($K4/6,0))</f>
        <v>1</v>
      </c>
      <c r="M4" s="20" t="n">
        <f aca="false">SUM($L$2:$L4)</f>
        <v>3</v>
      </c>
      <c r="N4" s="15" t="n">
        <f aca="false">ROUND(SUM(分录报销!$H$28:$H$40),2)</f>
        <v>1705.38</v>
      </c>
      <c r="O4" s="15" t="n">
        <f aca="false">ROUND(SUM(分录报销!$I$28:$I$40),2)</f>
        <v>1705.38</v>
      </c>
      <c r="P4" s="20" t="n">
        <f aca="false">IF($L4=0,"",COUNTIF($L$2:$L4,"&gt;0"))</f>
        <v>3</v>
      </c>
      <c r="Q4" s="47" t="n">
        <v>3</v>
      </c>
      <c r="R4" s="20" t="n">
        <f aca="false">IF(3&gt;$V$1,"",COUNTIF($M$2:$M$121,"&lt;"&amp;3)+1)</f>
        <v>3</v>
      </c>
      <c r="S4" s="20" t="n">
        <f aca="false">IF($R4="","",3-IF($R4=1,0,INDEX($M$2:$M$121,$R4-1)))</f>
        <v>1</v>
      </c>
      <c r="T4" s="20" t="n">
        <f aca="false">IF($R4="",0,IF($S4=INDEX($L$2:$L$121,$R4),1,0))</f>
        <v>1</v>
      </c>
      <c r="W4" s="20" t="n">
        <v>1</v>
      </c>
    </row>
    <row r="5" customFormat="false" ht="13.5" hidden="false" customHeight="false" outlineLevel="0" collapsed="false">
      <c r="A5" s="47" t="n">
        <v>4</v>
      </c>
      <c r="B5" s="38" t="str">
        <f aca="false">""</f>
        <v/>
      </c>
      <c r="C5" s="26" t="str">
        <f aca="false">IFERROR(INDEX(输入报销!$C:$C,MATCH($A5&amp;"-1",输入报销!$J:$J,0)),"")</f>
        <v>东关店</v>
      </c>
      <c r="D5" s="14" t="n">
        <f aca="false">IFERROR(INDEX(输入报销!$B:$B,MATCH($A5&amp;"-1",输入报销!$J:$J,0)),参数!$B$2)</f>
        <v>46265</v>
      </c>
      <c r="K5" s="20" t="n">
        <f aca="false">SUM(分录报销!$J$41:$J$53)</f>
        <v>3</v>
      </c>
      <c r="L5" s="20" t="n">
        <f aca="false">IF(OR($K5=0,$W5=0),0,ROUNDUP($K5/6,0))</f>
        <v>1</v>
      </c>
      <c r="M5" s="20" t="n">
        <f aca="false">SUM($L$2:$L5)</f>
        <v>4</v>
      </c>
      <c r="N5" s="15" t="n">
        <f aca="false">ROUND(SUM(分录报销!$H$41:$H$53),2)</f>
        <v>147.75</v>
      </c>
      <c r="O5" s="15" t="n">
        <f aca="false">ROUND(SUM(分录报销!$I$41:$I$53),2)</f>
        <v>147.75</v>
      </c>
      <c r="P5" s="20" t="n">
        <f aca="false">IF($L5=0,"",COUNTIF($L$2:$L5,"&gt;0"))</f>
        <v>4</v>
      </c>
      <c r="Q5" s="47" t="n">
        <v>4</v>
      </c>
      <c r="R5" s="20" t="n">
        <f aca="false">IF(4&gt;$V$1,"",COUNTIF($M$2:$M$121,"&lt;"&amp;4)+1)</f>
        <v>4</v>
      </c>
      <c r="S5" s="20" t="n">
        <f aca="false">IF($R5="","",4-IF($R5=1,0,INDEX($M$2:$M$121,$R5-1)))</f>
        <v>1</v>
      </c>
      <c r="T5" s="20" t="n">
        <f aca="false">IF($R5="",0,IF($S5=INDEX($L$2:$L$121,$R5),1,0))</f>
        <v>1</v>
      </c>
      <c r="W5" s="20" t="n">
        <v>1</v>
      </c>
    </row>
    <row r="6" customFormat="false" ht="13.5" hidden="false" customHeight="false" outlineLevel="0" collapsed="false">
      <c r="A6" s="47" t="n">
        <v>5</v>
      </c>
      <c r="B6" s="38" t="str">
        <f aca="false">""</f>
        <v/>
      </c>
      <c r="C6" s="26" t="str">
        <f aca="false">IFERROR(INDEX(输入报销!$C:$C,MATCH($A6&amp;"-1",输入报销!$J:$J,0)),"")</f>
        <v>象城街店</v>
      </c>
      <c r="D6" s="14" t="n">
        <f aca="false">IFERROR(INDEX(输入报销!$B:$B,MATCH($A6&amp;"-1",输入报销!$J:$J,0)),参数!$B$2)</f>
        <v>46265</v>
      </c>
      <c r="K6" s="20" t="n">
        <f aca="false">SUM(分录报销!$J$54:$J$66)</f>
        <v>4</v>
      </c>
      <c r="L6" s="20" t="n">
        <f aca="false">IF(OR($K6=0,$W6=0),0,ROUNDUP($K6/6,0))</f>
        <v>1</v>
      </c>
      <c r="M6" s="20" t="n">
        <f aca="false">SUM($L$2:$L6)</f>
        <v>5</v>
      </c>
      <c r="N6" s="15" t="n">
        <f aca="false">ROUND(SUM(分录报销!$H$54:$H$66),2)</f>
        <v>869.8</v>
      </c>
      <c r="O6" s="15" t="n">
        <f aca="false">ROUND(SUM(分录报销!$I$54:$I$66),2)</f>
        <v>869.8</v>
      </c>
      <c r="P6" s="20" t="n">
        <f aca="false">IF($L6=0,"",COUNTIF($L$2:$L6,"&gt;0"))</f>
        <v>5</v>
      </c>
      <c r="Q6" s="47" t="n">
        <v>5</v>
      </c>
      <c r="R6" s="20" t="n">
        <f aca="false">IF(5&gt;$V$1,"",COUNTIF($M$2:$M$121,"&lt;"&amp;5)+1)</f>
        <v>5</v>
      </c>
      <c r="S6" s="20" t="n">
        <f aca="false">IF($R6="","",5-IF($R6=1,0,INDEX($M$2:$M$121,$R6-1)))</f>
        <v>1</v>
      </c>
      <c r="T6" s="20" t="n">
        <f aca="false">IF($R6="",0,IF($S6=INDEX($L$2:$L$121,$R6),1,0))</f>
        <v>1</v>
      </c>
      <c r="W6" s="20" t="n">
        <v>1</v>
      </c>
    </row>
    <row r="7" customFormat="false" ht="13.5" hidden="false" customHeight="false" outlineLevel="0" collapsed="false">
      <c r="A7" s="47" t="n">
        <v>6</v>
      </c>
      <c r="B7" s="38" t="str">
        <f aca="false">""</f>
        <v/>
      </c>
      <c r="C7" s="26" t="str">
        <f aca="false">IFERROR(INDEX(输入报销!$C:$C,MATCH($A7&amp;"-1",输入报销!$J:$J,0)),"")</f>
        <v>博荣店</v>
      </c>
      <c r="D7" s="14" t="n">
        <f aca="false">IFERROR(INDEX(输入报销!$B:$B,MATCH($A7&amp;"-1",输入报销!$J:$J,0)),参数!$B$2)</f>
        <v>46265</v>
      </c>
      <c r="K7" s="20" t="n">
        <f aca="false">SUM(分录报销!$J$67:$J$79)</f>
        <v>3</v>
      </c>
      <c r="L7" s="20" t="n">
        <f aca="false">IF(OR($K7=0,$W7=0),0,ROUNDUP($K7/6,0))</f>
        <v>1</v>
      </c>
      <c r="M7" s="20" t="n">
        <f aca="false">SUM($L$2:$L7)</f>
        <v>6</v>
      </c>
      <c r="N7" s="15" t="n">
        <f aca="false">ROUND(SUM(分录报销!$H$67:$H$79),2)</f>
        <v>1815.18</v>
      </c>
      <c r="O7" s="15" t="n">
        <f aca="false">ROUND(SUM(分录报销!$I$67:$I$79),2)</f>
        <v>1815.18</v>
      </c>
      <c r="P7" s="20" t="n">
        <f aca="false">IF($L7=0,"",COUNTIF($L$2:$L7,"&gt;0"))</f>
        <v>6</v>
      </c>
      <c r="Q7" s="47" t="n">
        <v>6</v>
      </c>
      <c r="R7" s="20" t="n">
        <f aca="false">IF(6&gt;$V$1,"",COUNTIF($M$2:$M$121,"&lt;"&amp;6)+1)</f>
        <v>6</v>
      </c>
      <c r="S7" s="20" t="n">
        <f aca="false">IF($R7="","",6-IF($R7=1,0,INDEX($M$2:$M$121,$R7-1)))</f>
        <v>1</v>
      </c>
      <c r="T7" s="20" t="n">
        <f aca="false">IF($R7="",0,IF($S7=INDEX($L$2:$L$121,$R7),1,0))</f>
        <v>1</v>
      </c>
      <c r="W7" s="20" t="n">
        <v>1</v>
      </c>
    </row>
    <row r="8" customFormat="false" ht="13.5" hidden="false" customHeight="false" outlineLevel="0" collapsed="false">
      <c r="A8" s="47" t="n">
        <v>7</v>
      </c>
      <c r="B8" s="38" t="str">
        <f aca="false">""</f>
        <v/>
      </c>
      <c r="C8" s="26" t="str">
        <f aca="false">IFERROR(INDEX(输入报销!$C:$C,MATCH($A8&amp;"-1",输入报销!$J:$J,0)),"")</f>
        <v>华鑫店</v>
      </c>
      <c r="D8" s="14" t="n">
        <f aca="false">IFERROR(INDEX(输入报销!$B:$B,MATCH($A8&amp;"-1",输入报销!$J:$J,0)),参数!$B$2)</f>
        <v>46265</v>
      </c>
      <c r="K8" s="20" t="n">
        <f aca="false">SUM(分录报销!$J$80:$J$92)</f>
        <v>4</v>
      </c>
      <c r="L8" s="20" t="n">
        <f aca="false">IF(OR($K8=0,$W8=0),0,ROUNDUP($K8/6,0))</f>
        <v>1</v>
      </c>
      <c r="M8" s="20" t="n">
        <f aca="false">SUM($L$2:$L8)</f>
        <v>7</v>
      </c>
      <c r="N8" s="15" t="n">
        <f aca="false">ROUND(SUM(分录报销!$H$80:$H$92),2)</f>
        <v>881.4</v>
      </c>
      <c r="O8" s="15" t="n">
        <f aca="false">ROUND(SUM(分录报销!$I$80:$I$92),2)</f>
        <v>881.4</v>
      </c>
      <c r="P8" s="20" t="n">
        <f aca="false">IF($L8=0,"",COUNTIF($L$2:$L8,"&gt;0"))</f>
        <v>7</v>
      </c>
      <c r="Q8" s="47" t="n">
        <v>7</v>
      </c>
      <c r="R8" s="20" t="n">
        <f aca="false">IF(7&gt;$V$1,"",COUNTIF($M$2:$M$121,"&lt;"&amp;7)+1)</f>
        <v>7</v>
      </c>
      <c r="S8" s="20" t="n">
        <f aca="false">IF($R8="","",7-IF($R8=1,0,INDEX($M$2:$M$121,$R8-1)))</f>
        <v>1</v>
      </c>
      <c r="T8" s="20" t="n">
        <f aca="false">IF($R8="",0,IF($S8=INDEX($L$2:$L$121,$R8),1,0))</f>
        <v>1</v>
      </c>
      <c r="W8" s="20" t="n">
        <v>1</v>
      </c>
    </row>
    <row r="9" customFormat="false" ht="13.5" hidden="false" customHeight="false" outlineLevel="0" collapsed="false">
      <c r="A9" s="47" t="n">
        <v>8</v>
      </c>
      <c r="B9" s="38" t="str">
        <f aca="false">""</f>
        <v/>
      </c>
      <c r="C9" s="26" t="str">
        <f aca="false">IFERROR(INDEX(输入报销!$C:$C,MATCH($A9&amp;"-1",输入报销!$J:$J,0)),"")</f>
        <v>大霍店</v>
      </c>
      <c r="D9" s="14" t="n">
        <f aca="false">IFERROR(INDEX(输入报销!$B:$B,MATCH($A9&amp;"-1",输入报销!$J:$J,0)),参数!$B$2)</f>
        <v>46265</v>
      </c>
      <c r="K9" s="20" t="n">
        <f aca="false">SUM(分录报销!$J$93:$J$105)</f>
        <v>2</v>
      </c>
      <c r="L9" s="20" t="n">
        <f aca="false">IF(OR($K9=0,$W9=0),0,ROUNDUP($K9/6,0))</f>
        <v>1</v>
      </c>
      <c r="M9" s="20" t="n">
        <f aca="false">SUM($L$2:$L9)</f>
        <v>8</v>
      </c>
      <c r="N9" s="15" t="n">
        <f aca="false">ROUND(SUM(分录报销!$H$93:$H$105),2)</f>
        <v>15</v>
      </c>
      <c r="O9" s="15" t="n">
        <f aca="false">ROUND(SUM(分录报销!$I$93:$I$105),2)</f>
        <v>15</v>
      </c>
      <c r="P9" s="20" t="n">
        <f aca="false">IF($L9=0,"",COUNTIF($L$2:$L9,"&gt;0"))</f>
        <v>8</v>
      </c>
      <c r="Q9" s="47" t="n">
        <v>8</v>
      </c>
      <c r="R9" s="20" t="n">
        <f aca="false">IF(8&gt;$V$1,"",COUNTIF($M$2:$M$121,"&lt;"&amp;8)+1)</f>
        <v>8</v>
      </c>
      <c r="S9" s="20" t="n">
        <f aca="false">IF($R9="","",8-IF($R9=1,0,INDEX($M$2:$M$121,$R9-1)))</f>
        <v>1</v>
      </c>
      <c r="T9" s="20" t="n">
        <f aca="false">IF($R9="",0,IF($S9=INDEX($L$2:$L$121,$R9),1,0))</f>
        <v>1</v>
      </c>
      <c r="W9" s="20" t="n">
        <v>1</v>
      </c>
    </row>
    <row r="10" customFormat="false" ht="13.5" hidden="false" customHeight="false" outlineLevel="0" collapsed="false">
      <c r="A10" s="47" t="n">
        <v>9</v>
      </c>
      <c r="B10" s="38" t="str">
        <f aca="false">""</f>
        <v/>
      </c>
      <c r="C10" s="26" t="str">
        <f aca="false">IFERROR(INDEX(输入报销!$C:$C,MATCH($A10&amp;"-1",输入报销!$J:$J,0)),"")</f>
        <v>莲子镇店</v>
      </c>
      <c r="D10" s="14" t="n">
        <f aca="false">IFERROR(INDEX(输入报销!$B:$B,MATCH($A10&amp;"-1",输入报销!$J:$J,0)),参数!$B$2)</f>
        <v>46265</v>
      </c>
      <c r="K10" s="20" t="n">
        <f aca="false">SUM(分录报销!$J$106:$J$118)</f>
        <v>4</v>
      </c>
      <c r="L10" s="20" t="n">
        <f aca="false">IF(OR($K10=0,$W10=0),0,ROUNDUP($K10/6,0))</f>
        <v>1</v>
      </c>
      <c r="M10" s="20" t="n">
        <f aca="false">SUM($L$2:$L10)</f>
        <v>9</v>
      </c>
      <c r="N10" s="15" t="n">
        <f aca="false">ROUND(SUM(分录报销!$H$106:$H$118),2)</f>
        <v>690</v>
      </c>
      <c r="O10" s="15" t="n">
        <f aca="false">ROUND(SUM(分录报销!$I$106:$I$118),2)</f>
        <v>690</v>
      </c>
      <c r="P10" s="20" t="n">
        <f aca="false">IF($L10=0,"",COUNTIF($L$2:$L10,"&gt;0"))</f>
        <v>9</v>
      </c>
      <c r="Q10" s="47" t="n">
        <v>9</v>
      </c>
      <c r="R10" s="20" t="n">
        <f aca="false">IF(9&gt;$V$1,"",COUNTIF($M$2:$M$121,"&lt;"&amp;9)+1)</f>
        <v>9</v>
      </c>
      <c r="S10" s="20" t="n">
        <f aca="false">IF($R10="","",9-IF($R10=1,0,INDEX($M$2:$M$121,$R10-1)))</f>
        <v>1</v>
      </c>
      <c r="T10" s="20" t="n">
        <f aca="false">IF($R10="",0,IF($S10=INDEX($L$2:$L$121,$R10),1,0))</f>
        <v>1</v>
      </c>
      <c r="W10" s="20" t="n">
        <v>1</v>
      </c>
    </row>
    <row r="11" customFormat="false" ht="13.5" hidden="false" customHeight="false" outlineLevel="0" collapsed="false">
      <c r="A11" s="47" t="n">
        <v>10</v>
      </c>
      <c r="B11" s="38" t="str">
        <f aca="false">""</f>
        <v/>
      </c>
      <c r="C11" s="26" t="str">
        <f aca="false">IFERROR(INDEX(输入报销!$C:$C,MATCH($A11&amp;"-1",输入报销!$J:$J,0)),"")</f>
        <v>毛尔寨店</v>
      </c>
      <c r="D11" s="14" t="n">
        <f aca="false">IFERROR(INDEX(输入报销!$B:$B,MATCH($A11&amp;"-1",输入报销!$J:$J,0)),参数!$B$2)</f>
        <v>46265</v>
      </c>
      <c r="K11" s="20" t="n">
        <f aca="false">SUM(分录报销!$J$119:$J$131)</f>
        <v>5</v>
      </c>
      <c r="L11" s="20" t="n">
        <f aca="false">IF(OR($K11=0,$W11=0),0,ROUNDUP($K11/6,0))</f>
        <v>1</v>
      </c>
      <c r="M11" s="20" t="n">
        <f aca="false">SUM($L$2:$L11)</f>
        <v>10</v>
      </c>
      <c r="N11" s="15" t="n">
        <f aca="false">ROUND(SUM(分录报销!$H$119:$H$131),2)</f>
        <v>749.7</v>
      </c>
      <c r="O11" s="15" t="n">
        <f aca="false">ROUND(SUM(分录报销!$I$119:$I$131),2)</f>
        <v>749.7</v>
      </c>
      <c r="P11" s="20" t="n">
        <f aca="false">IF($L11=0,"",COUNTIF($L$2:$L11,"&gt;0"))</f>
        <v>10</v>
      </c>
      <c r="Q11" s="47" t="n">
        <v>10</v>
      </c>
      <c r="R11" s="20" t="n">
        <f aca="false">IF(10&gt;$V$1,"",COUNTIF($M$2:$M$121,"&lt;"&amp;10)+1)</f>
        <v>10</v>
      </c>
      <c r="S11" s="20" t="n">
        <f aca="false">IF($R11="","",10-IF($R11=1,0,INDEX($M$2:$M$121,$R11-1)))</f>
        <v>1</v>
      </c>
      <c r="T11" s="20" t="n">
        <f aca="false">IF($R11="",0,IF($S11=INDEX($L$2:$L$121,$R11),1,0))</f>
        <v>1</v>
      </c>
      <c r="W11" s="20" t="n">
        <v>1</v>
      </c>
    </row>
    <row r="12" customFormat="false" ht="13.5" hidden="false" customHeight="false" outlineLevel="0" collapsed="false">
      <c r="A12" s="47" t="n">
        <v>11</v>
      </c>
      <c r="B12" s="38" t="str">
        <f aca="false">""</f>
        <v/>
      </c>
      <c r="C12" s="26" t="str">
        <f aca="false">IFERROR(INDEX(输入报销!$C:$C,MATCH($A12&amp;"-1",输入报销!$J:$J,0)),"")</f>
        <v>泽畔店</v>
      </c>
      <c r="D12" s="14" t="n">
        <f aca="false">IFERROR(INDEX(输入报销!$B:$B,MATCH($A12&amp;"-1",输入报销!$J:$J,0)),参数!$B$2)</f>
        <v>46265</v>
      </c>
      <c r="K12" s="20" t="n">
        <f aca="false">SUM(分录报销!$J$132:$J$144)</f>
        <v>2</v>
      </c>
      <c r="L12" s="20" t="n">
        <f aca="false">IF(OR($K12=0,$W12=0),0,ROUNDUP($K12/6,0))</f>
        <v>1</v>
      </c>
      <c r="M12" s="20" t="n">
        <f aca="false">SUM($L$2:$L12)</f>
        <v>11</v>
      </c>
      <c r="N12" s="15" t="n">
        <f aca="false">ROUND(SUM(分录报销!$H$132:$H$144),2)</f>
        <v>500</v>
      </c>
      <c r="O12" s="15" t="n">
        <f aca="false">ROUND(SUM(分录报销!$I$132:$I$144),2)</f>
        <v>500</v>
      </c>
      <c r="P12" s="20" t="n">
        <f aca="false">IF($L12=0,"",COUNTIF($L$2:$L12,"&gt;0"))</f>
        <v>11</v>
      </c>
      <c r="Q12" s="47" t="n">
        <v>11</v>
      </c>
      <c r="R12" s="20" t="n">
        <f aca="false">IF(11&gt;$V$1,"",COUNTIF($M$2:$M$121,"&lt;"&amp;11)+1)</f>
        <v>11</v>
      </c>
      <c r="S12" s="20" t="n">
        <f aca="false">IF($R12="","",11-IF($R12=1,0,INDEX($M$2:$M$121,$R12-1)))</f>
        <v>1</v>
      </c>
      <c r="T12" s="20" t="n">
        <f aca="false">IF($R12="",0,IF($S12=INDEX($L$2:$L$121,$R12),1,0))</f>
        <v>1</v>
      </c>
      <c r="W12" s="20" t="n">
        <v>1</v>
      </c>
    </row>
    <row r="13" customFormat="false" ht="13.5" hidden="false" customHeight="false" outlineLevel="0" collapsed="false">
      <c r="A13" s="47" t="n">
        <v>12</v>
      </c>
      <c r="B13" s="38" t="str">
        <f aca="false">""</f>
        <v/>
      </c>
      <c r="C13" s="26" t="str">
        <f aca="false">IFERROR(INDEX(输入报销!$C:$C,MATCH($A13&amp;"-1",输入报销!$J:$J,0)),"")</f>
        <v>博天店</v>
      </c>
      <c r="D13" s="14" t="n">
        <f aca="false">IFERROR(INDEX(输入报销!$B:$B,MATCH($A13&amp;"-1",输入报销!$J:$J,0)),参数!$B$2)</f>
        <v>46265</v>
      </c>
      <c r="K13" s="20" t="n">
        <f aca="false">SUM(分录报销!$J$145:$J$157)</f>
        <v>2</v>
      </c>
      <c r="L13" s="20" t="n">
        <f aca="false">IF(OR($K13=0,$W13=0),0,ROUNDUP($K13/6,0))</f>
        <v>1</v>
      </c>
      <c r="M13" s="20" t="n">
        <f aca="false">SUM($L$2:$L13)</f>
        <v>12</v>
      </c>
      <c r="N13" s="15" t="n">
        <f aca="false">ROUND(SUM(分录报销!$H$145:$H$157),2)</f>
        <v>29.9</v>
      </c>
      <c r="O13" s="15" t="n">
        <f aca="false">ROUND(SUM(分录报销!$I$145:$I$157),2)</f>
        <v>29.9</v>
      </c>
      <c r="P13" s="20" t="n">
        <f aca="false">IF($L13=0,"",COUNTIF($L$2:$L13,"&gt;0"))</f>
        <v>12</v>
      </c>
      <c r="Q13" s="47" t="n">
        <v>12</v>
      </c>
      <c r="R13" s="20" t="n">
        <f aca="false">IF(12&gt;$V$1,"",COUNTIF($M$2:$M$121,"&lt;"&amp;12)+1)</f>
        <v>12</v>
      </c>
      <c r="S13" s="20" t="n">
        <f aca="false">IF($R13="","",12-IF($R13=1,0,INDEX($M$2:$M$121,$R13-1)))</f>
        <v>1</v>
      </c>
      <c r="T13" s="20" t="n">
        <f aca="false">IF($R13="",0,IF($S13=INDEX($L$2:$L$121,$R13),1,0))</f>
        <v>1</v>
      </c>
      <c r="W13" s="20" t="n">
        <v>1</v>
      </c>
    </row>
    <row r="14" customFormat="false" ht="13.5" hidden="false" customHeight="false" outlineLevel="0" collapsed="false">
      <c r="A14" s="47" t="n">
        <v>13</v>
      </c>
      <c r="B14" s="38" t="str">
        <f aca="false">""</f>
        <v/>
      </c>
      <c r="C14" s="26" t="str">
        <f aca="false">IFERROR(INDEX(输入报销!$C:$C,MATCH($A14&amp;"-1",输入报销!$J:$J,0)),"")</f>
        <v>魏家庄店</v>
      </c>
      <c r="D14" s="14" t="n">
        <f aca="false">IFERROR(INDEX(输入报销!$B:$B,MATCH($A14&amp;"-1",输入报销!$J:$J,0)),参数!$B$2)</f>
        <v>46265</v>
      </c>
      <c r="K14" s="20" t="n">
        <f aca="false">SUM(分录报销!$J$158:$J$170)</f>
        <v>3</v>
      </c>
      <c r="L14" s="20" t="n">
        <f aca="false">IF(OR($K14=0,$W14=0),0,ROUNDUP($K14/6,0))</f>
        <v>1</v>
      </c>
      <c r="M14" s="20" t="n">
        <f aca="false">SUM($L$2:$L14)</f>
        <v>13</v>
      </c>
      <c r="N14" s="15" t="n">
        <f aca="false">ROUND(SUM(分录报销!$H$158:$H$170),2)</f>
        <v>631.4</v>
      </c>
      <c r="O14" s="15" t="n">
        <f aca="false">ROUND(SUM(分录报销!$I$158:$I$170),2)</f>
        <v>631.4</v>
      </c>
      <c r="P14" s="20" t="n">
        <f aca="false">IF($L14=0,"",COUNTIF($L$2:$L14,"&gt;0"))</f>
        <v>13</v>
      </c>
      <c r="Q14" s="47" t="n">
        <v>13</v>
      </c>
      <c r="R14" s="20" t="n">
        <f aca="false">IF(13&gt;$V$1,"",COUNTIF($M$2:$M$121,"&lt;"&amp;13)+1)</f>
        <v>13</v>
      </c>
      <c r="S14" s="20" t="n">
        <f aca="false">IF($R14="","",13-IF($R14=1,0,INDEX($M$2:$M$121,$R14-1)))</f>
        <v>1</v>
      </c>
      <c r="T14" s="20" t="n">
        <f aca="false">IF($R14="",0,IF($S14=INDEX($L$2:$L$121,$R14),1,0))</f>
        <v>1</v>
      </c>
      <c r="W14" s="20" t="n">
        <v>1</v>
      </c>
    </row>
    <row r="15" customFormat="false" ht="13.5" hidden="false" customHeight="false" outlineLevel="0" collapsed="false">
      <c r="A15" s="47" t="n">
        <v>14</v>
      </c>
      <c r="B15" s="38" t="str">
        <f aca="false">""</f>
        <v/>
      </c>
      <c r="C15" s="26" t="str">
        <f aca="false">IFERROR(INDEX(输入报销!$C:$C,MATCH($A15&amp;"-1",输入报销!$J:$J,0)),"")</f>
        <v>北楼店</v>
      </c>
      <c r="D15" s="14" t="n">
        <f aca="false">IFERROR(INDEX(输入报销!$B:$B,MATCH($A15&amp;"-1",输入报销!$J:$J,0)),参数!$B$2)</f>
        <v>46265</v>
      </c>
      <c r="K15" s="20" t="n">
        <f aca="false">SUM(分录报销!$J$171:$J$183)</f>
        <v>4</v>
      </c>
      <c r="L15" s="20" t="n">
        <f aca="false">IF(OR($K15=0,$W15=0),0,ROUNDUP($K15/6,0))</f>
        <v>1</v>
      </c>
      <c r="M15" s="20" t="n">
        <f aca="false">SUM($L$2:$L15)</f>
        <v>14</v>
      </c>
      <c r="N15" s="15" t="n">
        <f aca="false">ROUND(SUM(分录报销!$H$171:$H$183),2)</f>
        <v>908</v>
      </c>
      <c r="O15" s="15" t="n">
        <f aca="false">ROUND(SUM(分录报销!$I$171:$I$183),2)</f>
        <v>908</v>
      </c>
      <c r="P15" s="20" t="n">
        <f aca="false">IF($L15=0,"",COUNTIF($L$2:$L15,"&gt;0"))</f>
        <v>14</v>
      </c>
      <c r="Q15" s="47" t="n">
        <v>14</v>
      </c>
      <c r="R15" s="20" t="n">
        <f aca="false">IF(14&gt;$V$1,"",COUNTIF($M$2:$M$121,"&lt;"&amp;14)+1)</f>
        <v>14</v>
      </c>
      <c r="S15" s="20" t="n">
        <f aca="false">IF($R15="","",14-IF($R15=1,0,INDEX($M$2:$M$121,$R15-1)))</f>
        <v>1</v>
      </c>
      <c r="T15" s="20" t="n">
        <f aca="false">IF($R15="",0,IF($S15=INDEX($L$2:$L$121,$R15),1,0))</f>
        <v>1</v>
      </c>
      <c r="W15" s="20" t="n">
        <v>1</v>
      </c>
    </row>
    <row r="16" customFormat="false" ht="13.5" hidden="false" customHeight="false" outlineLevel="0" collapsed="false">
      <c r="A16" s="47" t="n">
        <v>15</v>
      </c>
      <c r="B16" s="38" t="str">
        <f aca="false">""</f>
        <v/>
      </c>
      <c r="C16" s="26" t="str">
        <f aca="false">IFERROR(INDEX(输入报销!$C:$C,MATCH($A16&amp;"-1",输入报销!$J:$J,0)),"")</f>
        <v>尹村店</v>
      </c>
      <c r="D16" s="14" t="n">
        <f aca="false">IFERROR(INDEX(输入报销!$B:$B,MATCH($A16&amp;"-1",输入报销!$J:$J,0)),参数!$B$2)</f>
        <v>46265</v>
      </c>
      <c r="K16" s="20" t="n">
        <f aca="false">SUM(分录报销!$J$184:$J$196)</f>
        <v>5</v>
      </c>
      <c r="L16" s="20" t="n">
        <f aca="false">IF(OR($K16=0,$W16=0),0,ROUNDUP($K16/6,0))</f>
        <v>1</v>
      </c>
      <c r="M16" s="20" t="n">
        <f aca="false">SUM($L$2:$L16)</f>
        <v>15</v>
      </c>
      <c r="N16" s="15" t="n">
        <f aca="false">ROUND(SUM(分录报销!$H$184:$H$196),2)</f>
        <v>500.4</v>
      </c>
      <c r="O16" s="15" t="n">
        <f aca="false">ROUND(SUM(分录报销!$I$184:$I$196),2)</f>
        <v>500.4</v>
      </c>
      <c r="P16" s="20" t="n">
        <f aca="false">IF($L16=0,"",COUNTIF($L$2:$L16,"&gt;0"))</f>
        <v>15</v>
      </c>
      <c r="Q16" s="47" t="n">
        <v>15</v>
      </c>
      <c r="R16" s="20" t="n">
        <f aca="false">IF(15&gt;$V$1,"",COUNTIF($M$2:$M$121,"&lt;"&amp;15)+1)</f>
        <v>15</v>
      </c>
      <c r="S16" s="20" t="n">
        <f aca="false">IF($R16="","",15-IF($R16=1,0,INDEX($M$2:$M$121,$R16-1)))</f>
        <v>1</v>
      </c>
      <c r="T16" s="20" t="n">
        <f aca="false">IF($R16="",0,IF($S16=INDEX($L$2:$L$121,$R16),1,0))</f>
        <v>1</v>
      </c>
      <c r="W16" s="20" t="n">
        <v>1</v>
      </c>
    </row>
    <row r="17" customFormat="false" ht="13.5" hidden="false" customHeight="false" outlineLevel="0" collapsed="false">
      <c r="A17" s="47" t="n">
        <v>16</v>
      </c>
      <c r="B17" s="38" t="str">
        <f aca="false">""</f>
        <v/>
      </c>
      <c r="C17" s="26" t="str">
        <f aca="false">IFERROR(INDEX(输入报销!$C:$C,MATCH($A17&amp;"-1",输入报销!$J:$J,0)),"")</f>
        <v>高村店</v>
      </c>
      <c r="D17" s="14" t="n">
        <f aca="false">IFERROR(INDEX(输入报销!$B:$B,MATCH($A17&amp;"-1",输入报销!$J:$J,0)),参数!$B$2)</f>
        <v>46265</v>
      </c>
      <c r="K17" s="20" t="n">
        <f aca="false">SUM(分录报销!$J$197:$J$209)</f>
        <v>2</v>
      </c>
      <c r="L17" s="20" t="n">
        <f aca="false">IF(OR($K17=0,$W17=0),0,ROUNDUP($K17/6,0))</f>
        <v>1</v>
      </c>
      <c r="M17" s="20" t="n">
        <f aca="false">SUM($L$2:$L17)</f>
        <v>16</v>
      </c>
      <c r="N17" s="15" t="n">
        <f aca="false">ROUND(SUM(分录报销!$H$197:$H$209),2)</f>
        <v>500</v>
      </c>
      <c r="O17" s="15" t="n">
        <f aca="false">ROUND(SUM(分录报销!$I$197:$I$209),2)</f>
        <v>500</v>
      </c>
      <c r="P17" s="20" t="n">
        <f aca="false">IF($L17=0,"",COUNTIF($L$2:$L17,"&gt;0"))</f>
        <v>16</v>
      </c>
      <c r="Q17" s="47" t="n">
        <v>16</v>
      </c>
      <c r="R17" s="20" t="n">
        <f aca="false">IF(16&gt;$V$1,"",COUNTIF($M$2:$M$121,"&lt;"&amp;16)+1)</f>
        <v>16</v>
      </c>
      <c r="S17" s="20" t="n">
        <f aca="false">IF($R17="","",16-IF($R17=1,0,INDEX($M$2:$M$121,$R17-1)))</f>
        <v>1</v>
      </c>
      <c r="T17" s="20" t="n">
        <f aca="false">IF($R17="",0,IF($S17=INDEX($L$2:$L$121,$R17),1,0))</f>
        <v>1</v>
      </c>
      <c r="W17" s="20" t="n">
        <v>1</v>
      </c>
    </row>
    <row r="18" customFormat="false" ht="13.5" hidden="false" customHeight="false" outlineLevel="0" collapsed="false">
      <c r="A18" s="47" t="n">
        <v>17</v>
      </c>
      <c r="B18" s="38" t="str">
        <f aca="false">""</f>
        <v/>
      </c>
      <c r="C18" s="26" t="str">
        <f aca="false">IFERROR(INDEX(输入报销!$C:$C,MATCH($A18&amp;"-1",输入报销!$J:$J,0)),"")</f>
        <v>彭村店</v>
      </c>
      <c r="D18" s="14" t="n">
        <f aca="false">IFERROR(INDEX(输入报销!$B:$B,MATCH($A18&amp;"-1",输入报销!$J:$J,0)),参数!$B$2)</f>
        <v>46265</v>
      </c>
      <c r="K18" s="20" t="n">
        <f aca="false">SUM(分录报销!$J$210:$J$222)</f>
        <v>3</v>
      </c>
      <c r="L18" s="20" t="n">
        <f aca="false">IF(OR($K18=0,$W18=0),0,ROUNDUP($K18/6,0))</f>
        <v>1</v>
      </c>
      <c r="M18" s="20" t="n">
        <f aca="false">SUM($L$2:$L18)</f>
        <v>17</v>
      </c>
      <c r="N18" s="15" t="n">
        <f aca="false">ROUND(SUM(分录报销!$H$210:$H$222),2)</f>
        <v>528</v>
      </c>
      <c r="O18" s="15" t="n">
        <f aca="false">ROUND(SUM(分录报销!$I$210:$I$222),2)</f>
        <v>528</v>
      </c>
      <c r="P18" s="20" t="n">
        <f aca="false">IF($L18=0,"",COUNTIF($L$2:$L18,"&gt;0"))</f>
        <v>17</v>
      </c>
      <c r="Q18" s="47" t="n">
        <v>17</v>
      </c>
      <c r="R18" s="20" t="n">
        <f aca="false">IF(17&gt;$V$1,"",COUNTIF($M$2:$M$121,"&lt;"&amp;17)+1)</f>
        <v>17</v>
      </c>
      <c r="S18" s="20" t="n">
        <f aca="false">IF($R18="","",17-IF($R18=1,0,INDEX($M$2:$M$121,$R18-1)))</f>
        <v>1</v>
      </c>
      <c r="T18" s="20" t="n">
        <f aca="false">IF($R18="",0,IF($S18=INDEX($L$2:$L$121,$R18),1,0))</f>
        <v>1</v>
      </c>
      <c r="W18" s="20" t="n">
        <v>1</v>
      </c>
    </row>
    <row r="19" customFormat="false" ht="13.5" hidden="false" customHeight="false" outlineLevel="0" collapsed="false">
      <c r="A19" s="47" t="n">
        <v>18</v>
      </c>
      <c r="B19" s="38" t="str">
        <f aca="false">""</f>
        <v/>
      </c>
      <c r="C19" s="26" t="str">
        <f aca="false">IFERROR(INDEX(输入报销!$C:$C,MATCH($A19&amp;"-1",输入报销!$J:$J,0)),"")</f>
        <v>南位店</v>
      </c>
      <c r="D19" s="14" t="n">
        <f aca="false">IFERROR(INDEX(输入报销!$B:$B,MATCH($A19&amp;"-1",输入报销!$J:$J,0)),参数!$B$2)</f>
        <v>46265</v>
      </c>
      <c r="K19" s="20" t="n">
        <f aca="false">SUM(分录报销!$J$223:$J$235)</f>
        <v>4</v>
      </c>
      <c r="L19" s="20" t="n">
        <f aca="false">IF(OR($K19=0,$W19=0),0,ROUNDUP($K19/6,0))</f>
        <v>1</v>
      </c>
      <c r="M19" s="20" t="n">
        <f aca="false">SUM($L$2:$L19)</f>
        <v>18</v>
      </c>
      <c r="N19" s="15" t="n">
        <f aca="false">ROUND(SUM(分录报销!$H$223:$H$235),2)</f>
        <v>396.59</v>
      </c>
      <c r="O19" s="15" t="n">
        <f aca="false">ROUND(SUM(分录报销!$I$223:$I$235),2)</f>
        <v>396.59</v>
      </c>
      <c r="P19" s="20" t="n">
        <f aca="false">IF($L19=0,"",COUNTIF($L$2:$L19,"&gt;0"))</f>
        <v>18</v>
      </c>
      <c r="Q19" s="47" t="n">
        <v>18</v>
      </c>
      <c r="R19" s="20" t="n">
        <f aca="false">IF(18&gt;$V$1,"",COUNTIF($M$2:$M$121,"&lt;"&amp;18)+1)</f>
        <v>18</v>
      </c>
      <c r="S19" s="20" t="n">
        <f aca="false">IF($R19="","",18-IF($R19=1,0,INDEX($M$2:$M$121,$R19-1)))</f>
        <v>1</v>
      </c>
      <c r="T19" s="20" t="n">
        <f aca="false">IF($R19="",0,IF($S19=INDEX($L$2:$L$121,$R19),1,0))</f>
        <v>1</v>
      </c>
      <c r="W19" s="20" t="n">
        <v>1</v>
      </c>
    </row>
    <row r="20" customFormat="false" ht="13.5" hidden="false" customHeight="false" outlineLevel="0" collapsed="false">
      <c r="A20" s="47" t="n">
        <v>19</v>
      </c>
      <c r="B20" s="38" t="str">
        <f aca="false">""</f>
        <v/>
      </c>
      <c r="C20" s="26" t="str">
        <f aca="false">IFERROR(INDEX(输入报销!$C:$C,MATCH($A20&amp;"-1",输入报销!$J:$J,0)),"")</f>
        <v>博园店</v>
      </c>
      <c r="D20" s="14" t="n">
        <f aca="false">IFERROR(INDEX(输入报销!$B:$B,MATCH($A20&amp;"-1",输入报销!$J:$J,0)),参数!$B$2)</f>
        <v>46265</v>
      </c>
      <c r="K20" s="20" t="n">
        <f aca="false">SUM(分录报销!$J$236:$J$248)</f>
        <v>3</v>
      </c>
      <c r="L20" s="20" t="n">
        <f aca="false">IF(OR($K20=0,$W20=0),0,ROUNDUP($K20/6,0))</f>
        <v>1</v>
      </c>
      <c r="M20" s="20" t="n">
        <f aca="false">SUM($L$2:$L20)</f>
        <v>19</v>
      </c>
      <c r="N20" s="15" t="n">
        <f aca="false">ROUND(SUM(分录报销!$H$236:$H$248),2)</f>
        <v>872.4</v>
      </c>
      <c r="O20" s="15" t="n">
        <f aca="false">ROUND(SUM(分录报销!$I$236:$I$248),2)</f>
        <v>872.4</v>
      </c>
      <c r="P20" s="20" t="n">
        <f aca="false">IF($L20=0,"",COUNTIF($L$2:$L20,"&gt;0"))</f>
        <v>19</v>
      </c>
      <c r="Q20" s="47" t="n">
        <v>19</v>
      </c>
      <c r="R20" s="20" t="n">
        <f aca="false">IF(19&gt;$V$1,"",COUNTIF($M$2:$M$121,"&lt;"&amp;19)+1)</f>
        <v>19</v>
      </c>
      <c r="S20" s="20" t="n">
        <f aca="false">IF($R20="","",19-IF($R20=1,0,INDEX($M$2:$M$121,$R20-1)))</f>
        <v>1</v>
      </c>
      <c r="T20" s="20" t="n">
        <f aca="false">IF($R20="",0,IF($S20=INDEX($L$2:$L$121,$R20),1,0))</f>
        <v>1</v>
      </c>
      <c r="W20" s="20" t="n">
        <v>1</v>
      </c>
    </row>
    <row r="21" customFormat="false" ht="13.5" hidden="false" customHeight="false" outlineLevel="0" collapsed="false">
      <c r="A21" s="47" t="n">
        <v>20</v>
      </c>
      <c r="B21" s="38" t="str">
        <f aca="false">""</f>
        <v/>
      </c>
      <c r="C21" s="26" t="str">
        <f aca="false">IFERROR(INDEX(输入报销!$C:$C,MATCH($A21&amp;"-1",输入报销!$J:$J,0)),"")</f>
        <v>新华路店</v>
      </c>
      <c r="D21" s="14" t="n">
        <f aca="false">IFERROR(INDEX(输入报销!$B:$B,MATCH($A21&amp;"-1",输入报销!$J:$J,0)),参数!$B$2)</f>
        <v>46265</v>
      </c>
      <c r="K21" s="20" t="n">
        <f aca="false">SUM(分录报销!$J$249:$J$261)</f>
        <v>4</v>
      </c>
      <c r="L21" s="20" t="n">
        <f aca="false">IF(OR($K21=0,$W21=0),0,ROUNDUP($K21/6,0))</f>
        <v>1</v>
      </c>
      <c r="M21" s="20" t="n">
        <f aca="false">SUM($L$2:$L21)</f>
        <v>20</v>
      </c>
      <c r="N21" s="15" t="n">
        <f aca="false">ROUND(SUM(分录报销!$H$249:$H$261),2)</f>
        <v>1054.54</v>
      </c>
      <c r="O21" s="15" t="n">
        <f aca="false">ROUND(SUM(分录报销!$I$249:$I$261),2)</f>
        <v>1054.54</v>
      </c>
      <c r="P21" s="20" t="n">
        <f aca="false">IF($L21=0,"",COUNTIF($L$2:$L21,"&gt;0"))</f>
        <v>20</v>
      </c>
      <c r="Q21" s="47" t="n">
        <v>20</v>
      </c>
      <c r="R21" s="20" t="n">
        <f aca="false">IF(20&gt;$V$1,"",COUNTIF($M$2:$M$121,"&lt;"&amp;20)+1)</f>
        <v>20</v>
      </c>
      <c r="S21" s="20" t="n">
        <f aca="false">IF($R21="","",20-IF($R21=1,0,INDEX($M$2:$M$121,$R21-1)))</f>
        <v>1</v>
      </c>
      <c r="T21" s="20" t="n">
        <f aca="false">IF($R21="",0,IF($S21=INDEX($L$2:$L$121,$R21),1,0))</f>
        <v>1</v>
      </c>
      <c r="W21" s="20" t="n">
        <v>1</v>
      </c>
    </row>
    <row r="22" customFormat="false" ht="13.5" hidden="false" customHeight="false" outlineLevel="0" collapsed="false">
      <c r="A22" s="47" t="n">
        <v>21</v>
      </c>
      <c r="B22" s="38" t="str">
        <f aca="false">""</f>
        <v/>
      </c>
      <c r="C22" s="26" t="str">
        <f aca="false">IFERROR(INDEX(输入报销!$C:$C,MATCH($A22&amp;"-1",输入报销!$J:$J,0)),"")</f>
        <v>杨村王街店</v>
      </c>
      <c r="D22" s="14" t="n">
        <f aca="false">IFERROR(INDEX(输入报销!$B:$B,MATCH($A22&amp;"-1",输入报销!$J:$J,0)),参数!$B$2)</f>
        <v>46265</v>
      </c>
      <c r="K22" s="20" t="n">
        <f aca="false">SUM(分录报销!$J$262:$J$274)</f>
        <v>3</v>
      </c>
      <c r="L22" s="20" t="n">
        <f aca="false">IF(OR($K22=0,$W22=0),0,ROUNDUP($K22/6,0))</f>
        <v>1</v>
      </c>
      <c r="M22" s="20" t="n">
        <f aca="false">SUM($L$2:$L22)</f>
        <v>21</v>
      </c>
      <c r="N22" s="15" t="n">
        <f aca="false">ROUND(SUM(分录报销!$H$262:$H$274),2)</f>
        <v>79.8</v>
      </c>
      <c r="O22" s="15" t="n">
        <f aca="false">ROUND(SUM(分录报销!$I$262:$I$274),2)</f>
        <v>79.8</v>
      </c>
      <c r="P22" s="20" t="n">
        <f aca="false">IF($L22=0,"",COUNTIF($L$2:$L22,"&gt;0"))</f>
        <v>21</v>
      </c>
      <c r="Q22" s="47" t="n">
        <v>21</v>
      </c>
      <c r="R22" s="20" t="n">
        <f aca="false">IF(21&gt;$V$1,"",COUNTIF($M$2:$M$121,"&lt;"&amp;21)+1)</f>
        <v>21</v>
      </c>
      <c r="S22" s="20" t="n">
        <f aca="false">IF($R22="","",21-IF($R22=1,0,INDEX($M$2:$M$121,$R22-1)))</f>
        <v>1</v>
      </c>
      <c r="T22" s="20" t="n">
        <f aca="false">IF($R22="",0,IF($S22=INDEX($L$2:$L$121,$R22),1,0))</f>
        <v>1</v>
      </c>
      <c r="W22" s="20" t="n">
        <v>1</v>
      </c>
    </row>
    <row r="23" customFormat="false" ht="13.5" hidden="false" customHeight="false" outlineLevel="0" collapsed="false">
      <c r="A23" s="47" t="n">
        <v>22</v>
      </c>
      <c r="B23" s="38" t="str">
        <f aca="false">""</f>
        <v/>
      </c>
      <c r="C23" s="26" t="str">
        <f aca="false">IFERROR(INDEX(输入报销!$C:$C,MATCH($A23&amp;"-1",输入报销!$J:$J,0)),"")</f>
        <v>千户营店</v>
      </c>
      <c r="D23" s="14" t="n">
        <f aca="false">IFERROR(INDEX(输入报销!$B:$B,MATCH($A23&amp;"-1",输入报销!$J:$J,0)),参数!$B$2)</f>
        <v>46265</v>
      </c>
      <c r="K23" s="20" t="n">
        <f aca="false">SUM(分录报销!$J$275:$J$287)</f>
        <v>2</v>
      </c>
      <c r="L23" s="20" t="n">
        <f aca="false">IF(OR($K23=0,$W23=0),0,ROUNDUP($K23/6,0))</f>
        <v>1</v>
      </c>
      <c r="M23" s="20" t="n">
        <f aca="false">SUM($L$2:$L23)</f>
        <v>22</v>
      </c>
      <c r="N23" s="15" t="n">
        <f aca="false">ROUND(SUM(分录报销!$H$275:$H$287),2)</f>
        <v>499.82</v>
      </c>
      <c r="O23" s="15" t="n">
        <f aca="false">ROUND(SUM(分录报销!$I$275:$I$287),2)</f>
        <v>499.82</v>
      </c>
      <c r="P23" s="20" t="n">
        <f aca="false">IF($L23=0,"",COUNTIF($L$2:$L23,"&gt;0"))</f>
        <v>22</v>
      </c>
      <c r="Q23" s="47" t="n">
        <v>22</v>
      </c>
      <c r="R23" s="20" t="n">
        <f aca="false">IF(22&gt;$V$1,"",COUNTIF($M$2:$M$121,"&lt;"&amp;22)+1)</f>
        <v>22</v>
      </c>
      <c r="S23" s="20" t="n">
        <f aca="false">IF($R23="","",22-IF($R23=1,0,INDEX($M$2:$M$121,$R23-1)))</f>
        <v>1</v>
      </c>
      <c r="T23" s="20" t="n">
        <f aca="false">IF($R23="",0,IF($S23=INDEX($L$2:$L$121,$R23),1,0))</f>
        <v>1</v>
      </c>
      <c r="W23" s="20" t="n">
        <v>1</v>
      </c>
    </row>
    <row r="24" customFormat="false" ht="13.5" hidden="false" customHeight="false" outlineLevel="0" collapsed="false">
      <c r="A24" s="47" t="n">
        <v>23</v>
      </c>
      <c r="B24" s="38" t="str">
        <f aca="false">""</f>
        <v/>
      </c>
      <c r="C24" s="26" t="str">
        <f aca="false">IFERROR(INDEX(输入报销!$C:$C,MATCH($A24&amp;"-1",输入报销!$J:$J,0)),"")</f>
        <v>大张庄店</v>
      </c>
      <c r="D24" s="14" t="n">
        <f aca="false">IFERROR(INDEX(输入报销!$B:$B,MATCH($A24&amp;"-1",输入报销!$J:$J,0)),参数!$B$2)</f>
        <v>46265</v>
      </c>
      <c r="K24" s="20" t="n">
        <f aca="false">SUM(分录报销!$J$288:$J$300)</f>
        <v>3</v>
      </c>
      <c r="L24" s="20" t="n">
        <f aca="false">IF(OR($K24=0,$W24=0),0,ROUNDUP($K24/6,0))</f>
        <v>1</v>
      </c>
      <c r="M24" s="20" t="n">
        <f aca="false">SUM($L$2:$L24)</f>
        <v>23</v>
      </c>
      <c r="N24" s="15" t="n">
        <f aca="false">ROUND(SUM(分录报销!$H$288:$H$300),2)</f>
        <v>512</v>
      </c>
      <c r="O24" s="15" t="n">
        <f aca="false">ROUND(SUM(分录报销!$I$288:$I$300),2)</f>
        <v>512</v>
      </c>
      <c r="P24" s="20" t="n">
        <f aca="false">IF($L24=0,"",COUNTIF($L$2:$L24,"&gt;0"))</f>
        <v>23</v>
      </c>
      <c r="Q24" s="47" t="n">
        <v>23</v>
      </c>
      <c r="R24" s="20" t="n">
        <f aca="false">IF(23&gt;$V$1,"",COUNTIF($M$2:$M$121,"&lt;"&amp;23)+1)</f>
        <v>23</v>
      </c>
      <c r="S24" s="20" t="n">
        <f aca="false">IF($R24="","",23-IF($R24=1,0,INDEX($M$2:$M$121,$R24-1)))</f>
        <v>1</v>
      </c>
      <c r="T24" s="20" t="n">
        <f aca="false">IF($R24="",0,IF($S24=INDEX($L$2:$L$121,$R24),1,0))</f>
        <v>1</v>
      </c>
      <c r="W24" s="20" t="n">
        <v>1</v>
      </c>
    </row>
    <row r="25" customFormat="false" ht="13.5" hidden="false" customHeight="false" outlineLevel="0" collapsed="false">
      <c r="A25" s="47" t="n">
        <v>24</v>
      </c>
      <c r="B25" s="38" t="str">
        <f aca="false">""</f>
        <v/>
      </c>
      <c r="C25" s="26" t="str">
        <f aca="false">IFERROR(INDEX(输入报销!$C:$C,MATCH($A25&amp;"-1",输入报销!$J:$J,0)),"")</f>
        <v>郝庄店</v>
      </c>
      <c r="D25" s="14" t="n">
        <f aca="false">IFERROR(INDEX(输入报销!$B:$B,MATCH($A25&amp;"-1",输入报销!$J:$J,0)),参数!$B$2)</f>
        <v>46265</v>
      </c>
      <c r="K25" s="20" t="n">
        <f aca="false">SUM(分录报销!$J$301:$J$313)</f>
        <v>8</v>
      </c>
      <c r="L25" s="20" t="n">
        <f aca="false">IF(OR($K25=0,$W25=0),0,ROUNDUP($K25/6,0))</f>
        <v>2</v>
      </c>
      <c r="M25" s="20" t="n">
        <f aca="false">SUM($L$2:$L25)</f>
        <v>25</v>
      </c>
      <c r="N25" s="15" t="n">
        <f aca="false">ROUND(SUM(分录报销!$H$301:$H$313),2)</f>
        <v>685.77</v>
      </c>
      <c r="O25" s="15" t="n">
        <f aca="false">ROUND(SUM(分录报销!$I$301:$I$313),2)</f>
        <v>685.77</v>
      </c>
      <c r="P25" s="20" t="n">
        <f aca="false">IF($L25=0,"",COUNTIF($L$2:$L25,"&gt;0"))</f>
        <v>24</v>
      </c>
      <c r="Q25" s="47" t="n">
        <v>24</v>
      </c>
      <c r="R25" s="20" t="n">
        <f aca="false">IF(24&gt;$V$1,"",COUNTIF($M$2:$M$121,"&lt;"&amp;24)+1)</f>
        <v>24</v>
      </c>
      <c r="S25" s="20" t="n">
        <f aca="false">IF($R25="","",24-IF($R25=1,0,INDEX($M$2:$M$121,$R25-1)))</f>
        <v>1</v>
      </c>
      <c r="T25" s="20" t="n">
        <f aca="false">IF($R25="",0,IF($S25=INDEX($L$2:$L$121,$R25),1,0))</f>
        <v>0</v>
      </c>
      <c r="W25" s="20" t="n">
        <v>1</v>
      </c>
    </row>
    <row r="26" customFormat="false" ht="13.5" hidden="false" customHeight="false" outlineLevel="0" collapsed="false">
      <c r="A26" s="47" t="n">
        <v>25</v>
      </c>
      <c r="B26" s="38" t="str">
        <f aca="false">""</f>
        <v/>
      </c>
      <c r="C26" s="26" t="str">
        <f aca="false">IFERROR(INDEX(输入报销!$C:$C,MATCH($A26&amp;"-1",输入报销!$J:$J,0)),"")</f>
        <v>白家寨店</v>
      </c>
      <c r="D26" s="14" t="n">
        <f aca="false">IFERROR(INDEX(输入报销!$B:$B,MATCH($A26&amp;"-1",输入报销!$J:$J,0)),参数!$B$2)</f>
        <v>46265</v>
      </c>
      <c r="K26" s="20" t="n">
        <f aca="false">SUM(分录报销!$J$314:$J$326)</f>
        <v>3</v>
      </c>
      <c r="L26" s="20" t="n">
        <f aca="false">IF(OR($K26=0,$W26=0),0,ROUNDUP($K26/6,0))</f>
        <v>1</v>
      </c>
      <c r="M26" s="20" t="n">
        <f aca="false">SUM($L$2:$L26)</f>
        <v>26</v>
      </c>
      <c r="N26" s="15" t="n">
        <f aca="false">ROUND(SUM(分录报销!$H$314:$H$326),2)</f>
        <v>13.6</v>
      </c>
      <c r="O26" s="15" t="n">
        <f aca="false">ROUND(SUM(分录报销!$I$314:$I$326),2)</f>
        <v>13.6</v>
      </c>
      <c r="P26" s="20" t="n">
        <f aca="false">IF($L26=0,"",COUNTIF($L$2:$L26,"&gt;0"))</f>
        <v>25</v>
      </c>
      <c r="Q26" s="47" t="n">
        <v>25</v>
      </c>
      <c r="R26" s="20" t="n">
        <f aca="false">IF(25&gt;$V$1,"",COUNTIF($M$2:$M$121,"&lt;"&amp;25)+1)</f>
        <v>24</v>
      </c>
      <c r="S26" s="20" t="n">
        <f aca="false">IF($R26="","",25-IF($R26=1,0,INDEX($M$2:$M$121,$R26-1)))</f>
        <v>2</v>
      </c>
      <c r="T26" s="20" t="n">
        <f aca="false">IF($R26="",0,IF($S26=INDEX($L$2:$L$121,$R26),1,0))</f>
        <v>1</v>
      </c>
      <c r="W26" s="20" t="n">
        <v>1</v>
      </c>
    </row>
    <row r="27" customFormat="false" ht="13.5" hidden="false" customHeight="false" outlineLevel="0" collapsed="false">
      <c r="A27" s="47" t="n">
        <v>26</v>
      </c>
      <c r="B27" s="38" t="str">
        <f aca="false">""</f>
        <v/>
      </c>
      <c r="C27" s="26" t="str">
        <f aca="false">IFERROR(INDEX(输入报销!$C:$C,MATCH($A27&amp;"-1",输入报销!$J:$J,0)),"")</f>
        <v>博福店</v>
      </c>
      <c r="D27" s="14" t="n">
        <f aca="false">IFERROR(INDEX(输入报销!$B:$B,MATCH($A27&amp;"-1",输入报销!$J:$J,0)),参数!$B$2)</f>
        <v>46265</v>
      </c>
      <c r="K27" s="20" t="n">
        <f aca="false">SUM(分录报销!$J$327:$J$339)</f>
        <v>8</v>
      </c>
      <c r="L27" s="20" t="n">
        <f aca="false">IF(OR($K27=0,$W27=0),0,ROUNDUP($K27/6,0))</f>
        <v>2</v>
      </c>
      <c r="M27" s="20" t="n">
        <f aca="false">SUM($L$2:$L27)</f>
        <v>28</v>
      </c>
      <c r="N27" s="15" t="n">
        <f aca="false">ROUND(SUM(分录报销!$H$327:$H$339),2)</f>
        <v>1172.15</v>
      </c>
      <c r="O27" s="15" t="n">
        <f aca="false">ROUND(SUM(分录报销!$I$327:$I$339),2)</f>
        <v>1172.15</v>
      </c>
      <c r="P27" s="20" t="n">
        <f aca="false">IF($L27=0,"",COUNTIF($L$2:$L27,"&gt;0"))</f>
        <v>26</v>
      </c>
      <c r="Q27" s="47" t="n">
        <v>26</v>
      </c>
      <c r="R27" s="20" t="n">
        <f aca="false">IF(26&gt;$V$1,"",COUNTIF($M$2:$M$121,"&lt;"&amp;26)+1)</f>
        <v>25</v>
      </c>
      <c r="S27" s="20" t="n">
        <f aca="false">IF($R27="","",26-IF($R27=1,0,INDEX($M$2:$M$121,$R27-1)))</f>
        <v>1</v>
      </c>
      <c r="T27" s="20" t="n">
        <f aca="false">IF($R27="",0,IF($S27=INDEX($L$2:$L$121,$R27),1,0))</f>
        <v>1</v>
      </c>
      <c r="W27" s="20" t="n">
        <v>1</v>
      </c>
    </row>
    <row r="28" customFormat="false" ht="13.5" hidden="false" customHeight="false" outlineLevel="0" collapsed="false">
      <c r="A28" s="47" t="n">
        <v>27</v>
      </c>
      <c r="B28" s="38" t="str">
        <f aca="false">""</f>
        <v/>
      </c>
      <c r="C28" s="26" t="str">
        <f aca="false">IFERROR(INDEX(输入报销!$C:$C,MATCH($A28&amp;"-1",输入报销!$J:$J,0)),"")</f>
        <v>博营店</v>
      </c>
      <c r="D28" s="14" t="n">
        <f aca="false">IFERROR(INDEX(输入报销!$B:$B,MATCH($A28&amp;"-1",输入报销!$J:$J,0)),参数!$B$2)</f>
        <v>46265</v>
      </c>
      <c r="K28" s="20" t="n">
        <f aca="false">SUM(分录报销!$J$340:$J$352)</f>
        <v>6</v>
      </c>
      <c r="L28" s="20" t="n">
        <f aca="false">IF(OR($K28=0,$W28=0),0,ROUNDUP($K28/6,0))</f>
        <v>1</v>
      </c>
      <c r="M28" s="20" t="n">
        <f aca="false">SUM($L$2:$L28)</f>
        <v>29</v>
      </c>
      <c r="N28" s="15" t="n">
        <f aca="false">ROUND(SUM(分录报销!$H$340:$H$352),2)</f>
        <v>819.9</v>
      </c>
      <c r="O28" s="15" t="n">
        <f aca="false">ROUND(SUM(分录报销!$I$340:$I$352),2)</f>
        <v>819.9</v>
      </c>
      <c r="P28" s="20" t="n">
        <f aca="false">IF($L28=0,"",COUNTIF($L$2:$L28,"&gt;0"))</f>
        <v>27</v>
      </c>
      <c r="Q28" s="47" t="n">
        <v>27</v>
      </c>
      <c r="R28" s="20" t="n">
        <f aca="false">IF(27&gt;$V$1,"",COUNTIF($M$2:$M$121,"&lt;"&amp;27)+1)</f>
        <v>26</v>
      </c>
      <c r="S28" s="20" t="n">
        <f aca="false">IF($R28="","",27-IF($R28=1,0,INDEX($M$2:$M$121,$R28-1)))</f>
        <v>1</v>
      </c>
      <c r="T28" s="20" t="n">
        <f aca="false">IF($R28="",0,IF($S28=INDEX($L$2:$L$121,$R28),1,0))</f>
        <v>0</v>
      </c>
      <c r="W28" s="20" t="n">
        <v>1</v>
      </c>
    </row>
    <row r="29" customFormat="false" ht="13.5" hidden="false" customHeight="false" outlineLevel="0" collapsed="false">
      <c r="A29" s="47" t="n">
        <v>28</v>
      </c>
      <c r="B29" s="38" t="str">
        <f aca="false">""</f>
        <v/>
      </c>
      <c r="C29" s="26" t="str">
        <f aca="false">IFERROR(INDEX(输入报销!$C:$C,MATCH($A29&amp;"-1",输入报销!$J:$J,0)),"")</f>
        <v>博康店</v>
      </c>
      <c r="D29" s="14" t="n">
        <f aca="false">IFERROR(INDEX(输入报销!$B:$B,MATCH($A29&amp;"-1",输入报销!$J:$J,0)),参数!$B$2)</f>
        <v>46265</v>
      </c>
      <c r="K29" s="20" t="n">
        <f aca="false">SUM(分录报销!$J$353:$J$365)</f>
        <v>6</v>
      </c>
      <c r="L29" s="20" t="n">
        <f aca="false">IF(OR($K29=0,$W29=0),0,ROUNDUP($K29/6,0))</f>
        <v>1</v>
      </c>
      <c r="M29" s="20" t="n">
        <f aca="false">SUM($L$2:$L29)</f>
        <v>30</v>
      </c>
      <c r="N29" s="15" t="n">
        <f aca="false">ROUND(SUM(分录报销!$H$353:$H$365),2)</f>
        <v>644.2</v>
      </c>
      <c r="O29" s="15" t="n">
        <f aca="false">ROUND(SUM(分录报销!$I$353:$I$365),2)</f>
        <v>644.2</v>
      </c>
      <c r="P29" s="20" t="n">
        <f aca="false">IF($L29=0,"",COUNTIF($L$2:$L29,"&gt;0"))</f>
        <v>28</v>
      </c>
      <c r="Q29" s="47" t="n">
        <v>28</v>
      </c>
      <c r="R29" s="20" t="n">
        <f aca="false">IF(28&gt;$V$1,"",COUNTIF($M$2:$M$121,"&lt;"&amp;28)+1)</f>
        <v>26</v>
      </c>
      <c r="S29" s="20" t="n">
        <f aca="false">IF($R29="","",28-IF($R29=1,0,INDEX($M$2:$M$121,$R29-1)))</f>
        <v>2</v>
      </c>
      <c r="T29" s="20" t="n">
        <f aca="false">IF($R29="",0,IF($S29=INDEX($L$2:$L$121,$R29),1,0))</f>
        <v>1</v>
      </c>
      <c r="W29" s="20" t="n">
        <v>1</v>
      </c>
    </row>
    <row r="30" customFormat="false" ht="13.5" hidden="false" customHeight="false" outlineLevel="0" collapsed="false">
      <c r="A30" s="47" t="n">
        <v>29</v>
      </c>
      <c r="B30" s="38" t="str">
        <f aca="false">""</f>
        <v/>
      </c>
      <c r="C30" s="26" t="str">
        <f aca="false">IFERROR(INDEX(输入报销!$C:$C,MATCH($A30&amp;"-1",输入报销!$J:$J,0)),"")</f>
        <v>博联店</v>
      </c>
      <c r="D30" s="14" t="n">
        <f aca="false">IFERROR(INDEX(输入报销!$B:$B,MATCH($A30&amp;"-1",输入报销!$J:$J,0)),参数!$B$2)</f>
        <v>46265</v>
      </c>
      <c r="K30" s="20" t="n">
        <f aca="false">SUM(分录报销!$J$366:$J$378)</f>
        <v>3</v>
      </c>
      <c r="L30" s="20" t="n">
        <f aca="false">IF(OR($K30=0,$W30=0),0,ROUNDUP($K30/6,0))</f>
        <v>1</v>
      </c>
      <c r="M30" s="20" t="n">
        <f aca="false">SUM($L$2:$L30)</f>
        <v>31</v>
      </c>
      <c r="N30" s="15" t="n">
        <f aca="false">ROUND(SUM(分录报销!$H$366:$H$378),2)</f>
        <v>839</v>
      </c>
      <c r="O30" s="15" t="n">
        <f aca="false">ROUND(SUM(分录报销!$I$366:$I$378),2)</f>
        <v>839</v>
      </c>
      <c r="P30" s="20" t="n">
        <f aca="false">IF($L30=0,"",COUNTIF($L$2:$L30,"&gt;0"))</f>
        <v>29</v>
      </c>
      <c r="Q30" s="47" t="n">
        <v>29</v>
      </c>
      <c r="R30" s="20" t="n">
        <f aca="false">IF(29&gt;$V$1,"",COUNTIF($M$2:$M$121,"&lt;"&amp;29)+1)</f>
        <v>27</v>
      </c>
      <c r="S30" s="20" t="n">
        <f aca="false">IF($R30="","",29-IF($R30=1,0,INDEX($M$2:$M$121,$R30-1)))</f>
        <v>1</v>
      </c>
      <c r="T30" s="20" t="n">
        <f aca="false">IF($R30="",0,IF($S30=INDEX($L$2:$L$121,$R30),1,0))</f>
        <v>1</v>
      </c>
      <c r="W30" s="20" t="n">
        <v>1</v>
      </c>
    </row>
    <row r="31" customFormat="false" ht="13.5" hidden="false" customHeight="false" outlineLevel="0" collapsed="false">
      <c r="A31" s="47" t="n">
        <v>30</v>
      </c>
      <c r="B31" s="38" t="str">
        <f aca="false">""</f>
        <v/>
      </c>
      <c r="C31" s="26" t="str">
        <f aca="false">IFERROR(INDEX(输入报销!$C:$C,MATCH($A31&amp;"-1",输入报销!$J:$J,0)),"")</f>
        <v>博尚店</v>
      </c>
      <c r="D31" s="14" t="n">
        <f aca="false">IFERROR(INDEX(输入报销!$B:$B,MATCH($A31&amp;"-1",输入报销!$J:$J,0)),参数!$B$2)</f>
        <v>46265</v>
      </c>
      <c r="K31" s="20" t="n">
        <f aca="false">SUM(分录报销!$J$379:$J$391)</f>
        <v>6</v>
      </c>
      <c r="L31" s="20" t="n">
        <f aca="false">IF(OR($K31=0,$W31=0),0,ROUNDUP($K31/6,0))</f>
        <v>1</v>
      </c>
      <c r="M31" s="20" t="n">
        <f aca="false">SUM($L$2:$L31)</f>
        <v>32</v>
      </c>
      <c r="N31" s="15" t="n">
        <f aca="false">ROUND(SUM(分录报销!$H$379:$H$391),2)</f>
        <v>491.9</v>
      </c>
      <c r="O31" s="15" t="n">
        <f aca="false">ROUND(SUM(分录报销!$I$379:$I$391),2)</f>
        <v>491.9</v>
      </c>
      <c r="P31" s="20" t="n">
        <f aca="false">IF($L31=0,"",COUNTIF($L$2:$L31,"&gt;0"))</f>
        <v>30</v>
      </c>
      <c r="Q31" s="47" t="n">
        <v>30</v>
      </c>
      <c r="R31" s="20" t="n">
        <f aca="false">IF(30&gt;$V$1,"",COUNTIF($M$2:$M$121,"&lt;"&amp;30)+1)</f>
        <v>28</v>
      </c>
      <c r="S31" s="20" t="n">
        <f aca="false">IF($R31="","",30-IF($R31=1,0,INDEX($M$2:$M$121,$R31-1)))</f>
        <v>1</v>
      </c>
      <c r="T31" s="20" t="n">
        <f aca="false">IF($R31="",0,IF($S31=INDEX($L$2:$L$121,$R31),1,0))</f>
        <v>1</v>
      </c>
      <c r="W31" s="20" t="n">
        <v>1</v>
      </c>
    </row>
    <row r="32" customFormat="false" ht="13.5" hidden="false" customHeight="false" outlineLevel="0" collapsed="false">
      <c r="A32" s="47" t="n">
        <v>31</v>
      </c>
      <c r="B32" s="38" t="str">
        <f aca="false">""</f>
        <v/>
      </c>
      <c r="C32" s="26" t="str">
        <f aca="false">IFERROR(INDEX(输入报销!$C:$C,MATCH($A32&amp;"-1",输入报销!$J:$J,0)),"")</f>
        <v>博魏店</v>
      </c>
      <c r="D32" s="14" t="n">
        <f aca="false">IFERROR(INDEX(输入报销!$B:$B,MATCH($A32&amp;"-1",输入报销!$J:$J,0)),参数!$B$2)</f>
        <v>46265</v>
      </c>
      <c r="K32" s="20" t="n">
        <f aca="false">SUM(分录报销!$J$392:$J$404)</f>
        <v>4</v>
      </c>
      <c r="L32" s="20" t="n">
        <f aca="false">IF(OR($K32=0,$W32=0),0,ROUNDUP($K32/6,0))</f>
        <v>1</v>
      </c>
      <c r="M32" s="20" t="n">
        <f aca="false">SUM($L$2:$L32)</f>
        <v>33</v>
      </c>
      <c r="N32" s="15" t="n">
        <f aca="false">ROUND(SUM(分录报销!$H$392:$H$404),2)</f>
        <v>406</v>
      </c>
      <c r="O32" s="15" t="n">
        <f aca="false">ROUND(SUM(分录报销!$I$392:$I$404),2)</f>
        <v>406</v>
      </c>
      <c r="P32" s="20" t="n">
        <f aca="false">IF($L32=0,"",COUNTIF($L$2:$L32,"&gt;0"))</f>
        <v>31</v>
      </c>
      <c r="Q32" s="47" t="n">
        <v>31</v>
      </c>
      <c r="R32" s="20" t="n">
        <f aca="false">IF(31&gt;$V$1,"",COUNTIF($M$2:$M$121,"&lt;"&amp;31)+1)</f>
        <v>29</v>
      </c>
      <c r="S32" s="20" t="n">
        <f aca="false">IF($R32="","",31-IF($R32=1,0,INDEX($M$2:$M$121,$R32-1)))</f>
        <v>1</v>
      </c>
      <c r="T32" s="20" t="n">
        <f aca="false">IF($R32="",0,IF($S32=INDEX($L$2:$L$121,$R32),1,0))</f>
        <v>1</v>
      </c>
      <c r="W32" s="20" t="n">
        <v>1</v>
      </c>
    </row>
    <row r="33" customFormat="false" ht="13.5" hidden="false" customHeight="false" outlineLevel="0" collapsed="false">
      <c r="A33" s="47" t="n">
        <v>32</v>
      </c>
      <c r="B33" s="38" t="str">
        <f aca="false">""</f>
        <v/>
      </c>
      <c r="C33" s="26" t="str">
        <f aca="false">IFERROR(INDEX(输入报销!$C:$C,MATCH($A33&amp;"-1",输入报销!$J:$J,0)),"")</f>
        <v>博城店</v>
      </c>
      <c r="D33" s="14" t="n">
        <f aca="false">IFERROR(INDEX(输入报销!$B:$B,MATCH($A33&amp;"-1",输入报销!$J:$J,0)),参数!$B$2)</f>
        <v>46265</v>
      </c>
      <c r="K33" s="20" t="n">
        <f aca="false">SUM(分录报销!$J$405:$J$417)</f>
        <v>5</v>
      </c>
      <c r="L33" s="20" t="n">
        <f aca="false">IF(OR($K33=0,$W33=0),0,ROUNDUP($K33/6,0))</f>
        <v>1</v>
      </c>
      <c r="M33" s="20" t="n">
        <f aca="false">SUM($L$2:$L33)</f>
        <v>34</v>
      </c>
      <c r="N33" s="15" t="n">
        <f aca="false">ROUND(SUM(分录报销!$H$405:$H$417),2)</f>
        <v>800</v>
      </c>
      <c r="O33" s="15" t="n">
        <f aca="false">ROUND(SUM(分录报销!$I$405:$I$417),2)</f>
        <v>800</v>
      </c>
      <c r="P33" s="20" t="n">
        <f aca="false">IF($L33=0,"",COUNTIF($L$2:$L33,"&gt;0"))</f>
        <v>32</v>
      </c>
      <c r="Q33" s="47" t="n">
        <v>32</v>
      </c>
      <c r="R33" s="20" t="n">
        <f aca="false">IF(32&gt;$V$1,"",COUNTIF($M$2:$M$121,"&lt;"&amp;32)+1)</f>
        <v>30</v>
      </c>
      <c r="S33" s="20" t="n">
        <f aca="false">IF($R33="","",32-IF($R33=1,0,INDEX($M$2:$M$121,$R33-1)))</f>
        <v>1</v>
      </c>
      <c r="T33" s="20" t="n">
        <f aca="false">IF($R33="",0,IF($S33=INDEX($L$2:$L$121,$R33),1,0))</f>
        <v>1</v>
      </c>
      <c r="W33" s="20" t="n">
        <v>1</v>
      </c>
    </row>
    <row r="34" customFormat="false" ht="13.5" hidden="false" customHeight="false" outlineLevel="0" collapsed="false">
      <c r="A34" s="47" t="n">
        <v>33</v>
      </c>
      <c r="B34" s="38" t="str">
        <f aca="false">""</f>
        <v/>
      </c>
      <c r="C34" s="26" t="str">
        <f aca="false">IFERROR(INDEX(输入报销!$C:$C,MATCH($A34&amp;"-1",输入报销!$J:$J,0)),"")</f>
        <v>西范村店</v>
      </c>
      <c r="D34" s="14" t="n">
        <f aca="false">IFERROR(INDEX(输入报销!$B:$B,MATCH($A34&amp;"-1",输入报销!$J:$J,0)),参数!$B$2)</f>
        <v>46265</v>
      </c>
      <c r="K34" s="20" t="n">
        <f aca="false">SUM(分录报销!$J$418:$J$430)</f>
        <v>5</v>
      </c>
      <c r="L34" s="20" t="n">
        <f aca="false">IF(OR($K34=0,$W34=0),0,ROUNDUP($K34/6,0))</f>
        <v>1</v>
      </c>
      <c r="M34" s="20" t="n">
        <f aca="false">SUM($L$2:$L34)</f>
        <v>35</v>
      </c>
      <c r="N34" s="15" t="n">
        <f aca="false">ROUND(SUM(分录报销!$H$418:$H$430),2)</f>
        <v>677.98</v>
      </c>
      <c r="O34" s="15" t="n">
        <f aca="false">ROUND(SUM(分录报销!$I$418:$I$430),2)</f>
        <v>677.98</v>
      </c>
      <c r="P34" s="20" t="n">
        <f aca="false">IF($L34=0,"",COUNTIF($L$2:$L34,"&gt;0"))</f>
        <v>33</v>
      </c>
      <c r="Q34" s="47" t="n">
        <v>33</v>
      </c>
      <c r="R34" s="20" t="n">
        <f aca="false">IF(33&gt;$V$1,"",COUNTIF($M$2:$M$121,"&lt;"&amp;33)+1)</f>
        <v>31</v>
      </c>
      <c r="S34" s="20" t="n">
        <f aca="false">IF($R34="","",33-IF($R34=1,0,INDEX($M$2:$M$121,$R34-1)))</f>
        <v>1</v>
      </c>
      <c r="T34" s="20" t="n">
        <f aca="false">IF($R34="",0,IF($S34=INDEX($L$2:$L$121,$R34),1,0))</f>
        <v>1</v>
      </c>
      <c r="W34" s="20" t="n">
        <v>1</v>
      </c>
    </row>
    <row r="35" customFormat="false" ht="13.5" hidden="false" customHeight="false" outlineLevel="0" collapsed="false">
      <c r="A35" s="47" t="n">
        <v>34</v>
      </c>
      <c r="B35" s="38" t="str">
        <f aca="false">""</f>
        <v/>
      </c>
      <c r="C35" s="26" t="str">
        <f aca="false">IFERROR(INDEX(输入报销!$C:$C,MATCH($A35&amp;"-1",输入报销!$J:$J,0)),"")</f>
        <v>博医店</v>
      </c>
      <c r="D35" s="14" t="n">
        <f aca="false">IFERROR(INDEX(输入报销!$B:$B,MATCH($A35&amp;"-1",输入报销!$J:$J,0)),参数!$B$2)</f>
        <v>46265</v>
      </c>
      <c r="K35" s="20" t="n">
        <f aca="false">SUM(分录报销!$J$431:$J$443)</f>
        <v>5</v>
      </c>
      <c r="L35" s="20" t="n">
        <f aca="false">IF(OR($K35=0,$W35=0),0,ROUNDUP($K35/6,0))</f>
        <v>1</v>
      </c>
      <c r="M35" s="20" t="n">
        <f aca="false">SUM($L$2:$L35)</f>
        <v>36</v>
      </c>
      <c r="N35" s="15" t="n">
        <f aca="false">ROUND(SUM(分录报销!$H$431:$H$443),2)</f>
        <v>1193.7</v>
      </c>
      <c r="O35" s="15" t="n">
        <f aca="false">ROUND(SUM(分录报销!$I$431:$I$443),2)</f>
        <v>1193.7</v>
      </c>
      <c r="P35" s="20" t="n">
        <f aca="false">IF($L35=0,"",COUNTIF($L$2:$L35,"&gt;0"))</f>
        <v>34</v>
      </c>
      <c r="Q35" s="47" t="n">
        <v>34</v>
      </c>
      <c r="R35" s="20" t="n">
        <f aca="false">IF(34&gt;$V$1,"",COUNTIF($M$2:$M$121,"&lt;"&amp;34)+1)</f>
        <v>32</v>
      </c>
      <c r="S35" s="20" t="n">
        <f aca="false">IF($R35="","",34-IF($R35=1,0,INDEX($M$2:$M$121,$R35-1)))</f>
        <v>1</v>
      </c>
      <c r="T35" s="20" t="n">
        <f aca="false">IF($R35="",0,IF($S35=INDEX($L$2:$L$121,$R35),1,0))</f>
        <v>1</v>
      </c>
      <c r="W35" s="20" t="n">
        <v>1</v>
      </c>
    </row>
    <row r="36" customFormat="false" ht="13.5" hidden="false" customHeight="false" outlineLevel="0" collapsed="false">
      <c r="A36" s="47" t="n">
        <v>35</v>
      </c>
      <c r="B36" s="38" t="str">
        <f aca="false">""</f>
        <v/>
      </c>
      <c r="C36" s="26" t="str">
        <f aca="false">IFERROR(INDEX(输入报销!$C:$C,MATCH($A36&amp;"-1",输入报销!$J:$J,0)),"")</f>
        <v>博实店</v>
      </c>
      <c r="D36" s="14" t="n">
        <f aca="false">IFERROR(INDEX(输入报销!$B:$B,MATCH($A36&amp;"-1",输入报销!$J:$J,0)),参数!$B$2)</f>
        <v>46265</v>
      </c>
      <c r="K36" s="20" t="n">
        <f aca="false">SUM(分录报销!$J$444:$J$456)</f>
        <v>3</v>
      </c>
      <c r="L36" s="20" t="n">
        <f aca="false">IF(OR($K36=0,$W36=0),0,ROUNDUP($K36/6,0))</f>
        <v>1</v>
      </c>
      <c r="M36" s="20" t="n">
        <f aca="false">SUM($L$2:$L36)</f>
        <v>37</v>
      </c>
      <c r="N36" s="15" t="n">
        <f aca="false">ROUND(SUM(分录报销!$H$444:$H$456),2)</f>
        <v>600</v>
      </c>
      <c r="O36" s="15" t="n">
        <f aca="false">ROUND(SUM(分录报销!$I$444:$I$456),2)</f>
        <v>600</v>
      </c>
      <c r="P36" s="20" t="n">
        <f aca="false">IF($L36=0,"",COUNTIF($L$2:$L36,"&gt;0"))</f>
        <v>35</v>
      </c>
      <c r="Q36" s="47" t="n">
        <v>35</v>
      </c>
      <c r="R36" s="20" t="n">
        <f aca="false">IF(35&gt;$V$1,"",COUNTIF($M$2:$M$121,"&lt;"&amp;35)+1)</f>
        <v>33</v>
      </c>
      <c r="S36" s="20" t="n">
        <f aca="false">IF($R36="","",35-IF($R36=1,0,INDEX($M$2:$M$121,$R36-1)))</f>
        <v>1</v>
      </c>
      <c r="T36" s="20" t="n">
        <f aca="false">IF($R36="",0,IF($S36=INDEX($L$2:$L$121,$R36),1,0))</f>
        <v>1</v>
      </c>
      <c r="W36" s="20" t="n">
        <v>1</v>
      </c>
    </row>
    <row r="37" customFormat="false" ht="13.5" hidden="false" customHeight="false" outlineLevel="0" collapsed="false">
      <c r="A37" s="47" t="n">
        <v>36</v>
      </c>
      <c r="B37" s="38" t="str">
        <f aca="false">""</f>
        <v/>
      </c>
      <c r="C37" s="26" t="str">
        <f aca="false">IFERROR(INDEX(输入报销!$C:$C,MATCH($A37&amp;"-1",输入报销!$J:$J,0)),"")</f>
        <v>博亮店</v>
      </c>
      <c r="D37" s="14" t="n">
        <f aca="false">IFERROR(INDEX(输入报销!$B:$B,MATCH($A37&amp;"-1",输入报销!$J:$J,0)),参数!$B$2)</f>
        <v>46265</v>
      </c>
      <c r="K37" s="20" t="n">
        <f aca="false">SUM(分录报销!$J$457:$J$469)</f>
        <v>4</v>
      </c>
      <c r="L37" s="20" t="n">
        <f aca="false">IF(OR($K37=0,$W37=0),0,ROUNDUP($K37/6,0))</f>
        <v>1</v>
      </c>
      <c r="M37" s="20" t="n">
        <f aca="false">SUM($L$2:$L37)</f>
        <v>38</v>
      </c>
      <c r="N37" s="15" t="n">
        <f aca="false">ROUND(SUM(分录报销!$H$457:$H$469),2)</f>
        <v>355</v>
      </c>
      <c r="O37" s="15" t="n">
        <f aca="false">ROUND(SUM(分录报销!$I$457:$I$469),2)</f>
        <v>355</v>
      </c>
      <c r="P37" s="20" t="n">
        <f aca="false">IF($L37=0,"",COUNTIF($L$2:$L37,"&gt;0"))</f>
        <v>36</v>
      </c>
      <c r="Q37" s="47" t="n">
        <v>36</v>
      </c>
      <c r="R37" s="20" t="n">
        <f aca="false">IF(36&gt;$V$1,"",COUNTIF($M$2:$M$121,"&lt;"&amp;36)+1)</f>
        <v>34</v>
      </c>
      <c r="S37" s="20" t="n">
        <f aca="false">IF($R37="","",36-IF($R37=1,0,INDEX($M$2:$M$121,$R37-1)))</f>
        <v>1</v>
      </c>
      <c r="T37" s="20" t="n">
        <f aca="false">IF($R37="",0,IF($S37=INDEX($L$2:$L$121,$R37),1,0))</f>
        <v>1</v>
      </c>
      <c r="W37" s="20" t="n">
        <v>1</v>
      </c>
    </row>
    <row r="38" customFormat="false" ht="13.5" hidden="false" customHeight="false" outlineLevel="0" collapsed="false">
      <c r="A38" s="47" t="n">
        <v>37</v>
      </c>
      <c r="B38" s="38" t="str">
        <f aca="false">""</f>
        <v/>
      </c>
      <c r="C38" s="26" t="str">
        <f aca="false">IFERROR(INDEX(输入报销!$C:$C,MATCH($A38&amp;"-1",输入报销!$J:$J,0)),"")</f>
        <v>博山店</v>
      </c>
      <c r="D38" s="14" t="n">
        <f aca="false">IFERROR(INDEX(输入报销!$B:$B,MATCH($A38&amp;"-1",输入报销!$J:$J,0)),参数!$B$2)</f>
        <v>46265</v>
      </c>
      <c r="K38" s="20" t="n">
        <f aca="false">SUM(分录报销!$J$470:$J$482)</f>
        <v>3</v>
      </c>
      <c r="L38" s="20" t="n">
        <f aca="false">IF(OR($K38=0,$W38=0),0,ROUNDUP($K38/6,0))</f>
        <v>1</v>
      </c>
      <c r="M38" s="20" t="n">
        <f aca="false">SUM($L$2:$L38)</f>
        <v>39</v>
      </c>
      <c r="N38" s="15" t="n">
        <f aca="false">ROUND(SUM(分录报销!$H$470:$H$482),2)</f>
        <v>4036.9</v>
      </c>
      <c r="O38" s="15" t="n">
        <f aca="false">ROUND(SUM(分录报销!$I$470:$I$482),2)</f>
        <v>4036.9</v>
      </c>
      <c r="P38" s="20" t="n">
        <f aca="false">IF($L38=0,"",COUNTIF($L$2:$L38,"&gt;0"))</f>
        <v>37</v>
      </c>
      <c r="Q38" s="47" t="n">
        <v>37</v>
      </c>
      <c r="R38" s="20" t="n">
        <f aca="false">IF(37&gt;$V$1,"",COUNTIF($M$2:$M$121,"&lt;"&amp;37)+1)</f>
        <v>35</v>
      </c>
      <c r="S38" s="20" t="n">
        <f aca="false">IF($R38="","",37-IF($R38=1,0,INDEX($M$2:$M$121,$R38-1)))</f>
        <v>1</v>
      </c>
      <c r="T38" s="20" t="n">
        <f aca="false">IF($R38="",0,IF($S38=INDEX($L$2:$L$121,$R38),1,0))</f>
        <v>1</v>
      </c>
      <c r="W38" s="20" t="n">
        <v>1</v>
      </c>
    </row>
    <row r="39" customFormat="false" ht="13.5" hidden="false" customHeight="false" outlineLevel="0" collapsed="false">
      <c r="A39" s="47" t="n">
        <v>38</v>
      </c>
      <c r="B39" s="38" t="str">
        <f aca="false">""</f>
        <v/>
      </c>
      <c r="C39" s="26" t="str">
        <f aca="false">IFERROR(INDEX(输入报销!$C:$C,MATCH($A39&amp;"-1",输入报销!$J:$J,0)),"")</f>
        <v/>
      </c>
      <c r="D39" s="14" t="n">
        <f aca="false">IFERROR(INDEX(输入报销!$B:$B,MATCH($A39&amp;"-1",输入报销!$J:$J,0)),参数!$B$2)</f>
        <v>46234</v>
      </c>
      <c r="K39" s="20" t="n">
        <f aca="false">SUM(分录报销!$J$483:$J$495)</f>
        <v>0</v>
      </c>
      <c r="L39" s="20" t="n">
        <f aca="false">IF(OR($K39=0,$W39=0),0,ROUNDUP($K39/6,0))</f>
        <v>0</v>
      </c>
      <c r="M39" s="20" t="n">
        <f aca="false">SUM($L$2:$L39)</f>
        <v>39</v>
      </c>
      <c r="N39" s="15" t="n">
        <f aca="false">ROUND(SUM(分录报销!$H$483:$H$495),2)</f>
        <v>0</v>
      </c>
      <c r="O39" s="15" t="n">
        <f aca="false">ROUND(SUM(分录报销!$I$483:$I$495),2)</f>
        <v>0</v>
      </c>
      <c r="P39" s="20" t="str">
        <f aca="false">IF($L39=0,"",COUNTIF($L$2:$L39,"&gt;0"))</f>
        <v/>
      </c>
      <c r="Q39" s="47" t="n">
        <v>38</v>
      </c>
      <c r="R39" s="20" t="n">
        <f aca="false">IF(38&gt;$V$1,"",COUNTIF($M$2:$M$121,"&lt;"&amp;38)+1)</f>
        <v>36</v>
      </c>
      <c r="S39" s="20" t="n">
        <f aca="false">IF($R39="","",38-IF($R39=1,0,INDEX($M$2:$M$121,$R39-1)))</f>
        <v>1</v>
      </c>
      <c r="T39" s="20" t="n">
        <f aca="false">IF($R39="",0,IF($S39=INDEX($L$2:$L$121,$R39),1,0))</f>
        <v>1</v>
      </c>
      <c r="W39" s="20" t="n">
        <v>1</v>
      </c>
    </row>
    <row r="40" customFormat="false" ht="13.5" hidden="false" customHeight="false" outlineLevel="0" collapsed="false">
      <c r="A40" s="47" t="n">
        <v>39</v>
      </c>
      <c r="B40" s="38" t="str">
        <f aca="false">""</f>
        <v/>
      </c>
      <c r="C40" s="26" t="str">
        <f aca="false">IFERROR(INDEX(输入报销!$C:$C,MATCH($A40&amp;"-1",输入报销!$J:$J,0)),"")</f>
        <v/>
      </c>
      <c r="D40" s="14" t="n">
        <f aca="false">IFERROR(INDEX(输入报销!$B:$B,MATCH($A40&amp;"-1",输入报销!$J:$J,0)),参数!$B$2)</f>
        <v>46234</v>
      </c>
      <c r="K40" s="20" t="n">
        <f aca="false">SUM(分录报销!$J$496:$J$508)</f>
        <v>0</v>
      </c>
      <c r="L40" s="20" t="n">
        <f aca="false">IF(OR($K40=0,$W40=0),0,ROUNDUP($K40/6,0))</f>
        <v>0</v>
      </c>
      <c r="M40" s="20" t="n">
        <f aca="false">SUM($L$2:$L40)</f>
        <v>39</v>
      </c>
      <c r="N40" s="15" t="n">
        <f aca="false">ROUND(SUM(分录报销!$H$496:$H$508),2)</f>
        <v>0</v>
      </c>
      <c r="O40" s="15" t="n">
        <f aca="false">ROUND(SUM(分录报销!$I$496:$I$508),2)</f>
        <v>0</v>
      </c>
      <c r="P40" s="20" t="str">
        <f aca="false">IF($L40=0,"",COUNTIF($L$2:$L40,"&gt;0"))</f>
        <v/>
      </c>
      <c r="Q40" s="47" t="n">
        <v>39</v>
      </c>
      <c r="R40" s="20" t="n">
        <f aca="false">IF(39&gt;$V$1,"",COUNTIF($M$2:$M$121,"&lt;"&amp;39)+1)</f>
        <v>37</v>
      </c>
      <c r="S40" s="20" t="n">
        <f aca="false">IF($R40="","",39-IF($R40=1,0,INDEX($M$2:$M$121,$R40-1)))</f>
        <v>1</v>
      </c>
      <c r="T40" s="20" t="n">
        <f aca="false">IF($R40="",0,IF($S40=INDEX($L$2:$L$121,$R40),1,0))</f>
        <v>1</v>
      </c>
      <c r="W40" s="20" t="n">
        <v>1</v>
      </c>
    </row>
    <row r="41" customFormat="false" ht="13.5" hidden="false" customHeight="false" outlineLevel="0" collapsed="false">
      <c r="A41" s="47" t="n">
        <v>40</v>
      </c>
      <c r="B41" s="38" t="str">
        <f aca="false">""</f>
        <v/>
      </c>
      <c r="C41" s="26" t="str">
        <f aca="false">IFERROR(INDEX(输入报销!$C:$C,MATCH($A41&amp;"-1",输入报销!$J:$J,0)),"")</f>
        <v/>
      </c>
      <c r="D41" s="14" t="n">
        <f aca="false">IFERROR(INDEX(输入报销!$B:$B,MATCH($A41&amp;"-1",输入报销!$J:$J,0)),参数!$B$2)</f>
        <v>46234</v>
      </c>
      <c r="K41" s="20" t="n">
        <f aca="false">SUM(分录报销!$J$509:$J$521)</f>
        <v>0</v>
      </c>
      <c r="L41" s="20" t="n">
        <f aca="false">IF(OR($K41=0,$W41=0),0,ROUNDUP($K41/6,0))</f>
        <v>0</v>
      </c>
      <c r="M41" s="20" t="n">
        <f aca="false">SUM($L$2:$L41)</f>
        <v>39</v>
      </c>
      <c r="N41" s="15" t="n">
        <f aca="false">ROUND(SUM(分录报销!$H$509:$H$521),2)</f>
        <v>0</v>
      </c>
      <c r="O41" s="15" t="n">
        <f aca="false">ROUND(SUM(分录报销!$I$509:$I$521),2)</f>
        <v>0</v>
      </c>
      <c r="P41" s="20" t="str">
        <f aca="false">IF($L41=0,"",COUNTIF($L$2:$L41,"&gt;0"))</f>
        <v/>
      </c>
      <c r="Q41" s="47" t="n">
        <v>40</v>
      </c>
      <c r="R41" s="20" t="str">
        <f aca="false">IF(40&gt;$V$1,"",COUNTIF($M$2:$M$121,"&lt;"&amp;40)+1)</f>
        <v/>
      </c>
      <c r="S41" s="20" t="str">
        <f aca="false">IF($R41="","",40-IF($R41=1,0,INDEX($M$2:$M$121,$R41-1)))</f>
        <v/>
      </c>
      <c r="T41" s="20" t="n">
        <f aca="false">IF($R41="",0,IF($S41=INDEX($L$2:$L$121,$R41),1,0))</f>
        <v>0</v>
      </c>
      <c r="W41" s="20" t="n">
        <v>1</v>
      </c>
    </row>
    <row r="42" customFormat="false" ht="13.5" hidden="false" customHeight="false" outlineLevel="0" collapsed="false">
      <c r="A42" s="47" t="n">
        <v>41</v>
      </c>
      <c r="B42" s="38" t="str">
        <f aca="false">""</f>
        <v/>
      </c>
      <c r="C42" s="26" t="str">
        <f aca="false">IFERROR(INDEX(输入报销!$C:$C,MATCH($A42&amp;"-1",输入报销!$J:$J,0)),"")</f>
        <v/>
      </c>
      <c r="D42" s="14" t="n">
        <f aca="false">IFERROR(INDEX(输入报销!$B:$B,MATCH($A42&amp;"-1",输入报销!$J:$J,0)),参数!$B$2)</f>
        <v>46234</v>
      </c>
      <c r="K42" s="20" t="n">
        <f aca="false">SUM(分录报销!$J$522:$J$534)</f>
        <v>0</v>
      </c>
      <c r="L42" s="20" t="n">
        <f aca="false">IF(OR($K42=0,$W42=0),0,ROUNDUP($K42/6,0))</f>
        <v>0</v>
      </c>
      <c r="M42" s="20" t="n">
        <f aca="false">SUM($L$2:$L42)</f>
        <v>39</v>
      </c>
      <c r="N42" s="15" t="n">
        <f aca="false">ROUND(SUM(分录报销!$H$522:$H$534),2)</f>
        <v>0</v>
      </c>
      <c r="O42" s="15" t="n">
        <f aca="false">ROUND(SUM(分录报销!$I$522:$I$534),2)</f>
        <v>0</v>
      </c>
      <c r="P42" s="20" t="str">
        <f aca="false">IF($L42=0,"",COUNTIF($L$2:$L42,"&gt;0"))</f>
        <v/>
      </c>
      <c r="Q42" s="47" t="n">
        <v>41</v>
      </c>
      <c r="R42" s="20" t="str">
        <f aca="false">IF(41&gt;$V$1,"",COUNTIF($M$2:$M$121,"&lt;"&amp;41)+1)</f>
        <v/>
      </c>
      <c r="S42" s="20" t="str">
        <f aca="false">IF($R42="","",41-IF($R42=1,0,INDEX($M$2:$M$121,$R42-1)))</f>
        <v/>
      </c>
      <c r="T42" s="20" t="n">
        <f aca="false">IF($R42="",0,IF($S42=INDEX($L$2:$L$121,$R42),1,0))</f>
        <v>0</v>
      </c>
      <c r="W42" s="20" t="n">
        <v>1</v>
      </c>
    </row>
    <row r="43" customFormat="false" ht="13.5" hidden="false" customHeight="false" outlineLevel="0" collapsed="false">
      <c r="A43" s="47" t="n">
        <v>42</v>
      </c>
      <c r="B43" s="38" t="str">
        <f aca="false">""</f>
        <v/>
      </c>
      <c r="C43" s="26" t="str">
        <f aca="false">IFERROR(INDEX(输入报销!$C:$C,MATCH($A43&amp;"-1",输入报销!$J:$J,0)),"")</f>
        <v/>
      </c>
      <c r="D43" s="14" t="n">
        <f aca="false">IFERROR(INDEX(输入报销!$B:$B,MATCH($A43&amp;"-1",输入报销!$J:$J,0)),参数!$B$2)</f>
        <v>46234</v>
      </c>
      <c r="K43" s="20" t="n">
        <f aca="false">SUM(分录报销!$J$535:$J$547)</f>
        <v>0</v>
      </c>
      <c r="L43" s="20" t="n">
        <f aca="false">IF(OR($K43=0,$W43=0),0,ROUNDUP($K43/6,0))</f>
        <v>0</v>
      </c>
      <c r="M43" s="20" t="n">
        <f aca="false">SUM($L$2:$L43)</f>
        <v>39</v>
      </c>
      <c r="N43" s="15" t="n">
        <f aca="false">ROUND(SUM(分录报销!$H$535:$H$547),2)</f>
        <v>0</v>
      </c>
      <c r="O43" s="15" t="n">
        <f aca="false">ROUND(SUM(分录报销!$I$535:$I$547),2)</f>
        <v>0</v>
      </c>
      <c r="P43" s="20" t="str">
        <f aca="false">IF($L43=0,"",COUNTIF($L$2:$L43,"&gt;0"))</f>
        <v/>
      </c>
      <c r="Q43" s="47" t="n">
        <v>42</v>
      </c>
      <c r="R43" s="20" t="str">
        <f aca="false">IF(42&gt;$V$1,"",COUNTIF($M$2:$M$121,"&lt;"&amp;42)+1)</f>
        <v/>
      </c>
      <c r="S43" s="20" t="str">
        <f aca="false">IF($R43="","",42-IF($R43=1,0,INDEX($M$2:$M$121,$R43-1)))</f>
        <v/>
      </c>
      <c r="T43" s="20" t="n">
        <f aca="false">IF($R43="",0,IF($S43=INDEX($L$2:$L$121,$R43),1,0))</f>
        <v>0</v>
      </c>
      <c r="W43" s="20" t="n">
        <v>1</v>
      </c>
    </row>
    <row r="44" customFormat="false" ht="13.5" hidden="false" customHeight="false" outlineLevel="0" collapsed="false">
      <c r="A44" s="47" t="n">
        <v>43</v>
      </c>
      <c r="B44" s="38" t="str">
        <f aca="false">""</f>
        <v/>
      </c>
      <c r="C44" s="26" t="str">
        <f aca="false">IFERROR(INDEX(输入报销!$C:$C,MATCH($A44&amp;"-1",输入报销!$J:$J,0)),"")</f>
        <v/>
      </c>
      <c r="D44" s="14" t="n">
        <f aca="false">IFERROR(INDEX(输入报销!$B:$B,MATCH($A44&amp;"-1",输入报销!$J:$J,0)),参数!$B$2)</f>
        <v>46234</v>
      </c>
      <c r="K44" s="20" t="n">
        <f aca="false">SUM(分录报销!$J$548:$J$560)</f>
        <v>0</v>
      </c>
      <c r="L44" s="20" t="n">
        <f aca="false">IF(OR($K44=0,$W44=0),0,ROUNDUP($K44/6,0))</f>
        <v>0</v>
      </c>
      <c r="M44" s="20" t="n">
        <f aca="false">SUM($L$2:$L44)</f>
        <v>39</v>
      </c>
      <c r="N44" s="15" t="n">
        <f aca="false">ROUND(SUM(分录报销!$H$548:$H$560),2)</f>
        <v>0</v>
      </c>
      <c r="O44" s="15" t="n">
        <f aca="false">ROUND(SUM(分录报销!$I$548:$I$560),2)</f>
        <v>0</v>
      </c>
      <c r="P44" s="20" t="str">
        <f aca="false">IF($L44=0,"",COUNTIF($L$2:$L44,"&gt;0"))</f>
        <v/>
      </c>
      <c r="Q44" s="47" t="n">
        <v>43</v>
      </c>
      <c r="R44" s="20" t="str">
        <f aca="false">IF(43&gt;$V$1,"",COUNTIF($M$2:$M$121,"&lt;"&amp;43)+1)</f>
        <v/>
      </c>
      <c r="S44" s="20" t="str">
        <f aca="false">IF($R44="","",43-IF($R44=1,0,INDEX($M$2:$M$121,$R44-1)))</f>
        <v/>
      </c>
      <c r="T44" s="20" t="n">
        <f aca="false">IF($R44="",0,IF($S44=INDEX($L$2:$L$121,$R44),1,0))</f>
        <v>0</v>
      </c>
      <c r="W44" s="20" t="n">
        <v>1</v>
      </c>
    </row>
    <row r="45" customFormat="false" ht="13.5" hidden="false" customHeight="false" outlineLevel="0" collapsed="false">
      <c r="A45" s="47" t="n">
        <v>44</v>
      </c>
      <c r="B45" s="38" t="str">
        <f aca="false">""</f>
        <v/>
      </c>
      <c r="C45" s="26" t="str">
        <f aca="false">IFERROR(INDEX(输入报销!$C:$C,MATCH($A45&amp;"-1",输入报销!$J:$J,0)),"")</f>
        <v/>
      </c>
      <c r="D45" s="14" t="n">
        <f aca="false">IFERROR(INDEX(输入报销!$B:$B,MATCH($A45&amp;"-1",输入报销!$J:$J,0)),参数!$B$2)</f>
        <v>46234</v>
      </c>
      <c r="K45" s="20" t="n">
        <f aca="false">SUM(分录报销!$J$561:$J$573)</f>
        <v>0</v>
      </c>
      <c r="L45" s="20" t="n">
        <f aca="false">IF(OR($K45=0,$W45=0),0,ROUNDUP($K45/6,0))</f>
        <v>0</v>
      </c>
      <c r="M45" s="20" t="n">
        <f aca="false">SUM($L$2:$L45)</f>
        <v>39</v>
      </c>
      <c r="N45" s="15" t="n">
        <f aca="false">ROUND(SUM(分录报销!$H$561:$H$573),2)</f>
        <v>0</v>
      </c>
      <c r="O45" s="15" t="n">
        <f aca="false">ROUND(SUM(分录报销!$I$561:$I$573),2)</f>
        <v>0</v>
      </c>
      <c r="P45" s="20" t="str">
        <f aca="false">IF($L45=0,"",COUNTIF($L$2:$L45,"&gt;0"))</f>
        <v/>
      </c>
      <c r="Q45" s="47" t="n">
        <v>44</v>
      </c>
      <c r="R45" s="20" t="str">
        <f aca="false">IF(44&gt;$V$1,"",COUNTIF($M$2:$M$121,"&lt;"&amp;44)+1)</f>
        <v/>
      </c>
      <c r="S45" s="20" t="str">
        <f aca="false">IF($R45="","",44-IF($R45=1,0,INDEX($M$2:$M$121,$R45-1)))</f>
        <v/>
      </c>
      <c r="T45" s="20" t="n">
        <f aca="false">IF($R45="",0,IF($S45=INDEX($L$2:$L$121,$R45),1,0))</f>
        <v>0</v>
      </c>
      <c r="W45" s="20" t="n">
        <v>1</v>
      </c>
    </row>
    <row r="46" customFormat="false" ht="13.5" hidden="false" customHeight="false" outlineLevel="0" collapsed="false">
      <c r="A46" s="47" t="n">
        <v>45</v>
      </c>
      <c r="B46" s="38" t="str">
        <f aca="false">""</f>
        <v/>
      </c>
      <c r="C46" s="26" t="str">
        <f aca="false">IFERROR(INDEX(输入报销!$C:$C,MATCH($A46&amp;"-1",输入报销!$J:$J,0)),"")</f>
        <v/>
      </c>
      <c r="D46" s="14" t="n">
        <f aca="false">IFERROR(INDEX(输入报销!$B:$B,MATCH($A46&amp;"-1",输入报销!$J:$J,0)),参数!$B$2)</f>
        <v>46234</v>
      </c>
      <c r="K46" s="20" t="n">
        <f aca="false">SUM(分录报销!$J$574:$J$586)</f>
        <v>0</v>
      </c>
      <c r="L46" s="20" t="n">
        <f aca="false">IF(OR($K46=0,$W46=0),0,ROUNDUP($K46/6,0))</f>
        <v>0</v>
      </c>
      <c r="M46" s="20" t="n">
        <f aca="false">SUM($L$2:$L46)</f>
        <v>39</v>
      </c>
      <c r="N46" s="15" t="n">
        <f aca="false">ROUND(SUM(分录报销!$H$574:$H$586),2)</f>
        <v>0</v>
      </c>
      <c r="O46" s="15" t="n">
        <f aca="false">ROUND(SUM(分录报销!$I$574:$I$586),2)</f>
        <v>0</v>
      </c>
      <c r="P46" s="20" t="str">
        <f aca="false">IF($L46=0,"",COUNTIF($L$2:$L46,"&gt;0"))</f>
        <v/>
      </c>
      <c r="Q46" s="47" t="n">
        <v>45</v>
      </c>
      <c r="R46" s="20" t="str">
        <f aca="false">IF(45&gt;$V$1,"",COUNTIF($M$2:$M$121,"&lt;"&amp;45)+1)</f>
        <v/>
      </c>
      <c r="S46" s="20" t="str">
        <f aca="false">IF($R46="","",45-IF($R46=1,0,INDEX($M$2:$M$121,$R46-1)))</f>
        <v/>
      </c>
      <c r="T46" s="20" t="n">
        <f aca="false">IF($R46="",0,IF($S46=INDEX($L$2:$L$121,$R46),1,0))</f>
        <v>0</v>
      </c>
      <c r="W46" s="20" t="n">
        <v>1</v>
      </c>
    </row>
    <row r="47" customFormat="false" ht="13.5" hidden="false" customHeight="false" outlineLevel="0" collapsed="false">
      <c r="A47" s="47" t="n">
        <v>46</v>
      </c>
      <c r="B47" s="38" t="str">
        <f aca="false">""</f>
        <v/>
      </c>
      <c r="C47" s="26" t="str">
        <f aca="false">IFERROR(INDEX(输入报销!$C:$C,MATCH($A47&amp;"-1",输入报销!$J:$J,0)),"")</f>
        <v/>
      </c>
      <c r="D47" s="14" t="n">
        <f aca="false">IFERROR(INDEX(输入报销!$B:$B,MATCH($A47&amp;"-1",输入报销!$J:$J,0)),参数!$B$2)</f>
        <v>46234</v>
      </c>
      <c r="K47" s="20" t="n">
        <f aca="false">SUM(分录报销!$J$587:$J$599)</f>
        <v>0</v>
      </c>
      <c r="L47" s="20" t="n">
        <f aca="false">IF(OR($K47=0,$W47=0),0,ROUNDUP($K47/6,0))</f>
        <v>0</v>
      </c>
      <c r="M47" s="20" t="n">
        <f aca="false">SUM($L$2:$L47)</f>
        <v>39</v>
      </c>
      <c r="N47" s="15" t="n">
        <f aca="false">ROUND(SUM(分录报销!$H$587:$H$599),2)</f>
        <v>0</v>
      </c>
      <c r="O47" s="15" t="n">
        <f aca="false">ROUND(SUM(分录报销!$I$587:$I$599),2)</f>
        <v>0</v>
      </c>
      <c r="P47" s="20" t="str">
        <f aca="false">IF($L47=0,"",COUNTIF($L$2:$L47,"&gt;0"))</f>
        <v/>
      </c>
      <c r="Q47" s="47" t="n">
        <v>46</v>
      </c>
      <c r="R47" s="20" t="str">
        <f aca="false">IF(46&gt;$V$1,"",COUNTIF($M$2:$M$121,"&lt;"&amp;46)+1)</f>
        <v/>
      </c>
      <c r="S47" s="20" t="str">
        <f aca="false">IF($R47="","",46-IF($R47=1,0,INDEX($M$2:$M$121,$R47-1)))</f>
        <v/>
      </c>
      <c r="T47" s="20" t="n">
        <f aca="false">IF($R47="",0,IF($S47=INDEX($L$2:$L$121,$R47),1,0))</f>
        <v>0</v>
      </c>
      <c r="W47" s="20" t="n">
        <v>1</v>
      </c>
    </row>
    <row r="48" customFormat="false" ht="13.5" hidden="false" customHeight="false" outlineLevel="0" collapsed="false">
      <c r="A48" s="47" t="n">
        <v>47</v>
      </c>
      <c r="B48" s="38" t="str">
        <f aca="false">""</f>
        <v/>
      </c>
      <c r="C48" s="26" t="str">
        <f aca="false">IFERROR(INDEX(输入报销!$C:$C,MATCH($A48&amp;"-1",输入报销!$J:$J,0)),"")</f>
        <v/>
      </c>
      <c r="D48" s="14" t="n">
        <f aca="false">IFERROR(INDEX(输入报销!$B:$B,MATCH($A48&amp;"-1",输入报销!$J:$J,0)),参数!$B$2)</f>
        <v>46234</v>
      </c>
      <c r="K48" s="20" t="n">
        <f aca="false">SUM(分录报销!$J$600:$J$612)</f>
        <v>0</v>
      </c>
      <c r="L48" s="20" t="n">
        <f aca="false">IF(OR($K48=0,$W48=0),0,ROUNDUP($K48/6,0))</f>
        <v>0</v>
      </c>
      <c r="M48" s="20" t="n">
        <f aca="false">SUM($L$2:$L48)</f>
        <v>39</v>
      </c>
      <c r="N48" s="15" t="n">
        <f aca="false">ROUND(SUM(分录报销!$H$600:$H$612),2)</f>
        <v>0</v>
      </c>
      <c r="O48" s="15" t="n">
        <f aca="false">ROUND(SUM(分录报销!$I$600:$I$612),2)</f>
        <v>0</v>
      </c>
      <c r="P48" s="20" t="str">
        <f aca="false">IF($L48=0,"",COUNTIF($L$2:$L48,"&gt;0"))</f>
        <v/>
      </c>
      <c r="Q48" s="47" t="n">
        <v>47</v>
      </c>
      <c r="R48" s="20" t="str">
        <f aca="false">IF(47&gt;$V$1,"",COUNTIF($M$2:$M$121,"&lt;"&amp;47)+1)</f>
        <v/>
      </c>
      <c r="S48" s="20" t="str">
        <f aca="false">IF($R48="","",47-IF($R48=1,0,INDEX($M$2:$M$121,$R48-1)))</f>
        <v/>
      </c>
      <c r="T48" s="20" t="n">
        <f aca="false">IF($R48="",0,IF($S48=INDEX($L$2:$L$121,$R48),1,0))</f>
        <v>0</v>
      </c>
      <c r="W48" s="20" t="n">
        <v>1</v>
      </c>
    </row>
    <row r="49" customFormat="false" ht="13.5" hidden="false" customHeight="false" outlineLevel="0" collapsed="false">
      <c r="A49" s="47" t="n">
        <v>48</v>
      </c>
      <c r="B49" s="38" t="str">
        <f aca="false">""</f>
        <v/>
      </c>
      <c r="C49" s="26" t="str">
        <f aca="false">IFERROR(INDEX(输入报销!$C:$C,MATCH($A49&amp;"-1",输入报销!$J:$J,0)),"")</f>
        <v/>
      </c>
      <c r="D49" s="14" t="n">
        <f aca="false">IFERROR(INDEX(输入报销!$B:$B,MATCH($A49&amp;"-1",输入报销!$J:$J,0)),参数!$B$2)</f>
        <v>46234</v>
      </c>
      <c r="K49" s="20" t="n">
        <f aca="false">SUM(分录报销!$J$613:$J$625)</f>
        <v>0</v>
      </c>
      <c r="L49" s="20" t="n">
        <f aca="false">IF(OR($K49=0,$W49=0),0,ROUNDUP($K49/6,0))</f>
        <v>0</v>
      </c>
      <c r="M49" s="20" t="n">
        <f aca="false">SUM($L$2:$L49)</f>
        <v>39</v>
      </c>
      <c r="N49" s="15" t="n">
        <f aca="false">ROUND(SUM(分录报销!$H$613:$H$625),2)</f>
        <v>0</v>
      </c>
      <c r="O49" s="15" t="n">
        <f aca="false">ROUND(SUM(分录报销!$I$613:$I$625),2)</f>
        <v>0</v>
      </c>
      <c r="P49" s="20" t="str">
        <f aca="false">IF($L49=0,"",COUNTIF($L$2:$L49,"&gt;0"))</f>
        <v/>
      </c>
      <c r="Q49" s="47" t="n">
        <v>48</v>
      </c>
      <c r="R49" s="20" t="str">
        <f aca="false">IF(48&gt;$V$1,"",COUNTIF($M$2:$M$121,"&lt;"&amp;48)+1)</f>
        <v/>
      </c>
      <c r="S49" s="20" t="str">
        <f aca="false">IF($R49="","",48-IF($R49=1,0,INDEX($M$2:$M$121,$R49-1)))</f>
        <v/>
      </c>
      <c r="T49" s="20" t="n">
        <f aca="false">IF($R49="",0,IF($S49=INDEX($L$2:$L$121,$R49),1,0))</f>
        <v>0</v>
      </c>
      <c r="W49" s="20" t="n">
        <v>1</v>
      </c>
    </row>
    <row r="50" customFormat="false" ht="13.5" hidden="false" customHeight="false" outlineLevel="0" collapsed="false">
      <c r="A50" s="47" t="n">
        <v>49</v>
      </c>
      <c r="B50" s="38" t="str">
        <f aca="false">""</f>
        <v/>
      </c>
      <c r="C50" s="26" t="str">
        <f aca="false">IFERROR(INDEX(输入报销!$C:$C,MATCH($A50&amp;"-1",输入报销!$J:$J,0)),"")</f>
        <v/>
      </c>
      <c r="D50" s="14" t="n">
        <f aca="false">IFERROR(INDEX(输入报销!$B:$B,MATCH($A50&amp;"-1",输入报销!$J:$J,0)),参数!$B$2)</f>
        <v>46234</v>
      </c>
      <c r="K50" s="20" t="n">
        <f aca="false">SUM(分录报销!$J$626:$J$638)</f>
        <v>0</v>
      </c>
      <c r="L50" s="20" t="n">
        <f aca="false">IF(OR($K50=0,$W50=0),0,ROUNDUP($K50/6,0))</f>
        <v>0</v>
      </c>
      <c r="M50" s="20" t="n">
        <f aca="false">SUM($L$2:$L50)</f>
        <v>39</v>
      </c>
      <c r="N50" s="15" t="n">
        <f aca="false">ROUND(SUM(分录报销!$H$626:$H$638),2)</f>
        <v>0</v>
      </c>
      <c r="O50" s="15" t="n">
        <f aca="false">ROUND(SUM(分录报销!$I$626:$I$638),2)</f>
        <v>0</v>
      </c>
      <c r="P50" s="20" t="str">
        <f aca="false">IF($L50=0,"",COUNTIF($L$2:$L50,"&gt;0"))</f>
        <v/>
      </c>
      <c r="Q50" s="47" t="n">
        <v>49</v>
      </c>
      <c r="R50" s="20" t="str">
        <f aca="false">IF(49&gt;$V$1,"",COUNTIF($M$2:$M$121,"&lt;"&amp;49)+1)</f>
        <v/>
      </c>
      <c r="S50" s="20" t="str">
        <f aca="false">IF($R50="","",49-IF($R50=1,0,INDEX($M$2:$M$121,$R50-1)))</f>
        <v/>
      </c>
      <c r="T50" s="20" t="n">
        <f aca="false">IF($R50="",0,IF($S50=INDEX($L$2:$L$121,$R50),1,0))</f>
        <v>0</v>
      </c>
      <c r="W50" s="20" t="n">
        <v>1</v>
      </c>
    </row>
    <row r="51" customFormat="false" ht="13.5" hidden="false" customHeight="false" outlineLevel="0" collapsed="false">
      <c r="A51" s="47" t="n">
        <v>50</v>
      </c>
      <c r="B51" s="38" t="str">
        <f aca="false">""</f>
        <v/>
      </c>
      <c r="C51" s="26" t="str">
        <f aca="false">IFERROR(INDEX(输入报销!$C:$C,MATCH($A51&amp;"-1",输入报销!$J:$J,0)),"")</f>
        <v/>
      </c>
      <c r="D51" s="14" t="n">
        <f aca="false">IFERROR(INDEX(输入报销!$B:$B,MATCH($A51&amp;"-1",输入报销!$J:$J,0)),参数!$B$2)</f>
        <v>46234</v>
      </c>
      <c r="K51" s="20" t="n">
        <f aca="false">SUM(分录报销!$J$639:$J$651)</f>
        <v>0</v>
      </c>
      <c r="L51" s="20" t="n">
        <f aca="false">IF(OR($K51=0,$W51=0),0,ROUNDUP($K51/6,0))</f>
        <v>0</v>
      </c>
      <c r="M51" s="20" t="n">
        <f aca="false">SUM($L$2:$L51)</f>
        <v>39</v>
      </c>
      <c r="N51" s="15" t="n">
        <f aca="false">ROUND(SUM(分录报销!$H$639:$H$651),2)</f>
        <v>0</v>
      </c>
      <c r="O51" s="15" t="n">
        <f aca="false">ROUND(SUM(分录报销!$I$639:$I$651),2)</f>
        <v>0</v>
      </c>
      <c r="P51" s="20" t="str">
        <f aca="false">IF($L51=0,"",COUNTIF($L$2:$L51,"&gt;0"))</f>
        <v/>
      </c>
      <c r="Q51" s="47" t="n">
        <v>50</v>
      </c>
      <c r="R51" s="20" t="str">
        <f aca="false">IF(50&gt;$V$1,"",COUNTIF($M$2:$M$121,"&lt;"&amp;50)+1)</f>
        <v/>
      </c>
      <c r="S51" s="20" t="str">
        <f aca="false">IF($R51="","",50-IF($R51=1,0,INDEX($M$2:$M$121,$R51-1)))</f>
        <v/>
      </c>
      <c r="T51" s="20" t="n">
        <f aca="false">IF($R51="",0,IF($S51=INDEX($L$2:$L$121,$R51),1,0))</f>
        <v>0</v>
      </c>
      <c r="W51" s="20" t="n">
        <v>1</v>
      </c>
    </row>
    <row r="52" customFormat="false" ht="13.5" hidden="false" customHeight="false" outlineLevel="0" collapsed="false">
      <c r="A52" s="47" t="n">
        <v>51</v>
      </c>
      <c r="B52" s="38" t="str">
        <f aca="false">""</f>
        <v/>
      </c>
      <c r="C52" s="26" t="str">
        <f aca="false">IFERROR(INDEX(输入报销!$C:$C,MATCH($A52&amp;"-1",输入报销!$J:$J,0)),"")</f>
        <v/>
      </c>
      <c r="D52" s="14" t="n">
        <f aca="false">IFERROR(INDEX(输入报销!$B:$B,MATCH($A52&amp;"-1",输入报销!$J:$J,0)),参数!$B$2)</f>
        <v>46234</v>
      </c>
      <c r="K52" s="20" t="n">
        <f aca="false">SUM(分录报销!$J$652:$J$664)</f>
        <v>0</v>
      </c>
      <c r="L52" s="20" t="n">
        <f aca="false">IF(OR($K52=0,$W52=0),0,ROUNDUP($K52/6,0))</f>
        <v>0</v>
      </c>
      <c r="M52" s="20" t="n">
        <f aca="false">SUM($L$2:$L52)</f>
        <v>39</v>
      </c>
      <c r="N52" s="15" t="n">
        <f aca="false">ROUND(SUM(分录报销!$H$652:$H$664),2)</f>
        <v>0</v>
      </c>
      <c r="O52" s="15" t="n">
        <f aca="false">ROUND(SUM(分录报销!$I$652:$I$664),2)</f>
        <v>0</v>
      </c>
      <c r="P52" s="20" t="str">
        <f aca="false">IF($L52=0,"",COUNTIF($L$2:$L52,"&gt;0"))</f>
        <v/>
      </c>
      <c r="Q52" s="47" t="n">
        <v>51</v>
      </c>
      <c r="R52" s="20" t="str">
        <f aca="false">IF(51&gt;$V$1,"",COUNTIF($M$2:$M$121,"&lt;"&amp;51)+1)</f>
        <v/>
      </c>
      <c r="S52" s="20" t="str">
        <f aca="false">IF($R52="","",51-IF($R52=1,0,INDEX($M$2:$M$121,$R52-1)))</f>
        <v/>
      </c>
      <c r="T52" s="20" t="n">
        <f aca="false">IF($R52="",0,IF($S52=INDEX($L$2:$L$121,$R52),1,0))</f>
        <v>0</v>
      </c>
      <c r="W52" s="20" t="n">
        <v>1</v>
      </c>
    </row>
    <row r="53" customFormat="false" ht="13.5" hidden="false" customHeight="false" outlineLevel="0" collapsed="false">
      <c r="A53" s="47" t="n">
        <v>52</v>
      </c>
      <c r="B53" s="38" t="str">
        <f aca="false">""</f>
        <v/>
      </c>
      <c r="C53" s="26" t="str">
        <f aca="false">IFERROR(INDEX(输入报销!$C:$C,MATCH($A53&amp;"-1",输入报销!$J:$J,0)),"")</f>
        <v/>
      </c>
      <c r="D53" s="14" t="n">
        <f aca="false">IFERROR(INDEX(输入报销!$B:$B,MATCH($A53&amp;"-1",输入报销!$J:$J,0)),参数!$B$2)</f>
        <v>46234</v>
      </c>
      <c r="K53" s="20" t="n">
        <f aca="false">SUM(分录报销!$J$665:$J$677)</f>
        <v>0</v>
      </c>
      <c r="L53" s="20" t="n">
        <f aca="false">IF(OR($K53=0,$W53=0),0,ROUNDUP($K53/6,0))</f>
        <v>0</v>
      </c>
      <c r="M53" s="20" t="n">
        <f aca="false">SUM($L$2:$L53)</f>
        <v>39</v>
      </c>
      <c r="N53" s="15" t="n">
        <f aca="false">ROUND(SUM(分录报销!$H$665:$H$677),2)</f>
        <v>0</v>
      </c>
      <c r="O53" s="15" t="n">
        <f aca="false">ROUND(SUM(分录报销!$I$665:$I$677),2)</f>
        <v>0</v>
      </c>
      <c r="P53" s="20" t="str">
        <f aca="false">IF($L53=0,"",COUNTIF($L$2:$L53,"&gt;0"))</f>
        <v/>
      </c>
      <c r="Q53" s="47" t="n">
        <v>52</v>
      </c>
      <c r="R53" s="20" t="str">
        <f aca="false">IF(52&gt;$V$1,"",COUNTIF($M$2:$M$121,"&lt;"&amp;52)+1)</f>
        <v/>
      </c>
      <c r="S53" s="20" t="str">
        <f aca="false">IF($R53="","",52-IF($R53=1,0,INDEX($M$2:$M$121,$R53-1)))</f>
        <v/>
      </c>
      <c r="T53" s="20" t="n">
        <f aca="false">IF($R53="",0,IF($S53=INDEX($L$2:$L$121,$R53),1,0))</f>
        <v>0</v>
      </c>
      <c r="W53" s="20" t="n">
        <v>1</v>
      </c>
    </row>
    <row r="54" customFormat="false" ht="13.5" hidden="false" customHeight="false" outlineLevel="0" collapsed="false">
      <c r="A54" s="47" t="n">
        <v>53</v>
      </c>
      <c r="B54" s="38" t="str">
        <f aca="false">""</f>
        <v/>
      </c>
      <c r="C54" s="26" t="str">
        <f aca="false">IFERROR(INDEX(输入报销!$C:$C,MATCH($A54&amp;"-1",输入报销!$J:$J,0)),"")</f>
        <v/>
      </c>
      <c r="D54" s="14" t="n">
        <f aca="false">IFERROR(INDEX(输入报销!$B:$B,MATCH($A54&amp;"-1",输入报销!$J:$J,0)),参数!$B$2)</f>
        <v>46234</v>
      </c>
      <c r="K54" s="20" t="n">
        <f aca="false">SUM(分录报销!$J$678:$J$690)</f>
        <v>0</v>
      </c>
      <c r="L54" s="20" t="n">
        <f aca="false">IF(OR($K54=0,$W54=0),0,ROUNDUP($K54/6,0))</f>
        <v>0</v>
      </c>
      <c r="M54" s="20" t="n">
        <f aca="false">SUM($L$2:$L54)</f>
        <v>39</v>
      </c>
      <c r="N54" s="15" t="n">
        <f aca="false">ROUND(SUM(分录报销!$H$678:$H$690),2)</f>
        <v>0</v>
      </c>
      <c r="O54" s="15" t="n">
        <f aca="false">ROUND(SUM(分录报销!$I$678:$I$690),2)</f>
        <v>0</v>
      </c>
      <c r="P54" s="20" t="str">
        <f aca="false">IF($L54=0,"",COUNTIF($L$2:$L54,"&gt;0"))</f>
        <v/>
      </c>
      <c r="Q54" s="47" t="n">
        <v>53</v>
      </c>
      <c r="R54" s="20" t="str">
        <f aca="false">IF(53&gt;$V$1,"",COUNTIF($M$2:$M$121,"&lt;"&amp;53)+1)</f>
        <v/>
      </c>
      <c r="S54" s="20" t="str">
        <f aca="false">IF($R54="","",53-IF($R54=1,0,INDEX($M$2:$M$121,$R54-1)))</f>
        <v/>
      </c>
      <c r="T54" s="20" t="n">
        <f aca="false">IF($R54="",0,IF($S54=INDEX($L$2:$L$121,$R54),1,0))</f>
        <v>0</v>
      </c>
      <c r="W54" s="20" t="n">
        <v>1</v>
      </c>
    </row>
    <row r="55" customFormat="false" ht="13.5" hidden="false" customHeight="false" outlineLevel="0" collapsed="false">
      <c r="A55" s="47" t="n">
        <v>54</v>
      </c>
      <c r="B55" s="38" t="str">
        <f aca="false">""</f>
        <v/>
      </c>
      <c r="C55" s="26" t="str">
        <f aca="false">IFERROR(INDEX(输入报销!$C:$C,MATCH($A55&amp;"-1",输入报销!$J:$J,0)),"")</f>
        <v/>
      </c>
      <c r="D55" s="14" t="n">
        <f aca="false">IFERROR(INDEX(输入报销!$B:$B,MATCH($A55&amp;"-1",输入报销!$J:$J,0)),参数!$B$2)</f>
        <v>46234</v>
      </c>
      <c r="K55" s="20" t="n">
        <f aca="false">SUM(分录报销!$J$691:$J$703)</f>
        <v>0</v>
      </c>
      <c r="L55" s="20" t="n">
        <f aca="false">IF(OR($K55=0,$W55=0),0,ROUNDUP($K55/6,0))</f>
        <v>0</v>
      </c>
      <c r="M55" s="20" t="n">
        <f aca="false">SUM($L$2:$L55)</f>
        <v>39</v>
      </c>
      <c r="N55" s="15" t="n">
        <f aca="false">ROUND(SUM(分录报销!$H$691:$H$703),2)</f>
        <v>0</v>
      </c>
      <c r="O55" s="15" t="n">
        <f aca="false">ROUND(SUM(分录报销!$I$691:$I$703),2)</f>
        <v>0</v>
      </c>
      <c r="P55" s="20" t="str">
        <f aca="false">IF($L55=0,"",COUNTIF($L$2:$L55,"&gt;0"))</f>
        <v/>
      </c>
      <c r="Q55" s="47" t="n">
        <v>54</v>
      </c>
      <c r="R55" s="20" t="str">
        <f aca="false">IF(54&gt;$V$1,"",COUNTIF($M$2:$M$121,"&lt;"&amp;54)+1)</f>
        <v/>
      </c>
      <c r="S55" s="20" t="str">
        <f aca="false">IF($R55="","",54-IF($R55=1,0,INDEX($M$2:$M$121,$R55-1)))</f>
        <v/>
      </c>
      <c r="T55" s="20" t="n">
        <f aca="false">IF($R55="",0,IF($S55=INDEX($L$2:$L$121,$R55),1,0))</f>
        <v>0</v>
      </c>
      <c r="W55" s="20" t="n">
        <v>1</v>
      </c>
    </row>
    <row r="56" customFormat="false" ht="13.5" hidden="false" customHeight="false" outlineLevel="0" collapsed="false">
      <c r="A56" s="47" t="n">
        <v>55</v>
      </c>
      <c r="B56" s="38" t="str">
        <f aca="false">""</f>
        <v/>
      </c>
      <c r="C56" s="26" t="str">
        <f aca="false">IFERROR(INDEX(输入报销!$C:$C,MATCH($A56&amp;"-1",输入报销!$J:$J,0)),"")</f>
        <v/>
      </c>
      <c r="D56" s="14" t="n">
        <f aca="false">IFERROR(INDEX(输入报销!$B:$B,MATCH($A56&amp;"-1",输入报销!$J:$J,0)),参数!$B$2)</f>
        <v>46234</v>
      </c>
      <c r="K56" s="20" t="n">
        <f aca="false">SUM(分录报销!$J$704:$J$716)</f>
        <v>0</v>
      </c>
      <c r="L56" s="20" t="n">
        <f aca="false">IF(OR($K56=0,$W56=0),0,ROUNDUP($K56/6,0))</f>
        <v>0</v>
      </c>
      <c r="M56" s="20" t="n">
        <f aca="false">SUM($L$2:$L56)</f>
        <v>39</v>
      </c>
      <c r="N56" s="15" t="n">
        <f aca="false">ROUND(SUM(分录报销!$H$704:$H$716),2)</f>
        <v>0</v>
      </c>
      <c r="O56" s="15" t="n">
        <f aca="false">ROUND(SUM(分录报销!$I$704:$I$716),2)</f>
        <v>0</v>
      </c>
      <c r="P56" s="20" t="str">
        <f aca="false">IF($L56=0,"",COUNTIF($L$2:$L56,"&gt;0"))</f>
        <v/>
      </c>
      <c r="Q56" s="47" t="n">
        <v>55</v>
      </c>
      <c r="R56" s="20" t="str">
        <f aca="false">IF(55&gt;$V$1,"",COUNTIF($M$2:$M$121,"&lt;"&amp;55)+1)</f>
        <v/>
      </c>
      <c r="S56" s="20" t="str">
        <f aca="false">IF($R56="","",55-IF($R56=1,0,INDEX($M$2:$M$121,$R56-1)))</f>
        <v/>
      </c>
      <c r="T56" s="20" t="n">
        <f aca="false">IF($R56="",0,IF($S56=INDEX($L$2:$L$121,$R56),1,0))</f>
        <v>0</v>
      </c>
      <c r="W56" s="20" t="n">
        <v>1</v>
      </c>
    </row>
    <row r="57" customFormat="false" ht="13.5" hidden="false" customHeight="false" outlineLevel="0" collapsed="false">
      <c r="A57" s="47" t="n">
        <v>56</v>
      </c>
      <c r="B57" s="38" t="str">
        <f aca="false">""</f>
        <v/>
      </c>
      <c r="C57" s="26" t="str">
        <f aca="false">IFERROR(INDEX(输入报销!$C:$C,MATCH($A57&amp;"-1",输入报销!$J:$J,0)),"")</f>
        <v/>
      </c>
      <c r="D57" s="14" t="n">
        <f aca="false">IFERROR(INDEX(输入报销!$B:$B,MATCH($A57&amp;"-1",输入报销!$J:$J,0)),参数!$B$2)</f>
        <v>46234</v>
      </c>
      <c r="K57" s="20" t="n">
        <f aca="false">SUM(分录报销!$J$717:$J$729)</f>
        <v>0</v>
      </c>
      <c r="L57" s="20" t="n">
        <f aca="false">IF(OR($K57=0,$W57=0),0,ROUNDUP($K57/6,0))</f>
        <v>0</v>
      </c>
      <c r="M57" s="20" t="n">
        <f aca="false">SUM($L$2:$L57)</f>
        <v>39</v>
      </c>
      <c r="N57" s="15" t="n">
        <f aca="false">ROUND(SUM(分录报销!$H$717:$H$729),2)</f>
        <v>0</v>
      </c>
      <c r="O57" s="15" t="n">
        <f aca="false">ROUND(SUM(分录报销!$I$717:$I$729),2)</f>
        <v>0</v>
      </c>
      <c r="P57" s="20" t="str">
        <f aca="false">IF($L57=0,"",COUNTIF($L$2:$L57,"&gt;0"))</f>
        <v/>
      </c>
      <c r="Q57" s="47" t="n">
        <v>56</v>
      </c>
      <c r="R57" s="20" t="str">
        <f aca="false">IF(56&gt;$V$1,"",COUNTIF($M$2:$M$121,"&lt;"&amp;56)+1)</f>
        <v/>
      </c>
      <c r="S57" s="20" t="str">
        <f aca="false">IF($R57="","",56-IF($R57=1,0,INDEX($M$2:$M$121,$R57-1)))</f>
        <v/>
      </c>
      <c r="T57" s="20" t="n">
        <f aca="false">IF($R57="",0,IF($S57=INDEX($L$2:$L$121,$R57),1,0))</f>
        <v>0</v>
      </c>
      <c r="W57" s="20" t="n">
        <v>1</v>
      </c>
    </row>
    <row r="58" customFormat="false" ht="13.5" hidden="false" customHeight="false" outlineLevel="0" collapsed="false">
      <c r="A58" s="47" t="n">
        <v>57</v>
      </c>
      <c r="B58" s="38" t="str">
        <f aca="false">""</f>
        <v/>
      </c>
      <c r="C58" s="26" t="str">
        <f aca="false">IFERROR(INDEX(输入报销!$C:$C,MATCH($A58&amp;"-1",输入报销!$J:$J,0)),"")</f>
        <v/>
      </c>
      <c r="D58" s="14" t="n">
        <f aca="false">IFERROR(INDEX(输入报销!$B:$B,MATCH($A58&amp;"-1",输入报销!$J:$J,0)),参数!$B$2)</f>
        <v>46234</v>
      </c>
      <c r="K58" s="20" t="n">
        <f aca="false">SUM(分录报销!$J$730:$J$742)</f>
        <v>0</v>
      </c>
      <c r="L58" s="20" t="n">
        <f aca="false">IF(OR($K58=0,$W58=0),0,ROUNDUP($K58/6,0))</f>
        <v>0</v>
      </c>
      <c r="M58" s="20" t="n">
        <f aca="false">SUM($L$2:$L58)</f>
        <v>39</v>
      </c>
      <c r="N58" s="15" t="n">
        <f aca="false">ROUND(SUM(分录报销!$H$730:$H$742),2)</f>
        <v>0</v>
      </c>
      <c r="O58" s="15" t="n">
        <f aca="false">ROUND(SUM(分录报销!$I$730:$I$742),2)</f>
        <v>0</v>
      </c>
      <c r="P58" s="20" t="str">
        <f aca="false">IF($L58=0,"",COUNTIF($L$2:$L58,"&gt;0"))</f>
        <v/>
      </c>
      <c r="Q58" s="47" t="n">
        <v>57</v>
      </c>
      <c r="R58" s="20" t="str">
        <f aca="false">IF(57&gt;$V$1,"",COUNTIF($M$2:$M$121,"&lt;"&amp;57)+1)</f>
        <v/>
      </c>
      <c r="S58" s="20" t="str">
        <f aca="false">IF($R58="","",57-IF($R58=1,0,INDEX($M$2:$M$121,$R58-1)))</f>
        <v/>
      </c>
      <c r="T58" s="20" t="n">
        <f aca="false">IF($R58="",0,IF($S58=INDEX($L$2:$L$121,$R58),1,0))</f>
        <v>0</v>
      </c>
      <c r="W58" s="20" t="n">
        <v>1</v>
      </c>
    </row>
    <row r="59" customFormat="false" ht="13.5" hidden="false" customHeight="false" outlineLevel="0" collapsed="false">
      <c r="A59" s="47" t="n">
        <v>58</v>
      </c>
      <c r="B59" s="38" t="str">
        <f aca="false">""</f>
        <v/>
      </c>
      <c r="C59" s="26" t="str">
        <f aca="false">IFERROR(INDEX(输入报销!$C:$C,MATCH($A59&amp;"-1",输入报销!$J:$J,0)),"")</f>
        <v/>
      </c>
      <c r="D59" s="14" t="n">
        <f aca="false">IFERROR(INDEX(输入报销!$B:$B,MATCH($A59&amp;"-1",输入报销!$J:$J,0)),参数!$B$2)</f>
        <v>46234</v>
      </c>
      <c r="K59" s="20" t="n">
        <f aca="false">SUM(分录报销!$J$743:$J$755)</f>
        <v>0</v>
      </c>
      <c r="L59" s="20" t="n">
        <f aca="false">IF(OR($K59=0,$W59=0),0,ROUNDUP($K59/6,0))</f>
        <v>0</v>
      </c>
      <c r="M59" s="20" t="n">
        <f aca="false">SUM($L$2:$L59)</f>
        <v>39</v>
      </c>
      <c r="N59" s="15" t="n">
        <f aca="false">ROUND(SUM(分录报销!$H$743:$H$755),2)</f>
        <v>0</v>
      </c>
      <c r="O59" s="15" t="n">
        <f aca="false">ROUND(SUM(分录报销!$I$743:$I$755),2)</f>
        <v>0</v>
      </c>
      <c r="P59" s="20" t="str">
        <f aca="false">IF($L59=0,"",COUNTIF($L$2:$L59,"&gt;0"))</f>
        <v/>
      </c>
      <c r="Q59" s="47" t="n">
        <v>58</v>
      </c>
      <c r="R59" s="20" t="str">
        <f aca="false">IF(58&gt;$V$1,"",COUNTIF($M$2:$M$121,"&lt;"&amp;58)+1)</f>
        <v/>
      </c>
      <c r="S59" s="20" t="str">
        <f aca="false">IF($R59="","",58-IF($R59=1,0,INDEX($M$2:$M$121,$R59-1)))</f>
        <v/>
      </c>
      <c r="T59" s="20" t="n">
        <f aca="false">IF($R59="",0,IF($S59=INDEX($L$2:$L$121,$R59),1,0))</f>
        <v>0</v>
      </c>
      <c r="W59" s="20" t="n">
        <v>1</v>
      </c>
    </row>
    <row r="60" customFormat="false" ht="13.5" hidden="false" customHeight="false" outlineLevel="0" collapsed="false">
      <c r="A60" s="47" t="n">
        <v>59</v>
      </c>
      <c r="B60" s="38" t="str">
        <f aca="false">""</f>
        <v/>
      </c>
      <c r="C60" s="26" t="str">
        <f aca="false">IFERROR(INDEX(输入报销!$C:$C,MATCH($A60&amp;"-1",输入报销!$J:$J,0)),"")</f>
        <v/>
      </c>
      <c r="D60" s="14" t="n">
        <f aca="false">IFERROR(INDEX(输入报销!$B:$B,MATCH($A60&amp;"-1",输入报销!$J:$J,0)),参数!$B$2)</f>
        <v>46234</v>
      </c>
      <c r="K60" s="20" t="n">
        <f aca="false">SUM(分录报销!$J$756:$J$768)</f>
        <v>0</v>
      </c>
      <c r="L60" s="20" t="n">
        <f aca="false">IF(OR($K60=0,$W60=0),0,ROUNDUP($K60/6,0))</f>
        <v>0</v>
      </c>
      <c r="M60" s="20" t="n">
        <f aca="false">SUM($L$2:$L60)</f>
        <v>39</v>
      </c>
      <c r="N60" s="15" t="n">
        <f aca="false">ROUND(SUM(分录报销!$H$756:$H$768),2)</f>
        <v>0</v>
      </c>
      <c r="O60" s="15" t="n">
        <f aca="false">ROUND(SUM(分录报销!$I$756:$I$768),2)</f>
        <v>0</v>
      </c>
      <c r="P60" s="20" t="str">
        <f aca="false">IF($L60=0,"",COUNTIF($L$2:$L60,"&gt;0"))</f>
        <v/>
      </c>
      <c r="Q60" s="47" t="n">
        <v>59</v>
      </c>
      <c r="R60" s="20" t="str">
        <f aca="false">IF(59&gt;$V$1,"",COUNTIF($M$2:$M$121,"&lt;"&amp;59)+1)</f>
        <v/>
      </c>
      <c r="S60" s="20" t="str">
        <f aca="false">IF($R60="","",59-IF($R60=1,0,INDEX($M$2:$M$121,$R60-1)))</f>
        <v/>
      </c>
      <c r="T60" s="20" t="n">
        <f aca="false">IF($R60="",0,IF($S60=INDEX($L$2:$L$121,$R60),1,0))</f>
        <v>0</v>
      </c>
      <c r="W60" s="20" t="n">
        <v>1</v>
      </c>
    </row>
    <row r="61" customFormat="false" ht="13.5" hidden="false" customHeight="false" outlineLevel="0" collapsed="false">
      <c r="A61" s="47" t="n">
        <v>60</v>
      </c>
      <c r="B61" s="38" t="str">
        <f aca="false">""</f>
        <v/>
      </c>
      <c r="C61" s="26" t="str">
        <f aca="false">IFERROR(INDEX(输入报销!$C:$C,MATCH($A61&amp;"-1",输入报销!$J:$J,0)),"")</f>
        <v/>
      </c>
      <c r="D61" s="14" t="n">
        <f aca="false">IFERROR(INDEX(输入报销!$B:$B,MATCH($A61&amp;"-1",输入报销!$J:$J,0)),参数!$B$2)</f>
        <v>46234</v>
      </c>
      <c r="K61" s="20" t="n">
        <f aca="false">SUM(分录报销!$J$769:$J$781)</f>
        <v>0</v>
      </c>
      <c r="L61" s="20" t="n">
        <f aca="false">IF(OR($K61=0,$W61=0),0,ROUNDUP($K61/6,0))</f>
        <v>0</v>
      </c>
      <c r="M61" s="20" t="n">
        <f aca="false">SUM($L$2:$L61)</f>
        <v>39</v>
      </c>
      <c r="N61" s="15" t="n">
        <f aca="false">ROUND(SUM(分录报销!$H$769:$H$781),2)</f>
        <v>0</v>
      </c>
      <c r="O61" s="15" t="n">
        <f aca="false">ROUND(SUM(分录报销!$I$769:$I$781),2)</f>
        <v>0</v>
      </c>
      <c r="P61" s="20" t="str">
        <f aca="false">IF($L61=0,"",COUNTIF($L$2:$L61,"&gt;0"))</f>
        <v/>
      </c>
      <c r="Q61" s="47" t="n">
        <v>60</v>
      </c>
      <c r="R61" s="20" t="str">
        <f aca="false">IF(60&gt;$V$1,"",COUNTIF($M$2:$M$121,"&lt;"&amp;60)+1)</f>
        <v/>
      </c>
      <c r="S61" s="20" t="str">
        <f aca="false">IF($R61="","",60-IF($R61=1,0,INDEX($M$2:$M$121,$R61-1)))</f>
        <v/>
      </c>
      <c r="T61" s="20" t="n">
        <f aca="false">IF($R61="",0,IF($S61=INDEX($L$2:$L$121,$R61),1,0))</f>
        <v>0</v>
      </c>
      <c r="W61" s="20" t="n">
        <v>1</v>
      </c>
    </row>
    <row r="62" customFormat="false" ht="13.5" hidden="false" customHeight="false" outlineLevel="0" collapsed="false">
      <c r="A62" s="47" t="n">
        <v>61</v>
      </c>
      <c r="B62" s="38" t="str">
        <f aca="false">""</f>
        <v/>
      </c>
      <c r="C62" s="26" t="str">
        <f aca="false">IFERROR(INDEX(输入报销!$C:$C,MATCH($A62&amp;"-1",输入报销!$J:$J,0)),"")</f>
        <v/>
      </c>
      <c r="D62" s="14" t="n">
        <f aca="false">IFERROR(INDEX(输入报销!$B:$B,MATCH($A62&amp;"-1",输入报销!$J:$J,0)),参数!$B$2)</f>
        <v>46234</v>
      </c>
      <c r="K62" s="20" t="n">
        <f aca="false">SUM(分录报销!$J$782:$J$794)</f>
        <v>0</v>
      </c>
      <c r="L62" s="20" t="n">
        <f aca="false">IF(OR($K62=0,$W62=0),0,ROUNDUP($K62/6,0))</f>
        <v>0</v>
      </c>
      <c r="M62" s="20" t="n">
        <f aca="false">SUM($L$2:$L62)</f>
        <v>39</v>
      </c>
      <c r="N62" s="15" t="n">
        <f aca="false">ROUND(SUM(分录报销!$H$782:$H$794),2)</f>
        <v>0</v>
      </c>
      <c r="O62" s="15" t="n">
        <f aca="false">ROUND(SUM(分录报销!$I$782:$I$794),2)</f>
        <v>0</v>
      </c>
      <c r="P62" s="20" t="str">
        <f aca="false">IF($L62=0,"",COUNTIF($L$2:$L62,"&gt;0"))</f>
        <v/>
      </c>
      <c r="Q62" s="47" t="n">
        <v>61</v>
      </c>
      <c r="R62" s="20" t="str">
        <f aca="false">IF(61&gt;$V$1,"",COUNTIF($M$2:$M$121,"&lt;"&amp;61)+1)</f>
        <v/>
      </c>
      <c r="S62" s="20" t="str">
        <f aca="false">IF($R62="","",61-IF($R62=1,0,INDEX($M$2:$M$121,$R62-1)))</f>
        <v/>
      </c>
      <c r="T62" s="20" t="n">
        <f aca="false">IF($R62="",0,IF($S62=INDEX($L$2:$L$121,$R62),1,0))</f>
        <v>0</v>
      </c>
      <c r="W62" s="20" t="n">
        <v>1</v>
      </c>
    </row>
    <row r="63" customFormat="false" ht="13.5" hidden="false" customHeight="false" outlineLevel="0" collapsed="false">
      <c r="A63" s="47" t="n">
        <v>62</v>
      </c>
      <c r="B63" s="38" t="str">
        <f aca="false">""</f>
        <v/>
      </c>
      <c r="C63" s="26" t="str">
        <f aca="false">IFERROR(INDEX(输入报销!$C:$C,MATCH($A63&amp;"-1",输入报销!$J:$J,0)),"")</f>
        <v/>
      </c>
      <c r="D63" s="14" t="n">
        <f aca="false">IFERROR(INDEX(输入报销!$B:$B,MATCH($A63&amp;"-1",输入报销!$J:$J,0)),参数!$B$2)</f>
        <v>46234</v>
      </c>
      <c r="K63" s="20" t="n">
        <f aca="false">SUM(分录报销!$J$795:$J$807)</f>
        <v>0</v>
      </c>
      <c r="L63" s="20" t="n">
        <f aca="false">IF(OR($K63=0,$W63=0),0,ROUNDUP($K63/6,0))</f>
        <v>0</v>
      </c>
      <c r="M63" s="20" t="n">
        <f aca="false">SUM($L$2:$L63)</f>
        <v>39</v>
      </c>
      <c r="N63" s="15" t="n">
        <f aca="false">ROUND(SUM(分录报销!$H$795:$H$807),2)</f>
        <v>0</v>
      </c>
      <c r="O63" s="15" t="n">
        <f aca="false">ROUND(SUM(分录报销!$I$795:$I$807),2)</f>
        <v>0</v>
      </c>
      <c r="P63" s="20" t="str">
        <f aca="false">IF($L63=0,"",COUNTIF($L$2:$L63,"&gt;0"))</f>
        <v/>
      </c>
      <c r="Q63" s="47" t="n">
        <v>62</v>
      </c>
      <c r="R63" s="20" t="str">
        <f aca="false">IF(62&gt;$V$1,"",COUNTIF($M$2:$M$121,"&lt;"&amp;62)+1)</f>
        <v/>
      </c>
      <c r="S63" s="20" t="str">
        <f aca="false">IF($R63="","",62-IF($R63=1,0,INDEX($M$2:$M$121,$R63-1)))</f>
        <v/>
      </c>
      <c r="T63" s="20" t="n">
        <f aca="false">IF($R63="",0,IF($S63=INDEX($L$2:$L$121,$R63),1,0))</f>
        <v>0</v>
      </c>
      <c r="W63" s="20" t="n">
        <v>1</v>
      </c>
    </row>
    <row r="64" customFormat="false" ht="13.5" hidden="false" customHeight="false" outlineLevel="0" collapsed="false">
      <c r="A64" s="47" t="n">
        <v>63</v>
      </c>
      <c r="B64" s="38" t="str">
        <f aca="false">""</f>
        <v/>
      </c>
      <c r="C64" s="26" t="str">
        <f aca="false">IFERROR(INDEX(输入报销!$C:$C,MATCH($A64&amp;"-1",输入报销!$J:$J,0)),"")</f>
        <v/>
      </c>
      <c r="D64" s="14" t="n">
        <f aca="false">IFERROR(INDEX(输入报销!$B:$B,MATCH($A64&amp;"-1",输入报销!$J:$J,0)),参数!$B$2)</f>
        <v>46234</v>
      </c>
      <c r="K64" s="20" t="n">
        <f aca="false">SUM(分录报销!$J$808:$J$820)</f>
        <v>0</v>
      </c>
      <c r="L64" s="20" t="n">
        <f aca="false">IF(OR($K64=0,$W64=0),0,ROUNDUP($K64/6,0))</f>
        <v>0</v>
      </c>
      <c r="M64" s="20" t="n">
        <f aca="false">SUM($L$2:$L64)</f>
        <v>39</v>
      </c>
      <c r="N64" s="15" t="n">
        <f aca="false">ROUND(SUM(分录报销!$H$808:$H$820),2)</f>
        <v>0</v>
      </c>
      <c r="O64" s="15" t="n">
        <f aca="false">ROUND(SUM(分录报销!$I$808:$I$820),2)</f>
        <v>0</v>
      </c>
      <c r="P64" s="20" t="str">
        <f aca="false">IF($L64=0,"",COUNTIF($L$2:$L64,"&gt;0"))</f>
        <v/>
      </c>
      <c r="Q64" s="47" t="n">
        <v>63</v>
      </c>
      <c r="R64" s="20" t="str">
        <f aca="false">IF(63&gt;$V$1,"",COUNTIF($M$2:$M$121,"&lt;"&amp;63)+1)</f>
        <v/>
      </c>
      <c r="S64" s="20" t="str">
        <f aca="false">IF($R64="","",63-IF($R64=1,0,INDEX($M$2:$M$121,$R64-1)))</f>
        <v/>
      </c>
      <c r="T64" s="20" t="n">
        <f aca="false">IF($R64="",0,IF($S64=INDEX($L$2:$L$121,$R64),1,0))</f>
        <v>0</v>
      </c>
      <c r="W64" s="20" t="n">
        <v>1</v>
      </c>
    </row>
    <row r="65" customFormat="false" ht="13.5" hidden="false" customHeight="false" outlineLevel="0" collapsed="false">
      <c r="A65" s="47" t="n">
        <v>64</v>
      </c>
      <c r="B65" s="38" t="str">
        <f aca="false">""</f>
        <v/>
      </c>
      <c r="C65" s="26" t="str">
        <f aca="false">IFERROR(INDEX(输入报销!$C:$C,MATCH($A65&amp;"-1",输入报销!$J:$J,0)),"")</f>
        <v/>
      </c>
      <c r="D65" s="14" t="n">
        <f aca="false">IFERROR(INDEX(输入报销!$B:$B,MATCH($A65&amp;"-1",输入报销!$J:$J,0)),参数!$B$2)</f>
        <v>46234</v>
      </c>
      <c r="K65" s="20" t="n">
        <f aca="false">SUM(分录报销!$J$821:$J$833)</f>
        <v>0</v>
      </c>
      <c r="L65" s="20" t="n">
        <f aca="false">IF(OR($K65=0,$W65=0),0,ROUNDUP($K65/6,0))</f>
        <v>0</v>
      </c>
      <c r="M65" s="20" t="n">
        <f aca="false">SUM($L$2:$L65)</f>
        <v>39</v>
      </c>
      <c r="N65" s="15" t="n">
        <f aca="false">ROUND(SUM(分录报销!$H$821:$H$833),2)</f>
        <v>0</v>
      </c>
      <c r="O65" s="15" t="n">
        <f aca="false">ROUND(SUM(分录报销!$I$821:$I$833),2)</f>
        <v>0</v>
      </c>
      <c r="P65" s="20" t="str">
        <f aca="false">IF($L65=0,"",COUNTIF($L$2:$L65,"&gt;0"))</f>
        <v/>
      </c>
      <c r="Q65" s="47" t="n">
        <v>64</v>
      </c>
      <c r="R65" s="20" t="str">
        <f aca="false">IF(64&gt;$V$1,"",COUNTIF($M$2:$M$121,"&lt;"&amp;64)+1)</f>
        <v/>
      </c>
      <c r="S65" s="20" t="str">
        <f aca="false">IF($R65="","",64-IF($R65=1,0,INDEX($M$2:$M$121,$R65-1)))</f>
        <v/>
      </c>
      <c r="T65" s="20" t="n">
        <f aca="false">IF($R65="",0,IF($S65=INDEX($L$2:$L$121,$R65),1,0))</f>
        <v>0</v>
      </c>
      <c r="W65" s="20" t="n">
        <v>1</v>
      </c>
    </row>
    <row r="66" customFormat="false" ht="13.5" hidden="false" customHeight="false" outlineLevel="0" collapsed="false">
      <c r="A66" s="47" t="n">
        <v>65</v>
      </c>
      <c r="B66" s="38" t="str">
        <f aca="false">""</f>
        <v/>
      </c>
      <c r="C66" s="26" t="str">
        <f aca="false">IFERROR(INDEX(输入报销!$C:$C,MATCH($A66&amp;"-1",输入报销!$J:$J,0)),"")</f>
        <v/>
      </c>
      <c r="D66" s="14" t="n">
        <f aca="false">IFERROR(INDEX(输入报销!$B:$B,MATCH($A66&amp;"-1",输入报销!$J:$J,0)),参数!$B$2)</f>
        <v>46234</v>
      </c>
      <c r="K66" s="20" t="n">
        <f aca="false">SUM(分录报销!$J$834:$J$846)</f>
        <v>0</v>
      </c>
      <c r="L66" s="20" t="n">
        <f aca="false">IF(OR($K66=0,$W66=0),0,ROUNDUP($K66/6,0))</f>
        <v>0</v>
      </c>
      <c r="M66" s="20" t="n">
        <f aca="false">SUM($L$2:$L66)</f>
        <v>39</v>
      </c>
      <c r="N66" s="15" t="n">
        <f aca="false">ROUND(SUM(分录报销!$H$834:$H$846),2)</f>
        <v>0</v>
      </c>
      <c r="O66" s="15" t="n">
        <f aca="false">ROUND(SUM(分录报销!$I$834:$I$846),2)</f>
        <v>0</v>
      </c>
      <c r="P66" s="20" t="str">
        <f aca="false">IF($L66=0,"",COUNTIF($L$2:$L66,"&gt;0"))</f>
        <v/>
      </c>
      <c r="Q66" s="47" t="n">
        <v>65</v>
      </c>
      <c r="R66" s="20" t="str">
        <f aca="false">IF(65&gt;$V$1,"",COUNTIF($M$2:$M$121,"&lt;"&amp;65)+1)</f>
        <v/>
      </c>
      <c r="S66" s="20" t="str">
        <f aca="false">IF($R66="","",65-IF($R66=1,0,INDEX($M$2:$M$121,$R66-1)))</f>
        <v/>
      </c>
      <c r="T66" s="20" t="n">
        <f aca="false">IF($R66="",0,IF($S66=INDEX($L$2:$L$121,$R66),1,0))</f>
        <v>0</v>
      </c>
      <c r="W66" s="20" t="n">
        <v>1</v>
      </c>
    </row>
    <row r="67" customFormat="false" ht="13.5" hidden="false" customHeight="false" outlineLevel="0" collapsed="false">
      <c r="A67" s="47" t="n">
        <v>66</v>
      </c>
      <c r="B67" s="38" t="str">
        <f aca="false">""</f>
        <v/>
      </c>
      <c r="C67" s="26" t="str">
        <f aca="false">IFERROR(INDEX(输入报销!$C:$C,MATCH($A67&amp;"-1",输入报销!$J:$J,0)),"")</f>
        <v/>
      </c>
      <c r="D67" s="14" t="n">
        <f aca="false">IFERROR(INDEX(输入报销!$B:$B,MATCH($A67&amp;"-1",输入报销!$J:$J,0)),参数!$B$2)</f>
        <v>46234</v>
      </c>
      <c r="K67" s="20" t="n">
        <f aca="false">SUM(分录报销!$J$847:$J$859)</f>
        <v>0</v>
      </c>
      <c r="L67" s="20" t="n">
        <f aca="false">IF(OR($K67=0,$W67=0),0,ROUNDUP($K67/6,0))</f>
        <v>0</v>
      </c>
      <c r="M67" s="20" t="n">
        <f aca="false">SUM($L$2:$L67)</f>
        <v>39</v>
      </c>
      <c r="N67" s="15" t="n">
        <f aca="false">ROUND(SUM(分录报销!$H$847:$H$859),2)</f>
        <v>0</v>
      </c>
      <c r="O67" s="15" t="n">
        <f aca="false">ROUND(SUM(分录报销!$I$847:$I$859),2)</f>
        <v>0</v>
      </c>
      <c r="P67" s="20" t="str">
        <f aca="false">IF($L67=0,"",COUNTIF($L$2:$L67,"&gt;0"))</f>
        <v/>
      </c>
      <c r="Q67" s="47" t="n">
        <v>66</v>
      </c>
      <c r="R67" s="20" t="str">
        <f aca="false">IF(66&gt;$V$1,"",COUNTIF($M$2:$M$121,"&lt;"&amp;66)+1)</f>
        <v/>
      </c>
      <c r="S67" s="20" t="str">
        <f aca="false">IF($R67="","",66-IF($R67=1,0,INDEX($M$2:$M$121,$R67-1)))</f>
        <v/>
      </c>
      <c r="T67" s="20" t="n">
        <f aca="false">IF($R67="",0,IF($S67=INDEX($L$2:$L$121,$R67),1,0))</f>
        <v>0</v>
      </c>
      <c r="W67" s="20" t="n">
        <v>1</v>
      </c>
    </row>
    <row r="68" customFormat="false" ht="13.5" hidden="false" customHeight="false" outlineLevel="0" collapsed="false">
      <c r="A68" s="47" t="n">
        <v>67</v>
      </c>
      <c r="B68" s="38" t="str">
        <f aca="false">""</f>
        <v/>
      </c>
      <c r="C68" s="26" t="str">
        <f aca="false">IFERROR(INDEX(输入报销!$C:$C,MATCH($A68&amp;"-1",输入报销!$J:$J,0)),"")</f>
        <v/>
      </c>
      <c r="D68" s="14" t="n">
        <f aca="false">IFERROR(INDEX(输入报销!$B:$B,MATCH($A68&amp;"-1",输入报销!$J:$J,0)),参数!$B$2)</f>
        <v>46234</v>
      </c>
      <c r="K68" s="20" t="n">
        <f aca="false">SUM(分录报销!$J$860:$J$872)</f>
        <v>0</v>
      </c>
      <c r="L68" s="20" t="n">
        <f aca="false">IF(OR($K68=0,$W68=0),0,ROUNDUP($K68/6,0))</f>
        <v>0</v>
      </c>
      <c r="M68" s="20" t="n">
        <f aca="false">SUM($L$2:$L68)</f>
        <v>39</v>
      </c>
      <c r="N68" s="15" t="n">
        <f aca="false">ROUND(SUM(分录报销!$H$860:$H$872),2)</f>
        <v>0</v>
      </c>
      <c r="O68" s="15" t="n">
        <f aca="false">ROUND(SUM(分录报销!$I$860:$I$872),2)</f>
        <v>0</v>
      </c>
      <c r="P68" s="20" t="str">
        <f aca="false">IF($L68=0,"",COUNTIF($L$2:$L68,"&gt;0"))</f>
        <v/>
      </c>
      <c r="Q68" s="47" t="n">
        <v>67</v>
      </c>
      <c r="R68" s="20" t="str">
        <f aca="false">IF(67&gt;$V$1,"",COUNTIF($M$2:$M$121,"&lt;"&amp;67)+1)</f>
        <v/>
      </c>
      <c r="S68" s="20" t="str">
        <f aca="false">IF($R68="","",67-IF($R68=1,0,INDEX($M$2:$M$121,$R68-1)))</f>
        <v/>
      </c>
      <c r="T68" s="20" t="n">
        <f aca="false">IF($R68="",0,IF($S68=INDEX($L$2:$L$121,$R68),1,0))</f>
        <v>0</v>
      </c>
      <c r="W68" s="20" t="n">
        <v>1</v>
      </c>
    </row>
    <row r="69" customFormat="false" ht="13.5" hidden="false" customHeight="false" outlineLevel="0" collapsed="false">
      <c r="A69" s="47" t="n">
        <v>68</v>
      </c>
      <c r="B69" s="38" t="str">
        <f aca="false">""</f>
        <v/>
      </c>
      <c r="C69" s="26" t="str">
        <f aca="false">IFERROR(INDEX(输入报销!$C:$C,MATCH($A69&amp;"-1",输入报销!$J:$J,0)),"")</f>
        <v/>
      </c>
      <c r="D69" s="14" t="n">
        <f aca="false">IFERROR(INDEX(输入报销!$B:$B,MATCH($A69&amp;"-1",输入报销!$J:$J,0)),参数!$B$2)</f>
        <v>46234</v>
      </c>
      <c r="K69" s="20" t="n">
        <f aca="false">SUM(分录报销!$J$873:$J$885)</f>
        <v>0</v>
      </c>
      <c r="L69" s="20" t="n">
        <f aca="false">IF(OR($K69=0,$W69=0),0,ROUNDUP($K69/6,0))</f>
        <v>0</v>
      </c>
      <c r="M69" s="20" t="n">
        <f aca="false">SUM($L$2:$L69)</f>
        <v>39</v>
      </c>
      <c r="N69" s="15" t="n">
        <f aca="false">ROUND(SUM(分录报销!$H$873:$H$885),2)</f>
        <v>0</v>
      </c>
      <c r="O69" s="15" t="n">
        <f aca="false">ROUND(SUM(分录报销!$I$873:$I$885),2)</f>
        <v>0</v>
      </c>
      <c r="P69" s="20" t="str">
        <f aca="false">IF($L69=0,"",COUNTIF($L$2:$L69,"&gt;0"))</f>
        <v/>
      </c>
      <c r="Q69" s="47" t="n">
        <v>68</v>
      </c>
      <c r="R69" s="20" t="str">
        <f aca="false">IF(68&gt;$V$1,"",COUNTIF($M$2:$M$121,"&lt;"&amp;68)+1)</f>
        <v/>
      </c>
      <c r="S69" s="20" t="str">
        <f aca="false">IF($R69="","",68-IF($R69=1,0,INDEX($M$2:$M$121,$R69-1)))</f>
        <v/>
      </c>
      <c r="T69" s="20" t="n">
        <f aca="false">IF($R69="",0,IF($S69=INDEX($L$2:$L$121,$R69),1,0))</f>
        <v>0</v>
      </c>
      <c r="W69" s="20" t="n">
        <v>1</v>
      </c>
    </row>
    <row r="70" customFormat="false" ht="13.5" hidden="false" customHeight="false" outlineLevel="0" collapsed="false">
      <c r="A70" s="47" t="n">
        <v>69</v>
      </c>
      <c r="B70" s="38" t="str">
        <f aca="false">""</f>
        <v/>
      </c>
      <c r="C70" s="26" t="str">
        <f aca="false">IFERROR(INDEX(输入报销!$C:$C,MATCH($A70&amp;"-1",输入报销!$J:$J,0)),"")</f>
        <v/>
      </c>
      <c r="D70" s="14" t="n">
        <f aca="false">IFERROR(INDEX(输入报销!$B:$B,MATCH($A70&amp;"-1",输入报销!$J:$J,0)),参数!$B$2)</f>
        <v>46234</v>
      </c>
      <c r="K70" s="20" t="n">
        <f aca="false">SUM(分录报销!$J$886:$J$898)</f>
        <v>0</v>
      </c>
      <c r="L70" s="20" t="n">
        <f aca="false">IF(OR($K70=0,$W70=0),0,ROUNDUP($K70/6,0))</f>
        <v>0</v>
      </c>
      <c r="M70" s="20" t="n">
        <f aca="false">SUM($L$2:$L70)</f>
        <v>39</v>
      </c>
      <c r="N70" s="15" t="n">
        <f aca="false">ROUND(SUM(分录报销!$H$886:$H$898),2)</f>
        <v>0</v>
      </c>
      <c r="O70" s="15" t="n">
        <f aca="false">ROUND(SUM(分录报销!$I$886:$I$898),2)</f>
        <v>0</v>
      </c>
      <c r="P70" s="20" t="str">
        <f aca="false">IF($L70=0,"",COUNTIF($L$2:$L70,"&gt;0"))</f>
        <v/>
      </c>
      <c r="Q70" s="47" t="n">
        <v>69</v>
      </c>
      <c r="R70" s="20" t="str">
        <f aca="false">IF(69&gt;$V$1,"",COUNTIF($M$2:$M$121,"&lt;"&amp;69)+1)</f>
        <v/>
      </c>
      <c r="S70" s="20" t="str">
        <f aca="false">IF($R70="","",69-IF($R70=1,0,INDEX($M$2:$M$121,$R70-1)))</f>
        <v/>
      </c>
      <c r="T70" s="20" t="n">
        <f aca="false">IF($R70="",0,IF($S70=INDEX($L$2:$L$121,$R70),1,0))</f>
        <v>0</v>
      </c>
      <c r="W70" s="20" t="n">
        <v>1</v>
      </c>
    </row>
    <row r="71" customFormat="false" ht="13.5" hidden="false" customHeight="false" outlineLevel="0" collapsed="false">
      <c r="A71" s="47" t="n">
        <v>70</v>
      </c>
      <c r="B71" s="38" t="str">
        <f aca="false">""</f>
        <v/>
      </c>
      <c r="C71" s="26" t="str">
        <f aca="false">IFERROR(INDEX(输入报销!$C:$C,MATCH($A71&amp;"-1",输入报销!$J:$J,0)),"")</f>
        <v/>
      </c>
      <c r="D71" s="14" t="n">
        <f aca="false">IFERROR(INDEX(输入报销!$B:$B,MATCH($A71&amp;"-1",输入报销!$J:$J,0)),参数!$B$2)</f>
        <v>46234</v>
      </c>
      <c r="K71" s="20" t="n">
        <f aca="false">SUM(分录报销!$J$899:$J$911)</f>
        <v>0</v>
      </c>
      <c r="L71" s="20" t="n">
        <f aca="false">IF(OR($K71=0,$W71=0),0,ROUNDUP($K71/6,0))</f>
        <v>0</v>
      </c>
      <c r="M71" s="20" t="n">
        <f aca="false">SUM($L$2:$L71)</f>
        <v>39</v>
      </c>
      <c r="N71" s="15" t="n">
        <f aca="false">ROUND(SUM(分录报销!$H$899:$H$911),2)</f>
        <v>0</v>
      </c>
      <c r="O71" s="15" t="n">
        <f aca="false">ROUND(SUM(分录报销!$I$899:$I$911),2)</f>
        <v>0</v>
      </c>
      <c r="P71" s="20" t="str">
        <f aca="false">IF($L71=0,"",COUNTIF($L$2:$L71,"&gt;0"))</f>
        <v/>
      </c>
      <c r="Q71" s="47" t="n">
        <v>70</v>
      </c>
      <c r="R71" s="20" t="str">
        <f aca="false">IF(70&gt;$V$1,"",COUNTIF($M$2:$M$121,"&lt;"&amp;70)+1)</f>
        <v/>
      </c>
      <c r="S71" s="20" t="str">
        <f aca="false">IF($R71="","",70-IF($R71=1,0,INDEX($M$2:$M$121,$R71-1)))</f>
        <v/>
      </c>
      <c r="T71" s="20" t="n">
        <f aca="false">IF($R71="",0,IF($S71=INDEX($L$2:$L$121,$R71),1,0))</f>
        <v>0</v>
      </c>
      <c r="W71" s="20" t="n">
        <v>1</v>
      </c>
    </row>
    <row r="72" customFormat="false" ht="13.5" hidden="false" customHeight="false" outlineLevel="0" collapsed="false">
      <c r="A72" s="47" t="n">
        <v>71</v>
      </c>
      <c r="B72" s="38" t="str">
        <f aca="false">""</f>
        <v/>
      </c>
      <c r="C72" s="26" t="str">
        <f aca="false">IFERROR(INDEX(输入报销!$C:$C,MATCH($A72&amp;"-1",输入报销!$J:$J,0)),"")</f>
        <v/>
      </c>
      <c r="D72" s="14" t="n">
        <f aca="false">IFERROR(INDEX(输入报销!$B:$B,MATCH($A72&amp;"-1",输入报销!$J:$J,0)),参数!$B$2)</f>
        <v>46234</v>
      </c>
      <c r="K72" s="20" t="n">
        <f aca="false">SUM(分录报销!$J$912:$J$924)</f>
        <v>0</v>
      </c>
      <c r="L72" s="20" t="n">
        <f aca="false">IF(OR($K72=0,$W72=0),0,ROUNDUP($K72/6,0))</f>
        <v>0</v>
      </c>
      <c r="M72" s="20" t="n">
        <f aca="false">SUM($L$2:$L72)</f>
        <v>39</v>
      </c>
      <c r="N72" s="15" t="n">
        <f aca="false">ROUND(SUM(分录报销!$H$912:$H$924),2)</f>
        <v>0</v>
      </c>
      <c r="O72" s="15" t="n">
        <f aca="false">ROUND(SUM(分录报销!$I$912:$I$924),2)</f>
        <v>0</v>
      </c>
      <c r="P72" s="20" t="str">
        <f aca="false">IF($L72=0,"",COUNTIF($L$2:$L72,"&gt;0"))</f>
        <v/>
      </c>
      <c r="Q72" s="47" t="n">
        <v>71</v>
      </c>
      <c r="R72" s="20" t="str">
        <f aca="false">IF(71&gt;$V$1,"",COUNTIF($M$2:$M$121,"&lt;"&amp;71)+1)</f>
        <v/>
      </c>
      <c r="S72" s="20" t="str">
        <f aca="false">IF($R72="","",71-IF($R72=1,0,INDEX($M$2:$M$121,$R72-1)))</f>
        <v/>
      </c>
      <c r="T72" s="20" t="n">
        <f aca="false">IF($R72="",0,IF($S72=INDEX($L$2:$L$121,$R72),1,0))</f>
        <v>0</v>
      </c>
      <c r="W72" s="20" t="n">
        <v>1</v>
      </c>
    </row>
    <row r="73" customFormat="false" ht="13.5" hidden="false" customHeight="false" outlineLevel="0" collapsed="false">
      <c r="A73" s="47" t="n">
        <v>72</v>
      </c>
      <c r="B73" s="38" t="str">
        <f aca="false">""</f>
        <v/>
      </c>
      <c r="C73" s="26" t="str">
        <f aca="false">IFERROR(INDEX(输入报销!$C:$C,MATCH($A73&amp;"-1",输入报销!$J:$J,0)),"")</f>
        <v/>
      </c>
      <c r="D73" s="14" t="n">
        <f aca="false">IFERROR(INDEX(输入报销!$B:$B,MATCH($A73&amp;"-1",输入报销!$J:$J,0)),参数!$B$2)</f>
        <v>46234</v>
      </c>
      <c r="K73" s="20" t="n">
        <f aca="false">SUM(分录报销!$J$925:$J$937)</f>
        <v>0</v>
      </c>
      <c r="L73" s="20" t="n">
        <f aca="false">IF(OR($K73=0,$W73=0),0,ROUNDUP($K73/6,0))</f>
        <v>0</v>
      </c>
      <c r="M73" s="20" t="n">
        <f aca="false">SUM($L$2:$L73)</f>
        <v>39</v>
      </c>
      <c r="N73" s="15" t="n">
        <f aca="false">ROUND(SUM(分录报销!$H$925:$H$937),2)</f>
        <v>0</v>
      </c>
      <c r="O73" s="15" t="n">
        <f aca="false">ROUND(SUM(分录报销!$I$925:$I$937),2)</f>
        <v>0</v>
      </c>
      <c r="P73" s="20" t="str">
        <f aca="false">IF($L73=0,"",COUNTIF($L$2:$L73,"&gt;0"))</f>
        <v/>
      </c>
      <c r="Q73" s="47" t="n">
        <v>72</v>
      </c>
      <c r="R73" s="20" t="str">
        <f aca="false">IF(72&gt;$V$1,"",COUNTIF($M$2:$M$121,"&lt;"&amp;72)+1)</f>
        <v/>
      </c>
      <c r="S73" s="20" t="str">
        <f aca="false">IF($R73="","",72-IF($R73=1,0,INDEX($M$2:$M$121,$R73-1)))</f>
        <v/>
      </c>
      <c r="T73" s="20" t="n">
        <f aca="false">IF($R73="",0,IF($S73=INDEX($L$2:$L$121,$R73),1,0))</f>
        <v>0</v>
      </c>
      <c r="W73" s="20" t="n">
        <v>1</v>
      </c>
    </row>
    <row r="74" customFormat="false" ht="13.5" hidden="false" customHeight="false" outlineLevel="0" collapsed="false">
      <c r="A74" s="47" t="n">
        <v>73</v>
      </c>
      <c r="B74" s="38" t="str">
        <f aca="false">""</f>
        <v/>
      </c>
      <c r="C74" s="26" t="str">
        <f aca="false">IFERROR(INDEX(输入报销!$C:$C,MATCH($A74&amp;"-1",输入报销!$J:$J,0)),"")</f>
        <v/>
      </c>
      <c r="D74" s="14" t="n">
        <f aca="false">IFERROR(INDEX(输入报销!$B:$B,MATCH($A74&amp;"-1",输入报销!$J:$J,0)),参数!$B$2)</f>
        <v>46234</v>
      </c>
      <c r="K74" s="20" t="n">
        <f aca="false">SUM(分录报销!$J$938:$J$950)</f>
        <v>0</v>
      </c>
      <c r="L74" s="20" t="n">
        <f aca="false">IF(OR($K74=0,$W74=0),0,ROUNDUP($K74/6,0))</f>
        <v>0</v>
      </c>
      <c r="M74" s="20" t="n">
        <f aca="false">SUM($L$2:$L74)</f>
        <v>39</v>
      </c>
      <c r="N74" s="15" t="n">
        <f aca="false">ROUND(SUM(分录报销!$H$938:$H$950),2)</f>
        <v>0</v>
      </c>
      <c r="O74" s="15" t="n">
        <f aca="false">ROUND(SUM(分录报销!$I$938:$I$950),2)</f>
        <v>0</v>
      </c>
      <c r="P74" s="20" t="str">
        <f aca="false">IF($L74=0,"",COUNTIF($L$2:$L74,"&gt;0"))</f>
        <v/>
      </c>
      <c r="Q74" s="47" t="n">
        <v>73</v>
      </c>
      <c r="R74" s="20" t="str">
        <f aca="false">IF(73&gt;$V$1,"",COUNTIF($M$2:$M$121,"&lt;"&amp;73)+1)</f>
        <v/>
      </c>
      <c r="S74" s="20" t="str">
        <f aca="false">IF($R74="","",73-IF($R74=1,0,INDEX($M$2:$M$121,$R74-1)))</f>
        <v/>
      </c>
      <c r="T74" s="20" t="n">
        <f aca="false">IF($R74="",0,IF($S74=INDEX($L$2:$L$121,$R74),1,0))</f>
        <v>0</v>
      </c>
      <c r="W74" s="20" t="n">
        <v>1</v>
      </c>
    </row>
    <row r="75" customFormat="false" ht="13.5" hidden="false" customHeight="false" outlineLevel="0" collapsed="false">
      <c r="A75" s="47" t="n">
        <v>74</v>
      </c>
      <c r="B75" s="38" t="str">
        <f aca="false">""</f>
        <v/>
      </c>
      <c r="C75" s="26" t="str">
        <f aca="false">IFERROR(INDEX(输入报销!$C:$C,MATCH($A75&amp;"-1",输入报销!$J:$J,0)),"")</f>
        <v/>
      </c>
      <c r="D75" s="14" t="n">
        <f aca="false">IFERROR(INDEX(输入报销!$B:$B,MATCH($A75&amp;"-1",输入报销!$J:$J,0)),参数!$B$2)</f>
        <v>46234</v>
      </c>
      <c r="K75" s="20" t="n">
        <f aca="false">SUM(分录报销!$J$951:$J$963)</f>
        <v>0</v>
      </c>
      <c r="L75" s="20" t="n">
        <f aca="false">IF(OR($K75=0,$W75=0),0,ROUNDUP($K75/6,0))</f>
        <v>0</v>
      </c>
      <c r="M75" s="20" t="n">
        <f aca="false">SUM($L$2:$L75)</f>
        <v>39</v>
      </c>
      <c r="N75" s="15" t="n">
        <f aca="false">ROUND(SUM(分录报销!$H$951:$H$963),2)</f>
        <v>0</v>
      </c>
      <c r="O75" s="15" t="n">
        <f aca="false">ROUND(SUM(分录报销!$I$951:$I$963),2)</f>
        <v>0</v>
      </c>
      <c r="P75" s="20" t="str">
        <f aca="false">IF($L75=0,"",COUNTIF($L$2:$L75,"&gt;0"))</f>
        <v/>
      </c>
      <c r="Q75" s="47" t="n">
        <v>74</v>
      </c>
      <c r="R75" s="20" t="str">
        <f aca="false">IF(74&gt;$V$1,"",COUNTIF($M$2:$M$121,"&lt;"&amp;74)+1)</f>
        <v/>
      </c>
      <c r="S75" s="20" t="str">
        <f aca="false">IF($R75="","",74-IF($R75=1,0,INDEX($M$2:$M$121,$R75-1)))</f>
        <v/>
      </c>
      <c r="T75" s="20" t="n">
        <f aca="false">IF($R75="",0,IF($S75=INDEX($L$2:$L$121,$R75),1,0))</f>
        <v>0</v>
      </c>
      <c r="W75" s="20" t="n">
        <v>1</v>
      </c>
    </row>
    <row r="76" customFormat="false" ht="13.5" hidden="false" customHeight="false" outlineLevel="0" collapsed="false">
      <c r="A76" s="47" t="n">
        <v>75</v>
      </c>
      <c r="B76" s="38" t="str">
        <f aca="false">""</f>
        <v/>
      </c>
      <c r="C76" s="26" t="str">
        <f aca="false">IFERROR(INDEX(输入报销!$C:$C,MATCH($A76&amp;"-1",输入报销!$J:$J,0)),"")</f>
        <v/>
      </c>
      <c r="D76" s="14" t="n">
        <f aca="false">IFERROR(INDEX(输入报销!$B:$B,MATCH($A76&amp;"-1",输入报销!$J:$J,0)),参数!$B$2)</f>
        <v>46234</v>
      </c>
      <c r="K76" s="20" t="n">
        <f aca="false">SUM(分录报销!$J$964:$J$976)</f>
        <v>0</v>
      </c>
      <c r="L76" s="20" t="n">
        <f aca="false">IF(OR($K76=0,$W76=0),0,ROUNDUP($K76/6,0))</f>
        <v>0</v>
      </c>
      <c r="M76" s="20" t="n">
        <f aca="false">SUM($L$2:$L76)</f>
        <v>39</v>
      </c>
      <c r="N76" s="15" t="n">
        <f aca="false">ROUND(SUM(分录报销!$H$964:$H$976),2)</f>
        <v>0</v>
      </c>
      <c r="O76" s="15" t="n">
        <f aca="false">ROUND(SUM(分录报销!$I$964:$I$976),2)</f>
        <v>0</v>
      </c>
      <c r="P76" s="20" t="str">
        <f aca="false">IF($L76=0,"",COUNTIF($L$2:$L76,"&gt;0"))</f>
        <v/>
      </c>
      <c r="Q76" s="47" t="n">
        <v>75</v>
      </c>
      <c r="R76" s="20" t="str">
        <f aca="false">IF(75&gt;$V$1,"",COUNTIF($M$2:$M$121,"&lt;"&amp;75)+1)</f>
        <v/>
      </c>
      <c r="S76" s="20" t="str">
        <f aca="false">IF($R76="","",75-IF($R76=1,0,INDEX($M$2:$M$121,$R76-1)))</f>
        <v/>
      </c>
      <c r="T76" s="20" t="n">
        <f aca="false">IF($R76="",0,IF($S76=INDEX($L$2:$L$121,$R76),1,0))</f>
        <v>0</v>
      </c>
      <c r="W76" s="20" t="n">
        <v>1</v>
      </c>
    </row>
    <row r="77" customFormat="false" ht="13.5" hidden="false" customHeight="false" outlineLevel="0" collapsed="false">
      <c r="A77" s="47" t="n">
        <v>76</v>
      </c>
      <c r="B77" s="38" t="str">
        <f aca="false">""</f>
        <v/>
      </c>
      <c r="C77" s="26" t="str">
        <f aca="false">IFERROR(INDEX(输入报销!$C:$C,MATCH($A77&amp;"-1",输入报销!$J:$J,0)),"")</f>
        <v/>
      </c>
      <c r="D77" s="14" t="n">
        <f aca="false">IFERROR(INDEX(输入报销!$B:$B,MATCH($A77&amp;"-1",输入报销!$J:$J,0)),参数!$B$2)</f>
        <v>46234</v>
      </c>
      <c r="K77" s="20" t="n">
        <f aca="false">SUM(分录报销!$J$977:$J$989)</f>
        <v>0</v>
      </c>
      <c r="L77" s="20" t="n">
        <f aca="false">IF(OR($K77=0,$W77=0),0,ROUNDUP($K77/6,0))</f>
        <v>0</v>
      </c>
      <c r="M77" s="20" t="n">
        <f aca="false">SUM($L$2:$L77)</f>
        <v>39</v>
      </c>
      <c r="N77" s="15" t="n">
        <f aca="false">ROUND(SUM(分录报销!$H$977:$H$989),2)</f>
        <v>0</v>
      </c>
      <c r="O77" s="15" t="n">
        <f aca="false">ROUND(SUM(分录报销!$I$977:$I$989),2)</f>
        <v>0</v>
      </c>
      <c r="P77" s="20" t="str">
        <f aca="false">IF($L77=0,"",COUNTIF($L$2:$L77,"&gt;0"))</f>
        <v/>
      </c>
      <c r="Q77" s="47" t="n">
        <v>76</v>
      </c>
      <c r="R77" s="20" t="str">
        <f aca="false">IF(76&gt;$V$1,"",COUNTIF($M$2:$M$121,"&lt;"&amp;76)+1)</f>
        <v/>
      </c>
      <c r="S77" s="20" t="str">
        <f aca="false">IF($R77="","",76-IF($R77=1,0,INDEX($M$2:$M$121,$R77-1)))</f>
        <v/>
      </c>
      <c r="T77" s="20" t="n">
        <f aca="false">IF($R77="",0,IF($S77=INDEX($L$2:$L$121,$R77),1,0))</f>
        <v>0</v>
      </c>
      <c r="W77" s="20" t="n">
        <v>1</v>
      </c>
    </row>
    <row r="78" customFormat="false" ht="13.5" hidden="false" customHeight="false" outlineLevel="0" collapsed="false">
      <c r="A78" s="47" t="n">
        <v>77</v>
      </c>
      <c r="B78" s="38" t="str">
        <f aca="false">""</f>
        <v/>
      </c>
      <c r="C78" s="26" t="str">
        <f aca="false">IFERROR(INDEX(输入报销!$C:$C,MATCH($A78&amp;"-1",输入报销!$J:$J,0)),"")</f>
        <v/>
      </c>
      <c r="D78" s="14" t="n">
        <f aca="false">IFERROR(INDEX(输入报销!$B:$B,MATCH($A78&amp;"-1",输入报销!$J:$J,0)),参数!$B$2)</f>
        <v>46234</v>
      </c>
      <c r="K78" s="20" t="n">
        <f aca="false">SUM(分录报销!$J$990:$J$1002)</f>
        <v>0</v>
      </c>
      <c r="L78" s="20" t="n">
        <f aca="false">IF(OR($K78=0,$W78=0),0,ROUNDUP($K78/6,0))</f>
        <v>0</v>
      </c>
      <c r="M78" s="20" t="n">
        <f aca="false">SUM($L$2:$L78)</f>
        <v>39</v>
      </c>
      <c r="N78" s="15" t="n">
        <f aca="false">ROUND(SUM(分录报销!$H$990:$H$1002),2)</f>
        <v>0</v>
      </c>
      <c r="O78" s="15" t="n">
        <f aca="false">ROUND(SUM(分录报销!$I$990:$I$1002),2)</f>
        <v>0</v>
      </c>
      <c r="P78" s="20" t="str">
        <f aca="false">IF($L78=0,"",COUNTIF($L$2:$L78,"&gt;0"))</f>
        <v/>
      </c>
      <c r="Q78" s="47" t="n">
        <v>77</v>
      </c>
      <c r="R78" s="20" t="str">
        <f aca="false">IF(77&gt;$V$1,"",COUNTIF($M$2:$M$121,"&lt;"&amp;77)+1)</f>
        <v/>
      </c>
      <c r="S78" s="20" t="str">
        <f aca="false">IF($R78="","",77-IF($R78=1,0,INDEX($M$2:$M$121,$R78-1)))</f>
        <v/>
      </c>
      <c r="T78" s="20" t="n">
        <f aca="false">IF($R78="",0,IF($S78=INDEX($L$2:$L$121,$R78),1,0))</f>
        <v>0</v>
      </c>
      <c r="W78" s="20" t="n">
        <v>1</v>
      </c>
    </row>
    <row r="79" customFormat="false" ht="13.5" hidden="false" customHeight="false" outlineLevel="0" collapsed="false">
      <c r="A79" s="47" t="n">
        <v>78</v>
      </c>
      <c r="B79" s="38" t="str">
        <f aca="false">""</f>
        <v/>
      </c>
      <c r="C79" s="26" t="str">
        <f aca="false">IFERROR(INDEX(输入报销!$C:$C,MATCH($A79&amp;"-1",输入报销!$J:$J,0)),"")</f>
        <v/>
      </c>
      <c r="D79" s="14" t="n">
        <f aca="false">IFERROR(INDEX(输入报销!$B:$B,MATCH($A79&amp;"-1",输入报销!$J:$J,0)),参数!$B$2)</f>
        <v>46234</v>
      </c>
      <c r="K79" s="20" t="n">
        <f aca="false">SUM(分录报销!$J$1003:$J$1015)</f>
        <v>0</v>
      </c>
      <c r="L79" s="20" t="n">
        <f aca="false">IF(OR($K79=0,$W79=0),0,ROUNDUP($K79/6,0))</f>
        <v>0</v>
      </c>
      <c r="M79" s="20" t="n">
        <f aca="false">SUM($L$2:$L79)</f>
        <v>39</v>
      </c>
      <c r="N79" s="15" t="n">
        <f aca="false">ROUND(SUM(分录报销!$H$1003:$H$1015),2)</f>
        <v>0</v>
      </c>
      <c r="O79" s="15" t="n">
        <f aca="false">ROUND(SUM(分录报销!$I$1003:$I$1015),2)</f>
        <v>0</v>
      </c>
      <c r="P79" s="20" t="str">
        <f aca="false">IF($L79=0,"",COUNTIF($L$2:$L79,"&gt;0"))</f>
        <v/>
      </c>
      <c r="Q79" s="47" t="n">
        <v>78</v>
      </c>
      <c r="R79" s="20" t="str">
        <f aca="false">IF(78&gt;$V$1,"",COUNTIF($M$2:$M$121,"&lt;"&amp;78)+1)</f>
        <v/>
      </c>
      <c r="S79" s="20" t="str">
        <f aca="false">IF($R79="","",78-IF($R79=1,0,INDEX($M$2:$M$121,$R79-1)))</f>
        <v/>
      </c>
      <c r="T79" s="20" t="n">
        <f aca="false">IF($R79="",0,IF($S79=INDEX($L$2:$L$121,$R79),1,0))</f>
        <v>0</v>
      </c>
      <c r="W79" s="20" t="n">
        <v>1</v>
      </c>
    </row>
    <row r="80" customFormat="false" ht="13.5" hidden="false" customHeight="false" outlineLevel="0" collapsed="false">
      <c r="A80" s="47" t="n">
        <v>79</v>
      </c>
      <c r="B80" s="38" t="str">
        <f aca="false">""</f>
        <v/>
      </c>
      <c r="C80" s="26" t="str">
        <f aca="false">IFERROR(INDEX(输入报销!$C:$C,MATCH($A80&amp;"-1",输入报销!$J:$J,0)),"")</f>
        <v/>
      </c>
      <c r="D80" s="14" t="n">
        <f aca="false">IFERROR(INDEX(输入报销!$B:$B,MATCH($A80&amp;"-1",输入报销!$J:$J,0)),参数!$B$2)</f>
        <v>46234</v>
      </c>
      <c r="K80" s="20" t="n">
        <f aca="false">SUM(分录报销!$J$1016:$J$1028)</f>
        <v>0</v>
      </c>
      <c r="L80" s="20" t="n">
        <f aca="false">IF(OR($K80=0,$W80=0),0,ROUNDUP($K80/6,0))</f>
        <v>0</v>
      </c>
      <c r="M80" s="20" t="n">
        <f aca="false">SUM($L$2:$L80)</f>
        <v>39</v>
      </c>
      <c r="N80" s="15" t="n">
        <f aca="false">ROUND(SUM(分录报销!$H$1016:$H$1028),2)</f>
        <v>0</v>
      </c>
      <c r="O80" s="15" t="n">
        <f aca="false">ROUND(SUM(分录报销!$I$1016:$I$1028),2)</f>
        <v>0</v>
      </c>
      <c r="P80" s="20" t="str">
        <f aca="false">IF($L80=0,"",COUNTIF($L$2:$L80,"&gt;0"))</f>
        <v/>
      </c>
      <c r="Q80" s="47" t="n">
        <v>79</v>
      </c>
      <c r="R80" s="20" t="str">
        <f aca="false">IF(79&gt;$V$1,"",COUNTIF($M$2:$M$121,"&lt;"&amp;79)+1)</f>
        <v/>
      </c>
      <c r="S80" s="20" t="str">
        <f aca="false">IF($R80="","",79-IF($R80=1,0,INDEX($M$2:$M$121,$R80-1)))</f>
        <v/>
      </c>
      <c r="T80" s="20" t="n">
        <f aca="false">IF($R80="",0,IF($S80=INDEX($L$2:$L$121,$R80),1,0))</f>
        <v>0</v>
      </c>
      <c r="W80" s="20" t="n">
        <v>1</v>
      </c>
    </row>
    <row r="81" customFormat="false" ht="13.5" hidden="false" customHeight="false" outlineLevel="0" collapsed="false">
      <c r="A81" s="47" t="n">
        <v>80</v>
      </c>
      <c r="B81" s="38" t="str">
        <f aca="false">""</f>
        <v/>
      </c>
      <c r="C81" s="26" t="str">
        <f aca="false">IFERROR(INDEX(输入报销!$C:$C,MATCH($A81&amp;"-1",输入报销!$J:$J,0)),"")</f>
        <v/>
      </c>
      <c r="D81" s="14" t="n">
        <f aca="false">IFERROR(INDEX(输入报销!$B:$B,MATCH($A81&amp;"-1",输入报销!$J:$J,0)),参数!$B$2)</f>
        <v>46234</v>
      </c>
      <c r="K81" s="20" t="n">
        <f aca="false">SUM(分录报销!$J$1029:$J$1041)</f>
        <v>0</v>
      </c>
      <c r="L81" s="20" t="n">
        <f aca="false">IF(OR($K81=0,$W81=0),0,ROUNDUP($K81/6,0))</f>
        <v>0</v>
      </c>
      <c r="M81" s="20" t="n">
        <f aca="false">SUM($L$2:$L81)</f>
        <v>39</v>
      </c>
      <c r="N81" s="15" t="n">
        <f aca="false">ROUND(SUM(分录报销!$H$1029:$H$1041),2)</f>
        <v>0</v>
      </c>
      <c r="O81" s="15" t="n">
        <f aca="false">ROUND(SUM(分录报销!$I$1029:$I$1041),2)</f>
        <v>0</v>
      </c>
      <c r="P81" s="20" t="str">
        <f aca="false">IF($L81=0,"",COUNTIF($L$2:$L81,"&gt;0"))</f>
        <v/>
      </c>
      <c r="Q81" s="47" t="n">
        <v>80</v>
      </c>
      <c r="R81" s="20" t="str">
        <f aca="false">IF(80&gt;$V$1,"",COUNTIF($M$2:$M$121,"&lt;"&amp;80)+1)</f>
        <v/>
      </c>
      <c r="S81" s="20" t="str">
        <f aca="false">IF($R81="","",80-IF($R81=1,0,INDEX($M$2:$M$121,$R81-1)))</f>
        <v/>
      </c>
      <c r="T81" s="20" t="n">
        <f aca="false">IF($R81="",0,IF($S81=INDEX($L$2:$L$121,$R81),1,0))</f>
        <v>0</v>
      </c>
      <c r="W81" s="20" t="n">
        <v>1</v>
      </c>
    </row>
    <row r="82" customFormat="false" ht="13.5" hidden="false" customHeight="false" outlineLevel="0" collapsed="false">
      <c r="A82" s="47" t="n">
        <v>81</v>
      </c>
      <c r="B82" s="38" t="str">
        <f aca="false">""</f>
        <v/>
      </c>
      <c r="C82" s="26" t="str">
        <f aca="false">IFERROR(INDEX(输入报销!$C:$C,MATCH($A82&amp;"-1",输入报销!$J:$J,0)),"")</f>
        <v/>
      </c>
      <c r="D82" s="14" t="n">
        <f aca="false">IFERROR(INDEX(输入报销!$B:$B,MATCH($A82&amp;"-1",输入报销!$J:$J,0)),参数!$B$2)</f>
        <v>46234</v>
      </c>
      <c r="K82" s="20" t="n">
        <f aca="false">SUM(分录报销!$J$1042:$J$1054)</f>
        <v>0</v>
      </c>
      <c r="L82" s="20" t="n">
        <f aca="false">IF(OR($K82=0,$W82=0),0,ROUNDUP($K82/6,0))</f>
        <v>0</v>
      </c>
      <c r="M82" s="20" t="n">
        <f aca="false">SUM($L$2:$L82)</f>
        <v>39</v>
      </c>
      <c r="N82" s="15" t="n">
        <f aca="false">ROUND(SUM(分录报销!$H$1042:$H$1054),2)</f>
        <v>0</v>
      </c>
      <c r="O82" s="15" t="n">
        <f aca="false">ROUND(SUM(分录报销!$I$1042:$I$1054),2)</f>
        <v>0</v>
      </c>
      <c r="P82" s="20" t="str">
        <f aca="false">IF($L82=0,"",COUNTIF($L$2:$L82,"&gt;0"))</f>
        <v/>
      </c>
      <c r="Q82" s="47" t="n">
        <v>81</v>
      </c>
      <c r="R82" s="20" t="str">
        <f aca="false">IF(81&gt;$V$1,"",COUNTIF($M$2:$M$121,"&lt;"&amp;81)+1)</f>
        <v/>
      </c>
      <c r="S82" s="20" t="str">
        <f aca="false">IF($R82="","",81-IF($R82=1,0,INDEX($M$2:$M$121,$R82-1)))</f>
        <v/>
      </c>
      <c r="T82" s="20" t="n">
        <f aca="false">IF($R82="",0,IF($S82=INDEX($L$2:$L$121,$R82),1,0))</f>
        <v>0</v>
      </c>
      <c r="W82" s="20" t="n">
        <v>1</v>
      </c>
    </row>
    <row r="83" customFormat="false" ht="13.5" hidden="false" customHeight="false" outlineLevel="0" collapsed="false">
      <c r="A83" s="47" t="n">
        <v>82</v>
      </c>
      <c r="B83" s="38" t="str">
        <f aca="false">""</f>
        <v/>
      </c>
      <c r="C83" s="26" t="str">
        <f aca="false">IFERROR(INDEX(输入报销!$C:$C,MATCH($A83&amp;"-1",输入报销!$J:$J,0)),"")</f>
        <v/>
      </c>
      <c r="D83" s="14" t="n">
        <f aca="false">IFERROR(INDEX(输入报销!$B:$B,MATCH($A83&amp;"-1",输入报销!$J:$J,0)),参数!$B$2)</f>
        <v>46234</v>
      </c>
      <c r="K83" s="20" t="n">
        <f aca="false">SUM(分录报销!$J$1055:$J$1067)</f>
        <v>0</v>
      </c>
      <c r="L83" s="20" t="n">
        <f aca="false">IF(OR($K83=0,$W83=0),0,ROUNDUP($K83/6,0))</f>
        <v>0</v>
      </c>
      <c r="M83" s="20" t="n">
        <f aca="false">SUM($L$2:$L83)</f>
        <v>39</v>
      </c>
      <c r="N83" s="15" t="n">
        <f aca="false">ROUND(SUM(分录报销!$H$1055:$H$1067),2)</f>
        <v>0</v>
      </c>
      <c r="O83" s="15" t="n">
        <f aca="false">ROUND(SUM(分录报销!$I$1055:$I$1067),2)</f>
        <v>0</v>
      </c>
      <c r="P83" s="20" t="str">
        <f aca="false">IF($L83=0,"",COUNTIF($L$2:$L83,"&gt;0"))</f>
        <v/>
      </c>
      <c r="Q83" s="47" t="n">
        <v>82</v>
      </c>
      <c r="R83" s="20" t="str">
        <f aca="false">IF(82&gt;$V$1,"",COUNTIF($M$2:$M$121,"&lt;"&amp;82)+1)</f>
        <v/>
      </c>
      <c r="S83" s="20" t="str">
        <f aca="false">IF($R83="","",82-IF($R83=1,0,INDEX($M$2:$M$121,$R83-1)))</f>
        <v/>
      </c>
      <c r="T83" s="20" t="n">
        <f aca="false">IF($R83="",0,IF($S83=INDEX($L$2:$L$121,$R83),1,0))</f>
        <v>0</v>
      </c>
      <c r="W83" s="20" t="n">
        <v>1</v>
      </c>
    </row>
    <row r="84" customFormat="false" ht="13.5" hidden="false" customHeight="false" outlineLevel="0" collapsed="false">
      <c r="A84" s="47" t="n">
        <v>83</v>
      </c>
      <c r="B84" s="38" t="str">
        <f aca="false">""</f>
        <v/>
      </c>
      <c r="C84" s="26" t="str">
        <f aca="false">IFERROR(INDEX(输入报销!$C:$C,MATCH($A84&amp;"-1",输入报销!$J:$J,0)),"")</f>
        <v/>
      </c>
      <c r="D84" s="14" t="n">
        <f aca="false">IFERROR(INDEX(输入报销!$B:$B,MATCH($A84&amp;"-1",输入报销!$J:$J,0)),参数!$B$2)</f>
        <v>46234</v>
      </c>
      <c r="K84" s="20" t="n">
        <f aca="false">SUM(分录报销!$J$1068:$J$1080)</f>
        <v>0</v>
      </c>
      <c r="L84" s="20" t="n">
        <f aca="false">IF(OR($K84=0,$W84=0),0,ROUNDUP($K84/6,0))</f>
        <v>0</v>
      </c>
      <c r="M84" s="20" t="n">
        <f aca="false">SUM($L$2:$L84)</f>
        <v>39</v>
      </c>
      <c r="N84" s="15" t="n">
        <f aca="false">ROUND(SUM(分录报销!$H$1068:$H$1080),2)</f>
        <v>0</v>
      </c>
      <c r="O84" s="15" t="n">
        <f aca="false">ROUND(SUM(分录报销!$I$1068:$I$1080),2)</f>
        <v>0</v>
      </c>
      <c r="P84" s="20" t="str">
        <f aca="false">IF($L84=0,"",COUNTIF($L$2:$L84,"&gt;0"))</f>
        <v/>
      </c>
      <c r="Q84" s="47" t="n">
        <v>83</v>
      </c>
      <c r="R84" s="20" t="str">
        <f aca="false">IF(83&gt;$V$1,"",COUNTIF($M$2:$M$121,"&lt;"&amp;83)+1)</f>
        <v/>
      </c>
      <c r="S84" s="20" t="str">
        <f aca="false">IF($R84="","",83-IF($R84=1,0,INDEX($M$2:$M$121,$R84-1)))</f>
        <v/>
      </c>
      <c r="T84" s="20" t="n">
        <f aca="false">IF($R84="",0,IF($S84=INDEX($L$2:$L$121,$R84),1,0))</f>
        <v>0</v>
      </c>
      <c r="W84" s="20" t="n">
        <v>1</v>
      </c>
    </row>
    <row r="85" customFormat="false" ht="13.5" hidden="false" customHeight="false" outlineLevel="0" collapsed="false">
      <c r="A85" s="47" t="n">
        <v>84</v>
      </c>
      <c r="B85" s="38" t="str">
        <f aca="false">""</f>
        <v/>
      </c>
      <c r="C85" s="26" t="str">
        <f aca="false">IFERROR(INDEX(输入报销!$C:$C,MATCH($A85&amp;"-1",输入报销!$J:$J,0)),"")</f>
        <v/>
      </c>
      <c r="D85" s="14" t="n">
        <f aca="false">IFERROR(INDEX(输入报销!$B:$B,MATCH($A85&amp;"-1",输入报销!$J:$J,0)),参数!$B$2)</f>
        <v>46234</v>
      </c>
      <c r="K85" s="20" t="n">
        <f aca="false">SUM(分录报销!$J$1081:$J$1093)</f>
        <v>0</v>
      </c>
      <c r="L85" s="20" t="n">
        <f aca="false">IF(OR($K85=0,$W85=0),0,ROUNDUP($K85/6,0))</f>
        <v>0</v>
      </c>
      <c r="M85" s="20" t="n">
        <f aca="false">SUM($L$2:$L85)</f>
        <v>39</v>
      </c>
      <c r="N85" s="15" t="n">
        <f aca="false">ROUND(SUM(分录报销!$H$1081:$H$1093),2)</f>
        <v>0</v>
      </c>
      <c r="O85" s="15" t="n">
        <f aca="false">ROUND(SUM(分录报销!$I$1081:$I$1093),2)</f>
        <v>0</v>
      </c>
      <c r="P85" s="20" t="str">
        <f aca="false">IF($L85=0,"",COUNTIF($L$2:$L85,"&gt;0"))</f>
        <v/>
      </c>
      <c r="Q85" s="47" t="n">
        <v>84</v>
      </c>
      <c r="R85" s="20" t="str">
        <f aca="false">IF(84&gt;$V$1,"",COUNTIF($M$2:$M$121,"&lt;"&amp;84)+1)</f>
        <v/>
      </c>
      <c r="S85" s="20" t="str">
        <f aca="false">IF($R85="","",84-IF($R85=1,0,INDEX($M$2:$M$121,$R85-1)))</f>
        <v/>
      </c>
      <c r="T85" s="20" t="n">
        <f aca="false">IF($R85="",0,IF($S85=INDEX($L$2:$L$121,$R85),1,0))</f>
        <v>0</v>
      </c>
      <c r="W85" s="20" t="n">
        <v>1</v>
      </c>
    </row>
    <row r="86" customFormat="false" ht="13.5" hidden="false" customHeight="false" outlineLevel="0" collapsed="false">
      <c r="A86" s="47" t="n">
        <v>85</v>
      </c>
      <c r="B86" s="38" t="str">
        <f aca="false">""</f>
        <v/>
      </c>
      <c r="C86" s="26" t="str">
        <f aca="false">IFERROR(INDEX(输入报销!$C:$C,MATCH($A86&amp;"-1",输入报销!$J:$J,0)),"")</f>
        <v/>
      </c>
      <c r="D86" s="14" t="n">
        <f aca="false">IFERROR(INDEX(输入报销!$B:$B,MATCH($A86&amp;"-1",输入报销!$J:$J,0)),参数!$B$2)</f>
        <v>46234</v>
      </c>
      <c r="K86" s="20" t="n">
        <f aca="false">SUM(分录报销!$J$1094:$J$1106)</f>
        <v>0</v>
      </c>
      <c r="L86" s="20" t="n">
        <f aca="false">IF(OR($K86=0,$W86=0),0,ROUNDUP($K86/6,0))</f>
        <v>0</v>
      </c>
      <c r="M86" s="20" t="n">
        <f aca="false">SUM($L$2:$L86)</f>
        <v>39</v>
      </c>
      <c r="N86" s="15" t="n">
        <f aca="false">ROUND(SUM(分录报销!$H$1094:$H$1106),2)</f>
        <v>0</v>
      </c>
      <c r="O86" s="15" t="n">
        <f aca="false">ROUND(SUM(分录报销!$I$1094:$I$1106),2)</f>
        <v>0</v>
      </c>
      <c r="P86" s="20" t="str">
        <f aca="false">IF($L86=0,"",COUNTIF($L$2:$L86,"&gt;0"))</f>
        <v/>
      </c>
      <c r="Q86" s="47" t="n">
        <v>85</v>
      </c>
      <c r="R86" s="20" t="str">
        <f aca="false">IF(85&gt;$V$1,"",COUNTIF($M$2:$M$121,"&lt;"&amp;85)+1)</f>
        <v/>
      </c>
      <c r="S86" s="20" t="str">
        <f aca="false">IF($R86="","",85-IF($R86=1,0,INDEX($M$2:$M$121,$R86-1)))</f>
        <v/>
      </c>
      <c r="T86" s="20" t="n">
        <f aca="false">IF($R86="",0,IF($S86=INDEX($L$2:$L$121,$R86),1,0))</f>
        <v>0</v>
      </c>
      <c r="W86" s="20" t="n">
        <v>1</v>
      </c>
    </row>
    <row r="87" customFormat="false" ht="13.5" hidden="false" customHeight="false" outlineLevel="0" collapsed="false">
      <c r="A87" s="47" t="n">
        <v>86</v>
      </c>
      <c r="B87" s="38" t="str">
        <f aca="false">""</f>
        <v/>
      </c>
      <c r="C87" s="26" t="str">
        <f aca="false">IFERROR(INDEX(输入报销!$C:$C,MATCH($A87&amp;"-1",输入报销!$J:$J,0)),"")</f>
        <v/>
      </c>
      <c r="D87" s="14" t="n">
        <f aca="false">IFERROR(INDEX(输入报销!$B:$B,MATCH($A87&amp;"-1",输入报销!$J:$J,0)),参数!$B$2)</f>
        <v>46234</v>
      </c>
      <c r="K87" s="20" t="n">
        <f aca="false">SUM(分录报销!$J$1107:$J$1119)</f>
        <v>0</v>
      </c>
      <c r="L87" s="20" t="n">
        <f aca="false">IF(OR($K87=0,$W87=0),0,ROUNDUP($K87/6,0))</f>
        <v>0</v>
      </c>
      <c r="M87" s="20" t="n">
        <f aca="false">SUM($L$2:$L87)</f>
        <v>39</v>
      </c>
      <c r="N87" s="15" t="n">
        <f aca="false">ROUND(SUM(分录报销!$H$1107:$H$1119),2)</f>
        <v>0</v>
      </c>
      <c r="O87" s="15" t="n">
        <f aca="false">ROUND(SUM(分录报销!$I$1107:$I$1119),2)</f>
        <v>0</v>
      </c>
      <c r="P87" s="20" t="str">
        <f aca="false">IF($L87=0,"",COUNTIF($L$2:$L87,"&gt;0"))</f>
        <v/>
      </c>
      <c r="Q87" s="47" t="n">
        <v>86</v>
      </c>
      <c r="R87" s="20" t="str">
        <f aca="false">IF(86&gt;$V$1,"",COUNTIF($M$2:$M$121,"&lt;"&amp;86)+1)</f>
        <v/>
      </c>
      <c r="S87" s="20" t="str">
        <f aca="false">IF($R87="","",86-IF($R87=1,0,INDEX($M$2:$M$121,$R87-1)))</f>
        <v/>
      </c>
      <c r="T87" s="20" t="n">
        <f aca="false">IF($R87="",0,IF($S87=INDEX($L$2:$L$121,$R87),1,0))</f>
        <v>0</v>
      </c>
      <c r="W87" s="20" t="n">
        <v>1</v>
      </c>
    </row>
    <row r="88" customFormat="false" ht="13.5" hidden="false" customHeight="false" outlineLevel="0" collapsed="false">
      <c r="A88" s="47" t="n">
        <v>87</v>
      </c>
      <c r="B88" s="38" t="str">
        <f aca="false">""</f>
        <v/>
      </c>
      <c r="C88" s="26" t="str">
        <f aca="false">IFERROR(INDEX(输入报销!$C:$C,MATCH($A88&amp;"-1",输入报销!$J:$J,0)),"")</f>
        <v/>
      </c>
      <c r="D88" s="14" t="n">
        <f aca="false">IFERROR(INDEX(输入报销!$B:$B,MATCH($A88&amp;"-1",输入报销!$J:$J,0)),参数!$B$2)</f>
        <v>46234</v>
      </c>
      <c r="K88" s="20" t="n">
        <f aca="false">SUM(分录报销!$J$1120:$J$1132)</f>
        <v>0</v>
      </c>
      <c r="L88" s="20" t="n">
        <f aca="false">IF(OR($K88=0,$W88=0),0,ROUNDUP($K88/6,0))</f>
        <v>0</v>
      </c>
      <c r="M88" s="20" t="n">
        <f aca="false">SUM($L$2:$L88)</f>
        <v>39</v>
      </c>
      <c r="N88" s="15" t="n">
        <f aca="false">ROUND(SUM(分录报销!$H$1120:$H$1132),2)</f>
        <v>0</v>
      </c>
      <c r="O88" s="15" t="n">
        <f aca="false">ROUND(SUM(分录报销!$I$1120:$I$1132),2)</f>
        <v>0</v>
      </c>
      <c r="P88" s="20" t="str">
        <f aca="false">IF($L88=0,"",COUNTIF($L$2:$L88,"&gt;0"))</f>
        <v/>
      </c>
      <c r="Q88" s="47" t="n">
        <v>87</v>
      </c>
      <c r="R88" s="20" t="str">
        <f aca="false">IF(87&gt;$V$1,"",COUNTIF($M$2:$M$121,"&lt;"&amp;87)+1)</f>
        <v/>
      </c>
      <c r="S88" s="20" t="str">
        <f aca="false">IF($R88="","",87-IF($R88=1,0,INDEX($M$2:$M$121,$R88-1)))</f>
        <v/>
      </c>
      <c r="T88" s="20" t="n">
        <f aca="false">IF($R88="",0,IF($S88=INDEX($L$2:$L$121,$R88),1,0))</f>
        <v>0</v>
      </c>
      <c r="W88" s="20" t="n">
        <v>1</v>
      </c>
    </row>
    <row r="89" customFormat="false" ht="13.5" hidden="false" customHeight="false" outlineLevel="0" collapsed="false">
      <c r="A89" s="47" t="n">
        <v>88</v>
      </c>
      <c r="B89" s="38" t="str">
        <f aca="false">""</f>
        <v/>
      </c>
      <c r="C89" s="26" t="str">
        <f aca="false">IFERROR(INDEX(输入报销!$C:$C,MATCH($A89&amp;"-1",输入报销!$J:$J,0)),"")</f>
        <v/>
      </c>
      <c r="D89" s="14" t="n">
        <f aca="false">IFERROR(INDEX(输入报销!$B:$B,MATCH($A89&amp;"-1",输入报销!$J:$J,0)),参数!$B$2)</f>
        <v>46234</v>
      </c>
      <c r="K89" s="20" t="n">
        <f aca="false">SUM(分录报销!$J$1133:$J$1145)</f>
        <v>0</v>
      </c>
      <c r="L89" s="20" t="n">
        <f aca="false">IF(OR($K89=0,$W89=0),0,ROUNDUP($K89/6,0))</f>
        <v>0</v>
      </c>
      <c r="M89" s="20" t="n">
        <f aca="false">SUM($L$2:$L89)</f>
        <v>39</v>
      </c>
      <c r="N89" s="15" t="n">
        <f aca="false">ROUND(SUM(分录报销!$H$1133:$H$1145),2)</f>
        <v>0</v>
      </c>
      <c r="O89" s="15" t="n">
        <f aca="false">ROUND(SUM(分录报销!$I$1133:$I$1145),2)</f>
        <v>0</v>
      </c>
      <c r="P89" s="20" t="str">
        <f aca="false">IF($L89=0,"",COUNTIF($L$2:$L89,"&gt;0"))</f>
        <v/>
      </c>
      <c r="Q89" s="47" t="n">
        <v>88</v>
      </c>
      <c r="R89" s="20" t="str">
        <f aca="false">IF(88&gt;$V$1,"",COUNTIF($M$2:$M$121,"&lt;"&amp;88)+1)</f>
        <v/>
      </c>
      <c r="S89" s="20" t="str">
        <f aca="false">IF($R89="","",88-IF($R89=1,0,INDEX($M$2:$M$121,$R89-1)))</f>
        <v/>
      </c>
      <c r="T89" s="20" t="n">
        <f aca="false">IF($R89="",0,IF($S89=INDEX($L$2:$L$121,$R89),1,0))</f>
        <v>0</v>
      </c>
      <c r="W89" s="20" t="n">
        <v>1</v>
      </c>
    </row>
    <row r="90" customFormat="false" ht="13.5" hidden="false" customHeight="false" outlineLevel="0" collapsed="false">
      <c r="A90" s="47" t="n">
        <v>89</v>
      </c>
      <c r="B90" s="38" t="str">
        <f aca="false">""</f>
        <v/>
      </c>
      <c r="C90" s="26" t="str">
        <f aca="false">IFERROR(INDEX(输入报销!$C:$C,MATCH($A90&amp;"-1",输入报销!$J:$J,0)),"")</f>
        <v/>
      </c>
      <c r="D90" s="14" t="n">
        <f aca="false">IFERROR(INDEX(输入报销!$B:$B,MATCH($A90&amp;"-1",输入报销!$J:$J,0)),参数!$B$2)</f>
        <v>46234</v>
      </c>
      <c r="K90" s="20" t="n">
        <f aca="false">SUM(分录报销!$J$1146:$J$1158)</f>
        <v>0</v>
      </c>
      <c r="L90" s="20" t="n">
        <f aca="false">IF(OR($K90=0,$W90=0),0,ROUNDUP($K90/6,0))</f>
        <v>0</v>
      </c>
      <c r="M90" s="20" t="n">
        <f aca="false">SUM($L$2:$L90)</f>
        <v>39</v>
      </c>
      <c r="N90" s="15" t="n">
        <f aca="false">ROUND(SUM(分录报销!$H$1146:$H$1158),2)</f>
        <v>0</v>
      </c>
      <c r="O90" s="15" t="n">
        <f aca="false">ROUND(SUM(分录报销!$I$1146:$I$1158),2)</f>
        <v>0</v>
      </c>
      <c r="P90" s="20" t="str">
        <f aca="false">IF($L90=0,"",COUNTIF($L$2:$L90,"&gt;0"))</f>
        <v/>
      </c>
      <c r="Q90" s="47" t="n">
        <v>89</v>
      </c>
      <c r="R90" s="20" t="str">
        <f aca="false">IF(89&gt;$V$1,"",COUNTIF($M$2:$M$121,"&lt;"&amp;89)+1)</f>
        <v/>
      </c>
      <c r="S90" s="20" t="str">
        <f aca="false">IF($R90="","",89-IF($R90=1,0,INDEX($M$2:$M$121,$R90-1)))</f>
        <v/>
      </c>
      <c r="T90" s="20" t="n">
        <f aca="false">IF($R90="",0,IF($S90=INDEX($L$2:$L$121,$R90),1,0))</f>
        <v>0</v>
      </c>
      <c r="W90" s="20" t="n">
        <v>1</v>
      </c>
    </row>
    <row r="91" customFormat="false" ht="13.5" hidden="false" customHeight="false" outlineLevel="0" collapsed="false">
      <c r="A91" s="47" t="n">
        <v>90</v>
      </c>
      <c r="B91" s="38" t="str">
        <f aca="false">""</f>
        <v/>
      </c>
      <c r="C91" s="26" t="str">
        <f aca="false">IFERROR(INDEX(输入报销!$C:$C,MATCH($A91&amp;"-1",输入报销!$J:$J,0)),"")</f>
        <v/>
      </c>
      <c r="D91" s="14" t="n">
        <f aca="false">IFERROR(INDEX(输入报销!$B:$B,MATCH($A91&amp;"-1",输入报销!$J:$J,0)),参数!$B$2)</f>
        <v>46234</v>
      </c>
      <c r="K91" s="20" t="n">
        <f aca="false">SUM(分录报销!$J$1159:$J$1171)</f>
        <v>0</v>
      </c>
      <c r="L91" s="20" t="n">
        <f aca="false">IF(OR($K91=0,$W91=0),0,ROUNDUP($K91/6,0))</f>
        <v>0</v>
      </c>
      <c r="M91" s="20" t="n">
        <f aca="false">SUM($L$2:$L91)</f>
        <v>39</v>
      </c>
      <c r="N91" s="15" t="n">
        <f aca="false">ROUND(SUM(分录报销!$H$1159:$H$1171),2)</f>
        <v>0</v>
      </c>
      <c r="O91" s="15" t="n">
        <f aca="false">ROUND(SUM(分录报销!$I$1159:$I$1171),2)</f>
        <v>0</v>
      </c>
      <c r="P91" s="20" t="str">
        <f aca="false">IF($L91=0,"",COUNTIF($L$2:$L91,"&gt;0"))</f>
        <v/>
      </c>
      <c r="Q91" s="47" t="n">
        <v>90</v>
      </c>
      <c r="R91" s="20" t="str">
        <f aca="false">IF(90&gt;$V$1,"",COUNTIF($M$2:$M$121,"&lt;"&amp;90)+1)</f>
        <v/>
      </c>
      <c r="S91" s="20" t="str">
        <f aca="false">IF($R91="","",90-IF($R91=1,0,INDEX($M$2:$M$121,$R91-1)))</f>
        <v/>
      </c>
      <c r="T91" s="20" t="n">
        <f aca="false">IF($R91="",0,IF($S91=INDEX($L$2:$L$121,$R91),1,0))</f>
        <v>0</v>
      </c>
      <c r="W91" s="20" t="n">
        <v>1</v>
      </c>
    </row>
    <row r="92" customFormat="false" ht="13.5" hidden="false" customHeight="false" outlineLevel="0" collapsed="false">
      <c r="A92" s="47" t="n">
        <v>91</v>
      </c>
      <c r="B92" s="38" t="str">
        <f aca="false">""</f>
        <v/>
      </c>
      <c r="C92" s="26" t="str">
        <f aca="false">IFERROR(INDEX(输入报销!$C:$C,MATCH($A92&amp;"-1",输入报销!$J:$J,0)),"")</f>
        <v/>
      </c>
      <c r="D92" s="14" t="n">
        <f aca="false">IFERROR(INDEX(输入报销!$B:$B,MATCH($A92&amp;"-1",输入报销!$J:$J,0)),参数!$B$2)</f>
        <v>46234</v>
      </c>
      <c r="K92" s="20" t="n">
        <f aca="false">SUM(分录报销!$J$1172:$J$1184)</f>
        <v>0</v>
      </c>
      <c r="L92" s="20" t="n">
        <f aca="false">IF(OR($K92=0,$W92=0),0,ROUNDUP($K92/6,0))</f>
        <v>0</v>
      </c>
      <c r="M92" s="20" t="n">
        <f aca="false">SUM($L$2:$L92)</f>
        <v>39</v>
      </c>
      <c r="N92" s="15" t="n">
        <f aca="false">ROUND(SUM(分录报销!$H$1172:$H$1184),2)</f>
        <v>0</v>
      </c>
      <c r="O92" s="15" t="n">
        <f aca="false">ROUND(SUM(分录报销!$I$1172:$I$1184),2)</f>
        <v>0</v>
      </c>
      <c r="P92" s="20" t="str">
        <f aca="false">IF($L92=0,"",COUNTIF($L$2:$L92,"&gt;0"))</f>
        <v/>
      </c>
      <c r="Q92" s="47" t="n">
        <v>91</v>
      </c>
      <c r="R92" s="20" t="str">
        <f aca="false">IF(91&gt;$V$1,"",COUNTIF($M$2:$M$121,"&lt;"&amp;91)+1)</f>
        <v/>
      </c>
      <c r="S92" s="20" t="str">
        <f aca="false">IF($R92="","",91-IF($R92=1,0,INDEX($M$2:$M$121,$R92-1)))</f>
        <v/>
      </c>
      <c r="T92" s="20" t="n">
        <f aca="false">IF($R92="",0,IF($S92=INDEX($L$2:$L$121,$R92),1,0))</f>
        <v>0</v>
      </c>
      <c r="W92" s="20" t="n">
        <v>1</v>
      </c>
    </row>
    <row r="93" customFormat="false" ht="13.5" hidden="false" customHeight="false" outlineLevel="0" collapsed="false">
      <c r="A93" s="47" t="n">
        <v>92</v>
      </c>
      <c r="B93" s="38" t="str">
        <f aca="false">""</f>
        <v/>
      </c>
      <c r="C93" s="26" t="str">
        <f aca="false">IFERROR(INDEX(输入报销!$C:$C,MATCH($A93&amp;"-1",输入报销!$J:$J,0)),"")</f>
        <v/>
      </c>
      <c r="D93" s="14" t="n">
        <f aca="false">IFERROR(INDEX(输入报销!$B:$B,MATCH($A93&amp;"-1",输入报销!$J:$J,0)),参数!$B$2)</f>
        <v>46234</v>
      </c>
      <c r="K93" s="20" t="n">
        <f aca="false">SUM(分录报销!$J$1185:$J$1197)</f>
        <v>0</v>
      </c>
      <c r="L93" s="20" t="n">
        <f aca="false">IF(OR($K93=0,$W93=0),0,ROUNDUP($K93/6,0))</f>
        <v>0</v>
      </c>
      <c r="M93" s="20" t="n">
        <f aca="false">SUM($L$2:$L93)</f>
        <v>39</v>
      </c>
      <c r="N93" s="15" t="n">
        <f aca="false">ROUND(SUM(分录报销!$H$1185:$H$1197),2)</f>
        <v>0</v>
      </c>
      <c r="O93" s="15" t="n">
        <f aca="false">ROUND(SUM(分录报销!$I$1185:$I$1197),2)</f>
        <v>0</v>
      </c>
      <c r="P93" s="20" t="str">
        <f aca="false">IF($L93=0,"",COUNTIF($L$2:$L93,"&gt;0"))</f>
        <v/>
      </c>
      <c r="Q93" s="47" t="n">
        <v>92</v>
      </c>
      <c r="R93" s="20" t="str">
        <f aca="false">IF(92&gt;$V$1,"",COUNTIF($M$2:$M$121,"&lt;"&amp;92)+1)</f>
        <v/>
      </c>
      <c r="S93" s="20" t="str">
        <f aca="false">IF($R93="","",92-IF($R93=1,0,INDEX($M$2:$M$121,$R93-1)))</f>
        <v/>
      </c>
      <c r="T93" s="20" t="n">
        <f aca="false">IF($R93="",0,IF($S93=INDEX($L$2:$L$121,$R93),1,0))</f>
        <v>0</v>
      </c>
      <c r="W93" s="20" t="n">
        <v>1</v>
      </c>
    </row>
    <row r="94" customFormat="false" ht="13.5" hidden="false" customHeight="false" outlineLevel="0" collapsed="false">
      <c r="A94" s="47" t="n">
        <v>93</v>
      </c>
      <c r="B94" s="38" t="str">
        <f aca="false">""</f>
        <v/>
      </c>
      <c r="C94" s="26" t="str">
        <f aca="false">IFERROR(INDEX(输入报销!$C:$C,MATCH($A94&amp;"-1",输入报销!$J:$J,0)),"")</f>
        <v/>
      </c>
      <c r="D94" s="14" t="n">
        <f aca="false">IFERROR(INDEX(输入报销!$B:$B,MATCH($A94&amp;"-1",输入报销!$J:$J,0)),参数!$B$2)</f>
        <v>46234</v>
      </c>
      <c r="K94" s="20" t="n">
        <f aca="false">SUM(分录报销!$J$1198:$J$1210)</f>
        <v>0</v>
      </c>
      <c r="L94" s="20" t="n">
        <f aca="false">IF(OR($K94=0,$W94=0),0,ROUNDUP($K94/6,0))</f>
        <v>0</v>
      </c>
      <c r="M94" s="20" t="n">
        <f aca="false">SUM($L$2:$L94)</f>
        <v>39</v>
      </c>
      <c r="N94" s="15" t="n">
        <f aca="false">ROUND(SUM(分录报销!$H$1198:$H$1210),2)</f>
        <v>0</v>
      </c>
      <c r="O94" s="15" t="n">
        <f aca="false">ROUND(SUM(分录报销!$I$1198:$I$1210),2)</f>
        <v>0</v>
      </c>
      <c r="P94" s="20" t="str">
        <f aca="false">IF($L94=0,"",COUNTIF($L$2:$L94,"&gt;0"))</f>
        <v/>
      </c>
      <c r="Q94" s="47" t="n">
        <v>93</v>
      </c>
      <c r="R94" s="20" t="str">
        <f aca="false">IF(93&gt;$V$1,"",COUNTIF($M$2:$M$121,"&lt;"&amp;93)+1)</f>
        <v/>
      </c>
      <c r="S94" s="20" t="str">
        <f aca="false">IF($R94="","",93-IF($R94=1,0,INDEX($M$2:$M$121,$R94-1)))</f>
        <v/>
      </c>
      <c r="T94" s="20" t="n">
        <f aca="false">IF($R94="",0,IF($S94=INDEX($L$2:$L$121,$R94),1,0))</f>
        <v>0</v>
      </c>
      <c r="W94" s="20" t="n">
        <v>1</v>
      </c>
    </row>
    <row r="95" customFormat="false" ht="13.5" hidden="false" customHeight="false" outlineLevel="0" collapsed="false">
      <c r="A95" s="47" t="n">
        <v>94</v>
      </c>
      <c r="B95" s="38" t="str">
        <f aca="false">""</f>
        <v/>
      </c>
      <c r="C95" s="26" t="str">
        <f aca="false">IFERROR(INDEX(输入报销!$C:$C,MATCH($A95&amp;"-1",输入报销!$J:$J,0)),"")</f>
        <v/>
      </c>
      <c r="D95" s="14" t="n">
        <f aca="false">IFERROR(INDEX(输入报销!$B:$B,MATCH($A95&amp;"-1",输入报销!$J:$J,0)),参数!$B$2)</f>
        <v>46234</v>
      </c>
      <c r="K95" s="20" t="n">
        <f aca="false">SUM(分录报销!$J$1211:$J$1223)</f>
        <v>0</v>
      </c>
      <c r="L95" s="20" t="n">
        <f aca="false">IF(OR($K95=0,$W95=0),0,ROUNDUP($K95/6,0))</f>
        <v>0</v>
      </c>
      <c r="M95" s="20" t="n">
        <f aca="false">SUM($L$2:$L95)</f>
        <v>39</v>
      </c>
      <c r="N95" s="15" t="n">
        <f aca="false">ROUND(SUM(分录报销!$H$1211:$H$1223),2)</f>
        <v>0</v>
      </c>
      <c r="O95" s="15" t="n">
        <f aca="false">ROUND(SUM(分录报销!$I$1211:$I$1223),2)</f>
        <v>0</v>
      </c>
      <c r="P95" s="20" t="str">
        <f aca="false">IF($L95=0,"",COUNTIF($L$2:$L95,"&gt;0"))</f>
        <v/>
      </c>
      <c r="Q95" s="47" t="n">
        <v>94</v>
      </c>
      <c r="R95" s="20" t="str">
        <f aca="false">IF(94&gt;$V$1,"",COUNTIF($M$2:$M$121,"&lt;"&amp;94)+1)</f>
        <v/>
      </c>
      <c r="S95" s="20" t="str">
        <f aca="false">IF($R95="","",94-IF($R95=1,0,INDEX($M$2:$M$121,$R95-1)))</f>
        <v/>
      </c>
      <c r="T95" s="20" t="n">
        <f aca="false">IF($R95="",0,IF($S95=INDEX($L$2:$L$121,$R95),1,0))</f>
        <v>0</v>
      </c>
      <c r="W95" s="20" t="n">
        <v>1</v>
      </c>
    </row>
    <row r="96" customFormat="false" ht="13.5" hidden="false" customHeight="false" outlineLevel="0" collapsed="false">
      <c r="A96" s="47" t="n">
        <v>95</v>
      </c>
      <c r="B96" s="38" t="str">
        <f aca="false">""</f>
        <v/>
      </c>
      <c r="C96" s="26" t="str">
        <f aca="false">IFERROR(INDEX(输入报销!$C:$C,MATCH($A96&amp;"-1",输入报销!$J:$J,0)),"")</f>
        <v/>
      </c>
      <c r="D96" s="14" t="n">
        <f aca="false">IFERROR(INDEX(输入报销!$B:$B,MATCH($A96&amp;"-1",输入报销!$J:$J,0)),参数!$B$2)</f>
        <v>46234</v>
      </c>
      <c r="K96" s="20" t="n">
        <f aca="false">SUM(分录报销!$J$1224:$J$1236)</f>
        <v>0</v>
      </c>
      <c r="L96" s="20" t="n">
        <f aca="false">IF(OR($K96=0,$W96=0),0,ROUNDUP($K96/6,0))</f>
        <v>0</v>
      </c>
      <c r="M96" s="20" t="n">
        <f aca="false">SUM($L$2:$L96)</f>
        <v>39</v>
      </c>
      <c r="N96" s="15" t="n">
        <f aca="false">ROUND(SUM(分录报销!$H$1224:$H$1236),2)</f>
        <v>0</v>
      </c>
      <c r="O96" s="15" t="n">
        <f aca="false">ROUND(SUM(分录报销!$I$1224:$I$1236),2)</f>
        <v>0</v>
      </c>
      <c r="P96" s="20" t="str">
        <f aca="false">IF($L96=0,"",COUNTIF($L$2:$L96,"&gt;0"))</f>
        <v/>
      </c>
      <c r="Q96" s="47" t="n">
        <v>95</v>
      </c>
      <c r="R96" s="20" t="str">
        <f aca="false">IF(95&gt;$V$1,"",COUNTIF($M$2:$M$121,"&lt;"&amp;95)+1)</f>
        <v/>
      </c>
      <c r="S96" s="20" t="str">
        <f aca="false">IF($R96="","",95-IF($R96=1,0,INDEX($M$2:$M$121,$R96-1)))</f>
        <v/>
      </c>
      <c r="T96" s="20" t="n">
        <f aca="false">IF($R96="",0,IF($S96=INDEX($L$2:$L$121,$R96),1,0))</f>
        <v>0</v>
      </c>
      <c r="W96" s="20" t="n">
        <v>1</v>
      </c>
    </row>
    <row r="97" customFormat="false" ht="13.5" hidden="false" customHeight="false" outlineLevel="0" collapsed="false">
      <c r="A97" s="47" t="n">
        <v>96</v>
      </c>
      <c r="B97" s="38" t="str">
        <f aca="false">""</f>
        <v/>
      </c>
      <c r="C97" s="26" t="str">
        <f aca="false">IFERROR(INDEX(输入报销!$C:$C,MATCH($A97&amp;"-1",输入报销!$J:$J,0)),"")</f>
        <v/>
      </c>
      <c r="D97" s="14" t="n">
        <f aca="false">IFERROR(INDEX(输入报销!$B:$B,MATCH($A97&amp;"-1",输入报销!$J:$J,0)),参数!$B$2)</f>
        <v>46234</v>
      </c>
      <c r="K97" s="20" t="n">
        <f aca="false">SUM(分录报销!$J$1237:$J$1249)</f>
        <v>0</v>
      </c>
      <c r="L97" s="20" t="n">
        <f aca="false">IF(OR($K97=0,$W97=0),0,ROUNDUP($K97/6,0))</f>
        <v>0</v>
      </c>
      <c r="M97" s="20" t="n">
        <f aca="false">SUM($L$2:$L97)</f>
        <v>39</v>
      </c>
      <c r="N97" s="15" t="n">
        <f aca="false">ROUND(SUM(分录报销!$H$1237:$H$1249),2)</f>
        <v>0</v>
      </c>
      <c r="O97" s="15" t="n">
        <f aca="false">ROUND(SUM(分录报销!$I$1237:$I$1249),2)</f>
        <v>0</v>
      </c>
      <c r="P97" s="20" t="str">
        <f aca="false">IF($L97=0,"",COUNTIF($L$2:$L97,"&gt;0"))</f>
        <v/>
      </c>
      <c r="Q97" s="47" t="n">
        <v>96</v>
      </c>
      <c r="R97" s="20" t="str">
        <f aca="false">IF(96&gt;$V$1,"",COUNTIF($M$2:$M$121,"&lt;"&amp;96)+1)</f>
        <v/>
      </c>
      <c r="S97" s="20" t="str">
        <f aca="false">IF($R97="","",96-IF($R97=1,0,INDEX($M$2:$M$121,$R97-1)))</f>
        <v/>
      </c>
      <c r="T97" s="20" t="n">
        <f aca="false">IF($R97="",0,IF($S97=INDEX($L$2:$L$121,$R97),1,0))</f>
        <v>0</v>
      </c>
      <c r="W97" s="20" t="n">
        <v>1</v>
      </c>
    </row>
    <row r="98" customFormat="false" ht="13.5" hidden="false" customHeight="false" outlineLevel="0" collapsed="false">
      <c r="A98" s="47" t="n">
        <v>97</v>
      </c>
      <c r="B98" s="38" t="str">
        <f aca="false">""</f>
        <v/>
      </c>
      <c r="C98" s="26" t="str">
        <f aca="false">IFERROR(INDEX(输入报销!$C:$C,MATCH($A98&amp;"-1",输入报销!$J:$J,0)),"")</f>
        <v/>
      </c>
      <c r="D98" s="14" t="n">
        <f aca="false">IFERROR(INDEX(输入报销!$B:$B,MATCH($A98&amp;"-1",输入报销!$J:$J,0)),参数!$B$2)</f>
        <v>46234</v>
      </c>
      <c r="K98" s="20" t="n">
        <f aca="false">SUM(分录报销!$J$1250:$J$1262)</f>
        <v>0</v>
      </c>
      <c r="L98" s="20" t="n">
        <f aca="false">IF(OR($K98=0,$W98=0),0,ROUNDUP($K98/6,0))</f>
        <v>0</v>
      </c>
      <c r="M98" s="20" t="n">
        <f aca="false">SUM($L$2:$L98)</f>
        <v>39</v>
      </c>
      <c r="N98" s="15" t="n">
        <f aca="false">ROUND(SUM(分录报销!$H$1250:$H$1262),2)</f>
        <v>0</v>
      </c>
      <c r="O98" s="15" t="n">
        <f aca="false">ROUND(SUM(分录报销!$I$1250:$I$1262),2)</f>
        <v>0</v>
      </c>
      <c r="P98" s="20" t="str">
        <f aca="false">IF($L98=0,"",COUNTIF($L$2:$L98,"&gt;0"))</f>
        <v/>
      </c>
      <c r="Q98" s="47" t="n">
        <v>97</v>
      </c>
      <c r="R98" s="20" t="str">
        <f aca="false">IF(97&gt;$V$1,"",COUNTIF($M$2:$M$121,"&lt;"&amp;97)+1)</f>
        <v/>
      </c>
      <c r="S98" s="20" t="str">
        <f aca="false">IF($R98="","",97-IF($R98=1,0,INDEX($M$2:$M$121,$R98-1)))</f>
        <v/>
      </c>
      <c r="T98" s="20" t="n">
        <f aca="false">IF($R98="",0,IF($S98=INDEX($L$2:$L$121,$R98),1,0))</f>
        <v>0</v>
      </c>
      <c r="W98" s="20" t="n">
        <v>1</v>
      </c>
    </row>
    <row r="99" customFormat="false" ht="13.5" hidden="false" customHeight="false" outlineLevel="0" collapsed="false">
      <c r="A99" s="47" t="n">
        <v>98</v>
      </c>
      <c r="B99" s="38" t="str">
        <f aca="false">""</f>
        <v/>
      </c>
      <c r="C99" s="26" t="str">
        <f aca="false">IFERROR(INDEX(输入报销!$C:$C,MATCH($A99&amp;"-1",输入报销!$J:$J,0)),"")</f>
        <v/>
      </c>
      <c r="D99" s="14" t="n">
        <f aca="false">IFERROR(INDEX(输入报销!$B:$B,MATCH($A99&amp;"-1",输入报销!$J:$J,0)),参数!$B$2)</f>
        <v>46234</v>
      </c>
      <c r="K99" s="20" t="n">
        <f aca="false">SUM(分录报销!$J$1263:$J$1275)</f>
        <v>0</v>
      </c>
      <c r="L99" s="20" t="n">
        <f aca="false">IF(OR($K99=0,$W99=0),0,ROUNDUP($K99/6,0))</f>
        <v>0</v>
      </c>
      <c r="M99" s="20" t="n">
        <f aca="false">SUM($L$2:$L99)</f>
        <v>39</v>
      </c>
      <c r="N99" s="15" t="n">
        <f aca="false">ROUND(SUM(分录报销!$H$1263:$H$1275),2)</f>
        <v>0</v>
      </c>
      <c r="O99" s="15" t="n">
        <f aca="false">ROUND(SUM(分录报销!$I$1263:$I$1275),2)</f>
        <v>0</v>
      </c>
      <c r="P99" s="20" t="str">
        <f aca="false">IF($L99=0,"",COUNTIF($L$2:$L99,"&gt;0"))</f>
        <v/>
      </c>
      <c r="Q99" s="47" t="n">
        <v>98</v>
      </c>
      <c r="R99" s="20" t="str">
        <f aca="false">IF(98&gt;$V$1,"",COUNTIF($M$2:$M$121,"&lt;"&amp;98)+1)</f>
        <v/>
      </c>
      <c r="S99" s="20" t="str">
        <f aca="false">IF($R99="","",98-IF($R99=1,0,INDEX($M$2:$M$121,$R99-1)))</f>
        <v/>
      </c>
      <c r="T99" s="20" t="n">
        <f aca="false">IF($R99="",0,IF($S99=INDEX($L$2:$L$121,$R99),1,0))</f>
        <v>0</v>
      </c>
      <c r="W99" s="20" t="n">
        <v>1</v>
      </c>
    </row>
    <row r="100" customFormat="false" ht="13.5" hidden="false" customHeight="false" outlineLevel="0" collapsed="false">
      <c r="A100" s="47" t="n">
        <v>99</v>
      </c>
      <c r="B100" s="38" t="str">
        <f aca="false">""</f>
        <v/>
      </c>
      <c r="C100" s="26" t="str">
        <f aca="false">IFERROR(INDEX(输入报销!$C:$C,MATCH($A100&amp;"-1",输入报销!$J:$J,0)),"")</f>
        <v/>
      </c>
      <c r="D100" s="14" t="n">
        <f aca="false">IFERROR(INDEX(输入报销!$B:$B,MATCH($A100&amp;"-1",输入报销!$J:$J,0)),参数!$B$2)</f>
        <v>46234</v>
      </c>
      <c r="K100" s="20" t="n">
        <f aca="false">SUM(分录报销!$J$1276:$J$1288)</f>
        <v>0</v>
      </c>
      <c r="L100" s="20" t="n">
        <f aca="false">IF(OR($K100=0,$W100=0),0,ROUNDUP($K100/6,0))</f>
        <v>0</v>
      </c>
      <c r="M100" s="20" t="n">
        <f aca="false">SUM($L$2:$L100)</f>
        <v>39</v>
      </c>
      <c r="N100" s="15" t="n">
        <f aca="false">ROUND(SUM(分录报销!$H$1276:$H$1288),2)</f>
        <v>0</v>
      </c>
      <c r="O100" s="15" t="n">
        <f aca="false">ROUND(SUM(分录报销!$I$1276:$I$1288),2)</f>
        <v>0</v>
      </c>
      <c r="P100" s="20" t="str">
        <f aca="false">IF($L100=0,"",COUNTIF($L$2:$L100,"&gt;0"))</f>
        <v/>
      </c>
      <c r="Q100" s="47" t="n">
        <v>99</v>
      </c>
      <c r="R100" s="20" t="str">
        <f aca="false">IF(99&gt;$V$1,"",COUNTIF($M$2:$M$121,"&lt;"&amp;99)+1)</f>
        <v/>
      </c>
      <c r="S100" s="20" t="str">
        <f aca="false">IF($R100="","",99-IF($R100=1,0,INDEX($M$2:$M$121,$R100-1)))</f>
        <v/>
      </c>
      <c r="T100" s="20" t="n">
        <f aca="false">IF($R100="",0,IF($S100=INDEX($L$2:$L$121,$R100),1,0))</f>
        <v>0</v>
      </c>
      <c r="W100" s="20" t="n">
        <v>1</v>
      </c>
    </row>
    <row r="101" customFormat="false" ht="13.5" hidden="false" customHeight="false" outlineLevel="0" collapsed="false">
      <c r="A101" s="47" t="n">
        <v>100</v>
      </c>
      <c r="B101" s="38" t="str">
        <f aca="false">""</f>
        <v/>
      </c>
      <c r="C101" s="26" t="str">
        <f aca="false">IFERROR(INDEX(输入报销!$C:$C,MATCH($A101&amp;"-1",输入报销!$J:$J,0)),"")</f>
        <v/>
      </c>
      <c r="D101" s="14" t="n">
        <f aca="false">IFERROR(INDEX(输入报销!$B:$B,MATCH($A101&amp;"-1",输入报销!$J:$J,0)),参数!$B$2)</f>
        <v>46234</v>
      </c>
      <c r="K101" s="20" t="n">
        <f aca="false">SUM(分录报销!$J$1289:$J$1301)</f>
        <v>0</v>
      </c>
      <c r="L101" s="20" t="n">
        <f aca="false">IF(OR($K101=0,$W101=0),0,ROUNDUP($K101/6,0))</f>
        <v>0</v>
      </c>
      <c r="M101" s="20" t="n">
        <f aca="false">SUM($L$2:$L101)</f>
        <v>39</v>
      </c>
      <c r="N101" s="15" t="n">
        <f aca="false">ROUND(SUM(分录报销!$H$1289:$H$1301),2)</f>
        <v>0</v>
      </c>
      <c r="O101" s="15" t="n">
        <f aca="false">ROUND(SUM(分录报销!$I$1289:$I$1301),2)</f>
        <v>0</v>
      </c>
      <c r="P101" s="20" t="str">
        <f aca="false">IF($L101=0,"",COUNTIF($L$2:$L101,"&gt;0"))</f>
        <v/>
      </c>
      <c r="Q101" s="47" t="n">
        <v>100</v>
      </c>
      <c r="R101" s="20" t="str">
        <f aca="false">IF(100&gt;$V$1,"",COUNTIF($M$2:$M$121,"&lt;"&amp;100)+1)</f>
        <v/>
      </c>
      <c r="S101" s="20" t="str">
        <f aca="false">IF($R101="","",100-IF($R101=1,0,INDEX($M$2:$M$121,$R101-1)))</f>
        <v/>
      </c>
      <c r="T101" s="20" t="n">
        <f aca="false">IF($R101="",0,IF($S101=INDEX($L$2:$L$121,$R101),1,0))</f>
        <v>0</v>
      </c>
      <c r="W101" s="20" t="n">
        <v>1</v>
      </c>
    </row>
    <row r="102" customFormat="false" ht="13.5" hidden="false" customHeight="false" outlineLevel="0" collapsed="false">
      <c r="A102" s="47" t="n">
        <v>101</v>
      </c>
      <c r="B102" s="38" t="str">
        <f aca="false">""</f>
        <v/>
      </c>
      <c r="C102" s="26" t="str">
        <f aca="false">IFERROR(INDEX(输入报销!$C:$C,MATCH($A102&amp;"-1",输入报销!$J:$J,0)),"")</f>
        <v/>
      </c>
      <c r="D102" s="14" t="n">
        <f aca="false">IFERROR(INDEX(输入报销!$B:$B,MATCH($A102&amp;"-1",输入报销!$J:$J,0)),参数!$B$2)</f>
        <v>46234</v>
      </c>
      <c r="K102" s="20" t="n">
        <f aca="false">SUM(分录报销!$J$1302:$J$1314)</f>
        <v>0</v>
      </c>
      <c r="L102" s="20" t="n">
        <f aca="false">IF(OR($K102=0,$W102=0),0,ROUNDUP($K102/6,0))</f>
        <v>0</v>
      </c>
      <c r="M102" s="20" t="n">
        <f aca="false">SUM($L$2:$L102)</f>
        <v>39</v>
      </c>
      <c r="N102" s="15" t="n">
        <f aca="false">ROUND(SUM(分录报销!$H$1302:$H$1314),2)</f>
        <v>0</v>
      </c>
      <c r="O102" s="15" t="n">
        <f aca="false">ROUND(SUM(分录报销!$I$1302:$I$1314),2)</f>
        <v>0</v>
      </c>
      <c r="P102" s="20" t="str">
        <f aca="false">IF($L102=0,"",COUNTIF($L$2:$L102,"&gt;0"))</f>
        <v/>
      </c>
      <c r="Q102" s="47" t="n">
        <v>101</v>
      </c>
      <c r="R102" s="20" t="str">
        <f aca="false">IF(101&gt;$V$1,"",COUNTIF($M$2:$M$121,"&lt;"&amp;101)+1)</f>
        <v/>
      </c>
      <c r="S102" s="20" t="str">
        <f aca="false">IF($R102="","",101-IF($R102=1,0,INDEX($M$2:$M$121,$R102-1)))</f>
        <v/>
      </c>
      <c r="T102" s="20" t="n">
        <f aca="false">IF($R102="",0,IF($S102=INDEX($L$2:$L$121,$R102),1,0))</f>
        <v>0</v>
      </c>
      <c r="W102" s="20" t="n">
        <v>1</v>
      </c>
    </row>
    <row r="103" customFormat="false" ht="13.5" hidden="false" customHeight="false" outlineLevel="0" collapsed="false">
      <c r="A103" s="47" t="n">
        <v>102</v>
      </c>
      <c r="B103" s="38" t="str">
        <f aca="false">""</f>
        <v/>
      </c>
      <c r="C103" s="26" t="str">
        <f aca="false">IFERROR(INDEX(输入报销!$C:$C,MATCH($A103&amp;"-1",输入报销!$J:$J,0)),"")</f>
        <v/>
      </c>
      <c r="D103" s="14" t="n">
        <f aca="false">IFERROR(INDEX(输入报销!$B:$B,MATCH($A103&amp;"-1",输入报销!$J:$J,0)),参数!$B$2)</f>
        <v>46234</v>
      </c>
      <c r="K103" s="20" t="n">
        <f aca="false">SUM(分录报销!$J$1315:$J$1327)</f>
        <v>0</v>
      </c>
      <c r="L103" s="20" t="n">
        <f aca="false">IF(OR($K103=0,$W103=0),0,ROUNDUP($K103/6,0))</f>
        <v>0</v>
      </c>
      <c r="M103" s="20" t="n">
        <f aca="false">SUM($L$2:$L103)</f>
        <v>39</v>
      </c>
      <c r="N103" s="15" t="n">
        <f aca="false">ROUND(SUM(分录报销!$H$1315:$H$1327),2)</f>
        <v>0</v>
      </c>
      <c r="O103" s="15" t="n">
        <f aca="false">ROUND(SUM(分录报销!$I$1315:$I$1327),2)</f>
        <v>0</v>
      </c>
      <c r="P103" s="20" t="str">
        <f aca="false">IF($L103=0,"",COUNTIF($L$2:$L103,"&gt;0"))</f>
        <v/>
      </c>
      <c r="Q103" s="47" t="n">
        <v>102</v>
      </c>
      <c r="R103" s="20" t="str">
        <f aca="false">IF(102&gt;$V$1,"",COUNTIF($M$2:$M$121,"&lt;"&amp;102)+1)</f>
        <v/>
      </c>
      <c r="S103" s="20" t="str">
        <f aca="false">IF($R103="","",102-IF($R103=1,0,INDEX($M$2:$M$121,$R103-1)))</f>
        <v/>
      </c>
      <c r="T103" s="20" t="n">
        <f aca="false">IF($R103="",0,IF($S103=INDEX($L$2:$L$121,$R103),1,0))</f>
        <v>0</v>
      </c>
      <c r="W103" s="20" t="n">
        <v>1</v>
      </c>
    </row>
    <row r="104" customFormat="false" ht="13.5" hidden="false" customHeight="false" outlineLevel="0" collapsed="false">
      <c r="A104" s="47" t="n">
        <v>103</v>
      </c>
      <c r="B104" s="38" t="str">
        <f aca="false">""</f>
        <v/>
      </c>
      <c r="C104" s="26" t="str">
        <f aca="false">IFERROR(INDEX(输入报销!$C:$C,MATCH($A104&amp;"-1",输入报销!$J:$J,0)),"")</f>
        <v/>
      </c>
      <c r="D104" s="14" t="n">
        <f aca="false">IFERROR(INDEX(输入报销!$B:$B,MATCH($A104&amp;"-1",输入报销!$J:$J,0)),参数!$B$2)</f>
        <v>46234</v>
      </c>
      <c r="K104" s="20" t="n">
        <f aca="false">SUM(分录报销!$J$1328:$J$1340)</f>
        <v>0</v>
      </c>
      <c r="L104" s="20" t="n">
        <f aca="false">IF(OR($K104=0,$W104=0),0,ROUNDUP($K104/6,0))</f>
        <v>0</v>
      </c>
      <c r="M104" s="20" t="n">
        <f aca="false">SUM($L$2:$L104)</f>
        <v>39</v>
      </c>
      <c r="N104" s="15" t="n">
        <f aca="false">ROUND(SUM(分录报销!$H$1328:$H$1340),2)</f>
        <v>0</v>
      </c>
      <c r="O104" s="15" t="n">
        <f aca="false">ROUND(SUM(分录报销!$I$1328:$I$1340),2)</f>
        <v>0</v>
      </c>
      <c r="P104" s="20" t="str">
        <f aca="false">IF($L104=0,"",COUNTIF($L$2:$L104,"&gt;0"))</f>
        <v/>
      </c>
      <c r="Q104" s="47" t="n">
        <v>103</v>
      </c>
      <c r="R104" s="20" t="str">
        <f aca="false">IF(103&gt;$V$1,"",COUNTIF($M$2:$M$121,"&lt;"&amp;103)+1)</f>
        <v/>
      </c>
      <c r="S104" s="20" t="str">
        <f aca="false">IF($R104="","",103-IF($R104=1,0,INDEX($M$2:$M$121,$R104-1)))</f>
        <v/>
      </c>
      <c r="T104" s="20" t="n">
        <f aca="false">IF($R104="",0,IF($S104=INDEX($L$2:$L$121,$R104),1,0))</f>
        <v>0</v>
      </c>
      <c r="W104" s="20" t="n">
        <v>1</v>
      </c>
    </row>
    <row r="105" customFormat="false" ht="13.5" hidden="false" customHeight="false" outlineLevel="0" collapsed="false">
      <c r="A105" s="47" t="n">
        <v>104</v>
      </c>
      <c r="B105" s="38" t="str">
        <f aca="false">""</f>
        <v/>
      </c>
      <c r="C105" s="26" t="str">
        <f aca="false">IFERROR(INDEX(输入报销!$C:$C,MATCH($A105&amp;"-1",输入报销!$J:$J,0)),"")</f>
        <v/>
      </c>
      <c r="D105" s="14" t="n">
        <f aca="false">IFERROR(INDEX(输入报销!$B:$B,MATCH($A105&amp;"-1",输入报销!$J:$J,0)),参数!$B$2)</f>
        <v>46234</v>
      </c>
      <c r="K105" s="20" t="n">
        <f aca="false">SUM(分录报销!$J$1341:$J$1353)</f>
        <v>0</v>
      </c>
      <c r="L105" s="20" t="n">
        <f aca="false">IF(OR($K105=0,$W105=0),0,ROUNDUP($K105/6,0))</f>
        <v>0</v>
      </c>
      <c r="M105" s="20" t="n">
        <f aca="false">SUM($L$2:$L105)</f>
        <v>39</v>
      </c>
      <c r="N105" s="15" t="n">
        <f aca="false">ROUND(SUM(分录报销!$H$1341:$H$1353),2)</f>
        <v>0</v>
      </c>
      <c r="O105" s="15" t="n">
        <f aca="false">ROUND(SUM(分录报销!$I$1341:$I$1353),2)</f>
        <v>0</v>
      </c>
      <c r="P105" s="20" t="str">
        <f aca="false">IF($L105=0,"",COUNTIF($L$2:$L105,"&gt;0"))</f>
        <v/>
      </c>
      <c r="Q105" s="47" t="n">
        <v>104</v>
      </c>
      <c r="R105" s="20" t="str">
        <f aca="false">IF(104&gt;$V$1,"",COUNTIF($M$2:$M$121,"&lt;"&amp;104)+1)</f>
        <v/>
      </c>
      <c r="S105" s="20" t="str">
        <f aca="false">IF($R105="","",104-IF($R105=1,0,INDEX($M$2:$M$121,$R105-1)))</f>
        <v/>
      </c>
      <c r="T105" s="20" t="n">
        <f aca="false">IF($R105="",0,IF($S105=INDEX($L$2:$L$121,$R105),1,0))</f>
        <v>0</v>
      </c>
      <c r="W105" s="20" t="n">
        <v>1</v>
      </c>
    </row>
    <row r="106" customFormat="false" ht="13.5" hidden="false" customHeight="false" outlineLevel="0" collapsed="false">
      <c r="A106" s="47" t="n">
        <v>105</v>
      </c>
      <c r="B106" s="38" t="str">
        <f aca="false">""</f>
        <v/>
      </c>
      <c r="C106" s="26" t="str">
        <f aca="false">IFERROR(INDEX(输入报销!$C:$C,MATCH($A106&amp;"-1",输入报销!$J:$J,0)),"")</f>
        <v/>
      </c>
      <c r="D106" s="14" t="n">
        <f aca="false">IFERROR(INDEX(输入报销!$B:$B,MATCH($A106&amp;"-1",输入报销!$J:$J,0)),参数!$B$2)</f>
        <v>46234</v>
      </c>
      <c r="K106" s="20" t="n">
        <f aca="false">SUM(分录报销!$J$1354:$J$1366)</f>
        <v>0</v>
      </c>
      <c r="L106" s="20" t="n">
        <f aca="false">IF(OR($K106=0,$W106=0),0,ROUNDUP($K106/6,0))</f>
        <v>0</v>
      </c>
      <c r="M106" s="20" t="n">
        <f aca="false">SUM($L$2:$L106)</f>
        <v>39</v>
      </c>
      <c r="N106" s="15" t="n">
        <f aca="false">ROUND(SUM(分录报销!$H$1354:$H$1366),2)</f>
        <v>0</v>
      </c>
      <c r="O106" s="15" t="n">
        <f aca="false">ROUND(SUM(分录报销!$I$1354:$I$1366),2)</f>
        <v>0</v>
      </c>
      <c r="P106" s="20" t="str">
        <f aca="false">IF($L106=0,"",COUNTIF($L$2:$L106,"&gt;0"))</f>
        <v/>
      </c>
      <c r="Q106" s="47" t="n">
        <v>105</v>
      </c>
      <c r="R106" s="20" t="str">
        <f aca="false">IF(105&gt;$V$1,"",COUNTIF($M$2:$M$121,"&lt;"&amp;105)+1)</f>
        <v/>
      </c>
      <c r="S106" s="20" t="str">
        <f aca="false">IF($R106="","",105-IF($R106=1,0,INDEX($M$2:$M$121,$R106-1)))</f>
        <v/>
      </c>
      <c r="T106" s="20" t="n">
        <f aca="false">IF($R106="",0,IF($S106=INDEX($L$2:$L$121,$R106),1,0))</f>
        <v>0</v>
      </c>
      <c r="W106" s="20" t="n">
        <v>1</v>
      </c>
    </row>
    <row r="107" customFormat="false" ht="13.5" hidden="false" customHeight="false" outlineLevel="0" collapsed="false">
      <c r="A107" s="47" t="n">
        <v>106</v>
      </c>
      <c r="B107" s="38" t="str">
        <f aca="false">""</f>
        <v/>
      </c>
      <c r="C107" s="26" t="str">
        <f aca="false">IFERROR(INDEX(输入报销!$C:$C,MATCH($A107&amp;"-1",输入报销!$J:$J,0)),"")</f>
        <v/>
      </c>
      <c r="D107" s="14" t="n">
        <f aca="false">IFERROR(INDEX(输入报销!$B:$B,MATCH($A107&amp;"-1",输入报销!$J:$J,0)),参数!$B$2)</f>
        <v>46234</v>
      </c>
      <c r="K107" s="20" t="n">
        <f aca="false">SUM(分录报销!$J$1367:$J$1379)</f>
        <v>0</v>
      </c>
      <c r="L107" s="20" t="n">
        <f aca="false">IF(OR($K107=0,$W107=0),0,ROUNDUP($K107/6,0))</f>
        <v>0</v>
      </c>
      <c r="M107" s="20" t="n">
        <f aca="false">SUM($L$2:$L107)</f>
        <v>39</v>
      </c>
      <c r="N107" s="15" t="n">
        <f aca="false">ROUND(SUM(分录报销!$H$1367:$H$1379),2)</f>
        <v>0</v>
      </c>
      <c r="O107" s="15" t="n">
        <f aca="false">ROUND(SUM(分录报销!$I$1367:$I$1379),2)</f>
        <v>0</v>
      </c>
      <c r="P107" s="20" t="str">
        <f aca="false">IF($L107=0,"",COUNTIF($L$2:$L107,"&gt;0"))</f>
        <v/>
      </c>
      <c r="Q107" s="47" t="n">
        <v>106</v>
      </c>
      <c r="R107" s="20" t="str">
        <f aca="false">IF(106&gt;$V$1,"",COUNTIF($M$2:$M$121,"&lt;"&amp;106)+1)</f>
        <v/>
      </c>
      <c r="S107" s="20" t="str">
        <f aca="false">IF($R107="","",106-IF($R107=1,0,INDEX($M$2:$M$121,$R107-1)))</f>
        <v/>
      </c>
      <c r="T107" s="20" t="n">
        <f aca="false">IF($R107="",0,IF($S107=INDEX($L$2:$L$121,$R107),1,0))</f>
        <v>0</v>
      </c>
      <c r="W107" s="20" t="n">
        <v>1</v>
      </c>
    </row>
    <row r="108" customFormat="false" ht="13.5" hidden="false" customHeight="false" outlineLevel="0" collapsed="false">
      <c r="A108" s="47" t="n">
        <v>107</v>
      </c>
      <c r="B108" s="38" t="str">
        <f aca="false">""</f>
        <v/>
      </c>
      <c r="C108" s="26" t="str">
        <f aca="false">IFERROR(INDEX(输入报销!$C:$C,MATCH($A108&amp;"-1",输入报销!$J:$J,0)),"")</f>
        <v/>
      </c>
      <c r="D108" s="14" t="n">
        <f aca="false">IFERROR(INDEX(输入报销!$B:$B,MATCH($A108&amp;"-1",输入报销!$J:$J,0)),参数!$B$2)</f>
        <v>46234</v>
      </c>
      <c r="K108" s="20" t="n">
        <f aca="false">SUM(分录报销!$J$1380:$J$1392)</f>
        <v>0</v>
      </c>
      <c r="L108" s="20" t="n">
        <f aca="false">IF(OR($K108=0,$W108=0),0,ROUNDUP($K108/6,0))</f>
        <v>0</v>
      </c>
      <c r="M108" s="20" t="n">
        <f aca="false">SUM($L$2:$L108)</f>
        <v>39</v>
      </c>
      <c r="N108" s="15" t="n">
        <f aca="false">ROUND(SUM(分录报销!$H$1380:$H$1392),2)</f>
        <v>0</v>
      </c>
      <c r="O108" s="15" t="n">
        <f aca="false">ROUND(SUM(分录报销!$I$1380:$I$1392),2)</f>
        <v>0</v>
      </c>
      <c r="P108" s="20" t="str">
        <f aca="false">IF($L108=0,"",COUNTIF($L$2:$L108,"&gt;0"))</f>
        <v/>
      </c>
      <c r="Q108" s="47" t="n">
        <v>107</v>
      </c>
      <c r="R108" s="20" t="str">
        <f aca="false">IF(107&gt;$V$1,"",COUNTIF($M$2:$M$121,"&lt;"&amp;107)+1)</f>
        <v/>
      </c>
      <c r="S108" s="20" t="str">
        <f aca="false">IF($R108="","",107-IF($R108=1,0,INDEX($M$2:$M$121,$R108-1)))</f>
        <v/>
      </c>
      <c r="T108" s="20" t="n">
        <f aca="false">IF($R108="",0,IF($S108=INDEX($L$2:$L$121,$R108),1,0))</f>
        <v>0</v>
      </c>
      <c r="W108" s="20" t="n">
        <v>1</v>
      </c>
    </row>
    <row r="109" customFormat="false" ht="13.5" hidden="false" customHeight="false" outlineLevel="0" collapsed="false">
      <c r="A109" s="47" t="n">
        <v>108</v>
      </c>
      <c r="B109" s="38" t="str">
        <f aca="false">""</f>
        <v/>
      </c>
      <c r="C109" s="26" t="str">
        <f aca="false">IFERROR(INDEX(输入报销!$C:$C,MATCH($A109&amp;"-1",输入报销!$J:$J,0)),"")</f>
        <v/>
      </c>
      <c r="D109" s="14" t="n">
        <f aca="false">IFERROR(INDEX(输入报销!$B:$B,MATCH($A109&amp;"-1",输入报销!$J:$J,0)),参数!$B$2)</f>
        <v>46234</v>
      </c>
      <c r="K109" s="20" t="n">
        <f aca="false">SUM(分录报销!$J$1393:$J$1405)</f>
        <v>0</v>
      </c>
      <c r="L109" s="20" t="n">
        <f aca="false">IF(OR($K109=0,$W109=0),0,ROUNDUP($K109/6,0))</f>
        <v>0</v>
      </c>
      <c r="M109" s="20" t="n">
        <f aca="false">SUM($L$2:$L109)</f>
        <v>39</v>
      </c>
      <c r="N109" s="15" t="n">
        <f aca="false">ROUND(SUM(分录报销!$H$1393:$H$1405),2)</f>
        <v>0</v>
      </c>
      <c r="O109" s="15" t="n">
        <f aca="false">ROUND(SUM(分录报销!$I$1393:$I$1405),2)</f>
        <v>0</v>
      </c>
      <c r="P109" s="20" t="str">
        <f aca="false">IF($L109=0,"",COUNTIF($L$2:$L109,"&gt;0"))</f>
        <v/>
      </c>
      <c r="Q109" s="47" t="n">
        <v>108</v>
      </c>
      <c r="R109" s="20" t="str">
        <f aca="false">IF(108&gt;$V$1,"",COUNTIF($M$2:$M$121,"&lt;"&amp;108)+1)</f>
        <v/>
      </c>
      <c r="S109" s="20" t="str">
        <f aca="false">IF($R109="","",108-IF($R109=1,0,INDEX($M$2:$M$121,$R109-1)))</f>
        <v/>
      </c>
      <c r="T109" s="20" t="n">
        <f aca="false">IF($R109="",0,IF($S109=INDEX($L$2:$L$121,$R109),1,0))</f>
        <v>0</v>
      </c>
      <c r="W109" s="20" t="n">
        <v>1</v>
      </c>
    </row>
    <row r="110" customFormat="false" ht="13.5" hidden="false" customHeight="false" outlineLevel="0" collapsed="false">
      <c r="A110" s="47" t="n">
        <v>109</v>
      </c>
      <c r="B110" s="38" t="str">
        <f aca="false">""</f>
        <v/>
      </c>
      <c r="C110" s="26" t="str">
        <f aca="false">IFERROR(INDEX(输入报销!$C:$C,MATCH($A110&amp;"-1",输入报销!$J:$J,0)),"")</f>
        <v/>
      </c>
      <c r="D110" s="14" t="n">
        <f aca="false">IFERROR(INDEX(输入报销!$B:$B,MATCH($A110&amp;"-1",输入报销!$J:$J,0)),参数!$B$2)</f>
        <v>46234</v>
      </c>
      <c r="K110" s="20" t="n">
        <f aca="false">SUM(分录报销!$J$1406:$J$1418)</f>
        <v>0</v>
      </c>
      <c r="L110" s="20" t="n">
        <f aca="false">IF(OR($K110=0,$W110=0),0,ROUNDUP($K110/6,0))</f>
        <v>0</v>
      </c>
      <c r="M110" s="20" t="n">
        <f aca="false">SUM($L$2:$L110)</f>
        <v>39</v>
      </c>
      <c r="N110" s="15" t="n">
        <f aca="false">ROUND(SUM(分录报销!$H$1406:$H$1418),2)</f>
        <v>0</v>
      </c>
      <c r="O110" s="15" t="n">
        <f aca="false">ROUND(SUM(分录报销!$I$1406:$I$1418),2)</f>
        <v>0</v>
      </c>
      <c r="P110" s="20" t="str">
        <f aca="false">IF($L110=0,"",COUNTIF($L$2:$L110,"&gt;0"))</f>
        <v/>
      </c>
      <c r="Q110" s="47" t="n">
        <v>109</v>
      </c>
      <c r="R110" s="20" t="str">
        <f aca="false">IF(109&gt;$V$1,"",COUNTIF($M$2:$M$121,"&lt;"&amp;109)+1)</f>
        <v/>
      </c>
      <c r="S110" s="20" t="str">
        <f aca="false">IF($R110="","",109-IF($R110=1,0,INDEX($M$2:$M$121,$R110-1)))</f>
        <v/>
      </c>
      <c r="T110" s="20" t="n">
        <f aca="false">IF($R110="",0,IF($S110=INDEX($L$2:$L$121,$R110),1,0))</f>
        <v>0</v>
      </c>
      <c r="W110" s="20" t="n">
        <v>1</v>
      </c>
    </row>
    <row r="111" customFormat="false" ht="13.5" hidden="false" customHeight="false" outlineLevel="0" collapsed="false">
      <c r="A111" s="47" t="n">
        <v>110</v>
      </c>
      <c r="B111" s="38" t="str">
        <f aca="false">""</f>
        <v/>
      </c>
      <c r="C111" s="26" t="str">
        <f aca="false">IFERROR(INDEX(输入报销!$C:$C,MATCH($A111&amp;"-1",输入报销!$J:$J,0)),"")</f>
        <v/>
      </c>
      <c r="D111" s="14" t="n">
        <f aca="false">IFERROR(INDEX(输入报销!$B:$B,MATCH($A111&amp;"-1",输入报销!$J:$J,0)),参数!$B$2)</f>
        <v>46234</v>
      </c>
      <c r="K111" s="20" t="n">
        <f aca="false">SUM(分录报销!$J$1419:$J$1431)</f>
        <v>0</v>
      </c>
      <c r="L111" s="20" t="n">
        <f aca="false">IF(OR($K111=0,$W111=0),0,ROUNDUP($K111/6,0))</f>
        <v>0</v>
      </c>
      <c r="M111" s="20" t="n">
        <f aca="false">SUM($L$2:$L111)</f>
        <v>39</v>
      </c>
      <c r="N111" s="15" t="n">
        <f aca="false">ROUND(SUM(分录报销!$H$1419:$H$1431),2)</f>
        <v>0</v>
      </c>
      <c r="O111" s="15" t="n">
        <f aca="false">ROUND(SUM(分录报销!$I$1419:$I$1431),2)</f>
        <v>0</v>
      </c>
      <c r="P111" s="20" t="str">
        <f aca="false">IF($L111=0,"",COUNTIF($L$2:$L111,"&gt;0"))</f>
        <v/>
      </c>
      <c r="Q111" s="47" t="n">
        <v>110</v>
      </c>
      <c r="R111" s="20" t="str">
        <f aca="false">IF(110&gt;$V$1,"",COUNTIF($M$2:$M$121,"&lt;"&amp;110)+1)</f>
        <v/>
      </c>
      <c r="S111" s="20" t="str">
        <f aca="false">IF($R111="","",110-IF($R111=1,0,INDEX($M$2:$M$121,$R111-1)))</f>
        <v/>
      </c>
      <c r="T111" s="20" t="n">
        <f aca="false">IF($R111="",0,IF($S111=INDEX($L$2:$L$121,$R111),1,0))</f>
        <v>0</v>
      </c>
      <c r="W111" s="20" t="n">
        <v>1</v>
      </c>
    </row>
    <row r="112" customFormat="false" ht="13.5" hidden="false" customHeight="false" outlineLevel="0" collapsed="false">
      <c r="A112" s="47" t="n">
        <v>111</v>
      </c>
      <c r="B112" s="38" t="str">
        <f aca="false">""</f>
        <v/>
      </c>
      <c r="C112" s="26" t="str">
        <f aca="false">IFERROR(INDEX(输入报销!$C:$C,MATCH($A112&amp;"-1",输入报销!$J:$J,0)),"")</f>
        <v/>
      </c>
      <c r="D112" s="14" t="n">
        <f aca="false">IFERROR(INDEX(输入报销!$B:$B,MATCH($A112&amp;"-1",输入报销!$J:$J,0)),参数!$B$2)</f>
        <v>46234</v>
      </c>
      <c r="K112" s="20" t="n">
        <f aca="false">SUM(分录报销!$J$1432:$J$1444)</f>
        <v>0</v>
      </c>
      <c r="L112" s="20" t="n">
        <f aca="false">IF(OR($K112=0,$W112=0),0,ROUNDUP($K112/6,0))</f>
        <v>0</v>
      </c>
      <c r="M112" s="20" t="n">
        <f aca="false">SUM($L$2:$L112)</f>
        <v>39</v>
      </c>
      <c r="N112" s="15" t="n">
        <f aca="false">ROUND(SUM(分录报销!$H$1432:$H$1444),2)</f>
        <v>0</v>
      </c>
      <c r="O112" s="15" t="n">
        <f aca="false">ROUND(SUM(分录报销!$I$1432:$I$1444),2)</f>
        <v>0</v>
      </c>
      <c r="P112" s="20" t="str">
        <f aca="false">IF($L112=0,"",COUNTIF($L$2:$L112,"&gt;0"))</f>
        <v/>
      </c>
      <c r="Q112" s="47" t="n">
        <v>111</v>
      </c>
      <c r="R112" s="20" t="str">
        <f aca="false">IF(111&gt;$V$1,"",COUNTIF($M$2:$M$121,"&lt;"&amp;111)+1)</f>
        <v/>
      </c>
      <c r="S112" s="20" t="str">
        <f aca="false">IF($R112="","",111-IF($R112=1,0,INDEX($M$2:$M$121,$R112-1)))</f>
        <v/>
      </c>
      <c r="T112" s="20" t="n">
        <f aca="false">IF($R112="",0,IF($S112=INDEX($L$2:$L$121,$R112),1,0))</f>
        <v>0</v>
      </c>
      <c r="W112" s="20" t="n">
        <v>1</v>
      </c>
    </row>
    <row r="113" customFormat="false" ht="13.5" hidden="false" customHeight="false" outlineLevel="0" collapsed="false">
      <c r="A113" s="47" t="n">
        <v>112</v>
      </c>
      <c r="B113" s="38" t="str">
        <f aca="false">""</f>
        <v/>
      </c>
      <c r="C113" s="26" t="str">
        <f aca="false">IFERROR(INDEX(输入报销!$C:$C,MATCH($A113&amp;"-1",输入报销!$J:$J,0)),"")</f>
        <v/>
      </c>
      <c r="D113" s="14" t="n">
        <f aca="false">IFERROR(INDEX(输入报销!$B:$B,MATCH($A113&amp;"-1",输入报销!$J:$J,0)),参数!$B$2)</f>
        <v>46234</v>
      </c>
      <c r="K113" s="20" t="n">
        <f aca="false">SUM(分录报销!$J$1445:$J$1457)</f>
        <v>0</v>
      </c>
      <c r="L113" s="20" t="n">
        <f aca="false">IF(OR($K113=0,$W113=0),0,ROUNDUP($K113/6,0))</f>
        <v>0</v>
      </c>
      <c r="M113" s="20" t="n">
        <f aca="false">SUM($L$2:$L113)</f>
        <v>39</v>
      </c>
      <c r="N113" s="15" t="n">
        <f aca="false">ROUND(SUM(分录报销!$H$1445:$H$1457),2)</f>
        <v>0</v>
      </c>
      <c r="O113" s="15" t="n">
        <f aca="false">ROUND(SUM(分录报销!$I$1445:$I$1457),2)</f>
        <v>0</v>
      </c>
      <c r="P113" s="20" t="str">
        <f aca="false">IF($L113=0,"",COUNTIF($L$2:$L113,"&gt;0"))</f>
        <v/>
      </c>
      <c r="Q113" s="47" t="n">
        <v>112</v>
      </c>
      <c r="R113" s="20" t="str">
        <f aca="false">IF(112&gt;$V$1,"",COUNTIF($M$2:$M$121,"&lt;"&amp;112)+1)</f>
        <v/>
      </c>
      <c r="S113" s="20" t="str">
        <f aca="false">IF($R113="","",112-IF($R113=1,0,INDEX($M$2:$M$121,$R113-1)))</f>
        <v/>
      </c>
      <c r="T113" s="20" t="n">
        <f aca="false">IF($R113="",0,IF($S113=INDEX($L$2:$L$121,$R113),1,0))</f>
        <v>0</v>
      </c>
      <c r="W113" s="20" t="n">
        <v>1</v>
      </c>
    </row>
    <row r="114" customFormat="false" ht="13.5" hidden="false" customHeight="false" outlineLevel="0" collapsed="false">
      <c r="A114" s="47" t="n">
        <v>113</v>
      </c>
      <c r="B114" s="38" t="str">
        <f aca="false">""</f>
        <v/>
      </c>
      <c r="C114" s="26" t="str">
        <f aca="false">IFERROR(INDEX(输入报销!$C:$C,MATCH($A114&amp;"-1",输入报销!$J:$J,0)),"")</f>
        <v/>
      </c>
      <c r="D114" s="14" t="n">
        <f aca="false">IFERROR(INDEX(输入报销!$B:$B,MATCH($A114&amp;"-1",输入报销!$J:$J,0)),参数!$B$2)</f>
        <v>46234</v>
      </c>
      <c r="K114" s="20" t="n">
        <f aca="false">SUM(分录报销!$J$1458:$J$1470)</f>
        <v>0</v>
      </c>
      <c r="L114" s="20" t="n">
        <f aca="false">IF(OR($K114=0,$W114=0),0,ROUNDUP($K114/6,0))</f>
        <v>0</v>
      </c>
      <c r="M114" s="20" t="n">
        <f aca="false">SUM($L$2:$L114)</f>
        <v>39</v>
      </c>
      <c r="N114" s="15" t="n">
        <f aca="false">ROUND(SUM(分录报销!$H$1458:$H$1470),2)</f>
        <v>0</v>
      </c>
      <c r="O114" s="15" t="n">
        <f aca="false">ROUND(SUM(分录报销!$I$1458:$I$1470),2)</f>
        <v>0</v>
      </c>
      <c r="P114" s="20" t="str">
        <f aca="false">IF($L114=0,"",COUNTIF($L$2:$L114,"&gt;0"))</f>
        <v/>
      </c>
      <c r="Q114" s="47" t="n">
        <v>113</v>
      </c>
      <c r="R114" s="20" t="str">
        <f aca="false">IF(113&gt;$V$1,"",COUNTIF($M$2:$M$121,"&lt;"&amp;113)+1)</f>
        <v/>
      </c>
      <c r="S114" s="20" t="str">
        <f aca="false">IF($R114="","",113-IF($R114=1,0,INDEX($M$2:$M$121,$R114-1)))</f>
        <v/>
      </c>
      <c r="T114" s="20" t="n">
        <f aca="false">IF($R114="",0,IF($S114=INDEX($L$2:$L$121,$R114),1,0))</f>
        <v>0</v>
      </c>
      <c r="W114" s="20" t="n">
        <v>1</v>
      </c>
    </row>
    <row r="115" customFormat="false" ht="13.5" hidden="false" customHeight="false" outlineLevel="0" collapsed="false">
      <c r="A115" s="47" t="n">
        <v>114</v>
      </c>
      <c r="B115" s="38" t="str">
        <f aca="false">""</f>
        <v/>
      </c>
      <c r="C115" s="26" t="str">
        <f aca="false">IFERROR(INDEX(输入报销!$C:$C,MATCH($A115&amp;"-1",输入报销!$J:$J,0)),"")</f>
        <v/>
      </c>
      <c r="D115" s="14" t="n">
        <f aca="false">IFERROR(INDEX(输入报销!$B:$B,MATCH($A115&amp;"-1",输入报销!$J:$J,0)),参数!$B$2)</f>
        <v>46234</v>
      </c>
      <c r="K115" s="20" t="n">
        <f aca="false">SUM(分录报销!$J$1471:$J$1483)</f>
        <v>0</v>
      </c>
      <c r="L115" s="20" t="n">
        <f aca="false">IF(OR($K115=0,$W115=0),0,ROUNDUP($K115/6,0))</f>
        <v>0</v>
      </c>
      <c r="M115" s="20" t="n">
        <f aca="false">SUM($L$2:$L115)</f>
        <v>39</v>
      </c>
      <c r="N115" s="15" t="n">
        <f aca="false">ROUND(SUM(分录报销!$H$1471:$H$1483),2)</f>
        <v>0</v>
      </c>
      <c r="O115" s="15" t="n">
        <f aca="false">ROUND(SUM(分录报销!$I$1471:$I$1483),2)</f>
        <v>0</v>
      </c>
      <c r="P115" s="20" t="str">
        <f aca="false">IF($L115=0,"",COUNTIF($L$2:$L115,"&gt;0"))</f>
        <v/>
      </c>
      <c r="Q115" s="47" t="n">
        <v>114</v>
      </c>
      <c r="R115" s="20" t="str">
        <f aca="false">IF(114&gt;$V$1,"",COUNTIF($M$2:$M$121,"&lt;"&amp;114)+1)</f>
        <v/>
      </c>
      <c r="S115" s="20" t="str">
        <f aca="false">IF($R115="","",114-IF($R115=1,0,INDEX($M$2:$M$121,$R115-1)))</f>
        <v/>
      </c>
      <c r="T115" s="20" t="n">
        <f aca="false">IF($R115="",0,IF($S115=INDEX($L$2:$L$121,$R115),1,0))</f>
        <v>0</v>
      </c>
      <c r="W115" s="20" t="n">
        <v>1</v>
      </c>
    </row>
    <row r="116" customFormat="false" ht="13.5" hidden="false" customHeight="false" outlineLevel="0" collapsed="false">
      <c r="A116" s="47" t="n">
        <v>115</v>
      </c>
      <c r="B116" s="38" t="str">
        <f aca="false">""</f>
        <v/>
      </c>
      <c r="C116" s="26" t="str">
        <f aca="false">IFERROR(INDEX(输入报销!$C:$C,MATCH($A116&amp;"-1",输入报销!$J:$J,0)),"")</f>
        <v/>
      </c>
      <c r="D116" s="14" t="n">
        <f aca="false">IFERROR(INDEX(输入报销!$B:$B,MATCH($A116&amp;"-1",输入报销!$J:$J,0)),参数!$B$2)</f>
        <v>46234</v>
      </c>
      <c r="K116" s="20" t="n">
        <f aca="false">SUM(分录报销!$J$1484:$J$1496)</f>
        <v>0</v>
      </c>
      <c r="L116" s="20" t="n">
        <f aca="false">IF(OR($K116=0,$W116=0),0,ROUNDUP($K116/6,0))</f>
        <v>0</v>
      </c>
      <c r="M116" s="20" t="n">
        <f aca="false">SUM($L$2:$L116)</f>
        <v>39</v>
      </c>
      <c r="N116" s="15" t="n">
        <f aca="false">ROUND(SUM(分录报销!$H$1484:$H$1496),2)</f>
        <v>0</v>
      </c>
      <c r="O116" s="15" t="n">
        <f aca="false">ROUND(SUM(分录报销!$I$1484:$I$1496),2)</f>
        <v>0</v>
      </c>
      <c r="P116" s="20" t="str">
        <f aca="false">IF($L116=0,"",COUNTIF($L$2:$L116,"&gt;0"))</f>
        <v/>
      </c>
      <c r="Q116" s="47" t="n">
        <v>115</v>
      </c>
      <c r="R116" s="20" t="str">
        <f aca="false">IF(115&gt;$V$1,"",COUNTIF($M$2:$M$121,"&lt;"&amp;115)+1)</f>
        <v/>
      </c>
      <c r="S116" s="20" t="str">
        <f aca="false">IF($R116="","",115-IF($R116=1,0,INDEX($M$2:$M$121,$R116-1)))</f>
        <v/>
      </c>
      <c r="T116" s="20" t="n">
        <f aca="false">IF($R116="",0,IF($S116=INDEX($L$2:$L$121,$R116),1,0))</f>
        <v>0</v>
      </c>
      <c r="W116" s="20" t="n">
        <v>1</v>
      </c>
    </row>
    <row r="117" customFormat="false" ht="13.5" hidden="false" customHeight="false" outlineLevel="0" collapsed="false">
      <c r="A117" s="47" t="n">
        <v>116</v>
      </c>
      <c r="B117" s="38" t="str">
        <f aca="false">""</f>
        <v/>
      </c>
      <c r="C117" s="26" t="str">
        <f aca="false">IFERROR(INDEX(输入报销!$C:$C,MATCH($A117&amp;"-1",输入报销!$J:$J,0)),"")</f>
        <v/>
      </c>
      <c r="D117" s="14" t="n">
        <f aca="false">IFERROR(INDEX(输入报销!$B:$B,MATCH($A117&amp;"-1",输入报销!$J:$J,0)),参数!$B$2)</f>
        <v>46234</v>
      </c>
      <c r="K117" s="20" t="n">
        <f aca="false">SUM(分录报销!$J$1497:$J$1509)</f>
        <v>0</v>
      </c>
      <c r="L117" s="20" t="n">
        <f aca="false">IF(OR($K117=0,$W117=0),0,ROUNDUP($K117/6,0))</f>
        <v>0</v>
      </c>
      <c r="M117" s="20" t="n">
        <f aca="false">SUM($L$2:$L117)</f>
        <v>39</v>
      </c>
      <c r="N117" s="15" t="n">
        <f aca="false">ROUND(SUM(分录报销!$H$1497:$H$1509),2)</f>
        <v>0</v>
      </c>
      <c r="O117" s="15" t="n">
        <f aca="false">ROUND(SUM(分录报销!$I$1497:$I$1509),2)</f>
        <v>0</v>
      </c>
      <c r="P117" s="20" t="str">
        <f aca="false">IF($L117=0,"",COUNTIF($L$2:$L117,"&gt;0"))</f>
        <v/>
      </c>
      <c r="Q117" s="47" t="n">
        <v>116</v>
      </c>
      <c r="R117" s="20" t="str">
        <f aca="false">IF(116&gt;$V$1,"",COUNTIF($M$2:$M$121,"&lt;"&amp;116)+1)</f>
        <v/>
      </c>
      <c r="S117" s="20" t="str">
        <f aca="false">IF($R117="","",116-IF($R117=1,0,INDEX($M$2:$M$121,$R117-1)))</f>
        <v/>
      </c>
      <c r="T117" s="20" t="n">
        <f aca="false">IF($R117="",0,IF($S117=INDEX($L$2:$L$121,$R117),1,0))</f>
        <v>0</v>
      </c>
      <c r="W117" s="20" t="n">
        <v>1</v>
      </c>
    </row>
    <row r="118" customFormat="false" ht="13.5" hidden="false" customHeight="false" outlineLevel="0" collapsed="false">
      <c r="A118" s="47" t="n">
        <v>117</v>
      </c>
      <c r="B118" s="38" t="str">
        <f aca="false">""</f>
        <v/>
      </c>
      <c r="C118" s="26" t="str">
        <f aca="false">IFERROR(INDEX(输入报销!$C:$C,MATCH($A118&amp;"-1",输入报销!$J:$J,0)),"")</f>
        <v/>
      </c>
      <c r="D118" s="14" t="n">
        <f aca="false">IFERROR(INDEX(输入报销!$B:$B,MATCH($A118&amp;"-1",输入报销!$J:$J,0)),参数!$B$2)</f>
        <v>46234</v>
      </c>
      <c r="K118" s="20" t="n">
        <f aca="false">SUM(分录报销!$J$1510:$J$1522)</f>
        <v>0</v>
      </c>
      <c r="L118" s="20" t="n">
        <f aca="false">IF(OR($K118=0,$W118=0),0,ROUNDUP($K118/6,0))</f>
        <v>0</v>
      </c>
      <c r="M118" s="20" t="n">
        <f aca="false">SUM($L$2:$L118)</f>
        <v>39</v>
      </c>
      <c r="N118" s="15" t="n">
        <f aca="false">ROUND(SUM(分录报销!$H$1510:$H$1522),2)</f>
        <v>0</v>
      </c>
      <c r="O118" s="15" t="n">
        <f aca="false">ROUND(SUM(分录报销!$I$1510:$I$1522),2)</f>
        <v>0</v>
      </c>
      <c r="P118" s="20" t="str">
        <f aca="false">IF($L118=0,"",COUNTIF($L$2:$L118,"&gt;0"))</f>
        <v/>
      </c>
      <c r="Q118" s="47" t="n">
        <v>117</v>
      </c>
      <c r="R118" s="20" t="str">
        <f aca="false">IF(117&gt;$V$1,"",COUNTIF($M$2:$M$121,"&lt;"&amp;117)+1)</f>
        <v/>
      </c>
      <c r="S118" s="20" t="str">
        <f aca="false">IF($R118="","",117-IF($R118=1,0,INDEX($M$2:$M$121,$R118-1)))</f>
        <v/>
      </c>
      <c r="T118" s="20" t="n">
        <f aca="false">IF($R118="",0,IF($S118=INDEX($L$2:$L$121,$R118),1,0))</f>
        <v>0</v>
      </c>
      <c r="W118" s="20" t="n">
        <v>1</v>
      </c>
    </row>
    <row r="119" customFormat="false" ht="13.5" hidden="false" customHeight="false" outlineLevel="0" collapsed="false">
      <c r="A119" s="47" t="n">
        <v>118</v>
      </c>
      <c r="B119" s="38" t="str">
        <f aca="false">""</f>
        <v/>
      </c>
      <c r="C119" s="26" t="str">
        <f aca="false">IFERROR(INDEX(输入报销!$C:$C,MATCH($A119&amp;"-1",输入报销!$J:$J,0)),"")</f>
        <v/>
      </c>
      <c r="D119" s="14" t="n">
        <f aca="false">IFERROR(INDEX(输入报销!$B:$B,MATCH($A119&amp;"-1",输入报销!$J:$J,0)),参数!$B$2)</f>
        <v>46234</v>
      </c>
      <c r="K119" s="20" t="n">
        <f aca="false">SUM(分录报销!$J$1523:$J$1535)</f>
        <v>0</v>
      </c>
      <c r="L119" s="20" t="n">
        <f aca="false">IF(OR($K119=0,$W119=0),0,ROUNDUP($K119/6,0))</f>
        <v>0</v>
      </c>
      <c r="M119" s="20" t="n">
        <f aca="false">SUM($L$2:$L119)</f>
        <v>39</v>
      </c>
      <c r="N119" s="15" t="n">
        <f aca="false">ROUND(SUM(分录报销!$H$1523:$H$1535),2)</f>
        <v>0</v>
      </c>
      <c r="O119" s="15" t="n">
        <f aca="false">ROUND(SUM(分录报销!$I$1523:$I$1535),2)</f>
        <v>0</v>
      </c>
      <c r="P119" s="20" t="str">
        <f aca="false">IF($L119=0,"",COUNTIF($L$2:$L119,"&gt;0"))</f>
        <v/>
      </c>
      <c r="Q119" s="47" t="n">
        <v>118</v>
      </c>
      <c r="R119" s="20" t="str">
        <f aca="false">IF(118&gt;$V$1,"",COUNTIF($M$2:$M$121,"&lt;"&amp;118)+1)</f>
        <v/>
      </c>
      <c r="S119" s="20" t="str">
        <f aca="false">IF($R119="","",118-IF($R119=1,0,INDEX($M$2:$M$121,$R119-1)))</f>
        <v/>
      </c>
      <c r="T119" s="20" t="n">
        <f aca="false">IF($R119="",0,IF($S119=INDEX($L$2:$L$121,$R119),1,0))</f>
        <v>0</v>
      </c>
      <c r="W119" s="20" t="n">
        <v>1</v>
      </c>
    </row>
    <row r="120" customFormat="false" ht="13.5" hidden="false" customHeight="false" outlineLevel="0" collapsed="false">
      <c r="A120" s="47" t="n">
        <v>119</v>
      </c>
      <c r="B120" s="38" t="str">
        <f aca="false">""</f>
        <v/>
      </c>
      <c r="C120" s="26" t="str">
        <f aca="false">IFERROR(INDEX(输入报销!$C:$C,MATCH($A120&amp;"-1",输入报销!$J:$J,0)),"")</f>
        <v/>
      </c>
      <c r="D120" s="14" t="n">
        <f aca="false">IFERROR(INDEX(输入报销!$B:$B,MATCH($A120&amp;"-1",输入报销!$J:$J,0)),参数!$B$2)</f>
        <v>46234</v>
      </c>
      <c r="K120" s="20" t="n">
        <f aca="false">SUM(分录报销!$J$1536:$J$1548)</f>
        <v>0</v>
      </c>
      <c r="L120" s="20" t="n">
        <f aca="false">IF(OR($K120=0,$W120=0),0,ROUNDUP($K120/6,0))</f>
        <v>0</v>
      </c>
      <c r="M120" s="20" t="n">
        <f aca="false">SUM($L$2:$L120)</f>
        <v>39</v>
      </c>
      <c r="N120" s="15" t="n">
        <f aca="false">ROUND(SUM(分录报销!$H$1536:$H$1548),2)</f>
        <v>0</v>
      </c>
      <c r="O120" s="15" t="n">
        <f aca="false">ROUND(SUM(分录报销!$I$1536:$I$1548),2)</f>
        <v>0</v>
      </c>
      <c r="P120" s="20" t="str">
        <f aca="false">IF($L120=0,"",COUNTIF($L$2:$L120,"&gt;0"))</f>
        <v/>
      </c>
      <c r="Q120" s="47" t="n">
        <v>119</v>
      </c>
      <c r="R120" s="20" t="str">
        <f aca="false">IF(119&gt;$V$1,"",COUNTIF($M$2:$M$121,"&lt;"&amp;119)+1)</f>
        <v/>
      </c>
      <c r="S120" s="20" t="str">
        <f aca="false">IF($R120="","",119-IF($R120=1,0,INDEX($M$2:$M$121,$R120-1)))</f>
        <v/>
      </c>
      <c r="T120" s="20" t="n">
        <f aca="false">IF($R120="",0,IF($S120=INDEX($L$2:$L$121,$R120),1,0))</f>
        <v>0</v>
      </c>
      <c r="W120" s="20" t="n">
        <v>1</v>
      </c>
    </row>
    <row r="121" customFormat="false" ht="13.5" hidden="false" customHeight="false" outlineLevel="0" collapsed="false">
      <c r="A121" s="47" t="n">
        <v>120</v>
      </c>
      <c r="B121" s="38" t="str">
        <f aca="false">""</f>
        <v/>
      </c>
      <c r="C121" s="26" t="str">
        <f aca="false">IFERROR(INDEX(输入报销!$C:$C,MATCH($A121&amp;"-1",输入报销!$J:$J,0)),"")</f>
        <v/>
      </c>
      <c r="D121" s="14" t="n">
        <f aca="false">IFERROR(INDEX(输入报销!$B:$B,MATCH($A121&amp;"-1",输入报销!$J:$J,0)),参数!$B$2)</f>
        <v>46234</v>
      </c>
      <c r="K121" s="20" t="n">
        <f aca="false">SUM(分录报销!$J$1549:$J$1561)</f>
        <v>0</v>
      </c>
      <c r="L121" s="20" t="n">
        <f aca="false">IF(OR($K121=0,$W121=0),0,ROUNDUP($K121/6,0))</f>
        <v>0</v>
      </c>
      <c r="M121" s="20" t="n">
        <f aca="false">SUM($L$2:$L121)</f>
        <v>39</v>
      </c>
      <c r="N121" s="15" t="n">
        <f aca="false">ROUND(SUM(分录报销!$H$1549:$H$1561),2)</f>
        <v>0</v>
      </c>
      <c r="O121" s="15" t="n">
        <f aca="false">ROUND(SUM(分录报销!$I$1549:$I$1561),2)</f>
        <v>0</v>
      </c>
      <c r="P121" s="20" t="str">
        <f aca="false">IF($L121=0,"",COUNTIF($L$2:$L121,"&gt;0"))</f>
        <v/>
      </c>
      <c r="Q121" s="47" t="n">
        <v>120</v>
      </c>
      <c r="R121" s="20" t="str">
        <f aca="false">IF(120&gt;$V$1,"",COUNTIF($M$2:$M$121,"&lt;"&amp;120)+1)</f>
        <v/>
      </c>
      <c r="S121" s="20" t="str">
        <f aca="false">IF($R121="","",120-IF($R121=1,0,INDEX($M$2:$M$121,$R121-1)))</f>
        <v/>
      </c>
      <c r="T121" s="20" t="n">
        <f aca="false">IF($R121="",0,IF($S121=INDEX($L$2:$L$121,$R121),1,0))</f>
        <v>0</v>
      </c>
      <c r="W121" s="20" t="n">
        <v>1</v>
      </c>
    </row>
    <row r="122" customFormat="false" ht="13.5" hidden="false" customHeight="false" outlineLevel="0" collapsed="false">
      <c r="Q122" s="47" t="n">
        <v>121</v>
      </c>
      <c r="R122" s="20" t="str">
        <f aca="false">IF(121&gt;$V$1,"",COUNTIF($M$2:$M$121,"&lt;"&amp;121)+1)</f>
        <v/>
      </c>
      <c r="S122" s="20" t="str">
        <f aca="false">IF($R122="","",121-IF($R122=1,0,INDEX($M$2:$M$121,$R122-1)))</f>
        <v/>
      </c>
      <c r="T122" s="20" t="n">
        <f aca="false">IF($R122="",0,IF($S122=INDEX($L$2:$L$121,$R122),1,0))</f>
        <v>0</v>
      </c>
    </row>
    <row r="123" customFormat="false" ht="13.5" hidden="false" customHeight="false" outlineLevel="0" collapsed="false">
      <c r="Q123" s="47" t="n">
        <v>122</v>
      </c>
      <c r="R123" s="20" t="str">
        <f aca="false">IF(122&gt;$V$1,"",COUNTIF($M$2:$M$121,"&lt;"&amp;122)+1)</f>
        <v/>
      </c>
      <c r="S123" s="20" t="str">
        <f aca="false">IF($R123="","",122-IF($R123=1,0,INDEX($M$2:$M$121,$R123-1)))</f>
        <v/>
      </c>
      <c r="T123" s="20" t="n">
        <f aca="false">IF($R123="",0,IF($S123=INDEX($L$2:$L$121,$R123),1,0))</f>
        <v>0</v>
      </c>
    </row>
    <row r="124" customFormat="false" ht="13.5" hidden="false" customHeight="false" outlineLevel="0" collapsed="false">
      <c r="Q124" s="47" t="n">
        <v>123</v>
      </c>
      <c r="R124" s="20" t="str">
        <f aca="false">IF(123&gt;$V$1,"",COUNTIF($M$2:$M$121,"&lt;"&amp;123)+1)</f>
        <v/>
      </c>
      <c r="S124" s="20" t="str">
        <f aca="false">IF($R124="","",123-IF($R124=1,0,INDEX($M$2:$M$121,$R124-1)))</f>
        <v/>
      </c>
      <c r="T124" s="20" t="n">
        <f aca="false">IF($R124="",0,IF($S124=INDEX($L$2:$L$121,$R124),1,0))</f>
        <v>0</v>
      </c>
    </row>
    <row r="125" customFormat="false" ht="13.5" hidden="false" customHeight="false" outlineLevel="0" collapsed="false">
      <c r="Q125" s="47" t="n">
        <v>124</v>
      </c>
      <c r="R125" s="20" t="str">
        <f aca="false">IF(124&gt;$V$1,"",COUNTIF($M$2:$M$121,"&lt;"&amp;124)+1)</f>
        <v/>
      </c>
      <c r="S125" s="20" t="str">
        <f aca="false">IF($R125="","",124-IF($R125=1,0,INDEX($M$2:$M$121,$R125-1)))</f>
        <v/>
      </c>
      <c r="T125" s="20" t="n">
        <f aca="false">IF($R125="",0,IF($S125=INDEX($L$2:$L$121,$R125),1,0))</f>
        <v>0</v>
      </c>
    </row>
    <row r="126" customFormat="false" ht="13.5" hidden="false" customHeight="false" outlineLevel="0" collapsed="false">
      <c r="Q126" s="47" t="n">
        <v>125</v>
      </c>
      <c r="R126" s="20" t="str">
        <f aca="false">IF(125&gt;$V$1,"",COUNTIF($M$2:$M$121,"&lt;"&amp;125)+1)</f>
        <v/>
      </c>
      <c r="S126" s="20" t="str">
        <f aca="false">IF($R126="","",125-IF($R126=1,0,INDEX($M$2:$M$121,$R126-1)))</f>
        <v/>
      </c>
      <c r="T126" s="20" t="n">
        <f aca="false">IF($R126="",0,IF($S126=INDEX($L$2:$L$121,$R126),1,0))</f>
        <v>0</v>
      </c>
    </row>
    <row r="127" customFormat="false" ht="13.5" hidden="false" customHeight="false" outlineLevel="0" collapsed="false">
      <c r="Q127" s="47" t="n">
        <v>126</v>
      </c>
      <c r="R127" s="20" t="str">
        <f aca="false">IF(126&gt;$V$1,"",COUNTIF($M$2:$M$121,"&lt;"&amp;126)+1)</f>
        <v/>
      </c>
      <c r="S127" s="20" t="str">
        <f aca="false">IF($R127="","",126-IF($R127=1,0,INDEX($M$2:$M$121,$R127-1)))</f>
        <v/>
      </c>
      <c r="T127" s="20" t="n">
        <f aca="false">IF($R127="",0,IF($S127=INDEX($L$2:$L$121,$R127),1,0))</f>
        <v>0</v>
      </c>
    </row>
    <row r="128" customFormat="false" ht="13.5" hidden="false" customHeight="false" outlineLevel="0" collapsed="false">
      <c r="Q128" s="47" t="n">
        <v>127</v>
      </c>
      <c r="R128" s="20" t="str">
        <f aca="false">IF(127&gt;$V$1,"",COUNTIF($M$2:$M$121,"&lt;"&amp;127)+1)</f>
        <v/>
      </c>
      <c r="S128" s="20" t="str">
        <f aca="false">IF($R128="","",127-IF($R128=1,0,INDEX($M$2:$M$121,$R128-1)))</f>
        <v/>
      </c>
      <c r="T128" s="20" t="n">
        <f aca="false">IF($R128="",0,IF($S128=INDEX($L$2:$L$121,$R128),1,0))</f>
        <v>0</v>
      </c>
    </row>
    <row r="129" customFormat="false" ht="13.5" hidden="false" customHeight="false" outlineLevel="0" collapsed="false">
      <c r="Q129" s="47" t="n">
        <v>128</v>
      </c>
      <c r="R129" s="20" t="str">
        <f aca="false">IF(128&gt;$V$1,"",COUNTIF($M$2:$M$121,"&lt;"&amp;128)+1)</f>
        <v/>
      </c>
      <c r="S129" s="20" t="str">
        <f aca="false">IF($R129="","",128-IF($R129=1,0,INDEX($M$2:$M$121,$R129-1)))</f>
        <v/>
      </c>
      <c r="T129" s="20" t="n">
        <f aca="false">IF($R129="",0,IF($S129=INDEX($L$2:$L$121,$R129),1,0))</f>
        <v>0</v>
      </c>
    </row>
    <row r="130" customFormat="false" ht="13.5" hidden="false" customHeight="false" outlineLevel="0" collapsed="false">
      <c r="Q130" s="47" t="n">
        <v>129</v>
      </c>
      <c r="R130" s="20" t="str">
        <f aca="false">IF(129&gt;$V$1,"",COUNTIF($M$2:$M$121,"&lt;"&amp;129)+1)</f>
        <v/>
      </c>
      <c r="S130" s="20" t="str">
        <f aca="false">IF($R130="","",129-IF($R130=1,0,INDEX($M$2:$M$121,$R130-1)))</f>
        <v/>
      </c>
      <c r="T130" s="20" t="n">
        <f aca="false">IF($R130="",0,IF($S130=INDEX($L$2:$L$121,$R130),1,0))</f>
        <v>0</v>
      </c>
    </row>
    <row r="131" customFormat="false" ht="13.5" hidden="false" customHeight="false" outlineLevel="0" collapsed="false">
      <c r="Q131" s="47" t="n">
        <v>130</v>
      </c>
      <c r="R131" s="20" t="str">
        <f aca="false">IF(130&gt;$V$1,"",COUNTIF($M$2:$M$121,"&lt;"&amp;130)+1)</f>
        <v/>
      </c>
      <c r="S131" s="20" t="str">
        <f aca="false">IF($R131="","",130-IF($R131=1,0,INDEX($M$2:$M$121,$R131-1)))</f>
        <v/>
      </c>
      <c r="T131" s="20" t="n">
        <f aca="false">IF($R131="",0,IF($S131=INDEX($L$2:$L$121,$R131),1,0))</f>
        <v>0</v>
      </c>
    </row>
    <row r="132" customFormat="false" ht="13.5" hidden="false" customHeight="false" outlineLevel="0" collapsed="false">
      <c r="Q132" s="47" t="n">
        <v>131</v>
      </c>
      <c r="R132" s="20" t="str">
        <f aca="false">IF(131&gt;$V$1,"",COUNTIF($M$2:$M$121,"&lt;"&amp;131)+1)</f>
        <v/>
      </c>
      <c r="S132" s="20" t="str">
        <f aca="false">IF($R132="","",131-IF($R132=1,0,INDEX($M$2:$M$121,$R132-1)))</f>
        <v/>
      </c>
      <c r="T132" s="20" t="n">
        <f aca="false">IF($R132="",0,IF($S132=INDEX($L$2:$L$121,$R132),1,0))</f>
        <v>0</v>
      </c>
    </row>
    <row r="133" customFormat="false" ht="13.5" hidden="false" customHeight="false" outlineLevel="0" collapsed="false">
      <c r="Q133" s="47" t="n">
        <v>132</v>
      </c>
      <c r="R133" s="20" t="str">
        <f aca="false">IF(132&gt;$V$1,"",COUNTIF($M$2:$M$121,"&lt;"&amp;132)+1)</f>
        <v/>
      </c>
      <c r="S133" s="20" t="str">
        <f aca="false">IF($R133="","",132-IF($R133=1,0,INDEX($M$2:$M$121,$R133-1)))</f>
        <v/>
      </c>
      <c r="T133" s="20" t="n">
        <f aca="false">IF($R133="",0,IF($S133=INDEX($L$2:$L$121,$R133),1,0))</f>
        <v>0</v>
      </c>
    </row>
    <row r="134" customFormat="false" ht="13.5" hidden="false" customHeight="false" outlineLevel="0" collapsed="false">
      <c r="Q134" s="47" t="n">
        <v>133</v>
      </c>
      <c r="R134" s="20" t="str">
        <f aca="false">IF(133&gt;$V$1,"",COUNTIF($M$2:$M$121,"&lt;"&amp;133)+1)</f>
        <v/>
      </c>
      <c r="S134" s="20" t="str">
        <f aca="false">IF($R134="","",133-IF($R134=1,0,INDEX($M$2:$M$121,$R134-1)))</f>
        <v/>
      </c>
      <c r="T134" s="20" t="n">
        <f aca="false">IF($R134="",0,IF($S134=INDEX($L$2:$L$121,$R134),1,0))</f>
        <v>0</v>
      </c>
    </row>
    <row r="135" customFormat="false" ht="13.5" hidden="false" customHeight="false" outlineLevel="0" collapsed="false">
      <c r="Q135" s="47" t="n">
        <v>134</v>
      </c>
      <c r="R135" s="20" t="str">
        <f aca="false">IF(134&gt;$V$1,"",COUNTIF($M$2:$M$121,"&lt;"&amp;134)+1)</f>
        <v/>
      </c>
      <c r="S135" s="20" t="str">
        <f aca="false">IF($R135="","",134-IF($R135=1,0,INDEX($M$2:$M$121,$R135-1)))</f>
        <v/>
      </c>
      <c r="T135" s="20" t="n">
        <f aca="false">IF($R135="",0,IF($S135=INDEX($L$2:$L$121,$R135),1,0))</f>
        <v>0</v>
      </c>
    </row>
    <row r="136" customFormat="false" ht="13.5" hidden="false" customHeight="false" outlineLevel="0" collapsed="false">
      <c r="Q136" s="47" t="n">
        <v>135</v>
      </c>
      <c r="R136" s="20" t="str">
        <f aca="false">IF(135&gt;$V$1,"",COUNTIF($M$2:$M$121,"&lt;"&amp;135)+1)</f>
        <v/>
      </c>
      <c r="S136" s="20" t="str">
        <f aca="false">IF($R136="","",135-IF($R136=1,0,INDEX($M$2:$M$121,$R136-1)))</f>
        <v/>
      </c>
      <c r="T136" s="20" t="n">
        <f aca="false">IF($R136="",0,IF($S136=INDEX($L$2:$L$121,$R136),1,0))</f>
        <v>0</v>
      </c>
    </row>
    <row r="137" customFormat="false" ht="13.5" hidden="false" customHeight="false" outlineLevel="0" collapsed="false">
      <c r="Q137" s="47" t="n">
        <v>136</v>
      </c>
      <c r="R137" s="20" t="str">
        <f aca="false">IF(136&gt;$V$1,"",COUNTIF($M$2:$M$121,"&lt;"&amp;136)+1)</f>
        <v/>
      </c>
      <c r="S137" s="20" t="str">
        <f aca="false">IF($R137="","",136-IF($R137=1,0,INDEX($M$2:$M$121,$R137-1)))</f>
        <v/>
      </c>
      <c r="T137" s="20" t="n">
        <f aca="false">IF($R137="",0,IF($S137=INDEX($L$2:$L$121,$R137),1,0))</f>
        <v>0</v>
      </c>
    </row>
    <row r="138" customFormat="false" ht="13.5" hidden="false" customHeight="false" outlineLevel="0" collapsed="false">
      <c r="Q138" s="47" t="n">
        <v>137</v>
      </c>
      <c r="R138" s="20" t="str">
        <f aca="false">IF(137&gt;$V$1,"",COUNTIF($M$2:$M$121,"&lt;"&amp;137)+1)</f>
        <v/>
      </c>
      <c r="S138" s="20" t="str">
        <f aca="false">IF($R138="","",137-IF($R138=1,0,INDEX($M$2:$M$121,$R138-1)))</f>
        <v/>
      </c>
      <c r="T138" s="20" t="n">
        <f aca="false">IF($R138="",0,IF($S138=INDEX($L$2:$L$121,$R138),1,0))</f>
        <v>0</v>
      </c>
    </row>
    <row r="139" customFormat="false" ht="13.5" hidden="false" customHeight="false" outlineLevel="0" collapsed="false">
      <c r="Q139" s="47" t="n">
        <v>138</v>
      </c>
      <c r="R139" s="20" t="str">
        <f aca="false">IF(138&gt;$V$1,"",COUNTIF($M$2:$M$121,"&lt;"&amp;138)+1)</f>
        <v/>
      </c>
      <c r="S139" s="20" t="str">
        <f aca="false">IF($R139="","",138-IF($R139=1,0,INDEX($M$2:$M$121,$R139-1)))</f>
        <v/>
      </c>
      <c r="T139" s="20" t="n">
        <f aca="false">IF($R139="",0,IF($S139=INDEX($L$2:$L$121,$R139),1,0))</f>
        <v>0</v>
      </c>
    </row>
    <row r="140" customFormat="false" ht="13.5" hidden="false" customHeight="false" outlineLevel="0" collapsed="false">
      <c r="Q140" s="47" t="n">
        <v>139</v>
      </c>
      <c r="R140" s="20" t="str">
        <f aca="false">IF(139&gt;$V$1,"",COUNTIF($M$2:$M$121,"&lt;"&amp;139)+1)</f>
        <v/>
      </c>
      <c r="S140" s="20" t="str">
        <f aca="false">IF($R140="","",139-IF($R140=1,0,INDEX($M$2:$M$121,$R140-1)))</f>
        <v/>
      </c>
      <c r="T140" s="20" t="n">
        <f aca="false">IF($R140="",0,IF($S140=INDEX($L$2:$L$121,$R140),1,0))</f>
        <v>0</v>
      </c>
    </row>
    <row r="141" customFormat="false" ht="13.5" hidden="false" customHeight="false" outlineLevel="0" collapsed="false">
      <c r="Q141" s="47" t="n">
        <v>140</v>
      </c>
      <c r="R141" s="20" t="str">
        <f aca="false">IF(140&gt;$V$1,"",COUNTIF($M$2:$M$121,"&lt;"&amp;140)+1)</f>
        <v/>
      </c>
      <c r="S141" s="20" t="str">
        <f aca="false">IF($R141="","",140-IF($R141=1,0,INDEX($M$2:$M$121,$R141-1)))</f>
        <v/>
      </c>
      <c r="T141" s="20" t="n">
        <f aca="false">IF($R141="",0,IF($S141=INDEX($L$2:$L$121,$R141),1,0))</f>
        <v>0</v>
      </c>
    </row>
    <row r="142" customFormat="false" ht="13.5" hidden="false" customHeight="false" outlineLevel="0" collapsed="false">
      <c r="Q142" s="47" t="n">
        <v>141</v>
      </c>
      <c r="R142" s="20" t="str">
        <f aca="false">IF(141&gt;$V$1,"",COUNTIF($M$2:$M$121,"&lt;"&amp;141)+1)</f>
        <v/>
      </c>
      <c r="S142" s="20" t="str">
        <f aca="false">IF($R142="","",141-IF($R142=1,0,INDEX($M$2:$M$121,$R142-1)))</f>
        <v/>
      </c>
      <c r="T142" s="20" t="n">
        <f aca="false">IF($R142="",0,IF($S142=INDEX($L$2:$L$121,$R142),1,0))</f>
        <v>0</v>
      </c>
    </row>
    <row r="143" customFormat="false" ht="13.5" hidden="false" customHeight="false" outlineLevel="0" collapsed="false">
      <c r="Q143" s="47" t="n">
        <v>142</v>
      </c>
      <c r="R143" s="20" t="str">
        <f aca="false">IF(142&gt;$V$1,"",COUNTIF($M$2:$M$121,"&lt;"&amp;142)+1)</f>
        <v/>
      </c>
      <c r="S143" s="20" t="str">
        <f aca="false">IF($R143="","",142-IF($R143=1,0,INDEX($M$2:$M$121,$R143-1)))</f>
        <v/>
      </c>
      <c r="T143" s="20" t="n">
        <f aca="false">IF($R143="",0,IF($S143=INDEX($L$2:$L$121,$R143),1,0))</f>
        <v>0</v>
      </c>
    </row>
    <row r="144" customFormat="false" ht="13.5" hidden="false" customHeight="false" outlineLevel="0" collapsed="false">
      <c r="Q144" s="47" t="n">
        <v>143</v>
      </c>
      <c r="R144" s="20" t="str">
        <f aca="false">IF(143&gt;$V$1,"",COUNTIF($M$2:$M$121,"&lt;"&amp;143)+1)</f>
        <v/>
      </c>
      <c r="S144" s="20" t="str">
        <f aca="false">IF($R144="","",143-IF($R144=1,0,INDEX($M$2:$M$121,$R144-1)))</f>
        <v/>
      </c>
      <c r="T144" s="20" t="n">
        <f aca="false">IF($R144="",0,IF($S144=INDEX($L$2:$L$121,$R144),1,0))</f>
        <v>0</v>
      </c>
    </row>
    <row r="145" customFormat="false" ht="13.5" hidden="false" customHeight="false" outlineLevel="0" collapsed="false">
      <c r="Q145" s="47" t="n">
        <v>144</v>
      </c>
      <c r="R145" s="20" t="str">
        <f aca="false">IF(144&gt;$V$1,"",COUNTIF($M$2:$M$121,"&lt;"&amp;144)+1)</f>
        <v/>
      </c>
      <c r="S145" s="20" t="str">
        <f aca="false">IF($R145="","",144-IF($R145=1,0,INDEX($M$2:$M$121,$R145-1)))</f>
        <v/>
      </c>
      <c r="T145" s="20" t="n">
        <f aca="false">IF($R145="",0,IF($S145=INDEX($L$2:$L$121,$R145),1,0))</f>
        <v>0</v>
      </c>
    </row>
    <row r="146" customFormat="false" ht="13.5" hidden="false" customHeight="false" outlineLevel="0" collapsed="false">
      <c r="Q146" s="47" t="n">
        <v>145</v>
      </c>
      <c r="R146" s="20" t="str">
        <f aca="false">IF(145&gt;$V$1,"",COUNTIF($M$2:$M$121,"&lt;"&amp;145)+1)</f>
        <v/>
      </c>
      <c r="S146" s="20" t="str">
        <f aca="false">IF($R146="","",145-IF($R146=1,0,INDEX($M$2:$M$121,$R146-1)))</f>
        <v/>
      </c>
      <c r="T146" s="20" t="n">
        <f aca="false">IF($R146="",0,IF($S146=INDEX($L$2:$L$121,$R146),1,0))</f>
        <v>0</v>
      </c>
    </row>
    <row r="147" customFormat="false" ht="13.5" hidden="false" customHeight="false" outlineLevel="0" collapsed="false">
      <c r="Q147" s="47" t="n">
        <v>146</v>
      </c>
      <c r="R147" s="20" t="str">
        <f aca="false">IF(146&gt;$V$1,"",COUNTIF($M$2:$M$121,"&lt;"&amp;146)+1)</f>
        <v/>
      </c>
      <c r="S147" s="20" t="str">
        <f aca="false">IF($R147="","",146-IF($R147=1,0,INDEX($M$2:$M$121,$R147-1)))</f>
        <v/>
      </c>
      <c r="T147" s="20" t="n">
        <f aca="false">IF($R147="",0,IF($S147=INDEX($L$2:$L$121,$R147),1,0))</f>
        <v>0</v>
      </c>
    </row>
    <row r="148" customFormat="false" ht="13.5" hidden="false" customHeight="false" outlineLevel="0" collapsed="false">
      <c r="Q148" s="47" t="n">
        <v>147</v>
      </c>
      <c r="R148" s="20" t="str">
        <f aca="false">IF(147&gt;$V$1,"",COUNTIF($M$2:$M$121,"&lt;"&amp;147)+1)</f>
        <v/>
      </c>
      <c r="S148" s="20" t="str">
        <f aca="false">IF($R148="","",147-IF($R148=1,0,INDEX($M$2:$M$121,$R148-1)))</f>
        <v/>
      </c>
      <c r="T148" s="20" t="n">
        <f aca="false">IF($R148="",0,IF($S148=INDEX($L$2:$L$121,$R148),1,0))</f>
        <v>0</v>
      </c>
    </row>
    <row r="149" customFormat="false" ht="13.5" hidden="false" customHeight="false" outlineLevel="0" collapsed="false">
      <c r="Q149" s="47" t="n">
        <v>148</v>
      </c>
      <c r="R149" s="20" t="str">
        <f aca="false">IF(148&gt;$V$1,"",COUNTIF($M$2:$M$121,"&lt;"&amp;148)+1)</f>
        <v/>
      </c>
      <c r="S149" s="20" t="str">
        <f aca="false">IF($R149="","",148-IF($R149=1,0,INDEX($M$2:$M$121,$R149-1)))</f>
        <v/>
      </c>
      <c r="T149" s="20" t="n">
        <f aca="false">IF($R149="",0,IF($S149=INDEX($L$2:$L$121,$R149),1,0))</f>
        <v>0</v>
      </c>
    </row>
    <row r="150" customFormat="false" ht="13.5" hidden="false" customHeight="false" outlineLevel="0" collapsed="false">
      <c r="Q150" s="47" t="n">
        <v>149</v>
      </c>
      <c r="R150" s="20" t="str">
        <f aca="false">IF(149&gt;$V$1,"",COUNTIF($M$2:$M$121,"&lt;"&amp;149)+1)</f>
        <v/>
      </c>
      <c r="S150" s="20" t="str">
        <f aca="false">IF($R150="","",149-IF($R150=1,0,INDEX($M$2:$M$121,$R150-1)))</f>
        <v/>
      </c>
      <c r="T150" s="20" t="n">
        <f aca="false">IF($R150="",0,IF($S150=INDEX($L$2:$L$121,$R150),1,0))</f>
        <v>0</v>
      </c>
    </row>
    <row r="151" customFormat="false" ht="13.5" hidden="false" customHeight="false" outlineLevel="0" collapsed="false">
      <c r="Q151" s="47" t="n">
        <v>150</v>
      </c>
      <c r="R151" s="20" t="str">
        <f aca="false">IF(150&gt;$V$1,"",COUNTIF($M$2:$M$121,"&lt;"&amp;150)+1)</f>
        <v/>
      </c>
      <c r="S151" s="20" t="str">
        <f aca="false">IF($R151="","",150-IF($R151=1,0,INDEX($M$2:$M$121,$R151-1)))</f>
        <v/>
      </c>
      <c r="T151" s="20" t="n">
        <f aca="false">IF($R151="",0,IF($S151=INDEX($L$2:$L$121,$R151),1,0))</f>
        <v>0</v>
      </c>
    </row>
    <row r="152" customFormat="false" ht="13.5" hidden="false" customHeight="false" outlineLevel="0" collapsed="false">
      <c r="Q152" s="47" t="n">
        <v>151</v>
      </c>
      <c r="R152" s="20" t="str">
        <f aca="false">IF(151&gt;$V$1,"",COUNTIF($M$2:$M$121,"&lt;"&amp;151)+1)</f>
        <v/>
      </c>
      <c r="S152" s="20" t="str">
        <f aca="false">IF($R152="","",151-IF($R152=1,0,INDEX($M$2:$M$121,$R152-1)))</f>
        <v/>
      </c>
      <c r="T152" s="20" t="n">
        <f aca="false">IF($R152="",0,IF($S152=INDEX($L$2:$L$121,$R152),1,0))</f>
        <v>0</v>
      </c>
    </row>
    <row r="153" customFormat="false" ht="13.5" hidden="false" customHeight="false" outlineLevel="0" collapsed="false">
      <c r="Q153" s="47" t="n">
        <v>152</v>
      </c>
      <c r="R153" s="20" t="str">
        <f aca="false">IF(152&gt;$V$1,"",COUNTIF($M$2:$M$121,"&lt;"&amp;152)+1)</f>
        <v/>
      </c>
      <c r="S153" s="20" t="str">
        <f aca="false">IF($R153="","",152-IF($R153=1,0,INDEX($M$2:$M$121,$R153-1)))</f>
        <v/>
      </c>
      <c r="T153" s="20" t="n">
        <f aca="false">IF($R153="",0,IF($S153=INDEX($L$2:$L$121,$R153),1,0))</f>
        <v>0</v>
      </c>
    </row>
    <row r="154" customFormat="false" ht="13.5" hidden="false" customHeight="false" outlineLevel="0" collapsed="false">
      <c r="Q154" s="47" t="n">
        <v>153</v>
      </c>
      <c r="R154" s="20" t="str">
        <f aca="false">IF(153&gt;$V$1,"",COUNTIF($M$2:$M$121,"&lt;"&amp;153)+1)</f>
        <v/>
      </c>
      <c r="S154" s="20" t="str">
        <f aca="false">IF($R154="","",153-IF($R154=1,0,INDEX($M$2:$M$121,$R154-1)))</f>
        <v/>
      </c>
      <c r="T154" s="20" t="n">
        <f aca="false">IF($R154="",0,IF($S154=INDEX($L$2:$L$121,$R154),1,0))</f>
        <v>0</v>
      </c>
    </row>
    <row r="155" customFormat="false" ht="13.5" hidden="false" customHeight="false" outlineLevel="0" collapsed="false">
      <c r="Q155" s="47" t="n">
        <v>154</v>
      </c>
      <c r="R155" s="20" t="str">
        <f aca="false">IF(154&gt;$V$1,"",COUNTIF($M$2:$M$121,"&lt;"&amp;154)+1)</f>
        <v/>
      </c>
      <c r="S155" s="20" t="str">
        <f aca="false">IF($R155="","",154-IF($R155=1,0,INDEX($M$2:$M$121,$R155-1)))</f>
        <v/>
      </c>
      <c r="T155" s="20" t="n">
        <f aca="false">IF($R155="",0,IF($S155=INDEX($L$2:$L$121,$R155),1,0))</f>
        <v>0</v>
      </c>
    </row>
    <row r="156" customFormat="false" ht="13.5" hidden="false" customHeight="false" outlineLevel="0" collapsed="false">
      <c r="Q156" s="47" t="n">
        <v>155</v>
      </c>
      <c r="R156" s="20" t="str">
        <f aca="false">IF(155&gt;$V$1,"",COUNTIF($M$2:$M$121,"&lt;"&amp;155)+1)</f>
        <v/>
      </c>
      <c r="S156" s="20" t="str">
        <f aca="false">IF($R156="","",155-IF($R156=1,0,INDEX($M$2:$M$121,$R156-1)))</f>
        <v/>
      </c>
      <c r="T156" s="20" t="n">
        <f aca="false">IF($R156="",0,IF($S156=INDEX($L$2:$L$121,$R156),1,0))</f>
        <v>0</v>
      </c>
    </row>
    <row r="157" customFormat="false" ht="13.5" hidden="false" customHeight="false" outlineLevel="0" collapsed="false">
      <c r="Q157" s="47" t="n">
        <v>156</v>
      </c>
      <c r="R157" s="20" t="str">
        <f aca="false">IF(156&gt;$V$1,"",COUNTIF($M$2:$M$121,"&lt;"&amp;156)+1)</f>
        <v/>
      </c>
      <c r="S157" s="20" t="str">
        <f aca="false">IF($R157="","",156-IF($R157=1,0,INDEX($M$2:$M$121,$R157-1)))</f>
        <v/>
      </c>
      <c r="T157" s="20" t="n">
        <f aca="false">IF($R157="",0,IF($S157=INDEX($L$2:$L$121,$R157),1,0))</f>
        <v>0</v>
      </c>
    </row>
    <row r="158" customFormat="false" ht="13.5" hidden="false" customHeight="false" outlineLevel="0" collapsed="false">
      <c r="Q158" s="47" t="n">
        <v>157</v>
      </c>
      <c r="R158" s="20" t="str">
        <f aca="false">IF(157&gt;$V$1,"",COUNTIF($M$2:$M$121,"&lt;"&amp;157)+1)</f>
        <v/>
      </c>
      <c r="S158" s="20" t="str">
        <f aca="false">IF($R158="","",157-IF($R158=1,0,INDEX($M$2:$M$121,$R158-1)))</f>
        <v/>
      </c>
      <c r="T158" s="20" t="n">
        <f aca="false">IF($R158="",0,IF($S158=INDEX($L$2:$L$121,$R158),1,0))</f>
        <v>0</v>
      </c>
    </row>
    <row r="159" customFormat="false" ht="13.5" hidden="false" customHeight="false" outlineLevel="0" collapsed="false">
      <c r="Q159" s="47" t="n">
        <v>158</v>
      </c>
      <c r="R159" s="20" t="str">
        <f aca="false">IF(158&gt;$V$1,"",COUNTIF($M$2:$M$121,"&lt;"&amp;158)+1)</f>
        <v/>
      </c>
      <c r="S159" s="20" t="str">
        <f aca="false">IF($R159="","",158-IF($R159=1,0,INDEX($M$2:$M$121,$R159-1)))</f>
        <v/>
      </c>
      <c r="T159" s="20" t="n">
        <f aca="false">IF($R159="",0,IF($S159=INDEX($L$2:$L$121,$R159),1,0))</f>
        <v>0</v>
      </c>
    </row>
    <row r="160" customFormat="false" ht="13.5" hidden="false" customHeight="false" outlineLevel="0" collapsed="false">
      <c r="Q160" s="47" t="n">
        <v>159</v>
      </c>
      <c r="R160" s="20" t="str">
        <f aca="false">IF(159&gt;$V$1,"",COUNTIF($M$2:$M$121,"&lt;"&amp;159)+1)</f>
        <v/>
      </c>
      <c r="S160" s="20" t="str">
        <f aca="false">IF($R160="","",159-IF($R160=1,0,INDEX($M$2:$M$121,$R160-1)))</f>
        <v/>
      </c>
      <c r="T160" s="20" t="n">
        <f aca="false">IF($R160="",0,IF($S160=INDEX($L$2:$L$121,$R160),1,0))</f>
        <v>0</v>
      </c>
    </row>
    <row r="161" customFormat="false" ht="13.5" hidden="false" customHeight="false" outlineLevel="0" collapsed="false">
      <c r="Q161" s="47" t="n">
        <v>160</v>
      </c>
      <c r="R161" s="20" t="str">
        <f aca="false">IF(160&gt;$V$1,"",COUNTIF($M$2:$M$121,"&lt;"&amp;160)+1)</f>
        <v/>
      </c>
      <c r="S161" s="20" t="str">
        <f aca="false">IF($R161="","",160-IF($R161=1,0,INDEX($M$2:$M$121,$R161-1)))</f>
        <v/>
      </c>
      <c r="T161" s="20" t="n">
        <f aca="false">IF($R161="",0,IF($S161=INDEX($L$2:$L$121,$R161),1,0))</f>
        <v>0</v>
      </c>
    </row>
    <row r="162" customFormat="false" ht="13.5" hidden="false" customHeight="false" outlineLevel="0" collapsed="false">
      <c r="Q162" s="47" t="n">
        <v>161</v>
      </c>
      <c r="R162" s="20" t="str">
        <f aca="false">IF(161&gt;$V$1,"",COUNTIF($M$2:$M$121,"&lt;"&amp;161)+1)</f>
        <v/>
      </c>
      <c r="S162" s="20" t="str">
        <f aca="false">IF($R162="","",161-IF($R162=1,0,INDEX($M$2:$M$121,$R162-1)))</f>
        <v/>
      </c>
      <c r="T162" s="20" t="n">
        <f aca="false">IF($R162="",0,IF($S162=INDEX($L$2:$L$121,$R162),1,0))</f>
        <v>0</v>
      </c>
    </row>
    <row r="163" customFormat="false" ht="13.5" hidden="false" customHeight="false" outlineLevel="0" collapsed="false">
      <c r="Q163" s="47" t="n">
        <v>162</v>
      </c>
      <c r="R163" s="20" t="str">
        <f aca="false">IF(162&gt;$V$1,"",COUNTIF($M$2:$M$121,"&lt;"&amp;162)+1)</f>
        <v/>
      </c>
      <c r="S163" s="20" t="str">
        <f aca="false">IF($R163="","",162-IF($R163=1,0,INDEX($M$2:$M$121,$R163-1)))</f>
        <v/>
      </c>
      <c r="T163" s="20" t="n">
        <f aca="false">IF($R163="",0,IF($S163=INDEX($L$2:$L$121,$R163),1,0))</f>
        <v>0</v>
      </c>
    </row>
    <row r="164" customFormat="false" ht="13.5" hidden="false" customHeight="false" outlineLevel="0" collapsed="false">
      <c r="Q164" s="47" t="n">
        <v>163</v>
      </c>
      <c r="R164" s="20" t="str">
        <f aca="false">IF(163&gt;$V$1,"",COUNTIF($M$2:$M$121,"&lt;"&amp;163)+1)</f>
        <v/>
      </c>
      <c r="S164" s="20" t="str">
        <f aca="false">IF($R164="","",163-IF($R164=1,0,INDEX($M$2:$M$121,$R164-1)))</f>
        <v/>
      </c>
      <c r="T164" s="20" t="n">
        <f aca="false">IF($R164="",0,IF($S164=INDEX($L$2:$L$121,$R164),1,0))</f>
        <v>0</v>
      </c>
    </row>
    <row r="165" customFormat="false" ht="13.5" hidden="false" customHeight="false" outlineLevel="0" collapsed="false">
      <c r="Q165" s="47" t="n">
        <v>164</v>
      </c>
      <c r="R165" s="20" t="str">
        <f aca="false">IF(164&gt;$V$1,"",COUNTIF($M$2:$M$121,"&lt;"&amp;164)+1)</f>
        <v/>
      </c>
      <c r="S165" s="20" t="str">
        <f aca="false">IF($R165="","",164-IF($R165=1,0,INDEX($M$2:$M$121,$R165-1)))</f>
        <v/>
      </c>
      <c r="T165" s="20" t="n">
        <f aca="false">IF($R165="",0,IF($S165=INDEX($L$2:$L$121,$R165),1,0))</f>
        <v>0</v>
      </c>
    </row>
    <row r="166" customFormat="false" ht="13.5" hidden="false" customHeight="false" outlineLevel="0" collapsed="false">
      <c r="Q166" s="47" t="n">
        <v>165</v>
      </c>
      <c r="R166" s="20" t="str">
        <f aca="false">IF(165&gt;$V$1,"",COUNTIF($M$2:$M$121,"&lt;"&amp;165)+1)</f>
        <v/>
      </c>
      <c r="S166" s="20" t="str">
        <f aca="false">IF($R166="","",165-IF($R166=1,0,INDEX($M$2:$M$121,$R166-1)))</f>
        <v/>
      </c>
      <c r="T166" s="20" t="n">
        <f aca="false">IF($R166="",0,IF($S166=INDEX($L$2:$L$121,$R166),1,0))</f>
        <v>0</v>
      </c>
    </row>
    <row r="167" customFormat="false" ht="13.5" hidden="false" customHeight="false" outlineLevel="0" collapsed="false">
      <c r="Q167" s="47" t="n">
        <v>166</v>
      </c>
      <c r="R167" s="20" t="str">
        <f aca="false">IF(166&gt;$V$1,"",COUNTIF($M$2:$M$121,"&lt;"&amp;166)+1)</f>
        <v/>
      </c>
      <c r="S167" s="20" t="str">
        <f aca="false">IF($R167="","",166-IF($R167=1,0,INDEX($M$2:$M$121,$R167-1)))</f>
        <v/>
      </c>
      <c r="T167" s="20" t="n">
        <f aca="false">IF($R167="",0,IF($S167=INDEX($L$2:$L$121,$R167),1,0))</f>
        <v>0</v>
      </c>
    </row>
    <row r="168" customFormat="false" ht="13.5" hidden="false" customHeight="false" outlineLevel="0" collapsed="false">
      <c r="Q168" s="47" t="n">
        <v>167</v>
      </c>
      <c r="R168" s="20" t="str">
        <f aca="false">IF(167&gt;$V$1,"",COUNTIF($M$2:$M$121,"&lt;"&amp;167)+1)</f>
        <v/>
      </c>
      <c r="S168" s="20" t="str">
        <f aca="false">IF($R168="","",167-IF($R168=1,0,INDEX($M$2:$M$121,$R168-1)))</f>
        <v/>
      </c>
      <c r="T168" s="20" t="n">
        <f aca="false">IF($R168="",0,IF($S168=INDEX($L$2:$L$121,$R168),1,0))</f>
        <v>0</v>
      </c>
    </row>
    <row r="169" customFormat="false" ht="13.5" hidden="false" customHeight="false" outlineLevel="0" collapsed="false">
      <c r="Q169" s="47" t="n">
        <v>168</v>
      </c>
      <c r="R169" s="20" t="str">
        <f aca="false">IF(168&gt;$V$1,"",COUNTIF($M$2:$M$121,"&lt;"&amp;168)+1)</f>
        <v/>
      </c>
      <c r="S169" s="20" t="str">
        <f aca="false">IF($R169="","",168-IF($R169=1,0,INDEX($M$2:$M$121,$R169-1)))</f>
        <v/>
      </c>
      <c r="T169" s="20" t="n">
        <f aca="false">IF($R169="",0,IF($S169=INDEX($L$2:$L$121,$R169),1,0))</f>
        <v>0</v>
      </c>
    </row>
    <row r="170" customFormat="false" ht="13.5" hidden="false" customHeight="false" outlineLevel="0" collapsed="false">
      <c r="Q170" s="47" t="n">
        <v>169</v>
      </c>
      <c r="R170" s="20" t="str">
        <f aca="false">IF(169&gt;$V$1,"",COUNTIF($M$2:$M$121,"&lt;"&amp;169)+1)</f>
        <v/>
      </c>
      <c r="S170" s="20" t="str">
        <f aca="false">IF($R170="","",169-IF($R170=1,0,INDEX($M$2:$M$121,$R170-1)))</f>
        <v/>
      </c>
      <c r="T170" s="20" t="n">
        <f aca="false">IF($R170="",0,IF($S170=INDEX($L$2:$L$121,$R170),1,0))</f>
        <v>0</v>
      </c>
    </row>
    <row r="171" customFormat="false" ht="13.5" hidden="false" customHeight="false" outlineLevel="0" collapsed="false">
      <c r="Q171" s="47" t="n">
        <v>170</v>
      </c>
      <c r="R171" s="20" t="str">
        <f aca="false">IF(170&gt;$V$1,"",COUNTIF($M$2:$M$121,"&lt;"&amp;170)+1)</f>
        <v/>
      </c>
      <c r="S171" s="20" t="str">
        <f aca="false">IF($R171="","",170-IF($R171=1,0,INDEX($M$2:$M$121,$R171-1)))</f>
        <v/>
      </c>
      <c r="T171" s="20" t="n">
        <f aca="false">IF($R171="",0,IF($S171=INDEX($L$2:$L$121,$R171),1,0))</f>
        <v>0</v>
      </c>
    </row>
    <row r="172" customFormat="false" ht="13.5" hidden="false" customHeight="false" outlineLevel="0" collapsed="false">
      <c r="Q172" s="47" t="n">
        <v>171</v>
      </c>
      <c r="R172" s="20" t="str">
        <f aca="false">IF(171&gt;$V$1,"",COUNTIF($M$2:$M$121,"&lt;"&amp;171)+1)</f>
        <v/>
      </c>
      <c r="S172" s="20" t="str">
        <f aca="false">IF($R172="","",171-IF($R172=1,0,INDEX($M$2:$M$121,$R172-1)))</f>
        <v/>
      </c>
      <c r="T172" s="20" t="n">
        <f aca="false">IF($R172="",0,IF($S172=INDEX($L$2:$L$121,$R172),1,0))</f>
        <v>0</v>
      </c>
    </row>
    <row r="173" customFormat="false" ht="13.5" hidden="false" customHeight="false" outlineLevel="0" collapsed="false">
      <c r="Q173" s="47" t="n">
        <v>172</v>
      </c>
      <c r="R173" s="20" t="str">
        <f aca="false">IF(172&gt;$V$1,"",COUNTIF($M$2:$M$121,"&lt;"&amp;172)+1)</f>
        <v/>
      </c>
      <c r="S173" s="20" t="str">
        <f aca="false">IF($R173="","",172-IF($R173=1,0,INDEX($M$2:$M$121,$R173-1)))</f>
        <v/>
      </c>
      <c r="T173" s="20" t="n">
        <f aca="false">IF($R173="",0,IF($S173=INDEX($L$2:$L$121,$R173),1,0))</f>
        <v>0</v>
      </c>
    </row>
    <row r="174" customFormat="false" ht="13.5" hidden="false" customHeight="false" outlineLevel="0" collapsed="false">
      <c r="Q174" s="47" t="n">
        <v>173</v>
      </c>
      <c r="R174" s="20" t="str">
        <f aca="false">IF(173&gt;$V$1,"",COUNTIF($M$2:$M$121,"&lt;"&amp;173)+1)</f>
        <v/>
      </c>
      <c r="S174" s="20" t="str">
        <f aca="false">IF($R174="","",173-IF($R174=1,0,INDEX($M$2:$M$121,$R174-1)))</f>
        <v/>
      </c>
      <c r="T174" s="20" t="n">
        <f aca="false">IF($R174="",0,IF($S174=INDEX($L$2:$L$121,$R174),1,0))</f>
        <v>0</v>
      </c>
    </row>
    <row r="175" customFormat="false" ht="13.5" hidden="false" customHeight="false" outlineLevel="0" collapsed="false">
      <c r="Q175" s="47" t="n">
        <v>174</v>
      </c>
      <c r="R175" s="20" t="str">
        <f aca="false">IF(174&gt;$V$1,"",COUNTIF($M$2:$M$121,"&lt;"&amp;174)+1)</f>
        <v/>
      </c>
      <c r="S175" s="20" t="str">
        <f aca="false">IF($R175="","",174-IF($R175=1,0,INDEX($M$2:$M$121,$R175-1)))</f>
        <v/>
      </c>
      <c r="T175" s="20" t="n">
        <f aca="false">IF($R175="",0,IF($S175=INDEX($L$2:$L$121,$R175),1,0))</f>
        <v>0</v>
      </c>
    </row>
    <row r="176" customFormat="false" ht="13.5" hidden="false" customHeight="false" outlineLevel="0" collapsed="false">
      <c r="Q176" s="47" t="n">
        <v>175</v>
      </c>
      <c r="R176" s="20" t="str">
        <f aca="false">IF(175&gt;$V$1,"",COUNTIF($M$2:$M$121,"&lt;"&amp;175)+1)</f>
        <v/>
      </c>
      <c r="S176" s="20" t="str">
        <f aca="false">IF($R176="","",175-IF($R176=1,0,INDEX($M$2:$M$121,$R176-1)))</f>
        <v/>
      </c>
      <c r="T176" s="20" t="n">
        <f aca="false">IF($R176="",0,IF($S176=INDEX($L$2:$L$121,$R176),1,0))</f>
        <v>0</v>
      </c>
    </row>
    <row r="177" customFormat="false" ht="13.5" hidden="false" customHeight="false" outlineLevel="0" collapsed="false">
      <c r="Q177" s="47" t="n">
        <v>176</v>
      </c>
      <c r="R177" s="20" t="str">
        <f aca="false">IF(176&gt;$V$1,"",COUNTIF($M$2:$M$121,"&lt;"&amp;176)+1)</f>
        <v/>
      </c>
      <c r="S177" s="20" t="str">
        <f aca="false">IF($R177="","",176-IF($R177=1,0,INDEX($M$2:$M$121,$R177-1)))</f>
        <v/>
      </c>
      <c r="T177" s="20" t="n">
        <f aca="false">IF($R177="",0,IF($S177=INDEX($L$2:$L$121,$R177),1,0))</f>
        <v>0</v>
      </c>
    </row>
    <row r="178" customFormat="false" ht="13.5" hidden="false" customHeight="false" outlineLevel="0" collapsed="false">
      <c r="Q178" s="47" t="n">
        <v>177</v>
      </c>
      <c r="R178" s="20" t="str">
        <f aca="false">IF(177&gt;$V$1,"",COUNTIF($M$2:$M$121,"&lt;"&amp;177)+1)</f>
        <v/>
      </c>
      <c r="S178" s="20" t="str">
        <f aca="false">IF($R178="","",177-IF($R178=1,0,INDEX($M$2:$M$121,$R178-1)))</f>
        <v/>
      </c>
      <c r="T178" s="20" t="n">
        <f aca="false">IF($R178="",0,IF($S178=INDEX($L$2:$L$121,$R178),1,0))</f>
        <v>0</v>
      </c>
    </row>
    <row r="179" customFormat="false" ht="13.5" hidden="false" customHeight="false" outlineLevel="0" collapsed="false">
      <c r="Q179" s="47" t="n">
        <v>178</v>
      </c>
      <c r="R179" s="20" t="str">
        <f aca="false">IF(178&gt;$V$1,"",COUNTIF($M$2:$M$121,"&lt;"&amp;178)+1)</f>
        <v/>
      </c>
      <c r="S179" s="20" t="str">
        <f aca="false">IF($R179="","",178-IF($R179=1,0,INDEX($M$2:$M$121,$R179-1)))</f>
        <v/>
      </c>
      <c r="T179" s="20" t="n">
        <f aca="false">IF($R179="",0,IF($S179=INDEX($L$2:$L$121,$R179),1,0))</f>
        <v>0</v>
      </c>
    </row>
    <row r="180" customFormat="false" ht="13.5" hidden="false" customHeight="false" outlineLevel="0" collapsed="false">
      <c r="Q180" s="47" t="n">
        <v>179</v>
      </c>
      <c r="R180" s="20" t="str">
        <f aca="false">IF(179&gt;$V$1,"",COUNTIF($M$2:$M$121,"&lt;"&amp;179)+1)</f>
        <v/>
      </c>
      <c r="S180" s="20" t="str">
        <f aca="false">IF($R180="","",179-IF($R180=1,0,INDEX($M$2:$M$121,$R180-1)))</f>
        <v/>
      </c>
      <c r="T180" s="20" t="n">
        <f aca="false">IF($R180="",0,IF($S180=INDEX($L$2:$L$121,$R180),1,0))</f>
        <v>0</v>
      </c>
    </row>
    <row r="181" customFormat="false" ht="13.5" hidden="false" customHeight="false" outlineLevel="0" collapsed="false">
      <c r="Q181" s="47" t="n">
        <v>180</v>
      </c>
      <c r="R181" s="20" t="str">
        <f aca="false">IF(180&gt;$V$1,"",COUNTIF($M$2:$M$121,"&lt;"&amp;180)+1)</f>
        <v/>
      </c>
      <c r="S181" s="20" t="str">
        <f aca="false">IF($R181="","",180-IF($R181=1,0,INDEX($M$2:$M$121,$R181-1)))</f>
        <v/>
      </c>
      <c r="T181" s="20" t="n">
        <f aca="false">IF($R181="",0,IF($S181=INDEX($L$2:$L$121,$R181),1,0))</f>
        <v>0</v>
      </c>
    </row>
    <row r="182" customFormat="false" ht="13.5" hidden="false" customHeight="false" outlineLevel="0" collapsed="false">
      <c r="Q182" s="47" t="n">
        <v>181</v>
      </c>
      <c r="R182" s="20" t="str">
        <f aca="false">IF(181&gt;$V$1,"",COUNTIF($M$2:$M$121,"&lt;"&amp;181)+1)</f>
        <v/>
      </c>
      <c r="S182" s="20" t="str">
        <f aca="false">IF($R182="","",181-IF($R182=1,0,INDEX($M$2:$M$121,$R182-1)))</f>
        <v/>
      </c>
      <c r="T182" s="20" t="n">
        <f aca="false">IF($R182="",0,IF($S182=INDEX($L$2:$L$121,$R182),1,0))</f>
        <v>0</v>
      </c>
    </row>
    <row r="183" customFormat="false" ht="13.5" hidden="false" customHeight="false" outlineLevel="0" collapsed="false">
      <c r="Q183" s="47" t="n">
        <v>182</v>
      </c>
      <c r="R183" s="20" t="str">
        <f aca="false">IF(182&gt;$V$1,"",COUNTIF($M$2:$M$121,"&lt;"&amp;182)+1)</f>
        <v/>
      </c>
      <c r="S183" s="20" t="str">
        <f aca="false">IF($R183="","",182-IF($R183=1,0,INDEX($M$2:$M$121,$R183-1)))</f>
        <v/>
      </c>
      <c r="T183" s="20" t="n">
        <f aca="false">IF($R183="",0,IF($S183=INDEX($L$2:$L$121,$R183),1,0))</f>
        <v>0</v>
      </c>
    </row>
    <row r="184" customFormat="false" ht="13.5" hidden="false" customHeight="false" outlineLevel="0" collapsed="false">
      <c r="Q184" s="47" t="n">
        <v>183</v>
      </c>
      <c r="R184" s="20" t="str">
        <f aca="false">IF(183&gt;$V$1,"",COUNTIF($M$2:$M$121,"&lt;"&amp;183)+1)</f>
        <v/>
      </c>
      <c r="S184" s="20" t="str">
        <f aca="false">IF($R184="","",183-IF($R184=1,0,INDEX($M$2:$M$121,$R184-1)))</f>
        <v/>
      </c>
      <c r="T184" s="20" t="n">
        <f aca="false">IF($R184="",0,IF($S184=INDEX($L$2:$L$121,$R184),1,0))</f>
        <v>0</v>
      </c>
    </row>
    <row r="185" customFormat="false" ht="13.5" hidden="false" customHeight="false" outlineLevel="0" collapsed="false">
      <c r="Q185" s="47" t="n">
        <v>184</v>
      </c>
      <c r="R185" s="20" t="str">
        <f aca="false">IF(184&gt;$V$1,"",COUNTIF($M$2:$M$121,"&lt;"&amp;184)+1)</f>
        <v/>
      </c>
      <c r="S185" s="20" t="str">
        <f aca="false">IF($R185="","",184-IF($R185=1,0,INDEX($M$2:$M$121,$R185-1)))</f>
        <v/>
      </c>
      <c r="T185" s="20" t="n">
        <f aca="false">IF($R185="",0,IF($S185=INDEX($L$2:$L$121,$R185),1,0))</f>
        <v>0</v>
      </c>
    </row>
    <row r="186" customFormat="false" ht="13.5" hidden="false" customHeight="false" outlineLevel="0" collapsed="false">
      <c r="Q186" s="47" t="n">
        <v>185</v>
      </c>
      <c r="R186" s="20" t="str">
        <f aca="false">IF(185&gt;$V$1,"",COUNTIF($M$2:$M$121,"&lt;"&amp;185)+1)</f>
        <v/>
      </c>
      <c r="S186" s="20" t="str">
        <f aca="false">IF($R186="","",185-IF($R186=1,0,INDEX($M$2:$M$121,$R186-1)))</f>
        <v/>
      </c>
      <c r="T186" s="20" t="n">
        <f aca="false">IF($R186="",0,IF($S186=INDEX($L$2:$L$121,$R186),1,0))</f>
        <v>0</v>
      </c>
    </row>
    <row r="187" customFormat="false" ht="13.5" hidden="false" customHeight="false" outlineLevel="0" collapsed="false">
      <c r="Q187" s="47" t="n">
        <v>186</v>
      </c>
      <c r="R187" s="20" t="str">
        <f aca="false">IF(186&gt;$V$1,"",COUNTIF($M$2:$M$121,"&lt;"&amp;186)+1)</f>
        <v/>
      </c>
      <c r="S187" s="20" t="str">
        <f aca="false">IF($R187="","",186-IF($R187=1,0,INDEX($M$2:$M$121,$R187-1)))</f>
        <v/>
      </c>
      <c r="T187" s="20" t="n">
        <f aca="false">IF($R187="",0,IF($S187=INDEX($L$2:$L$121,$R187),1,0))</f>
        <v>0</v>
      </c>
    </row>
    <row r="188" customFormat="false" ht="13.5" hidden="false" customHeight="false" outlineLevel="0" collapsed="false">
      <c r="Q188" s="47" t="n">
        <v>187</v>
      </c>
      <c r="R188" s="20" t="str">
        <f aca="false">IF(187&gt;$V$1,"",COUNTIF($M$2:$M$121,"&lt;"&amp;187)+1)</f>
        <v/>
      </c>
      <c r="S188" s="20" t="str">
        <f aca="false">IF($R188="","",187-IF($R188=1,0,INDEX($M$2:$M$121,$R188-1)))</f>
        <v/>
      </c>
      <c r="T188" s="20" t="n">
        <f aca="false">IF($R188="",0,IF($S188=INDEX($L$2:$L$121,$R188),1,0))</f>
        <v>0</v>
      </c>
    </row>
    <row r="189" customFormat="false" ht="13.5" hidden="false" customHeight="false" outlineLevel="0" collapsed="false">
      <c r="Q189" s="47" t="n">
        <v>188</v>
      </c>
      <c r="R189" s="20" t="str">
        <f aca="false">IF(188&gt;$V$1,"",COUNTIF($M$2:$M$121,"&lt;"&amp;188)+1)</f>
        <v/>
      </c>
      <c r="S189" s="20" t="str">
        <f aca="false">IF($R189="","",188-IF($R189=1,0,INDEX($M$2:$M$121,$R189-1)))</f>
        <v/>
      </c>
      <c r="T189" s="20" t="n">
        <f aca="false">IF($R189="",0,IF($S189=INDEX($L$2:$L$121,$R189),1,0))</f>
        <v>0</v>
      </c>
    </row>
    <row r="190" customFormat="false" ht="13.5" hidden="false" customHeight="false" outlineLevel="0" collapsed="false">
      <c r="Q190" s="47" t="n">
        <v>189</v>
      </c>
      <c r="R190" s="20" t="str">
        <f aca="false">IF(189&gt;$V$1,"",COUNTIF($M$2:$M$121,"&lt;"&amp;189)+1)</f>
        <v/>
      </c>
      <c r="S190" s="20" t="str">
        <f aca="false">IF($R190="","",189-IF($R190=1,0,INDEX($M$2:$M$121,$R190-1)))</f>
        <v/>
      </c>
      <c r="T190" s="20" t="n">
        <f aca="false">IF($R190="",0,IF($S190=INDEX($L$2:$L$121,$R190),1,0))</f>
        <v>0</v>
      </c>
    </row>
    <row r="191" customFormat="false" ht="13.5" hidden="false" customHeight="false" outlineLevel="0" collapsed="false">
      <c r="Q191" s="47" t="n">
        <v>190</v>
      </c>
      <c r="R191" s="20" t="str">
        <f aca="false">IF(190&gt;$V$1,"",COUNTIF($M$2:$M$121,"&lt;"&amp;190)+1)</f>
        <v/>
      </c>
      <c r="S191" s="20" t="str">
        <f aca="false">IF($R191="","",190-IF($R191=1,0,INDEX($M$2:$M$121,$R191-1)))</f>
        <v/>
      </c>
      <c r="T191" s="20" t="n">
        <f aca="false">IF($R191="",0,IF($S191=INDEX($L$2:$L$121,$R191),1,0))</f>
        <v>0</v>
      </c>
    </row>
    <row r="192" customFormat="false" ht="13.5" hidden="false" customHeight="false" outlineLevel="0" collapsed="false">
      <c r="Q192" s="47" t="n">
        <v>191</v>
      </c>
      <c r="R192" s="20" t="str">
        <f aca="false">IF(191&gt;$V$1,"",COUNTIF($M$2:$M$121,"&lt;"&amp;191)+1)</f>
        <v/>
      </c>
      <c r="S192" s="20" t="str">
        <f aca="false">IF($R192="","",191-IF($R192=1,0,INDEX($M$2:$M$121,$R192-1)))</f>
        <v/>
      </c>
      <c r="T192" s="20" t="n">
        <f aca="false">IF($R192="",0,IF($S192=INDEX($L$2:$L$121,$R192),1,0))</f>
        <v>0</v>
      </c>
    </row>
    <row r="193" customFormat="false" ht="13.5" hidden="false" customHeight="false" outlineLevel="0" collapsed="false">
      <c r="Q193" s="47" t="n">
        <v>192</v>
      </c>
      <c r="R193" s="20" t="str">
        <f aca="false">IF(192&gt;$V$1,"",COUNTIF($M$2:$M$121,"&lt;"&amp;192)+1)</f>
        <v/>
      </c>
      <c r="S193" s="20" t="str">
        <f aca="false">IF($R193="","",192-IF($R193=1,0,INDEX($M$2:$M$121,$R193-1)))</f>
        <v/>
      </c>
      <c r="T193" s="20" t="n">
        <f aca="false">IF($R193="",0,IF($S193=INDEX($L$2:$L$121,$R193),1,0))</f>
        <v>0</v>
      </c>
    </row>
    <row r="194" customFormat="false" ht="13.5" hidden="false" customHeight="false" outlineLevel="0" collapsed="false">
      <c r="Q194" s="47" t="n">
        <v>193</v>
      </c>
      <c r="R194" s="20" t="str">
        <f aca="false">IF(193&gt;$V$1,"",COUNTIF($M$2:$M$121,"&lt;"&amp;193)+1)</f>
        <v/>
      </c>
      <c r="S194" s="20" t="str">
        <f aca="false">IF($R194="","",193-IF($R194=1,0,INDEX($M$2:$M$121,$R194-1)))</f>
        <v/>
      </c>
      <c r="T194" s="20" t="n">
        <f aca="false">IF($R194="",0,IF($S194=INDEX($L$2:$L$121,$R194),1,0))</f>
        <v>0</v>
      </c>
    </row>
    <row r="195" customFormat="false" ht="13.5" hidden="false" customHeight="false" outlineLevel="0" collapsed="false">
      <c r="Q195" s="47" t="n">
        <v>194</v>
      </c>
      <c r="R195" s="20" t="str">
        <f aca="false">IF(194&gt;$V$1,"",COUNTIF($M$2:$M$121,"&lt;"&amp;194)+1)</f>
        <v/>
      </c>
      <c r="S195" s="20" t="str">
        <f aca="false">IF($R195="","",194-IF($R195=1,0,INDEX($M$2:$M$121,$R195-1)))</f>
        <v/>
      </c>
      <c r="T195" s="20" t="n">
        <f aca="false">IF($R195="",0,IF($S195=INDEX($L$2:$L$121,$R195),1,0))</f>
        <v>0</v>
      </c>
    </row>
    <row r="196" customFormat="false" ht="13.5" hidden="false" customHeight="false" outlineLevel="0" collapsed="false">
      <c r="Q196" s="47" t="n">
        <v>195</v>
      </c>
      <c r="R196" s="20" t="str">
        <f aca="false">IF(195&gt;$V$1,"",COUNTIF($M$2:$M$121,"&lt;"&amp;195)+1)</f>
        <v/>
      </c>
      <c r="S196" s="20" t="str">
        <f aca="false">IF($R196="","",195-IF($R196=1,0,INDEX($M$2:$M$121,$R196-1)))</f>
        <v/>
      </c>
      <c r="T196" s="20" t="n">
        <f aca="false">IF($R196="",0,IF($S196=INDEX($L$2:$L$121,$R196),1,0))</f>
        <v>0</v>
      </c>
    </row>
    <row r="197" customFormat="false" ht="13.5" hidden="false" customHeight="false" outlineLevel="0" collapsed="false">
      <c r="Q197" s="47" t="n">
        <v>196</v>
      </c>
      <c r="R197" s="20" t="str">
        <f aca="false">IF(196&gt;$V$1,"",COUNTIF($M$2:$M$121,"&lt;"&amp;196)+1)</f>
        <v/>
      </c>
      <c r="S197" s="20" t="str">
        <f aca="false">IF($R197="","",196-IF($R197=1,0,INDEX($M$2:$M$121,$R197-1)))</f>
        <v/>
      </c>
      <c r="T197" s="20" t="n">
        <f aca="false">IF($R197="",0,IF($S197=INDEX($L$2:$L$121,$R197),1,0))</f>
        <v>0</v>
      </c>
    </row>
    <row r="198" customFormat="false" ht="13.5" hidden="false" customHeight="false" outlineLevel="0" collapsed="false">
      <c r="Q198" s="47" t="n">
        <v>197</v>
      </c>
      <c r="R198" s="20" t="str">
        <f aca="false">IF(197&gt;$V$1,"",COUNTIF($M$2:$M$121,"&lt;"&amp;197)+1)</f>
        <v/>
      </c>
      <c r="S198" s="20" t="str">
        <f aca="false">IF($R198="","",197-IF($R198=1,0,INDEX($M$2:$M$121,$R198-1)))</f>
        <v/>
      </c>
      <c r="T198" s="20" t="n">
        <f aca="false">IF($R198="",0,IF($S198=INDEX($L$2:$L$121,$R198),1,0))</f>
        <v>0</v>
      </c>
    </row>
    <row r="199" customFormat="false" ht="13.5" hidden="false" customHeight="false" outlineLevel="0" collapsed="false">
      <c r="Q199" s="47" t="n">
        <v>198</v>
      </c>
      <c r="R199" s="20" t="str">
        <f aca="false">IF(198&gt;$V$1,"",COUNTIF($M$2:$M$121,"&lt;"&amp;198)+1)</f>
        <v/>
      </c>
      <c r="S199" s="20" t="str">
        <f aca="false">IF($R199="","",198-IF($R199=1,0,INDEX($M$2:$M$121,$R199-1)))</f>
        <v/>
      </c>
      <c r="T199" s="20" t="n">
        <f aca="false">IF($R199="",0,IF($S199=INDEX($L$2:$L$121,$R199),1,0))</f>
        <v>0</v>
      </c>
    </row>
    <row r="200" customFormat="false" ht="13.5" hidden="false" customHeight="false" outlineLevel="0" collapsed="false">
      <c r="Q200" s="47" t="n">
        <v>199</v>
      </c>
      <c r="R200" s="20" t="str">
        <f aca="false">IF(199&gt;$V$1,"",COUNTIF($M$2:$M$121,"&lt;"&amp;199)+1)</f>
        <v/>
      </c>
      <c r="S200" s="20" t="str">
        <f aca="false">IF($R200="","",199-IF($R200=1,0,INDEX($M$2:$M$121,$R200-1)))</f>
        <v/>
      </c>
      <c r="T200" s="20" t="n">
        <f aca="false">IF($R200="",0,IF($S200=INDEX($L$2:$L$121,$R200),1,0))</f>
        <v>0</v>
      </c>
    </row>
    <row r="201" customFormat="false" ht="13.5" hidden="false" customHeight="false" outlineLevel="0" collapsed="false">
      <c r="Q201" s="47" t="n">
        <v>200</v>
      </c>
      <c r="R201" s="20" t="str">
        <f aca="false">IF(200&gt;$V$1,"",COUNTIF($M$2:$M$121,"&lt;"&amp;200)+1)</f>
        <v/>
      </c>
      <c r="S201" s="20" t="str">
        <f aca="false">IF($R201="","",200-IF($R201=1,0,INDEX($M$2:$M$121,$R201-1)))</f>
        <v/>
      </c>
      <c r="T201" s="20" t="n">
        <f aca="false">IF($R201="",0,IF($S201=INDEX($L$2:$L$121,$R201),1,0))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3000"/>
  <sheetViews>
    <sheetView tabSelected="1"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7"/>
    <col collapsed="false" customWidth="true" hidden="false" outlineLevel="0" max="3" min="3" style="0" width="23.38"/>
    <col collapsed="false" customWidth="true" hidden="false" outlineLevel="0" max="7" min="4" style="0" width="13.5"/>
    <col collapsed="false" customWidth="true" hidden="false" outlineLevel="0" max="8" min="8" style="0" width="3.4"/>
    <col collapsed="false" customWidth="true" hidden="false" outlineLevel="0" max="9" min="9" style="0" width="7.5"/>
    <col collapsed="false" customWidth="true" hidden="true" outlineLevel="0" max="12" min="12" style="0" width="10"/>
    <col collapsed="false" customWidth="true" hidden="false" outlineLevel="0" max="13" min="13" style="0" width="11"/>
    <col collapsed="false" customWidth="true" hidden="false" outlineLevel="0" max="15" min="15" style="0" width="34"/>
    <col collapsed="false" customWidth="true" hidden="false" outlineLevel="0" max="16" min="16" style="0" width="46"/>
  </cols>
  <sheetData>
    <row r="1" customFormat="false" ht="19.5" hidden="false" customHeight="true" outlineLevel="0" collapsed="false">
      <c r="B1" s="53" t="str">
        <f aca="false">IF(助手报销!$R$2&lt;&gt;"","记  账  凭  证","")</f>
        <v>记  账  凭  证</v>
      </c>
      <c r="C1" s="53"/>
      <c r="D1" s="53"/>
      <c r="E1" s="53"/>
      <c r="F1" s="53"/>
      <c r="G1" s="53"/>
      <c r="H1" s="53"/>
      <c r="I1" s="53"/>
      <c r="M1" s="54" t="s">
        <v>471</v>
      </c>
      <c r="N1" s="54" t="s">
        <v>463</v>
      </c>
      <c r="O1" s="54" t="s">
        <v>472</v>
      </c>
      <c r="P1" s="55" t="s">
        <v>473</v>
      </c>
    </row>
    <row r="2" customFormat="false" ht="3" hidden="false" customHeight="true" outlineLevel="0" collapsed="false"/>
    <row r="3" customFormat="false" ht="15" hidden="false" customHeight="true" outlineLevel="0" collapsed="false">
      <c r="C3" s="56" t="str">
        <f aca="false">IF(助手报销!$R$2&lt;&gt;"",INDEX(助手报销!$B$2:$B$121,助手报销!$R$2),"")</f>
        <v/>
      </c>
      <c r="D3" s="57" t="n">
        <f aca="false">IF(助手报销!$R$2&lt;&gt;"",INDEX(助手报销!$D$2:$D$121,助手报销!$R$2),"")</f>
        <v>46265</v>
      </c>
      <c r="E3" s="57"/>
      <c r="F3" s="58" t="str">
        <f aca="false">IF(助手报销!$R$2&lt;&gt;"",INDEX(助手报销!$C$2:$C$121,助手报销!$R$2)&amp;"  字第 "&amp;IF(参数!$B$9="是",INDEX(助手报销!$P$2:$P$121,助手报销!$R$2),"　　　　")&amp;" 号"&amp;IF(INDEX(助手报销!$L$2:$L$121,助手报销!$R$2)&gt;1,"  (共"&amp;INDEX(助手报销!$L$2:$L$121,助手报销!$R$2)&amp;"页 第"&amp;助手报销!$S$2&amp;"页)",""),"")</f>
        <v>柏人商城店  字第 　　　　 号</v>
      </c>
      <c r="G3" s="58"/>
      <c r="H3" s="58"/>
      <c r="I3" s="58"/>
      <c r="M3" s="59" t="n">
        <f aca="false">IF(助手报销!$R$2="","",助手报销!$Q$2)</f>
        <v>1</v>
      </c>
      <c r="N3" s="60" t="n">
        <f aca="false">IF(助手报销!$R$2="","",INDEX(助手报销!$P$2:$P$121,助手报销!$R$2))</f>
        <v>1</v>
      </c>
      <c r="O3" s="55" t="str">
        <f aca="false">IF(助手报销!$R$2="","",INDEX(助手报销!$C$2:$C$121,助手报销!$R$2)&amp;"  字第 "&amp;INDEX(助手报销!$P$2:$P$121,助手报销!$R$2)&amp;" 号"&amp;IF(INDEX(助手报销!$L$2:$L$121,助手报销!$R$2)&gt;1,"  (共"&amp;INDEX(助手报销!$L$2:$L$121,助手报销!$R$2)&amp;"页 第"&amp;助手报销!$S$2&amp;"页)",""))</f>
        <v>柏人商城店  字第 1 号</v>
      </c>
    </row>
    <row r="4" customFormat="false" ht="12.75" hidden="false" customHeight="true" outlineLevel="0" collapsed="false">
      <c r="B4" s="61" t="str">
        <f aca="false">IF(助手报销!$R$2&lt;&gt;"","摘　　要","")</f>
        <v>摘　　要</v>
      </c>
      <c r="C4" s="61"/>
      <c r="D4" s="62" t="str">
        <f aca="false">IF(助手报销!$R$2&lt;&gt;"","科　　　　目","")</f>
        <v>科　　　　目</v>
      </c>
      <c r="E4" s="62"/>
      <c r="F4" s="61" t="str">
        <f aca="false">IF(助手报销!$R$2&lt;&gt;"","借 方 金 额","")</f>
        <v>借 方 金 额</v>
      </c>
      <c r="G4" s="62" t="str">
        <f aca="false">IF(助手报销!$R$2&lt;&gt;"","贷 方 金 额","")</f>
        <v>贷 方 金 额</v>
      </c>
      <c r="H4" s="63" t="str">
        <f aca="false">IF(助手报销!$R$2&lt;&gt;"","√","")</f>
        <v>√</v>
      </c>
      <c r="I4" s="64" t="str">
        <f aca="false">IF(助手报销!$R$2&lt;&gt;"","附单据  张","")</f>
        <v>附单据  张</v>
      </c>
    </row>
    <row r="5" customFormat="false" ht="12.75" hidden="false" customHeight="true" outlineLevel="0" collapsed="false">
      <c r="B5" s="61"/>
      <c r="C5" s="61"/>
      <c r="D5" s="23" t="str">
        <f aca="false">IF(助手报销!$R$2&lt;&gt;"","总 账 科 目","")</f>
        <v>总 账 科 目</v>
      </c>
      <c r="E5" s="23" t="str">
        <f aca="false">IF(助手报销!$R$2&lt;&gt;"","明 细 科 目","")</f>
        <v>明 细 科 目</v>
      </c>
      <c r="F5" s="65"/>
      <c r="G5" s="66"/>
      <c r="H5" s="63"/>
      <c r="I5" s="64"/>
    </row>
    <row r="6" customFormat="false" ht="23.25" hidden="false" customHeight="true" outlineLevel="0" collapsed="false">
      <c r="B6" s="67" t="str">
        <f aca="false">IFERROR(INDEX(分录报销!$M:$M,MATCH($L6,分录报销!$L:$L,0)),"")</f>
        <v>电费</v>
      </c>
      <c r="C6" s="67"/>
      <c r="D6" s="23" t="str">
        <f aca="false">IFERROR(INDEX(分录报销!$E:$E,MATCH($L6,分录报销!$L:$L,0)),"")</f>
        <v>销售费用</v>
      </c>
      <c r="E6" s="23" t="str">
        <f aca="false">IFERROR(INDEX(分录报销!$F:$F,MATCH($L6,分录报销!$L:$L,0)),"")</f>
        <v>电费</v>
      </c>
      <c r="F6" s="68" t="n">
        <f aca="false">IFERROR(INDEX(分录报销!$H:$H,MATCH($L6,分录报销!$L:$L,0)),"")</f>
        <v>300</v>
      </c>
      <c r="G6" s="69" t="str">
        <f aca="false">IFERROR(INDEX(分录报销!$I:$I,MATCH($L6,分录报销!$L:$L,0)),"")</f>
        <v/>
      </c>
      <c r="H6" s="23"/>
      <c r="I6" s="70"/>
      <c r="L6" s="71" t="n">
        <f aca="false">IF(助手报销!$R$2="",-1,助手报销!$R$2*100+(助手报销!$S$2-1)*6+1)</f>
        <v>101</v>
      </c>
    </row>
    <row r="7" customFormat="false" ht="23.25" hidden="false" customHeight="true" outlineLevel="0" collapsed="false">
      <c r="B7" s="67" t="str">
        <f aca="false">IFERROR(INDEX(分录报销!$M:$M,MATCH($L7,分录报销!$L:$L,0)),"")</f>
        <v>慢病用品</v>
      </c>
      <c r="C7" s="67"/>
      <c r="D7" s="23" t="str">
        <f aca="false">IFERROR(INDEX(分录报销!$E:$E,MATCH($L7,分录报销!$L:$L,0)),"")</f>
        <v>销售费用</v>
      </c>
      <c r="E7" s="23" t="str">
        <f aca="false">IFERROR(INDEX(分录报销!$F:$F,MATCH($L7,分录报销!$L:$L,0)),"")</f>
        <v>办公费</v>
      </c>
      <c r="F7" s="68" t="n">
        <f aca="false">IFERROR(INDEX(分录报销!$H:$H,MATCH($L7,分录报销!$L:$L,0)),"")</f>
        <v>31.7</v>
      </c>
      <c r="G7" s="69" t="str">
        <f aca="false">IFERROR(INDEX(分录报销!$I:$I,MATCH($L7,分录报销!$L:$L,0)),"")</f>
        <v/>
      </c>
      <c r="H7" s="23"/>
      <c r="I7" s="70"/>
      <c r="L7" s="71" t="n">
        <f aca="false">IF(助手报销!$R$2="",-1,助手报销!$R$2*100+(助手报销!$S$2-1)*6+2)</f>
        <v>102</v>
      </c>
    </row>
    <row r="8" customFormat="false" ht="23.25" hidden="false" customHeight="true" outlineLevel="0" collapsed="false">
      <c r="B8" s="67" t="str">
        <f aca="false">IFERROR(INDEX(分录报销!$M:$M,MATCH($L8,分录报销!$L:$L,0)),"")</f>
        <v>水费</v>
      </c>
      <c r="C8" s="67"/>
      <c r="D8" s="23" t="str">
        <f aca="false">IFERROR(INDEX(分录报销!$E:$E,MATCH($L8,分录报销!$L:$L,0)),"")</f>
        <v>销售费用</v>
      </c>
      <c r="E8" s="23" t="str">
        <f aca="false">IFERROR(INDEX(分录报销!$F:$F,MATCH($L8,分录报销!$L:$L,0)),"")</f>
        <v>水费</v>
      </c>
      <c r="F8" s="68" t="n">
        <f aca="false">IFERROR(INDEX(分录报销!$H:$H,MATCH($L8,分录报销!$L:$L,0)),"")</f>
        <v>5</v>
      </c>
      <c r="G8" s="69" t="str">
        <f aca="false">IFERROR(INDEX(分录报销!$I:$I,MATCH($L8,分录报销!$L:$L,0)),"")</f>
        <v/>
      </c>
      <c r="H8" s="23"/>
      <c r="I8" s="70"/>
      <c r="L8" s="71" t="n">
        <f aca="false">IF(助手报销!$R$2="",-1,助手报销!$R$2*100+(助手报销!$S$2-1)*6+3)</f>
        <v>103</v>
      </c>
    </row>
    <row r="9" customFormat="false" ht="23.25" hidden="false" customHeight="true" outlineLevel="0" collapsed="false">
      <c r="B9" s="67" t="str">
        <f aca="false">IFERROR(INDEX(分录报销!$M:$M,MATCH($L9,分录报销!$L:$L,0)),"")</f>
        <v/>
      </c>
      <c r="C9" s="67"/>
      <c r="D9" s="23" t="str">
        <f aca="false">IFERROR(INDEX(分录报销!$E:$E,MATCH($L9,分录报销!$L:$L,0)),"")</f>
        <v>库存现金</v>
      </c>
      <c r="E9" s="23" t="str">
        <f aca="false">IFERROR(INDEX(分录报销!$F:$F,MATCH($L9,分录报销!$L:$L,0)),"")</f>
        <v/>
      </c>
      <c r="F9" s="68" t="str">
        <f aca="false">IFERROR(INDEX(分录报销!$H:$H,MATCH($L9,分录报销!$L:$L,0)),"")</f>
        <v/>
      </c>
      <c r="G9" s="69" t="n">
        <f aca="false">IFERROR(INDEX(分录报销!$I:$I,MATCH($L9,分录报销!$L:$L,0)),"")</f>
        <v>336.7</v>
      </c>
      <c r="H9" s="23"/>
      <c r="I9" s="70"/>
      <c r="L9" s="71" t="n">
        <f aca="false">IF(助手报销!$R$2="",-1,助手报销!$R$2*100+(助手报销!$S$2-1)*6+4)</f>
        <v>104</v>
      </c>
    </row>
    <row r="10" customFormat="false" ht="23.25" hidden="false" customHeight="true" outlineLevel="0" collapsed="false">
      <c r="B10" s="67" t="str">
        <f aca="false">IFERROR(INDEX(分录报销!$M:$M,MATCH($L10,分录报销!$L:$L,0)),"")</f>
        <v/>
      </c>
      <c r="C10" s="67"/>
      <c r="D10" s="23" t="str">
        <f aca="false">IFERROR(INDEX(分录报销!$E:$E,MATCH($L10,分录报销!$L:$L,0)),"")</f>
        <v/>
      </c>
      <c r="E10" s="23" t="str">
        <f aca="false">IFERROR(INDEX(分录报销!$F:$F,MATCH($L10,分录报销!$L:$L,0)),"")</f>
        <v/>
      </c>
      <c r="F10" s="68" t="str">
        <f aca="false">IFERROR(INDEX(分录报销!$H:$H,MATCH($L10,分录报销!$L:$L,0)),"")</f>
        <v/>
      </c>
      <c r="G10" s="69" t="str">
        <f aca="false">IFERROR(INDEX(分录报销!$I:$I,MATCH($L10,分录报销!$L:$L,0)),"")</f>
        <v/>
      </c>
      <c r="H10" s="23"/>
      <c r="I10" s="70"/>
      <c r="L10" s="71" t="n">
        <f aca="false">IF(助手报销!$R$2="",-1,助手报销!$R$2*100+(助手报销!$S$2-1)*6+5)</f>
        <v>105</v>
      </c>
    </row>
    <row r="11" customFormat="false" ht="23.25" hidden="false" customHeight="true" outlineLevel="0" collapsed="false">
      <c r="B11" s="67" t="str">
        <f aca="false">IFERROR(INDEX(分录报销!$M:$M,MATCH($L11,分录报销!$L:$L,0)),"")</f>
        <v/>
      </c>
      <c r="C11" s="67"/>
      <c r="D11" s="23" t="str">
        <f aca="false">IFERROR(INDEX(分录报销!$E:$E,MATCH($L11,分录报销!$L:$L,0)),"")</f>
        <v/>
      </c>
      <c r="E11" s="23" t="str">
        <f aca="false">IFERROR(INDEX(分录报销!$F:$F,MATCH($L11,分录报销!$L:$L,0)),"")</f>
        <v/>
      </c>
      <c r="F11" s="68" t="str">
        <f aca="false">IFERROR(INDEX(分录报销!$H:$H,MATCH($L11,分录报销!$L:$L,0)),"")</f>
        <v/>
      </c>
      <c r="G11" s="69" t="str">
        <f aca="false">IFERROR(INDEX(分录报销!$I:$I,MATCH($L11,分录报销!$L:$L,0)),"")</f>
        <v/>
      </c>
      <c r="H11" s="23"/>
      <c r="I11" s="70"/>
      <c r="L11" s="71" t="n">
        <f aca="false">IF(助手报销!$R$2="",-1,助手报销!$R$2*100+(助手报销!$S$2-1)*6+6)</f>
        <v>106</v>
      </c>
    </row>
    <row r="12" customFormat="false" ht="23.25" hidden="false" customHeight="true" outlineLevel="0" collapsed="false">
      <c r="B12" s="72" t="str">
        <f aca="false">IF(助手报销!$T$2=1,"合计：","")</f>
        <v>合计：</v>
      </c>
      <c r="C12" s="73" t="n">
        <f aca="false">IF(助手报销!$T$2=1,$F12,"")</f>
        <v>336.7</v>
      </c>
      <c r="D12" s="74"/>
      <c r="E12" s="74"/>
      <c r="F12" s="75" t="n">
        <f aca="false">IF(助手报销!$T$2=1,INDEX(助手报销!$N$2:$N$121,助手报销!$R$2),"")</f>
        <v>336.7</v>
      </c>
      <c r="G12" s="76" t="n">
        <f aca="false">IF(助手报销!$T$2=1,INDEX(助手报销!$O$2:$O$121,助手报销!$R$2),"")</f>
        <v>336.7</v>
      </c>
      <c r="H12" s="74"/>
      <c r="I12" s="77"/>
    </row>
    <row r="13" customFormat="false" ht="6" hidden="false" customHeight="true" outlineLevel="0" collapsed="false"/>
    <row r="14" customFormat="false" ht="13.5" hidden="false" customHeight="false" outlineLevel="0" collapsed="false">
      <c r="B14" s="78" t="str">
        <f aca="false">IF(助手报销!$R$2&lt;&gt;"","会计主管：","")</f>
        <v>会计主管：</v>
      </c>
      <c r="D14" s="78" t="str">
        <f aca="false">IF(助手报销!$R$2&lt;&gt;"","会计：","")</f>
        <v>会计：</v>
      </c>
      <c r="E14" s="78" t="str">
        <f aca="false">IF(助手报销!$R$2&lt;&gt;"","出纳：","")</f>
        <v>出纳：</v>
      </c>
      <c r="F14" s="78" t="str">
        <f aca="false">IF(助手报销!$R$2&lt;&gt;"","复核：","")</f>
        <v>复核：</v>
      </c>
      <c r="G14" s="78" t="str">
        <f aca="false">IF(助手报销!$R$2&lt;&gt;"","制单：","")</f>
        <v>制单：</v>
      </c>
    </row>
    <row r="15" customFormat="false" ht="3" hidden="false" customHeight="true" outlineLevel="0" collapsed="false"/>
    <row r="16" customFormat="false" ht="19.5" hidden="false" customHeight="true" outlineLevel="0" collapsed="false">
      <c r="B16" s="53" t="str">
        <f aca="false">IF(助手报销!$R$3&lt;&gt;"","记  账  凭  证","")</f>
        <v>记  账  凭  证</v>
      </c>
      <c r="C16" s="53"/>
      <c r="D16" s="53"/>
      <c r="E16" s="53"/>
      <c r="F16" s="53"/>
      <c r="G16" s="53"/>
      <c r="H16" s="53"/>
      <c r="I16" s="53"/>
    </row>
    <row r="17" customFormat="false" ht="3" hidden="false" customHeight="true" outlineLevel="0" collapsed="false"/>
    <row r="18" customFormat="false" ht="15" hidden="false" customHeight="true" outlineLevel="0" collapsed="false">
      <c r="C18" s="56" t="str">
        <f aca="false">IF(助手报销!$R$3&lt;&gt;"",INDEX(助手报销!$B$2:$B$121,助手报销!$R$3),"")</f>
        <v/>
      </c>
      <c r="D18" s="57" t="n">
        <f aca="false">IF(助手报销!$R$3&lt;&gt;"",INDEX(助手报销!$D$2:$D$121,助手报销!$R$3),"")</f>
        <v>46265</v>
      </c>
      <c r="E18" s="57"/>
      <c r="F18" s="58" t="str">
        <f aca="false">IF(助手报销!$R$3&lt;&gt;"",INDEX(助手报销!$C$2:$C$121,助手报销!$R$3)&amp;"  字第 "&amp;IF(参数!$B$9="是",INDEX(助手报销!$P$2:$P$121,助手报销!$R$3),"　　　　")&amp;" 号"&amp;IF(INDEX(助手报销!$L$2:$L$121,助手报销!$R$3)&gt;1,"  (共"&amp;INDEX(助手报销!$L$2:$L$121,助手报销!$R$3)&amp;"页 第"&amp;助手报销!$S$3&amp;"页)",""),"")</f>
        <v>新隆店  字第 　　　　 号</v>
      </c>
      <c r="G18" s="58"/>
      <c r="H18" s="58"/>
      <c r="I18" s="58"/>
      <c r="M18" s="59" t="n">
        <f aca="false">IF(助手报销!$R$3="","",助手报销!$Q$3)</f>
        <v>2</v>
      </c>
      <c r="N18" s="60" t="n">
        <f aca="false">IF(助手报销!$R$3="","",INDEX(助手报销!$P$2:$P$121,助手报销!$R$3))</f>
        <v>2</v>
      </c>
      <c r="O18" s="55" t="str">
        <f aca="false">IF(助手报销!$R$3="","",INDEX(助手报销!$C$2:$C$121,助手报销!$R$3)&amp;"  字第 "&amp;INDEX(助手报销!$P$2:$P$121,助手报销!$R$3)&amp;" 号"&amp;IF(INDEX(助手报销!$L$2:$L$121,助手报销!$R$3)&gt;1,"  (共"&amp;INDEX(助手报销!$L$2:$L$121,助手报销!$R$3)&amp;"页 第"&amp;助手报销!$S$3&amp;"页)",""))</f>
        <v>新隆店  字第 2 号</v>
      </c>
    </row>
    <row r="19" customFormat="false" ht="12.75" hidden="false" customHeight="true" outlineLevel="0" collapsed="false">
      <c r="B19" s="61" t="str">
        <f aca="false">IF(助手报销!$R$3&lt;&gt;"","摘　　要","")</f>
        <v>摘　　要</v>
      </c>
      <c r="C19" s="61"/>
      <c r="D19" s="62" t="str">
        <f aca="false">IF(助手报销!$R$3&lt;&gt;"","科　　　　目","")</f>
        <v>科　　　　目</v>
      </c>
      <c r="E19" s="62"/>
      <c r="F19" s="61" t="str">
        <f aca="false">IF(助手报销!$R$3&lt;&gt;"","借 方 金 额","")</f>
        <v>借 方 金 额</v>
      </c>
      <c r="G19" s="62" t="str">
        <f aca="false">IF(助手报销!$R$3&lt;&gt;"","贷 方 金 额","")</f>
        <v>贷 方 金 额</v>
      </c>
      <c r="H19" s="63" t="str">
        <f aca="false">IF(助手报销!$R$3&lt;&gt;"","√","")</f>
        <v>√</v>
      </c>
      <c r="I19" s="64" t="str">
        <f aca="false">IF(助手报销!$R$3&lt;&gt;"","附单据  张","")</f>
        <v>附单据  张</v>
      </c>
    </row>
    <row r="20" customFormat="false" ht="12.75" hidden="false" customHeight="true" outlineLevel="0" collapsed="false">
      <c r="B20" s="61"/>
      <c r="C20" s="61"/>
      <c r="D20" s="23" t="str">
        <f aca="false">IF(助手报销!$R$3&lt;&gt;"","总 账 科 目","")</f>
        <v>总 账 科 目</v>
      </c>
      <c r="E20" s="23" t="str">
        <f aca="false">IF(助手报销!$R$3&lt;&gt;"","明 细 科 目","")</f>
        <v>明 细 科 目</v>
      </c>
      <c r="F20" s="65"/>
      <c r="G20" s="66"/>
      <c r="H20" s="63"/>
      <c r="I20" s="64"/>
    </row>
    <row r="21" customFormat="false" ht="23.25" hidden="false" customHeight="true" outlineLevel="0" collapsed="false">
      <c r="B21" s="67" t="str">
        <f aca="false">IFERROR(INDEX(分录报销!$M:$M,MATCH($L21,分录报销!$L:$L,0)),"")</f>
        <v>电费</v>
      </c>
      <c r="C21" s="67"/>
      <c r="D21" s="23" t="str">
        <f aca="false">IFERROR(INDEX(分录报销!$E:$E,MATCH($L21,分录报销!$L:$L,0)),"")</f>
        <v>销售费用</v>
      </c>
      <c r="E21" s="23" t="str">
        <f aca="false">IFERROR(INDEX(分录报销!$F:$F,MATCH($L21,分录报销!$L:$L,0)),"")</f>
        <v>电费</v>
      </c>
      <c r="F21" s="68" t="n">
        <f aca="false">IFERROR(INDEX(分录报销!$H:$H,MATCH($L21,分录报销!$L:$L,0)),"")</f>
        <v>1000</v>
      </c>
      <c r="G21" s="69" t="str">
        <f aca="false">IFERROR(INDEX(分录报销!$I:$I,MATCH($L21,分录报销!$L:$L,0)),"")</f>
        <v/>
      </c>
      <c r="H21" s="23"/>
      <c r="I21" s="70"/>
      <c r="L21" s="71" t="n">
        <f aca="false">IF(助手报销!$R$3="",-1,助手报销!$R$3*100+(助手报销!$S$3-1)*6+1)</f>
        <v>201</v>
      </c>
    </row>
    <row r="22" customFormat="false" ht="23.25" hidden="false" customHeight="true" outlineLevel="0" collapsed="false">
      <c r="B22" s="67" t="str">
        <f aca="false">IFERROR(INDEX(分录报销!$M:$M,MATCH($L22,分录报销!$L:$L,0)),"")</f>
        <v>微信提现费</v>
      </c>
      <c r="C22" s="67"/>
      <c r="D22" s="23" t="str">
        <f aca="false">IFERROR(INDEX(分录报销!$E:$E,MATCH($L22,分录报销!$L:$L,0)),"")</f>
        <v>财务费用</v>
      </c>
      <c r="E22" s="23" t="str">
        <f aca="false">IFERROR(INDEX(分录报销!$F:$F,MATCH($L22,分录报销!$L:$L,0)),"")</f>
        <v>手续费</v>
      </c>
      <c r="F22" s="68" t="n">
        <f aca="false">IFERROR(INDEX(分录报销!$H:$H,MATCH($L22,分录报销!$L:$L,0)),"")</f>
        <v>65</v>
      </c>
      <c r="G22" s="69" t="str">
        <f aca="false">IFERROR(INDEX(分录报销!$I:$I,MATCH($L22,分录报销!$L:$L,0)),"")</f>
        <v/>
      </c>
      <c r="H22" s="23"/>
      <c r="I22" s="70"/>
      <c r="L22" s="71" t="n">
        <f aca="false">IF(助手报销!$R$3="",-1,助手报销!$R$3*100+(助手报销!$S$3-1)*6+2)</f>
        <v>202</v>
      </c>
    </row>
    <row r="23" customFormat="false" ht="23.25" hidden="false" customHeight="true" outlineLevel="0" collapsed="false">
      <c r="B23" s="67" t="str">
        <f aca="false">IFERROR(INDEX(分录报销!$M:$M,MATCH($L23,分录报销!$L:$L,0)),"")</f>
        <v/>
      </c>
      <c r="C23" s="67"/>
      <c r="D23" s="23" t="str">
        <f aca="false">IFERROR(INDEX(分录报销!$E:$E,MATCH($L23,分录报销!$L:$L,0)),"")</f>
        <v>库存现金</v>
      </c>
      <c r="E23" s="23" t="str">
        <f aca="false">IFERROR(INDEX(分录报销!$F:$F,MATCH($L23,分录报销!$L:$L,0)),"")</f>
        <v/>
      </c>
      <c r="F23" s="68" t="str">
        <f aca="false">IFERROR(INDEX(分录报销!$H:$H,MATCH($L23,分录报销!$L:$L,0)),"")</f>
        <v/>
      </c>
      <c r="G23" s="69" t="n">
        <f aca="false">IFERROR(INDEX(分录报销!$I:$I,MATCH($L23,分录报销!$L:$L,0)),"")</f>
        <v>1065</v>
      </c>
      <c r="H23" s="23"/>
      <c r="I23" s="70"/>
      <c r="L23" s="71" t="n">
        <f aca="false">IF(助手报销!$R$3="",-1,助手报销!$R$3*100+(助手报销!$S$3-1)*6+3)</f>
        <v>203</v>
      </c>
    </row>
    <row r="24" customFormat="false" ht="23.25" hidden="false" customHeight="true" outlineLevel="0" collapsed="false">
      <c r="B24" s="67" t="str">
        <f aca="false">IFERROR(INDEX(分录报销!$M:$M,MATCH($L24,分录报销!$L:$L,0)),"")</f>
        <v/>
      </c>
      <c r="C24" s="67"/>
      <c r="D24" s="23" t="str">
        <f aca="false">IFERROR(INDEX(分录报销!$E:$E,MATCH($L24,分录报销!$L:$L,0)),"")</f>
        <v/>
      </c>
      <c r="E24" s="23" t="str">
        <f aca="false">IFERROR(INDEX(分录报销!$F:$F,MATCH($L24,分录报销!$L:$L,0)),"")</f>
        <v/>
      </c>
      <c r="F24" s="68" t="str">
        <f aca="false">IFERROR(INDEX(分录报销!$H:$H,MATCH($L24,分录报销!$L:$L,0)),"")</f>
        <v/>
      </c>
      <c r="G24" s="69" t="str">
        <f aca="false">IFERROR(INDEX(分录报销!$I:$I,MATCH($L24,分录报销!$L:$L,0)),"")</f>
        <v/>
      </c>
      <c r="H24" s="23"/>
      <c r="I24" s="70"/>
      <c r="L24" s="71" t="n">
        <f aca="false">IF(助手报销!$R$3="",-1,助手报销!$R$3*100+(助手报销!$S$3-1)*6+4)</f>
        <v>204</v>
      </c>
    </row>
    <row r="25" customFormat="false" ht="23.25" hidden="false" customHeight="true" outlineLevel="0" collapsed="false">
      <c r="B25" s="67" t="str">
        <f aca="false">IFERROR(INDEX(分录报销!$M:$M,MATCH($L25,分录报销!$L:$L,0)),"")</f>
        <v/>
      </c>
      <c r="C25" s="67"/>
      <c r="D25" s="23" t="str">
        <f aca="false">IFERROR(INDEX(分录报销!$E:$E,MATCH($L25,分录报销!$L:$L,0)),"")</f>
        <v/>
      </c>
      <c r="E25" s="23" t="str">
        <f aca="false">IFERROR(INDEX(分录报销!$F:$F,MATCH($L25,分录报销!$L:$L,0)),"")</f>
        <v/>
      </c>
      <c r="F25" s="68" t="str">
        <f aca="false">IFERROR(INDEX(分录报销!$H:$H,MATCH($L25,分录报销!$L:$L,0)),"")</f>
        <v/>
      </c>
      <c r="G25" s="69" t="str">
        <f aca="false">IFERROR(INDEX(分录报销!$I:$I,MATCH($L25,分录报销!$L:$L,0)),"")</f>
        <v/>
      </c>
      <c r="H25" s="23"/>
      <c r="I25" s="70"/>
      <c r="L25" s="71" t="n">
        <f aca="false">IF(助手报销!$R$3="",-1,助手报销!$R$3*100+(助手报销!$S$3-1)*6+5)</f>
        <v>205</v>
      </c>
    </row>
    <row r="26" customFormat="false" ht="23.25" hidden="false" customHeight="true" outlineLevel="0" collapsed="false">
      <c r="B26" s="67" t="str">
        <f aca="false">IFERROR(INDEX(分录报销!$M:$M,MATCH($L26,分录报销!$L:$L,0)),"")</f>
        <v/>
      </c>
      <c r="C26" s="67"/>
      <c r="D26" s="23" t="str">
        <f aca="false">IFERROR(INDEX(分录报销!$E:$E,MATCH($L26,分录报销!$L:$L,0)),"")</f>
        <v/>
      </c>
      <c r="E26" s="23" t="str">
        <f aca="false">IFERROR(INDEX(分录报销!$F:$F,MATCH($L26,分录报销!$L:$L,0)),"")</f>
        <v/>
      </c>
      <c r="F26" s="68" t="str">
        <f aca="false">IFERROR(INDEX(分录报销!$H:$H,MATCH($L26,分录报销!$L:$L,0)),"")</f>
        <v/>
      </c>
      <c r="G26" s="69" t="str">
        <f aca="false">IFERROR(INDEX(分录报销!$I:$I,MATCH($L26,分录报销!$L:$L,0)),"")</f>
        <v/>
      </c>
      <c r="H26" s="23"/>
      <c r="I26" s="70"/>
      <c r="L26" s="71" t="n">
        <f aca="false">IF(助手报销!$R$3="",-1,助手报销!$R$3*100+(助手报销!$S$3-1)*6+6)</f>
        <v>206</v>
      </c>
    </row>
    <row r="27" customFormat="false" ht="23.25" hidden="false" customHeight="true" outlineLevel="0" collapsed="false">
      <c r="B27" s="72" t="str">
        <f aca="false">IF(助手报销!$T$3=1,"合计：","")</f>
        <v>合计：</v>
      </c>
      <c r="C27" s="73" t="n">
        <f aca="false">IF(助手报销!$T$3=1,$F27,"")</f>
        <v>1065</v>
      </c>
      <c r="D27" s="74"/>
      <c r="E27" s="74"/>
      <c r="F27" s="75" t="n">
        <f aca="false">IF(助手报销!$T$3=1,INDEX(助手报销!$N$2:$N$121,助手报销!$R$3),"")</f>
        <v>1065</v>
      </c>
      <c r="G27" s="76" t="n">
        <f aca="false">IF(助手报销!$T$3=1,INDEX(助手报销!$O$2:$O$121,助手报销!$R$3),"")</f>
        <v>1065</v>
      </c>
      <c r="H27" s="74"/>
      <c r="I27" s="77"/>
    </row>
    <row r="28" customFormat="false" ht="6" hidden="false" customHeight="true" outlineLevel="0" collapsed="false"/>
    <row r="29" customFormat="false" ht="13.5" hidden="false" customHeight="false" outlineLevel="0" collapsed="false">
      <c r="B29" s="78" t="str">
        <f aca="false">IF(助手报销!$R$3&lt;&gt;"","会计主管：","")</f>
        <v>会计主管：</v>
      </c>
      <c r="D29" s="78" t="str">
        <f aca="false">IF(助手报销!$R$3&lt;&gt;"","会计：","")</f>
        <v>会计：</v>
      </c>
      <c r="E29" s="78" t="str">
        <f aca="false">IF(助手报销!$R$3&lt;&gt;"","出纳：","")</f>
        <v>出纳：</v>
      </c>
      <c r="F29" s="78" t="str">
        <f aca="false">IF(助手报销!$R$3&lt;&gt;"","复核：","")</f>
        <v>复核：</v>
      </c>
      <c r="G29" s="78" t="str">
        <f aca="false">IF(助手报销!$R$3&lt;&gt;"","制单：","")</f>
        <v>制单：</v>
      </c>
    </row>
    <row r="30" customFormat="false" ht="3" hidden="false" customHeight="true" outlineLevel="0" collapsed="false"/>
    <row r="31" customFormat="false" ht="19.5" hidden="false" customHeight="true" outlineLevel="0" collapsed="false">
      <c r="B31" s="53" t="str">
        <f aca="false">IF(助手报销!$R$4&lt;&gt;"","记  账  凭  证","")</f>
        <v>记  账  凭  证</v>
      </c>
      <c r="C31" s="53"/>
      <c r="D31" s="53"/>
      <c r="E31" s="53"/>
      <c r="F31" s="53"/>
      <c r="G31" s="53"/>
      <c r="H31" s="53"/>
      <c r="I31" s="53"/>
    </row>
    <row r="32" customFormat="false" ht="3" hidden="false" customHeight="true" outlineLevel="0" collapsed="false"/>
    <row r="33" customFormat="false" ht="15" hidden="false" customHeight="true" outlineLevel="0" collapsed="false">
      <c r="C33" s="56" t="str">
        <f aca="false">IF(助手报销!$R$4&lt;&gt;"",INDEX(助手报销!$B$2:$B$121,助手报销!$R$4),"")</f>
        <v/>
      </c>
      <c r="D33" s="57" t="n">
        <f aca="false">IF(助手报销!$R$4&lt;&gt;"",INDEX(助手报销!$D$2:$D$121,助手报销!$R$4),"")</f>
        <v>46265</v>
      </c>
      <c r="E33" s="57"/>
      <c r="F33" s="58" t="str">
        <f aca="false">IF(助手报销!$R$4&lt;&gt;"",INDEX(助手报销!$C$2:$C$121,助手报销!$R$4)&amp;"  字第 "&amp;IF(参数!$B$9="是",INDEX(助手报销!$P$2:$P$121,助手报销!$R$4),"　　　　")&amp;" 号"&amp;IF(INDEX(助手报销!$L$2:$L$121,助手报销!$R$4)&gt;1,"  (共"&amp;INDEX(助手报销!$L$2:$L$121,助手报销!$R$4)&amp;"页 第"&amp;助手报销!$S$4&amp;"页)",""),"")</f>
        <v>康庄路店  字第 　　　　 号</v>
      </c>
      <c r="G33" s="58"/>
      <c r="H33" s="58"/>
      <c r="I33" s="58"/>
      <c r="M33" s="59" t="n">
        <f aca="false">IF(助手报销!$R$4="","",助手报销!$Q$4)</f>
        <v>3</v>
      </c>
      <c r="N33" s="60" t="n">
        <f aca="false">IF(助手报销!$R$4="","",INDEX(助手报销!$P$2:$P$121,助手报销!$R$4))</f>
        <v>3</v>
      </c>
      <c r="O33" s="55" t="str">
        <f aca="false">IF(助手报销!$R$4="","",INDEX(助手报销!$C$2:$C$121,助手报销!$R$4)&amp;"  字第 "&amp;INDEX(助手报销!$P$2:$P$121,助手报销!$R$4)&amp;" 号"&amp;IF(INDEX(助手报销!$L$2:$L$121,助手报销!$R$4)&gt;1,"  (共"&amp;INDEX(助手报销!$L$2:$L$121,助手报销!$R$4)&amp;"页 第"&amp;助手报销!$S$4&amp;"页)",""))</f>
        <v>康庄路店  字第 3 号</v>
      </c>
    </row>
    <row r="34" customFormat="false" ht="12.75" hidden="false" customHeight="true" outlineLevel="0" collapsed="false">
      <c r="B34" s="61" t="str">
        <f aca="false">IF(助手报销!$R$4&lt;&gt;"","摘　　要","")</f>
        <v>摘　　要</v>
      </c>
      <c r="C34" s="61"/>
      <c r="D34" s="62" t="str">
        <f aca="false">IF(助手报销!$R$4&lt;&gt;"","科　　　　目","")</f>
        <v>科　　　　目</v>
      </c>
      <c r="E34" s="62"/>
      <c r="F34" s="61" t="str">
        <f aca="false">IF(助手报销!$R$4&lt;&gt;"","借 方 金 额","")</f>
        <v>借 方 金 额</v>
      </c>
      <c r="G34" s="62" t="str">
        <f aca="false">IF(助手报销!$R$4&lt;&gt;"","贷 方 金 额","")</f>
        <v>贷 方 金 额</v>
      </c>
      <c r="H34" s="63" t="str">
        <f aca="false">IF(助手报销!$R$4&lt;&gt;"","√","")</f>
        <v>√</v>
      </c>
      <c r="I34" s="64" t="str">
        <f aca="false">IF(助手报销!$R$4&lt;&gt;"","附单据  张","")</f>
        <v>附单据  张</v>
      </c>
    </row>
    <row r="35" customFormat="false" ht="12.75" hidden="false" customHeight="true" outlineLevel="0" collapsed="false">
      <c r="B35" s="61"/>
      <c r="C35" s="61"/>
      <c r="D35" s="23" t="str">
        <f aca="false">IF(助手报销!$R$4&lt;&gt;"","总 账 科 目","")</f>
        <v>总 账 科 目</v>
      </c>
      <c r="E35" s="23" t="str">
        <f aca="false">IF(助手报销!$R$4&lt;&gt;"","明 细 科 目","")</f>
        <v>明 细 科 目</v>
      </c>
      <c r="F35" s="65"/>
      <c r="G35" s="66"/>
      <c r="H35" s="63"/>
      <c r="I35" s="64"/>
    </row>
    <row r="36" customFormat="false" ht="23.25" hidden="false" customHeight="true" outlineLevel="0" collapsed="false">
      <c r="B36" s="67" t="str">
        <f aca="false">IFERROR(INDEX(分录报销!$M:$M,MATCH($L36,分录报销!$L:$L,0)),"")</f>
        <v>电费</v>
      </c>
      <c r="C36" s="67"/>
      <c r="D36" s="23" t="str">
        <f aca="false">IFERROR(INDEX(分录报销!$E:$E,MATCH($L36,分录报销!$L:$L,0)),"")</f>
        <v>销售费用</v>
      </c>
      <c r="E36" s="23" t="str">
        <f aca="false">IFERROR(INDEX(分录报销!$F:$F,MATCH($L36,分录报销!$L:$L,0)),"")</f>
        <v>电费</v>
      </c>
      <c r="F36" s="68" t="n">
        <f aca="false">IFERROR(INDEX(分录报销!$H:$H,MATCH($L36,分录报销!$L:$L,0)),"")</f>
        <v>1000</v>
      </c>
      <c r="G36" s="69" t="str">
        <f aca="false">IFERROR(INDEX(分录报销!$I:$I,MATCH($L36,分录报销!$L:$L,0)),"")</f>
        <v/>
      </c>
      <c r="H36" s="23"/>
      <c r="I36" s="70"/>
      <c r="L36" s="71" t="n">
        <f aca="false">IF(助手报销!$R$4="",-1,助手报销!$R$4*100+(助手报销!$S$4-1)*6+1)</f>
        <v>301</v>
      </c>
    </row>
    <row r="37" customFormat="false" ht="23.25" hidden="false" customHeight="true" outlineLevel="0" collapsed="false">
      <c r="B37" s="67" t="str">
        <f aca="false">IFERROR(INDEX(分录报销!$M:$M,MATCH($L37,分录报销!$L:$L,0)),"")</f>
        <v>灯锁胶布护套线</v>
      </c>
      <c r="C37" s="67"/>
      <c r="D37" s="23" t="str">
        <f aca="false">IFERROR(INDEX(分录报销!$E:$E,MATCH($L37,分录报销!$L:$L,0)),"")</f>
        <v>销售费用</v>
      </c>
      <c r="E37" s="23" t="str">
        <f aca="false">IFERROR(INDEX(分录报销!$F:$F,MATCH($L37,分录报销!$L:$L,0)),"")</f>
        <v>办公费</v>
      </c>
      <c r="F37" s="68" t="n">
        <f aca="false">IFERROR(INDEX(分录报销!$H:$H,MATCH($L37,分录报销!$L:$L,0)),"")</f>
        <v>662</v>
      </c>
      <c r="G37" s="69" t="str">
        <f aca="false">IFERROR(INDEX(分录报销!$I:$I,MATCH($L37,分录报销!$L:$L,0)),"")</f>
        <v/>
      </c>
      <c r="H37" s="23"/>
      <c r="I37" s="70"/>
      <c r="L37" s="71" t="n">
        <f aca="false">IF(助手报销!$R$4="",-1,助手报销!$R$4*100+(助手报销!$S$4-1)*6+2)</f>
        <v>302</v>
      </c>
    </row>
    <row r="38" customFormat="false" ht="23.25" hidden="false" customHeight="true" outlineLevel="0" collapsed="false">
      <c r="B38" s="67" t="str">
        <f aca="false">IFERROR(INDEX(分录报销!$M:$M,MATCH($L38,分录报销!$L:$L,0)),"")</f>
        <v>微信提现费</v>
      </c>
      <c r="C38" s="67"/>
      <c r="D38" s="23" t="str">
        <f aca="false">IFERROR(INDEX(分录报销!$E:$E,MATCH($L38,分录报销!$L:$L,0)),"")</f>
        <v>财务费用</v>
      </c>
      <c r="E38" s="23" t="str">
        <f aca="false">IFERROR(INDEX(分录报销!$F:$F,MATCH($L38,分录报销!$L:$L,0)),"")</f>
        <v>手续费</v>
      </c>
      <c r="F38" s="68" t="n">
        <f aca="false">IFERROR(INDEX(分录报销!$H:$H,MATCH($L38,分录报销!$L:$L,0)),"")</f>
        <v>43.38</v>
      </c>
      <c r="G38" s="69" t="str">
        <f aca="false">IFERROR(INDEX(分录报销!$I:$I,MATCH($L38,分录报销!$L:$L,0)),"")</f>
        <v/>
      </c>
      <c r="H38" s="23"/>
      <c r="I38" s="70"/>
      <c r="L38" s="71" t="n">
        <f aca="false">IF(助手报销!$R$4="",-1,助手报销!$R$4*100+(助手报销!$S$4-1)*6+3)</f>
        <v>303</v>
      </c>
    </row>
    <row r="39" customFormat="false" ht="23.25" hidden="false" customHeight="true" outlineLevel="0" collapsed="false">
      <c r="B39" s="67" t="str">
        <f aca="false">IFERROR(INDEX(分录报销!$M:$M,MATCH($L39,分录报销!$L:$L,0)),"")</f>
        <v/>
      </c>
      <c r="C39" s="67"/>
      <c r="D39" s="23" t="str">
        <f aca="false">IFERROR(INDEX(分录报销!$E:$E,MATCH($L39,分录报销!$L:$L,0)),"")</f>
        <v>库存现金</v>
      </c>
      <c r="E39" s="23" t="str">
        <f aca="false">IFERROR(INDEX(分录报销!$F:$F,MATCH($L39,分录报销!$L:$L,0)),"")</f>
        <v/>
      </c>
      <c r="F39" s="68" t="str">
        <f aca="false">IFERROR(INDEX(分录报销!$H:$H,MATCH($L39,分录报销!$L:$L,0)),"")</f>
        <v/>
      </c>
      <c r="G39" s="69" t="n">
        <f aca="false">IFERROR(INDEX(分录报销!$I:$I,MATCH($L39,分录报销!$L:$L,0)),"")</f>
        <v>1705.38</v>
      </c>
      <c r="H39" s="23"/>
      <c r="I39" s="70"/>
      <c r="L39" s="71" t="n">
        <f aca="false">IF(助手报销!$R$4="",-1,助手报销!$R$4*100+(助手报销!$S$4-1)*6+4)</f>
        <v>304</v>
      </c>
    </row>
    <row r="40" customFormat="false" ht="23.25" hidden="false" customHeight="true" outlineLevel="0" collapsed="false">
      <c r="B40" s="67" t="str">
        <f aca="false">IFERROR(INDEX(分录报销!$M:$M,MATCH($L40,分录报销!$L:$L,0)),"")</f>
        <v/>
      </c>
      <c r="C40" s="67"/>
      <c r="D40" s="23" t="str">
        <f aca="false">IFERROR(INDEX(分录报销!$E:$E,MATCH($L40,分录报销!$L:$L,0)),"")</f>
        <v/>
      </c>
      <c r="E40" s="23" t="str">
        <f aca="false">IFERROR(INDEX(分录报销!$F:$F,MATCH($L40,分录报销!$L:$L,0)),"")</f>
        <v/>
      </c>
      <c r="F40" s="68" t="str">
        <f aca="false">IFERROR(INDEX(分录报销!$H:$H,MATCH($L40,分录报销!$L:$L,0)),"")</f>
        <v/>
      </c>
      <c r="G40" s="69" t="str">
        <f aca="false">IFERROR(INDEX(分录报销!$I:$I,MATCH($L40,分录报销!$L:$L,0)),"")</f>
        <v/>
      </c>
      <c r="H40" s="23"/>
      <c r="I40" s="70"/>
      <c r="L40" s="71" t="n">
        <f aca="false">IF(助手报销!$R$4="",-1,助手报销!$R$4*100+(助手报销!$S$4-1)*6+5)</f>
        <v>305</v>
      </c>
    </row>
    <row r="41" customFormat="false" ht="23.25" hidden="false" customHeight="true" outlineLevel="0" collapsed="false">
      <c r="B41" s="67" t="str">
        <f aca="false">IFERROR(INDEX(分录报销!$M:$M,MATCH($L41,分录报销!$L:$L,0)),"")</f>
        <v/>
      </c>
      <c r="C41" s="67"/>
      <c r="D41" s="23" t="str">
        <f aca="false">IFERROR(INDEX(分录报销!$E:$E,MATCH($L41,分录报销!$L:$L,0)),"")</f>
        <v/>
      </c>
      <c r="E41" s="23" t="str">
        <f aca="false">IFERROR(INDEX(分录报销!$F:$F,MATCH($L41,分录报销!$L:$L,0)),"")</f>
        <v/>
      </c>
      <c r="F41" s="68" t="str">
        <f aca="false">IFERROR(INDEX(分录报销!$H:$H,MATCH($L41,分录报销!$L:$L,0)),"")</f>
        <v/>
      </c>
      <c r="G41" s="69" t="str">
        <f aca="false">IFERROR(INDEX(分录报销!$I:$I,MATCH($L41,分录报销!$L:$L,0)),"")</f>
        <v/>
      </c>
      <c r="H41" s="23"/>
      <c r="I41" s="70"/>
      <c r="L41" s="71" t="n">
        <f aca="false">IF(助手报销!$R$4="",-1,助手报销!$R$4*100+(助手报销!$S$4-1)*6+6)</f>
        <v>306</v>
      </c>
    </row>
    <row r="42" customFormat="false" ht="23.25" hidden="false" customHeight="true" outlineLevel="0" collapsed="false">
      <c r="B42" s="72" t="str">
        <f aca="false">IF(助手报销!$T$4=1,"合计：","")</f>
        <v>合计：</v>
      </c>
      <c r="C42" s="73" t="n">
        <f aca="false">IF(助手报销!$T$4=1,$F42,"")</f>
        <v>1705.38</v>
      </c>
      <c r="D42" s="74"/>
      <c r="E42" s="74"/>
      <c r="F42" s="75" t="n">
        <f aca="false">IF(助手报销!$T$4=1,INDEX(助手报销!$N$2:$N$121,助手报销!$R$4),"")</f>
        <v>1705.38</v>
      </c>
      <c r="G42" s="76" t="n">
        <f aca="false">IF(助手报销!$T$4=1,INDEX(助手报销!$O$2:$O$121,助手报销!$R$4),"")</f>
        <v>1705.38</v>
      </c>
      <c r="H42" s="74"/>
      <c r="I42" s="77"/>
    </row>
    <row r="43" customFormat="false" ht="6" hidden="false" customHeight="true" outlineLevel="0" collapsed="false"/>
    <row r="44" customFormat="false" ht="13.5" hidden="false" customHeight="false" outlineLevel="0" collapsed="false">
      <c r="B44" s="78" t="str">
        <f aca="false">IF(助手报销!$R$4&lt;&gt;"","会计主管：","")</f>
        <v>会计主管：</v>
      </c>
      <c r="D44" s="78" t="str">
        <f aca="false">IF(助手报销!$R$4&lt;&gt;"","会计：","")</f>
        <v>会计：</v>
      </c>
      <c r="E44" s="78" t="str">
        <f aca="false">IF(助手报销!$R$4&lt;&gt;"","出纳：","")</f>
        <v>出纳：</v>
      </c>
      <c r="F44" s="78" t="str">
        <f aca="false">IF(助手报销!$R$4&lt;&gt;"","复核：","")</f>
        <v>复核：</v>
      </c>
      <c r="G44" s="78" t="str">
        <f aca="false">IF(助手报销!$R$4&lt;&gt;"","制单：","")</f>
        <v>制单：</v>
      </c>
    </row>
    <row r="45" customFormat="false" ht="3" hidden="false" customHeight="true" outlineLevel="0" collapsed="false"/>
    <row r="46" customFormat="false" ht="19.5" hidden="false" customHeight="true" outlineLevel="0" collapsed="false">
      <c r="B46" s="53" t="str">
        <f aca="false">IF(助手报销!$R$5&lt;&gt;"","记  账  凭  证","")</f>
        <v>记  账  凭  证</v>
      </c>
      <c r="C46" s="53"/>
      <c r="D46" s="53"/>
      <c r="E46" s="53"/>
      <c r="F46" s="53"/>
      <c r="G46" s="53"/>
      <c r="H46" s="53"/>
      <c r="I46" s="53"/>
    </row>
    <row r="47" customFormat="false" ht="3" hidden="false" customHeight="true" outlineLevel="0" collapsed="false"/>
    <row r="48" customFormat="false" ht="15" hidden="false" customHeight="true" outlineLevel="0" collapsed="false">
      <c r="C48" s="56" t="str">
        <f aca="false">IF(助手报销!$R$5&lt;&gt;"",INDEX(助手报销!$B$2:$B$121,助手报销!$R$5),"")</f>
        <v/>
      </c>
      <c r="D48" s="57" t="n">
        <f aca="false">IF(助手报销!$R$5&lt;&gt;"",INDEX(助手报销!$D$2:$D$121,助手报销!$R$5),"")</f>
        <v>46265</v>
      </c>
      <c r="E48" s="57"/>
      <c r="F48" s="58" t="str">
        <f aca="false">IF(助手报销!$R$5&lt;&gt;"",INDEX(助手报销!$C$2:$C$121,助手报销!$R$5)&amp;"  字第 "&amp;IF(参数!$B$9="是",INDEX(助手报销!$P$2:$P$121,助手报销!$R$5),"　　　　")&amp;" 号"&amp;IF(INDEX(助手报销!$L$2:$L$121,助手报销!$R$5)&gt;1,"  (共"&amp;INDEX(助手报销!$L$2:$L$121,助手报销!$R$5)&amp;"页 第"&amp;助手报销!$S$5&amp;"页)",""),"")</f>
        <v>东关店  字第 　　　　 号</v>
      </c>
      <c r="G48" s="58"/>
      <c r="H48" s="58"/>
      <c r="I48" s="58"/>
      <c r="M48" s="59" t="n">
        <f aca="false">IF(助手报销!$R$5="","",助手报销!$Q$5)</f>
        <v>4</v>
      </c>
      <c r="N48" s="60" t="n">
        <f aca="false">IF(助手报销!$R$5="","",INDEX(助手报销!$P$2:$P$121,助手报销!$R$5))</f>
        <v>4</v>
      </c>
      <c r="O48" s="55" t="str">
        <f aca="false">IF(助手报销!$R$5="","",INDEX(助手报销!$C$2:$C$121,助手报销!$R$5)&amp;"  字第 "&amp;INDEX(助手报销!$P$2:$P$121,助手报销!$R$5)&amp;" 号"&amp;IF(INDEX(助手报销!$L$2:$L$121,助手报销!$R$5)&gt;1,"  (共"&amp;INDEX(助手报销!$L$2:$L$121,助手报销!$R$5)&amp;"页 第"&amp;助手报销!$S$5&amp;"页)",""))</f>
        <v>东关店  字第 4 号</v>
      </c>
    </row>
    <row r="49" customFormat="false" ht="12.75" hidden="false" customHeight="true" outlineLevel="0" collapsed="false">
      <c r="B49" s="61" t="str">
        <f aca="false">IF(助手报销!$R$5&lt;&gt;"","摘　　要","")</f>
        <v>摘　　要</v>
      </c>
      <c r="C49" s="61"/>
      <c r="D49" s="62" t="str">
        <f aca="false">IF(助手报销!$R$5&lt;&gt;"","科　　　　目","")</f>
        <v>科　　　　目</v>
      </c>
      <c r="E49" s="62"/>
      <c r="F49" s="61" t="str">
        <f aca="false">IF(助手报销!$R$5&lt;&gt;"","借 方 金 额","")</f>
        <v>借 方 金 额</v>
      </c>
      <c r="G49" s="62" t="str">
        <f aca="false">IF(助手报销!$R$5&lt;&gt;"","贷 方 金 额","")</f>
        <v>贷 方 金 额</v>
      </c>
      <c r="H49" s="63" t="str">
        <f aca="false">IF(助手报销!$R$5&lt;&gt;"","√","")</f>
        <v>√</v>
      </c>
      <c r="I49" s="64" t="str">
        <f aca="false">IF(助手报销!$R$5&lt;&gt;"","附单据  张","")</f>
        <v>附单据  张</v>
      </c>
    </row>
    <row r="50" customFormat="false" ht="12.75" hidden="false" customHeight="true" outlineLevel="0" collapsed="false">
      <c r="B50" s="61"/>
      <c r="C50" s="61"/>
      <c r="D50" s="23" t="str">
        <f aca="false">IF(助手报销!$R$5&lt;&gt;"","总 账 科 目","")</f>
        <v>总 账 科 目</v>
      </c>
      <c r="E50" s="23" t="str">
        <f aca="false">IF(助手报销!$R$5&lt;&gt;"","明 细 科 目","")</f>
        <v>明 细 科 目</v>
      </c>
      <c r="F50" s="65"/>
      <c r="G50" s="66"/>
      <c r="H50" s="63"/>
      <c r="I50" s="64"/>
    </row>
    <row r="51" customFormat="false" ht="23.25" hidden="false" customHeight="true" outlineLevel="0" collapsed="false">
      <c r="B51" s="67" t="str">
        <f aca="false">IFERROR(INDEX(分录报销!$M:$M,MATCH($L51,分录报销!$L:$L,0)),"")</f>
        <v>色带慢病用品</v>
      </c>
      <c r="C51" s="67"/>
      <c r="D51" s="23" t="str">
        <f aca="false">IFERROR(INDEX(分录报销!$E:$E,MATCH($L51,分录报销!$L:$L,0)),"")</f>
        <v>销售费用</v>
      </c>
      <c r="E51" s="23" t="str">
        <f aca="false">IFERROR(INDEX(分录报销!$F:$F,MATCH($L51,分录报销!$L:$L,0)),"")</f>
        <v>办公费</v>
      </c>
      <c r="F51" s="68" t="n">
        <f aca="false">IFERROR(INDEX(分录报销!$H:$H,MATCH($L51,分录报销!$L:$L,0)),"")</f>
        <v>99.7</v>
      </c>
      <c r="G51" s="69" t="str">
        <f aca="false">IFERROR(INDEX(分录报销!$I:$I,MATCH($L51,分录报销!$L:$L,0)),"")</f>
        <v/>
      </c>
      <c r="H51" s="23"/>
      <c r="I51" s="70"/>
      <c r="L51" s="71" t="n">
        <f aca="false">IF(助手报销!$R$5="",-1,助手报销!$R$5*100+(助手报销!$S$5-1)*6+1)</f>
        <v>401</v>
      </c>
    </row>
    <row r="52" customFormat="false" ht="23.25" hidden="false" customHeight="true" outlineLevel="0" collapsed="false">
      <c r="B52" s="67" t="str">
        <f aca="false">IFERROR(INDEX(分录报销!$M:$M,MATCH($L52,分录报销!$L:$L,0)),"")</f>
        <v>微信提现费</v>
      </c>
      <c r="C52" s="67"/>
      <c r="D52" s="23" t="str">
        <f aca="false">IFERROR(INDEX(分录报销!$E:$E,MATCH($L52,分录报销!$L:$L,0)),"")</f>
        <v>财务费用</v>
      </c>
      <c r="E52" s="23" t="str">
        <f aca="false">IFERROR(INDEX(分录报销!$F:$F,MATCH($L52,分录报销!$L:$L,0)),"")</f>
        <v>手续费</v>
      </c>
      <c r="F52" s="68" t="n">
        <f aca="false">IFERROR(INDEX(分录报销!$H:$H,MATCH($L52,分录报销!$L:$L,0)),"")</f>
        <v>48.05</v>
      </c>
      <c r="G52" s="69" t="str">
        <f aca="false">IFERROR(INDEX(分录报销!$I:$I,MATCH($L52,分录报销!$L:$L,0)),"")</f>
        <v/>
      </c>
      <c r="H52" s="23"/>
      <c r="I52" s="70"/>
      <c r="L52" s="71" t="n">
        <f aca="false">IF(助手报销!$R$5="",-1,助手报销!$R$5*100+(助手报销!$S$5-1)*6+2)</f>
        <v>402</v>
      </c>
    </row>
    <row r="53" customFormat="false" ht="23.25" hidden="false" customHeight="true" outlineLevel="0" collapsed="false">
      <c r="B53" s="67" t="str">
        <f aca="false">IFERROR(INDEX(分录报销!$M:$M,MATCH($L53,分录报销!$L:$L,0)),"")</f>
        <v/>
      </c>
      <c r="C53" s="67"/>
      <c r="D53" s="23" t="str">
        <f aca="false">IFERROR(INDEX(分录报销!$E:$E,MATCH($L53,分录报销!$L:$L,0)),"")</f>
        <v>库存现金</v>
      </c>
      <c r="E53" s="23" t="str">
        <f aca="false">IFERROR(INDEX(分录报销!$F:$F,MATCH($L53,分录报销!$L:$L,0)),"")</f>
        <v/>
      </c>
      <c r="F53" s="68" t="str">
        <f aca="false">IFERROR(INDEX(分录报销!$H:$H,MATCH($L53,分录报销!$L:$L,0)),"")</f>
        <v/>
      </c>
      <c r="G53" s="69" t="n">
        <f aca="false">IFERROR(INDEX(分录报销!$I:$I,MATCH($L53,分录报销!$L:$L,0)),"")</f>
        <v>147.75</v>
      </c>
      <c r="H53" s="23"/>
      <c r="I53" s="70"/>
      <c r="L53" s="71" t="n">
        <f aca="false">IF(助手报销!$R$5="",-1,助手报销!$R$5*100+(助手报销!$S$5-1)*6+3)</f>
        <v>403</v>
      </c>
    </row>
    <row r="54" customFormat="false" ht="23.25" hidden="false" customHeight="true" outlineLevel="0" collapsed="false">
      <c r="B54" s="67" t="str">
        <f aca="false">IFERROR(INDEX(分录报销!$M:$M,MATCH($L54,分录报销!$L:$L,0)),"")</f>
        <v/>
      </c>
      <c r="C54" s="67"/>
      <c r="D54" s="23" t="str">
        <f aca="false">IFERROR(INDEX(分录报销!$E:$E,MATCH($L54,分录报销!$L:$L,0)),"")</f>
        <v/>
      </c>
      <c r="E54" s="23" t="str">
        <f aca="false">IFERROR(INDEX(分录报销!$F:$F,MATCH($L54,分录报销!$L:$L,0)),"")</f>
        <v/>
      </c>
      <c r="F54" s="68" t="str">
        <f aca="false">IFERROR(INDEX(分录报销!$H:$H,MATCH($L54,分录报销!$L:$L,0)),"")</f>
        <v/>
      </c>
      <c r="G54" s="69" t="str">
        <f aca="false">IFERROR(INDEX(分录报销!$I:$I,MATCH($L54,分录报销!$L:$L,0)),"")</f>
        <v/>
      </c>
      <c r="H54" s="23"/>
      <c r="I54" s="70"/>
      <c r="L54" s="71" t="n">
        <f aca="false">IF(助手报销!$R$5="",-1,助手报销!$R$5*100+(助手报销!$S$5-1)*6+4)</f>
        <v>404</v>
      </c>
    </row>
    <row r="55" customFormat="false" ht="23.25" hidden="false" customHeight="true" outlineLevel="0" collapsed="false">
      <c r="B55" s="67" t="str">
        <f aca="false">IFERROR(INDEX(分录报销!$M:$M,MATCH($L55,分录报销!$L:$L,0)),"")</f>
        <v/>
      </c>
      <c r="C55" s="67"/>
      <c r="D55" s="23" t="str">
        <f aca="false">IFERROR(INDEX(分录报销!$E:$E,MATCH($L55,分录报销!$L:$L,0)),"")</f>
        <v/>
      </c>
      <c r="E55" s="23" t="str">
        <f aca="false">IFERROR(INDEX(分录报销!$F:$F,MATCH($L55,分录报销!$L:$L,0)),"")</f>
        <v/>
      </c>
      <c r="F55" s="68" t="str">
        <f aca="false">IFERROR(INDEX(分录报销!$H:$H,MATCH($L55,分录报销!$L:$L,0)),"")</f>
        <v/>
      </c>
      <c r="G55" s="69" t="str">
        <f aca="false">IFERROR(INDEX(分录报销!$I:$I,MATCH($L55,分录报销!$L:$L,0)),"")</f>
        <v/>
      </c>
      <c r="H55" s="23"/>
      <c r="I55" s="70"/>
      <c r="L55" s="71" t="n">
        <f aca="false">IF(助手报销!$R$5="",-1,助手报销!$R$5*100+(助手报销!$S$5-1)*6+5)</f>
        <v>405</v>
      </c>
    </row>
    <row r="56" customFormat="false" ht="23.25" hidden="false" customHeight="true" outlineLevel="0" collapsed="false">
      <c r="B56" s="67" t="str">
        <f aca="false">IFERROR(INDEX(分录报销!$M:$M,MATCH($L56,分录报销!$L:$L,0)),"")</f>
        <v/>
      </c>
      <c r="C56" s="67"/>
      <c r="D56" s="23" t="str">
        <f aca="false">IFERROR(INDEX(分录报销!$E:$E,MATCH($L56,分录报销!$L:$L,0)),"")</f>
        <v/>
      </c>
      <c r="E56" s="23" t="str">
        <f aca="false">IFERROR(INDEX(分录报销!$F:$F,MATCH($L56,分录报销!$L:$L,0)),"")</f>
        <v/>
      </c>
      <c r="F56" s="68" t="str">
        <f aca="false">IFERROR(INDEX(分录报销!$H:$H,MATCH($L56,分录报销!$L:$L,0)),"")</f>
        <v/>
      </c>
      <c r="G56" s="69" t="str">
        <f aca="false">IFERROR(INDEX(分录报销!$I:$I,MATCH($L56,分录报销!$L:$L,0)),"")</f>
        <v/>
      </c>
      <c r="H56" s="23"/>
      <c r="I56" s="70"/>
      <c r="L56" s="71" t="n">
        <f aca="false">IF(助手报销!$R$5="",-1,助手报销!$R$5*100+(助手报销!$S$5-1)*6+6)</f>
        <v>406</v>
      </c>
    </row>
    <row r="57" customFormat="false" ht="23.25" hidden="false" customHeight="true" outlineLevel="0" collapsed="false">
      <c r="B57" s="72" t="str">
        <f aca="false">IF(助手报销!$T$5=1,"合计：","")</f>
        <v>合计：</v>
      </c>
      <c r="C57" s="73" t="n">
        <f aca="false">IF(助手报销!$T$5=1,$F57,"")</f>
        <v>147.75</v>
      </c>
      <c r="D57" s="74"/>
      <c r="E57" s="74"/>
      <c r="F57" s="75" t="n">
        <f aca="false">IF(助手报销!$T$5=1,INDEX(助手报销!$N$2:$N$121,助手报销!$R$5),"")</f>
        <v>147.75</v>
      </c>
      <c r="G57" s="76" t="n">
        <f aca="false">IF(助手报销!$T$5=1,INDEX(助手报销!$O$2:$O$121,助手报销!$R$5),"")</f>
        <v>147.75</v>
      </c>
      <c r="H57" s="74"/>
      <c r="I57" s="77"/>
    </row>
    <row r="58" customFormat="false" ht="6" hidden="false" customHeight="true" outlineLevel="0" collapsed="false"/>
    <row r="59" customFormat="false" ht="13.5" hidden="false" customHeight="false" outlineLevel="0" collapsed="false">
      <c r="B59" s="78" t="str">
        <f aca="false">IF(助手报销!$R$5&lt;&gt;"","会计主管：","")</f>
        <v>会计主管：</v>
      </c>
      <c r="D59" s="78" t="str">
        <f aca="false">IF(助手报销!$R$5&lt;&gt;"","会计：","")</f>
        <v>会计：</v>
      </c>
      <c r="E59" s="78" t="str">
        <f aca="false">IF(助手报销!$R$5&lt;&gt;"","出纳：","")</f>
        <v>出纳：</v>
      </c>
      <c r="F59" s="78" t="str">
        <f aca="false">IF(助手报销!$R$5&lt;&gt;"","复核：","")</f>
        <v>复核：</v>
      </c>
      <c r="G59" s="78" t="str">
        <f aca="false">IF(助手报销!$R$5&lt;&gt;"","制单：","")</f>
        <v>制单：</v>
      </c>
    </row>
    <row r="60" customFormat="false" ht="3" hidden="false" customHeight="true" outlineLevel="0" collapsed="false"/>
    <row r="61" customFormat="false" ht="19.5" hidden="false" customHeight="true" outlineLevel="0" collapsed="false">
      <c r="B61" s="53" t="str">
        <f aca="false">IF(助手报销!$R$6&lt;&gt;"","记  账  凭  证","")</f>
        <v>记  账  凭  证</v>
      </c>
      <c r="C61" s="53"/>
      <c r="D61" s="53"/>
      <c r="E61" s="53"/>
      <c r="F61" s="53"/>
      <c r="G61" s="53"/>
      <c r="H61" s="53"/>
      <c r="I61" s="53"/>
    </row>
    <row r="62" customFormat="false" ht="3" hidden="false" customHeight="true" outlineLevel="0" collapsed="false"/>
    <row r="63" customFormat="false" ht="15" hidden="false" customHeight="true" outlineLevel="0" collapsed="false">
      <c r="C63" s="56" t="str">
        <f aca="false">IF(助手报销!$R$6&lt;&gt;"",INDEX(助手报销!$B$2:$B$121,助手报销!$R$6),"")</f>
        <v/>
      </c>
      <c r="D63" s="57" t="n">
        <f aca="false">IF(助手报销!$R$6&lt;&gt;"",INDEX(助手报销!$D$2:$D$121,助手报销!$R$6),"")</f>
        <v>46265</v>
      </c>
      <c r="E63" s="57"/>
      <c r="F63" s="58" t="str">
        <f aca="false">IF(助手报销!$R$6&lt;&gt;"",INDEX(助手报销!$C$2:$C$121,助手报销!$R$6)&amp;"  字第 "&amp;IF(参数!$B$9="是",INDEX(助手报销!$P$2:$P$121,助手报销!$R$6),"　　　　")&amp;" 号"&amp;IF(INDEX(助手报销!$L$2:$L$121,助手报销!$R$6)&gt;1,"  (共"&amp;INDEX(助手报销!$L$2:$L$121,助手报销!$R$6)&amp;"页 第"&amp;助手报销!$S$6&amp;"页)",""),"")</f>
        <v>象城街店  字第 　　　　 号</v>
      </c>
      <c r="G63" s="58"/>
      <c r="H63" s="58"/>
      <c r="I63" s="58"/>
      <c r="M63" s="59" t="n">
        <f aca="false">IF(助手报销!$R$6="","",助手报销!$Q$6)</f>
        <v>5</v>
      </c>
      <c r="N63" s="60" t="n">
        <f aca="false">IF(助手报销!$R$6="","",INDEX(助手报销!$P$2:$P$121,助手报销!$R$6))</f>
        <v>5</v>
      </c>
      <c r="O63" s="55" t="str">
        <f aca="false">IF(助手报销!$R$6="","",INDEX(助手报销!$C$2:$C$121,助手报销!$R$6)&amp;"  字第 "&amp;INDEX(助手报销!$P$2:$P$121,助手报销!$R$6)&amp;" 号"&amp;IF(INDEX(助手报销!$L$2:$L$121,助手报销!$R$6)&gt;1,"  (共"&amp;INDEX(助手报销!$L$2:$L$121,助手报销!$R$6)&amp;"页 第"&amp;助手报销!$S$6&amp;"页)",""))</f>
        <v>象城街店  字第 5 号</v>
      </c>
    </row>
    <row r="64" customFormat="false" ht="12.75" hidden="false" customHeight="true" outlineLevel="0" collapsed="false">
      <c r="B64" s="61" t="str">
        <f aca="false">IF(助手报销!$R$6&lt;&gt;"","摘　　要","")</f>
        <v>摘　　要</v>
      </c>
      <c r="C64" s="61"/>
      <c r="D64" s="62" t="str">
        <f aca="false">IF(助手报销!$R$6&lt;&gt;"","科　　　　目","")</f>
        <v>科　　　　目</v>
      </c>
      <c r="E64" s="62"/>
      <c r="F64" s="61" t="str">
        <f aca="false">IF(助手报销!$R$6&lt;&gt;"","借 方 金 额","")</f>
        <v>借 方 金 额</v>
      </c>
      <c r="G64" s="62" t="str">
        <f aca="false">IF(助手报销!$R$6&lt;&gt;"","贷 方 金 额","")</f>
        <v>贷 方 金 额</v>
      </c>
      <c r="H64" s="63" t="str">
        <f aca="false">IF(助手报销!$R$6&lt;&gt;"","√","")</f>
        <v>√</v>
      </c>
      <c r="I64" s="64" t="str">
        <f aca="false">IF(助手报销!$R$6&lt;&gt;"","附单据  张","")</f>
        <v>附单据  张</v>
      </c>
    </row>
    <row r="65" customFormat="false" ht="12.75" hidden="false" customHeight="true" outlineLevel="0" collapsed="false">
      <c r="B65" s="61"/>
      <c r="C65" s="61"/>
      <c r="D65" s="23" t="str">
        <f aca="false">IF(助手报销!$R$6&lt;&gt;"","总 账 科 目","")</f>
        <v>总 账 科 目</v>
      </c>
      <c r="E65" s="23" t="str">
        <f aca="false">IF(助手报销!$R$6&lt;&gt;"","明 细 科 目","")</f>
        <v>明 细 科 目</v>
      </c>
      <c r="F65" s="65"/>
      <c r="G65" s="66"/>
      <c r="H65" s="63"/>
      <c r="I65" s="64"/>
    </row>
    <row r="66" customFormat="false" ht="23.25" hidden="false" customHeight="true" outlineLevel="0" collapsed="false">
      <c r="B66" s="67" t="str">
        <f aca="false">IFERROR(INDEX(分录报销!$M:$M,MATCH($L66,分录报销!$L:$L,0)),"")</f>
        <v>电费</v>
      </c>
      <c r="C66" s="67"/>
      <c r="D66" s="23" t="str">
        <f aca="false">IFERROR(INDEX(分录报销!$E:$E,MATCH($L66,分录报销!$L:$L,0)),"")</f>
        <v>销售费用</v>
      </c>
      <c r="E66" s="23" t="str">
        <f aca="false">IFERROR(INDEX(分录报销!$F:$F,MATCH($L66,分录报销!$L:$L,0)),"")</f>
        <v>电费</v>
      </c>
      <c r="F66" s="68" t="n">
        <f aca="false">IFERROR(INDEX(分录报销!$H:$H,MATCH($L66,分录报销!$L:$L,0)),"")</f>
        <v>800</v>
      </c>
      <c r="G66" s="69" t="str">
        <f aca="false">IFERROR(INDEX(分录报销!$I:$I,MATCH($L66,分录报销!$L:$L,0)),"")</f>
        <v/>
      </c>
      <c r="H66" s="23"/>
      <c r="I66" s="70"/>
      <c r="L66" s="71" t="n">
        <f aca="false">IF(助手报销!$R$6="",-1,助手报销!$R$6*100+(助手报销!$S$6-1)*6+1)</f>
        <v>501</v>
      </c>
    </row>
    <row r="67" customFormat="false" ht="23.25" hidden="false" customHeight="true" outlineLevel="0" collapsed="false">
      <c r="B67" s="67" t="str">
        <f aca="false">IFERROR(INDEX(分录报销!$M:$M,MATCH($L67,分录报销!$L:$L,0)),"")</f>
        <v>慢病用品</v>
      </c>
      <c r="C67" s="67"/>
      <c r="D67" s="23" t="str">
        <f aca="false">IFERROR(INDEX(分录报销!$E:$E,MATCH($L67,分录报销!$L:$L,0)),"")</f>
        <v>销售费用</v>
      </c>
      <c r="E67" s="23" t="str">
        <f aca="false">IFERROR(INDEX(分录报销!$F:$F,MATCH($L67,分录报销!$L:$L,0)),"")</f>
        <v>办公费</v>
      </c>
      <c r="F67" s="68" t="n">
        <f aca="false">IFERROR(INDEX(分录报销!$H:$H,MATCH($L67,分录报销!$L:$L,0)),"")</f>
        <v>59.8</v>
      </c>
      <c r="G67" s="69" t="str">
        <f aca="false">IFERROR(INDEX(分录报销!$I:$I,MATCH($L67,分录报销!$L:$L,0)),"")</f>
        <v/>
      </c>
      <c r="H67" s="23"/>
      <c r="I67" s="70"/>
      <c r="L67" s="71" t="n">
        <f aca="false">IF(助手报销!$R$6="",-1,助手报销!$R$6*100+(助手报销!$S$6-1)*6+2)</f>
        <v>502</v>
      </c>
    </row>
    <row r="68" customFormat="false" ht="23.25" hidden="false" customHeight="true" outlineLevel="0" collapsed="false">
      <c r="B68" s="67" t="str">
        <f aca="false">IFERROR(INDEX(分录报销!$M:$M,MATCH($L68,分录报销!$L:$L,0)),"")</f>
        <v>色带</v>
      </c>
      <c r="C68" s="67"/>
      <c r="D68" s="23" t="str">
        <f aca="false">IFERROR(INDEX(分录报销!$E:$E,MATCH($L68,分录报销!$L:$L,0)),"")</f>
        <v>销售费用</v>
      </c>
      <c r="E68" s="23" t="str">
        <f aca="false">IFERROR(INDEX(分录报销!$F:$F,MATCH($L68,分录报销!$L:$L,0)),"")</f>
        <v>办公费</v>
      </c>
      <c r="F68" s="68" t="n">
        <f aca="false">IFERROR(INDEX(分录报销!$H:$H,MATCH($L68,分录报销!$L:$L,0)),"")</f>
        <v>10</v>
      </c>
      <c r="G68" s="69" t="str">
        <f aca="false">IFERROR(INDEX(分录报销!$I:$I,MATCH($L68,分录报销!$L:$L,0)),"")</f>
        <v/>
      </c>
      <c r="H68" s="23"/>
      <c r="I68" s="70"/>
      <c r="L68" s="71" t="n">
        <f aca="false">IF(助手报销!$R$6="",-1,助手报销!$R$6*100+(助手报销!$S$6-1)*6+3)</f>
        <v>503</v>
      </c>
    </row>
    <row r="69" customFormat="false" ht="23.25" hidden="false" customHeight="true" outlineLevel="0" collapsed="false">
      <c r="B69" s="67" t="str">
        <f aca="false">IFERROR(INDEX(分录报销!$M:$M,MATCH($L69,分录报销!$L:$L,0)),"")</f>
        <v/>
      </c>
      <c r="C69" s="67"/>
      <c r="D69" s="23" t="str">
        <f aca="false">IFERROR(INDEX(分录报销!$E:$E,MATCH($L69,分录报销!$L:$L,0)),"")</f>
        <v>库存现金</v>
      </c>
      <c r="E69" s="23" t="str">
        <f aca="false">IFERROR(INDEX(分录报销!$F:$F,MATCH($L69,分录报销!$L:$L,0)),"")</f>
        <v/>
      </c>
      <c r="F69" s="68" t="str">
        <f aca="false">IFERROR(INDEX(分录报销!$H:$H,MATCH($L69,分录报销!$L:$L,0)),"")</f>
        <v/>
      </c>
      <c r="G69" s="69" t="n">
        <f aca="false">IFERROR(INDEX(分录报销!$I:$I,MATCH($L69,分录报销!$L:$L,0)),"")</f>
        <v>869.8</v>
      </c>
      <c r="H69" s="23"/>
      <c r="I69" s="70"/>
      <c r="L69" s="71" t="n">
        <f aca="false">IF(助手报销!$R$6="",-1,助手报销!$R$6*100+(助手报销!$S$6-1)*6+4)</f>
        <v>504</v>
      </c>
    </row>
    <row r="70" customFormat="false" ht="23.25" hidden="false" customHeight="true" outlineLevel="0" collapsed="false">
      <c r="B70" s="67" t="str">
        <f aca="false">IFERROR(INDEX(分录报销!$M:$M,MATCH($L70,分录报销!$L:$L,0)),"")</f>
        <v/>
      </c>
      <c r="C70" s="67"/>
      <c r="D70" s="23" t="str">
        <f aca="false">IFERROR(INDEX(分录报销!$E:$E,MATCH($L70,分录报销!$L:$L,0)),"")</f>
        <v/>
      </c>
      <c r="E70" s="23" t="str">
        <f aca="false">IFERROR(INDEX(分录报销!$F:$F,MATCH($L70,分录报销!$L:$L,0)),"")</f>
        <v/>
      </c>
      <c r="F70" s="68" t="str">
        <f aca="false">IFERROR(INDEX(分录报销!$H:$H,MATCH($L70,分录报销!$L:$L,0)),"")</f>
        <v/>
      </c>
      <c r="G70" s="69" t="str">
        <f aca="false">IFERROR(INDEX(分录报销!$I:$I,MATCH($L70,分录报销!$L:$L,0)),"")</f>
        <v/>
      </c>
      <c r="H70" s="23"/>
      <c r="I70" s="70"/>
      <c r="L70" s="71" t="n">
        <f aca="false">IF(助手报销!$R$6="",-1,助手报销!$R$6*100+(助手报销!$S$6-1)*6+5)</f>
        <v>505</v>
      </c>
    </row>
    <row r="71" customFormat="false" ht="23.25" hidden="false" customHeight="true" outlineLevel="0" collapsed="false">
      <c r="B71" s="67" t="str">
        <f aca="false">IFERROR(INDEX(分录报销!$M:$M,MATCH($L71,分录报销!$L:$L,0)),"")</f>
        <v/>
      </c>
      <c r="C71" s="67"/>
      <c r="D71" s="23" t="str">
        <f aca="false">IFERROR(INDEX(分录报销!$E:$E,MATCH($L71,分录报销!$L:$L,0)),"")</f>
        <v/>
      </c>
      <c r="E71" s="23" t="str">
        <f aca="false">IFERROR(INDEX(分录报销!$F:$F,MATCH($L71,分录报销!$L:$L,0)),"")</f>
        <v/>
      </c>
      <c r="F71" s="68" t="str">
        <f aca="false">IFERROR(INDEX(分录报销!$H:$H,MATCH($L71,分录报销!$L:$L,0)),"")</f>
        <v/>
      </c>
      <c r="G71" s="69" t="str">
        <f aca="false">IFERROR(INDEX(分录报销!$I:$I,MATCH($L71,分录报销!$L:$L,0)),"")</f>
        <v/>
      </c>
      <c r="H71" s="23"/>
      <c r="I71" s="70"/>
      <c r="L71" s="71" t="n">
        <f aca="false">IF(助手报销!$R$6="",-1,助手报销!$R$6*100+(助手报销!$S$6-1)*6+6)</f>
        <v>506</v>
      </c>
    </row>
    <row r="72" customFormat="false" ht="23.25" hidden="false" customHeight="true" outlineLevel="0" collapsed="false">
      <c r="B72" s="72" t="str">
        <f aca="false">IF(助手报销!$T$6=1,"合计：","")</f>
        <v>合计：</v>
      </c>
      <c r="C72" s="73" t="n">
        <f aca="false">IF(助手报销!$T$6=1,$F72,"")</f>
        <v>869.8</v>
      </c>
      <c r="D72" s="74"/>
      <c r="E72" s="74"/>
      <c r="F72" s="75" t="n">
        <f aca="false">IF(助手报销!$T$6=1,INDEX(助手报销!$N$2:$N$121,助手报销!$R$6),"")</f>
        <v>869.8</v>
      </c>
      <c r="G72" s="76" t="n">
        <f aca="false">IF(助手报销!$T$6=1,INDEX(助手报销!$O$2:$O$121,助手报销!$R$6),"")</f>
        <v>869.8</v>
      </c>
      <c r="H72" s="74"/>
      <c r="I72" s="77"/>
    </row>
    <row r="73" customFormat="false" ht="6" hidden="false" customHeight="true" outlineLevel="0" collapsed="false"/>
    <row r="74" customFormat="false" ht="13.5" hidden="false" customHeight="false" outlineLevel="0" collapsed="false">
      <c r="B74" s="78" t="str">
        <f aca="false">IF(助手报销!$R$6&lt;&gt;"","会计主管：","")</f>
        <v>会计主管：</v>
      </c>
      <c r="D74" s="78" t="str">
        <f aca="false">IF(助手报销!$R$6&lt;&gt;"","会计：","")</f>
        <v>会计：</v>
      </c>
      <c r="E74" s="78" t="str">
        <f aca="false">IF(助手报销!$R$6&lt;&gt;"","出纳：","")</f>
        <v>出纳：</v>
      </c>
      <c r="F74" s="78" t="str">
        <f aca="false">IF(助手报销!$R$6&lt;&gt;"","复核：","")</f>
        <v>复核：</v>
      </c>
      <c r="G74" s="78" t="str">
        <f aca="false">IF(助手报销!$R$6&lt;&gt;"","制单：","")</f>
        <v>制单：</v>
      </c>
    </row>
    <row r="75" customFormat="false" ht="3" hidden="false" customHeight="true" outlineLevel="0" collapsed="false"/>
    <row r="76" customFormat="false" ht="19.5" hidden="false" customHeight="true" outlineLevel="0" collapsed="false">
      <c r="B76" s="53" t="str">
        <f aca="false">IF(助手报销!$R$7&lt;&gt;"","记  账  凭  证","")</f>
        <v>记  账  凭  证</v>
      </c>
      <c r="C76" s="53"/>
      <c r="D76" s="53"/>
      <c r="E76" s="53"/>
      <c r="F76" s="53"/>
      <c r="G76" s="53"/>
      <c r="H76" s="53"/>
      <c r="I76" s="53"/>
    </row>
    <row r="77" customFormat="false" ht="3" hidden="false" customHeight="true" outlineLevel="0" collapsed="false"/>
    <row r="78" customFormat="false" ht="15" hidden="false" customHeight="true" outlineLevel="0" collapsed="false">
      <c r="C78" s="56" t="str">
        <f aca="false">IF(助手报销!$R$7&lt;&gt;"",INDEX(助手报销!$B$2:$B$121,助手报销!$R$7),"")</f>
        <v/>
      </c>
      <c r="D78" s="57" t="n">
        <f aca="false">IF(助手报销!$R$7&lt;&gt;"",INDEX(助手报销!$D$2:$D$121,助手报销!$R$7),"")</f>
        <v>46265</v>
      </c>
      <c r="E78" s="57"/>
      <c r="F78" s="58" t="str">
        <f aca="false">IF(助手报销!$R$7&lt;&gt;"",INDEX(助手报销!$C$2:$C$121,助手报销!$R$7)&amp;"  字第 "&amp;IF(参数!$B$9="是",INDEX(助手报销!$P$2:$P$121,助手报销!$R$7),"　　　　")&amp;" 号"&amp;IF(INDEX(助手报销!$L$2:$L$121,助手报销!$R$7)&gt;1,"  (共"&amp;INDEX(助手报销!$L$2:$L$121,助手报销!$R$7)&amp;"页 第"&amp;助手报销!$S$7&amp;"页)",""),"")</f>
        <v>博荣店  字第 　　　　 号</v>
      </c>
      <c r="G78" s="58"/>
      <c r="H78" s="58"/>
      <c r="I78" s="58"/>
      <c r="M78" s="59" t="n">
        <f aca="false">IF(助手报销!$R$7="","",助手报销!$Q$7)</f>
        <v>6</v>
      </c>
      <c r="N78" s="60" t="n">
        <f aca="false">IF(助手报销!$R$7="","",INDEX(助手报销!$P$2:$P$121,助手报销!$R$7))</f>
        <v>6</v>
      </c>
      <c r="O78" s="55" t="str">
        <f aca="false">IF(助手报销!$R$7="","",INDEX(助手报销!$C$2:$C$121,助手报销!$R$7)&amp;"  字第 "&amp;INDEX(助手报销!$P$2:$P$121,助手报销!$R$7)&amp;" 号"&amp;IF(INDEX(助手报销!$L$2:$L$121,助手报销!$R$7)&gt;1,"  (共"&amp;INDEX(助手报销!$L$2:$L$121,助手报销!$R$7)&amp;"页 第"&amp;助手报销!$S$7&amp;"页)",""))</f>
        <v>博荣店  字第 6 号</v>
      </c>
    </row>
    <row r="79" customFormat="false" ht="12.75" hidden="false" customHeight="true" outlineLevel="0" collapsed="false">
      <c r="B79" s="61" t="str">
        <f aca="false">IF(助手报销!$R$7&lt;&gt;"","摘　　要","")</f>
        <v>摘　　要</v>
      </c>
      <c r="C79" s="61"/>
      <c r="D79" s="62" t="str">
        <f aca="false">IF(助手报销!$R$7&lt;&gt;"","科　　　　目","")</f>
        <v>科　　　　目</v>
      </c>
      <c r="E79" s="62"/>
      <c r="F79" s="61" t="str">
        <f aca="false">IF(助手报销!$R$7&lt;&gt;"","借 方 金 额","")</f>
        <v>借 方 金 额</v>
      </c>
      <c r="G79" s="62" t="str">
        <f aca="false">IF(助手报销!$R$7&lt;&gt;"","贷 方 金 额","")</f>
        <v>贷 方 金 额</v>
      </c>
      <c r="H79" s="63" t="str">
        <f aca="false">IF(助手报销!$R$7&lt;&gt;"","√","")</f>
        <v>√</v>
      </c>
      <c r="I79" s="64" t="str">
        <f aca="false">IF(助手报销!$R$7&lt;&gt;"","附单据  张","")</f>
        <v>附单据  张</v>
      </c>
    </row>
    <row r="80" customFormat="false" ht="12.75" hidden="false" customHeight="true" outlineLevel="0" collapsed="false">
      <c r="B80" s="61"/>
      <c r="C80" s="61"/>
      <c r="D80" s="23" t="str">
        <f aca="false">IF(助手报销!$R$7&lt;&gt;"","总 账 科 目","")</f>
        <v>总 账 科 目</v>
      </c>
      <c r="E80" s="23" t="str">
        <f aca="false">IF(助手报销!$R$7&lt;&gt;"","明 细 科 目","")</f>
        <v>明 细 科 目</v>
      </c>
      <c r="F80" s="65"/>
      <c r="G80" s="66"/>
      <c r="H80" s="63"/>
      <c r="I80" s="64"/>
    </row>
    <row r="81" customFormat="false" ht="23.25" hidden="false" customHeight="true" outlineLevel="0" collapsed="false">
      <c r="B81" s="67" t="str">
        <f aca="false">IFERROR(INDEX(分录报销!$M:$M,MATCH($L81,分录报销!$L:$L,0)),"")</f>
        <v>电费</v>
      </c>
      <c r="C81" s="67"/>
      <c r="D81" s="23" t="str">
        <f aca="false">IFERROR(INDEX(分录报销!$E:$E,MATCH($L81,分录报销!$L:$L,0)),"")</f>
        <v>销售费用</v>
      </c>
      <c r="E81" s="23" t="str">
        <f aca="false">IFERROR(INDEX(分录报销!$F:$F,MATCH($L81,分录报销!$L:$L,0)),"")</f>
        <v>电费</v>
      </c>
      <c r="F81" s="68" t="n">
        <f aca="false">IFERROR(INDEX(分录报销!$H:$H,MATCH($L81,分录报销!$L:$L,0)),"")</f>
        <v>500.48</v>
      </c>
      <c r="G81" s="69" t="str">
        <f aca="false">IFERROR(INDEX(分录报销!$I:$I,MATCH($L81,分录报销!$L:$L,0)),"")</f>
        <v/>
      </c>
      <c r="H81" s="23"/>
      <c r="I81" s="70"/>
      <c r="L81" s="71" t="n">
        <f aca="false">IF(助手报销!$R$7="",-1,助手报销!$R$7*100+(助手报销!$S$7-1)*6+1)</f>
        <v>601</v>
      </c>
    </row>
    <row r="82" customFormat="false" ht="23.25" hidden="false" customHeight="true" outlineLevel="0" collapsed="false">
      <c r="B82" s="67" t="str">
        <f aca="false">IFERROR(INDEX(分录报销!$M:$M,MATCH($L82,分录报销!$L:$L,0)),"")</f>
        <v>物业费</v>
      </c>
      <c r="C82" s="67"/>
      <c r="D82" s="23" t="str">
        <f aca="false">IFERROR(INDEX(分录报销!$E:$E,MATCH($L82,分录报销!$L:$L,0)),"")</f>
        <v>待摊费用</v>
      </c>
      <c r="E82" s="23" t="str">
        <f aca="false">IFERROR(INDEX(分录报销!$F:$F,MATCH($L82,分录报销!$L:$L,0)),"")</f>
        <v>物业费</v>
      </c>
      <c r="F82" s="68" t="n">
        <f aca="false">IFERROR(INDEX(分录报销!$H:$H,MATCH($L82,分录报销!$L:$L,0)),"")</f>
        <v>1314.7</v>
      </c>
      <c r="G82" s="69" t="str">
        <f aca="false">IFERROR(INDEX(分录报销!$I:$I,MATCH($L82,分录报销!$L:$L,0)),"")</f>
        <v/>
      </c>
      <c r="H82" s="23"/>
      <c r="I82" s="70"/>
      <c r="L82" s="71" t="n">
        <f aca="false">IF(助手报销!$R$7="",-1,助手报销!$R$7*100+(助手报销!$S$7-1)*6+2)</f>
        <v>602</v>
      </c>
    </row>
    <row r="83" customFormat="false" ht="23.25" hidden="false" customHeight="true" outlineLevel="0" collapsed="false">
      <c r="B83" s="67" t="str">
        <f aca="false">IFERROR(INDEX(分录报销!$M:$M,MATCH($L83,分录报销!$L:$L,0)),"")</f>
        <v/>
      </c>
      <c r="C83" s="67"/>
      <c r="D83" s="23" t="str">
        <f aca="false">IFERROR(INDEX(分录报销!$E:$E,MATCH($L83,分录报销!$L:$L,0)),"")</f>
        <v>库存现金</v>
      </c>
      <c r="E83" s="23" t="str">
        <f aca="false">IFERROR(INDEX(分录报销!$F:$F,MATCH($L83,分录报销!$L:$L,0)),"")</f>
        <v/>
      </c>
      <c r="F83" s="68" t="str">
        <f aca="false">IFERROR(INDEX(分录报销!$H:$H,MATCH($L83,分录报销!$L:$L,0)),"")</f>
        <v/>
      </c>
      <c r="G83" s="69" t="n">
        <f aca="false">IFERROR(INDEX(分录报销!$I:$I,MATCH($L83,分录报销!$L:$L,0)),"")</f>
        <v>1815.18</v>
      </c>
      <c r="H83" s="23"/>
      <c r="I83" s="70"/>
      <c r="L83" s="71" t="n">
        <f aca="false">IF(助手报销!$R$7="",-1,助手报销!$R$7*100+(助手报销!$S$7-1)*6+3)</f>
        <v>603</v>
      </c>
    </row>
    <row r="84" customFormat="false" ht="23.25" hidden="false" customHeight="true" outlineLevel="0" collapsed="false">
      <c r="B84" s="67" t="str">
        <f aca="false">IFERROR(INDEX(分录报销!$M:$M,MATCH($L84,分录报销!$L:$L,0)),"")</f>
        <v/>
      </c>
      <c r="C84" s="67"/>
      <c r="D84" s="23" t="str">
        <f aca="false">IFERROR(INDEX(分录报销!$E:$E,MATCH($L84,分录报销!$L:$L,0)),"")</f>
        <v/>
      </c>
      <c r="E84" s="23" t="str">
        <f aca="false">IFERROR(INDEX(分录报销!$F:$F,MATCH($L84,分录报销!$L:$L,0)),"")</f>
        <v/>
      </c>
      <c r="F84" s="68" t="str">
        <f aca="false">IFERROR(INDEX(分录报销!$H:$H,MATCH($L84,分录报销!$L:$L,0)),"")</f>
        <v/>
      </c>
      <c r="G84" s="69" t="str">
        <f aca="false">IFERROR(INDEX(分录报销!$I:$I,MATCH($L84,分录报销!$L:$L,0)),"")</f>
        <v/>
      </c>
      <c r="H84" s="23"/>
      <c r="I84" s="70"/>
      <c r="L84" s="71" t="n">
        <f aca="false">IF(助手报销!$R$7="",-1,助手报销!$R$7*100+(助手报销!$S$7-1)*6+4)</f>
        <v>604</v>
      </c>
    </row>
    <row r="85" customFormat="false" ht="23.25" hidden="false" customHeight="true" outlineLevel="0" collapsed="false">
      <c r="B85" s="67" t="str">
        <f aca="false">IFERROR(INDEX(分录报销!$M:$M,MATCH($L85,分录报销!$L:$L,0)),"")</f>
        <v/>
      </c>
      <c r="C85" s="67"/>
      <c r="D85" s="23" t="str">
        <f aca="false">IFERROR(INDEX(分录报销!$E:$E,MATCH($L85,分录报销!$L:$L,0)),"")</f>
        <v/>
      </c>
      <c r="E85" s="23" t="str">
        <f aca="false">IFERROR(INDEX(分录报销!$F:$F,MATCH($L85,分录报销!$L:$L,0)),"")</f>
        <v/>
      </c>
      <c r="F85" s="68" t="str">
        <f aca="false">IFERROR(INDEX(分录报销!$H:$H,MATCH($L85,分录报销!$L:$L,0)),"")</f>
        <v/>
      </c>
      <c r="G85" s="69" t="str">
        <f aca="false">IFERROR(INDEX(分录报销!$I:$I,MATCH($L85,分录报销!$L:$L,0)),"")</f>
        <v/>
      </c>
      <c r="H85" s="23"/>
      <c r="I85" s="70"/>
      <c r="L85" s="71" t="n">
        <f aca="false">IF(助手报销!$R$7="",-1,助手报销!$R$7*100+(助手报销!$S$7-1)*6+5)</f>
        <v>605</v>
      </c>
    </row>
    <row r="86" customFormat="false" ht="23.25" hidden="false" customHeight="true" outlineLevel="0" collapsed="false">
      <c r="B86" s="67" t="str">
        <f aca="false">IFERROR(INDEX(分录报销!$M:$M,MATCH($L86,分录报销!$L:$L,0)),"")</f>
        <v/>
      </c>
      <c r="C86" s="67"/>
      <c r="D86" s="23" t="str">
        <f aca="false">IFERROR(INDEX(分录报销!$E:$E,MATCH($L86,分录报销!$L:$L,0)),"")</f>
        <v/>
      </c>
      <c r="E86" s="23" t="str">
        <f aca="false">IFERROR(INDEX(分录报销!$F:$F,MATCH($L86,分录报销!$L:$L,0)),"")</f>
        <v/>
      </c>
      <c r="F86" s="68" t="str">
        <f aca="false">IFERROR(INDEX(分录报销!$H:$H,MATCH($L86,分录报销!$L:$L,0)),"")</f>
        <v/>
      </c>
      <c r="G86" s="69" t="str">
        <f aca="false">IFERROR(INDEX(分录报销!$I:$I,MATCH($L86,分录报销!$L:$L,0)),"")</f>
        <v/>
      </c>
      <c r="H86" s="23"/>
      <c r="I86" s="70"/>
      <c r="L86" s="71" t="n">
        <f aca="false">IF(助手报销!$R$7="",-1,助手报销!$R$7*100+(助手报销!$S$7-1)*6+6)</f>
        <v>606</v>
      </c>
    </row>
    <row r="87" customFormat="false" ht="23.25" hidden="false" customHeight="true" outlineLevel="0" collapsed="false">
      <c r="B87" s="72" t="str">
        <f aca="false">IF(助手报销!$T$7=1,"合计：","")</f>
        <v>合计：</v>
      </c>
      <c r="C87" s="73" t="n">
        <f aca="false">IF(助手报销!$T$7=1,$F87,"")</f>
        <v>1815.18</v>
      </c>
      <c r="D87" s="74"/>
      <c r="E87" s="74"/>
      <c r="F87" s="75" t="n">
        <f aca="false">IF(助手报销!$T$7=1,INDEX(助手报销!$N$2:$N$121,助手报销!$R$7),"")</f>
        <v>1815.18</v>
      </c>
      <c r="G87" s="76" t="n">
        <f aca="false">IF(助手报销!$T$7=1,INDEX(助手报销!$O$2:$O$121,助手报销!$R$7),"")</f>
        <v>1815.18</v>
      </c>
      <c r="H87" s="74"/>
      <c r="I87" s="77"/>
    </row>
    <row r="88" customFormat="false" ht="6" hidden="false" customHeight="true" outlineLevel="0" collapsed="false"/>
    <row r="89" customFormat="false" ht="13.5" hidden="false" customHeight="false" outlineLevel="0" collapsed="false">
      <c r="B89" s="78" t="str">
        <f aca="false">IF(助手报销!$R$7&lt;&gt;"","会计主管：","")</f>
        <v>会计主管：</v>
      </c>
      <c r="D89" s="78" t="str">
        <f aca="false">IF(助手报销!$R$7&lt;&gt;"","会计：","")</f>
        <v>会计：</v>
      </c>
      <c r="E89" s="78" t="str">
        <f aca="false">IF(助手报销!$R$7&lt;&gt;"","出纳：","")</f>
        <v>出纳：</v>
      </c>
      <c r="F89" s="78" t="str">
        <f aca="false">IF(助手报销!$R$7&lt;&gt;"","复核：","")</f>
        <v>复核：</v>
      </c>
      <c r="G89" s="78" t="str">
        <f aca="false">IF(助手报销!$R$7&lt;&gt;"","制单：","")</f>
        <v>制单：</v>
      </c>
    </row>
    <row r="90" customFormat="false" ht="3" hidden="false" customHeight="true" outlineLevel="0" collapsed="false"/>
    <row r="91" customFormat="false" ht="19.5" hidden="false" customHeight="true" outlineLevel="0" collapsed="false">
      <c r="B91" s="53" t="str">
        <f aca="false">IF(助手报销!$R$8&lt;&gt;"","记  账  凭  证","")</f>
        <v>记  账  凭  证</v>
      </c>
      <c r="C91" s="53"/>
      <c r="D91" s="53"/>
      <c r="E91" s="53"/>
      <c r="F91" s="53"/>
      <c r="G91" s="53"/>
      <c r="H91" s="53"/>
      <c r="I91" s="53"/>
    </row>
    <row r="92" customFormat="false" ht="3" hidden="false" customHeight="true" outlineLevel="0" collapsed="false"/>
    <row r="93" customFormat="false" ht="15" hidden="false" customHeight="true" outlineLevel="0" collapsed="false">
      <c r="C93" s="56" t="str">
        <f aca="false">IF(助手报销!$R$8&lt;&gt;"",INDEX(助手报销!$B$2:$B$121,助手报销!$R$8),"")</f>
        <v/>
      </c>
      <c r="D93" s="57" t="n">
        <f aca="false">IF(助手报销!$R$8&lt;&gt;"",INDEX(助手报销!$D$2:$D$121,助手报销!$R$8),"")</f>
        <v>46265</v>
      </c>
      <c r="E93" s="57"/>
      <c r="F93" s="58" t="str">
        <f aca="false">IF(助手报销!$R$8&lt;&gt;"",INDEX(助手报销!$C$2:$C$121,助手报销!$R$8)&amp;"  字第 "&amp;IF(参数!$B$9="是",INDEX(助手报销!$P$2:$P$121,助手报销!$R$8),"　　　　")&amp;" 号"&amp;IF(INDEX(助手报销!$L$2:$L$121,助手报销!$R$8)&gt;1,"  (共"&amp;INDEX(助手报销!$L$2:$L$121,助手报销!$R$8)&amp;"页 第"&amp;助手报销!$S$8&amp;"页)",""),"")</f>
        <v>华鑫店  字第 　　　　 号</v>
      </c>
      <c r="G93" s="58"/>
      <c r="H93" s="58"/>
      <c r="I93" s="58"/>
      <c r="M93" s="59" t="n">
        <f aca="false">IF(助手报销!$R$8="","",助手报销!$Q$8)</f>
        <v>7</v>
      </c>
      <c r="N93" s="60" t="n">
        <f aca="false">IF(助手报销!$R$8="","",INDEX(助手报销!$P$2:$P$121,助手报销!$R$8))</f>
        <v>7</v>
      </c>
      <c r="O93" s="55" t="str">
        <f aca="false">IF(助手报销!$R$8="","",INDEX(助手报销!$C$2:$C$121,助手报销!$R$8)&amp;"  字第 "&amp;INDEX(助手报销!$P$2:$P$121,助手报销!$R$8)&amp;" 号"&amp;IF(INDEX(助手报销!$L$2:$L$121,助手报销!$R$8)&gt;1,"  (共"&amp;INDEX(助手报销!$L$2:$L$121,助手报销!$R$8)&amp;"页 第"&amp;助手报销!$S$8&amp;"页)",""))</f>
        <v>华鑫店  字第 7 号</v>
      </c>
    </row>
    <row r="94" customFormat="false" ht="12.75" hidden="false" customHeight="true" outlineLevel="0" collapsed="false">
      <c r="B94" s="61" t="str">
        <f aca="false">IF(助手报销!$R$8&lt;&gt;"","摘　　要","")</f>
        <v>摘　　要</v>
      </c>
      <c r="C94" s="61"/>
      <c r="D94" s="62" t="str">
        <f aca="false">IF(助手报销!$R$8&lt;&gt;"","科　　　　目","")</f>
        <v>科　　　　目</v>
      </c>
      <c r="E94" s="62"/>
      <c r="F94" s="61" t="str">
        <f aca="false">IF(助手报销!$R$8&lt;&gt;"","借 方 金 额","")</f>
        <v>借 方 金 额</v>
      </c>
      <c r="G94" s="62" t="str">
        <f aca="false">IF(助手报销!$R$8&lt;&gt;"","贷 方 金 额","")</f>
        <v>贷 方 金 额</v>
      </c>
      <c r="H94" s="63" t="str">
        <f aca="false">IF(助手报销!$R$8&lt;&gt;"","√","")</f>
        <v>√</v>
      </c>
      <c r="I94" s="64" t="str">
        <f aca="false">IF(助手报销!$R$8&lt;&gt;"","附单据  张","")</f>
        <v>附单据  张</v>
      </c>
    </row>
    <row r="95" customFormat="false" ht="12.75" hidden="false" customHeight="true" outlineLevel="0" collapsed="false">
      <c r="B95" s="61"/>
      <c r="C95" s="61"/>
      <c r="D95" s="23" t="str">
        <f aca="false">IF(助手报销!$R$8&lt;&gt;"","总 账 科 目","")</f>
        <v>总 账 科 目</v>
      </c>
      <c r="E95" s="23" t="str">
        <f aca="false">IF(助手报销!$R$8&lt;&gt;"","明 细 科 目","")</f>
        <v>明 细 科 目</v>
      </c>
      <c r="F95" s="65"/>
      <c r="G95" s="66"/>
      <c r="H95" s="63"/>
      <c r="I95" s="64"/>
    </row>
    <row r="96" customFormat="false" ht="23.25" hidden="false" customHeight="true" outlineLevel="0" collapsed="false">
      <c r="B96" s="67" t="str">
        <f aca="false">IFERROR(INDEX(分录报销!$M:$M,MATCH($L96,分录报销!$L:$L,0)),"")</f>
        <v>慢病用品</v>
      </c>
      <c r="C96" s="67"/>
      <c r="D96" s="23" t="str">
        <f aca="false">IFERROR(INDEX(分录报销!$E:$E,MATCH($L96,分录报销!$L:$L,0)),"")</f>
        <v>销售费用</v>
      </c>
      <c r="E96" s="23" t="str">
        <f aca="false">IFERROR(INDEX(分录报销!$F:$F,MATCH($L96,分录报销!$L:$L,0)),"")</f>
        <v>办公费</v>
      </c>
      <c r="F96" s="68" t="n">
        <f aca="false">IFERROR(INDEX(分录报销!$H:$H,MATCH($L96,分录报销!$L:$L,0)),"")</f>
        <v>61.4</v>
      </c>
      <c r="G96" s="69" t="str">
        <f aca="false">IFERROR(INDEX(分录报销!$I:$I,MATCH($L96,分录报销!$L:$L,0)),"")</f>
        <v/>
      </c>
      <c r="H96" s="23"/>
      <c r="I96" s="70"/>
      <c r="L96" s="71" t="n">
        <f aca="false">IF(助手报销!$R$8="",-1,助手报销!$R$8*100+(助手报销!$S$8-1)*6+1)</f>
        <v>701</v>
      </c>
    </row>
    <row r="97" customFormat="false" ht="23.25" hidden="false" customHeight="true" outlineLevel="0" collapsed="false">
      <c r="B97" s="67" t="str">
        <f aca="false">IFERROR(INDEX(分录报销!$M:$M,MATCH($L97,分录报销!$L:$L,0)),"")</f>
        <v>水费</v>
      </c>
      <c r="C97" s="67"/>
      <c r="D97" s="23" t="str">
        <f aca="false">IFERROR(INDEX(分录报销!$E:$E,MATCH($L97,分录报销!$L:$L,0)),"")</f>
        <v>销售费用</v>
      </c>
      <c r="E97" s="23" t="str">
        <f aca="false">IFERROR(INDEX(分录报销!$F:$F,MATCH($L97,分录报销!$L:$L,0)),"")</f>
        <v>水费</v>
      </c>
      <c r="F97" s="68" t="n">
        <f aca="false">IFERROR(INDEX(分录报销!$H:$H,MATCH($L97,分录报销!$L:$L,0)),"")</f>
        <v>20</v>
      </c>
      <c r="G97" s="69" t="str">
        <f aca="false">IFERROR(INDEX(分录报销!$I:$I,MATCH($L97,分录报销!$L:$L,0)),"")</f>
        <v/>
      </c>
      <c r="H97" s="23"/>
      <c r="I97" s="70"/>
      <c r="L97" s="71" t="n">
        <f aca="false">IF(助手报销!$R$8="",-1,助手报销!$R$8*100+(助手报销!$S$8-1)*6+2)</f>
        <v>702</v>
      </c>
    </row>
    <row r="98" customFormat="false" ht="23.25" hidden="false" customHeight="true" outlineLevel="0" collapsed="false">
      <c r="B98" s="67" t="str">
        <f aca="false">IFERROR(INDEX(分录报销!$M:$M,MATCH($L98,分录报销!$L:$L,0)),"")</f>
        <v>电费</v>
      </c>
      <c r="C98" s="67"/>
      <c r="D98" s="23" t="str">
        <f aca="false">IFERROR(INDEX(分录报销!$E:$E,MATCH($L98,分录报销!$L:$L,0)),"")</f>
        <v>销售费用</v>
      </c>
      <c r="E98" s="23" t="str">
        <f aca="false">IFERROR(INDEX(分录报销!$F:$F,MATCH($L98,分录报销!$L:$L,0)),"")</f>
        <v>电费</v>
      </c>
      <c r="F98" s="68" t="n">
        <f aca="false">IFERROR(INDEX(分录报销!$H:$H,MATCH($L98,分录报销!$L:$L,0)),"")</f>
        <v>800</v>
      </c>
      <c r="G98" s="69" t="str">
        <f aca="false">IFERROR(INDEX(分录报销!$I:$I,MATCH($L98,分录报销!$L:$L,0)),"")</f>
        <v/>
      </c>
      <c r="H98" s="23"/>
      <c r="I98" s="70"/>
      <c r="L98" s="71" t="n">
        <f aca="false">IF(助手报销!$R$8="",-1,助手报销!$R$8*100+(助手报销!$S$8-1)*6+3)</f>
        <v>703</v>
      </c>
    </row>
    <row r="99" customFormat="false" ht="23.25" hidden="false" customHeight="true" outlineLevel="0" collapsed="false">
      <c r="B99" s="67" t="str">
        <f aca="false">IFERROR(INDEX(分录报销!$M:$M,MATCH($L99,分录报销!$L:$L,0)),"")</f>
        <v/>
      </c>
      <c r="C99" s="67"/>
      <c r="D99" s="23" t="str">
        <f aca="false">IFERROR(INDEX(分录报销!$E:$E,MATCH($L99,分录报销!$L:$L,0)),"")</f>
        <v>库存现金</v>
      </c>
      <c r="E99" s="23" t="str">
        <f aca="false">IFERROR(INDEX(分录报销!$F:$F,MATCH($L99,分录报销!$L:$L,0)),"")</f>
        <v/>
      </c>
      <c r="F99" s="68" t="str">
        <f aca="false">IFERROR(INDEX(分录报销!$H:$H,MATCH($L99,分录报销!$L:$L,0)),"")</f>
        <v/>
      </c>
      <c r="G99" s="69" t="n">
        <f aca="false">IFERROR(INDEX(分录报销!$I:$I,MATCH($L99,分录报销!$L:$L,0)),"")</f>
        <v>881.4</v>
      </c>
      <c r="H99" s="23"/>
      <c r="I99" s="70"/>
      <c r="L99" s="71" t="n">
        <f aca="false">IF(助手报销!$R$8="",-1,助手报销!$R$8*100+(助手报销!$S$8-1)*6+4)</f>
        <v>704</v>
      </c>
    </row>
    <row r="100" customFormat="false" ht="23.25" hidden="false" customHeight="true" outlineLevel="0" collapsed="false">
      <c r="B100" s="67" t="str">
        <f aca="false">IFERROR(INDEX(分录报销!$M:$M,MATCH($L100,分录报销!$L:$L,0)),"")</f>
        <v/>
      </c>
      <c r="C100" s="67"/>
      <c r="D100" s="23" t="str">
        <f aca="false">IFERROR(INDEX(分录报销!$E:$E,MATCH($L100,分录报销!$L:$L,0)),"")</f>
        <v/>
      </c>
      <c r="E100" s="23" t="str">
        <f aca="false">IFERROR(INDEX(分录报销!$F:$F,MATCH($L100,分录报销!$L:$L,0)),"")</f>
        <v/>
      </c>
      <c r="F100" s="68" t="str">
        <f aca="false">IFERROR(INDEX(分录报销!$H:$H,MATCH($L100,分录报销!$L:$L,0)),"")</f>
        <v/>
      </c>
      <c r="G100" s="69" t="str">
        <f aca="false">IFERROR(INDEX(分录报销!$I:$I,MATCH($L100,分录报销!$L:$L,0)),"")</f>
        <v/>
      </c>
      <c r="H100" s="23"/>
      <c r="I100" s="70"/>
      <c r="L100" s="71" t="n">
        <f aca="false">IF(助手报销!$R$8="",-1,助手报销!$R$8*100+(助手报销!$S$8-1)*6+5)</f>
        <v>705</v>
      </c>
    </row>
    <row r="101" customFormat="false" ht="23.25" hidden="false" customHeight="true" outlineLevel="0" collapsed="false">
      <c r="B101" s="67" t="str">
        <f aca="false">IFERROR(INDEX(分录报销!$M:$M,MATCH($L101,分录报销!$L:$L,0)),"")</f>
        <v/>
      </c>
      <c r="C101" s="67"/>
      <c r="D101" s="23" t="str">
        <f aca="false">IFERROR(INDEX(分录报销!$E:$E,MATCH($L101,分录报销!$L:$L,0)),"")</f>
        <v/>
      </c>
      <c r="E101" s="23" t="str">
        <f aca="false">IFERROR(INDEX(分录报销!$F:$F,MATCH($L101,分录报销!$L:$L,0)),"")</f>
        <v/>
      </c>
      <c r="F101" s="68" t="str">
        <f aca="false">IFERROR(INDEX(分录报销!$H:$H,MATCH($L101,分录报销!$L:$L,0)),"")</f>
        <v/>
      </c>
      <c r="G101" s="69" t="str">
        <f aca="false">IFERROR(INDEX(分录报销!$I:$I,MATCH($L101,分录报销!$L:$L,0)),"")</f>
        <v/>
      </c>
      <c r="H101" s="23"/>
      <c r="I101" s="70"/>
      <c r="L101" s="71" t="n">
        <f aca="false">IF(助手报销!$R$8="",-1,助手报销!$R$8*100+(助手报销!$S$8-1)*6+6)</f>
        <v>706</v>
      </c>
    </row>
    <row r="102" customFormat="false" ht="23.25" hidden="false" customHeight="true" outlineLevel="0" collapsed="false">
      <c r="B102" s="72" t="str">
        <f aca="false">IF(助手报销!$T$8=1,"合计：","")</f>
        <v>合计：</v>
      </c>
      <c r="C102" s="73" t="n">
        <f aca="false">IF(助手报销!$T$8=1,$F102,"")</f>
        <v>881.4</v>
      </c>
      <c r="D102" s="74"/>
      <c r="E102" s="74"/>
      <c r="F102" s="75" t="n">
        <f aca="false">IF(助手报销!$T$8=1,INDEX(助手报销!$N$2:$N$121,助手报销!$R$8),"")</f>
        <v>881.4</v>
      </c>
      <c r="G102" s="76" t="n">
        <f aca="false">IF(助手报销!$T$8=1,INDEX(助手报销!$O$2:$O$121,助手报销!$R$8),"")</f>
        <v>881.4</v>
      </c>
      <c r="H102" s="74"/>
      <c r="I102" s="77"/>
    </row>
    <row r="103" customFormat="false" ht="6" hidden="false" customHeight="true" outlineLevel="0" collapsed="false"/>
    <row r="104" customFormat="false" ht="13.5" hidden="false" customHeight="false" outlineLevel="0" collapsed="false">
      <c r="B104" s="78" t="str">
        <f aca="false">IF(助手报销!$R$8&lt;&gt;"","会计主管：","")</f>
        <v>会计主管：</v>
      </c>
      <c r="D104" s="78" t="str">
        <f aca="false">IF(助手报销!$R$8&lt;&gt;"","会计：","")</f>
        <v>会计：</v>
      </c>
      <c r="E104" s="78" t="str">
        <f aca="false">IF(助手报销!$R$8&lt;&gt;"","出纳：","")</f>
        <v>出纳：</v>
      </c>
      <c r="F104" s="78" t="str">
        <f aca="false">IF(助手报销!$R$8&lt;&gt;"","复核：","")</f>
        <v>复核：</v>
      </c>
      <c r="G104" s="78" t="str">
        <f aca="false">IF(助手报销!$R$8&lt;&gt;"","制单：","")</f>
        <v>制单：</v>
      </c>
    </row>
    <row r="105" customFormat="false" ht="3" hidden="false" customHeight="true" outlineLevel="0" collapsed="false"/>
    <row r="106" customFormat="false" ht="19.5" hidden="false" customHeight="true" outlineLevel="0" collapsed="false">
      <c r="B106" s="53" t="str">
        <f aca="false">IF(助手报销!$R$9&lt;&gt;"","记  账  凭  证","")</f>
        <v>记  账  凭  证</v>
      </c>
      <c r="C106" s="53"/>
      <c r="D106" s="53"/>
      <c r="E106" s="53"/>
      <c r="F106" s="53"/>
      <c r="G106" s="53"/>
      <c r="H106" s="53"/>
      <c r="I106" s="53"/>
    </row>
    <row r="107" customFormat="false" ht="3" hidden="false" customHeight="true" outlineLevel="0" collapsed="false"/>
    <row r="108" customFormat="false" ht="15" hidden="false" customHeight="true" outlineLevel="0" collapsed="false">
      <c r="C108" s="56" t="str">
        <f aca="false">IF(助手报销!$R$9&lt;&gt;"",INDEX(助手报销!$B$2:$B$121,助手报销!$R$9),"")</f>
        <v/>
      </c>
      <c r="D108" s="57" t="n">
        <f aca="false">IF(助手报销!$R$9&lt;&gt;"",INDEX(助手报销!$D$2:$D$121,助手报销!$R$9),"")</f>
        <v>46265</v>
      </c>
      <c r="E108" s="57"/>
      <c r="F108" s="58" t="str">
        <f aca="false">IF(助手报销!$R$9&lt;&gt;"",INDEX(助手报销!$C$2:$C$121,助手报销!$R$9)&amp;"  字第 "&amp;IF(参数!$B$9="是",INDEX(助手报销!$P$2:$P$121,助手报销!$R$9),"　　　　")&amp;" 号"&amp;IF(INDEX(助手报销!$L$2:$L$121,助手报销!$R$9)&gt;1,"  (共"&amp;INDEX(助手报销!$L$2:$L$121,助手报销!$R$9)&amp;"页 第"&amp;助手报销!$S$9&amp;"页)",""),"")</f>
        <v>大霍店  字第 　　　　 号</v>
      </c>
      <c r="G108" s="58"/>
      <c r="H108" s="58"/>
      <c r="I108" s="58"/>
      <c r="M108" s="59" t="n">
        <f aca="false">IF(助手报销!$R$9="","",助手报销!$Q$9)</f>
        <v>8</v>
      </c>
      <c r="N108" s="60" t="n">
        <f aca="false">IF(助手报销!$R$9="","",INDEX(助手报销!$P$2:$P$121,助手报销!$R$9))</f>
        <v>8</v>
      </c>
      <c r="O108" s="55" t="str">
        <f aca="false">IF(助手报销!$R$9="","",INDEX(助手报销!$C$2:$C$121,助手报销!$R$9)&amp;"  字第 "&amp;INDEX(助手报销!$P$2:$P$121,助手报销!$R$9)&amp;" 号"&amp;IF(INDEX(助手报销!$L$2:$L$121,助手报销!$R$9)&gt;1,"  (共"&amp;INDEX(助手报销!$L$2:$L$121,助手报销!$R$9)&amp;"页 第"&amp;助手报销!$S$9&amp;"页)",""))</f>
        <v>大霍店  字第 8 号</v>
      </c>
    </row>
    <row r="109" customFormat="false" ht="12.75" hidden="false" customHeight="true" outlineLevel="0" collapsed="false">
      <c r="B109" s="61" t="str">
        <f aca="false">IF(助手报销!$R$9&lt;&gt;"","摘　　要","")</f>
        <v>摘　　要</v>
      </c>
      <c r="C109" s="61"/>
      <c r="D109" s="62" t="str">
        <f aca="false">IF(助手报销!$R$9&lt;&gt;"","科　　　　目","")</f>
        <v>科　　　　目</v>
      </c>
      <c r="E109" s="62"/>
      <c r="F109" s="61" t="str">
        <f aca="false">IF(助手报销!$R$9&lt;&gt;"","借 方 金 额","")</f>
        <v>借 方 金 额</v>
      </c>
      <c r="G109" s="62" t="str">
        <f aca="false">IF(助手报销!$R$9&lt;&gt;"","贷 方 金 额","")</f>
        <v>贷 方 金 额</v>
      </c>
      <c r="H109" s="63" t="str">
        <f aca="false">IF(助手报销!$R$9&lt;&gt;"","√","")</f>
        <v>√</v>
      </c>
      <c r="I109" s="64" t="str">
        <f aca="false">IF(助手报销!$R$9&lt;&gt;"","附单据  张","")</f>
        <v>附单据  张</v>
      </c>
    </row>
    <row r="110" customFormat="false" ht="12.75" hidden="false" customHeight="true" outlineLevel="0" collapsed="false">
      <c r="B110" s="61"/>
      <c r="C110" s="61"/>
      <c r="D110" s="23" t="str">
        <f aca="false">IF(助手报销!$R$9&lt;&gt;"","总 账 科 目","")</f>
        <v>总 账 科 目</v>
      </c>
      <c r="E110" s="23" t="str">
        <f aca="false">IF(助手报销!$R$9&lt;&gt;"","明 细 科 目","")</f>
        <v>明 细 科 目</v>
      </c>
      <c r="F110" s="65"/>
      <c r="G110" s="66"/>
      <c r="H110" s="63"/>
      <c r="I110" s="64"/>
    </row>
    <row r="111" customFormat="false" ht="23.25" hidden="false" customHeight="true" outlineLevel="0" collapsed="false">
      <c r="B111" s="67" t="str">
        <f aca="false">IFERROR(INDEX(分录报销!$M:$M,MATCH($L111,分录报销!$L:$L,0)),"")</f>
        <v>水费</v>
      </c>
      <c r="C111" s="67"/>
      <c r="D111" s="23" t="str">
        <f aca="false">IFERROR(INDEX(分录报销!$E:$E,MATCH($L111,分录报销!$L:$L,0)),"")</f>
        <v>销售费用</v>
      </c>
      <c r="E111" s="23" t="str">
        <f aca="false">IFERROR(INDEX(分录报销!$F:$F,MATCH($L111,分录报销!$L:$L,0)),"")</f>
        <v>水费</v>
      </c>
      <c r="F111" s="68" t="n">
        <f aca="false">IFERROR(INDEX(分录报销!$H:$H,MATCH($L111,分录报销!$L:$L,0)),"")</f>
        <v>15</v>
      </c>
      <c r="G111" s="69" t="str">
        <f aca="false">IFERROR(INDEX(分录报销!$I:$I,MATCH($L111,分录报销!$L:$L,0)),"")</f>
        <v/>
      </c>
      <c r="H111" s="23"/>
      <c r="I111" s="70"/>
      <c r="L111" s="71" t="n">
        <f aca="false">IF(助手报销!$R$9="",-1,助手报销!$R$9*100+(助手报销!$S$9-1)*6+1)</f>
        <v>801</v>
      </c>
    </row>
    <row r="112" customFormat="false" ht="23.25" hidden="false" customHeight="true" outlineLevel="0" collapsed="false">
      <c r="B112" s="67" t="str">
        <f aca="false">IFERROR(INDEX(分录报销!$M:$M,MATCH($L112,分录报销!$L:$L,0)),"")</f>
        <v/>
      </c>
      <c r="C112" s="67"/>
      <c r="D112" s="23" t="str">
        <f aca="false">IFERROR(INDEX(分录报销!$E:$E,MATCH($L112,分录报销!$L:$L,0)),"")</f>
        <v>库存现金</v>
      </c>
      <c r="E112" s="23" t="str">
        <f aca="false">IFERROR(INDEX(分录报销!$F:$F,MATCH($L112,分录报销!$L:$L,0)),"")</f>
        <v/>
      </c>
      <c r="F112" s="68" t="str">
        <f aca="false">IFERROR(INDEX(分录报销!$H:$H,MATCH($L112,分录报销!$L:$L,0)),"")</f>
        <v/>
      </c>
      <c r="G112" s="69" t="n">
        <f aca="false">IFERROR(INDEX(分录报销!$I:$I,MATCH($L112,分录报销!$L:$L,0)),"")</f>
        <v>15</v>
      </c>
      <c r="H112" s="23"/>
      <c r="I112" s="70"/>
      <c r="L112" s="71" t="n">
        <f aca="false">IF(助手报销!$R$9="",-1,助手报销!$R$9*100+(助手报销!$S$9-1)*6+2)</f>
        <v>802</v>
      </c>
    </row>
    <row r="113" customFormat="false" ht="23.25" hidden="false" customHeight="true" outlineLevel="0" collapsed="false">
      <c r="B113" s="67" t="str">
        <f aca="false">IFERROR(INDEX(分录报销!$M:$M,MATCH($L113,分录报销!$L:$L,0)),"")</f>
        <v/>
      </c>
      <c r="C113" s="67"/>
      <c r="D113" s="23" t="str">
        <f aca="false">IFERROR(INDEX(分录报销!$E:$E,MATCH($L113,分录报销!$L:$L,0)),"")</f>
        <v/>
      </c>
      <c r="E113" s="23" t="str">
        <f aca="false">IFERROR(INDEX(分录报销!$F:$F,MATCH($L113,分录报销!$L:$L,0)),"")</f>
        <v/>
      </c>
      <c r="F113" s="68" t="str">
        <f aca="false">IFERROR(INDEX(分录报销!$H:$H,MATCH($L113,分录报销!$L:$L,0)),"")</f>
        <v/>
      </c>
      <c r="G113" s="69" t="str">
        <f aca="false">IFERROR(INDEX(分录报销!$I:$I,MATCH($L113,分录报销!$L:$L,0)),"")</f>
        <v/>
      </c>
      <c r="H113" s="23"/>
      <c r="I113" s="70"/>
      <c r="L113" s="71" t="n">
        <f aca="false">IF(助手报销!$R$9="",-1,助手报销!$R$9*100+(助手报销!$S$9-1)*6+3)</f>
        <v>803</v>
      </c>
    </row>
    <row r="114" customFormat="false" ht="23.25" hidden="false" customHeight="true" outlineLevel="0" collapsed="false">
      <c r="B114" s="67" t="str">
        <f aca="false">IFERROR(INDEX(分录报销!$M:$M,MATCH($L114,分录报销!$L:$L,0)),"")</f>
        <v/>
      </c>
      <c r="C114" s="67"/>
      <c r="D114" s="23" t="str">
        <f aca="false">IFERROR(INDEX(分录报销!$E:$E,MATCH($L114,分录报销!$L:$L,0)),"")</f>
        <v/>
      </c>
      <c r="E114" s="23" t="str">
        <f aca="false">IFERROR(INDEX(分录报销!$F:$F,MATCH($L114,分录报销!$L:$L,0)),"")</f>
        <v/>
      </c>
      <c r="F114" s="68" t="str">
        <f aca="false">IFERROR(INDEX(分录报销!$H:$H,MATCH($L114,分录报销!$L:$L,0)),"")</f>
        <v/>
      </c>
      <c r="G114" s="69" t="str">
        <f aca="false">IFERROR(INDEX(分录报销!$I:$I,MATCH($L114,分录报销!$L:$L,0)),"")</f>
        <v/>
      </c>
      <c r="H114" s="23"/>
      <c r="I114" s="70"/>
      <c r="L114" s="71" t="n">
        <f aca="false">IF(助手报销!$R$9="",-1,助手报销!$R$9*100+(助手报销!$S$9-1)*6+4)</f>
        <v>804</v>
      </c>
    </row>
    <row r="115" customFormat="false" ht="23.25" hidden="false" customHeight="true" outlineLevel="0" collapsed="false">
      <c r="B115" s="67" t="str">
        <f aca="false">IFERROR(INDEX(分录报销!$M:$M,MATCH($L115,分录报销!$L:$L,0)),"")</f>
        <v/>
      </c>
      <c r="C115" s="67"/>
      <c r="D115" s="23" t="str">
        <f aca="false">IFERROR(INDEX(分录报销!$E:$E,MATCH($L115,分录报销!$L:$L,0)),"")</f>
        <v/>
      </c>
      <c r="E115" s="23" t="str">
        <f aca="false">IFERROR(INDEX(分录报销!$F:$F,MATCH($L115,分录报销!$L:$L,0)),"")</f>
        <v/>
      </c>
      <c r="F115" s="68" t="str">
        <f aca="false">IFERROR(INDEX(分录报销!$H:$H,MATCH($L115,分录报销!$L:$L,0)),"")</f>
        <v/>
      </c>
      <c r="G115" s="69" t="str">
        <f aca="false">IFERROR(INDEX(分录报销!$I:$I,MATCH($L115,分录报销!$L:$L,0)),"")</f>
        <v/>
      </c>
      <c r="H115" s="23"/>
      <c r="I115" s="70"/>
      <c r="L115" s="71" t="n">
        <f aca="false">IF(助手报销!$R$9="",-1,助手报销!$R$9*100+(助手报销!$S$9-1)*6+5)</f>
        <v>805</v>
      </c>
    </row>
    <row r="116" customFormat="false" ht="23.25" hidden="false" customHeight="true" outlineLevel="0" collapsed="false">
      <c r="B116" s="67" t="str">
        <f aca="false">IFERROR(INDEX(分录报销!$M:$M,MATCH($L116,分录报销!$L:$L,0)),"")</f>
        <v/>
      </c>
      <c r="C116" s="67"/>
      <c r="D116" s="23" t="str">
        <f aca="false">IFERROR(INDEX(分录报销!$E:$E,MATCH($L116,分录报销!$L:$L,0)),"")</f>
        <v/>
      </c>
      <c r="E116" s="23" t="str">
        <f aca="false">IFERROR(INDEX(分录报销!$F:$F,MATCH($L116,分录报销!$L:$L,0)),"")</f>
        <v/>
      </c>
      <c r="F116" s="68" t="str">
        <f aca="false">IFERROR(INDEX(分录报销!$H:$H,MATCH($L116,分录报销!$L:$L,0)),"")</f>
        <v/>
      </c>
      <c r="G116" s="69" t="str">
        <f aca="false">IFERROR(INDEX(分录报销!$I:$I,MATCH($L116,分录报销!$L:$L,0)),"")</f>
        <v/>
      </c>
      <c r="H116" s="23"/>
      <c r="I116" s="70"/>
      <c r="L116" s="71" t="n">
        <f aca="false">IF(助手报销!$R$9="",-1,助手报销!$R$9*100+(助手报销!$S$9-1)*6+6)</f>
        <v>806</v>
      </c>
    </row>
    <row r="117" customFormat="false" ht="23.25" hidden="false" customHeight="true" outlineLevel="0" collapsed="false">
      <c r="B117" s="72" t="str">
        <f aca="false">IF(助手报销!$T$9=1,"合计：","")</f>
        <v>合计：</v>
      </c>
      <c r="C117" s="73" t="n">
        <f aca="false">IF(助手报销!$T$9=1,$F117,"")</f>
        <v>15</v>
      </c>
      <c r="D117" s="74"/>
      <c r="E117" s="74"/>
      <c r="F117" s="75" t="n">
        <f aca="false">IF(助手报销!$T$9=1,INDEX(助手报销!$N$2:$N$121,助手报销!$R$9),"")</f>
        <v>15</v>
      </c>
      <c r="G117" s="76" t="n">
        <f aca="false">IF(助手报销!$T$9=1,INDEX(助手报销!$O$2:$O$121,助手报销!$R$9),"")</f>
        <v>15</v>
      </c>
      <c r="H117" s="74"/>
      <c r="I117" s="77"/>
    </row>
    <row r="118" customFormat="false" ht="6" hidden="false" customHeight="true" outlineLevel="0" collapsed="false"/>
    <row r="119" customFormat="false" ht="13.5" hidden="false" customHeight="false" outlineLevel="0" collapsed="false">
      <c r="B119" s="78" t="str">
        <f aca="false">IF(助手报销!$R$9&lt;&gt;"","会计主管：","")</f>
        <v>会计主管：</v>
      </c>
      <c r="D119" s="78" t="str">
        <f aca="false">IF(助手报销!$R$9&lt;&gt;"","会计：","")</f>
        <v>会计：</v>
      </c>
      <c r="E119" s="78" t="str">
        <f aca="false">IF(助手报销!$R$9&lt;&gt;"","出纳：","")</f>
        <v>出纳：</v>
      </c>
      <c r="F119" s="78" t="str">
        <f aca="false">IF(助手报销!$R$9&lt;&gt;"","复核：","")</f>
        <v>复核：</v>
      </c>
      <c r="G119" s="78" t="str">
        <f aca="false">IF(助手报销!$R$9&lt;&gt;"","制单：","")</f>
        <v>制单：</v>
      </c>
    </row>
    <row r="120" customFormat="false" ht="3" hidden="false" customHeight="true" outlineLevel="0" collapsed="false"/>
    <row r="121" customFormat="false" ht="19.5" hidden="false" customHeight="true" outlineLevel="0" collapsed="false">
      <c r="B121" s="53" t="str">
        <f aca="false">IF(助手报销!$R$10&lt;&gt;"","记  账  凭  证","")</f>
        <v>记  账  凭  证</v>
      </c>
      <c r="C121" s="53"/>
      <c r="D121" s="53"/>
      <c r="E121" s="53"/>
      <c r="F121" s="53"/>
      <c r="G121" s="53"/>
      <c r="H121" s="53"/>
      <c r="I121" s="53"/>
    </row>
    <row r="122" customFormat="false" ht="3" hidden="false" customHeight="true" outlineLevel="0" collapsed="false"/>
    <row r="123" customFormat="false" ht="15" hidden="false" customHeight="true" outlineLevel="0" collapsed="false">
      <c r="C123" s="56" t="str">
        <f aca="false">IF(助手报销!$R$10&lt;&gt;"",INDEX(助手报销!$B$2:$B$121,助手报销!$R$10),"")</f>
        <v/>
      </c>
      <c r="D123" s="57" t="n">
        <f aca="false">IF(助手报销!$R$10&lt;&gt;"",INDEX(助手报销!$D$2:$D$121,助手报销!$R$10),"")</f>
        <v>46265</v>
      </c>
      <c r="E123" s="57"/>
      <c r="F123" s="58" t="str">
        <f aca="false">IF(助手报销!$R$10&lt;&gt;"",INDEX(助手报销!$C$2:$C$121,助手报销!$R$10)&amp;"  字第 "&amp;IF(参数!$B$9="是",INDEX(助手报销!$P$2:$P$121,助手报销!$R$10),"　　　　")&amp;" 号"&amp;IF(INDEX(助手报销!$L$2:$L$121,助手报销!$R$10)&gt;1,"  (共"&amp;INDEX(助手报销!$L$2:$L$121,助手报销!$R$10)&amp;"页 第"&amp;助手报销!$S$10&amp;"页)",""),"")</f>
        <v>莲子镇店  字第 　　　　 号</v>
      </c>
      <c r="G123" s="58"/>
      <c r="H123" s="58"/>
      <c r="I123" s="58"/>
      <c r="M123" s="59" t="n">
        <f aca="false">IF(助手报销!$R$10="","",助手报销!$Q$10)</f>
        <v>9</v>
      </c>
      <c r="N123" s="60" t="n">
        <f aca="false">IF(助手报销!$R$10="","",INDEX(助手报销!$P$2:$P$121,助手报销!$R$10))</f>
        <v>9</v>
      </c>
      <c r="O123" s="55" t="str">
        <f aca="false">IF(助手报销!$R$10="","",INDEX(助手报销!$C$2:$C$121,助手报销!$R$10)&amp;"  字第 "&amp;INDEX(助手报销!$P$2:$P$121,助手报销!$R$10)&amp;" 号"&amp;IF(INDEX(助手报销!$L$2:$L$121,助手报销!$R$10)&gt;1,"  (共"&amp;INDEX(助手报销!$L$2:$L$121,助手报销!$R$10)&amp;"页 第"&amp;助手报销!$S$10&amp;"页)",""))</f>
        <v>莲子镇店  字第 9 号</v>
      </c>
    </row>
    <row r="124" customFormat="false" ht="12.75" hidden="false" customHeight="true" outlineLevel="0" collapsed="false">
      <c r="B124" s="61" t="str">
        <f aca="false">IF(助手报销!$R$10&lt;&gt;"","摘　　要","")</f>
        <v>摘　　要</v>
      </c>
      <c r="C124" s="61"/>
      <c r="D124" s="62" t="str">
        <f aca="false">IF(助手报销!$R$10&lt;&gt;"","科　　　　目","")</f>
        <v>科　　　　目</v>
      </c>
      <c r="E124" s="62"/>
      <c r="F124" s="61" t="str">
        <f aca="false">IF(助手报销!$R$10&lt;&gt;"","借 方 金 额","")</f>
        <v>借 方 金 额</v>
      </c>
      <c r="G124" s="62" t="str">
        <f aca="false">IF(助手报销!$R$10&lt;&gt;"","贷 方 金 额","")</f>
        <v>贷 方 金 额</v>
      </c>
      <c r="H124" s="63" t="str">
        <f aca="false">IF(助手报销!$R$10&lt;&gt;"","√","")</f>
        <v>√</v>
      </c>
      <c r="I124" s="64" t="str">
        <f aca="false">IF(助手报销!$R$10&lt;&gt;"","附单据  张","")</f>
        <v>附单据  张</v>
      </c>
    </row>
    <row r="125" customFormat="false" ht="12.75" hidden="false" customHeight="true" outlineLevel="0" collapsed="false">
      <c r="B125" s="61"/>
      <c r="C125" s="61"/>
      <c r="D125" s="23" t="str">
        <f aca="false">IF(助手报销!$R$10&lt;&gt;"","总 账 科 目","")</f>
        <v>总 账 科 目</v>
      </c>
      <c r="E125" s="23" t="str">
        <f aca="false">IF(助手报销!$R$10&lt;&gt;"","明 细 科 目","")</f>
        <v>明 细 科 目</v>
      </c>
      <c r="F125" s="65"/>
      <c r="G125" s="66"/>
      <c r="H125" s="63"/>
      <c r="I125" s="64"/>
    </row>
    <row r="126" customFormat="false" ht="23.25" hidden="false" customHeight="true" outlineLevel="0" collapsed="false">
      <c r="B126" s="67" t="str">
        <f aca="false">IFERROR(INDEX(分录报销!$M:$M,MATCH($L126,分录报销!$L:$L,0)),"")</f>
        <v>电费</v>
      </c>
      <c r="C126" s="67"/>
      <c r="D126" s="23" t="str">
        <f aca="false">IFERROR(INDEX(分录报销!$E:$E,MATCH($L126,分录报销!$L:$L,0)),"")</f>
        <v>销售费用</v>
      </c>
      <c r="E126" s="23" t="str">
        <f aca="false">IFERROR(INDEX(分录报销!$F:$F,MATCH($L126,分录报销!$L:$L,0)),"")</f>
        <v>电费</v>
      </c>
      <c r="F126" s="68" t="n">
        <f aca="false">IFERROR(INDEX(分录报销!$H:$H,MATCH($L126,分录报销!$L:$L,0)),"")</f>
        <v>600</v>
      </c>
      <c r="G126" s="69" t="str">
        <f aca="false">IFERROR(INDEX(分录报销!$I:$I,MATCH($L126,分录报销!$L:$L,0)),"")</f>
        <v/>
      </c>
      <c r="H126" s="23"/>
      <c r="I126" s="70"/>
      <c r="L126" s="71" t="n">
        <f aca="false">IF(助手报销!$R$10="",-1,助手报销!$R$10*100+(助手报销!$S$10-1)*6+1)</f>
        <v>901</v>
      </c>
    </row>
    <row r="127" customFormat="false" ht="23.25" hidden="false" customHeight="true" outlineLevel="0" collapsed="false">
      <c r="B127" s="67" t="str">
        <f aca="false">IFERROR(INDEX(分录报销!$M:$M,MATCH($L127,分录报销!$L:$L,0)),"")</f>
        <v>插排饮水机阀</v>
      </c>
      <c r="C127" s="67"/>
      <c r="D127" s="23" t="str">
        <f aca="false">IFERROR(INDEX(分录报销!$E:$E,MATCH($L127,分录报销!$L:$L,0)),"")</f>
        <v>销售费用</v>
      </c>
      <c r="E127" s="23" t="str">
        <f aca="false">IFERROR(INDEX(分录报销!$F:$F,MATCH($L127,分录报销!$L:$L,0)),"")</f>
        <v>办公费</v>
      </c>
      <c r="F127" s="68" t="n">
        <f aca="false">IFERROR(INDEX(分录报销!$H:$H,MATCH($L127,分录报销!$L:$L,0)),"")</f>
        <v>50</v>
      </c>
      <c r="G127" s="69" t="str">
        <f aca="false">IFERROR(INDEX(分录报销!$I:$I,MATCH($L127,分录报销!$L:$L,0)),"")</f>
        <v/>
      </c>
      <c r="H127" s="23"/>
      <c r="I127" s="70"/>
      <c r="L127" s="71" t="n">
        <f aca="false">IF(助手报销!$R$10="",-1,助手报销!$R$10*100+(助手报销!$S$10-1)*6+2)</f>
        <v>902</v>
      </c>
    </row>
    <row r="128" customFormat="false" ht="23.25" hidden="false" customHeight="true" outlineLevel="0" collapsed="false">
      <c r="B128" s="67" t="str">
        <f aca="false">IFERROR(INDEX(分录报销!$M:$M,MATCH($L128,分录报销!$L:$L,0)),"")</f>
        <v>水费</v>
      </c>
      <c r="C128" s="67"/>
      <c r="D128" s="23" t="str">
        <f aca="false">IFERROR(INDEX(分录报销!$E:$E,MATCH($L128,分录报销!$L:$L,0)),"")</f>
        <v>销售费用</v>
      </c>
      <c r="E128" s="23" t="str">
        <f aca="false">IFERROR(INDEX(分录报销!$F:$F,MATCH($L128,分录报销!$L:$L,0)),"")</f>
        <v>水费</v>
      </c>
      <c r="F128" s="68" t="n">
        <f aca="false">IFERROR(INDEX(分录报销!$H:$H,MATCH($L128,分录报销!$L:$L,0)),"")</f>
        <v>40</v>
      </c>
      <c r="G128" s="69" t="str">
        <f aca="false">IFERROR(INDEX(分录报销!$I:$I,MATCH($L128,分录报销!$L:$L,0)),"")</f>
        <v/>
      </c>
      <c r="H128" s="23"/>
      <c r="I128" s="70"/>
      <c r="L128" s="71" t="n">
        <f aca="false">IF(助手报销!$R$10="",-1,助手报销!$R$10*100+(助手报销!$S$10-1)*6+3)</f>
        <v>903</v>
      </c>
    </row>
    <row r="129" customFormat="false" ht="23.25" hidden="false" customHeight="true" outlineLevel="0" collapsed="false">
      <c r="B129" s="67" t="str">
        <f aca="false">IFERROR(INDEX(分录报销!$M:$M,MATCH($L129,分录报销!$L:$L,0)),"")</f>
        <v/>
      </c>
      <c r="C129" s="67"/>
      <c r="D129" s="23" t="str">
        <f aca="false">IFERROR(INDEX(分录报销!$E:$E,MATCH($L129,分录报销!$L:$L,0)),"")</f>
        <v>库存现金</v>
      </c>
      <c r="E129" s="23" t="str">
        <f aca="false">IFERROR(INDEX(分录报销!$F:$F,MATCH($L129,分录报销!$L:$L,0)),"")</f>
        <v/>
      </c>
      <c r="F129" s="68" t="str">
        <f aca="false">IFERROR(INDEX(分录报销!$H:$H,MATCH($L129,分录报销!$L:$L,0)),"")</f>
        <v/>
      </c>
      <c r="G129" s="69" t="n">
        <f aca="false">IFERROR(INDEX(分录报销!$I:$I,MATCH($L129,分录报销!$L:$L,0)),"")</f>
        <v>690</v>
      </c>
      <c r="H129" s="23"/>
      <c r="I129" s="70"/>
      <c r="L129" s="71" t="n">
        <f aca="false">IF(助手报销!$R$10="",-1,助手报销!$R$10*100+(助手报销!$S$10-1)*6+4)</f>
        <v>904</v>
      </c>
    </row>
    <row r="130" customFormat="false" ht="23.25" hidden="false" customHeight="true" outlineLevel="0" collapsed="false">
      <c r="B130" s="67" t="str">
        <f aca="false">IFERROR(INDEX(分录报销!$M:$M,MATCH($L130,分录报销!$L:$L,0)),"")</f>
        <v/>
      </c>
      <c r="C130" s="67"/>
      <c r="D130" s="23" t="str">
        <f aca="false">IFERROR(INDEX(分录报销!$E:$E,MATCH($L130,分录报销!$L:$L,0)),"")</f>
        <v/>
      </c>
      <c r="E130" s="23" t="str">
        <f aca="false">IFERROR(INDEX(分录报销!$F:$F,MATCH($L130,分录报销!$L:$L,0)),"")</f>
        <v/>
      </c>
      <c r="F130" s="68" t="str">
        <f aca="false">IFERROR(INDEX(分录报销!$H:$H,MATCH($L130,分录报销!$L:$L,0)),"")</f>
        <v/>
      </c>
      <c r="G130" s="69" t="str">
        <f aca="false">IFERROR(INDEX(分录报销!$I:$I,MATCH($L130,分录报销!$L:$L,0)),"")</f>
        <v/>
      </c>
      <c r="H130" s="23"/>
      <c r="I130" s="70"/>
      <c r="L130" s="71" t="n">
        <f aca="false">IF(助手报销!$R$10="",-1,助手报销!$R$10*100+(助手报销!$S$10-1)*6+5)</f>
        <v>905</v>
      </c>
    </row>
    <row r="131" customFormat="false" ht="23.25" hidden="false" customHeight="true" outlineLevel="0" collapsed="false">
      <c r="B131" s="67" t="str">
        <f aca="false">IFERROR(INDEX(分录报销!$M:$M,MATCH($L131,分录报销!$L:$L,0)),"")</f>
        <v/>
      </c>
      <c r="C131" s="67"/>
      <c r="D131" s="23" t="str">
        <f aca="false">IFERROR(INDEX(分录报销!$E:$E,MATCH($L131,分录报销!$L:$L,0)),"")</f>
        <v/>
      </c>
      <c r="E131" s="23" t="str">
        <f aca="false">IFERROR(INDEX(分录报销!$F:$F,MATCH($L131,分录报销!$L:$L,0)),"")</f>
        <v/>
      </c>
      <c r="F131" s="68" t="str">
        <f aca="false">IFERROR(INDEX(分录报销!$H:$H,MATCH($L131,分录报销!$L:$L,0)),"")</f>
        <v/>
      </c>
      <c r="G131" s="69" t="str">
        <f aca="false">IFERROR(INDEX(分录报销!$I:$I,MATCH($L131,分录报销!$L:$L,0)),"")</f>
        <v/>
      </c>
      <c r="H131" s="23"/>
      <c r="I131" s="70"/>
      <c r="L131" s="71" t="n">
        <f aca="false">IF(助手报销!$R$10="",-1,助手报销!$R$10*100+(助手报销!$S$10-1)*6+6)</f>
        <v>906</v>
      </c>
    </row>
    <row r="132" customFormat="false" ht="23.25" hidden="false" customHeight="true" outlineLevel="0" collapsed="false">
      <c r="B132" s="72" t="str">
        <f aca="false">IF(助手报销!$T$10=1,"合计：","")</f>
        <v>合计：</v>
      </c>
      <c r="C132" s="73" t="n">
        <f aca="false">IF(助手报销!$T$10=1,$F132,"")</f>
        <v>690</v>
      </c>
      <c r="D132" s="74"/>
      <c r="E132" s="74"/>
      <c r="F132" s="75" t="n">
        <f aca="false">IF(助手报销!$T$10=1,INDEX(助手报销!$N$2:$N$121,助手报销!$R$10),"")</f>
        <v>690</v>
      </c>
      <c r="G132" s="76" t="n">
        <f aca="false">IF(助手报销!$T$10=1,INDEX(助手报销!$O$2:$O$121,助手报销!$R$10),"")</f>
        <v>690</v>
      </c>
      <c r="H132" s="74"/>
      <c r="I132" s="77"/>
    </row>
    <row r="133" customFormat="false" ht="6" hidden="false" customHeight="true" outlineLevel="0" collapsed="false"/>
    <row r="134" customFormat="false" ht="13.5" hidden="false" customHeight="false" outlineLevel="0" collapsed="false">
      <c r="B134" s="78" t="str">
        <f aca="false">IF(助手报销!$R$10&lt;&gt;"","会计主管：","")</f>
        <v>会计主管：</v>
      </c>
      <c r="D134" s="78" t="str">
        <f aca="false">IF(助手报销!$R$10&lt;&gt;"","会计：","")</f>
        <v>会计：</v>
      </c>
      <c r="E134" s="78" t="str">
        <f aca="false">IF(助手报销!$R$10&lt;&gt;"","出纳：","")</f>
        <v>出纳：</v>
      </c>
      <c r="F134" s="78" t="str">
        <f aca="false">IF(助手报销!$R$10&lt;&gt;"","复核：","")</f>
        <v>复核：</v>
      </c>
      <c r="G134" s="78" t="str">
        <f aca="false">IF(助手报销!$R$10&lt;&gt;"","制单：","")</f>
        <v>制单：</v>
      </c>
    </row>
    <row r="135" customFormat="false" ht="3" hidden="false" customHeight="true" outlineLevel="0" collapsed="false"/>
    <row r="136" customFormat="false" ht="19.5" hidden="false" customHeight="true" outlineLevel="0" collapsed="false">
      <c r="B136" s="53" t="str">
        <f aca="false">IF(助手报销!$R$11&lt;&gt;"","记  账  凭  证","")</f>
        <v>记  账  凭  证</v>
      </c>
      <c r="C136" s="53"/>
      <c r="D136" s="53"/>
      <c r="E136" s="53"/>
      <c r="F136" s="53"/>
      <c r="G136" s="53"/>
      <c r="H136" s="53"/>
      <c r="I136" s="53"/>
    </row>
    <row r="137" customFormat="false" ht="3" hidden="false" customHeight="true" outlineLevel="0" collapsed="false"/>
    <row r="138" customFormat="false" ht="15" hidden="false" customHeight="true" outlineLevel="0" collapsed="false">
      <c r="C138" s="56" t="str">
        <f aca="false">IF(助手报销!$R$11&lt;&gt;"",INDEX(助手报销!$B$2:$B$121,助手报销!$R$11),"")</f>
        <v/>
      </c>
      <c r="D138" s="57" t="n">
        <f aca="false">IF(助手报销!$R$11&lt;&gt;"",INDEX(助手报销!$D$2:$D$121,助手报销!$R$11),"")</f>
        <v>46265</v>
      </c>
      <c r="E138" s="57"/>
      <c r="F138" s="58" t="str">
        <f aca="false">IF(助手报销!$R$11&lt;&gt;"",INDEX(助手报销!$C$2:$C$121,助手报销!$R$11)&amp;"  字第 "&amp;IF(参数!$B$9="是",INDEX(助手报销!$P$2:$P$121,助手报销!$R$11),"　　　　")&amp;" 号"&amp;IF(INDEX(助手报销!$L$2:$L$121,助手报销!$R$11)&gt;1,"  (共"&amp;INDEX(助手报销!$L$2:$L$121,助手报销!$R$11)&amp;"页 第"&amp;助手报销!$S$11&amp;"页)",""),"")</f>
        <v>毛尔寨店  字第 　　　　 号</v>
      </c>
      <c r="G138" s="58"/>
      <c r="H138" s="58"/>
      <c r="I138" s="58"/>
      <c r="M138" s="59" t="n">
        <f aca="false">IF(助手报销!$R$11="","",助手报销!$Q$11)</f>
        <v>10</v>
      </c>
      <c r="N138" s="60" t="n">
        <f aca="false">IF(助手报销!$R$11="","",INDEX(助手报销!$P$2:$P$121,助手报销!$R$11))</f>
        <v>10</v>
      </c>
      <c r="O138" s="55" t="str">
        <f aca="false">IF(助手报销!$R$11="","",INDEX(助手报销!$C$2:$C$121,助手报销!$R$11)&amp;"  字第 "&amp;INDEX(助手报销!$P$2:$P$121,助手报销!$R$11)&amp;" 号"&amp;IF(INDEX(助手报销!$L$2:$L$121,助手报销!$R$11)&gt;1,"  (共"&amp;INDEX(助手报销!$L$2:$L$121,助手报销!$R$11)&amp;"页 第"&amp;助手报销!$S$11&amp;"页)",""))</f>
        <v>毛尔寨店  字第 10 号</v>
      </c>
    </row>
    <row r="139" customFormat="false" ht="12.75" hidden="false" customHeight="true" outlineLevel="0" collapsed="false">
      <c r="B139" s="61" t="str">
        <f aca="false">IF(助手报销!$R$11&lt;&gt;"","摘　　要","")</f>
        <v>摘　　要</v>
      </c>
      <c r="C139" s="61"/>
      <c r="D139" s="62" t="str">
        <f aca="false">IF(助手报销!$R$11&lt;&gt;"","科　　　　目","")</f>
        <v>科　　　　目</v>
      </c>
      <c r="E139" s="62"/>
      <c r="F139" s="61" t="str">
        <f aca="false">IF(助手报销!$R$11&lt;&gt;"","借 方 金 额","")</f>
        <v>借 方 金 额</v>
      </c>
      <c r="G139" s="62" t="str">
        <f aca="false">IF(助手报销!$R$11&lt;&gt;"","贷 方 金 额","")</f>
        <v>贷 方 金 额</v>
      </c>
      <c r="H139" s="63" t="str">
        <f aca="false">IF(助手报销!$R$11&lt;&gt;"","√","")</f>
        <v>√</v>
      </c>
      <c r="I139" s="64" t="str">
        <f aca="false">IF(助手报销!$R$11&lt;&gt;"","附单据  张","")</f>
        <v>附单据  张</v>
      </c>
    </row>
    <row r="140" customFormat="false" ht="12.75" hidden="false" customHeight="true" outlineLevel="0" collapsed="false">
      <c r="B140" s="61"/>
      <c r="C140" s="61"/>
      <c r="D140" s="23" t="str">
        <f aca="false">IF(助手报销!$R$11&lt;&gt;"","总 账 科 目","")</f>
        <v>总 账 科 目</v>
      </c>
      <c r="E140" s="23" t="str">
        <f aca="false">IF(助手报销!$R$11&lt;&gt;"","明 细 科 目","")</f>
        <v>明 细 科 目</v>
      </c>
      <c r="F140" s="65"/>
      <c r="G140" s="66"/>
      <c r="H140" s="63"/>
      <c r="I140" s="64"/>
    </row>
    <row r="141" customFormat="false" ht="23.25" hidden="false" customHeight="true" outlineLevel="0" collapsed="false">
      <c r="B141" s="67" t="str">
        <f aca="false">IFERROR(INDEX(分录报销!$M:$M,MATCH($L141,分录报销!$L:$L,0)),"")</f>
        <v>电费</v>
      </c>
      <c r="C141" s="67"/>
      <c r="D141" s="23" t="str">
        <f aca="false">IFERROR(INDEX(分录报销!$E:$E,MATCH($L141,分录报销!$L:$L,0)),"")</f>
        <v>销售费用</v>
      </c>
      <c r="E141" s="23" t="str">
        <f aca="false">IFERROR(INDEX(分录报销!$F:$F,MATCH($L141,分录报销!$L:$L,0)),"")</f>
        <v>电费</v>
      </c>
      <c r="F141" s="68" t="n">
        <f aca="false">IFERROR(INDEX(分录报销!$H:$H,MATCH($L141,分录报销!$L:$L,0)),"")</f>
        <v>500</v>
      </c>
      <c r="G141" s="69" t="str">
        <f aca="false">IFERROR(INDEX(分录报销!$I:$I,MATCH($L141,分录报销!$L:$L,0)),"")</f>
        <v/>
      </c>
      <c r="H141" s="23"/>
      <c r="I141" s="70"/>
      <c r="L141" s="71" t="n">
        <f aca="false">IF(助手报销!$R$11="",-1,助手报销!$R$11*100+(助手报销!$S$11-1)*6+1)</f>
        <v>1001</v>
      </c>
    </row>
    <row r="142" customFormat="false" ht="23.25" hidden="false" customHeight="true" outlineLevel="0" collapsed="false">
      <c r="B142" s="67" t="str">
        <f aca="false">IFERROR(INDEX(分录报销!$M:$M,MATCH($L142,分录报销!$L:$L,0)),"")</f>
        <v>慢病用品</v>
      </c>
      <c r="C142" s="67"/>
      <c r="D142" s="23" t="str">
        <f aca="false">IFERROR(INDEX(分录报销!$E:$E,MATCH($L142,分录报销!$L:$L,0)),"")</f>
        <v>销售费用</v>
      </c>
      <c r="E142" s="23" t="str">
        <f aca="false">IFERROR(INDEX(分录报销!$F:$F,MATCH($L142,分录报销!$L:$L,0)),"")</f>
        <v>办公费</v>
      </c>
      <c r="F142" s="68" t="n">
        <f aca="false">IFERROR(INDEX(分录报销!$H:$H,MATCH($L142,分录报销!$L:$L,0)),"")</f>
        <v>89.7</v>
      </c>
      <c r="G142" s="69" t="str">
        <f aca="false">IFERROR(INDEX(分录报销!$I:$I,MATCH($L142,分录报销!$L:$L,0)),"")</f>
        <v/>
      </c>
      <c r="H142" s="23"/>
      <c r="I142" s="70"/>
      <c r="L142" s="71" t="n">
        <f aca="false">IF(助手报销!$R$11="",-1,助手报销!$R$11*100+(助手报销!$S$11-1)*6+2)</f>
        <v>1002</v>
      </c>
    </row>
    <row r="143" customFormat="false" ht="23.25" hidden="false" customHeight="true" outlineLevel="0" collapsed="false">
      <c r="B143" s="67" t="str">
        <f aca="false">IFERROR(INDEX(分录报销!$M:$M,MATCH($L143,分录报销!$L:$L,0)),"")</f>
        <v>电话费</v>
      </c>
      <c r="C143" s="67"/>
      <c r="D143" s="23" t="str">
        <f aca="false">IFERROR(INDEX(分录报销!$E:$E,MATCH($L143,分录报销!$L:$L,0)),"")</f>
        <v>销售费用</v>
      </c>
      <c r="E143" s="23" t="str">
        <f aca="false">IFERROR(INDEX(分录报销!$F:$F,MATCH($L143,分录报销!$L:$L,0)),"")</f>
        <v>电话费</v>
      </c>
      <c r="F143" s="68" t="n">
        <f aca="false">IFERROR(INDEX(分录报销!$H:$H,MATCH($L143,分录报销!$L:$L,0)),"")</f>
        <v>100</v>
      </c>
      <c r="G143" s="69" t="str">
        <f aca="false">IFERROR(INDEX(分录报销!$I:$I,MATCH($L143,分录报销!$L:$L,0)),"")</f>
        <v/>
      </c>
      <c r="H143" s="23"/>
      <c r="I143" s="70"/>
      <c r="L143" s="71" t="n">
        <f aca="false">IF(助手报销!$R$11="",-1,助手报销!$R$11*100+(助手报销!$S$11-1)*6+3)</f>
        <v>1003</v>
      </c>
    </row>
    <row r="144" customFormat="false" ht="23.25" hidden="false" customHeight="true" outlineLevel="0" collapsed="false">
      <c r="B144" s="67" t="str">
        <f aca="false">IFERROR(INDEX(分录报销!$M:$M,MATCH($L144,分录报销!$L:$L,0)),"")</f>
        <v>维修打印机</v>
      </c>
      <c r="C144" s="67"/>
      <c r="D144" s="23" t="str">
        <f aca="false">IFERROR(INDEX(分录报销!$E:$E,MATCH($L144,分录报销!$L:$L,0)),"")</f>
        <v>销售费用</v>
      </c>
      <c r="E144" s="23" t="str">
        <f aca="false">IFERROR(INDEX(分录报销!$F:$F,MATCH($L144,分录报销!$L:$L,0)),"")</f>
        <v>办公费</v>
      </c>
      <c r="F144" s="68" t="n">
        <f aca="false">IFERROR(INDEX(分录报销!$H:$H,MATCH($L144,分录报销!$L:$L,0)),"")</f>
        <v>60</v>
      </c>
      <c r="G144" s="69" t="str">
        <f aca="false">IFERROR(INDEX(分录报销!$I:$I,MATCH($L144,分录报销!$L:$L,0)),"")</f>
        <v/>
      </c>
      <c r="H144" s="23"/>
      <c r="I144" s="70"/>
      <c r="L144" s="71" t="n">
        <f aca="false">IF(助手报销!$R$11="",-1,助手报销!$R$11*100+(助手报销!$S$11-1)*6+4)</f>
        <v>1004</v>
      </c>
    </row>
    <row r="145" customFormat="false" ht="23.25" hidden="false" customHeight="true" outlineLevel="0" collapsed="false">
      <c r="B145" s="67" t="str">
        <f aca="false">IFERROR(INDEX(分录报销!$M:$M,MATCH($L145,分录报销!$L:$L,0)),"")</f>
        <v/>
      </c>
      <c r="C145" s="67"/>
      <c r="D145" s="23" t="str">
        <f aca="false">IFERROR(INDEX(分录报销!$E:$E,MATCH($L145,分录报销!$L:$L,0)),"")</f>
        <v>库存现金</v>
      </c>
      <c r="E145" s="23" t="str">
        <f aca="false">IFERROR(INDEX(分录报销!$F:$F,MATCH($L145,分录报销!$L:$L,0)),"")</f>
        <v/>
      </c>
      <c r="F145" s="68" t="str">
        <f aca="false">IFERROR(INDEX(分录报销!$H:$H,MATCH($L145,分录报销!$L:$L,0)),"")</f>
        <v/>
      </c>
      <c r="G145" s="69" t="n">
        <f aca="false">IFERROR(INDEX(分录报销!$I:$I,MATCH($L145,分录报销!$L:$L,0)),"")</f>
        <v>749.7</v>
      </c>
      <c r="H145" s="23"/>
      <c r="I145" s="70"/>
      <c r="L145" s="71" t="n">
        <f aca="false">IF(助手报销!$R$11="",-1,助手报销!$R$11*100+(助手报销!$S$11-1)*6+5)</f>
        <v>1005</v>
      </c>
    </row>
    <row r="146" customFormat="false" ht="23.25" hidden="false" customHeight="true" outlineLevel="0" collapsed="false">
      <c r="B146" s="67" t="str">
        <f aca="false">IFERROR(INDEX(分录报销!$M:$M,MATCH($L146,分录报销!$L:$L,0)),"")</f>
        <v/>
      </c>
      <c r="C146" s="67"/>
      <c r="D146" s="23" t="str">
        <f aca="false">IFERROR(INDEX(分录报销!$E:$E,MATCH($L146,分录报销!$L:$L,0)),"")</f>
        <v/>
      </c>
      <c r="E146" s="23" t="str">
        <f aca="false">IFERROR(INDEX(分录报销!$F:$F,MATCH($L146,分录报销!$L:$L,0)),"")</f>
        <v/>
      </c>
      <c r="F146" s="68" t="str">
        <f aca="false">IFERROR(INDEX(分录报销!$H:$H,MATCH($L146,分录报销!$L:$L,0)),"")</f>
        <v/>
      </c>
      <c r="G146" s="69" t="str">
        <f aca="false">IFERROR(INDEX(分录报销!$I:$I,MATCH($L146,分录报销!$L:$L,0)),"")</f>
        <v/>
      </c>
      <c r="H146" s="23"/>
      <c r="I146" s="70"/>
      <c r="L146" s="71" t="n">
        <f aca="false">IF(助手报销!$R$11="",-1,助手报销!$R$11*100+(助手报销!$S$11-1)*6+6)</f>
        <v>1006</v>
      </c>
    </row>
    <row r="147" customFormat="false" ht="23.25" hidden="false" customHeight="true" outlineLevel="0" collapsed="false">
      <c r="B147" s="72" t="str">
        <f aca="false">IF(助手报销!$T$11=1,"合计：","")</f>
        <v>合计：</v>
      </c>
      <c r="C147" s="73" t="n">
        <f aca="false">IF(助手报销!$T$11=1,$F147,"")</f>
        <v>749.7</v>
      </c>
      <c r="D147" s="74"/>
      <c r="E147" s="74"/>
      <c r="F147" s="75" t="n">
        <f aca="false">IF(助手报销!$T$11=1,INDEX(助手报销!$N$2:$N$121,助手报销!$R$11),"")</f>
        <v>749.7</v>
      </c>
      <c r="G147" s="76" t="n">
        <f aca="false">IF(助手报销!$T$11=1,INDEX(助手报销!$O$2:$O$121,助手报销!$R$11),"")</f>
        <v>749.7</v>
      </c>
      <c r="H147" s="74"/>
      <c r="I147" s="77"/>
    </row>
    <row r="148" customFormat="false" ht="6" hidden="false" customHeight="true" outlineLevel="0" collapsed="false"/>
    <row r="149" customFormat="false" ht="13.5" hidden="false" customHeight="false" outlineLevel="0" collapsed="false">
      <c r="B149" s="78" t="str">
        <f aca="false">IF(助手报销!$R$11&lt;&gt;"","会计主管：","")</f>
        <v>会计主管：</v>
      </c>
      <c r="D149" s="78" t="str">
        <f aca="false">IF(助手报销!$R$11&lt;&gt;"","会计：","")</f>
        <v>会计：</v>
      </c>
      <c r="E149" s="78" t="str">
        <f aca="false">IF(助手报销!$R$11&lt;&gt;"","出纳：","")</f>
        <v>出纳：</v>
      </c>
      <c r="F149" s="78" t="str">
        <f aca="false">IF(助手报销!$R$11&lt;&gt;"","复核：","")</f>
        <v>复核：</v>
      </c>
      <c r="G149" s="78" t="str">
        <f aca="false">IF(助手报销!$R$11&lt;&gt;"","制单：","")</f>
        <v>制单：</v>
      </c>
    </row>
    <row r="150" customFormat="false" ht="3" hidden="false" customHeight="true" outlineLevel="0" collapsed="false"/>
    <row r="151" customFormat="false" ht="19.5" hidden="false" customHeight="true" outlineLevel="0" collapsed="false">
      <c r="B151" s="53" t="str">
        <f aca="false">IF(助手报销!$R$12&lt;&gt;"","记  账  凭  证","")</f>
        <v>记  账  凭  证</v>
      </c>
      <c r="C151" s="53"/>
      <c r="D151" s="53"/>
      <c r="E151" s="53"/>
      <c r="F151" s="53"/>
      <c r="G151" s="53"/>
      <c r="H151" s="53"/>
      <c r="I151" s="53"/>
    </row>
    <row r="152" customFormat="false" ht="3" hidden="false" customHeight="true" outlineLevel="0" collapsed="false"/>
    <row r="153" customFormat="false" ht="15" hidden="false" customHeight="true" outlineLevel="0" collapsed="false">
      <c r="C153" s="56" t="str">
        <f aca="false">IF(助手报销!$R$12&lt;&gt;"",INDEX(助手报销!$B$2:$B$121,助手报销!$R$12),"")</f>
        <v/>
      </c>
      <c r="D153" s="57" t="n">
        <f aca="false">IF(助手报销!$R$12&lt;&gt;"",INDEX(助手报销!$D$2:$D$121,助手报销!$R$12),"")</f>
        <v>46265</v>
      </c>
      <c r="E153" s="57"/>
      <c r="F153" s="58" t="str">
        <f aca="false">IF(助手报销!$R$12&lt;&gt;"",INDEX(助手报销!$C$2:$C$121,助手报销!$R$12)&amp;"  字第 "&amp;IF(参数!$B$9="是",INDEX(助手报销!$P$2:$P$121,助手报销!$R$12),"　　　　")&amp;" 号"&amp;IF(INDEX(助手报销!$L$2:$L$121,助手报销!$R$12)&gt;1,"  (共"&amp;INDEX(助手报销!$L$2:$L$121,助手报销!$R$12)&amp;"页 第"&amp;助手报销!$S$12&amp;"页)",""),"")</f>
        <v>泽畔店  字第 　　　　 号</v>
      </c>
      <c r="G153" s="58"/>
      <c r="H153" s="58"/>
      <c r="I153" s="58"/>
      <c r="M153" s="59" t="n">
        <f aca="false">IF(助手报销!$R$12="","",助手报销!$Q$12)</f>
        <v>11</v>
      </c>
      <c r="N153" s="60" t="n">
        <f aca="false">IF(助手报销!$R$12="","",INDEX(助手报销!$P$2:$P$121,助手报销!$R$12))</f>
        <v>11</v>
      </c>
      <c r="O153" s="55" t="str">
        <f aca="false">IF(助手报销!$R$12="","",INDEX(助手报销!$C$2:$C$121,助手报销!$R$12)&amp;"  字第 "&amp;INDEX(助手报销!$P$2:$P$121,助手报销!$R$12)&amp;" 号"&amp;IF(INDEX(助手报销!$L$2:$L$121,助手报销!$R$12)&gt;1,"  (共"&amp;INDEX(助手报销!$L$2:$L$121,助手报销!$R$12)&amp;"页 第"&amp;助手报销!$S$12&amp;"页)",""))</f>
        <v>泽畔店  字第 11 号</v>
      </c>
    </row>
    <row r="154" customFormat="false" ht="12.75" hidden="false" customHeight="true" outlineLevel="0" collapsed="false">
      <c r="B154" s="61" t="str">
        <f aca="false">IF(助手报销!$R$12&lt;&gt;"","摘　　要","")</f>
        <v>摘　　要</v>
      </c>
      <c r="C154" s="61"/>
      <c r="D154" s="62" t="str">
        <f aca="false">IF(助手报销!$R$12&lt;&gt;"","科　　　　目","")</f>
        <v>科　　　　目</v>
      </c>
      <c r="E154" s="62"/>
      <c r="F154" s="61" t="str">
        <f aca="false">IF(助手报销!$R$12&lt;&gt;"","借 方 金 额","")</f>
        <v>借 方 金 额</v>
      </c>
      <c r="G154" s="62" t="str">
        <f aca="false">IF(助手报销!$R$12&lt;&gt;"","贷 方 金 额","")</f>
        <v>贷 方 金 额</v>
      </c>
      <c r="H154" s="63" t="str">
        <f aca="false">IF(助手报销!$R$12&lt;&gt;"","√","")</f>
        <v>√</v>
      </c>
      <c r="I154" s="64" t="str">
        <f aca="false">IF(助手报销!$R$12&lt;&gt;"","附单据  张","")</f>
        <v>附单据  张</v>
      </c>
    </row>
    <row r="155" customFormat="false" ht="12.75" hidden="false" customHeight="true" outlineLevel="0" collapsed="false">
      <c r="B155" s="61"/>
      <c r="C155" s="61"/>
      <c r="D155" s="23" t="str">
        <f aca="false">IF(助手报销!$R$12&lt;&gt;"","总 账 科 目","")</f>
        <v>总 账 科 目</v>
      </c>
      <c r="E155" s="23" t="str">
        <f aca="false">IF(助手报销!$R$12&lt;&gt;"","明 细 科 目","")</f>
        <v>明 细 科 目</v>
      </c>
      <c r="F155" s="65"/>
      <c r="G155" s="66"/>
      <c r="H155" s="63"/>
      <c r="I155" s="64"/>
    </row>
    <row r="156" customFormat="false" ht="23.25" hidden="false" customHeight="true" outlineLevel="0" collapsed="false">
      <c r="B156" s="67" t="str">
        <f aca="false">IFERROR(INDEX(分录报销!$M:$M,MATCH($L156,分录报销!$L:$L,0)),"")</f>
        <v>电费</v>
      </c>
      <c r="C156" s="67"/>
      <c r="D156" s="23" t="str">
        <f aca="false">IFERROR(INDEX(分录报销!$E:$E,MATCH($L156,分录报销!$L:$L,0)),"")</f>
        <v>销售费用</v>
      </c>
      <c r="E156" s="23" t="str">
        <f aca="false">IFERROR(INDEX(分录报销!$F:$F,MATCH($L156,分录报销!$L:$L,0)),"")</f>
        <v>电费</v>
      </c>
      <c r="F156" s="68" t="n">
        <f aca="false">IFERROR(INDEX(分录报销!$H:$H,MATCH($L156,分录报销!$L:$L,0)),"")</f>
        <v>500</v>
      </c>
      <c r="G156" s="69" t="str">
        <f aca="false">IFERROR(INDEX(分录报销!$I:$I,MATCH($L156,分录报销!$L:$L,0)),"")</f>
        <v/>
      </c>
      <c r="H156" s="23"/>
      <c r="I156" s="70"/>
      <c r="L156" s="71" t="n">
        <f aca="false">IF(助手报销!$R$12="",-1,助手报销!$R$12*100+(助手报销!$S$12-1)*6+1)</f>
        <v>1101</v>
      </c>
    </row>
    <row r="157" customFormat="false" ht="23.25" hidden="false" customHeight="true" outlineLevel="0" collapsed="false">
      <c r="B157" s="67" t="str">
        <f aca="false">IFERROR(INDEX(分录报销!$M:$M,MATCH($L157,分录报销!$L:$L,0)),"")</f>
        <v/>
      </c>
      <c r="C157" s="67"/>
      <c r="D157" s="23" t="str">
        <f aca="false">IFERROR(INDEX(分录报销!$E:$E,MATCH($L157,分录报销!$L:$L,0)),"")</f>
        <v>库存现金</v>
      </c>
      <c r="E157" s="23" t="str">
        <f aca="false">IFERROR(INDEX(分录报销!$F:$F,MATCH($L157,分录报销!$L:$L,0)),"")</f>
        <v/>
      </c>
      <c r="F157" s="68" t="str">
        <f aca="false">IFERROR(INDEX(分录报销!$H:$H,MATCH($L157,分录报销!$L:$L,0)),"")</f>
        <v/>
      </c>
      <c r="G157" s="69" t="n">
        <f aca="false">IFERROR(INDEX(分录报销!$I:$I,MATCH($L157,分录报销!$L:$L,0)),"")</f>
        <v>500</v>
      </c>
      <c r="H157" s="23"/>
      <c r="I157" s="70"/>
      <c r="L157" s="71" t="n">
        <f aca="false">IF(助手报销!$R$12="",-1,助手报销!$R$12*100+(助手报销!$S$12-1)*6+2)</f>
        <v>1102</v>
      </c>
    </row>
    <row r="158" customFormat="false" ht="23.25" hidden="false" customHeight="true" outlineLevel="0" collapsed="false">
      <c r="B158" s="67" t="str">
        <f aca="false">IFERROR(INDEX(分录报销!$M:$M,MATCH($L158,分录报销!$L:$L,0)),"")</f>
        <v/>
      </c>
      <c r="C158" s="67"/>
      <c r="D158" s="23" t="str">
        <f aca="false">IFERROR(INDEX(分录报销!$E:$E,MATCH($L158,分录报销!$L:$L,0)),"")</f>
        <v/>
      </c>
      <c r="E158" s="23" t="str">
        <f aca="false">IFERROR(INDEX(分录报销!$F:$F,MATCH($L158,分录报销!$L:$L,0)),"")</f>
        <v/>
      </c>
      <c r="F158" s="68" t="str">
        <f aca="false">IFERROR(INDEX(分录报销!$H:$H,MATCH($L158,分录报销!$L:$L,0)),"")</f>
        <v/>
      </c>
      <c r="G158" s="69" t="str">
        <f aca="false">IFERROR(INDEX(分录报销!$I:$I,MATCH($L158,分录报销!$L:$L,0)),"")</f>
        <v/>
      </c>
      <c r="H158" s="23"/>
      <c r="I158" s="70"/>
      <c r="L158" s="71" t="n">
        <f aca="false">IF(助手报销!$R$12="",-1,助手报销!$R$12*100+(助手报销!$S$12-1)*6+3)</f>
        <v>1103</v>
      </c>
    </row>
    <row r="159" customFormat="false" ht="23.25" hidden="false" customHeight="true" outlineLevel="0" collapsed="false">
      <c r="B159" s="67" t="str">
        <f aca="false">IFERROR(INDEX(分录报销!$M:$M,MATCH($L159,分录报销!$L:$L,0)),"")</f>
        <v/>
      </c>
      <c r="C159" s="67"/>
      <c r="D159" s="23" t="str">
        <f aca="false">IFERROR(INDEX(分录报销!$E:$E,MATCH($L159,分录报销!$L:$L,0)),"")</f>
        <v/>
      </c>
      <c r="E159" s="23" t="str">
        <f aca="false">IFERROR(INDEX(分录报销!$F:$F,MATCH($L159,分录报销!$L:$L,0)),"")</f>
        <v/>
      </c>
      <c r="F159" s="68" t="str">
        <f aca="false">IFERROR(INDEX(分录报销!$H:$H,MATCH($L159,分录报销!$L:$L,0)),"")</f>
        <v/>
      </c>
      <c r="G159" s="69" t="str">
        <f aca="false">IFERROR(INDEX(分录报销!$I:$I,MATCH($L159,分录报销!$L:$L,0)),"")</f>
        <v/>
      </c>
      <c r="H159" s="23"/>
      <c r="I159" s="70"/>
      <c r="L159" s="71" t="n">
        <f aca="false">IF(助手报销!$R$12="",-1,助手报销!$R$12*100+(助手报销!$S$12-1)*6+4)</f>
        <v>1104</v>
      </c>
    </row>
    <row r="160" customFormat="false" ht="23.25" hidden="false" customHeight="true" outlineLevel="0" collapsed="false">
      <c r="B160" s="67" t="str">
        <f aca="false">IFERROR(INDEX(分录报销!$M:$M,MATCH($L160,分录报销!$L:$L,0)),"")</f>
        <v/>
      </c>
      <c r="C160" s="67"/>
      <c r="D160" s="23" t="str">
        <f aca="false">IFERROR(INDEX(分录报销!$E:$E,MATCH($L160,分录报销!$L:$L,0)),"")</f>
        <v/>
      </c>
      <c r="E160" s="23" t="str">
        <f aca="false">IFERROR(INDEX(分录报销!$F:$F,MATCH($L160,分录报销!$L:$L,0)),"")</f>
        <v/>
      </c>
      <c r="F160" s="68" t="str">
        <f aca="false">IFERROR(INDEX(分录报销!$H:$H,MATCH($L160,分录报销!$L:$L,0)),"")</f>
        <v/>
      </c>
      <c r="G160" s="69" t="str">
        <f aca="false">IFERROR(INDEX(分录报销!$I:$I,MATCH($L160,分录报销!$L:$L,0)),"")</f>
        <v/>
      </c>
      <c r="H160" s="23"/>
      <c r="I160" s="70"/>
      <c r="L160" s="71" t="n">
        <f aca="false">IF(助手报销!$R$12="",-1,助手报销!$R$12*100+(助手报销!$S$12-1)*6+5)</f>
        <v>1105</v>
      </c>
    </row>
    <row r="161" customFormat="false" ht="23.25" hidden="false" customHeight="true" outlineLevel="0" collapsed="false">
      <c r="B161" s="67" t="str">
        <f aca="false">IFERROR(INDEX(分录报销!$M:$M,MATCH($L161,分录报销!$L:$L,0)),"")</f>
        <v/>
      </c>
      <c r="C161" s="67"/>
      <c r="D161" s="23" t="str">
        <f aca="false">IFERROR(INDEX(分录报销!$E:$E,MATCH($L161,分录报销!$L:$L,0)),"")</f>
        <v/>
      </c>
      <c r="E161" s="23" t="str">
        <f aca="false">IFERROR(INDEX(分录报销!$F:$F,MATCH($L161,分录报销!$L:$L,0)),"")</f>
        <v/>
      </c>
      <c r="F161" s="68" t="str">
        <f aca="false">IFERROR(INDEX(分录报销!$H:$H,MATCH($L161,分录报销!$L:$L,0)),"")</f>
        <v/>
      </c>
      <c r="G161" s="69" t="str">
        <f aca="false">IFERROR(INDEX(分录报销!$I:$I,MATCH($L161,分录报销!$L:$L,0)),"")</f>
        <v/>
      </c>
      <c r="H161" s="23"/>
      <c r="I161" s="70"/>
      <c r="L161" s="71" t="n">
        <f aca="false">IF(助手报销!$R$12="",-1,助手报销!$R$12*100+(助手报销!$S$12-1)*6+6)</f>
        <v>1106</v>
      </c>
    </row>
    <row r="162" customFormat="false" ht="23.25" hidden="false" customHeight="true" outlineLevel="0" collapsed="false">
      <c r="B162" s="72" t="str">
        <f aca="false">IF(助手报销!$T$12=1,"合计：","")</f>
        <v>合计：</v>
      </c>
      <c r="C162" s="73" t="n">
        <f aca="false">IF(助手报销!$T$12=1,$F162,"")</f>
        <v>500</v>
      </c>
      <c r="D162" s="74"/>
      <c r="E162" s="74"/>
      <c r="F162" s="75" t="n">
        <f aca="false">IF(助手报销!$T$12=1,INDEX(助手报销!$N$2:$N$121,助手报销!$R$12),"")</f>
        <v>500</v>
      </c>
      <c r="G162" s="76" t="n">
        <f aca="false">IF(助手报销!$T$12=1,INDEX(助手报销!$O$2:$O$121,助手报销!$R$12),"")</f>
        <v>500</v>
      </c>
      <c r="H162" s="74"/>
      <c r="I162" s="77"/>
    </row>
    <row r="163" customFormat="false" ht="6" hidden="false" customHeight="true" outlineLevel="0" collapsed="false"/>
    <row r="164" customFormat="false" ht="13.5" hidden="false" customHeight="false" outlineLevel="0" collapsed="false">
      <c r="B164" s="78" t="str">
        <f aca="false">IF(助手报销!$R$12&lt;&gt;"","会计主管：","")</f>
        <v>会计主管：</v>
      </c>
      <c r="D164" s="78" t="str">
        <f aca="false">IF(助手报销!$R$12&lt;&gt;"","会计：","")</f>
        <v>会计：</v>
      </c>
      <c r="E164" s="78" t="str">
        <f aca="false">IF(助手报销!$R$12&lt;&gt;"","出纳：","")</f>
        <v>出纳：</v>
      </c>
      <c r="F164" s="78" t="str">
        <f aca="false">IF(助手报销!$R$12&lt;&gt;"","复核：","")</f>
        <v>复核：</v>
      </c>
      <c r="G164" s="78" t="str">
        <f aca="false">IF(助手报销!$R$12&lt;&gt;"","制单：","")</f>
        <v>制单：</v>
      </c>
    </row>
    <row r="165" customFormat="false" ht="3" hidden="false" customHeight="true" outlineLevel="0" collapsed="false"/>
    <row r="166" customFormat="false" ht="19.5" hidden="false" customHeight="true" outlineLevel="0" collapsed="false">
      <c r="B166" s="53" t="str">
        <f aca="false">IF(助手报销!$R$13&lt;&gt;"","记  账  凭  证","")</f>
        <v>记  账  凭  证</v>
      </c>
      <c r="C166" s="53"/>
      <c r="D166" s="53"/>
      <c r="E166" s="53"/>
      <c r="F166" s="53"/>
      <c r="G166" s="53"/>
      <c r="H166" s="53"/>
      <c r="I166" s="53"/>
    </row>
    <row r="167" customFormat="false" ht="3" hidden="false" customHeight="true" outlineLevel="0" collapsed="false"/>
    <row r="168" customFormat="false" ht="15" hidden="false" customHeight="true" outlineLevel="0" collapsed="false">
      <c r="C168" s="56" t="str">
        <f aca="false">IF(助手报销!$R$13&lt;&gt;"",INDEX(助手报销!$B$2:$B$121,助手报销!$R$13),"")</f>
        <v/>
      </c>
      <c r="D168" s="57" t="n">
        <f aca="false">IF(助手报销!$R$13&lt;&gt;"",INDEX(助手报销!$D$2:$D$121,助手报销!$R$13),"")</f>
        <v>46265</v>
      </c>
      <c r="E168" s="57"/>
      <c r="F168" s="58" t="str">
        <f aca="false">IF(助手报销!$R$13&lt;&gt;"",INDEX(助手报销!$C$2:$C$121,助手报销!$R$13)&amp;"  字第 "&amp;IF(参数!$B$9="是",INDEX(助手报销!$P$2:$P$121,助手报销!$R$13),"　　　　")&amp;" 号"&amp;IF(INDEX(助手报销!$L$2:$L$121,助手报销!$R$13)&gt;1,"  (共"&amp;INDEX(助手报销!$L$2:$L$121,助手报销!$R$13)&amp;"页 第"&amp;助手报销!$S$13&amp;"页)",""),"")</f>
        <v>博天店  字第 　　　　 号</v>
      </c>
      <c r="G168" s="58"/>
      <c r="H168" s="58"/>
      <c r="I168" s="58"/>
      <c r="M168" s="59" t="n">
        <f aca="false">IF(助手报销!$R$13="","",助手报销!$Q$13)</f>
        <v>12</v>
      </c>
      <c r="N168" s="60" t="n">
        <f aca="false">IF(助手报销!$R$13="","",INDEX(助手报销!$P$2:$P$121,助手报销!$R$13))</f>
        <v>12</v>
      </c>
      <c r="O168" s="55" t="str">
        <f aca="false">IF(助手报销!$R$13="","",INDEX(助手报销!$C$2:$C$121,助手报销!$R$13)&amp;"  字第 "&amp;INDEX(助手报销!$P$2:$P$121,助手报销!$R$13)&amp;" 号"&amp;IF(INDEX(助手报销!$L$2:$L$121,助手报销!$R$13)&gt;1,"  (共"&amp;INDEX(助手报销!$L$2:$L$121,助手报销!$R$13)&amp;"页 第"&amp;助手报销!$S$13&amp;"页)",""))</f>
        <v>博天店  字第 12 号</v>
      </c>
    </row>
    <row r="169" customFormat="false" ht="12.75" hidden="false" customHeight="true" outlineLevel="0" collapsed="false">
      <c r="B169" s="61" t="str">
        <f aca="false">IF(助手报销!$R$13&lt;&gt;"","摘　　要","")</f>
        <v>摘　　要</v>
      </c>
      <c r="C169" s="61"/>
      <c r="D169" s="62" t="str">
        <f aca="false">IF(助手报销!$R$13&lt;&gt;"","科　　　　目","")</f>
        <v>科　　　　目</v>
      </c>
      <c r="E169" s="62"/>
      <c r="F169" s="61" t="str">
        <f aca="false">IF(助手报销!$R$13&lt;&gt;"","借 方 金 额","")</f>
        <v>借 方 金 额</v>
      </c>
      <c r="G169" s="62" t="str">
        <f aca="false">IF(助手报销!$R$13&lt;&gt;"","贷 方 金 额","")</f>
        <v>贷 方 金 额</v>
      </c>
      <c r="H169" s="63" t="str">
        <f aca="false">IF(助手报销!$R$13&lt;&gt;"","√","")</f>
        <v>√</v>
      </c>
      <c r="I169" s="64" t="str">
        <f aca="false">IF(助手报销!$R$13&lt;&gt;"","附单据  张","")</f>
        <v>附单据  张</v>
      </c>
    </row>
    <row r="170" customFormat="false" ht="12.75" hidden="false" customHeight="true" outlineLevel="0" collapsed="false">
      <c r="B170" s="61"/>
      <c r="C170" s="61"/>
      <c r="D170" s="23" t="str">
        <f aca="false">IF(助手报销!$R$13&lt;&gt;"","总 账 科 目","")</f>
        <v>总 账 科 目</v>
      </c>
      <c r="E170" s="23" t="str">
        <f aca="false">IF(助手报销!$R$13&lt;&gt;"","明 细 科 目","")</f>
        <v>明 细 科 目</v>
      </c>
      <c r="F170" s="65"/>
      <c r="G170" s="66"/>
      <c r="H170" s="63"/>
      <c r="I170" s="64"/>
    </row>
    <row r="171" customFormat="false" ht="23.25" hidden="false" customHeight="true" outlineLevel="0" collapsed="false">
      <c r="B171" s="67" t="str">
        <f aca="false">IFERROR(INDEX(分录报销!$M:$M,MATCH($L171,分录报销!$L:$L,0)),"")</f>
        <v>慢病用品</v>
      </c>
      <c r="C171" s="67"/>
      <c r="D171" s="23" t="str">
        <f aca="false">IFERROR(INDEX(分录报销!$E:$E,MATCH($L171,分录报销!$L:$L,0)),"")</f>
        <v>销售费用</v>
      </c>
      <c r="E171" s="23" t="str">
        <f aca="false">IFERROR(INDEX(分录报销!$F:$F,MATCH($L171,分录报销!$L:$L,0)),"")</f>
        <v>办公费</v>
      </c>
      <c r="F171" s="68" t="n">
        <f aca="false">IFERROR(INDEX(分录报销!$H:$H,MATCH($L171,分录报销!$L:$L,0)),"")</f>
        <v>29.9</v>
      </c>
      <c r="G171" s="69" t="str">
        <f aca="false">IFERROR(INDEX(分录报销!$I:$I,MATCH($L171,分录报销!$L:$L,0)),"")</f>
        <v/>
      </c>
      <c r="H171" s="23"/>
      <c r="I171" s="70"/>
      <c r="L171" s="71" t="n">
        <f aca="false">IF(助手报销!$R$13="",-1,助手报销!$R$13*100+(助手报销!$S$13-1)*6+1)</f>
        <v>1201</v>
      </c>
    </row>
    <row r="172" customFormat="false" ht="23.25" hidden="false" customHeight="true" outlineLevel="0" collapsed="false">
      <c r="B172" s="67" t="str">
        <f aca="false">IFERROR(INDEX(分录报销!$M:$M,MATCH($L172,分录报销!$L:$L,0)),"")</f>
        <v/>
      </c>
      <c r="C172" s="67"/>
      <c r="D172" s="23" t="str">
        <f aca="false">IFERROR(INDEX(分录报销!$E:$E,MATCH($L172,分录报销!$L:$L,0)),"")</f>
        <v>库存现金</v>
      </c>
      <c r="E172" s="23" t="str">
        <f aca="false">IFERROR(INDEX(分录报销!$F:$F,MATCH($L172,分录报销!$L:$L,0)),"")</f>
        <v/>
      </c>
      <c r="F172" s="68" t="str">
        <f aca="false">IFERROR(INDEX(分录报销!$H:$H,MATCH($L172,分录报销!$L:$L,0)),"")</f>
        <v/>
      </c>
      <c r="G172" s="69" t="n">
        <f aca="false">IFERROR(INDEX(分录报销!$I:$I,MATCH($L172,分录报销!$L:$L,0)),"")</f>
        <v>29.9</v>
      </c>
      <c r="H172" s="23"/>
      <c r="I172" s="70"/>
      <c r="L172" s="71" t="n">
        <f aca="false">IF(助手报销!$R$13="",-1,助手报销!$R$13*100+(助手报销!$S$13-1)*6+2)</f>
        <v>1202</v>
      </c>
    </row>
    <row r="173" customFormat="false" ht="23.25" hidden="false" customHeight="true" outlineLevel="0" collapsed="false">
      <c r="B173" s="67" t="str">
        <f aca="false">IFERROR(INDEX(分录报销!$M:$M,MATCH($L173,分录报销!$L:$L,0)),"")</f>
        <v/>
      </c>
      <c r="C173" s="67"/>
      <c r="D173" s="23" t="str">
        <f aca="false">IFERROR(INDEX(分录报销!$E:$E,MATCH($L173,分录报销!$L:$L,0)),"")</f>
        <v/>
      </c>
      <c r="E173" s="23" t="str">
        <f aca="false">IFERROR(INDEX(分录报销!$F:$F,MATCH($L173,分录报销!$L:$L,0)),"")</f>
        <v/>
      </c>
      <c r="F173" s="68" t="str">
        <f aca="false">IFERROR(INDEX(分录报销!$H:$H,MATCH($L173,分录报销!$L:$L,0)),"")</f>
        <v/>
      </c>
      <c r="G173" s="69" t="str">
        <f aca="false">IFERROR(INDEX(分录报销!$I:$I,MATCH($L173,分录报销!$L:$L,0)),"")</f>
        <v/>
      </c>
      <c r="H173" s="23"/>
      <c r="I173" s="70"/>
      <c r="L173" s="71" t="n">
        <f aca="false">IF(助手报销!$R$13="",-1,助手报销!$R$13*100+(助手报销!$S$13-1)*6+3)</f>
        <v>1203</v>
      </c>
    </row>
    <row r="174" customFormat="false" ht="23.25" hidden="false" customHeight="true" outlineLevel="0" collapsed="false">
      <c r="B174" s="67" t="str">
        <f aca="false">IFERROR(INDEX(分录报销!$M:$M,MATCH($L174,分录报销!$L:$L,0)),"")</f>
        <v/>
      </c>
      <c r="C174" s="67"/>
      <c r="D174" s="23" t="str">
        <f aca="false">IFERROR(INDEX(分录报销!$E:$E,MATCH($L174,分录报销!$L:$L,0)),"")</f>
        <v/>
      </c>
      <c r="E174" s="23" t="str">
        <f aca="false">IFERROR(INDEX(分录报销!$F:$F,MATCH($L174,分录报销!$L:$L,0)),"")</f>
        <v/>
      </c>
      <c r="F174" s="68" t="str">
        <f aca="false">IFERROR(INDEX(分录报销!$H:$H,MATCH($L174,分录报销!$L:$L,0)),"")</f>
        <v/>
      </c>
      <c r="G174" s="69" t="str">
        <f aca="false">IFERROR(INDEX(分录报销!$I:$I,MATCH($L174,分录报销!$L:$L,0)),"")</f>
        <v/>
      </c>
      <c r="H174" s="23"/>
      <c r="I174" s="70"/>
      <c r="L174" s="71" t="n">
        <f aca="false">IF(助手报销!$R$13="",-1,助手报销!$R$13*100+(助手报销!$S$13-1)*6+4)</f>
        <v>1204</v>
      </c>
    </row>
    <row r="175" customFormat="false" ht="23.25" hidden="false" customHeight="true" outlineLevel="0" collapsed="false">
      <c r="B175" s="67" t="str">
        <f aca="false">IFERROR(INDEX(分录报销!$M:$M,MATCH($L175,分录报销!$L:$L,0)),"")</f>
        <v/>
      </c>
      <c r="C175" s="67"/>
      <c r="D175" s="23" t="str">
        <f aca="false">IFERROR(INDEX(分录报销!$E:$E,MATCH($L175,分录报销!$L:$L,0)),"")</f>
        <v/>
      </c>
      <c r="E175" s="23" t="str">
        <f aca="false">IFERROR(INDEX(分录报销!$F:$F,MATCH($L175,分录报销!$L:$L,0)),"")</f>
        <v/>
      </c>
      <c r="F175" s="68" t="str">
        <f aca="false">IFERROR(INDEX(分录报销!$H:$H,MATCH($L175,分录报销!$L:$L,0)),"")</f>
        <v/>
      </c>
      <c r="G175" s="69" t="str">
        <f aca="false">IFERROR(INDEX(分录报销!$I:$I,MATCH($L175,分录报销!$L:$L,0)),"")</f>
        <v/>
      </c>
      <c r="H175" s="23"/>
      <c r="I175" s="70"/>
      <c r="L175" s="71" t="n">
        <f aca="false">IF(助手报销!$R$13="",-1,助手报销!$R$13*100+(助手报销!$S$13-1)*6+5)</f>
        <v>1205</v>
      </c>
    </row>
    <row r="176" customFormat="false" ht="23.25" hidden="false" customHeight="true" outlineLevel="0" collapsed="false">
      <c r="B176" s="67" t="str">
        <f aca="false">IFERROR(INDEX(分录报销!$M:$M,MATCH($L176,分录报销!$L:$L,0)),"")</f>
        <v/>
      </c>
      <c r="C176" s="67"/>
      <c r="D176" s="23" t="str">
        <f aca="false">IFERROR(INDEX(分录报销!$E:$E,MATCH($L176,分录报销!$L:$L,0)),"")</f>
        <v/>
      </c>
      <c r="E176" s="23" t="str">
        <f aca="false">IFERROR(INDEX(分录报销!$F:$F,MATCH($L176,分录报销!$L:$L,0)),"")</f>
        <v/>
      </c>
      <c r="F176" s="68" t="str">
        <f aca="false">IFERROR(INDEX(分录报销!$H:$H,MATCH($L176,分录报销!$L:$L,0)),"")</f>
        <v/>
      </c>
      <c r="G176" s="69" t="str">
        <f aca="false">IFERROR(INDEX(分录报销!$I:$I,MATCH($L176,分录报销!$L:$L,0)),"")</f>
        <v/>
      </c>
      <c r="H176" s="23"/>
      <c r="I176" s="70"/>
      <c r="L176" s="71" t="n">
        <f aca="false">IF(助手报销!$R$13="",-1,助手报销!$R$13*100+(助手报销!$S$13-1)*6+6)</f>
        <v>1206</v>
      </c>
    </row>
    <row r="177" customFormat="false" ht="23.25" hidden="false" customHeight="true" outlineLevel="0" collapsed="false">
      <c r="B177" s="72" t="str">
        <f aca="false">IF(助手报销!$T$13=1,"合计：","")</f>
        <v>合计：</v>
      </c>
      <c r="C177" s="73" t="n">
        <f aca="false">IF(助手报销!$T$13=1,$F177,"")</f>
        <v>29.9</v>
      </c>
      <c r="D177" s="74"/>
      <c r="E177" s="74"/>
      <c r="F177" s="75" t="n">
        <f aca="false">IF(助手报销!$T$13=1,INDEX(助手报销!$N$2:$N$121,助手报销!$R$13),"")</f>
        <v>29.9</v>
      </c>
      <c r="G177" s="76" t="n">
        <f aca="false">IF(助手报销!$T$13=1,INDEX(助手报销!$O$2:$O$121,助手报销!$R$13),"")</f>
        <v>29.9</v>
      </c>
      <c r="H177" s="74"/>
      <c r="I177" s="77"/>
    </row>
    <row r="178" customFormat="false" ht="6" hidden="false" customHeight="true" outlineLevel="0" collapsed="false"/>
    <row r="179" customFormat="false" ht="13.5" hidden="false" customHeight="false" outlineLevel="0" collapsed="false">
      <c r="B179" s="78" t="str">
        <f aca="false">IF(助手报销!$R$13&lt;&gt;"","会计主管：","")</f>
        <v>会计主管：</v>
      </c>
      <c r="D179" s="78" t="str">
        <f aca="false">IF(助手报销!$R$13&lt;&gt;"","会计：","")</f>
        <v>会计：</v>
      </c>
      <c r="E179" s="78" t="str">
        <f aca="false">IF(助手报销!$R$13&lt;&gt;"","出纳：","")</f>
        <v>出纳：</v>
      </c>
      <c r="F179" s="78" t="str">
        <f aca="false">IF(助手报销!$R$13&lt;&gt;"","复核：","")</f>
        <v>复核：</v>
      </c>
      <c r="G179" s="78" t="str">
        <f aca="false">IF(助手报销!$R$13&lt;&gt;"","制单：","")</f>
        <v>制单：</v>
      </c>
    </row>
    <row r="180" customFormat="false" ht="3" hidden="false" customHeight="true" outlineLevel="0" collapsed="false"/>
    <row r="181" customFormat="false" ht="19.5" hidden="false" customHeight="true" outlineLevel="0" collapsed="false">
      <c r="B181" s="53" t="str">
        <f aca="false">IF(助手报销!$R$14&lt;&gt;"","记  账  凭  证","")</f>
        <v>记  账  凭  证</v>
      </c>
      <c r="C181" s="53"/>
      <c r="D181" s="53"/>
      <c r="E181" s="53"/>
      <c r="F181" s="53"/>
      <c r="G181" s="53"/>
      <c r="H181" s="53"/>
      <c r="I181" s="53"/>
    </row>
    <row r="182" customFormat="false" ht="3" hidden="false" customHeight="true" outlineLevel="0" collapsed="false"/>
    <row r="183" customFormat="false" ht="15" hidden="false" customHeight="true" outlineLevel="0" collapsed="false">
      <c r="C183" s="56" t="str">
        <f aca="false">IF(助手报销!$R$14&lt;&gt;"",INDEX(助手报销!$B$2:$B$121,助手报销!$R$14),"")</f>
        <v/>
      </c>
      <c r="D183" s="57" t="n">
        <f aca="false">IF(助手报销!$R$14&lt;&gt;"",INDEX(助手报销!$D$2:$D$121,助手报销!$R$14),"")</f>
        <v>46265</v>
      </c>
      <c r="E183" s="57"/>
      <c r="F183" s="58" t="str">
        <f aca="false">IF(助手报销!$R$14&lt;&gt;"",INDEX(助手报销!$C$2:$C$121,助手报销!$R$14)&amp;"  字第 "&amp;IF(参数!$B$9="是",INDEX(助手报销!$P$2:$P$121,助手报销!$R$14),"　　　　")&amp;" 号"&amp;IF(INDEX(助手报销!$L$2:$L$121,助手报销!$R$14)&gt;1,"  (共"&amp;INDEX(助手报销!$L$2:$L$121,助手报销!$R$14)&amp;"页 第"&amp;助手报销!$S$14&amp;"页)",""),"")</f>
        <v>魏家庄店  字第 　　　　 号</v>
      </c>
      <c r="G183" s="58"/>
      <c r="H183" s="58"/>
      <c r="I183" s="58"/>
      <c r="M183" s="59" t="n">
        <f aca="false">IF(助手报销!$R$14="","",助手报销!$Q$14)</f>
        <v>13</v>
      </c>
      <c r="N183" s="60" t="n">
        <f aca="false">IF(助手报销!$R$14="","",INDEX(助手报销!$P$2:$P$121,助手报销!$R$14))</f>
        <v>13</v>
      </c>
      <c r="O183" s="55" t="str">
        <f aca="false">IF(助手报销!$R$14="","",INDEX(助手报销!$C$2:$C$121,助手报销!$R$14)&amp;"  字第 "&amp;INDEX(助手报销!$P$2:$P$121,助手报销!$R$14)&amp;" 号"&amp;IF(INDEX(助手报销!$L$2:$L$121,助手报销!$R$14)&gt;1,"  (共"&amp;INDEX(助手报销!$L$2:$L$121,助手报销!$R$14)&amp;"页 第"&amp;助手报销!$S$14&amp;"页)",""))</f>
        <v>魏家庄店  字第 13 号</v>
      </c>
    </row>
    <row r="184" customFormat="false" ht="12.75" hidden="false" customHeight="true" outlineLevel="0" collapsed="false">
      <c r="B184" s="61" t="str">
        <f aca="false">IF(助手报销!$R$14&lt;&gt;"","摘　　要","")</f>
        <v>摘　　要</v>
      </c>
      <c r="C184" s="61"/>
      <c r="D184" s="62" t="str">
        <f aca="false">IF(助手报销!$R$14&lt;&gt;"","科　　　　目","")</f>
        <v>科　　　　目</v>
      </c>
      <c r="E184" s="62"/>
      <c r="F184" s="61" t="str">
        <f aca="false">IF(助手报销!$R$14&lt;&gt;"","借 方 金 额","")</f>
        <v>借 方 金 额</v>
      </c>
      <c r="G184" s="62" t="str">
        <f aca="false">IF(助手报销!$R$14&lt;&gt;"","贷 方 金 额","")</f>
        <v>贷 方 金 额</v>
      </c>
      <c r="H184" s="63" t="str">
        <f aca="false">IF(助手报销!$R$14&lt;&gt;"","√","")</f>
        <v>√</v>
      </c>
      <c r="I184" s="64" t="str">
        <f aca="false">IF(助手报销!$R$14&lt;&gt;"","附单据  张","")</f>
        <v>附单据  张</v>
      </c>
    </row>
    <row r="185" customFormat="false" ht="12.75" hidden="false" customHeight="true" outlineLevel="0" collapsed="false">
      <c r="B185" s="61"/>
      <c r="C185" s="61"/>
      <c r="D185" s="23" t="str">
        <f aca="false">IF(助手报销!$R$14&lt;&gt;"","总 账 科 目","")</f>
        <v>总 账 科 目</v>
      </c>
      <c r="E185" s="23" t="str">
        <f aca="false">IF(助手报销!$R$14&lt;&gt;"","明 细 科 目","")</f>
        <v>明 细 科 目</v>
      </c>
      <c r="F185" s="65"/>
      <c r="G185" s="66"/>
      <c r="H185" s="63"/>
      <c r="I185" s="64"/>
    </row>
    <row r="186" customFormat="false" ht="23.25" hidden="false" customHeight="true" outlineLevel="0" collapsed="false">
      <c r="B186" s="67" t="str">
        <f aca="false">IFERROR(INDEX(分录报销!$M:$M,MATCH($L186,分录报销!$L:$L,0)),"")</f>
        <v>电费</v>
      </c>
      <c r="C186" s="67"/>
      <c r="D186" s="23" t="str">
        <f aca="false">IFERROR(INDEX(分录报销!$E:$E,MATCH($L186,分录报销!$L:$L,0)),"")</f>
        <v>销售费用</v>
      </c>
      <c r="E186" s="23" t="str">
        <f aca="false">IFERROR(INDEX(分录报销!$F:$F,MATCH($L186,分录报销!$L:$L,0)),"")</f>
        <v>电费</v>
      </c>
      <c r="F186" s="68" t="n">
        <f aca="false">IFERROR(INDEX(分录报销!$H:$H,MATCH($L186,分录报销!$L:$L,0)),"")</f>
        <v>600</v>
      </c>
      <c r="G186" s="69" t="str">
        <f aca="false">IFERROR(INDEX(分录报销!$I:$I,MATCH($L186,分录报销!$L:$L,0)),"")</f>
        <v/>
      </c>
      <c r="H186" s="23"/>
      <c r="I186" s="70"/>
      <c r="L186" s="71" t="n">
        <f aca="false">IF(助手报销!$R$14="",-1,助手报销!$R$14*100+(助手报销!$S$14-1)*6+1)</f>
        <v>1301</v>
      </c>
    </row>
    <row r="187" customFormat="false" ht="23.25" hidden="false" customHeight="true" outlineLevel="0" collapsed="false">
      <c r="B187" s="67" t="str">
        <f aca="false">IFERROR(INDEX(分录报销!$M:$M,MATCH($L187,分录报销!$L:$L,0)),"")</f>
        <v>慢病用品</v>
      </c>
      <c r="C187" s="67"/>
      <c r="D187" s="23" t="str">
        <f aca="false">IFERROR(INDEX(分录报销!$E:$E,MATCH($L187,分录报销!$L:$L,0)),"")</f>
        <v>销售费用</v>
      </c>
      <c r="E187" s="23" t="str">
        <f aca="false">IFERROR(INDEX(分录报销!$F:$F,MATCH($L187,分录报销!$L:$L,0)),"")</f>
        <v>办公费</v>
      </c>
      <c r="F187" s="68" t="n">
        <f aca="false">IFERROR(INDEX(分录报销!$H:$H,MATCH($L187,分录报销!$L:$L,0)),"")</f>
        <v>31.4</v>
      </c>
      <c r="G187" s="69" t="str">
        <f aca="false">IFERROR(INDEX(分录报销!$I:$I,MATCH($L187,分录报销!$L:$L,0)),"")</f>
        <v/>
      </c>
      <c r="H187" s="23"/>
      <c r="I187" s="70"/>
      <c r="L187" s="71" t="n">
        <f aca="false">IF(助手报销!$R$14="",-1,助手报销!$R$14*100+(助手报销!$S$14-1)*6+2)</f>
        <v>1302</v>
      </c>
    </row>
    <row r="188" customFormat="false" ht="23.25" hidden="false" customHeight="true" outlineLevel="0" collapsed="false">
      <c r="B188" s="67" t="str">
        <f aca="false">IFERROR(INDEX(分录报销!$M:$M,MATCH($L188,分录报销!$L:$L,0)),"")</f>
        <v/>
      </c>
      <c r="C188" s="67"/>
      <c r="D188" s="23" t="str">
        <f aca="false">IFERROR(INDEX(分录报销!$E:$E,MATCH($L188,分录报销!$L:$L,0)),"")</f>
        <v>库存现金</v>
      </c>
      <c r="E188" s="23" t="str">
        <f aca="false">IFERROR(INDEX(分录报销!$F:$F,MATCH($L188,分录报销!$L:$L,0)),"")</f>
        <v/>
      </c>
      <c r="F188" s="68" t="str">
        <f aca="false">IFERROR(INDEX(分录报销!$H:$H,MATCH($L188,分录报销!$L:$L,0)),"")</f>
        <v/>
      </c>
      <c r="G188" s="69" t="n">
        <f aca="false">IFERROR(INDEX(分录报销!$I:$I,MATCH($L188,分录报销!$L:$L,0)),"")</f>
        <v>631.4</v>
      </c>
      <c r="H188" s="23"/>
      <c r="I188" s="70"/>
      <c r="L188" s="71" t="n">
        <f aca="false">IF(助手报销!$R$14="",-1,助手报销!$R$14*100+(助手报销!$S$14-1)*6+3)</f>
        <v>1303</v>
      </c>
    </row>
    <row r="189" customFormat="false" ht="23.25" hidden="false" customHeight="true" outlineLevel="0" collapsed="false">
      <c r="B189" s="67" t="str">
        <f aca="false">IFERROR(INDEX(分录报销!$M:$M,MATCH($L189,分录报销!$L:$L,0)),"")</f>
        <v/>
      </c>
      <c r="C189" s="67"/>
      <c r="D189" s="23" t="str">
        <f aca="false">IFERROR(INDEX(分录报销!$E:$E,MATCH($L189,分录报销!$L:$L,0)),"")</f>
        <v/>
      </c>
      <c r="E189" s="23" t="str">
        <f aca="false">IFERROR(INDEX(分录报销!$F:$F,MATCH($L189,分录报销!$L:$L,0)),"")</f>
        <v/>
      </c>
      <c r="F189" s="68" t="str">
        <f aca="false">IFERROR(INDEX(分录报销!$H:$H,MATCH($L189,分录报销!$L:$L,0)),"")</f>
        <v/>
      </c>
      <c r="G189" s="69" t="str">
        <f aca="false">IFERROR(INDEX(分录报销!$I:$I,MATCH($L189,分录报销!$L:$L,0)),"")</f>
        <v/>
      </c>
      <c r="H189" s="23"/>
      <c r="I189" s="70"/>
      <c r="L189" s="71" t="n">
        <f aca="false">IF(助手报销!$R$14="",-1,助手报销!$R$14*100+(助手报销!$S$14-1)*6+4)</f>
        <v>1304</v>
      </c>
    </row>
    <row r="190" customFormat="false" ht="23.25" hidden="false" customHeight="true" outlineLevel="0" collapsed="false">
      <c r="B190" s="67" t="str">
        <f aca="false">IFERROR(INDEX(分录报销!$M:$M,MATCH($L190,分录报销!$L:$L,0)),"")</f>
        <v/>
      </c>
      <c r="C190" s="67"/>
      <c r="D190" s="23" t="str">
        <f aca="false">IFERROR(INDEX(分录报销!$E:$E,MATCH($L190,分录报销!$L:$L,0)),"")</f>
        <v/>
      </c>
      <c r="E190" s="23" t="str">
        <f aca="false">IFERROR(INDEX(分录报销!$F:$F,MATCH($L190,分录报销!$L:$L,0)),"")</f>
        <v/>
      </c>
      <c r="F190" s="68" t="str">
        <f aca="false">IFERROR(INDEX(分录报销!$H:$H,MATCH($L190,分录报销!$L:$L,0)),"")</f>
        <v/>
      </c>
      <c r="G190" s="69" t="str">
        <f aca="false">IFERROR(INDEX(分录报销!$I:$I,MATCH($L190,分录报销!$L:$L,0)),"")</f>
        <v/>
      </c>
      <c r="H190" s="23"/>
      <c r="I190" s="70"/>
      <c r="L190" s="71" t="n">
        <f aca="false">IF(助手报销!$R$14="",-1,助手报销!$R$14*100+(助手报销!$S$14-1)*6+5)</f>
        <v>1305</v>
      </c>
    </row>
    <row r="191" customFormat="false" ht="23.25" hidden="false" customHeight="true" outlineLevel="0" collapsed="false">
      <c r="B191" s="67" t="str">
        <f aca="false">IFERROR(INDEX(分录报销!$M:$M,MATCH($L191,分录报销!$L:$L,0)),"")</f>
        <v/>
      </c>
      <c r="C191" s="67"/>
      <c r="D191" s="23" t="str">
        <f aca="false">IFERROR(INDEX(分录报销!$E:$E,MATCH($L191,分录报销!$L:$L,0)),"")</f>
        <v/>
      </c>
      <c r="E191" s="23" t="str">
        <f aca="false">IFERROR(INDEX(分录报销!$F:$F,MATCH($L191,分录报销!$L:$L,0)),"")</f>
        <v/>
      </c>
      <c r="F191" s="68" t="str">
        <f aca="false">IFERROR(INDEX(分录报销!$H:$H,MATCH($L191,分录报销!$L:$L,0)),"")</f>
        <v/>
      </c>
      <c r="G191" s="69" t="str">
        <f aca="false">IFERROR(INDEX(分录报销!$I:$I,MATCH($L191,分录报销!$L:$L,0)),"")</f>
        <v/>
      </c>
      <c r="H191" s="23"/>
      <c r="I191" s="70"/>
      <c r="L191" s="71" t="n">
        <f aca="false">IF(助手报销!$R$14="",-1,助手报销!$R$14*100+(助手报销!$S$14-1)*6+6)</f>
        <v>1306</v>
      </c>
    </row>
    <row r="192" customFormat="false" ht="23.25" hidden="false" customHeight="true" outlineLevel="0" collapsed="false">
      <c r="B192" s="72" t="str">
        <f aca="false">IF(助手报销!$T$14=1,"合计：","")</f>
        <v>合计：</v>
      </c>
      <c r="C192" s="73" t="n">
        <f aca="false">IF(助手报销!$T$14=1,$F192,"")</f>
        <v>631.4</v>
      </c>
      <c r="D192" s="74"/>
      <c r="E192" s="74"/>
      <c r="F192" s="75" t="n">
        <f aca="false">IF(助手报销!$T$14=1,INDEX(助手报销!$N$2:$N$121,助手报销!$R$14),"")</f>
        <v>631.4</v>
      </c>
      <c r="G192" s="76" t="n">
        <f aca="false">IF(助手报销!$T$14=1,INDEX(助手报销!$O$2:$O$121,助手报销!$R$14),"")</f>
        <v>631.4</v>
      </c>
      <c r="H192" s="74"/>
      <c r="I192" s="77"/>
    </row>
    <row r="193" customFormat="false" ht="6" hidden="false" customHeight="true" outlineLevel="0" collapsed="false"/>
    <row r="194" customFormat="false" ht="13.5" hidden="false" customHeight="false" outlineLevel="0" collapsed="false">
      <c r="B194" s="78" t="str">
        <f aca="false">IF(助手报销!$R$14&lt;&gt;"","会计主管：","")</f>
        <v>会计主管：</v>
      </c>
      <c r="D194" s="78" t="str">
        <f aca="false">IF(助手报销!$R$14&lt;&gt;"","会计：","")</f>
        <v>会计：</v>
      </c>
      <c r="E194" s="78" t="str">
        <f aca="false">IF(助手报销!$R$14&lt;&gt;"","出纳：","")</f>
        <v>出纳：</v>
      </c>
      <c r="F194" s="78" t="str">
        <f aca="false">IF(助手报销!$R$14&lt;&gt;"","复核：","")</f>
        <v>复核：</v>
      </c>
      <c r="G194" s="78" t="str">
        <f aca="false">IF(助手报销!$R$14&lt;&gt;"","制单：","")</f>
        <v>制单：</v>
      </c>
    </row>
    <row r="195" customFormat="false" ht="3" hidden="false" customHeight="true" outlineLevel="0" collapsed="false"/>
    <row r="196" customFormat="false" ht="19.5" hidden="false" customHeight="true" outlineLevel="0" collapsed="false">
      <c r="B196" s="53" t="str">
        <f aca="false">IF(助手报销!$R$15&lt;&gt;"","记  账  凭  证","")</f>
        <v>记  账  凭  证</v>
      </c>
      <c r="C196" s="53"/>
      <c r="D196" s="53"/>
      <c r="E196" s="53"/>
      <c r="F196" s="53"/>
      <c r="G196" s="53"/>
      <c r="H196" s="53"/>
      <c r="I196" s="53"/>
    </row>
    <row r="197" customFormat="false" ht="3" hidden="false" customHeight="true" outlineLevel="0" collapsed="false"/>
    <row r="198" customFormat="false" ht="15" hidden="false" customHeight="true" outlineLevel="0" collapsed="false">
      <c r="C198" s="56" t="str">
        <f aca="false">IF(助手报销!$R$15&lt;&gt;"",INDEX(助手报销!$B$2:$B$121,助手报销!$R$15),"")</f>
        <v/>
      </c>
      <c r="D198" s="57" t="n">
        <f aca="false">IF(助手报销!$R$15&lt;&gt;"",INDEX(助手报销!$D$2:$D$121,助手报销!$R$15),"")</f>
        <v>46265</v>
      </c>
      <c r="E198" s="57"/>
      <c r="F198" s="58" t="str">
        <f aca="false">IF(助手报销!$R$15&lt;&gt;"",INDEX(助手报销!$C$2:$C$121,助手报销!$R$15)&amp;"  字第 "&amp;IF(参数!$B$9="是",INDEX(助手报销!$P$2:$P$121,助手报销!$R$15),"　　　　")&amp;" 号"&amp;IF(INDEX(助手报销!$L$2:$L$121,助手报销!$R$15)&gt;1,"  (共"&amp;INDEX(助手报销!$L$2:$L$121,助手报销!$R$15)&amp;"页 第"&amp;助手报销!$S$15&amp;"页)",""),"")</f>
        <v>北楼店  字第 　　　　 号</v>
      </c>
      <c r="G198" s="58"/>
      <c r="H198" s="58"/>
      <c r="I198" s="58"/>
      <c r="M198" s="59" t="n">
        <f aca="false">IF(助手报销!$R$15="","",助手报销!$Q$15)</f>
        <v>14</v>
      </c>
      <c r="N198" s="60" t="n">
        <f aca="false">IF(助手报销!$R$15="","",INDEX(助手报销!$P$2:$P$121,助手报销!$R$15))</f>
        <v>14</v>
      </c>
      <c r="O198" s="55" t="str">
        <f aca="false">IF(助手报销!$R$15="","",INDEX(助手报销!$C$2:$C$121,助手报销!$R$15)&amp;"  字第 "&amp;INDEX(助手报销!$P$2:$P$121,助手报销!$R$15)&amp;" 号"&amp;IF(INDEX(助手报销!$L$2:$L$121,助手报销!$R$15)&gt;1,"  (共"&amp;INDEX(助手报销!$L$2:$L$121,助手报销!$R$15)&amp;"页 第"&amp;助手报销!$S$15&amp;"页)",""))</f>
        <v>北楼店  字第 14 号</v>
      </c>
    </row>
    <row r="199" customFormat="false" ht="12.75" hidden="false" customHeight="true" outlineLevel="0" collapsed="false">
      <c r="B199" s="61" t="str">
        <f aca="false">IF(助手报销!$R$15&lt;&gt;"","摘　　要","")</f>
        <v>摘　　要</v>
      </c>
      <c r="C199" s="61"/>
      <c r="D199" s="62" t="str">
        <f aca="false">IF(助手报销!$R$15&lt;&gt;"","科　　　　目","")</f>
        <v>科　　　　目</v>
      </c>
      <c r="E199" s="62"/>
      <c r="F199" s="61" t="str">
        <f aca="false">IF(助手报销!$R$15&lt;&gt;"","借 方 金 额","")</f>
        <v>借 方 金 额</v>
      </c>
      <c r="G199" s="62" t="str">
        <f aca="false">IF(助手报销!$R$15&lt;&gt;"","贷 方 金 额","")</f>
        <v>贷 方 金 额</v>
      </c>
      <c r="H199" s="63" t="str">
        <f aca="false">IF(助手报销!$R$15&lt;&gt;"","√","")</f>
        <v>√</v>
      </c>
      <c r="I199" s="64" t="str">
        <f aca="false">IF(助手报销!$R$15&lt;&gt;"","附单据  张","")</f>
        <v>附单据  张</v>
      </c>
    </row>
    <row r="200" customFormat="false" ht="12.75" hidden="false" customHeight="true" outlineLevel="0" collapsed="false">
      <c r="B200" s="61"/>
      <c r="C200" s="61"/>
      <c r="D200" s="23" t="str">
        <f aca="false">IF(助手报销!$R$15&lt;&gt;"","总 账 科 目","")</f>
        <v>总 账 科 目</v>
      </c>
      <c r="E200" s="23" t="str">
        <f aca="false">IF(助手报销!$R$15&lt;&gt;"","明 细 科 目","")</f>
        <v>明 细 科 目</v>
      </c>
      <c r="F200" s="65"/>
      <c r="G200" s="66"/>
      <c r="H200" s="63"/>
      <c r="I200" s="64"/>
    </row>
    <row r="201" customFormat="false" ht="23.25" hidden="false" customHeight="true" outlineLevel="0" collapsed="false">
      <c r="B201" s="67" t="str">
        <f aca="false">IFERROR(INDEX(分录报销!$M:$M,MATCH($L201,分录报销!$L:$L,0)),"")</f>
        <v>电费</v>
      </c>
      <c r="C201" s="67"/>
      <c r="D201" s="23" t="str">
        <f aca="false">IFERROR(INDEX(分录报销!$E:$E,MATCH($L201,分录报销!$L:$L,0)),"")</f>
        <v>销售费用</v>
      </c>
      <c r="E201" s="23" t="str">
        <f aca="false">IFERROR(INDEX(分录报销!$F:$F,MATCH($L201,分录报销!$L:$L,0)),"")</f>
        <v>电费</v>
      </c>
      <c r="F201" s="68" t="n">
        <f aca="false">IFERROR(INDEX(分录报销!$H:$H,MATCH($L201,分录报销!$L:$L,0)),"")</f>
        <v>800</v>
      </c>
      <c r="G201" s="69" t="str">
        <f aca="false">IFERROR(INDEX(分录报销!$I:$I,MATCH($L201,分录报销!$L:$L,0)),"")</f>
        <v/>
      </c>
      <c r="H201" s="23"/>
      <c r="I201" s="70"/>
      <c r="L201" s="71" t="n">
        <f aca="false">IF(助手报销!$R$15="",-1,助手报销!$R$15*100+(助手报销!$S$15-1)*6+1)</f>
        <v>1401</v>
      </c>
    </row>
    <row r="202" customFormat="false" ht="23.25" hidden="false" customHeight="true" outlineLevel="0" collapsed="false">
      <c r="B202" s="67" t="str">
        <f aca="false">IFERROR(INDEX(分录报销!$M:$M,MATCH($L202,分录报销!$L:$L,0)),"")</f>
        <v>电话费</v>
      </c>
      <c r="C202" s="67"/>
      <c r="D202" s="23" t="str">
        <f aca="false">IFERROR(INDEX(分录报销!$E:$E,MATCH($L202,分录报销!$L:$L,0)),"")</f>
        <v>销售费用</v>
      </c>
      <c r="E202" s="23" t="str">
        <f aca="false">IFERROR(INDEX(分录报销!$F:$F,MATCH($L202,分录报销!$L:$L,0)),"")</f>
        <v>电话费</v>
      </c>
      <c r="F202" s="68" t="n">
        <f aca="false">IFERROR(INDEX(分录报销!$H:$H,MATCH($L202,分录报销!$L:$L,0)),"")</f>
        <v>100</v>
      </c>
      <c r="G202" s="69" t="str">
        <f aca="false">IFERROR(INDEX(分录报销!$I:$I,MATCH($L202,分录报销!$L:$L,0)),"")</f>
        <v/>
      </c>
      <c r="H202" s="23"/>
      <c r="I202" s="70"/>
      <c r="L202" s="71" t="n">
        <f aca="false">IF(助手报销!$R$15="",-1,助手报销!$R$15*100+(助手报销!$S$15-1)*6+2)</f>
        <v>1402</v>
      </c>
    </row>
    <row r="203" customFormat="false" ht="23.25" hidden="false" customHeight="true" outlineLevel="0" collapsed="false">
      <c r="B203" s="67" t="str">
        <f aca="false">IFERROR(INDEX(分录报销!$M:$M,MATCH($L203,分录报销!$L:$L,0)),"")</f>
        <v>水费</v>
      </c>
      <c r="C203" s="67"/>
      <c r="D203" s="23" t="str">
        <f aca="false">IFERROR(INDEX(分录报销!$E:$E,MATCH($L203,分录报销!$L:$L,0)),"")</f>
        <v>销售费用</v>
      </c>
      <c r="E203" s="23" t="str">
        <f aca="false">IFERROR(INDEX(分录报销!$F:$F,MATCH($L203,分录报销!$L:$L,0)),"")</f>
        <v>水费</v>
      </c>
      <c r="F203" s="68" t="n">
        <f aca="false">IFERROR(INDEX(分录报销!$H:$H,MATCH($L203,分录报销!$L:$L,0)),"")</f>
        <v>8</v>
      </c>
      <c r="G203" s="69" t="str">
        <f aca="false">IFERROR(INDEX(分录报销!$I:$I,MATCH($L203,分录报销!$L:$L,0)),"")</f>
        <v/>
      </c>
      <c r="H203" s="23"/>
      <c r="I203" s="70"/>
      <c r="L203" s="71" t="n">
        <f aca="false">IF(助手报销!$R$15="",-1,助手报销!$R$15*100+(助手报销!$S$15-1)*6+3)</f>
        <v>1403</v>
      </c>
    </row>
    <row r="204" customFormat="false" ht="23.25" hidden="false" customHeight="true" outlineLevel="0" collapsed="false">
      <c r="B204" s="67" t="str">
        <f aca="false">IFERROR(INDEX(分录报销!$M:$M,MATCH($L204,分录报销!$L:$L,0)),"")</f>
        <v/>
      </c>
      <c r="C204" s="67"/>
      <c r="D204" s="23" t="str">
        <f aca="false">IFERROR(INDEX(分录报销!$E:$E,MATCH($L204,分录报销!$L:$L,0)),"")</f>
        <v>库存现金</v>
      </c>
      <c r="E204" s="23" t="str">
        <f aca="false">IFERROR(INDEX(分录报销!$F:$F,MATCH($L204,分录报销!$L:$L,0)),"")</f>
        <v/>
      </c>
      <c r="F204" s="68" t="str">
        <f aca="false">IFERROR(INDEX(分录报销!$H:$H,MATCH($L204,分录报销!$L:$L,0)),"")</f>
        <v/>
      </c>
      <c r="G204" s="69" t="n">
        <f aca="false">IFERROR(INDEX(分录报销!$I:$I,MATCH($L204,分录报销!$L:$L,0)),"")</f>
        <v>908</v>
      </c>
      <c r="H204" s="23"/>
      <c r="I204" s="70"/>
      <c r="L204" s="71" t="n">
        <f aca="false">IF(助手报销!$R$15="",-1,助手报销!$R$15*100+(助手报销!$S$15-1)*6+4)</f>
        <v>1404</v>
      </c>
    </row>
    <row r="205" customFormat="false" ht="23.25" hidden="false" customHeight="true" outlineLevel="0" collapsed="false">
      <c r="B205" s="67" t="str">
        <f aca="false">IFERROR(INDEX(分录报销!$M:$M,MATCH($L205,分录报销!$L:$L,0)),"")</f>
        <v/>
      </c>
      <c r="C205" s="67"/>
      <c r="D205" s="23" t="str">
        <f aca="false">IFERROR(INDEX(分录报销!$E:$E,MATCH($L205,分录报销!$L:$L,0)),"")</f>
        <v/>
      </c>
      <c r="E205" s="23" t="str">
        <f aca="false">IFERROR(INDEX(分录报销!$F:$F,MATCH($L205,分录报销!$L:$L,0)),"")</f>
        <v/>
      </c>
      <c r="F205" s="68" t="str">
        <f aca="false">IFERROR(INDEX(分录报销!$H:$H,MATCH($L205,分录报销!$L:$L,0)),"")</f>
        <v/>
      </c>
      <c r="G205" s="69" t="str">
        <f aca="false">IFERROR(INDEX(分录报销!$I:$I,MATCH($L205,分录报销!$L:$L,0)),"")</f>
        <v/>
      </c>
      <c r="H205" s="23"/>
      <c r="I205" s="70"/>
      <c r="L205" s="71" t="n">
        <f aca="false">IF(助手报销!$R$15="",-1,助手报销!$R$15*100+(助手报销!$S$15-1)*6+5)</f>
        <v>1405</v>
      </c>
    </row>
    <row r="206" customFormat="false" ht="23.25" hidden="false" customHeight="true" outlineLevel="0" collapsed="false">
      <c r="B206" s="67" t="str">
        <f aca="false">IFERROR(INDEX(分录报销!$M:$M,MATCH($L206,分录报销!$L:$L,0)),"")</f>
        <v/>
      </c>
      <c r="C206" s="67"/>
      <c r="D206" s="23" t="str">
        <f aca="false">IFERROR(INDEX(分录报销!$E:$E,MATCH($L206,分录报销!$L:$L,0)),"")</f>
        <v/>
      </c>
      <c r="E206" s="23" t="str">
        <f aca="false">IFERROR(INDEX(分录报销!$F:$F,MATCH($L206,分录报销!$L:$L,0)),"")</f>
        <v/>
      </c>
      <c r="F206" s="68" t="str">
        <f aca="false">IFERROR(INDEX(分录报销!$H:$H,MATCH($L206,分录报销!$L:$L,0)),"")</f>
        <v/>
      </c>
      <c r="G206" s="69" t="str">
        <f aca="false">IFERROR(INDEX(分录报销!$I:$I,MATCH($L206,分录报销!$L:$L,0)),"")</f>
        <v/>
      </c>
      <c r="H206" s="23"/>
      <c r="I206" s="70"/>
      <c r="L206" s="71" t="n">
        <f aca="false">IF(助手报销!$R$15="",-1,助手报销!$R$15*100+(助手报销!$S$15-1)*6+6)</f>
        <v>1406</v>
      </c>
    </row>
    <row r="207" customFormat="false" ht="23.25" hidden="false" customHeight="true" outlineLevel="0" collapsed="false">
      <c r="B207" s="72" t="str">
        <f aca="false">IF(助手报销!$T$15=1,"合计：","")</f>
        <v>合计：</v>
      </c>
      <c r="C207" s="73" t="n">
        <f aca="false">IF(助手报销!$T$15=1,$F207,"")</f>
        <v>908</v>
      </c>
      <c r="D207" s="74"/>
      <c r="E207" s="74"/>
      <c r="F207" s="75" t="n">
        <f aca="false">IF(助手报销!$T$15=1,INDEX(助手报销!$N$2:$N$121,助手报销!$R$15),"")</f>
        <v>908</v>
      </c>
      <c r="G207" s="76" t="n">
        <f aca="false">IF(助手报销!$T$15=1,INDEX(助手报销!$O$2:$O$121,助手报销!$R$15),"")</f>
        <v>908</v>
      </c>
      <c r="H207" s="74"/>
      <c r="I207" s="77"/>
    </row>
    <row r="208" customFormat="false" ht="6" hidden="false" customHeight="true" outlineLevel="0" collapsed="false"/>
    <row r="209" customFormat="false" ht="13.5" hidden="false" customHeight="false" outlineLevel="0" collapsed="false">
      <c r="B209" s="78" t="str">
        <f aca="false">IF(助手报销!$R$15&lt;&gt;"","会计主管：","")</f>
        <v>会计主管：</v>
      </c>
      <c r="D209" s="78" t="str">
        <f aca="false">IF(助手报销!$R$15&lt;&gt;"","会计：","")</f>
        <v>会计：</v>
      </c>
      <c r="E209" s="78" t="str">
        <f aca="false">IF(助手报销!$R$15&lt;&gt;"","出纳：","")</f>
        <v>出纳：</v>
      </c>
      <c r="F209" s="78" t="str">
        <f aca="false">IF(助手报销!$R$15&lt;&gt;"","复核：","")</f>
        <v>复核：</v>
      </c>
      <c r="G209" s="78" t="str">
        <f aca="false">IF(助手报销!$R$15&lt;&gt;"","制单：","")</f>
        <v>制单：</v>
      </c>
    </row>
    <row r="210" customFormat="false" ht="3" hidden="false" customHeight="true" outlineLevel="0" collapsed="false"/>
    <row r="211" customFormat="false" ht="19.5" hidden="false" customHeight="true" outlineLevel="0" collapsed="false">
      <c r="B211" s="53" t="str">
        <f aca="false">IF(助手报销!$R$16&lt;&gt;"","记  账  凭  证","")</f>
        <v>记  账  凭  证</v>
      </c>
      <c r="C211" s="53"/>
      <c r="D211" s="53"/>
      <c r="E211" s="53"/>
      <c r="F211" s="53"/>
      <c r="G211" s="53"/>
      <c r="H211" s="53"/>
      <c r="I211" s="53"/>
    </row>
    <row r="212" customFormat="false" ht="3" hidden="false" customHeight="true" outlineLevel="0" collapsed="false"/>
    <row r="213" customFormat="false" ht="15" hidden="false" customHeight="true" outlineLevel="0" collapsed="false">
      <c r="C213" s="56" t="str">
        <f aca="false">IF(助手报销!$R$16&lt;&gt;"",INDEX(助手报销!$B$2:$B$121,助手报销!$R$16),"")</f>
        <v/>
      </c>
      <c r="D213" s="57" t="n">
        <f aca="false">IF(助手报销!$R$16&lt;&gt;"",INDEX(助手报销!$D$2:$D$121,助手报销!$R$16),"")</f>
        <v>46265</v>
      </c>
      <c r="E213" s="57"/>
      <c r="F213" s="58" t="str">
        <f aca="false">IF(助手报销!$R$16&lt;&gt;"",INDEX(助手报销!$C$2:$C$121,助手报销!$R$16)&amp;"  字第 "&amp;IF(参数!$B$9="是",INDEX(助手报销!$P$2:$P$121,助手报销!$R$16),"　　　　")&amp;" 号"&amp;IF(INDEX(助手报销!$L$2:$L$121,助手报销!$R$16)&gt;1,"  (共"&amp;INDEX(助手报销!$L$2:$L$121,助手报销!$R$16)&amp;"页 第"&amp;助手报销!$S$16&amp;"页)",""),"")</f>
        <v>尹村店  字第 　　　　 号</v>
      </c>
      <c r="G213" s="58"/>
      <c r="H213" s="58"/>
      <c r="I213" s="58"/>
      <c r="M213" s="59" t="n">
        <f aca="false">IF(助手报销!$R$16="","",助手报销!$Q$16)</f>
        <v>15</v>
      </c>
      <c r="N213" s="60" t="n">
        <f aca="false">IF(助手报销!$R$16="","",INDEX(助手报销!$P$2:$P$121,助手报销!$R$16))</f>
        <v>15</v>
      </c>
      <c r="O213" s="55" t="str">
        <f aca="false">IF(助手报销!$R$16="","",INDEX(助手报销!$C$2:$C$121,助手报销!$R$16)&amp;"  字第 "&amp;INDEX(助手报销!$P$2:$P$121,助手报销!$R$16)&amp;" 号"&amp;IF(INDEX(助手报销!$L$2:$L$121,助手报销!$R$16)&gt;1,"  (共"&amp;INDEX(助手报销!$L$2:$L$121,助手报销!$R$16)&amp;"页 第"&amp;助手报销!$S$16&amp;"页)",""))</f>
        <v>尹村店  字第 15 号</v>
      </c>
    </row>
    <row r="214" customFormat="false" ht="12.75" hidden="false" customHeight="true" outlineLevel="0" collapsed="false">
      <c r="B214" s="61" t="str">
        <f aca="false">IF(助手报销!$R$16&lt;&gt;"","摘　　要","")</f>
        <v>摘　　要</v>
      </c>
      <c r="C214" s="61"/>
      <c r="D214" s="62" t="str">
        <f aca="false">IF(助手报销!$R$16&lt;&gt;"","科　　　　目","")</f>
        <v>科　　　　目</v>
      </c>
      <c r="E214" s="62"/>
      <c r="F214" s="61" t="str">
        <f aca="false">IF(助手报销!$R$16&lt;&gt;"","借 方 金 额","")</f>
        <v>借 方 金 额</v>
      </c>
      <c r="G214" s="62" t="str">
        <f aca="false">IF(助手报销!$R$16&lt;&gt;"","贷 方 金 额","")</f>
        <v>贷 方 金 额</v>
      </c>
      <c r="H214" s="63" t="str">
        <f aca="false">IF(助手报销!$R$16&lt;&gt;"","√","")</f>
        <v>√</v>
      </c>
      <c r="I214" s="64" t="str">
        <f aca="false">IF(助手报销!$R$16&lt;&gt;"","附单据  张","")</f>
        <v>附单据  张</v>
      </c>
    </row>
    <row r="215" customFormat="false" ht="12.75" hidden="false" customHeight="true" outlineLevel="0" collapsed="false">
      <c r="B215" s="61"/>
      <c r="C215" s="61"/>
      <c r="D215" s="23" t="str">
        <f aca="false">IF(助手报销!$R$16&lt;&gt;"","总 账 科 目","")</f>
        <v>总 账 科 目</v>
      </c>
      <c r="E215" s="23" t="str">
        <f aca="false">IF(助手报销!$R$16&lt;&gt;"","明 细 科 目","")</f>
        <v>明 细 科 目</v>
      </c>
      <c r="F215" s="65"/>
      <c r="G215" s="66"/>
      <c r="H215" s="63"/>
      <c r="I215" s="64"/>
    </row>
    <row r="216" customFormat="false" ht="23.25" hidden="false" customHeight="true" outlineLevel="0" collapsed="false">
      <c r="B216" s="67" t="str">
        <f aca="false">IFERROR(INDEX(分录报销!$M:$M,MATCH($L216,分录报销!$L:$L,0)),"")</f>
        <v>水费</v>
      </c>
      <c r="C216" s="67"/>
      <c r="D216" s="23" t="str">
        <f aca="false">IFERROR(INDEX(分录报销!$E:$E,MATCH($L216,分录报销!$L:$L,0)),"")</f>
        <v>销售费用</v>
      </c>
      <c r="E216" s="23" t="str">
        <f aca="false">IFERROR(INDEX(分录报销!$F:$F,MATCH($L216,分录报销!$L:$L,0)),"")</f>
        <v>水费</v>
      </c>
      <c r="F216" s="68" t="n">
        <f aca="false">IFERROR(INDEX(分录报销!$H:$H,MATCH($L216,分录报销!$L:$L,0)),"")</f>
        <v>31.7</v>
      </c>
      <c r="G216" s="69" t="str">
        <f aca="false">IFERROR(INDEX(分录报销!$I:$I,MATCH($L216,分录报销!$L:$L,0)),"")</f>
        <v/>
      </c>
      <c r="H216" s="23"/>
      <c r="I216" s="70"/>
      <c r="L216" s="71" t="n">
        <f aca="false">IF(助手报销!$R$16="",-1,助手报销!$R$16*100+(助手报销!$S$16-1)*6+1)</f>
        <v>1501</v>
      </c>
    </row>
    <row r="217" customFormat="false" ht="23.25" hidden="false" customHeight="true" outlineLevel="0" collapsed="false">
      <c r="B217" s="67" t="str">
        <f aca="false">IFERROR(INDEX(分录报销!$M:$M,MATCH($L217,分录报销!$L:$L,0)),"")</f>
        <v>电费</v>
      </c>
      <c r="C217" s="67"/>
      <c r="D217" s="23" t="str">
        <f aca="false">IFERROR(INDEX(分录报销!$E:$E,MATCH($L217,分录报销!$L:$L,0)),"")</f>
        <v>销售费用</v>
      </c>
      <c r="E217" s="23" t="str">
        <f aca="false">IFERROR(INDEX(分录报销!$F:$F,MATCH($L217,分录报销!$L:$L,0)),"")</f>
        <v>电费</v>
      </c>
      <c r="F217" s="68" t="n">
        <f aca="false">IFERROR(INDEX(分录报销!$H:$H,MATCH($L217,分录报销!$L:$L,0)),"")</f>
        <v>400</v>
      </c>
      <c r="G217" s="69" t="str">
        <f aca="false">IFERROR(INDEX(分录报销!$I:$I,MATCH($L217,分录报销!$L:$L,0)),"")</f>
        <v/>
      </c>
      <c r="H217" s="23"/>
      <c r="I217" s="70"/>
      <c r="L217" s="71" t="n">
        <f aca="false">IF(助手报销!$R$16="",-1,助手报销!$R$16*100+(助手报销!$S$16-1)*6+2)</f>
        <v>1502</v>
      </c>
    </row>
    <row r="218" customFormat="false" ht="23.25" hidden="false" customHeight="true" outlineLevel="0" collapsed="false">
      <c r="B218" s="67" t="str">
        <f aca="false">IFERROR(INDEX(分录报销!$M:$M,MATCH($L218,分录报销!$L:$L,0)),"")</f>
        <v>色带慢病用品</v>
      </c>
      <c r="C218" s="67"/>
      <c r="D218" s="23" t="str">
        <f aca="false">IFERROR(INDEX(分录报销!$E:$E,MATCH($L218,分录报销!$L:$L,0)),"")</f>
        <v>销售费用</v>
      </c>
      <c r="E218" s="23" t="str">
        <f aca="false">IFERROR(INDEX(分录报销!$F:$F,MATCH($L218,分录报销!$L:$L,0)),"")</f>
        <v>办公费</v>
      </c>
      <c r="F218" s="68" t="n">
        <f aca="false">IFERROR(INDEX(分录报销!$H:$H,MATCH($L218,分录报销!$L:$L,0)),"")</f>
        <v>48.7</v>
      </c>
      <c r="G218" s="69" t="str">
        <f aca="false">IFERROR(INDEX(分录报销!$I:$I,MATCH($L218,分录报销!$L:$L,0)),"")</f>
        <v/>
      </c>
      <c r="H218" s="23"/>
      <c r="I218" s="70"/>
      <c r="L218" s="71" t="n">
        <f aca="false">IF(助手报销!$R$16="",-1,助手报销!$R$16*100+(助手报销!$S$16-1)*6+3)</f>
        <v>1503</v>
      </c>
    </row>
    <row r="219" customFormat="false" ht="23.25" hidden="false" customHeight="true" outlineLevel="0" collapsed="false">
      <c r="B219" s="67" t="str">
        <f aca="false">IFERROR(INDEX(分录报销!$M:$M,MATCH($L219,分录报销!$L:$L,0)),"")</f>
        <v>修门</v>
      </c>
      <c r="C219" s="67"/>
      <c r="D219" s="23" t="str">
        <f aca="false">IFERROR(INDEX(分录报销!$E:$E,MATCH($L219,分录报销!$L:$L,0)),"")</f>
        <v>销售费用</v>
      </c>
      <c r="E219" s="23" t="str">
        <f aca="false">IFERROR(INDEX(分录报销!$F:$F,MATCH($L219,分录报销!$L:$L,0)),"")</f>
        <v>办公费</v>
      </c>
      <c r="F219" s="68" t="n">
        <f aca="false">IFERROR(INDEX(分录报销!$H:$H,MATCH($L219,分录报销!$L:$L,0)),"")</f>
        <v>20</v>
      </c>
      <c r="G219" s="69" t="str">
        <f aca="false">IFERROR(INDEX(分录报销!$I:$I,MATCH($L219,分录报销!$L:$L,0)),"")</f>
        <v/>
      </c>
      <c r="H219" s="23"/>
      <c r="I219" s="70"/>
      <c r="L219" s="71" t="n">
        <f aca="false">IF(助手报销!$R$16="",-1,助手报销!$R$16*100+(助手报销!$S$16-1)*6+4)</f>
        <v>1504</v>
      </c>
    </row>
    <row r="220" customFormat="false" ht="23.25" hidden="false" customHeight="true" outlineLevel="0" collapsed="false">
      <c r="B220" s="67" t="str">
        <f aca="false">IFERROR(INDEX(分录报销!$M:$M,MATCH($L220,分录报销!$L:$L,0)),"")</f>
        <v/>
      </c>
      <c r="C220" s="67"/>
      <c r="D220" s="23" t="str">
        <f aca="false">IFERROR(INDEX(分录报销!$E:$E,MATCH($L220,分录报销!$L:$L,0)),"")</f>
        <v>库存现金</v>
      </c>
      <c r="E220" s="23" t="str">
        <f aca="false">IFERROR(INDEX(分录报销!$F:$F,MATCH($L220,分录报销!$L:$L,0)),"")</f>
        <v/>
      </c>
      <c r="F220" s="68" t="str">
        <f aca="false">IFERROR(INDEX(分录报销!$H:$H,MATCH($L220,分录报销!$L:$L,0)),"")</f>
        <v/>
      </c>
      <c r="G220" s="69" t="n">
        <f aca="false">IFERROR(INDEX(分录报销!$I:$I,MATCH($L220,分录报销!$L:$L,0)),"")</f>
        <v>500.4</v>
      </c>
      <c r="H220" s="23"/>
      <c r="I220" s="70"/>
      <c r="L220" s="71" t="n">
        <f aca="false">IF(助手报销!$R$16="",-1,助手报销!$R$16*100+(助手报销!$S$16-1)*6+5)</f>
        <v>1505</v>
      </c>
    </row>
    <row r="221" customFormat="false" ht="23.25" hidden="false" customHeight="true" outlineLevel="0" collapsed="false">
      <c r="B221" s="67" t="str">
        <f aca="false">IFERROR(INDEX(分录报销!$M:$M,MATCH($L221,分录报销!$L:$L,0)),"")</f>
        <v/>
      </c>
      <c r="C221" s="67"/>
      <c r="D221" s="23" t="str">
        <f aca="false">IFERROR(INDEX(分录报销!$E:$E,MATCH($L221,分录报销!$L:$L,0)),"")</f>
        <v/>
      </c>
      <c r="E221" s="23" t="str">
        <f aca="false">IFERROR(INDEX(分录报销!$F:$F,MATCH($L221,分录报销!$L:$L,0)),"")</f>
        <v/>
      </c>
      <c r="F221" s="68" t="str">
        <f aca="false">IFERROR(INDEX(分录报销!$H:$H,MATCH($L221,分录报销!$L:$L,0)),"")</f>
        <v/>
      </c>
      <c r="G221" s="69" t="str">
        <f aca="false">IFERROR(INDEX(分录报销!$I:$I,MATCH($L221,分录报销!$L:$L,0)),"")</f>
        <v/>
      </c>
      <c r="H221" s="23"/>
      <c r="I221" s="70"/>
      <c r="L221" s="71" t="n">
        <f aca="false">IF(助手报销!$R$16="",-1,助手报销!$R$16*100+(助手报销!$S$16-1)*6+6)</f>
        <v>1506</v>
      </c>
    </row>
    <row r="222" customFormat="false" ht="23.25" hidden="false" customHeight="true" outlineLevel="0" collapsed="false">
      <c r="B222" s="72" t="str">
        <f aca="false">IF(助手报销!$T$16=1,"合计：","")</f>
        <v>合计：</v>
      </c>
      <c r="C222" s="73" t="n">
        <f aca="false">IF(助手报销!$T$16=1,$F222,"")</f>
        <v>500.4</v>
      </c>
      <c r="D222" s="74"/>
      <c r="E222" s="74"/>
      <c r="F222" s="75" t="n">
        <f aca="false">IF(助手报销!$T$16=1,INDEX(助手报销!$N$2:$N$121,助手报销!$R$16),"")</f>
        <v>500.4</v>
      </c>
      <c r="G222" s="76" t="n">
        <f aca="false">IF(助手报销!$T$16=1,INDEX(助手报销!$O$2:$O$121,助手报销!$R$16),"")</f>
        <v>500.4</v>
      </c>
      <c r="H222" s="74"/>
      <c r="I222" s="77"/>
    </row>
    <row r="223" customFormat="false" ht="6" hidden="false" customHeight="true" outlineLevel="0" collapsed="false"/>
    <row r="224" customFormat="false" ht="13.5" hidden="false" customHeight="false" outlineLevel="0" collapsed="false">
      <c r="B224" s="78" t="str">
        <f aca="false">IF(助手报销!$R$16&lt;&gt;"","会计主管：","")</f>
        <v>会计主管：</v>
      </c>
      <c r="D224" s="78" t="str">
        <f aca="false">IF(助手报销!$R$16&lt;&gt;"","会计：","")</f>
        <v>会计：</v>
      </c>
      <c r="E224" s="78" t="str">
        <f aca="false">IF(助手报销!$R$16&lt;&gt;"","出纳：","")</f>
        <v>出纳：</v>
      </c>
      <c r="F224" s="78" t="str">
        <f aca="false">IF(助手报销!$R$16&lt;&gt;"","复核：","")</f>
        <v>复核：</v>
      </c>
      <c r="G224" s="78" t="str">
        <f aca="false">IF(助手报销!$R$16&lt;&gt;"","制单：","")</f>
        <v>制单：</v>
      </c>
    </row>
    <row r="225" customFormat="false" ht="3" hidden="false" customHeight="true" outlineLevel="0" collapsed="false"/>
    <row r="226" customFormat="false" ht="19.5" hidden="false" customHeight="true" outlineLevel="0" collapsed="false">
      <c r="B226" s="53" t="str">
        <f aca="false">IF(助手报销!$R$17&lt;&gt;"","记  账  凭  证","")</f>
        <v>记  账  凭  证</v>
      </c>
      <c r="C226" s="53"/>
      <c r="D226" s="53"/>
      <c r="E226" s="53"/>
      <c r="F226" s="53"/>
      <c r="G226" s="53"/>
      <c r="H226" s="53"/>
      <c r="I226" s="53"/>
    </row>
    <row r="227" customFormat="false" ht="3" hidden="false" customHeight="true" outlineLevel="0" collapsed="false"/>
    <row r="228" customFormat="false" ht="15" hidden="false" customHeight="true" outlineLevel="0" collapsed="false">
      <c r="C228" s="56" t="str">
        <f aca="false">IF(助手报销!$R$17&lt;&gt;"",INDEX(助手报销!$B$2:$B$121,助手报销!$R$17),"")</f>
        <v/>
      </c>
      <c r="D228" s="57" t="n">
        <f aca="false">IF(助手报销!$R$17&lt;&gt;"",INDEX(助手报销!$D$2:$D$121,助手报销!$R$17),"")</f>
        <v>46265</v>
      </c>
      <c r="E228" s="57"/>
      <c r="F228" s="58" t="str">
        <f aca="false">IF(助手报销!$R$17&lt;&gt;"",INDEX(助手报销!$C$2:$C$121,助手报销!$R$17)&amp;"  字第 "&amp;IF(参数!$B$9="是",INDEX(助手报销!$P$2:$P$121,助手报销!$R$17),"　　　　")&amp;" 号"&amp;IF(INDEX(助手报销!$L$2:$L$121,助手报销!$R$17)&gt;1,"  (共"&amp;INDEX(助手报销!$L$2:$L$121,助手报销!$R$17)&amp;"页 第"&amp;助手报销!$S$17&amp;"页)",""),"")</f>
        <v>高村店  字第 　　　　 号</v>
      </c>
      <c r="G228" s="58"/>
      <c r="H228" s="58"/>
      <c r="I228" s="58"/>
      <c r="M228" s="59" t="n">
        <f aca="false">IF(助手报销!$R$17="","",助手报销!$Q$17)</f>
        <v>16</v>
      </c>
      <c r="N228" s="60" t="n">
        <f aca="false">IF(助手报销!$R$17="","",INDEX(助手报销!$P$2:$P$121,助手报销!$R$17))</f>
        <v>16</v>
      </c>
      <c r="O228" s="55" t="str">
        <f aca="false">IF(助手报销!$R$17="","",INDEX(助手报销!$C$2:$C$121,助手报销!$R$17)&amp;"  字第 "&amp;INDEX(助手报销!$P$2:$P$121,助手报销!$R$17)&amp;" 号"&amp;IF(INDEX(助手报销!$L$2:$L$121,助手报销!$R$17)&gt;1,"  (共"&amp;INDEX(助手报销!$L$2:$L$121,助手报销!$R$17)&amp;"页 第"&amp;助手报销!$S$17&amp;"页)",""))</f>
        <v>高村店  字第 16 号</v>
      </c>
    </row>
    <row r="229" customFormat="false" ht="12.75" hidden="false" customHeight="true" outlineLevel="0" collapsed="false">
      <c r="B229" s="61" t="str">
        <f aca="false">IF(助手报销!$R$17&lt;&gt;"","摘　　要","")</f>
        <v>摘　　要</v>
      </c>
      <c r="C229" s="61"/>
      <c r="D229" s="62" t="str">
        <f aca="false">IF(助手报销!$R$17&lt;&gt;"","科　　　　目","")</f>
        <v>科　　　　目</v>
      </c>
      <c r="E229" s="62"/>
      <c r="F229" s="61" t="str">
        <f aca="false">IF(助手报销!$R$17&lt;&gt;"","借 方 金 额","")</f>
        <v>借 方 金 额</v>
      </c>
      <c r="G229" s="62" t="str">
        <f aca="false">IF(助手报销!$R$17&lt;&gt;"","贷 方 金 额","")</f>
        <v>贷 方 金 额</v>
      </c>
      <c r="H229" s="63" t="str">
        <f aca="false">IF(助手报销!$R$17&lt;&gt;"","√","")</f>
        <v>√</v>
      </c>
      <c r="I229" s="64" t="str">
        <f aca="false">IF(助手报销!$R$17&lt;&gt;"","附单据  张","")</f>
        <v>附单据  张</v>
      </c>
    </row>
    <row r="230" customFormat="false" ht="12.75" hidden="false" customHeight="true" outlineLevel="0" collapsed="false">
      <c r="B230" s="61"/>
      <c r="C230" s="61"/>
      <c r="D230" s="23" t="str">
        <f aca="false">IF(助手报销!$R$17&lt;&gt;"","总 账 科 目","")</f>
        <v>总 账 科 目</v>
      </c>
      <c r="E230" s="23" t="str">
        <f aca="false">IF(助手报销!$R$17&lt;&gt;"","明 细 科 目","")</f>
        <v>明 细 科 目</v>
      </c>
      <c r="F230" s="65"/>
      <c r="G230" s="66"/>
      <c r="H230" s="63"/>
      <c r="I230" s="64"/>
    </row>
    <row r="231" customFormat="false" ht="23.25" hidden="false" customHeight="true" outlineLevel="0" collapsed="false">
      <c r="B231" s="67" t="str">
        <f aca="false">IFERROR(INDEX(分录报销!$M:$M,MATCH($L231,分录报销!$L:$L,0)),"")</f>
        <v>电费</v>
      </c>
      <c r="C231" s="67"/>
      <c r="D231" s="23" t="str">
        <f aca="false">IFERROR(INDEX(分录报销!$E:$E,MATCH($L231,分录报销!$L:$L,0)),"")</f>
        <v>销售费用</v>
      </c>
      <c r="E231" s="23" t="str">
        <f aca="false">IFERROR(INDEX(分录报销!$F:$F,MATCH($L231,分录报销!$L:$L,0)),"")</f>
        <v>电费</v>
      </c>
      <c r="F231" s="68" t="n">
        <f aca="false">IFERROR(INDEX(分录报销!$H:$H,MATCH($L231,分录报销!$L:$L,0)),"")</f>
        <v>500</v>
      </c>
      <c r="G231" s="69" t="str">
        <f aca="false">IFERROR(INDEX(分录报销!$I:$I,MATCH($L231,分录报销!$L:$L,0)),"")</f>
        <v/>
      </c>
      <c r="H231" s="23"/>
      <c r="I231" s="70"/>
      <c r="L231" s="71" t="n">
        <f aca="false">IF(助手报销!$R$17="",-1,助手报销!$R$17*100+(助手报销!$S$17-1)*6+1)</f>
        <v>1601</v>
      </c>
    </row>
    <row r="232" customFormat="false" ht="23.25" hidden="false" customHeight="true" outlineLevel="0" collapsed="false">
      <c r="B232" s="67" t="str">
        <f aca="false">IFERROR(INDEX(分录报销!$M:$M,MATCH($L232,分录报销!$L:$L,0)),"")</f>
        <v/>
      </c>
      <c r="C232" s="67"/>
      <c r="D232" s="23" t="str">
        <f aca="false">IFERROR(INDEX(分录报销!$E:$E,MATCH($L232,分录报销!$L:$L,0)),"")</f>
        <v>库存现金</v>
      </c>
      <c r="E232" s="23" t="str">
        <f aca="false">IFERROR(INDEX(分录报销!$F:$F,MATCH($L232,分录报销!$L:$L,0)),"")</f>
        <v/>
      </c>
      <c r="F232" s="68" t="str">
        <f aca="false">IFERROR(INDEX(分录报销!$H:$H,MATCH($L232,分录报销!$L:$L,0)),"")</f>
        <v/>
      </c>
      <c r="G232" s="69" t="n">
        <f aca="false">IFERROR(INDEX(分录报销!$I:$I,MATCH($L232,分录报销!$L:$L,0)),"")</f>
        <v>500</v>
      </c>
      <c r="H232" s="23"/>
      <c r="I232" s="70"/>
      <c r="L232" s="71" t="n">
        <f aca="false">IF(助手报销!$R$17="",-1,助手报销!$R$17*100+(助手报销!$S$17-1)*6+2)</f>
        <v>1602</v>
      </c>
    </row>
    <row r="233" customFormat="false" ht="23.25" hidden="false" customHeight="true" outlineLevel="0" collapsed="false">
      <c r="B233" s="67" t="str">
        <f aca="false">IFERROR(INDEX(分录报销!$M:$M,MATCH($L233,分录报销!$L:$L,0)),"")</f>
        <v/>
      </c>
      <c r="C233" s="67"/>
      <c r="D233" s="23" t="str">
        <f aca="false">IFERROR(INDEX(分录报销!$E:$E,MATCH($L233,分录报销!$L:$L,0)),"")</f>
        <v/>
      </c>
      <c r="E233" s="23" t="str">
        <f aca="false">IFERROR(INDEX(分录报销!$F:$F,MATCH($L233,分录报销!$L:$L,0)),"")</f>
        <v/>
      </c>
      <c r="F233" s="68" t="str">
        <f aca="false">IFERROR(INDEX(分录报销!$H:$H,MATCH($L233,分录报销!$L:$L,0)),"")</f>
        <v/>
      </c>
      <c r="G233" s="69" t="str">
        <f aca="false">IFERROR(INDEX(分录报销!$I:$I,MATCH($L233,分录报销!$L:$L,0)),"")</f>
        <v/>
      </c>
      <c r="H233" s="23"/>
      <c r="I233" s="70"/>
      <c r="L233" s="71" t="n">
        <f aca="false">IF(助手报销!$R$17="",-1,助手报销!$R$17*100+(助手报销!$S$17-1)*6+3)</f>
        <v>1603</v>
      </c>
    </row>
    <row r="234" customFormat="false" ht="23.25" hidden="false" customHeight="true" outlineLevel="0" collapsed="false">
      <c r="B234" s="67" t="str">
        <f aca="false">IFERROR(INDEX(分录报销!$M:$M,MATCH($L234,分录报销!$L:$L,0)),"")</f>
        <v/>
      </c>
      <c r="C234" s="67"/>
      <c r="D234" s="23" t="str">
        <f aca="false">IFERROR(INDEX(分录报销!$E:$E,MATCH($L234,分录报销!$L:$L,0)),"")</f>
        <v/>
      </c>
      <c r="E234" s="23" t="str">
        <f aca="false">IFERROR(INDEX(分录报销!$F:$F,MATCH($L234,分录报销!$L:$L,0)),"")</f>
        <v/>
      </c>
      <c r="F234" s="68" t="str">
        <f aca="false">IFERROR(INDEX(分录报销!$H:$H,MATCH($L234,分录报销!$L:$L,0)),"")</f>
        <v/>
      </c>
      <c r="G234" s="69" t="str">
        <f aca="false">IFERROR(INDEX(分录报销!$I:$I,MATCH($L234,分录报销!$L:$L,0)),"")</f>
        <v/>
      </c>
      <c r="H234" s="23"/>
      <c r="I234" s="70"/>
      <c r="L234" s="71" t="n">
        <f aca="false">IF(助手报销!$R$17="",-1,助手报销!$R$17*100+(助手报销!$S$17-1)*6+4)</f>
        <v>1604</v>
      </c>
    </row>
    <row r="235" customFormat="false" ht="23.25" hidden="false" customHeight="true" outlineLevel="0" collapsed="false">
      <c r="B235" s="67" t="str">
        <f aca="false">IFERROR(INDEX(分录报销!$M:$M,MATCH($L235,分录报销!$L:$L,0)),"")</f>
        <v/>
      </c>
      <c r="C235" s="67"/>
      <c r="D235" s="23" t="str">
        <f aca="false">IFERROR(INDEX(分录报销!$E:$E,MATCH($L235,分录报销!$L:$L,0)),"")</f>
        <v/>
      </c>
      <c r="E235" s="23" t="str">
        <f aca="false">IFERROR(INDEX(分录报销!$F:$F,MATCH($L235,分录报销!$L:$L,0)),"")</f>
        <v/>
      </c>
      <c r="F235" s="68" t="str">
        <f aca="false">IFERROR(INDEX(分录报销!$H:$H,MATCH($L235,分录报销!$L:$L,0)),"")</f>
        <v/>
      </c>
      <c r="G235" s="69" t="str">
        <f aca="false">IFERROR(INDEX(分录报销!$I:$I,MATCH($L235,分录报销!$L:$L,0)),"")</f>
        <v/>
      </c>
      <c r="H235" s="23"/>
      <c r="I235" s="70"/>
      <c r="L235" s="71" t="n">
        <f aca="false">IF(助手报销!$R$17="",-1,助手报销!$R$17*100+(助手报销!$S$17-1)*6+5)</f>
        <v>1605</v>
      </c>
    </row>
    <row r="236" customFormat="false" ht="23.25" hidden="false" customHeight="true" outlineLevel="0" collapsed="false">
      <c r="B236" s="67" t="str">
        <f aca="false">IFERROR(INDEX(分录报销!$M:$M,MATCH($L236,分录报销!$L:$L,0)),"")</f>
        <v/>
      </c>
      <c r="C236" s="67"/>
      <c r="D236" s="23" t="str">
        <f aca="false">IFERROR(INDEX(分录报销!$E:$E,MATCH($L236,分录报销!$L:$L,0)),"")</f>
        <v/>
      </c>
      <c r="E236" s="23" t="str">
        <f aca="false">IFERROR(INDEX(分录报销!$F:$F,MATCH($L236,分录报销!$L:$L,0)),"")</f>
        <v/>
      </c>
      <c r="F236" s="68" t="str">
        <f aca="false">IFERROR(INDEX(分录报销!$H:$H,MATCH($L236,分录报销!$L:$L,0)),"")</f>
        <v/>
      </c>
      <c r="G236" s="69" t="str">
        <f aca="false">IFERROR(INDEX(分录报销!$I:$I,MATCH($L236,分录报销!$L:$L,0)),"")</f>
        <v/>
      </c>
      <c r="H236" s="23"/>
      <c r="I236" s="70"/>
      <c r="L236" s="71" t="n">
        <f aca="false">IF(助手报销!$R$17="",-1,助手报销!$R$17*100+(助手报销!$S$17-1)*6+6)</f>
        <v>1606</v>
      </c>
    </row>
    <row r="237" customFormat="false" ht="23.25" hidden="false" customHeight="true" outlineLevel="0" collapsed="false">
      <c r="B237" s="72" t="str">
        <f aca="false">IF(助手报销!$T$17=1,"合计：","")</f>
        <v>合计：</v>
      </c>
      <c r="C237" s="73" t="n">
        <f aca="false">IF(助手报销!$T$17=1,$F237,"")</f>
        <v>500</v>
      </c>
      <c r="D237" s="74"/>
      <c r="E237" s="74"/>
      <c r="F237" s="75" t="n">
        <f aca="false">IF(助手报销!$T$17=1,INDEX(助手报销!$N$2:$N$121,助手报销!$R$17),"")</f>
        <v>500</v>
      </c>
      <c r="G237" s="76" t="n">
        <f aca="false">IF(助手报销!$T$17=1,INDEX(助手报销!$O$2:$O$121,助手报销!$R$17),"")</f>
        <v>500</v>
      </c>
      <c r="H237" s="74"/>
      <c r="I237" s="77"/>
    </row>
    <row r="238" customFormat="false" ht="6" hidden="false" customHeight="true" outlineLevel="0" collapsed="false"/>
    <row r="239" customFormat="false" ht="13.5" hidden="false" customHeight="false" outlineLevel="0" collapsed="false">
      <c r="B239" s="78" t="str">
        <f aca="false">IF(助手报销!$R$17&lt;&gt;"","会计主管：","")</f>
        <v>会计主管：</v>
      </c>
      <c r="D239" s="78" t="str">
        <f aca="false">IF(助手报销!$R$17&lt;&gt;"","会计：","")</f>
        <v>会计：</v>
      </c>
      <c r="E239" s="78" t="str">
        <f aca="false">IF(助手报销!$R$17&lt;&gt;"","出纳：","")</f>
        <v>出纳：</v>
      </c>
      <c r="F239" s="78" t="str">
        <f aca="false">IF(助手报销!$R$17&lt;&gt;"","复核：","")</f>
        <v>复核：</v>
      </c>
      <c r="G239" s="78" t="str">
        <f aca="false">IF(助手报销!$R$17&lt;&gt;"","制单：","")</f>
        <v>制单：</v>
      </c>
    </row>
    <row r="240" customFormat="false" ht="3" hidden="false" customHeight="true" outlineLevel="0" collapsed="false"/>
    <row r="241" customFormat="false" ht="19.5" hidden="false" customHeight="true" outlineLevel="0" collapsed="false">
      <c r="B241" s="53" t="str">
        <f aca="false">IF(助手报销!$R$18&lt;&gt;"","记  账  凭  证","")</f>
        <v>记  账  凭  证</v>
      </c>
      <c r="C241" s="53"/>
      <c r="D241" s="53"/>
      <c r="E241" s="53"/>
      <c r="F241" s="53"/>
      <c r="G241" s="53"/>
      <c r="H241" s="53"/>
      <c r="I241" s="53"/>
    </row>
    <row r="242" customFormat="false" ht="3" hidden="false" customHeight="true" outlineLevel="0" collapsed="false"/>
    <row r="243" customFormat="false" ht="15" hidden="false" customHeight="true" outlineLevel="0" collapsed="false">
      <c r="C243" s="56" t="str">
        <f aca="false">IF(助手报销!$R$18&lt;&gt;"",INDEX(助手报销!$B$2:$B$121,助手报销!$R$18),"")</f>
        <v/>
      </c>
      <c r="D243" s="57" t="n">
        <f aca="false">IF(助手报销!$R$18&lt;&gt;"",INDEX(助手报销!$D$2:$D$121,助手报销!$R$18),"")</f>
        <v>46265</v>
      </c>
      <c r="E243" s="57"/>
      <c r="F243" s="58" t="str">
        <f aca="false">IF(助手报销!$R$18&lt;&gt;"",INDEX(助手报销!$C$2:$C$121,助手报销!$R$18)&amp;"  字第 "&amp;IF(参数!$B$9="是",INDEX(助手报销!$P$2:$P$121,助手报销!$R$18),"　　　　")&amp;" 号"&amp;IF(INDEX(助手报销!$L$2:$L$121,助手报销!$R$18)&gt;1,"  (共"&amp;INDEX(助手报销!$L$2:$L$121,助手报销!$R$18)&amp;"页 第"&amp;助手报销!$S$18&amp;"页)",""),"")</f>
        <v>彭村店  字第 　　　　 号</v>
      </c>
      <c r="G243" s="58"/>
      <c r="H243" s="58"/>
      <c r="I243" s="58"/>
      <c r="M243" s="59" t="n">
        <f aca="false">IF(助手报销!$R$18="","",助手报销!$Q$18)</f>
        <v>17</v>
      </c>
      <c r="N243" s="60" t="n">
        <f aca="false">IF(助手报销!$R$18="","",INDEX(助手报销!$P$2:$P$121,助手报销!$R$18))</f>
        <v>17</v>
      </c>
      <c r="O243" s="55" t="str">
        <f aca="false">IF(助手报销!$R$18="","",INDEX(助手报销!$C$2:$C$121,助手报销!$R$18)&amp;"  字第 "&amp;INDEX(助手报销!$P$2:$P$121,助手报销!$R$18)&amp;" 号"&amp;IF(INDEX(助手报销!$L$2:$L$121,助手报销!$R$18)&gt;1,"  (共"&amp;INDEX(助手报销!$L$2:$L$121,助手报销!$R$18)&amp;"页 第"&amp;助手报销!$S$18&amp;"页)",""))</f>
        <v>彭村店  字第 17 号</v>
      </c>
    </row>
    <row r="244" customFormat="false" ht="12.75" hidden="false" customHeight="true" outlineLevel="0" collapsed="false">
      <c r="B244" s="61" t="str">
        <f aca="false">IF(助手报销!$R$18&lt;&gt;"","摘　　要","")</f>
        <v>摘　　要</v>
      </c>
      <c r="C244" s="61"/>
      <c r="D244" s="62" t="str">
        <f aca="false">IF(助手报销!$R$18&lt;&gt;"","科　　　　目","")</f>
        <v>科　　　　目</v>
      </c>
      <c r="E244" s="62"/>
      <c r="F244" s="61" t="str">
        <f aca="false">IF(助手报销!$R$18&lt;&gt;"","借 方 金 额","")</f>
        <v>借 方 金 额</v>
      </c>
      <c r="G244" s="62" t="str">
        <f aca="false">IF(助手报销!$R$18&lt;&gt;"","贷 方 金 额","")</f>
        <v>贷 方 金 额</v>
      </c>
      <c r="H244" s="63" t="str">
        <f aca="false">IF(助手报销!$R$18&lt;&gt;"","√","")</f>
        <v>√</v>
      </c>
      <c r="I244" s="64" t="str">
        <f aca="false">IF(助手报销!$R$18&lt;&gt;"","附单据  张","")</f>
        <v>附单据  张</v>
      </c>
    </row>
    <row r="245" customFormat="false" ht="12.75" hidden="false" customHeight="true" outlineLevel="0" collapsed="false">
      <c r="B245" s="61"/>
      <c r="C245" s="61"/>
      <c r="D245" s="23" t="str">
        <f aca="false">IF(助手报销!$R$18&lt;&gt;"","总 账 科 目","")</f>
        <v>总 账 科 目</v>
      </c>
      <c r="E245" s="23" t="str">
        <f aca="false">IF(助手报销!$R$18&lt;&gt;"","明 细 科 目","")</f>
        <v>明 细 科 目</v>
      </c>
      <c r="F245" s="65"/>
      <c r="G245" s="66"/>
      <c r="H245" s="63"/>
      <c r="I245" s="64"/>
    </row>
    <row r="246" customFormat="false" ht="23.25" hidden="false" customHeight="true" outlineLevel="0" collapsed="false">
      <c r="B246" s="67" t="str">
        <f aca="false">IFERROR(INDEX(分录报销!$M:$M,MATCH($L246,分录报销!$L:$L,0)),"")</f>
        <v>电费</v>
      </c>
      <c r="C246" s="67"/>
      <c r="D246" s="23" t="str">
        <f aca="false">IFERROR(INDEX(分录报销!$E:$E,MATCH($L246,分录报销!$L:$L,0)),"")</f>
        <v>销售费用</v>
      </c>
      <c r="E246" s="23" t="str">
        <f aca="false">IFERROR(INDEX(分录报销!$F:$F,MATCH($L246,分录报销!$L:$L,0)),"")</f>
        <v>电费</v>
      </c>
      <c r="F246" s="68" t="n">
        <f aca="false">IFERROR(INDEX(分录报销!$H:$H,MATCH($L246,分录报销!$L:$L,0)),"")</f>
        <v>512</v>
      </c>
      <c r="G246" s="69" t="str">
        <f aca="false">IFERROR(INDEX(分录报销!$I:$I,MATCH($L246,分录报销!$L:$L,0)),"")</f>
        <v/>
      </c>
      <c r="H246" s="23"/>
      <c r="I246" s="70"/>
      <c r="L246" s="71" t="n">
        <f aca="false">IF(助手报销!$R$18="",-1,助手报销!$R$18*100+(助手报销!$S$18-1)*6+1)</f>
        <v>1701</v>
      </c>
    </row>
    <row r="247" customFormat="false" ht="23.25" hidden="false" customHeight="true" outlineLevel="0" collapsed="false">
      <c r="B247" s="67" t="str">
        <f aca="false">IFERROR(INDEX(分录报销!$M:$M,MATCH($L247,分录报销!$L:$L,0)),"")</f>
        <v>水费</v>
      </c>
      <c r="C247" s="67"/>
      <c r="D247" s="23" t="str">
        <f aca="false">IFERROR(INDEX(分录报销!$E:$E,MATCH($L247,分录报销!$L:$L,0)),"")</f>
        <v>销售费用</v>
      </c>
      <c r="E247" s="23" t="str">
        <f aca="false">IFERROR(INDEX(分录报销!$F:$F,MATCH($L247,分录报销!$L:$L,0)),"")</f>
        <v>水费</v>
      </c>
      <c r="F247" s="68" t="n">
        <f aca="false">IFERROR(INDEX(分录报销!$H:$H,MATCH($L247,分录报销!$L:$L,0)),"")</f>
        <v>16</v>
      </c>
      <c r="G247" s="69" t="str">
        <f aca="false">IFERROR(INDEX(分录报销!$I:$I,MATCH($L247,分录报销!$L:$L,0)),"")</f>
        <v/>
      </c>
      <c r="H247" s="23"/>
      <c r="I247" s="70"/>
      <c r="L247" s="71" t="n">
        <f aca="false">IF(助手报销!$R$18="",-1,助手报销!$R$18*100+(助手报销!$S$18-1)*6+2)</f>
        <v>1702</v>
      </c>
    </row>
    <row r="248" customFormat="false" ht="23.25" hidden="false" customHeight="true" outlineLevel="0" collapsed="false">
      <c r="B248" s="67" t="str">
        <f aca="false">IFERROR(INDEX(分录报销!$M:$M,MATCH($L248,分录报销!$L:$L,0)),"")</f>
        <v/>
      </c>
      <c r="C248" s="67"/>
      <c r="D248" s="23" t="str">
        <f aca="false">IFERROR(INDEX(分录报销!$E:$E,MATCH($L248,分录报销!$L:$L,0)),"")</f>
        <v>库存现金</v>
      </c>
      <c r="E248" s="23" t="str">
        <f aca="false">IFERROR(INDEX(分录报销!$F:$F,MATCH($L248,分录报销!$L:$L,0)),"")</f>
        <v/>
      </c>
      <c r="F248" s="68" t="str">
        <f aca="false">IFERROR(INDEX(分录报销!$H:$H,MATCH($L248,分录报销!$L:$L,0)),"")</f>
        <v/>
      </c>
      <c r="G248" s="69" t="n">
        <f aca="false">IFERROR(INDEX(分录报销!$I:$I,MATCH($L248,分录报销!$L:$L,0)),"")</f>
        <v>528</v>
      </c>
      <c r="H248" s="23"/>
      <c r="I248" s="70"/>
      <c r="L248" s="71" t="n">
        <f aca="false">IF(助手报销!$R$18="",-1,助手报销!$R$18*100+(助手报销!$S$18-1)*6+3)</f>
        <v>1703</v>
      </c>
    </row>
    <row r="249" customFormat="false" ht="23.25" hidden="false" customHeight="true" outlineLevel="0" collapsed="false">
      <c r="B249" s="67" t="str">
        <f aca="false">IFERROR(INDEX(分录报销!$M:$M,MATCH($L249,分录报销!$L:$L,0)),"")</f>
        <v/>
      </c>
      <c r="C249" s="67"/>
      <c r="D249" s="23" t="str">
        <f aca="false">IFERROR(INDEX(分录报销!$E:$E,MATCH($L249,分录报销!$L:$L,0)),"")</f>
        <v/>
      </c>
      <c r="E249" s="23" t="str">
        <f aca="false">IFERROR(INDEX(分录报销!$F:$F,MATCH($L249,分录报销!$L:$L,0)),"")</f>
        <v/>
      </c>
      <c r="F249" s="68" t="str">
        <f aca="false">IFERROR(INDEX(分录报销!$H:$H,MATCH($L249,分录报销!$L:$L,0)),"")</f>
        <v/>
      </c>
      <c r="G249" s="69" t="str">
        <f aca="false">IFERROR(INDEX(分录报销!$I:$I,MATCH($L249,分录报销!$L:$L,0)),"")</f>
        <v/>
      </c>
      <c r="H249" s="23"/>
      <c r="I249" s="70"/>
      <c r="L249" s="71" t="n">
        <f aca="false">IF(助手报销!$R$18="",-1,助手报销!$R$18*100+(助手报销!$S$18-1)*6+4)</f>
        <v>1704</v>
      </c>
    </row>
    <row r="250" customFormat="false" ht="23.25" hidden="false" customHeight="true" outlineLevel="0" collapsed="false">
      <c r="B250" s="67" t="str">
        <f aca="false">IFERROR(INDEX(分录报销!$M:$M,MATCH($L250,分录报销!$L:$L,0)),"")</f>
        <v/>
      </c>
      <c r="C250" s="67"/>
      <c r="D250" s="23" t="str">
        <f aca="false">IFERROR(INDEX(分录报销!$E:$E,MATCH($L250,分录报销!$L:$L,0)),"")</f>
        <v/>
      </c>
      <c r="E250" s="23" t="str">
        <f aca="false">IFERROR(INDEX(分录报销!$F:$F,MATCH($L250,分录报销!$L:$L,0)),"")</f>
        <v/>
      </c>
      <c r="F250" s="68" t="str">
        <f aca="false">IFERROR(INDEX(分录报销!$H:$H,MATCH($L250,分录报销!$L:$L,0)),"")</f>
        <v/>
      </c>
      <c r="G250" s="69" t="str">
        <f aca="false">IFERROR(INDEX(分录报销!$I:$I,MATCH($L250,分录报销!$L:$L,0)),"")</f>
        <v/>
      </c>
      <c r="H250" s="23"/>
      <c r="I250" s="70"/>
      <c r="L250" s="71" t="n">
        <f aca="false">IF(助手报销!$R$18="",-1,助手报销!$R$18*100+(助手报销!$S$18-1)*6+5)</f>
        <v>1705</v>
      </c>
    </row>
    <row r="251" customFormat="false" ht="23.25" hidden="false" customHeight="true" outlineLevel="0" collapsed="false">
      <c r="B251" s="67" t="str">
        <f aca="false">IFERROR(INDEX(分录报销!$M:$M,MATCH($L251,分录报销!$L:$L,0)),"")</f>
        <v/>
      </c>
      <c r="C251" s="67"/>
      <c r="D251" s="23" t="str">
        <f aca="false">IFERROR(INDEX(分录报销!$E:$E,MATCH($L251,分录报销!$L:$L,0)),"")</f>
        <v/>
      </c>
      <c r="E251" s="23" t="str">
        <f aca="false">IFERROR(INDEX(分录报销!$F:$F,MATCH($L251,分录报销!$L:$L,0)),"")</f>
        <v/>
      </c>
      <c r="F251" s="68" t="str">
        <f aca="false">IFERROR(INDEX(分录报销!$H:$H,MATCH($L251,分录报销!$L:$L,0)),"")</f>
        <v/>
      </c>
      <c r="G251" s="69" t="str">
        <f aca="false">IFERROR(INDEX(分录报销!$I:$I,MATCH($L251,分录报销!$L:$L,0)),"")</f>
        <v/>
      </c>
      <c r="H251" s="23"/>
      <c r="I251" s="70"/>
      <c r="L251" s="71" t="n">
        <f aca="false">IF(助手报销!$R$18="",-1,助手报销!$R$18*100+(助手报销!$S$18-1)*6+6)</f>
        <v>1706</v>
      </c>
    </row>
    <row r="252" customFormat="false" ht="23.25" hidden="false" customHeight="true" outlineLevel="0" collapsed="false">
      <c r="B252" s="72" t="str">
        <f aca="false">IF(助手报销!$T$18=1,"合计：","")</f>
        <v>合计：</v>
      </c>
      <c r="C252" s="73" t="n">
        <f aca="false">IF(助手报销!$T$18=1,$F252,"")</f>
        <v>528</v>
      </c>
      <c r="D252" s="74"/>
      <c r="E252" s="74"/>
      <c r="F252" s="75" t="n">
        <f aca="false">IF(助手报销!$T$18=1,INDEX(助手报销!$N$2:$N$121,助手报销!$R$18),"")</f>
        <v>528</v>
      </c>
      <c r="G252" s="76" t="n">
        <f aca="false">IF(助手报销!$T$18=1,INDEX(助手报销!$O$2:$O$121,助手报销!$R$18),"")</f>
        <v>528</v>
      </c>
      <c r="H252" s="74"/>
      <c r="I252" s="77"/>
    </row>
    <row r="253" customFormat="false" ht="6" hidden="false" customHeight="true" outlineLevel="0" collapsed="false"/>
    <row r="254" customFormat="false" ht="13.5" hidden="false" customHeight="false" outlineLevel="0" collapsed="false">
      <c r="B254" s="78" t="str">
        <f aca="false">IF(助手报销!$R$18&lt;&gt;"","会计主管：","")</f>
        <v>会计主管：</v>
      </c>
      <c r="D254" s="78" t="str">
        <f aca="false">IF(助手报销!$R$18&lt;&gt;"","会计：","")</f>
        <v>会计：</v>
      </c>
      <c r="E254" s="78" t="str">
        <f aca="false">IF(助手报销!$R$18&lt;&gt;"","出纳：","")</f>
        <v>出纳：</v>
      </c>
      <c r="F254" s="78" t="str">
        <f aca="false">IF(助手报销!$R$18&lt;&gt;"","复核：","")</f>
        <v>复核：</v>
      </c>
      <c r="G254" s="78" t="str">
        <f aca="false">IF(助手报销!$R$18&lt;&gt;"","制单：","")</f>
        <v>制单：</v>
      </c>
    </row>
    <row r="255" customFormat="false" ht="3" hidden="false" customHeight="true" outlineLevel="0" collapsed="false"/>
    <row r="256" customFormat="false" ht="19.5" hidden="false" customHeight="true" outlineLevel="0" collapsed="false">
      <c r="B256" s="53" t="str">
        <f aca="false">IF(助手报销!$R$19&lt;&gt;"","记  账  凭  证","")</f>
        <v>记  账  凭  证</v>
      </c>
      <c r="C256" s="53"/>
      <c r="D256" s="53"/>
      <c r="E256" s="53"/>
      <c r="F256" s="53"/>
      <c r="G256" s="53"/>
      <c r="H256" s="53"/>
      <c r="I256" s="53"/>
    </row>
    <row r="257" customFormat="false" ht="3" hidden="false" customHeight="true" outlineLevel="0" collapsed="false"/>
    <row r="258" customFormat="false" ht="15" hidden="false" customHeight="true" outlineLevel="0" collapsed="false">
      <c r="C258" s="56" t="str">
        <f aca="false">IF(助手报销!$R$19&lt;&gt;"",INDEX(助手报销!$B$2:$B$121,助手报销!$R$19),"")</f>
        <v/>
      </c>
      <c r="D258" s="57" t="n">
        <f aca="false">IF(助手报销!$R$19&lt;&gt;"",INDEX(助手报销!$D$2:$D$121,助手报销!$R$19),"")</f>
        <v>46265</v>
      </c>
      <c r="E258" s="57"/>
      <c r="F258" s="58" t="str">
        <f aca="false">IF(助手报销!$R$19&lt;&gt;"",INDEX(助手报销!$C$2:$C$121,助手报销!$R$19)&amp;"  字第 "&amp;IF(参数!$B$9="是",INDEX(助手报销!$P$2:$P$121,助手报销!$R$19),"　　　　")&amp;" 号"&amp;IF(INDEX(助手报销!$L$2:$L$121,助手报销!$R$19)&gt;1,"  (共"&amp;INDEX(助手报销!$L$2:$L$121,助手报销!$R$19)&amp;"页 第"&amp;助手报销!$S$19&amp;"页)",""),"")</f>
        <v>南位店  字第 　　　　 号</v>
      </c>
      <c r="G258" s="58"/>
      <c r="H258" s="58"/>
      <c r="I258" s="58"/>
      <c r="M258" s="59" t="n">
        <f aca="false">IF(助手报销!$R$19="","",助手报销!$Q$19)</f>
        <v>18</v>
      </c>
      <c r="N258" s="60" t="n">
        <f aca="false">IF(助手报销!$R$19="","",INDEX(助手报销!$P$2:$P$121,助手报销!$R$19))</f>
        <v>18</v>
      </c>
      <c r="O258" s="55" t="str">
        <f aca="false">IF(助手报销!$R$19="","",INDEX(助手报销!$C$2:$C$121,助手报销!$R$19)&amp;"  字第 "&amp;INDEX(助手报销!$P$2:$P$121,助手报销!$R$19)&amp;" 号"&amp;IF(INDEX(助手报销!$L$2:$L$121,助手报销!$R$19)&gt;1,"  (共"&amp;INDEX(助手报销!$L$2:$L$121,助手报销!$R$19)&amp;"页 第"&amp;助手报销!$S$19&amp;"页)",""))</f>
        <v>南位店  字第 18 号</v>
      </c>
    </row>
    <row r="259" customFormat="false" ht="12.75" hidden="false" customHeight="true" outlineLevel="0" collapsed="false">
      <c r="B259" s="61" t="str">
        <f aca="false">IF(助手报销!$R$19&lt;&gt;"","摘　　要","")</f>
        <v>摘　　要</v>
      </c>
      <c r="C259" s="61"/>
      <c r="D259" s="62" t="str">
        <f aca="false">IF(助手报销!$R$19&lt;&gt;"","科　　　　目","")</f>
        <v>科　　　　目</v>
      </c>
      <c r="E259" s="62"/>
      <c r="F259" s="61" t="str">
        <f aca="false">IF(助手报销!$R$19&lt;&gt;"","借 方 金 额","")</f>
        <v>借 方 金 额</v>
      </c>
      <c r="G259" s="62" t="str">
        <f aca="false">IF(助手报销!$R$19&lt;&gt;"","贷 方 金 额","")</f>
        <v>贷 方 金 额</v>
      </c>
      <c r="H259" s="63" t="str">
        <f aca="false">IF(助手报销!$R$19&lt;&gt;"","√","")</f>
        <v>√</v>
      </c>
      <c r="I259" s="64" t="str">
        <f aca="false">IF(助手报销!$R$19&lt;&gt;"","附单据  张","")</f>
        <v>附单据  张</v>
      </c>
    </row>
    <row r="260" customFormat="false" ht="12.75" hidden="false" customHeight="true" outlineLevel="0" collapsed="false">
      <c r="B260" s="61"/>
      <c r="C260" s="61"/>
      <c r="D260" s="23" t="str">
        <f aca="false">IF(助手报销!$R$19&lt;&gt;"","总 账 科 目","")</f>
        <v>总 账 科 目</v>
      </c>
      <c r="E260" s="23" t="str">
        <f aca="false">IF(助手报销!$R$19&lt;&gt;"","明 细 科 目","")</f>
        <v>明 细 科 目</v>
      </c>
      <c r="F260" s="65"/>
      <c r="G260" s="66"/>
      <c r="H260" s="63"/>
      <c r="I260" s="64"/>
    </row>
    <row r="261" customFormat="false" ht="23.25" hidden="false" customHeight="true" outlineLevel="0" collapsed="false">
      <c r="B261" s="67" t="str">
        <f aca="false">IFERROR(INDEX(分录报销!$M:$M,MATCH($L261,分录报销!$L:$L,0)),"")</f>
        <v>水费</v>
      </c>
      <c r="C261" s="67"/>
      <c r="D261" s="23" t="str">
        <f aca="false">IFERROR(INDEX(分录报销!$E:$E,MATCH($L261,分录报销!$L:$L,0)),"")</f>
        <v>销售费用</v>
      </c>
      <c r="E261" s="23" t="str">
        <f aca="false">IFERROR(INDEX(分录报销!$F:$F,MATCH($L261,分录报销!$L:$L,0)),"")</f>
        <v>水费</v>
      </c>
      <c r="F261" s="68" t="n">
        <f aca="false">IFERROR(INDEX(分录报销!$H:$H,MATCH($L261,分录报销!$L:$L,0)),"")</f>
        <v>6</v>
      </c>
      <c r="G261" s="69" t="str">
        <f aca="false">IFERROR(INDEX(分录报销!$I:$I,MATCH($L261,分录报销!$L:$L,0)),"")</f>
        <v/>
      </c>
      <c r="H261" s="23"/>
      <c r="I261" s="70"/>
      <c r="L261" s="71" t="n">
        <f aca="false">IF(助手报销!$R$19="",-1,助手报销!$R$19*100+(助手报销!$S$19-1)*6+1)</f>
        <v>1801</v>
      </c>
    </row>
    <row r="262" customFormat="false" ht="23.25" hidden="false" customHeight="true" outlineLevel="0" collapsed="false">
      <c r="B262" s="67" t="str">
        <f aca="false">IFERROR(INDEX(分录报销!$M:$M,MATCH($L262,分录报销!$L:$L,0)),"")</f>
        <v>电费</v>
      </c>
      <c r="C262" s="67"/>
      <c r="D262" s="23" t="str">
        <f aca="false">IFERROR(INDEX(分录报销!$E:$E,MATCH($L262,分录报销!$L:$L,0)),"")</f>
        <v>销售费用</v>
      </c>
      <c r="E262" s="23" t="str">
        <f aca="false">IFERROR(INDEX(分录报销!$F:$F,MATCH($L262,分录报销!$L:$L,0)),"")</f>
        <v>电费</v>
      </c>
      <c r="F262" s="68" t="n">
        <f aca="false">IFERROR(INDEX(分录报销!$H:$H,MATCH($L262,分录报销!$L:$L,0)),"")</f>
        <v>300</v>
      </c>
      <c r="G262" s="69" t="str">
        <f aca="false">IFERROR(INDEX(分录报销!$I:$I,MATCH($L262,分录报销!$L:$L,0)),"")</f>
        <v/>
      </c>
      <c r="H262" s="23"/>
      <c r="I262" s="70"/>
      <c r="L262" s="71" t="n">
        <f aca="false">IF(助手报销!$R$19="",-1,助手报销!$R$19*100+(助手报销!$S$19-1)*6+2)</f>
        <v>1802</v>
      </c>
    </row>
    <row r="263" customFormat="false" ht="23.25" hidden="false" customHeight="true" outlineLevel="0" collapsed="false">
      <c r="B263" s="67" t="str">
        <f aca="false">IFERROR(INDEX(分录报销!$M:$M,MATCH($L263,分录报销!$L:$L,0)),"")</f>
        <v>茶壶</v>
      </c>
      <c r="C263" s="67"/>
      <c r="D263" s="23" t="str">
        <f aca="false">IFERROR(INDEX(分录报销!$E:$E,MATCH($L263,分录报销!$L:$L,0)),"")</f>
        <v>销售费用</v>
      </c>
      <c r="E263" s="23" t="str">
        <f aca="false">IFERROR(INDEX(分录报销!$F:$F,MATCH($L263,分录报销!$L:$L,0)),"")</f>
        <v>办公费</v>
      </c>
      <c r="F263" s="68" t="n">
        <f aca="false">IFERROR(INDEX(分录报销!$H:$H,MATCH($L263,分录报销!$L:$L,0)),"")</f>
        <v>90.59</v>
      </c>
      <c r="G263" s="69" t="str">
        <f aca="false">IFERROR(INDEX(分录报销!$I:$I,MATCH($L263,分录报销!$L:$L,0)),"")</f>
        <v/>
      </c>
      <c r="H263" s="23"/>
      <c r="I263" s="70"/>
      <c r="L263" s="71" t="n">
        <f aca="false">IF(助手报销!$R$19="",-1,助手报销!$R$19*100+(助手报销!$S$19-1)*6+3)</f>
        <v>1803</v>
      </c>
    </row>
    <row r="264" customFormat="false" ht="23.25" hidden="false" customHeight="true" outlineLevel="0" collapsed="false">
      <c r="B264" s="67" t="str">
        <f aca="false">IFERROR(INDEX(分录报销!$M:$M,MATCH($L264,分录报销!$L:$L,0)),"")</f>
        <v/>
      </c>
      <c r="C264" s="67"/>
      <c r="D264" s="23" t="str">
        <f aca="false">IFERROR(INDEX(分录报销!$E:$E,MATCH($L264,分录报销!$L:$L,0)),"")</f>
        <v>库存现金</v>
      </c>
      <c r="E264" s="23" t="str">
        <f aca="false">IFERROR(INDEX(分录报销!$F:$F,MATCH($L264,分录报销!$L:$L,0)),"")</f>
        <v/>
      </c>
      <c r="F264" s="68" t="str">
        <f aca="false">IFERROR(INDEX(分录报销!$H:$H,MATCH($L264,分录报销!$L:$L,0)),"")</f>
        <v/>
      </c>
      <c r="G264" s="69" t="n">
        <f aca="false">IFERROR(INDEX(分录报销!$I:$I,MATCH($L264,分录报销!$L:$L,0)),"")</f>
        <v>396.59</v>
      </c>
      <c r="H264" s="23"/>
      <c r="I264" s="70"/>
      <c r="L264" s="71" t="n">
        <f aca="false">IF(助手报销!$R$19="",-1,助手报销!$R$19*100+(助手报销!$S$19-1)*6+4)</f>
        <v>1804</v>
      </c>
    </row>
    <row r="265" customFormat="false" ht="23.25" hidden="false" customHeight="true" outlineLevel="0" collapsed="false">
      <c r="B265" s="67" t="str">
        <f aca="false">IFERROR(INDEX(分录报销!$M:$M,MATCH($L265,分录报销!$L:$L,0)),"")</f>
        <v/>
      </c>
      <c r="C265" s="67"/>
      <c r="D265" s="23" t="str">
        <f aca="false">IFERROR(INDEX(分录报销!$E:$E,MATCH($L265,分录报销!$L:$L,0)),"")</f>
        <v/>
      </c>
      <c r="E265" s="23" t="str">
        <f aca="false">IFERROR(INDEX(分录报销!$F:$F,MATCH($L265,分录报销!$L:$L,0)),"")</f>
        <v/>
      </c>
      <c r="F265" s="68" t="str">
        <f aca="false">IFERROR(INDEX(分录报销!$H:$H,MATCH($L265,分录报销!$L:$L,0)),"")</f>
        <v/>
      </c>
      <c r="G265" s="69" t="str">
        <f aca="false">IFERROR(INDEX(分录报销!$I:$I,MATCH($L265,分录报销!$L:$L,0)),"")</f>
        <v/>
      </c>
      <c r="H265" s="23"/>
      <c r="I265" s="70"/>
      <c r="L265" s="71" t="n">
        <f aca="false">IF(助手报销!$R$19="",-1,助手报销!$R$19*100+(助手报销!$S$19-1)*6+5)</f>
        <v>1805</v>
      </c>
    </row>
    <row r="266" customFormat="false" ht="23.25" hidden="false" customHeight="true" outlineLevel="0" collapsed="false">
      <c r="B266" s="67" t="str">
        <f aca="false">IFERROR(INDEX(分录报销!$M:$M,MATCH($L266,分录报销!$L:$L,0)),"")</f>
        <v/>
      </c>
      <c r="C266" s="67"/>
      <c r="D266" s="23" t="str">
        <f aca="false">IFERROR(INDEX(分录报销!$E:$E,MATCH($L266,分录报销!$L:$L,0)),"")</f>
        <v/>
      </c>
      <c r="E266" s="23" t="str">
        <f aca="false">IFERROR(INDEX(分录报销!$F:$F,MATCH($L266,分录报销!$L:$L,0)),"")</f>
        <v/>
      </c>
      <c r="F266" s="68" t="str">
        <f aca="false">IFERROR(INDEX(分录报销!$H:$H,MATCH($L266,分录报销!$L:$L,0)),"")</f>
        <v/>
      </c>
      <c r="G266" s="69" t="str">
        <f aca="false">IFERROR(INDEX(分录报销!$I:$I,MATCH($L266,分录报销!$L:$L,0)),"")</f>
        <v/>
      </c>
      <c r="H266" s="23"/>
      <c r="I266" s="70"/>
      <c r="L266" s="71" t="n">
        <f aca="false">IF(助手报销!$R$19="",-1,助手报销!$R$19*100+(助手报销!$S$19-1)*6+6)</f>
        <v>1806</v>
      </c>
    </row>
    <row r="267" customFormat="false" ht="23.25" hidden="false" customHeight="true" outlineLevel="0" collapsed="false">
      <c r="B267" s="72" t="str">
        <f aca="false">IF(助手报销!$T$19=1,"合计：","")</f>
        <v>合计：</v>
      </c>
      <c r="C267" s="73" t="n">
        <f aca="false">IF(助手报销!$T$19=1,$F267,"")</f>
        <v>396.59</v>
      </c>
      <c r="D267" s="74"/>
      <c r="E267" s="74"/>
      <c r="F267" s="75" t="n">
        <f aca="false">IF(助手报销!$T$19=1,INDEX(助手报销!$N$2:$N$121,助手报销!$R$19),"")</f>
        <v>396.59</v>
      </c>
      <c r="G267" s="76" t="n">
        <f aca="false">IF(助手报销!$T$19=1,INDEX(助手报销!$O$2:$O$121,助手报销!$R$19),"")</f>
        <v>396.59</v>
      </c>
      <c r="H267" s="74"/>
      <c r="I267" s="77"/>
    </row>
    <row r="268" customFormat="false" ht="6" hidden="false" customHeight="true" outlineLevel="0" collapsed="false"/>
    <row r="269" customFormat="false" ht="13.5" hidden="false" customHeight="false" outlineLevel="0" collapsed="false">
      <c r="B269" s="78" t="str">
        <f aca="false">IF(助手报销!$R$19&lt;&gt;"","会计主管：","")</f>
        <v>会计主管：</v>
      </c>
      <c r="D269" s="78" t="str">
        <f aca="false">IF(助手报销!$R$19&lt;&gt;"","会计：","")</f>
        <v>会计：</v>
      </c>
      <c r="E269" s="78" t="str">
        <f aca="false">IF(助手报销!$R$19&lt;&gt;"","出纳：","")</f>
        <v>出纳：</v>
      </c>
      <c r="F269" s="78" t="str">
        <f aca="false">IF(助手报销!$R$19&lt;&gt;"","复核：","")</f>
        <v>复核：</v>
      </c>
      <c r="G269" s="78" t="str">
        <f aca="false">IF(助手报销!$R$19&lt;&gt;"","制单：","")</f>
        <v>制单：</v>
      </c>
    </row>
    <row r="270" customFormat="false" ht="3" hidden="false" customHeight="true" outlineLevel="0" collapsed="false"/>
    <row r="271" customFormat="false" ht="19.5" hidden="false" customHeight="true" outlineLevel="0" collapsed="false">
      <c r="B271" s="53" t="str">
        <f aca="false">IF(助手报销!$R$20&lt;&gt;"","记  账  凭  证","")</f>
        <v>记  账  凭  证</v>
      </c>
      <c r="C271" s="53"/>
      <c r="D271" s="53"/>
      <c r="E271" s="53"/>
      <c r="F271" s="53"/>
      <c r="G271" s="53"/>
      <c r="H271" s="53"/>
      <c r="I271" s="53"/>
    </row>
    <row r="272" customFormat="false" ht="3" hidden="false" customHeight="true" outlineLevel="0" collapsed="false"/>
    <row r="273" customFormat="false" ht="15" hidden="false" customHeight="true" outlineLevel="0" collapsed="false">
      <c r="C273" s="56" t="str">
        <f aca="false">IF(助手报销!$R$20&lt;&gt;"",INDEX(助手报销!$B$2:$B$121,助手报销!$R$20),"")</f>
        <v/>
      </c>
      <c r="D273" s="57" t="n">
        <f aca="false">IF(助手报销!$R$20&lt;&gt;"",INDEX(助手报销!$D$2:$D$121,助手报销!$R$20),"")</f>
        <v>46265</v>
      </c>
      <c r="E273" s="57"/>
      <c r="F273" s="58" t="str">
        <f aca="false">IF(助手报销!$R$20&lt;&gt;"",INDEX(助手报销!$C$2:$C$121,助手报销!$R$20)&amp;"  字第 "&amp;IF(参数!$B$9="是",INDEX(助手报销!$P$2:$P$121,助手报销!$R$20),"　　　　")&amp;" 号"&amp;IF(INDEX(助手报销!$L$2:$L$121,助手报销!$R$20)&gt;1,"  (共"&amp;INDEX(助手报销!$L$2:$L$121,助手报销!$R$20)&amp;"页 第"&amp;助手报销!$S$20&amp;"页)",""),"")</f>
        <v>博园店  字第 　　　　 号</v>
      </c>
      <c r="G273" s="58"/>
      <c r="H273" s="58"/>
      <c r="I273" s="58"/>
      <c r="M273" s="59" t="n">
        <f aca="false">IF(助手报销!$R$20="","",助手报销!$Q$20)</f>
        <v>19</v>
      </c>
      <c r="N273" s="60" t="n">
        <f aca="false">IF(助手报销!$R$20="","",INDEX(助手报销!$P$2:$P$121,助手报销!$R$20))</f>
        <v>19</v>
      </c>
      <c r="O273" s="55" t="str">
        <f aca="false">IF(助手报销!$R$20="","",INDEX(助手报销!$C$2:$C$121,助手报销!$R$20)&amp;"  字第 "&amp;INDEX(助手报销!$P$2:$P$121,助手报销!$R$20)&amp;" 号"&amp;IF(INDEX(助手报销!$L$2:$L$121,助手报销!$R$20)&gt;1,"  (共"&amp;INDEX(助手报销!$L$2:$L$121,助手报销!$R$20)&amp;"页 第"&amp;助手报销!$S$20&amp;"页)",""))</f>
        <v>博园店  字第 19 号</v>
      </c>
    </row>
    <row r="274" customFormat="false" ht="12.75" hidden="false" customHeight="true" outlineLevel="0" collapsed="false">
      <c r="B274" s="61" t="str">
        <f aca="false">IF(助手报销!$R$20&lt;&gt;"","摘　　要","")</f>
        <v>摘　　要</v>
      </c>
      <c r="C274" s="61"/>
      <c r="D274" s="62" t="str">
        <f aca="false">IF(助手报销!$R$20&lt;&gt;"","科　　　　目","")</f>
        <v>科　　　　目</v>
      </c>
      <c r="E274" s="62"/>
      <c r="F274" s="61" t="str">
        <f aca="false">IF(助手报销!$R$20&lt;&gt;"","借 方 金 额","")</f>
        <v>借 方 金 额</v>
      </c>
      <c r="G274" s="62" t="str">
        <f aca="false">IF(助手报销!$R$20&lt;&gt;"","贷 方 金 额","")</f>
        <v>贷 方 金 额</v>
      </c>
      <c r="H274" s="63" t="str">
        <f aca="false">IF(助手报销!$R$20&lt;&gt;"","√","")</f>
        <v>√</v>
      </c>
      <c r="I274" s="64" t="str">
        <f aca="false">IF(助手报销!$R$20&lt;&gt;"","附单据  张","")</f>
        <v>附单据  张</v>
      </c>
    </row>
    <row r="275" customFormat="false" ht="12.75" hidden="false" customHeight="true" outlineLevel="0" collapsed="false">
      <c r="B275" s="61"/>
      <c r="C275" s="61"/>
      <c r="D275" s="23" t="str">
        <f aca="false">IF(助手报销!$R$20&lt;&gt;"","总 账 科 目","")</f>
        <v>总 账 科 目</v>
      </c>
      <c r="E275" s="23" t="str">
        <f aca="false">IF(助手报销!$R$20&lt;&gt;"","明 细 科 目","")</f>
        <v>明 细 科 目</v>
      </c>
      <c r="F275" s="65"/>
      <c r="G275" s="66"/>
      <c r="H275" s="63"/>
      <c r="I275" s="64"/>
    </row>
    <row r="276" customFormat="false" ht="23.25" hidden="false" customHeight="true" outlineLevel="0" collapsed="false">
      <c r="B276" s="67" t="str">
        <f aca="false">IFERROR(INDEX(分录报销!$M:$M,MATCH($L276,分录报销!$L:$L,0)),"")</f>
        <v>色带慢病用品</v>
      </c>
      <c r="C276" s="67"/>
      <c r="D276" s="23" t="str">
        <f aca="false">IFERROR(INDEX(分录报销!$E:$E,MATCH($L276,分录报销!$L:$L,0)),"")</f>
        <v>销售费用</v>
      </c>
      <c r="E276" s="23" t="str">
        <f aca="false">IFERROR(INDEX(分录报销!$F:$F,MATCH($L276,分录报销!$L:$L,0)),"")</f>
        <v>办公费</v>
      </c>
      <c r="F276" s="68" t="n">
        <f aca="false">IFERROR(INDEX(分录报销!$H:$H,MATCH($L276,分录报销!$L:$L,0)),"")</f>
        <v>72.4</v>
      </c>
      <c r="G276" s="69" t="str">
        <f aca="false">IFERROR(INDEX(分录报销!$I:$I,MATCH($L276,分录报销!$L:$L,0)),"")</f>
        <v/>
      </c>
      <c r="H276" s="23"/>
      <c r="I276" s="70"/>
      <c r="L276" s="71" t="n">
        <f aca="false">IF(助手报销!$R$20="",-1,助手报销!$R$20*100+(助手报销!$S$20-1)*6+1)</f>
        <v>1901</v>
      </c>
    </row>
    <row r="277" customFormat="false" ht="23.25" hidden="false" customHeight="true" outlineLevel="0" collapsed="false">
      <c r="B277" s="67" t="str">
        <f aca="false">IFERROR(INDEX(分录报销!$M:$M,MATCH($L277,分录报销!$L:$L,0)),"")</f>
        <v>电费</v>
      </c>
      <c r="C277" s="67"/>
      <c r="D277" s="23" t="str">
        <f aca="false">IFERROR(INDEX(分录报销!$E:$E,MATCH($L277,分录报销!$L:$L,0)),"")</f>
        <v>销售费用</v>
      </c>
      <c r="E277" s="23" t="str">
        <f aca="false">IFERROR(INDEX(分录报销!$F:$F,MATCH($L277,分录报销!$L:$L,0)),"")</f>
        <v>电费</v>
      </c>
      <c r="F277" s="68" t="n">
        <f aca="false">IFERROR(INDEX(分录报销!$H:$H,MATCH($L277,分录报销!$L:$L,0)),"")</f>
        <v>800</v>
      </c>
      <c r="G277" s="69" t="str">
        <f aca="false">IFERROR(INDEX(分录报销!$I:$I,MATCH($L277,分录报销!$L:$L,0)),"")</f>
        <v/>
      </c>
      <c r="H277" s="23"/>
      <c r="I277" s="70"/>
      <c r="L277" s="71" t="n">
        <f aca="false">IF(助手报销!$R$20="",-1,助手报销!$R$20*100+(助手报销!$S$20-1)*6+2)</f>
        <v>1902</v>
      </c>
    </row>
    <row r="278" customFormat="false" ht="23.25" hidden="false" customHeight="true" outlineLevel="0" collapsed="false">
      <c r="B278" s="67" t="str">
        <f aca="false">IFERROR(INDEX(分录报销!$M:$M,MATCH($L278,分录报销!$L:$L,0)),"")</f>
        <v/>
      </c>
      <c r="C278" s="67"/>
      <c r="D278" s="23" t="str">
        <f aca="false">IFERROR(INDEX(分录报销!$E:$E,MATCH($L278,分录报销!$L:$L,0)),"")</f>
        <v>库存现金</v>
      </c>
      <c r="E278" s="23" t="str">
        <f aca="false">IFERROR(INDEX(分录报销!$F:$F,MATCH($L278,分录报销!$L:$L,0)),"")</f>
        <v/>
      </c>
      <c r="F278" s="68" t="str">
        <f aca="false">IFERROR(INDEX(分录报销!$H:$H,MATCH($L278,分录报销!$L:$L,0)),"")</f>
        <v/>
      </c>
      <c r="G278" s="69" t="n">
        <f aca="false">IFERROR(INDEX(分录报销!$I:$I,MATCH($L278,分录报销!$L:$L,0)),"")</f>
        <v>872.4</v>
      </c>
      <c r="H278" s="23"/>
      <c r="I278" s="70"/>
      <c r="L278" s="71" t="n">
        <f aca="false">IF(助手报销!$R$20="",-1,助手报销!$R$20*100+(助手报销!$S$20-1)*6+3)</f>
        <v>1903</v>
      </c>
    </row>
    <row r="279" customFormat="false" ht="23.25" hidden="false" customHeight="true" outlineLevel="0" collapsed="false">
      <c r="B279" s="67" t="str">
        <f aca="false">IFERROR(INDEX(分录报销!$M:$M,MATCH($L279,分录报销!$L:$L,0)),"")</f>
        <v/>
      </c>
      <c r="C279" s="67"/>
      <c r="D279" s="23" t="str">
        <f aca="false">IFERROR(INDEX(分录报销!$E:$E,MATCH($L279,分录报销!$L:$L,0)),"")</f>
        <v/>
      </c>
      <c r="E279" s="23" t="str">
        <f aca="false">IFERROR(INDEX(分录报销!$F:$F,MATCH($L279,分录报销!$L:$L,0)),"")</f>
        <v/>
      </c>
      <c r="F279" s="68" t="str">
        <f aca="false">IFERROR(INDEX(分录报销!$H:$H,MATCH($L279,分录报销!$L:$L,0)),"")</f>
        <v/>
      </c>
      <c r="G279" s="69" t="str">
        <f aca="false">IFERROR(INDEX(分录报销!$I:$I,MATCH($L279,分录报销!$L:$L,0)),"")</f>
        <v/>
      </c>
      <c r="H279" s="23"/>
      <c r="I279" s="70"/>
      <c r="L279" s="71" t="n">
        <f aca="false">IF(助手报销!$R$20="",-1,助手报销!$R$20*100+(助手报销!$S$20-1)*6+4)</f>
        <v>1904</v>
      </c>
    </row>
    <row r="280" customFormat="false" ht="23.25" hidden="false" customHeight="true" outlineLevel="0" collapsed="false">
      <c r="B280" s="67" t="str">
        <f aca="false">IFERROR(INDEX(分录报销!$M:$M,MATCH($L280,分录报销!$L:$L,0)),"")</f>
        <v/>
      </c>
      <c r="C280" s="67"/>
      <c r="D280" s="23" t="str">
        <f aca="false">IFERROR(INDEX(分录报销!$E:$E,MATCH($L280,分录报销!$L:$L,0)),"")</f>
        <v/>
      </c>
      <c r="E280" s="23" t="str">
        <f aca="false">IFERROR(INDEX(分录报销!$F:$F,MATCH($L280,分录报销!$L:$L,0)),"")</f>
        <v/>
      </c>
      <c r="F280" s="68" t="str">
        <f aca="false">IFERROR(INDEX(分录报销!$H:$H,MATCH($L280,分录报销!$L:$L,0)),"")</f>
        <v/>
      </c>
      <c r="G280" s="69" t="str">
        <f aca="false">IFERROR(INDEX(分录报销!$I:$I,MATCH($L280,分录报销!$L:$L,0)),"")</f>
        <v/>
      </c>
      <c r="H280" s="23"/>
      <c r="I280" s="70"/>
      <c r="L280" s="71" t="n">
        <f aca="false">IF(助手报销!$R$20="",-1,助手报销!$R$20*100+(助手报销!$S$20-1)*6+5)</f>
        <v>1905</v>
      </c>
    </row>
    <row r="281" customFormat="false" ht="23.25" hidden="false" customHeight="true" outlineLevel="0" collapsed="false">
      <c r="B281" s="67" t="str">
        <f aca="false">IFERROR(INDEX(分录报销!$M:$M,MATCH($L281,分录报销!$L:$L,0)),"")</f>
        <v/>
      </c>
      <c r="C281" s="67"/>
      <c r="D281" s="23" t="str">
        <f aca="false">IFERROR(INDEX(分录报销!$E:$E,MATCH($L281,分录报销!$L:$L,0)),"")</f>
        <v/>
      </c>
      <c r="E281" s="23" t="str">
        <f aca="false">IFERROR(INDEX(分录报销!$F:$F,MATCH($L281,分录报销!$L:$L,0)),"")</f>
        <v/>
      </c>
      <c r="F281" s="68" t="str">
        <f aca="false">IFERROR(INDEX(分录报销!$H:$H,MATCH($L281,分录报销!$L:$L,0)),"")</f>
        <v/>
      </c>
      <c r="G281" s="69" t="str">
        <f aca="false">IFERROR(INDEX(分录报销!$I:$I,MATCH($L281,分录报销!$L:$L,0)),"")</f>
        <v/>
      </c>
      <c r="H281" s="23"/>
      <c r="I281" s="70"/>
      <c r="L281" s="71" t="n">
        <f aca="false">IF(助手报销!$R$20="",-1,助手报销!$R$20*100+(助手报销!$S$20-1)*6+6)</f>
        <v>1906</v>
      </c>
    </row>
    <row r="282" customFormat="false" ht="23.25" hidden="false" customHeight="true" outlineLevel="0" collapsed="false">
      <c r="B282" s="72" t="str">
        <f aca="false">IF(助手报销!$T$20=1,"合计：","")</f>
        <v>合计：</v>
      </c>
      <c r="C282" s="73" t="n">
        <f aca="false">IF(助手报销!$T$20=1,$F282,"")</f>
        <v>872.4</v>
      </c>
      <c r="D282" s="74"/>
      <c r="E282" s="74"/>
      <c r="F282" s="75" t="n">
        <f aca="false">IF(助手报销!$T$20=1,INDEX(助手报销!$N$2:$N$121,助手报销!$R$20),"")</f>
        <v>872.4</v>
      </c>
      <c r="G282" s="76" t="n">
        <f aca="false">IF(助手报销!$T$20=1,INDEX(助手报销!$O$2:$O$121,助手报销!$R$20),"")</f>
        <v>872.4</v>
      </c>
      <c r="H282" s="74"/>
      <c r="I282" s="77"/>
    </row>
    <row r="283" customFormat="false" ht="6" hidden="false" customHeight="true" outlineLevel="0" collapsed="false"/>
    <row r="284" customFormat="false" ht="13.5" hidden="false" customHeight="false" outlineLevel="0" collapsed="false">
      <c r="B284" s="78" t="str">
        <f aca="false">IF(助手报销!$R$20&lt;&gt;"","会计主管：","")</f>
        <v>会计主管：</v>
      </c>
      <c r="D284" s="78" t="str">
        <f aca="false">IF(助手报销!$R$20&lt;&gt;"","会计：","")</f>
        <v>会计：</v>
      </c>
      <c r="E284" s="78" t="str">
        <f aca="false">IF(助手报销!$R$20&lt;&gt;"","出纳：","")</f>
        <v>出纳：</v>
      </c>
      <c r="F284" s="78" t="str">
        <f aca="false">IF(助手报销!$R$20&lt;&gt;"","复核：","")</f>
        <v>复核：</v>
      </c>
      <c r="G284" s="78" t="str">
        <f aca="false">IF(助手报销!$R$20&lt;&gt;"","制单：","")</f>
        <v>制单：</v>
      </c>
    </row>
    <row r="285" customFormat="false" ht="3" hidden="false" customHeight="true" outlineLevel="0" collapsed="false"/>
    <row r="286" customFormat="false" ht="19.5" hidden="false" customHeight="true" outlineLevel="0" collapsed="false">
      <c r="B286" s="53" t="str">
        <f aca="false">IF(助手报销!$R$21&lt;&gt;"","记  账  凭  证","")</f>
        <v>记  账  凭  证</v>
      </c>
      <c r="C286" s="53"/>
      <c r="D286" s="53"/>
      <c r="E286" s="53"/>
      <c r="F286" s="53"/>
      <c r="G286" s="53"/>
      <c r="H286" s="53"/>
      <c r="I286" s="53"/>
    </row>
    <row r="287" customFormat="false" ht="3" hidden="false" customHeight="true" outlineLevel="0" collapsed="false"/>
    <row r="288" customFormat="false" ht="15" hidden="false" customHeight="true" outlineLevel="0" collapsed="false">
      <c r="C288" s="56" t="str">
        <f aca="false">IF(助手报销!$R$21&lt;&gt;"",INDEX(助手报销!$B$2:$B$121,助手报销!$R$21),"")</f>
        <v/>
      </c>
      <c r="D288" s="57" t="n">
        <f aca="false">IF(助手报销!$R$21&lt;&gt;"",INDEX(助手报销!$D$2:$D$121,助手报销!$R$21),"")</f>
        <v>46265</v>
      </c>
      <c r="E288" s="57"/>
      <c r="F288" s="58" t="str">
        <f aca="false">IF(助手报销!$R$21&lt;&gt;"",INDEX(助手报销!$C$2:$C$121,助手报销!$R$21)&amp;"  字第 "&amp;IF(参数!$B$9="是",INDEX(助手报销!$P$2:$P$121,助手报销!$R$21),"　　　　")&amp;" 号"&amp;IF(INDEX(助手报销!$L$2:$L$121,助手报销!$R$21)&gt;1,"  (共"&amp;INDEX(助手报销!$L$2:$L$121,助手报销!$R$21)&amp;"页 第"&amp;助手报销!$S$21&amp;"页)",""),"")</f>
        <v>新华路店  字第 　　　　 号</v>
      </c>
      <c r="G288" s="58"/>
      <c r="H288" s="58"/>
      <c r="I288" s="58"/>
      <c r="M288" s="59" t="n">
        <f aca="false">IF(助手报销!$R$21="","",助手报销!$Q$21)</f>
        <v>20</v>
      </c>
      <c r="N288" s="60" t="n">
        <f aca="false">IF(助手报销!$R$21="","",INDEX(助手报销!$P$2:$P$121,助手报销!$R$21))</f>
        <v>20</v>
      </c>
      <c r="O288" s="55" t="str">
        <f aca="false">IF(助手报销!$R$21="","",INDEX(助手报销!$C$2:$C$121,助手报销!$R$21)&amp;"  字第 "&amp;INDEX(助手报销!$P$2:$P$121,助手报销!$R$21)&amp;" 号"&amp;IF(INDEX(助手报销!$L$2:$L$121,助手报销!$R$21)&gt;1,"  (共"&amp;INDEX(助手报销!$L$2:$L$121,助手报销!$R$21)&amp;"页 第"&amp;助手报销!$S$21&amp;"页)",""))</f>
        <v>新华路店  字第 20 号</v>
      </c>
    </row>
    <row r="289" customFormat="false" ht="12.75" hidden="false" customHeight="true" outlineLevel="0" collapsed="false">
      <c r="B289" s="61" t="str">
        <f aca="false">IF(助手报销!$R$21&lt;&gt;"","摘　　要","")</f>
        <v>摘　　要</v>
      </c>
      <c r="C289" s="61"/>
      <c r="D289" s="62" t="str">
        <f aca="false">IF(助手报销!$R$21&lt;&gt;"","科　　　　目","")</f>
        <v>科　　　　目</v>
      </c>
      <c r="E289" s="62"/>
      <c r="F289" s="61" t="str">
        <f aca="false">IF(助手报销!$R$21&lt;&gt;"","借 方 金 额","")</f>
        <v>借 方 金 额</v>
      </c>
      <c r="G289" s="62" t="str">
        <f aca="false">IF(助手报销!$R$21&lt;&gt;"","贷 方 金 额","")</f>
        <v>贷 方 金 额</v>
      </c>
      <c r="H289" s="63" t="str">
        <f aca="false">IF(助手报销!$R$21&lt;&gt;"","√","")</f>
        <v>√</v>
      </c>
      <c r="I289" s="64" t="str">
        <f aca="false">IF(助手报销!$R$21&lt;&gt;"","附单据  张","")</f>
        <v>附单据  张</v>
      </c>
    </row>
    <row r="290" customFormat="false" ht="12.75" hidden="false" customHeight="true" outlineLevel="0" collapsed="false">
      <c r="B290" s="61"/>
      <c r="C290" s="61"/>
      <c r="D290" s="23" t="str">
        <f aca="false">IF(助手报销!$R$21&lt;&gt;"","总 账 科 目","")</f>
        <v>总 账 科 目</v>
      </c>
      <c r="E290" s="23" t="str">
        <f aca="false">IF(助手报销!$R$21&lt;&gt;"","明 细 科 目","")</f>
        <v>明 细 科 目</v>
      </c>
      <c r="F290" s="65"/>
      <c r="G290" s="66"/>
      <c r="H290" s="63"/>
      <c r="I290" s="64"/>
    </row>
    <row r="291" customFormat="false" ht="23.25" hidden="false" customHeight="true" outlineLevel="0" collapsed="false">
      <c r="B291" s="67" t="str">
        <f aca="false">IFERROR(INDEX(分录报销!$M:$M,MATCH($L291,分录报销!$L:$L,0)),"")</f>
        <v>水费</v>
      </c>
      <c r="C291" s="67"/>
      <c r="D291" s="23" t="str">
        <f aca="false">IFERROR(INDEX(分录报销!$E:$E,MATCH($L291,分录报销!$L:$L,0)),"")</f>
        <v>销售费用</v>
      </c>
      <c r="E291" s="23" t="str">
        <f aca="false">IFERROR(INDEX(分录报销!$F:$F,MATCH($L291,分录报销!$L:$L,0)),"")</f>
        <v>水费</v>
      </c>
      <c r="F291" s="68" t="n">
        <f aca="false">IFERROR(INDEX(分录报销!$H:$H,MATCH($L291,分录报销!$L:$L,0)),"")</f>
        <v>27.54</v>
      </c>
      <c r="G291" s="69" t="str">
        <f aca="false">IFERROR(INDEX(分录报销!$I:$I,MATCH($L291,分录报销!$L:$L,0)),"")</f>
        <v/>
      </c>
      <c r="H291" s="23"/>
      <c r="I291" s="70"/>
      <c r="L291" s="71" t="n">
        <f aca="false">IF(助手报销!$R$21="",-1,助手报销!$R$21*100+(助手报销!$S$21-1)*6+1)</f>
        <v>2001</v>
      </c>
    </row>
    <row r="292" customFormat="false" ht="23.25" hidden="false" customHeight="true" outlineLevel="0" collapsed="false">
      <c r="B292" s="67" t="str">
        <f aca="false">IFERROR(INDEX(分录报销!$M:$M,MATCH($L292,分录报销!$L:$L,0)),"")</f>
        <v>结构胶</v>
      </c>
      <c r="C292" s="67"/>
      <c r="D292" s="23" t="str">
        <f aca="false">IFERROR(INDEX(分录报销!$E:$E,MATCH($L292,分录报销!$L:$L,0)),"")</f>
        <v>销售费用</v>
      </c>
      <c r="E292" s="23" t="str">
        <f aca="false">IFERROR(INDEX(分录报销!$F:$F,MATCH($L292,分录报销!$L:$L,0)),"")</f>
        <v>办公费</v>
      </c>
      <c r="F292" s="68" t="n">
        <f aca="false">IFERROR(INDEX(分录报销!$H:$H,MATCH($L292,分录报销!$L:$L,0)),"")</f>
        <v>27</v>
      </c>
      <c r="G292" s="69" t="str">
        <f aca="false">IFERROR(INDEX(分录报销!$I:$I,MATCH($L292,分录报销!$L:$L,0)),"")</f>
        <v/>
      </c>
      <c r="H292" s="23"/>
      <c r="I292" s="70"/>
      <c r="L292" s="71" t="n">
        <f aca="false">IF(助手报销!$R$21="",-1,助手报销!$R$21*100+(助手报销!$S$21-1)*6+2)</f>
        <v>2002</v>
      </c>
    </row>
    <row r="293" customFormat="false" ht="23.25" hidden="false" customHeight="true" outlineLevel="0" collapsed="false">
      <c r="B293" s="67" t="str">
        <f aca="false">IFERROR(INDEX(分录报销!$M:$M,MATCH($L293,分录报销!$L:$L,0)),"")</f>
        <v>电费</v>
      </c>
      <c r="C293" s="67"/>
      <c r="D293" s="23" t="str">
        <f aca="false">IFERROR(INDEX(分录报销!$E:$E,MATCH($L293,分录报销!$L:$L,0)),"")</f>
        <v>销售费用</v>
      </c>
      <c r="E293" s="23" t="str">
        <f aca="false">IFERROR(INDEX(分录报销!$F:$F,MATCH($L293,分录报销!$L:$L,0)),"")</f>
        <v>电费</v>
      </c>
      <c r="F293" s="68" t="n">
        <f aca="false">IFERROR(INDEX(分录报销!$H:$H,MATCH($L293,分录报销!$L:$L,0)),"")</f>
        <v>1000</v>
      </c>
      <c r="G293" s="69" t="str">
        <f aca="false">IFERROR(INDEX(分录报销!$I:$I,MATCH($L293,分录报销!$L:$L,0)),"")</f>
        <v/>
      </c>
      <c r="H293" s="23"/>
      <c r="I293" s="70"/>
      <c r="L293" s="71" t="n">
        <f aca="false">IF(助手报销!$R$21="",-1,助手报销!$R$21*100+(助手报销!$S$21-1)*6+3)</f>
        <v>2003</v>
      </c>
    </row>
    <row r="294" customFormat="false" ht="23.25" hidden="false" customHeight="true" outlineLevel="0" collapsed="false">
      <c r="B294" s="67" t="str">
        <f aca="false">IFERROR(INDEX(分录报销!$M:$M,MATCH($L294,分录报销!$L:$L,0)),"")</f>
        <v/>
      </c>
      <c r="C294" s="67"/>
      <c r="D294" s="23" t="str">
        <f aca="false">IFERROR(INDEX(分录报销!$E:$E,MATCH($L294,分录报销!$L:$L,0)),"")</f>
        <v>库存现金</v>
      </c>
      <c r="E294" s="23" t="str">
        <f aca="false">IFERROR(INDEX(分录报销!$F:$F,MATCH($L294,分录报销!$L:$L,0)),"")</f>
        <v/>
      </c>
      <c r="F294" s="68" t="str">
        <f aca="false">IFERROR(INDEX(分录报销!$H:$H,MATCH($L294,分录报销!$L:$L,0)),"")</f>
        <v/>
      </c>
      <c r="G294" s="69" t="n">
        <f aca="false">IFERROR(INDEX(分录报销!$I:$I,MATCH($L294,分录报销!$L:$L,0)),"")</f>
        <v>1054.54</v>
      </c>
      <c r="H294" s="23"/>
      <c r="I294" s="70"/>
      <c r="L294" s="71" t="n">
        <f aca="false">IF(助手报销!$R$21="",-1,助手报销!$R$21*100+(助手报销!$S$21-1)*6+4)</f>
        <v>2004</v>
      </c>
    </row>
    <row r="295" customFormat="false" ht="23.25" hidden="false" customHeight="true" outlineLevel="0" collapsed="false">
      <c r="B295" s="67" t="str">
        <f aca="false">IFERROR(INDEX(分录报销!$M:$M,MATCH($L295,分录报销!$L:$L,0)),"")</f>
        <v/>
      </c>
      <c r="C295" s="67"/>
      <c r="D295" s="23" t="str">
        <f aca="false">IFERROR(INDEX(分录报销!$E:$E,MATCH($L295,分录报销!$L:$L,0)),"")</f>
        <v/>
      </c>
      <c r="E295" s="23" t="str">
        <f aca="false">IFERROR(INDEX(分录报销!$F:$F,MATCH($L295,分录报销!$L:$L,0)),"")</f>
        <v/>
      </c>
      <c r="F295" s="68" t="str">
        <f aca="false">IFERROR(INDEX(分录报销!$H:$H,MATCH($L295,分录报销!$L:$L,0)),"")</f>
        <v/>
      </c>
      <c r="G295" s="69" t="str">
        <f aca="false">IFERROR(INDEX(分录报销!$I:$I,MATCH($L295,分录报销!$L:$L,0)),"")</f>
        <v/>
      </c>
      <c r="H295" s="23"/>
      <c r="I295" s="70"/>
      <c r="L295" s="71" t="n">
        <f aca="false">IF(助手报销!$R$21="",-1,助手报销!$R$21*100+(助手报销!$S$21-1)*6+5)</f>
        <v>2005</v>
      </c>
    </row>
    <row r="296" customFormat="false" ht="23.25" hidden="false" customHeight="true" outlineLevel="0" collapsed="false">
      <c r="B296" s="67" t="str">
        <f aca="false">IFERROR(INDEX(分录报销!$M:$M,MATCH($L296,分录报销!$L:$L,0)),"")</f>
        <v/>
      </c>
      <c r="C296" s="67"/>
      <c r="D296" s="23" t="str">
        <f aca="false">IFERROR(INDEX(分录报销!$E:$E,MATCH($L296,分录报销!$L:$L,0)),"")</f>
        <v/>
      </c>
      <c r="E296" s="23" t="str">
        <f aca="false">IFERROR(INDEX(分录报销!$F:$F,MATCH($L296,分录报销!$L:$L,0)),"")</f>
        <v/>
      </c>
      <c r="F296" s="68" t="str">
        <f aca="false">IFERROR(INDEX(分录报销!$H:$H,MATCH($L296,分录报销!$L:$L,0)),"")</f>
        <v/>
      </c>
      <c r="G296" s="69" t="str">
        <f aca="false">IFERROR(INDEX(分录报销!$I:$I,MATCH($L296,分录报销!$L:$L,0)),"")</f>
        <v/>
      </c>
      <c r="H296" s="23"/>
      <c r="I296" s="70"/>
      <c r="L296" s="71" t="n">
        <f aca="false">IF(助手报销!$R$21="",-1,助手报销!$R$21*100+(助手报销!$S$21-1)*6+6)</f>
        <v>2006</v>
      </c>
    </row>
    <row r="297" customFormat="false" ht="23.25" hidden="false" customHeight="true" outlineLevel="0" collapsed="false">
      <c r="B297" s="72" t="str">
        <f aca="false">IF(助手报销!$T$21=1,"合计：","")</f>
        <v>合计：</v>
      </c>
      <c r="C297" s="73" t="n">
        <f aca="false">IF(助手报销!$T$21=1,$F297,"")</f>
        <v>1054.54</v>
      </c>
      <c r="D297" s="74"/>
      <c r="E297" s="74"/>
      <c r="F297" s="75" t="n">
        <f aca="false">IF(助手报销!$T$21=1,INDEX(助手报销!$N$2:$N$121,助手报销!$R$21),"")</f>
        <v>1054.54</v>
      </c>
      <c r="G297" s="76" t="n">
        <f aca="false">IF(助手报销!$T$21=1,INDEX(助手报销!$O$2:$O$121,助手报销!$R$21),"")</f>
        <v>1054.54</v>
      </c>
      <c r="H297" s="74"/>
      <c r="I297" s="77"/>
    </row>
    <row r="298" customFormat="false" ht="6" hidden="false" customHeight="true" outlineLevel="0" collapsed="false"/>
    <row r="299" customFormat="false" ht="13.5" hidden="false" customHeight="false" outlineLevel="0" collapsed="false">
      <c r="B299" s="78" t="str">
        <f aca="false">IF(助手报销!$R$21&lt;&gt;"","会计主管：","")</f>
        <v>会计主管：</v>
      </c>
      <c r="D299" s="78" t="str">
        <f aca="false">IF(助手报销!$R$21&lt;&gt;"","会计：","")</f>
        <v>会计：</v>
      </c>
      <c r="E299" s="78" t="str">
        <f aca="false">IF(助手报销!$R$21&lt;&gt;"","出纳：","")</f>
        <v>出纳：</v>
      </c>
      <c r="F299" s="78" t="str">
        <f aca="false">IF(助手报销!$R$21&lt;&gt;"","复核：","")</f>
        <v>复核：</v>
      </c>
      <c r="G299" s="78" t="str">
        <f aca="false">IF(助手报销!$R$21&lt;&gt;"","制单：","")</f>
        <v>制单：</v>
      </c>
    </row>
    <row r="300" customFormat="false" ht="3" hidden="false" customHeight="true" outlineLevel="0" collapsed="false"/>
    <row r="301" customFormat="false" ht="19.5" hidden="false" customHeight="true" outlineLevel="0" collapsed="false">
      <c r="B301" s="53" t="str">
        <f aca="false">IF(助手报销!$R$22&lt;&gt;"","记  账  凭  证","")</f>
        <v>记  账  凭  证</v>
      </c>
      <c r="C301" s="53"/>
      <c r="D301" s="53"/>
      <c r="E301" s="53"/>
      <c r="F301" s="53"/>
      <c r="G301" s="53"/>
      <c r="H301" s="53"/>
      <c r="I301" s="53"/>
    </row>
    <row r="302" customFormat="false" ht="3" hidden="false" customHeight="true" outlineLevel="0" collapsed="false"/>
    <row r="303" customFormat="false" ht="15" hidden="false" customHeight="true" outlineLevel="0" collapsed="false">
      <c r="C303" s="56" t="str">
        <f aca="false">IF(助手报销!$R$22&lt;&gt;"",INDEX(助手报销!$B$2:$B$121,助手报销!$R$22),"")</f>
        <v/>
      </c>
      <c r="D303" s="57" t="n">
        <f aca="false">IF(助手报销!$R$22&lt;&gt;"",INDEX(助手报销!$D$2:$D$121,助手报销!$R$22),"")</f>
        <v>46265</v>
      </c>
      <c r="E303" s="57"/>
      <c r="F303" s="58" t="str">
        <f aca="false">IF(助手报销!$R$22&lt;&gt;"",INDEX(助手报销!$C$2:$C$121,助手报销!$R$22)&amp;"  字第 "&amp;IF(参数!$B$9="是",INDEX(助手报销!$P$2:$P$121,助手报销!$R$22),"　　　　")&amp;" 号"&amp;IF(INDEX(助手报销!$L$2:$L$121,助手报销!$R$22)&gt;1,"  (共"&amp;INDEX(助手报销!$L$2:$L$121,助手报销!$R$22)&amp;"页 第"&amp;助手报销!$S$22&amp;"页)",""),"")</f>
        <v>杨村王街店  字第 　　　　 号</v>
      </c>
      <c r="G303" s="58"/>
      <c r="H303" s="58"/>
      <c r="I303" s="58"/>
      <c r="M303" s="59" t="n">
        <f aca="false">IF(助手报销!$R$22="","",助手报销!$Q$22)</f>
        <v>21</v>
      </c>
      <c r="N303" s="60" t="n">
        <f aca="false">IF(助手报销!$R$22="","",INDEX(助手报销!$P$2:$P$121,助手报销!$R$22))</f>
        <v>21</v>
      </c>
      <c r="O303" s="55" t="str">
        <f aca="false">IF(助手报销!$R$22="","",INDEX(助手报销!$C$2:$C$121,助手报销!$R$22)&amp;"  字第 "&amp;INDEX(助手报销!$P$2:$P$121,助手报销!$R$22)&amp;" 号"&amp;IF(INDEX(助手报销!$L$2:$L$121,助手报销!$R$22)&gt;1,"  (共"&amp;INDEX(助手报销!$L$2:$L$121,助手报销!$R$22)&amp;"页 第"&amp;助手报销!$S$22&amp;"页)",""))</f>
        <v>杨村王街店  字第 21 号</v>
      </c>
    </row>
    <row r="304" customFormat="false" ht="12.75" hidden="false" customHeight="true" outlineLevel="0" collapsed="false">
      <c r="B304" s="61" t="str">
        <f aca="false">IF(助手报销!$R$22&lt;&gt;"","摘　　要","")</f>
        <v>摘　　要</v>
      </c>
      <c r="C304" s="61"/>
      <c r="D304" s="62" t="str">
        <f aca="false">IF(助手报销!$R$22&lt;&gt;"","科　　　　目","")</f>
        <v>科　　　　目</v>
      </c>
      <c r="E304" s="62"/>
      <c r="F304" s="61" t="str">
        <f aca="false">IF(助手报销!$R$22&lt;&gt;"","借 方 金 额","")</f>
        <v>借 方 金 额</v>
      </c>
      <c r="G304" s="62" t="str">
        <f aca="false">IF(助手报销!$R$22&lt;&gt;"","贷 方 金 额","")</f>
        <v>贷 方 金 额</v>
      </c>
      <c r="H304" s="63" t="str">
        <f aca="false">IF(助手报销!$R$22&lt;&gt;"","√","")</f>
        <v>√</v>
      </c>
      <c r="I304" s="64" t="str">
        <f aca="false">IF(助手报销!$R$22&lt;&gt;"","附单据  张","")</f>
        <v>附单据  张</v>
      </c>
    </row>
    <row r="305" customFormat="false" ht="12.75" hidden="false" customHeight="true" outlineLevel="0" collapsed="false">
      <c r="B305" s="61"/>
      <c r="C305" s="61"/>
      <c r="D305" s="23" t="str">
        <f aca="false">IF(助手报销!$R$22&lt;&gt;"","总 账 科 目","")</f>
        <v>总 账 科 目</v>
      </c>
      <c r="E305" s="23" t="str">
        <f aca="false">IF(助手报销!$R$22&lt;&gt;"","明 细 科 目","")</f>
        <v>明 细 科 目</v>
      </c>
      <c r="F305" s="65"/>
      <c r="G305" s="66"/>
      <c r="H305" s="63"/>
      <c r="I305" s="64"/>
    </row>
    <row r="306" customFormat="false" ht="23.25" hidden="false" customHeight="true" outlineLevel="0" collapsed="false">
      <c r="B306" s="67" t="str">
        <f aca="false">IFERROR(INDEX(分录报销!$M:$M,MATCH($L306,分录报销!$L:$L,0)),"")</f>
        <v>水费</v>
      </c>
      <c r="C306" s="67"/>
      <c r="D306" s="23" t="str">
        <f aca="false">IFERROR(INDEX(分录报销!$E:$E,MATCH($L306,分录报销!$L:$L,0)),"")</f>
        <v>销售费用</v>
      </c>
      <c r="E306" s="23" t="str">
        <f aca="false">IFERROR(INDEX(分录报销!$F:$F,MATCH($L306,分录报销!$L:$L,0)),"")</f>
        <v>水费</v>
      </c>
      <c r="F306" s="68" t="n">
        <f aca="false">IFERROR(INDEX(分录报销!$H:$H,MATCH($L306,分录报销!$L:$L,0)),"")</f>
        <v>20</v>
      </c>
      <c r="G306" s="69" t="str">
        <f aca="false">IFERROR(INDEX(分录报销!$I:$I,MATCH($L306,分录报销!$L:$L,0)),"")</f>
        <v/>
      </c>
      <c r="H306" s="23"/>
      <c r="I306" s="70"/>
      <c r="L306" s="71" t="n">
        <f aca="false">IF(助手报销!$R$22="",-1,助手报销!$R$22*100+(助手报销!$S$22-1)*6+1)</f>
        <v>2101</v>
      </c>
    </row>
    <row r="307" customFormat="false" ht="23.25" hidden="false" customHeight="true" outlineLevel="0" collapsed="false">
      <c r="B307" s="67" t="str">
        <f aca="false">IFERROR(INDEX(分录报销!$M:$M,MATCH($L307,分录报销!$L:$L,0)),"")</f>
        <v>慢病用品</v>
      </c>
      <c r="C307" s="67"/>
      <c r="D307" s="23" t="str">
        <f aca="false">IFERROR(INDEX(分录报销!$E:$E,MATCH($L307,分录报销!$L:$L,0)),"")</f>
        <v>销售费用</v>
      </c>
      <c r="E307" s="23" t="str">
        <f aca="false">IFERROR(INDEX(分录报销!$F:$F,MATCH($L307,分录报销!$L:$L,0)),"")</f>
        <v>办公费</v>
      </c>
      <c r="F307" s="68" t="n">
        <f aca="false">IFERROR(INDEX(分录报销!$H:$H,MATCH($L307,分录报销!$L:$L,0)),"")</f>
        <v>59.8</v>
      </c>
      <c r="G307" s="69" t="str">
        <f aca="false">IFERROR(INDEX(分录报销!$I:$I,MATCH($L307,分录报销!$L:$L,0)),"")</f>
        <v/>
      </c>
      <c r="H307" s="23"/>
      <c r="I307" s="70"/>
      <c r="L307" s="71" t="n">
        <f aca="false">IF(助手报销!$R$22="",-1,助手报销!$R$22*100+(助手报销!$S$22-1)*6+2)</f>
        <v>2102</v>
      </c>
    </row>
    <row r="308" customFormat="false" ht="23.25" hidden="false" customHeight="true" outlineLevel="0" collapsed="false">
      <c r="B308" s="67" t="str">
        <f aca="false">IFERROR(INDEX(分录报销!$M:$M,MATCH($L308,分录报销!$L:$L,0)),"")</f>
        <v/>
      </c>
      <c r="C308" s="67"/>
      <c r="D308" s="23" t="str">
        <f aca="false">IFERROR(INDEX(分录报销!$E:$E,MATCH($L308,分录报销!$L:$L,0)),"")</f>
        <v>库存现金</v>
      </c>
      <c r="E308" s="23" t="str">
        <f aca="false">IFERROR(INDEX(分录报销!$F:$F,MATCH($L308,分录报销!$L:$L,0)),"")</f>
        <v/>
      </c>
      <c r="F308" s="68" t="str">
        <f aca="false">IFERROR(INDEX(分录报销!$H:$H,MATCH($L308,分录报销!$L:$L,0)),"")</f>
        <v/>
      </c>
      <c r="G308" s="69" t="n">
        <f aca="false">IFERROR(INDEX(分录报销!$I:$I,MATCH($L308,分录报销!$L:$L,0)),"")</f>
        <v>79.8</v>
      </c>
      <c r="H308" s="23"/>
      <c r="I308" s="70"/>
      <c r="L308" s="71" t="n">
        <f aca="false">IF(助手报销!$R$22="",-1,助手报销!$R$22*100+(助手报销!$S$22-1)*6+3)</f>
        <v>2103</v>
      </c>
    </row>
    <row r="309" customFormat="false" ht="23.25" hidden="false" customHeight="true" outlineLevel="0" collapsed="false">
      <c r="B309" s="67" t="str">
        <f aca="false">IFERROR(INDEX(分录报销!$M:$M,MATCH($L309,分录报销!$L:$L,0)),"")</f>
        <v/>
      </c>
      <c r="C309" s="67"/>
      <c r="D309" s="23" t="str">
        <f aca="false">IFERROR(INDEX(分录报销!$E:$E,MATCH($L309,分录报销!$L:$L,0)),"")</f>
        <v/>
      </c>
      <c r="E309" s="23" t="str">
        <f aca="false">IFERROR(INDEX(分录报销!$F:$F,MATCH($L309,分录报销!$L:$L,0)),"")</f>
        <v/>
      </c>
      <c r="F309" s="68" t="str">
        <f aca="false">IFERROR(INDEX(分录报销!$H:$H,MATCH($L309,分录报销!$L:$L,0)),"")</f>
        <v/>
      </c>
      <c r="G309" s="69" t="str">
        <f aca="false">IFERROR(INDEX(分录报销!$I:$I,MATCH($L309,分录报销!$L:$L,0)),"")</f>
        <v/>
      </c>
      <c r="H309" s="23"/>
      <c r="I309" s="70"/>
      <c r="L309" s="71" t="n">
        <f aca="false">IF(助手报销!$R$22="",-1,助手报销!$R$22*100+(助手报销!$S$22-1)*6+4)</f>
        <v>2104</v>
      </c>
    </row>
    <row r="310" customFormat="false" ht="23.25" hidden="false" customHeight="true" outlineLevel="0" collapsed="false">
      <c r="B310" s="67" t="str">
        <f aca="false">IFERROR(INDEX(分录报销!$M:$M,MATCH($L310,分录报销!$L:$L,0)),"")</f>
        <v/>
      </c>
      <c r="C310" s="67"/>
      <c r="D310" s="23" t="str">
        <f aca="false">IFERROR(INDEX(分录报销!$E:$E,MATCH($L310,分录报销!$L:$L,0)),"")</f>
        <v/>
      </c>
      <c r="E310" s="23" t="str">
        <f aca="false">IFERROR(INDEX(分录报销!$F:$F,MATCH($L310,分录报销!$L:$L,0)),"")</f>
        <v/>
      </c>
      <c r="F310" s="68" t="str">
        <f aca="false">IFERROR(INDEX(分录报销!$H:$H,MATCH($L310,分录报销!$L:$L,0)),"")</f>
        <v/>
      </c>
      <c r="G310" s="69" t="str">
        <f aca="false">IFERROR(INDEX(分录报销!$I:$I,MATCH($L310,分录报销!$L:$L,0)),"")</f>
        <v/>
      </c>
      <c r="H310" s="23"/>
      <c r="I310" s="70"/>
      <c r="L310" s="71" t="n">
        <f aca="false">IF(助手报销!$R$22="",-1,助手报销!$R$22*100+(助手报销!$S$22-1)*6+5)</f>
        <v>2105</v>
      </c>
    </row>
    <row r="311" customFormat="false" ht="23.25" hidden="false" customHeight="true" outlineLevel="0" collapsed="false">
      <c r="B311" s="67" t="str">
        <f aca="false">IFERROR(INDEX(分录报销!$M:$M,MATCH($L311,分录报销!$L:$L,0)),"")</f>
        <v/>
      </c>
      <c r="C311" s="67"/>
      <c r="D311" s="23" t="str">
        <f aca="false">IFERROR(INDEX(分录报销!$E:$E,MATCH($L311,分录报销!$L:$L,0)),"")</f>
        <v/>
      </c>
      <c r="E311" s="23" t="str">
        <f aca="false">IFERROR(INDEX(分录报销!$F:$F,MATCH($L311,分录报销!$L:$L,0)),"")</f>
        <v/>
      </c>
      <c r="F311" s="68" t="str">
        <f aca="false">IFERROR(INDEX(分录报销!$H:$H,MATCH($L311,分录报销!$L:$L,0)),"")</f>
        <v/>
      </c>
      <c r="G311" s="69" t="str">
        <f aca="false">IFERROR(INDEX(分录报销!$I:$I,MATCH($L311,分录报销!$L:$L,0)),"")</f>
        <v/>
      </c>
      <c r="H311" s="23"/>
      <c r="I311" s="70"/>
      <c r="L311" s="71" t="n">
        <f aca="false">IF(助手报销!$R$22="",-1,助手报销!$R$22*100+(助手报销!$S$22-1)*6+6)</f>
        <v>2106</v>
      </c>
    </row>
    <row r="312" customFormat="false" ht="23.25" hidden="false" customHeight="true" outlineLevel="0" collapsed="false">
      <c r="B312" s="72" t="str">
        <f aca="false">IF(助手报销!$T$22=1,"合计：","")</f>
        <v>合计：</v>
      </c>
      <c r="C312" s="73" t="n">
        <f aca="false">IF(助手报销!$T$22=1,$F312,"")</f>
        <v>79.8</v>
      </c>
      <c r="D312" s="74"/>
      <c r="E312" s="74"/>
      <c r="F312" s="75" t="n">
        <f aca="false">IF(助手报销!$T$22=1,INDEX(助手报销!$N$2:$N$121,助手报销!$R$22),"")</f>
        <v>79.8</v>
      </c>
      <c r="G312" s="76" t="n">
        <f aca="false">IF(助手报销!$T$22=1,INDEX(助手报销!$O$2:$O$121,助手报销!$R$22),"")</f>
        <v>79.8</v>
      </c>
      <c r="H312" s="74"/>
      <c r="I312" s="77"/>
    </row>
    <row r="313" customFormat="false" ht="6" hidden="false" customHeight="true" outlineLevel="0" collapsed="false"/>
    <row r="314" customFormat="false" ht="13.5" hidden="false" customHeight="false" outlineLevel="0" collapsed="false">
      <c r="B314" s="78" t="str">
        <f aca="false">IF(助手报销!$R$22&lt;&gt;"","会计主管：","")</f>
        <v>会计主管：</v>
      </c>
      <c r="D314" s="78" t="str">
        <f aca="false">IF(助手报销!$R$22&lt;&gt;"","会计：","")</f>
        <v>会计：</v>
      </c>
      <c r="E314" s="78" t="str">
        <f aca="false">IF(助手报销!$R$22&lt;&gt;"","出纳：","")</f>
        <v>出纳：</v>
      </c>
      <c r="F314" s="78" t="str">
        <f aca="false">IF(助手报销!$R$22&lt;&gt;"","复核：","")</f>
        <v>复核：</v>
      </c>
      <c r="G314" s="78" t="str">
        <f aca="false">IF(助手报销!$R$22&lt;&gt;"","制单：","")</f>
        <v>制单：</v>
      </c>
    </row>
    <row r="315" customFormat="false" ht="3" hidden="false" customHeight="true" outlineLevel="0" collapsed="false"/>
    <row r="316" customFormat="false" ht="19.5" hidden="false" customHeight="true" outlineLevel="0" collapsed="false">
      <c r="B316" s="53" t="str">
        <f aca="false">IF(助手报销!$R$23&lt;&gt;"","记  账  凭  证","")</f>
        <v>记  账  凭  证</v>
      </c>
      <c r="C316" s="53"/>
      <c r="D316" s="53"/>
      <c r="E316" s="53"/>
      <c r="F316" s="53"/>
      <c r="G316" s="53"/>
      <c r="H316" s="53"/>
      <c r="I316" s="53"/>
    </row>
    <row r="317" customFormat="false" ht="3" hidden="false" customHeight="true" outlineLevel="0" collapsed="false"/>
    <row r="318" customFormat="false" ht="15" hidden="false" customHeight="true" outlineLevel="0" collapsed="false">
      <c r="C318" s="56" t="str">
        <f aca="false">IF(助手报销!$R$23&lt;&gt;"",INDEX(助手报销!$B$2:$B$121,助手报销!$R$23),"")</f>
        <v/>
      </c>
      <c r="D318" s="57" t="n">
        <f aca="false">IF(助手报销!$R$23&lt;&gt;"",INDEX(助手报销!$D$2:$D$121,助手报销!$R$23),"")</f>
        <v>46265</v>
      </c>
      <c r="E318" s="57"/>
      <c r="F318" s="58" t="str">
        <f aca="false">IF(助手报销!$R$23&lt;&gt;"",INDEX(助手报销!$C$2:$C$121,助手报销!$R$23)&amp;"  字第 "&amp;IF(参数!$B$9="是",INDEX(助手报销!$P$2:$P$121,助手报销!$R$23),"　　　　")&amp;" 号"&amp;IF(INDEX(助手报销!$L$2:$L$121,助手报销!$R$23)&gt;1,"  (共"&amp;INDEX(助手报销!$L$2:$L$121,助手报销!$R$23)&amp;"页 第"&amp;助手报销!$S$23&amp;"页)",""),"")</f>
        <v>千户营店  字第 　　　　 号</v>
      </c>
      <c r="G318" s="58"/>
      <c r="H318" s="58"/>
      <c r="I318" s="58"/>
      <c r="M318" s="59" t="n">
        <f aca="false">IF(助手报销!$R$23="","",助手报销!$Q$23)</f>
        <v>22</v>
      </c>
      <c r="N318" s="60" t="n">
        <f aca="false">IF(助手报销!$R$23="","",INDEX(助手报销!$P$2:$P$121,助手报销!$R$23))</f>
        <v>22</v>
      </c>
      <c r="O318" s="55" t="str">
        <f aca="false">IF(助手报销!$R$23="","",INDEX(助手报销!$C$2:$C$121,助手报销!$R$23)&amp;"  字第 "&amp;INDEX(助手报销!$P$2:$P$121,助手报销!$R$23)&amp;" 号"&amp;IF(INDEX(助手报销!$L$2:$L$121,助手报销!$R$23)&gt;1,"  (共"&amp;INDEX(助手报销!$L$2:$L$121,助手报销!$R$23)&amp;"页 第"&amp;助手报销!$S$23&amp;"页)",""))</f>
        <v>千户营店  字第 22 号</v>
      </c>
    </row>
    <row r="319" customFormat="false" ht="12.75" hidden="false" customHeight="true" outlineLevel="0" collapsed="false">
      <c r="B319" s="61" t="str">
        <f aca="false">IF(助手报销!$R$23&lt;&gt;"","摘　　要","")</f>
        <v>摘　　要</v>
      </c>
      <c r="C319" s="61"/>
      <c r="D319" s="62" t="str">
        <f aca="false">IF(助手报销!$R$23&lt;&gt;"","科　　　　目","")</f>
        <v>科　　　　目</v>
      </c>
      <c r="E319" s="62"/>
      <c r="F319" s="61" t="str">
        <f aca="false">IF(助手报销!$R$23&lt;&gt;"","借 方 金 额","")</f>
        <v>借 方 金 额</v>
      </c>
      <c r="G319" s="62" t="str">
        <f aca="false">IF(助手报销!$R$23&lt;&gt;"","贷 方 金 额","")</f>
        <v>贷 方 金 额</v>
      </c>
      <c r="H319" s="63" t="str">
        <f aca="false">IF(助手报销!$R$23&lt;&gt;"","√","")</f>
        <v>√</v>
      </c>
      <c r="I319" s="64" t="str">
        <f aca="false">IF(助手报销!$R$23&lt;&gt;"","附单据  张","")</f>
        <v>附单据  张</v>
      </c>
    </row>
    <row r="320" customFormat="false" ht="12.75" hidden="false" customHeight="true" outlineLevel="0" collapsed="false">
      <c r="B320" s="61"/>
      <c r="C320" s="61"/>
      <c r="D320" s="23" t="str">
        <f aca="false">IF(助手报销!$R$23&lt;&gt;"","总 账 科 目","")</f>
        <v>总 账 科 目</v>
      </c>
      <c r="E320" s="23" t="str">
        <f aca="false">IF(助手报销!$R$23&lt;&gt;"","明 细 科 目","")</f>
        <v>明 细 科 目</v>
      </c>
      <c r="F320" s="65"/>
      <c r="G320" s="66"/>
      <c r="H320" s="63"/>
      <c r="I320" s="64"/>
    </row>
    <row r="321" customFormat="false" ht="23.25" hidden="false" customHeight="true" outlineLevel="0" collapsed="false">
      <c r="B321" s="67" t="str">
        <f aca="false">IFERROR(INDEX(分录报销!$M:$M,MATCH($L321,分录报销!$L:$L,0)),"")</f>
        <v>电费</v>
      </c>
      <c r="C321" s="67"/>
      <c r="D321" s="23" t="str">
        <f aca="false">IFERROR(INDEX(分录报销!$E:$E,MATCH($L321,分录报销!$L:$L,0)),"")</f>
        <v>销售费用</v>
      </c>
      <c r="E321" s="23" t="str">
        <f aca="false">IFERROR(INDEX(分录报销!$F:$F,MATCH($L321,分录报销!$L:$L,0)),"")</f>
        <v>电费</v>
      </c>
      <c r="F321" s="68" t="n">
        <f aca="false">IFERROR(INDEX(分录报销!$H:$H,MATCH($L321,分录报销!$L:$L,0)),"")</f>
        <v>499.82</v>
      </c>
      <c r="G321" s="69" t="str">
        <f aca="false">IFERROR(INDEX(分录报销!$I:$I,MATCH($L321,分录报销!$L:$L,0)),"")</f>
        <v/>
      </c>
      <c r="H321" s="23"/>
      <c r="I321" s="70"/>
      <c r="L321" s="71" t="n">
        <f aca="false">IF(助手报销!$R$23="",-1,助手报销!$R$23*100+(助手报销!$S$23-1)*6+1)</f>
        <v>2201</v>
      </c>
    </row>
    <row r="322" customFormat="false" ht="23.25" hidden="false" customHeight="true" outlineLevel="0" collapsed="false">
      <c r="B322" s="67" t="str">
        <f aca="false">IFERROR(INDEX(分录报销!$M:$M,MATCH($L322,分录报销!$L:$L,0)),"")</f>
        <v/>
      </c>
      <c r="C322" s="67"/>
      <c r="D322" s="23" t="str">
        <f aca="false">IFERROR(INDEX(分录报销!$E:$E,MATCH($L322,分录报销!$L:$L,0)),"")</f>
        <v>库存现金</v>
      </c>
      <c r="E322" s="23" t="str">
        <f aca="false">IFERROR(INDEX(分录报销!$F:$F,MATCH($L322,分录报销!$L:$L,0)),"")</f>
        <v/>
      </c>
      <c r="F322" s="68" t="str">
        <f aca="false">IFERROR(INDEX(分录报销!$H:$H,MATCH($L322,分录报销!$L:$L,0)),"")</f>
        <v/>
      </c>
      <c r="G322" s="69" t="n">
        <f aca="false">IFERROR(INDEX(分录报销!$I:$I,MATCH($L322,分录报销!$L:$L,0)),"")</f>
        <v>499.82</v>
      </c>
      <c r="H322" s="23"/>
      <c r="I322" s="70"/>
      <c r="L322" s="71" t="n">
        <f aca="false">IF(助手报销!$R$23="",-1,助手报销!$R$23*100+(助手报销!$S$23-1)*6+2)</f>
        <v>2202</v>
      </c>
    </row>
    <row r="323" customFormat="false" ht="23.25" hidden="false" customHeight="true" outlineLevel="0" collapsed="false">
      <c r="B323" s="67" t="str">
        <f aca="false">IFERROR(INDEX(分录报销!$M:$M,MATCH($L323,分录报销!$L:$L,0)),"")</f>
        <v/>
      </c>
      <c r="C323" s="67"/>
      <c r="D323" s="23" t="str">
        <f aca="false">IFERROR(INDEX(分录报销!$E:$E,MATCH($L323,分录报销!$L:$L,0)),"")</f>
        <v/>
      </c>
      <c r="E323" s="23" t="str">
        <f aca="false">IFERROR(INDEX(分录报销!$F:$F,MATCH($L323,分录报销!$L:$L,0)),"")</f>
        <v/>
      </c>
      <c r="F323" s="68" t="str">
        <f aca="false">IFERROR(INDEX(分录报销!$H:$H,MATCH($L323,分录报销!$L:$L,0)),"")</f>
        <v/>
      </c>
      <c r="G323" s="69" t="str">
        <f aca="false">IFERROR(INDEX(分录报销!$I:$I,MATCH($L323,分录报销!$L:$L,0)),"")</f>
        <v/>
      </c>
      <c r="H323" s="23"/>
      <c r="I323" s="70"/>
      <c r="L323" s="71" t="n">
        <f aca="false">IF(助手报销!$R$23="",-1,助手报销!$R$23*100+(助手报销!$S$23-1)*6+3)</f>
        <v>2203</v>
      </c>
    </row>
    <row r="324" customFormat="false" ht="23.25" hidden="false" customHeight="true" outlineLevel="0" collapsed="false">
      <c r="B324" s="67" t="str">
        <f aca="false">IFERROR(INDEX(分录报销!$M:$M,MATCH($L324,分录报销!$L:$L,0)),"")</f>
        <v/>
      </c>
      <c r="C324" s="67"/>
      <c r="D324" s="23" t="str">
        <f aca="false">IFERROR(INDEX(分录报销!$E:$E,MATCH($L324,分录报销!$L:$L,0)),"")</f>
        <v/>
      </c>
      <c r="E324" s="23" t="str">
        <f aca="false">IFERROR(INDEX(分录报销!$F:$F,MATCH($L324,分录报销!$L:$L,0)),"")</f>
        <v/>
      </c>
      <c r="F324" s="68" t="str">
        <f aca="false">IFERROR(INDEX(分录报销!$H:$H,MATCH($L324,分录报销!$L:$L,0)),"")</f>
        <v/>
      </c>
      <c r="G324" s="69" t="str">
        <f aca="false">IFERROR(INDEX(分录报销!$I:$I,MATCH($L324,分录报销!$L:$L,0)),"")</f>
        <v/>
      </c>
      <c r="H324" s="23"/>
      <c r="I324" s="70"/>
      <c r="L324" s="71" t="n">
        <f aca="false">IF(助手报销!$R$23="",-1,助手报销!$R$23*100+(助手报销!$S$23-1)*6+4)</f>
        <v>2204</v>
      </c>
    </row>
    <row r="325" customFormat="false" ht="23.25" hidden="false" customHeight="true" outlineLevel="0" collapsed="false">
      <c r="B325" s="67" t="str">
        <f aca="false">IFERROR(INDEX(分录报销!$M:$M,MATCH($L325,分录报销!$L:$L,0)),"")</f>
        <v/>
      </c>
      <c r="C325" s="67"/>
      <c r="D325" s="23" t="str">
        <f aca="false">IFERROR(INDEX(分录报销!$E:$E,MATCH($L325,分录报销!$L:$L,0)),"")</f>
        <v/>
      </c>
      <c r="E325" s="23" t="str">
        <f aca="false">IFERROR(INDEX(分录报销!$F:$F,MATCH($L325,分录报销!$L:$L,0)),"")</f>
        <v/>
      </c>
      <c r="F325" s="68" t="str">
        <f aca="false">IFERROR(INDEX(分录报销!$H:$H,MATCH($L325,分录报销!$L:$L,0)),"")</f>
        <v/>
      </c>
      <c r="G325" s="69" t="str">
        <f aca="false">IFERROR(INDEX(分录报销!$I:$I,MATCH($L325,分录报销!$L:$L,0)),"")</f>
        <v/>
      </c>
      <c r="H325" s="23"/>
      <c r="I325" s="70"/>
      <c r="L325" s="71" t="n">
        <f aca="false">IF(助手报销!$R$23="",-1,助手报销!$R$23*100+(助手报销!$S$23-1)*6+5)</f>
        <v>2205</v>
      </c>
    </row>
    <row r="326" customFormat="false" ht="23.25" hidden="false" customHeight="true" outlineLevel="0" collapsed="false">
      <c r="B326" s="67" t="str">
        <f aca="false">IFERROR(INDEX(分录报销!$M:$M,MATCH($L326,分录报销!$L:$L,0)),"")</f>
        <v/>
      </c>
      <c r="C326" s="67"/>
      <c r="D326" s="23" t="str">
        <f aca="false">IFERROR(INDEX(分录报销!$E:$E,MATCH($L326,分录报销!$L:$L,0)),"")</f>
        <v/>
      </c>
      <c r="E326" s="23" t="str">
        <f aca="false">IFERROR(INDEX(分录报销!$F:$F,MATCH($L326,分录报销!$L:$L,0)),"")</f>
        <v/>
      </c>
      <c r="F326" s="68" t="str">
        <f aca="false">IFERROR(INDEX(分录报销!$H:$H,MATCH($L326,分录报销!$L:$L,0)),"")</f>
        <v/>
      </c>
      <c r="G326" s="69" t="str">
        <f aca="false">IFERROR(INDEX(分录报销!$I:$I,MATCH($L326,分录报销!$L:$L,0)),"")</f>
        <v/>
      </c>
      <c r="H326" s="23"/>
      <c r="I326" s="70"/>
      <c r="L326" s="71" t="n">
        <f aca="false">IF(助手报销!$R$23="",-1,助手报销!$R$23*100+(助手报销!$S$23-1)*6+6)</f>
        <v>2206</v>
      </c>
    </row>
    <row r="327" customFormat="false" ht="23.25" hidden="false" customHeight="true" outlineLevel="0" collapsed="false">
      <c r="B327" s="72" t="str">
        <f aca="false">IF(助手报销!$T$23=1,"合计：","")</f>
        <v>合计：</v>
      </c>
      <c r="C327" s="73" t="n">
        <f aca="false">IF(助手报销!$T$23=1,$F327,"")</f>
        <v>499.82</v>
      </c>
      <c r="D327" s="74"/>
      <c r="E327" s="74"/>
      <c r="F327" s="75" t="n">
        <f aca="false">IF(助手报销!$T$23=1,INDEX(助手报销!$N$2:$N$121,助手报销!$R$23),"")</f>
        <v>499.82</v>
      </c>
      <c r="G327" s="76" t="n">
        <f aca="false">IF(助手报销!$T$23=1,INDEX(助手报销!$O$2:$O$121,助手报销!$R$23),"")</f>
        <v>499.82</v>
      </c>
      <c r="H327" s="74"/>
      <c r="I327" s="77"/>
    </row>
    <row r="328" customFormat="false" ht="6" hidden="false" customHeight="true" outlineLevel="0" collapsed="false"/>
    <row r="329" customFormat="false" ht="13.5" hidden="false" customHeight="false" outlineLevel="0" collapsed="false">
      <c r="B329" s="78" t="str">
        <f aca="false">IF(助手报销!$R$23&lt;&gt;"","会计主管：","")</f>
        <v>会计主管：</v>
      </c>
      <c r="D329" s="78" t="str">
        <f aca="false">IF(助手报销!$R$23&lt;&gt;"","会计：","")</f>
        <v>会计：</v>
      </c>
      <c r="E329" s="78" t="str">
        <f aca="false">IF(助手报销!$R$23&lt;&gt;"","出纳：","")</f>
        <v>出纳：</v>
      </c>
      <c r="F329" s="78" t="str">
        <f aca="false">IF(助手报销!$R$23&lt;&gt;"","复核：","")</f>
        <v>复核：</v>
      </c>
      <c r="G329" s="78" t="str">
        <f aca="false">IF(助手报销!$R$23&lt;&gt;"","制单：","")</f>
        <v>制单：</v>
      </c>
    </row>
    <row r="330" customFormat="false" ht="3" hidden="false" customHeight="true" outlineLevel="0" collapsed="false"/>
    <row r="331" customFormat="false" ht="19.5" hidden="false" customHeight="true" outlineLevel="0" collapsed="false">
      <c r="B331" s="53" t="str">
        <f aca="false">IF(助手报销!$R$24&lt;&gt;"","记  账  凭  证","")</f>
        <v>记  账  凭  证</v>
      </c>
      <c r="C331" s="53"/>
      <c r="D331" s="53"/>
      <c r="E331" s="53"/>
      <c r="F331" s="53"/>
      <c r="G331" s="53"/>
      <c r="H331" s="53"/>
      <c r="I331" s="53"/>
    </row>
    <row r="332" customFormat="false" ht="3" hidden="false" customHeight="true" outlineLevel="0" collapsed="false"/>
    <row r="333" customFormat="false" ht="15" hidden="false" customHeight="true" outlineLevel="0" collapsed="false">
      <c r="C333" s="56" t="str">
        <f aca="false">IF(助手报销!$R$24&lt;&gt;"",INDEX(助手报销!$B$2:$B$121,助手报销!$R$24),"")</f>
        <v/>
      </c>
      <c r="D333" s="57" t="n">
        <f aca="false">IF(助手报销!$R$24&lt;&gt;"",INDEX(助手报销!$D$2:$D$121,助手报销!$R$24),"")</f>
        <v>46265</v>
      </c>
      <c r="E333" s="57"/>
      <c r="F333" s="58" t="str">
        <f aca="false">IF(助手报销!$R$24&lt;&gt;"",INDEX(助手报销!$C$2:$C$121,助手报销!$R$24)&amp;"  字第 "&amp;IF(参数!$B$9="是",INDEX(助手报销!$P$2:$P$121,助手报销!$R$24),"　　　　")&amp;" 号"&amp;IF(INDEX(助手报销!$L$2:$L$121,助手报销!$R$24)&gt;1,"  (共"&amp;INDEX(助手报销!$L$2:$L$121,助手报销!$R$24)&amp;"页 第"&amp;助手报销!$S$24&amp;"页)",""),"")</f>
        <v>大张庄店  字第 　　　　 号</v>
      </c>
      <c r="G333" s="58"/>
      <c r="H333" s="58"/>
      <c r="I333" s="58"/>
      <c r="M333" s="59" t="n">
        <f aca="false">IF(助手报销!$R$24="","",助手报销!$Q$24)</f>
        <v>23</v>
      </c>
      <c r="N333" s="60" t="n">
        <f aca="false">IF(助手报销!$R$24="","",INDEX(助手报销!$P$2:$P$121,助手报销!$R$24))</f>
        <v>23</v>
      </c>
      <c r="O333" s="55" t="str">
        <f aca="false">IF(助手报销!$R$24="","",INDEX(助手报销!$C$2:$C$121,助手报销!$R$24)&amp;"  字第 "&amp;INDEX(助手报销!$P$2:$P$121,助手报销!$R$24)&amp;" 号"&amp;IF(INDEX(助手报销!$L$2:$L$121,助手报销!$R$24)&gt;1,"  (共"&amp;INDEX(助手报销!$L$2:$L$121,助手报销!$R$24)&amp;"页 第"&amp;助手报销!$S$24&amp;"页)",""))</f>
        <v>大张庄店  字第 23 号</v>
      </c>
    </row>
    <row r="334" customFormat="false" ht="12.75" hidden="false" customHeight="true" outlineLevel="0" collapsed="false">
      <c r="B334" s="61" t="str">
        <f aca="false">IF(助手报销!$R$24&lt;&gt;"","摘　　要","")</f>
        <v>摘　　要</v>
      </c>
      <c r="C334" s="61"/>
      <c r="D334" s="62" t="str">
        <f aca="false">IF(助手报销!$R$24&lt;&gt;"","科　　　　目","")</f>
        <v>科　　　　目</v>
      </c>
      <c r="E334" s="62"/>
      <c r="F334" s="61" t="str">
        <f aca="false">IF(助手报销!$R$24&lt;&gt;"","借 方 金 额","")</f>
        <v>借 方 金 额</v>
      </c>
      <c r="G334" s="62" t="str">
        <f aca="false">IF(助手报销!$R$24&lt;&gt;"","贷 方 金 额","")</f>
        <v>贷 方 金 额</v>
      </c>
      <c r="H334" s="63" t="str">
        <f aca="false">IF(助手报销!$R$24&lt;&gt;"","√","")</f>
        <v>√</v>
      </c>
      <c r="I334" s="64" t="str">
        <f aca="false">IF(助手报销!$R$24&lt;&gt;"","附单据  张","")</f>
        <v>附单据  张</v>
      </c>
    </row>
    <row r="335" customFormat="false" ht="12.75" hidden="false" customHeight="true" outlineLevel="0" collapsed="false">
      <c r="B335" s="61"/>
      <c r="C335" s="61"/>
      <c r="D335" s="23" t="str">
        <f aca="false">IF(助手报销!$R$24&lt;&gt;"","总 账 科 目","")</f>
        <v>总 账 科 目</v>
      </c>
      <c r="E335" s="23" t="str">
        <f aca="false">IF(助手报销!$R$24&lt;&gt;"","明 细 科 目","")</f>
        <v>明 细 科 目</v>
      </c>
      <c r="F335" s="65"/>
      <c r="G335" s="66"/>
      <c r="H335" s="63"/>
      <c r="I335" s="64"/>
    </row>
    <row r="336" customFormat="false" ht="23.25" hidden="false" customHeight="true" outlineLevel="0" collapsed="false">
      <c r="B336" s="67" t="str">
        <f aca="false">IFERROR(INDEX(分录报销!$M:$M,MATCH($L336,分录报销!$L:$L,0)),"")</f>
        <v>电费</v>
      </c>
      <c r="C336" s="67"/>
      <c r="D336" s="23" t="str">
        <f aca="false">IFERROR(INDEX(分录报销!$E:$E,MATCH($L336,分录报销!$L:$L,0)),"")</f>
        <v>销售费用</v>
      </c>
      <c r="E336" s="23" t="str">
        <f aca="false">IFERROR(INDEX(分录报销!$F:$F,MATCH($L336,分录报销!$L:$L,0)),"")</f>
        <v>电费</v>
      </c>
      <c r="F336" s="68" t="n">
        <f aca="false">IFERROR(INDEX(分录报销!$H:$H,MATCH($L336,分录报销!$L:$L,0)),"")</f>
        <v>500</v>
      </c>
      <c r="G336" s="69" t="str">
        <f aca="false">IFERROR(INDEX(分录报销!$I:$I,MATCH($L336,分录报销!$L:$L,0)),"")</f>
        <v/>
      </c>
      <c r="H336" s="23"/>
      <c r="I336" s="70"/>
      <c r="L336" s="71" t="n">
        <f aca="false">IF(助手报销!$R$24="",-1,助手报销!$R$24*100+(助手报销!$S$24-1)*6+1)</f>
        <v>2301</v>
      </c>
    </row>
    <row r="337" customFormat="false" ht="23.25" hidden="false" customHeight="true" outlineLevel="0" collapsed="false">
      <c r="B337" s="67" t="str">
        <f aca="false">IFERROR(INDEX(分录报销!$M:$M,MATCH($L337,分录报销!$L:$L,0)),"")</f>
        <v>水费</v>
      </c>
      <c r="C337" s="67"/>
      <c r="D337" s="23" t="str">
        <f aca="false">IFERROR(INDEX(分录报销!$E:$E,MATCH($L337,分录报销!$L:$L,0)),"")</f>
        <v>销售费用</v>
      </c>
      <c r="E337" s="23" t="str">
        <f aca="false">IFERROR(INDEX(分录报销!$F:$F,MATCH($L337,分录报销!$L:$L,0)),"")</f>
        <v>水费</v>
      </c>
      <c r="F337" s="68" t="n">
        <f aca="false">IFERROR(INDEX(分录报销!$H:$H,MATCH($L337,分录报销!$L:$L,0)),"")</f>
        <v>12</v>
      </c>
      <c r="G337" s="69" t="str">
        <f aca="false">IFERROR(INDEX(分录报销!$I:$I,MATCH($L337,分录报销!$L:$L,0)),"")</f>
        <v/>
      </c>
      <c r="H337" s="23"/>
      <c r="I337" s="70"/>
      <c r="L337" s="71" t="n">
        <f aca="false">IF(助手报销!$R$24="",-1,助手报销!$R$24*100+(助手报销!$S$24-1)*6+2)</f>
        <v>2302</v>
      </c>
    </row>
    <row r="338" customFormat="false" ht="23.25" hidden="false" customHeight="true" outlineLevel="0" collapsed="false">
      <c r="B338" s="67" t="str">
        <f aca="false">IFERROR(INDEX(分录报销!$M:$M,MATCH($L338,分录报销!$L:$L,0)),"")</f>
        <v/>
      </c>
      <c r="C338" s="67"/>
      <c r="D338" s="23" t="str">
        <f aca="false">IFERROR(INDEX(分录报销!$E:$E,MATCH($L338,分录报销!$L:$L,0)),"")</f>
        <v>库存现金</v>
      </c>
      <c r="E338" s="23" t="str">
        <f aca="false">IFERROR(INDEX(分录报销!$F:$F,MATCH($L338,分录报销!$L:$L,0)),"")</f>
        <v/>
      </c>
      <c r="F338" s="68" t="str">
        <f aca="false">IFERROR(INDEX(分录报销!$H:$H,MATCH($L338,分录报销!$L:$L,0)),"")</f>
        <v/>
      </c>
      <c r="G338" s="69" t="n">
        <f aca="false">IFERROR(INDEX(分录报销!$I:$I,MATCH($L338,分录报销!$L:$L,0)),"")</f>
        <v>512</v>
      </c>
      <c r="H338" s="23"/>
      <c r="I338" s="70"/>
      <c r="L338" s="71" t="n">
        <f aca="false">IF(助手报销!$R$24="",-1,助手报销!$R$24*100+(助手报销!$S$24-1)*6+3)</f>
        <v>2303</v>
      </c>
    </row>
    <row r="339" customFormat="false" ht="23.25" hidden="false" customHeight="true" outlineLevel="0" collapsed="false">
      <c r="B339" s="67" t="str">
        <f aca="false">IFERROR(INDEX(分录报销!$M:$M,MATCH($L339,分录报销!$L:$L,0)),"")</f>
        <v/>
      </c>
      <c r="C339" s="67"/>
      <c r="D339" s="23" t="str">
        <f aca="false">IFERROR(INDEX(分录报销!$E:$E,MATCH($L339,分录报销!$L:$L,0)),"")</f>
        <v/>
      </c>
      <c r="E339" s="23" t="str">
        <f aca="false">IFERROR(INDEX(分录报销!$F:$F,MATCH($L339,分录报销!$L:$L,0)),"")</f>
        <v/>
      </c>
      <c r="F339" s="68" t="str">
        <f aca="false">IFERROR(INDEX(分录报销!$H:$H,MATCH($L339,分录报销!$L:$L,0)),"")</f>
        <v/>
      </c>
      <c r="G339" s="69" t="str">
        <f aca="false">IFERROR(INDEX(分录报销!$I:$I,MATCH($L339,分录报销!$L:$L,0)),"")</f>
        <v/>
      </c>
      <c r="H339" s="23"/>
      <c r="I339" s="70"/>
      <c r="L339" s="71" t="n">
        <f aca="false">IF(助手报销!$R$24="",-1,助手报销!$R$24*100+(助手报销!$S$24-1)*6+4)</f>
        <v>2304</v>
      </c>
    </row>
    <row r="340" customFormat="false" ht="23.25" hidden="false" customHeight="true" outlineLevel="0" collapsed="false">
      <c r="B340" s="67" t="str">
        <f aca="false">IFERROR(INDEX(分录报销!$M:$M,MATCH($L340,分录报销!$L:$L,0)),"")</f>
        <v/>
      </c>
      <c r="C340" s="67"/>
      <c r="D340" s="23" t="str">
        <f aca="false">IFERROR(INDEX(分录报销!$E:$E,MATCH($L340,分录报销!$L:$L,0)),"")</f>
        <v/>
      </c>
      <c r="E340" s="23" t="str">
        <f aca="false">IFERROR(INDEX(分录报销!$F:$F,MATCH($L340,分录报销!$L:$L,0)),"")</f>
        <v/>
      </c>
      <c r="F340" s="68" t="str">
        <f aca="false">IFERROR(INDEX(分录报销!$H:$H,MATCH($L340,分录报销!$L:$L,0)),"")</f>
        <v/>
      </c>
      <c r="G340" s="69" t="str">
        <f aca="false">IFERROR(INDEX(分录报销!$I:$I,MATCH($L340,分录报销!$L:$L,0)),"")</f>
        <v/>
      </c>
      <c r="H340" s="23"/>
      <c r="I340" s="70"/>
      <c r="L340" s="71" t="n">
        <f aca="false">IF(助手报销!$R$24="",-1,助手报销!$R$24*100+(助手报销!$S$24-1)*6+5)</f>
        <v>2305</v>
      </c>
    </row>
    <row r="341" customFormat="false" ht="23.25" hidden="false" customHeight="true" outlineLevel="0" collapsed="false">
      <c r="B341" s="67" t="str">
        <f aca="false">IFERROR(INDEX(分录报销!$M:$M,MATCH($L341,分录报销!$L:$L,0)),"")</f>
        <v/>
      </c>
      <c r="C341" s="67"/>
      <c r="D341" s="23" t="str">
        <f aca="false">IFERROR(INDEX(分录报销!$E:$E,MATCH($L341,分录报销!$L:$L,0)),"")</f>
        <v/>
      </c>
      <c r="E341" s="23" t="str">
        <f aca="false">IFERROR(INDEX(分录报销!$F:$F,MATCH($L341,分录报销!$L:$L,0)),"")</f>
        <v/>
      </c>
      <c r="F341" s="68" t="str">
        <f aca="false">IFERROR(INDEX(分录报销!$H:$H,MATCH($L341,分录报销!$L:$L,0)),"")</f>
        <v/>
      </c>
      <c r="G341" s="69" t="str">
        <f aca="false">IFERROR(INDEX(分录报销!$I:$I,MATCH($L341,分录报销!$L:$L,0)),"")</f>
        <v/>
      </c>
      <c r="H341" s="23"/>
      <c r="I341" s="70"/>
      <c r="L341" s="71" t="n">
        <f aca="false">IF(助手报销!$R$24="",-1,助手报销!$R$24*100+(助手报销!$S$24-1)*6+6)</f>
        <v>2306</v>
      </c>
    </row>
    <row r="342" customFormat="false" ht="23.25" hidden="false" customHeight="true" outlineLevel="0" collapsed="false">
      <c r="B342" s="72" t="str">
        <f aca="false">IF(助手报销!$T$24=1,"合计：","")</f>
        <v>合计：</v>
      </c>
      <c r="C342" s="73" t="n">
        <f aca="false">IF(助手报销!$T$24=1,$F342,"")</f>
        <v>512</v>
      </c>
      <c r="D342" s="74"/>
      <c r="E342" s="74"/>
      <c r="F342" s="75" t="n">
        <f aca="false">IF(助手报销!$T$24=1,INDEX(助手报销!$N$2:$N$121,助手报销!$R$24),"")</f>
        <v>512</v>
      </c>
      <c r="G342" s="76" t="n">
        <f aca="false">IF(助手报销!$T$24=1,INDEX(助手报销!$O$2:$O$121,助手报销!$R$24),"")</f>
        <v>512</v>
      </c>
      <c r="H342" s="74"/>
      <c r="I342" s="77"/>
    </row>
    <row r="343" customFormat="false" ht="6" hidden="false" customHeight="true" outlineLevel="0" collapsed="false"/>
    <row r="344" customFormat="false" ht="13.5" hidden="false" customHeight="false" outlineLevel="0" collapsed="false">
      <c r="B344" s="78" t="str">
        <f aca="false">IF(助手报销!$R$24&lt;&gt;"","会计主管：","")</f>
        <v>会计主管：</v>
      </c>
      <c r="D344" s="78" t="str">
        <f aca="false">IF(助手报销!$R$24&lt;&gt;"","会计：","")</f>
        <v>会计：</v>
      </c>
      <c r="E344" s="78" t="str">
        <f aca="false">IF(助手报销!$R$24&lt;&gt;"","出纳：","")</f>
        <v>出纳：</v>
      </c>
      <c r="F344" s="78" t="str">
        <f aca="false">IF(助手报销!$R$24&lt;&gt;"","复核：","")</f>
        <v>复核：</v>
      </c>
      <c r="G344" s="78" t="str">
        <f aca="false">IF(助手报销!$R$24&lt;&gt;"","制单：","")</f>
        <v>制单：</v>
      </c>
    </row>
    <row r="345" customFormat="false" ht="3" hidden="false" customHeight="true" outlineLevel="0" collapsed="false"/>
    <row r="346" customFormat="false" ht="19.5" hidden="false" customHeight="true" outlineLevel="0" collapsed="false">
      <c r="B346" s="53" t="str">
        <f aca="false">IF(助手报销!$R$25&lt;&gt;"","记  账  凭  证","")</f>
        <v>记  账  凭  证</v>
      </c>
      <c r="C346" s="53"/>
      <c r="D346" s="53"/>
      <c r="E346" s="53"/>
      <c r="F346" s="53"/>
      <c r="G346" s="53"/>
      <c r="H346" s="53"/>
      <c r="I346" s="53"/>
    </row>
    <row r="347" customFormat="false" ht="3" hidden="false" customHeight="true" outlineLevel="0" collapsed="false"/>
    <row r="348" customFormat="false" ht="15" hidden="false" customHeight="true" outlineLevel="0" collapsed="false">
      <c r="C348" s="56" t="str">
        <f aca="false">IF(助手报销!$R$25&lt;&gt;"",INDEX(助手报销!$B$2:$B$121,助手报销!$R$25),"")</f>
        <v/>
      </c>
      <c r="D348" s="57" t="n">
        <f aca="false">IF(助手报销!$R$25&lt;&gt;"",INDEX(助手报销!$D$2:$D$121,助手报销!$R$25),"")</f>
        <v>46265</v>
      </c>
      <c r="E348" s="57"/>
      <c r="F348" s="58" t="str">
        <f aca="false">IF(助手报销!$R$25&lt;&gt;"",INDEX(助手报销!$C$2:$C$121,助手报销!$R$25)&amp;"  字第 "&amp;IF(参数!$B$9="是",INDEX(助手报销!$P$2:$P$121,助手报销!$R$25),"　　　　")&amp;" 号"&amp;IF(INDEX(助手报销!$L$2:$L$121,助手报销!$R$25)&gt;1,"  (共"&amp;INDEX(助手报销!$L$2:$L$121,助手报销!$R$25)&amp;"页 第"&amp;助手报销!$S$25&amp;"页)",""),"")</f>
        <v>郝庄店  字第 　　　　 号  (共2页 第1页)</v>
      </c>
      <c r="G348" s="58"/>
      <c r="H348" s="58"/>
      <c r="I348" s="58"/>
      <c r="M348" s="59" t="n">
        <f aca="false">IF(助手报销!$R$25="","",助手报销!$Q$25)</f>
        <v>24</v>
      </c>
      <c r="N348" s="60" t="n">
        <f aca="false">IF(助手报销!$R$25="","",INDEX(助手报销!$P$2:$P$121,助手报销!$R$25))</f>
        <v>24</v>
      </c>
      <c r="O348" s="55" t="str">
        <f aca="false">IF(助手报销!$R$25="","",INDEX(助手报销!$C$2:$C$121,助手报销!$R$25)&amp;"  字第 "&amp;INDEX(助手报销!$P$2:$P$121,助手报销!$R$25)&amp;" 号"&amp;IF(INDEX(助手报销!$L$2:$L$121,助手报销!$R$25)&gt;1,"  (共"&amp;INDEX(助手报销!$L$2:$L$121,助手报销!$R$25)&amp;"页 第"&amp;助手报销!$S$25&amp;"页)",""))</f>
        <v>郝庄店  字第 24 号  (共2页 第1页)</v>
      </c>
    </row>
    <row r="349" customFormat="false" ht="12.75" hidden="false" customHeight="true" outlineLevel="0" collapsed="false">
      <c r="B349" s="61" t="str">
        <f aca="false">IF(助手报销!$R$25&lt;&gt;"","摘　　要","")</f>
        <v>摘　　要</v>
      </c>
      <c r="C349" s="61"/>
      <c r="D349" s="62" t="str">
        <f aca="false">IF(助手报销!$R$25&lt;&gt;"","科　　　　目","")</f>
        <v>科　　　　目</v>
      </c>
      <c r="E349" s="62"/>
      <c r="F349" s="61" t="str">
        <f aca="false">IF(助手报销!$R$25&lt;&gt;"","借 方 金 额","")</f>
        <v>借 方 金 额</v>
      </c>
      <c r="G349" s="62" t="str">
        <f aca="false">IF(助手报销!$R$25&lt;&gt;"","贷 方 金 额","")</f>
        <v>贷 方 金 额</v>
      </c>
      <c r="H349" s="63" t="str">
        <f aca="false">IF(助手报销!$R$25&lt;&gt;"","√","")</f>
        <v>√</v>
      </c>
      <c r="I349" s="64" t="str">
        <f aca="false">IF(助手报销!$R$25&lt;&gt;"","附单据  张","")</f>
        <v>附单据  张</v>
      </c>
    </row>
    <row r="350" customFormat="false" ht="12.75" hidden="false" customHeight="true" outlineLevel="0" collapsed="false">
      <c r="B350" s="61"/>
      <c r="C350" s="61"/>
      <c r="D350" s="23" t="str">
        <f aca="false">IF(助手报销!$R$25&lt;&gt;"","总 账 科 目","")</f>
        <v>总 账 科 目</v>
      </c>
      <c r="E350" s="23" t="str">
        <f aca="false">IF(助手报销!$R$25&lt;&gt;"","明 细 科 目","")</f>
        <v>明 细 科 目</v>
      </c>
      <c r="F350" s="65"/>
      <c r="G350" s="66"/>
      <c r="H350" s="63"/>
      <c r="I350" s="64"/>
    </row>
    <row r="351" customFormat="false" ht="23.25" hidden="false" customHeight="true" outlineLevel="0" collapsed="false">
      <c r="B351" s="67" t="str">
        <f aca="false">IFERROR(INDEX(分录报销!$M:$M,MATCH($L351,分录报销!$L:$L,0)),"")</f>
        <v>电费</v>
      </c>
      <c r="C351" s="67"/>
      <c r="D351" s="23" t="str">
        <f aca="false">IFERROR(INDEX(分录报销!$E:$E,MATCH($L351,分录报销!$L:$L,0)),"")</f>
        <v>销售费用</v>
      </c>
      <c r="E351" s="23" t="str">
        <f aca="false">IFERROR(INDEX(分录报销!$F:$F,MATCH($L351,分录报销!$L:$L,0)),"")</f>
        <v>电费</v>
      </c>
      <c r="F351" s="68" t="n">
        <f aca="false">IFERROR(INDEX(分录报销!$H:$H,MATCH($L351,分录报销!$L:$L,0)),"")</f>
        <v>300</v>
      </c>
      <c r="G351" s="69" t="str">
        <f aca="false">IFERROR(INDEX(分录报销!$I:$I,MATCH($L351,分录报销!$L:$L,0)),"")</f>
        <v/>
      </c>
      <c r="H351" s="23"/>
      <c r="I351" s="70"/>
      <c r="L351" s="71" t="n">
        <f aca="false">IF(助手报销!$R$25="",-1,助手报销!$R$25*100+(助手报销!$S$25-1)*6+1)</f>
        <v>2401</v>
      </c>
    </row>
    <row r="352" customFormat="false" ht="23.25" hidden="false" customHeight="true" outlineLevel="0" collapsed="false">
      <c r="B352" s="67" t="str">
        <f aca="false">IFERROR(INDEX(分录报销!$M:$M,MATCH($L352,分录报销!$L:$L,0)),"")</f>
        <v>电话费</v>
      </c>
      <c r="C352" s="67"/>
      <c r="D352" s="23" t="str">
        <f aca="false">IFERROR(INDEX(分录报销!$E:$E,MATCH($L352,分录报销!$L:$L,0)),"")</f>
        <v>销售费用</v>
      </c>
      <c r="E352" s="23" t="str">
        <f aca="false">IFERROR(INDEX(分录报销!$F:$F,MATCH($L352,分录报销!$L:$L,0)),"")</f>
        <v>电话费</v>
      </c>
      <c r="F352" s="68" t="n">
        <f aca="false">IFERROR(INDEX(分录报销!$H:$H,MATCH($L352,分录报销!$L:$L,0)),"")</f>
        <v>100</v>
      </c>
      <c r="G352" s="69" t="str">
        <f aca="false">IFERROR(INDEX(分录报销!$I:$I,MATCH($L352,分录报销!$L:$L,0)),"")</f>
        <v/>
      </c>
      <c r="H352" s="23"/>
      <c r="I352" s="70"/>
      <c r="L352" s="71" t="n">
        <f aca="false">IF(助手报销!$R$25="",-1,助手报销!$R$25*100+(助手报销!$S$25-1)*6+2)</f>
        <v>2402</v>
      </c>
    </row>
    <row r="353" customFormat="false" ht="23.25" hidden="false" customHeight="true" outlineLevel="0" collapsed="false">
      <c r="B353" s="67" t="str">
        <f aca="false">IFERROR(INDEX(分录报销!$M:$M,MATCH($L353,分录报销!$L:$L,0)),"")</f>
        <v>水费</v>
      </c>
      <c r="C353" s="67"/>
      <c r="D353" s="23" t="str">
        <f aca="false">IFERROR(INDEX(分录报销!$E:$E,MATCH($L353,分录报销!$L:$L,0)),"")</f>
        <v>销售费用</v>
      </c>
      <c r="E353" s="23" t="str">
        <f aca="false">IFERROR(INDEX(分录报销!$F:$F,MATCH($L353,分录报销!$L:$L,0)),"")</f>
        <v>水费</v>
      </c>
      <c r="F353" s="68" t="n">
        <f aca="false">IFERROR(INDEX(分录报销!$H:$H,MATCH($L353,分录报销!$L:$L,0)),"")</f>
        <v>4</v>
      </c>
      <c r="G353" s="69" t="str">
        <f aca="false">IFERROR(INDEX(分录报销!$I:$I,MATCH($L353,分录报销!$L:$L,0)),"")</f>
        <v/>
      </c>
      <c r="H353" s="23"/>
      <c r="I353" s="70"/>
      <c r="L353" s="71" t="n">
        <f aca="false">IF(助手报销!$R$25="",-1,助手报销!$R$25*100+(助手报销!$S$25-1)*6+3)</f>
        <v>2403</v>
      </c>
    </row>
    <row r="354" customFormat="false" ht="23.25" hidden="false" customHeight="true" outlineLevel="0" collapsed="false">
      <c r="B354" s="67" t="str">
        <f aca="false">IFERROR(INDEX(分录报销!$M:$M,MATCH($L354,分录报销!$L:$L,0)),"")</f>
        <v>慢病用品马克笔</v>
      </c>
      <c r="C354" s="67"/>
      <c r="D354" s="23" t="str">
        <f aca="false">IFERROR(INDEX(分录报销!$E:$E,MATCH($L354,分录报销!$L:$L,0)),"")</f>
        <v>销售费用</v>
      </c>
      <c r="E354" s="23" t="str">
        <f aca="false">IFERROR(INDEX(分录报销!$F:$F,MATCH($L354,分录报销!$L:$L,0)),"")</f>
        <v>办公费</v>
      </c>
      <c r="F354" s="68" t="n">
        <f aca="false">IFERROR(INDEX(分录报销!$H:$H,MATCH($L354,分录报销!$L:$L,0)),"")</f>
        <v>73.47</v>
      </c>
      <c r="G354" s="69" t="str">
        <f aca="false">IFERROR(INDEX(分录报销!$I:$I,MATCH($L354,分录报销!$L:$L,0)),"")</f>
        <v/>
      </c>
      <c r="H354" s="23"/>
      <c r="I354" s="70"/>
      <c r="L354" s="71" t="n">
        <f aca="false">IF(助手报销!$R$25="",-1,助手报销!$R$25*100+(助手报销!$S$25-1)*6+4)</f>
        <v>2404</v>
      </c>
    </row>
    <row r="355" customFormat="false" ht="23.25" hidden="false" customHeight="true" outlineLevel="0" collapsed="false">
      <c r="B355" s="67" t="str">
        <f aca="false">IFERROR(INDEX(分录报销!$M:$M,MATCH($L355,分录报销!$L:$L,0)),"")</f>
        <v>鸡蛋</v>
      </c>
      <c r="C355" s="67"/>
      <c r="D355" s="23" t="str">
        <f aca="false">IFERROR(INDEX(分录报销!$E:$E,MATCH($L355,分录报销!$L:$L,0)),"")</f>
        <v>销售费用</v>
      </c>
      <c r="E355" s="23" t="str">
        <f aca="false">IFERROR(INDEX(分录报销!$F:$F,MATCH($L355,分录报销!$L:$L,0)),"")</f>
        <v>促销费</v>
      </c>
      <c r="F355" s="68" t="n">
        <f aca="false">IFERROR(INDEX(分录报销!$H:$H,MATCH($L355,分录报销!$L:$L,0)),"")</f>
        <v>96</v>
      </c>
      <c r="G355" s="69" t="str">
        <f aca="false">IFERROR(INDEX(分录报销!$I:$I,MATCH($L355,分录报销!$L:$L,0)),"")</f>
        <v/>
      </c>
      <c r="H355" s="23"/>
      <c r="I355" s="70"/>
      <c r="L355" s="71" t="n">
        <f aca="false">IF(助手报销!$R$25="",-1,助手报销!$R$25*100+(助手报销!$S$25-1)*6+5)</f>
        <v>2405</v>
      </c>
    </row>
    <row r="356" customFormat="false" ht="23.25" hidden="false" customHeight="true" outlineLevel="0" collapsed="false">
      <c r="B356" s="67" t="str">
        <f aca="false">IFERROR(INDEX(分录报销!$M:$M,MATCH($L356,分录报销!$L:$L,0)),"")</f>
        <v>蒿白伤湿气雾剂</v>
      </c>
      <c r="C356" s="67"/>
      <c r="D356" s="23" t="str">
        <f aca="false">IFERROR(INDEX(分录报销!$E:$E,MATCH($L356,分录报销!$L:$L,0)),"")</f>
        <v>销售费用</v>
      </c>
      <c r="E356" s="23" t="str">
        <f aca="false">IFERROR(INDEX(分录报销!$F:$F,MATCH($L356,分录报销!$L:$L,0)),"")</f>
        <v>办公费</v>
      </c>
      <c r="F356" s="68" t="n">
        <f aca="false">IFERROR(INDEX(分录报销!$H:$H,MATCH($L356,分录报销!$L:$L,0)),"")</f>
        <v>38.3</v>
      </c>
      <c r="G356" s="69" t="str">
        <f aca="false">IFERROR(INDEX(分录报销!$I:$I,MATCH($L356,分录报销!$L:$L,0)),"")</f>
        <v/>
      </c>
      <c r="H356" s="23"/>
      <c r="I356" s="70"/>
      <c r="L356" s="71" t="n">
        <f aca="false">IF(助手报销!$R$25="",-1,助手报销!$R$25*100+(助手报销!$S$25-1)*6+6)</f>
        <v>2406</v>
      </c>
    </row>
    <row r="357" customFormat="false" ht="23.25" hidden="false" customHeight="true" outlineLevel="0" collapsed="false">
      <c r="B357" s="72" t="str">
        <f aca="false">IF(助手报销!$T$25=1,"合计：","")</f>
        <v/>
      </c>
      <c r="C357" s="73" t="str">
        <f aca="false">IF(助手报销!$T$25=1,$F357,"")</f>
        <v/>
      </c>
      <c r="D357" s="74"/>
      <c r="E357" s="74"/>
      <c r="F357" s="75" t="str">
        <f aca="false">IF(助手报销!$T$25=1,INDEX(助手报销!$N$2:$N$121,助手报销!$R$25),"")</f>
        <v/>
      </c>
      <c r="G357" s="76" t="str">
        <f aca="false">IF(助手报销!$T$25=1,INDEX(助手报销!$O$2:$O$121,助手报销!$R$25),"")</f>
        <v/>
      </c>
      <c r="H357" s="74"/>
      <c r="I357" s="77"/>
    </row>
    <row r="358" customFormat="false" ht="6" hidden="false" customHeight="true" outlineLevel="0" collapsed="false"/>
    <row r="359" customFormat="false" ht="13.5" hidden="false" customHeight="false" outlineLevel="0" collapsed="false">
      <c r="B359" s="78" t="str">
        <f aca="false">IF(助手报销!$R$25&lt;&gt;"","会计主管：","")</f>
        <v>会计主管：</v>
      </c>
      <c r="D359" s="78" t="str">
        <f aca="false">IF(助手报销!$R$25&lt;&gt;"","会计：","")</f>
        <v>会计：</v>
      </c>
      <c r="E359" s="78" t="str">
        <f aca="false">IF(助手报销!$R$25&lt;&gt;"","出纳：","")</f>
        <v>出纳：</v>
      </c>
      <c r="F359" s="78" t="str">
        <f aca="false">IF(助手报销!$R$25&lt;&gt;"","复核：","")</f>
        <v>复核：</v>
      </c>
      <c r="G359" s="78" t="str">
        <f aca="false">IF(助手报销!$R$25&lt;&gt;"","制单：","")</f>
        <v>制单：</v>
      </c>
    </row>
    <row r="360" customFormat="false" ht="3" hidden="false" customHeight="true" outlineLevel="0" collapsed="false"/>
    <row r="361" customFormat="false" ht="19.5" hidden="false" customHeight="true" outlineLevel="0" collapsed="false">
      <c r="B361" s="53" t="str">
        <f aca="false">IF(助手报销!$R$26&lt;&gt;"","记  账  凭  证","")</f>
        <v>记  账  凭  证</v>
      </c>
      <c r="C361" s="53"/>
      <c r="D361" s="53"/>
      <c r="E361" s="53"/>
      <c r="F361" s="53"/>
      <c r="G361" s="53"/>
      <c r="H361" s="53"/>
      <c r="I361" s="53"/>
    </row>
    <row r="362" customFormat="false" ht="3" hidden="false" customHeight="true" outlineLevel="0" collapsed="false"/>
    <row r="363" customFormat="false" ht="15" hidden="false" customHeight="true" outlineLevel="0" collapsed="false">
      <c r="C363" s="56" t="str">
        <f aca="false">IF(助手报销!$R$26&lt;&gt;"",INDEX(助手报销!$B$2:$B$121,助手报销!$R$26),"")</f>
        <v/>
      </c>
      <c r="D363" s="57" t="n">
        <f aca="false">IF(助手报销!$R$26&lt;&gt;"",INDEX(助手报销!$D$2:$D$121,助手报销!$R$26),"")</f>
        <v>46265</v>
      </c>
      <c r="E363" s="57"/>
      <c r="F363" s="58" t="str">
        <f aca="false">IF(助手报销!$R$26&lt;&gt;"",INDEX(助手报销!$C$2:$C$121,助手报销!$R$26)&amp;"  字第 "&amp;IF(参数!$B$9="是",INDEX(助手报销!$P$2:$P$121,助手报销!$R$26),"　　　　")&amp;" 号"&amp;IF(INDEX(助手报销!$L$2:$L$121,助手报销!$R$26)&gt;1,"  (共"&amp;INDEX(助手报销!$L$2:$L$121,助手报销!$R$26)&amp;"页 第"&amp;助手报销!$S$26&amp;"页)",""),"")</f>
        <v>郝庄店  字第 　　　　 号  (共2页 第2页)</v>
      </c>
      <c r="G363" s="58"/>
      <c r="H363" s="58"/>
      <c r="I363" s="58"/>
      <c r="M363" s="59" t="n">
        <f aca="false">IF(助手报销!$R$26="","",助手报销!$Q$26)</f>
        <v>25</v>
      </c>
      <c r="N363" s="60" t="n">
        <f aca="false">IF(助手报销!$R$26="","",INDEX(助手报销!$P$2:$P$121,助手报销!$R$26))</f>
        <v>24</v>
      </c>
      <c r="O363" s="55" t="str">
        <f aca="false">IF(助手报销!$R$26="","",INDEX(助手报销!$C$2:$C$121,助手报销!$R$26)&amp;"  字第 "&amp;INDEX(助手报销!$P$2:$P$121,助手报销!$R$26)&amp;" 号"&amp;IF(INDEX(助手报销!$L$2:$L$121,助手报销!$R$26)&gt;1,"  (共"&amp;INDEX(助手报销!$L$2:$L$121,助手报销!$R$26)&amp;"页 第"&amp;助手报销!$S$26&amp;"页)",""))</f>
        <v>郝庄店  字第 24 号  (共2页 第2页)</v>
      </c>
    </row>
    <row r="364" customFormat="false" ht="12.75" hidden="false" customHeight="true" outlineLevel="0" collapsed="false">
      <c r="B364" s="61" t="str">
        <f aca="false">IF(助手报销!$R$26&lt;&gt;"","摘　　要","")</f>
        <v>摘　　要</v>
      </c>
      <c r="C364" s="61"/>
      <c r="D364" s="62" t="str">
        <f aca="false">IF(助手报销!$R$26&lt;&gt;"","科　　　　目","")</f>
        <v>科　　　　目</v>
      </c>
      <c r="E364" s="62"/>
      <c r="F364" s="61" t="str">
        <f aca="false">IF(助手报销!$R$26&lt;&gt;"","借 方 金 额","")</f>
        <v>借 方 金 额</v>
      </c>
      <c r="G364" s="62" t="str">
        <f aca="false">IF(助手报销!$R$26&lt;&gt;"","贷 方 金 额","")</f>
        <v>贷 方 金 额</v>
      </c>
      <c r="H364" s="63" t="str">
        <f aca="false">IF(助手报销!$R$26&lt;&gt;"","√","")</f>
        <v>√</v>
      </c>
      <c r="I364" s="64" t="str">
        <f aca="false">IF(助手报销!$R$26&lt;&gt;"","附单据  张","")</f>
        <v>附单据  张</v>
      </c>
    </row>
    <row r="365" customFormat="false" ht="12.75" hidden="false" customHeight="true" outlineLevel="0" collapsed="false">
      <c r="B365" s="61"/>
      <c r="C365" s="61"/>
      <c r="D365" s="23" t="str">
        <f aca="false">IF(助手报销!$R$26&lt;&gt;"","总 账 科 目","")</f>
        <v>总 账 科 目</v>
      </c>
      <c r="E365" s="23" t="str">
        <f aca="false">IF(助手报销!$R$26&lt;&gt;"","明 细 科 目","")</f>
        <v>明 细 科 目</v>
      </c>
      <c r="F365" s="65"/>
      <c r="G365" s="66"/>
      <c r="H365" s="63"/>
      <c r="I365" s="64"/>
    </row>
    <row r="366" customFormat="false" ht="23.25" hidden="false" customHeight="true" outlineLevel="0" collapsed="false">
      <c r="B366" s="67" t="str">
        <f aca="false">IFERROR(INDEX(分录报销!$M:$M,MATCH($L366,分录报销!$L:$L,0)),"")</f>
        <v>车费</v>
      </c>
      <c r="C366" s="67"/>
      <c r="D366" s="23" t="str">
        <f aca="false">IFERROR(INDEX(分录报销!$E:$E,MATCH($L366,分录报销!$L:$L,0)),"")</f>
        <v>销售费用</v>
      </c>
      <c r="E366" s="23" t="str">
        <f aca="false">IFERROR(INDEX(分录报销!$F:$F,MATCH($L366,分录报销!$L:$L,0)),"")</f>
        <v>福利费</v>
      </c>
      <c r="F366" s="68" t="n">
        <f aca="false">IFERROR(INDEX(分录报销!$H:$H,MATCH($L366,分录报销!$L:$L,0)),"")</f>
        <v>74</v>
      </c>
      <c r="G366" s="69" t="str">
        <f aca="false">IFERROR(INDEX(分录报销!$I:$I,MATCH($L366,分录报销!$L:$L,0)),"")</f>
        <v/>
      </c>
      <c r="H366" s="23"/>
      <c r="I366" s="70"/>
      <c r="L366" s="71" t="n">
        <f aca="false">IF(助手报销!$R$26="",-1,助手报销!$R$26*100+(助手报销!$S$26-1)*6+1)</f>
        <v>2407</v>
      </c>
    </row>
    <row r="367" customFormat="false" ht="23.25" hidden="false" customHeight="true" outlineLevel="0" collapsed="false">
      <c r="B367" s="67" t="str">
        <f aca="false">IFERROR(INDEX(分录报销!$M:$M,MATCH($L367,分录报销!$L:$L,0)),"")</f>
        <v/>
      </c>
      <c r="C367" s="67"/>
      <c r="D367" s="23" t="str">
        <f aca="false">IFERROR(INDEX(分录报销!$E:$E,MATCH($L367,分录报销!$L:$L,0)),"")</f>
        <v>库存现金</v>
      </c>
      <c r="E367" s="23" t="str">
        <f aca="false">IFERROR(INDEX(分录报销!$F:$F,MATCH($L367,分录报销!$L:$L,0)),"")</f>
        <v/>
      </c>
      <c r="F367" s="68" t="str">
        <f aca="false">IFERROR(INDEX(分录报销!$H:$H,MATCH($L367,分录报销!$L:$L,0)),"")</f>
        <v/>
      </c>
      <c r="G367" s="69" t="n">
        <f aca="false">IFERROR(INDEX(分录报销!$I:$I,MATCH($L367,分录报销!$L:$L,0)),"")</f>
        <v>685.77</v>
      </c>
      <c r="H367" s="23"/>
      <c r="I367" s="70"/>
      <c r="L367" s="71" t="n">
        <f aca="false">IF(助手报销!$R$26="",-1,助手报销!$R$26*100+(助手报销!$S$26-1)*6+2)</f>
        <v>2408</v>
      </c>
    </row>
    <row r="368" customFormat="false" ht="23.25" hidden="false" customHeight="true" outlineLevel="0" collapsed="false">
      <c r="B368" s="67" t="str">
        <f aca="false">IFERROR(INDEX(分录报销!$M:$M,MATCH($L368,分录报销!$L:$L,0)),"")</f>
        <v/>
      </c>
      <c r="C368" s="67"/>
      <c r="D368" s="23" t="str">
        <f aca="false">IFERROR(INDEX(分录报销!$E:$E,MATCH($L368,分录报销!$L:$L,0)),"")</f>
        <v/>
      </c>
      <c r="E368" s="23" t="str">
        <f aca="false">IFERROR(INDEX(分录报销!$F:$F,MATCH($L368,分录报销!$L:$L,0)),"")</f>
        <v/>
      </c>
      <c r="F368" s="68" t="str">
        <f aca="false">IFERROR(INDEX(分录报销!$H:$H,MATCH($L368,分录报销!$L:$L,0)),"")</f>
        <v/>
      </c>
      <c r="G368" s="69" t="str">
        <f aca="false">IFERROR(INDEX(分录报销!$I:$I,MATCH($L368,分录报销!$L:$L,0)),"")</f>
        <v/>
      </c>
      <c r="H368" s="23"/>
      <c r="I368" s="70"/>
      <c r="L368" s="71" t="n">
        <f aca="false">IF(助手报销!$R$26="",-1,助手报销!$R$26*100+(助手报销!$S$26-1)*6+3)</f>
        <v>2409</v>
      </c>
    </row>
    <row r="369" customFormat="false" ht="23.25" hidden="false" customHeight="true" outlineLevel="0" collapsed="false">
      <c r="B369" s="67" t="str">
        <f aca="false">IFERROR(INDEX(分录报销!$M:$M,MATCH($L369,分录报销!$L:$L,0)),"")</f>
        <v/>
      </c>
      <c r="C369" s="67"/>
      <c r="D369" s="23" t="str">
        <f aca="false">IFERROR(INDEX(分录报销!$E:$E,MATCH($L369,分录报销!$L:$L,0)),"")</f>
        <v/>
      </c>
      <c r="E369" s="23" t="str">
        <f aca="false">IFERROR(INDEX(分录报销!$F:$F,MATCH($L369,分录报销!$L:$L,0)),"")</f>
        <v/>
      </c>
      <c r="F369" s="68" t="str">
        <f aca="false">IFERROR(INDEX(分录报销!$H:$H,MATCH($L369,分录报销!$L:$L,0)),"")</f>
        <v/>
      </c>
      <c r="G369" s="69" t="str">
        <f aca="false">IFERROR(INDEX(分录报销!$I:$I,MATCH($L369,分录报销!$L:$L,0)),"")</f>
        <v/>
      </c>
      <c r="H369" s="23"/>
      <c r="I369" s="70"/>
      <c r="L369" s="71" t="n">
        <f aca="false">IF(助手报销!$R$26="",-1,助手报销!$R$26*100+(助手报销!$S$26-1)*6+4)</f>
        <v>2410</v>
      </c>
    </row>
    <row r="370" customFormat="false" ht="23.25" hidden="false" customHeight="true" outlineLevel="0" collapsed="false">
      <c r="B370" s="67" t="str">
        <f aca="false">IFERROR(INDEX(分录报销!$M:$M,MATCH($L370,分录报销!$L:$L,0)),"")</f>
        <v/>
      </c>
      <c r="C370" s="67"/>
      <c r="D370" s="23" t="str">
        <f aca="false">IFERROR(INDEX(分录报销!$E:$E,MATCH($L370,分录报销!$L:$L,0)),"")</f>
        <v/>
      </c>
      <c r="E370" s="23" t="str">
        <f aca="false">IFERROR(INDEX(分录报销!$F:$F,MATCH($L370,分录报销!$L:$L,0)),"")</f>
        <v/>
      </c>
      <c r="F370" s="68" t="str">
        <f aca="false">IFERROR(INDEX(分录报销!$H:$H,MATCH($L370,分录报销!$L:$L,0)),"")</f>
        <v/>
      </c>
      <c r="G370" s="69" t="str">
        <f aca="false">IFERROR(INDEX(分录报销!$I:$I,MATCH($L370,分录报销!$L:$L,0)),"")</f>
        <v/>
      </c>
      <c r="H370" s="23"/>
      <c r="I370" s="70"/>
      <c r="L370" s="71" t="n">
        <f aca="false">IF(助手报销!$R$26="",-1,助手报销!$R$26*100+(助手报销!$S$26-1)*6+5)</f>
        <v>2411</v>
      </c>
    </row>
    <row r="371" customFormat="false" ht="23.25" hidden="false" customHeight="true" outlineLevel="0" collapsed="false">
      <c r="B371" s="67" t="str">
        <f aca="false">IFERROR(INDEX(分录报销!$M:$M,MATCH($L371,分录报销!$L:$L,0)),"")</f>
        <v/>
      </c>
      <c r="C371" s="67"/>
      <c r="D371" s="23" t="str">
        <f aca="false">IFERROR(INDEX(分录报销!$E:$E,MATCH($L371,分录报销!$L:$L,0)),"")</f>
        <v/>
      </c>
      <c r="E371" s="23" t="str">
        <f aca="false">IFERROR(INDEX(分录报销!$F:$F,MATCH($L371,分录报销!$L:$L,0)),"")</f>
        <v/>
      </c>
      <c r="F371" s="68" t="str">
        <f aca="false">IFERROR(INDEX(分录报销!$H:$H,MATCH($L371,分录报销!$L:$L,0)),"")</f>
        <v/>
      </c>
      <c r="G371" s="69" t="str">
        <f aca="false">IFERROR(INDEX(分录报销!$I:$I,MATCH($L371,分录报销!$L:$L,0)),"")</f>
        <v/>
      </c>
      <c r="H371" s="23"/>
      <c r="I371" s="70"/>
      <c r="L371" s="71" t="n">
        <f aca="false">IF(助手报销!$R$26="",-1,助手报销!$R$26*100+(助手报销!$S$26-1)*6+6)</f>
        <v>2412</v>
      </c>
    </row>
    <row r="372" customFormat="false" ht="23.25" hidden="false" customHeight="true" outlineLevel="0" collapsed="false">
      <c r="B372" s="72" t="str">
        <f aca="false">IF(助手报销!$T$26=1,"合计：","")</f>
        <v>合计：</v>
      </c>
      <c r="C372" s="73" t="n">
        <f aca="false">IF(助手报销!$T$26=1,$F372,"")</f>
        <v>685.77</v>
      </c>
      <c r="D372" s="74"/>
      <c r="E372" s="74"/>
      <c r="F372" s="75" t="n">
        <f aca="false">IF(助手报销!$T$26=1,INDEX(助手报销!$N$2:$N$121,助手报销!$R$26),"")</f>
        <v>685.77</v>
      </c>
      <c r="G372" s="76" t="n">
        <f aca="false">IF(助手报销!$T$26=1,INDEX(助手报销!$O$2:$O$121,助手报销!$R$26),"")</f>
        <v>685.77</v>
      </c>
      <c r="H372" s="74"/>
      <c r="I372" s="77"/>
    </row>
    <row r="373" customFormat="false" ht="6" hidden="false" customHeight="true" outlineLevel="0" collapsed="false"/>
    <row r="374" customFormat="false" ht="13.5" hidden="false" customHeight="false" outlineLevel="0" collapsed="false">
      <c r="B374" s="78" t="str">
        <f aca="false">IF(助手报销!$R$26&lt;&gt;"","会计主管：","")</f>
        <v>会计主管：</v>
      </c>
      <c r="D374" s="78" t="str">
        <f aca="false">IF(助手报销!$R$26&lt;&gt;"","会计：","")</f>
        <v>会计：</v>
      </c>
      <c r="E374" s="78" t="str">
        <f aca="false">IF(助手报销!$R$26&lt;&gt;"","出纳：","")</f>
        <v>出纳：</v>
      </c>
      <c r="F374" s="78" t="str">
        <f aca="false">IF(助手报销!$R$26&lt;&gt;"","复核：","")</f>
        <v>复核：</v>
      </c>
      <c r="G374" s="78" t="str">
        <f aca="false">IF(助手报销!$R$26&lt;&gt;"","制单：","")</f>
        <v>制单：</v>
      </c>
    </row>
    <row r="375" customFormat="false" ht="3" hidden="false" customHeight="true" outlineLevel="0" collapsed="false"/>
    <row r="376" customFormat="false" ht="19.5" hidden="false" customHeight="true" outlineLevel="0" collapsed="false">
      <c r="B376" s="53" t="str">
        <f aca="false">IF(助手报销!$R$27&lt;&gt;"","记  账  凭  证","")</f>
        <v>记  账  凭  证</v>
      </c>
      <c r="C376" s="53"/>
      <c r="D376" s="53"/>
      <c r="E376" s="53"/>
      <c r="F376" s="53"/>
      <c r="G376" s="53"/>
      <c r="H376" s="53"/>
      <c r="I376" s="53"/>
    </row>
    <row r="377" customFormat="false" ht="3" hidden="false" customHeight="true" outlineLevel="0" collapsed="false"/>
    <row r="378" customFormat="false" ht="15" hidden="false" customHeight="true" outlineLevel="0" collapsed="false">
      <c r="C378" s="56" t="str">
        <f aca="false">IF(助手报销!$R$27&lt;&gt;"",INDEX(助手报销!$B$2:$B$121,助手报销!$R$27),"")</f>
        <v/>
      </c>
      <c r="D378" s="57" t="n">
        <f aca="false">IF(助手报销!$R$27&lt;&gt;"",INDEX(助手报销!$D$2:$D$121,助手报销!$R$27),"")</f>
        <v>46265</v>
      </c>
      <c r="E378" s="57"/>
      <c r="F378" s="58" t="str">
        <f aca="false">IF(助手报销!$R$27&lt;&gt;"",INDEX(助手报销!$C$2:$C$121,助手报销!$R$27)&amp;"  字第 "&amp;IF(参数!$B$9="是",INDEX(助手报销!$P$2:$P$121,助手报销!$R$27),"　　　　")&amp;" 号"&amp;IF(INDEX(助手报销!$L$2:$L$121,助手报销!$R$27)&gt;1,"  (共"&amp;INDEX(助手报销!$L$2:$L$121,助手报销!$R$27)&amp;"页 第"&amp;助手报销!$S$27&amp;"页)",""),"")</f>
        <v>白家寨店  字第 　　　　 号</v>
      </c>
      <c r="G378" s="58"/>
      <c r="H378" s="58"/>
      <c r="I378" s="58"/>
      <c r="M378" s="59" t="n">
        <f aca="false">IF(助手报销!$R$27="","",助手报销!$Q$27)</f>
        <v>26</v>
      </c>
      <c r="N378" s="60" t="n">
        <f aca="false">IF(助手报销!$R$27="","",INDEX(助手报销!$P$2:$P$121,助手报销!$R$27))</f>
        <v>25</v>
      </c>
      <c r="O378" s="55" t="str">
        <f aca="false">IF(助手报销!$R$27="","",INDEX(助手报销!$C$2:$C$121,助手报销!$R$27)&amp;"  字第 "&amp;INDEX(助手报销!$P$2:$P$121,助手报销!$R$27)&amp;" 号"&amp;IF(INDEX(助手报销!$L$2:$L$121,助手报销!$R$27)&gt;1,"  (共"&amp;INDEX(助手报销!$L$2:$L$121,助手报销!$R$27)&amp;"页 第"&amp;助手报销!$S$27&amp;"页)",""))</f>
        <v>白家寨店  字第 25 号</v>
      </c>
    </row>
    <row r="379" customFormat="false" ht="12.75" hidden="false" customHeight="true" outlineLevel="0" collapsed="false">
      <c r="B379" s="61" t="str">
        <f aca="false">IF(助手报销!$R$27&lt;&gt;"","摘　　要","")</f>
        <v>摘　　要</v>
      </c>
      <c r="C379" s="61"/>
      <c r="D379" s="62" t="str">
        <f aca="false">IF(助手报销!$R$27&lt;&gt;"","科　　　　目","")</f>
        <v>科　　　　目</v>
      </c>
      <c r="E379" s="62"/>
      <c r="F379" s="61" t="str">
        <f aca="false">IF(助手报销!$R$27&lt;&gt;"","借 方 金 额","")</f>
        <v>借 方 金 额</v>
      </c>
      <c r="G379" s="62" t="str">
        <f aca="false">IF(助手报销!$R$27&lt;&gt;"","贷 方 金 额","")</f>
        <v>贷 方 金 额</v>
      </c>
      <c r="H379" s="63" t="str">
        <f aca="false">IF(助手报销!$R$27&lt;&gt;"","√","")</f>
        <v>√</v>
      </c>
      <c r="I379" s="64" t="str">
        <f aca="false">IF(助手报销!$R$27&lt;&gt;"","附单据  张","")</f>
        <v>附单据  张</v>
      </c>
    </row>
    <row r="380" customFormat="false" ht="12.75" hidden="false" customHeight="true" outlineLevel="0" collapsed="false">
      <c r="B380" s="61"/>
      <c r="C380" s="61"/>
      <c r="D380" s="23" t="str">
        <f aca="false">IF(助手报销!$R$27&lt;&gt;"","总 账 科 目","")</f>
        <v>总 账 科 目</v>
      </c>
      <c r="E380" s="23" t="str">
        <f aca="false">IF(助手报销!$R$27&lt;&gt;"","明 细 科 目","")</f>
        <v>明 细 科 目</v>
      </c>
      <c r="F380" s="65"/>
      <c r="G380" s="66"/>
      <c r="H380" s="63"/>
      <c r="I380" s="64"/>
    </row>
    <row r="381" customFormat="false" ht="23.25" hidden="false" customHeight="true" outlineLevel="0" collapsed="false">
      <c r="B381" s="67" t="str">
        <f aca="false">IFERROR(INDEX(分录报销!$M:$M,MATCH($L381,分录报销!$L:$L,0)),"")</f>
        <v>水费</v>
      </c>
      <c r="C381" s="67"/>
      <c r="D381" s="23" t="str">
        <f aca="false">IFERROR(INDEX(分录报销!$E:$E,MATCH($L381,分录报销!$L:$L,0)),"")</f>
        <v>销售费用</v>
      </c>
      <c r="E381" s="23" t="str">
        <f aca="false">IFERROR(INDEX(分录报销!$F:$F,MATCH($L381,分录报销!$L:$L,0)),"")</f>
        <v>水费</v>
      </c>
      <c r="F381" s="68" t="n">
        <f aca="false">IFERROR(INDEX(分录报销!$H:$H,MATCH($L381,分录报销!$L:$L,0)),"")</f>
        <v>12</v>
      </c>
      <c r="G381" s="69" t="str">
        <f aca="false">IFERROR(INDEX(分录报销!$I:$I,MATCH($L381,分录报销!$L:$L,0)),"")</f>
        <v/>
      </c>
      <c r="H381" s="23"/>
      <c r="I381" s="70"/>
      <c r="L381" s="71" t="n">
        <f aca="false">IF(助手报销!$R$27="",-1,助手报销!$R$27*100+(助手报销!$S$27-1)*6+1)</f>
        <v>2501</v>
      </c>
    </row>
    <row r="382" customFormat="false" ht="23.25" hidden="false" customHeight="true" outlineLevel="0" collapsed="false">
      <c r="B382" s="67" t="str">
        <f aca="false">IFERROR(INDEX(分录报销!$M:$M,MATCH($L382,分录报销!$L:$L,0)),"")</f>
        <v>慢病用品</v>
      </c>
      <c r="C382" s="67"/>
      <c r="D382" s="23" t="str">
        <f aca="false">IFERROR(INDEX(分录报销!$E:$E,MATCH($L382,分录报销!$L:$L,0)),"")</f>
        <v>销售费用</v>
      </c>
      <c r="E382" s="23" t="str">
        <f aca="false">IFERROR(INDEX(分录报销!$F:$F,MATCH($L382,分录报销!$L:$L,0)),"")</f>
        <v>办公费</v>
      </c>
      <c r="F382" s="68" t="n">
        <f aca="false">IFERROR(INDEX(分录报销!$H:$H,MATCH($L382,分录报销!$L:$L,0)),"")</f>
        <v>1.6</v>
      </c>
      <c r="G382" s="69" t="str">
        <f aca="false">IFERROR(INDEX(分录报销!$I:$I,MATCH($L382,分录报销!$L:$L,0)),"")</f>
        <v/>
      </c>
      <c r="H382" s="23"/>
      <c r="I382" s="70"/>
      <c r="L382" s="71" t="n">
        <f aca="false">IF(助手报销!$R$27="",-1,助手报销!$R$27*100+(助手报销!$S$27-1)*6+2)</f>
        <v>2502</v>
      </c>
    </row>
    <row r="383" customFormat="false" ht="23.25" hidden="false" customHeight="true" outlineLevel="0" collapsed="false">
      <c r="B383" s="67" t="str">
        <f aca="false">IFERROR(INDEX(分录报销!$M:$M,MATCH($L383,分录报销!$L:$L,0)),"")</f>
        <v/>
      </c>
      <c r="C383" s="67"/>
      <c r="D383" s="23" t="str">
        <f aca="false">IFERROR(INDEX(分录报销!$E:$E,MATCH($L383,分录报销!$L:$L,0)),"")</f>
        <v>库存现金</v>
      </c>
      <c r="E383" s="23" t="str">
        <f aca="false">IFERROR(INDEX(分录报销!$F:$F,MATCH($L383,分录报销!$L:$L,0)),"")</f>
        <v/>
      </c>
      <c r="F383" s="68" t="str">
        <f aca="false">IFERROR(INDEX(分录报销!$H:$H,MATCH($L383,分录报销!$L:$L,0)),"")</f>
        <v/>
      </c>
      <c r="G383" s="69" t="n">
        <f aca="false">IFERROR(INDEX(分录报销!$I:$I,MATCH($L383,分录报销!$L:$L,0)),"")</f>
        <v>13.6</v>
      </c>
      <c r="H383" s="23"/>
      <c r="I383" s="70"/>
      <c r="L383" s="71" t="n">
        <f aca="false">IF(助手报销!$R$27="",-1,助手报销!$R$27*100+(助手报销!$S$27-1)*6+3)</f>
        <v>2503</v>
      </c>
    </row>
    <row r="384" customFormat="false" ht="23.25" hidden="false" customHeight="true" outlineLevel="0" collapsed="false">
      <c r="B384" s="67" t="str">
        <f aca="false">IFERROR(INDEX(分录报销!$M:$M,MATCH($L384,分录报销!$L:$L,0)),"")</f>
        <v/>
      </c>
      <c r="C384" s="67"/>
      <c r="D384" s="23" t="str">
        <f aca="false">IFERROR(INDEX(分录报销!$E:$E,MATCH($L384,分录报销!$L:$L,0)),"")</f>
        <v/>
      </c>
      <c r="E384" s="23" t="str">
        <f aca="false">IFERROR(INDEX(分录报销!$F:$F,MATCH($L384,分录报销!$L:$L,0)),"")</f>
        <v/>
      </c>
      <c r="F384" s="68" t="str">
        <f aca="false">IFERROR(INDEX(分录报销!$H:$H,MATCH($L384,分录报销!$L:$L,0)),"")</f>
        <v/>
      </c>
      <c r="G384" s="69" t="str">
        <f aca="false">IFERROR(INDEX(分录报销!$I:$I,MATCH($L384,分录报销!$L:$L,0)),"")</f>
        <v/>
      </c>
      <c r="H384" s="23"/>
      <c r="I384" s="70"/>
      <c r="L384" s="71" t="n">
        <f aca="false">IF(助手报销!$R$27="",-1,助手报销!$R$27*100+(助手报销!$S$27-1)*6+4)</f>
        <v>2504</v>
      </c>
    </row>
    <row r="385" customFormat="false" ht="23.25" hidden="false" customHeight="true" outlineLevel="0" collapsed="false">
      <c r="B385" s="67" t="str">
        <f aca="false">IFERROR(INDEX(分录报销!$M:$M,MATCH($L385,分录报销!$L:$L,0)),"")</f>
        <v/>
      </c>
      <c r="C385" s="67"/>
      <c r="D385" s="23" t="str">
        <f aca="false">IFERROR(INDEX(分录报销!$E:$E,MATCH($L385,分录报销!$L:$L,0)),"")</f>
        <v/>
      </c>
      <c r="E385" s="23" t="str">
        <f aca="false">IFERROR(INDEX(分录报销!$F:$F,MATCH($L385,分录报销!$L:$L,0)),"")</f>
        <v/>
      </c>
      <c r="F385" s="68" t="str">
        <f aca="false">IFERROR(INDEX(分录报销!$H:$H,MATCH($L385,分录报销!$L:$L,0)),"")</f>
        <v/>
      </c>
      <c r="G385" s="69" t="str">
        <f aca="false">IFERROR(INDEX(分录报销!$I:$I,MATCH($L385,分录报销!$L:$L,0)),"")</f>
        <v/>
      </c>
      <c r="H385" s="23"/>
      <c r="I385" s="70"/>
      <c r="L385" s="71" t="n">
        <f aca="false">IF(助手报销!$R$27="",-1,助手报销!$R$27*100+(助手报销!$S$27-1)*6+5)</f>
        <v>2505</v>
      </c>
    </row>
    <row r="386" customFormat="false" ht="23.25" hidden="false" customHeight="true" outlineLevel="0" collapsed="false">
      <c r="B386" s="67" t="str">
        <f aca="false">IFERROR(INDEX(分录报销!$M:$M,MATCH($L386,分录报销!$L:$L,0)),"")</f>
        <v/>
      </c>
      <c r="C386" s="67"/>
      <c r="D386" s="23" t="str">
        <f aca="false">IFERROR(INDEX(分录报销!$E:$E,MATCH($L386,分录报销!$L:$L,0)),"")</f>
        <v/>
      </c>
      <c r="E386" s="23" t="str">
        <f aca="false">IFERROR(INDEX(分录报销!$F:$F,MATCH($L386,分录报销!$L:$L,0)),"")</f>
        <v/>
      </c>
      <c r="F386" s="68" t="str">
        <f aca="false">IFERROR(INDEX(分录报销!$H:$H,MATCH($L386,分录报销!$L:$L,0)),"")</f>
        <v/>
      </c>
      <c r="G386" s="69" t="str">
        <f aca="false">IFERROR(INDEX(分录报销!$I:$I,MATCH($L386,分录报销!$L:$L,0)),"")</f>
        <v/>
      </c>
      <c r="H386" s="23"/>
      <c r="I386" s="70"/>
      <c r="L386" s="71" t="n">
        <f aca="false">IF(助手报销!$R$27="",-1,助手报销!$R$27*100+(助手报销!$S$27-1)*6+6)</f>
        <v>2506</v>
      </c>
    </row>
    <row r="387" customFormat="false" ht="23.25" hidden="false" customHeight="true" outlineLevel="0" collapsed="false">
      <c r="B387" s="72" t="str">
        <f aca="false">IF(助手报销!$T$27=1,"合计：","")</f>
        <v>合计：</v>
      </c>
      <c r="C387" s="73" t="n">
        <f aca="false">IF(助手报销!$T$27=1,$F387,"")</f>
        <v>13.6</v>
      </c>
      <c r="D387" s="74"/>
      <c r="E387" s="74"/>
      <c r="F387" s="75" t="n">
        <f aca="false">IF(助手报销!$T$27=1,INDEX(助手报销!$N$2:$N$121,助手报销!$R$27),"")</f>
        <v>13.6</v>
      </c>
      <c r="G387" s="76" t="n">
        <f aca="false">IF(助手报销!$T$27=1,INDEX(助手报销!$O$2:$O$121,助手报销!$R$27),"")</f>
        <v>13.6</v>
      </c>
      <c r="H387" s="74"/>
      <c r="I387" s="77"/>
    </row>
    <row r="388" customFormat="false" ht="6" hidden="false" customHeight="true" outlineLevel="0" collapsed="false"/>
    <row r="389" customFormat="false" ht="13.5" hidden="false" customHeight="false" outlineLevel="0" collapsed="false">
      <c r="B389" s="78" t="str">
        <f aca="false">IF(助手报销!$R$27&lt;&gt;"","会计主管：","")</f>
        <v>会计主管：</v>
      </c>
      <c r="D389" s="78" t="str">
        <f aca="false">IF(助手报销!$R$27&lt;&gt;"","会计：","")</f>
        <v>会计：</v>
      </c>
      <c r="E389" s="78" t="str">
        <f aca="false">IF(助手报销!$R$27&lt;&gt;"","出纳：","")</f>
        <v>出纳：</v>
      </c>
      <c r="F389" s="78" t="str">
        <f aca="false">IF(助手报销!$R$27&lt;&gt;"","复核：","")</f>
        <v>复核：</v>
      </c>
      <c r="G389" s="78" t="str">
        <f aca="false">IF(助手报销!$R$27&lt;&gt;"","制单：","")</f>
        <v>制单：</v>
      </c>
    </row>
    <row r="390" customFormat="false" ht="3" hidden="false" customHeight="true" outlineLevel="0" collapsed="false"/>
    <row r="391" customFormat="false" ht="19.5" hidden="false" customHeight="true" outlineLevel="0" collapsed="false">
      <c r="B391" s="53" t="str">
        <f aca="false">IF(助手报销!$R$28&lt;&gt;"","记  账  凭  证","")</f>
        <v>记  账  凭  证</v>
      </c>
      <c r="C391" s="53"/>
      <c r="D391" s="53"/>
      <c r="E391" s="53"/>
      <c r="F391" s="53"/>
      <c r="G391" s="53"/>
      <c r="H391" s="53"/>
      <c r="I391" s="53"/>
    </row>
    <row r="392" customFormat="false" ht="3" hidden="false" customHeight="true" outlineLevel="0" collapsed="false"/>
    <row r="393" customFormat="false" ht="15" hidden="false" customHeight="true" outlineLevel="0" collapsed="false">
      <c r="C393" s="56" t="str">
        <f aca="false">IF(助手报销!$R$28&lt;&gt;"",INDEX(助手报销!$B$2:$B$121,助手报销!$R$28),"")</f>
        <v/>
      </c>
      <c r="D393" s="57" t="n">
        <f aca="false">IF(助手报销!$R$28&lt;&gt;"",INDEX(助手报销!$D$2:$D$121,助手报销!$R$28),"")</f>
        <v>46265</v>
      </c>
      <c r="E393" s="57"/>
      <c r="F393" s="58" t="str">
        <f aca="false">IF(助手报销!$R$28&lt;&gt;"",INDEX(助手报销!$C$2:$C$121,助手报销!$R$28)&amp;"  字第 "&amp;IF(参数!$B$9="是",INDEX(助手报销!$P$2:$P$121,助手报销!$R$28),"　　　　")&amp;" 号"&amp;IF(INDEX(助手报销!$L$2:$L$121,助手报销!$R$28)&gt;1,"  (共"&amp;INDEX(助手报销!$L$2:$L$121,助手报销!$R$28)&amp;"页 第"&amp;助手报销!$S$28&amp;"页)",""),"")</f>
        <v>博福店  字第 　　　　 号  (共2页 第1页)</v>
      </c>
      <c r="G393" s="58"/>
      <c r="H393" s="58"/>
      <c r="I393" s="58"/>
      <c r="M393" s="59" t="n">
        <f aca="false">IF(助手报销!$R$28="","",助手报销!$Q$28)</f>
        <v>27</v>
      </c>
      <c r="N393" s="60" t="n">
        <f aca="false">IF(助手报销!$R$28="","",INDEX(助手报销!$P$2:$P$121,助手报销!$R$28))</f>
        <v>26</v>
      </c>
      <c r="O393" s="55" t="str">
        <f aca="false">IF(助手报销!$R$28="","",INDEX(助手报销!$C$2:$C$121,助手报销!$R$28)&amp;"  字第 "&amp;INDEX(助手报销!$P$2:$P$121,助手报销!$R$28)&amp;" 号"&amp;IF(INDEX(助手报销!$L$2:$L$121,助手报销!$R$28)&gt;1,"  (共"&amp;INDEX(助手报销!$L$2:$L$121,助手报销!$R$28)&amp;"页 第"&amp;助手报销!$S$28&amp;"页)",""))</f>
        <v>博福店  字第 26 号  (共2页 第1页)</v>
      </c>
    </row>
    <row r="394" customFormat="false" ht="12.75" hidden="false" customHeight="true" outlineLevel="0" collapsed="false">
      <c r="B394" s="61" t="str">
        <f aca="false">IF(助手报销!$R$28&lt;&gt;"","摘　　要","")</f>
        <v>摘　　要</v>
      </c>
      <c r="C394" s="61"/>
      <c r="D394" s="62" t="str">
        <f aca="false">IF(助手报销!$R$28&lt;&gt;"","科　　　　目","")</f>
        <v>科　　　　目</v>
      </c>
      <c r="E394" s="62"/>
      <c r="F394" s="61" t="str">
        <f aca="false">IF(助手报销!$R$28&lt;&gt;"","借 方 金 额","")</f>
        <v>借 方 金 额</v>
      </c>
      <c r="G394" s="62" t="str">
        <f aca="false">IF(助手报销!$R$28&lt;&gt;"","贷 方 金 额","")</f>
        <v>贷 方 金 额</v>
      </c>
      <c r="H394" s="63" t="str">
        <f aca="false">IF(助手报销!$R$28&lt;&gt;"","√","")</f>
        <v>√</v>
      </c>
      <c r="I394" s="64" t="str">
        <f aca="false">IF(助手报销!$R$28&lt;&gt;"","附单据  张","")</f>
        <v>附单据  张</v>
      </c>
    </row>
    <row r="395" customFormat="false" ht="12.75" hidden="false" customHeight="true" outlineLevel="0" collapsed="false">
      <c r="B395" s="61"/>
      <c r="C395" s="61"/>
      <c r="D395" s="23" t="str">
        <f aca="false">IF(助手报销!$R$28&lt;&gt;"","总 账 科 目","")</f>
        <v>总 账 科 目</v>
      </c>
      <c r="E395" s="23" t="str">
        <f aca="false">IF(助手报销!$R$28&lt;&gt;"","明 细 科 目","")</f>
        <v>明 细 科 目</v>
      </c>
      <c r="F395" s="65"/>
      <c r="G395" s="66"/>
      <c r="H395" s="63"/>
      <c r="I395" s="64"/>
    </row>
    <row r="396" customFormat="false" ht="23.25" hidden="false" customHeight="true" outlineLevel="0" collapsed="false">
      <c r="B396" s="67" t="str">
        <f aca="false">IFERROR(INDEX(分录报销!$M:$M,MATCH($L396,分录报销!$L:$L,0)),"")</f>
        <v>水费</v>
      </c>
      <c r="C396" s="67"/>
      <c r="D396" s="23" t="str">
        <f aca="false">IFERROR(INDEX(分录报销!$E:$E,MATCH($L396,分录报销!$L:$L,0)),"")</f>
        <v>销售费用</v>
      </c>
      <c r="E396" s="23" t="str">
        <f aca="false">IFERROR(INDEX(分录报销!$F:$F,MATCH($L396,分录报销!$L:$L,0)),"")</f>
        <v>水费</v>
      </c>
      <c r="F396" s="68" t="n">
        <f aca="false">IFERROR(INDEX(分录报销!$H:$H,MATCH($L396,分录报销!$L:$L,0)),"")</f>
        <v>15</v>
      </c>
      <c r="G396" s="69" t="str">
        <f aca="false">IFERROR(INDEX(分录报销!$I:$I,MATCH($L396,分录报销!$L:$L,0)),"")</f>
        <v/>
      </c>
      <c r="H396" s="23"/>
      <c r="I396" s="70"/>
      <c r="L396" s="71" t="n">
        <f aca="false">IF(助手报销!$R$28="",-1,助手报销!$R$28*100+(助手报销!$S$28-1)*6+1)</f>
        <v>2601</v>
      </c>
    </row>
    <row r="397" customFormat="false" ht="23.25" hidden="false" customHeight="true" outlineLevel="0" collapsed="false">
      <c r="B397" s="67" t="str">
        <f aca="false">IFERROR(INDEX(分录报销!$M:$M,MATCH($L397,分录报销!$L:$L,0)),"")</f>
        <v>车费</v>
      </c>
      <c r="C397" s="67"/>
      <c r="D397" s="23" t="str">
        <f aca="false">IFERROR(INDEX(分录报销!$E:$E,MATCH($L397,分录报销!$L:$L,0)),"")</f>
        <v>销售费用</v>
      </c>
      <c r="E397" s="23" t="str">
        <f aca="false">IFERROR(INDEX(分录报销!$F:$F,MATCH($L397,分录报销!$L:$L,0)),"")</f>
        <v>福利费</v>
      </c>
      <c r="F397" s="68" t="n">
        <f aca="false">IFERROR(INDEX(分录报销!$H:$H,MATCH($L397,分录报销!$L:$L,0)),"")</f>
        <v>100</v>
      </c>
      <c r="G397" s="69" t="str">
        <f aca="false">IFERROR(INDEX(分录报销!$I:$I,MATCH($L397,分录报销!$L:$L,0)),"")</f>
        <v/>
      </c>
      <c r="H397" s="23"/>
      <c r="I397" s="70"/>
      <c r="L397" s="71" t="n">
        <f aca="false">IF(助手报销!$R$28="",-1,助手报销!$R$28*100+(助手报销!$S$28-1)*6+2)</f>
        <v>2602</v>
      </c>
    </row>
    <row r="398" customFormat="false" ht="23.25" hidden="false" customHeight="true" outlineLevel="0" collapsed="false">
      <c r="B398" s="67" t="str">
        <f aca="false">IFERROR(INDEX(分录报销!$M:$M,MATCH($L398,分录报销!$L:$L,0)),"")</f>
        <v>电话费</v>
      </c>
      <c r="C398" s="67"/>
      <c r="D398" s="23" t="str">
        <f aca="false">IFERROR(INDEX(分录报销!$E:$E,MATCH($L398,分录报销!$L:$L,0)),"")</f>
        <v>销售费用</v>
      </c>
      <c r="E398" s="23" t="str">
        <f aca="false">IFERROR(INDEX(分录报销!$F:$F,MATCH($L398,分录报销!$L:$L,0)),"")</f>
        <v>电话费</v>
      </c>
      <c r="F398" s="68" t="n">
        <f aca="false">IFERROR(INDEX(分录报销!$H:$H,MATCH($L398,分录报销!$L:$L,0)),"")</f>
        <v>100</v>
      </c>
      <c r="G398" s="69" t="str">
        <f aca="false">IFERROR(INDEX(分录报销!$I:$I,MATCH($L398,分录报销!$L:$L,0)),"")</f>
        <v/>
      </c>
      <c r="H398" s="23"/>
      <c r="I398" s="70"/>
      <c r="L398" s="71" t="n">
        <f aca="false">IF(助手报销!$R$28="",-1,助手报销!$R$28*100+(助手报销!$S$28-1)*6+3)</f>
        <v>2603</v>
      </c>
    </row>
    <row r="399" customFormat="false" ht="23.25" hidden="false" customHeight="true" outlineLevel="0" collapsed="false">
      <c r="B399" s="67" t="str">
        <f aca="false">IFERROR(INDEX(分录报销!$M:$M,MATCH($L399,分录报销!$L:$L,0)),"")</f>
        <v>蒿白伤湿气雾剂</v>
      </c>
      <c r="C399" s="67"/>
      <c r="D399" s="23" t="str">
        <f aca="false">IFERROR(INDEX(分录报销!$E:$E,MATCH($L399,分录报销!$L:$L,0)),"")</f>
        <v>销售费用</v>
      </c>
      <c r="E399" s="23" t="str">
        <f aca="false">IFERROR(INDEX(分录报销!$F:$F,MATCH($L399,分录报销!$L:$L,0)),"")</f>
        <v>办公费</v>
      </c>
      <c r="F399" s="68" t="n">
        <f aca="false">IFERROR(INDEX(分录报销!$H:$H,MATCH($L399,分录报销!$L:$L,0)),"")</f>
        <v>45</v>
      </c>
      <c r="G399" s="69" t="str">
        <f aca="false">IFERROR(INDEX(分录报销!$I:$I,MATCH($L399,分录报销!$L:$L,0)),"")</f>
        <v/>
      </c>
      <c r="H399" s="23"/>
      <c r="I399" s="70"/>
      <c r="L399" s="71" t="n">
        <f aca="false">IF(助手报销!$R$28="",-1,助手报销!$R$28*100+(助手报销!$S$28-1)*6+4)</f>
        <v>2604</v>
      </c>
    </row>
    <row r="400" customFormat="false" ht="23.25" hidden="false" customHeight="true" outlineLevel="0" collapsed="false">
      <c r="B400" s="67" t="str">
        <f aca="false">IFERROR(INDEX(分录报销!$M:$M,MATCH($L400,分录报销!$L:$L,0)),"")</f>
        <v>慢病用品</v>
      </c>
      <c r="C400" s="67"/>
      <c r="D400" s="23" t="str">
        <f aca="false">IFERROR(INDEX(分录报销!$E:$E,MATCH($L400,分录报销!$L:$L,0)),"")</f>
        <v>销售费用</v>
      </c>
      <c r="E400" s="23" t="str">
        <f aca="false">IFERROR(INDEX(分录报销!$F:$F,MATCH($L400,分录报销!$L:$L,0)),"")</f>
        <v>办公费</v>
      </c>
      <c r="F400" s="68" t="n">
        <f aca="false">IFERROR(INDEX(分录报销!$H:$H,MATCH($L400,分录报销!$L:$L,0)),"")</f>
        <v>61.4</v>
      </c>
      <c r="G400" s="69" t="str">
        <f aca="false">IFERROR(INDEX(分录报销!$I:$I,MATCH($L400,分录报销!$L:$L,0)),"")</f>
        <v/>
      </c>
      <c r="H400" s="23"/>
      <c r="I400" s="70"/>
      <c r="L400" s="71" t="n">
        <f aca="false">IF(助手报销!$R$28="",-1,助手报销!$R$28*100+(助手报销!$S$28-1)*6+5)</f>
        <v>2605</v>
      </c>
    </row>
    <row r="401" customFormat="false" ht="23.25" hidden="false" customHeight="true" outlineLevel="0" collapsed="false">
      <c r="B401" s="67" t="str">
        <f aca="false">IFERROR(INDEX(分录报销!$M:$M,MATCH($L401,分录报销!$L:$L,0)),"")</f>
        <v>灭火器检测</v>
      </c>
      <c r="C401" s="67"/>
      <c r="D401" s="23" t="str">
        <f aca="false">IFERROR(INDEX(分录报销!$E:$E,MATCH($L401,分录报销!$L:$L,0)),"")</f>
        <v>销售费用</v>
      </c>
      <c r="E401" s="23" t="str">
        <f aca="false">IFERROR(INDEX(分录报销!$F:$F,MATCH($L401,分录报销!$L:$L,0)),"")</f>
        <v>办公费</v>
      </c>
      <c r="F401" s="68" t="n">
        <f aca="false">IFERROR(INDEX(分录报销!$H:$H,MATCH($L401,分录报销!$L:$L,0)),"")</f>
        <v>40</v>
      </c>
      <c r="G401" s="69" t="str">
        <f aca="false">IFERROR(INDEX(分录报销!$I:$I,MATCH($L401,分录报销!$L:$L,0)),"")</f>
        <v/>
      </c>
      <c r="H401" s="23"/>
      <c r="I401" s="70"/>
      <c r="L401" s="71" t="n">
        <f aca="false">IF(助手报销!$R$28="",-1,助手报销!$R$28*100+(助手报销!$S$28-1)*6+6)</f>
        <v>2606</v>
      </c>
    </row>
    <row r="402" customFormat="false" ht="23.25" hidden="false" customHeight="true" outlineLevel="0" collapsed="false">
      <c r="B402" s="72" t="str">
        <f aca="false">IF(助手报销!$T$28=1,"合计：","")</f>
        <v/>
      </c>
      <c r="C402" s="73" t="str">
        <f aca="false">IF(助手报销!$T$28=1,$F402,"")</f>
        <v/>
      </c>
      <c r="D402" s="74"/>
      <c r="E402" s="74"/>
      <c r="F402" s="75" t="str">
        <f aca="false">IF(助手报销!$T$28=1,INDEX(助手报销!$N$2:$N$121,助手报销!$R$28),"")</f>
        <v/>
      </c>
      <c r="G402" s="76" t="str">
        <f aca="false">IF(助手报销!$T$28=1,INDEX(助手报销!$O$2:$O$121,助手报销!$R$28),"")</f>
        <v/>
      </c>
      <c r="H402" s="74"/>
      <c r="I402" s="77"/>
    </row>
    <row r="403" customFormat="false" ht="6" hidden="false" customHeight="true" outlineLevel="0" collapsed="false"/>
    <row r="404" customFormat="false" ht="13.5" hidden="false" customHeight="false" outlineLevel="0" collapsed="false">
      <c r="B404" s="78" t="str">
        <f aca="false">IF(助手报销!$R$28&lt;&gt;"","会计主管：","")</f>
        <v>会计主管：</v>
      </c>
      <c r="D404" s="78" t="str">
        <f aca="false">IF(助手报销!$R$28&lt;&gt;"","会计：","")</f>
        <v>会计：</v>
      </c>
      <c r="E404" s="78" t="str">
        <f aca="false">IF(助手报销!$R$28&lt;&gt;"","出纳：","")</f>
        <v>出纳：</v>
      </c>
      <c r="F404" s="78" t="str">
        <f aca="false">IF(助手报销!$R$28&lt;&gt;"","复核：","")</f>
        <v>复核：</v>
      </c>
      <c r="G404" s="78" t="str">
        <f aca="false">IF(助手报销!$R$28&lt;&gt;"","制单：","")</f>
        <v>制单：</v>
      </c>
    </row>
    <row r="405" customFormat="false" ht="3" hidden="false" customHeight="true" outlineLevel="0" collapsed="false"/>
    <row r="406" customFormat="false" ht="19.5" hidden="false" customHeight="true" outlineLevel="0" collapsed="false">
      <c r="B406" s="53" t="str">
        <f aca="false">IF(助手报销!$R$29&lt;&gt;"","记  账  凭  证","")</f>
        <v>记  账  凭  证</v>
      </c>
      <c r="C406" s="53"/>
      <c r="D406" s="53"/>
      <c r="E406" s="53"/>
      <c r="F406" s="53"/>
      <c r="G406" s="53"/>
      <c r="H406" s="53"/>
      <c r="I406" s="53"/>
    </row>
    <row r="407" customFormat="false" ht="3" hidden="false" customHeight="true" outlineLevel="0" collapsed="false"/>
    <row r="408" customFormat="false" ht="15" hidden="false" customHeight="true" outlineLevel="0" collapsed="false">
      <c r="C408" s="56" t="str">
        <f aca="false">IF(助手报销!$R$29&lt;&gt;"",INDEX(助手报销!$B$2:$B$121,助手报销!$R$29),"")</f>
        <v/>
      </c>
      <c r="D408" s="57" t="n">
        <f aca="false">IF(助手报销!$R$29&lt;&gt;"",INDEX(助手报销!$D$2:$D$121,助手报销!$R$29),"")</f>
        <v>46265</v>
      </c>
      <c r="E408" s="57"/>
      <c r="F408" s="58" t="str">
        <f aca="false">IF(助手报销!$R$29&lt;&gt;"",INDEX(助手报销!$C$2:$C$121,助手报销!$R$29)&amp;"  字第 "&amp;IF(参数!$B$9="是",INDEX(助手报销!$P$2:$P$121,助手报销!$R$29),"　　　　")&amp;" 号"&amp;IF(INDEX(助手报销!$L$2:$L$121,助手报销!$R$29)&gt;1,"  (共"&amp;INDEX(助手报销!$L$2:$L$121,助手报销!$R$29)&amp;"页 第"&amp;助手报销!$S$29&amp;"页)",""),"")</f>
        <v>博福店  字第 　　　　 号  (共2页 第2页)</v>
      </c>
      <c r="G408" s="58"/>
      <c r="H408" s="58"/>
      <c r="I408" s="58"/>
      <c r="M408" s="59" t="n">
        <f aca="false">IF(助手报销!$R$29="","",助手报销!$Q$29)</f>
        <v>28</v>
      </c>
      <c r="N408" s="60" t="n">
        <f aca="false">IF(助手报销!$R$29="","",INDEX(助手报销!$P$2:$P$121,助手报销!$R$29))</f>
        <v>26</v>
      </c>
      <c r="O408" s="55" t="str">
        <f aca="false">IF(助手报销!$R$29="","",INDEX(助手报销!$C$2:$C$121,助手报销!$R$29)&amp;"  字第 "&amp;INDEX(助手报销!$P$2:$P$121,助手报销!$R$29)&amp;" 号"&amp;IF(INDEX(助手报销!$L$2:$L$121,助手报销!$R$29)&gt;1,"  (共"&amp;INDEX(助手报销!$L$2:$L$121,助手报销!$R$29)&amp;"页 第"&amp;助手报销!$S$29&amp;"页)",""))</f>
        <v>博福店  字第 26 号  (共2页 第2页)</v>
      </c>
    </row>
    <row r="409" customFormat="false" ht="12.75" hidden="false" customHeight="true" outlineLevel="0" collapsed="false">
      <c r="B409" s="61" t="str">
        <f aca="false">IF(助手报销!$R$29&lt;&gt;"","摘　　要","")</f>
        <v>摘　　要</v>
      </c>
      <c r="C409" s="61"/>
      <c r="D409" s="62" t="str">
        <f aca="false">IF(助手报销!$R$29&lt;&gt;"","科　　　　目","")</f>
        <v>科　　　　目</v>
      </c>
      <c r="E409" s="62"/>
      <c r="F409" s="61" t="str">
        <f aca="false">IF(助手报销!$R$29&lt;&gt;"","借 方 金 额","")</f>
        <v>借 方 金 额</v>
      </c>
      <c r="G409" s="62" t="str">
        <f aca="false">IF(助手报销!$R$29&lt;&gt;"","贷 方 金 额","")</f>
        <v>贷 方 金 额</v>
      </c>
      <c r="H409" s="63" t="str">
        <f aca="false">IF(助手报销!$R$29&lt;&gt;"","√","")</f>
        <v>√</v>
      </c>
      <c r="I409" s="64" t="str">
        <f aca="false">IF(助手报销!$R$29&lt;&gt;"","附单据  张","")</f>
        <v>附单据  张</v>
      </c>
    </row>
    <row r="410" customFormat="false" ht="12.75" hidden="false" customHeight="true" outlineLevel="0" collapsed="false">
      <c r="B410" s="61"/>
      <c r="C410" s="61"/>
      <c r="D410" s="23" t="str">
        <f aca="false">IF(助手报销!$R$29&lt;&gt;"","总 账 科 目","")</f>
        <v>总 账 科 目</v>
      </c>
      <c r="E410" s="23" t="str">
        <f aca="false">IF(助手报销!$R$29&lt;&gt;"","明 细 科 目","")</f>
        <v>明 细 科 目</v>
      </c>
      <c r="F410" s="65"/>
      <c r="G410" s="66"/>
      <c r="H410" s="63"/>
      <c r="I410" s="64"/>
    </row>
    <row r="411" customFormat="false" ht="23.25" hidden="false" customHeight="true" outlineLevel="0" collapsed="false">
      <c r="B411" s="67" t="str">
        <f aca="false">IFERROR(INDEX(分录报销!$M:$M,MATCH($L411,分录报销!$L:$L,0)),"")</f>
        <v>电费</v>
      </c>
      <c r="C411" s="67"/>
      <c r="D411" s="23" t="str">
        <f aca="false">IFERROR(INDEX(分录报销!$E:$E,MATCH($L411,分录报销!$L:$L,0)),"")</f>
        <v>销售费用</v>
      </c>
      <c r="E411" s="23" t="str">
        <f aca="false">IFERROR(INDEX(分录报销!$F:$F,MATCH($L411,分录报销!$L:$L,0)),"")</f>
        <v>电费</v>
      </c>
      <c r="F411" s="68" t="n">
        <f aca="false">IFERROR(INDEX(分录报销!$H:$H,MATCH($L411,分录报销!$L:$L,0)),"")</f>
        <v>810.75</v>
      </c>
      <c r="G411" s="69" t="str">
        <f aca="false">IFERROR(INDEX(分录报销!$I:$I,MATCH($L411,分录报销!$L:$L,0)),"")</f>
        <v/>
      </c>
      <c r="H411" s="23"/>
      <c r="I411" s="70"/>
      <c r="L411" s="71" t="n">
        <f aca="false">IF(助手报销!$R$29="",-1,助手报销!$R$29*100+(助手报销!$S$29-1)*6+1)</f>
        <v>2607</v>
      </c>
    </row>
    <row r="412" customFormat="false" ht="23.25" hidden="false" customHeight="true" outlineLevel="0" collapsed="false">
      <c r="B412" s="67" t="str">
        <f aca="false">IFERROR(INDEX(分录报销!$M:$M,MATCH($L412,分录报销!$L:$L,0)),"")</f>
        <v/>
      </c>
      <c r="C412" s="67"/>
      <c r="D412" s="23" t="str">
        <f aca="false">IFERROR(INDEX(分录报销!$E:$E,MATCH($L412,分录报销!$L:$L,0)),"")</f>
        <v>库存现金</v>
      </c>
      <c r="E412" s="23" t="str">
        <f aca="false">IFERROR(INDEX(分录报销!$F:$F,MATCH($L412,分录报销!$L:$L,0)),"")</f>
        <v/>
      </c>
      <c r="F412" s="68" t="str">
        <f aca="false">IFERROR(INDEX(分录报销!$H:$H,MATCH($L412,分录报销!$L:$L,0)),"")</f>
        <v/>
      </c>
      <c r="G412" s="69" t="n">
        <f aca="false">IFERROR(INDEX(分录报销!$I:$I,MATCH($L412,分录报销!$L:$L,0)),"")</f>
        <v>1172.15</v>
      </c>
      <c r="H412" s="23"/>
      <c r="I412" s="70"/>
      <c r="L412" s="71" t="n">
        <f aca="false">IF(助手报销!$R$29="",-1,助手报销!$R$29*100+(助手报销!$S$29-1)*6+2)</f>
        <v>2608</v>
      </c>
    </row>
    <row r="413" customFormat="false" ht="23.25" hidden="false" customHeight="true" outlineLevel="0" collapsed="false">
      <c r="B413" s="67" t="str">
        <f aca="false">IFERROR(INDEX(分录报销!$M:$M,MATCH($L413,分录报销!$L:$L,0)),"")</f>
        <v/>
      </c>
      <c r="C413" s="67"/>
      <c r="D413" s="23" t="str">
        <f aca="false">IFERROR(INDEX(分录报销!$E:$E,MATCH($L413,分录报销!$L:$L,0)),"")</f>
        <v/>
      </c>
      <c r="E413" s="23" t="str">
        <f aca="false">IFERROR(INDEX(分录报销!$F:$F,MATCH($L413,分录报销!$L:$L,0)),"")</f>
        <v/>
      </c>
      <c r="F413" s="68" t="str">
        <f aca="false">IFERROR(INDEX(分录报销!$H:$H,MATCH($L413,分录报销!$L:$L,0)),"")</f>
        <v/>
      </c>
      <c r="G413" s="69" t="str">
        <f aca="false">IFERROR(INDEX(分录报销!$I:$I,MATCH($L413,分录报销!$L:$L,0)),"")</f>
        <v/>
      </c>
      <c r="H413" s="23"/>
      <c r="I413" s="70"/>
      <c r="L413" s="71" t="n">
        <f aca="false">IF(助手报销!$R$29="",-1,助手报销!$R$29*100+(助手报销!$S$29-1)*6+3)</f>
        <v>2609</v>
      </c>
    </row>
    <row r="414" customFormat="false" ht="23.25" hidden="false" customHeight="true" outlineLevel="0" collapsed="false">
      <c r="B414" s="67" t="str">
        <f aca="false">IFERROR(INDEX(分录报销!$M:$M,MATCH($L414,分录报销!$L:$L,0)),"")</f>
        <v/>
      </c>
      <c r="C414" s="67"/>
      <c r="D414" s="23" t="str">
        <f aca="false">IFERROR(INDEX(分录报销!$E:$E,MATCH($L414,分录报销!$L:$L,0)),"")</f>
        <v/>
      </c>
      <c r="E414" s="23" t="str">
        <f aca="false">IFERROR(INDEX(分录报销!$F:$F,MATCH($L414,分录报销!$L:$L,0)),"")</f>
        <v/>
      </c>
      <c r="F414" s="68" t="str">
        <f aca="false">IFERROR(INDEX(分录报销!$H:$H,MATCH($L414,分录报销!$L:$L,0)),"")</f>
        <v/>
      </c>
      <c r="G414" s="69" t="str">
        <f aca="false">IFERROR(INDEX(分录报销!$I:$I,MATCH($L414,分录报销!$L:$L,0)),"")</f>
        <v/>
      </c>
      <c r="H414" s="23"/>
      <c r="I414" s="70"/>
      <c r="L414" s="71" t="n">
        <f aca="false">IF(助手报销!$R$29="",-1,助手报销!$R$29*100+(助手报销!$S$29-1)*6+4)</f>
        <v>2610</v>
      </c>
    </row>
    <row r="415" customFormat="false" ht="23.25" hidden="false" customHeight="true" outlineLevel="0" collapsed="false">
      <c r="B415" s="67" t="str">
        <f aca="false">IFERROR(INDEX(分录报销!$M:$M,MATCH($L415,分录报销!$L:$L,0)),"")</f>
        <v/>
      </c>
      <c r="C415" s="67"/>
      <c r="D415" s="23" t="str">
        <f aca="false">IFERROR(INDEX(分录报销!$E:$E,MATCH($L415,分录报销!$L:$L,0)),"")</f>
        <v/>
      </c>
      <c r="E415" s="23" t="str">
        <f aca="false">IFERROR(INDEX(分录报销!$F:$F,MATCH($L415,分录报销!$L:$L,0)),"")</f>
        <v/>
      </c>
      <c r="F415" s="68" t="str">
        <f aca="false">IFERROR(INDEX(分录报销!$H:$H,MATCH($L415,分录报销!$L:$L,0)),"")</f>
        <v/>
      </c>
      <c r="G415" s="69" t="str">
        <f aca="false">IFERROR(INDEX(分录报销!$I:$I,MATCH($L415,分录报销!$L:$L,0)),"")</f>
        <v/>
      </c>
      <c r="H415" s="23"/>
      <c r="I415" s="70"/>
      <c r="L415" s="71" t="n">
        <f aca="false">IF(助手报销!$R$29="",-1,助手报销!$R$29*100+(助手报销!$S$29-1)*6+5)</f>
        <v>2611</v>
      </c>
    </row>
    <row r="416" customFormat="false" ht="23.25" hidden="false" customHeight="true" outlineLevel="0" collapsed="false">
      <c r="B416" s="67" t="str">
        <f aca="false">IFERROR(INDEX(分录报销!$M:$M,MATCH($L416,分录报销!$L:$L,0)),"")</f>
        <v/>
      </c>
      <c r="C416" s="67"/>
      <c r="D416" s="23" t="str">
        <f aca="false">IFERROR(INDEX(分录报销!$E:$E,MATCH($L416,分录报销!$L:$L,0)),"")</f>
        <v/>
      </c>
      <c r="E416" s="23" t="str">
        <f aca="false">IFERROR(INDEX(分录报销!$F:$F,MATCH($L416,分录报销!$L:$L,0)),"")</f>
        <v/>
      </c>
      <c r="F416" s="68" t="str">
        <f aca="false">IFERROR(INDEX(分录报销!$H:$H,MATCH($L416,分录报销!$L:$L,0)),"")</f>
        <v/>
      </c>
      <c r="G416" s="69" t="str">
        <f aca="false">IFERROR(INDEX(分录报销!$I:$I,MATCH($L416,分录报销!$L:$L,0)),"")</f>
        <v/>
      </c>
      <c r="H416" s="23"/>
      <c r="I416" s="70"/>
      <c r="L416" s="71" t="n">
        <f aca="false">IF(助手报销!$R$29="",-1,助手报销!$R$29*100+(助手报销!$S$29-1)*6+6)</f>
        <v>2612</v>
      </c>
    </row>
    <row r="417" customFormat="false" ht="23.25" hidden="false" customHeight="true" outlineLevel="0" collapsed="false">
      <c r="B417" s="72" t="str">
        <f aca="false">IF(助手报销!$T$29=1,"合计：","")</f>
        <v>合计：</v>
      </c>
      <c r="C417" s="73" t="n">
        <f aca="false">IF(助手报销!$T$29=1,$F417,"")</f>
        <v>1172.15</v>
      </c>
      <c r="D417" s="74"/>
      <c r="E417" s="74"/>
      <c r="F417" s="75" t="n">
        <f aca="false">IF(助手报销!$T$29=1,INDEX(助手报销!$N$2:$N$121,助手报销!$R$29),"")</f>
        <v>1172.15</v>
      </c>
      <c r="G417" s="76" t="n">
        <f aca="false">IF(助手报销!$T$29=1,INDEX(助手报销!$O$2:$O$121,助手报销!$R$29),"")</f>
        <v>1172.15</v>
      </c>
      <c r="H417" s="74"/>
      <c r="I417" s="77"/>
    </row>
    <row r="418" customFormat="false" ht="6" hidden="false" customHeight="true" outlineLevel="0" collapsed="false"/>
    <row r="419" customFormat="false" ht="13.5" hidden="false" customHeight="false" outlineLevel="0" collapsed="false">
      <c r="B419" s="78" t="str">
        <f aca="false">IF(助手报销!$R$29&lt;&gt;"","会计主管：","")</f>
        <v>会计主管：</v>
      </c>
      <c r="D419" s="78" t="str">
        <f aca="false">IF(助手报销!$R$29&lt;&gt;"","会计：","")</f>
        <v>会计：</v>
      </c>
      <c r="E419" s="78" t="str">
        <f aca="false">IF(助手报销!$R$29&lt;&gt;"","出纳：","")</f>
        <v>出纳：</v>
      </c>
      <c r="F419" s="78" t="str">
        <f aca="false">IF(助手报销!$R$29&lt;&gt;"","复核：","")</f>
        <v>复核：</v>
      </c>
      <c r="G419" s="78" t="str">
        <f aca="false">IF(助手报销!$R$29&lt;&gt;"","制单：","")</f>
        <v>制单：</v>
      </c>
    </row>
    <row r="420" customFormat="false" ht="3" hidden="false" customHeight="true" outlineLevel="0" collapsed="false"/>
    <row r="421" customFormat="false" ht="19.5" hidden="false" customHeight="true" outlineLevel="0" collapsed="false">
      <c r="B421" s="53" t="str">
        <f aca="false">IF(助手报销!$R$30&lt;&gt;"","记  账  凭  证","")</f>
        <v>记  账  凭  证</v>
      </c>
      <c r="C421" s="53"/>
      <c r="D421" s="53"/>
      <c r="E421" s="53"/>
      <c r="F421" s="53"/>
      <c r="G421" s="53"/>
      <c r="H421" s="53"/>
      <c r="I421" s="53"/>
    </row>
    <row r="422" customFormat="false" ht="3" hidden="false" customHeight="true" outlineLevel="0" collapsed="false"/>
    <row r="423" customFormat="false" ht="15" hidden="false" customHeight="true" outlineLevel="0" collapsed="false">
      <c r="C423" s="56" t="str">
        <f aca="false">IF(助手报销!$R$30&lt;&gt;"",INDEX(助手报销!$B$2:$B$121,助手报销!$R$30),"")</f>
        <v/>
      </c>
      <c r="D423" s="57" t="n">
        <f aca="false">IF(助手报销!$R$30&lt;&gt;"",INDEX(助手报销!$D$2:$D$121,助手报销!$R$30),"")</f>
        <v>46265</v>
      </c>
      <c r="E423" s="57"/>
      <c r="F423" s="58" t="str">
        <f aca="false">IF(助手报销!$R$30&lt;&gt;"",INDEX(助手报销!$C$2:$C$121,助手报销!$R$30)&amp;"  字第 "&amp;IF(参数!$B$9="是",INDEX(助手报销!$P$2:$P$121,助手报销!$R$30),"　　　　")&amp;" 号"&amp;IF(INDEX(助手报销!$L$2:$L$121,助手报销!$R$30)&gt;1,"  (共"&amp;INDEX(助手报销!$L$2:$L$121,助手报销!$R$30)&amp;"页 第"&amp;助手报销!$S$30&amp;"页)",""),"")</f>
        <v>博营店  字第 　　　　 号</v>
      </c>
      <c r="G423" s="58"/>
      <c r="H423" s="58"/>
      <c r="I423" s="58"/>
      <c r="M423" s="59" t="n">
        <f aca="false">IF(助手报销!$R$30="","",助手报销!$Q$30)</f>
        <v>29</v>
      </c>
      <c r="N423" s="60" t="n">
        <f aca="false">IF(助手报销!$R$30="","",INDEX(助手报销!$P$2:$P$121,助手报销!$R$30))</f>
        <v>27</v>
      </c>
      <c r="O423" s="55" t="str">
        <f aca="false">IF(助手报销!$R$30="","",INDEX(助手报销!$C$2:$C$121,助手报销!$R$30)&amp;"  字第 "&amp;INDEX(助手报销!$P$2:$P$121,助手报销!$R$30)&amp;" 号"&amp;IF(INDEX(助手报销!$L$2:$L$121,助手报销!$R$30)&gt;1,"  (共"&amp;INDEX(助手报销!$L$2:$L$121,助手报销!$R$30)&amp;"页 第"&amp;助手报销!$S$30&amp;"页)",""))</f>
        <v>博营店  字第 27 号</v>
      </c>
    </row>
    <row r="424" customFormat="false" ht="12.75" hidden="false" customHeight="true" outlineLevel="0" collapsed="false">
      <c r="B424" s="61" t="str">
        <f aca="false">IF(助手报销!$R$30&lt;&gt;"","摘　　要","")</f>
        <v>摘　　要</v>
      </c>
      <c r="C424" s="61"/>
      <c r="D424" s="62" t="str">
        <f aca="false">IF(助手报销!$R$30&lt;&gt;"","科　　　　目","")</f>
        <v>科　　　　目</v>
      </c>
      <c r="E424" s="62"/>
      <c r="F424" s="61" t="str">
        <f aca="false">IF(助手报销!$R$30&lt;&gt;"","借 方 金 额","")</f>
        <v>借 方 金 额</v>
      </c>
      <c r="G424" s="62" t="str">
        <f aca="false">IF(助手报销!$R$30&lt;&gt;"","贷 方 金 额","")</f>
        <v>贷 方 金 额</v>
      </c>
      <c r="H424" s="63" t="str">
        <f aca="false">IF(助手报销!$R$30&lt;&gt;"","√","")</f>
        <v>√</v>
      </c>
      <c r="I424" s="64" t="str">
        <f aca="false">IF(助手报销!$R$30&lt;&gt;"","附单据  张","")</f>
        <v>附单据  张</v>
      </c>
    </row>
    <row r="425" customFormat="false" ht="12.75" hidden="false" customHeight="true" outlineLevel="0" collapsed="false">
      <c r="B425" s="61"/>
      <c r="C425" s="61"/>
      <c r="D425" s="23" t="str">
        <f aca="false">IF(助手报销!$R$30&lt;&gt;"","总 账 科 目","")</f>
        <v>总 账 科 目</v>
      </c>
      <c r="E425" s="23" t="str">
        <f aca="false">IF(助手报销!$R$30&lt;&gt;"","明 细 科 目","")</f>
        <v>明 细 科 目</v>
      </c>
      <c r="F425" s="65"/>
      <c r="G425" s="66"/>
      <c r="H425" s="63"/>
      <c r="I425" s="64"/>
    </row>
    <row r="426" customFormat="false" ht="23.25" hidden="false" customHeight="true" outlineLevel="0" collapsed="false">
      <c r="B426" s="67" t="str">
        <f aca="false">IFERROR(INDEX(分录报销!$M:$M,MATCH($L426,分录报销!$L:$L,0)),"")</f>
        <v>电话费</v>
      </c>
      <c r="C426" s="67"/>
      <c r="D426" s="23" t="str">
        <f aca="false">IFERROR(INDEX(分录报销!$E:$E,MATCH($L426,分录报销!$L:$L,0)),"")</f>
        <v>销售费用</v>
      </c>
      <c r="E426" s="23" t="str">
        <f aca="false">IFERROR(INDEX(分录报销!$F:$F,MATCH($L426,分录报销!$L:$L,0)),"")</f>
        <v>电话费</v>
      </c>
      <c r="F426" s="68" t="n">
        <f aca="false">IFERROR(INDEX(分录报销!$H:$H,MATCH($L426,分录报销!$L:$L,0)),"")</f>
        <v>200</v>
      </c>
      <c r="G426" s="69" t="str">
        <f aca="false">IFERROR(INDEX(分录报销!$I:$I,MATCH($L426,分录报销!$L:$L,0)),"")</f>
        <v/>
      </c>
      <c r="H426" s="23"/>
      <c r="I426" s="70"/>
      <c r="L426" s="71" t="n">
        <f aca="false">IF(助手报销!$R$30="",-1,助手报销!$R$30*100+(助手报销!$S$30-1)*6+1)</f>
        <v>2701</v>
      </c>
    </row>
    <row r="427" customFormat="false" ht="23.25" hidden="false" customHeight="true" outlineLevel="0" collapsed="false">
      <c r="B427" s="67" t="str">
        <f aca="false">IFERROR(INDEX(分录报销!$M:$M,MATCH($L427,分录报销!$L:$L,0)),"")</f>
        <v>电费</v>
      </c>
      <c r="C427" s="67"/>
      <c r="D427" s="23" t="str">
        <f aca="false">IFERROR(INDEX(分录报销!$E:$E,MATCH($L427,分录报销!$L:$L,0)),"")</f>
        <v>销售费用</v>
      </c>
      <c r="E427" s="23" t="str">
        <f aca="false">IFERROR(INDEX(分录报销!$F:$F,MATCH($L427,分录报销!$L:$L,0)),"")</f>
        <v>电费</v>
      </c>
      <c r="F427" s="68" t="n">
        <f aca="false">IFERROR(INDEX(分录报销!$H:$H,MATCH($L427,分录报销!$L:$L,0)),"")</f>
        <v>500</v>
      </c>
      <c r="G427" s="69" t="str">
        <f aca="false">IFERROR(INDEX(分录报销!$I:$I,MATCH($L427,分录报销!$L:$L,0)),"")</f>
        <v/>
      </c>
      <c r="H427" s="23"/>
      <c r="I427" s="70"/>
      <c r="L427" s="71" t="n">
        <f aca="false">IF(助手报销!$R$30="",-1,助手报销!$R$30*100+(助手报销!$S$30-1)*6+2)</f>
        <v>2702</v>
      </c>
    </row>
    <row r="428" customFormat="false" ht="23.25" hidden="false" customHeight="true" outlineLevel="0" collapsed="false">
      <c r="B428" s="67" t="str">
        <f aca="false">IFERROR(INDEX(分录报销!$M:$M,MATCH($L428,分录报销!$L:$L,0)),"")</f>
        <v>车费</v>
      </c>
      <c r="C428" s="67"/>
      <c r="D428" s="23" t="str">
        <f aca="false">IFERROR(INDEX(分录报销!$E:$E,MATCH($L428,分录报销!$L:$L,0)),"")</f>
        <v>销售费用</v>
      </c>
      <c r="E428" s="23" t="str">
        <f aca="false">IFERROR(INDEX(分录报销!$F:$F,MATCH($L428,分录报销!$L:$L,0)),"")</f>
        <v>福利费</v>
      </c>
      <c r="F428" s="68" t="n">
        <f aca="false">IFERROR(INDEX(分录报销!$H:$H,MATCH($L428,分录报销!$L:$L,0)),"")</f>
        <v>60</v>
      </c>
      <c r="G428" s="69" t="str">
        <f aca="false">IFERROR(INDEX(分录报销!$I:$I,MATCH($L428,分录报销!$L:$L,0)),"")</f>
        <v/>
      </c>
      <c r="H428" s="23"/>
      <c r="I428" s="70"/>
      <c r="L428" s="71" t="n">
        <f aca="false">IF(助手报销!$R$30="",-1,助手报销!$R$30*100+(助手报销!$S$30-1)*6+3)</f>
        <v>2703</v>
      </c>
    </row>
    <row r="429" customFormat="false" ht="23.25" hidden="false" customHeight="true" outlineLevel="0" collapsed="false">
      <c r="B429" s="67" t="str">
        <f aca="false">IFERROR(INDEX(分录报销!$M:$M,MATCH($L429,分录报销!$L:$L,0)),"")</f>
        <v>插座</v>
      </c>
      <c r="C429" s="67"/>
      <c r="D429" s="23" t="str">
        <f aca="false">IFERROR(INDEX(分录报销!$E:$E,MATCH($L429,分录报销!$L:$L,0)),"")</f>
        <v>销售费用</v>
      </c>
      <c r="E429" s="23" t="str">
        <f aca="false">IFERROR(INDEX(分录报销!$F:$F,MATCH($L429,分录报销!$L:$L,0)),"")</f>
        <v>办公费</v>
      </c>
      <c r="F429" s="68" t="n">
        <f aca="false">IFERROR(INDEX(分录报销!$H:$H,MATCH($L429,分录报销!$L:$L,0)),"")</f>
        <v>30</v>
      </c>
      <c r="G429" s="69" t="str">
        <f aca="false">IFERROR(INDEX(分录报销!$I:$I,MATCH($L429,分录报销!$L:$L,0)),"")</f>
        <v/>
      </c>
      <c r="H429" s="23"/>
      <c r="I429" s="70"/>
      <c r="L429" s="71" t="n">
        <f aca="false">IF(助手报销!$R$30="",-1,助手报销!$R$30*100+(助手报销!$S$30-1)*6+4)</f>
        <v>2704</v>
      </c>
    </row>
    <row r="430" customFormat="false" ht="23.25" hidden="false" customHeight="true" outlineLevel="0" collapsed="false">
      <c r="B430" s="67" t="str">
        <f aca="false">IFERROR(INDEX(分录报销!$M:$M,MATCH($L430,分录报销!$L:$L,0)),"")</f>
        <v>慢病用品</v>
      </c>
      <c r="C430" s="67"/>
      <c r="D430" s="23" t="str">
        <f aca="false">IFERROR(INDEX(分录报销!$E:$E,MATCH($L430,分录报销!$L:$L,0)),"")</f>
        <v>销售费用</v>
      </c>
      <c r="E430" s="23" t="str">
        <f aca="false">IFERROR(INDEX(分录报销!$F:$F,MATCH($L430,分录报销!$L:$L,0)),"")</f>
        <v>办公费</v>
      </c>
      <c r="F430" s="68" t="n">
        <f aca="false">IFERROR(INDEX(分录报销!$H:$H,MATCH($L430,分录报销!$L:$L,0)),"")</f>
        <v>29.9</v>
      </c>
      <c r="G430" s="69" t="str">
        <f aca="false">IFERROR(INDEX(分录报销!$I:$I,MATCH($L430,分录报销!$L:$L,0)),"")</f>
        <v/>
      </c>
      <c r="H430" s="23"/>
      <c r="I430" s="70"/>
      <c r="L430" s="71" t="n">
        <f aca="false">IF(助手报销!$R$30="",-1,助手报销!$R$30*100+(助手报销!$S$30-1)*6+5)</f>
        <v>2705</v>
      </c>
    </row>
    <row r="431" customFormat="false" ht="23.25" hidden="false" customHeight="true" outlineLevel="0" collapsed="false">
      <c r="B431" s="67" t="str">
        <f aca="false">IFERROR(INDEX(分录报销!$M:$M,MATCH($L431,分录报销!$L:$L,0)),"")</f>
        <v/>
      </c>
      <c r="C431" s="67"/>
      <c r="D431" s="23" t="str">
        <f aca="false">IFERROR(INDEX(分录报销!$E:$E,MATCH($L431,分录报销!$L:$L,0)),"")</f>
        <v>库存现金</v>
      </c>
      <c r="E431" s="23" t="str">
        <f aca="false">IFERROR(INDEX(分录报销!$F:$F,MATCH($L431,分录报销!$L:$L,0)),"")</f>
        <v/>
      </c>
      <c r="F431" s="68" t="str">
        <f aca="false">IFERROR(INDEX(分录报销!$H:$H,MATCH($L431,分录报销!$L:$L,0)),"")</f>
        <v/>
      </c>
      <c r="G431" s="69" t="n">
        <f aca="false">IFERROR(INDEX(分录报销!$I:$I,MATCH($L431,分录报销!$L:$L,0)),"")</f>
        <v>819.9</v>
      </c>
      <c r="H431" s="23"/>
      <c r="I431" s="70"/>
      <c r="L431" s="71" t="n">
        <f aca="false">IF(助手报销!$R$30="",-1,助手报销!$R$30*100+(助手报销!$S$30-1)*6+6)</f>
        <v>2706</v>
      </c>
    </row>
    <row r="432" customFormat="false" ht="23.25" hidden="false" customHeight="true" outlineLevel="0" collapsed="false">
      <c r="B432" s="72" t="str">
        <f aca="false">IF(助手报销!$T$30=1,"合计：","")</f>
        <v>合计：</v>
      </c>
      <c r="C432" s="73" t="n">
        <f aca="false">IF(助手报销!$T$30=1,$F432,"")</f>
        <v>819.9</v>
      </c>
      <c r="D432" s="74"/>
      <c r="E432" s="74"/>
      <c r="F432" s="75" t="n">
        <f aca="false">IF(助手报销!$T$30=1,INDEX(助手报销!$N$2:$N$121,助手报销!$R$30),"")</f>
        <v>819.9</v>
      </c>
      <c r="G432" s="76" t="n">
        <f aca="false">IF(助手报销!$T$30=1,INDEX(助手报销!$O$2:$O$121,助手报销!$R$30),"")</f>
        <v>819.9</v>
      </c>
      <c r="H432" s="74"/>
      <c r="I432" s="77"/>
    </row>
    <row r="433" customFormat="false" ht="6" hidden="false" customHeight="true" outlineLevel="0" collapsed="false"/>
    <row r="434" customFormat="false" ht="13.5" hidden="false" customHeight="false" outlineLevel="0" collapsed="false">
      <c r="B434" s="78" t="str">
        <f aca="false">IF(助手报销!$R$30&lt;&gt;"","会计主管：","")</f>
        <v>会计主管：</v>
      </c>
      <c r="D434" s="78" t="str">
        <f aca="false">IF(助手报销!$R$30&lt;&gt;"","会计：","")</f>
        <v>会计：</v>
      </c>
      <c r="E434" s="78" t="str">
        <f aca="false">IF(助手报销!$R$30&lt;&gt;"","出纳：","")</f>
        <v>出纳：</v>
      </c>
      <c r="F434" s="78" t="str">
        <f aca="false">IF(助手报销!$R$30&lt;&gt;"","复核：","")</f>
        <v>复核：</v>
      </c>
      <c r="G434" s="78" t="str">
        <f aca="false">IF(助手报销!$R$30&lt;&gt;"","制单：","")</f>
        <v>制单：</v>
      </c>
    </row>
    <row r="435" customFormat="false" ht="3" hidden="false" customHeight="true" outlineLevel="0" collapsed="false"/>
    <row r="436" customFormat="false" ht="19.5" hidden="false" customHeight="true" outlineLevel="0" collapsed="false">
      <c r="B436" s="53" t="str">
        <f aca="false">IF(助手报销!$R$31&lt;&gt;"","记  账  凭  证","")</f>
        <v>记  账  凭  证</v>
      </c>
      <c r="C436" s="53"/>
      <c r="D436" s="53"/>
      <c r="E436" s="53"/>
      <c r="F436" s="53"/>
      <c r="G436" s="53"/>
      <c r="H436" s="53"/>
      <c r="I436" s="53"/>
    </row>
    <row r="437" customFormat="false" ht="3" hidden="false" customHeight="true" outlineLevel="0" collapsed="false"/>
    <row r="438" customFormat="false" ht="15" hidden="false" customHeight="true" outlineLevel="0" collapsed="false">
      <c r="C438" s="56" t="str">
        <f aca="false">IF(助手报销!$R$31&lt;&gt;"",INDEX(助手报销!$B$2:$B$121,助手报销!$R$31),"")</f>
        <v/>
      </c>
      <c r="D438" s="57" t="n">
        <f aca="false">IF(助手报销!$R$31&lt;&gt;"",INDEX(助手报销!$D$2:$D$121,助手报销!$R$31),"")</f>
        <v>46265</v>
      </c>
      <c r="E438" s="57"/>
      <c r="F438" s="58" t="str">
        <f aca="false">IF(助手报销!$R$31&lt;&gt;"",INDEX(助手报销!$C$2:$C$121,助手报销!$R$31)&amp;"  字第 "&amp;IF(参数!$B$9="是",INDEX(助手报销!$P$2:$P$121,助手报销!$R$31),"　　　　")&amp;" 号"&amp;IF(INDEX(助手报销!$L$2:$L$121,助手报销!$R$31)&gt;1,"  (共"&amp;INDEX(助手报销!$L$2:$L$121,助手报销!$R$31)&amp;"页 第"&amp;助手报销!$S$31&amp;"页)",""),"")</f>
        <v>博康店  字第 　　　　 号</v>
      </c>
      <c r="G438" s="58"/>
      <c r="H438" s="58"/>
      <c r="I438" s="58"/>
      <c r="M438" s="59" t="n">
        <f aca="false">IF(助手报销!$R$31="","",助手报销!$Q$31)</f>
        <v>30</v>
      </c>
      <c r="N438" s="60" t="n">
        <f aca="false">IF(助手报销!$R$31="","",INDEX(助手报销!$P$2:$P$121,助手报销!$R$31))</f>
        <v>28</v>
      </c>
      <c r="O438" s="55" t="str">
        <f aca="false">IF(助手报销!$R$31="","",INDEX(助手报销!$C$2:$C$121,助手报销!$R$31)&amp;"  字第 "&amp;INDEX(助手报销!$P$2:$P$121,助手报销!$R$31)&amp;" 号"&amp;IF(INDEX(助手报销!$L$2:$L$121,助手报销!$R$31)&gt;1,"  (共"&amp;INDEX(助手报销!$L$2:$L$121,助手报销!$R$31)&amp;"页 第"&amp;助手报销!$S$31&amp;"页)",""))</f>
        <v>博康店  字第 28 号</v>
      </c>
    </row>
    <row r="439" customFormat="false" ht="12.75" hidden="false" customHeight="true" outlineLevel="0" collapsed="false">
      <c r="B439" s="61" t="str">
        <f aca="false">IF(助手报销!$R$31&lt;&gt;"","摘　　要","")</f>
        <v>摘　　要</v>
      </c>
      <c r="C439" s="61"/>
      <c r="D439" s="62" t="str">
        <f aca="false">IF(助手报销!$R$31&lt;&gt;"","科　　　　目","")</f>
        <v>科　　　　目</v>
      </c>
      <c r="E439" s="62"/>
      <c r="F439" s="61" t="str">
        <f aca="false">IF(助手报销!$R$31&lt;&gt;"","借 方 金 额","")</f>
        <v>借 方 金 额</v>
      </c>
      <c r="G439" s="62" t="str">
        <f aca="false">IF(助手报销!$R$31&lt;&gt;"","贷 方 金 额","")</f>
        <v>贷 方 金 额</v>
      </c>
      <c r="H439" s="63" t="str">
        <f aca="false">IF(助手报销!$R$31&lt;&gt;"","√","")</f>
        <v>√</v>
      </c>
      <c r="I439" s="64" t="str">
        <f aca="false">IF(助手报销!$R$31&lt;&gt;"","附单据  张","")</f>
        <v>附单据  张</v>
      </c>
    </row>
    <row r="440" customFormat="false" ht="12.75" hidden="false" customHeight="true" outlineLevel="0" collapsed="false">
      <c r="B440" s="61"/>
      <c r="C440" s="61"/>
      <c r="D440" s="23" t="str">
        <f aca="false">IF(助手报销!$R$31&lt;&gt;"","总 账 科 目","")</f>
        <v>总 账 科 目</v>
      </c>
      <c r="E440" s="23" t="str">
        <f aca="false">IF(助手报销!$R$31&lt;&gt;"","明 细 科 目","")</f>
        <v>明 细 科 目</v>
      </c>
      <c r="F440" s="65"/>
      <c r="G440" s="66"/>
      <c r="H440" s="63"/>
      <c r="I440" s="64"/>
    </row>
    <row r="441" customFormat="false" ht="23.25" hidden="false" customHeight="true" outlineLevel="0" collapsed="false">
      <c r="B441" s="67" t="str">
        <f aca="false">IFERROR(INDEX(分录报销!$M:$M,MATCH($L441,分录报销!$L:$L,0)),"")</f>
        <v>水费</v>
      </c>
      <c r="C441" s="67"/>
      <c r="D441" s="23" t="str">
        <f aca="false">IFERROR(INDEX(分录报销!$E:$E,MATCH($L441,分录报销!$L:$L,0)),"")</f>
        <v>销售费用</v>
      </c>
      <c r="E441" s="23" t="str">
        <f aca="false">IFERROR(INDEX(分录报销!$F:$F,MATCH($L441,分录报销!$L:$L,0)),"")</f>
        <v>水费</v>
      </c>
      <c r="F441" s="68" t="n">
        <f aca="false">IFERROR(INDEX(分录报销!$H:$H,MATCH($L441,分录报销!$L:$L,0)),"")</f>
        <v>23.3</v>
      </c>
      <c r="G441" s="69" t="str">
        <f aca="false">IFERROR(INDEX(分录报销!$I:$I,MATCH($L441,分录报销!$L:$L,0)),"")</f>
        <v/>
      </c>
      <c r="H441" s="23"/>
      <c r="I441" s="70"/>
      <c r="L441" s="71" t="n">
        <f aca="false">IF(助手报销!$R$31="",-1,助手报销!$R$31*100+(助手报销!$S$31-1)*6+1)</f>
        <v>2801</v>
      </c>
    </row>
    <row r="442" customFormat="false" ht="23.25" hidden="false" customHeight="true" outlineLevel="0" collapsed="false">
      <c r="B442" s="67" t="str">
        <f aca="false">IFERROR(INDEX(分录报销!$M:$M,MATCH($L442,分录报销!$L:$L,0)),"")</f>
        <v>慢病用品</v>
      </c>
      <c r="C442" s="67"/>
      <c r="D442" s="23" t="str">
        <f aca="false">IFERROR(INDEX(分录报销!$E:$E,MATCH($L442,分录报销!$L:$L,0)),"")</f>
        <v>销售费用</v>
      </c>
      <c r="E442" s="23" t="str">
        <f aca="false">IFERROR(INDEX(分录报销!$F:$F,MATCH($L442,分录报销!$L:$L,0)),"")</f>
        <v>办公费</v>
      </c>
      <c r="F442" s="68" t="n">
        <f aca="false">IFERROR(INDEX(分录报销!$H:$H,MATCH($L442,分录报销!$L:$L,0)),"")</f>
        <v>30.9</v>
      </c>
      <c r="G442" s="69" t="str">
        <f aca="false">IFERROR(INDEX(分录报销!$I:$I,MATCH($L442,分录报销!$L:$L,0)),"")</f>
        <v/>
      </c>
      <c r="H442" s="23"/>
      <c r="I442" s="70"/>
      <c r="L442" s="71" t="n">
        <f aca="false">IF(助手报销!$R$31="",-1,助手报销!$R$31*100+(助手报销!$S$31-1)*6+2)</f>
        <v>2802</v>
      </c>
    </row>
    <row r="443" customFormat="false" ht="23.25" hidden="false" customHeight="true" outlineLevel="0" collapsed="false">
      <c r="B443" s="67" t="str">
        <f aca="false">IFERROR(INDEX(分录报销!$M:$M,MATCH($L443,分录报销!$L:$L,0)),"")</f>
        <v>车费</v>
      </c>
      <c r="C443" s="67"/>
      <c r="D443" s="23" t="str">
        <f aca="false">IFERROR(INDEX(分录报销!$E:$E,MATCH($L443,分录报销!$L:$L,0)),"")</f>
        <v>销售费用</v>
      </c>
      <c r="E443" s="23" t="str">
        <f aca="false">IFERROR(INDEX(分录报销!$F:$F,MATCH($L443,分录报销!$L:$L,0)),"")</f>
        <v>福利费</v>
      </c>
      <c r="F443" s="68" t="n">
        <f aca="false">IFERROR(INDEX(分录报销!$H:$H,MATCH($L443,分录报销!$L:$L,0)),"")</f>
        <v>50</v>
      </c>
      <c r="G443" s="69" t="str">
        <f aca="false">IFERROR(INDEX(分录报销!$I:$I,MATCH($L443,分录报销!$L:$L,0)),"")</f>
        <v/>
      </c>
      <c r="H443" s="23"/>
      <c r="I443" s="70"/>
      <c r="L443" s="71" t="n">
        <f aca="false">IF(助手报销!$R$31="",-1,助手报销!$R$31*100+(助手报销!$S$31-1)*6+3)</f>
        <v>2803</v>
      </c>
    </row>
    <row r="444" customFormat="false" ht="23.25" hidden="false" customHeight="true" outlineLevel="0" collapsed="false">
      <c r="B444" s="67" t="str">
        <f aca="false">IFERROR(INDEX(分录报销!$M:$M,MATCH($L444,分录报销!$L:$L,0)),"")</f>
        <v>灭火器检测</v>
      </c>
      <c r="C444" s="67"/>
      <c r="D444" s="23" t="str">
        <f aca="false">IFERROR(INDEX(分录报销!$E:$E,MATCH($L444,分录报销!$L:$L,0)),"")</f>
        <v>销售费用</v>
      </c>
      <c r="E444" s="23" t="str">
        <f aca="false">IFERROR(INDEX(分录报销!$F:$F,MATCH($L444,分录报销!$L:$L,0)),"")</f>
        <v>办公费</v>
      </c>
      <c r="F444" s="68" t="n">
        <f aca="false">IFERROR(INDEX(分录报销!$H:$H,MATCH($L444,分录报销!$L:$L,0)),"")</f>
        <v>40</v>
      </c>
      <c r="G444" s="69" t="str">
        <f aca="false">IFERROR(INDEX(分录报销!$I:$I,MATCH($L444,分录报销!$L:$L,0)),"")</f>
        <v/>
      </c>
      <c r="H444" s="23"/>
      <c r="I444" s="70"/>
      <c r="L444" s="71" t="n">
        <f aca="false">IF(助手报销!$R$31="",-1,助手报销!$R$31*100+(助手报销!$S$31-1)*6+4)</f>
        <v>2804</v>
      </c>
    </row>
    <row r="445" customFormat="false" ht="23.25" hidden="false" customHeight="true" outlineLevel="0" collapsed="false">
      <c r="B445" s="67" t="str">
        <f aca="false">IFERROR(INDEX(分录报销!$M:$M,MATCH($L445,分录报销!$L:$L,0)),"")</f>
        <v>电费</v>
      </c>
      <c r="C445" s="67"/>
      <c r="D445" s="23" t="str">
        <f aca="false">IFERROR(INDEX(分录报销!$E:$E,MATCH($L445,分录报销!$L:$L,0)),"")</f>
        <v>销售费用</v>
      </c>
      <c r="E445" s="23" t="str">
        <f aca="false">IFERROR(INDEX(分录报销!$F:$F,MATCH($L445,分录报销!$L:$L,0)),"")</f>
        <v>电费</v>
      </c>
      <c r="F445" s="68" t="n">
        <f aca="false">IFERROR(INDEX(分录报销!$H:$H,MATCH($L445,分录报销!$L:$L,0)),"")</f>
        <v>500</v>
      </c>
      <c r="G445" s="69" t="str">
        <f aca="false">IFERROR(INDEX(分录报销!$I:$I,MATCH($L445,分录报销!$L:$L,0)),"")</f>
        <v/>
      </c>
      <c r="H445" s="23"/>
      <c r="I445" s="70"/>
      <c r="L445" s="71" t="n">
        <f aca="false">IF(助手报销!$R$31="",-1,助手报销!$R$31*100+(助手报销!$S$31-1)*6+5)</f>
        <v>2805</v>
      </c>
    </row>
    <row r="446" customFormat="false" ht="23.25" hidden="false" customHeight="true" outlineLevel="0" collapsed="false">
      <c r="B446" s="67" t="str">
        <f aca="false">IFERROR(INDEX(分录报销!$M:$M,MATCH($L446,分录报销!$L:$L,0)),"")</f>
        <v/>
      </c>
      <c r="C446" s="67"/>
      <c r="D446" s="23" t="str">
        <f aca="false">IFERROR(INDEX(分录报销!$E:$E,MATCH($L446,分录报销!$L:$L,0)),"")</f>
        <v>库存现金</v>
      </c>
      <c r="E446" s="23" t="str">
        <f aca="false">IFERROR(INDEX(分录报销!$F:$F,MATCH($L446,分录报销!$L:$L,0)),"")</f>
        <v/>
      </c>
      <c r="F446" s="68" t="str">
        <f aca="false">IFERROR(INDEX(分录报销!$H:$H,MATCH($L446,分录报销!$L:$L,0)),"")</f>
        <v/>
      </c>
      <c r="G446" s="69" t="n">
        <f aca="false">IFERROR(INDEX(分录报销!$I:$I,MATCH($L446,分录报销!$L:$L,0)),"")</f>
        <v>644.2</v>
      </c>
      <c r="H446" s="23"/>
      <c r="I446" s="70"/>
      <c r="L446" s="71" t="n">
        <f aca="false">IF(助手报销!$R$31="",-1,助手报销!$R$31*100+(助手报销!$S$31-1)*6+6)</f>
        <v>2806</v>
      </c>
    </row>
    <row r="447" customFormat="false" ht="23.25" hidden="false" customHeight="true" outlineLevel="0" collapsed="false">
      <c r="B447" s="72" t="str">
        <f aca="false">IF(助手报销!$T$31=1,"合计：","")</f>
        <v>合计：</v>
      </c>
      <c r="C447" s="73" t="n">
        <f aca="false">IF(助手报销!$T$31=1,$F447,"")</f>
        <v>644.2</v>
      </c>
      <c r="D447" s="74"/>
      <c r="E447" s="74"/>
      <c r="F447" s="75" t="n">
        <f aca="false">IF(助手报销!$T$31=1,INDEX(助手报销!$N$2:$N$121,助手报销!$R$31),"")</f>
        <v>644.2</v>
      </c>
      <c r="G447" s="76" t="n">
        <f aca="false">IF(助手报销!$T$31=1,INDEX(助手报销!$O$2:$O$121,助手报销!$R$31),"")</f>
        <v>644.2</v>
      </c>
      <c r="H447" s="74"/>
      <c r="I447" s="77"/>
    </row>
    <row r="448" customFormat="false" ht="6" hidden="false" customHeight="true" outlineLevel="0" collapsed="false"/>
    <row r="449" customFormat="false" ht="13.5" hidden="false" customHeight="false" outlineLevel="0" collapsed="false">
      <c r="B449" s="78" t="str">
        <f aca="false">IF(助手报销!$R$31&lt;&gt;"","会计主管：","")</f>
        <v>会计主管：</v>
      </c>
      <c r="D449" s="78" t="str">
        <f aca="false">IF(助手报销!$R$31&lt;&gt;"","会计：","")</f>
        <v>会计：</v>
      </c>
      <c r="E449" s="78" t="str">
        <f aca="false">IF(助手报销!$R$31&lt;&gt;"","出纳：","")</f>
        <v>出纳：</v>
      </c>
      <c r="F449" s="78" t="str">
        <f aca="false">IF(助手报销!$R$31&lt;&gt;"","复核：","")</f>
        <v>复核：</v>
      </c>
      <c r="G449" s="78" t="str">
        <f aca="false">IF(助手报销!$R$31&lt;&gt;"","制单：","")</f>
        <v>制单：</v>
      </c>
    </row>
    <row r="450" customFormat="false" ht="3" hidden="false" customHeight="true" outlineLevel="0" collapsed="false"/>
    <row r="451" customFormat="false" ht="19.5" hidden="false" customHeight="true" outlineLevel="0" collapsed="false">
      <c r="B451" s="53" t="str">
        <f aca="false">IF(助手报销!$R$32&lt;&gt;"","记  账  凭  证","")</f>
        <v>记  账  凭  证</v>
      </c>
      <c r="C451" s="53"/>
      <c r="D451" s="53"/>
      <c r="E451" s="53"/>
      <c r="F451" s="53"/>
      <c r="G451" s="53"/>
      <c r="H451" s="53"/>
      <c r="I451" s="53"/>
    </row>
    <row r="452" customFormat="false" ht="3" hidden="false" customHeight="true" outlineLevel="0" collapsed="false"/>
    <row r="453" customFormat="false" ht="15" hidden="false" customHeight="true" outlineLevel="0" collapsed="false">
      <c r="C453" s="56" t="str">
        <f aca="false">IF(助手报销!$R$32&lt;&gt;"",INDEX(助手报销!$B$2:$B$121,助手报销!$R$32),"")</f>
        <v/>
      </c>
      <c r="D453" s="57" t="n">
        <f aca="false">IF(助手报销!$R$32&lt;&gt;"",INDEX(助手报销!$D$2:$D$121,助手报销!$R$32),"")</f>
        <v>46265</v>
      </c>
      <c r="E453" s="57"/>
      <c r="F453" s="58" t="str">
        <f aca="false">IF(助手报销!$R$32&lt;&gt;"",INDEX(助手报销!$C$2:$C$121,助手报销!$R$32)&amp;"  字第 "&amp;IF(参数!$B$9="是",INDEX(助手报销!$P$2:$P$121,助手报销!$R$32),"　　　　")&amp;" 号"&amp;IF(INDEX(助手报销!$L$2:$L$121,助手报销!$R$32)&gt;1,"  (共"&amp;INDEX(助手报销!$L$2:$L$121,助手报销!$R$32)&amp;"页 第"&amp;助手报销!$S$32&amp;"页)",""),"")</f>
        <v>博联店  字第 　　　　 号</v>
      </c>
      <c r="G453" s="58"/>
      <c r="H453" s="58"/>
      <c r="I453" s="58"/>
      <c r="M453" s="59" t="n">
        <f aca="false">IF(助手报销!$R$32="","",助手报销!$Q$32)</f>
        <v>31</v>
      </c>
      <c r="N453" s="60" t="n">
        <f aca="false">IF(助手报销!$R$32="","",INDEX(助手报销!$P$2:$P$121,助手报销!$R$32))</f>
        <v>29</v>
      </c>
      <c r="O453" s="55" t="str">
        <f aca="false">IF(助手报销!$R$32="","",INDEX(助手报销!$C$2:$C$121,助手报销!$R$32)&amp;"  字第 "&amp;INDEX(助手报销!$P$2:$P$121,助手报销!$R$32)&amp;" 号"&amp;IF(INDEX(助手报销!$L$2:$L$121,助手报销!$R$32)&gt;1,"  (共"&amp;INDEX(助手报销!$L$2:$L$121,助手报销!$R$32)&amp;"页 第"&amp;助手报销!$S$32&amp;"页)",""))</f>
        <v>博联店  字第 29 号</v>
      </c>
    </row>
    <row r="454" customFormat="false" ht="12.75" hidden="false" customHeight="true" outlineLevel="0" collapsed="false">
      <c r="B454" s="61" t="str">
        <f aca="false">IF(助手报销!$R$32&lt;&gt;"","摘　　要","")</f>
        <v>摘　　要</v>
      </c>
      <c r="C454" s="61"/>
      <c r="D454" s="62" t="str">
        <f aca="false">IF(助手报销!$R$32&lt;&gt;"","科　　　　目","")</f>
        <v>科　　　　目</v>
      </c>
      <c r="E454" s="62"/>
      <c r="F454" s="61" t="str">
        <f aca="false">IF(助手报销!$R$32&lt;&gt;"","借 方 金 额","")</f>
        <v>借 方 金 额</v>
      </c>
      <c r="G454" s="62" t="str">
        <f aca="false">IF(助手报销!$R$32&lt;&gt;"","贷 方 金 额","")</f>
        <v>贷 方 金 额</v>
      </c>
      <c r="H454" s="63" t="str">
        <f aca="false">IF(助手报销!$R$32&lt;&gt;"","√","")</f>
        <v>√</v>
      </c>
      <c r="I454" s="64" t="str">
        <f aca="false">IF(助手报销!$R$32&lt;&gt;"","附单据  张","")</f>
        <v>附单据  张</v>
      </c>
    </row>
    <row r="455" customFormat="false" ht="12.75" hidden="false" customHeight="true" outlineLevel="0" collapsed="false">
      <c r="B455" s="61"/>
      <c r="C455" s="61"/>
      <c r="D455" s="23" t="str">
        <f aca="false">IF(助手报销!$R$32&lt;&gt;"","总 账 科 目","")</f>
        <v>总 账 科 目</v>
      </c>
      <c r="E455" s="23" t="str">
        <f aca="false">IF(助手报销!$R$32&lt;&gt;"","明 细 科 目","")</f>
        <v>明 细 科 目</v>
      </c>
      <c r="F455" s="65"/>
      <c r="G455" s="66"/>
      <c r="H455" s="63"/>
      <c r="I455" s="64"/>
    </row>
    <row r="456" customFormat="false" ht="23.25" hidden="false" customHeight="true" outlineLevel="0" collapsed="false">
      <c r="B456" s="67" t="str">
        <f aca="false">IFERROR(INDEX(分录报销!$M:$M,MATCH($L456,分录报销!$L:$L,0)),"")</f>
        <v>电费</v>
      </c>
      <c r="C456" s="67"/>
      <c r="D456" s="23" t="str">
        <f aca="false">IFERROR(INDEX(分录报销!$E:$E,MATCH($L456,分录报销!$L:$L,0)),"")</f>
        <v>销售费用</v>
      </c>
      <c r="E456" s="23" t="str">
        <f aca="false">IFERROR(INDEX(分录报销!$F:$F,MATCH($L456,分录报销!$L:$L,0)),"")</f>
        <v>电费</v>
      </c>
      <c r="F456" s="68" t="n">
        <f aca="false">IFERROR(INDEX(分录报销!$H:$H,MATCH($L456,分录报销!$L:$L,0)),"")</f>
        <v>819</v>
      </c>
      <c r="G456" s="69" t="str">
        <f aca="false">IFERROR(INDEX(分录报销!$I:$I,MATCH($L456,分录报销!$L:$L,0)),"")</f>
        <v/>
      </c>
      <c r="H456" s="23"/>
      <c r="I456" s="70"/>
      <c r="L456" s="71" t="n">
        <f aca="false">IF(助手报销!$R$32="",-1,助手报销!$R$32*100+(助手报销!$S$32-1)*6+1)</f>
        <v>2901</v>
      </c>
    </row>
    <row r="457" customFormat="false" ht="23.25" hidden="false" customHeight="true" outlineLevel="0" collapsed="false">
      <c r="B457" s="67" t="str">
        <f aca="false">IFERROR(INDEX(分录报销!$M:$M,MATCH($L457,分录报销!$L:$L,0)),"")</f>
        <v>水费</v>
      </c>
      <c r="C457" s="67"/>
      <c r="D457" s="23" t="str">
        <f aca="false">IFERROR(INDEX(分录报销!$E:$E,MATCH($L457,分录报销!$L:$L,0)),"")</f>
        <v>销售费用</v>
      </c>
      <c r="E457" s="23" t="str">
        <f aca="false">IFERROR(INDEX(分录报销!$F:$F,MATCH($L457,分录报销!$L:$L,0)),"")</f>
        <v>水费</v>
      </c>
      <c r="F457" s="68" t="n">
        <f aca="false">IFERROR(INDEX(分录报销!$H:$H,MATCH($L457,分录报销!$L:$L,0)),"")</f>
        <v>20</v>
      </c>
      <c r="G457" s="69" t="str">
        <f aca="false">IFERROR(INDEX(分录报销!$I:$I,MATCH($L457,分录报销!$L:$L,0)),"")</f>
        <v/>
      </c>
      <c r="H457" s="23"/>
      <c r="I457" s="70"/>
      <c r="L457" s="71" t="n">
        <f aca="false">IF(助手报销!$R$32="",-1,助手报销!$R$32*100+(助手报销!$S$32-1)*6+2)</f>
        <v>2902</v>
      </c>
    </row>
    <row r="458" customFormat="false" ht="23.25" hidden="false" customHeight="true" outlineLevel="0" collapsed="false">
      <c r="B458" s="67" t="str">
        <f aca="false">IFERROR(INDEX(分录报销!$M:$M,MATCH($L458,分录报销!$L:$L,0)),"")</f>
        <v/>
      </c>
      <c r="C458" s="67"/>
      <c r="D458" s="23" t="str">
        <f aca="false">IFERROR(INDEX(分录报销!$E:$E,MATCH($L458,分录报销!$L:$L,0)),"")</f>
        <v>库存现金</v>
      </c>
      <c r="E458" s="23" t="str">
        <f aca="false">IFERROR(INDEX(分录报销!$F:$F,MATCH($L458,分录报销!$L:$L,0)),"")</f>
        <v/>
      </c>
      <c r="F458" s="68" t="str">
        <f aca="false">IFERROR(INDEX(分录报销!$H:$H,MATCH($L458,分录报销!$L:$L,0)),"")</f>
        <v/>
      </c>
      <c r="G458" s="69" t="n">
        <f aca="false">IFERROR(INDEX(分录报销!$I:$I,MATCH($L458,分录报销!$L:$L,0)),"")</f>
        <v>839</v>
      </c>
      <c r="H458" s="23"/>
      <c r="I458" s="70"/>
      <c r="L458" s="71" t="n">
        <f aca="false">IF(助手报销!$R$32="",-1,助手报销!$R$32*100+(助手报销!$S$32-1)*6+3)</f>
        <v>2903</v>
      </c>
    </row>
    <row r="459" customFormat="false" ht="23.25" hidden="false" customHeight="true" outlineLevel="0" collapsed="false">
      <c r="B459" s="67" t="str">
        <f aca="false">IFERROR(INDEX(分录报销!$M:$M,MATCH($L459,分录报销!$L:$L,0)),"")</f>
        <v/>
      </c>
      <c r="C459" s="67"/>
      <c r="D459" s="23" t="str">
        <f aca="false">IFERROR(INDEX(分录报销!$E:$E,MATCH($L459,分录报销!$L:$L,0)),"")</f>
        <v/>
      </c>
      <c r="E459" s="23" t="str">
        <f aca="false">IFERROR(INDEX(分录报销!$F:$F,MATCH($L459,分录报销!$L:$L,0)),"")</f>
        <v/>
      </c>
      <c r="F459" s="68" t="str">
        <f aca="false">IFERROR(INDEX(分录报销!$H:$H,MATCH($L459,分录报销!$L:$L,0)),"")</f>
        <v/>
      </c>
      <c r="G459" s="69" t="str">
        <f aca="false">IFERROR(INDEX(分录报销!$I:$I,MATCH($L459,分录报销!$L:$L,0)),"")</f>
        <v/>
      </c>
      <c r="H459" s="23"/>
      <c r="I459" s="70"/>
      <c r="L459" s="71" t="n">
        <f aca="false">IF(助手报销!$R$32="",-1,助手报销!$R$32*100+(助手报销!$S$32-1)*6+4)</f>
        <v>2904</v>
      </c>
    </row>
    <row r="460" customFormat="false" ht="23.25" hidden="false" customHeight="true" outlineLevel="0" collapsed="false">
      <c r="B460" s="67" t="str">
        <f aca="false">IFERROR(INDEX(分录报销!$M:$M,MATCH($L460,分录报销!$L:$L,0)),"")</f>
        <v/>
      </c>
      <c r="C460" s="67"/>
      <c r="D460" s="23" t="str">
        <f aca="false">IFERROR(INDEX(分录报销!$E:$E,MATCH($L460,分录报销!$L:$L,0)),"")</f>
        <v/>
      </c>
      <c r="E460" s="23" t="str">
        <f aca="false">IFERROR(INDEX(分录报销!$F:$F,MATCH($L460,分录报销!$L:$L,0)),"")</f>
        <v/>
      </c>
      <c r="F460" s="68" t="str">
        <f aca="false">IFERROR(INDEX(分录报销!$H:$H,MATCH($L460,分录报销!$L:$L,0)),"")</f>
        <v/>
      </c>
      <c r="G460" s="69" t="str">
        <f aca="false">IFERROR(INDEX(分录报销!$I:$I,MATCH($L460,分录报销!$L:$L,0)),"")</f>
        <v/>
      </c>
      <c r="H460" s="23"/>
      <c r="I460" s="70"/>
      <c r="L460" s="71" t="n">
        <f aca="false">IF(助手报销!$R$32="",-1,助手报销!$R$32*100+(助手报销!$S$32-1)*6+5)</f>
        <v>2905</v>
      </c>
    </row>
    <row r="461" customFormat="false" ht="23.25" hidden="false" customHeight="true" outlineLevel="0" collapsed="false">
      <c r="B461" s="67" t="str">
        <f aca="false">IFERROR(INDEX(分录报销!$M:$M,MATCH($L461,分录报销!$L:$L,0)),"")</f>
        <v/>
      </c>
      <c r="C461" s="67"/>
      <c r="D461" s="23" t="str">
        <f aca="false">IFERROR(INDEX(分录报销!$E:$E,MATCH($L461,分录报销!$L:$L,0)),"")</f>
        <v/>
      </c>
      <c r="E461" s="23" t="str">
        <f aca="false">IFERROR(INDEX(分录报销!$F:$F,MATCH($L461,分录报销!$L:$L,0)),"")</f>
        <v/>
      </c>
      <c r="F461" s="68" t="str">
        <f aca="false">IFERROR(INDEX(分录报销!$H:$H,MATCH($L461,分录报销!$L:$L,0)),"")</f>
        <v/>
      </c>
      <c r="G461" s="69" t="str">
        <f aca="false">IFERROR(INDEX(分录报销!$I:$I,MATCH($L461,分录报销!$L:$L,0)),"")</f>
        <v/>
      </c>
      <c r="H461" s="23"/>
      <c r="I461" s="70"/>
      <c r="L461" s="71" t="n">
        <f aca="false">IF(助手报销!$R$32="",-1,助手报销!$R$32*100+(助手报销!$S$32-1)*6+6)</f>
        <v>2906</v>
      </c>
    </row>
    <row r="462" customFormat="false" ht="23.25" hidden="false" customHeight="true" outlineLevel="0" collapsed="false">
      <c r="B462" s="72" t="str">
        <f aca="false">IF(助手报销!$T$32=1,"合计：","")</f>
        <v>合计：</v>
      </c>
      <c r="C462" s="73" t="n">
        <f aca="false">IF(助手报销!$T$32=1,$F462,"")</f>
        <v>839</v>
      </c>
      <c r="D462" s="74"/>
      <c r="E462" s="74"/>
      <c r="F462" s="75" t="n">
        <f aca="false">IF(助手报销!$T$32=1,INDEX(助手报销!$N$2:$N$121,助手报销!$R$32),"")</f>
        <v>839</v>
      </c>
      <c r="G462" s="76" t="n">
        <f aca="false">IF(助手报销!$T$32=1,INDEX(助手报销!$O$2:$O$121,助手报销!$R$32),"")</f>
        <v>839</v>
      </c>
      <c r="H462" s="74"/>
      <c r="I462" s="77"/>
    </row>
    <row r="463" customFormat="false" ht="6" hidden="false" customHeight="true" outlineLevel="0" collapsed="false"/>
    <row r="464" customFormat="false" ht="13.5" hidden="false" customHeight="false" outlineLevel="0" collapsed="false">
      <c r="B464" s="78" t="str">
        <f aca="false">IF(助手报销!$R$32&lt;&gt;"","会计主管：","")</f>
        <v>会计主管：</v>
      </c>
      <c r="D464" s="78" t="str">
        <f aca="false">IF(助手报销!$R$32&lt;&gt;"","会计：","")</f>
        <v>会计：</v>
      </c>
      <c r="E464" s="78" t="str">
        <f aca="false">IF(助手报销!$R$32&lt;&gt;"","出纳：","")</f>
        <v>出纳：</v>
      </c>
      <c r="F464" s="78" t="str">
        <f aca="false">IF(助手报销!$R$32&lt;&gt;"","复核：","")</f>
        <v>复核：</v>
      </c>
      <c r="G464" s="78" t="str">
        <f aca="false">IF(助手报销!$R$32&lt;&gt;"","制单：","")</f>
        <v>制单：</v>
      </c>
    </row>
    <row r="465" customFormat="false" ht="3" hidden="false" customHeight="true" outlineLevel="0" collapsed="false"/>
    <row r="466" customFormat="false" ht="19.5" hidden="false" customHeight="true" outlineLevel="0" collapsed="false">
      <c r="B466" s="53" t="str">
        <f aca="false">IF(助手报销!$R$33&lt;&gt;"","记  账  凭  证","")</f>
        <v>记  账  凭  证</v>
      </c>
      <c r="C466" s="53"/>
      <c r="D466" s="53"/>
      <c r="E466" s="53"/>
      <c r="F466" s="53"/>
      <c r="G466" s="53"/>
      <c r="H466" s="53"/>
      <c r="I466" s="53"/>
    </row>
    <row r="467" customFormat="false" ht="3" hidden="false" customHeight="true" outlineLevel="0" collapsed="false"/>
    <row r="468" customFormat="false" ht="15" hidden="false" customHeight="true" outlineLevel="0" collapsed="false">
      <c r="C468" s="56" t="str">
        <f aca="false">IF(助手报销!$R$33&lt;&gt;"",INDEX(助手报销!$B$2:$B$121,助手报销!$R$33),"")</f>
        <v/>
      </c>
      <c r="D468" s="57" t="n">
        <f aca="false">IF(助手报销!$R$33&lt;&gt;"",INDEX(助手报销!$D$2:$D$121,助手报销!$R$33),"")</f>
        <v>46265</v>
      </c>
      <c r="E468" s="57"/>
      <c r="F468" s="58" t="str">
        <f aca="false">IF(助手报销!$R$33&lt;&gt;"",INDEX(助手报销!$C$2:$C$121,助手报销!$R$33)&amp;"  字第 "&amp;IF(参数!$B$9="是",INDEX(助手报销!$P$2:$P$121,助手报销!$R$33),"　　　　")&amp;" 号"&amp;IF(INDEX(助手报销!$L$2:$L$121,助手报销!$R$33)&gt;1,"  (共"&amp;INDEX(助手报销!$L$2:$L$121,助手报销!$R$33)&amp;"页 第"&amp;助手报销!$S$33&amp;"页)",""),"")</f>
        <v>博尚店  字第 　　　　 号</v>
      </c>
      <c r="G468" s="58"/>
      <c r="H468" s="58"/>
      <c r="I468" s="58"/>
      <c r="M468" s="59" t="n">
        <f aca="false">IF(助手报销!$R$33="","",助手报销!$Q$33)</f>
        <v>32</v>
      </c>
      <c r="N468" s="60" t="n">
        <f aca="false">IF(助手报销!$R$33="","",INDEX(助手报销!$P$2:$P$121,助手报销!$R$33))</f>
        <v>30</v>
      </c>
      <c r="O468" s="55" t="str">
        <f aca="false">IF(助手报销!$R$33="","",INDEX(助手报销!$C$2:$C$121,助手报销!$R$33)&amp;"  字第 "&amp;INDEX(助手报销!$P$2:$P$121,助手报销!$R$33)&amp;" 号"&amp;IF(INDEX(助手报销!$L$2:$L$121,助手报销!$R$33)&gt;1,"  (共"&amp;INDEX(助手报销!$L$2:$L$121,助手报销!$R$33)&amp;"页 第"&amp;助手报销!$S$33&amp;"页)",""))</f>
        <v>博尚店  字第 30 号</v>
      </c>
    </row>
    <row r="469" customFormat="false" ht="12.75" hidden="false" customHeight="true" outlineLevel="0" collapsed="false">
      <c r="B469" s="61" t="str">
        <f aca="false">IF(助手报销!$R$33&lt;&gt;"","摘　　要","")</f>
        <v>摘　　要</v>
      </c>
      <c r="C469" s="61"/>
      <c r="D469" s="62" t="str">
        <f aca="false">IF(助手报销!$R$33&lt;&gt;"","科　　　　目","")</f>
        <v>科　　　　目</v>
      </c>
      <c r="E469" s="62"/>
      <c r="F469" s="61" t="str">
        <f aca="false">IF(助手报销!$R$33&lt;&gt;"","借 方 金 额","")</f>
        <v>借 方 金 额</v>
      </c>
      <c r="G469" s="62" t="str">
        <f aca="false">IF(助手报销!$R$33&lt;&gt;"","贷 方 金 额","")</f>
        <v>贷 方 金 额</v>
      </c>
      <c r="H469" s="63" t="str">
        <f aca="false">IF(助手报销!$R$33&lt;&gt;"","√","")</f>
        <v>√</v>
      </c>
      <c r="I469" s="64" t="str">
        <f aca="false">IF(助手报销!$R$33&lt;&gt;"","附单据  张","")</f>
        <v>附单据  张</v>
      </c>
    </row>
    <row r="470" customFormat="false" ht="12.75" hidden="false" customHeight="true" outlineLevel="0" collapsed="false">
      <c r="B470" s="61"/>
      <c r="C470" s="61"/>
      <c r="D470" s="23" t="str">
        <f aca="false">IF(助手报销!$R$33&lt;&gt;"","总 账 科 目","")</f>
        <v>总 账 科 目</v>
      </c>
      <c r="E470" s="23" t="str">
        <f aca="false">IF(助手报销!$R$33&lt;&gt;"","明 细 科 目","")</f>
        <v>明 细 科 目</v>
      </c>
      <c r="F470" s="65"/>
      <c r="G470" s="66"/>
      <c r="H470" s="63"/>
      <c r="I470" s="64"/>
    </row>
    <row r="471" customFormat="false" ht="23.25" hidden="false" customHeight="true" outlineLevel="0" collapsed="false">
      <c r="B471" s="67" t="str">
        <f aca="false">IFERROR(INDEX(分录报销!$M:$M,MATCH($L471,分录报销!$L:$L,0)),"")</f>
        <v>电费</v>
      </c>
      <c r="C471" s="67"/>
      <c r="D471" s="23" t="str">
        <f aca="false">IFERROR(INDEX(分录报销!$E:$E,MATCH($L471,分录报销!$L:$L,0)),"")</f>
        <v>销售费用</v>
      </c>
      <c r="E471" s="23" t="str">
        <f aca="false">IFERROR(INDEX(分录报销!$F:$F,MATCH($L471,分录报销!$L:$L,0)),"")</f>
        <v>电费</v>
      </c>
      <c r="F471" s="68" t="n">
        <f aca="false">IFERROR(INDEX(分录报销!$H:$H,MATCH($L471,分录报销!$L:$L,0)),"")</f>
        <v>300</v>
      </c>
      <c r="G471" s="69" t="str">
        <f aca="false">IFERROR(INDEX(分录报销!$I:$I,MATCH($L471,分录报销!$L:$L,0)),"")</f>
        <v/>
      </c>
      <c r="H471" s="23"/>
      <c r="I471" s="70"/>
      <c r="L471" s="71" t="n">
        <f aca="false">IF(助手报销!$R$33="",-1,助手报销!$R$33*100+(助手报销!$S$33-1)*6+1)</f>
        <v>3001</v>
      </c>
    </row>
    <row r="472" customFormat="false" ht="23.25" hidden="false" customHeight="true" outlineLevel="0" collapsed="false">
      <c r="B472" s="67" t="str">
        <f aca="false">IFERROR(INDEX(分录报销!$M:$M,MATCH($L472,分录报销!$L:$L,0)),"")</f>
        <v>电话费</v>
      </c>
      <c r="C472" s="67"/>
      <c r="D472" s="23" t="str">
        <f aca="false">IFERROR(INDEX(分录报销!$E:$E,MATCH($L472,分录报销!$L:$L,0)),"")</f>
        <v>销售费用</v>
      </c>
      <c r="E472" s="23" t="str">
        <f aca="false">IFERROR(INDEX(分录报销!$F:$F,MATCH($L472,分录报销!$L:$L,0)),"")</f>
        <v>电话费</v>
      </c>
      <c r="F472" s="68" t="n">
        <f aca="false">IFERROR(INDEX(分录报销!$H:$H,MATCH($L472,分录报销!$L:$L,0)),"")</f>
        <v>100</v>
      </c>
      <c r="G472" s="69" t="str">
        <f aca="false">IFERROR(INDEX(分录报销!$I:$I,MATCH($L472,分录报销!$L:$L,0)),"")</f>
        <v/>
      </c>
      <c r="H472" s="23"/>
      <c r="I472" s="70"/>
      <c r="L472" s="71" t="n">
        <f aca="false">IF(助手报销!$R$33="",-1,助手报销!$R$33*100+(助手报销!$S$33-1)*6+2)</f>
        <v>3002</v>
      </c>
    </row>
    <row r="473" customFormat="false" ht="23.25" hidden="false" customHeight="true" outlineLevel="0" collapsed="false">
      <c r="B473" s="67" t="str">
        <f aca="false">IFERROR(INDEX(分录报销!$M:$M,MATCH($L473,分录报销!$L:$L,0)),"")</f>
        <v>色带慢病用品</v>
      </c>
      <c r="C473" s="67"/>
      <c r="D473" s="23" t="str">
        <f aca="false">IFERROR(INDEX(分录报销!$E:$E,MATCH($L473,分录报销!$L:$L,0)),"")</f>
        <v>销售费用</v>
      </c>
      <c r="E473" s="23" t="str">
        <f aca="false">IFERROR(INDEX(分录报销!$F:$F,MATCH($L473,分录报销!$L:$L,0)),"")</f>
        <v>办公费</v>
      </c>
      <c r="F473" s="68" t="n">
        <f aca="false">IFERROR(INDEX(分录报销!$H:$H,MATCH($L473,分录报销!$L:$L,0)),"")</f>
        <v>41.9</v>
      </c>
      <c r="G473" s="69" t="str">
        <f aca="false">IFERROR(INDEX(分录报销!$I:$I,MATCH($L473,分录报销!$L:$L,0)),"")</f>
        <v/>
      </c>
      <c r="H473" s="23"/>
      <c r="I473" s="70"/>
      <c r="L473" s="71" t="n">
        <f aca="false">IF(助手报销!$R$33="",-1,助手报销!$R$33*100+(助手报销!$S$33-1)*6+3)</f>
        <v>3003</v>
      </c>
    </row>
    <row r="474" customFormat="false" ht="23.25" hidden="false" customHeight="true" outlineLevel="0" collapsed="false">
      <c r="B474" s="67" t="str">
        <f aca="false">IFERROR(INDEX(分录报销!$M:$M,MATCH($L474,分录报销!$L:$L,0)),"")</f>
        <v>水费</v>
      </c>
      <c r="C474" s="67"/>
      <c r="D474" s="23" t="str">
        <f aca="false">IFERROR(INDEX(分录报销!$E:$E,MATCH($L474,分录报销!$L:$L,0)),"")</f>
        <v>销售费用</v>
      </c>
      <c r="E474" s="23" t="str">
        <f aca="false">IFERROR(INDEX(分录报销!$F:$F,MATCH($L474,分录报销!$L:$L,0)),"")</f>
        <v>水费</v>
      </c>
      <c r="F474" s="68" t="n">
        <f aca="false">IFERROR(INDEX(分录报销!$H:$H,MATCH($L474,分录报销!$L:$L,0)),"")</f>
        <v>10</v>
      </c>
      <c r="G474" s="69" t="str">
        <f aca="false">IFERROR(INDEX(分录报销!$I:$I,MATCH($L474,分录报销!$L:$L,0)),"")</f>
        <v/>
      </c>
      <c r="H474" s="23"/>
      <c r="I474" s="70"/>
      <c r="L474" s="71" t="n">
        <f aca="false">IF(助手报销!$R$33="",-1,助手报销!$R$33*100+(助手报销!$S$33-1)*6+4)</f>
        <v>3004</v>
      </c>
    </row>
    <row r="475" customFormat="false" ht="23.25" hidden="false" customHeight="true" outlineLevel="0" collapsed="false">
      <c r="B475" s="67" t="str">
        <f aca="false">IFERROR(INDEX(分录报销!$M:$M,MATCH($L475,分录报销!$L:$L,0)),"")</f>
        <v>灭火器检测</v>
      </c>
      <c r="C475" s="67"/>
      <c r="D475" s="23" t="str">
        <f aca="false">IFERROR(INDEX(分录报销!$E:$E,MATCH($L475,分录报销!$L:$L,0)),"")</f>
        <v>销售费用</v>
      </c>
      <c r="E475" s="23" t="str">
        <f aca="false">IFERROR(INDEX(分录报销!$F:$F,MATCH($L475,分录报销!$L:$L,0)),"")</f>
        <v>办公费</v>
      </c>
      <c r="F475" s="68" t="n">
        <f aca="false">IFERROR(INDEX(分录报销!$H:$H,MATCH($L475,分录报销!$L:$L,0)),"")</f>
        <v>40</v>
      </c>
      <c r="G475" s="69" t="str">
        <f aca="false">IFERROR(INDEX(分录报销!$I:$I,MATCH($L475,分录报销!$L:$L,0)),"")</f>
        <v/>
      </c>
      <c r="H475" s="23"/>
      <c r="I475" s="70"/>
      <c r="L475" s="71" t="n">
        <f aca="false">IF(助手报销!$R$33="",-1,助手报销!$R$33*100+(助手报销!$S$33-1)*6+5)</f>
        <v>3005</v>
      </c>
    </row>
    <row r="476" customFormat="false" ht="23.25" hidden="false" customHeight="true" outlineLevel="0" collapsed="false">
      <c r="B476" s="67" t="str">
        <f aca="false">IFERROR(INDEX(分录报销!$M:$M,MATCH($L476,分录报销!$L:$L,0)),"")</f>
        <v/>
      </c>
      <c r="C476" s="67"/>
      <c r="D476" s="23" t="str">
        <f aca="false">IFERROR(INDEX(分录报销!$E:$E,MATCH($L476,分录报销!$L:$L,0)),"")</f>
        <v>库存现金</v>
      </c>
      <c r="E476" s="23" t="str">
        <f aca="false">IFERROR(INDEX(分录报销!$F:$F,MATCH($L476,分录报销!$L:$L,0)),"")</f>
        <v/>
      </c>
      <c r="F476" s="68" t="str">
        <f aca="false">IFERROR(INDEX(分录报销!$H:$H,MATCH($L476,分录报销!$L:$L,0)),"")</f>
        <v/>
      </c>
      <c r="G476" s="69" t="n">
        <f aca="false">IFERROR(INDEX(分录报销!$I:$I,MATCH($L476,分录报销!$L:$L,0)),"")</f>
        <v>491.9</v>
      </c>
      <c r="H476" s="23"/>
      <c r="I476" s="70"/>
      <c r="L476" s="71" t="n">
        <f aca="false">IF(助手报销!$R$33="",-1,助手报销!$R$33*100+(助手报销!$S$33-1)*6+6)</f>
        <v>3006</v>
      </c>
    </row>
    <row r="477" customFormat="false" ht="23.25" hidden="false" customHeight="true" outlineLevel="0" collapsed="false">
      <c r="B477" s="72" t="str">
        <f aca="false">IF(助手报销!$T$33=1,"合计：","")</f>
        <v>合计：</v>
      </c>
      <c r="C477" s="73" t="n">
        <f aca="false">IF(助手报销!$T$33=1,$F477,"")</f>
        <v>491.9</v>
      </c>
      <c r="D477" s="74"/>
      <c r="E477" s="74"/>
      <c r="F477" s="75" t="n">
        <f aca="false">IF(助手报销!$T$33=1,INDEX(助手报销!$N$2:$N$121,助手报销!$R$33),"")</f>
        <v>491.9</v>
      </c>
      <c r="G477" s="76" t="n">
        <f aca="false">IF(助手报销!$T$33=1,INDEX(助手报销!$O$2:$O$121,助手报销!$R$33),"")</f>
        <v>491.9</v>
      </c>
      <c r="H477" s="74"/>
      <c r="I477" s="77"/>
    </row>
    <row r="478" customFormat="false" ht="6" hidden="false" customHeight="true" outlineLevel="0" collapsed="false"/>
    <row r="479" customFormat="false" ht="13.5" hidden="false" customHeight="false" outlineLevel="0" collapsed="false">
      <c r="B479" s="78" t="str">
        <f aca="false">IF(助手报销!$R$33&lt;&gt;"","会计主管：","")</f>
        <v>会计主管：</v>
      </c>
      <c r="D479" s="78" t="str">
        <f aca="false">IF(助手报销!$R$33&lt;&gt;"","会计：","")</f>
        <v>会计：</v>
      </c>
      <c r="E479" s="78" t="str">
        <f aca="false">IF(助手报销!$R$33&lt;&gt;"","出纳：","")</f>
        <v>出纳：</v>
      </c>
      <c r="F479" s="78" t="str">
        <f aca="false">IF(助手报销!$R$33&lt;&gt;"","复核：","")</f>
        <v>复核：</v>
      </c>
      <c r="G479" s="78" t="str">
        <f aca="false">IF(助手报销!$R$33&lt;&gt;"","制单：","")</f>
        <v>制单：</v>
      </c>
    </row>
    <row r="480" customFormat="false" ht="3" hidden="false" customHeight="true" outlineLevel="0" collapsed="false"/>
    <row r="481" customFormat="false" ht="19.5" hidden="false" customHeight="true" outlineLevel="0" collapsed="false">
      <c r="B481" s="53" t="str">
        <f aca="false">IF(助手报销!$R$34&lt;&gt;"","记  账  凭  证","")</f>
        <v>记  账  凭  证</v>
      </c>
      <c r="C481" s="53"/>
      <c r="D481" s="53"/>
      <c r="E481" s="53"/>
      <c r="F481" s="53"/>
      <c r="G481" s="53"/>
      <c r="H481" s="53"/>
      <c r="I481" s="53"/>
    </row>
    <row r="482" customFormat="false" ht="3" hidden="false" customHeight="true" outlineLevel="0" collapsed="false"/>
    <row r="483" customFormat="false" ht="15" hidden="false" customHeight="true" outlineLevel="0" collapsed="false">
      <c r="C483" s="56" t="str">
        <f aca="false">IF(助手报销!$R$34&lt;&gt;"",INDEX(助手报销!$B$2:$B$121,助手报销!$R$34),"")</f>
        <v/>
      </c>
      <c r="D483" s="57" t="n">
        <f aca="false">IF(助手报销!$R$34&lt;&gt;"",INDEX(助手报销!$D$2:$D$121,助手报销!$R$34),"")</f>
        <v>46265</v>
      </c>
      <c r="E483" s="57"/>
      <c r="F483" s="58" t="str">
        <f aca="false">IF(助手报销!$R$34&lt;&gt;"",INDEX(助手报销!$C$2:$C$121,助手报销!$R$34)&amp;"  字第 "&amp;IF(参数!$B$9="是",INDEX(助手报销!$P$2:$P$121,助手报销!$R$34),"　　　　")&amp;" 号"&amp;IF(INDEX(助手报销!$L$2:$L$121,助手报销!$R$34)&gt;1,"  (共"&amp;INDEX(助手报销!$L$2:$L$121,助手报销!$R$34)&amp;"页 第"&amp;助手报销!$S$34&amp;"页)",""),"")</f>
        <v>博魏店  字第 　　　　 号</v>
      </c>
      <c r="G483" s="58"/>
      <c r="H483" s="58"/>
      <c r="I483" s="58"/>
      <c r="M483" s="59" t="n">
        <f aca="false">IF(助手报销!$R$34="","",助手报销!$Q$34)</f>
        <v>33</v>
      </c>
      <c r="N483" s="60" t="n">
        <f aca="false">IF(助手报销!$R$34="","",INDEX(助手报销!$P$2:$P$121,助手报销!$R$34))</f>
        <v>31</v>
      </c>
      <c r="O483" s="55" t="str">
        <f aca="false">IF(助手报销!$R$34="","",INDEX(助手报销!$C$2:$C$121,助手报销!$R$34)&amp;"  字第 "&amp;INDEX(助手报销!$P$2:$P$121,助手报销!$R$34)&amp;" 号"&amp;IF(INDEX(助手报销!$L$2:$L$121,助手报销!$R$34)&gt;1,"  (共"&amp;INDEX(助手报销!$L$2:$L$121,助手报销!$R$34)&amp;"页 第"&amp;助手报销!$S$34&amp;"页)",""))</f>
        <v>博魏店  字第 31 号</v>
      </c>
    </row>
    <row r="484" customFormat="false" ht="12.75" hidden="false" customHeight="true" outlineLevel="0" collapsed="false">
      <c r="B484" s="61" t="str">
        <f aca="false">IF(助手报销!$R$34&lt;&gt;"","摘　　要","")</f>
        <v>摘　　要</v>
      </c>
      <c r="C484" s="61"/>
      <c r="D484" s="62" t="str">
        <f aca="false">IF(助手报销!$R$34&lt;&gt;"","科　　　　目","")</f>
        <v>科　　　　目</v>
      </c>
      <c r="E484" s="62"/>
      <c r="F484" s="61" t="str">
        <f aca="false">IF(助手报销!$R$34&lt;&gt;"","借 方 金 额","")</f>
        <v>借 方 金 额</v>
      </c>
      <c r="G484" s="62" t="str">
        <f aca="false">IF(助手报销!$R$34&lt;&gt;"","贷 方 金 额","")</f>
        <v>贷 方 金 额</v>
      </c>
      <c r="H484" s="63" t="str">
        <f aca="false">IF(助手报销!$R$34&lt;&gt;"","√","")</f>
        <v>√</v>
      </c>
      <c r="I484" s="64" t="str">
        <f aca="false">IF(助手报销!$R$34&lt;&gt;"","附单据  张","")</f>
        <v>附单据  张</v>
      </c>
    </row>
    <row r="485" customFormat="false" ht="12.75" hidden="false" customHeight="true" outlineLevel="0" collapsed="false">
      <c r="B485" s="61"/>
      <c r="C485" s="61"/>
      <c r="D485" s="23" t="str">
        <f aca="false">IF(助手报销!$R$34&lt;&gt;"","总 账 科 目","")</f>
        <v>总 账 科 目</v>
      </c>
      <c r="E485" s="23" t="str">
        <f aca="false">IF(助手报销!$R$34&lt;&gt;"","明 细 科 目","")</f>
        <v>明 细 科 目</v>
      </c>
      <c r="F485" s="65"/>
      <c r="G485" s="66"/>
      <c r="H485" s="63"/>
      <c r="I485" s="64"/>
    </row>
    <row r="486" customFormat="false" ht="23.25" hidden="false" customHeight="true" outlineLevel="0" collapsed="false">
      <c r="B486" s="67" t="str">
        <f aca="false">IFERROR(INDEX(分录报销!$M:$M,MATCH($L486,分录报销!$L:$L,0)),"")</f>
        <v>水费</v>
      </c>
      <c r="C486" s="67"/>
      <c r="D486" s="23" t="str">
        <f aca="false">IFERROR(INDEX(分录报销!$E:$E,MATCH($L486,分录报销!$L:$L,0)),"")</f>
        <v>销售费用</v>
      </c>
      <c r="E486" s="23" t="str">
        <f aca="false">IFERROR(INDEX(分录报销!$F:$F,MATCH($L486,分录报销!$L:$L,0)),"")</f>
        <v>水费</v>
      </c>
      <c r="F486" s="68" t="n">
        <f aca="false">IFERROR(INDEX(分录报销!$H:$H,MATCH($L486,分录报销!$L:$L,0)),"")</f>
        <v>6</v>
      </c>
      <c r="G486" s="69" t="str">
        <f aca="false">IFERROR(INDEX(分录报销!$I:$I,MATCH($L486,分录报销!$L:$L,0)),"")</f>
        <v/>
      </c>
      <c r="H486" s="23"/>
      <c r="I486" s="70"/>
      <c r="L486" s="71" t="n">
        <f aca="false">IF(助手报销!$R$34="",-1,助手报销!$R$34*100+(助手报销!$S$34-1)*6+1)</f>
        <v>3101</v>
      </c>
    </row>
    <row r="487" customFormat="false" ht="23.25" hidden="false" customHeight="true" outlineLevel="0" collapsed="false">
      <c r="B487" s="67" t="str">
        <f aca="false">IFERROR(INDEX(分录报销!$M:$M,MATCH($L487,分录报销!$L:$L,0)),"")</f>
        <v>电话费</v>
      </c>
      <c r="C487" s="67"/>
      <c r="D487" s="23" t="str">
        <f aca="false">IFERROR(INDEX(分录报销!$E:$E,MATCH($L487,分录报销!$L:$L,0)),"")</f>
        <v>销售费用</v>
      </c>
      <c r="E487" s="23" t="str">
        <f aca="false">IFERROR(INDEX(分录报销!$F:$F,MATCH($L487,分录报销!$L:$L,0)),"")</f>
        <v>电话费</v>
      </c>
      <c r="F487" s="68" t="n">
        <f aca="false">IFERROR(INDEX(分录报销!$H:$H,MATCH($L487,分录报销!$L:$L,0)),"")</f>
        <v>100</v>
      </c>
      <c r="G487" s="69" t="str">
        <f aca="false">IFERROR(INDEX(分录报销!$I:$I,MATCH($L487,分录报销!$L:$L,0)),"")</f>
        <v/>
      </c>
      <c r="H487" s="23"/>
      <c r="I487" s="70"/>
      <c r="L487" s="71" t="n">
        <f aca="false">IF(助手报销!$R$34="",-1,助手报销!$R$34*100+(助手报销!$S$34-1)*6+2)</f>
        <v>3102</v>
      </c>
    </row>
    <row r="488" customFormat="false" ht="23.25" hidden="false" customHeight="true" outlineLevel="0" collapsed="false">
      <c r="B488" s="67" t="str">
        <f aca="false">IFERROR(INDEX(分录报销!$M:$M,MATCH($L488,分录报销!$L:$L,0)),"")</f>
        <v>电费</v>
      </c>
      <c r="C488" s="67"/>
      <c r="D488" s="23" t="str">
        <f aca="false">IFERROR(INDEX(分录报销!$E:$E,MATCH($L488,分录报销!$L:$L,0)),"")</f>
        <v>销售费用</v>
      </c>
      <c r="E488" s="23" t="str">
        <f aca="false">IFERROR(INDEX(分录报销!$F:$F,MATCH($L488,分录报销!$L:$L,0)),"")</f>
        <v>电费</v>
      </c>
      <c r="F488" s="68" t="n">
        <f aca="false">IFERROR(INDEX(分录报销!$H:$H,MATCH($L488,分录报销!$L:$L,0)),"")</f>
        <v>300</v>
      </c>
      <c r="G488" s="69" t="str">
        <f aca="false">IFERROR(INDEX(分录报销!$I:$I,MATCH($L488,分录报销!$L:$L,0)),"")</f>
        <v/>
      </c>
      <c r="H488" s="23"/>
      <c r="I488" s="70"/>
      <c r="L488" s="71" t="n">
        <f aca="false">IF(助手报销!$R$34="",-1,助手报销!$R$34*100+(助手报销!$S$34-1)*6+3)</f>
        <v>3103</v>
      </c>
    </row>
    <row r="489" customFormat="false" ht="23.25" hidden="false" customHeight="true" outlineLevel="0" collapsed="false">
      <c r="B489" s="67" t="str">
        <f aca="false">IFERROR(INDEX(分录报销!$M:$M,MATCH($L489,分录报销!$L:$L,0)),"")</f>
        <v/>
      </c>
      <c r="C489" s="67"/>
      <c r="D489" s="23" t="str">
        <f aca="false">IFERROR(INDEX(分录报销!$E:$E,MATCH($L489,分录报销!$L:$L,0)),"")</f>
        <v>库存现金</v>
      </c>
      <c r="E489" s="23" t="str">
        <f aca="false">IFERROR(INDEX(分录报销!$F:$F,MATCH($L489,分录报销!$L:$L,0)),"")</f>
        <v/>
      </c>
      <c r="F489" s="68" t="str">
        <f aca="false">IFERROR(INDEX(分录报销!$H:$H,MATCH($L489,分录报销!$L:$L,0)),"")</f>
        <v/>
      </c>
      <c r="G489" s="69" t="n">
        <f aca="false">IFERROR(INDEX(分录报销!$I:$I,MATCH($L489,分录报销!$L:$L,0)),"")</f>
        <v>406</v>
      </c>
      <c r="H489" s="23"/>
      <c r="I489" s="70"/>
      <c r="L489" s="71" t="n">
        <f aca="false">IF(助手报销!$R$34="",-1,助手报销!$R$34*100+(助手报销!$S$34-1)*6+4)</f>
        <v>3104</v>
      </c>
    </row>
    <row r="490" customFormat="false" ht="23.25" hidden="false" customHeight="true" outlineLevel="0" collapsed="false">
      <c r="B490" s="67" t="str">
        <f aca="false">IFERROR(INDEX(分录报销!$M:$M,MATCH($L490,分录报销!$L:$L,0)),"")</f>
        <v/>
      </c>
      <c r="C490" s="67"/>
      <c r="D490" s="23" t="str">
        <f aca="false">IFERROR(INDEX(分录报销!$E:$E,MATCH($L490,分录报销!$L:$L,0)),"")</f>
        <v/>
      </c>
      <c r="E490" s="23" t="str">
        <f aca="false">IFERROR(INDEX(分录报销!$F:$F,MATCH($L490,分录报销!$L:$L,0)),"")</f>
        <v/>
      </c>
      <c r="F490" s="68" t="str">
        <f aca="false">IFERROR(INDEX(分录报销!$H:$H,MATCH($L490,分录报销!$L:$L,0)),"")</f>
        <v/>
      </c>
      <c r="G490" s="69" t="str">
        <f aca="false">IFERROR(INDEX(分录报销!$I:$I,MATCH($L490,分录报销!$L:$L,0)),"")</f>
        <v/>
      </c>
      <c r="H490" s="23"/>
      <c r="I490" s="70"/>
      <c r="L490" s="71" t="n">
        <f aca="false">IF(助手报销!$R$34="",-1,助手报销!$R$34*100+(助手报销!$S$34-1)*6+5)</f>
        <v>3105</v>
      </c>
    </row>
    <row r="491" customFormat="false" ht="23.25" hidden="false" customHeight="true" outlineLevel="0" collapsed="false">
      <c r="B491" s="67" t="str">
        <f aca="false">IFERROR(INDEX(分录报销!$M:$M,MATCH($L491,分录报销!$L:$L,0)),"")</f>
        <v/>
      </c>
      <c r="C491" s="67"/>
      <c r="D491" s="23" t="str">
        <f aca="false">IFERROR(INDEX(分录报销!$E:$E,MATCH($L491,分录报销!$L:$L,0)),"")</f>
        <v/>
      </c>
      <c r="E491" s="23" t="str">
        <f aca="false">IFERROR(INDEX(分录报销!$F:$F,MATCH($L491,分录报销!$L:$L,0)),"")</f>
        <v/>
      </c>
      <c r="F491" s="68" t="str">
        <f aca="false">IFERROR(INDEX(分录报销!$H:$H,MATCH($L491,分录报销!$L:$L,0)),"")</f>
        <v/>
      </c>
      <c r="G491" s="69" t="str">
        <f aca="false">IFERROR(INDEX(分录报销!$I:$I,MATCH($L491,分录报销!$L:$L,0)),"")</f>
        <v/>
      </c>
      <c r="H491" s="23"/>
      <c r="I491" s="70"/>
      <c r="L491" s="71" t="n">
        <f aca="false">IF(助手报销!$R$34="",-1,助手报销!$R$34*100+(助手报销!$S$34-1)*6+6)</f>
        <v>3106</v>
      </c>
    </row>
    <row r="492" customFormat="false" ht="23.25" hidden="false" customHeight="true" outlineLevel="0" collapsed="false">
      <c r="B492" s="72" t="str">
        <f aca="false">IF(助手报销!$T$34=1,"合计：","")</f>
        <v>合计：</v>
      </c>
      <c r="C492" s="73" t="n">
        <f aca="false">IF(助手报销!$T$34=1,$F492,"")</f>
        <v>406</v>
      </c>
      <c r="D492" s="74"/>
      <c r="E492" s="74"/>
      <c r="F492" s="75" t="n">
        <f aca="false">IF(助手报销!$T$34=1,INDEX(助手报销!$N$2:$N$121,助手报销!$R$34),"")</f>
        <v>406</v>
      </c>
      <c r="G492" s="76" t="n">
        <f aca="false">IF(助手报销!$T$34=1,INDEX(助手报销!$O$2:$O$121,助手报销!$R$34),"")</f>
        <v>406</v>
      </c>
      <c r="H492" s="74"/>
      <c r="I492" s="77"/>
    </row>
    <row r="493" customFormat="false" ht="6" hidden="false" customHeight="true" outlineLevel="0" collapsed="false"/>
    <row r="494" customFormat="false" ht="13.5" hidden="false" customHeight="false" outlineLevel="0" collapsed="false">
      <c r="B494" s="78" t="str">
        <f aca="false">IF(助手报销!$R$34&lt;&gt;"","会计主管：","")</f>
        <v>会计主管：</v>
      </c>
      <c r="D494" s="78" t="str">
        <f aca="false">IF(助手报销!$R$34&lt;&gt;"","会计：","")</f>
        <v>会计：</v>
      </c>
      <c r="E494" s="78" t="str">
        <f aca="false">IF(助手报销!$R$34&lt;&gt;"","出纳：","")</f>
        <v>出纳：</v>
      </c>
      <c r="F494" s="78" t="str">
        <f aca="false">IF(助手报销!$R$34&lt;&gt;"","复核：","")</f>
        <v>复核：</v>
      </c>
      <c r="G494" s="78" t="str">
        <f aca="false">IF(助手报销!$R$34&lt;&gt;"","制单：","")</f>
        <v>制单：</v>
      </c>
    </row>
    <row r="495" customFormat="false" ht="3" hidden="false" customHeight="true" outlineLevel="0" collapsed="false"/>
    <row r="496" customFormat="false" ht="19.5" hidden="false" customHeight="true" outlineLevel="0" collapsed="false">
      <c r="B496" s="53" t="str">
        <f aca="false">IF(助手报销!$R$35&lt;&gt;"","记  账  凭  证","")</f>
        <v>记  账  凭  证</v>
      </c>
      <c r="C496" s="53"/>
      <c r="D496" s="53"/>
      <c r="E496" s="53"/>
      <c r="F496" s="53"/>
      <c r="G496" s="53"/>
      <c r="H496" s="53"/>
      <c r="I496" s="53"/>
    </row>
    <row r="497" customFormat="false" ht="3" hidden="false" customHeight="true" outlineLevel="0" collapsed="false"/>
    <row r="498" customFormat="false" ht="15" hidden="false" customHeight="true" outlineLevel="0" collapsed="false">
      <c r="C498" s="56" t="str">
        <f aca="false">IF(助手报销!$R$35&lt;&gt;"",INDEX(助手报销!$B$2:$B$121,助手报销!$R$35),"")</f>
        <v/>
      </c>
      <c r="D498" s="57" t="n">
        <f aca="false">IF(助手报销!$R$35&lt;&gt;"",INDEX(助手报销!$D$2:$D$121,助手报销!$R$35),"")</f>
        <v>46265</v>
      </c>
      <c r="E498" s="57"/>
      <c r="F498" s="58" t="str">
        <f aca="false">IF(助手报销!$R$35&lt;&gt;"",INDEX(助手报销!$C$2:$C$121,助手报销!$R$35)&amp;"  字第 "&amp;IF(参数!$B$9="是",INDEX(助手报销!$P$2:$P$121,助手报销!$R$35),"　　　　")&amp;" 号"&amp;IF(INDEX(助手报销!$L$2:$L$121,助手报销!$R$35)&gt;1,"  (共"&amp;INDEX(助手报销!$L$2:$L$121,助手报销!$R$35)&amp;"页 第"&amp;助手报销!$S$35&amp;"页)",""),"")</f>
        <v>博城店  字第 　　　　 号</v>
      </c>
      <c r="G498" s="58"/>
      <c r="H498" s="58"/>
      <c r="I498" s="58"/>
      <c r="M498" s="59" t="n">
        <f aca="false">IF(助手报销!$R$35="","",助手报销!$Q$35)</f>
        <v>34</v>
      </c>
      <c r="N498" s="60" t="n">
        <f aca="false">IF(助手报销!$R$35="","",INDEX(助手报销!$P$2:$P$121,助手报销!$R$35))</f>
        <v>32</v>
      </c>
      <c r="O498" s="55" t="str">
        <f aca="false">IF(助手报销!$R$35="","",INDEX(助手报销!$C$2:$C$121,助手报销!$R$35)&amp;"  字第 "&amp;INDEX(助手报销!$P$2:$P$121,助手报销!$R$35)&amp;" 号"&amp;IF(INDEX(助手报销!$L$2:$L$121,助手报销!$R$35)&gt;1,"  (共"&amp;INDEX(助手报销!$L$2:$L$121,助手报销!$R$35)&amp;"页 第"&amp;助手报销!$S$35&amp;"页)",""))</f>
        <v>博城店  字第 32 号</v>
      </c>
    </row>
    <row r="499" customFormat="false" ht="12.75" hidden="false" customHeight="true" outlineLevel="0" collapsed="false">
      <c r="B499" s="61" t="str">
        <f aca="false">IF(助手报销!$R$35&lt;&gt;"","摘　　要","")</f>
        <v>摘　　要</v>
      </c>
      <c r="C499" s="61"/>
      <c r="D499" s="62" t="str">
        <f aca="false">IF(助手报销!$R$35&lt;&gt;"","科　　　　目","")</f>
        <v>科　　　　目</v>
      </c>
      <c r="E499" s="62"/>
      <c r="F499" s="61" t="str">
        <f aca="false">IF(助手报销!$R$35&lt;&gt;"","借 方 金 额","")</f>
        <v>借 方 金 额</v>
      </c>
      <c r="G499" s="62" t="str">
        <f aca="false">IF(助手报销!$R$35&lt;&gt;"","贷 方 金 额","")</f>
        <v>贷 方 金 额</v>
      </c>
      <c r="H499" s="63" t="str">
        <f aca="false">IF(助手报销!$R$35&lt;&gt;"","√","")</f>
        <v>√</v>
      </c>
      <c r="I499" s="64" t="str">
        <f aca="false">IF(助手报销!$R$35&lt;&gt;"","附单据  张","")</f>
        <v>附单据  张</v>
      </c>
    </row>
    <row r="500" customFormat="false" ht="12.75" hidden="false" customHeight="true" outlineLevel="0" collapsed="false">
      <c r="B500" s="61"/>
      <c r="C500" s="61"/>
      <c r="D500" s="23" t="str">
        <f aca="false">IF(助手报销!$R$35&lt;&gt;"","总 账 科 目","")</f>
        <v>总 账 科 目</v>
      </c>
      <c r="E500" s="23" t="str">
        <f aca="false">IF(助手报销!$R$35&lt;&gt;"","明 细 科 目","")</f>
        <v>明 细 科 目</v>
      </c>
      <c r="F500" s="65"/>
      <c r="G500" s="66"/>
      <c r="H500" s="63"/>
      <c r="I500" s="64"/>
    </row>
    <row r="501" customFormat="false" ht="23.25" hidden="false" customHeight="true" outlineLevel="0" collapsed="false">
      <c r="B501" s="67" t="str">
        <f aca="false">IFERROR(INDEX(分录报销!$M:$M,MATCH($L501,分录报销!$L:$L,0)),"")</f>
        <v>电费</v>
      </c>
      <c r="C501" s="67"/>
      <c r="D501" s="23" t="str">
        <f aca="false">IFERROR(INDEX(分录报销!$E:$E,MATCH($L501,分录报销!$L:$L,0)),"")</f>
        <v>销售费用</v>
      </c>
      <c r="E501" s="23" t="str">
        <f aca="false">IFERROR(INDEX(分录报销!$F:$F,MATCH($L501,分录报销!$L:$L,0)),"")</f>
        <v>电费</v>
      </c>
      <c r="F501" s="68" t="n">
        <f aca="false">IFERROR(INDEX(分录报销!$H:$H,MATCH($L501,分录报销!$L:$L,0)),"")</f>
        <v>600</v>
      </c>
      <c r="G501" s="69" t="str">
        <f aca="false">IFERROR(INDEX(分录报销!$I:$I,MATCH($L501,分录报销!$L:$L,0)),"")</f>
        <v/>
      </c>
      <c r="H501" s="23"/>
      <c r="I501" s="70"/>
      <c r="L501" s="71" t="n">
        <f aca="false">IF(助手报销!$R$35="",-1,助手报销!$R$35*100+(助手报销!$S$35-1)*6+1)</f>
        <v>3201</v>
      </c>
    </row>
    <row r="502" customFormat="false" ht="23.25" hidden="false" customHeight="true" outlineLevel="0" collapsed="false">
      <c r="B502" s="67" t="str">
        <f aca="false">IFERROR(INDEX(分录报销!$M:$M,MATCH($L502,分录报销!$L:$L,0)),"")</f>
        <v>车费</v>
      </c>
      <c r="C502" s="67"/>
      <c r="D502" s="23" t="str">
        <f aca="false">IFERROR(INDEX(分录报销!$E:$E,MATCH($L502,分录报销!$L:$L,0)),"")</f>
        <v>销售费用</v>
      </c>
      <c r="E502" s="23" t="str">
        <f aca="false">IFERROR(INDEX(分录报销!$F:$F,MATCH($L502,分录报销!$L:$L,0)),"")</f>
        <v>福利费</v>
      </c>
      <c r="F502" s="68" t="n">
        <f aca="false">IFERROR(INDEX(分录报销!$H:$H,MATCH($L502,分录报销!$L:$L,0)),"")</f>
        <v>80</v>
      </c>
      <c r="G502" s="69" t="str">
        <f aca="false">IFERROR(INDEX(分录报销!$I:$I,MATCH($L502,分录报销!$L:$L,0)),"")</f>
        <v/>
      </c>
      <c r="H502" s="23"/>
      <c r="I502" s="70"/>
      <c r="L502" s="71" t="n">
        <f aca="false">IF(助手报销!$R$35="",-1,助手报销!$R$35*100+(助手报销!$S$35-1)*6+2)</f>
        <v>3202</v>
      </c>
    </row>
    <row r="503" customFormat="false" ht="23.25" hidden="false" customHeight="true" outlineLevel="0" collapsed="false">
      <c r="B503" s="67" t="str">
        <f aca="false">IFERROR(INDEX(分录报销!$M:$M,MATCH($L503,分录报销!$L:$L,0)),"")</f>
        <v>水费</v>
      </c>
      <c r="C503" s="67"/>
      <c r="D503" s="23" t="str">
        <f aca="false">IFERROR(INDEX(分录报销!$E:$E,MATCH($L503,分录报销!$L:$L,0)),"")</f>
        <v>销售费用</v>
      </c>
      <c r="E503" s="23" t="str">
        <f aca="false">IFERROR(INDEX(分录报销!$F:$F,MATCH($L503,分录报销!$L:$L,0)),"")</f>
        <v>水费</v>
      </c>
      <c r="F503" s="68" t="n">
        <f aca="false">IFERROR(INDEX(分录报销!$H:$H,MATCH($L503,分录报销!$L:$L,0)),"")</f>
        <v>20</v>
      </c>
      <c r="G503" s="69" t="str">
        <f aca="false">IFERROR(INDEX(分录报销!$I:$I,MATCH($L503,分录报销!$L:$L,0)),"")</f>
        <v/>
      </c>
      <c r="H503" s="23"/>
      <c r="I503" s="70"/>
      <c r="L503" s="71" t="n">
        <f aca="false">IF(助手报销!$R$35="",-1,助手报销!$R$35*100+(助手报销!$S$35-1)*6+3)</f>
        <v>3203</v>
      </c>
    </row>
    <row r="504" customFormat="false" ht="23.25" hidden="false" customHeight="true" outlineLevel="0" collapsed="false">
      <c r="B504" s="67" t="str">
        <f aca="false">IFERROR(INDEX(分录报销!$M:$M,MATCH($L504,分录报销!$L:$L,0)),"")</f>
        <v>电话费</v>
      </c>
      <c r="C504" s="67"/>
      <c r="D504" s="23" t="str">
        <f aca="false">IFERROR(INDEX(分录报销!$E:$E,MATCH($L504,分录报销!$L:$L,0)),"")</f>
        <v>销售费用</v>
      </c>
      <c r="E504" s="23" t="str">
        <f aca="false">IFERROR(INDEX(分录报销!$F:$F,MATCH($L504,分录报销!$L:$L,0)),"")</f>
        <v>电话费</v>
      </c>
      <c r="F504" s="68" t="n">
        <f aca="false">IFERROR(INDEX(分录报销!$H:$H,MATCH($L504,分录报销!$L:$L,0)),"")</f>
        <v>100</v>
      </c>
      <c r="G504" s="69" t="str">
        <f aca="false">IFERROR(INDEX(分录报销!$I:$I,MATCH($L504,分录报销!$L:$L,0)),"")</f>
        <v/>
      </c>
      <c r="H504" s="23"/>
      <c r="I504" s="70"/>
      <c r="L504" s="71" t="n">
        <f aca="false">IF(助手报销!$R$35="",-1,助手报销!$R$35*100+(助手报销!$S$35-1)*6+4)</f>
        <v>3204</v>
      </c>
    </row>
    <row r="505" customFormat="false" ht="23.25" hidden="false" customHeight="true" outlineLevel="0" collapsed="false">
      <c r="B505" s="67" t="str">
        <f aca="false">IFERROR(INDEX(分录报销!$M:$M,MATCH($L505,分录报销!$L:$L,0)),"")</f>
        <v/>
      </c>
      <c r="C505" s="67"/>
      <c r="D505" s="23" t="str">
        <f aca="false">IFERROR(INDEX(分录报销!$E:$E,MATCH($L505,分录报销!$L:$L,0)),"")</f>
        <v>库存现金</v>
      </c>
      <c r="E505" s="23" t="str">
        <f aca="false">IFERROR(INDEX(分录报销!$F:$F,MATCH($L505,分录报销!$L:$L,0)),"")</f>
        <v/>
      </c>
      <c r="F505" s="68" t="str">
        <f aca="false">IFERROR(INDEX(分录报销!$H:$H,MATCH($L505,分录报销!$L:$L,0)),"")</f>
        <v/>
      </c>
      <c r="G505" s="69" t="n">
        <f aca="false">IFERROR(INDEX(分录报销!$I:$I,MATCH($L505,分录报销!$L:$L,0)),"")</f>
        <v>800</v>
      </c>
      <c r="H505" s="23"/>
      <c r="I505" s="70"/>
      <c r="L505" s="71" t="n">
        <f aca="false">IF(助手报销!$R$35="",-1,助手报销!$R$35*100+(助手报销!$S$35-1)*6+5)</f>
        <v>3205</v>
      </c>
    </row>
    <row r="506" customFormat="false" ht="23.25" hidden="false" customHeight="true" outlineLevel="0" collapsed="false">
      <c r="B506" s="67" t="str">
        <f aca="false">IFERROR(INDEX(分录报销!$M:$M,MATCH($L506,分录报销!$L:$L,0)),"")</f>
        <v/>
      </c>
      <c r="C506" s="67"/>
      <c r="D506" s="23" t="str">
        <f aca="false">IFERROR(INDEX(分录报销!$E:$E,MATCH($L506,分录报销!$L:$L,0)),"")</f>
        <v/>
      </c>
      <c r="E506" s="23" t="str">
        <f aca="false">IFERROR(INDEX(分录报销!$F:$F,MATCH($L506,分录报销!$L:$L,0)),"")</f>
        <v/>
      </c>
      <c r="F506" s="68" t="str">
        <f aca="false">IFERROR(INDEX(分录报销!$H:$H,MATCH($L506,分录报销!$L:$L,0)),"")</f>
        <v/>
      </c>
      <c r="G506" s="69" t="str">
        <f aca="false">IFERROR(INDEX(分录报销!$I:$I,MATCH($L506,分录报销!$L:$L,0)),"")</f>
        <v/>
      </c>
      <c r="H506" s="23"/>
      <c r="I506" s="70"/>
      <c r="L506" s="71" t="n">
        <f aca="false">IF(助手报销!$R$35="",-1,助手报销!$R$35*100+(助手报销!$S$35-1)*6+6)</f>
        <v>3206</v>
      </c>
    </row>
    <row r="507" customFormat="false" ht="23.25" hidden="false" customHeight="true" outlineLevel="0" collapsed="false">
      <c r="B507" s="72" t="str">
        <f aca="false">IF(助手报销!$T$35=1,"合计：","")</f>
        <v>合计：</v>
      </c>
      <c r="C507" s="73" t="n">
        <f aca="false">IF(助手报销!$T$35=1,$F507,"")</f>
        <v>800</v>
      </c>
      <c r="D507" s="74"/>
      <c r="E507" s="74"/>
      <c r="F507" s="75" t="n">
        <f aca="false">IF(助手报销!$T$35=1,INDEX(助手报销!$N$2:$N$121,助手报销!$R$35),"")</f>
        <v>800</v>
      </c>
      <c r="G507" s="76" t="n">
        <f aca="false">IF(助手报销!$T$35=1,INDEX(助手报销!$O$2:$O$121,助手报销!$R$35),"")</f>
        <v>800</v>
      </c>
      <c r="H507" s="74"/>
      <c r="I507" s="77"/>
    </row>
    <row r="508" customFormat="false" ht="6" hidden="false" customHeight="true" outlineLevel="0" collapsed="false"/>
    <row r="509" customFormat="false" ht="13.5" hidden="false" customHeight="false" outlineLevel="0" collapsed="false">
      <c r="B509" s="78" t="str">
        <f aca="false">IF(助手报销!$R$35&lt;&gt;"","会计主管：","")</f>
        <v>会计主管：</v>
      </c>
      <c r="D509" s="78" t="str">
        <f aca="false">IF(助手报销!$R$35&lt;&gt;"","会计：","")</f>
        <v>会计：</v>
      </c>
      <c r="E509" s="78" t="str">
        <f aca="false">IF(助手报销!$R$35&lt;&gt;"","出纳：","")</f>
        <v>出纳：</v>
      </c>
      <c r="F509" s="78" t="str">
        <f aca="false">IF(助手报销!$R$35&lt;&gt;"","复核：","")</f>
        <v>复核：</v>
      </c>
      <c r="G509" s="78" t="str">
        <f aca="false">IF(助手报销!$R$35&lt;&gt;"","制单：","")</f>
        <v>制单：</v>
      </c>
    </row>
    <row r="510" customFormat="false" ht="3" hidden="false" customHeight="true" outlineLevel="0" collapsed="false"/>
    <row r="511" customFormat="false" ht="19.5" hidden="false" customHeight="true" outlineLevel="0" collapsed="false">
      <c r="B511" s="53" t="str">
        <f aca="false">IF(助手报销!$R$36&lt;&gt;"","记  账  凭  证","")</f>
        <v>记  账  凭  证</v>
      </c>
      <c r="C511" s="53"/>
      <c r="D511" s="53"/>
      <c r="E511" s="53"/>
      <c r="F511" s="53"/>
      <c r="G511" s="53"/>
      <c r="H511" s="53"/>
      <c r="I511" s="53"/>
    </row>
    <row r="512" customFormat="false" ht="3" hidden="false" customHeight="true" outlineLevel="0" collapsed="false"/>
    <row r="513" customFormat="false" ht="15" hidden="false" customHeight="true" outlineLevel="0" collapsed="false">
      <c r="C513" s="56" t="str">
        <f aca="false">IF(助手报销!$R$36&lt;&gt;"",INDEX(助手报销!$B$2:$B$121,助手报销!$R$36),"")</f>
        <v/>
      </c>
      <c r="D513" s="57" t="n">
        <f aca="false">IF(助手报销!$R$36&lt;&gt;"",INDEX(助手报销!$D$2:$D$121,助手报销!$R$36),"")</f>
        <v>46265</v>
      </c>
      <c r="E513" s="57"/>
      <c r="F513" s="58" t="str">
        <f aca="false">IF(助手报销!$R$36&lt;&gt;"",INDEX(助手报销!$C$2:$C$121,助手报销!$R$36)&amp;"  字第 "&amp;IF(参数!$B$9="是",INDEX(助手报销!$P$2:$P$121,助手报销!$R$36),"　　　　")&amp;" 号"&amp;IF(INDEX(助手报销!$L$2:$L$121,助手报销!$R$36)&gt;1,"  (共"&amp;INDEX(助手报销!$L$2:$L$121,助手报销!$R$36)&amp;"页 第"&amp;助手报销!$S$36&amp;"页)",""),"")</f>
        <v>西范村店  字第 　　　　 号</v>
      </c>
      <c r="G513" s="58"/>
      <c r="H513" s="58"/>
      <c r="I513" s="58"/>
      <c r="M513" s="59" t="n">
        <f aca="false">IF(助手报销!$R$36="","",助手报销!$Q$36)</f>
        <v>35</v>
      </c>
      <c r="N513" s="60" t="n">
        <f aca="false">IF(助手报销!$R$36="","",INDEX(助手报销!$P$2:$P$121,助手报销!$R$36))</f>
        <v>33</v>
      </c>
      <c r="O513" s="55" t="str">
        <f aca="false">IF(助手报销!$R$36="","",INDEX(助手报销!$C$2:$C$121,助手报销!$R$36)&amp;"  字第 "&amp;INDEX(助手报销!$P$2:$P$121,助手报销!$R$36)&amp;" 号"&amp;IF(INDEX(助手报销!$L$2:$L$121,助手报销!$R$36)&gt;1,"  (共"&amp;INDEX(助手报销!$L$2:$L$121,助手报销!$R$36)&amp;"页 第"&amp;助手报销!$S$36&amp;"页)",""))</f>
        <v>西范村店  字第 33 号</v>
      </c>
    </row>
    <row r="514" customFormat="false" ht="12.75" hidden="false" customHeight="true" outlineLevel="0" collapsed="false">
      <c r="B514" s="61" t="str">
        <f aca="false">IF(助手报销!$R$36&lt;&gt;"","摘　　要","")</f>
        <v>摘　　要</v>
      </c>
      <c r="C514" s="61"/>
      <c r="D514" s="62" t="str">
        <f aca="false">IF(助手报销!$R$36&lt;&gt;"","科　　　　目","")</f>
        <v>科　　　　目</v>
      </c>
      <c r="E514" s="62"/>
      <c r="F514" s="61" t="str">
        <f aca="false">IF(助手报销!$R$36&lt;&gt;"","借 方 金 额","")</f>
        <v>借 方 金 额</v>
      </c>
      <c r="G514" s="62" t="str">
        <f aca="false">IF(助手报销!$R$36&lt;&gt;"","贷 方 金 额","")</f>
        <v>贷 方 金 额</v>
      </c>
      <c r="H514" s="63" t="str">
        <f aca="false">IF(助手报销!$R$36&lt;&gt;"","√","")</f>
        <v>√</v>
      </c>
      <c r="I514" s="64" t="str">
        <f aca="false">IF(助手报销!$R$36&lt;&gt;"","附单据  张","")</f>
        <v>附单据  张</v>
      </c>
    </row>
    <row r="515" customFormat="false" ht="12.75" hidden="false" customHeight="true" outlineLevel="0" collapsed="false">
      <c r="B515" s="61"/>
      <c r="C515" s="61"/>
      <c r="D515" s="23" t="str">
        <f aca="false">IF(助手报销!$R$36&lt;&gt;"","总 账 科 目","")</f>
        <v>总 账 科 目</v>
      </c>
      <c r="E515" s="23" t="str">
        <f aca="false">IF(助手报销!$R$36&lt;&gt;"","明 细 科 目","")</f>
        <v>明 细 科 目</v>
      </c>
      <c r="F515" s="65"/>
      <c r="G515" s="66"/>
      <c r="H515" s="63"/>
      <c r="I515" s="64"/>
    </row>
    <row r="516" customFormat="false" ht="23.25" hidden="false" customHeight="true" outlineLevel="0" collapsed="false">
      <c r="B516" s="67" t="str">
        <f aca="false">IFERROR(INDEX(分录报销!$M:$M,MATCH($L516,分录报销!$L:$L,0)),"")</f>
        <v>水费</v>
      </c>
      <c r="C516" s="67"/>
      <c r="D516" s="23" t="str">
        <f aca="false">IFERROR(INDEX(分录报销!$E:$E,MATCH($L516,分录报销!$L:$L,0)),"")</f>
        <v>销售费用</v>
      </c>
      <c r="E516" s="23" t="str">
        <f aca="false">IFERROR(INDEX(分录报销!$F:$F,MATCH($L516,分录报销!$L:$L,0)),"")</f>
        <v>水费</v>
      </c>
      <c r="F516" s="68" t="n">
        <f aca="false">IFERROR(INDEX(分录报销!$H:$H,MATCH($L516,分录报销!$L:$L,0)),"")</f>
        <v>25</v>
      </c>
      <c r="G516" s="69" t="str">
        <f aca="false">IFERROR(INDEX(分录报销!$I:$I,MATCH($L516,分录报销!$L:$L,0)),"")</f>
        <v/>
      </c>
      <c r="H516" s="23"/>
      <c r="I516" s="70"/>
      <c r="L516" s="71" t="n">
        <f aca="false">IF(助手报销!$R$36="",-1,助手报销!$R$36*100+(助手报销!$S$36-1)*6+1)</f>
        <v>3301</v>
      </c>
    </row>
    <row r="517" customFormat="false" ht="23.25" hidden="false" customHeight="true" outlineLevel="0" collapsed="false">
      <c r="B517" s="67" t="str">
        <f aca="false">IFERROR(INDEX(分录报销!$M:$M,MATCH($L517,分录报销!$L:$L,0)),"")</f>
        <v>灯管</v>
      </c>
      <c r="C517" s="67"/>
      <c r="D517" s="23" t="str">
        <f aca="false">IFERROR(INDEX(分录报销!$E:$E,MATCH($L517,分录报销!$L:$L,0)),"")</f>
        <v>销售费用</v>
      </c>
      <c r="E517" s="23" t="str">
        <f aca="false">IFERROR(INDEX(分录报销!$F:$F,MATCH($L517,分录报销!$L:$L,0)),"")</f>
        <v>办公费</v>
      </c>
      <c r="F517" s="68" t="n">
        <f aca="false">IFERROR(INDEX(分录报销!$H:$H,MATCH($L517,分录报销!$L:$L,0)),"")</f>
        <v>45</v>
      </c>
      <c r="G517" s="69" t="str">
        <f aca="false">IFERROR(INDEX(分录报销!$I:$I,MATCH($L517,分录报销!$L:$L,0)),"")</f>
        <v/>
      </c>
      <c r="H517" s="23"/>
      <c r="I517" s="70"/>
      <c r="L517" s="71" t="n">
        <f aca="false">IF(助手报销!$R$36="",-1,助手报销!$R$36*100+(助手报销!$S$36-1)*6+2)</f>
        <v>3302</v>
      </c>
    </row>
    <row r="518" customFormat="false" ht="23.25" hidden="false" customHeight="true" outlineLevel="0" collapsed="false">
      <c r="B518" s="67" t="str">
        <f aca="false">IFERROR(INDEX(分录报销!$M:$M,MATCH($L518,分录报销!$L:$L,0)),"")</f>
        <v>水费</v>
      </c>
      <c r="C518" s="67"/>
      <c r="D518" s="23" t="str">
        <f aca="false">IFERROR(INDEX(分录报销!$E:$E,MATCH($L518,分录报销!$L:$L,0)),"")</f>
        <v>销售费用</v>
      </c>
      <c r="E518" s="23" t="str">
        <f aca="false">IFERROR(INDEX(分录报销!$F:$F,MATCH($L518,分录报销!$L:$L,0)),"")</f>
        <v>水费</v>
      </c>
      <c r="F518" s="68" t="n">
        <f aca="false">IFERROR(INDEX(分录报销!$H:$H,MATCH($L518,分录报销!$L:$L,0)),"")</f>
        <v>7.98</v>
      </c>
      <c r="G518" s="69" t="str">
        <f aca="false">IFERROR(INDEX(分录报销!$I:$I,MATCH($L518,分录报销!$L:$L,0)),"")</f>
        <v/>
      </c>
      <c r="H518" s="23"/>
      <c r="I518" s="70"/>
      <c r="L518" s="71" t="n">
        <f aca="false">IF(助手报销!$R$36="",-1,助手报销!$R$36*100+(助手报销!$S$36-1)*6+3)</f>
        <v>3303</v>
      </c>
    </row>
    <row r="519" customFormat="false" ht="23.25" hidden="false" customHeight="true" outlineLevel="0" collapsed="false">
      <c r="B519" s="67" t="str">
        <f aca="false">IFERROR(INDEX(分录报销!$M:$M,MATCH($L519,分录报销!$L:$L,0)),"")</f>
        <v>电费</v>
      </c>
      <c r="C519" s="67"/>
      <c r="D519" s="23" t="str">
        <f aca="false">IFERROR(INDEX(分录报销!$E:$E,MATCH($L519,分录报销!$L:$L,0)),"")</f>
        <v>销售费用</v>
      </c>
      <c r="E519" s="23" t="str">
        <f aca="false">IFERROR(INDEX(分录报销!$F:$F,MATCH($L519,分录报销!$L:$L,0)),"")</f>
        <v>电费</v>
      </c>
      <c r="F519" s="68" t="n">
        <f aca="false">IFERROR(INDEX(分录报销!$H:$H,MATCH($L519,分录报销!$L:$L,0)),"")</f>
        <v>600</v>
      </c>
      <c r="G519" s="69" t="str">
        <f aca="false">IFERROR(INDEX(分录报销!$I:$I,MATCH($L519,分录报销!$L:$L,0)),"")</f>
        <v/>
      </c>
      <c r="H519" s="23"/>
      <c r="I519" s="70"/>
      <c r="L519" s="71" t="n">
        <f aca="false">IF(助手报销!$R$36="",-1,助手报销!$R$36*100+(助手报销!$S$36-1)*6+4)</f>
        <v>3304</v>
      </c>
    </row>
    <row r="520" customFormat="false" ht="23.25" hidden="false" customHeight="true" outlineLevel="0" collapsed="false">
      <c r="B520" s="67" t="str">
        <f aca="false">IFERROR(INDEX(分录报销!$M:$M,MATCH($L520,分录报销!$L:$L,0)),"")</f>
        <v/>
      </c>
      <c r="C520" s="67"/>
      <c r="D520" s="23" t="str">
        <f aca="false">IFERROR(INDEX(分录报销!$E:$E,MATCH($L520,分录报销!$L:$L,0)),"")</f>
        <v>库存现金</v>
      </c>
      <c r="E520" s="23" t="str">
        <f aca="false">IFERROR(INDEX(分录报销!$F:$F,MATCH($L520,分录报销!$L:$L,0)),"")</f>
        <v/>
      </c>
      <c r="F520" s="68" t="str">
        <f aca="false">IFERROR(INDEX(分录报销!$H:$H,MATCH($L520,分录报销!$L:$L,0)),"")</f>
        <v/>
      </c>
      <c r="G520" s="69" t="n">
        <f aca="false">IFERROR(INDEX(分录报销!$I:$I,MATCH($L520,分录报销!$L:$L,0)),"")</f>
        <v>677.98</v>
      </c>
      <c r="H520" s="23"/>
      <c r="I520" s="70"/>
      <c r="L520" s="71" t="n">
        <f aca="false">IF(助手报销!$R$36="",-1,助手报销!$R$36*100+(助手报销!$S$36-1)*6+5)</f>
        <v>3305</v>
      </c>
    </row>
    <row r="521" customFormat="false" ht="23.25" hidden="false" customHeight="true" outlineLevel="0" collapsed="false">
      <c r="B521" s="67" t="str">
        <f aca="false">IFERROR(INDEX(分录报销!$M:$M,MATCH($L521,分录报销!$L:$L,0)),"")</f>
        <v/>
      </c>
      <c r="C521" s="67"/>
      <c r="D521" s="23" t="str">
        <f aca="false">IFERROR(INDEX(分录报销!$E:$E,MATCH($L521,分录报销!$L:$L,0)),"")</f>
        <v/>
      </c>
      <c r="E521" s="23" t="str">
        <f aca="false">IFERROR(INDEX(分录报销!$F:$F,MATCH($L521,分录报销!$L:$L,0)),"")</f>
        <v/>
      </c>
      <c r="F521" s="68" t="str">
        <f aca="false">IFERROR(INDEX(分录报销!$H:$H,MATCH($L521,分录报销!$L:$L,0)),"")</f>
        <v/>
      </c>
      <c r="G521" s="69" t="str">
        <f aca="false">IFERROR(INDEX(分录报销!$I:$I,MATCH($L521,分录报销!$L:$L,0)),"")</f>
        <v/>
      </c>
      <c r="H521" s="23"/>
      <c r="I521" s="70"/>
      <c r="L521" s="71" t="n">
        <f aca="false">IF(助手报销!$R$36="",-1,助手报销!$R$36*100+(助手报销!$S$36-1)*6+6)</f>
        <v>3306</v>
      </c>
    </row>
    <row r="522" customFormat="false" ht="23.25" hidden="false" customHeight="true" outlineLevel="0" collapsed="false">
      <c r="B522" s="72" t="str">
        <f aca="false">IF(助手报销!$T$36=1,"合计：","")</f>
        <v>合计：</v>
      </c>
      <c r="C522" s="73" t="n">
        <f aca="false">IF(助手报销!$T$36=1,$F522,"")</f>
        <v>677.98</v>
      </c>
      <c r="D522" s="74"/>
      <c r="E522" s="74"/>
      <c r="F522" s="75" t="n">
        <f aca="false">IF(助手报销!$T$36=1,INDEX(助手报销!$N$2:$N$121,助手报销!$R$36),"")</f>
        <v>677.98</v>
      </c>
      <c r="G522" s="76" t="n">
        <f aca="false">IF(助手报销!$T$36=1,INDEX(助手报销!$O$2:$O$121,助手报销!$R$36),"")</f>
        <v>677.98</v>
      </c>
      <c r="H522" s="74"/>
      <c r="I522" s="77"/>
    </row>
    <row r="523" customFormat="false" ht="6" hidden="false" customHeight="true" outlineLevel="0" collapsed="false"/>
    <row r="524" customFormat="false" ht="13.5" hidden="false" customHeight="false" outlineLevel="0" collapsed="false">
      <c r="B524" s="78" t="str">
        <f aca="false">IF(助手报销!$R$36&lt;&gt;"","会计主管：","")</f>
        <v>会计主管：</v>
      </c>
      <c r="D524" s="78" t="str">
        <f aca="false">IF(助手报销!$R$36&lt;&gt;"","会计：","")</f>
        <v>会计：</v>
      </c>
      <c r="E524" s="78" t="str">
        <f aca="false">IF(助手报销!$R$36&lt;&gt;"","出纳：","")</f>
        <v>出纳：</v>
      </c>
      <c r="F524" s="78" t="str">
        <f aca="false">IF(助手报销!$R$36&lt;&gt;"","复核：","")</f>
        <v>复核：</v>
      </c>
      <c r="G524" s="78" t="str">
        <f aca="false">IF(助手报销!$R$36&lt;&gt;"","制单：","")</f>
        <v>制单：</v>
      </c>
    </row>
    <row r="525" customFormat="false" ht="3" hidden="false" customHeight="true" outlineLevel="0" collapsed="false"/>
    <row r="526" customFormat="false" ht="19.5" hidden="false" customHeight="true" outlineLevel="0" collapsed="false">
      <c r="B526" s="53" t="str">
        <f aca="false">IF(助手报销!$R$37&lt;&gt;"","记  账  凭  证","")</f>
        <v>记  账  凭  证</v>
      </c>
      <c r="C526" s="53"/>
      <c r="D526" s="53"/>
      <c r="E526" s="53"/>
      <c r="F526" s="53"/>
      <c r="G526" s="53"/>
      <c r="H526" s="53"/>
      <c r="I526" s="53"/>
    </row>
    <row r="527" customFormat="false" ht="3" hidden="false" customHeight="true" outlineLevel="0" collapsed="false"/>
    <row r="528" customFormat="false" ht="15" hidden="false" customHeight="true" outlineLevel="0" collapsed="false">
      <c r="C528" s="56" t="str">
        <f aca="false">IF(助手报销!$R$37&lt;&gt;"",INDEX(助手报销!$B$2:$B$121,助手报销!$R$37),"")</f>
        <v/>
      </c>
      <c r="D528" s="57" t="n">
        <f aca="false">IF(助手报销!$R$37&lt;&gt;"",INDEX(助手报销!$D$2:$D$121,助手报销!$R$37),"")</f>
        <v>46265</v>
      </c>
      <c r="E528" s="57"/>
      <c r="F528" s="58" t="str">
        <f aca="false">IF(助手报销!$R$37&lt;&gt;"",INDEX(助手报销!$C$2:$C$121,助手报销!$R$37)&amp;"  字第 "&amp;IF(参数!$B$9="是",INDEX(助手报销!$P$2:$P$121,助手报销!$R$37),"　　　　")&amp;" 号"&amp;IF(INDEX(助手报销!$L$2:$L$121,助手报销!$R$37)&gt;1,"  (共"&amp;INDEX(助手报销!$L$2:$L$121,助手报销!$R$37)&amp;"页 第"&amp;助手报销!$S$37&amp;"页)",""),"")</f>
        <v>博医店  字第 　　　　 号</v>
      </c>
      <c r="G528" s="58"/>
      <c r="H528" s="58"/>
      <c r="I528" s="58"/>
      <c r="M528" s="59" t="n">
        <f aca="false">IF(助手报销!$R$37="","",助手报销!$Q$37)</f>
        <v>36</v>
      </c>
      <c r="N528" s="60" t="n">
        <f aca="false">IF(助手报销!$R$37="","",INDEX(助手报销!$P$2:$P$121,助手报销!$R$37))</f>
        <v>34</v>
      </c>
      <c r="O528" s="55" t="str">
        <f aca="false">IF(助手报销!$R$37="","",INDEX(助手报销!$C$2:$C$121,助手报销!$R$37)&amp;"  字第 "&amp;INDEX(助手报销!$P$2:$P$121,助手报销!$R$37)&amp;" 号"&amp;IF(INDEX(助手报销!$L$2:$L$121,助手报销!$R$37)&gt;1,"  (共"&amp;INDEX(助手报销!$L$2:$L$121,助手报销!$R$37)&amp;"页 第"&amp;助手报销!$S$37&amp;"页)",""))</f>
        <v>博医店  字第 34 号</v>
      </c>
    </row>
    <row r="529" customFormat="false" ht="12.75" hidden="false" customHeight="true" outlineLevel="0" collapsed="false">
      <c r="B529" s="61" t="str">
        <f aca="false">IF(助手报销!$R$37&lt;&gt;"","摘　　要","")</f>
        <v>摘　　要</v>
      </c>
      <c r="C529" s="61"/>
      <c r="D529" s="62" t="str">
        <f aca="false">IF(助手报销!$R$37&lt;&gt;"","科　　　　目","")</f>
        <v>科　　　　目</v>
      </c>
      <c r="E529" s="62"/>
      <c r="F529" s="61" t="str">
        <f aca="false">IF(助手报销!$R$37&lt;&gt;"","借 方 金 额","")</f>
        <v>借 方 金 额</v>
      </c>
      <c r="G529" s="62" t="str">
        <f aca="false">IF(助手报销!$R$37&lt;&gt;"","贷 方 金 额","")</f>
        <v>贷 方 金 额</v>
      </c>
      <c r="H529" s="63" t="str">
        <f aca="false">IF(助手报销!$R$37&lt;&gt;"","√","")</f>
        <v>√</v>
      </c>
      <c r="I529" s="64" t="str">
        <f aca="false">IF(助手报销!$R$37&lt;&gt;"","附单据  张","")</f>
        <v>附单据  张</v>
      </c>
    </row>
    <row r="530" customFormat="false" ht="12.75" hidden="false" customHeight="true" outlineLevel="0" collapsed="false">
      <c r="B530" s="61"/>
      <c r="C530" s="61"/>
      <c r="D530" s="23" t="str">
        <f aca="false">IF(助手报销!$R$37&lt;&gt;"","总 账 科 目","")</f>
        <v>总 账 科 目</v>
      </c>
      <c r="E530" s="23" t="str">
        <f aca="false">IF(助手报销!$R$37&lt;&gt;"","明 细 科 目","")</f>
        <v>明 细 科 目</v>
      </c>
      <c r="F530" s="65"/>
      <c r="G530" s="66"/>
      <c r="H530" s="63"/>
      <c r="I530" s="64"/>
    </row>
    <row r="531" customFormat="false" ht="23.25" hidden="false" customHeight="true" outlineLevel="0" collapsed="false">
      <c r="B531" s="67" t="str">
        <f aca="false">IFERROR(INDEX(分录报销!$M:$M,MATCH($L531,分录报销!$L:$L,0)),"")</f>
        <v>色带扫描盒</v>
      </c>
      <c r="C531" s="67"/>
      <c r="D531" s="23" t="str">
        <f aca="false">IFERROR(INDEX(分录报销!$E:$E,MATCH($L531,分录报销!$L:$L,0)),"")</f>
        <v>销售费用</v>
      </c>
      <c r="E531" s="23" t="str">
        <f aca="false">IFERROR(INDEX(分录报销!$F:$F,MATCH($L531,分录报销!$L:$L,0)),"")</f>
        <v>办公费</v>
      </c>
      <c r="F531" s="68" t="n">
        <f aca="false">IFERROR(INDEX(分录报销!$H:$H,MATCH($L531,分录报销!$L:$L,0)),"")</f>
        <v>145</v>
      </c>
      <c r="G531" s="69" t="str">
        <f aca="false">IFERROR(INDEX(分录报销!$I:$I,MATCH($L531,分录报销!$L:$L,0)),"")</f>
        <v/>
      </c>
      <c r="H531" s="23"/>
      <c r="I531" s="70"/>
      <c r="L531" s="71" t="n">
        <f aca="false">IF(助手报销!$R$37="",-1,助手报销!$R$37*100+(助手报销!$S$37-1)*6+1)</f>
        <v>3401</v>
      </c>
    </row>
    <row r="532" customFormat="false" ht="23.25" hidden="false" customHeight="true" outlineLevel="0" collapsed="false">
      <c r="B532" s="67" t="str">
        <f aca="false">IFERROR(INDEX(分录报销!$M:$M,MATCH($L532,分录报销!$L:$L,0)),"")</f>
        <v>电费</v>
      </c>
      <c r="C532" s="67"/>
      <c r="D532" s="23" t="str">
        <f aca="false">IFERROR(INDEX(分录报销!$E:$E,MATCH($L532,分录报销!$L:$L,0)),"")</f>
        <v>销售费用</v>
      </c>
      <c r="E532" s="23" t="str">
        <f aca="false">IFERROR(INDEX(分录报销!$F:$F,MATCH($L532,分录报销!$L:$L,0)),"")</f>
        <v>电费</v>
      </c>
      <c r="F532" s="68" t="n">
        <f aca="false">IFERROR(INDEX(分录报销!$H:$H,MATCH($L532,分录报销!$L:$L,0)),"")</f>
        <v>1000</v>
      </c>
      <c r="G532" s="69" t="str">
        <f aca="false">IFERROR(INDEX(分录报销!$I:$I,MATCH($L532,分录报销!$L:$L,0)),"")</f>
        <v/>
      </c>
      <c r="H532" s="23"/>
      <c r="I532" s="70"/>
      <c r="L532" s="71" t="n">
        <f aca="false">IF(助手报销!$R$37="",-1,助手报销!$R$37*100+(助手报销!$S$37-1)*6+2)</f>
        <v>3402</v>
      </c>
    </row>
    <row r="533" customFormat="false" ht="23.25" hidden="false" customHeight="true" outlineLevel="0" collapsed="false">
      <c r="B533" s="67" t="str">
        <f aca="false">IFERROR(INDEX(分录报销!$M:$M,MATCH($L533,分录报销!$L:$L,0)),"")</f>
        <v>水费</v>
      </c>
      <c r="C533" s="67"/>
      <c r="D533" s="23" t="str">
        <f aca="false">IFERROR(INDEX(分录报销!$E:$E,MATCH($L533,分录报销!$L:$L,0)),"")</f>
        <v>销售费用</v>
      </c>
      <c r="E533" s="23" t="str">
        <f aca="false">IFERROR(INDEX(分录报销!$F:$F,MATCH($L533,分录报销!$L:$L,0)),"")</f>
        <v>水费</v>
      </c>
      <c r="F533" s="68" t="n">
        <f aca="false">IFERROR(INDEX(分录报销!$H:$H,MATCH($L533,分录报销!$L:$L,0)),"")</f>
        <v>13</v>
      </c>
      <c r="G533" s="69" t="str">
        <f aca="false">IFERROR(INDEX(分录报销!$I:$I,MATCH($L533,分录报销!$L:$L,0)),"")</f>
        <v/>
      </c>
      <c r="H533" s="23"/>
      <c r="I533" s="70"/>
      <c r="L533" s="71" t="n">
        <f aca="false">IF(助手报销!$R$37="",-1,助手报销!$R$37*100+(助手报销!$S$37-1)*6+3)</f>
        <v>3403</v>
      </c>
    </row>
    <row r="534" customFormat="false" ht="23.25" hidden="false" customHeight="true" outlineLevel="0" collapsed="false">
      <c r="B534" s="67" t="str">
        <f aca="false">IFERROR(INDEX(分录报销!$M:$M,MATCH($L534,分录报销!$L:$L,0)),"")</f>
        <v>微信提现费</v>
      </c>
      <c r="C534" s="67"/>
      <c r="D534" s="23" t="str">
        <f aca="false">IFERROR(INDEX(分录报销!$E:$E,MATCH($L534,分录报销!$L:$L,0)),"")</f>
        <v>财务费用</v>
      </c>
      <c r="E534" s="23" t="str">
        <f aca="false">IFERROR(INDEX(分录报销!$F:$F,MATCH($L534,分录报销!$L:$L,0)),"")</f>
        <v>手续费</v>
      </c>
      <c r="F534" s="68" t="n">
        <f aca="false">IFERROR(INDEX(分录报销!$H:$H,MATCH($L534,分录报销!$L:$L,0)),"")</f>
        <v>35.7</v>
      </c>
      <c r="G534" s="69" t="str">
        <f aca="false">IFERROR(INDEX(分录报销!$I:$I,MATCH($L534,分录报销!$L:$L,0)),"")</f>
        <v/>
      </c>
      <c r="H534" s="23"/>
      <c r="I534" s="70"/>
      <c r="L534" s="71" t="n">
        <f aca="false">IF(助手报销!$R$37="",-1,助手报销!$R$37*100+(助手报销!$S$37-1)*6+4)</f>
        <v>3404</v>
      </c>
    </row>
    <row r="535" customFormat="false" ht="23.25" hidden="false" customHeight="true" outlineLevel="0" collapsed="false">
      <c r="B535" s="67" t="str">
        <f aca="false">IFERROR(INDEX(分录报销!$M:$M,MATCH($L535,分录报销!$L:$L,0)),"")</f>
        <v/>
      </c>
      <c r="C535" s="67"/>
      <c r="D535" s="23" t="str">
        <f aca="false">IFERROR(INDEX(分录报销!$E:$E,MATCH($L535,分录报销!$L:$L,0)),"")</f>
        <v>库存现金</v>
      </c>
      <c r="E535" s="23" t="str">
        <f aca="false">IFERROR(INDEX(分录报销!$F:$F,MATCH($L535,分录报销!$L:$L,0)),"")</f>
        <v/>
      </c>
      <c r="F535" s="68" t="str">
        <f aca="false">IFERROR(INDEX(分录报销!$H:$H,MATCH($L535,分录报销!$L:$L,0)),"")</f>
        <v/>
      </c>
      <c r="G535" s="69" t="n">
        <f aca="false">IFERROR(INDEX(分录报销!$I:$I,MATCH($L535,分录报销!$L:$L,0)),"")</f>
        <v>1193.7</v>
      </c>
      <c r="H535" s="23"/>
      <c r="I535" s="70"/>
      <c r="L535" s="71" t="n">
        <f aca="false">IF(助手报销!$R$37="",-1,助手报销!$R$37*100+(助手报销!$S$37-1)*6+5)</f>
        <v>3405</v>
      </c>
    </row>
    <row r="536" customFormat="false" ht="23.25" hidden="false" customHeight="true" outlineLevel="0" collapsed="false">
      <c r="B536" s="67" t="str">
        <f aca="false">IFERROR(INDEX(分录报销!$M:$M,MATCH($L536,分录报销!$L:$L,0)),"")</f>
        <v/>
      </c>
      <c r="C536" s="67"/>
      <c r="D536" s="23" t="str">
        <f aca="false">IFERROR(INDEX(分录报销!$E:$E,MATCH($L536,分录报销!$L:$L,0)),"")</f>
        <v/>
      </c>
      <c r="E536" s="23" t="str">
        <f aca="false">IFERROR(INDEX(分录报销!$F:$F,MATCH($L536,分录报销!$L:$L,0)),"")</f>
        <v/>
      </c>
      <c r="F536" s="68" t="str">
        <f aca="false">IFERROR(INDEX(分录报销!$H:$H,MATCH($L536,分录报销!$L:$L,0)),"")</f>
        <v/>
      </c>
      <c r="G536" s="69" t="str">
        <f aca="false">IFERROR(INDEX(分录报销!$I:$I,MATCH($L536,分录报销!$L:$L,0)),"")</f>
        <v/>
      </c>
      <c r="H536" s="23"/>
      <c r="I536" s="70"/>
      <c r="L536" s="71" t="n">
        <f aca="false">IF(助手报销!$R$37="",-1,助手报销!$R$37*100+(助手报销!$S$37-1)*6+6)</f>
        <v>3406</v>
      </c>
    </row>
    <row r="537" customFormat="false" ht="23.25" hidden="false" customHeight="true" outlineLevel="0" collapsed="false">
      <c r="B537" s="72" t="str">
        <f aca="false">IF(助手报销!$T$37=1,"合计：","")</f>
        <v>合计：</v>
      </c>
      <c r="C537" s="73" t="n">
        <f aca="false">IF(助手报销!$T$37=1,$F537,"")</f>
        <v>1193.7</v>
      </c>
      <c r="D537" s="74"/>
      <c r="E537" s="74"/>
      <c r="F537" s="75" t="n">
        <f aca="false">IF(助手报销!$T$37=1,INDEX(助手报销!$N$2:$N$121,助手报销!$R$37),"")</f>
        <v>1193.7</v>
      </c>
      <c r="G537" s="76" t="n">
        <f aca="false">IF(助手报销!$T$37=1,INDEX(助手报销!$O$2:$O$121,助手报销!$R$37),"")</f>
        <v>1193.7</v>
      </c>
      <c r="H537" s="74"/>
      <c r="I537" s="77"/>
    </row>
    <row r="538" customFormat="false" ht="6" hidden="false" customHeight="true" outlineLevel="0" collapsed="false"/>
    <row r="539" customFormat="false" ht="13.5" hidden="false" customHeight="false" outlineLevel="0" collapsed="false">
      <c r="B539" s="78" t="str">
        <f aca="false">IF(助手报销!$R$37&lt;&gt;"","会计主管：","")</f>
        <v>会计主管：</v>
      </c>
      <c r="D539" s="78" t="str">
        <f aca="false">IF(助手报销!$R$37&lt;&gt;"","会计：","")</f>
        <v>会计：</v>
      </c>
      <c r="E539" s="78" t="str">
        <f aca="false">IF(助手报销!$R$37&lt;&gt;"","出纳：","")</f>
        <v>出纳：</v>
      </c>
      <c r="F539" s="78" t="str">
        <f aca="false">IF(助手报销!$R$37&lt;&gt;"","复核：","")</f>
        <v>复核：</v>
      </c>
      <c r="G539" s="78" t="str">
        <f aca="false">IF(助手报销!$R$37&lt;&gt;"","制单：","")</f>
        <v>制单：</v>
      </c>
    </row>
    <row r="540" customFormat="false" ht="3" hidden="false" customHeight="true" outlineLevel="0" collapsed="false"/>
    <row r="541" customFormat="false" ht="19.5" hidden="false" customHeight="true" outlineLevel="0" collapsed="false">
      <c r="B541" s="53" t="str">
        <f aca="false">IF(助手报销!$R$38&lt;&gt;"","记  账  凭  证","")</f>
        <v>记  账  凭  证</v>
      </c>
      <c r="C541" s="53"/>
      <c r="D541" s="53"/>
      <c r="E541" s="53"/>
      <c r="F541" s="53"/>
      <c r="G541" s="53"/>
      <c r="H541" s="53"/>
      <c r="I541" s="53"/>
    </row>
    <row r="542" customFormat="false" ht="3" hidden="false" customHeight="true" outlineLevel="0" collapsed="false"/>
    <row r="543" customFormat="false" ht="15" hidden="false" customHeight="true" outlineLevel="0" collapsed="false">
      <c r="C543" s="56" t="str">
        <f aca="false">IF(助手报销!$R$38&lt;&gt;"",INDEX(助手报销!$B$2:$B$121,助手报销!$R$38),"")</f>
        <v/>
      </c>
      <c r="D543" s="57" t="n">
        <f aca="false">IF(助手报销!$R$38&lt;&gt;"",INDEX(助手报销!$D$2:$D$121,助手报销!$R$38),"")</f>
        <v>46265</v>
      </c>
      <c r="E543" s="57"/>
      <c r="F543" s="58" t="str">
        <f aca="false">IF(助手报销!$R$38&lt;&gt;"",INDEX(助手报销!$C$2:$C$121,助手报销!$R$38)&amp;"  字第 "&amp;IF(参数!$B$9="是",INDEX(助手报销!$P$2:$P$121,助手报销!$R$38),"　　　　")&amp;" 号"&amp;IF(INDEX(助手报销!$L$2:$L$121,助手报销!$R$38)&gt;1,"  (共"&amp;INDEX(助手报销!$L$2:$L$121,助手报销!$R$38)&amp;"页 第"&amp;助手报销!$S$38&amp;"页)",""),"")</f>
        <v>博实店  字第 　　　　 号</v>
      </c>
      <c r="G543" s="58"/>
      <c r="H543" s="58"/>
      <c r="I543" s="58"/>
      <c r="M543" s="59" t="n">
        <f aca="false">IF(助手报销!$R$38="","",助手报销!$Q$38)</f>
        <v>37</v>
      </c>
      <c r="N543" s="60" t="n">
        <f aca="false">IF(助手报销!$R$38="","",INDEX(助手报销!$P$2:$P$121,助手报销!$R$38))</f>
        <v>35</v>
      </c>
      <c r="O543" s="55" t="str">
        <f aca="false">IF(助手报销!$R$38="","",INDEX(助手报销!$C$2:$C$121,助手报销!$R$38)&amp;"  字第 "&amp;INDEX(助手报销!$P$2:$P$121,助手报销!$R$38)&amp;" 号"&amp;IF(INDEX(助手报销!$L$2:$L$121,助手报销!$R$38)&gt;1,"  (共"&amp;INDEX(助手报销!$L$2:$L$121,助手报销!$R$38)&amp;"页 第"&amp;助手报销!$S$38&amp;"页)",""))</f>
        <v>博实店  字第 35 号</v>
      </c>
    </row>
    <row r="544" customFormat="false" ht="12.75" hidden="false" customHeight="true" outlineLevel="0" collapsed="false">
      <c r="B544" s="61" t="str">
        <f aca="false">IF(助手报销!$R$38&lt;&gt;"","摘　　要","")</f>
        <v>摘　　要</v>
      </c>
      <c r="C544" s="61"/>
      <c r="D544" s="62" t="str">
        <f aca="false">IF(助手报销!$R$38&lt;&gt;"","科　　　　目","")</f>
        <v>科　　　　目</v>
      </c>
      <c r="E544" s="62"/>
      <c r="F544" s="61" t="str">
        <f aca="false">IF(助手报销!$R$38&lt;&gt;"","借 方 金 额","")</f>
        <v>借 方 金 额</v>
      </c>
      <c r="G544" s="62" t="str">
        <f aca="false">IF(助手报销!$R$38&lt;&gt;"","贷 方 金 额","")</f>
        <v>贷 方 金 额</v>
      </c>
      <c r="H544" s="63" t="str">
        <f aca="false">IF(助手报销!$R$38&lt;&gt;"","√","")</f>
        <v>√</v>
      </c>
      <c r="I544" s="64" t="str">
        <f aca="false">IF(助手报销!$R$38&lt;&gt;"","附单据  张","")</f>
        <v>附单据  张</v>
      </c>
    </row>
    <row r="545" customFormat="false" ht="12.75" hidden="false" customHeight="true" outlineLevel="0" collapsed="false">
      <c r="B545" s="61"/>
      <c r="C545" s="61"/>
      <c r="D545" s="23" t="str">
        <f aca="false">IF(助手报销!$R$38&lt;&gt;"","总 账 科 目","")</f>
        <v>总 账 科 目</v>
      </c>
      <c r="E545" s="23" t="str">
        <f aca="false">IF(助手报销!$R$38&lt;&gt;"","明 细 科 目","")</f>
        <v>明 细 科 目</v>
      </c>
      <c r="F545" s="65"/>
      <c r="G545" s="66"/>
      <c r="H545" s="63"/>
      <c r="I545" s="64"/>
    </row>
    <row r="546" customFormat="false" ht="23.25" hidden="false" customHeight="true" outlineLevel="0" collapsed="false">
      <c r="B546" s="67" t="str">
        <f aca="false">IFERROR(INDEX(分录报销!$M:$M,MATCH($L546,分录报销!$L:$L,0)),"")</f>
        <v>电费</v>
      </c>
      <c r="C546" s="67"/>
      <c r="D546" s="23" t="str">
        <f aca="false">IFERROR(INDEX(分录报销!$E:$E,MATCH($L546,分录报销!$L:$L,0)),"")</f>
        <v>销售费用</v>
      </c>
      <c r="E546" s="23" t="str">
        <f aca="false">IFERROR(INDEX(分录报销!$F:$F,MATCH($L546,分录报销!$L:$L,0)),"")</f>
        <v>电费</v>
      </c>
      <c r="F546" s="68" t="n">
        <f aca="false">IFERROR(INDEX(分录报销!$H:$H,MATCH($L546,分录报销!$L:$L,0)),"")</f>
        <v>500</v>
      </c>
      <c r="G546" s="69" t="str">
        <f aca="false">IFERROR(INDEX(分录报销!$I:$I,MATCH($L546,分录报销!$L:$L,0)),"")</f>
        <v/>
      </c>
      <c r="H546" s="23"/>
      <c r="I546" s="70"/>
      <c r="L546" s="71" t="n">
        <f aca="false">IF(助手报销!$R$38="",-1,助手报销!$R$38*100+(助手报销!$S$38-1)*6+1)</f>
        <v>3501</v>
      </c>
    </row>
    <row r="547" customFormat="false" ht="23.25" hidden="false" customHeight="true" outlineLevel="0" collapsed="false">
      <c r="B547" s="67" t="str">
        <f aca="false">IFERROR(INDEX(分录报销!$M:$M,MATCH($L547,分录报销!$L:$L,0)),"")</f>
        <v>电话费</v>
      </c>
      <c r="C547" s="67"/>
      <c r="D547" s="23" t="str">
        <f aca="false">IFERROR(INDEX(分录报销!$E:$E,MATCH($L547,分录报销!$L:$L,0)),"")</f>
        <v>销售费用</v>
      </c>
      <c r="E547" s="23" t="str">
        <f aca="false">IFERROR(INDEX(分录报销!$F:$F,MATCH($L547,分录报销!$L:$L,0)),"")</f>
        <v>电话费</v>
      </c>
      <c r="F547" s="68" t="n">
        <f aca="false">IFERROR(INDEX(分录报销!$H:$H,MATCH($L547,分录报销!$L:$L,0)),"")</f>
        <v>100</v>
      </c>
      <c r="G547" s="69" t="str">
        <f aca="false">IFERROR(INDEX(分录报销!$I:$I,MATCH($L547,分录报销!$L:$L,0)),"")</f>
        <v/>
      </c>
      <c r="H547" s="23"/>
      <c r="I547" s="70"/>
      <c r="L547" s="71" t="n">
        <f aca="false">IF(助手报销!$R$38="",-1,助手报销!$R$38*100+(助手报销!$S$38-1)*6+2)</f>
        <v>3502</v>
      </c>
    </row>
    <row r="548" customFormat="false" ht="23.25" hidden="false" customHeight="true" outlineLevel="0" collapsed="false">
      <c r="B548" s="67" t="str">
        <f aca="false">IFERROR(INDEX(分录报销!$M:$M,MATCH($L548,分录报销!$L:$L,0)),"")</f>
        <v/>
      </c>
      <c r="C548" s="67"/>
      <c r="D548" s="23" t="str">
        <f aca="false">IFERROR(INDEX(分录报销!$E:$E,MATCH($L548,分录报销!$L:$L,0)),"")</f>
        <v>库存现金</v>
      </c>
      <c r="E548" s="23" t="str">
        <f aca="false">IFERROR(INDEX(分录报销!$F:$F,MATCH($L548,分录报销!$L:$L,0)),"")</f>
        <v/>
      </c>
      <c r="F548" s="68" t="str">
        <f aca="false">IFERROR(INDEX(分录报销!$H:$H,MATCH($L548,分录报销!$L:$L,0)),"")</f>
        <v/>
      </c>
      <c r="G548" s="69" t="n">
        <f aca="false">IFERROR(INDEX(分录报销!$I:$I,MATCH($L548,分录报销!$L:$L,0)),"")</f>
        <v>600</v>
      </c>
      <c r="H548" s="23"/>
      <c r="I548" s="70"/>
      <c r="L548" s="71" t="n">
        <f aca="false">IF(助手报销!$R$38="",-1,助手报销!$R$38*100+(助手报销!$S$38-1)*6+3)</f>
        <v>3503</v>
      </c>
    </row>
    <row r="549" customFormat="false" ht="23.25" hidden="false" customHeight="true" outlineLevel="0" collapsed="false">
      <c r="B549" s="67" t="str">
        <f aca="false">IFERROR(INDEX(分录报销!$M:$M,MATCH($L549,分录报销!$L:$L,0)),"")</f>
        <v/>
      </c>
      <c r="C549" s="67"/>
      <c r="D549" s="23" t="str">
        <f aca="false">IFERROR(INDEX(分录报销!$E:$E,MATCH($L549,分录报销!$L:$L,0)),"")</f>
        <v/>
      </c>
      <c r="E549" s="23" t="str">
        <f aca="false">IFERROR(INDEX(分录报销!$F:$F,MATCH($L549,分录报销!$L:$L,0)),"")</f>
        <v/>
      </c>
      <c r="F549" s="68" t="str">
        <f aca="false">IFERROR(INDEX(分录报销!$H:$H,MATCH($L549,分录报销!$L:$L,0)),"")</f>
        <v/>
      </c>
      <c r="G549" s="69" t="str">
        <f aca="false">IFERROR(INDEX(分录报销!$I:$I,MATCH($L549,分录报销!$L:$L,0)),"")</f>
        <v/>
      </c>
      <c r="H549" s="23"/>
      <c r="I549" s="70"/>
      <c r="L549" s="71" t="n">
        <f aca="false">IF(助手报销!$R$38="",-1,助手报销!$R$38*100+(助手报销!$S$38-1)*6+4)</f>
        <v>3504</v>
      </c>
    </row>
    <row r="550" customFormat="false" ht="23.25" hidden="false" customHeight="true" outlineLevel="0" collapsed="false">
      <c r="B550" s="67" t="str">
        <f aca="false">IFERROR(INDEX(分录报销!$M:$M,MATCH($L550,分录报销!$L:$L,0)),"")</f>
        <v/>
      </c>
      <c r="C550" s="67"/>
      <c r="D550" s="23" t="str">
        <f aca="false">IFERROR(INDEX(分录报销!$E:$E,MATCH($L550,分录报销!$L:$L,0)),"")</f>
        <v/>
      </c>
      <c r="E550" s="23" t="str">
        <f aca="false">IFERROR(INDEX(分录报销!$F:$F,MATCH($L550,分录报销!$L:$L,0)),"")</f>
        <v/>
      </c>
      <c r="F550" s="68" t="str">
        <f aca="false">IFERROR(INDEX(分录报销!$H:$H,MATCH($L550,分录报销!$L:$L,0)),"")</f>
        <v/>
      </c>
      <c r="G550" s="69" t="str">
        <f aca="false">IFERROR(INDEX(分录报销!$I:$I,MATCH($L550,分录报销!$L:$L,0)),"")</f>
        <v/>
      </c>
      <c r="H550" s="23"/>
      <c r="I550" s="70"/>
      <c r="L550" s="71" t="n">
        <f aca="false">IF(助手报销!$R$38="",-1,助手报销!$R$38*100+(助手报销!$S$38-1)*6+5)</f>
        <v>3505</v>
      </c>
    </row>
    <row r="551" customFormat="false" ht="23.25" hidden="false" customHeight="true" outlineLevel="0" collapsed="false">
      <c r="B551" s="67" t="str">
        <f aca="false">IFERROR(INDEX(分录报销!$M:$M,MATCH($L551,分录报销!$L:$L,0)),"")</f>
        <v/>
      </c>
      <c r="C551" s="67"/>
      <c r="D551" s="23" t="str">
        <f aca="false">IFERROR(INDEX(分录报销!$E:$E,MATCH($L551,分录报销!$L:$L,0)),"")</f>
        <v/>
      </c>
      <c r="E551" s="23" t="str">
        <f aca="false">IFERROR(INDEX(分录报销!$F:$F,MATCH($L551,分录报销!$L:$L,0)),"")</f>
        <v/>
      </c>
      <c r="F551" s="68" t="str">
        <f aca="false">IFERROR(INDEX(分录报销!$H:$H,MATCH($L551,分录报销!$L:$L,0)),"")</f>
        <v/>
      </c>
      <c r="G551" s="69" t="str">
        <f aca="false">IFERROR(INDEX(分录报销!$I:$I,MATCH($L551,分录报销!$L:$L,0)),"")</f>
        <v/>
      </c>
      <c r="H551" s="23"/>
      <c r="I551" s="70"/>
      <c r="L551" s="71" t="n">
        <f aca="false">IF(助手报销!$R$38="",-1,助手报销!$R$38*100+(助手报销!$S$38-1)*6+6)</f>
        <v>3506</v>
      </c>
    </row>
    <row r="552" customFormat="false" ht="23.25" hidden="false" customHeight="true" outlineLevel="0" collapsed="false">
      <c r="B552" s="72" t="str">
        <f aca="false">IF(助手报销!$T$38=1,"合计：","")</f>
        <v>合计：</v>
      </c>
      <c r="C552" s="73" t="n">
        <f aca="false">IF(助手报销!$T$38=1,$F552,"")</f>
        <v>600</v>
      </c>
      <c r="D552" s="74"/>
      <c r="E552" s="74"/>
      <c r="F552" s="75" t="n">
        <f aca="false">IF(助手报销!$T$38=1,INDEX(助手报销!$N$2:$N$121,助手报销!$R$38),"")</f>
        <v>600</v>
      </c>
      <c r="G552" s="76" t="n">
        <f aca="false">IF(助手报销!$T$38=1,INDEX(助手报销!$O$2:$O$121,助手报销!$R$38),"")</f>
        <v>600</v>
      </c>
      <c r="H552" s="74"/>
      <c r="I552" s="77"/>
    </row>
    <row r="553" customFormat="false" ht="6" hidden="false" customHeight="true" outlineLevel="0" collapsed="false"/>
    <row r="554" customFormat="false" ht="13.5" hidden="false" customHeight="false" outlineLevel="0" collapsed="false">
      <c r="B554" s="78" t="str">
        <f aca="false">IF(助手报销!$R$38&lt;&gt;"","会计主管：","")</f>
        <v>会计主管：</v>
      </c>
      <c r="D554" s="78" t="str">
        <f aca="false">IF(助手报销!$R$38&lt;&gt;"","会计：","")</f>
        <v>会计：</v>
      </c>
      <c r="E554" s="78" t="str">
        <f aca="false">IF(助手报销!$R$38&lt;&gt;"","出纳：","")</f>
        <v>出纳：</v>
      </c>
      <c r="F554" s="78" t="str">
        <f aca="false">IF(助手报销!$R$38&lt;&gt;"","复核：","")</f>
        <v>复核：</v>
      </c>
      <c r="G554" s="78" t="str">
        <f aca="false">IF(助手报销!$R$38&lt;&gt;"","制单：","")</f>
        <v>制单：</v>
      </c>
    </row>
    <row r="555" customFormat="false" ht="3" hidden="false" customHeight="true" outlineLevel="0" collapsed="false"/>
    <row r="556" customFormat="false" ht="19.5" hidden="false" customHeight="true" outlineLevel="0" collapsed="false">
      <c r="B556" s="53" t="str">
        <f aca="false">IF(助手报销!$R$39&lt;&gt;"","记  账  凭  证","")</f>
        <v>记  账  凭  证</v>
      </c>
      <c r="C556" s="53"/>
      <c r="D556" s="53"/>
      <c r="E556" s="53"/>
      <c r="F556" s="53"/>
      <c r="G556" s="53"/>
      <c r="H556" s="53"/>
      <c r="I556" s="53"/>
    </row>
    <row r="557" customFormat="false" ht="3" hidden="false" customHeight="true" outlineLevel="0" collapsed="false"/>
    <row r="558" customFormat="false" ht="15" hidden="false" customHeight="true" outlineLevel="0" collapsed="false">
      <c r="C558" s="56" t="str">
        <f aca="false">IF(助手报销!$R$39&lt;&gt;"",INDEX(助手报销!$B$2:$B$121,助手报销!$R$39),"")</f>
        <v/>
      </c>
      <c r="D558" s="57" t="n">
        <f aca="false">IF(助手报销!$R$39&lt;&gt;"",INDEX(助手报销!$D$2:$D$121,助手报销!$R$39),"")</f>
        <v>46265</v>
      </c>
      <c r="E558" s="57"/>
      <c r="F558" s="58" t="str">
        <f aca="false">IF(助手报销!$R$39&lt;&gt;"",INDEX(助手报销!$C$2:$C$121,助手报销!$R$39)&amp;"  字第 "&amp;IF(参数!$B$9="是",INDEX(助手报销!$P$2:$P$121,助手报销!$R$39),"　　　　")&amp;" 号"&amp;IF(INDEX(助手报销!$L$2:$L$121,助手报销!$R$39)&gt;1,"  (共"&amp;INDEX(助手报销!$L$2:$L$121,助手报销!$R$39)&amp;"页 第"&amp;助手报销!$S$39&amp;"页)",""),"")</f>
        <v>博亮店  字第 　　　　 号</v>
      </c>
      <c r="G558" s="58"/>
      <c r="H558" s="58"/>
      <c r="I558" s="58"/>
      <c r="M558" s="59" t="n">
        <f aca="false">IF(助手报销!$R$39="","",助手报销!$Q$39)</f>
        <v>38</v>
      </c>
      <c r="N558" s="60" t="n">
        <f aca="false">IF(助手报销!$R$39="","",INDEX(助手报销!$P$2:$P$121,助手报销!$R$39))</f>
        <v>36</v>
      </c>
      <c r="O558" s="55" t="str">
        <f aca="false">IF(助手报销!$R$39="","",INDEX(助手报销!$C$2:$C$121,助手报销!$R$39)&amp;"  字第 "&amp;INDEX(助手报销!$P$2:$P$121,助手报销!$R$39)&amp;" 号"&amp;IF(INDEX(助手报销!$L$2:$L$121,助手报销!$R$39)&gt;1,"  (共"&amp;INDEX(助手报销!$L$2:$L$121,助手报销!$R$39)&amp;"页 第"&amp;助手报销!$S$39&amp;"页)",""))</f>
        <v>博亮店  字第 36 号</v>
      </c>
    </row>
    <row r="559" customFormat="false" ht="12.75" hidden="false" customHeight="true" outlineLevel="0" collapsed="false">
      <c r="B559" s="61" t="str">
        <f aca="false">IF(助手报销!$R$39&lt;&gt;"","摘　　要","")</f>
        <v>摘　　要</v>
      </c>
      <c r="C559" s="61"/>
      <c r="D559" s="62" t="str">
        <f aca="false">IF(助手报销!$R$39&lt;&gt;"","科　　　　目","")</f>
        <v>科　　　　目</v>
      </c>
      <c r="E559" s="62"/>
      <c r="F559" s="61" t="str">
        <f aca="false">IF(助手报销!$R$39&lt;&gt;"","借 方 金 额","")</f>
        <v>借 方 金 额</v>
      </c>
      <c r="G559" s="62" t="str">
        <f aca="false">IF(助手报销!$R$39&lt;&gt;"","贷 方 金 额","")</f>
        <v>贷 方 金 额</v>
      </c>
      <c r="H559" s="63" t="str">
        <f aca="false">IF(助手报销!$R$39&lt;&gt;"","√","")</f>
        <v>√</v>
      </c>
      <c r="I559" s="64" t="str">
        <f aca="false">IF(助手报销!$R$39&lt;&gt;"","附单据  张","")</f>
        <v>附单据  张</v>
      </c>
    </row>
    <row r="560" customFormat="false" ht="12.75" hidden="false" customHeight="true" outlineLevel="0" collapsed="false">
      <c r="B560" s="61"/>
      <c r="C560" s="61"/>
      <c r="D560" s="23" t="str">
        <f aca="false">IF(助手报销!$R$39&lt;&gt;"","总 账 科 目","")</f>
        <v>总 账 科 目</v>
      </c>
      <c r="E560" s="23" t="str">
        <f aca="false">IF(助手报销!$R$39&lt;&gt;"","明 细 科 目","")</f>
        <v>明 细 科 目</v>
      </c>
      <c r="F560" s="65"/>
      <c r="G560" s="66"/>
      <c r="H560" s="63"/>
      <c r="I560" s="64"/>
    </row>
    <row r="561" customFormat="false" ht="23.25" hidden="false" customHeight="true" outlineLevel="0" collapsed="false">
      <c r="B561" s="67" t="str">
        <f aca="false">IFERROR(INDEX(分录报销!$M:$M,MATCH($L561,分录报销!$L:$L,0)),"")</f>
        <v>电费</v>
      </c>
      <c r="C561" s="67"/>
      <c r="D561" s="23" t="str">
        <f aca="false">IFERROR(INDEX(分录报销!$E:$E,MATCH($L561,分录报销!$L:$L,0)),"")</f>
        <v>销售费用</v>
      </c>
      <c r="E561" s="23" t="str">
        <f aca="false">IFERROR(INDEX(分录报销!$F:$F,MATCH($L561,分录报销!$L:$L,0)),"")</f>
        <v>电费</v>
      </c>
      <c r="F561" s="68" t="n">
        <f aca="false">IFERROR(INDEX(分录报销!$H:$H,MATCH($L561,分录报销!$L:$L,0)),"")</f>
        <v>300</v>
      </c>
      <c r="G561" s="69" t="str">
        <f aca="false">IFERROR(INDEX(分录报销!$I:$I,MATCH($L561,分录报销!$L:$L,0)),"")</f>
        <v/>
      </c>
      <c r="H561" s="23"/>
      <c r="I561" s="70"/>
      <c r="L561" s="71" t="n">
        <f aca="false">IF(助手报销!$R$39="",-1,助手报销!$R$39*100+(助手报销!$S$39-1)*6+1)</f>
        <v>3601</v>
      </c>
    </row>
    <row r="562" customFormat="false" ht="23.25" hidden="false" customHeight="true" outlineLevel="0" collapsed="false">
      <c r="B562" s="67" t="str">
        <f aca="false">IFERROR(INDEX(分录报销!$M:$M,MATCH($L562,分录报销!$L:$L,0)),"")</f>
        <v>灭火器检测，录像机维修</v>
      </c>
      <c r="C562" s="67"/>
      <c r="D562" s="23" t="str">
        <f aca="false">IFERROR(INDEX(分录报销!$E:$E,MATCH($L562,分录报销!$L:$L,0)),"")</f>
        <v>销售费用</v>
      </c>
      <c r="E562" s="23" t="str">
        <f aca="false">IFERROR(INDEX(分录报销!$F:$F,MATCH($L562,分录报销!$L:$L,0)),"")</f>
        <v>办公费</v>
      </c>
      <c r="F562" s="68" t="n">
        <f aca="false">IFERROR(INDEX(分录报销!$H:$H,MATCH($L562,分录报销!$L:$L,0)),"")</f>
        <v>50</v>
      </c>
      <c r="G562" s="69" t="str">
        <f aca="false">IFERROR(INDEX(分录报销!$I:$I,MATCH($L562,分录报销!$L:$L,0)),"")</f>
        <v/>
      </c>
      <c r="H562" s="23"/>
      <c r="I562" s="70"/>
      <c r="L562" s="71" t="n">
        <f aca="false">IF(助手报销!$R$39="",-1,助手报销!$R$39*100+(助手报销!$S$39-1)*6+2)</f>
        <v>3602</v>
      </c>
    </row>
    <row r="563" customFormat="false" ht="23.25" hidden="false" customHeight="true" outlineLevel="0" collapsed="false">
      <c r="B563" s="67" t="str">
        <f aca="false">IFERROR(INDEX(分录报销!$M:$M,MATCH($L563,分录报销!$L:$L,0)),"")</f>
        <v>水费</v>
      </c>
      <c r="C563" s="67"/>
      <c r="D563" s="23" t="str">
        <f aca="false">IFERROR(INDEX(分录报销!$E:$E,MATCH($L563,分录报销!$L:$L,0)),"")</f>
        <v>销售费用</v>
      </c>
      <c r="E563" s="23" t="str">
        <f aca="false">IFERROR(INDEX(分录报销!$F:$F,MATCH($L563,分录报销!$L:$L,0)),"")</f>
        <v>水费</v>
      </c>
      <c r="F563" s="68" t="n">
        <f aca="false">IFERROR(INDEX(分录报销!$H:$H,MATCH($L563,分录报销!$L:$L,0)),"")</f>
        <v>5</v>
      </c>
      <c r="G563" s="69" t="str">
        <f aca="false">IFERROR(INDEX(分录报销!$I:$I,MATCH($L563,分录报销!$L:$L,0)),"")</f>
        <v/>
      </c>
      <c r="H563" s="23"/>
      <c r="I563" s="70"/>
      <c r="L563" s="71" t="n">
        <f aca="false">IF(助手报销!$R$39="",-1,助手报销!$R$39*100+(助手报销!$S$39-1)*6+3)</f>
        <v>3603</v>
      </c>
    </row>
    <row r="564" customFormat="false" ht="23.25" hidden="false" customHeight="true" outlineLevel="0" collapsed="false">
      <c r="B564" s="67" t="str">
        <f aca="false">IFERROR(INDEX(分录报销!$M:$M,MATCH($L564,分录报销!$L:$L,0)),"")</f>
        <v/>
      </c>
      <c r="C564" s="67"/>
      <c r="D564" s="23" t="str">
        <f aca="false">IFERROR(INDEX(分录报销!$E:$E,MATCH($L564,分录报销!$L:$L,0)),"")</f>
        <v>库存现金</v>
      </c>
      <c r="E564" s="23" t="str">
        <f aca="false">IFERROR(INDEX(分录报销!$F:$F,MATCH($L564,分录报销!$L:$L,0)),"")</f>
        <v/>
      </c>
      <c r="F564" s="68" t="str">
        <f aca="false">IFERROR(INDEX(分录报销!$H:$H,MATCH($L564,分录报销!$L:$L,0)),"")</f>
        <v/>
      </c>
      <c r="G564" s="69" t="n">
        <f aca="false">IFERROR(INDEX(分录报销!$I:$I,MATCH($L564,分录报销!$L:$L,0)),"")</f>
        <v>355</v>
      </c>
      <c r="H564" s="23"/>
      <c r="I564" s="70"/>
      <c r="L564" s="71" t="n">
        <f aca="false">IF(助手报销!$R$39="",-1,助手报销!$R$39*100+(助手报销!$S$39-1)*6+4)</f>
        <v>3604</v>
      </c>
    </row>
    <row r="565" customFormat="false" ht="23.25" hidden="false" customHeight="true" outlineLevel="0" collapsed="false">
      <c r="B565" s="67" t="str">
        <f aca="false">IFERROR(INDEX(分录报销!$M:$M,MATCH($L565,分录报销!$L:$L,0)),"")</f>
        <v/>
      </c>
      <c r="C565" s="67"/>
      <c r="D565" s="23" t="str">
        <f aca="false">IFERROR(INDEX(分录报销!$E:$E,MATCH($L565,分录报销!$L:$L,0)),"")</f>
        <v/>
      </c>
      <c r="E565" s="23" t="str">
        <f aca="false">IFERROR(INDEX(分录报销!$F:$F,MATCH($L565,分录报销!$L:$L,0)),"")</f>
        <v/>
      </c>
      <c r="F565" s="68" t="str">
        <f aca="false">IFERROR(INDEX(分录报销!$H:$H,MATCH($L565,分录报销!$L:$L,0)),"")</f>
        <v/>
      </c>
      <c r="G565" s="69" t="str">
        <f aca="false">IFERROR(INDEX(分录报销!$I:$I,MATCH($L565,分录报销!$L:$L,0)),"")</f>
        <v/>
      </c>
      <c r="H565" s="23"/>
      <c r="I565" s="70"/>
      <c r="L565" s="71" t="n">
        <f aca="false">IF(助手报销!$R$39="",-1,助手报销!$R$39*100+(助手报销!$S$39-1)*6+5)</f>
        <v>3605</v>
      </c>
    </row>
    <row r="566" customFormat="false" ht="23.25" hidden="false" customHeight="true" outlineLevel="0" collapsed="false">
      <c r="B566" s="67" t="str">
        <f aca="false">IFERROR(INDEX(分录报销!$M:$M,MATCH($L566,分录报销!$L:$L,0)),"")</f>
        <v/>
      </c>
      <c r="C566" s="67"/>
      <c r="D566" s="23" t="str">
        <f aca="false">IFERROR(INDEX(分录报销!$E:$E,MATCH($L566,分录报销!$L:$L,0)),"")</f>
        <v/>
      </c>
      <c r="E566" s="23" t="str">
        <f aca="false">IFERROR(INDEX(分录报销!$F:$F,MATCH($L566,分录报销!$L:$L,0)),"")</f>
        <v/>
      </c>
      <c r="F566" s="68" t="str">
        <f aca="false">IFERROR(INDEX(分录报销!$H:$H,MATCH($L566,分录报销!$L:$L,0)),"")</f>
        <v/>
      </c>
      <c r="G566" s="69" t="str">
        <f aca="false">IFERROR(INDEX(分录报销!$I:$I,MATCH($L566,分录报销!$L:$L,0)),"")</f>
        <v/>
      </c>
      <c r="H566" s="23"/>
      <c r="I566" s="70"/>
      <c r="L566" s="71" t="n">
        <f aca="false">IF(助手报销!$R$39="",-1,助手报销!$R$39*100+(助手报销!$S$39-1)*6+6)</f>
        <v>3606</v>
      </c>
    </row>
    <row r="567" customFormat="false" ht="23.25" hidden="false" customHeight="true" outlineLevel="0" collapsed="false">
      <c r="B567" s="72" t="str">
        <f aca="false">IF(助手报销!$T$39=1,"合计：","")</f>
        <v>合计：</v>
      </c>
      <c r="C567" s="73" t="n">
        <f aca="false">IF(助手报销!$T$39=1,$F567,"")</f>
        <v>355</v>
      </c>
      <c r="D567" s="74"/>
      <c r="E567" s="74"/>
      <c r="F567" s="75" t="n">
        <f aca="false">IF(助手报销!$T$39=1,INDEX(助手报销!$N$2:$N$121,助手报销!$R$39),"")</f>
        <v>355</v>
      </c>
      <c r="G567" s="76" t="n">
        <f aca="false">IF(助手报销!$T$39=1,INDEX(助手报销!$O$2:$O$121,助手报销!$R$39),"")</f>
        <v>355</v>
      </c>
      <c r="H567" s="74"/>
      <c r="I567" s="77"/>
    </row>
    <row r="568" customFormat="false" ht="6" hidden="false" customHeight="true" outlineLevel="0" collapsed="false"/>
    <row r="569" customFormat="false" ht="13.5" hidden="false" customHeight="false" outlineLevel="0" collapsed="false">
      <c r="B569" s="78" t="str">
        <f aca="false">IF(助手报销!$R$39&lt;&gt;"","会计主管：","")</f>
        <v>会计主管：</v>
      </c>
      <c r="D569" s="78" t="str">
        <f aca="false">IF(助手报销!$R$39&lt;&gt;"","会计：","")</f>
        <v>会计：</v>
      </c>
      <c r="E569" s="78" t="str">
        <f aca="false">IF(助手报销!$R$39&lt;&gt;"","出纳：","")</f>
        <v>出纳：</v>
      </c>
      <c r="F569" s="78" t="str">
        <f aca="false">IF(助手报销!$R$39&lt;&gt;"","复核：","")</f>
        <v>复核：</v>
      </c>
      <c r="G569" s="78" t="str">
        <f aca="false">IF(助手报销!$R$39&lt;&gt;"","制单：","")</f>
        <v>制单：</v>
      </c>
    </row>
    <row r="570" customFormat="false" ht="3" hidden="false" customHeight="true" outlineLevel="0" collapsed="false"/>
    <row r="571" customFormat="false" ht="19.5" hidden="false" customHeight="true" outlineLevel="0" collapsed="false">
      <c r="B571" s="53" t="str">
        <f aca="false">IF(助手报销!$R$40&lt;&gt;"","记  账  凭  证","")</f>
        <v>记  账  凭  证</v>
      </c>
      <c r="C571" s="53"/>
      <c r="D571" s="53"/>
      <c r="E571" s="53"/>
      <c r="F571" s="53"/>
      <c r="G571" s="53"/>
      <c r="H571" s="53"/>
      <c r="I571" s="53"/>
    </row>
    <row r="572" customFormat="false" ht="3" hidden="false" customHeight="true" outlineLevel="0" collapsed="false"/>
    <row r="573" customFormat="false" ht="15" hidden="false" customHeight="true" outlineLevel="0" collapsed="false">
      <c r="C573" s="56" t="str">
        <f aca="false">IF(助手报销!$R$40&lt;&gt;"",INDEX(助手报销!$B$2:$B$121,助手报销!$R$40),"")</f>
        <v/>
      </c>
      <c r="D573" s="57" t="n">
        <f aca="false">IF(助手报销!$R$40&lt;&gt;"",INDEX(助手报销!$D$2:$D$121,助手报销!$R$40),"")</f>
        <v>46265</v>
      </c>
      <c r="E573" s="57"/>
      <c r="F573" s="58" t="str">
        <f aca="false">IF(助手报销!$R$40&lt;&gt;"",INDEX(助手报销!$C$2:$C$121,助手报销!$R$40)&amp;"  字第 "&amp;IF(参数!$B$9="是",INDEX(助手报销!$P$2:$P$121,助手报销!$R$40),"　　　　")&amp;" 号"&amp;IF(INDEX(助手报销!$L$2:$L$121,助手报销!$R$40)&gt;1,"  (共"&amp;INDEX(助手报销!$L$2:$L$121,助手报销!$R$40)&amp;"页 第"&amp;助手报销!$S$40&amp;"页)",""),"")</f>
        <v>博山店  字第 　　　　 号</v>
      </c>
      <c r="G573" s="58"/>
      <c r="H573" s="58"/>
      <c r="I573" s="58"/>
      <c r="M573" s="59" t="n">
        <f aca="false">IF(助手报销!$R$40="","",助手报销!$Q$40)</f>
        <v>39</v>
      </c>
      <c r="N573" s="60" t="n">
        <f aca="false">IF(助手报销!$R$40="","",INDEX(助手报销!$P$2:$P$121,助手报销!$R$40))</f>
        <v>37</v>
      </c>
      <c r="O573" s="55" t="str">
        <f aca="false">IF(助手报销!$R$40="","",INDEX(助手报销!$C$2:$C$121,助手报销!$R$40)&amp;"  字第 "&amp;INDEX(助手报销!$P$2:$P$121,助手报销!$R$40)&amp;" 号"&amp;IF(INDEX(助手报销!$L$2:$L$121,助手报销!$R$40)&gt;1,"  (共"&amp;INDEX(助手报销!$L$2:$L$121,助手报销!$R$40)&amp;"页 第"&amp;助手报销!$S$40&amp;"页)",""))</f>
        <v>博山店  字第 37 号</v>
      </c>
    </row>
    <row r="574" customFormat="false" ht="12.75" hidden="false" customHeight="true" outlineLevel="0" collapsed="false">
      <c r="B574" s="61" t="str">
        <f aca="false">IF(助手报销!$R$40&lt;&gt;"","摘　　要","")</f>
        <v>摘　　要</v>
      </c>
      <c r="C574" s="61"/>
      <c r="D574" s="62" t="str">
        <f aca="false">IF(助手报销!$R$40&lt;&gt;"","科　　　　目","")</f>
        <v>科　　　　目</v>
      </c>
      <c r="E574" s="62"/>
      <c r="F574" s="61" t="str">
        <f aca="false">IF(助手报销!$R$40&lt;&gt;"","借 方 金 额","")</f>
        <v>借 方 金 额</v>
      </c>
      <c r="G574" s="62" t="str">
        <f aca="false">IF(助手报销!$R$40&lt;&gt;"","贷 方 金 额","")</f>
        <v>贷 方 金 额</v>
      </c>
      <c r="H574" s="63" t="str">
        <f aca="false">IF(助手报销!$R$40&lt;&gt;"","√","")</f>
        <v>√</v>
      </c>
      <c r="I574" s="64" t="str">
        <f aca="false">IF(助手报销!$R$40&lt;&gt;"","附单据  张","")</f>
        <v>附单据  张</v>
      </c>
    </row>
    <row r="575" customFormat="false" ht="12.75" hidden="false" customHeight="true" outlineLevel="0" collapsed="false">
      <c r="B575" s="61"/>
      <c r="C575" s="61"/>
      <c r="D575" s="23" t="str">
        <f aca="false">IF(助手报销!$R$40&lt;&gt;"","总 账 科 目","")</f>
        <v>总 账 科 目</v>
      </c>
      <c r="E575" s="23" t="str">
        <f aca="false">IF(助手报销!$R$40&lt;&gt;"","明 细 科 目","")</f>
        <v>明 细 科 目</v>
      </c>
      <c r="F575" s="65"/>
      <c r="G575" s="66"/>
      <c r="H575" s="63"/>
      <c r="I575" s="64"/>
    </row>
    <row r="576" customFormat="false" ht="23.25" hidden="false" customHeight="true" outlineLevel="0" collapsed="false">
      <c r="B576" s="67" t="str">
        <f aca="false">IFERROR(INDEX(分录报销!$M:$M,MATCH($L576,分录报销!$L:$L,0)),"")</f>
        <v>电费</v>
      </c>
      <c r="C576" s="67"/>
      <c r="D576" s="23" t="str">
        <f aca="false">IFERROR(INDEX(分录报销!$E:$E,MATCH($L576,分录报销!$L:$L,0)),"")</f>
        <v>销售费用</v>
      </c>
      <c r="E576" s="23" t="str">
        <f aca="false">IFERROR(INDEX(分录报销!$F:$F,MATCH($L576,分录报销!$L:$L,0)),"")</f>
        <v>电费</v>
      </c>
      <c r="F576" s="68" t="n">
        <f aca="false">IFERROR(INDEX(分录报销!$H:$H,MATCH($L576,分录报销!$L:$L,0)),"")</f>
        <v>4000</v>
      </c>
      <c r="G576" s="69" t="str">
        <f aca="false">IFERROR(INDEX(分录报销!$I:$I,MATCH($L576,分录报销!$L:$L,0)),"")</f>
        <v/>
      </c>
      <c r="H576" s="23"/>
      <c r="I576" s="70"/>
      <c r="L576" s="71" t="n">
        <f aca="false">IF(助手报销!$R$40="",-1,助手报销!$R$40*100+(助手报销!$S$40-1)*6+1)</f>
        <v>3701</v>
      </c>
    </row>
    <row r="577" customFormat="false" ht="23.25" hidden="false" customHeight="true" outlineLevel="0" collapsed="false">
      <c r="B577" s="67" t="str">
        <f aca="false">IFERROR(INDEX(分录报销!$M:$M,MATCH($L577,分录报销!$L:$L,0)),"")</f>
        <v>慢病用品</v>
      </c>
      <c r="C577" s="67"/>
      <c r="D577" s="23" t="str">
        <f aca="false">IFERROR(INDEX(分录报销!$E:$E,MATCH($L577,分录报销!$L:$L,0)),"")</f>
        <v>销售费用</v>
      </c>
      <c r="E577" s="23" t="str">
        <f aca="false">IFERROR(INDEX(分录报销!$F:$F,MATCH($L577,分录报销!$L:$L,0)),"")</f>
        <v/>
      </c>
      <c r="F577" s="68" t="n">
        <f aca="false">IFERROR(INDEX(分录报销!$H:$H,MATCH($L577,分录报销!$L:$L,0)),"")</f>
        <v>36.9</v>
      </c>
      <c r="G577" s="69" t="str">
        <f aca="false">IFERROR(INDEX(分录报销!$I:$I,MATCH($L577,分录报销!$L:$L,0)),"")</f>
        <v/>
      </c>
      <c r="H577" s="23"/>
      <c r="I577" s="70"/>
      <c r="L577" s="71" t="n">
        <f aca="false">IF(助手报销!$R$40="",-1,助手报销!$R$40*100+(助手报销!$S$40-1)*6+2)</f>
        <v>3702</v>
      </c>
    </row>
    <row r="578" customFormat="false" ht="23.25" hidden="false" customHeight="true" outlineLevel="0" collapsed="false">
      <c r="B578" s="67" t="str">
        <f aca="false">IFERROR(INDEX(分录报销!$M:$M,MATCH($L578,分录报销!$L:$L,0)),"")</f>
        <v/>
      </c>
      <c r="C578" s="67"/>
      <c r="D578" s="23" t="str">
        <f aca="false">IFERROR(INDEX(分录报销!$E:$E,MATCH($L578,分录报销!$L:$L,0)),"")</f>
        <v>库存现金</v>
      </c>
      <c r="E578" s="23" t="str">
        <f aca="false">IFERROR(INDEX(分录报销!$F:$F,MATCH($L578,分录报销!$L:$L,0)),"")</f>
        <v/>
      </c>
      <c r="F578" s="68" t="str">
        <f aca="false">IFERROR(INDEX(分录报销!$H:$H,MATCH($L578,分录报销!$L:$L,0)),"")</f>
        <v/>
      </c>
      <c r="G578" s="69" t="n">
        <f aca="false">IFERROR(INDEX(分录报销!$I:$I,MATCH($L578,分录报销!$L:$L,0)),"")</f>
        <v>4036.9</v>
      </c>
      <c r="H578" s="23"/>
      <c r="I578" s="70"/>
      <c r="L578" s="71" t="n">
        <f aca="false">IF(助手报销!$R$40="",-1,助手报销!$R$40*100+(助手报销!$S$40-1)*6+3)</f>
        <v>3703</v>
      </c>
    </row>
    <row r="579" customFormat="false" ht="23.25" hidden="false" customHeight="true" outlineLevel="0" collapsed="false">
      <c r="B579" s="67" t="str">
        <f aca="false">IFERROR(INDEX(分录报销!$M:$M,MATCH($L579,分录报销!$L:$L,0)),"")</f>
        <v/>
      </c>
      <c r="C579" s="67"/>
      <c r="D579" s="23" t="str">
        <f aca="false">IFERROR(INDEX(分录报销!$E:$E,MATCH($L579,分录报销!$L:$L,0)),"")</f>
        <v/>
      </c>
      <c r="E579" s="23" t="str">
        <f aca="false">IFERROR(INDEX(分录报销!$F:$F,MATCH($L579,分录报销!$L:$L,0)),"")</f>
        <v/>
      </c>
      <c r="F579" s="68" t="str">
        <f aca="false">IFERROR(INDEX(分录报销!$H:$H,MATCH($L579,分录报销!$L:$L,0)),"")</f>
        <v/>
      </c>
      <c r="G579" s="69" t="str">
        <f aca="false">IFERROR(INDEX(分录报销!$I:$I,MATCH($L579,分录报销!$L:$L,0)),"")</f>
        <v/>
      </c>
      <c r="H579" s="23"/>
      <c r="I579" s="70"/>
      <c r="L579" s="71" t="n">
        <f aca="false">IF(助手报销!$R$40="",-1,助手报销!$R$40*100+(助手报销!$S$40-1)*6+4)</f>
        <v>3704</v>
      </c>
    </row>
    <row r="580" customFormat="false" ht="23.25" hidden="false" customHeight="true" outlineLevel="0" collapsed="false">
      <c r="B580" s="67" t="str">
        <f aca="false">IFERROR(INDEX(分录报销!$M:$M,MATCH($L580,分录报销!$L:$L,0)),"")</f>
        <v/>
      </c>
      <c r="C580" s="67"/>
      <c r="D580" s="23" t="str">
        <f aca="false">IFERROR(INDEX(分录报销!$E:$E,MATCH($L580,分录报销!$L:$L,0)),"")</f>
        <v/>
      </c>
      <c r="E580" s="23" t="str">
        <f aca="false">IFERROR(INDEX(分录报销!$F:$F,MATCH($L580,分录报销!$L:$L,0)),"")</f>
        <v/>
      </c>
      <c r="F580" s="68" t="str">
        <f aca="false">IFERROR(INDEX(分录报销!$H:$H,MATCH($L580,分录报销!$L:$L,0)),"")</f>
        <v/>
      </c>
      <c r="G580" s="69" t="str">
        <f aca="false">IFERROR(INDEX(分录报销!$I:$I,MATCH($L580,分录报销!$L:$L,0)),"")</f>
        <v/>
      </c>
      <c r="H580" s="23"/>
      <c r="I580" s="70"/>
      <c r="L580" s="71" t="n">
        <f aca="false">IF(助手报销!$R$40="",-1,助手报销!$R$40*100+(助手报销!$S$40-1)*6+5)</f>
        <v>3705</v>
      </c>
    </row>
    <row r="581" customFormat="false" ht="23.25" hidden="false" customHeight="true" outlineLevel="0" collapsed="false">
      <c r="B581" s="67" t="str">
        <f aca="false">IFERROR(INDEX(分录报销!$M:$M,MATCH($L581,分录报销!$L:$L,0)),"")</f>
        <v/>
      </c>
      <c r="C581" s="67"/>
      <c r="D581" s="23" t="str">
        <f aca="false">IFERROR(INDEX(分录报销!$E:$E,MATCH($L581,分录报销!$L:$L,0)),"")</f>
        <v/>
      </c>
      <c r="E581" s="23" t="str">
        <f aca="false">IFERROR(INDEX(分录报销!$F:$F,MATCH($L581,分录报销!$L:$L,0)),"")</f>
        <v/>
      </c>
      <c r="F581" s="68" t="str">
        <f aca="false">IFERROR(INDEX(分录报销!$H:$H,MATCH($L581,分录报销!$L:$L,0)),"")</f>
        <v/>
      </c>
      <c r="G581" s="69" t="str">
        <f aca="false">IFERROR(INDEX(分录报销!$I:$I,MATCH($L581,分录报销!$L:$L,0)),"")</f>
        <v/>
      </c>
      <c r="H581" s="23"/>
      <c r="I581" s="70"/>
      <c r="L581" s="71" t="n">
        <f aca="false">IF(助手报销!$R$40="",-1,助手报销!$R$40*100+(助手报销!$S$40-1)*6+6)</f>
        <v>3706</v>
      </c>
    </row>
    <row r="582" customFormat="false" ht="23.25" hidden="false" customHeight="true" outlineLevel="0" collapsed="false">
      <c r="B582" s="72" t="str">
        <f aca="false">IF(助手报销!$T$40=1,"合计：","")</f>
        <v>合计：</v>
      </c>
      <c r="C582" s="73" t="n">
        <f aca="false">IF(助手报销!$T$40=1,$F582,"")</f>
        <v>4036.9</v>
      </c>
      <c r="D582" s="74"/>
      <c r="E582" s="74"/>
      <c r="F582" s="75" t="n">
        <f aca="false">IF(助手报销!$T$40=1,INDEX(助手报销!$N$2:$N$121,助手报销!$R$40),"")</f>
        <v>4036.9</v>
      </c>
      <c r="G582" s="76" t="n">
        <f aca="false">IF(助手报销!$T$40=1,INDEX(助手报销!$O$2:$O$121,助手报销!$R$40),"")</f>
        <v>4036.9</v>
      </c>
      <c r="H582" s="74"/>
      <c r="I582" s="77"/>
    </row>
    <row r="583" customFormat="false" ht="6" hidden="false" customHeight="true" outlineLevel="0" collapsed="false"/>
    <row r="584" customFormat="false" ht="13.5" hidden="false" customHeight="false" outlineLevel="0" collapsed="false">
      <c r="B584" s="78" t="str">
        <f aca="false">IF(助手报销!$R$40&lt;&gt;"","会计主管：","")</f>
        <v>会计主管：</v>
      </c>
      <c r="D584" s="78" t="str">
        <f aca="false">IF(助手报销!$R$40&lt;&gt;"","会计：","")</f>
        <v>会计：</v>
      </c>
      <c r="E584" s="78" t="str">
        <f aca="false">IF(助手报销!$R$40&lt;&gt;"","出纳：","")</f>
        <v>出纳：</v>
      </c>
      <c r="F584" s="78" t="str">
        <f aca="false">IF(助手报销!$R$40&lt;&gt;"","复核：","")</f>
        <v>复核：</v>
      </c>
      <c r="G584" s="78" t="str">
        <f aca="false">IF(助手报销!$R$40&lt;&gt;"","制单：","")</f>
        <v>制单：</v>
      </c>
    </row>
    <row r="585" customFormat="false" ht="3" hidden="false" customHeight="true" outlineLevel="0" collapsed="false"/>
    <row r="586" customFormat="false" ht="19.5" hidden="false" customHeight="true" outlineLevel="0" collapsed="false">
      <c r="B586" s="53" t="str">
        <f aca="false">IF(助手报销!$R$41&lt;&gt;"","记  账  凭  证","")</f>
        <v/>
      </c>
      <c r="C586" s="53"/>
      <c r="D586" s="53"/>
      <c r="E586" s="53"/>
      <c r="F586" s="53"/>
      <c r="G586" s="53"/>
      <c r="H586" s="53"/>
      <c r="I586" s="53"/>
    </row>
    <row r="587" customFormat="false" ht="3" hidden="false" customHeight="true" outlineLevel="0" collapsed="false"/>
    <row r="588" customFormat="false" ht="15" hidden="false" customHeight="true" outlineLevel="0" collapsed="false">
      <c r="C588" s="56" t="str">
        <f aca="false">IF(助手报销!$R$41&lt;&gt;"",INDEX(助手报销!$B$2:$B$121,助手报销!$R$41),"")</f>
        <v/>
      </c>
      <c r="D588" s="57" t="str">
        <f aca="false">IF(助手报销!$R$41&lt;&gt;"",INDEX(助手报销!$D$2:$D$121,助手报销!$R$41),"")</f>
        <v/>
      </c>
      <c r="E588" s="57"/>
      <c r="F588" s="58" t="str">
        <f aca="false">IF(助手报销!$R$41&lt;&gt;"",INDEX(助手报销!$C$2:$C$121,助手报销!$R$41)&amp;"  字第 "&amp;IF(参数!$B$9="是",INDEX(助手报销!$P$2:$P$121,助手报销!$R$41),"　　　　")&amp;" 号"&amp;IF(INDEX(助手报销!$L$2:$L$121,助手报销!$R$41)&gt;1,"  (共"&amp;INDEX(助手报销!$L$2:$L$121,助手报销!$R$41)&amp;"页 第"&amp;助手报销!$S$41&amp;"页)",""),"")</f>
        <v/>
      </c>
      <c r="G588" s="58"/>
      <c r="H588" s="58"/>
      <c r="I588" s="58"/>
      <c r="M588" s="79" t="str">
        <f aca="false">IF(助手报销!$R$41="","",助手报销!$Q$41)</f>
        <v/>
      </c>
      <c r="N588" s="80" t="str">
        <f aca="false">IF(助手报销!$R$41="","",INDEX(助手报销!$P$2:$P$121,助手报销!$R$41))</f>
        <v/>
      </c>
      <c r="O588" s="55" t="str">
        <f aca="false">IF(助手报销!$R$41="","",INDEX(助手报销!$C$2:$C$121,助手报销!$R$41)&amp;"  字第 "&amp;INDEX(助手报销!$P$2:$P$121,助手报销!$R$41)&amp;" 号"&amp;IF(INDEX(助手报销!$L$2:$L$121,助手报销!$R$41)&gt;1,"  (共"&amp;INDEX(助手报销!$L$2:$L$121,助手报销!$R$41)&amp;"页 第"&amp;助手报销!$S$41&amp;"页)",""))</f>
        <v/>
      </c>
    </row>
    <row r="589" customFormat="false" ht="12.75" hidden="false" customHeight="true" outlineLevel="0" collapsed="false">
      <c r="B589" s="61" t="str">
        <f aca="false">IF(助手报销!$R$41&lt;&gt;"","摘　　要","")</f>
        <v/>
      </c>
      <c r="C589" s="61"/>
      <c r="D589" s="62" t="str">
        <f aca="false">IF(助手报销!$R$41&lt;&gt;"","科　　　　目","")</f>
        <v/>
      </c>
      <c r="E589" s="62"/>
      <c r="F589" s="61" t="str">
        <f aca="false">IF(助手报销!$R$41&lt;&gt;"","借 方 金 额","")</f>
        <v/>
      </c>
      <c r="G589" s="62" t="str">
        <f aca="false">IF(助手报销!$R$41&lt;&gt;"","贷 方 金 额","")</f>
        <v/>
      </c>
      <c r="H589" s="63" t="str">
        <f aca="false">IF(助手报销!$R$41&lt;&gt;"","√","")</f>
        <v/>
      </c>
      <c r="I589" s="64" t="str">
        <f aca="false">IF(助手报销!$R$41&lt;&gt;"","附单据  张","")</f>
        <v/>
      </c>
    </row>
    <row r="590" customFormat="false" ht="12.75" hidden="false" customHeight="true" outlineLevel="0" collapsed="false">
      <c r="B590" s="61"/>
      <c r="C590" s="61"/>
      <c r="D590" s="23" t="str">
        <f aca="false">IF(助手报销!$R$41&lt;&gt;"","总 账 科 目","")</f>
        <v/>
      </c>
      <c r="E590" s="23" t="str">
        <f aca="false">IF(助手报销!$R$41&lt;&gt;"","明 细 科 目","")</f>
        <v/>
      </c>
      <c r="F590" s="65"/>
      <c r="G590" s="66"/>
      <c r="H590" s="63"/>
      <c r="I590" s="64"/>
    </row>
    <row r="591" customFormat="false" ht="23.25" hidden="false" customHeight="true" outlineLevel="0" collapsed="false">
      <c r="B591" s="67" t="str">
        <f aca="false">IFERROR(INDEX(分录报销!$M:$M,MATCH($L591,分录报销!$L:$L,0)),"")</f>
        <v/>
      </c>
      <c r="C591" s="67"/>
      <c r="D591" s="23" t="str">
        <f aca="false">IFERROR(INDEX(分录报销!$E:$E,MATCH($L591,分录报销!$L:$L,0)),"")</f>
        <v/>
      </c>
      <c r="E591" s="23" t="str">
        <f aca="false">IFERROR(INDEX(分录报销!$F:$F,MATCH($L591,分录报销!$L:$L,0)),"")</f>
        <v/>
      </c>
      <c r="F591" s="68" t="str">
        <f aca="false">IFERROR(INDEX(分录报销!$H:$H,MATCH($L591,分录报销!$L:$L,0)),"")</f>
        <v/>
      </c>
      <c r="G591" s="69" t="str">
        <f aca="false">IFERROR(INDEX(分录报销!$I:$I,MATCH($L591,分录报销!$L:$L,0)),"")</f>
        <v/>
      </c>
      <c r="H591" s="23"/>
      <c r="I591" s="70"/>
      <c r="L591" s="71" t="n">
        <f aca="false">IF(助手报销!$R$41="",-1,助手报销!$R$41*100+(助手报销!$S$41-1)*6+1)</f>
        <v>-1</v>
      </c>
    </row>
    <row r="592" customFormat="false" ht="23.25" hidden="false" customHeight="true" outlineLevel="0" collapsed="false">
      <c r="B592" s="67" t="str">
        <f aca="false">IFERROR(INDEX(分录报销!$M:$M,MATCH($L592,分录报销!$L:$L,0)),"")</f>
        <v/>
      </c>
      <c r="C592" s="67"/>
      <c r="D592" s="23" t="str">
        <f aca="false">IFERROR(INDEX(分录报销!$E:$E,MATCH($L592,分录报销!$L:$L,0)),"")</f>
        <v/>
      </c>
      <c r="E592" s="23" t="str">
        <f aca="false">IFERROR(INDEX(分录报销!$F:$F,MATCH($L592,分录报销!$L:$L,0)),"")</f>
        <v/>
      </c>
      <c r="F592" s="68" t="str">
        <f aca="false">IFERROR(INDEX(分录报销!$H:$H,MATCH($L592,分录报销!$L:$L,0)),"")</f>
        <v/>
      </c>
      <c r="G592" s="69" t="str">
        <f aca="false">IFERROR(INDEX(分录报销!$I:$I,MATCH($L592,分录报销!$L:$L,0)),"")</f>
        <v/>
      </c>
      <c r="H592" s="23"/>
      <c r="I592" s="70"/>
      <c r="L592" s="71" t="n">
        <f aca="false">IF(助手报销!$R$41="",-1,助手报销!$R$41*100+(助手报销!$S$41-1)*6+2)</f>
        <v>-1</v>
      </c>
    </row>
    <row r="593" customFormat="false" ht="23.25" hidden="false" customHeight="true" outlineLevel="0" collapsed="false">
      <c r="B593" s="67" t="str">
        <f aca="false">IFERROR(INDEX(分录报销!$M:$M,MATCH($L593,分录报销!$L:$L,0)),"")</f>
        <v/>
      </c>
      <c r="C593" s="67"/>
      <c r="D593" s="23" t="str">
        <f aca="false">IFERROR(INDEX(分录报销!$E:$E,MATCH($L593,分录报销!$L:$L,0)),"")</f>
        <v/>
      </c>
      <c r="E593" s="23" t="str">
        <f aca="false">IFERROR(INDEX(分录报销!$F:$F,MATCH($L593,分录报销!$L:$L,0)),"")</f>
        <v/>
      </c>
      <c r="F593" s="68" t="str">
        <f aca="false">IFERROR(INDEX(分录报销!$H:$H,MATCH($L593,分录报销!$L:$L,0)),"")</f>
        <v/>
      </c>
      <c r="G593" s="69" t="str">
        <f aca="false">IFERROR(INDEX(分录报销!$I:$I,MATCH($L593,分录报销!$L:$L,0)),"")</f>
        <v/>
      </c>
      <c r="H593" s="23"/>
      <c r="I593" s="70"/>
      <c r="L593" s="71" t="n">
        <f aca="false">IF(助手报销!$R$41="",-1,助手报销!$R$41*100+(助手报销!$S$41-1)*6+3)</f>
        <v>-1</v>
      </c>
    </row>
    <row r="594" customFormat="false" ht="23.25" hidden="false" customHeight="true" outlineLevel="0" collapsed="false">
      <c r="B594" s="67" t="str">
        <f aca="false">IFERROR(INDEX(分录报销!$M:$M,MATCH($L594,分录报销!$L:$L,0)),"")</f>
        <v/>
      </c>
      <c r="C594" s="67"/>
      <c r="D594" s="23" t="str">
        <f aca="false">IFERROR(INDEX(分录报销!$E:$E,MATCH($L594,分录报销!$L:$L,0)),"")</f>
        <v/>
      </c>
      <c r="E594" s="23" t="str">
        <f aca="false">IFERROR(INDEX(分录报销!$F:$F,MATCH($L594,分录报销!$L:$L,0)),"")</f>
        <v/>
      </c>
      <c r="F594" s="68" t="str">
        <f aca="false">IFERROR(INDEX(分录报销!$H:$H,MATCH($L594,分录报销!$L:$L,0)),"")</f>
        <v/>
      </c>
      <c r="G594" s="69" t="str">
        <f aca="false">IFERROR(INDEX(分录报销!$I:$I,MATCH($L594,分录报销!$L:$L,0)),"")</f>
        <v/>
      </c>
      <c r="H594" s="23"/>
      <c r="I594" s="70"/>
      <c r="L594" s="71" t="n">
        <f aca="false">IF(助手报销!$R$41="",-1,助手报销!$R$41*100+(助手报销!$S$41-1)*6+4)</f>
        <v>-1</v>
      </c>
    </row>
    <row r="595" customFormat="false" ht="23.25" hidden="false" customHeight="true" outlineLevel="0" collapsed="false">
      <c r="B595" s="67" t="str">
        <f aca="false">IFERROR(INDEX(分录报销!$M:$M,MATCH($L595,分录报销!$L:$L,0)),"")</f>
        <v/>
      </c>
      <c r="C595" s="67"/>
      <c r="D595" s="23" t="str">
        <f aca="false">IFERROR(INDEX(分录报销!$E:$E,MATCH($L595,分录报销!$L:$L,0)),"")</f>
        <v/>
      </c>
      <c r="E595" s="23" t="str">
        <f aca="false">IFERROR(INDEX(分录报销!$F:$F,MATCH($L595,分录报销!$L:$L,0)),"")</f>
        <v/>
      </c>
      <c r="F595" s="68" t="str">
        <f aca="false">IFERROR(INDEX(分录报销!$H:$H,MATCH($L595,分录报销!$L:$L,0)),"")</f>
        <v/>
      </c>
      <c r="G595" s="69" t="str">
        <f aca="false">IFERROR(INDEX(分录报销!$I:$I,MATCH($L595,分录报销!$L:$L,0)),"")</f>
        <v/>
      </c>
      <c r="H595" s="23"/>
      <c r="I595" s="70"/>
      <c r="L595" s="71" t="n">
        <f aca="false">IF(助手报销!$R$41="",-1,助手报销!$R$41*100+(助手报销!$S$41-1)*6+5)</f>
        <v>-1</v>
      </c>
    </row>
    <row r="596" customFormat="false" ht="23.25" hidden="false" customHeight="true" outlineLevel="0" collapsed="false">
      <c r="B596" s="67" t="str">
        <f aca="false">IFERROR(INDEX(分录报销!$M:$M,MATCH($L596,分录报销!$L:$L,0)),"")</f>
        <v/>
      </c>
      <c r="C596" s="67"/>
      <c r="D596" s="23" t="str">
        <f aca="false">IFERROR(INDEX(分录报销!$E:$E,MATCH($L596,分录报销!$L:$L,0)),"")</f>
        <v/>
      </c>
      <c r="E596" s="23" t="str">
        <f aca="false">IFERROR(INDEX(分录报销!$F:$F,MATCH($L596,分录报销!$L:$L,0)),"")</f>
        <v/>
      </c>
      <c r="F596" s="68" t="str">
        <f aca="false">IFERROR(INDEX(分录报销!$H:$H,MATCH($L596,分录报销!$L:$L,0)),"")</f>
        <v/>
      </c>
      <c r="G596" s="69" t="str">
        <f aca="false">IFERROR(INDEX(分录报销!$I:$I,MATCH($L596,分录报销!$L:$L,0)),"")</f>
        <v/>
      </c>
      <c r="H596" s="23"/>
      <c r="I596" s="70"/>
      <c r="L596" s="71" t="n">
        <f aca="false">IF(助手报销!$R$41="",-1,助手报销!$R$41*100+(助手报销!$S$41-1)*6+6)</f>
        <v>-1</v>
      </c>
    </row>
    <row r="597" customFormat="false" ht="23.25" hidden="false" customHeight="true" outlineLevel="0" collapsed="false">
      <c r="B597" s="72" t="str">
        <f aca="false">IF(助手报销!$T$41=1,"合计：","")</f>
        <v/>
      </c>
      <c r="C597" s="73" t="str">
        <f aca="false">IF(助手报销!$T$41=1,$F597,"")</f>
        <v/>
      </c>
      <c r="D597" s="74"/>
      <c r="E597" s="74"/>
      <c r="F597" s="75" t="str">
        <f aca="false">IF(助手报销!$T$41=1,INDEX(助手报销!$N$2:$N$121,助手报销!$R$41),"")</f>
        <v/>
      </c>
      <c r="G597" s="76" t="str">
        <f aca="false">IF(助手报销!$T$41=1,INDEX(助手报销!$O$2:$O$121,助手报销!$R$41),"")</f>
        <v/>
      </c>
      <c r="H597" s="74"/>
      <c r="I597" s="77"/>
    </row>
    <row r="598" customFormat="false" ht="6" hidden="false" customHeight="true" outlineLevel="0" collapsed="false"/>
    <row r="599" customFormat="false" ht="13.5" hidden="false" customHeight="false" outlineLevel="0" collapsed="false">
      <c r="B599" s="78" t="str">
        <f aca="false">IF(助手报销!$R$41&lt;&gt;"","会计主管：","")</f>
        <v/>
      </c>
      <c r="D599" s="78" t="str">
        <f aca="false">IF(助手报销!$R$41&lt;&gt;"","会计：","")</f>
        <v/>
      </c>
      <c r="E599" s="78" t="str">
        <f aca="false">IF(助手报销!$R$41&lt;&gt;"","出纳：","")</f>
        <v/>
      </c>
      <c r="F599" s="78" t="str">
        <f aca="false">IF(助手报销!$R$41&lt;&gt;"","复核：","")</f>
        <v/>
      </c>
      <c r="G599" s="78" t="str">
        <f aca="false">IF(助手报销!$R$41&lt;&gt;"","制单：","")</f>
        <v/>
      </c>
    </row>
    <row r="600" customFormat="false" ht="3" hidden="false" customHeight="true" outlineLevel="0" collapsed="false"/>
    <row r="601" customFormat="false" ht="19.5" hidden="false" customHeight="true" outlineLevel="0" collapsed="false">
      <c r="B601" s="53" t="str">
        <f aca="false">IF(助手报销!$R$42&lt;&gt;"","记  账  凭  证","")</f>
        <v/>
      </c>
      <c r="C601" s="53"/>
      <c r="D601" s="53"/>
      <c r="E601" s="53"/>
      <c r="F601" s="53"/>
      <c r="G601" s="53"/>
      <c r="H601" s="53"/>
      <c r="I601" s="53"/>
    </row>
    <row r="602" customFormat="false" ht="3" hidden="false" customHeight="true" outlineLevel="0" collapsed="false"/>
    <row r="603" customFormat="false" ht="15" hidden="false" customHeight="true" outlineLevel="0" collapsed="false">
      <c r="C603" s="56" t="str">
        <f aca="false">IF(助手报销!$R$42&lt;&gt;"",INDEX(助手报销!$B$2:$B$121,助手报销!$R$42),"")</f>
        <v/>
      </c>
      <c r="D603" s="57" t="str">
        <f aca="false">IF(助手报销!$R$42&lt;&gt;"",INDEX(助手报销!$D$2:$D$121,助手报销!$R$42),"")</f>
        <v/>
      </c>
      <c r="E603" s="57"/>
      <c r="F603" s="58" t="str">
        <f aca="false">IF(助手报销!$R$42&lt;&gt;"",INDEX(助手报销!$C$2:$C$121,助手报销!$R$42)&amp;"  字第 "&amp;IF(参数!$B$9="是",INDEX(助手报销!$P$2:$P$121,助手报销!$R$42),"　　　　")&amp;" 号"&amp;IF(INDEX(助手报销!$L$2:$L$121,助手报销!$R$42)&gt;1,"  (共"&amp;INDEX(助手报销!$L$2:$L$121,助手报销!$R$42)&amp;"页 第"&amp;助手报销!$S$42&amp;"页)",""),"")</f>
        <v/>
      </c>
      <c r="G603" s="58"/>
      <c r="H603" s="58"/>
      <c r="I603" s="58"/>
      <c r="M603" s="79" t="str">
        <f aca="false">IF(助手报销!$R$42="","",助手报销!$Q$42)</f>
        <v/>
      </c>
      <c r="N603" s="80" t="str">
        <f aca="false">IF(助手报销!$R$42="","",INDEX(助手报销!$P$2:$P$121,助手报销!$R$42))</f>
        <v/>
      </c>
      <c r="O603" s="55" t="str">
        <f aca="false">IF(助手报销!$R$42="","",INDEX(助手报销!$C$2:$C$121,助手报销!$R$42)&amp;"  字第 "&amp;INDEX(助手报销!$P$2:$P$121,助手报销!$R$42)&amp;" 号"&amp;IF(INDEX(助手报销!$L$2:$L$121,助手报销!$R$42)&gt;1,"  (共"&amp;INDEX(助手报销!$L$2:$L$121,助手报销!$R$42)&amp;"页 第"&amp;助手报销!$S$42&amp;"页)",""))</f>
        <v/>
      </c>
    </row>
    <row r="604" customFormat="false" ht="12.75" hidden="false" customHeight="true" outlineLevel="0" collapsed="false">
      <c r="B604" s="61" t="str">
        <f aca="false">IF(助手报销!$R$42&lt;&gt;"","摘　　要","")</f>
        <v/>
      </c>
      <c r="C604" s="61"/>
      <c r="D604" s="62" t="str">
        <f aca="false">IF(助手报销!$R$42&lt;&gt;"","科　　　　目","")</f>
        <v/>
      </c>
      <c r="E604" s="62"/>
      <c r="F604" s="61" t="str">
        <f aca="false">IF(助手报销!$R$42&lt;&gt;"","借 方 金 额","")</f>
        <v/>
      </c>
      <c r="G604" s="62" t="str">
        <f aca="false">IF(助手报销!$R$42&lt;&gt;"","贷 方 金 额","")</f>
        <v/>
      </c>
      <c r="H604" s="63" t="str">
        <f aca="false">IF(助手报销!$R$42&lt;&gt;"","√","")</f>
        <v/>
      </c>
      <c r="I604" s="64" t="str">
        <f aca="false">IF(助手报销!$R$42&lt;&gt;"","附单据  张","")</f>
        <v/>
      </c>
    </row>
    <row r="605" customFormat="false" ht="12.75" hidden="false" customHeight="true" outlineLevel="0" collapsed="false">
      <c r="B605" s="61"/>
      <c r="C605" s="61"/>
      <c r="D605" s="23" t="str">
        <f aca="false">IF(助手报销!$R$42&lt;&gt;"","总 账 科 目","")</f>
        <v/>
      </c>
      <c r="E605" s="23" t="str">
        <f aca="false">IF(助手报销!$R$42&lt;&gt;"","明 细 科 目","")</f>
        <v/>
      </c>
      <c r="F605" s="65"/>
      <c r="G605" s="66"/>
      <c r="H605" s="63"/>
      <c r="I605" s="64"/>
    </row>
    <row r="606" customFormat="false" ht="23.25" hidden="false" customHeight="true" outlineLevel="0" collapsed="false">
      <c r="B606" s="67" t="str">
        <f aca="false">IFERROR(INDEX(分录报销!$M:$M,MATCH($L606,分录报销!$L:$L,0)),"")</f>
        <v/>
      </c>
      <c r="C606" s="67"/>
      <c r="D606" s="23" t="str">
        <f aca="false">IFERROR(INDEX(分录报销!$E:$E,MATCH($L606,分录报销!$L:$L,0)),"")</f>
        <v/>
      </c>
      <c r="E606" s="23" t="str">
        <f aca="false">IFERROR(INDEX(分录报销!$F:$F,MATCH($L606,分录报销!$L:$L,0)),"")</f>
        <v/>
      </c>
      <c r="F606" s="68" t="str">
        <f aca="false">IFERROR(INDEX(分录报销!$H:$H,MATCH($L606,分录报销!$L:$L,0)),"")</f>
        <v/>
      </c>
      <c r="G606" s="69" t="str">
        <f aca="false">IFERROR(INDEX(分录报销!$I:$I,MATCH($L606,分录报销!$L:$L,0)),"")</f>
        <v/>
      </c>
      <c r="H606" s="23"/>
      <c r="I606" s="70"/>
      <c r="L606" s="71" t="n">
        <f aca="false">IF(助手报销!$R$42="",-1,助手报销!$R$42*100+(助手报销!$S$42-1)*6+1)</f>
        <v>-1</v>
      </c>
    </row>
    <row r="607" customFormat="false" ht="23.25" hidden="false" customHeight="true" outlineLevel="0" collapsed="false">
      <c r="B607" s="67" t="str">
        <f aca="false">IFERROR(INDEX(分录报销!$M:$M,MATCH($L607,分录报销!$L:$L,0)),"")</f>
        <v/>
      </c>
      <c r="C607" s="67"/>
      <c r="D607" s="23" t="str">
        <f aca="false">IFERROR(INDEX(分录报销!$E:$E,MATCH($L607,分录报销!$L:$L,0)),"")</f>
        <v/>
      </c>
      <c r="E607" s="23" t="str">
        <f aca="false">IFERROR(INDEX(分录报销!$F:$F,MATCH($L607,分录报销!$L:$L,0)),"")</f>
        <v/>
      </c>
      <c r="F607" s="68" t="str">
        <f aca="false">IFERROR(INDEX(分录报销!$H:$H,MATCH($L607,分录报销!$L:$L,0)),"")</f>
        <v/>
      </c>
      <c r="G607" s="69" t="str">
        <f aca="false">IFERROR(INDEX(分录报销!$I:$I,MATCH($L607,分录报销!$L:$L,0)),"")</f>
        <v/>
      </c>
      <c r="H607" s="23"/>
      <c r="I607" s="70"/>
      <c r="L607" s="71" t="n">
        <f aca="false">IF(助手报销!$R$42="",-1,助手报销!$R$42*100+(助手报销!$S$42-1)*6+2)</f>
        <v>-1</v>
      </c>
    </row>
    <row r="608" customFormat="false" ht="23.25" hidden="false" customHeight="true" outlineLevel="0" collapsed="false">
      <c r="B608" s="67" t="str">
        <f aca="false">IFERROR(INDEX(分录报销!$M:$M,MATCH($L608,分录报销!$L:$L,0)),"")</f>
        <v/>
      </c>
      <c r="C608" s="67"/>
      <c r="D608" s="23" t="str">
        <f aca="false">IFERROR(INDEX(分录报销!$E:$E,MATCH($L608,分录报销!$L:$L,0)),"")</f>
        <v/>
      </c>
      <c r="E608" s="23" t="str">
        <f aca="false">IFERROR(INDEX(分录报销!$F:$F,MATCH($L608,分录报销!$L:$L,0)),"")</f>
        <v/>
      </c>
      <c r="F608" s="68" t="str">
        <f aca="false">IFERROR(INDEX(分录报销!$H:$H,MATCH($L608,分录报销!$L:$L,0)),"")</f>
        <v/>
      </c>
      <c r="G608" s="69" t="str">
        <f aca="false">IFERROR(INDEX(分录报销!$I:$I,MATCH($L608,分录报销!$L:$L,0)),"")</f>
        <v/>
      </c>
      <c r="H608" s="23"/>
      <c r="I608" s="70"/>
      <c r="L608" s="71" t="n">
        <f aca="false">IF(助手报销!$R$42="",-1,助手报销!$R$42*100+(助手报销!$S$42-1)*6+3)</f>
        <v>-1</v>
      </c>
    </row>
    <row r="609" customFormat="false" ht="23.25" hidden="false" customHeight="true" outlineLevel="0" collapsed="false">
      <c r="B609" s="67" t="str">
        <f aca="false">IFERROR(INDEX(分录报销!$M:$M,MATCH($L609,分录报销!$L:$L,0)),"")</f>
        <v/>
      </c>
      <c r="C609" s="67"/>
      <c r="D609" s="23" t="str">
        <f aca="false">IFERROR(INDEX(分录报销!$E:$E,MATCH($L609,分录报销!$L:$L,0)),"")</f>
        <v/>
      </c>
      <c r="E609" s="23" t="str">
        <f aca="false">IFERROR(INDEX(分录报销!$F:$F,MATCH($L609,分录报销!$L:$L,0)),"")</f>
        <v/>
      </c>
      <c r="F609" s="68" t="str">
        <f aca="false">IFERROR(INDEX(分录报销!$H:$H,MATCH($L609,分录报销!$L:$L,0)),"")</f>
        <v/>
      </c>
      <c r="G609" s="69" t="str">
        <f aca="false">IFERROR(INDEX(分录报销!$I:$I,MATCH($L609,分录报销!$L:$L,0)),"")</f>
        <v/>
      </c>
      <c r="H609" s="23"/>
      <c r="I609" s="70"/>
      <c r="L609" s="71" t="n">
        <f aca="false">IF(助手报销!$R$42="",-1,助手报销!$R$42*100+(助手报销!$S$42-1)*6+4)</f>
        <v>-1</v>
      </c>
    </row>
    <row r="610" customFormat="false" ht="23.25" hidden="false" customHeight="true" outlineLevel="0" collapsed="false">
      <c r="B610" s="67" t="str">
        <f aca="false">IFERROR(INDEX(分录报销!$M:$M,MATCH($L610,分录报销!$L:$L,0)),"")</f>
        <v/>
      </c>
      <c r="C610" s="67"/>
      <c r="D610" s="23" t="str">
        <f aca="false">IFERROR(INDEX(分录报销!$E:$E,MATCH($L610,分录报销!$L:$L,0)),"")</f>
        <v/>
      </c>
      <c r="E610" s="23" t="str">
        <f aca="false">IFERROR(INDEX(分录报销!$F:$F,MATCH($L610,分录报销!$L:$L,0)),"")</f>
        <v/>
      </c>
      <c r="F610" s="68" t="str">
        <f aca="false">IFERROR(INDEX(分录报销!$H:$H,MATCH($L610,分录报销!$L:$L,0)),"")</f>
        <v/>
      </c>
      <c r="G610" s="69" t="str">
        <f aca="false">IFERROR(INDEX(分录报销!$I:$I,MATCH($L610,分录报销!$L:$L,0)),"")</f>
        <v/>
      </c>
      <c r="H610" s="23"/>
      <c r="I610" s="70"/>
      <c r="L610" s="71" t="n">
        <f aca="false">IF(助手报销!$R$42="",-1,助手报销!$R$42*100+(助手报销!$S$42-1)*6+5)</f>
        <v>-1</v>
      </c>
    </row>
    <row r="611" customFormat="false" ht="23.25" hidden="false" customHeight="true" outlineLevel="0" collapsed="false">
      <c r="B611" s="67" t="str">
        <f aca="false">IFERROR(INDEX(分录报销!$M:$M,MATCH($L611,分录报销!$L:$L,0)),"")</f>
        <v/>
      </c>
      <c r="C611" s="67"/>
      <c r="D611" s="23" t="str">
        <f aca="false">IFERROR(INDEX(分录报销!$E:$E,MATCH($L611,分录报销!$L:$L,0)),"")</f>
        <v/>
      </c>
      <c r="E611" s="23" t="str">
        <f aca="false">IFERROR(INDEX(分录报销!$F:$F,MATCH($L611,分录报销!$L:$L,0)),"")</f>
        <v/>
      </c>
      <c r="F611" s="68" t="str">
        <f aca="false">IFERROR(INDEX(分录报销!$H:$H,MATCH($L611,分录报销!$L:$L,0)),"")</f>
        <v/>
      </c>
      <c r="G611" s="69" t="str">
        <f aca="false">IFERROR(INDEX(分录报销!$I:$I,MATCH($L611,分录报销!$L:$L,0)),"")</f>
        <v/>
      </c>
      <c r="H611" s="23"/>
      <c r="I611" s="70"/>
      <c r="L611" s="71" t="n">
        <f aca="false">IF(助手报销!$R$42="",-1,助手报销!$R$42*100+(助手报销!$S$42-1)*6+6)</f>
        <v>-1</v>
      </c>
    </row>
    <row r="612" customFormat="false" ht="23.25" hidden="false" customHeight="true" outlineLevel="0" collapsed="false">
      <c r="B612" s="72" t="str">
        <f aca="false">IF(助手报销!$T$42=1,"合计：","")</f>
        <v/>
      </c>
      <c r="C612" s="73" t="str">
        <f aca="false">IF(助手报销!$T$42=1,$F612,"")</f>
        <v/>
      </c>
      <c r="D612" s="74"/>
      <c r="E612" s="74"/>
      <c r="F612" s="75" t="str">
        <f aca="false">IF(助手报销!$T$42=1,INDEX(助手报销!$N$2:$N$121,助手报销!$R$42),"")</f>
        <v/>
      </c>
      <c r="G612" s="76" t="str">
        <f aca="false">IF(助手报销!$T$42=1,INDEX(助手报销!$O$2:$O$121,助手报销!$R$42),"")</f>
        <v/>
      </c>
      <c r="H612" s="74"/>
      <c r="I612" s="77"/>
    </row>
    <row r="613" customFormat="false" ht="6" hidden="false" customHeight="true" outlineLevel="0" collapsed="false"/>
    <row r="614" customFormat="false" ht="13.5" hidden="false" customHeight="false" outlineLevel="0" collapsed="false">
      <c r="B614" s="78" t="str">
        <f aca="false">IF(助手报销!$R$42&lt;&gt;"","会计主管：","")</f>
        <v/>
      </c>
      <c r="D614" s="78" t="str">
        <f aca="false">IF(助手报销!$R$42&lt;&gt;"","会计：","")</f>
        <v/>
      </c>
      <c r="E614" s="78" t="str">
        <f aca="false">IF(助手报销!$R$42&lt;&gt;"","出纳：","")</f>
        <v/>
      </c>
      <c r="F614" s="78" t="str">
        <f aca="false">IF(助手报销!$R$42&lt;&gt;"","复核：","")</f>
        <v/>
      </c>
      <c r="G614" s="78" t="str">
        <f aca="false">IF(助手报销!$R$42&lt;&gt;"","制单：","")</f>
        <v/>
      </c>
    </row>
    <row r="615" customFormat="false" ht="3" hidden="false" customHeight="true" outlineLevel="0" collapsed="false"/>
    <row r="616" customFormat="false" ht="19.5" hidden="false" customHeight="true" outlineLevel="0" collapsed="false">
      <c r="B616" s="53" t="str">
        <f aca="false">IF(助手报销!$R$43&lt;&gt;"","记  账  凭  证","")</f>
        <v/>
      </c>
      <c r="C616" s="53"/>
      <c r="D616" s="53"/>
      <c r="E616" s="53"/>
      <c r="F616" s="53"/>
      <c r="G616" s="53"/>
      <c r="H616" s="53"/>
      <c r="I616" s="53"/>
    </row>
    <row r="617" customFormat="false" ht="3" hidden="false" customHeight="true" outlineLevel="0" collapsed="false"/>
    <row r="618" customFormat="false" ht="15" hidden="false" customHeight="true" outlineLevel="0" collapsed="false">
      <c r="C618" s="56" t="str">
        <f aca="false">IF(助手报销!$R$43&lt;&gt;"",INDEX(助手报销!$B$2:$B$121,助手报销!$R$43),"")</f>
        <v/>
      </c>
      <c r="D618" s="57" t="str">
        <f aca="false">IF(助手报销!$R$43&lt;&gt;"",INDEX(助手报销!$D$2:$D$121,助手报销!$R$43),"")</f>
        <v/>
      </c>
      <c r="E618" s="57"/>
      <c r="F618" s="58" t="str">
        <f aca="false">IF(助手报销!$R$43&lt;&gt;"",INDEX(助手报销!$C$2:$C$121,助手报销!$R$43)&amp;"  字第 "&amp;IF(参数!$B$9="是",INDEX(助手报销!$P$2:$P$121,助手报销!$R$43),"　　　　")&amp;" 号"&amp;IF(INDEX(助手报销!$L$2:$L$121,助手报销!$R$43)&gt;1,"  (共"&amp;INDEX(助手报销!$L$2:$L$121,助手报销!$R$43)&amp;"页 第"&amp;助手报销!$S$43&amp;"页)",""),"")</f>
        <v/>
      </c>
      <c r="G618" s="58"/>
      <c r="H618" s="58"/>
      <c r="I618" s="58"/>
      <c r="M618" s="79" t="str">
        <f aca="false">IF(助手报销!$R$43="","",助手报销!$Q$43)</f>
        <v/>
      </c>
      <c r="N618" s="80" t="str">
        <f aca="false">IF(助手报销!$R$43="","",INDEX(助手报销!$P$2:$P$121,助手报销!$R$43))</f>
        <v/>
      </c>
      <c r="O618" s="55" t="str">
        <f aca="false">IF(助手报销!$R$43="","",INDEX(助手报销!$C$2:$C$121,助手报销!$R$43)&amp;"  字第 "&amp;INDEX(助手报销!$P$2:$P$121,助手报销!$R$43)&amp;" 号"&amp;IF(INDEX(助手报销!$L$2:$L$121,助手报销!$R$43)&gt;1,"  (共"&amp;INDEX(助手报销!$L$2:$L$121,助手报销!$R$43)&amp;"页 第"&amp;助手报销!$S$43&amp;"页)",""))</f>
        <v/>
      </c>
    </row>
    <row r="619" customFormat="false" ht="12.75" hidden="false" customHeight="true" outlineLevel="0" collapsed="false">
      <c r="B619" s="61" t="str">
        <f aca="false">IF(助手报销!$R$43&lt;&gt;"","摘　　要","")</f>
        <v/>
      </c>
      <c r="C619" s="61"/>
      <c r="D619" s="62" t="str">
        <f aca="false">IF(助手报销!$R$43&lt;&gt;"","科　　　　目","")</f>
        <v/>
      </c>
      <c r="E619" s="62"/>
      <c r="F619" s="61" t="str">
        <f aca="false">IF(助手报销!$R$43&lt;&gt;"","借 方 金 额","")</f>
        <v/>
      </c>
      <c r="G619" s="62" t="str">
        <f aca="false">IF(助手报销!$R$43&lt;&gt;"","贷 方 金 额","")</f>
        <v/>
      </c>
      <c r="H619" s="63" t="str">
        <f aca="false">IF(助手报销!$R$43&lt;&gt;"","√","")</f>
        <v/>
      </c>
      <c r="I619" s="64" t="str">
        <f aca="false">IF(助手报销!$R$43&lt;&gt;"","附单据  张","")</f>
        <v/>
      </c>
    </row>
    <row r="620" customFormat="false" ht="12.75" hidden="false" customHeight="true" outlineLevel="0" collapsed="false">
      <c r="B620" s="61"/>
      <c r="C620" s="61"/>
      <c r="D620" s="23" t="str">
        <f aca="false">IF(助手报销!$R$43&lt;&gt;"","总 账 科 目","")</f>
        <v/>
      </c>
      <c r="E620" s="23" t="str">
        <f aca="false">IF(助手报销!$R$43&lt;&gt;"","明 细 科 目","")</f>
        <v/>
      </c>
      <c r="F620" s="65"/>
      <c r="G620" s="66"/>
      <c r="H620" s="63"/>
      <c r="I620" s="64"/>
    </row>
    <row r="621" customFormat="false" ht="23.25" hidden="false" customHeight="true" outlineLevel="0" collapsed="false">
      <c r="B621" s="67" t="str">
        <f aca="false">IFERROR(INDEX(分录报销!$M:$M,MATCH($L621,分录报销!$L:$L,0)),"")</f>
        <v/>
      </c>
      <c r="C621" s="67"/>
      <c r="D621" s="23" t="str">
        <f aca="false">IFERROR(INDEX(分录报销!$E:$E,MATCH($L621,分录报销!$L:$L,0)),"")</f>
        <v/>
      </c>
      <c r="E621" s="23" t="str">
        <f aca="false">IFERROR(INDEX(分录报销!$F:$F,MATCH($L621,分录报销!$L:$L,0)),"")</f>
        <v/>
      </c>
      <c r="F621" s="68" t="str">
        <f aca="false">IFERROR(INDEX(分录报销!$H:$H,MATCH($L621,分录报销!$L:$L,0)),"")</f>
        <v/>
      </c>
      <c r="G621" s="69" t="str">
        <f aca="false">IFERROR(INDEX(分录报销!$I:$I,MATCH($L621,分录报销!$L:$L,0)),"")</f>
        <v/>
      </c>
      <c r="H621" s="23"/>
      <c r="I621" s="70"/>
      <c r="L621" s="71" t="n">
        <f aca="false">IF(助手报销!$R$43="",-1,助手报销!$R$43*100+(助手报销!$S$43-1)*6+1)</f>
        <v>-1</v>
      </c>
    </row>
    <row r="622" customFormat="false" ht="23.25" hidden="false" customHeight="true" outlineLevel="0" collapsed="false">
      <c r="B622" s="67" t="str">
        <f aca="false">IFERROR(INDEX(分录报销!$M:$M,MATCH($L622,分录报销!$L:$L,0)),"")</f>
        <v/>
      </c>
      <c r="C622" s="67"/>
      <c r="D622" s="23" t="str">
        <f aca="false">IFERROR(INDEX(分录报销!$E:$E,MATCH($L622,分录报销!$L:$L,0)),"")</f>
        <v/>
      </c>
      <c r="E622" s="23" t="str">
        <f aca="false">IFERROR(INDEX(分录报销!$F:$F,MATCH($L622,分录报销!$L:$L,0)),"")</f>
        <v/>
      </c>
      <c r="F622" s="68" t="str">
        <f aca="false">IFERROR(INDEX(分录报销!$H:$H,MATCH($L622,分录报销!$L:$L,0)),"")</f>
        <v/>
      </c>
      <c r="G622" s="69" t="str">
        <f aca="false">IFERROR(INDEX(分录报销!$I:$I,MATCH($L622,分录报销!$L:$L,0)),"")</f>
        <v/>
      </c>
      <c r="H622" s="23"/>
      <c r="I622" s="70"/>
      <c r="L622" s="71" t="n">
        <f aca="false">IF(助手报销!$R$43="",-1,助手报销!$R$43*100+(助手报销!$S$43-1)*6+2)</f>
        <v>-1</v>
      </c>
    </row>
    <row r="623" customFormat="false" ht="23.25" hidden="false" customHeight="true" outlineLevel="0" collapsed="false">
      <c r="B623" s="67" t="str">
        <f aca="false">IFERROR(INDEX(分录报销!$M:$M,MATCH($L623,分录报销!$L:$L,0)),"")</f>
        <v/>
      </c>
      <c r="C623" s="67"/>
      <c r="D623" s="23" t="str">
        <f aca="false">IFERROR(INDEX(分录报销!$E:$E,MATCH($L623,分录报销!$L:$L,0)),"")</f>
        <v/>
      </c>
      <c r="E623" s="23" t="str">
        <f aca="false">IFERROR(INDEX(分录报销!$F:$F,MATCH($L623,分录报销!$L:$L,0)),"")</f>
        <v/>
      </c>
      <c r="F623" s="68" t="str">
        <f aca="false">IFERROR(INDEX(分录报销!$H:$H,MATCH($L623,分录报销!$L:$L,0)),"")</f>
        <v/>
      </c>
      <c r="G623" s="69" t="str">
        <f aca="false">IFERROR(INDEX(分录报销!$I:$I,MATCH($L623,分录报销!$L:$L,0)),"")</f>
        <v/>
      </c>
      <c r="H623" s="23"/>
      <c r="I623" s="70"/>
      <c r="L623" s="71" t="n">
        <f aca="false">IF(助手报销!$R$43="",-1,助手报销!$R$43*100+(助手报销!$S$43-1)*6+3)</f>
        <v>-1</v>
      </c>
    </row>
    <row r="624" customFormat="false" ht="23.25" hidden="false" customHeight="true" outlineLevel="0" collapsed="false">
      <c r="B624" s="67" t="str">
        <f aca="false">IFERROR(INDEX(分录报销!$M:$M,MATCH($L624,分录报销!$L:$L,0)),"")</f>
        <v/>
      </c>
      <c r="C624" s="67"/>
      <c r="D624" s="23" t="str">
        <f aca="false">IFERROR(INDEX(分录报销!$E:$E,MATCH($L624,分录报销!$L:$L,0)),"")</f>
        <v/>
      </c>
      <c r="E624" s="23" t="str">
        <f aca="false">IFERROR(INDEX(分录报销!$F:$F,MATCH($L624,分录报销!$L:$L,0)),"")</f>
        <v/>
      </c>
      <c r="F624" s="68" t="str">
        <f aca="false">IFERROR(INDEX(分录报销!$H:$H,MATCH($L624,分录报销!$L:$L,0)),"")</f>
        <v/>
      </c>
      <c r="G624" s="69" t="str">
        <f aca="false">IFERROR(INDEX(分录报销!$I:$I,MATCH($L624,分录报销!$L:$L,0)),"")</f>
        <v/>
      </c>
      <c r="H624" s="23"/>
      <c r="I624" s="70"/>
      <c r="L624" s="71" t="n">
        <f aca="false">IF(助手报销!$R$43="",-1,助手报销!$R$43*100+(助手报销!$S$43-1)*6+4)</f>
        <v>-1</v>
      </c>
    </row>
    <row r="625" customFormat="false" ht="23.25" hidden="false" customHeight="true" outlineLevel="0" collapsed="false">
      <c r="B625" s="67" t="str">
        <f aca="false">IFERROR(INDEX(分录报销!$M:$M,MATCH($L625,分录报销!$L:$L,0)),"")</f>
        <v/>
      </c>
      <c r="C625" s="67"/>
      <c r="D625" s="23" t="str">
        <f aca="false">IFERROR(INDEX(分录报销!$E:$E,MATCH($L625,分录报销!$L:$L,0)),"")</f>
        <v/>
      </c>
      <c r="E625" s="23" t="str">
        <f aca="false">IFERROR(INDEX(分录报销!$F:$F,MATCH($L625,分录报销!$L:$L,0)),"")</f>
        <v/>
      </c>
      <c r="F625" s="68" t="str">
        <f aca="false">IFERROR(INDEX(分录报销!$H:$H,MATCH($L625,分录报销!$L:$L,0)),"")</f>
        <v/>
      </c>
      <c r="G625" s="69" t="str">
        <f aca="false">IFERROR(INDEX(分录报销!$I:$I,MATCH($L625,分录报销!$L:$L,0)),"")</f>
        <v/>
      </c>
      <c r="H625" s="23"/>
      <c r="I625" s="70"/>
      <c r="L625" s="71" t="n">
        <f aca="false">IF(助手报销!$R$43="",-1,助手报销!$R$43*100+(助手报销!$S$43-1)*6+5)</f>
        <v>-1</v>
      </c>
    </row>
    <row r="626" customFormat="false" ht="23.25" hidden="false" customHeight="true" outlineLevel="0" collapsed="false">
      <c r="B626" s="67" t="str">
        <f aca="false">IFERROR(INDEX(分录报销!$M:$M,MATCH($L626,分录报销!$L:$L,0)),"")</f>
        <v/>
      </c>
      <c r="C626" s="67"/>
      <c r="D626" s="23" t="str">
        <f aca="false">IFERROR(INDEX(分录报销!$E:$E,MATCH($L626,分录报销!$L:$L,0)),"")</f>
        <v/>
      </c>
      <c r="E626" s="23" t="str">
        <f aca="false">IFERROR(INDEX(分录报销!$F:$F,MATCH($L626,分录报销!$L:$L,0)),"")</f>
        <v/>
      </c>
      <c r="F626" s="68" t="str">
        <f aca="false">IFERROR(INDEX(分录报销!$H:$H,MATCH($L626,分录报销!$L:$L,0)),"")</f>
        <v/>
      </c>
      <c r="G626" s="69" t="str">
        <f aca="false">IFERROR(INDEX(分录报销!$I:$I,MATCH($L626,分录报销!$L:$L,0)),"")</f>
        <v/>
      </c>
      <c r="H626" s="23"/>
      <c r="I626" s="70"/>
      <c r="L626" s="71" t="n">
        <f aca="false">IF(助手报销!$R$43="",-1,助手报销!$R$43*100+(助手报销!$S$43-1)*6+6)</f>
        <v>-1</v>
      </c>
    </row>
    <row r="627" customFormat="false" ht="23.25" hidden="false" customHeight="true" outlineLevel="0" collapsed="false">
      <c r="B627" s="72" t="str">
        <f aca="false">IF(助手报销!$T$43=1,"合计：","")</f>
        <v/>
      </c>
      <c r="C627" s="73" t="str">
        <f aca="false">IF(助手报销!$T$43=1,$F627,"")</f>
        <v/>
      </c>
      <c r="D627" s="74"/>
      <c r="E627" s="74"/>
      <c r="F627" s="75" t="str">
        <f aca="false">IF(助手报销!$T$43=1,INDEX(助手报销!$N$2:$N$121,助手报销!$R$43),"")</f>
        <v/>
      </c>
      <c r="G627" s="76" t="str">
        <f aca="false">IF(助手报销!$T$43=1,INDEX(助手报销!$O$2:$O$121,助手报销!$R$43),"")</f>
        <v/>
      </c>
      <c r="H627" s="74"/>
      <c r="I627" s="77"/>
    </row>
    <row r="628" customFormat="false" ht="6" hidden="false" customHeight="true" outlineLevel="0" collapsed="false"/>
    <row r="629" customFormat="false" ht="13.5" hidden="false" customHeight="false" outlineLevel="0" collapsed="false">
      <c r="B629" s="78" t="str">
        <f aca="false">IF(助手报销!$R$43&lt;&gt;"","会计主管：","")</f>
        <v/>
      </c>
      <c r="D629" s="78" t="str">
        <f aca="false">IF(助手报销!$R$43&lt;&gt;"","会计：","")</f>
        <v/>
      </c>
      <c r="E629" s="78" t="str">
        <f aca="false">IF(助手报销!$R$43&lt;&gt;"","出纳：","")</f>
        <v/>
      </c>
      <c r="F629" s="78" t="str">
        <f aca="false">IF(助手报销!$R$43&lt;&gt;"","复核：","")</f>
        <v/>
      </c>
      <c r="G629" s="78" t="str">
        <f aca="false">IF(助手报销!$R$43&lt;&gt;"","制单：","")</f>
        <v/>
      </c>
    </row>
    <row r="630" customFormat="false" ht="3" hidden="false" customHeight="true" outlineLevel="0" collapsed="false"/>
    <row r="631" customFormat="false" ht="19.5" hidden="false" customHeight="true" outlineLevel="0" collapsed="false">
      <c r="B631" s="53" t="str">
        <f aca="false">IF(助手报销!$R$44&lt;&gt;"","记  账  凭  证","")</f>
        <v/>
      </c>
      <c r="C631" s="53"/>
      <c r="D631" s="53"/>
      <c r="E631" s="53"/>
      <c r="F631" s="53"/>
      <c r="G631" s="53"/>
      <c r="H631" s="53"/>
      <c r="I631" s="53"/>
    </row>
    <row r="632" customFormat="false" ht="3" hidden="false" customHeight="true" outlineLevel="0" collapsed="false"/>
    <row r="633" customFormat="false" ht="15" hidden="false" customHeight="true" outlineLevel="0" collapsed="false">
      <c r="C633" s="56" t="str">
        <f aca="false">IF(助手报销!$R$44&lt;&gt;"",INDEX(助手报销!$B$2:$B$121,助手报销!$R$44),"")</f>
        <v/>
      </c>
      <c r="D633" s="57" t="str">
        <f aca="false">IF(助手报销!$R$44&lt;&gt;"",INDEX(助手报销!$D$2:$D$121,助手报销!$R$44),"")</f>
        <v/>
      </c>
      <c r="E633" s="57"/>
      <c r="F633" s="58" t="str">
        <f aca="false">IF(助手报销!$R$44&lt;&gt;"",INDEX(助手报销!$C$2:$C$121,助手报销!$R$44)&amp;"  字第 "&amp;IF(参数!$B$9="是",INDEX(助手报销!$P$2:$P$121,助手报销!$R$44),"　　　　")&amp;" 号"&amp;IF(INDEX(助手报销!$L$2:$L$121,助手报销!$R$44)&gt;1,"  (共"&amp;INDEX(助手报销!$L$2:$L$121,助手报销!$R$44)&amp;"页 第"&amp;助手报销!$S$44&amp;"页)",""),"")</f>
        <v/>
      </c>
      <c r="G633" s="58"/>
      <c r="H633" s="58"/>
      <c r="I633" s="58"/>
      <c r="M633" s="79" t="str">
        <f aca="false">IF(助手报销!$R$44="","",助手报销!$Q$44)</f>
        <v/>
      </c>
      <c r="N633" s="80" t="str">
        <f aca="false">IF(助手报销!$R$44="","",INDEX(助手报销!$P$2:$P$121,助手报销!$R$44))</f>
        <v/>
      </c>
      <c r="O633" s="55" t="str">
        <f aca="false">IF(助手报销!$R$44="","",INDEX(助手报销!$C$2:$C$121,助手报销!$R$44)&amp;"  字第 "&amp;INDEX(助手报销!$P$2:$P$121,助手报销!$R$44)&amp;" 号"&amp;IF(INDEX(助手报销!$L$2:$L$121,助手报销!$R$44)&gt;1,"  (共"&amp;INDEX(助手报销!$L$2:$L$121,助手报销!$R$44)&amp;"页 第"&amp;助手报销!$S$44&amp;"页)",""))</f>
        <v/>
      </c>
    </row>
    <row r="634" customFormat="false" ht="12.75" hidden="false" customHeight="true" outlineLevel="0" collapsed="false">
      <c r="B634" s="61" t="str">
        <f aca="false">IF(助手报销!$R$44&lt;&gt;"","摘　　要","")</f>
        <v/>
      </c>
      <c r="C634" s="61"/>
      <c r="D634" s="62" t="str">
        <f aca="false">IF(助手报销!$R$44&lt;&gt;"","科　　　　目","")</f>
        <v/>
      </c>
      <c r="E634" s="62"/>
      <c r="F634" s="61" t="str">
        <f aca="false">IF(助手报销!$R$44&lt;&gt;"","借 方 金 额","")</f>
        <v/>
      </c>
      <c r="G634" s="62" t="str">
        <f aca="false">IF(助手报销!$R$44&lt;&gt;"","贷 方 金 额","")</f>
        <v/>
      </c>
      <c r="H634" s="63" t="str">
        <f aca="false">IF(助手报销!$R$44&lt;&gt;"","√","")</f>
        <v/>
      </c>
      <c r="I634" s="64" t="str">
        <f aca="false">IF(助手报销!$R$44&lt;&gt;"","附单据  张","")</f>
        <v/>
      </c>
    </row>
    <row r="635" customFormat="false" ht="12.75" hidden="false" customHeight="true" outlineLevel="0" collapsed="false">
      <c r="B635" s="61"/>
      <c r="C635" s="61"/>
      <c r="D635" s="23" t="str">
        <f aca="false">IF(助手报销!$R$44&lt;&gt;"","总 账 科 目","")</f>
        <v/>
      </c>
      <c r="E635" s="23" t="str">
        <f aca="false">IF(助手报销!$R$44&lt;&gt;"","明 细 科 目","")</f>
        <v/>
      </c>
      <c r="F635" s="65"/>
      <c r="G635" s="66"/>
      <c r="H635" s="63"/>
      <c r="I635" s="64"/>
    </row>
    <row r="636" customFormat="false" ht="23.25" hidden="false" customHeight="true" outlineLevel="0" collapsed="false">
      <c r="B636" s="67" t="str">
        <f aca="false">IFERROR(INDEX(分录报销!$M:$M,MATCH($L636,分录报销!$L:$L,0)),"")</f>
        <v/>
      </c>
      <c r="C636" s="67"/>
      <c r="D636" s="23" t="str">
        <f aca="false">IFERROR(INDEX(分录报销!$E:$E,MATCH($L636,分录报销!$L:$L,0)),"")</f>
        <v/>
      </c>
      <c r="E636" s="23" t="str">
        <f aca="false">IFERROR(INDEX(分录报销!$F:$F,MATCH($L636,分录报销!$L:$L,0)),"")</f>
        <v/>
      </c>
      <c r="F636" s="68" t="str">
        <f aca="false">IFERROR(INDEX(分录报销!$H:$H,MATCH($L636,分录报销!$L:$L,0)),"")</f>
        <v/>
      </c>
      <c r="G636" s="69" t="str">
        <f aca="false">IFERROR(INDEX(分录报销!$I:$I,MATCH($L636,分录报销!$L:$L,0)),"")</f>
        <v/>
      </c>
      <c r="H636" s="23"/>
      <c r="I636" s="70"/>
      <c r="L636" s="71" t="n">
        <f aca="false">IF(助手报销!$R$44="",-1,助手报销!$R$44*100+(助手报销!$S$44-1)*6+1)</f>
        <v>-1</v>
      </c>
    </row>
    <row r="637" customFormat="false" ht="23.25" hidden="false" customHeight="true" outlineLevel="0" collapsed="false">
      <c r="B637" s="67" t="str">
        <f aca="false">IFERROR(INDEX(分录报销!$M:$M,MATCH($L637,分录报销!$L:$L,0)),"")</f>
        <v/>
      </c>
      <c r="C637" s="67"/>
      <c r="D637" s="23" t="str">
        <f aca="false">IFERROR(INDEX(分录报销!$E:$E,MATCH($L637,分录报销!$L:$L,0)),"")</f>
        <v/>
      </c>
      <c r="E637" s="23" t="str">
        <f aca="false">IFERROR(INDEX(分录报销!$F:$F,MATCH($L637,分录报销!$L:$L,0)),"")</f>
        <v/>
      </c>
      <c r="F637" s="68" t="str">
        <f aca="false">IFERROR(INDEX(分录报销!$H:$H,MATCH($L637,分录报销!$L:$L,0)),"")</f>
        <v/>
      </c>
      <c r="G637" s="69" t="str">
        <f aca="false">IFERROR(INDEX(分录报销!$I:$I,MATCH($L637,分录报销!$L:$L,0)),"")</f>
        <v/>
      </c>
      <c r="H637" s="23"/>
      <c r="I637" s="70"/>
      <c r="L637" s="71" t="n">
        <f aca="false">IF(助手报销!$R$44="",-1,助手报销!$R$44*100+(助手报销!$S$44-1)*6+2)</f>
        <v>-1</v>
      </c>
    </row>
    <row r="638" customFormat="false" ht="23.25" hidden="false" customHeight="true" outlineLevel="0" collapsed="false">
      <c r="B638" s="67" t="str">
        <f aca="false">IFERROR(INDEX(分录报销!$M:$M,MATCH($L638,分录报销!$L:$L,0)),"")</f>
        <v/>
      </c>
      <c r="C638" s="67"/>
      <c r="D638" s="23" t="str">
        <f aca="false">IFERROR(INDEX(分录报销!$E:$E,MATCH($L638,分录报销!$L:$L,0)),"")</f>
        <v/>
      </c>
      <c r="E638" s="23" t="str">
        <f aca="false">IFERROR(INDEX(分录报销!$F:$F,MATCH($L638,分录报销!$L:$L,0)),"")</f>
        <v/>
      </c>
      <c r="F638" s="68" t="str">
        <f aca="false">IFERROR(INDEX(分录报销!$H:$H,MATCH($L638,分录报销!$L:$L,0)),"")</f>
        <v/>
      </c>
      <c r="G638" s="69" t="str">
        <f aca="false">IFERROR(INDEX(分录报销!$I:$I,MATCH($L638,分录报销!$L:$L,0)),"")</f>
        <v/>
      </c>
      <c r="H638" s="23"/>
      <c r="I638" s="70"/>
      <c r="L638" s="71" t="n">
        <f aca="false">IF(助手报销!$R$44="",-1,助手报销!$R$44*100+(助手报销!$S$44-1)*6+3)</f>
        <v>-1</v>
      </c>
    </row>
    <row r="639" customFormat="false" ht="23.25" hidden="false" customHeight="true" outlineLevel="0" collapsed="false">
      <c r="B639" s="67" t="str">
        <f aca="false">IFERROR(INDEX(分录报销!$M:$M,MATCH($L639,分录报销!$L:$L,0)),"")</f>
        <v/>
      </c>
      <c r="C639" s="67"/>
      <c r="D639" s="23" t="str">
        <f aca="false">IFERROR(INDEX(分录报销!$E:$E,MATCH($L639,分录报销!$L:$L,0)),"")</f>
        <v/>
      </c>
      <c r="E639" s="23" t="str">
        <f aca="false">IFERROR(INDEX(分录报销!$F:$F,MATCH($L639,分录报销!$L:$L,0)),"")</f>
        <v/>
      </c>
      <c r="F639" s="68" t="str">
        <f aca="false">IFERROR(INDEX(分录报销!$H:$H,MATCH($L639,分录报销!$L:$L,0)),"")</f>
        <v/>
      </c>
      <c r="G639" s="69" t="str">
        <f aca="false">IFERROR(INDEX(分录报销!$I:$I,MATCH($L639,分录报销!$L:$L,0)),"")</f>
        <v/>
      </c>
      <c r="H639" s="23"/>
      <c r="I639" s="70"/>
      <c r="L639" s="71" t="n">
        <f aca="false">IF(助手报销!$R$44="",-1,助手报销!$R$44*100+(助手报销!$S$44-1)*6+4)</f>
        <v>-1</v>
      </c>
    </row>
    <row r="640" customFormat="false" ht="23.25" hidden="false" customHeight="true" outlineLevel="0" collapsed="false">
      <c r="B640" s="67" t="str">
        <f aca="false">IFERROR(INDEX(分录报销!$M:$M,MATCH($L640,分录报销!$L:$L,0)),"")</f>
        <v/>
      </c>
      <c r="C640" s="67"/>
      <c r="D640" s="23" t="str">
        <f aca="false">IFERROR(INDEX(分录报销!$E:$E,MATCH($L640,分录报销!$L:$L,0)),"")</f>
        <v/>
      </c>
      <c r="E640" s="23" t="str">
        <f aca="false">IFERROR(INDEX(分录报销!$F:$F,MATCH($L640,分录报销!$L:$L,0)),"")</f>
        <v/>
      </c>
      <c r="F640" s="68" t="str">
        <f aca="false">IFERROR(INDEX(分录报销!$H:$H,MATCH($L640,分录报销!$L:$L,0)),"")</f>
        <v/>
      </c>
      <c r="G640" s="69" t="str">
        <f aca="false">IFERROR(INDEX(分录报销!$I:$I,MATCH($L640,分录报销!$L:$L,0)),"")</f>
        <v/>
      </c>
      <c r="H640" s="23"/>
      <c r="I640" s="70"/>
      <c r="L640" s="71" t="n">
        <f aca="false">IF(助手报销!$R$44="",-1,助手报销!$R$44*100+(助手报销!$S$44-1)*6+5)</f>
        <v>-1</v>
      </c>
    </row>
    <row r="641" customFormat="false" ht="23.25" hidden="false" customHeight="true" outlineLevel="0" collapsed="false">
      <c r="B641" s="67" t="str">
        <f aca="false">IFERROR(INDEX(分录报销!$M:$M,MATCH($L641,分录报销!$L:$L,0)),"")</f>
        <v/>
      </c>
      <c r="C641" s="67"/>
      <c r="D641" s="23" t="str">
        <f aca="false">IFERROR(INDEX(分录报销!$E:$E,MATCH($L641,分录报销!$L:$L,0)),"")</f>
        <v/>
      </c>
      <c r="E641" s="23" t="str">
        <f aca="false">IFERROR(INDEX(分录报销!$F:$F,MATCH($L641,分录报销!$L:$L,0)),"")</f>
        <v/>
      </c>
      <c r="F641" s="68" t="str">
        <f aca="false">IFERROR(INDEX(分录报销!$H:$H,MATCH($L641,分录报销!$L:$L,0)),"")</f>
        <v/>
      </c>
      <c r="G641" s="69" t="str">
        <f aca="false">IFERROR(INDEX(分录报销!$I:$I,MATCH($L641,分录报销!$L:$L,0)),"")</f>
        <v/>
      </c>
      <c r="H641" s="23"/>
      <c r="I641" s="70"/>
      <c r="L641" s="71" t="n">
        <f aca="false">IF(助手报销!$R$44="",-1,助手报销!$R$44*100+(助手报销!$S$44-1)*6+6)</f>
        <v>-1</v>
      </c>
    </row>
    <row r="642" customFormat="false" ht="23.25" hidden="false" customHeight="true" outlineLevel="0" collapsed="false">
      <c r="B642" s="72" t="str">
        <f aca="false">IF(助手报销!$T$44=1,"合计：","")</f>
        <v/>
      </c>
      <c r="C642" s="73" t="str">
        <f aca="false">IF(助手报销!$T$44=1,$F642,"")</f>
        <v/>
      </c>
      <c r="D642" s="74"/>
      <c r="E642" s="74"/>
      <c r="F642" s="75" t="str">
        <f aca="false">IF(助手报销!$T$44=1,INDEX(助手报销!$N$2:$N$121,助手报销!$R$44),"")</f>
        <v/>
      </c>
      <c r="G642" s="76" t="str">
        <f aca="false">IF(助手报销!$T$44=1,INDEX(助手报销!$O$2:$O$121,助手报销!$R$44),"")</f>
        <v/>
      </c>
      <c r="H642" s="74"/>
      <c r="I642" s="77"/>
    </row>
    <row r="643" customFormat="false" ht="6" hidden="false" customHeight="true" outlineLevel="0" collapsed="false"/>
    <row r="644" customFormat="false" ht="13.5" hidden="false" customHeight="false" outlineLevel="0" collapsed="false">
      <c r="B644" s="78" t="str">
        <f aca="false">IF(助手报销!$R$44&lt;&gt;"","会计主管：","")</f>
        <v/>
      </c>
      <c r="D644" s="78" t="str">
        <f aca="false">IF(助手报销!$R$44&lt;&gt;"","会计：","")</f>
        <v/>
      </c>
      <c r="E644" s="78" t="str">
        <f aca="false">IF(助手报销!$R$44&lt;&gt;"","出纳：","")</f>
        <v/>
      </c>
      <c r="F644" s="78" t="str">
        <f aca="false">IF(助手报销!$R$44&lt;&gt;"","复核：","")</f>
        <v/>
      </c>
      <c r="G644" s="78" t="str">
        <f aca="false">IF(助手报销!$R$44&lt;&gt;"","制单：","")</f>
        <v/>
      </c>
    </row>
    <row r="645" customFormat="false" ht="3" hidden="false" customHeight="true" outlineLevel="0" collapsed="false"/>
    <row r="646" customFormat="false" ht="19.5" hidden="false" customHeight="true" outlineLevel="0" collapsed="false">
      <c r="B646" s="53" t="str">
        <f aca="false">IF(助手报销!$R$45&lt;&gt;"","记  账  凭  证","")</f>
        <v/>
      </c>
      <c r="C646" s="53"/>
      <c r="D646" s="53"/>
      <c r="E646" s="53"/>
      <c r="F646" s="53"/>
      <c r="G646" s="53"/>
      <c r="H646" s="53"/>
      <c r="I646" s="53"/>
    </row>
    <row r="647" customFormat="false" ht="3" hidden="false" customHeight="true" outlineLevel="0" collapsed="false"/>
    <row r="648" customFormat="false" ht="15" hidden="false" customHeight="true" outlineLevel="0" collapsed="false">
      <c r="C648" s="56" t="str">
        <f aca="false">IF(助手报销!$R$45&lt;&gt;"",INDEX(助手报销!$B$2:$B$121,助手报销!$R$45),"")</f>
        <v/>
      </c>
      <c r="D648" s="57" t="str">
        <f aca="false">IF(助手报销!$R$45&lt;&gt;"",INDEX(助手报销!$D$2:$D$121,助手报销!$R$45),"")</f>
        <v/>
      </c>
      <c r="E648" s="57"/>
      <c r="F648" s="58" t="str">
        <f aca="false">IF(助手报销!$R$45&lt;&gt;"",INDEX(助手报销!$C$2:$C$121,助手报销!$R$45)&amp;"  字第 "&amp;IF(参数!$B$9="是",INDEX(助手报销!$P$2:$P$121,助手报销!$R$45),"　　　　")&amp;" 号"&amp;IF(INDEX(助手报销!$L$2:$L$121,助手报销!$R$45)&gt;1,"  (共"&amp;INDEX(助手报销!$L$2:$L$121,助手报销!$R$45)&amp;"页 第"&amp;助手报销!$S$45&amp;"页)",""),"")</f>
        <v/>
      </c>
      <c r="G648" s="58"/>
      <c r="H648" s="58"/>
      <c r="I648" s="58"/>
      <c r="M648" s="79" t="str">
        <f aca="false">IF(助手报销!$R$45="","",助手报销!$Q$45)</f>
        <v/>
      </c>
      <c r="N648" s="80" t="str">
        <f aca="false">IF(助手报销!$R$45="","",INDEX(助手报销!$P$2:$P$121,助手报销!$R$45))</f>
        <v/>
      </c>
      <c r="O648" s="55" t="str">
        <f aca="false">IF(助手报销!$R$45="","",INDEX(助手报销!$C$2:$C$121,助手报销!$R$45)&amp;"  字第 "&amp;INDEX(助手报销!$P$2:$P$121,助手报销!$R$45)&amp;" 号"&amp;IF(INDEX(助手报销!$L$2:$L$121,助手报销!$R$45)&gt;1,"  (共"&amp;INDEX(助手报销!$L$2:$L$121,助手报销!$R$45)&amp;"页 第"&amp;助手报销!$S$45&amp;"页)",""))</f>
        <v/>
      </c>
    </row>
    <row r="649" customFormat="false" ht="12.75" hidden="false" customHeight="true" outlineLevel="0" collapsed="false">
      <c r="B649" s="61" t="str">
        <f aca="false">IF(助手报销!$R$45&lt;&gt;"","摘　　要","")</f>
        <v/>
      </c>
      <c r="C649" s="61"/>
      <c r="D649" s="62" t="str">
        <f aca="false">IF(助手报销!$R$45&lt;&gt;"","科　　　　目","")</f>
        <v/>
      </c>
      <c r="E649" s="62"/>
      <c r="F649" s="61" t="str">
        <f aca="false">IF(助手报销!$R$45&lt;&gt;"","借 方 金 额","")</f>
        <v/>
      </c>
      <c r="G649" s="62" t="str">
        <f aca="false">IF(助手报销!$R$45&lt;&gt;"","贷 方 金 额","")</f>
        <v/>
      </c>
      <c r="H649" s="63" t="str">
        <f aca="false">IF(助手报销!$R$45&lt;&gt;"","√","")</f>
        <v/>
      </c>
      <c r="I649" s="64" t="str">
        <f aca="false">IF(助手报销!$R$45&lt;&gt;"","附单据  张","")</f>
        <v/>
      </c>
    </row>
    <row r="650" customFormat="false" ht="12.75" hidden="false" customHeight="true" outlineLevel="0" collapsed="false">
      <c r="B650" s="61"/>
      <c r="C650" s="61"/>
      <c r="D650" s="23" t="str">
        <f aca="false">IF(助手报销!$R$45&lt;&gt;"","总 账 科 目","")</f>
        <v/>
      </c>
      <c r="E650" s="23" t="str">
        <f aca="false">IF(助手报销!$R$45&lt;&gt;"","明 细 科 目","")</f>
        <v/>
      </c>
      <c r="F650" s="65"/>
      <c r="G650" s="66"/>
      <c r="H650" s="63"/>
      <c r="I650" s="64"/>
    </row>
    <row r="651" customFormat="false" ht="23.25" hidden="false" customHeight="true" outlineLevel="0" collapsed="false">
      <c r="B651" s="67" t="str">
        <f aca="false">IFERROR(INDEX(分录报销!$M:$M,MATCH($L651,分录报销!$L:$L,0)),"")</f>
        <v/>
      </c>
      <c r="C651" s="67"/>
      <c r="D651" s="23" t="str">
        <f aca="false">IFERROR(INDEX(分录报销!$E:$E,MATCH($L651,分录报销!$L:$L,0)),"")</f>
        <v/>
      </c>
      <c r="E651" s="23" t="str">
        <f aca="false">IFERROR(INDEX(分录报销!$F:$F,MATCH($L651,分录报销!$L:$L,0)),"")</f>
        <v/>
      </c>
      <c r="F651" s="68" t="str">
        <f aca="false">IFERROR(INDEX(分录报销!$H:$H,MATCH($L651,分录报销!$L:$L,0)),"")</f>
        <v/>
      </c>
      <c r="G651" s="69" t="str">
        <f aca="false">IFERROR(INDEX(分录报销!$I:$I,MATCH($L651,分录报销!$L:$L,0)),"")</f>
        <v/>
      </c>
      <c r="H651" s="23"/>
      <c r="I651" s="70"/>
      <c r="L651" s="71" t="n">
        <f aca="false">IF(助手报销!$R$45="",-1,助手报销!$R$45*100+(助手报销!$S$45-1)*6+1)</f>
        <v>-1</v>
      </c>
    </row>
    <row r="652" customFormat="false" ht="23.25" hidden="false" customHeight="true" outlineLevel="0" collapsed="false">
      <c r="B652" s="67" t="str">
        <f aca="false">IFERROR(INDEX(分录报销!$M:$M,MATCH($L652,分录报销!$L:$L,0)),"")</f>
        <v/>
      </c>
      <c r="C652" s="67"/>
      <c r="D652" s="23" t="str">
        <f aca="false">IFERROR(INDEX(分录报销!$E:$E,MATCH($L652,分录报销!$L:$L,0)),"")</f>
        <v/>
      </c>
      <c r="E652" s="23" t="str">
        <f aca="false">IFERROR(INDEX(分录报销!$F:$F,MATCH($L652,分录报销!$L:$L,0)),"")</f>
        <v/>
      </c>
      <c r="F652" s="68" t="str">
        <f aca="false">IFERROR(INDEX(分录报销!$H:$H,MATCH($L652,分录报销!$L:$L,0)),"")</f>
        <v/>
      </c>
      <c r="G652" s="69" t="str">
        <f aca="false">IFERROR(INDEX(分录报销!$I:$I,MATCH($L652,分录报销!$L:$L,0)),"")</f>
        <v/>
      </c>
      <c r="H652" s="23"/>
      <c r="I652" s="70"/>
      <c r="L652" s="71" t="n">
        <f aca="false">IF(助手报销!$R$45="",-1,助手报销!$R$45*100+(助手报销!$S$45-1)*6+2)</f>
        <v>-1</v>
      </c>
    </row>
    <row r="653" customFormat="false" ht="23.25" hidden="false" customHeight="true" outlineLevel="0" collapsed="false">
      <c r="B653" s="67" t="str">
        <f aca="false">IFERROR(INDEX(分录报销!$M:$M,MATCH($L653,分录报销!$L:$L,0)),"")</f>
        <v/>
      </c>
      <c r="C653" s="67"/>
      <c r="D653" s="23" t="str">
        <f aca="false">IFERROR(INDEX(分录报销!$E:$E,MATCH($L653,分录报销!$L:$L,0)),"")</f>
        <v/>
      </c>
      <c r="E653" s="23" t="str">
        <f aca="false">IFERROR(INDEX(分录报销!$F:$F,MATCH($L653,分录报销!$L:$L,0)),"")</f>
        <v/>
      </c>
      <c r="F653" s="68" t="str">
        <f aca="false">IFERROR(INDEX(分录报销!$H:$H,MATCH($L653,分录报销!$L:$L,0)),"")</f>
        <v/>
      </c>
      <c r="G653" s="69" t="str">
        <f aca="false">IFERROR(INDEX(分录报销!$I:$I,MATCH($L653,分录报销!$L:$L,0)),"")</f>
        <v/>
      </c>
      <c r="H653" s="23"/>
      <c r="I653" s="70"/>
      <c r="L653" s="71" t="n">
        <f aca="false">IF(助手报销!$R$45="",-1,助手报销!$R$45*100+(助手报销!$S$45-1)*6+3)</f>
        <v>-1</v>
      </c>
    </row>
    <row r="654" customFormat="false" ht="23.25" hidden="false" customHeight="true" outlineLevel="0" collapsed="false">
      <c r="B654" s="67" t="str">
        <f aca="false">IFERROR(INDEX(分录报销!$M:$M,MATCH($L654,分录报销!$L:$L,0)),"")</f>
        <v/>
      </c>
      <c r="C654" s="67"/>
      <c r="D654" s="23" t="str">
        <f aca="false">IFERROR(INDEX(分录报销!$E:$E,MATCH($L654,分录报销!$L:$L,0)),"")</f>
        <v/>
      </c>
      <c r="E654" s="23" t="str">
        <f aca="false">IFERROR(INDEX(分录报销!$F:$F,MATCH($L654,分录报销!$L:$L,0)),"")</f>
        <v/>
      </c>
      <c r="F654" s="68" t="str">
        <f aca="false">IFERROR(INDEX(分录报销!$H:$H,MATCH($L654,分录报销!$L:$L,0)),"")</f>
        <v/>
      </c>
      <c r="G654" s="69" t="str">
        <f aca="false">IFERROR(INDEX(分录报销!$I:$I,MATCH($L654,分录报销!$L:$L,0)),"")</f>
        <v/>
      </c>
      <c r="H654" s="23"/>
      <c r="I654" s="70"/>
      <c r="L654" s="71" t="n">
        <f aca="false">IF(助手报销!$R$45="",-1,助手报销!$R$45*100+(助手报销!$S$45-1)*6+4)</f>
        <v>-1</v>
      </c>
    </row>
    <row r="655" customFormat="false" ht="23.25" hidden="false" customHeight="true" outlineLevel="0" collapsed="false">
      <c r="B655" s="67" t="str">
        <f aca="false">IFERROR(INDEX(分录报销!$M:$M,MATCH($L655,分录报销!$L:$L,0)),"")</f>
        <v/>
      </c>
      <c r="C655" s="67"/>
      <c r="D655" s="23" t="str">
        <f aca="false">IFERROR(INDEX(分录报销!$E:$E,MATCH($L655,分录报销!$L:$L,0)),"")</f>
        <v/>
      </c>
      <c r="E655" s="23" t="str">
        <f aca="false">IFERROR(INDEX(分录报销!$F:$F,MATCH($L655,分录报销!$L:$L,0)),"")</f>
        <v/>
      </c>
      <c r="F655" s="68" t="str">
        <f aca="false">IFERROR(INDEX(分录报销!$H:$H,MATCH($L655,分录报销!$L:$L,0)),"")</f>
        <v/>
      </c>
      <c r="G655" s="69" t="str">
        <f aca="false">IFERROR(INDEX(分录报销!$I:$I,MATCH($L655,分录报销!$L:$L,0)),"")</f>
        <v/>
      </c>
      <c r="H655" s="23"/>
      <c r="I655" s="70"/>
      <c r="L655" s="71" t="n">
        <f aca="false">IF(助手报销!$R$45="",-1,助手报销!$R$45*100+(助手报销!$S$45-1)*6+5)</f>
        <v>-1</v>
      </c>
    </row>
    <row r="656" customFormat="false" ht="23.25" hidden="false" customHeight="true" outlineLevel="0" collapsed="false">
      <c r="B656" s="67" t="str">
        <f aca="false">IFERROR(INDEX(分录报销!$M:$M,MATCH($L656,分录报销!$L:$L,0)),"")</f>
        <v/>
      </c>
      <c r="C656" s="67"/>
      <c r="D656" s="23" t="str">
        <f aca="false">IFERROR(INDEX(分录报销!$E:$E,MATCH($L656,分录报销!$L:$L,0)),"")</f>
        <v/>
      </c>
      <c r="E656" s="23" t="str">
        <f aca="false">IFERROR(INDEX(分录报销!$F:$F,MATCH($L656,分录报销!$L:$L,0)),"")</f>
        <v/>
      </c>
      <c r="F656" s="68" t="str">
        <f aca="false">IFERROR(INDEX(分录报销!$H:$H,MATCH($L656,分录报销!$L:$L,0)),"")</f>
        <v/>
      </c>
      <c r="G656" s="69" t="str">
        <f aca="false">IFERROR(INDEX(分录报销!$I:$I,MATCH($L656,分录报销!$L:$L,0)),"")</f>
        <v/>
      </c>
      <c r="H656" s="23"/>
      <c r="I656" s="70"/>
      <c r="L656" s="71" t="n">
        <f aca="false">IF(助手报销!$R$45="",-1,助手报销!$R$45*100+(助手报销!$S$45-1)*6+6)</f>
        <v>-1</v>
      </c>
    </row>
    <row r="657" customFormat="false" ht="23.25" hidden="false" customHeight="true" outlineLevel="0" collapsed="false">
      <c r="B657" s="72" t="str">
        <f aca="false">IF(助手报销!$T$45=1,"合计：","")</f>
        <v/>
      </c>
      <c r="C657" s="73" t="str">
        <f aca="false">IF(助手报销!$T$45=1,$F657,"")</f>
        <v/>
      </c>
      <c r="D657" s="74"/>
      <c r="E657" s="74"/>
      <c r="F657" s="75" t="str">
        <f aca="false">IF(助手报销!$T$45=1,INDEX(助手报销!$N$2:$N$121,助手报销!$R$45),"")</f>
        <v/>
      </c>
      <c r="G657" s="76" t="str">
        <f aca="false">IF(助手报销!$T$45=1,INDEX(助手报销!$O$2:$O$121,助手报销!$R$45),"")</f>
        <v/>
      </c>
      <c r="H657" s="74"/>
      <c r="I657" s="77"/>
    </row>
    <row r="658" customFormat="false" ht="6" hidden="false" customHeight="true" outlineLevel="0" collapsed="false"/>
    <row r="659" customFormat="false" ht="13.5" hidden="false" customHeight="false" outlineLevel="0" collapsed="false">
      <c r="B659" s="78" t="str">
        <f aca="false">IF(助手报销!$R$45&lt;&gt;"","会计主管：","")</f>
        <v/>
      </c>
      <c r="D659" s="78" t="str">
        <f aca="false">IF(助手报销!$R$45&lt;&gt;"","会计：","")</f>
        <v/>
      </c>
      <c r="E659" s="78" t="str">
        <f aca="false">IF(助手报销!$R$45&lt;&gt;"","出纳：","")</f>
        <v/>
      </c>
      <c r="F659" s="78" t="str">
        <f aca="false">IF(助手报销!$R$45&lt;&gt;"","复核：","")</f>
        <v/>
      </c>
      <c r="G659" s="78" t="str">
        <f aca="false">IF(助手报销!$R$45&lt;&gt;"","制单：","")</f>
        <v/>
      </c>
    </row>
    <row r="660" customFormat="false" ht="3" hidden="false" customHeight="true" outlineLevel="0" collapsed="false"/>
    <row r="661" customFormat="false" ht="19.5" hidden="false" customHeight="true" outlineLevel="0" collapsed="false">
      <c r="B661" s="53" t="str">
        <f aca="false">IF(助手报销!$R$46&lt;&gt;"","记  账  凭  证","")</f>
        <v/>
      </c>
      <c r="C661" s="53"/>
      <c r="D661" s="53"/>
      <c r="E661" s="53"/>
      <c r="F661" s="53"/>
      <c r="G661" s="53"/>
      <c r="H661" s="53"/>
      <c r="I661" s="53"/>
    </row>
    <row r="662" customFormat="false" ht="3" hidden="false" customHeight="true" outlineLevel="0" collapsed="false"/>
    <row r="663" customFormat="false" ht="15" hidden="false" customHeight="true" outlineLevel="0" collapsed="false">
      <c r="C663" s="56" t="str">
        <f aca="false">IF(助手报销!$R$46&lt;&gt;"",INDEX(助手报销!$B$2:$B$121,助手报销!$R$46),"")</f>
        <v/>
      </c>
      <c r="D663" s="57" t="str">
        <f aca="false">IF(助手报销!$R$46&lt;&gt;"",INDEX(助手报销!$D$2:$D$121,助手报销!$R$46),"")</f>
        <v/>
      </c>
      <c r="E663" s="57"/>
      <c r="F663" s="58" t="str">
        <f aca="false">IF(助手报销!$R$46&lt;&gt;"",INDEX(助手报销!$C$2:$C$121,助手报销!$R$46)&amp;"  字第 "&amp;IF(参数!$B$9="是",INDEX(助手报销!$P$2:$P$121,助手报销!$R$46),"　　　　")&amp;" 号"&amp;IF(INDEX(助手报销!$L$2:$L$121,助手报销!$R$46)&gt;1,"  (共"&amp;INDEX(助手报销!$L$2:$L$121,助手报销!$R$46)&amp;"页 第"&amp;助手报销!$S$46&amp;"页)",""),"")</f>
        <v/>
      </c>
      <c r="G663" s="58"/>
      <c r="H663" s="58"/>
      <c r="I663" s="58"/>
      <c r="M663" s="79" t="str">
        <f aca="false">IF(助手报销!$R$46="","",助手报销!$Q$46)</f>
        <v/>
      </c>
      <c r="N663" s="80" t="str">
        <f aca="false">IF(助手报销!$R$46="","",INDEX(助手报销!$P$2:$P$121,助手报销!$R$46))</f>
        <v/>
      </c>
      <c r="O663" s="55" t="str">
        <f aca="false">IF(助手报销!$R$46="","",INDEX(助手报销!$C$2:$C$121,助手报销!$R$46)&amp;"  字第 "&amp;INDEX(助手报销!$P$2:$P$121,助手报销!$R$46)&amp;" 号"&amp;IF(INDEX(助手报销!$L$2:$L$121,助手报销!$R$46)&gt;1,"  (共"&amp;INDEX(助手报销!$L$2:$L$121,助手报销!$R$46)&amp;"页 第"&amp;助手报销!$S$46&amp;"页)",""))</f>
        <v/>
      </c>
    </row>
    <row r="664" customFormat="false" ht="12.75" hidden="false" customHeight="true" outlineLevel="0" collapsed="false">
      <c r="B664" s="61" t="str">
        <f aca="false">IF(助手报销!$R$46&lt;&gt;"","摘　　要","")</f>
        <v/>
      </c>
      <c r="C664" s="61"/>
      <c r="D664" s="62" t="str">
        <f aca="false">IF(助手报销!$R$46&lt;&gt;"","科　　　　目","")</f>
        <v/>
      </c>
      <c r="E664" s="62"/>
      <c r="F664" s="61" t="str">
        <f aca="false">IF(助手报销!$R$46&lt;&gt;"","借 方 金 额","")</f>
        <v/>
      </c>
      <c r="G664" s="62" t="str">
        <f aca="false">IF(助手报销!$R$46&lt;&gt;"","贷 方 金 额","")</f>
        <v/>
      </c>
      <c r="H664" s="63" t="str">
        <f aca="false">IF(助手报销!$R$46&lt;&gt;"","√","")</f>
        <v/>
      </c>
      <c r="I664" s="64" t="str">
        <f aca="false">IF(助手报销!$R$46&lt;&gt;"","附单据  张","")</f>
        <v/>
      </c>
    </row>
    <row r="665" customFormat="false" ht="12.75" hidden="false" customHeight="true" outlineLevel="0" collapsed="false">
      <c r="B665" s="61"/>
      <c r="C665" s="61"/>
      <c r="D665" s="23" t="str">
        <f aca="false">IF(助手报销!$R$46&lt;&gt;"","总 账 科 目","")</f>
        <v/>
      </c>
      <c r="E665" s="23" t="str">
        <f aca="false">IF(助手报销!$R$46&lt;&gt;"","明 细 科 目","")</f>
        <v/>
      </c>
      <c r="F665" s="65"/>
      <c r="G665" s="66"/>
      <c r="H665" s="63"/>
      <c r="I665" s="64"/>
    </row>
    <row r="666" customFormat="false" ht="23.25" hidden="false" customHeight="true" outlineLevel="0" collapsed="false">
      <c r="B666" s="67" t="str">
        <f aca="false">IFERROR(INDEX(分录报销!$M:$M,MATCH($L666,分录报销!$L:$L,0)),"")</f>
        <v/>
      </c>
      <c r="C666" s="67"/>
      <c r="D666" s="23" t="str">
        <f aca="false">IFERROR(INDEX(分录报销!$E:$E,MATCH($L666,分录报销!$L:$L,0)),"")</f>
        <v/>
      </c>
      <c r="E666" s="23" t="str">
        <f aca="false">IFERROR(INDEX(分录报销!$F:$F,MATCH($L666,分录报销!$L:$L,0)),"")</f>
        <v/>
      </c>
      <c r="F666" s="68" t="str">
        <f aca="false">IFERROR(INDEX(分录报销!$H:$H,MATCH($L666,分录报销!$L:$L,0)),"")</f>
        <v/>
      </c>
      <c r="G666" s="69" t="str">
        <f aca="false">IFERROR(INDEX(分录报销!$I:$I,MATCH($L666,分录报销!$L:$L,0)),"")</f>
        <v/>
      </c>
      <c r="H666" s="23"/>
      <c r="I666" s="70"/>
      <c r="L666" s="71" t="n">
        <f aca="false">IF(助手报销!$R$46="",-1,助手报销!$R$46*100+(助手报销!$S$46-1)*6+1)</f>
        <v>-1</v>
      </c>
    </row>
    <row r="667" customFormat="false" ht="23.25" hidden="false" customHeight="true" outlineLevel="0" collapsed="false">
      <c r="B667" s="67" t="str">
        <f aca="false">IFERROR(INDEX(分录报销!$M:$M,MATCH($L667,分录报销!$L:$L,0)),"")</f>
        <v/>
      </c>
      <c r="C667" s="67"/>
      <c r="D667" s="23" t="str">
        <f aca="false">IFERROR(INDEX(分录报销!$E:$E,MATCH($L667,分录报销!$L:$L,0)),"")</f>
        <v/>
      </c>
      <c r="E667" s="23" t="str">
        <f aca="false">IFERROR(INDEX(分录报销!$F:$F,MATCH($L667,分录报销!$L:$L,0)),"")</f>
        <v/>
      </c>
      <c r="F667" s="68" t="str">
        <f aca="false">IFERROR(INDEX(分录报销!$H:$H,MATCH($L667,分录报销!$L:$L,0)),"")</f>
        <v/>
      </c>
      <c r="G667" s="69" t="str">
        <f aca="false">IFERROR(INDEX(分录报销!$I:$I,MATCH($L667,分录报销!$L:$L,0)),"")</f>
        <v/>
      </c>
      <c r="H667" s="23"/>
      <c r="I667" s="70"/>
      <c r="L667" s="71" t="n">
        <f aca="false">IF(助手报销!$R$46="",-1,助手报销!$R$46*100+(助手报销!$S$46-1)*6+2)</f>
        <v>-1</v>
      </c>
    </row>
    <row r="668" customFormat="false" ht="23.25" hidden="false" customHeight="true" outlineLevel="0" collapsed="false">
      <c r="B668" s="67" t="str">
        <f aca="false">IFERROR(INDEX(分录报销!$M:$M,MATCH($L668,分录报销!$L:$L,0)),"")</f>
        <v/>
      </c>
      <c r="C668" s="67"/>
      <c r="D668" s="23" t="str">
        <f aca="false">IFERROR(INDEX(分录报销!$E:$E,MATCH($L668,分录报销!$L:$L,0)),"")</f>
        <v/>
      </c>
      <c r="E668" s="23" t="str">
        <f aca="false">IFERROR(INDEX(分录报销!$F:$F,MATCH($L668,分录报销!$L:$L,0)),"")</f>
        <v/>
      </c>
      <c r="F668" s="68" t="str">
        <f aca="false">IFERROR(INDEX(分录报销!$H:$H,MATCH($L668,分录报销!$L:$L,0)),"")</f>
        <v/>
      </c>
      <c r="G668" s="69" t="str">
        <f aca="false">IFERROR(INDEX(分录报销!$I:$I,MATCH($L668,分录报销!$L:$L,0)),"")</f>
        <v/>
      </c>
      <c r="H668" s="23"/>
      <c r="I668" s="70"/>
      <c r="L668" s="71" t="n">
        <f aca="false">IF(助手报销!$R$46="",-1,助手报销!$R$46*100+(助手报销!$S$46-1)*6+3)</f>
        <v>-1</v>
      </c>
    </row>
    <row r="669" customFormat="false" ht="23.25" hidden="false" customHeight="true" outlineLevel="0" collapsed="false">
      <c r="B669" s="67" t="str">
        <f aca="false">IFERROR(INDEX(分录报销!$M:$M,MATCH($L669,分录报销!$L:$L,0)),"")</f>
        <v/>
      </c>
      <c r="C669" s="67"/>
      <c r="D669" s="23" t="str">
        <f aca="false">IFERROR(INDEX(分录报销!$E:$E,MATCH($L669,分录报销!$L:$L,0)),"")</f>
        <v/>
      </c>
      <c r="E669" s="23" t="str">
        <f aca="false">IFERROR(INDEX(分录报销!$F:$F,MATCH($L669,分录报销!$L:$L,0)),"")</f>
        <v/>
      </c>
      <c r="F669" s="68" t="str">
        <f aca="false">IFERROR(INDEX(分录报销!$H:$H,MATCH($L669,分录报销!$L:$L,0)),"")</f>
        <v/>
      </c>
      <c r="G669" s="69" t="str">
        <f aca="false">IFERROR(INDEX(分录报销!$I:$I,MATCH($L669,分录报销!$L:$L,0)),"")</f>
        <v/>
      </c>
      <c r="H669" s="23"/>
      <c r="I669" s="70"/>
      <c r="L669" s="71" t="n">
        <f aca="false">IF(助手报销!$R$46="",-1,助手报销!$R$46*100+(助手报销!$S$46-1)*6+4)</f>
        <v>-1</v>
      </c>
    </row>
    <row r="670" customFormat="false" ht="23.25" hidden="false" customHeight="true" outlineLevel="0" collapsed="false">
      <c r="B670" s="67" t="str">
        <f aca="false">IFERROR(INDEX(分录报销!$M:$M,MATCH($L670,分录报销!$L:$L,0)),"")</f>
        <v/>
      </c>
      <c r="C670" s="67"/>
      <c r="D670" s="23" t="str">
        <f aca="false">IFERROR(INDEX(分录报销!$E:$E,MATCH($L670,分录报销!$L:$L,0)),"")</f>
        <v/>
      </c>
      <c r="E670" s="23" t="str">
        <f aca="false">IFERROR(INDEX(分录报销!$F:$F,MATCH($L670,分录报销!$L:$L,0)),"")</f>
        <v/>
      </c>
      <c r="F670" s="68" t="str">
        <f aca="false">IFERROR(INDEX(分录报销!$H:$H,MATCH($L670,分录报销!$L:$L,0)),"")</f>
        <v/>
      </c>
      <c r="G670" s="69" t="str">
        <f aca="false">IFERROR(INDEX(分录报销!$I:$I,MATCH($L670,分录报销!$L:$L,0)),"")</f>
        <v/>
      </c>
      <c r="H670" s="23"/>
      <c r="I670" s="70"/>
      <c r="L670" s="71" t="n">
        <f aca="false">IF(助手报销!$R$46="",-1,助手报销!$R$46*100+(助手报销!$S$46-1)*6+5)</f>
        <v>-1</v>
      </c>
    </row>
    <row r="671" customFormat="false" ht="23.25" hidden="false" customHeight="true" outlineLevel="0" collapsed="false">
      <c r="B671" s="67" t="str">
        <f aca="false">IFERROR(INDEX(分录报销!$M:$M,MATCH($L671,分录报销!$L:$L,0)),"")</f>
        <v/>
      </c>
      <c r="C671" s="67"/>
      <c r="D671" s="23" t="str">
        <f aca="false">IFERROR(INDEX(分录报销!$E:$E,MATCH($L671,分录报销!$L:$L,0)),"")</f>
        <v/>
      </c>
      <c r="E671" s="23" t="str">
        <f aca="false">IFERROR(INDEX(分录报销!$F:$F,MATCH($L671,分录报销!$L:$L,0)),"")</f>
        <v/>
      </c>
      <c r="F671" s="68" t="str">
        <f aca="false">IFERROR(INDEX(分录报销!$H:$H,MATCH($L671,分录报销!$L:$L,0)),"")</f>
        <v/>
      </c>
      <c r="G671" s="69" t="str">
        <f aca="false">IFERROR(INDEX(分录报销!$I:$I,MATCH($L671,分录报销!$L:$L,0)),"")</f>
        <v/>
      </c>
      <c r="H671" s="23"/>
      <c r="I671" s="70"/>
      <c r="L671" s="71" t="n">
        <f aca="false">IF(助手报销!$R$46="",-1,助手报销!$R$46*100+(助手报销!$S$46-1)*6+6)</f>
        <v>-1</v>
      </c>
    </row>
    <row r="672" customFormat="false" ht="23.25" hidden="false" customHeight="true" outlineLevel="0" collapsed="false">
      <c r="B672" s="72" t="str">
        <f aca="false">IF(助手报销!$T$46=1,"合计：","")</f>
        <v/>
      </c>
      <c r="C672" s="73" t="str">
        <f aca="false">IF(助手报销!$T$46=1,$F672,"")</f>
        <v/>
      </c>
      <c r="D672" s="74"/>
      <c r="E672" s="74"/>
      <c r="F672" s="75" t="str">
        <f aca="false">IF(助手报销!$T$46=1,INDEX(助手报销!$N$2:$N$121,助手报销!$R$46),"")</f>
        <v/>
      </c>
      <c r="G672" s="76" t="str">
        <f aca="false">IF(助手报销!$T$46=1,INDEX(助手报销!$O$2:$O$121,助手报销!$R$46),"")</f>
        <v/>
      </c>
      <c r="H672" s="74"/>
      <c r="I672" s="77"/>
    </row>
    <row r="673" customFormat="false" ht="6" hidden="false" customHeight="true" outlineLevel="0" collapsed="false"/>
    <row r="674" customFormat="false" ht="13.5" hidden="false" customHeight="false" outlineLevel="0" collapsed="false">
      <c r="B674" s="78" t="str">
        <f aca="false">IF(助手报销!$R$46&lt;&gt;"","会计主管：","")</f>
        <v/>
      </c>
      <c r="D674" s="78" t="str">
        <f aca="false">IF(助手报销!$R$46&lt;&gt;"","会计：","")</f>
        <v/>
      </c>
      <c r="E674" s="78" t="str">
        <f aca="false">IF(助手报销!$R$46&lt;&gt;"","出纳：","")</f>
        <v/>
      </c>
      <c r="F674" s="78" t="str">
        <f aca="false">IF(助手报销!$R$46&lt;&gt;"","复核：","")</f>
        <v/>
      </c>
      <c r="G674" s="78" t="str">
        <f aca="false">IF(助手报销!$R$46&lt;&gt;"","制单：","")</f>
        <v/>
      </c>
    </row>
    <row r="675" customFormat="false" ht="3" hidden="false" customHeight="true" outlineLevel="0" collapsed="false"/>
    <row r="676" customFormat="false" ht="19.5" hidden="false" customHeight="true" outlineLevel="0" collapsed="false">
      <c r="B676" s="53" t="str">
        <f aca="false">IF(助手报销!$R$47&lt;&gt;"","记  账  凭  证","")</f>
        <v/>
      </c>
      <c r="C676" s="53"/>
      <c r="D676" s="53"/>
      <c r="E676" s="53"/>
      <c r="F676" s="53"/>
      <c r="G676" s="53"/>
      <c r="H676" s="53"/>
      <c r="I676" s="53"/>
    </row>
    <row r="677" customFormat="false" ht="3" hidden="false" customHeight="true" outlineLevel="0" collapsed="false"/>
    <row r="678" customFormat="false" ht="15" hidden="false" customHeight="true" outlineLevel="0" collapsed="false">
      <c r="C678" s="56" t="str">
        <f aca="false">IF(助手报销!$R$47&lt;&gt;"",INDEX(助手报销!$B$2:$B$121,助手报销!$R$47),"")</f>
        <v/>
      </c>
      <c r="D678" s="57" t="str">
        <f aca="false">IF(助手报销!$R$47&lt;&gt;"",INDEX(助手报销!$D$2:$D$121,助手报销!$R$47),"")</f>
        <v/>
      </c>
      <c r="E678" s="57"/>
      <c r="F678" s="58" t="str">
        <f aca="false">IF(助手报销!$R$47&lt;&gt;"",INDEX(助手报销!$C$2:$C$121,助手报销!$R$47)&amp;"  字第 "&amp;IF(参数!$B$9="是",INDEX(助手报销!$P$2:$P$121,助手报销!$R$47),"　　　　")&amp;" 号"&amp;IF(INDEX(助手报销!$L$2:$L$121,助手报销!$R$47)&gt;1,"  (共"&amp;INDEX(助手报销!$L$2:$L$121,助手报销!$R$47)&amp;"页 第"&amp;助手报销!$S$47&amp;"页)",""),"")</f>
        <v/>
      </c>
      <c r="G678" s="58"/>
      <c r="H678" s="58"/>
      <c r="I678" s="58"/>
      <c r="M678" s="79" t="str">
        <f aca="false">IF(助手报销!$R$47="","",助手报销!$Q$47)</f>
        <v/>
      </c>
      <c r="N678" s="80" t="str">
        <f aca="false">IF(助手报销!$R$47="","",INDEX(助手报销!$P$2:$P$121,助手报销!$R$47))</f>
        <v/>
      </c>
      <c r="O678" s="55" t="str">
        <f aca="false">IF(助手报销!$R$47="","",INDEX(助手报销!$C$2:$C$121,助手报销!$R$47)&amp;"  字第 "&amp;INDEX(助手报销!$P$2:$P$121,助手报销!$R$47)&amp;" 号"&amp;IF(INDEX(助手报销!$L$2:$L$121,助手报销!$R$47)&gt;1,"  (共"&amp;INDEX(助手报销!$L$2:$L$121,助手报销!$R$47)&amp;"页 第"&amp;助手报销!$S$47&amp;"页)",""))</f>
        <v/>
      </c>
    </row>
    <row r="679" customFormat="false" ht="12.75" hidden="false" customHeight="true" outlineLevel="0" collapsed="false">
      <c r="B679" s="61" t="str">
        <f aca="false">IF(助手报销!$R$47&lt;&gt;"","摘　　要","")</f>
        <v/>
      </c>
      <c r="C679" s="61"/>
      <c r="D679" s="62" t="str">
        <f aca="false">IF(助手报销!$R$47&lt;&gt;"","科　　　　目","")</f>
        <v/>
      </c>
      <c r="E679" s="62"/>
      <c r="F679" s="61" t="str">
        <f aca="false">IF(助手报销!$R$47&lt;&gt;"","借 方 金 额","")</f>
        <v/>
      </c>
      <c r="G679" s="62" t="str">
        <f aca="false">IF(助手报销!$R$47&lt;&gt;"","贷 方 金 额","")</f>
        <v/>
      </c>
      <c r="H679" s="63" t="str">
        <f aca="false">IF(助手报销!$R$47&lt;&gt;"","√","")</f>
        <v/>
      </c>
      <c r="I679" s="64" t="str">
        <f aca="false">IF(助手报销!$R$47&lt;&gt;"","附单据  张","")</f>
        <v/>
      </c>
    </row>
    <row r="680" customFormat="false" ht="12.75" hidden="false" customHeight="true" outlineLevel="0" collapsed="false">
      <c r="B680" s="61"/>
      <c r="C680" s="61"/>
      <c r="D680" s="23" t="str">
        <f aca="false">IF(助手报销!$R$47&lt;&gt;"","总 账 科 目","")</f>
        <v/>
      </c>
      <c r="E680" s="23" t="str">
        <f aca="false">IF(助手报销!$R$47&lt;&gt;"","明 细 科 目","")</f>
        <v/>
      </c>
      <c r="F680" s="65"/>
      <c r="G680" s="66"/>
      <c r="H680" s="63"/>
      <c r="I680" s="64"/>
    </row>
    <row r="681" customFormat="false" ht="23.25" hidden="false" customHeight="true" outlineLevel="0" collapsed="false">
      <c r="B681" s="67" t="str">
        <f aca="false">IFERROR(INDEX(分录报销!$M:$M,MATCH($L681,分录报销!$L:$L,0)),"")</f>
        <v/>
      </c>
      <c r="C681" s="67"/>
      <c r="D681" s="23" t="str">
        <f aca="false">IFERROR(INDEX(分录报销!$E:$E,MATCH($L681,分录报销!$L:$L,0)),"")</f>
        <v/>
      </c>
      <c r="E681" s="23" t="str">
        <f aca="false">IFERROR(INDEX(分录报销!$F:$F,MATCH($L681,分录报销!$L:$L,0)),"")</f>
        <v/>
      </c>
      <c r="F681" s="68" t="str">
        <f aca="false">IFERROR(INDEX(分录报销!$H:$H,MATCH($L681,分录报销!$L:$L,0)),"")</f>
        <v/>
      </c>
      <c r="G681" s="69" t="str">
        <f aca="false">IFERROR(INDEX(分录报销!$I:$I,MATCH($L681,分录报销!$L:$L,0)),"")</f>
        <v/>
      </c>
      <c r="H681" s="23"/>
      <c r="I681" s="70"/>
      <c r="L681" s="71" t="n">
        <f aca="false">IF(助手报销!$R$47="",-1,助手报销!$R$47*100+(助手报销!$S$47-1)*6+1)</f>
        <v>-1</v>
      </c>
    </row>
    <row r="682" customFormat="false" ht="23.25" hidden="false" customHeight="true" outlineLevel="0" collapsed="false">
      <c r="B682" s="67" t="str">
        <f aca="false">IFERROR(INDEX(分录报销!$M:$M,MATCH($L682,分录报销!$L:$L,0)),"")</f>
        <v/>
      </c>
      <c r="C682" s="67"/>
      <c r="D682" s="23" t="str">
        <f aca="false">IFERROR(INDEX(分录报销!$E:$E,MATCH($L682,分录报销!$L:$L,0)),"")</f>
        <v/>
      </c>
      <c r="E682" s="23" t="str">
        <f aca="false">IFERROR(INDEX(分录报销!$F:$F,MATCH($L682,分录报销!$L:$L,0)),"")</f>
        <v/>
      </c>
      <c r="F682" s="68" t="str">
        <f aca="false">IFERROR(INDEX(分录报销!$H:$H,MATCH($L682,分录报销!$L:$L,0)),"")</f>
        <v/>
      </c>
      <c r="G682" s="69" t="str">
        <f aca="false">IFERROR(INDEX(分录报销!$I:$I,MATCH($L682,分录报销!$L:$L,0)),"")</f>
        <v/>
      </c>
      <c r="H682" s="23"/>
      <c r="I682" s="70"/>
      <c r="L682" s="71" t="n">
        <f aca="false">IF(助手报销!$R$47="",-1,助手报销!$R$47*100+(助手报销!$S$47-1)*6+2)</f>
        <v>-1</v>
      </c>
    </row>
    <row r="683" customFormat="false" ht="23.25" hidden="false" customHeight="true" outlineLevel="0" collapsed="false">
      <c r="B683" s="67" t="str">
        <f aca="false">IFERROR(INDEX(分录报销!$M:$M,MATCH($L683,分录报销!$L:$L,0)),"")</f>
        <v/>
      </c>
      <c r="C683" s="67"/>
      <c r="D683" s="23" t="str">
        <f aca="false">IFERROR(INDEX(分录报销!$E:$E,MATCH($L683,分录报销!$L:$L,0)),"")</f>
        <v/>
      </c>
      <c r="E683" s="23" t="str">
        <f aca="false">IFERROR(INDEX(分录报销!$F:$F,MATCH($L683,分录报销!$L:$L,0)),"")</f>
        <v/>
      </c>
      <c r="F683" s="68" t="str">
        <f aca="false">IFERROR(INDEX(分录报销!$H:$H,MATCH($L683,分录报销!$L:$L,0)),"")</f>
        <v/>
      </c>
      <c r="G683" s="69" t="str">
        <f aca="false">IFERROR(INDEX(分录报销!$I:$I,MATCH($L683,分录报销!$L:$L,0)),"")</f>
        <v/>
      </c>
      <c r="H683" s="23"/>
      <c r="I683" s="70"/>
      <c r="L683" s="71" t="n">
        <f aca="false">IF(助手报销!$R$47="",-1,助手报销!$R$47*100+(助手报销!$S$47-1)*6+3)</f>
        <v>-1</v>
      </c>
    </row>
    <row r="684" customFormat="false" ht="23.25" hidden="false" customHeight="true" outlineLevel="0" collapsed="false">
      <c r="B684" s="67" t="str">
        <f aca="false">IFERROR(INDEX(分录报销!$M:$M,MATCH($L684,分录报销!$L:$L,0)),"")</f>
        <v/>
      </c>
      <c r="C684" s="67"/>
      <c r="D684" s="23" t="str">
        <f aca="false">IFERROR(INDEX(分录报销!$E:$E,MATCH($L684,分录报销!$L:$L,0)),"")</f>
        <v/>
      </c>
      <c r="E684" s="23" t="str">
        <f aca="false">IFERROR(INDEX(分录报销!$F:$F,MATCH($L684,分录报销!$L:$L,0)),"")</f>
        <v/>
      </c>
      <c r="F684" s="68" t="str">
        <f aca="false">IFERROR(INDEX(分录报销!$H:$H,MATCH($L684,分录报销!$L:$L,0)),"")</f>
        <v/>
      </c>
      <c r="G684" s="69" t="str">
        <f aca="false">IFERROR(INDEX(分录报销!$I:$I,MATCH($L684,分录报销!$L:$L,0)),"")</f>
        <v/>
      </c>
      <c r="H684" s="23"/>
      <c r="I684" s="70"/>
      <c r="L684" s="71" t="n">
        <f aca="false">IF(助手报销!$R$47="",-1,助手报销!$R$47*100+(助手报销!$S$47-1)*6+4)</f>
        <v>-1</v>
      </c>
    </row>
    <row r="685" customFormat="false" ht="23.25" hidden="false" customHeight="true" outlineLevel="0" collapsed="false">
      <c r="B685" s="67" t="str">
        <f aca="false">IFERROR(INDEX(分录报销!$M:$M,MATCH($L685,分录报销!$L:$L,0)),"")</f>
        <v/>
      </c>
      <c r="C685" s="67"/>
      <c r="D685" s="23" t="str">
        <f aca="false">IFERROR(INDEX(分录报销!$E:$E,MATCH($L685,分录报销!$L:$L,0)),"")</f>
        <v/>
      </c>
      <c r="E685" s="23" t="str">
        <f aca="false">IFERROR(INDEX(分录报销!$F:$F,MATCH($L685,分录报销!$L:$L,0)),"")</f>
        <v/>
      </c>
      <c r="F685" s="68" t="str">
        <f aca="false">IFERROR(INDEX(分录报销!$H:$H,MATCH($L685,分录报销!$L:$L,0)),"")</f>
        <v/>
      </c>
      <c r="G685" s="69" t="str">
        <f aca="false">IFERROR(INDEX(分录报销!$I:$I,MATCH($L685,分录报销!$L:$L,0)),"")</f>
        <v/>
      </c>
      <c r="H685" s="23"/>
      <c r="I685" s="70"/>
      <c r="L685" s="71" t="n">
        <f aca="false">IF(助手报销!$R$47="",-1,助手报销!$R$47*100+(助手报销!$S$47-1)*6+5)</f>
        <v>-1</v>
      </c>
    </row>
    <row r="686" customFormat="false" ht="23.25" hidden="false" customHeight="true" outlineLevel="0" collapsed="false">
      <c r="B686" s="67" t="str">
        <f aca="false">IFERROR(INDEX(分录报销!$M:$M,MATCH($L686,分录报销!$L:$L,0)),"")</f>
        <v/>
      </c>
      <c r="C686" s="67"/>
      <c r="D686" s="23" t="str">
        <f aca="false">IFERROR(INDEX(分录报销!$E:$E,MATCH($L686,分录报销!$L:$L,0)),"")</f>
        <v/>
      </c>
      <c r="E686" s="23" t="str">
        <f aca="false">IFERROR(INDEX(分录报销!$F:$F,MATCH($L686,分录报销!$L:$L,0)),"")</f>
        <v/>
      </c>
      <c r="F686" s="68" t="str">
        <f aca="false">IFERROR(INDEX(分录报销!$H:$H,MATCH($L686,分录报销!$L:$L,0)),"")</f>
        <v/>
      </c>
      <c r="G686" s="69" t="str">
        <f aca="false">IFERROR(INDEX(分录报销!$I:$I,MATCH($L686,分录报销!$L:$L,0)),"")</f>
        <v/>
      </c>
      <c r="H686" s="23"/>
      <c r="I686" s="70"/>
      <c r="L686" s="71" t="n">
        <f aca="false">IF(助手报销!$R$47="",-1,助手报销!$R$47*100+(助手报销!$S$47-1)*6+6)</f>
        <v>-1</v>
      </c>
    </row>
    <row r="687" customFormat="false" ht="23.25" hidden="false" customHeight="true" outlineLevel="0" collapsed="false">
      <c r="B687" s="72" t="str">
        <f aca="false">IF(助手报销!$T$47=1,"合计：","")</f>
        <v/>
      </c>
      <c r="C687" s="73" t="str">
        <f aca="false">IF(助手报销!$T$47=1,$F687,"")</f>
        <v/>
      </c>
      <c r="D687" s="74"/>
      <c r="E687" s="74"/>
      <c r="F687" s="75" t="str">
        <f aca="false">IF(助手报销!$T$47=1,INDEX(助手报销!$N$2:$N$121,助手报销!$R$47),"")</f>
        <v/>
      </c>
      <c r="G687" s="76" t="str">
        <f aca="false">IF(助手报销!$T$47=1,INDEX(助手报销!$O$2:$O$121,助手报销!$R$47),"")</f>
        <v/>
      </c>
      <c r="H687" s="74"/>
      <c r="I687" s="77"/>
    </row>
    <row r="688" customFormat="false" ht="6" hidden="false" customHeight="true" outlineLevel="0" collapsed="false"/>
    <row r="689" customFormat="false" ht="13.5" hidden="false" customHeight="false" outlineLevel="0" collapsed="false">
      <c r="B689" s="78" t="str">
        <f aca="false">IF(助手报销!$R$47&lt;&gt;"","会计主管：","")</f>
        <v/>
      </c>
      <c r="D689" s="78" t="str">
        <f aca="false">IF(助手报销!$R$47&lt;&gt;"","会计：","")</f>
        <v/>
      </c>
      <c r="E689" s="78" t="str">
        <f aca="false">IF(助手报销!$R$47&lt;&gt;"","出纳：","")</f>
        <v/>
      </c>
      <c r="F689" s="78" t="str">
        <f aca="false">IF(助手报销!$R$47&lt;&gt;"","复核：","")</f>
        <v/>
      </c>
      <c r="G689" s="78" t="str">
        <f aca="false">IF(助手报销!$R$47&lt;&gt;"","制单：","")</f>
        <v/>
      </c>
    </row>
    <row r="690" customFormat="false" ht="3" hidden="false" customHeight="true" outlineLevel="0" collapsed="false"/>
    <row r="691" customFormat="false" ht="19.5" hidden="false" customHeight="true" outlineLevel="0" collapsed="false">
      <c r="B691" s="53" t="str">
        <f aca="false">IF(助手报销!$R$48&lt;&gt;"","记  账  凭  证","")</f>
        <v/>
      </c>
      <c r="C691" s="53"/>
      <c r="D691" s="53"/>
      <c r="E691" s="53"/>
      <c r="F691" s="53"/>
      <c r="G691" s="53"/>
      <c r="H691" s="53"/>
      <c r="I691" s="53"/>
    </row>
    <row r="692" customFormat="false" ht="3" hidden="false" customHeight="true" outlineLevel="0" collapsed="false"/>
    <row r="693" customFormat="false" ht="15" hidden="false" customHeight="true" outlineLevel="0" collapsed="false">
      <c r="C693" s="56" t="str">
        <f aca="false">IF(助手报销!$R$48&lt;&gt;"",INDEX(助手报销!$B$2:$B$121,助手报销!$R$48),"")</f>
        <v/>
      </c>
      <c r="D693" s="57" t="str">
        <f aca="false">IF(助手报销!$R$48&lt;&gt;"",INDEX(助手报销!$D$2:$D$121,助手报销!$R$48),"")</f>
        <v/>
      </c>
      <c r="E693" s="57"/>
      <c r="F693" s="58" t="str">
        <f aca="false">IF(助手报销!$R$48&lt;&gt;"",INDEX(助手报销!$C$2:$C$121,助手报销!$R$48)&amp;"  字第 "&amp;IF(参数!$B$9="是",INDEX(助手报销!$P$2:$P$121,助手报销!$R$48),"　　　　")&amp;" 号"&amp;IF(INDEX(助手报销!$L$2:$L$121,助手报销!$R$48)&gt;1,"  (共"&amp;INDEX(助手报销!$L$2:$L$121,助手报销!$R$48)&amp;"页 第"&amp;助手报销!$S$48&amp;"页)",""),"")</f>
        <v/>
      </c>
      <c r="G693" s="58"/>
      <c r="H693" s="58"/>
      <c r="I693" s="58"/>
      <c r="M693" s="79" t="str">
        <f aca="false">IF(助手报销!$R$48="","",助手报销!$Q$48)</f>
        <v/>
      </c>
      <c r="N693" s="80" t="str">
        <f aca="false">IF(助手报销!$R$48="","",INDEX(助手报销!$P$2:$P$121,助手报销!$R$48))</f>
        <v/>
      </c>
      <c r="O693" s="55" t="str">
        <f aca="false">IF(助手报销!$R$48="","",INDEX(助手报销!$C$2:$C$121,助手报销!$R$48)&amp;"  字第 "&amp;INDEX(助手报销!$P$2:$P$121,助手报销!$R$48)&amp;" 号"&amp;IF(INDEX(助手报销!$L$2:$L$121,助手报销!$R$48)&gt;1,"  (共"&amp;INDEX(助手报销!$L$2:$L$121,助手报销!$R$48)&amp;"页 第"&amp;助手报销!$S$48&amp;"页)",""))</f>
        <v/>
      </c>
    </row>
    <row r="694" customFormat="false" ht="12.75" hidden="false" customHeight="true" outlineLevel="0" collapsed="false">
      <c r="B694" s="61" t="str">
        <f aca="false">IF(助手报销!$R$48&lt;&gt;"","摘　　要","")</f>
        <v/>
      </c>
      <c r="C694" s="61"/>
      <c r="D694" s="62" t="str">
        <f aca="false">IF(助手报销!$R$48&lt;&gt;"","科　　　　目","")</f>
        <v/>
      </c>
      <c r="E694" s="62"/>
      <c r="F694" s="61" t="str">
        <f aca="false">IF(助手报销!$R$48&lt;&gt;"","借 方 金 额","")</f>
        <v/>
      </c>
      <c r="G694" s="62" t="str">
        <f aca="false">IF(助手报销!$R$48&lt;&gt;"","贷 方 金 额","")</f>
        <v/>
      </c>
      <c r="H694" s="63" t="str">
        <f aca="false">IF(助手报销!$R$48&lt;&gt;"","√","")</f>
        <v/>
      </c>
      <c r="I694" s="64" t="str">
        <f aca="false">IF(助手报销!$R$48&lt;&gt;"","附单据  张","")</f>
        <v/>
      </c>
    </row>
    <row r="695" customFormat="false" ht="12.75" hidden="false" customHeight="true" outlineLevel="0" collapsed="false">
      <c r="B695" s="61"/>
      <c r="C695" s="61"/>
      <c r="D695" s="23" t="str">
        <f aca="false">IF(助手报销!$R$48&lt;&gt;"","总 账 科 目","")</f>
        <v/>
      </c>
      <c r="E695" s="23" t="str">
        <f aca="false">IF(助手报销!$R$48&lt;&gt;"","明 细 科 目","")</f>
        <v/>
      </c>
      <c r="F695" s="65"/>
      <c r="G695" s="66"/>
      <c r="H695" s="63"/>
      <c r="I695" s="64"/>
    </row>
    <row r="696" customFormat="false" ht="23.25" hidden="false" customHeight="true" outlineLevel="0" collapsed="false">
      <c r="B696" s="67" t="str">
        <f aca="false">IFERROR(INDEX(分录报销!$M:$M,MATCH($L696,分录报销!$L:$L,0)),"")</f>
        <v/>
      </c>
      <c r="C696" s="67"/>
      <c r="D696" s="23" t="str">
        <f aca="false">IFERROR(INDEX(分录报销!$E:$E,MATCH($L696,分录报销!$L:$L,0)),"")</f>
        <v/>
      </c>
      <c r="E696" s="23" t="str">
        <f aca="false">IFERROR(INDEX(分录报销!$F:$F,MATCH($L696,分录报销!$L:$L,0)),"")</f>
        <v/>
      </c>
      <c r="F696" s="68" t="str">
        <f aca="false">IFERROR(INDEX(分录报销!$H:$H,MATCH($L696,分录报销!$L:$L,0)),"")</f>
        <v/>
      </c>
      <c r="G696" s="69" t="str">
        <f aca="false">IFERROR(INDEX(分录报销!$I:$I,MATCH($L696,分录报销!$L:$L,0)),"")</f>
        <v/>
      </c>
      <c r="H696" s="23"/>
      <c r="I696" s="70"/>
      <c r="L696" s="71" t="n">
        <f aca="false">IF(助手报销!$R$48="",-1,助手报销!$R$48*100+(助手报销!$S$48-1)*6+1)</f>
        <v>-1</v>
      </c>
    </row>
    <row r="697" customFormat="false" ht="23.25" hidden="false" customHeight="true" outlineLevel="0" collapsed="false">
      <c r="B697" s="67" t="str">
        <f aca="false">IFERROR(INDEX(分录报销!$M:$M,MATCH($L697,分录报销!$L:$L,0)),"")</f>
        <v/>
      </c>
      <c r="C697" s="67"/>
      <c r="D697" s="23" t="str">
        <f aca="false">IFERROR(INDEX(分录报销!$E:$E,MATCH($L697,分录报销!$L:$L,0)),"")</f>
        <v/>
      </c>
      <c r="E697" s="23" t="str">
        <f aca="false">IFERROR(INDEX(分录报销!$F:$F,MATCH($L697,分录报销!$L:$L,0)),"")</f>
        <v/>
      </c>
      <c r="F697" s="68" t="str">
        <f aca="false">IFERROR(INDEX(分录报销!$H:$H,MATCH($L697,分录报销!$L:$L,0)),"")</f>
        <v/>
      </c>
      <c r="G697" s="69" t="str">
        <f aca="false">IFERROR(INDEX(分录报销!$I:$I,MATCH($L697,分录报销!$L:$L,0)),"")</f>
        <v/>
      </c>
      <c r="H697" s="23"/>
      <c r="I697" s="70"/>
      <c r="L697" s="71" t="n">
        <f aca="false">IF(助手报销!$R$48="",-1,助手报销!$R$48*100+(助手报销!$S$48-1)*6+2)</f>
        <v>-1</v>
      </c>
    </row>
    <row r="698" customFormat="false" ht="23.25" hidden="false" customHeight="true" outlineLevel="0" collapsed="false">
      <c r="B698" s="67" t="str">
        <f aca="false">IFERROR(INDEX(分录报销!$M:$M,MATCH($L698,分录报销!$L:$L,0)),"")</f>
        <v/>
      </c>
      <c r="C698" s="67"/>
      <c r="D698" s="23" t="str">
        <f aca="false">IFERROR(INDEX(分录报销!$E:$E,MATCH($L698,分录报销!$L:$L,0)),"")</f>
        <v/>
      </c>
      <c r="E698" s="23" t="str">
        <f aca="false">IFERROR(INDEX(分录报销!$F:$F,MATCH($L698,分录报销!$L:$L,0)),"")</f>
        <v/>
      </c>
      <c r="F698" s="68" t="str">
        <f aca="false">IFERROR(INDEX(分录报销!$H:$H,MATCH($L698,分录报销!$L:$L,0)),"")</f>
        <v/>
      </c>
      <c r="G698" s="69" t="str">
        <f aca="false">IFERROR(INDEX(分录报销!$I:$I,MATCH($L698,分录报销!$L:$L,0)),"")</f>
        <v/>
      </c>
      <c r="H698" s="23"/>
      <c r="I698" s="70"/>
      <c r="L698" s="71" t="n">
        <f aca="false">IF(助手报销!$R$48="",-1,助手报销!$R$48*100+(助手报销!$S$48-1)*6+3)</f>
        <v>-1</v>
      </c>
    </row>
    <row r="699" customFormat="false" ht="23.25" hidden="false" customHeight="true" outlineLevel="0" collapsed="false">
      <c r="B699" s="67" t="str">
        <f aca="false">IFERROR(INDEX(分录报销!$M:$M,MATCH($L699,分录报销!$L:$L,0)),"")</f>
        <v/>
      </c>
      <c r="C699" s="67"/>
      <c r="D699" s="23" t="str">
        <f aca="false">IFERROR(INDEX(分录报销!$E:$E,MATCH($L699,分录报销!$L:$L,0)),"")</f>
        <v/>
      </c>
      <c r="E699" s="23" t="str">
        <f aca="false">IFERROR(INDEX(分录报销!$F:$F,MATCH($L699,分录报销!$L:$L,0)),"")</f>
        <v/>
      </c>
      <c r="F699" s="68" t="str">
        <f aca="false">IFERROR(INDEX(分录报销!$H:$H,MATCH($L699,分录报销!$L:$L,0)),"")</f>
        <v/>
      </c>
      <c r="G699" s="69" t="str">
        <f aca="false">IFERROR(INDEX(分录报销!$I:$I,MATCH($L699,分录报销!$L:$L,0)),"")</f>
        <v/>
      </c>
      <c r="H699" s="23"/>
      <c r="I699" s="70"/>
      <c r="L699" s="71" t="n">
        <f aca="false">IF(助手报销!$R$48="",-1,助手报销!$R$48*100+(助手报销!$S$48-1)*6+4)</f>
        <v>-1</v>
      </c>
    </row>
    <row r="700" customFormat="false" ht="23.25" hidden="false" customHeight="true" outlineLevel="0" collapsed="false">
      <c r="B700" s="67" t="str">
        <f aca="false">IFERROR(INDEX(分录报销!$M:$M,MATCH($L700,分录报销!$L:$L,0)),"")</f>
        <v/>
      </c>
      <c r="C700" s="67"/>
      <c r="D700" s="23" t="str">
        <f aca="false">IFERROR(INDEX(分录报销!$E:$E,MATCH($L700,分录报销!$L:$L,0)),"")</f>
        <v/>
      </c>
      <c r="E700" s="23" t="str">
        <f aca="false">IFERROR(INDEX(分录报销!$F:$F,MATCH($L700,分录报销!$L:$L,0)),"")</f>
        <v/>
      </c>
      <c r="F700" s="68" t="str">
        <f aca="false">IFERROR(INDEX(分录报销!$H:$H,MATCH($L700,分录报销!$L:$L,0)),"")</f>
        <v/>
      </c>
      <c r="G700" s="69" t="str">
        <f aca="false">IFERROR(INDEX(分录报销!$I:$I,MATCH($L700,分录报销!$L:$L,0)),"")</f>
        <v/>
      </c>
      <c r="H700" s="23"/>
      <c r="I700" s="70"/>
      <c r="L700" s="71" t="n">
        <f aca="false">IF(助手报销!$R$48="",-1,助手报销!$R$48*100+(助手报销!$S$48-1)*6+5)</f>
        <v>-1</v>
      </c>
    </row>
    <row r="701" customFormat="false" ht="23.25" hidden="false" customHeight="true" outlineLevel="0" collapsed="false">
      <c r="B701" s="67" t="str">
        <f aca="false">IFERROR(INDEX(分录报销!$M:$M,MATCH($L701,分录报销!$L:$L,0)),"")</f>
        <v/>
      </c>
      <c r="C701" s="67"/>
      <c r="D701" s="23" t="str">
        <f aca="false">IFERROR(INDEX(分录报销!$E:$E,MATCH($L701,分录报销!$L:$L,0)),"")</f>
        <v/>
      </c>
      <c r="E701" s="23" t="str">
        <f aca="false">IFERROR(INDEX(分录报销!$F:$F,MATCH($L701,分录报销!$L:$L,0)),"")</f>
        <v/>
      </c>
      <c r="F701" s="68" t="str">
        <f aca="false">IFERROR(INDEX(分录报销!$H:$H,MATCH($L701,分录报销!$L:$L,0)),"")</f>
        <v/>
      </c>
      <c r="G701" s="69" t="str">
        <f aca="false">IFERROR(INDEX(分录报销!$I:$I,MATCH($L701,分录报销!$L:$L,0)),"")</f>
        <v/>
      </c>
      <c r="H701" s="23"/>
      <c r="I701" s="70"/>
      <c r="L701" s="71" t="n">
        <f aca="false">IF(助手报销!$R$48="",-1,助手报销!$R$48*100+(助手报销!$S$48-1)*6+6)</f>
        <v>-1</v>
      </c>
    </row>
    <row r="702" customFormat="false" ht="23.25" hidden="false" customHeight="true" outlineLevel="0" collapsed="false">
      <c r="B702" s="72" t="str">
        <f aca="false">IF(助手报销!$T$48=1,"合计：","")</f>
        <v/>
      </c>
      <c r="C702" s="73" t="str">
        <f aca="false">IF(助手报销!$T$48=1,$F702,"")</f>
        <v/>
      </c>
      <c r="D702" s="74"/>
      <c r="E702" s="74"/>
      <c r="F702" s="75" t="str">
        <f aca="false">IF(助手报销!$T$48=1,INDEX(助手报销!$N$2:$N$121,助手报销!$R$48),"")</f>
        <v/>
      </c>
      <c r="G702" s="76" t="str">
        <f aca="false">IF(助手报销!$T$48=1,INDEX(助手报销!$O$2:$O$121,助手报销!$R$48),"")</f>
        <v/>
      </c>
      <c r="H702" s="74"/>
      <c r="I702" s="77"/>
    </row>
    <row r="703" customFormat="false" ht="6" hidden="false" customHeight="true" outlineLevel="0" collapsed="false"/>
    <row r="704" customFormat="false" ht="13.5" hidden="false" customHeight="false" outlineLevel="0" collapsed="false">
      <c r="B704" s="78" t="str">
        <f aca="false">IF(助手报销!$R$48&lt;&gt;"","会计主管：","")</f>
        <v/>
      </c>
      <c r="D704" s="78" t="str">
        <f aca="false">IF(助手报销!$R$48&lt;&gt;"","会计：","")</f>
        <v/>
      </c>
      <c r="E704" s="78" t="str">
        <f aca="false">IF(助手报销!$R$48&lt;&gt;"","出纳：","")</f>
        <v/>
      </c>
      <c r="F704" s="78" t="str">
        <f aca="false">IF(助手报销!$R$48&lt;&gt;"","复核：","")</f>
        <v/>
      </c>
      <c r="G704" s="78" t="str">
        <f aca="false">IF(助手报销!$R$48&lt;&gt;"","制单：","")</f>
        <v/>
      </c>
    </row>
    <row r="705" customFormat="false" ht="3" hidden="false" customHeight="true" outlineLevel="0" collapsed="false"/>
    <row r="706" customFormat="false" ht="19.5" hidden="false" customHeight="true" outlineLevel="0" collapsed="false">
      <c r="B706" s="53" t="str">
        <f aca="false">IF(助手报销!$R$49&lt;&gt;"","记  账  凭  证","")</f>
        <v/>
      </c>
      <c r="C706" s="53"/>
      <c r="D706" s="53"/>
      <c r="E706" s="53"/>
      <c r="F706" s="53"/>
      <c r="G706" s="53"/>
      <c r="H706" s="53"/>
      <c r="I706" s="53"/>
    </row>
    <row r="707" customFormat="false" ht="3" hidden="false" customHeight="true" outlineLevel="0" collapsed="false"/>
    <row r="708" customFormat="false" ht="15" hidden="false" customHeight="true" outlineLevel="0" collapsed="false">
      <c r="C708" s="56" t="str">
        <f aca="false">IF(助手报销!$R$49&lt;&gt;"",INDEX(助手报销!$B$2:$B$121,助手报销!$R$49),"")</f>
        <v/>
      </c>
      <c r="D708" s="57" t="str">
        <f aca="false">IF(助手报销!$R$49&lt;&gt;"",INDEX(助手报销!$D$2:$D$121,助手报销!$R$49),"")</f>
        <v/>
      </c>
      <c r="E708" s="57"/>
      <c r="F708" s="58" t="str">
        <f aca="false">IF(助手报销!$R$49&lt;&gt;"",INDEX(助手报销!$C$2:$C$121,助手报销!$R$49)&amp;"  字第 "&amp;IF(参数!$B$9="是",INDEX(助手报销!$P$2:$P$121,助手报销!$R$49),"　　　　")&amp;" 号"&amp;IF(INDEX(助手报销!$L$2:$L$121,助手报销!$R$49)&gt;1,"  (共"&amp;INDEX(助手报销!$L$2:$L$121,助手报销!$R$49)&amp;"页 第"&amp;助手报销!$S$49&amp;"页)",""),"")</f>
        <v/>
      </c>
      <c r="G708" s="58"/>
      <c r="H708" s="58"/>
      <c r="I708" s="58"/>
      <c r="M708" s="79" t="str">
        <f aca="false">IF(助手报销!$R$49="","",助手报销!$Q$49)</f>
        <v/>
      </c>
      <c r="N708" s="80" t="str">
        <f aca="false">IF(助手报销!$R$49="","",INDEX(助手报销!$P$2:$P$121,助手报销!$R$49))</f>
        <v/>
      </c>
      <c r="O708" s="55" t="str">
        <f aca="false">IF(助手报销!$R$49="","",INDEX(助手报销!$C$2:$C$121,助手报销!$R$49)&amp;"  字第 "&amp;INDEX(助手报销!$P$2:$P$121,助手报销!$R$49)&amp;" 号"&amp;IF(INDEX(助手报销!$L$2:$L$121,助手报销!$R$49)&gt;1,"  (共"&amp;INDEX(助手报销!$L$2:$L$121,助手报销!$R$49)&amp;"页 第"&amp;助手报销!$S$49&amp;"页)",""))</f>
        <v/>
      </c>
    </row>
    <row r="709" customFormat="false" ht="12.75" hidden="false" customHeight="true" outlineLevel="0" collapsed="false">
      <c r="B709" s="61" t="str">
        <f aca="false">IF(助手报销!$R$49&lt;&gt;"","摘　　要","")</f>
        <v/>
      </c>
      <c r="C709" s="61"/>
      <c r="D709" s="62" t="str">
        <f aca="false">IF(助手报销!$R$49&lt;&gt;"","科　　　　目","")</f>
        <v/>
      </c>
      <c r="E709" s="62"/>
      <c r="F709" s="61" t="str">
        <f aca="false">IF(助手报销!$R$49&lt;&gt;"","借 方 金 额","")</f>
        <v/>
      </c>
      <c r="G709" s="62" t="str">
        <f aca="false">IF(助手报销!$R$49&lt;&gt;"","贷 方 金 额","")</f>
        <v/>
      </c>
      <c r="H709" s="63" t="str">
        <f aca="false">IF(助手报销!$R$49&lt;&gt;"","√","")</f>
        <v/>
      </c>
      <c r="I709" s="64" t="str">
        <f aca="false">IF(助手报销!$R$49&lt;&gt;"","附单据  张","")</f>
        <v/>
      </c>
    </row>
    <row r="710" customFormat="false" ht="12.75" hidden="false" customHeight="true" outlineLevel="0" collapsed="false">
      <c r="B710" s="61"/>
      <c r="C710" s="61"/>
      <c r="D710" s="23" t="str">
        <f aca="false">IF(助手报销!$R$49&lt;&gt;"","总 账 科 目","")</f>
        <v/>
      </c>
      <c r="E710" s="23" t="str">
        <f aca="false">IF(助手报销!$R$49&lt;&gt;"","明 细 科 目","")</f>
        <v/>
      </c>
      <c r="F710" s="65"/>
      <c r="G710" s="66"/>
      <c r="H710" s="63"/>
      <c r="I710" s="64"/>
    </row>
    <row r="711" customFormat="false" ht="23.25" hidden="false" customHeight="true" outlineLevel="0" collapsed="false">
      <c r="B711" s="67" t="str">
        <f aca="false">IFERROR(INDEX(分录报销!$M:$M,MATCH($L711,分录报销!$L:$L,0)),"")</f>
        <v/>
      </c>
      <c r="C711" s="67"/>
      <c r="D711" s="23" t="str">
        <f aca="false">IFERROR(INDEX(分录报销!$E:$E,MATCH($L711,分录报销!$L:$L,0)),"")</f>
        <v/>
      </c>
      <c r="E711" s="23" t="str">
        <f aca="false">IFERROR(INDEX(分录报销!$F:$F,MATCH($L711,分录报销!$L:$L,0)),"")</f>
        <v/>
      </c>
      <c r="F711" s="68" t="str">
        <f aca="false">IFERROR(INDEX(分录报销!$H:$H,MATCH($L711,分录报销!$L:$L,0)),"")</f>
        <v/>
      </c>
      <c r="G711" s="69" t="str">
        <f aca="false">IFERROR(INDEX(分录报销!$I:$I,MATCH($L711,分录报销!$L:$L,0)),"")</f>
        <v/>
      </c>
      <c r="H711" s="23"/>
      <c r="I711" s="70"/>
      <c r="L711" s="71" t="n">
        <f aca="false">IF(助手报销!$R$49="",-1,助手报销!$R$49*100+(助手报销!$S$49-1)*6+1)</f>
        <v>-1</v>
      </c>
    </row>
    <row r="712" customFormat="false" ht="23.25" hidden="false" customHeight="true" outlineLevel="0" collapsed="false">
      <c r="B712" s="67" t="str">
        <f aca="false">IFERROR(INDEX(分录报销!$M:$M,MATCH($L712,分录报销!$L:$L,0)),"")</f>
        <v/>
      </c>
      <c r="C712" s="67"/>
      <c r="D712" s="23" t="str">
        <f aca="false">IFERROR(INDEX(分录报销!$E:$E,MATCH($L712,分录报销!$L:$L,0)),"")</f>
        <v/>
      </c>
      <c r="E712" s="23" t="str">
        <f aca="false">IFERROR(INDEX(分录报销!$F:$F,MATCH($L712,分录报销!$L:$L,0)),"")</f>
        <v/>
      </c>
      <c r="F712" s="68" t="str">
        <f aca="false">IFERROR(INDEX(分录报销!$H:$H,MATCH($L712,分录报销!$L:$L,0)),"")</f>
        <v/>
      </c>
      <c r="G712" s="69" t="str">
        <f aca="false">IFERROR(INDEX(分录报销!$I:$I,MATCH($L712,分录报销!$L:$L,0)),"")</f>
        <v/>
      </c>
      <c r="H712" s="23"/>
      <c r="I712" s="70"/>
      <c r="L712" s="71" t="n">
        <f aca="false">IF(助手报销!$R$49="",-1,助手报销!$R$49*100+(助手报销!$S$49-1)*6+2)</f>
        <v>-1</v>
      </c>
    </row>
    <row r="713" customFormat="false" ht="23.25" hidden="false" customHeight="true" outlineLevel="0" collapsed="false">
      <c r="B713" s="67" t="str">
        <f aca="false">IFERROR(INDEX(分录报销!$M:$M,MATCH($L713,分录报销!$L:$L,0)),"")</f>
        <v/>
      </c>
      <c r="C713" s="67"/>
      <c r="D713" s="23" t="str">
        <f aca="false">IFERROR(INDEX(分录报销!$E:$E,MATCH($L713,分录报销!$L:$L,0)),"")</f>
        <v/>
      </c>
      <c r="E713" s="23" t="str">
        <f aca="false">IFERROR(INDEX(分录报销!$F:$F,MATCH($L713,分录报销!$L:$L,0)),"")</f>
        <v/>
      </c>
      <c r="F713" s="68" t="str">
        <f aca="false">IFERROR(INDEX(分录报销!$H:$H,MATCH($L713,分录报销!$L:$L,0)),"")</f>
        <v/>
      </c>
      <c r="G713" s="69" t="str">
        <f aca="false">IFERROR(INDEX(分录报销!$I:$I,MATCH($L713,分录报销!$L:$L,0)),"")</f>
        <v/>
      </c>
      <c r="H713" s="23"/>
      <c r="I713" s="70"/>
      <c r="L713" s="71" t="n">
        <f aca="false">IF(助手报销!$R$49="",-1,助手报销!$R$49*100+(助手报销!$S$49-1)*6+3)</f>
        <v>-1</v>
      </c>
    </row>
    <row r="714" customFormat="false" ht="23.25" hidden="false" customHeight="true" outlineLevel="0" collapsed="false">
      <c r="B714" s="67" t="str">
        <f aca="false">IFERROR(INDEX(分录报销!$M:$M,MATCH($L714,分录报销!$L:$L,0)),"")</f>
        <v/>
      </c>
      <c r="C714" s="67"/>
      <c r="D714" s="23" t="str">
        <f aca="false">IFERROR(INDEX(分录报销!$E:$E,MATCH($L714,分录报销!$L:$L,0)),"")</f>
        <v/>
      </c>
      <c r="E714" s="23" t="str">
        <f aca="false">IFERROR(INDEX(分录报销!$F:$F,MATCH($L714,分录报销!$L:$L,0)),"")</f>
        <v/>
      </c>
      <c r="F714" s="68" t="str">
        <f aca="false">IFERROR(INDEX(分录报销!$H:$H,MATCH($L714,分录报销!$L:$L,0)),"")</f>
        <v/>
      </c>
      <c r="G714" s="69" t="str">
        <f aca="false">IFERROR(INDEX(分录报销!$I:$I,MATCH($L714,分录报销!$L:$L,0)),"")</f>
        <v/>
      </c>
      <c r="H714" s="23"/>
      <c r="I714" s="70"/>
      <c r="L714" s="71" t="n">
        <f aca="false">IF(助手报销!$R$49="",-1,助手报销!$R$49*100+(助手报销!$S$49-1)*6+4)</f>
        <v>-1</v>
      </c>
    </row>
    <row r="715" customFormat="false" ht="23.25" hidden="false" customHeight="true" outlineLevel="0" collapsed="false">
      <c r="B715" s="67" t="str">
        <f aca="false">IFERROR(INDEX(分录报销!$M:$M,MATCH($L715,分录报销!$L:$L,0)),"")</f>
        <v/>
      </c>
      <c r="C715" s="67"/>
      <c r="D715" s="23" t="str">
        <f aca="false">IFERROR(INDEX(分录报销!$E:$E,MATCH($L715,分录报销!$L:$L,0)),"")</f>
        <v/>
      </c>
      <c r="E715" s="23" t="str">
        <f aca="false">IFERROR(INDEX(分录报销!$F:$F,MATCH($L715,分录报销!$L:$L,0)),"")</f>
        <v/>
      </c>
      <c r="F715" s="68" t="str">
        <f aca="false">IFERROR(INDEX(分录报销!$H:$H,MATCH($L715,分录报销!$L:$L,0)),"")</f>
        <v/>
      </c>
      <c r="G715" s="69" t="str">
        <f aca="false">IFERROR(INDEX(分录报销!$I:$I,MATCH($L715,分录报销!$L:$L,0)),"")</f>
        <v/>
      </c>
      <c r="H715" s="23"/>
      <c r="I715" s="70"/>
      <c r="L715" s="71" t="n">
        <f aca="false">IF(助手报销!$R$49="",-1,助手报销!$R$49*100+(助手报销!$S$49-1)*6+5)</f>
        <v>-1</v>
      </c>
    </row>
    <row r="716" customFormat="false" ht="23.25" hidden="false" customHeight="true" outlineLevel="0" collapsed="false">
      <c r="B716" s="67" t="str">
        <f aca="false">IFERROR(INDEX(分录报销!$M:$M,MATCH($L716,分录报销!$L:$L,0)),"")</f>
        <v/>
      </c>
      <c r="C716" s="67"/>
      <c r="D716" s="23" t="str">
        <f aca="false">IFERROR(INDEX(分录报销!$E:$E,MATCH($L716,分录报销!$L:$L,0)),"")</f>
        <v/>
      </c>
      <c r="E716" s="23" t="str">
        <f aca="false">IFERROR(INDEX(分录报销!$F:$F,MATCH($L716,分录报销!$L:$L,0)),"")</f>
        <v/>
      </c>
      <c r="F716" s="68" t="str">
        <f aca="false">IFERROR(INDEX(分录报销!$H:$H,MATCH($L716,分录报销!$L:$L,0)),"")</f>
        <v/>
      </c>
      <c r="G716" s="69" t="str">
        <f aca="false">IFERROR(INDEX(分录报销!$I:$I,MATCH($L716,分录报销!$L:$L,0)),"")</f>
        <v/>
      </c>
      <c r="H716" s="23"/>
      <c r="I716" s="70"/>
      <c r="L716" s="71" t="n">
        <f aca="false">IF(助手报销!$R$49="",-1,助手报销!$R$49*100+(助手报销!$S$49-1)*6+6)</f>
        <v>-1</v>
      </c>
    </row>
    <row r="717" customFormat="false" ht="23.25" hidden="false" customHeight="true" outlineLevel="0" collapsed="false">
      <c r="B717" s="72" t="str">
        <f aca="false">IF(助手报销!$T$49=1,"合计：","")</f>
        <v/>
      </c>
      <c r="C717" s="73" t="str">
        <f aca="false">IF(助手报销!$T$49=1,$F717,"")</f>
        <v/>
      </c>
      <c r="D717" s="74"/>
      <c r="E717" s="74"/>
      <c r="F717" s="75" t="str">
        <f aca="false">IF(助手报销!$T$49=1,INDEX(助手报销!$N$2:$N$121,助手报销!$R$49),"")</f>
        <v/>
      </c>
      <c r="G717" s="76" t="str">
        <f aca="false">IF(助手报销!$T$49=1,INDEX(助手报销!$O$2:$O$121,助手报销!$R$49),"")</f>
        <v/>
      </c>
      <c r="H717" s="74"/>
      <c r="I717" s="77"/>
    </row>
    <row r="718" customFormat="false" ht="6" hidden="false" customHeight="true" outlineLevel="0" collapsed="false"/>
    <row r="719" customFormat="false" ht="13.5" hidden="false" customHeight="false" outlineLevel="0" collapsed="false">
      <c r="B719" s="78" t="str">
        <f aca="false">IF(助手报销!$R$49&lt;&gt;"","会计主管：","")</f>
        <v/>
      </c>
      <c r="D719" s="78" t="str">
        <f aca="false">IF(助手报销!$R$49&lt;&gt;"","会计：","")</f>
        <v/>
      </c>
      <c r="E719" s="78" t="str">
        <f aca="false">IF(助手报销!$R$49&lt;&gt;"","出纳：","")</f>
        <v/>
      </c>
      <c r="F719" s="78" t="str">
        <f aca="false">IF(助手报销!$R$49&lt;&gt;"","复核：","")</f>
        <v/>
      </c>
      <c r="G719" s="78" t="str">
        <f aca="false">IF(助手报销!$R$49&lt;&gt;"","制单：","")</f>
        <v/>
      </c>
    </row>
    <row r="720" customFormat="false" ht="3" hidden="false" customHeight="true" outlineLevel="0" collapsed="false"/>
    <row r="721" customFormat="false" ht="19.5" hidden="false" customHeight="true" outlineLevel="0" collapsed="false">
      <c r="B721" s="53" t="str">
        <f aca="false">IF(助手报销!$R$50&lt;&gt;"","记  账  凭  证","")</f>
        <v/>
      </c>
      <c r="C721" s="53"/>
      <c r="D721" s="53"/>
      <c r="E721" s="53"/>
      <c r="F721" s="53"/>
      <c r="G721" s="53"/>
      <c r="H721" s="53"/>
      <c r="I721" s="53"/>
    </row>
    <row r="722" customFormat="false" ht="3" hidden="false" customHeight="true" outlineLevel="0" collapsed="false"/>
    <row r="723" customFormat="false" ht="15" hidden="false" customHeight="true" outlineLevel="0" collapsed="false">
      <c r="C723" s="56" t="str">
        <f aca="false">IF(助手报销!$R$50&lt;&gt;"",INDEX(助手报销!$B$2:$B$121,助手报销!$R$50),"")</f>
        <v/>
      </c>
      <c r="D723" s="57" t="str">
        <f aca="false">IF(助手报销!$R$50&lt;&gt;"",INDEX(助手报销!$D$2:$D$121,助手报销!$R$50),"")</f>
        <v/>
      </c>
      <c r="E723" s="57"/>
      <c r="F723" s="58" t="str">
        <f aca="false">IF(助手报销!$R$50&lt;&gt;"",INDEX(助手报销!$C$2:$C$121,助手报销!$R$50)&amp;"  字第 "&amp;IF(参数!$B$9="是",INDEX(助手报销!$P$2:$P$121,助手报销!$R$50),"　　　　")&amp;" 号"&amp;IF(INDEX(助手报销!$L$2:$L$121,助手报销!$R$50)&gt;1,"  (共"&amp;INDEX(助手报销!$L$2:$L$121,助手报销!$R$50)&amp;"页 第"&amp;助手报销!$S$50&amp;"页)",""),"")</f>
        <v/>
      </c>
      <c r="G723" s="58"/>
      <c r="H723" s="58"/>
      <c r="I723" s="58"/>
      <c r="M723" s="79" t="str">
        <f aca="false">IF(助手报销!$R$50="","",助手报销!$Q$50)</f>
        <v/>
      </c>
      <c r="N723" s="80" t="str">
        <f aca="false">IF(助手报销!$R$50="","",INDEX(助手报销!$P$2:$P$121,助手报销!$R$50))</f>
        <v/>
      </c>
      <c r="O723" s="55" t="str">
        <f aca="false">IF(助手报销!$R$50="","",INDEX(助手报销!$C$2:$C$121,助手报销!$R$50)&amp;"  字第 "&amp;INDEX(助手报销!$P$2:$P$121,助手报销!$R$50)&amp;" 号"&amp;IF(INDEX(助手报销!$L$2:$L$121,助手报销!$R$50)&gt;1,"  (共"&amp;INDEX(助手报销!$L$2:$L$121,助手报销!$R$50)&amp;"页 第"&amp;助手报销!$S$50&amp;"页)",""))</f>
        <v/>
      </c>
    </row>
    <row r="724" customFormat="false" ht="12.75" hidden="false" customHeight="true" outlineLevel="0" collapsed="false">
      <c r="B724" s="61" t="str">
        <f aca="false">IF(助手报销!$R$50&lt;&gt;"","摘　　要","")</f>
        <v/>
      </c>
      <c r="C724" s="61"/>
      <c r="D724" s="62" t="str">
        <f aca="false">IF(助手报销!$R$50&lt;&gt;"","科　　　　目","")</f>
        <v/>
      </c>
      <c r="E724" s="62"/>
      <c r="F724" s="61" t="str">
        <f aca="false">IF(助手报销!$R$50&lt;&gt;"","借 方 金 额","")</f>
        <v/>
      </c>
      <c r="G724" s="62" t="str">
        <f aca="false">IF(助手报销!$R$50&lt;&gt;"","贷 方 金 额","")</f>
        <v/>
      </c>
      <c r="H724" s="63" t="str">
        <f aca="false">IF(助手报销!$R$50&lt;&gt;"","√","")</f>
        <v/>
      </c>
      <c r="I724" s="64" t="str">
        <f aca="false">IF(助手报销!$R$50&lt;&gt;"","附单据  张","")</f>
        <v/>
      </c>
    </row>
    <row r="725" customFormat="false" ht="12.75" hidden="false" customHeight="true" outlineLevel="0" collapsed="false">
      <c r="B725" s="61"/>
      <c r="C725" s="61"/>
      <c r="D725" s="23" t="str">
        <f aca="false">IF(助手报销!$R$50&lt;&gt;"","总 账 科 目","")</f>
        <v/>
      </c>
      <c r="E725" s="23" t="str">
        <f aca="false">IF(助手报销!$R$50&lt;&gt;"","明 细 科 目","")</f>
        <v/>
      </c>
      <c r="F725" s="65"/>
      <c r="G725" s="66"/>
      <c r="H725" s="63"/>
      <c r="I725" s="64"/>
    </row>
    <row r="726" customFormat="false" ht="23.25" hidden="false" customHeight="true" outlineLevel="0" collapsed="false">
      <c r="B726" s="67" t="str">
        <f aca="false">IFERROR(INDEX(分录报销!$M:$M,MATCH($L726,分录报销!$L:$L,0)),"")</f>
        <v/>
      </c>
      <c r="C726" s="67"/>
      <c r="D726" s="23" t="str">
        <f aca="false">IFERROR(INDEX(分录报销!$E:$E,MATCH($L726,分录报销!$L:$L,0)),"")</f>
        <v/>
      </c>
      <c r="E726" s="23" t="str">
        <f aca="false">IFERROR(INDEX(分录报销!$F:$F,MATCH($L726,分录报销!$L:$L,0)),"")</f>
        <v/>
      </c>
      <c r="F726" s="68" t="str">
        <f aca="false">IFERROR(INDEX(分录报销!$H:$H,MATCH($L726,分录报销!$L:$L,0)),"")</f>
        <v/>
      </c>
      <c r="G726" s="69" t="str">
        <f aca="false">IFERROR(INDEX(分录报销!$I:$I,MATCH($L726,分录报销!$L:$L,0)),"")</f>
        <v/>
      </c>
      <c r="H726" s="23"/>
      <c r="I726" s="70"/>
      <c r="L726" s="71" t="n">
        <f aca="false">IF(助手报销!$R$50="",-1,助手报销!$R$50*100+(助手报销!$S$50-1)*6+1)</f>
        <v>-1</v>
      </c>
    </row>
    <row r="727" customFormat="false" ht="23.25" hidden="false" customHeight="true" outlineLevel="0" collapsed="false">
      <c r="B727" s="67" t="str">
        <f aca="false">IFERROR(INDEX(分录报销!$M:$M,MATCH($L727,分录报销!$L:$L,0)),"")</f>
        <v/>
      </c>
      <c r="C727" s="67"/>
      <c r="D727" s="23" t="str">
        <f aca="false">IFERROR(INDEX(分录报销!$E:$E,MATCH($L727,分录报销!$L:$L,0)),"")</f>
        <v/>
      </c>
      <c r="E727" s="23" t="str">
        <f aca="false">IFERROR(INDEX(分录报销!$F:$F,MATCH($L727,分录报销!$L:$L,0)),"")</f>
        <v/>
      </c>
      <c r="F727" s="68" t="str">
        <f aca="false">IFERROR(INDEX(分录报销!$H:$H,MATCH($L727,分录报销!$L:$L,0)),"")</f>
        <v/>
      </c>
      <c r="G727" s="69" t="str">
        <f aca="false">IFERROR(INDEX(分录报销!$I:$I,MATCH($L727,分录报销!$L:$L,0)),"")</f>
        <v/>
      </c>
      <c r="H727" s="23"/>
      <c r="I727" s="70"/>
      <c r="L727" s="71" t="n">
        <f aca="false">IF(助手报销!$R$50="",-1,助手报销!$R$50*100+(助手报销!$S$50-1)*6+2)</f>
        <v>-1</v>
      </c>
    </row>
    <row r="728" customFormat="false" ht="23.25" hidden="false" customHeight="true" outlineLevel="0" collapsed="false">
      <c r="B728" s="67" t="str">
        <f aca="false">IFERROR(INDEX(分录报销!$M:$M,MATCH($L728,分录报销!$L:$L,0)),"")</f>
        <v/>
      </c>
      <c r="C728" s="67"/>
      <c r="D728" s="23" t="str">
        <f aca="false">IFERROR(INDEX(分录报销!$E:$E,MATCH($L728,分录报销!$L:$L,0)),"")</f>
        <v/>
      </c>
      <c r="E728" s="23" t="str">
        <f aca="false">IFERROR(INDEX(分录报销!$F:$F,MATCH($L728,分录报销!$L:$L,0)),"")</f>
        <v/>
      </c>
      <c r="F728" s="68" t="str">
        <f aca="false">IFERROR(INDEX(分录报销!$H:$H,MATCH($L728,分录报销!$L:$L,0)),"")</f>
        <v/>
      </c>
      <c r="G728" s="69" t="str">
        <f aca="false">IFERROR(INDEX(分录报销!$I:$I,MATCH($L728,分录报销!$L:$L,0)),"")</f>
        <v/>
      </c>
      <c r="H728" s="23"/>
      <c r="I728" s="70"/>
      <c r="L728" s="71" t="n">
        <f aca="false">IF(助手报销!$R$50="",-1,助手报销!$R$50*100+(助手报销!$S$50-1)*6+3)</f>
        <v>-1</v>
      </c>
    </row>
    <row r="729" customFormat="false" ht="23.25" hidden="false" customHeight="true" outlineLevel="0" collapsed="false">
      <c r="B729" s="67" t="str">
        <f aca="false">IFERROR(INDEX(分录报销!$M:$M,MATCH($L729,分录报销!$L:$L,0)),"")</f>
        <v/>
      </c>
      <c r="C729" s="67"/>
      <c r="D729" s="23" t="str">
        <f aca="false">IFERROR(INDEX(分录报销!$E:$E,MATCH($L729,分录报销!$L:$L,0)),"")</f>
        <v/>
      </c>
      <c r="E729" s="23" t="str">
        <f aca="false">IFERROR(INDEX(分录报销!$F:$F,MATCH($L729,分录报销!$L:$L,0)),"")</f>
        <v/>
      </c>
      <c r="F729" s="68" t="str">
        <f aca="false">IFERROR(INDEX(分录报销!$H:$H,MATCH($L729,分录报销!$L:$L,0)),"")</f>
        <v/>
      </c>
      <c r="G729" s="69" t="str">
        <f aca="false">IFERROR(INDEX(分录报销!$I:$I,MATCH($L729,分录报销!$L:$L,0)),"")</f>
        <v/>
      </c>
      <c r="H729" s="23"/>
      <c r="I729" s="70"/>
      <c r="L729" s="71" t="n">
        <f aca="false">IF(助手报销!$R$50="",-1,助手报销!$R$50*100+(助手报销!$S$50-1)*6+4)</f>
        <v>-1</v>
      </c>
    </row>
    <row r="730" customFormat="false" ht="23.25" hidden="false" customHeight="true" outlineLevel="0" collapsed="false">
      <c r="B730" s="67" t="str">
        <f aca="false">IFERROR(INDEX(分录报销!$M:$M,MATCH($L730,分录报销!$L:$L,0)),"")</f>
        <v/>
      </c>
      <c r="C730" s="67"/>
      <c r="D730" s="23" t="str">
        <f aca="false">IFERROR(INDEX(分录报销!$E:$E,MATCH($L730,分录报销!$L:$L,0)),"")</f>
        <v/>
      </c>
      <c r="E730" s="23" t="str">
        <f aca="false">IFERROR(INDEX(分录报销!$F:$F,MATCH($L730,分录报销!$L:$L,0)),"")</f>
        <v/>
      </c>
      <c r="F730" s="68" t="str">
        <f aca="false">IFERROR(INDEX(分录报销!$H:$H,MATCH($L730,分录报销!$L:$L,0)),"")</f>
        <v/>
      </c>
      <c r="G730" s="69" t="str">
        <f aca="false">IFERROR(INDEX(分录报销!$I:$I,MATCH($L730,分录报销!$L:$L,0)),"")</f>
        <v/>
      </c>
      <c r="H730" s="23"/>
      <c r="I730" s="70"/>
      <c r="L730" s="71" t="n">
        <f aca="false">IF(助手报销!$R$50="",-1,助手报销!$R$50*100+(助手报销!$S$50-1)*6+5)</f>
        <v>-1</v>
      </c>
    </row>
    <row r="731" customFormat="false" ht="23.25" hidden="false" customHeight="true" outlineLevel="0" collapsed="false">
      <c r="B731" s="67" t="str">
        <f aca="false">IFERROR(INDEX(分录报销!$M:$M,MATCH($L731,分录报销!$L:$L,0)),"")</f>
        <v/>
      </c>
      <c r="C731" s="67"/>
      <c r="D731" s="23" t="str">
        <f aca="false">IFERROR(INDEX(分录报销!$E:$E,MATCH($L731,分录报销!$L:$L,0)),"")</f>
        <v/>
      </c>
      <c r="E731" s="23" t="str">
        <f aca="false">IFERROR(INDEX(分录报销!$F:$F,MATCH($L731,分录报销!$L:$L,0)),"")</f>
        <v/>
      </c>
      <c r="F731" s="68" t="str">
        <f aca="false">IFERROR(INDEX(分录报销!$H:$H,MATCH($L731,分录报销!$L:$L,0)),"")</f>
        <v/>
      </c>
      <c r="G731" s="69" t="str">
        <f aca="false">IFERROR(INDEX(分录报销!$I:$I,MATCH($L731,分录报销!$L:$L,0)),"")</f>
        <v/>
      </c>
      <c r="H731" s="23"/>
      <c r="I731" s="70"/>
      <c r="L731" s="71" t="n">
        <f aca="false">IF(助手报销!$R$50="",-1,助手报销!$R$50*100+(助手报销!$S$50-1)*6+6)</f>
        <v>-1</v>
      </c>
    </row>
    <row r="732" customFormat="false" ht="23.25" hidden="false" customHeight="true" outlineLevel="0" collapsed="false">
      <c r="B732" s="72" t="str">
        <f aca="false">IF(助手报销!$T$50=1,"合计：","")</f>
        <v/>
      </c>
      <c r="C732" s="73" t="str">
        <f aca="false">IF(助手报销!$T$50=1,$F732,"")</f>
        <v/>
      </c>
      <c r="D732" s="74"/>
      <c r="E732" s="74"/>
      <c r="F732" s="75" t="str">
        <f aca="false">IF(助手报销!$T$50=1,INDEX(助手报销!$N$2:$N$121,助手报销!$R$50),"")</f>
        <v/>
      </c>
      <c r="G732" s="76" t="str">
        <f aca="false">IF(助手报销!$T$50=1,INDEX(助手报销!$O$2:$O$121,助手报销!$R$50),"")</f>
        <v/>
      </c>
      <c r="H732" s="74"/>
      <c r="I732" s="77"/>
    </row>
    <row r="733" customFormat="false" ht="6" hidden="false" customHeight="true" outlineLevel="0" collapsed="false"/>
    <row r="734" customFormat="false" ht="13.5" hidden="false" customHeight="false" outlineLevel="0" collapsed="false">
      <c r="B734" s="78" t="str">
        <f aca="false">IF(助手报销!$R$50&lt;&gt;"","会计主管：","")</f>
        <v/>
      </c>
      <c r="D734" s="78" t="str">
        <f aca="false">IF(助手报销!$R$50&lt;&gt;"","会计：","")</f>
        <v/>
      </c>
      <c r="E734" s="78" t="str">
        <f aca="false">IF(助手报销!$R$50&lt;&gt;"","出纳：","")</f>
        <v/>
      </c>
      <c r="F734" s="78" t="str">
        <f aca="false">IF(助手报销!$R$50&lt;&gt;"","复核：","")</f>
        <v/>
      </c>
      <c r="G734" s="78" t="str">
        <f aca="false">IF(助手报销!$R$50&lt;&gt;"","制单：","")</f>
        <v/>
      </c>
    </row>
    <row r="735" customFormat="false" ht="3" hidden="false" customHeight="true" outlineLevel="0" collapsed="false"/>
    <row r="736" customFormat="false" ht="19.5" hidden="false" customHeight="true" outlineLevel="0" collapsed="false">
      <c r="B736" s="53" t="str">
        <f aca="false">IF(助手报销!$R$51&lt;&gt;"","记  账  凭  证","")</f>
        <v/>
      </c>
      <c r="C736" s="53"/>
      <c r="D736" s="53"/>
      <c r="E736" s="53"/>
      <c r="F736" s="53"/>
      <c r="G736" s="53"/>
      <c r="H736" s="53"/>
      <c r="I736" s="53"/>
    </row>
    <row r="737" customFormat="false" ht="3" hidden="false" customHeight="true" outlineLevel="0" collapsed="false"/>
    <row r="738" customFormat="false" ht="15" hidden="false" customHeight="true" outlineLevel="0" collapsed="false">
      <c r="C738" s="56" t="str">
        <f aca="false">IF(助手报销!$R$51&lt;&gt;"",INDEX(助手报销!$B$2:$B$121,助手报销!$R$51),"")</f>
        <v/>
      </c>
      <c r="D738" s="57" t="str">
        <f aca="false">IF(助手报销!$R$51&lt;&gt;"",INDEX(助手报销!$D$2:$D$121,助手报销!$R$51),"")</f>
        <v/>
      </c>
      <c r="E738" s="57"/>
      <c r="F738" s="58" t="str">
        <f aca="false">IF(助手报销!$R$51&lt;&gt;"",INDEX(助手报销!$C$2:$C$121,助手报销!$R$51)&amp;"  字第 "&amp;IF(参数!$B$9="是",INDEX(助手报销!$P$2:$P$121,助手报销!$R$51),"　　　　")&amp;" 号"&amp;IF(INDEX(助手报销!$L$2:$L$121,助手报销!$R$51)&gt;1,"  (共"&amp;INDEX(助手报销!$L$2:$L$121,助手报销!$R$51)&amp;"页 第"&amp;助手报销!$S$51&amp;"页)",""),"")</f>
        <v/>
      </c>
      <c r="G738" s="58"/>
      <c r="H738" s="58"/>
      <c r="I738" s="58"/>
      <c r="M738" s="79" t="str">
        <f aca="false">IF(助手报销!$R$51="","",助手报销!$Q$51)</f>
        <v/>
      </c>
      <c r="N738" s="80" t="str">
        <f aca="false">IF(助手报销!$R$51="","",INDEX(助手报销!$P$2:$P$121,助手报销!$R$51))</f>
        <v/>
      </c>
      <c r="O738" s="55" t="str">
        <f aca="false">IF(助手报销!$R$51="","",INDEX(助手报销!$C$2:$C$121,助手报销!$R$51)&amp;"  字第 "&amp;INDEX(助手报销!$P$2:$P$121,助手报销!$R$51)&amp;" 号"&amp;IF(INDEX(助手报销!$L$2:$L$121,助手报销!$R$51)&gt;1,"  (共"&amp;INDEX(助手报销!$L$2:$L$121,助手报销!$R$51)&amp;"页 第"&amp;助手报销!$S$51&amp;"页)",""))</f>
        <v/>
      </c>
    </row>
    <row r="739" customFormat="false" ht="12.75" hidden="false" customHeight="true" outlineLevel="0" collapsed="false">
      <c r="B739" s="61" t="str">
        <f aca="false">IF(助手报销!$R$51&lt;&gt;"","摘　　要","")</f>
        <v/>
      </c>
      <c r="C739" s="61"/>
      <c r="D739" s="62" t="str">
        <f aca="false">IF(助手报销!$R$51&lt;&gt;"","科　　　　目","")</f>
        <v/>
      </c>
      <c r="E739" s="62"/>
      <c r="F739" s="61" t="str">
        <f aca="false">IF(助手报销!$R$51&lt;&gt;"","借 方 金 额","")</f>
        <v/>
      </c>
      <c r="G739" s="62" t="str">
        <f aca="false">IF(助手报销!$R$51&lt;&gt;"","贷 方 金 额","")</f>
        <v/>
      </c>
      <c r="H739" s="63" t="str">
        <f aca="false">IF(助手报销!$R$51&lt;&gt;"","√","")</f>
        <v/>
      </c>
      <c r="I739" s="64" t="str">
        <f aca="false">IF(助手报销!$R$51&lt;&gt;"","附单据  张","")</f>
        <v/>
      </c>
    </row>
    <row r="740" customFormat="false" ht="12.75" hidden="false" customHeight="true" outlineLevel="0" collapsed="false">
      <c r="B740" s="61"/>
      <c r="C740" s="61"/>
      <c r="D740" s="23" t="str">
        <f aca="false">IF(助手报销!$R$51&lt;&gt;"","总 账 科 目","")</f>
        <v/>
      </c>
      <c r="E740" s="23" t="str">
        <f aca="false">IF(助手报销!$R$51&lt;&gt;"","明 细 科 目","")</f>
        <v/>
      </c>
      <c r="F740" s="65"/>
      <c r="G740" s="66"/>
      <c r="H740" s="63"/>
      <c r="I740" s="64"/>
    </row>
    <row r="741" customFormat="false" ht="23.25" hidden="false" customHeight="true" outlineLevel="0" collapsed="false">
      <c r="B741" s="67" t="str">
        <f aca="false">IFERROR(INDEX(分录报销!$M:$M,MATCH($L741,分录报销!$L:$L,0)),"")</f>
        <v/>
      </c>
      <c r="C741" s="67"/>
      <c r="D741" s="23" t="str">
        <f aca="false">IFERROR(INDEX(分录报销!$E:$E,MATCH($L741,分录报销!$L:$L,0)),"")</f>
        <v/>
      </c>
      <c r="E741" s="23" t="str">
        <f aca="false">IFERROR(INDEX(分录报销!$F:$F,MATCH($L741,分录报销!$L:$L,0)),"")</f>
        <v/>
      </c>
      <c r="F741" s="68" t="str">
        <f aca="false">IFERROR(INDEX(分录报销!$H:$H,MATCH($L741,分录报销!$L:$L,0)),"")</f>
        <v/>
      </c>
      <c r="G741" s="69" t="str">
        <f aca="false">IFERROR(INDEX(分录报销!$I:$I,MATCH($L741,分录报销!$L:$L,0)),"")</f>
        <v/>
      </c>
      <c r="H741" s="23"/>
      <c r="I741" s="70"/>
      <c r="L741" s="71" t="n">
        <f aca="false">IF(助手报销!$R$51="",-1,助手报销!$R$51*100+(助手报销!$S$51-1)*6+1)</f>
        <v>-1</v>
      </c>
    </row>
    <row r="742" customFormat="false" ht="23.25" hidden="false" customHeight="true" outlineLevel="0" collapsed="false">
      <c r="B742" s="67" t="str">
        <f aca="false">IFERROR(INDEX(分录报销!$M:$M,MATCH($L742,分录报销!$L:$L,0)),"")</f>
        <v/>
      </c>
      <c r="C742" s="67"/>
      <c r="D742" s="23" t="str">
        <f aca="false">IFERROR(INDEX(分录报销!$E:$E,MATCH($L742,分录报销!$L:$L,0)),"")</f>
        <v/>
      </c>
      <c r="E742" s="23" t="str">
        <f aca="false">IFERROR(INDEX(分录报销!$F:$F,MATCH($L742,分录报销!$L:$L,0)),"")</f>
        <v/>
      </c>
      <c r="F742" s="68" t="str">
        <f aca="false">IFERROR(INDEX(分录报销!$H:$H,MATCH($L742,分录报销!$L:$L,0)),"")</f>
        <v/>
      </c>
      <c r="G742" s="69" t="str">
        <f aca="false">IFERROR(INDEX(分录报销!$I:$I,MATCH($L742,分录报销!$L:$L,0)),"")</f>
        <v/>
      </c>
      <c r="H742" s="23"/>
      <c r="I742" s="70"/>
      <c r="L742" s="71" t="n">
        <f aca="false">IF(助手报销!$R$51="",-1,助手报销!$R$51*100+(助手报销!$S$51-1)*6+2)</f>
        <v>-1</v>
      </c>
    </row>
    <row r="743" customFormat="false" ht="23.25" hidden="false" customHeight="true" outlineLevel="0" collapsed="false">
      <c r="B743" s="67" t="str">
        <f aca="false">IFERROR(INDEX(分录报销!$M:$M,MATCH($L743,分录报销!$L:$L,0)),"")</f>
        <v/>
      </c>
      <c r="C743" s="67"/>
      <c r="D743" s="23" t="str">
        <f aca="false">IFERROR(INDEX(分录报销!$E:$E,MATCH($L743,分录报销!$L:$L,0)),"")</f>
        <v/>
      </c>
      <c r="E743" s="23" t="str">
        <f aca="false">IFERROR(INDEX(分录报销!$F:$F,MATCH($L743,分录报销!$L:$L,0)),"")</f>
        <v/>
      </c>
      <c r="F743" s="68" t="str">
        <f aca="false">IFERROR(INDEX(分录报销!$H:$H,MATCH($L743,分录报销!$L:$L,0)),"")</f>
        <v/>
      </c>
      <c r="G743" s="69" t="str">
        <f aca="false">IFERROR(INDEX(分录报销!$I:$I,MATCH($L743,分录报销!$L:$L,0)),"")</f>
        <v/>
      </c>
      <c r="H743" s="23"/>
      <c r="I743" s="70"/>
      <c r="L743" s="71" t="n">
        <f aca="false">IF(助手报销!$R$51="",-1,助手报销!$R$51*100+(助手报销!$S$51-1)*6+3)</f>
        <v>-1</v>
      </c>
    </row>
    <row r="744" customFormat="false" ht="23.25" hidden="false" customHeight="true" outlineLevel="0" collapsed="false">
      <c r="B744" s="67" t="str">
        <f aca="false">IFERROR(INDEX(分录报销!$M:$M,MATCH($L744,分录报销!$L:$L,0)),"")</f>
        <v/>
      </c>
      <c r="C744" s="67"/>
      <c r="D744" s="23" t="str">
        <f aca="false">IFERROR(INDEX(分录报销!$E:$E,MATCH($L744,分录报销!$L:$L,0)),"")</f>
        <v/>
      </c>
      <c r="E744" s="23" t="str">
        <f aca="false">IFERROR(INDEX(分录报销!$F:$F,MATCH($L744,分录报销!$L:$L,0)),"")</f>
        <v/>
      </c>
      <c r="F744" s="68" t="str">
        <f aca="false">IFERROR(INDEX(分录报销!$H:$H,MATCH($L744,分录报销!$L:$L,0)),"")</f>
        <v/>
      </c>
      <c r="G744" s="69" t="str">
        <f aca="false">IFERROR(INDEX(分录报销!$I:$I,MATCH($L744,分录报销!$L:$L,0)),"")</f>
        <v/>
      </c>
      <c r="H744" s="23"/>
      <c r="I744" s="70"/>
      <c r="L744" s="71" t="n">
        <f aca="false">IF(助手报销!$R$51="",-1,助手报销!$R$51*100+(助手报销!$S$51-1)*6+4)</f>
        <v>-1</v>
      </c>
    </row>
    <row r="745" customFormat="false" ht="23.25" hidden="false" customHeight="true" outlineLevel="0" collapsed="false">
      <c r="B745" s="67" t="str">
        <f aca="false">IFERROR(INDEX(分录报销!$M:$M,MATCH($L745,分录报销!$L:$L,0)),"")</f>
        <v/>
      </c>
      <c r="C745" s="67"/>
      <c r="D745" s="23" t="str">
        <f aca="false">IFERROR(INDEX(分录报销!$E:$E,MATCH($L745,分录报销!$L:$L,0)),"")</f>
        <v/>
      </c>
      <c r="E745" s="23" t="str">
        <f aca="false">IFERROR(INDEX(分录报销!$F:$F,MATCH($L745,分录报销!$L:$L,0)),"")</f>
        <v/>
      </c>
      <c r="F745" s="68" t="str">
        <f aca="false">IFERROR(INDEX(分录报销!$H:$H,MATCH($L745,分录报销!$L:$L,0)),"")</f>
        <v/>
      </c>
      <c r="G745" s="69" t="str">
        <f aca="false">IFERROR(INDEX(分录报销!$I:$I,MATCH($L745,分录报销!$L:$L,0)),"")</f>
        <v/>
      </c>
      <c r="H745" s="23"/>
      <c r="I745" s="70"/>
      <c r="L745" s="71" t="n">
        <f aca="false">IF(助手报销!$R$51="",-1,助手报销!$R$51*100+(助手报销!$S$51-1)*6+5)</f>
        <v>-1</v>
      </c>
    </row>
    <row r="746" customFormat="false" ht="23.25" hidden="false" customHeight="true" outlineLevel="0" collapsed="false">
      <c r="B746" s="67" t="str">
        <f aca="false">IFERROR(INDEX(分录报销!$M:$M,MATCH($L746,分录报销!$L:$L,0)),"")</f>
        <v/>
      </c>
      <c r="C746" s="67"/>
      <c r="D746" s="23" t="str">
        <f aca="false">IFERROR(INDEX(分录报销!$E:$E,MATCH($L746,分录报销!$L:$L,0)),"")</f>
        <v/>
      </c>
      <c r="E746" s="23" t="str">
        <f aca="false">IFERROR(INDEX(分录报销!$F:$F,MATCH($L746,分录报销!$L:$L,0)),"")</f>
        <v/>
      </c>
      <c r="F746" s="68" t="str">
        <f aca="false">IFERROR(INDEX(分录报销!$H:$H,MATCH($L746,分录报销!$L:$L,0)),"")</f>
        <v/>
      </c>
      <c r="G746" s="69" t="str">
        <f aca="false">IFERROR(INDEX(分录报销!$I:$I,MATCH($L746,分录报销!$L:$L,0)),"")</f>
        <v/>
      </c>
      <c r="H746" s="23"/>
      <c r="I746" s="70"/>
      <c r="L746" s="71" t="n">
        <f aca="false">IF(助手报销!$R$51="",-1,助手报销!$R$51*100+(助手报销!$S$51-1)*6+6)</f>
        <v>-1</v>
      </c>
    </row>
    <row r="747" customFormat="false" ht="23.25" hidden="false" customHeight="true" outlineLevel="0" collapsed="false">
      <c r="B747" s="72" t="str">
        <f aca="false">IF(助手报销!$T$51=1,"合计：","")</f>
        <v/>
      </c>
      <c r="C747" s="73" t="str">
        <f aca="false">IF(助手报销!$T$51=1,$F747,"")</f>
        <v/>
      </c>
      <c r="D747" s="74"/>
      <c r="E747" s="74"/>
      <c r="F747" s="75" t="str">
        <f aca="false">IF(助手报销!$T$51=1,INDEX(助手报销!$N$2:$N$121,助手报销!$R$51),"")</f>
        <v/>
      </c>
      <c r="G747" s="76" t="str">
        <f aca="false">IF(助手报销!$T$51=1,INDEX(助手报销!$O$2:$O$121,助手报销!$R$51),"")</f>
        <v/>
      </c>
      <c r="H747" s="74"/>
      <c r="I747" s="77"/>
    </row>
    <row r="748" customFormat="false" ht="6" hidden="false" customHeight="true" outlineLevel="0" collapsed="false"/>
    <row r="749" customFormat="false" ht="13.5" hidden="false" customHeight="false" outlineLevel="0" collapsed="false">
      <c r="B749" s="78" t="str">
        <f aca="false">IF(助手报销!$R$51&lt;&gt;"","会计主管：","")</f>
        <v/>
      </c>
      <c r="D749" s="78" t="str">
        <f aca="false">IF(助手报销!$R$51&lt;&gt;"","会计：","")</f>
        <v/>
      </c>
      <c r="E749" s="78" t="str">
        <f aca="false">IF(助手报销!$R$51&lt;&gt;"","出纳：","")</f>
        <v/>
      </c>
      <c r="F749" s="78" t="str">
        <f aca="false">IF(助手报销!$R$51&lt;&gt;"","复核：","")</f>
        <v/>
      </c>
      <c r="G749" s="78" t="str">
        <f aca="false">IF(助手报销!$R$51&lt;&gt;"","制单：","")</f>
        <v/>
      </c>
    </row>
    <row r="750" customFormat="false" ht="3" hidden="false" customHeight="true" outlineLevel="0" collapsed="false"/>
    <row r="751" customFormat="false" ht="19.5" hidden="false" customHeight="true" outlineLevel="0" collapsed="false">
      <c r="B751" s="53" t="str">
        <f aca="false">IF(助手报销!$R$52&lt;&gt;"","记  账  凭  证","")</f>
        <v/>
      </c>
      <c r="C751" s="53"/>
      <c r="D751" s="53"/>
      <c r="E751" s="53"/>
      <c r="F751" s="53"/>
      <c r="G751" s="53"/>
      <c r="H751" s="53"/>
      <c r="I751" s="53"/>
    </row>
    <row r="752" customFormat="false" ht="3" hidden="false" customHeight="true" outlineLevel="0" collapsed="false"/>
    <row r="753" customFormat="false" ht="15" hidden="false" customHeight="true" outlineLevel="0" collapsed="false">
      <c r="C753" s="56" t="str">
        <f aca="false">IF(助手报销!$R$52&lt;&gt;"",INDEX(助手报销!$B$2:$B$121,助手报销!$R$52),"")</f>
        <v/>
      </c>
      <c r="D753" s="57" t="str">
        <f aca="false">IF(助手报销!$R$52&lt;&gt;"",INDEX(助手报销!$D$2:$D$121,助手报销!$R$52),"")</f>
        <v/>
      </c>
      <c r="E753" s="57"/>
      <c r="F753" s="58" t="str">
        <f aca="false">IF(助手报销!$R$52&lt;&gt;"",INDEX(助手报销!$C$2:$C$121,助手报销!$R$52)&amp;"  字第 "&amp;IF(参数!$B$9="是",INDEX(助手报销!$P$2:$P$121,助手报销!$R$52),"　　　　")&amp;" 号"&amp;IF(INDEX(助手报销!$L$2:$L$121,助手报销!$R$52)&gt;1,"  (共"&amp;INDEX(助手报销!$L$2:$L$121,助手报销!$R$52)&amp;"页 第"&amp;助手报销!$S$52&amp;"页)",""),"")</f>
        <v/>
      </c>
      <c r="G753" s="58"/>
      <c r="H753" s="58"/>
      <c r="I753" s="58"/>
      <c r="M753" s="79" t="str">
        <f aca="false">IF(助手报销!$R$52="","",助手报销!$Q$52)</f>
        <v/>
      </c>
      <c r="N753" s="80" t="str">
        <f aca="false">IF(助手报销!$R$52="","",INDEX(助手报销!$P$2:$P$121,助手报销!$R$52))</f>
        <v/>
      </c>
      <c r="O753" s="55" t="str">
        <f aca="false">IF(助手报销!$R$52="","",INDEX(助手报销!$C$2:$C$121,助手报销!$R$52)&amp;"  字第 "&amp;INDEX(助手报销!$P$2:$P$121,助手报销!$R$52)&amp;" 号"&amp;IF(INDEX(助手报销!$L$2:$L$121,助手报销!$R$52)&gt;1,"  (共"&amp;INDEX(助手报销!$L$2:$L$121,助手报销!$R$52)&amp;"页 第"&amp;助手报销!$S$52&amp;"页)",""))</f>
        <v/>
      </c>
    </row>
    <row r="754" customFormat="false" ht="12.75" hidden="false" customHeight="true" outlineLevel="0" collapsed="false">
      <c r="B754" s="61" t="str">
        <f aca="false">IF(助手报销!$R$52&lt;&gt;"","摘　　要","")</f>
        <v/>
      </c>
      <c r="C754" s="61"/>
      <c r="D754" s="62" t="str">
        <f aca="false">IF(助手报销!$R$52&lt;&gt;"","科　　　　目","")</f>
        <v/>
      </c>
      <c r="E754" s="62"/>
      <c r="F754" s="61" t="str">
        <f aca="false">IF(助手报销!$R$52&lt;&gt;"","借 方 金 额","")</f>
        <v/>
      </c>
      <c r="G754" s="62" t="str">
        <f aca="false">IF(助手报销!$R$52&lt;&gt;"","贷 方 金 额","")</f>
        <v/>
      </c>
      <c r="H754" s="63" t="str">
        <f aca="false">IF(助手报销!$R$52&lt;&gt;"","√","")</f>
        <v/>
      </c>
      <c r="I754" s="64" t="str">
        <f aca="false">IF(助手报销!$R$52&lt;&gt;"","附单据  张","")</f>
        <v/>
      </c>
    </row>
    <row r="755" customFormat="false" ht="12.75" hidden="false" customHeight="true" outlineLevel="0" collapsed="false">
      <c r="B755" s="61"/>
      <c r="C755" s="61"/>
      <c r="D755" s="23" t="str">
        <f aca="false">IF(助手报销!$R$52&lt;&gt;"","总 账 科 目","")</f>
        <v/>
      </c>
      <c r="E755" s="23" t="str">
        <f aca="false">IF(助手报销!$R$52&lt;&gt;"","明 细 科 目","")</f>
        <v/>
      </c>
      <c r="F755" s="65"/>
      <c r="G755" s="66"/>
      <c r="H755" s="63"/>
      <c r="I755" s="64"/>
    </row>
    <row r="756" customFormat="false" ht="23.25" hidden="false" customHeight="true" outlineLevel="0" collapsed="false">
      <c r="B756" s="67" t="str">
        <f aca="false">IFERROR(INDEX(分录报销!$M:$M,MATCH($L756,分录报销!$L:$L,0)),"")</f>
        <v/>
      </c>
      <c r="C756" s="67"/>
      <c r="D756" s="23" t="str">
        <f aca="false">IFERROR(INDEX(分录报销!$E:$E,MATCH($L756,分录报销!$L:$L,0)),"")</f>
        <v/>
      </c>
      <c r="E756" s="23" t="str">
        <f aca="false">IFERROR(INDEX(分录报销!$F:$F,MATCH($L756,分录报销!$L:$L,0)),"")</f>
        <v/>
      </c>
      <c r="F756" s="68" t="str">
        <f aca="false">IFERROR(INDEX(分录报销!$H:$H,MATCH($L756,分录报销!$L:$L,0)),"")</f>
        <v/>
      </c>
      <c r="G756" s="69" t="str">
        <f aca="false">IFERROR(INDEX(分录报销!$I:$I,MATCH($L756,分录报销!$L:$L,0)),"")</f>
        <v/>
      </c>
      <c r="H756" s="23"/>
      <c r="I756" s="70"/>
      <c r="L756" s="71" t="n">
        <f aca="false">IF(助手报销!$R$52="",-1,助手报销!$R$52*100+(助手报销!$S$52-1)*6+1)</f>
        <v>-1</v>
      </c>
    </row>
    <row r="757" customFormat="false" ht="23.25" hidden="false" customHeight="true" outlineLevel="0" collapsed="false">
      <c r="B757" s="67" t="str">
        <f aca="false">IFERROR(INDEX(分录报销!$M:$M,MATCH($L757,分录报销!$L:$L,0)),"")</f>
        <v/>
      </c>
      <c r="C757" s="67"/>
      <c r="D757" s="23" t="str">
        <f aca="false">IFERROR(INDEX(分录报销!$E:$E,MATCH($L757,分录报销!$L:$L,0)),"")</f>
        <v/>
      </c>
      <c r="E757" s="23" t="str">
        <f aca="false">IFERROR(INDEX(分录报销!$F:$F,MATCH($L757,分录报销!$L:$L,0)),"")</f>
        <v/>
      </c>
      <c r="F757" s="68" t="str">
        <f aca="false">IFERROR(INDEX(分录报销!$H:$H,MATCH($L757,分录报销!$L:$L,0)),"")</f>
        <v/>
      </c>
      <c r="G757" s="69" t="str">
        <f aca="false">IFERROR(INDEX(分录报销!$I:$I,MATCH($L757,分录报销!$L:$L,0)),"")</f>
        <v/>
      </c>
      <c r="H757" s="23"/>
      <c r="I757" s="70"/>
      <c r="L757" s="71" t="n">
        <f aca="false">IF(助手报销!$R$52="",-1,助手报销!$R$52*100+(助手报销!$S$52-1)*6+2)</f>
        <v>-1</v>
      </c>
    </row>
    <row r="758" customFormat="false" ht="23.25" hidden="false" customHeight="true" outlineLevel="0" collapsed="false">
      <c r="B758" s="67" t="str">
        <f aca="false">IFERROR(INDEX(分录报销!$M:$M,MATCH($L758,分录报销!$L:$L,0)),"")</f>
        <v/>
      </c>
      <c r="C758" s="67"/>
      <c r="D758" s="23" t="str">
        <f aca="false">IFERROR(INDEX(分录报销!$E:$E,MATCH($L758,分录报销!$L:$L,0)),"")</f>
        <v/>
      </c>
      <c r="E758" s="23" t="str">
        <f aca="false">IFERROR(INDEX(分录报销!$F:$F,MATCH($L758,分录报销!$L:$L,0)),"")</f>
        <v/>
      </c>
      <c r="F758" s="68" t="str">
        <f aca="false">IFERROR(INDEX(分录报销!$H:$H,MATCH($L758,分录报销!$L:$L,0)),"")</f>
        <v/>
      </c>
      <c r="G758" s="69" t="str">
        <f aca="false">IFERROR(INDEX(分录报销!$I:$I,MATCH($L758,分录报销!$L:$L,0)),"")</f>
        <v/>
      </c>
      <c r="H758" s="23"/>
      <c r="I758" s="70"/>
      <c r="L758" s="71" t="n">
        <f aca="false">IF(助手报销!$R$52="",-1,助手报销!$R$52*100+(助手报销!$S$52-1)*6+3)</f>
        <v>-1</v>
      </c>
    </row>
    <row r="759" customFormat="false" ht="23.25" hidden="false" customHeight="true" outlineLevel="0" collapsed="false">
      <c r="B759" s="67" t="str">
        <f aca="false">IFERROR(INDEX(分录报销!$M:$M,MATCH($L759,分录报销!$L:$L,0)),"")</f>
        <v/>
      </c>
      <c r="C759" s="67"/>
      <c r="D759" s="23" t="str">
        <f aca="false">IFERROR(INDEX(分录报销!$E:$E,MATCH($L759,分录报销!$L:$L,0)),"")</f>
        <v/>
      </c>
      <c r="E759" s="23" t="str">
        <f aca="false">IFERROR(INDEX(分录报销!$F:$F,MATCH($L759,分录报销!$L:$L,0)),"")</f>
        <v/>
      </c>
      <c r="F759" s="68" t="str">
        <f aca="false">IFERROR(INDEX(分录报销!$H:$H,MATCH($L759,分录报销!$L:$L,0)),"")</f>
        <v/>
      </c>
      <c r="G759" s="69" t="str">
        <f aca="false">IFERROR(INDEX(分录报销!$I:$I,MATCH($L759,分录报销!$L:$L,0)),"")</f>
        <v/>
      </c>
      <c r="H759" s="23"/>
      <c r="I759" s="70"/>
      <c r="L759" s="71" t="n">
        <f aca="false">IF(助手报销!$R$52="",-1,助手报销!$R$52*100+(助手报销!$S$52-1)*6+4)</f>
        <v>-1</v>
      </c>
    </row>
    <row r="760" customFormat="false" ht="23.25" hidden="false" customHeight="true" outlineLevel="0" collapsed="false">
      <c r="B760" s="67" t="str">
        <f aca="false">IFERROR(INDEX(分录报销!$M:$M,MATCH($L760,分录报销!$L:$L,0)),"")</f>
        <v/>
      </c>
      <c r="C760" s="67"/>
      <c r="D760" s="23" t="str">
        <f aca="false">IFERROR(INDEX(分录报销!$E:$E,MATCH($L760,分录报销!$L:$L,0)),"")</f>
        <v/>
      </c>
      <c r="E760" s="23" t="str">
        <f aca="false">IFERROR(INDEX(分录报销!$F:$F,MATCH($L760,分录报销!$L:$L,0)),"")</f>
        <v/>
      </c>
      <c r="F760" s="68" t="str">
        <f aca="false">IFERROR(INDEX(分录报销!$H:$H,MATCH($L760,分录报销!$L:$L,0)),"")</f>
        <v/>
      </c>
      <c r="G760" s="69" t="str">
        <f aca="false">IFERROR(INDEX(分录报销!$I:$I,MATCH($L760,分录报销!$L:$L,0)),"")</f>
        <v/>
      </c>
      <c r="H760" s="23"/>
      <c r="I760" s="70"/>
      <c r="L760" s="71" t="n">
        <f aca="false">IF(助手报销!$R$52="",-1,助手报销!$R$52*100+(助手报销!$S$52-1)*6+5)</f>
        <v>-1</v>
      </c>
    </row>
    <row r="761" customFormat="false" ht="23.25" hidden="false" customHeight="true" outlineLevel="0" collapsed="false">
      <c r="B761" s="67" t="str">
        <f aca="false">IFERROR(INDEX(分录报销!$M:$M,MATCH($L761,分录报销!$L:$L,0)),"")</f>
        <v/>
      </c>
      <c r="C761" s="67"/>
      <c r="D761" s="23" t="str">
        <f aca="false">IFERROR(INDEX(分录报销!$E:$E,MATCH($L761,分录报销!$L:$L,0)),"")</f>
        <v/>
      </c>
      <c r="E761" s="23" t="str">
        <f aca="false">IFERROR(INDEX(分录报销!$F:$F,MATCH($L761,分录报销!$L:$L,0)),"")</f>
        <v/>
      </c>
      <c r="F761" s="68" t="str">
        <f aca="false">IFERROR(INDEX(分录报销!$H:$H,MATCH($L761,分录报销!$L:$L,0)),"")</f>
        <v/>
      </c>
      <c r="G761" s="69" t="str">
        <f aca="false">IFERROR(INDEX(分录报销!$I:$I,MATCH($L761,分录报销!$L:$L,0)),"")</f>
        <v/>
      </c>
      <c r="H761" s="23"/>
      <c r="I761" s="70"/>
      <c r="L761" s="71" t="n">
        <f aca="false">IF(助手报销!$R$52="",-1,助手报销!$R$52*100+(助手报销!$S$52-1)*6+6)</f>
        <v>-1</v>
      </c>
    </row>
    <row r="762" customFormat="false" ht="23.25" hidden="false" customHeight="true" outlineLevel="0" collapsed="false">
      <c r="B762" s="72" t="str">
        <f aca="false">IF(助手报销!$T$52=1,"合计：","")</f>
        <v/>
      </c>
      <c r="C762" s="73" t="str">
        <f aca="false">IF(助手报销!$T$52=1,$F762,"")</f>
        <v/>
      </c>
      <c r="D762" s="74"/>
      <c r="E762" s="74"/>
      <c r="F762" s="75" t="str">
        <f aca="false">IF(助手报销!$T$52=1,INDEX(助手报销!$N$2:$N$121,助手报销!$R$52),"")</f>
        <v/>
      </c>
      <c r="G762" s="76" t="str">
        <f aca="false">IF(助手报销!$T$52=1,INDEX(助手报销!$O$2:$O$121,助手报销!$R$52),"")</f>
        <v/>
      </c>
      <c r="H762" s="74"/>
      <c r="I762" s="77"/>
    </row>
    <row r="763" customFormat="false" ht="6" hidden="false" customHeight="true" outlineLevel="0" collapsed="false"/>
    <row r="764" customFormat="false" ht="13.5" hidden="false" customHeight="false" outlineLevel="0" collapsed="false">
      <c r="B764" s="78" t="str">
        <f aca="false">IF(助手报销!$R$52&lt;&gt;"","会计主管：","")</f>
        <v/>
      </c>
      <c r="D764" s="78" t="str">
        <f aca="false">IF(助手报销!$R$52&lt;&gt;"","会计：","")</f>
        <v/>
      </c>
      <c r="E764" s="78" t="str">
        <f aca="false">IF(助手报销!$R$52&lt;&gt;"","出纳：","")</f>
        <v/>
      </c>
      <c r="F764" s="78" t="str">
        <f aca="false">IF(助手报销!$R$52&lt;&gt;"","复核：","")</f>
        <v/>
      </c>
      <c r="G764" s="78" t="str">
        <f aca="false">IF(助手报销!$R$52&lt;&gt;"","制单：","")</f>
        <v/>
      </c>
    </row>
    <row r="765" customFormat="false" ht="3" hidden="false" customHeight="true" outlineLevel="0" collapsed="false"/>
    <row r="766" customFormat="false" ht="19.5" hidden="false" customHeight="true" outlineLevel="0" collapsed="false">
      <c r="B766" s="53" t="str">
        <f aca="false">IF(助手报销!$R$53&lt;&gt;"","记  账  凭  证","")</f>
        <v/>
      </c>
      <c r="C766" s="53"/>
      <c r="D766" s="53"/>
      <c r="E766" s="53"/>
      <c r="F766" s="53"/>
      <c r="G766" s="53"/>
      <c r="H766" s="53"/>
      <c r="I766" s="53"/>
    </row>
    <row r="767" customFormat="false" ht="3" hidden="false" customHeight="true" outlineLevel="0" collapsed="false"/>
    <row r="768" customFormat="false" ht="15" hidden="false" customHeight="true" outlineLevel="0" collapsed="false">
      <c r="C768" s="56" t="str">
        <f aca="false">IF(助手报销!$R$53&lt;&gt;"",INDEX(助手报销!$B$2:$B$121,助手报销!$R$53),"")</f>
        <v/>
      </c>
      <c r="D768" s="57" t="str">
        <f aca="false">IF(助手报销!$R$53&lt;&gt;"",INDEX(助手报销!$D$2:$D$121,助手报销!$R$53),"")</f>
        <v/>
      </c>
      <c r="E768" s="57"/>
      <c r="F768" s="58" t="str">
        <f aca="false">IF(助手报销!$R$53&lt;&gt;"",INDEX(助手报销!$C$2:$C$121,助手报销!$R$53)&amp;"  字第 "&amp;IF(参数!$B$9="是",INDEX(助手报销!$P$2:$P$121,助手报销!$R$53),"　　　　")&amp;" 号"&amp;IF(INDEX(助手报销!$L$2:$L$121,助手报销!$R$53)&gt;1,"  (共"&amp;INDEX(助手报销!$L$2:$L$121,助手报销!$R$53)&amp;"页 第"&amp;助手报销!$S$53&amp;"页)",""),"")</f>
        <v/>
      </c>
      <c r="G768" s="58"/>
      <c r="H768" s="58"/>
      <c r="I768" s="58"/>
      <c r="M768" s="79" t="str">
        <f aca="false">IF(助手报销!$R$53="","",助手报销!$Q$53)</f>
        <v/>
      </c>
      <c r="N768" s="80" t="str">
        <f aca="false">IF(助手报销!$R$53="","",INDEX(助手报销!$P$2:$P$121,助手报销!$R$53))</f>
        <v/>
      </c>
      <c r="O768" s="55" t="str">
        <f aca="false">IF(助手报销!$R$53="","",INDEX(助手报销!$C$2:$C$121,助手报销!$R$53)&amp;"  字第 "&amp;INDEX(助手报销!$P$2:$P$121,助手报销!$R$53)&amp;" 号"&amp;IF(INDEX(助手报销!$L$2:$L$121,助手报销!$R$53)&gt;1,"  (共"&amp;INDEX(助手报销!$L$2:$L$121,助手报销!$R$53)&amp;"页 第"&amp;助手报销!$S$53&amp;"页)",""))</f>
        <v/>
      </c>
    </row>
    <row r="769" customFormat="false" ht="12.75" hidden="false" customHeight="true" outlineLevel="0" collapsed="false">
      <c r="B769" s="61" t="str">
        <f aca="false">IF(助手报销!$R$53&lt;&gt;"","摘　　要","")</f>
        <v/>
      </c>
      <c r="C769" s="61"/>
      <c r="D769" s="62" t="str">
        <f aca="false">IF(助手报销!$R$53&lt;&gt;"","科　　　　目","")</f>
        <v/>
      </c>
      <c r="E769" s="62"/>
      <c r="F769" s="61" t="str">
        <f aca="false">IF(助手报销!$R$53&lt;&gt;"","借 方 金 额","")</f>
        <v/>
      </c>
      <c r="G769" s="62" t="str">
        <f aca="false">IF(助手报销!$R$53&lt;&gt;"","贷 方 金 额","")</f>
        <v/>
      </c>
      <c r="H769" s="63" t="str">
        <f aca="false">IF(助手报销!$R$53&lt;&gt;"","√","")</f>
        <v/>
      </c>
      <c r="I769" s="64" t="str">
        <f aca="false">IF(助手报销!$R$53&lt;&gt;"","附单据  张","")</f>
        <v/>
      </c>
    </row>
    <row r="770" customFormat="false" ht="12.75" hidden="false" customHeight="true" outlineLevel="0" collapsed="false">
      <c r="B770" s="61"/>
      <c r="C770" s="61"/>
      <c r="D770" s="23" t="str">
        <f aca="false">IF(助手报销!$R$53&lt;&gt;"","总 账 科 目","")</f>
        <v/>
      </c>
      <c r="E770" s="23" t="str">
        <f aca="false">IF(助手报销!$R$53&lt;&gt;"","明 细 科 目","")</f>
        <v/>
      </c>
      <c r="F770" s="65"/>
      <c r="G770" s="66"/>
      <c r="H770" s="63"/>
      <c r="I770" s="64"/>
    </row>
    <row r="771" customFormat="false" ht="23.25" hidden="false" customHeight="true" outlineLevel="0" collapsed="false">
      <c r="B771" s="67" t="str">
        <f aca="false">IFERROR(INDEX(分录报销!$M:$M,MATCH($L771,分录报销!$L:$L,0)),"")</f>
        <v/>
      </c>
      <c r="C771" s="67"/>
      <c r="D771" s="23" t="str">
        <f aca="false">IFERROR(INDEX(分录报销!$E:$E,MATCH($L771,分录报销!$L:$L,0)),"")</f>
        <v/>
      </c>
      <c r="E771" s="23" t="str">
        <f aca="false">IFERROR(INDEX(分录报销!$F:$F,MATCH($L771,分录报销!$L:$L,0)),"")</f>
        <v/>
      </c>
      <c r="F771" s="68" t="str">
        <f aca="false">IFERROR(INDEX(分录报销!$H:$H,MATCH($L771,分录报销!$L:$L,0)),"")</f>
        <v/>
      </c>
      <c r="G771" s="69" t="str">
        <f aca="false">IFERROR(INDEX(分录报销!$I:$I,MATCH($L771,分录报销!$L:$L,0)),"")</f>
        <v/>
      </c>
      <c r="H771" s="23"/>
      <c r="I771" s="70"/>
      <c r="L771" s="71" t="n">
        <f aca="false">IF(助手报销!$R$53="",-1,助手报销!$R$53*100+(助手报销!$S$53-1)*6+1)</f>
        <v>-1</v>
      </c>
    </row>
    <row r="772" customFormat="false" ht="23.25" hidden="false" customHeight="true" outlineLevel="0" collapsed="false">
      <c r="B772" s="67" t="str">
        <f aca="false">IFERROR(INDEX(分录报销!$M:$M,MATCH($L772,分录报销!$L:$L,0)),"")</f>
        <v/>
      </c>
      <c r="C772" s="67"/>
      <c r="D772" s="23" t="str">
        <f aca="false">IFERROR(INDEX(分录报销!$E:$E,MATCH($L772,分录报销!$L:$L,0)),"")</f>
        <v/>
      </c>
      <c r="E772" s="23" t="str">
        <f aca="false">IFERROR(INDEX(分录报销!$F:$F,MATCH($L772,分录报销!$L:$L,0)),"")</f>
        <v/>
      </c>
      <c r="F772" s="68" t="str">
        <f aca="false">IFERROR(INDEX(分录报销!$H:$H,MATCH($L772,分录报销!$L:$L,0)),"")</f>
        <v/>
      </c>
      <c r="G772" s="69" t="str">
        <f aca="false">IFERROR(INDEX(分录报销!$I:$I,MATCH($L772,分录报销!$L:$L,0)),"")</f>
        <v/>
      </c>
      <c r="H772" s="23"/>
      <c r="I772" s="70"/>
      <c r="L772" s="71" t="n">
        <f aca="false">IF(助手报销!$R$53="",-1,助手报销!$R$53*100+(助手报销!$S$53-1)*6+2)</f>
        <v>-1</v>
      </c>
    </row>
    <row r="773" customFormat="false" ht="23.25" hidden="false" customHeight="true" outlineLevel="0" collapsed="false">
      <c r="B773" s="67" t="str">
        <f aca="false">IFERROR(INDEX(分录报销!$M:$M,MATCH($L773,分录报销!$L:$L,0)),"")</f>
        <v/>
      </c>
      <c r="C773" s="67"/>
      <c r="D773" s="23" t="str">
        <f aca="false">IFERROR(INDEX(分录报销!$E:$E,MATCH($L773,分录报销!$L:$L,0)),"")</f>
        <v/>
      </c>
      <c r="E773" s="23" t="str">
        <f aca="false">IFERROR(INDEX(分录报销!$F:$F,MATCH($L773,分录报销!$L:$L,0)),"")</f>
        <v/>
      </c>
      <c r="F773" s="68" t="str">
        <f aca="false">IFERROR(INDEX(分录报销!$H:$H,MATCH($L773,分录报销!$L:$L,0)),"")</f>
        <v/>
      </c>
      <c r="G773" s="69" t="str">
        <f aca="false">IFERROR(INDEX(分录报销!$I:$I,MATCH($L773,分录报销!$L:$L,0)),"")</f>
        <v/>
      </c>
      <c r="H773" s="23"/>
      <c r="I773" s="70"/>
      <c r="L773" s="71" t="n">
        <f aca="false">IF(助手报销!$R$53="",-1,助手报销!$R$53*100+(助手报销!$S$53-1)*6+3)</f>
        <v>-1</v>
      </c>
    </row>
    <row r="774" customFormat="false" ht="23.25" hidden="false" customHeight="true" outlineLevel="0" collapsed="false">
      <c r="B774" s="67" t="str">
        <f aca="false">IFERROR(INDEX(分录报销!$M:$M,MATCH($L774,分录报销!$L:$L,0)),"")</f>
        <v/>
      </c>
      <c r="C774" s="67"/>
      <c r="D774" s="23" t="str">
        <f aca="false">IFERROR(INDEX(分录报销!$E:$E,MATCH($L774,分录报销!$L:$L,0)),"")</f>
        <v/>
      </c>
      <c r="E774" s="23" t="str">
        <f aca="false">IFERROR(INDEX(分录报销!$F:$F,MATCH($L774,分录报销!$L:$L,0)),"")</f>
        <v/>
      </c>
      <c r="F774" s="68" t="str">
        <f aca="false">IFERROR(INDEX(分录报销!$H:$H,MATCH($L774,分录报销!$L:$L,0)),"")</f>
        <v/>
      </c>
      <c r="G774" s="69" t="str">
        <f aca="false">IFERROR(INDEX(分录报销!$I:$I,MATCH($L774,分录报销!$L:$L,0)),"")</f>
        <v/>
      </c>
      <c r="H774" s="23"/>
      <c r="I774" s="70"/>
      <c r="L774" s="71" t="n">
        <f aca="false">IF(助手报销!$R$53="",-1,助手报销!$R$53*100+(助手报销!$S$53-1)*6+4)</f>
        <v>-1</v>
      </c>
    </row>
    <row r="775" customFormat="false" ht="23.25" hidden="false" customHeight="true" outlineLevel="0" collapsed="false">
      <c r="B775" s="67" t="str">
        <f aca="false">IFERROR(INDEX(分录报销!$M:$M,MATCH($L775,分录报销!$L:$L,0)),"")</f>
        <v/>
      </c>
      <c r="C775" s="67"/>
      <c r="D775" s="23" t="str">
        <f aca="false">IFERROR(INDEX(分录报销!$E:$E,MATCH($L775,分录报销!$L:$L,0)),"")</f>
        <v/>
      </c>
      <c r="E775" s="23" t="str">
        <f aca="false">IFERROR(INDEX(分录报销!$F:$F,MATCH($L775,分录报销!$L:$L,0)),"")</f>
        <v/>
      </c>
      <c r="F775" s="68" t="str">
        <f aca="false">IFERROR(INDEX(分录报销!$H:$H,MATCH($L775,分录报销!$L:$L,0)),"")</f>
        <v/>
      </c>
      <c r="G775" s="69" t="str">
        <f aca="false">IFERROR(INDEX(分录报销!$I:$I,MATCH($L775,分录报销!$L:$L,0)),"")</f>
        <v/>
      </c>
      <c r="H775" s="23"/>
      <c r="I775" s="70"/>
      <c r="L775" s="71" t="n">
        <f aca="false">IF(助手报销!$R$53="",-1,助手报销!$R$53*100+(助手报销!$S$53-1)*6+5)</f>
        <v>-1</v>
      </c>
    </row>
    <row r="776" customFormat="false" ht="23.25" hidden="false" customHeight="true" outlineLevel="0" collapsed="false">
      <c r="B776" s="67" t="str">
        <f aca="false">IFERROR(INDEX(分录报销!$M:$M,MATCH($L776,分录报销!$L:$L,0)),"")</f>
        <v/>
      </c>
      <c r="C776" s="67"/>
      <c r="D776" s="23" t="str">
        <f aca="false">IFERROR(INDEX(分录报销!$E:$E,MATCH($L776,分录报销!$L:$L,0)),"")</f>
        <v/>
      </c>
      <c r="E776" s="23" t="str">
        <f aca="false">IFERROR(INDEX(分录报销!$F:$F,MATCH($L776,分录报销!$L:$L,0)),"")</f>
        <v/>
      </c>
      <c r="F776" s="68" t="str">
        <f aca="false">IFERROR(INDEX(分录报销!$H:$H,MATCH($L776,分录报销!$L:$L,0)),"")</f>
        <v/>
      </c>
      <c r="G776" s="69" t="str">
        <f aca="false">IFERROR(INDEX(分录报销!$I:$I,MATCH($L776,分录报销!$L:$L,0)),"")</f>
        <v/>
      </c>
      <c r="H776" s="23"/>
      <c r="I776" s="70"/>
      <c r="L776" s="71" t="n">
        <f aca="false">IF(助手报销!$R$53="",-1,助手报销!$R$53*100+(助手报销!$S$53-1)*6+6)</f>
        <v>-1</v>
      </c>
    </row>
    <row r="777" customFormat="false" ht="23.25" hidden="false" customHeight="true" outlineLevel="0" collapsed="false">
      <c r="B777" s="72" t="str">
        <f aca="false">IF(助手报销!$T$53=1,"合计：","")</f>
        <v/>
      </c>
      <c r="C777" s="73" t="str">
        <f aca="false">IF(助手报销!$T$53=1,$F777,"")</f>
        <v/>
      </c>
      <c r="D777" s="74"/>
      <c r="E777" s="74"/>
      <c r="F777" s="75" t="str">
        <f aca="false">IF(助手报销!$T$53=1,INDEX(助手报销!$N$2:$N$121,助手报销!$R$53),"")</f>
        <v/>
      </c>
      <c r="G777" s="76" t="str">
        <f aca="false">IF(助手报销!$T$53=1,INDEX(助手报销!$O$2:$O$121,助手报销!$R$53),"")</f>
        <v/>
      </c>
      <c r="H777" s="74"/>
      <c r="I777" s="77"/>
    </row>
    <row r="778" customFormat="false" ht="6" hidden="false" customHeight="true" outlineLevel="0" collapsed="false"/>
    <row r="779" customFormat="false" ht="13.5" hidden="false" customHeight="false" outlineLevel="0" collapsed="false">
      <c r="B779" s="78" t="str">
        <f aca="false">IF(助手报销!$R$53&lt;&gt;"","会计主管：","")</f>
        <v/>
      </c>
      <c r="D779" s="78" t="str">
        <f aca="false">IF(助手报销!$R$53&lt;&gt;"","会计：","")</f>
        <v/>
      </c>
      <c r="E779" s="78" t="str">
        <f aca="false">IF(助手报销!$R$53&lt;&gt;"","出纳：","")</f>
        <v/>
      </c>
      <c r="F779" s="78" t="str">
        <f aca="false">IF(助手报销!$R$53&lt;&gt;"","复核：","")</f>
        <v/>
      </c>
      <c r="G779" s="78" t="str">
        <f aca="false">IF(助手报销!$R$53&lt;&gt;"","制单：","")</f>
        <v/>
      </c>
    </row>
    <row r="780" customFormat="false" ht="3" hidden="false" customHeight="true" outlineLevel="0" collapsed="false"/>
    <row r="781" customFormat="false" ht="19.5" hidden="false" customHeight="true" outlineLevel="0" collapsed="false">
      <c r="B781" s="53" t="str">
        <f aca="false">IF(助手报销!$R$54&lt;&gt;"","记  账  凭  证","")</f>
        <v/>
      </c>
      <c r="C781" s="53"/>
      <c r="D781" s="53"/>
      <c r="E781" s="53"/>
      <c r="F781" s="53"/>
      <c r="G781" s="53"/>
      <c r="H781" s="53"/>
      <c r="I781" s="53"/>
    </row>
    <row r="782" customFormat="false" ht="3" hidden="false" customHeight="true" outlineLevel="0" collapsed="false"/>
    <row r="783" customFormat="false" ht="15" hidden="false" customHeight="true" outlineLevel="0" collapsed="false">
      <c r="C783" s="56" t="str">
        <f aca="false">IF(助手报销!$R$54&lt;&gt;"",INDEX(助手报销!$B$2:$B$121,助手报销!$R$54),"")</f>
        <v/>
      </c>
      <c r="D783" s="57" t="str">
        <f aca="false">IF(助手报销!$R$54&lt;&gt;"",INDEX(助手报销!$D$2:$D$121,助手报销!$R$54),"")</f>
        <v/>
      </c>
      <c r="E783" s="57"/>
      <c r="F783" s="58" t="str">
        <f aca="false">IF(助手报销!$R$54&lt;&gt;"",INDEX(助手报销!$C$2:$C$121,助手报销!$R$54)&amp;"  字第 "&amp;IF(参数!$B$9="是",INDEX(助手报销!$P$2:$P$121,助手报销!$R$54),"　　　　")&amp;" 号"&amp;IF(INDEX(助手报销!$L$2:$L$121,助手报销!$R$54)&gt;1,"  (共"&amp;INDEX(助手报销!$L$2:$L$121,助手报销!$R$54)&amp;"页 第"&amp;助手报销!$S$54&amp;"页)",""),"")</f>
        <v/>
      </c>
      <c r="G783" s="58"/>
      <c r="H783" s="58"/>
      <c r="I783" s="58"/>
      <c r="M783" s="79" t="str">
        <f aca="false">IF(助手报销!$R$54="","",助手报销!$Q$54)</f>
        <v/>
      </c>
      <c r="N783" s="80" t="str">
        <f aca="false">IF(助手报销!$R$54="","",INDEX(助手报销!$P$2:$P$121,助手报销!$R$54))</f>
        <v/>
      </c>
      <c r="O783" s="55" t="str">
        <f aca="false">IF(助手报销!$R$54="","",INDEX(助手报销!$C$2:$C$121,助手报销!$R$54)&amp;"  字第 "&amp;INDEX(助手报销!$P$2:$P$121,助手报销!$R$54)&amp;" 号"&amp;IF(INDEX(助手报销!$L$2:$L$121,助手报销!$R$54)&gt;1,"  (共"&amp;INDEX(助手报销!$L$2:$L$121,助手报销!$R$54)&amp;"页 第"&amp;助手报销!$S$54&amp;"页)",""))</f>
        <v/>
      </c>
    </row>
    <row r="784" customFormat="false" ht="12.75" hidden="false" customHeight="true" outlineLevel="0" collapsed="false">
      <c r="B784" s="61" t="str">
        <f aca="false">IF(助手报销!$R$54&lt;&gt;"","摘　　要","")</f>
        <v/>
      </c>
      <c r="C784" s="61"/>
      <c r="D784" s="62" t="str">
        <f aca="false">IF(助手报销!$R$54&lt;&gt;"","科　　　　目","")</f>
        <v/>
      </c>
      <c r="E784" s="62"/>
      <c r="F784" s="61" t="str">
        <f aca="false">IF(助手报销!$R$54&lt;&gt;"","借 方 金 额","")</f>
        <v/>
      </c>
      <c r="G784" s="62" t="str">
        <f aca="false">IF(助手报销!$R$54&lt;&gt;"","贷 方 金 额","")</f>
        <v/>
      </c>
      <c r="H784" s="63" t="str">
        <f aca="false">IF(助手报销!$R$54&lt;&gt;"","√","")</f>
        <v/>
      </c>
      <c r="I784" s="64" t="str">
        <f aca="false">IF(助手报销!$R$54&lt;&gt;"","附单据  张","")</f>
        <v/>
      </c>
    </row>
    <row r="785" customFormat="false" ht="12.75" hidden="false" customHeight="true" outlineLevel="0" collapsed="false">
      <c r="B785" s="61"/>
      <c r="C785" s="61"/>
      <c r="D785" s="23" t="str">
        <f aca="false">IF(助手报销!$R$54&lt;&gt;"","总 账 科 目","")</f>
        <v/>
      </c>
      <c r="E785" s="23" t="str">
        <f aca="false">IF(助手报销!$R$54&lt;&gt;"","明 细 科 目","")</f>
        <v/>
      </c>
      <c r="F785" s="65"/>
      <c r="G785" s="66"/>
      <c r="H785" s="63"/>
      <c r="I785" s="64"/>
    </row>
    <row r="786" customFormat="false" ht="23.25" hidden="false" customHeight="true" outlineLevel="0" collapsed="false">
      <c r="B786" s="67" t="str">
        <f aca="false">IFERROR(INDEX(分录报销!$M:$M,MATCH($L786,分录报销!$L:$L,0)),"")</f>
        <v/>
      </c>
      <c r="C786" s="67"/>
      <c r="D786" s="23" t="str">
        <f aca="false">IFERROR(INDEX(分录报销!$E:$E,MATCH($L786,分录报销!$L:$L,0)),"")</f>
        <v/>
      </c>
      <c r="E786" s="23" t="str">
        <f aca="false">IFERROR(INDEX(分录报销!$F:$F,MATCH($L786,分录报销!$L:$L,0)),"")</f>
        <v/>
      </c>
      <c r="F786" s="68" t="str">
        <f aca="false">IFERROR(INDEX(分录报销!$H:$H,MATCH($L786,分录报销!$L:$L,0)),"")</f>
        <v/>
      </c>
      <c r="G786" s="69" t="str">
        <f aca="false">IFERROR(INDEX(分录报销!$I:$I,MATCH($L786,分录报销!$L:$L,0)),"")</f>
        <v/>
      </c>
      <c r="H786" s="23"/>
      <c r="I786" s="70"/>
      <c r="L786" s="71" t="n">
        <f aca="false">IF(助手报销!$R$54="",-1,助手报销!$R$54*100+(助手报销!$S$54-1)*6+1)</f>
        <v>-1</v>
      </c>
    </row>
    <row r="787" customFormat="false" ht="23.25" hidden="false" customHeight="true" outlineLevel="0" collapsed="false">
      <c r="B787" s="67" t="str">
        <f aca="false">IFERROR(INDEX(分录报销!$M:$M,MATCH($L787,分录报销!$L:$L,0)),"")</f>
        <v/>
      </c>
      <c r="C787" s="67"/>
      <c r="D787" s="23" t="str">
        <f aca="false">IFERROR(INDEX(分录报销!$E:$E,MATCH($L787,分录报销!$L:$L,0)),"")</f>
        <v/>
      </c>
      <c r="E787" s="23" t="str">
        <f aca="false">IFERROR(INDEX(分录报销!$F:$F,MATCH($L787,分录报销!$L:$L,0)),"")</f>
        <v/>
      </c>
      <c r="F787" s="68" t="str">
        <f aca="false">IFERROR(INDEX(分录报销!$H:$H,MATCH($L787,分录报销!$L:$L,0)),"")</f>
        <v/>
      </c>
      <c r="G787" s="69" t="str">
        <f aca="false">IFERROR(INDEX(分录报销!$I:$I,MATCH($L787,分录报销!$L:$L,0)),"")</f>
        <v/>
      </c>
      <c r="H787" s="23"/>
      <c r="I787" s="70"/>
      <c r="L787" s="71" t="n">
        <f aca="false">IF(助手报销!$R$54="",-1,助手报销!$R$54*100+(助手报销!$S$54-1)*6+2)</f>
        <v>-1</v>
      </c>
    </row>
    <row r="788" customFormat="false" ht="23.25" hidden="false" customHeight="true" outlineLevel="0" collapsed="false">
      <c r="B788" s="67" t="str">
        <f aca="false">IFERROR(INDEX(分录报销!$M:$M,MATCH($L788,分录报销!$L:$L,0)),"")</f>
        <v/>
      </c>
      <c r="C788" s="67"/>
      <c r="D788" s="23" t="str">
        <f aca="false">IFERROR(INDEX(分录报销!$E:$E,MATCH($L788,分录报销!$L:$L,0)),"")</f>
        <v/>
      </c>
      <c r="E788" s="23" t="str">
        <f aca="false">IFERROR(INDEX(分录报销!$F:$F,MATCH($L788,分录报销!$L:$L,0)),"")</f>
        <v/>
      </c>
      <c r="F788" s="68" t="str">
        <f aca="false">IFERROR(INDEX(分录报销!$H:$H,MATCH($L788,分录报销!$L:$L,0)),"")</f>
        <v/>
      </c>
      <c r="G788" s="69" t="str">
        <f aca="false">IFERROR(INDEX(分录报销!$I:$I,MATCH($L788,分录报销!$L:$L,0)),"")</f>
        <v/>
      </c>
      <c r="H788" s="23"/>
      <c r="I788" s="70"/>
      <c r="L788" s="71" t="n">
        <f aca="false">IF(助手报销!$R$54="",-1,助手报销!$R$54*100+(助手报销!$S$54-1)*6+3)</f>
        <v>-1</v>
      </c>
    </row>
    <row r="789" customFormat="false" ht="23.25" hidden="false" customHeight="true" outlineLevel="0" collapsed="false">
      <c r="B789" s="67" t="str">
        <f aca="false">IFERROR(INDEX(分录报销!$M:$M,MATCH($L789,分录报销!$L:$L,0)),"")</f>
        <v/>
      </c>
      <c r="C789" s="67"/>
      <c r="D789" s="23" t="str">
        <f aca="false">IFERROR(INDEX(分录报销!$E:$E,MATCH($L789,分录报销!$L:$L,0)),"")</f>
        <v/>
      </c>
      <c r="E789" s="23" t="str">
        <f aca="false">IFERROR(INDEX(分录报销!$F:$F,MATCH($L789,分录报销!$L:$L,0)),"")</f>
        <v/>
      </c>
      <c r="F789" s="68" t="str">
        <f aca="false">IFERROR(INDEX(分录报销!$H:$H,MATCH($L789,分录报销!$L:$L,0)),"")</f>
        <v/>
      </c>
      <c r="G789" s="69" t="str">
        <f aca="false">IFERROR(INDEX(分录报销!$I:$I,MATCH($L789,分录报销!$L:$L,0)),"")</f>
        <v/>
      </c>
      <c r="H789" s="23"/>
      <c r="I789" s="70"/>
      <c r="L789" s="71" t="n">
        <f aca="false">IF(助手报销!$R$54="",-1,助手报销!$R$54*100+(助手报销!$S$54-1)*6+4)</f>
        <v>-1</v>
      </c>
    </row>
    <row r="790" customFormat="false" ht="23.25" hidden="false" customHeight="true" outlineLevel="0" collapsed="false">
      <c r="B790" s="67" t="str">
        <f aca="false">IFERROR(INDEX(分录报销!$M:$M,MATCH($L790,分录报销!$L:$L,0)),"")</f>
        <v/>
      </c>
      <c r="C790" s="67"/>
      <c r="D790" s="23" t="str">
        <f aca="false">IFERROR(INDEX(分录报销!$E:$E,MATCH($L790,分录报销!$L:$L,0)),"")</f>
        <v/>
      </c>
      <c r="E790" s="23" t="str">
        <f aca="false">IFERROR(INDEX(分录报销!$F:$F,MATCH($L790,分录报销!$L:$L,0)),"")</f>
        <v/>
      </c>
      <c r="F790" s="68" t="str">
        <f aca="false">IFERROR(INDEX(分录报销!$H:$H,MATCH($L790,分录报销!$L:$L,0)),"")</f>
        <v/>
      </c>
      <c r="G790" s="69" t="str">
        <f aca="false">IFERROR(INDEX(分录报销!$I:$I,MATCH($L790,分录报销!$L:$L,0)),"")</f>
        <v/>
      </c>
      <c r="H790" s="23"/>
      <c r="I790" s="70"/>
      <c r="L790" s="71" t="n">
        <f aca="false">IF(助手报销!$R$54="",-1,助手报销!$R$54*100+(助手报销!$S$54-1)*6+5)</f>
        <v>-1</v>
      </c>
    </row>
    <row r="791" customFormat="false" ht="23.25" hidden="false" customHeight="true" outlineLevel="0" collapsed="false">
      <c r="B791" s="67" t="str">
        <f aca="false">IFERROR(INDEX(分录报销!$M:$M,MATCH($L791,分录报销!$L:$L,0)),"")</f>
        <v/>
      </c>
      <c r="C791" s="67"/>
      <c r="D791" s="23" t="str">
        <f aca="false">IFERROR(INDEX(分录报销!$E:$E,MATCH($L791,分录报销!$L:$L,0)),"")</f>
        <v/>
      </c>
      <c r="E791" s="23" t="str">
        <f aca="false">IFERROR(INDEX(分录报销!$F:$F,MATCH($L791,分录报销!$L:$L,0)),"")</f>
        <v/>
      </c>
      <c r="F791" s="68" t="str">
        <f aca="false">IFERROR(INDEX(分录报销!$H:$H,MATCH($L791,分录报销!$L:$L,0)),"")</f>
        <v/>
      </c>
      <c r="G791" s="69" t="str">
        <f aca="false">IFERROR(INDEX(分录报销!$I:$I,MATCH($L791,分录报销!$L:$L,0)),"")</f>
        <v/>
      </c>
      <c r="H791" s="23"/>
      <c r="I791" s="70"/>
      <c r="L791" s="71" t="n">
        <f aca="false">IF(助手报销!$R$54="",-1,助手报销!$R$54*100+(助手报销!$S$54-1)*6+6)</f>
        <v>-1</v>
      </c>
    </row>
    <row r="792" customFormat="false" ht="23.25" hidden="false" customHeight="true" outlineLevel="0" collapsed="false">
      <c r="B792" s="72" t="str">
        <f aca="false">IF(助手报销!$T$54=1,"合计：","")</f>
        <v/>
      </c>
      <c r="C792" s="73" t="str">
        <f aca="false">IF(助手报销!$T$54=1,$F792,"")</f>
        <v/>
      </c>
      <c r="D792" s="74"/>
      <c r="E792" s="74"/>
      <c r="F792" s="75" t="str">
        <f aca="false">IF(助手报销!$T$54=1,INDEX(助手报销!$N$2:$N$121,助手报销!$R$54),"")</f>
        <v/>
      </c>
      <c r="G792" s="76" t="str">
        <f aca="false">IF(助手报销!$T$54=1,INDEX(助手报销!$O$2:$O$121,助手报销!$R$54),"")</f>
        <v/>
      </c>
      <c r="H792" s="74"/>
      <c r="I792" s="77"/>
    </row>
    <row r="793" customFormat="false" ht="6" hidden="false" customHeight="true" outlineLevel="0" collapsed="false"/>
    <row r="794" customFormat="false" ht="13.5" hidden="false" customHeight="false" outlineLevel="0" collapsed="false">
      <c r="B794" s="78" t="str">
        <f aca="false">IF(助手报销!$R$54&lt;&gt;"","会计主管：","")</f>
        <v/>
      </c>
      <c r="D794" s="78" t="str">
        <f aca="false">IF(助手报销!$R$54&lt;&gt;"","会计：","")</f>
        <v/>
      </c>
      <c r="E794" s="78" t="str">
        <f aca="false">IF(助手报销!$R$54&lt;&gt;"","出纳：","")</f>
        <v/>
      </c>
      <c r="F794" s="78" t="str">
        <f aca="false">IF(助手报销!$R$54&lt;&gt;"","复核：","")</f>
        <v/>
      </c>
      <c r="G794" s="78" t="str">
        <f aca="false">IF(助手报销!$R$54&lt;&gt;"","制单：","")</f>
        <v/>
      </c>
    </row>
    <row r="795" customFormat="false" ht="3" hidden="false" customHeight="true" outlineLevel="0" collapsed="false"/>
    <row r="796" customFormat="false" ht="19.5" hidden="false" customHeight="true" outlineLevel="0" collapsed="false">
      <c r="B796" s="53" t="str">
        <f aca="false">IF(助手报销!$R$55&lt;&gt;"","记  账  凭  证","")</f>
        <v/>
      </c>
      <c r="C796" s="53"/>
      <c r="D796" s="53"/>
      <c r="E796" s="53"/>
      <c r="F796" s="53"/>
      <c r="G796" s="53"/>
      <c r="H796" s="53"/>
      <c r="I796" s="53"/>
    </row>
    <row r="797" customFormat="false" ht="3" hidden="false" customHeight="true" outlineLevel="0" collapsed="false"/>
    <row r="798" customFormat="false" ht="15" hidden="false" customHeight="true" outlineLevel="0" collapsed="false">
      <c r="C798" s="56" t="str">
        <f aca="false">IF(助手报销!$R$55&lt;&gt;"",INDEX(助手报销!$B$2:$B$121,助手报销!$R$55),"")</f>
        <v/>
      </c>
      <c r="D798" s="57" t="str">
        <f aca="false">IF(助手报销!$R$55&lt;&gt;"",INDEX(助手报销!$D$2:$D$121,助手报销!$R$55),"")</f>
        <v/>
      </c>
      <c r="E798" s="57"/>
      <c r="F798" s="58" t="str">
        <f aca="false">IF(助手报销!$R$55&lt;&gt;"",INDEX(助手报销!$C$2:$C$121,助手报销!$R$55)&amp;"  字第 "&amp;IF(参数!$B$9="是",INDEX(助手报销!$P$2:$P$121,助手报销!$R$55),"　　　　")&amp;" 号"&amp;IF(INDEX(助手报销!$L$2:$L$121,助手报销!$R$55)&gt;1,"  (共"&amp;INDEX(助手报销!$L$2:$L$121,助手报销!$R$55)&amp;"页 第"&amp;助手报销!$S$55&amp;"页)",""),"")</f>
        <v/>
      </c>
      <c r="G798" s="58"/>
      <c r="H798" s="58"/>
      <c r="I798" s="58"/>
      <c r="M798" s="79" t="str">
        <f aca="false">IF(助手报销!$R$55="","",助手报销!$Q$55)</f>
        <v/>
      </c>
      <c r="N798" s="80" t="str">
        <f aca="false">IF(助手报销!$R$55="","",INDEX(助手报销!$P$2:$P$121,助手报销!$R$55))</f>
        <v/>
      </c>
      <c r="O798" s="55" t="str">
        <f aca="false">IF(助手报销!$R$55="","",INDEX(助手报销!$C$2:$C$121,助手报销!$R$55)&amp;"  字第 "&amp;INDEX(助手报销!$P$2:$P$121,助手报销!$R$55)&amp;" 号"&amp;IF(INDEX(助手报销!$L$2:$L$121,助手报销!$R$55)&gt;1,"  (共"&amp;INDEX(助手报销!$L$2:$L$121,助手报销!$R$55)&amp;"页 第"&amp;助手报销!$S$55&amp;"页)",""))</f>
        <v/>
      </c>
    </row>
    <row r="799" customFormat="false" ht="12.75" hidden="false" customHeight="true" outlineLevel="0" collapsed="false">
      <c r="B799" s="61" t="str">
        <f aca="false">IF(助手报销!$R$55&lt;&gt;"","摘　　要","")</f>
        <v/>
      </c>
      <c r="C799" s="61"/>
      <c r="D799" s="62" t="str">
        <f aca="false">IF(助手报销!$R$55&lt;&gt;"","科　　　　目","")</f>
        <v/>
      </c>
      <c r="E799" s="62"/>
      <c r="F799" s="61" t="str">
        <f aca="false">IF(助手报销!$R$55&lt;&gt;"","借 方 金 额","")</f>
        <v/>
      </c>
      <c r="G799" s="62" t="str">
        <f aca="false">IF(助手报销!$R$55&lt;&gt;"","贷 方 金 额","")</f>
        <v/>
      </c>
      <c r="H799" s="63" t="str">
        <f aca="false">IF(助手报销!$R$55&lt;&gt;"","√","")</f>
        <v/>
      </c>
      <c r="I799" s="64" t="str">
        <f aca="false">IF(助手报销!$R$55&lt;&gt;"","附单据  张","")</f>
        <v/>
      </c>
    </row>
    <row r="800" customFormat="false" ht="12.75" hidden="false" customHeight="true" outlineLevel="0" collapsed="false">
      <c r="B800" s="61"/>
      <c r="C800" s="61"/>
      <c r="D800" s="23" t="str">
        <f aca="false">IF(助手报销!$R$55&lt;&gt;"","总 账 科 目","")</f>
        <v/>
      </c>
      <c r="E800" s="23" t="str">
        <f aca="false">IF(助手报销!$R$55&lt;&gt;"","明 细 科 目","")</f>
        <v/>
      </c>
      <c r="F800" s="65"/>
      <c r="G800" s="66"/>
      <c r="H800" s="63"/>
      <c r="I800" s="64"/>
    </row>
    <row r="801" customFormat="false" ht="23.25" hidden="false" customHeight="true" outlineLevel="0" collapsed="false">
      <c r="B801" s="67" t="str">
        <f aca="false">IFERROR(INDEX(分录报销!$M:$M,MATCH($L801,分录报销!$L:$L,0)),"")</f>
        <v/>
      </c>
      <c r="C801" s="67"/>
      <c r="D801" s="23" t="str">
        <f aca="false">IFERROR(INDEX(分录报销!$E:$E,MATCH($L801,分录报销!$L:$L,0)),"")</f>
        <v/>
      </c>
      <c r="E801" s="23" t="str">
        <f aca="false">IFERROR(INDEX(分录报销!$F:$F,MATCH($L801,分录报销!$L:$L,0)),"")</f>
        <v/>
      </c>
      <c r="F801" s="68" t="str">
        <f aca="false">IFERROR(INDEX(分录报销!$H:$H,MATCH($L801,分录报销!$L:$L,0)),"")</f>
        <v/>
      </c>
      <c r="G801" s="69" t="str">
        <f aca="false">IFERROR(INDEX(分录报销!$I:$I,MATCH($L801,分录报销!$L:$L,0)),"")</f>
        <v/>
      </c>
      <c r="H801" s="23"/>
      <c r="I801" s="70"/>
      <c r="L801" s="71" t="n">
        <f aca="false">IF(助手报销!$R$55="",-1,助手报销!$R$55*100+(助手报销!$S$55-1)*6+1)</f>
        <v>-1</v>
      </c>
    </row>
    <row r="802" customFormat="false" ht="23.25" hidden="false" customHeight="true" outlineLevel="0" collapsed="false">
      <c r="B802" s="67" t="str">
        <f aca="false">IFERROR(INDEX(分录报销!$M:$M,MATCH($L802,分录报销!$L:$L,0)),"")</f>
        <v/>
      </c>
      <c r="C802" s="67"/>
      <c r="D802" s="23" t="str">
        <f aca="false">IFERROR(INDEX(分录报销!$E:$E,MATCH($L802,分录报销!$L:$L,0)),"")</f>
        <v/>
      </c>
      <c r="E802" s="23" t="str">
        <f aca="false">IFERROR(INDEX(分录报销!$F:$F,MATCH($L802,分录报销!$L:$L,0)),"")</f>
        <v/>
      </c>
      <c r="F802" s="68" t="str">
        <f aca="false">IFERROR(INDEX(分录报销!$H:$H,MATCH($L802,分录报销!$L:$L,0)),"")</f>
        <v/>
      </c>
      <c r="G802" s="69" t="str">
        <f aca="false">IFERROR(INDEX(分录报销!$I:$I,MATCH($L802,分录报销!$L:$L,0)),"")</f>
        <v/>
      </c>
      <c r="H802" s="23"/>
      <c r="I802" s="70"/>
      <c r="L802" s="71" t="n">
        <f aca="false">IF(助手报销!$R$55="",-1,助手报销!$R$55*100+(助手报销!$S$55-1)*6+2)</f>
        <v>-1</v>
      </c>
    </row>
    <row r="803" customFormat="false" ht="23.25" hidden="false" customHeight="true" outlineLevel="0" collapsed="false">
      <c r="B803" s="67" t="str">
        <f aca="false">IFERROR(INDEX(分录报销!$M:$M,MATCH($L803,分录报销!$L:$L,0)),"")</f>
        <v/>
      </c>
      <c r="C803" s="67"/>
      <c r="D803" s="23" t="str">
        <f aca="false">IFERROR(INDEX(分录报销!$E:$E,MATCH($L803,分录报销!$L:$L,0)),"")</f>
        <v/>
      </c>
      <c r="E803" s="23" t="str">
        <f aca="false">IFERROR(INDEX(分录报销!$F:$F,MATCH($L803,分录报销!$L:$L,0)),"")</f>
        <v/>
      </c>
      <c r="F803" s="68" t="str">
        <f aca="false">IFERROR(INDEX(分录报销!$H:$H,MATCH($L803,分录报销!$L:$L,0)),"")</f>
        <v/>
      </c>
      <c r="G803" s="69" t="str">
        <f aca="false">IFERROR(INDEX(分录报销!$I:$I,MATCH($L803,分录报销!$L:$L,0)),"")</f>
        <v/>
      </c>
      <c r="H803" s="23"/>
      <c r="I803" s="70"/>
      <c r="L803" s="71" t="n">
        <f aca="false">IF(助手报销!$R$55="",-1,助手报销!$R$55*100+(助手报销!$S$55-1)*6+3)</f>
        <v>-1</v>
      </c>
    </row>
    <row r="804" customFormat="false" ht="23.25" hidden="false" customHeight="true" outlineLevel="0" collapsed="false">
      <c r="B804" s="67" t="str">
        <f aca="false">IFERROR(INDEX(分录报销!$M:$M,MATCH($L804,分录报销!$L:$L,0)),"")</f>
        <v/>
      </c>
      <c r="C804" s="67"/>
      <c r="D804" s="23" t="str">
        <f aca="false">IFERROR(INDEX(分录报销!$E:$E,MATCH($L804,分录报销!$L:$L,0)),"")</f>
        <v/>
      </c>
      <c r="E804" s="23" t="str">
        <f aca="false">IFERROR(INDEX(分录报销!$F:$F,MATCH($L804,分录报销!$L:$L,0)),"")</f>
        <v/>
      </c>
      <c r="F804" s="68" t="str">
        <f aca="false">IFERROR(INDEX(分录报销!$H:$H,MATCH($L804,分录报销!$L:$L,0)),"")</f>
        <v/>
      </c>
      <c r="G804" s="69" t="str">
        <f aca="false">IFERROR(INDEX(分录报销!$I:$I,MATCH($L804,分录报销!$L:$L,0)),"")</f>
        <v/>
      </c>
      <c r="H804" s="23"/>
      <c r="I804" s="70"/>
      <c r="L804" s="71" t="n">
        <f aca="false">IF(助手报销!$R$55="",-1,助手报销!$R$55*100+(助手报销!$S$55-1)*6+4)</f>
        <v>-1</v>
      </c>
    </row>
    <row r="805" customFormat="false" ht="23.25" hidden="false" customHeight="true" outlineLevel="0" collapsed="false">
      <c r="B805" s="67" t="str">
        <f aca="false">IFERROR(INDEX(分录报销!$M:$M,MATCH($L805,分录报销!$L:$L,0)),"")</f>
        <v/>
      </c>
      <c r="C805" s="67"/>
      <c r="D805" s="23" t="str">
        <f aca="false">IFERROR(INDEX(分录报销!$E:$E,MATCH($L805,分录报销!$L:$L,0)),"")</f>
        <v/>
      </c>
      <c r="E805" s="23" t="str">
        <f aca="false">IFERROR(INDEX(分录报销!$F:$F,MATCH($L805,分录报销!$L:$L,0)),"")</f>
        <v/>
      </c>
      <c r="F805" s="68" t="str">
        <f aca="false">IFERROR(INDEX(分录报销!$H:$H,MATCH($L805,分录报销!$L:$L,0)),"")</f>
        <v/>
      </c>
      <c r="G805" s="69" t="str">
        <f aca="false">IFERROR(INDEX(分录报销!$I:$I,MATCH($L805,分录报销!$L:$L,0)),"")</f>
        <v/>
      </c>
      <c r="H805" s="23"/>
      <c r="I805" s="70"/>
      <c r="L805" s="71" t="n">
        <f aca="false">IF(助手报销!$R$55="",-1,助手报销!$R$55*100+(助手报销!$S$55-1)*6+5)</f>
        <v>-1</v>
      </c>
    </row>
    <row r="806" customFormat="false" ht="23.25" hidden="false" customHeight="true" outlineLevel="0" collapsed="false">
      <c r="B806" s="67" t="str">
        <f aca="false">IFERROR(INDEX(分录报销!$M:$M,MATCH($L806,分录报销!$L:$L,0)),"")</f>
        <v/>
      </c>
      <c r="C806" s="67"/>
      <c r="D806" s="23" t="str">
        <f aca="false">IFERROR(INDEX(分录报销!$E:$E,MATCH($L806,分录报销!$L:$L,0)),"")</f>
        <v/>
      </c>
      <c r="E806" s="23" t="str">
        <f aca="false">IFERROR(INDEX(分录报销!$F:$F,MATCH($L806,分录报销!$L:$L,0)),"")</f>
        <v/>
      </c>
      <c r="F806" s="68" t="str">
        <f aca="false">IFERROR(INDEX(分录报销!$H:$H,MATCH($L806,分录报销!$L:$L,0)),"")</f>
        <v/>
      </c>
      <c r="G806" s="69" t="str">
        <f aca="false">IFERROR(INDEX(分录报销!$I:$I,MATCH($L806,分录报销!$L:$L,0)),"")</f>
        <v/>
      </c>
      <c r="H806" s="23"/>
      <c r="I806" s="70"/>
      <c r="L806" s="71" t="n">
        <f aca="false">IF(助手报销!$R$55="",-1,助手报销!$R$55*100+(助手报销!$S$55-1)*6+6)</f>
        <v>-1</v>
      </c>
    </row>
    <row r="807" customFormat="false" ht="23.25" hidden="false" customHeight="true" outlineLevel="0" collapsed="false">
      <c r="B807" s="72" t="str">
        <f aca="false">IF(助手报销!$T$55=1,"合计：","")</f>
        <v/>
      </c>
      <c r="C807" s="73" t="str">
        <f aca="false">IF(助手报销!$T$55=1,$F807,"")</f>
        <v/>
      </c>
      <c r="D807" s="74"/>
      <c r="E807" s="74"/>
      <c r="F807" s="75" t="str">
        <f aca="false">IF(助手报销!$T$55=1,INDEX(助手报销!$N$2:$N$121,助手报销!$R$55),"")</f>
        <v/>
      </c>
      <c r="G807" s="76" t="str">
        <f aca="false">IF(助手报销!$T$55=1,INDEX(助手报销!$O$2:$O$121,助手报销!$R$55),"")</f>
        <v/>
      </c>
      <c r="H807" s="74"/>
      <c r="I807" s="77"/>
    </row>
    <row r="808" customFormat="false" ht="6" hidden="false" customHeight="true" outlineLevel="0" collapsed="false"/>
    <row r="809" customFormat="false" ht="13.5" hidden="false" customHeight="false" outlineLevel="0" collapsed="false">
      <c r="B809" s="78" t="str">
        <f aca="false">IF(助手报销!$R$55&lt;&gt;"","会计主管：","")</f>
        <v/>
      </c>
      <c r="D809" s="78" t="str">
        <f aca="false">IF(助手报销!$R$55&lt;&gt;"","会计：","")</f>
        <v/>
      </c>
      <c r="E809" s="78" t="str">
        <f aca="false">IF(助手报销!$R$55&lt;&gt;"","出纳：","")</f>
        <v/>
      </c>
      <c r="F809" s="78" t="str">
        <f aca="false">IF(助手报销!$R$55&lt;&gt;"","复核：","")</f>
        <v/>
      </c>
      <c r="G809" s="78" t="str">
        <f aca="false">IF(助手报销!$R$55&lt;&gt;"","制单：","")</f>
        <v/>
      </c>
    </row>
    <row r="810" customFormat="false" ht="3" hidden="false" customHeight="true" outlineLevel="0" collapsed="false"/>
    <row r="811" customFormat="false" ht="19.5" hidden="false" customHeight="true" outlineLevel="0" collapsed="false">
      <c r="B811" s="53" t="str">
        <f aca="false">IF(助手报销!$R$56&lt;&gt;"","记  账  凭  证","")</f>
        <v/>
      </c>
      <c r="C811" s="53"/>
      <c r="D811" s="53"/>
      <c r="E811" s="53"/>
      <c r="F811" s="53"/>
      <c r="G811" s="53"/>
      <c r="H811" s="53"/>
      <c r="I811" s="53"/>
    </row>
    <row r="812" customFormat="false" ht="3" hidden="false" customHeight="true" outlineLevel="0" collapsed="false"/>
    <row r="813" customFormat="false" ht="15" hidden="false" customHeight="true" outlineLevel="0" collapsed="false">
      <c r="C813" s="56" t="str">
        <f aca="false">IF(助手报销!$R$56&lt;&gt;"",INDEX(助手报销!$B$2:$B$121,助手报销!$R$56),"")</f>
        <v/>
      </c>
      <c r="D813" s="57" t="str">
        <f aca="false">IF(助手报销!$R$56&lt;&gt;"",INDEX(助手报销!$D$2:$D$121,助手报销!$R$56),"")</f>
        <v/>
      </c>
      <c r="E813" s="57"/>
      <c r="F813" s="58" t="str">
        <f aca="false">IF(助手报销!$R$56&lt;&gt;"",INDEX(助手报销!$C$2:$C$121,助手报销!$R$56)&amp;"  字第 "&amp;IF(参数!$B$9="是",INDEX(助手报销!$P$2:$P$121,助手报销!$R$56),"　　　　")&amp;" 号"&amp;IF(INDEX(助手报销!$L$2:$L$121,助手报销!$R$56)&gt;1,"  (共"&amp;INDEX(助手报销!$L$2:$L$121,助手报销!$R$56)&amp;"页 第"&amp;助手报销!$S$56&amp;"页)",""),"")</f>
        <v/>
      </c>
      <c r="G813" s="58"/>
      <c r="H813" s="58"/>
      <c r="I813" s="58"/>
      <c r="M813" s="79" t="str">
        <f aca="false">IF(助手报销!$R$56="","",助手报销!$Q$56)</f>
        <v/>
      </c>
      <c r="N813" s="80" t="str">
        <f aca="false">IF(助手报销!$R$56="","",INDEX(助手报销!$P$2:$P$121,助手报销!$R$56))</f>
        <v/>
      </c>
      <c r="O813" s="55" t="str">
        <f aca="false">IF(助手报销!$R$56="","",INDEX(助手报销!$C$2:$C$121,助手报销!$R$56)&amp;"  字第 "&amp;INDEX(助手报销!$P$2:$P$121,助手报销!$R$56)&amp;" 号"&amp;IF(INDEX(助手报销!$L$2:$L$121,助手报销!$R$56)&gt;1,"  (共"&amp;INDEX(助手报销!$L$2:$L$121,助手报销!$R$56)&amp;"页 第"&amp;助手报销!$S$56&amp;"页)",""))</f>
        <v/>
      </c>
    </row>
    <row r="814" customFormat="false" ht="12.75" hidden="false" customHeight="true" outlineLevel="0" collapsed="false">
      <c r="B814" s="61" t="str">
        <f aca="false">IF(助手报销!$R$56&lt;&gt;"","摘　　要","")</f>
        <v/>
      </c>
      <c r="C814" s="61"/>
      <c r="D814" s="62" t="str">
        <f aca="false">IF(助手报销!$R$56&lt;&gt;"","科　　　　目","")</f>
        <v/>
      </c>
      <c r="E814" s="62"/>
      <c r="F814" s="61" t="str">
        <f aca="false">IF(助手报销!$R$56&lt;&gt;"","借 方 金 额","")</f>
        <v/>
      </c>
      <c r="G814" s="62" t="str">
        <f aca="false">IF(助手报销!$R$56&lt;&gt;"","贷 方 金 额","")</f>
        <v/>
      </c>
      <c r="H814" s="63" t="str">
        <f aca="false">IF(助手报销!$R$56&lt;&gt;"","√","")</f>
        <v/>
      </c>
      <c r="I814" s="64" t="str">
        <f aca="false">IF(助手报销!$R$56&lt;&gt;"","附单据  张","")</f>
        <v/>
      </c>
    </row>
    <row r="815" customFormat="false" ht="12.75" hidden="false" customHeight="true" outlineLevel="0" collapsed="false">
      <c r="B815" s="61"/>
      <c r="C815" s="61"/>
      <c r="D815" s="23" t="str">
        <f aca="false">IF(助手报销!$R$56&lt;&gt;"","总 账 科 目","")</f>
        <v/>
      </c>
      <c r="E815" s="23" t="str">
        <f aca="false">IF(助手报销!$R$56&lt;&gt;"","明 细 科 目","")</f>
        <v/>
      </c>
      <c r="F815" s="65"/>
      <c r="G815" s="66"/>
      <c r="H815" s="63"/>
      <c r="I815" s="64"/>
    </row>
    <row r="816" customFormat="false" ht="23.25" hidden="false" customHeight="true" outlineLevel="0" collapsed="false">
      <c r="B816" s="67" t="str">
        <f aca="false">IFERROR(INDEX(分录报销!$M:$M,MATCH($L816,分录报销!$L:$L,0)),"")</f>
        <v/>
      </c>
      <c r="C816" s="67"/>
      <c r="D816" s="23" t="str">
        <f aca="false">IFERROR(INDEX(分录报销!$E:$E,MATCH($L816,分录报销!$L:$L,0)),"")</f>
        <v/>
      </c>
      <c r="E816" s="23" t="str">
        <f aca="false">IFERROR(INDEX(分录报销!$F:$F,MATCH($L816,分录报销!$L:$L,0)),"")</f>
        <v/>
      </c>
      <c r="F816" s="68" t="str">
        <f aca="false">IFERROR(INDEX(分录报销!$H:$H,MATCH($L816,分录报销!$L:$L,0)),"")</f>
        <v/>
      </c>
      <c r="G816" s="69" t="str">
        <f aca="false">IFERROR(INDEX(分录报销!$I:$I,MATCH($L816,分录报销!$L:$L,0)),"")</f>
        <v/>
      </c>
      <c r="H816" s="23"/>
      <c r="I816" s="70"/>
      <c r="L816" s="71" t="n">
        <f aca="false">IF(助手报销!$R$56="",-1,助手报销!$R$56*100+(助手报销!$S$56-1)*6+1)</f>
        <v>-1</v>
      </c>
    </row>
    <row r="817" customFormat="false" ht="23.25" hidden="false" customHeight="true" outlineLevel="0" collapsed="false">
      <c r="B817" s="67" t="str">
        <f aca="false">IFERROR(INDEX(分录报销!$M:$M,MATCH($L817,分录报销!$L:$L,0)),"")</f>
        <v/>
      </c>
      <c r="C817" s="67"/>
      <c r="D817" s="23" t="str">
        <f aca="false">IFERROR(INDEX(分录报销!$E:$E,MATCH($L817,分录报销!$L:$L,0)),"")</f>
        <v/>
      </c>
      <c r="E817" s="23" t="str">
        <f aca="false">IFERROR(INDEX(分录报销!$F:$F,MATCH($L817,分录报销!$L:$L,0)),"")</f>
        <v/>
      </c>
      <c r="F817" s="68" t="str">
        <f aca="false">IFERROR(INDEX(分录报销!$H:$H,MATCH($L817,分录报销!$L:$L,0)),"")</f>
        <v/>
      </c>
      <c r="G817" s="69" t="str">
        <f aca="false">IFERROR(INDEX(分录报销!$I:$I,MATCH($L817,分录报销!$L:$L,0)),"")</f>
        <v/>
      </c>
      <c r="H817" s="23"/>
      <c r="I817" s="70"/>
      <c r="L817" s="71" t="n">
        <f aca="false">IF(助手报销!$R$56="",-1,助手报销!$R$56*100+(助手报销!$S$56-1)*6+2)</f>
        <v>-1</v>
      </c>
    </row>
    <row r="818" customFormat="false" ht="23.25" hidden="false" customHeight="true" outlineLevel="0" collapsed="false">
      <c r="B818" s="67" t="str">
        <f aca="false">IFERROR(INDEX(分录报销!$M:$M,MATCH($L818,分录报销!$L:$L,0)),"")</f>
        <v/>
      </c>
      <c r="C818" s="67"/>
      <c r="D818" s="23" t="str">
        <f aca="false">IFERROR(INDEX(分录报销!$E:$E,MATCH($L818,分录报销!$L:$L,0)),"")</f>
        <v/>
      </c>
      <c r="E818" s="23" t="str">
        <f aca="false">IFERROR(INDEX(分录报销!$F:$F,MATCH($L818,分录报销!$L:$L,0)),"")</f>
        <v/>
      </c>
      <c r="F818" s="68" t="str">
        <f aca="false">IFERROR(INDEX(分录报销!$H:$H,MATCH($L818,分录报销!$L:$L,0)),"")</f>
        <v/>
      </c>
      <c r="G818" s="69" t="str">
        <f aca="false">IFERROR(INDEX(分录报销!$I:$I,MATCH($L818,分录报销!$L:$L,0)),"")</f>
        <v/>
      </c>
      <c r="H818" s="23"/>
      <c r="I818" s="70"/>
      <c r="L818" s="71" t="n">
        <f aca="false">IF(助手报销!$R$56="",-1,助手报销!$R$56*100+(助手报销!$S$56-1)*6+3)</f>
        <v>-1</v>
      </c>
    </row>
    <row r="819" customFormat="false" ht="23.25" hidden="false" customHeight="true" outlineLevel="0" collapsed="false">
      <c r="B819" s="67" t="str">
        <f aca="false">IFERROR(INDEX(分录报销!$M:$M,MATCH($L819,分录报销!$L:$L,0)),"")</f>
        <v/>
      </c>
      <c r="C819" s="67"/>
      <c r="D819" s="23" t="str">
        <f aca="false">IFERROR(INDEX(分录报销!$E:$E,MATCH($L819,分录报销!$L:$L,0)),"")</f>
        <v/>
      </c>
      <c r="E819" s="23" t="str">
        <f aca="false">IFERROR(INDEX(分录报销!$F:$F,MATCH($L819,分录报销!$L:$L,0)),"")</f>
        <v/>
      </c>
      <c r="F819" s="68" t="str">
        <f aca="false">IFERROR(INDEX(分录报销!$H:$H,MATCH($L819,分录报销!$L:$L,0)),"")</f>
        <v/>
      </c>
      <c r="G819" s="69" t="str">
        <f aca="false">IFERROR(INDEX(分录报销!$I:$I,MATCH($L819,分录报销!$L:$L,0)),"")</f>
        <v/>
      </c>
      <c r="H819" s="23"/>
      <c r="I819" s="70"/>
      <c r="L819" s="71" t="n">
        <f aca="false">IF(助手报销!$R$56="",-1,助手报销!$R$56*100+(助手报销!$S$56-1)*6+4)</f>
        <v>-1</v>
      </c>
    </row>
    <row r="820" customFormat="false" ht="23.25" hidden="false" customHeight="true" outlineLevel="0" collapsed="false">
      <c r="B820" s="67" t="str">
        <f aca="false">IFERROR(INDEX(分录报销!$M:$M,MATCH($L820,分录报销!$L:$L,0)),"")</f>
        <v/>
      </c>
      <c r="C820" s="67"/>
      <c r="D820" s="23" t="str">
        <f aca="false">IFERROR(INDEX(分录报销!$E:$E,MATCH($L820,分录报销!$L:$L,0)),"")</f>
        <v/>
      </c>
      <c r="E820" s="23" t="str">
        <f aca="false">IFERROR(INDEX(分录报销!$F:$F,MATCH($L820,分录报销!$L:$L,0)),"")</f>
        <v/>
      </c>
      <c r="F820" s="68" t="str">
        <f aca="false">IFERROR(INDEX(分录报销!$H:$H,MATCH($L820,分录报销!$L:$L,0)),"")</f>
        <v/>
      </c>
      <c r="G820" s="69" t="str">
        <f aca="false">IFERROR(INDEX(分录报销!$I:$I,MATCH($L820,分录报销!$L:$L,0)),"")</f>
        <v/>
      </c>
      <c r="H820" s="23"/>
      <c r="I820" s="70"/>
      <c r="L820" s="71" t="n">
        <f aca="false">IF(助手报销!$R$56="",-1,助手报销!$R$56*100+(助手报销!$S$56-1)*6+5)</f>
        <v>-1</v>
      </c>
    </row>
    <row r="821" customFormat="false" ht="23.25" hidden="false" customHeight="true" outlineLevel="0" collapsed="false">
      <c r="B821" s="67" t="str">
        <f aca="false">IFERROR(INDEX(分录报销!$M:$M,MATCH($L821,分录报销!$L:$L,0)),"")</f>
        <v/>
      </c>
      <c r="C821" s="67"/>
      <c r="D821" s="23" t="str">
        <f aca="false">IFERROR(INDEX(分录报销!$E:$E,MATCH($L821,分录报销!$L:$L,0)),"")</f>
        <v/>
      </c>
      <c r="E821" s="23" t="str">
        <f aca="false">IFERROR(INDEX(分录报销!$F:$F,MATCH($L821,分录报销!$L:$L,0)),"")</f>
        <v/>
      </c>
      <c r="F821" s="68" t="str">
        <f aca="false">IFERROR(INDEX(分录报销!$H:$H,MATCH($L821,分录报销!$L:$L,0)),"")</f>
        <v/>
      </c>
      <c r="G821" s="69" t="str">
        <f aca="false">IFERROR(INDEX(分录报销!$I:$I,MATCH($L821,分录报销!$L:$L,0)),"")</f>
        <v/>
      </c>
      <c r="H821" s="23"/>
      <c r="I821" s="70"/>
      <c r="L821" s="71" t="n">
        <f aca="false">IF(助手报销!$R$56="",-1,助手报销!$R$56*100+(助手报销!$S$56-1)*6+6)</f>
        <v>-1</v>
      </c>
    </row>
    <row r="822" customFormat="false" ht="23.25" hidden="false" customHeight="true" outlineLevel="0" collapsed="false">
      <c r="B822" s="72" t="str">
        <f aca="false">IF(助手报销!$T$56=1,"合计：","")</f>
        <v/>
      </c>
      <c r="C822" s="73" t="str">
        <f aca="false">IF(助手报销!$T$56=1,$F822,"")</f>
        <v/>
      </c>
      <c r="D822" s="74"/>
      <c r="E822" s="74"/>
      <c r="F822" s="75" t="str">
        <f aca="false">IF(助手报销!$T$56=1,INDEX(助手报销!$N$2:$N$121,助手报销!$R$56),"")</f>
        <v/>
      </c>
      <c r="G822" s="76" t="str">
        <f aca="false">IF(助手报销!$T$56=1,INDEX(助手报销!$O$2:$O$121,助手报销!$R$56),"")</f>
        <v/>
      </c>
      <c r="H822" s="74"/>
      <c r="I822" s="77"/>
    </row>
    <row r="823" customFormat="false" ht="6" hidden="false" customHeight="true" outlineLevel="0" collapsed="false"/>
    <row r="824" customFormat="false" ht="13.5" hidden="false" customHeight="false" outlineLevel="0" collapsed="false">
      <c r="B824" s="78" t="str">
        <f aca="false">IF(助手报销!$R$56&lt;&gt;"","会计主管：","")</f>
        <v/>
      </c>
      <c r="D824" s="78" t="str">
        <f aca="false">IF(助手报销!$R$56&lt;&gt;"","会计：","")</f>
        <v/>
      </c>
      <c r="E824" s="78" t="str">
        <f aca="false">IF(助手报销!$R$56&lt;&gt;"","出纳：","")</f>
        <v/>
      </c>
      <c r="F824" s="78" t="str">
        <f aca="false">IF(助手报销!$R$56&lt;&gt;"","复核：","")</f>
        <v/>
      </c>
      <c r="G824" s="78" t="str">
        <f aca="false">IF(助手报销!$R$56&lt;&gt;"","制单：","")</f>
        <v/>
      </c>
    </row>
    <row r="825" customFormat="false" ht="3" hidden="false" customHeight="true" outlineLevel="0" collapsed="false"/>
    <row r="826" customFormat="false" ht="19.5" hidden="false" customHeight="true" outlineLevel="0" collapsed="false">
      <c r="B826" s="53" t="str">
        <f aca="false">IF(助手报销!$R$57&lt;&gt;"","记  账  凭  证","")</f>
        <v/>
      </c>
      <c r="C826" s="53"/>
      <c r="D826" s="53"/>
      <c r="E826" s="53"/>
      <c r="F826" s="53"/>
      <c r="G826" s="53"/>
      <c r="H826" s="53"/>
      <c r="I826" s="53"/>
    </row>
    <row r="827" customFormat="false" ht="3" hidden="false" customHeight="true" outlineLevel="0" collapsed="false"/>
    <row r="828" customFormat="false" ht="15" hidden="false" customHeight="true" outlineLevel="0" collapsed="false">
      <c r="C828" s="56" t="str">
        <f aca="false">IF(助手报销!$R$57&lt;&gt;"",INDEX(助手报销!$B$2:$B$121,助手报销!$R$57),"")</f>
        <v/>
      </c>
      <c r="D828" s="57" t="str">
        <f aca="false">IF(助手报销!$R$57&lt;&gt;"",INDEX(助手报销!$D$2:$D$121,助手报销!$R$57),"")</f>
        <v/>
      </c>
      <c r="E828" s="57"/>
      <c r="F828" s="58" t="str">
        <f aca="false">IF(助手报销!$R$57&lt;&gt;"",INDEX(助手报销!$C$2:$C$121,助手报销!$R$57)&amp;"  字第 "&amp;IF(参数!$B$9="是",INDEX(助手报销!$P$2:$P$121,助手报销!$R$57),"　　　　")&amp;" 号"&amp;IF(INDEX(助手报销!$L$2:$L$121,助手报销!$R$57)&gt;1,"  (共"&amp;INDEX(助手报销!$L$2:$L$121,助手报销!$R$57)&amp;"页 第"&amp;助手报销!$S$57&amp;"页)",""),"")</f>
        <v/>
      </c>
      <c r="G828" s="58"/>
      <c r="H828" s="58"/>
      <c r="I828" s="58"/>
      <c r="M828" s="79" t="str">
        <f aca="false">IF(助手报销!$R$57="","",助手报销!$Q$57)</f>
        <v/>
      </c>
      <c r="N828" s="80" t="str">
        <f aca="false">IF(助手报销!$R$57="","",INDEX(助手报销!$P$2:$P$121,助手报销!$R$57))</f>
        <v/>
      </c>
      <c r="O828" s="55" t="str">
        <f aca="false">IF(助手报销!$R$57="","",INDEX(助手报销!$C$2:$C$121,助手报销!$R$57)&amp;"  字第 "&amp;INDEX(助手报销!$P$2:$P$121,助手报销!$R$57)&amp;" 号"&amp;IF(INDEX(助手报销!$L$2:$L$121,助手报销!$R$57)&gt;1,"  (共"&amp;INDEX(助手报销!$L$2:$L$121,助手报销!$R$57)&amp;"页 第"&amp;助手报销!$S$57&amp;"页)",""))</f>
        <v/>
      </c>
    </row>
    <row r="829" customFormat="false" ht="12.75" hidden="false" customHeight="true" outlineLevel="0" collapsed="false">
      <c r="B829" s="61" t="str">
        <f aca="false">IF(助手报销!$R$57&lt;&gt;"","摘　　要","")</f>
        <v/>
      </c>
      <c r="C829" s="61"/>
      <c r="D829" s="62" t="str">
        <f aca="false">IF(助手报销!$R$57&lt;&gt;"","科　　　　目","")</f>
        <v/>
      </c>
      <c r="E829" s="62"/>
      <c r="F829" s="61" t="str">
        <f aca="false">IF(助手报销!$R$57&lt;&gt;"","借 方 金 额","")</f>
        <v/>
      </c>
      <c r="G829" s="62" t="str">
        <f aca="false">IF(助手报销!$R$57&lt;&gt;"","贷 方 金 额","")</f>
        <v/>
      </c>
      <c r="H829" s="63" t="str">
        <f aca="false">IF(助手报销!$R$57&lt;&gt;"","√","")</f>
        <v/>
      </c>
      <c r="I829" s="64" t="str">
        <f aca="false">IF(助手报销!$R$57&lt;&gt;"","附单据  张","")</f>
        <v/>
      </c>
    </row>
    <row r="830" customFormat="false" ht="12.75" hidden="false" customHeight="true" outlineLevel="0" collapsed="false">
      <c r="B830" s="61"/>
      <c r="C830" s="61"/>
      <c r="D830" s="23" t="str">
        <f aca="false">IF(助手报销!$R$57&lt;&gt;"","总 账 科 目","")</f>
        <v/>
      </c>
      <c r="E830" s="23" t="str">
        <f aca="false">IF(助手报销!$R$57&lt;&gt;"","明 细 科 目","")</f>
        <v/>
      </c>
      <c r="F830" s="65"/>
      <c r="G830" s="66"/>
      <c r="H830" s="63"/>
      <c r="I830" s="64"/>
    </row>
    <row r="831" customFormat="false" ht="23.25" hidden="false" customHeight="true" outlineLevel="0" collapsed="false">
      <c r="B831" s="67" t="str">
        <f aca="false">IFERROR(INDEX(分录报销!$M:$M,MATCH($L831,分录报销!$L:$L,0)),"")</f>
        <v/>
      </c>
      <c r="C831" s="67"/>
      <c r="D831" s="23" t="str">
        <f aca="false">IFERROR(INDEX(分录报销!$E:$E,MATCH($L831,分录报销!$L:$L,0)),"")</f>
        <v/>
      </c>
      <c r="E831" s="23" t="str">
        <f aca="false">IFERROR(INDEX(分录报销!$F:$F,MATCH($L831,分录报销!$L:$L,0)),"")</f>
        <v/>
      </c>
      <c r="F831" s="68" t="str">
        <f aca="false">IFERROR(INDEX(分录报销!$H:$H,MATCH($L831,分录报销!$L:$L,0)),"")</f>
        <v/>
      </c>
      <c r="G831" s="69" t="str">
        <f aca="false">IFERROR(INDEX(分录报销!$I:$I,MATCH($L831,分录报销!$L:$L,0)),"")</f>
        <v/>
      </c>
      <c r="H831" s="23"/>
      <c r="I831" s="70"/>
      <c r="L831" s="71" t="n">
        <f aca="false">IF(助手报销!$R$57="",-1,助手报销!$R$57*100+(助手报销!$S$57-1)*6+1)</f>
        <v>-1</v>
      </c>
    </row>
    <row r="832" customFormat="false" ht="23.25" hidden="false" customHeight="true" outlineLevel="0" collapsed="false">
      <c r="B832" s="67" t="str">
        <f aca="false">IFERROR(INDEX(分录报销!$M:$M,MATCH($L832,分录报销!$L:$L,0)),"")</f>
        <v/>
      </c>
      <c r="C832" s="67"/>
      <c r="D832" s="23" t="str">
        <f aca="false">IFERROR(INDEX(分录报销!$E:$E,MATCH($L832,分录报销!$L:$L,0)),"")</f>
        <v/>
      </c>
      <c r="E832" s="23" t="str">
        <f aca="false">IFERROR(INDEX(分录报销!$F:$F,MATCH($L832,分录报销!$L:$L,0)),"")</f>
        <v/>
      </c>
      <c r="F832" s="68" t="str">
        <f aca="false">IFERROR(INDEX(分录报销!$H:$H,MATCH($L832,分录报销!$L:$L,0)),"")</f>
        <v/>
      </c>
      <c r="G832" s="69" t="str">
        <f aca="false">IFERROR(INDEX(分录报销!$I:$I,MATCH($L832,分录报销!$L:$L,0)),"")</f>
        <v/>
      </c>
      <c r="H832" s="23"/>
      <c r="I832" s="70"/>
      <c r="L832" s="71" t="n">
        <f aca="false">IF(助手报销!$R$57="",-1,助手报销!$R$57*100+(助手报销!$S$57-1)*6+2)</f>
        <v>-1</v>
      </c>
    </row>
    <row r="833" customFormat="false" ht="23.25" hidden="false" customHeight="true" outlineLevel="0" collapsed="false">
      <c r="B833" s="67" t="str">
        <f aca="false">IFERROR(INDEX(分录报销!$M:$M,MATCH($L833,分录报销!$L:$L,0)),"")</f>
        <v/>
      </c>
      <c r="C833" s="67"/>
      <c r="D833" s="23" t="str">
        <f aca="false">IFERROR(INDEX(分录报销!$E:$E,MATCH($L833,分录报销!$L:$L,0)),"")</f>
        <v/>
      </c>
      <c r="E833" s="23" t="str">
        <f aca="false">IFERROR(INDEX(分录报销!$F:$F,MATCH($L833,分录报销!$L:$L,0)),"")</f>
        <v/>
      </c>
      <c r="F833" s="68" t="str">
        <f aca="false">IFERROR(INDEX(分录报销!$H:$H,MATCH($L833,分录报销!$L:$L,0)),"")</f>
        <v/>
      </c>
      <c r="G833" s="69" t="str">
        <f aca="false">IFERROR(INDEX(分录报销!$I:$I,MATCH($L833,分录报销!$L:$L,0)),"")</f>
        <v/>
      </c>
      <c r="H833" s="23"/>
      <c r="I833" s="70"/>
      <c r="L833" s="71" t="n">
        <f aca="false">IF(助手报销!$R$57="",-1,助手报销!$R$57*100+(助手报销!$S$57-1)*6+3)</f>
        <v>-1</v>
      </c>
    </row>
    <row r="834" customFormat="false" ht="23.25" hidden="false" customHeight="true" outlineLevel="0" collapsed="false">
      <c r="B834" s="67" t="str">
        <f aca="false">IFERROR(INDEX(分录报销!$M:$M,MATCH($L834,分录报销!$L:$L,0)),"")</f>
        <v/>
      </c>
      <c r="C834" s="67"/>
      <c r="D834" s="23" t="str">
        <f aca="false">IFERROR(INDEX(分录报销!$E:$E,MATCH($L834,分录报销!$L:$L,0)),"")</f>
        <v/>
      </c>
      <c r="E834" s="23" t="str">
        <f aca="false">IFERROR(INDEX(分录报销!$F:$F,MATCH($L834,分录报销!$L:$L,0)),"")</f>
        <v/>
      </c>
      <c r="F834" s="68" t="str">
        <f aca="false">IFERROR(INDEX(分录报销!$H:$H,MATCH($L834,分录报销!$L:$L,0)),"")</f>
        <v/>
      </c>
      <c r="G834" s="69" t="str">
        <f aca="false">IFERROR(INDEX(分录报销!$I:$I,MATCH($L834,分录报销!$L:$L,0)),"")</f>
        <v/>
      </c>
      <c r="H834" s="23"/>
      <c r="I834" s="70"/>
      <c r="L834" s="71" t="n">
        <f aca="false">IF(助手报销!$R$57="",-1,助手报销!$R$57*100+(助手报销!$S$57-1)*6+4)</f>
        <v>-1</v>
      </c>
    </row>
    <row r="835" customFormat="false" ht="23.25" hidden="false" customHeight="true" outlineLevel="0" collapsed="false">
      <c r="B835" s="67" t="str">
        <f aca="false">IFERROR(INDEX(分录报销!$M:$M,MATCH($L835,分录报销!$L:$L,0)),"")</f>
        <v/>
      </c>
      <c r="C835" s="67"/>
      <c r="D835" s="23" t="str">
        <f aca="false">IFERROR(INDEX(分录报销!$E:$E,MATCH($L835,分录报销!$L:$L,0)),"")</f>
        <v/>
      </c>
      <c r="E835" s="23" t="str">
        <f aca="false">IFERROR(INDEX(分录报销!$F:$F,MATCH($L835,分录报销!$L:$L,0)),"")</f>
        <v/>
      </c>
      <c r="F835" s="68" t="str">
        <f aca="false">IFERROR(INDEX(分录报销!$H:$H,MATCH($L835,分录报销!$L:$L,0)),"")</f>
        <v/>
      </c>
      <c r="G835" s="69" t="str">
        <f aca="false">IFERROR(INDEX(分录报销!$I:$I,MATCH($L835,分录报销!$L:$L,0)),"")</f>
        <v/>
      </c>
      <c r="H835" s="23"/>
      <c r="I835" s="70"/>
      <c r="L835" s="71" t="n">
        <f aca="false">IF(助手报销!$R$57="",-1,助手报销!$R$57*100+(助手报销!$S$57-1)*6+5)</f>
        <v>-1</v>
      </c>
    </row>
    <row r="836" customFormat="false" ht="23.25" hidden="false" customHeight="true" outlineLevel="0" collapsed="false">
      <c r="B836" s="67" t="str">
        <f aca="false">IFERROR(INDEX(分录报销!$M:$M,MATCH($L836,分录报销!$L:$L,0)),"")</f>
        <v/>
      </c>
      <c r="C836" s="67"/>
      <c r="D836" s="23" t="str">
        <f aca="false">IFERROR(INDEX(分录报销!$E:$E,MATCH($L836,分录报销!$L:$L,0)),"")</f>
        <v/>
      </c>
      <c r="E836" s="23" t="str">
        <f aca="false">IFERROR(INDEX(分录报销!$F:$F,MATCH($L836,分录报销!$L:$L,0)),"")</f>
        <v/>
      </c>
      <c r="F836" s="68" t="str">
        <f aca="false">IFERROR(INDEX(分录报销!$H:$H,MATCH($L836,分录报销!$L:$L,0)),"")</f>
        <v/>
      </c>
      <c r="G836" s="69" t="str">
        <f aca="false">IFERROR(INDEX(分录报销!$I:$I,MATCH($L836,分录报销!$L:$L,0)),"")</f>
        <v/>
      </c>
      <c r="H836" s="23"/>
      <c r="I836" s="70"/>
      <c r="L836" s="71" t="n">
        <f aca="false">IF(助手报销!$R$57="",-1,助手报销!$R$57*100+(助手报销!$S$57-1)*6+6)</f>
        <v>-1</v>
      </c>
    </row>
    <row r="837" customFormat="false" ht="23.25" hidden="false" customHeight="true" outlineLevel="0" collapsed="false">
      <c r="B837" s="72" t="str">
        <f aca="false">IF(助手报销!$T$57=1,"合计：","")</f>
        <v/>
      </c>
      <c r="C837" s="73" t="str">
        <f aca="false">IF(助手报销!$T$57=1,$F837,"")</f>
        <v/>
      </c>
      <c r="D837" s="74"/>
      <c r="E837" s="74"/>
      <c r="F837" s="75" t="str">
        <f aca="false">IF(助手报销!$T$57=1,INDEX(助手报销!$N$2:$N$121,助手报销!$R$57),"")</f>
        <v/>
      </c>
      <c r="G837" s="76" t="str">
        <f aca="false">IF(助手报销!$T$57=1,INDEX(助手报销!$O$2:$O$121,助手报销!$R$57),"")</f>
        <v/>
      </c>
      <c r="H837" s="74"/>
      <c r="I837" s="77"/>
    </row>
    <row r="838" customFormat="false" ht="6" hidden="false" customHeight="true" outlineLevel="0" collapsed="false"/>
    <row r="839" customFormat="false" ht="13.5" hidden="false" customHeight="false" outlineLevel="0" collapsed="false">
      <c r="B839" s="78" t="str">
        <f aca="false">IF(助手报销!$R$57&lt;&gt;"","会计主管：","")</f>
        <v/>
      </c>
      <c r="D839" s="78" t="str">
        <f aca="false">IF(助手报销!$R$57&lt;&gt;"","会计：","")</f>
        <v/>
      </c>
      <c r="E839" s="78" t="str">
        <f aca="false">IF(助手报销!$R$57&lt;&gt;"","出纳：","")</f>
        <v/>
      </c>
      <c r="F839" s="78" t="str">
        <f aca="false">IF(助手报销!$R$57&lt;&gt;"","复核：","")</f>
        <v/>
      </c>
      <c r="G839" s="78" t="str">
        <f aca="false">IF(助手报销!$R$57&lt;&gt;"","制单：","")</f>
        <v/>
      </c>
    </row>
    <row r="840" customFormat="false" ht="3" hidden="false" customHeight="true" outlineLevel="0" collapsed="false"/>
    <row r="841" customFormat="false" ht="19.5" hidden="false" customHeight="true" outlineLevel="0" collapsed="false">
      <c r="B841" s="53" t="str">
        <f aca="false">IF(助手报销!$R$58&lt;&gt;"","记  账  凭  证","")</f>
        <v/>
      </c>
      <c r="C841" s="53"/>
      <c r="D841" s="53"/>
      <c r="E841" s="53"/>
      <c r="F841" s="53"/>
      <c r="G841" s="53"/>
      <c r="H841" s="53"/>
      <c r="I841" s="53"/>
    </row>
    <row r="842" customFormat="false" ht="3" hidden="false" customHeight="true" outlineLevel="0" collapsed="false"/>
    <row r="843" customFormat="false" ht="15" hidden="false" customHeight="true" outlineLevel="0" collapsed="false">
      <c r="C843" s="56" t="str">
        <f aca="false">IF(助手报销!$R$58&lt;&gt;"",INDEX(助手报销!$B$2:$B$121,助手报销!$R$58),"")</f>
        <v/>
      </c>
      <c r="D843" s="57" t="str">
        <f aca="false">IF(助手报销!$R$58&lt;&gt;"",INDEX(助手报销!$D$2:$D$121,助手报销!$R$58),"")</f>
        <v/>
      </c>
      <c r="E843" s="57"/>
      <c r="F843" s="58" t="str">
        <f aca="false">IF(助手报销!$R$58&lt;&gt;"",INDEX(助手报销!$C$2:$C$121,助手报销!$R$58)&amp;"  字第 "&amp;IF(参数!$B$9="是",INDEX(助手报销!$P$2:$P$121,助手报销!$R$58),"　　　　")&amp;" 号"&amp;IF(INDEX(助手报销!$L$2:$L$121,助手报销!$R$58)&gt;1,"  (共"&amp;INDEX(助手报销!$L$2:$L$121,助手报销!$R$58)&amp;"页 第"&amp;助手报销!$S$58&amp;"页)",""),"")</f>
        <v/>
      </c>
      <c r="G843" s="58"/>
      <c r="H843" s="58"/>
      <c r="I843" s="58"/>
      <c r="M843" s="79" t="str">
        <f aca="false">IF(助手报销!$R$58="","",助手报销!$Q$58)</f>
        <v/>
      </c>
      <c r="N843" s="80" t="str">
        <f aca="false">IF(助手报销!$R$58="","",INDEX(助手报销!$P$2:$P$121,助手报销!$R$58))</f>
        <v/>
      </c>
      <c r="O843" s="55" t="str">
        <f aca="false">IF(助手报销!$R$58="","",INDEX(助手报销!$C$2:$C$121,助手报销!$R$58)&amp;"  字第 "&amp;INDEX(助手报销!$P$2:$P$121,助手报销!$R$58)&amp;" 号"&amp;IF(INDEX(助手报销!$L$2:$L$121,助手报销!$R$58)&gt;1,"  (共"&amp;INDEX(助手报销!$L$2:$L$121,助手报销!$R$58)&amp;"页 第"&amp;助手报销!$S$58&amp;"页)",""))</f>
        <v/>
      </c>
    </row>
    <row r="844" customFormat="false" ht="12.75" hidden="false" customHeight="true" outlineLevel="0" collapsed="false">
      <c r="B844" s="61" t="str">
        <f aca="false">IF(助手报销!$R$58&lt;&gt;"","摘　　要","")</f>
        <v/>
      </c>
      <c r="C844" s="61"/>
      <c r="D844" s="62" t="str">
        <f aca="false">IF(助手报销!$R$58&lt;&gt;"","科　　　　目","")</f>
        <v/>
      </c>
      <c r="E844" s="62"/>
      <c r="F844" s="61" t="str">
        <f aca="false">IF(助手报销!$R$58&lt;&gt;"","借 方 金 额","")</f>
        <v/>
      </c>
      <c r="G844" s="62" t="str">
        <f aca="false">IF(助手报销!$R$58&lt;&gt;"","贷 方 金 额","")</f>
        <v/>
      </c>
      <c r="H844" s="63" t="str">
        <f aca="false">IF(助手报销!$R$58&lt;&gt;"","√","")</f>
        <v/>
      </c>
      <c r="I844" s="64" t="str">
        <f aca="false">IF(助手报销!$R$58&lt;&gt;"","附单据  张","")</f>
        <v/>
      </c>
    </row>
    <row r="845" customFormat="false" ht="12.75" hidden="false" customHeight="true" outlineLevel="0" collapsed="false">
      <c r="B845" s="61"/>
      <c r="C845" s="61"/>
      <c r="D845" s="23" t="str">
        <f aca="false">IF(助手报销!$R$58&lt;&gt;"","总 账 科 目","")</f>
        <v/>
      </c>
      <c r="E845" s="23" t="str">
        <f aca="false">IF(助手报销!$R$58&lt;&gt;"","明 细 科 目","")</f>
        <v/>
      </c>
      <c r="F845" s="65"/>
      <c r="G845" s="66"/>
      <c r="H845" s="63"/>
      <c r="I845" s="64"/>
    </row>
    <row r="846" customFormat="false" ht="23.25" hidden="false" customHeight="true" outlineLevel="0" collapsed="false">
      <c r="B846" s="67" t="str">
        <f aca="false">IFERROR(INDEX(分录报销!$M:$M,MATCH($L846,分录报销!$L:$L,0)),"")</f>
        <v/>
      </c>
      <c r="C846" s="67"/>
      <c r="D846" s="23" t="str">
        <f aca="false">IFERROR(INDEX(分录报销!$E:$E,MATCH($L846,分录报销!$L:$L,0)),"")</f>
        <v/>
      </c>
      <c r="E846" s="23" t="str">
        <f aca="false">IFERROR(INDEX(分录报销!$F:$F,MATCH($L846,分录报销!$L:$L,0)),"")</f>
        <v/>
      </c>
      <c r="F846" s="68" t="str">
        <f aca="false">IFERROR(INDEX(分录报销!$H:$H,MATCH($L846,分录报销!$L:$L,0)),"")</f>
        <v/>
      </c>
      <c r="G846" s="69" t="str">
        <f aca="false">IFERROR(INDEX(分录报销!$I:$I,MATCH($L846,分录报销!$L:$L,0)),"")</f>
        <v/>
      </c>
      <c r="H846" s="23"/>
      <c r="I846" s="70"/>
      <c r="L846" s="71" t="n">
        <f aca="false">IF(助手报销!$R$58="",-1,助手报销!$R$58*100+(助手报销!$S$58-1)*6+1)</f>
        <v>-1</v>
      </c>
    </row>
    <row r="847" customFormat="false" ht="23.25" hidden="false" customHeight="true" outlineLevel="0" collapsed="false">
      <c r="B847" s="67" t="str">
        <f aca="false">IFERROR(INDEX(分录报销!$M:$M,MATCH($L847,分录报销!$L:$L,0)),"")</f>
        <v/>
      </c>
      <c r="C847" s="67"/>
      <c r="D847" s="23" t="str">
        <f aca="false">IFERROR(INDEX(分录报销!$E:$E,MATCH($L847,分录报销!$L:$L,0)),"")</f>
        <v/>
      </c>
      <c r="E847" s="23" t="str">
        <f aca="false">IFERROR(INDEX(分录报销!$F:$F,MATCH($L847,分录报销!$L:$L,0)),"")</f>
        <v/>
      </c>
      <c r="F847" s="68" t="str">
        <f aca="false">IFERROR(INDEX(分录报销!$H:$H,MATCH($L847,分录报销!$L:$L,0)),"")</f>
        <v/>
      </c>
      <c r="G847" s="69" t="str">
        <f aca="false">IFERROR(INDEX(分录报销!$I:$I,MATCH($L847,分录报销!$L:$L,0)),"")</f>
        <v/>
      </c>
      <c r="H847" s="23"/>
      <c r="I847" s="70"/>
      <c r="L847" s="71" t="n">
        <f aca="false">IF(助手报销!$R$58="",-1,助手报销!$R$58*100+(助手报销!$S$58-1)*6+2)</f>
        <v>-1</v>
      </c>
    </row>
    <row r="848" customFormat="false" ht="23.25" hidden="false" customHeight="true" outlineLevel="0" collapsed="false">
      <c r="B848" s="67" t="str">
        <f aca="false">IFERROR(INDEX(分录报销!$M:$M,MATCH($L848,分录报销!$L:$L,0)),"")</f>
        <v/>
      </c>
      <c r="C848" s="67"/>
      <c r="D848" s="23" t="str">
        <f aca="false">IFERROR(INDEX(分录报销!$E:$E,MATCH($L848,分录报销!$L:$L,0)),"")</f>
        <v/>
      </c>
      <c r="E848" s="23" t="str">
        <f aca="false">IFERROR(INDEX(分录报销!$F:$F,MATCH($L848,分录报销!$L:$L,0)),"")</f>
        <v/>
      </c>
      <c r="F848" s="68" t="str">
        <f aca="false">IFERROR(INDEX(分录报销!$H:$H,MATCH($L848,分录报销!$L:$L,0)),"")</f>
        <v/>
      </c>
      <c r="G848" s="69" t="str">
        <f aca="false">IFERROR(INDEX(分录报销!$I:$I,MATCH($L848,分录报销!$L:$L,0)),"")</f>
        <v/>
      </c>
      <c r="H848" s="23"/>
      <c r="I848" s="70"/>
      <c r="L848" s="71" t="n">
        <f aca="false">IF(助手报销!$R$58="",-1,助手报销!$R$58*100+(助手报销!$S$58-1)*6+3)</f>
        <v>-1</v>
      </c>
    </row>
    <row r="849" customFormat="false" ht="23.25" hidden="false" customHeight="true" outlineLevel="0" collapsed="false">
      <c r="B849" s="67" t="str">
        <f aca="false">IFERROR(INDEX(分录报销!$M:$M,MATCH($L849,分录报销!$L:$L,0)),"")</f>
        <v/>
      </c>
      <c r="C849" s="67"/>
      <c r="D849" s="23" t="str">
        <f aca="false">IFERROR(INDEX(分录报销!$E:$E,MATCH($L849,分录报销!$L:$L,0)),"")</f>
        <v/>
      </c>
      <c r="E849" s="23" t="str">
        <f aca="false">IFERROR(INDEX(分录报销!$F:$F,MATCH($L849,分录报销!$L:$L,0)),"")</f>
        <v/>
      </c>
      <c r="F849" s="68" t="str">
        <f aca="false">IFERROR(INDEX(分录报销!$H:$H,MATCH($L849,分录报销!$L:$L,0)),"")</f>
        <v/>
      </c>
      <c r="G849" s="69" t="str">
        <f aca="false">IFERROR(INDEX(分录报销!$I:$I,MATCH($L849,分录报销!$L:$L,0)),"")</f>
        <v/>
      </c>
      <c r="H849" s="23"/>
      <c r="I849" s="70"/>
      <c r="L849" s="71" t="n">
        <f aca="false">IF(助手报销!$R$58="",-1,助手报销!$R$58*100+(助手报销!$S$58-1)*6+4)</f>
        <v>-1</v>
      </c>
    </row>
    <row r="850" customFormat="false" ht="23.25" hidden="false" customHeight="true" outlineLevel="0" collapsed="false">
      <c r="B850" s="67" t="str">
        <f aca="false">IFERROR(INDEX(分录报销!$M:$M,MATCH($L850,分录报销!$L:$L,0)),"")</f>
        <v/>
      </c>
      <c r="C850" s="67"/>
      <c r="D850" s="23" t="str">
        <f aca="false">IFERROR(INDEX(分录报销!$E:$E,MATCH($L850,分录报销!$L:$L,0)),"")</f>
        <v/>
      </c>
      <c r="E850" s="23" t="str">
        <f aca="false">IFERROR(INDEX(分录报销!$F:$F,MATCH($L850,分录报销!$L:$L,0)),"")</f>
        <v/>
      </c>
      <c r="F850" s="68" t="str">
        <f aca="false">IFERROR(INDEX(分录报销!$H:$H,MATCH($L850,分录报销!$L:$L,0)),"")</f>
        <v/>
      </c>
      <c r="G850" s="69" t="str">
        <f aca="false">IFERROR(INDEX(分录报销!$I:$I,MATCH($L850,分录报销!$L:$L,0)),"")</f>
        <v/>
      </c>
      <c r="H850" s="23"/>
      <c r="I850" s="70"/>
      <c r="L850" s="71" t="n">
        <f aca="false">IF(助手报销!$R$58="",-1,助手报销!$R$58*100+(助手报销!$S$58-1)*6+5)</f>
        <v>-1</v>
      </c>
    </row>
    <row r="851" customFormat="false" ht="23.25" hidden="false" customHeight="true" outlineLevel="0" collapsed="false">
      <c r="B851" s="67" t="str">
        <f aca="false">IFERROR(INDEX(分录报销!$M:$M,MATCH($L851,分录报销!$L:$L,0)),"")</f>
        <v/>
      </c>
      <c r="C851" s="67"/>
      <c r="D851" s="23" t="str">
        <f aca="false">IFERROR(INDEX(分录报销!$E:$E,MATCH($L851,分录报销!$L:$L,0)),"")</f>
        <v/>
      </c>
      <c r="E851" s="23" t="str">
        <f aca="false">IFERROR(INDEX(分录报销!$F:$F,MATCH($L851,分录报销!$L:$L,0)),"")</f>
        <v/>
      </c>
      <c r="F851" s="68" t="str">
        <f aca="false">IFERROR(INDEX(分录报销!$H:$H,MATCH($L851,分录报销!$L:$L,0)),"")</f>
        <v/>
      </c>
      <c r="G851" s="69" t="str">
        <f aca="false">IFERROR(INDEX(分录报销!$I:$I,MATCH($L851,分录报销!$L:$L,0)),"")</f>
        <v/>
      </c>
      <c r="H851" s="23"/>
      <c r="I851" s="70"/>
      <c r="L851" s="71" t="n">
        <f aca="false">IF(助手报销!$R$58="",-1,助手报销!$R$58*100+(助手报销!$S$58-1)*6+6)</f>
        <v>-1</v>
      </c>
    </row>
    <row r="852" customFormat="false" ht="23.25" hidden="false" customHeight="true" outlineLevel="0" collapsed="false">
      <c r="B852" s="72" t="str">
        <f aca="false">IF(助手报销!$T$58=1,"合计：","")</f>
        <v/>
      </c>
      <c r="C852" s="73" t="str">
        <f aca="false">IF(助手报销!$T$58=1,$F852,"")</f>
        <v/>
      </c>
      <c r="D852" s="74"/>
      <c r="E852" s="74"/>
      <c r="F852" s="75" t="str">
        <f aca="false">IF(助手报销!$T$58=1,INDEX(助手报销!$N$2:$N$121,助手报销!$R$58),"")</f>
        <v/>
      </c>
      <c r="G852" s="76" t="str">
        <f aca="false">IF(助手报销!$T$58=1,INDEX(助手报销!$O$2:$O$121,助手报销!$R$58),"")</f>
        <v/>
      </c>
      <c r="H852" s="74"/>
      <c r="I852" s="77"/>
    </row>
    <row r="853" customFormat="false" ht="6" hidden="false" customHeight="true" outlineLevel="0" collapsed="false"/>
    <row r="854" customFormat="false" ht="13.5" hidden="false" customHeight="false" outlineLevel="0" collapsed="false">
      <c r="B854" s="78" t="str">
        <f aca="false">IF(助手报销!$R$58&lt;&gt;"","会计主管：","")</f>
        <v/>
      </c>
      <c r="D854" s="78" t="str">
        <f aca="false">IF(助手报销!$R$58&lt;&gt;"","会计：","")</f>
        <v/>
      </c>
      <c r="E854" s="78" t="str">
        <f aca="false">IF(助手报销!$R$58&lt;&gt;"","出纳：","")</f>
        <v/>
      </c>
      <c r="F854" s="78" t="str">
        <f aca="false">IF(助手报销!$R$58&lt;&gt;"","复核：","")</f>
        <v/>
      </c>
      <c r="G854" s="78" t="str">
        <f aca="false">IF(助手报销!$R$58&lt;&gt;"","制单：","")</f>
        <v/>
      </c>
    </row>
    <row r="855" customFormat="false" ht="3" hidden="false" customHeight="true" outlineLevel="0" collapsed="false"/>
    <row r="856" customFormat="false" ht="19.5" hidden="false" customHeight="true" outlineLevel="0" collapsed="false">
      <c r="B856" s="53" t="str">
        <f aca="false">IF(助手报销!$R$59&lt;&gt;"","记  账  凭  证","")</f>
        <v/>
      </c>
      <c r="C856" s="53"/>
      <c r="D856" s="53"/>
      <c r="E856" s="53"/>
      <c r="F856" s="53"/>
      <c r="G856" s="53"/>
      <c r="H856" s="53"/>
      <c r="I856" s="53"/>
    </row>
    <row r="857" customFormat="false" ht="3" hidden="false" customHeight="true" outlineLevel="0" collapsed="false"/>
    <row r="858" customFormat="false" ht="15" hidden="false" customHeight="true" outlineLevel="0" collapsed="false">
      <c r="C858" s="56" t="str">
        <f aca="false">IF(助手报销!$R$59&lt;&gt;"",INDEX(助手报销!$B$2:$B$121,助手报销!$R$59),"")</f>
        <v/>
      </c>
      <c r="D858" s="57" t="str">
        <f aca="false">IF(助手报销!$R$59&lt;&gt;"",INDEX(助手报销!$D$2:$D$121,助手报销!$R$59),"")</f>
        <v/>
      </c>
      <c r="E858" s="57"/>
      <c r="F858" s="58" t="str">
        <f aca="false">IF(助手报销!$R$59&lt;&gt;"",INDEX(助手报销!$C$2:$C$121,助手报销!$R$59)&amp;"  字第 "&amp;IF(参数!$B$9="是",INDEX(助手报销!$P$2:$P$121,助手报销!$R$59),"　　　　")&amp;" 号"&amp;IF(INDEX(助手报销!$L$2:$L$121,助手报销!$R$59)&gt;1,"  (共"&amp;INDEX(助手报销!$L$2:$L$121,助手报销!$R$59)&amp;"页 第"&amp;助手报销!$S$59&amp;"页)",""),"")</f>
        <v/>
      </c>
      <c r="G858" s="58"/>
      <c r="H858" s="58"/>
      <c r="I858" s="58"/>
      <c r="M858" s="79" t="str">
        <f aca="false">IF(助手报销!$R$59="","",助手报销!$Q$59)</f>
        <v/>
      </c>
      <c r="N858" s="80" t="str">
        <f aca="false">IF(助手报销!$R$59="","",INDEX(助手报销!$P$2:$P$121,助手报销!$R$59))</f>
        <v/>
      </c>
      <c r="O858" s="55" t="str">
        <f aca="false">IF(助手报销!$R$59="","",INDEX(助手报销!$C$2:$C$121,助手报销!$R$59)&amp;"  字第 "&amp;INDEX(助手报销!$P$2:$P$121,助手报销!$R$59)&amp;" 号"&amp;IF(INDEX(助手报销!$L$2:$L$121,助手报销!$R$59)&gt;1,"  (共"&amp;INDEX(助手报销!$L$2:$L$121,助手报销!$R$59)&amp;"页 第"&amp;助手报销!$S$59&amp;"页)",""))</f>
        <v/>
      </c>
    </row>
    <row r="859" customFormat="false" ht="12.75" hidden="false" customHeight="true" outlineLevel="0" collapsed="false">
      <c r="B859" s="61" t="str">
        <f aca="false">IF(助手报销!$R$59&lt;&gt;"","摘　　要","")</f>
        <v/>
      </c>
      <c r="C859" s="61"/>
      <c r="D859" s="62" t="str">
        <f aca="false">IF(助手报销!$R$59&lt;&gt;"","科　　　　目","")</f>
        <v/>
      </c>
      <c r="E859" s="62"/>
      <c r="F859" s="61" t="str">
        <f aca="false">IF(助手报销!$R$59&lt;&gt;"","借 方 金 额","")</f>
        <v/>
      </c>
      <c r="G859" s="62" t="str">
        <f aca="false">IF(助手报销!$R$59&lt;&gt;"","贷 方 金 额","")</f>
        <v/>
      </c>
      <c r="H859" s="63" t="str">
        <f aca="false">IF(助手报销!$R$59&lt;&gt;"","√","")</f>
        <v/>
      </c>
      <c r="I859" s="64" t="str">
        <f aca="false">IF(助手报销!$R$59&lt;&gt;"","附单据  张","")</f>
        <v/>
      </c>
    </row>
    <row r="860" customFormat="false" ht="12.75" hidden="false" customHeight="true" outlineLevel="0" collapsed="false">
      <c r="B860" s="61"/>
      <c r="C860" s="61"/>
      <c r="D860" s="23" t="str">
        <f aca="false">IF(助手报销!$R$59&lt;&gt;"","总 账 科 目","")</f>
        <v/>
      </c>
      <c r="E860" s="23" t="str">
        <f aca="false">IF(助手报销!$R$59&lt;&gt;"","明 细 科 目","")</f>
        <v/>
      </c>
      <c r="F860" s="65"/>
      <c r="G860" s="66"/>
      <c r="H860" s="63"/>
      <c r="I860" s="64"/>
    </row>
    <row r="861" customFormat="false" ht="23.25" hidden="false" customHeight="true" outlineLevel="0" collapsed="false">
      <c r="B861" s="67" t="str">
        <f aca="false">IFERROR(INDEX(分录报销!$M:$M,MATCH($L861,分录报销!$L:$L,0)),"")</f>
        <v/>
      </c>
      <c r="C861" s="67"/>
      <c r="D861" s="23" t="str">
        <f aca="false">IFERROR(INDEX(分录报销!$E:$E,MATCH($L861,分录报销!$L:$L,0)),"")</f>
        <v/>
      </c>
      <c r="E861" s="23" t="str">
        <f aca="false">IFERROR(INDEX(分录报销!$F:$F,MATCH($L861,分录报销!$L:$L,0)),"")</f>
        <v/>
      </c>
      <c r="F861" s="68" t="str">
        <f aca="false">IFERROR(INDEX(分录报销!$H:$H,MATCH($L861,分录报销!$L:$L,0)),"")</f>
        <v/>
      </c>
      <c r="G861" s="69" t="str">
        <f aca="false">IFERROR(INDEX(分录报销!$I:$I,MATCH($L861,分录报销!$L:$L,0)),"")</f>
        <v/>
      </c>
      <c r="H861" s="23"/>
      <c r="I861" s="70"/>
      <c r="L861" s="71" t="n">
        <f aca="false">IF(助手报销!$R$59="",-1,助手报销!$R$59*100+(助手报销!$S$59-1)*6+1)</f>
        <v>-1</v>
      </c>
    </row>
    <row r="862" customFormat="false" ht="23.25" hidden="false" customHeight="true" outlineLevel="0" collapsed="false">
      <c r="B862" s="67" t="str">
        <f aca="false">IFERROR(INDEX(分录报销!$M:$M,MATCH($L862,分录报销!$L:$L,0)),"")</f>
        <v/>
      </c>
      <c r="C862" s="67"/>
      <c r="D862" s="23" t="str">
        <f aca="false">IFERROR(INDEX(分录报销!$E:$E,MATCH($L862,分录报销!$L:$L,0)),"")</f>
        <v/>
      </c>
      <c r="E862" s="23" t="str">
        <f aca="false">IFERROR(INDEX(分录报销!$F:$F,MATCH($L862,分录报销!$L:$L,0)),"")</f>
        <v/>
      </c>
      <c r="F862" s="68" t="str">
        <f aca="false">IFERROR(INDEX(分录报销!$H:$H,MATCH($L862,分录报销!$L:$L,0)),"")</f>
        <v/>
      </c>
      <c r="G862" s="69" t="str">
        <f aca="false">IFERROR(INDEX(分录报销!$I:$I,MATCH($L862,分录报销!$L:$L,0)),"")</f>
        <v/>
      </c>
      <c r="H862" s="23"/>
      <c r="I862" s="70"/>
      <c r="L862" s="71" t="n">
        <f aca="false">IF(助手报销!$R$59="",-1,助手报销!$R$59*100+(助手报销!$S$59-1)*6+2)</f>
        <v>-1</v>
      </c>
    </row>
    <row r="863" customFormat="false" ht="23.25" hidden="false" customHeight="true" outlineLevel="0" collapsed="false">
      <c r="B863" s="67" t="str">
        <f aca="false">IFERROR(INDEX(分录报销!$M:$M,MATCH($L863,分录报销!$L:$L,0)),"")</f>
        <v/>
      </c>
      <c r="C863" s="67"/>
      <c r="D863" s="23" t="str">
        <f aca="false">IFERROR(INDEX(分录报销!$E:$E,MATCH($L863,分录报销!$L:$L,0)),"")</f>
        <v/>
      </c>
      <c r="E863" s="23" t="str">
        <f aca="false">IFERROR(INDEX(分录报销!$F:$F,MATCH($L863,分录报销!$L:$L,0)),"")</f>
        <v/>
      </c>
      <c r="F863" s="68" t="str">
        <f aca="false">IFERROR(INDEX(分录报销!$H:$H,MATCH($L863,分录报销!$L:$L,0)),"")</f>
        <v/>
      </c>
      <c r="G863" s="69" t="str">
        <f aca="false">IFERROR(INDEX(分录报销!$I:$I,MATCH($L863,分录报销!$L:$L,0)),"")</f>
        <v/>
      </c>
      <c r="H863" s="23"/>
      <c r="I863" s="70"/>
      <c r="L863" s="71" t="n">
        <f aca="false">IF(助手报销!$R$59="",-1,助手报销!$R$59*100+(助手报销!$S$59-1)*6+3)</f>
        <v>-1</v>
      </c>
    </row>
    <row r="864" customFormat="false" ht="23.25" hidden="false" customHeight="true" outlineLevel="0" collapsed="false">
      <c r="B864" s="67" t="str">
        <f aca="false">IFERROR(INDEX(分录报销!$M:$M,MATCH($L864,分录报销!$L:$L,0)),"")</f>
        <v/>
      </c>
      <c r="C864" s="67"/>
      <c r="D864" s="23" t="str">
        <f aca="false">IFERROR(INDEX(分录报销!$E:$E,MATCH($L864,分录报销!$L:$L,0)),"")</f>
        <v/>
      </c>
      <c r="E864" s="23" t="str">
        <f aca="false">IFERROR(INDEX(分录报销!$F:$F,MATCH($L864,分录报销!$L:$L,0)),"")</f>
        <v/>
      </c>
      <c r="F864" s="68" t="str">
        <f aca="false">IFERROR(INDEX(分录报销!$H:$H,MATCH($L864,分录报销!$L:$L,0)),"")</f>
        <v/>
      </c>
      <c r="G864" s="69" t="str">
        <f aca="false">IFERROR(INDEX(分录报销!$I:$I,MATCH($L864,分录报销!$L:$L,0)),"")</f>
        <v/>
      </c>
      <c r="H864" s="23"/>
      <c r="I864" s="70"/>
      <c r="L864" s="71" t="n">
        <f aca="false">IF(助手报销!$R$59="",-1,助手报销!$R$59*100+(助手报销!$S$59-1)*6+4)</f>
        <v>-1</v>
      </c>
    </row>
    <row r="865" customFormat="false" ht="23.25" hidden="false" customHeight="true" outlineLevel="0" collapsed="false">
      <c r="B865" s="67" t="str">
        <f aca="false">IFERROR(INDEX(分录报销!$M:$M,MATCH($L865,分录报销!$L:$L,0)),"")</f>
        <v/>
      </c>
      <c r="C865" s="67"/>
      <c r="D865" s="23" t="str">
        <f aca="false">IFERROR(INDEX(分录报销!$E:$E,MATCH($L865,分录报销!$L:$L,0)),"")</f>
        <v/>
      </c>
      <c r="E865" s="23" t="str">
        <f aca="false">IFERROR(INDEX(分录报销!$F:$F,MATCH($L865,分录报销!$L:$L,0)),"")</f>
        <v/>
      </c>
      <c r="F865" s="68" t="str">
        <f aca="false">IFERROR(INDEX(分录报销!$H:$H,MATCH($L865,分录报销!$L:$L,0)),"")</f>
        <v/>
      </c>
      <c r="G865" s="69" t="str">
        <f aca="false">IFERROR(INDEX(分录报销!$I:$I,MATCH($L865,分录报销!$L:$L,0)),"")</f>
        <v/>
      </c>
      <c r="H865" s="23"/>
      <c r="I865" s="70"/>
      <c r="L865" s="71" t="n">
        <f aca="false">IF(助手报销!$R$59="",-1,助手报销!$R$59*100+(助手报销!$S$59-1)*6+5)</f>
        <v>-1</v>
      </c>
    </row>
    <row r="866" customFormat="false" ht="23.25" hidden="false" customHeight="true" outlineLevel="0" collapsed="false">
      <c r="B866" s="67" t="str">
        <f aca="false">IFERROR(INDEX(分录报销!$M:$M,MATCH($L866,分录报销!$L:$L,0)),"")</f>
        <v/>
      </c>
      <c r="C866" s="67"/>
      <c r="D866" s="23" t="str">
        <f aca="false">IFERROR(INDEX(分录报销!$E:$E,MATCH($L866,分录报销!$L:$L,0)),"")</f>
        <v/>
      </c>
      <c r="E866" s="23" t="str">
        <f aca="false">IFERROR(INDEX(分录报销!$F:$F,MATCH($L866,分录报销!$L:$L,0)),"")</f>
        <v/>
      </c>
      <c r="F866" s="68" t="str">
        <f aca="false">IFERROR(INDEX(分录报销!$H:$H,MATCH($L866,分录报销!$L:$L,0)),"")</f>
        <v/>
      </c>
      <c r="G866" s="69" t="str">
        <f aca="false">IFERROR(INDEX(分录报销!$I:$I,MATCH($L866,分录报销!$L:$L,0)),"")</f>
        <v/>
      </c>
      <c r="H866" s="23"/>
      <c r="I866" s="70"/>
      <c r="L866" s="71" t="n">
        <f aca="false">IF(助手报销!$R$59="",-1,助手报销!$R$59*100+(助手报销!$S$59-1)*6+6)</f>
        <v>-1</v>
      </c>
    </row>
    <row r="867" customFormat="false" ht="23.25" hidden="false" customHeight="true" outlineLevel="0" collapsed="false">
      <c r="B867" s="72" t="str">
        <f aca="false">IF(助手报销!$T$59=1,"合计：","")</f>
        <v/>
      </c>
      <c r="C867" s="73" t="str">
        <f aca="false">IF(助手报销!$T$59=1,$F867,"")</f>
        <v/>
      </c>
      <c r="D867" s="74"/>
      <c r="E867" s="74"/>
      <c r="F867" s="75" t="str">
        <f aca="false">IF(助手报销!$T$59=1,INDEX(助手报销!$N$2:$N$121,助手报销!$R$59),"")</f>
        <v/>
      </c>
      <c r="G867" s="76" t="str">
        <f aca="false">IF(助手报销!$T$59=1,INDEX(助手报销!$O$2:$O$121,助手报销!$R$59),"")</f>
        <v/>
      </c>
      <c r="H867" s="74"/>
      <c r="I867" s="77"/>
    </row>
    <row r="868" customFormat="false" ht="6" hidden="false" customHeight="true" outlineLevel="0" collapsed="false"/>
    <row r="869" customFormat="false" ht="13.5" hidden="false" customHeight="false" outlineLevel="0" collapsed="false">
      <c r="B869" s="78" t="str">
        <f aca="false">IF(助手报销!$R$59&lt;&gt;"","会计主管：","")</f>
        <v/>
      </c>
      <c r="D869" s="78" t="str">
        <f aca="false">IF(助手报销!$R$59&lt;&gt;"","会计：","")</f>
        <v/>
      </c>
      <c r="E869" s="78" t="str">
        <f aca="false">IF(助手报销!$R$59&lt;&gt;"","出纳：","")</f>
        <v/>
      </c>
      <c r="F869" s="78" t="str">
        <f aca="false">IF(助手报销!$R$59&lt;&gt;"","复核：","")</f>
        <v/>
      </c>
      <c r="G869" s="78" t="str">
        <f aca="false">IF(助手报销!$R$59&lt;&gt;"","制单：","")</f>
        <v/>
      </c>
    </row>
    <row r="870" customFormat="false" ht="3" hidden="false" customHeight="true" outlineLevel="0" collapsed="false"/>
    <row r="871" customFormat="false" ht="19.5" hidden="false" customHeight="true" outlineLevel="0" collapsed="false">
      <c r="B871" s="53" t="str">
        <f aca="false">IF(助手报销!$R$60&lt;&gt;"","记  账  凭  证","")</f>
        <v/>
      </c>
      <c r="C871" s="53"/>
      <c r="D871" s="53"/>
      <c r="E871" s="53"/>
      <c r="F871" s="53"/>
      <c r="G871" s="53"/>
      <c r="H871" s="53"/>
      <c r="I871" s="53"/>
    </row>
    <row r="872" customFormat="false" ht="3" hidden="false" customHeight="true" outlineLevel="0" collapsed="false"/>
    <row r="873" customFormat="false" ht="15" hidden="false" customHeight="true" outlineLevel="0" collapsed="false">
      <c r="C873" s="56" t="str">
        <f aca="false">IF(助手报销!$R$60&lt;&gt;"",INDEX(助手报销!$B$2:$B$121,助手报销!$R$60),"")</f>
        <v/>
      </c>
      <c r="D873" s="57" t="str">
        <f aca="false">IF(助手报销!$R$60&lt;&gt;"",INDEX(助手报销!$D$2:$D$121,助手报销!$R$60),"")</f>
        <v/>
      </c>
      <c r="E873" s="57"/>
      <c r="F873" s="58" t="str">
        <f aca="false">IF(助手报销!$R$60&lt;&gt;"",INDEX(助手报销!$C$2:$C$121,助手报销!$R$60)&amp;"  字第 "&amp;IF(参数!$B$9="是",INDEX(助手报销!$P$2:$P$121,助手报销!$R$60),"　　　　")&amp;" 号"&amp;IF(INDEX(助手报销!$L$2:$L$121,助手报销!$R$60)&gt;1,"  (共"&amp;INDEX(助手报销!$L$2:$L$121,助手报销!$R$60)&amp;"页 第"&amp;助手报销!$S$60&amp;"页)",""),"")</f>
        <v/>
      </c>
      <c r="G873" s="58"/>
      <c r="H873" s="58"/>
      <c r="I873" s="58"/>
      <c r="M873" s="79" t="str">
        <f aca="false">IF(助手报销!$R$60="","",助手报销!$Q$60)</f>
        <v/>
      </c>
      <c r="N873" s="80" t="str">
        <f aca="false">IF(助手报销!$R$60="","",INDEX(助手报销!$P$2:$P$121,助手报销!$R$60))</f>
        <v/>
      </c>
      <c r="O873" s="55" t="str">
        <f aca="false">IF(助手报销!$R$60="","",INDEX(助手报销!$C$2:$C$121,助手报销!$R$60)&amp;"  字第 "&amp;INDEX(助手报销!$P$2:$P$121,助手报销!$R$60)&amp;" 号"&amp;IF(INDEX(助手报销!$L$2:$L$121,助手报销!$R$60)&gt;1,"  (共"&amp;INDEX(助手报销!$L$2:$L$121,助手报销!$R$60)&amp;"页 第"&amp;助手报销!$S$60&amp;"页)",""))</f>
        <v/>
      </c>
    </row>
    <row r="874" customFormat="false" ht="12.75" hidden="false" customHeight="true" outlineLevel="0" collapsed="false">
      <c r="B874" s="61" t="str">
        <f aca="false">IF(助手报销!$R$60&lt;&gt;"","摘　　要","")</f>
        <v/>
      </c>
      <c r="C874" s="61"/>
      <c r="D874" s="62" t="str">
        <f aca="false">IF(助手报销!$R$60&lt;&gt;"","科　　　　目","")</f>
        <v/>
      </c>
      <c r="E874" s="62"/>
      <c r="F874" s="61" t="str">
        <f aca="false">IF(助手报销!$R$60&lt;&gt;"","借 方 金 额","")</f>
        <v/>
      </c>
      <c r="G874" s="62" t="str">
        <f aca="false">IF(助手报销!$R$60&lt;&gt;"","贷 方 金 额","")</f>
        <v/>
      </c>
      <c r="H874" s="63" t="str">
        <f aca="false">IF(助手报销!$R$60&lt;&gt;"","√","")</f>
        <v/>
      </c>
      <c r="I874" s="64" t="str">
        <f aca="false">IF(助手报销!$R$60&lt;&gt;"","附单据  张","")</f>
        <v/>
      </c>
    </row>
    <row r="875" customFormat="false" ht="12.75" hidden="false" customHeight="true" outlineLevel="0" collapsed="false">
      <c r="B875" s="61"/>
      <c r="C875" s="61"/>
      <c r="D875" s="23" t="str">
        <f aca="false">IF(助手报销!$R$60&lt;&gt;"","总 账 科 目","")</f>
        <v/>
      </c>
      <c r="E875" s="23" t="str">
        <f aca="false">IF(助手报销!$R$60&lt;&gt;"","明 细 科 目","")</f>
        <v/>
      </c>
      <c r="F875" s="65"/>
      <c r="G875" s="66"/>
      <c r="H875" s="63"/>
      <c r="I875" s="64"/>
    </row>
    <row r="876" customFormat="false" ht="23.25" hidden="false" customHeight="true" outlineLevel="0" collapsed="false">
      <c r="B876" s="67" t="str">
        <f aca="false">IFERROR(INDEX(分录报销!$M:$M,MATCH($L876,分录报销!$L:$L,0)),"")</f>
        <v/>
      </c>
      <c r="C876" s="67"/>
      <c r="D876" s="23" t="str">
        <f aca="false">IFERROR(INDEX(分录报销!$E:$E,MATCH($L876,分录报销!$L:$L,0)),"")</f>
        <v/>
      </c>
      <c r="E876" s="23" t="str">
        <f aca="false">IFERROR(INDEX(分录报销!$F:$F,MATCH($L876,分录报销!$L:$L,0)),"")</f>
        <v/>
      </c>
      <c r="F876" s="68" t="str">
        <f aca="false">IFERROR(INDEX(分录报销!$H:$H,MATCH($L876,分录报销!$L:$L,0)),"")</f>
        <v/>
      </c>
      <c r="G876" s="69" t="str">
        <f aca="false">IFERROR(INDEX(分录报销!$I:$I,MATCH($L876,分录报销!$L:$L,0)),"")</f>
        <v/>
      </c>
      <c r="H876" s="23"/>
      <c r="I876" s="70"/>
      <c r="L876" s="71" t="n">
        <f aca="false">IF(助手报销!$R$60="",-1,助手报销!$R$60*100+(助手报销!$S$60-1)*6+1)</f>
        <v>-1</v>
      </c>
    </row>
    <row r="877" customFormat="false" ht="23.25" hidden="false" customHeight="true" outlineLevel="0" collapsed="false">
      <c r="B877" s="67" t="str">
        <f aca="false">IFERROR(INDEX(分录报销!$M:$M,MATCH($L877,分录报销!$L:$L,0)),"")</f>
        <v/>
      </c>
      <c r="C877" s="67"/>
      <c r="D877" s="23" t="str">
        <f aca="false">IFERROR(INDEX(分录报销!$E:$E,MATCH($L877,分录报销!$L:$L,0)),"")</f>
        <v/>
      </c>
      <c r="E877" s="23" t="str">
        <f aca="false">IFERROR(INDEX(分录报销!$F:$F,MATCH($L877,分录报销!$L:$L,0)),"")</f>
        <v/>
      </c>
      <c r="F877" s="68" t="str">
        <f aca="false">IFERROR(INDEX(分录报销!$H:$H,MATCH($L877,分录报销!$L:$L,0)),"")</f>
        <v/>
      </c>
      <c r="G877" s="69" t="str">
        <f aca="false">IFERROR(INDEX(分录报销!$I:$I,MATCH($L877,分录报销!$L:$L,0)),"")</f>
        <v/>
      </c>
      <c r="H877" s="23"/>
      <c r="I877" s="70"/>
      <c r="L877" s="71" t="n">
        <f aca="false">IF(助手报销!$R$60="",-1,助手报销!$R$60*100+(助手报销!$S$60-1)*6+2)</f>
        <v>-1</v>
      </c>
    </row>
    <row r="878" customFormat="false" ht="23.25" hidden="false" customHeight="true" outlineLevel="0" collapsed="false">
      <c r="B878" s="67" t="str">
        <f aca="false">IFERROR(INDEX(分录报销!$M:$M,MATCH($L878,分录报销!$L:$L,0)),"")</f>
        <v/>
      </c>
      <c r="C878" s="67"/>
      <c r="D878" s="23" t="str">
        <f aca="false">IFERROR(INDEX(分录报销!$E:$E,MATCH($L878,分录报销!$L:$L,0)),"")</f>
        <v/>
      </c>
      <c r="E878" s="23" t="str">
        <f aca="false">IFERROR(INDEX(分录报销!$F:$F,MATCH($L878,分录报销!$L:$L,0)),"")</f>
        <v/>
      </c>
      <c r="F878" s="68" t="str">
        <f aca="false">IFERROR(INDEX(分录报销!$H:$H,MATCH($L878,分录报销!$L:$L,0)),"")</f>
        <v/>
      </c>
      <c r="G878" s="69" t="str">
        <f aca="false">IFERROR(INDEX(分录报销!$I:$I,MATCH($L878,分录报销!$L:$L,0)),"")</f>
        <v/>
      </c>
      <c r="H878" s="23"/>
      <c r="I878" s="70"/>
      <c r="L878" s="71" t="n">
        <f aca="false">IF(助手报销!$R$60="",-1,助手报销!$R$60*100+(助手报销!$S$60-1)*6+3)</f>
        <v>-1</v>
      </c>
    </row>
    <row r="879" customFormat="false" ht="23.25" hidden="false" customHeight="true" outlineLevel="0" collapsed="false">
      <c r="B879" s="67" t="str">
        <f aca="false">IFERROR(INDEX(分录报销!$M:$M,MATCH($L879,分录报销!$L:$L,0)),"")</f>
        <v/>
      </c>
      <c r="C879" s="67"/>
      <c r="D879" s="23" t="str">
        <f aca="false">IFERROR(INDEX(分录报销!$E:$E,MATCH($L879,分录报销!$L:$L,0)),"")</f>
        <v/>
      </c>
      <c r="E879" s="23" t="str">
        <f aca="false">IFERROR(INDEX(分录报销!$F:$F,MATCH($L879,分录报销!$L:$L,0)),"")</f>
        <v/>
      </c>
      <c r="F879" s="68" t="str">
        <f aca="false">IFERROR(INDEX(分录报销!$H:$H,MATCH($L879,分录报销!$L:$L,0)),"")</f>
        <v/>
      </c>
      <c r="G879" s="69" t="str">
        <f aca="false">IFERROR(INDEX(分录报销!$I:$I,MATCH($L879,分录报销!$L:$L,0)),"")</f>
        <v/>
      </c>
      <c r="H879" s="23"/>
      <c r="I879" s="70"/>
      <c r="L879" s="71" t="n">
        <f aca="false">IF(助手报销!$R$60="",-1,助手报销!$R$60*100+(助手报销!$S$60-1)*6+4)</f>
        <v>-1</v>
      </c>
    </row>
    <row r="880" customFormat="false" ht="23.25" hidden="false" customHeight="true" outlineLevel="0" collapsed="false">
      <c r="B880" s="67" t="str">
        <f aca="false">IFERROR(INDEX(分录报销!$M:$M,MATCH($L880,分录报销!$L:$L,0)),"")</f>
        <v/>
      </c>
      <c r="C880" s="67"/>
      <c r="D880" s="23" t="str">
        <f aca="false">IFERROR(INDEX(分录报销!$E:$E,MATCH($L880,分录报销!$L:$L,0)),"")</f>
        <v/>
      </c>
      <c r="E880" s="23" t="str">
        <f aca="false">IFERROR(INDEX(分录报销!$F:$F,MATCH($L880,分录报销!$L:$L,0)),"")</f>
        <v/>
      </c>
      <c r="F880" s="68" t="str">
        <f aca="false">IFERROR(INDEX(分录报销!$H:$H,MATCH($L880,分录报销!$L:$L,0)),"")</f>
        <v/>
      </c>
      <c r="G880" s="69" t="str">
        <f aca="false">IFERROR(INDEX(分录报销!$I:$I,MATCH($L880,分录报销!$L:$L,0)),"")</f>
        <v/>
      </c>
      <c r="H880" s="23"/>
      <c r="I880" s="70"/>
      <c r="L880" s="71" t="n">
        <f aca="false">IF(助手报销!$R$60="",-1,助手报销!$R$60*100+(助手报销!$S$60-1)*6+5)</f>
        <v>-1</v>
      </c>
    </row>
    <row r="881" customFormat="false" ht="23.25" hidden="false" customHeight="true" outlineLevel="0" collapsed="false">
      <c r="B881" s="67" t="str">
        <f aca="false">IFERROR(INDEX(分录报销!$M:$M,MATCH($L881,分录报销!$L:$L,0)),"")</f>
        <v/>
      </c>
      <c r="C881" s="67"/>
      <c r="D881" s="23" t="str">
        <f aca="false">IFERROR(INDEX(分录报销!$E:$E,MATCH($L881,分录报销!$L:$L,0)),"")</f>
        <v/>
      </c>
      <c r="E881" s="23" t="str">
        <f aca="false">IFERROR(INDEX(分录报销!$F:$F,MATCH($L881,分录报销!$L:$L,0)),"")</f>
        <v/>
      </c>
      <c r="F881" s="68" t="str">
        <f aca="false">IFERROR(INDEX(分录报销!$H:$H,MATCH($L881,分录报销!$L:$L,0)),"")</f>
        <v/>
      </c>
      <c r="G881" s="69" t="str">
        <f aca="false">IFERROR(INDEX(分录报销!$I:$I,MATCH($L881,分录报销!$L:$L,0)),"")</f>
        <v/>
      </c>
      <c r="H881" s="23"/>
      <c r="I881" s="70"/>
      <c r="L881" s="71" t="n">
        <f aca="false">IF(助手报销!$R$60="",-1,助手报销!$R$60*100+(助手报销!$S$60-1)*6+6)</f>
        <v>-1</v>
      </c>
    </row>
    <row r="882" customFormat="false" ht="23.25" hidden="false" customHeight="true" outlineLevel="0" collapsed="false">
      <c r="B882" s="72" t="str">
        <f aca="false">IF(助手报销!$T$60=1,"合计：","")</f>
        <v/>
      </c>
      <c r="C882" s="73" t="str">
        <f aca="false">IF(助手报销!$T$60=1,$F882,"")</f>
        <v/>
      </c>
      <c r="D882" s="74"/>
      <c r="E882" s="74"/>
      <c r="F882" s="75" t="str">
        <f aca="false">IF(助手报销!$T$60=1,INDEX(助手报销!$N$2:$N$121,助手报销!$R$60),"")</f>
        <v/>
      </c>
      <c r="G882" s="76" t="str">
        <f aca="false">IF(助手报销!$T$60=1,INDEX(助手报销!$O$2:$O$121,助手报销!$R$60),"")</f>
        <v/>
      </c>
      <c r="H882" s="74"/>
      <c r="I882" s="77"/>
    </row>
    <row r="883" customFormat="false" ht="6" hidden="false" customHeight="true" outlineLevel="0" collapsed="false"/>
    <row r="884" customFormat="false" ht="13.5" hidden="false" customHeight="false" outlineLevel="0" collapsed="false">
      <c r="B884" s="78" t="str">
        <f aca="false">IF(助手报销!$R$60&lt;&gt;"","会计主管：","")</f>
        <v/>
      </c>
      <c r="D884" s="78" t="str">
        <f aca="false">IF(助手报销!$R$60&lt;&gt;"","会计：","")</f>
        <v/>
      </c>
      <c r="E884" s="78" t="str">
        <f aca="false">IF(助手报销!$R$60&lt;&gt;"","出纳：","")</f>
        <v/>
      </c>
      <c r="F884" s="78" t="str">
        <f aca="false">IF(助手报销!$R$60&lt;&gt;"","复核：","")</f>
        <v/>
      </c>
      <c r="G884" s="78" t="str">
        <f aca="false">IF(助手报销!$R$60&lt;&gt;"","制单：","")</f>
        <v/>
      </c>
    </row>
    <row r="885" customFormat="false" ht="3" hidden="false" customHeight="true" outlineLevel="0" collapsed="false"/>
    <row r="886" customFormat="false" ht="19.5" hidden="false" customHeight="true" outlineLevel="0" collapsed="false">
      <c r="B886" s="53" t="str">
        <f aca="false">IF(助手报销!$R$61&lt;&gt;"","记  账  凭  证","")</f>
        <v/>
      </c>
      <c r="C886" s="53"/>
      <c r="D886" s="53"/>
      <c r="E886" s="53"/>
      <c r="F886" s="53"/>
      <c r="G886" s="53"/>
      <c r="H886" s="53"/>
      <c r="I886" s="53"/>
    </row>
    <row r="887" customFormat="false" ht="3" hidden="false" customHeight="true" outlineLevel="0" collapsed="false"/>
    <row r="888" customFormat="false" ht="15" hidden="false" customHeight="true" outlineLevel="0" collapsed="false">
      <c r="C888" s="56" t="str">
        <f aca="false">IF(助手报销!$R$61&lt;&gt;"",INDEX(助手报销!$B$2:$B$121,助手报销!$R$61),"")</f>
        <v/>
      </c>
      <c r="D888" s="57" t="str">
        <f aca="false">IF(助手报销!$R$61&lt;&gt;"",INDEX(助手报销!$D$2:$D$121,助手报销!$R$61),"")</f>
        <v/>
      </c>
      <c r="E888" s="57"/>
      <c r="F888" s="58" t="str">
        <f aca="false">IF(助手报销!$R$61&lt;&gt;"",INDEX(助手报销!$C$2:$C$121,助手报销!$R$61)&amp;"  字第 "&amp;IF(参数!$B$9="是",INDEX(助手报销!$P$2:$P$121,助手报销!$R$61),"　　　　")&amp;" 号"&amp;IF(INDEX(助手报销!$L$2:$L$121,助手报销!$R$61)&gt;1,"  (共"&amp;INDEX(助手报销!$L$2:$L$121,助手报销!$R$61)&amp;"页 第"&amp;助手报销!$S$61&amp;"页)",""),"")</f>
        <v/>
      </c>
      <c r="G888" s="58"/>
      <c r="H888" s="58"/>
      <c r="I888" s="58"/>
      <c r="M888" s="79" t="str">
        <f aca="false">IF(助手报销!$R$61="","",助手报销!$Q$61)</f>
        <v/>
      </c>
      <c r="N888" s="80" t="str">
        <f aca="false">IF(助手报销!$R$61="","",INDEX(助手报销!$P$2:$P$121,助手报销!$R$61))</f>
        <v/>
      </c>
      <c r="O888" s="55" t="str">
        <f aca="false">IF(助手报销!$R$61="","",INDEX(助手报销!$C$2:$C$121,助手报销!$R$61)&amp;"  字第 "&amp;INDEX(助手报销!$P$2:$P$121,助手报销!$R$61)&amp;" 号"&amp;IF(INDEX(助手报销!$L$2:$L$121,助手报销!$R$61)&gt;1,"  (共"&amp;INDEX(助手报销!$L$2:$L$121,助手报销!$R$61)&amp;"页 第"&amp;助手报销!$S$61&amp;"页)",""))</f>
        <v/>
      </c>
    </row>
    <row r="889" customFormat="false" ht="12.75" hidden="false" customHeight="true" outlineLevel="0" collapsed="false">
      <c r="B889" s="61" t="str">
        <f aca="false">IF(助手报销!$R$61&lt;&gt;"","摘　　要","")</f>
        <v/>
      </c>
      <c r="C889" s="61"/>
      <c r="D889" s="62" t="str">
        <f aca="false">IF(助手报销!$R$61&lt;&gt;"","科　　　　目","")</f>
        <v/>
      </c>
      <c r="E889" s="62"/>
      <c r="F889" s="61" t="str">
        <f aca="false">IF(助手报销!$R$61&lt;&gt;"","借 方 金 额","")</f>
        <v/>
      </c>
      <c r="G889" s="62" t="str">
        <f aca="false">IF(助手报销!$R$61&lt;&gt;"","贷 方 金 额","")</f>
        <v/>
      </c>
      <c r="H889" s="63" t="str">
        <f aca="false">IF(助手报销!$R$61&lt;&gt;"","√","")</f>
        <v/>
      </c>
      <c r="I889" s="64" t="str">
        <f aca="false">IF(助手报销!$R$61&lt;&gt;"","附单据  张","")</f>
        <v/>
      </c>
    </row>
    <row r="890" customFormat="false" ht="12.75" hidden="false" customHeight="true" outlineLevel="0" collapsed="false">
      <c r="B890" s="61"/>
      <c r="C890" s="61"/>
      <c r="D890" s="23" t="str">
        <f aca="false">IF(助手报销!$R$61&lt;&gt;"","总 账 科 目","")</f>
        <v/>
      </c>
      <c r="E890" s="23" t="str">
        <f aca="false">IF(助手报销!$R$61&lt;&gt;"","明 细 科 目","")</f>
        <v/>
      </c>
      <c r="F890" s="65"/>
      <c r="G890" s="66"/>
      <c r="H890" s="63"/>
      <c r="I890" s="64"/>
    </row>
    <row r="891" customFormat="false" ht="23.25" hidden="false" customHeight="true" outlineLevel="0" collapsed="false">
      <c r="B891" s="67" t="str">
        <f aca="false">IFERROR(INDEX(分录报销!$M:$M,MATCH($L891,分录报销!$L:$L,0)),"")</f>
        <v/>
      </c>
      <c r="C891" s="67"/>
      <c r="D891" s="23" t="str">
        <f aca="false">IFERROR(INDEX(分录报销!$E:$E,MATCH($L891,分录报销!$L:$L,0)),"")</f>
        <v/>
      </c>
      <c r="E891" s="23" t="str">
        <f aca="false">IFERROR(INDEX(分录报销!$F:$F,MATCH($L891,分录报销!$L:$L,0)),"")</f>
        <v/>
      </c>
      <c r="F891" s="68" t="str">
        <f aca="false">IFERROR(INDEX(分录报销!$H:$H,MATCH($L891,分录报销!$L:$L,0)),"")</f>
        <v/>
      </c>
      <c r="G891" s="69" t="str">
        <f aca="false">IFERROR(INDEX(分录报销!$I:$I,MATCH($L891,分录报销!$L:$L,0)),"")</f>
        <v/>
      </c>
      <c r="H891" s="23"/>
      <c r="I891" s="70"/>
      <c r="L891" s="71" t="n">
        <f aca="false">IF(助手报销!$R$61="",-1,助手报销!$R$61*100+(助手报销!$S$61-1)*6+1)</f>
        <v>-1</v>
      </c>
    </row>
    <row r="892" customFormat="false" ht="23.25" hidden="false" customHeight="true" outlineLevel="0" collapsed="false">
      <c r="B892" s="67" t="str">
        <f aca="false">IFERROR(INDEX(分录报销!$M:$M,MATCH($L892,分录报销!$L:$L,0)),"")</f>
        <v/>
      </c>
      <c r="C892" s="67"/>
      <c r="D892" s="23" t="str">
        <f aca="false">IFERROR(INDEX(分录报销!$E:$E,MATCH($L892,分录报销!$L:$L,0)),"")</f>
        <v/>
      </c>
      <c r="E892" s="23" t="str">
        <f aca="false">IFERROR(INDEX(分录报销!$F:$F,MATCH($L892,分录报销!$L:$L,0)),"")</f>
        <v/>
      </c>
      <c r="F892" s="68" t="str">
        <f aca="false">IFERROR(INDEX(分录报销!$H:$H,MATCH($L892,分录报销!$L:$L,0)),"")</f>
        <v/>
      </c>
      <c r="G892" s="69" t="str">
        <f aca="false">IFERROR(INDEX(分录报销!$I:$I,MATCH($L892,分录报销!$L:$L,0)),"")</f>
        <v/>
      </c>
      <c r="H892" s="23"/>
      <c r="I892" s="70"/>
      <c r="L892" s="71" t="n">
        <f aca="false">IF(助手报销!$R$61="",-1,助手报销!$R$61*100+(助手报销!$S$61-1)*6+2)</f>
        <v>-1</v>
      </c>
    </row>
    <row r="893" customFormat="false" ht="23.25" hidden="false" customHeight="true" outlineLevel="0" collapsed="false">
      <c r="B893" s="67" t="str">
        <f aca="false">IFERROR(INDEX(分录报销!$M:$M,MATCH($L893,分录报销!$L:$L,0)),"")</f>
        <v/>
      </c>
      <c r="C893" s="67"/>
      <c r="D893" s="23" t="str">
        <f aca="false">IFERROR(INDEX(分录报销!$E:$E,MATCH($L893,分录报销!$L:$L,0)),"")</f>
        <v/>
      </c>
      <c r="E893" s="23" t="str">
        <f aca="false">IFERROR(INDEX(分录报销!$F:$F,MATCH($L893,分录报销!$L:$L,0)),"")</f>
        <v/>
      </c>
      <c r="F893" s="68" t="str">
        <f aca="false">IFERROR(INDEX(分录报销!$H:$H,MATCH($L893,分录报销!$L:$L,0)),"")</f>
        <v/>
      </c>
      <c r="G893" s="69" t="str">
        <f aca="false">IFERROR(INDEX(分录报销!$I:$I,MATCH($L893,分录报销!$L:$L,0)),"")</f>
        <v/>
      </c>
      <c r="H893" s="23"/>
      <c r="I893" s="70"/>
      <c r="L893" s="71" t="n">
        <f aca="false">IF(助手报销!$R$61="",-1,助手报销!$R$61*100+(助手报销!$S$61-1)*6+3)</f>
        <v>-1</v>
      </c>
    </row>
    <row r="894" customFormat="false" ht="23.25" hidden="false" customHeight="true" outlineLevel="0" collapsed="false">
      <c r="B894" s="67" t="str">
        <f aca="false">IFERROR(INDEX(分录报销!$M:$M,MATCH($L894,分录报销!$L:$L,0)),"")</f>
        <v/>
      </c>
      <c r="C894" s="67"/>
      <c r="D894" s="23" t="str">
        <f aca="false">IFERROR(INDEX(分录报销!$E:$E,MATCH($L894,分录报销!$L:$L,0)),"")</f>
        <v/>
      </c>
      <c r="E894" s="23" t="str">
        <f aca="false">IFERROR(INDEX(分录报销!$F:$F,MATCH($L894,分录报销!$L:$L,0)),"")</f>
        <v/>
      </c>
      <c r="F894" s="68" t="str">
        <f aca="false">IFERROR(INDEX(分录报销!$H:$H,MATCH($L894,分录报销!$L:$L,0)),"")</f>
        <v/>
      </c>
      <c r="G894" s="69" t="str">
        <f aca="false">IFERROR(INDEX(分录报销!$I:$I,MATCH($L894,分录报销!$L:$L,0)),"")</f>
        <v/>
      </c>
      <c r="H894" s="23"/>
      <c r="I894" s="70"/>
      <c r="L894" s="71" t="n">
        <f aca="false">IF(助手报销!$R$61="",-1,助手报销!$R$61*100+(助手报销!$S$61-1)*6+4)</f>
        <v>-1</v>
      </c>
    </row>
    <row r="895" customFormat="false" ht="23.25" hidden="false" customHeight="true" outlineLevel="0" collapsed="false">
      <c r="B895" s="67" t="str">
        <f aca="false">IFERROR(INDEX(分录报销!$M:$M,MATCH($L895,分录报销!$L:$L,0)),"")</f>
        <v/>
      </c>
      <c r="C895" s="67"/>
      <c r="D895" s="23" t="str">
        <f aca="false">IFERROR(INDEX(分录报销!$E:$E,MATCH($L895,分录报销!$L:$L,0)),"")</f>
        <v/>
      </c>
      <c r="E895" s="23" t="str">
        <f aca="false">IFERROR(INDEX(分录报销!$F:$F,MATCH($L895,分录报销!$L:$L,0)),"")</f>
        <v/>
      </c>
      <c r="F895" s="68" t="str">
        <f aca="false">IFERROR(INDEX(分录报销!$H:$H,MATCH($L895,分录报销!$L:$L,0)),"")</f>
        <v/>
      </c>
      <c r="G895" s="69" t="str">
        <f aca="false">IFERROR(INDEX(分录报销!$I:$I,MATCH($L895,分录报销!$L:$L,0)),"")</f>
        <v/>
      </c>
      <c r="H895" s="23"/>
      <c r="I895" s="70"/>
      <c r="L895" s="71" t="n">
        <f aca="false">IF(助手报销!$R$61="",-1,助手报销!$R$61*100+(助手报销!$S$61-1)*6+5)</f>
        <v>-1</v>
      </c>
    </row>
    <row r="896" customFormat="false" ht="23.25" hidden="false" customHeight="true" outlineLevel="0" collapsed="false">
      <c r="B896" s="67" t="str">
        <f aca="false">IFERROR(INDEX(分录报销!$M:$M,MATCH($L896,分录报销!$L:$L,0)),"")</f>
        <v/>
      </c>
      <c r="C896" s="67"/>
      <c r="D896" s="23" t="str">
        <f aca="false">IFERROR(INDEX(分录报销!$E:$E,MATCH($L896,分录报销!$L:$L,0)),"")</f>
        <v/>
      </c>
      <c r="E896" s="23" t="str">
        <f aca="false">IFERROR(INDEX(分录报销!$F:$F,MATCH($L896,分录报销!$L:$L,0)),"")</f>
        <v/>
      </c>
      <c r="F896" s="68" t="str">
        <f aca="false">IFERROR(INDEX(分录报销!$H:$H,MATCH($L896,分录报销!$L:$L,0)),"")</f>
        <v/>
      </c>
      <c r="G896" s="69" t="str">
        <f aca="false">IFERROR(INDEX(分录报销!$I:$I,MATCH($L896,分录报销!$L:$L,0)),"")</f>
        <v/>
      </c>
      <c r="H896" s="23"/>
      <c r="I896" s="70"/>
      <c r="L896" s="71" t="n">
        <f aca="false">IF(助手报销!$R$61="",-1,助手报销!$R$61*100+(助手报销!$S$61-1)*6+6)</f>
        <v>-1</v>
      </c>
    </row>
    <row r="897" customFormat="false" ht="23.25" hidden="false" customHeight="true" outlineLevel="0" collapsed="false">
      <c r="B897" s="72" t="str">
        <f aca="false">IF(助手报销!$T$61=1,"合计：","")</f>
        <v/>
      </c>
      <c r="C897" s="73" t="str">
        <f aca="false">IF(助手报销!$T$61=1,$F897,"")</f>
        <v/>
      </c>
      <c r="D897" s="74"/>
      <c r="E897" s="74"/>
      <c r="F897" s="75" t="str">
        <f aca="false">IF(助手报销!$T$61=1,INDEX(助手报销!$N$2:$N$121,助手报销!$R$61),"")</f>
        <v/>
      </c>
      <c r="G897" s="76" t="str">
        <f aca="false">IF(助手报销!$T$61=1,INDEX(助手报销!$O$2:$O$121,助手报销!$R$61),"")</f>
        <v/>
      </c>
      <c r="H897" s="74"/>
      <c r="I897" s="77"/>
    </row>
    <row r="898" customFormat="false" ht="6" hidden="false" customHeight="true" outlineLevel="0" collapsed="false"/>
    <row r="899" customFormat="false" ht="13.5" hidden="false" customHeight="false" outlineLevel="0" collapsed="false">
      <c r="B899" s="78" t="str">
        <f aca="false">IF(助手报销!$R$61&lt;&gt;"","会计主管：","")</f>
        <v/>
      </c>
      <c r="D899" s="78" t="str">
        <f aca="false">IF(助手报销!$R$61&lt;&gt;"","会计：","")</f>
        <v/>
      </c>
      <c r="E899" s="78" t="str">
        <f aca="false">IF(助手报销!$R$61&lt;&gt;"","出纳：","")</f>
        <v/>
      </c>
      <c r="F899" s="78" t="str">
        <f aca="false">IF(助手报销!$R$61&lt;&gt;"","复核：","")</f>
        <v/>
      </c>
      <c r="G899" s="78" t="str">
        <f aca="false">IF(助手报销!$R$61&lt;&gt;"","制单：","")</f>
        <v/>
      </c>
    </row>
    <row r="900" customFormat="false" ht="3" hidden="false" customHeight="true" outlineLevel="0" collapsed="false"/>
    <row r="901" customFormat="false" ht="19.5" hidden="false" customHeight="true" outlineLevel="0" collapsed="false">
      <c r="B901" s="53" t="str">
        <f aca="false">IF(助手报销!$R$62&lt;&gt;"","记  账  凭  证","")</f>
        <v/>
      </c>
      <c r="C901" s="53"/>
      <c r="D901" s="53"/>
      <c r="E901" s="53"/>
      <c r="F901" s="53"/>
      <c r="G901" s="53"/>
      <c r="H901" s="53"/>
      <c r="I901" s="53"/>
    </row>
    <row r="902" customFormat="false" ht="3" hidden="false" customHeight="true" outlineLevel="0" collapsed="false"/>
    <row r="903" customFormat="false" ht="15" hidden="false" customHeight="true" outlineLevel="0" collapsed="false">
      <c r="C903" s="56" t="str">
        <f aca="false">IF(助手报销!$R$62&lt;&gt;"",INDEX(助手报销!$B$2:$B$121,助手报销!$R$62),"")</f>
        <v/>
      </c>
      <c r="D903" s="57" t="str">
        <f aca="false">IF(助手报销!$R$62&lt;&gt;"",INDEX(助手报销!$D$2:$D$121,助手报销!$R$62),"")</f>
        <v/>
      </c>
      <c r="E903" s="57"/>
      <c r="F903" s="58" t="str">
        <f aca="false">IF(助手报销!$R$62&lt;&gt;"",INDEX(助手报销!$C$2:$C$121,助手报销!$R$62)&amp;"  字第 "&amp;IF(参数!$B$9="是",INDEX(助手报销!$P$2:$P$121,助手报销!$R$62),"　　　　")&amp;" 号"&amp;IF(INDEX(助手报销!$L$2:$L$121,助手报销!$R$62)&gt;1,"  (共"&amp;INDEX(助手报销!$L$2:$L$121,助手报销!$R$62)&amp;"页 第"&amp;助手报销!$S$62&amp;"页)",""),"")</f>
        <v/>
      </c>
      <c r="G903" s="58"/>
      <c r="H903" s="58"/>
      <c r="I903" s="58"/>
      <c r="M903" s="79" t="str">
        <f aca="false">IF(助手报销!$R$62="","",助手报销!$Q$62)</f>
        <v/>
      </c>
      <c r="N903" s="80" t="str">
        <f aca="false">IF(助手报销!$R$62="","",INDEX(助手报销!$P$2:$P$121,助手报销!$R$62))</f>
        <v/>
      </c>
      <c r="O903" s="55" t="str">
        <f aca="false">IF(助手报销!$R$62="","",INDEX(助手报销!$C$2:$C$121,助手报销!$R$62)&amp;"  字第 "&amp;INDEX(助手报销!$P$2:$P$121,助手报销!$R$62)&amp;" 号"&amp;IF(INDEX(助手报销!$L$2:$L$121,助手报销!$R$62)&gt;1,"  (共"&amp;INDEX(助手报销!$L$2:$L$121,助手报销!$R$62)&amp;"页 第"&amp;助手报销!$S$62&amp;"页)",""))</f>
        <v/>
      </c>
    </row>
    <row r="904" customFormat="false" ht="12.75" hidden="false" customHeight="true" outlineLevel="0" collapsed="false">
      <c r="B904" s="61" t="str">
        <f aca="false">IF(助手报销!$R$62&lt;&gt;"","摘　　要","")</f>
        <v/>
      </c>
      <c r="C904" s="61"/>
      <c r="D904" s="62" t="str">
        <f aca="false">IF(助手报销!$R$62&lt;&gt;"","科　　　　目","")</f>
        <v/>
      </c>
      <c r="E904" s="62"/>
      <c r="F904" s="61" t="str">
        <f aca="false">IF(助手报销!$R$62&lt;&gt;"","借 方 金 额","")</f>
        <v/>
      </c>
      <c r="G904" s="62" t="str">
        <f aca="false">IF(助手报销!$R$62&lt;&gt;"","贷 方 金 额","")</f>
        <v/>
      </c>
      <c r="H904" s="63" t="str">
        <f aca="false">IF(助手报销!$R$62&lt;&gt;"","√","")</f>
        <v/>
      </c>
      <c r="I904" s="64" t="str">
        <f aca="false">IF(助手报销!$R$62&lt;&gt;"","附单据  张","")</f>
        <v/>
      </c>
    </row>
    <row r="905" customFormat="false" ht="12.75" hidden="false" customHeight="true" outlineLevel="0" collapsed="false">
      <c r="B905" s="61"/>
      <c r="C905" s="61"/>
      <c r="D905" s="23" t="str">
        <f aca="false">IF(助手报销!$R$62&lt;&gt;"","总 账 科 目","")</f>
        <v/>
      </c>
      <c r="E905" s="23" t="str">
        <f aca="false">IF(助手报销!$R$62&lt;&gt;"","明 细 科 目","")</f>
        <v/>
      </c>
      <c r="F905" s="65"/>
      <c r="G905" s="66"/>
      <c r="H905" s="63"/>
      <c r="I905" s="64"/>
    </row>
    <row r="906" customFormat="false" ht="23.25" hidden="false" customHeight="true" outlineLevel="0" collapsed="false">
      <c r="B906" s="67" t="str">
        <f aca="false">IFERROR(INDEX(分录报销!$M:$M,MATCH($L906,分录报销!$L:$L,0)),"")</f>
        <v/>
      </c>
      <c r="C906" s="67"/>
      <c r="D906" s="23" t="str">
        <f aca="false">IFERROR(INDEX(分录报销!$E:$E,MATCH($L906,分录报销!$L:$L,0)),"")</f>
        <v/>
      </c>
      <c r="E906" s="23" t="str">
        <f aca="false">IFERROR(INDEX(分录报销!$F:$F,MATCH($L906,分录报销!$L:$L,0)),"")</f>
        <v/>
      </c>
      <c r="F906" s="68" t="str">
        <f aca="false">IFERROR(INDEX(分录报销!$H:$H,MATCH($L906,分录报销!$L:$L,0)),"")</f>
        <v/>
      </c>
      <c r="G906" s="69" t="str">
        <f aca="false">IFERROR(INDEX(分录报销!$I:$I,MATCH($L906,分录报销!$L:$L,0)),"")</f>
        <v/>
      </c>
      <c r="H906" s="23"/>
      <c r="I906" s="70"/>
      <c r="L906" s="71" t="n">
        <f aca="false">IF(助手报销!$R$62="",-1,助手报销!$R$62*100+(助手报销!$S$62-1)*6+1)</f>
        <v>-1</v>
      </c>
    </row>
    <row r="907" customFormat="false" ht="23.25" hidden="false" customHeight="true" outlineLevel="0" collapsed="false">
      <c r="B907" s="67" t="str">
        <f aca="false">IFERROR(INDEX(分录报销!$M:$M,MATCH($L907,分录报销!$L:$L,0)),"")</f>
        <v/>
      </c>
      <c r="C907" s="67"/>
      <c r="D907" s="23" t="str">
        <f aca="false">IFERROR(INDEX(分录报销!$E:$E,MATCH($L907,分录报销!$L:$L,0)),"")</f>
        <v/>
      </c>
      <c r="E907" s="23" t="str">
        <f aca="false">IFERROR(INDEX(分录报销!$F:$F,MATCH($L907,分录报销!$L:$L,0)),"")</f>
        <v/>
      </c>
      <c r="F907" s="68" t="str">
        <f aca="false">IFERROR(INDEX(分录报销!$H:$H,MATCH($L907,分录报销!$L:$L,0)),"")</f>
        <v/>
      </c>
      <c r="G907" s="69" t="str">
        <f aca="false">IFERROR(INDEX(分录报销!$I:$I,MATCH($L907,分录报销!$L:$L,0)),"")</f>
        <v/>
      </c>
      <c r="H907" s="23"/>
      <c r="I907" s="70"/>
      <c r="L907" s="71" t="n">
        <f aca="false">IF(助手报销!$R$62="",-1,助手报销!$R$62*100+(助手报销!$S$62-1)*6+2)</f>
        <v>-1</v>
      </c>
    </row>
    <row r="908" customFormat="false" ht="23.25" hidden="false" customHeight="true" outlineLevel="0" collapsed="false">
      <c r="B908" s="67" t="str">
        <f aca="false">IFERROR(INDEX(分录报销!$M:$M,MATCH($L908,分录报销!$L:$L,0)),"")</f>
        <v/>
      </c>
      <c r="C908" s="67"/>
      <c r="D908" s="23" t="str">
        <f aca="false">IFERROR(INDEX(分录报销!$E:$E,MATCH($L908,分录报销!$L:$L,0)),"")</f>
        <v/>
      </c>
      <c r="E908" s="23" t="str">
        <f aca="false">IFERROR(INDEX(分录报销!$F:$F,MATCH($L908,分录报销!$L:$L,0)),"")</f>
        <v/>
      </c>
      <c r="F908" s="68" t="str">
        <f aca="false">IFERROR(INDEX(分录报销!$H:$H,MATCH($L908,分录报销!$L:$L,0)),"")</f>
        <v/>
      </c>
      <c r="G908" s="69" t="str">
        <f aca="false">IFERROR(INDEX(分录报销!$I:$I,MATCH($L908,分录报销!$L:$L,0)),"")</f>
        <v/>
      </c>
      <c r="H908" s="23"/>
      <c r="I908" s="70"/>
      <c r="L908" s="71" t="n">
        <f aca="false">IF(助手报销!$R$62="",-1,助手报销!$R$62*100+(助手报销!$S$62-1)*6+3)</f>
        <v>-1</v>
      </c>
    </row>
    <row r="909" customFormat="false" ht="23.25" hidden="false" customHeight="true" outlineLevel="0" collapsed="false">
      <c r="B909" s="67" t="str">
        <f aca="false">IFERROR(INDEX(分录报销!$M:$M,MATCH($L909,分录报销!$L:$L,0)),"")</f>
        <v/>
      </c>
      <c r="C909" s="67"/>
      <c r="D909" s="23" t="str">
        <f aca="false">IFERROR(INDEX(分录报销!$E:$E,MATCH($L909,分录报销!$L:$L,0)),"")</f>
        <v/>
      </c>
      <c r="E909" s="23" t="str">
        <f aca="false">IFERROR(INDEX(分录报销!$F:$F,MATCH($L909,分录报销!$L:$L,0)),"")</f>
        <v/>
      </c>
      <c r="F909" s="68" t="str">
        <f aca="false">IFERROR(INDEX(分录报销!$H:$H,MATCH($L909,分录报销!$L:$L,0)),"")</f>
        <v/>
      </c>
      <c r="G909" s="69" t="str">
        <f aca="false">IFERROR(INDEX(分录报销!$I:$I,MATCH($L909,分录报销!$L:$L,0)),"")</f>
        <v/>
      </c>
      <c r="H909" s="23"/>
      <c r="I909" s="70"/>
      <c r="L909" s="71" t="n">
        <f aca="false">IF(助手报销!$R$62="",-1,助手报销!$R$62*100+(助手报销!$S$62-1)*6+4)</f>
        <v>-1</v>
      </c>
    </row>
    <row r="910" customFormat="false" ht="23.25" hidden="false" customHeight="true" outlineLevel="0" collapsed="false">
      <c r="B910" s="67" t="str">
        <f aca="false">IFERROR(INDEX(分录报销!$M:$M,MATCH($L910,分录报销!$L:$L,0)),"")</f>
        <v/>
      </c>
      <c r="C910" s="67"/>
      <c r="D910" s="23" t="str">
        <f aca="false">IFERROR(INDEX(分录报销!$E:$E,MATCH($L910,分录报销!$L:$L,0)),"")</f>
        <v/>
      </c>
      <c r="E910" s="23" t="str">
        <f aca="false">IFERROR(INDEX(分录报销!$F:$F,MATCH($L910,分录报销!$L:$L,0)),"")</f>
        <v/>
      </c>
      <c r="F910" s="68" t="str">
        <f aca="false">IFERROR(INDEX(分录报销!$H:$H,MATCH($L910,分录报销!$L:$L,0)),"")</f>
        <v/>
      </c>
      <c r="G910" s="69" t="str">
        <f aca="false">IFERROR(INDEX(分录报销!$I:$I,MATCH($L910,分录报销!$L:$L,0)),"")</f>
        <v/>
      </c>
      <c r="H910" s="23"/>
      <c r="I910" s="70"/>
      <c r="L910" s="71" t="n">
        <f aca="false">IF(助手报销!$R$62="",-1,助手报销!$R$62*100+(助手报销!$S$62-1)*6+5)</f>
        <v>-1</v>
      </c>
    </row>
    <row r="911" customFormat="false" ht="23.25" hidden="false" customHeight="true" outlineLevel="0" collapsed="false">
      <c r="B911" s="67" t="str">
        <f aca="false">IFERROR(INDEX(分录报销!$M:$M,MATCH($L911,分录报销!$L:$L,0)),"")</f>
        <v/>
      </c>
      <c r="C911" s="67"/>
      <c r="D911" s="23" t="str">
        <f aca="false">IFERROR(INDEX(分录报销!$E:$E,MATCH($L911,分录报销!$L:$L,0)),"")</f>
        <v/>
      </c>
      <c r="E911" s="23" t="str">
        <f aca="false">IFERROR(INDEX(分录报销!$F:$F,MATCH($L911,分录报销!$L:$L,0)),"")</f>
        <v/>
      </c>
      <c r="F911" s="68" t="str">
        <f aca="false">IFERROR(INDEX(分录报销!$H:$H,MATCH($L911,分录报销!$L:$L,0)),"")</f>
        <v/>
      </c>
      <c r="G911" s="69" t="str">
        <f aca="false">IFERROR(INDEX(分录报销!$I:$I,MATCH($L911,分录报销!$L:$L,0)),"")</f>
        <v/>
      </c>
      <c r="H911" s="23"/>
      <c r="I911" s="70"/>
      <c r="L911" s="71" t="n">
        <f aca="false">IF(助手报销!$R$62="",-1,助手报销!$R$62*100+(助手报销!$S$62-1)*6+6)</f>
        <v>-1</v>
      </c>
    </row>
    <row r="912" customFormat="false" ht="23.25" hidden="false" customHeight="true" outlineLevel="0" collapsed="false">
      <c r="B912" s="72" t="str">
        <f aca="false">IF(助手报销!$T$62=1,"合计：","")</f>
        <v/>
      </c>
      <c r="C912" s="73" t="str">
        <f aca="false">IF(助手报销!$T$62=1,$F912,"")</f>
        <v/>
      </c>
      <c r="D912" s="74"/>
      <c r="E912" s="74"/>
      <c r="F912" s="75" t="str">
        <f aca="false">IF(助手报销!$T$62=1,INDEX(助手报销!$N$2:$N$121,助手报销!$R$62),"")</f>
        <v/>
      </c>
      <c r="G912" s="76" t="str">
        <f aca="false">IF(助手报销!$T$62=1,INDEX(助手报销!$O$2:$O$121,助手报销!$R$62),"")</f>
        <v/>
      </c>
      <c r="H912" s="74"/>
      <c r="I912" s="77"/>
    </row>
    <row r="913" customFormat="false" ht="6" hidden="false" customHeight="true" outlineLevel="0" collapsed="false"/>
    <row r="914" customFormat="false" ht="13.5" hidden="false" customHeight="false" outlineLevel="0" collapsed="false">
      <c r="B914" s="78" t="str">
        <f aca="false">IF(助手报销!$R$62&lt;&gt;"","会计主管：","")</f>
        <v/>
      </c>
      <c r="D914" s="78" t="str">
        <f aca="false">IF(助手报销!$R$62&lt;&gt;"","会计：","")</f>
        <v/>
      </c>
      <c r="E914" s="78" t="str">
        <f aca="false">IF(助手报销!$R$62&lt;&gt;"","出纳：","")</f>
        <v/>
      </c>
      <c r="F914" s="78" t="str">
        <f aca="false">IF(助手报销!$R$62&lt;&gt;"","复核：","")</f>
        <v/>
      </c>
      <c r="G914" s="78" t="str">
        <f aca="false">IF(助手报销!$R$62&lt;&gt;"","制单：","")</f>
        <v/>
      </c>
    </row>
    <row r="915" customFormat="false" ht="3" hidden="false" customHeight="true" outlineLevel="0" collapsed="false"/>
    <row r="916" customFormat="false" ht="19.5" hidden="false" customHeight="true" outlineLevel="0" collapsed="false">
      <c r="B916" s="53" t="str">
        <f aca="false">IF(助手报销!$R$63&lt;&gt;"","记  账  凭  证","")</f>
        <v/>
      </c>
      <c r="C916" s="53"/>
      <c r="D916" s="53"/>
      <c r="E916" s="53"/>
      <c r="F916" s="53"/>
      <c r="G916" s="53"/>
      <c r="H916" s="53"/>
      <c r="I916" s="53"/>
    </row>
    <row r="917" customFormat="false" ht="3" hidden="false" customHeight="true" outlineLevel="0" collapsed="false"/>
    <row r="918" customFormat="false" ht="15" hidden="false" customHeight="true" outlineLevel="0" collapsed="false">
      <c r="C918" s="56" t="str">
        <f aca="false">IF(助手报销!$R$63&lt;&gt;"",INDEX(助手报销!$B$2:$B$121,助手报销!$R$63),"")</f>
        <v/>
      </c>
      <c r="D918" s="57" t="str">
        <f aca="false">IF(助手报销!$R$63&lt;&gt;"",INDEX(助手报销!$D$2:$D$121,助手报销!$R$63),"")</f>
        <v/>
      </c>
      <c r="E918" s="57"/>
      <c r="F918" s="58" t="str">
        <f aca="false">IF(助手报销!$R$63&lt;&gt;"",INDEX(助手报销!$C$2:$C$121,助手报销!$R$63)&amp;"  字第 "&amp;IF(参数!$B$9="是",INDEX(助手报销!$P$2:$P$121,助手报销!$R$63),"　　　　")&amp;" 号"&amp;IF(INDEX(助手报销!$L$2:$L$121,助手报销!$R$63)&gt;1,"  (共"&amp;INDEX(助手报销!$L$2:$L$121,助手报销!$R$63)&amp;"页 第"&amp;助手报销!$S$63&amp;"页)",""),"")</f>
        <v/>
      </c>
      <c r="G918" s="58"/>
      <c r="H918" s="58"/>
      <c r="I918" s="58"/>
      <c r="M918" s="79" t="str">
        <f aca="false">IF(助手报销!$R$63="","",助手报销!$Q$63)</f>
        <v/>
      </c>
      <c r="N918" s="80" t="str">
        <f aca="false">IF(助手报销!$R$63="","",INDEX(助手报销!$P$2:$P$121,助手报销!$R$63))</f>
        <v/>
      </c>
      <c r="O918" s="55" t="str">
        <f aca="false">IF(助手报销!$R$63="","",INDEX(助手报销!$C$2:$C$121,助手报销!$R$63)&amp;"  字第 "&amp;INDEX(助手报销!$P$2:$P$121,助手报销!$R$63)&amp;" 号"&amp;IF(INDEX(助手报销!$L$2:$L$121,助手报销!$R$63)&gt;1,"  (共"&amp;INDEX(助手报销!$L$2:$L$121,助手报销!$R$63)&amp;"页 第"&amp;助手报销!$S$63&amp;"页)",""))</f>
        <v/>
      </c>
    </row>
    <row r="919" customFormat="false" ht="12.75" hidden="false" customHeight="true" outlineLevel="0" collapsed="false">
      <c r="B919" s="61" t="str">
        <f aca="false">IF(助手报销!$R$63&lt;&gt;"","摘　　要","")</f>
        <v/>
      </c>
      <c r="C919" s="61"/>
      <c r="D919" s="62" t="str">
        <f aca="false">IF(助手报销!$R$63&lt;&gt;"","科　　　　目","")</f>
        <v/>
      </c>
      <c r="E919" s="62"/>
      <c r="F919" s="61" t="str">
        <f aca="false">IF(助手报销!$R$63&lt;&gt;"","借 方 金 额","")</f>
        <v/>
      </c>
      <c r="G919" s="62" t="str">
        <f aca="false">IF(助手报销!$R$63&lt;&gt;"","贷 方 金 额","")</f>
        <v/>
      </c>
      <c r="H919" s="63" t="str">
        <f aca="false">IF(助手报销!$R$63&lt;&gt;"","√","")</f>
        <v/>
      </c>
      <c r="I919" s="64" t="str">
        <f aca="false">IF(助手报销!$R$63&lt;&gt;"","附单据  张","")</f>
        <v/>
      </c>
    </row>
    <row r="920" customFormat="false" ht="12.75" hidden="false" customHeight="true" outlineLevel="0" collapsed="false">
      <c r="B920" s="61"/>
      <c r="C920" s="61"/>
      <c r="D920" s="23" t="str">
        <f aca="false">IF(助手报销!$R$63&lt;&gt;"","总 账 科 目","")</f>
        <v/>
      </c>
      <c r="E920" s="23" t="str">
        <f aca="false">IF(助手报销!$R$63&lt;&gt;"","明 细 科 目","")</f>
        <v/>
      </c>
      <c r="F920" s="65"/>
      <c r="G920" s="66"/>
      <c r="H920" s="63"/>
      <c r="I920" s="64"/>
    </row>
    <row r="921" customFormat="false" ht="23.25" hidden="false" customHeight="true" outlineLevel="0" collapsed="false">
      <c r="B921" s="67" t="str">
        <f aca="false">IFERROR(INDEX(分录报销!$M:$M,MATCH($L921,分录报销!$L:$L,0)),"")</f>
        <v/>
      </c>
      <c r="C921" s="67"/>
      <c r="D921" s="23" t="str">
        <f aca="false">IFERROR(INDEX(分录报销!$E:$E,MATCH($L921,分录报销!$L:$L,0)),"")</f>
        <v/>
      </c>
      <c r="E921" s="23" t="str">
        <f aca="false">IFERROR(INDEX(分录报销!$F:$F,MATCH($L921,分录报销!$L:$L,0)),"")</f>
        <v/>
      </c>
      <c r="F921" s="68" t="str">
        <f aca="false">IFERROR(INDEX(分录报销!$H:$H,MATCH($L921,分录报销!$L:$L,0)),"")</f>
        <v/>
      </c>
      <c r="G921" s="69" t="str">
        <f aca="false">IFERROR(INDEX(分录报销!$I:$I,MATCH($L921,分录报销!$L:$L,0)),"")</f>
        <v/>
      </c>
      <c r="H921" s="23"/>
      <c r="I921" s="70"/>
      <c r="L921" s="71" t="n">
        <f aca="false">IF(助手报销!$R$63="",-1,助手报销!$R$63*100+(助手报销!$S$63-1)*6+1)</f>
        <v>-1</v>
      </c>
    </row>
    <row r="922" customFormat="false" ht="23.25" hidden="false" customHeight="true" outlineLevel="0" collapsed="false">
      <c r="B922" s="67" t="str">
        <f aca="false">IFERROR(INDEX(分录报销!$M:$M,MATCH($L922,分录报销!$L:$L,0)),"")</f>
        <v/>
      </c>
      <c r="C922" s="67"/>
      <c r="D922" s="23" t="str">
        <f aca="false">IFERROR(INDEX(分录报销!$E:$E,MATCH($L922,分录报销!$L:$L,0)),"")</f>
        <v/>
      </c>
      <c r="E922" s="23" t="str">
        <f aca="false">IFERROR(INDEX(分录报销!$F:$F,MATCH($L922,分录报销!$L:$L,0)),"")</f>
        <v/>
      </c>
      <c r="F922" s="68" t="str">
        <f aca="false">IFERROR(INDEX(分录报销!$H:$H,MATCH($L922,分录报销!$L:$L,0)),"")</f>
        <v/>
      </c>
      <c r="G922" s="69" t="str">
        <f aca="false">IFERROR(INDEX(分录报销!$I:$I,MATCH($L922,分录报销!$L:$L,0)),"")</f>
        <v/>
      </c>
      <c r="H922" s="23"/>
      <c r="I922" s="70"/>
      <c r="L922" s="71" t="n">
        <f aca="false">IF(助手报销!$R$63="",-1,助手报销!$R$63*100+(助手报销!$S$63-1)*6+2)</f>
        <v>-1</v>
      </c>
    </row>
    <row r="923" customFormat="false" ht="23.25" hidden="false" customHeight="true" outlineLevel="0" collapsed="false">
      <c r="B923" s="67" t="str">
        <f aca="false">IFERROR(INDEX(分录报销!$M:$M,MATCH($L923,分录报销!$L:$L,0)),"")</f>
        <v/>
      </c>
      <c r="C923" s="67"/>
      <c r="D923" s="23" t="str">
        <f aca="false">IFERROR(INDEX(分录报销!$E:$E,MATCH($L923,分录报销!$L:$L,0)),"")</f>
        <v/>
      </c>
      <c r="E923" s="23" t="str">
        <f aca="false">IFERROR(INDEX(分录报销!$F:$F,MATCH($L923,分录报销!$L:$L,0)),"")</f>
        <v/>
      </c>
      <c r="F923" s="68" t="str">
        <f aca="false">IFERROR(INDEX(分录报销!$H:$H,MATCH($L923,分录报销!$L:$L,0)),"")</f>
        <v/>
      </c>
      <c r="G923" s="69" t="str">
        <f aca="false">IFERROR(INDEX(分录报销!$I:$I,MATCH($L923,分录报销!$L:$L,0)),"")</f>
        <v/>
      </c>
      <c r="H923" s="23"/>
      <c r="I923" s="70"/>
      <c r="L923" s="71" t="n">
        <f aca="false">IF(助手报销!$R$63="",-1,助手报销!$R$63*100+(助手报销!$S$63-1)*6+3)</f>
        <v>-1</v>
      </c>
    </row>
    <row r="924" customFormat="false" ht="23.25" hidden="false" customHeight="true" outlineLevel="0" collapsed="false">
      <c r="B924" s="67" t="str">
        <f aca="false">IFERROR(INDEX(分录报销!$M:$M,MATCH($L924,分录报销!$L:$L,0)),"")</f>
        <v/>
      </c>
      <c r="C924" s="67"/>
      <c r="D924" s="23" t="str">
        <f aca="false">IFERROR(INDEX(分录报销!$E:$E,MATCH($L924,分录报销!$L:$L,0)),"")</f>
        <v/>
      </c>
      <c r="E924" s="23" t="str">
        <f aca="false">IFERROR(INDEX(分录报销!$F:$F,MATCH($L924,分录报销!$L:$L,0)),"")</f>
        <v/>
      </c>
      <c r="F924" s="68" t="str">
        <f aca="false">IFERROR(INDEX(分录报销!$H:$H,MATCH($L924,分录报销!$L:$L,0)),"")</f>
        <v/>
      </c>
      <c r="G924" s="69" t="str">
        <f aca="false">IFERROR(INDEX(分录报销!$I:$I,MATCH($L924,分录报销!$L:$L,0)),"")</f>
        <v/>
      </c>
      <c r="H924" s="23"/>
      <c r="I924" s="70"/>
      <c r="L924" s="71" t="n">
        <f aca="false">IF(助手报销!$R$63="",-1,助手报销!$R$63*100+(助手报销!$S$63-1)*6+4)</f>
        <v>-1</v>
      </c>
    </row>
    <row r="925" customFormat="false" ht="23.25" hidden="false" customHeight="true" outlineLevel="0" collapsed="false">
      <c r="B925" s="67" t="str">
        <f aca="false">IFERROR(INDEX(分录报销!$M:$M,MATCH($L925,分录报销!$L:$L,0)),"")</f>
        <v/>
      </c>
      <c r="C925" s="67"/>
      <c r="D925" s="23" t="str">
        <f aca="false">IFERROR(INDEX(分录报销!$E:$E,MATCH($L925,分录报销!$L:$L,0)),"")</f>
        <v/>
      </c>
      <c r="E925" s="23" t="str">
        <f aca="false">IFERROR(INDEX(分录报销!$F:$F,MATCH($L925,分录报销!$L:$L,0)),"")</f>
        <v/>
      </c>
      <c r="F925" s="68" t="str">
        <f aca="false">IFERROR(INDEX(分录报销!$H:$H,MATCH($L925,分录报销!$L:$L,0)),"")</f>
        <v/>
      </c>
      <c r="G925" s="69" t="str">
        <f aca="false">IFERROR(INDEX(分录报销!$I:$I,MATCH($L925,分录报销!$L:$L,0)),"")</f>
        <v/>
      </c>
      <c r="H925" s="23"/>
      <c r="I925" s="70"/>
      <c r="L925" s="71" t="n">
        <f aca="false">IF(助手报销!$R$63="",-1,助手报销!$R$63*100+(助手报销!$S$63-1)*6+5)</f>
        <v>-1</v>
      </c>
    </row>
    <row r="926" customFormat="false" ht="23.25" hidden="false" customHeight="true" outlineLevel="0" collapsed="false">
      <c r="B926" s="67" t="str">
        <f aca="false">IFERROR(INDEX(分录报销!$M:$M,MATCH($L926,分录报销!$L:$L,0)),"")</f>
        <v/>
      </c>
      <c r="C926" s="67"/>
      <c r="D926" s="23" t="str">
        <f aca="false">IFERROR(INDEX(分录报销!$E:$E,MATCH($L926,分录报销!$L:$L,0)),"")</f>
        <v/>
      </c>
      <c r="E926" s="23" t="str">
        <f aca="false">IFERROR(INDEX(分录报销!$F:$F,MATCH($L926,分录报销!$L:$L,0)),"")</f>
        <v/>
      </c>
      <c r="F926" s="68" t="str">
        <f aca="false">IFERROR(INDEX(分录报销!$H:$H,MATCH($L926,分录报销!$L:$L,0)),"")</f>
        <v/>
      </c>
      <c r="G926" s="69" t="str">
        <f aca="false">IFERROR(INDEX(分录报销!$I:$I,MATCH($L926,分录报销!$L:$L,0)),"")</f>
        <v/>
      </c>
      <c r="H926" s="23"/>
      <c r="I926" s="70"/>
      <c r="L926" s="71" t="n">
        <f aca="false">IF(助手报销!$R$63="",-1,助手报销!$R$63*100+(助手报销!$S$63-1)*6+6)</f>
        <v>-1</v>
      </c>
    </row>
    <row r="927" customFormat="false" ht="23.25" hidden="false" customHeight="true" outlineLevel="0" collapsed="false">
      <c r="B927" s="72" t="str">
        <f aca="false">IF(助手报销!$T$63=1,"合计：","")</f>
        <v/>
      </c>
      <c r="C927" s="73" t="str">
        <f aca="false">IF(助手报销!$T$63=1,$F927,"")</f>
        <v/>
      </c>
      <c r="D927" s="74"/>
      <c r="E927" s="74"/>
      <c r="F927" s="75" t="str">
        <f aca="false">IF(助手报销!$T$63=1,INDEX(助手报销!$N$2:$N$121,助手报销!$R$63),"")</f>
        <v/>
      </c>
      <c r="G927" s="76" t="str">
        <f aca="false">IF(助手报销!$T$63=1,INDEX(助手报销!$O$2:$O$121,助手报销!$R$63),"")</f>
        <v/>
      </c>
      <c r="H927" s="74"/>
      <c r="I927" s="77"/>
    </row>
    <row r="928" customFormat="false" ht="6" hidden="false" customHeight="true" outlineLevel="0" collapsed="false"/>
    <row r="929" customFormat="false" ht="13.5" hidden="false" customHeight="false" outlineLevel="0" collapsed="false">
      <c r="B929" s="78" t="str">
        <f aca="false">IF(助手报销!$R$63&lt;&gt;"","会计主管：","")</f>
        <v/>
      </c>
      <c r="D929" s="78" t="str">
        <f aca="false">IF(助手报销!$R$63&lt;&gt;"","会计：","")</f>
        <v/>
      </c>
      <c r="E929" s="78" t="str">
        <f aca="false">IF(助手报销!$R$63&lt;&gt;"","出纳：","")</f>
        <v/>
      </c>
      <c r="F929" s="78" t="str">
        <f aca="false">IF(助手报销!$R$63&lt;&gt;"","复核：","")</f>
        <v/>
      </c>
      <c r="G929" s="78" t="str">
        <f aca="false">IF(助手报销!$R$63&lt;&gt;"","制单：","")</f>
        <v/>
      </c>
    </row>
    <row r="930" customFormat="false" ht="3" hidden="false" customHeight="true" outlineLevel="0" collapsed="false"/>
    <row r="931" customFormat="false" ht="19.5" hidden="false" customHeight="true" outlineLevel="0" collapsed="false">
      <c r="B931" s="53" t="str">
        <f aca="false">IF(助手报销!$R$64&lt;&gt;"","记  账  凭  证","")</f>
        <v/>
      </c>
      <c r="C931" s="53"/>
      <c r="D931" s="53"/>
      <c r="E931" s="53"/>
      <c r="F931" s="53"/>
      <c r="G931" s="53"/>
      <c r="H931" s="53"/>
      <c r="I931" s="53"/>
    </row>
    <row r="932" customFormat="false" ht="3" hidden="false" customHeight="true" outlineLevel="0" collapsed="false"/>
    <row r="933" customFormat="false" ht="15" hidden="false" customHeight="true" outlineLevel="0" collapsed="false">
      <c r="C933" s="56" t="str">
        <f aca="false">IF(助手报销!$R$64&lt;&gt;"",INDEX(助手报销!$B$2:$B$121,助手报销!$R$64),"")</f>
        <v/>
      </c>
      <c r="D933" s="57" t="str">
        <f aca="false">IF(助手报销!$R$64&lt;&gt;"",INDEX(助手报销!$D$2:$D$121,助手报销!$R$64),"")</f>
        <v/>
      </c>
      <c r="E933" s="57"/>
      <c r="F933" s="58" t="str">
        <f aca="false">IF(助手报销!$R$64&lt;&gt;"",INDEX(助手报销!$C$2:$C$121,助手报销!$R$64)&amp;"  字第 "&amp;IF(参数!$B$9="是",INDEX(助手报销!$P$2:$P$121,助手报销!$R$64),"　　　　")&amp;" 号"&amp;IF(INDEX(助手报销!$L$2:$L$121,助手报销!$R$64)&gt;1,"  (共"&amp;INDEX(助手报销!$L$2:$L$121,助手报销!$R$64)&amp;"页 第"&amp;助手报销!$S$64&amp;"页)",""),"")</f>
        <v/>
      </c>
      <c r="G933" s="58"/>
      <c r="H933" s="58"/>
      <c r="I933" s="58"/>
      <c r="M933" s="79" t="str">
        <f aca="false">IF(助手报销!$R$64="","",助手报销!$Q$64)</f>
        <v/>
      </c>
      <c r="N933" s="80" t="str">
        <f aca="false">IF(助手报销!$R$64="","",INDEX(助手报销!$P$2:$P$121,助手报销!$R$64))</f>
        <v/>
      </c>
      <c r="O933" s="55" t="str">
        <f aca="false">IF(助手报销!$R$64="","",INDEX(助手报销!$C$2:$C$121,助手报销!$R$64)&amp;"  字第 "&amp;INDEX(助手报销!$P$2:$P$121,助手报销!$R$64)&amp;" 号"&amp;IF(INDEX(助手报销!$L$2:$L$121,助手报销!$R$64)&gt;1,"  (共"&amp;INDEX(助手报销!$L$2:$L$121,助手报销!$R$64)&amp;"页 第"&amp;助手报销!$S$64&amp;"页)",""))</f>
        <v/>
      </c>
    </row>
    <row r="934" customFormat="false" ht="12.75" hidden="false" customHeight="true" outlineLevel="0" collapsed="false">
      <c r="B934" s="61" t="str">
        <f aca="false">IF(助手报销!$R$64&lt;&gt;"","摘　　要","")</f>
        <v/>
      </c>
      <c r="C934" s="61"/>
      <c r="D934" s="62" t="str">
        <f aca="false">IF(助手报销!$R$64&lt;&gt;"","科　　　　目","")</f>
        <v/>
      </c>
      <c r="E934" s="62"/>
      <c r="F934" s="61" t="str">
        <f aca="false">IF(助手报销!$R$64&lt;&gt;"","借 方 金 额","")</f>
        <v/>
      </c>
      <c r="G934" s="62" t="str">
        <f aca="false">IF(助手报销!$R$64&lt;&gt;"","贷 方 金 额","")</f>
        <v/>
      </c>
      <c r="H934" s="63" t="str">
        <f aca="false">IF(助手报销!$R$64&lt;&gt;"","√","")</f>
        <v/>
      </c>
      <c r="I934" s="64" t="str">
        <f aca="false">IF(助手报销!$R$64&lt;&gt;"","附单据  张","")</f>
        <v/>
      </c>
    </row>
    <row r="935" customFormat="false" ht="12.75" hidden="false" customHeight="true" outlineLevel="0" collapsed="false">
      <c r="B935" s="61"/>
      <c r="C935" s="61"/>
      <c r="D935" s="23" t="str">
        <f aca="false">IF(助手报销!$R$64&lt;&gt;"","总 账 科 目","")</f>
        <v/>
      </c>
      <c r="E935" s="23" t="str">
        <f aca="false">IF(助手报销!$R$64&lt;&gt;"","明 细 科 目","")</f>
        <v/>
      </c>
      <c r="F935" s="65"/>
      <c r="G935" s="66"/>
      <c r="H935" s="63"/>
      <c r="I935" s="64"/>
    </row>
    <row r="936" customFormat="false" ht="23.25" hidden="false" customHeight="true" outlineLevel="0" collapsed="false">
      <c r="B936" s="67" t="str">
        <f aca="false">IFERROR(INDEX(分录报销!$M:$M,MATCH($L936,分录报销!$L:$L,0)),"")</f>
        <v/>
      </c>
      <c r="C936" s="67"/>
      <c r="D936" s="23" t="str">
        <f aca="false">IFERROR(INDEX(分录报销!$E:$E,MATCH($L936,分录报销!$L:$L,0)),"")</f>
        <v/>
      </c>
      <c r="E936" s="23" t="str">
        <f aca="false">IFERROR(INDEX(分录报销!$F:$F,MATCH($L936,分录报销!$L:$L,0)),"")</f>
        <v/>
      </c>
      <c r="F936" s="68" t="str">
        <f aca="false">IFERROR(INDEX(分录报销!$H:$H,MATCH($L936,分录报销!$L:$L,0)),"")</f>
        <v/>
      </c>
      <c r="G936" s="69" t="str">
        <f aca="false">IFERROR(INDEX(分录报销!$I:$I,MATCH($L936,分录报销!$L:$L,0)),"")</f>
        <v/>
      </c>
      <c r="H936" s="23"/>
      <c r="I936" s="70"/>
      <c r="L936" s="71" t="n">
        <f aca="false">IF(助手报销!$R$64="",-1,助手报销!$R$64*100+(助手报销!$S$64-1)*6+1)</f>
        <v>-1</v>
      </c>
    </row>
    <row r="937" customFormat="false" ht="23.25" hidden="false" customHeight="true" outlineLevel="0" collapsed="false">
      <c r="B937" s="67" t="str">
        <f aca="false">IFERROR(INDEX(分录报销!$M:$M,MATCH($L937,分录报销!$L:$L,0)),"")</f>
        <v/>
      </c>
      <c r="C937" s="67"/>
      <c r="D937" s="23" t="str">
        <f aca="false">IFERROR(INDEX(分录报销!$E:$E,MATCH($L937,分录报销!$L:$L,0)),"")</f>
        <v/>
      </c>
      <c r="E937" s="23" t="str">
        <f aca="false">IFERROR(INDEX(分录报销!$F:$F,MATCH($L937,分录报销!$L:$L,0)),"")</f>
        <v/>
      </c>
      <c r="F937" s="68" t="str">
        <f aca="false">IFERROR(INDEX(分录报销!$H:$H,MATCH($L937,分录报销!$L:$L,0)),"")</f>
        <v/>
      </c>
      <c r="G937" s="69" t="str">
        <f aca="false">IFERROR(INDEX(分录报销!$I:$I,MATCH($L937,分录报销!$L:$L,0)),"")</f>
        <v/>
      </c>
      <c r="H937" s="23"/>
      <c r="I937" s="70"/>
      <c r="L937" s="71" t="n">
        <f aca="false">IF(助手报销!$R$64="",-1,助手报销!$R$64*100+(助手报销!$S$64-1)*6+2)</f>
        <v>-1</v>
      </c>
    </row>
    <row r="938" customFormat="false" ht="23.25" hidden="false" customHeight="true" outlineLevel="0" collapsed="false">
      <c r="B938" s="67" t="str">
        <f aca="false">IFERROR(INDEX(分录报销!$M:$M,MATCH($L938,分录报销!$L:$L,0)),"")</f>
        <v/>
      </c>
      <c r="C938" s="67"/>
      <c r="D938" s="23" t="str">
        <f aca="false">IFERROR(INDEX(分录报销!$E:$E,MATCH($L938,分录报销!$L:$L,0)),"")</f>
        <v/>
      </c>
      <c r="E938" s="23" t="str">
        <f aca="false">IFERROR(INDEX(分录报销!$F:$F,MATCH($L938,分录报销!$L:$L,0)),"")</f>
        <v/>
      </c>
      <c r="F938" s="68" t="str">
        <f aca="false">IFERROR(INDEX(分录报销!$H:$H,MATCH($L938,分录报销!$L:$L,0)),"")</f>
        <v/>
      </c>
      <c r="G938" s="69" t="str">
        <f aca="false">IFERROR(INDEX(分录报销!$I:$I,MATCH($L938,分录报销!$L:$L,0)),"")</f>
        <v/>
      </c>
      <c r="H938" s="23"/>
      <c r="I938" s="70"/>
      <c r="L938" s="71" t="n">
        <f aca="false">IF(助手报销!$R$64="",-1,助手报销!$R$64*100+(助手报销!$S$64-1)*6+3)</f>
        <v>-1</v>
      </c>
    </row>
    <row r="939" customFormat="false" ht="23.25" hidden="false" customHeight="true" outlineLevel="0" collapsed="false">
      <c r="B939" s="67" t="str">
        <f aca="false">IFERROR(INDEX(分录报销!$M:$M,MATCH($L939,分录报销!$L:$L,0)),"")</f>
        <v/>
      </c>
      <c r="C939" s="67"/>
      <c r="D939" s="23" t="str">
        <f aca="false">IFERROR(INDEX(分录报销!$E:$E,MATCH($L939,分录报销!$L:$L,0)),"")</f>
        <v/>
      </c>
      <c r="E939" s="23" t="str">
        <f aca="false">IFERROR(INDEX(分录报销!$F:$F,MATCH($L939,分录报销!$L:$L,0)),"")</f>
        <v/>
      </c>
      <c r="F939" s="68" t="str">
        <f aca="false">IFERROR(INDEX(分录报销!$H:$H,MATCH($L939,分录报销!$L:$L,0)),"")</f>
        <v/>
      </c>
      <c r="G939" s="69" t="str">
        <f aca="false">IFERROR(INDEX(分录报销!$I:$I,MATCH($L939,分录报销!$L:$L,0)),"")</f>
        <v/>
      </c>
      <c r="H939" s="23"/>
      <c r="I939" s="70"/>
      <c r="L939" s="71" t="n">
        <f aca="false">IF(助手报销!$R$64="",-1,助手报销!$R$64*100+(助手报销!$S$64-1)*6+4)</f>
        <v>-1</v>
      </c>
    </row>
    <row r="940" customFormat="false" ht="23.25" hidden="false" customHeight="true" outlineLevel="0" collapsed="false">
      <c r="B940" s="67" t="str">
        <f aca="false">IFERROR(INDEX(分录报销!$M:$M,MATCH($L940,分录报销!$L:$L,0)),"")</f>
        <v/>
      </c>
      <c r="C940" s="67"/>
      <c r="D940" s="23" t="str">
        <f aca="false">IFERROR(INDEX(分录报销!$E:$E,MATCH($L940,分录报销!$L:$L,0)),"")</f>
        <v/>
      </c>
      <c r="E940" s="23" t="str">
        <f aca="false">IFERROR(INDEX(分录报销!$F:$F,MATCH($L940,分录报销!$L:$L,0)),"")</f>
        <v/>
      </c>
      <c r="F940" s="68" t="str">
        <f aca="false">IFERROR(INDEX(分录报销!$H:$H,MATCH($L940,分录报销!$L:$L,0)),"")</f>
        <v/>
      </c>
      <c r="G940" s="69" t="str">
        <f aca="false">IFERROR(INDEX(分录报销!$I:$I,MATCH($L940,分录报销!$L:$L,0)),"")</f>
        <v/>
      </c>
      <c r="H940" s="23"/>
      <c r="I940" s="70"/>
      <c r="L940" s="71" t="n">
        <f aca="false">IF(助手报销!$R$64="",-1,助手报销!$R$64*100+(助手报销!$S$64-1)*6+5)</f>
        <v>-1</v>
      </c>
    </row>
    <row r="941" customFormat="false" ht="23.25" hidden="false" customHeight="true" outlineLevel="0" collapsed="false">
      <c r="B941" s="67" t="str">
        <f aca="false">IFERROR(INDEX(分录报销!$M:$M,MATCH($L941,分录报销!$L:$L,0)),"")</f>
        <v/>
      </c>
      <c r="C941" s="67"/>
      <c r="D941" s="23" t="str">
        <f aca="false">IFERROR(INDEX(分录报销!$E:$E,MATCH($L941,分录报销!$L:$L,0)),"")</f>
        <v/>
      </c>
      <c r="E941" s="23" t="str">
        <f aca="false">IFERROR(INDEX(分录报销!$F:$F,MATCH($L941,分录报销!$L:$L,0)),"")</f>
        <v/>
      </c>
      <c r="F941" s="68" t="str">
        <f aca="false">IFERROR(INDEX(分录报销!$H:$H,MATCH($L941,分录报销!$L:$L,0)),"")</f>
        <v/>
      </c>
      <c r="G941" s="69" t="str">
        <f aca="false">IFERROR(INDEX(分录报销!$I:$I,MATCH($L941,分录报销!$L:$L,0)),"")</f>
        <v/>
      </c>
      <c r="H941" s="23"/>
      <c r="I941" s="70"/>
      <c r="L941" s="71" t="n">
        <f aca="false">IF(助手报销!$R$64="",-1,助手报销!$R$64*100+(助手报销!$S$64-1)*6+6)</f>
        <v>-1</v>
      </c>
    </row>
    <row r="942" customFormat="false" ht="23.25" hidden="false" customHeight="true" outlineLevel="0" collapsed="false">
      <c r="B942" s="72" t="str">
        <f aca="false">IF(助手报销!$T$64=1,"合计：","")</f>
        <v/>
      </c>
      <c r="C942" s="73" t="str">
        <f aca="false">IF(助手报销!$T$64=1,$F942,"")</f>
        <v/>
      </c>
      <c r="D942" s="74"/>
      <c r="E942" s="74"/>
      <c r="F942" s="75" t="str">
        <f aca="false">IF(助手报销!$T$64=1,INDEX(助手报销!$N$2:$N$121,助手报销!$R$64),"")</f>
        <v/>
      </c>
      <c r="G942" s="76" t="str">
        <f aca="false">IF(助手报销!$T$64=1,INDEX(助手报销!$O$2:$O$121,助手报销!$R$64),"")</f>
        <v/>
      </c>
      <c r="H942" s="74"/>
      <c r="I942" s="77"/>
    </row>
    <row r="943" customFormat="false" ht="6" hidden="false" customHeight="true" outlineLevel="0" collapsed="false"/>
    <row r="944" customFormat="false" ht="13.5" hidden="false" customHeight="false" outlineLevel="0" collapsed="false">
      <c r="B944" s="78" t="str">
        <f aca="false">IF(助手报销!$R$64&lt;&gt;"","会计主管：","")</f>
        <v/>
      </c>
      <c r="D944" s="78" t="str">
        <f aca="false">IF(助手报销!$R$64&lt;&gt;"","会计：","")</f>
        <v/>
      </c>
      <c r="E944" s="78" t="str">
        <f aca="false">IF(助手报销!$R$64&lt;&gt;"","出纳：","")</f>
        <v/>
      </c>
      <c r="F944" s="78" t="str">
        <f aca="false">IF(助手报销!$R$64&lt;&gt;"","复核：","")</f>
        <v/>
      </c>
      <c r="G944" s="78" t="str">
        <f aca="false">IF(助手报销!$R$64&lt;&gt;"","制单：","")</f>
        <v/>
      </c>
    </row>
    <row r="945" customFormat="false" ht="3" hidden="false" customHeight="true" outlineLevel="0" collapsed="false"/>
    <row r="946" customFormat="false" ht="19.5" hidden="false" customHeight="true" outlineLevel="0" collapsed="false">
      <c r="B946" s="53" t="str">
        <f aca="false">IF(助手报销!$R$65&lt;&gt;"","记  账  凭  证","")</f>
        <v/>
      </c>
      <c r="C946" s="53"/>
      <c r="D946" s="53"/>
      <c r="E946" s="53"/>
      <c r="F946" s="53"/>
      <c r="G946" s="53"/>
      <c r="H946" s="53"/>
      <c r="I946" s="53"/>
    </row>
    <row r="947" customFormat="false" ht="3" hidden="false" customHeight="true" outlineLevel="0" collapsed="false"/>
    <row r="948" customFormat="false" ht="15" hidden="false" customHeight="true" outlineLevel="0" collapsed="false">
      <c r="C948" s="56" t="str">
        <f aca="false">IF(助手报销!$R$65&lt;&gt;"",INDEX(助手报销!$B$2:$B$121,助手报销!$R$65),"")</f>
        <v/>
      </c>
      <c r="D948" s="57" t="str">
        <f aca="false">IF(助手报销!$R$65&lt;&gt;"",INDEX(助手报销!$D$2:$D$121,助手报销!$R$65),"")</f>
        <v/>
      </c>
      <c r="E948" s="57"/>
      <c r="F948" s="58" t="str">
        <f aca="false">IF(助手报销!$R$65&lt;&gt;"",INDEX(助手报销!$C$2:$C$121,助手报销!$R$65)&amp;"  字第 "&amp;IF(参数!$B$9="是",INDEX(助手报销!$P$2:$P$121,助手报销!$R$65),"　　　　")&amp;" 号"&amp;IF(INDEX(助手报销!$L$2:$L$121,助手报销!$R$65)&gt;1,"  (共"&amp;INDEX(助手报销!$L$2:$L$121,助手报销!$R$65)&amp;"页 第"&amp;助手报销!$S$65&amp;"页)",""),"")</f>
        <v/>
      </c>
      <c r="G948" s="58"/>
      <c r="H948" s="58"/>
      <c r="I948" s="58"/>
      <c r="M948" s="79" t="str">
        <f aca="false">IF(助手报销!$R$65="","",助手报销!$Q$65)</f>
        <v/>
      </c>
      <c r="N948" s="80" t="str">
        <f aca="false">IF(助手报销!$R$65="","",INDEX(助手报销!$P$2:$P$121,助手报销!$R$65))</f>
        <v/>
      </c>
      <c r="O948" s="55" t="str">
        <f aca="false">IF(助手报销!$R$65="","",INDEX(助手报销!$C$2:$C$121,助手报销!$R$65)&amp;"  字第 "&amp;INDEX(助手报销!$P$2:$P$121,助手报销!$R$65)&amp;" 号"&amp;IF(INDEX(助手报销!$L$2:$L$121,助手报销!$R$65)&gt;1,"  (共"&amp;INDEX(助手报销!$L$2:$L$121,助手报销!$R$65)&amp;"页 第"&amp;助手报销!$S$65&amp;"页)",""))</f>
        <v/>
      </c>
    </row>
    <row r="949" customFormat="false" ht="12.75" hidden="false" customHeight="true" outlineLevel="0" collapsed="false">
      <c r="B949" s="61" t="str">
        <f aca="false">IF(助手报销!$R$65&lt;&gt;"","摘　　要","")</f>
        <v/>
      </c>
      <c r="C949" s="61"/>
      <c r="D949" s="62" t="str">
        <f aca="false">IF(助手报销!$R$65&lt;&gt;"","科　　　　目","")</f>
        <v/>
      </c>
      <c r="E949" s="62"/>
      <c r="F949" s="61" t="str">
        <f aca="false">IF(助手报销!$R$65&lt;&gt;"","借 方 金 额","")</f>
        <v/>
      </c>
      <c r="G949" s="62" t="str">
        <f aca="false">IF(助手报销!$R$65&lt;&gt;"","贷 方 金 额","")</f>
        <v/>
      </c>
      <c r="H949" s="63" t="str">
        <f aca="false">IF(助手报销!$R$65&lt;&gt;"","√","")</f>
        <v/>
      </c>
      <c r="I949" s="64" t="str">
        <f aca="false">IF(助手报销!$R$65&lt;&gt;"","附单据  张","")</f>
        <v/>
      </c>
    </row>
    <row r="950" customFormat="false" ht="12.75" hidden="false" customHeight="true" outlineLevel="0" collapsed="false">
      <c r="B950" s="61"/>
      <c r="C950" s="61"/>
      <c r="D950" s="23" t="str">
        <f aca="false">IF(助手报销!$R$65&lt;&gt;"","总 账 科 目","")</f>
        <v/>
      </c>
      <c r="E950" s="23" t="str">
        <f aca="false">IF(助手报销!$R$65&lt;&gt;"","明 细 科 目","")</f>
        <v/>
      </c>
      <c r="F950" s="65"/>
      <c r="G950" s="66"/>
      <c r="H950" s="63"/>
      <c r="I950" s="64"/>
    </row>
    <row r="951" customFormat="false" ht="23.25" hidden="false" customHeight="true" outlineLevel="0" collapsed="false">
      <c r="B951" s="67" t="str">
        <f aca="false">IFERROR(INDEX(分录报销!$M:$M,MATCH($L951,分录报销!$L:$L,0)),"")</f>
        <v/>
      </c>
      <c r="C951" s="67"/>
      <c r="D951" s="23" t="str">
        <f aca="false">IFERROR(INDEX(分录报销!$E:$E,MATCH($L951,分录报销!$L:$L,0)),"")</f>
        <v/>
      </c>
      <c r="E951" s="23" t="str">
        <f aca="false">IFERROR(INDEX(分录报销!$F:$F,MATCH($L951,分录报销!$L:$L,0)),"")</f>
        <v/>
      </c>
      <c r="F951" s="68" t="str">
        <f aca="false">IFERROR(INDEX(分录报销!$H:$H,MATCH($L951,分录报销!$L:$L,0)),"")</f>
        <v/>
      </c>
      <c r="G951" s="69" t="str">
        <f aca="false">IFERROR(INDEX(分录报销!$I:$I,MATCH($L951,分录报销!$L:$L,0)),"")</f>
        <v/>
      </c>
      <c r="H951" s="23"/>
      <c r="I951" s="70"/>
      <c r="L951" s="71" t="n">
        <f aca="false">IF(助手报销!$R$65="",-1,助手报销!$R$65*100+(助手报销!$S$65-1)*6+1)</f>
        <v>-1</v>
      </c>
    </row>
    <row r="952" customFormat="false" ht="23.25" hidden="false" customHeight="true" outlineLevel="0" collapsed="false">
      <c r="B952" s="67" t="str">
        <f aca="false">IFERROR(INDEX(分录报销!$M:$M,MATCH($L952,分录报销!$L:$L,0)),"")</f>
        <v/>
      </c>
      <c r="C952" s="67"/>
      <c r="D952" s="23" t="str">
        <f aca="false">IFERROR(INDEX(分录报销!$E:$E,MATCH($L952,分录报销!$L:$L,0)),"")</f>
        <v/>
      </c>
      <c r="E952" s="23" t="str">
        <f aca="false">IFERROR(INDEX(分录报销!$F:$F,MATCH($L952,分录报销!$L:$L,0)),"")</f>
        <v/>
      </c>
      <c r="F952" s="68" t="str">
        <f aca="false">IFERROR(INDEX(分录报销!$H:$H,MATCH($L952,分录报销!$L:$L,0)),"")</f>
        <v/>
      </c>
      <c r="G952" s="69" t="str">
        <f aca="false">IFERROR(INDEX(分录报销!$I:$I,MATCH($L952,分录报销!$L:$L,0)),"")</f>
        <v/>
      </c>
      <c r="H952" s="23"/>
      <c r="I952" s="70"/>
      <c r="L952" s="71" t="n">
        <f aca="false">IF(助手报销!$R$65="",-1,助手报销!$R$65*100+(助手报销!$S$65-1)*6+2)</f>
        <v>-1</v>
      </c>
    </row>
    <row r="953" customFormat="false" ht="23.25" hidden="false" customHeight="true" outlineLevel="0" collapsed="false">
      <c r="B953" s="67" t="str">
        <f aca="false">IFERROR(INDEX(分录报销!$M:$M,MATCH($L953,分录报销!$L:$L,0)),"")</f>
        <v/>
      </c>
      <c r="C953" s="67"/>
      <c r="D953" s="23" t="str">
        <f aca="false">IFERROR(INDEX(分录报销!$E:$E,MATCH($L953,分录报销!$L:$L,0)),"")</f>
        <v/>
      </c>
      <c r="E953" s="23" t="str">
        <f aca="false">IFERROR(INDEX(分录报销!$F:$F,MATCH($L953,分录报销!$L:$L,0)),"")</f>
        <v/>
      </c>
      <c r="F953" s="68" t="str">
        <f aca="false">IFERROR(INDEX(分录报销!$H:$H,MATCH($L953,分录报销!$L:$L,0)),"")</f>
        <v/>
      </c>
      <c r="G953" s="69" t="str">
        <f aca="false">IFERROR(INDEX(分录报销!$I:$I,MATCH($L953,分录报销!$L:$L,0)),"")</f>
        <v/>
      </c>
      <c r="H953" s="23"/>
      <c r="I953" s="70"/>
      <c r="L953" s="71" t="n">
        <f aca="false">IF(助手报销!$R$65="",-1,助手报销!$R$65*100+(助手报销!$S$65-1)*6+3)</f>
        <v>-1</v>
      </c>
    </row>
    <row r="954" customFormat="false" ht="23.25" hidden="false" customHeight="true" outlineLevel="0" collapsed="false">
      <c r="B954" s="67" t="str">
        <f aca="false">IFERROR(INDEX(分录报销!$M:$M,MATCH($L954,分录报销!$L:$L,0)),"")</f>
        <v/>
      </c>
      <c r="C954" s="67"/>
      <c r="D954" s="23" t="str">
        <f aca="false">IFERROR(INDEX(分录报销!$E:$E,MATCH($L954,分录报销!$L:$L,0)),"")</f>
        <v/>
      </c>
      <c r="E954" s="23" t="str">
        <f aca="false">IFERROR(INDEX(分录报销!$F:$F,MATCH($L954,分录报销!$L:$L,0)),"")</f>
        <v/>
      </c>
      <c r="F954" s="68" t="str">
        <f aca="false">IFERROR(INDEX(分录报销!$H:$H,MATCH($L954,分录报销!$L:$L,0)),"")</f>
        <v/>
      </c>
      <c r="G954" s="69" t="str">
        <f aca="false">IFERROR(INDEX(分录报销!$I:$I,MATCH($L954,分录报销!$L:$L,0)),"")</f>
        <v/>
      </c>
      <c r="H954" s="23"/>
      <c r="I954" s="70"/>
      <c r="L954" s="71" t="n">
        <f aca="false">IF(助手报销!$R$65="",-1,助手报销!$R$65*100+(助手报销!$S$65-1)*6+4)</f>
        <v>-1</v>
      </c>
    </row>
    <row r="955" customFormat="false" ht="23.25" hidden="false" customHeight="true" outlineLevel="0" collapsed="false">
      <c r="B955" s="67" t="str">
        <f aca="false">IFERROR(INDEX(分录报销!$M:$M,MATCH($L955,分录报销!$L:$L,0)),"")</f>
        <v/>
      </c>
      <c r="C955" s="67"/>
      <c r="D955" s="23" t="str">
        <f aca="false">IFERROR(INDEX(分录报销!$E:$E,MATCH($L955,分录报销!$L:$L,0)),"")</f>
        <v/>
      </c>
      <c r="E955" s="23" t="str">
        <f aca="false">IFERROR(INDEX(分录报销!$F:$F,MATCH($L955,分录报销!$L:$L,0)),"")</f>
        <v/>
      </c>
      <c r="F955" s="68" t="str">
        <f aca="false">IFERROR(INDEX(分录报销!$H:$H,MATCH($L955,分录报销!$L:$L,0)),"")</f>
        <v/>
      </c>
      <c r="G955" s="69" t="str">
        <f aca="false">IFERROR(INDEX(分录报销!$I:$I,MATCH($L955,分录报销!$L:$L,0)),"")</f>
        <v/>
      </c>
      <c r="H955" s="23"/>
      <c r="I955" s="70"/>
      <c r="L955" s="71" t="n">
        <f aca="false">IF(助手报销!$R$65="",-1,助手报销!$R$65*100+(助手报销!$S$65-1)*6+5)</f>
        <v>-1</v>
      </c>
    </row>
    <row r="956" customFormat="false" ht="23.25" hidden="false" customHeight="true" outlineLevel="0" collapsed="false">
      <c r="B956" s="67" t="str">
        <f aca="false">IFERROR(INDEX(分录报销!$M:$M,MATCH($L956,分录报销!$L:$L,0)),"")</f>
        <v/>
      </c>
      <c r="C956" s="67"/>
      <c r="D956" s="23" t="str">
        <f aca="false">IFERROR(INDEX(分录报销!$E:$E,MATCH($L956,分录报销!$L:$L,0)),"")</f>
        <v/>
      </c>
      <c r="E956" s="23" t="str">
        <f aca="false">IFERROR(INDEX(分录报销!$F:$F,MATCH($L956,分录报销!$L:$L,0)),"")</f>
        <v/>
      </c>
      <c r="F956" s="68" t="str">
        <f aca="false">IFERROR(INDEX(分录报销!$H:$H,MATCH($L956,分录报销!$L:$L,0)),"")</f>
        <v/>
      </c>
      <c r="G956" s="69" t="str">
        <f aca="false">IFERROR(INDEX(分录报销!$I:$I,MATCH($L956,分录报销!$L:$L,0)),"")</f>
        <v/>
      </c>
      <c r="H956" s="23"/>
      <c r="I956" s="70"/>
      <c r="L956" s="71" t="n">
        <f aca="false">IF(助手报销!$R$65="",-1,助手报销!$R$65*100+(助手报销!$S$65-1)*6+6)</f>
        <v>-1</v>
      </c>
    </row>
    <row r="957" customFormat="false" ht="23.25" hidden="false" customHeight="true" outlineLevel="0" collapsed="false">
      <c r="B957" s="72" t="str">
        <f aca="false">IF(助手报销!$T$65=1,"合计：","")</f>
        <v/>
      </c>
      <c r="C957" s="73" t="str">
        <f aca="false">IF(助手报销!$T$65=1,$F957,"")</f>
        <v/>
      </c>
      <c r="D957" s="74"/>
      <c r="E957" s="74"/>
      <c r="F957" s="75" t="str">
        <f aca="false">IF(助手报销!$T$65=1,INDEX(助手报销!$N$2:$N$121,助手报销!$R$65),"")</f>
        <v/>
      </c>
      <c r="G957" s="76" t="str">
        <f aca="false">IF(助手报销!$T$65=1,INDEX(助手报销!$O$2:$O$121,助手报销!$R$65),"")</f>
        <v/>
      </c>
      <c r="H957" s="74"/>
      <c r="I957" s="77"/>
    </row>
    <row r="958" customFormat="false" ht="6" hidden="false" customHeight="true" outlineLevel="0" collapsed="false"/>
    <row r="959" customFormat="false" ht="13.5" hidden="false" customHeight="false" outlineLevel="0" collapsed="false">
      <c r="B959" s="78" t="str">
        <f aca="false">IF(助手报销!$R$65&lt;&gt;"","会计主管：","")</f>
        <v/>
      </c>
      <c r="D959" s="78" t="str">
        <f aca="false">IF(助手报销!$R$65&lt;&gt;"","会计：","")</f>
        <v/>
      </c>
      <c r="E959" s="78" t="str">
        <f aca="false">IF(助手报销!$R$65&lt;&gt;"","出纳：","")</f>
        <v/>
      </c>
      <c r="F959" s="78" t="str">
        <f aca="false">IF(助手报销!$R$65&lt;&gt;"","复核：","")</f>
        <v/>
      </c>
      <c r="G959" s="78" t="str">
        <f aca="false">IF(助手报销!$R$65&lt;&gt;"","制单：","")</f>
        <v/>
      </c>
    </row>
    <row r="960" customFormat="false" ht="3" hidden="false" customHeight="true" outlineLevel="0" collapsed="false"/>
    <row r="961" customFormat="false" ht="19.5" hidden="false" customHeight="true" outlineLevel="0" collapsed="false">
      <c r="B961" s="53" t="str">
        <f aca="false">IF(助手报销!$R$66&lt;&gt;"","记  账  凭  证","")</f>
        <v/>
      </c>
      <c r="C961" s="53"/>
      <c r="D961" s="53"/>
      <c r="E961" s="53"/>
      <c r="F961" s="53"/>
      <c r="G961" s="53"/>
      <c r="H961" s="53"/>
      <c r="I961" s="53"/>
    </row>
    <row r="962" customFormat="false" ht="3" hidden="false" customHeight="true" outlineLevel="0" collapsed="false"/>
    <row r="963" customFormat="false" ht="15" hidden="false" customHeight="true" outlineLevel="0" collapsed="false">
      <c r="C963" s="56" t="str">
        <f aca="false">IF(助手报销!$R$66&lt;&gt;"",INDEX(助手报销!$B$2:$B$121,助手报销!$R$66),"")</f>
        <v/>
      </c>
      <c r="D963" s="57" t="str">
        <f aca="false">IF(助手报销!$R$66&lt;&gt;"",INDEX(助手报销!$D$2:$D$121,助手报销!$R$66),"")</f>
        <v/>
      </c>
      <c r="E963" s="57"/>
      <c r="F963" s="58" t="str">
        <f aca="false">IF(助手报销!$R$66&lt;&gt;"",INDEX(助手报销!$C$2:$C$121,助手报销!$R$66)&amp;"  字第 "&amp;IF(参数!$B$9="是",INDEX(助手报销!$P$2:$P$121,助手报销!$R$66),"　　　　")&amp;" 号"&amp;IF(INDEX(助手报销!$L$2:$L$121,助手报销!$R$66)&gt;1,"  (共"&amp;INDEX(助手报销!$L$2:$L$121,助手报销!$R$66)&amp;"页 第"&amp;助手报销!$S$66&amp;"页)",""),"")</f>
        <v/>
      </c>
      <c r="G963" s="58"/>
      <c r="H963" s="58"/>
      <c r="I963" s="58"/>
      <c r="M963" s="79" t="str">
        <f aca="false">IF(助手报销!$R$66="","",助手报销!$Q$66)</f>
        <v/>
      </c>
      <c r="N963" s="80" t="str">
        <f aca="false">IF(助手报销!$R$66="","",INDEX(助手报销!$P$2:$P$121,助手报销!$R$66))</f>
        <v/>
      </c>
      <c r="O963" s="55" t="str">
        <f aca="false">IF(助手报销!$R$66="","",INDEX(助手报销!$C$2:$C$121,助手报销!$R$66)&amp;"  字第 "&amp;INDEX(助手报销!$P$2:$P$121,助手报销!$R$66)&amp;" 号"&amp;IF(INDEX(助手报销!$L$2:$L$121,助手报销!$R$66)&gt;1,"  (共"&amp;INDEX(助手报销!$L$2:$L$121,助手报销!$R$66)&amp;"页 第"&amp;助手报销!$S$66&amp;"页)",""))</f>
        <v/>
      </c>
    </row>
    <row r="964" customFormat="false" ht="12.75" hidden="false" customHeight="true" outlineLevel="0" collapsed="false">
      <c r="B964" s="61" t="str">
        <f aca="false">IF(助手报销!$R$66&lt;&gt;"","摘　　要","")</f>
        <v/>
      </c>
      <c r="C964" s="61"/>
      <c r="D964" s="62" t="str">
        <f aca="false">IF(助手报销!$R$66&lt;&gt;"","科　　　　目","")</f>
        <v/>
      </c>
      <c r="E964" s="62"/>
      <c r="F964" s="61" t="str">
        <f aca="false">IF(助手报销!$R$66&lt;&gt;"","借 方 金 额","")</f>
        <v/>
      </c>
      <c r="G964" s="62" t="str">
        <f aca="false">IF(助手报销!$R$66&lt;&gt;"","贷 方 金 额","")</f>
        <v/>
      </c>
      <c r="H964" s="63" t="str">
        <f aca="false">IF(助手报销!$R$66&lt;&gt;"","√","")</f>
        <v/>
      </c>
      <c r="I964" s="64" t="str">
        <f aca="false">IF(助手报销!$R$66&lt;&gt;"","附单据  张","")</f>
        <v/>
      </c>
    </row>
    <row r="965" customFormat="false" ht="12.75" hidden="false" customHeight="true" outlineLevel="0" collapsed="false">
      <c r="B965" s="61"/>
      <c r="C965" s="61"/>
      <c r="D965" s="23" t="str">
        <f aca="false">IF(助手报销!$R$66&lt;&gt;"","总 账 科 目","")</f>
        <v/>
      </c>
      <c r="E965" s="23" t="str">
        <f aca="false">IF(助手报销!$R$66&lt;&gt;"","明 细 科 目","")</f>
        <v/>
      </c>
      <c r="F965" s="65"/>
      <c r="G965" s="66"/>
      <c r="H965" s="63"/>
      <c r="I965" s="64"/>
    </row>
    <row r="966" customFormat="false" ht="23.25" hidden="false" customHeight="true" outlineLevel="0" collapsed="false">
      <c r="B966" s="67" t="str">
        <f aca="false">IFERROR(INDEX(分录报销!$M:$M,MATCH($L966,分录报销!$L:$L,0)),"")</f>
        <v/>
      </c>
      <c r="C966" s="67"/>
      <c r="D966" s="23" t="str">
        <f aca="false">IFERROR(INDEX(分录报销!$E:$E,MATCH($L966,分录报销!$L:$L,0)),"")</f>
        <v/>
      </c>
      <c r="E966" s="23" t="str">
        <f aca="false">IFERROR(INDEX(分录报销!$F:$F,MATCH($L966,分录报销!$L:$L,0)),"")</f>
        <v/>
      </c>
      <c r="F966" s="68" t="str">
        <f aca="false">IFERROR(INDEX(分录报销!$H:$H,MATCH($L966,分录报销!$L:$L,0)),"")</f>
        <v/>
      </c>
      <c r="G966" s="69" t="str">
        <f aca="false">IFERROR(INDEX(分录报销!$I:$I,MATCH($L966,分录报销!$L:$L,0)),"")</f>
        <v/>
      </c>
      <c r="H966" s="23"/>
      <c r="I966" s="70"/>
      <c r="L966" s="71" t="n">
        <f aca="false">IF(助手报销!$R$66="",-1,助手报销!$R$66*100+(助手报销!$S$66-1)*6+1)</f>
        <v>-1</v>
      </c>
    </row>
    <row r="967" customFormat="false" ht="23.25" hidden="false" customHeight="true" outlineLevel="0" collapsed="false">
      <c r="B967" s="67" t="str">
        <f aca="false">IFERROR(INDEX(分录报销!$M:$M,MATCH($L967,分录报销!$L:$L,0)),"")</f>
        <v/>
      </c>
      <c r="C967" s="67"/>
      <c r="D967" s="23" t="str">
        <f aca="false">IFERROR(INDEX(分录报销!$E:$E,MATCH($L967,分录报销!$L:$L,0)),"")</f>
        <v/>
      </c>
      <c r="E967" s="23" t="str">
        <f aca="false">IFERROR(INDEX(分录报销!$F:$F,MATCH($L967,分录报销!$L:$L,0)),"")</f>
        <v/>
      </c>
      <c r="F967" s="68" t="str">
        <f aca="false">IFERROR(INDEX(分录报销!$H:$H,MATCH($L967,分录报销!$L:$L,0)),"")</f>
        <v/>
      </c>
      <c r="G967" s="69" t="str">
        <f aca="false">IFERROR(INDEX(分录报销!$I:$I,MATCH($L967,分录报销!$L:$L,0)),"")</f>
        <v/>
      </c>
      <c r="H967" s="23"/>
      <c r="I967" s="70"/>
      <c r="L967" s="71" t="n">
        <f aca="false">IF(助手报销!$R$66="",-1,助手报销!$R$66*100+(助手报销!$S$66-1)*6+2)</f>
        <v>-1</v>
      </c>
    </row>
    <row r="968" customFormat="false" ht="23.25" hidden="false" customHeight="true" outlineLevel="0" collapsed="false">
      <c r="B968" s="67" t="str">
        <f aca="false">IFERROR(INDEX(分录报销!$M:$M,MATCH($L968,分录报销!$L:$L,0)),"")</f>
        <v/>
      </c>
      <c r="C968" s="67"/>
      <c r="D968" s="23" t="str">
        <f aca="false">IFERROR(INDEX(分录报销!$E:$E,MATCH($L968,分录报销!$L:$L,0)),"")</f>
        <v/>
      </c>
      <c r="E968" s="23" t="str">
        <f aca="false">IFERROR(INDEX(分录报销!$F:$F,MATCH($L968,分录报销!$L:$L,0)),"")</f>
        <v/>
      </c>
      <c r="F968" s="68" t="str">
        <f aca="false">IFERROR(INDEX(分录报销!$H:$H,MATCH($L968,分录报销!$L:$L,0)),"")</f>
        <v/>
      </c>
      <c r="G968" s="69" t="str">
        <f aca="false">IFERROR(INDEX(分录报销!$I:$I,MATCH($L968,分录报销!$L:$L,0)),"")</f>
        <v/>
      </c>
      <c r="H968" s="23"/>
      <c r="I968" s="70"/>
      <c r="L968" s="71" t="n">
        <f aca="false">IF(助手报销!$R$66="",-1,助手报销!$R$66*100+(助手报销!$S$66-1)*6+3)</f>
        <v>-1</v>
      </c>
    </row>
    <row r="969" customFormat="false" ht="23.25" hidden="false" customHeight="true" outlineLevel="0" collapsed="false">
      <c r="B969" s="67" t="str">
        <f aca="false">IFERROR(INDEX(分录报销!$M:$M,MATCH($L969,分录报销!$L:$L,0)),"")</f>
        <v/>
      </c>
      <c r="C969" s="67"/>
      <c r="D969" s="23" t="str">
        <f aca="false">IFERROR(INDEX(分录报销!$E:$E,MATCH($L969,分录报销!$L:$L,0)),"")</f>
        <v/>
      </c>
      <c r="E969" s="23" t="str">
        <f aca="false">IFERROR(INDEX(分录报销!$F:$F,MATCH($L969,分录报销!$L:$L,0)),"")</f>
        <v/>
      </c>
      <c r="F969" s="68" t="str">
        <f aca="false">IFERROR(INDEX(分录报销!$H:$H,MATCH($L969,分录报销!$L:$L,0)),"")</f>
        <v/>
      </c>
      <c r="G969" s="69" t="str">
        <f aca="false">IFERROR(INDEX(分录报销!$I:$I,MATCH($L969,分录报销!$L:$L,0)),"")</f>
        <v/>
      </c>
      <c r="H969" s="23"/>
      <c r="I969" s="70"/>
      <c r="L969" s="71" t="n">
        <f aca="false">IF(助手报销!$R$66="",-1,助手报销!$R$66*100+(助手报销!$S$66-1)*6+4)</f>
        <v>-1</v>
      </c>
    </row>
    <row r="970" customFormat="false" ht="23.25" hidden="false" customHeight="true" outlineLevel="0" collapsed="false">
      <c r="B970" s="67" t="str">
        <f aca="false">IFERROR(INDEX(分录报销!$M:$M,MATCH($L970,分录报销!$L:$L,0)),"")</f>
        <v/>
      </c>
      <c r="C970" s="67"/>
      <c r="D970" s="23" t="str">
        <f aca="false">IFERROR(INDEX(分录报销!$E:$E,MATCH($L970,分录报销!$L:$L,0)),"")</f>
        <v/>
      </c>
      <c r="E970" s="23" t="str">
        <f aca="false">IFERROR(INDEX(分录报销!$F:$F,MATCH($L970,分录报销!$L:$L,0)),"")</f>
        <v/>
      </c>
      <c r="F970" s="68" t="str">
        <f aca="false">IFERROR(INDEX(分录报销!$H:$H,MATCH($L970,分录报销!$L:$L,0)),"")</f>
        <v/>
      </c>
      <c r="G970" s="69" t="str">
        <f aca="false">IFERROR(INDEX(分录报销!$I:$I,MATCH($L970,分录报销!$L:$L,0)),"")</f>
        <v/>
      </c>
      <c r="H970" s="23"/>
      <c r="I970" s="70"/>
      <c r="L970" s="71" t="n">
        <f aca="false">IF(助手报销!$R$66="",-1,助手报销!$R$66*100+(助手报销!$S$66-1)*6+5)</f>
        <v>-1</v>
      </c>
    </row>
    <row r="971" customFormat="false" ht="23.25" hidden="false" customHeight="true" outlineLevel="0" collapsed="false">
      <c r="B971" s="67" t="str">
        <f aca="false">IFERROR(INDEX(分录报销!$M:$M,MATCH($L971,分录报销!$L:$L,0)),"")</f>
        <v/>
      </c>
      <c r="C971" s="67"/>
      <c r="D971" s="23" t="str">
        <f aca="false">IFERROR(INDEX(分录报销!$E:$E,MATCH($L971,分录报销!$L:$L,0)),"")</f>
        <v/>
      </c>
      <c r="E971" s="23" t="str">
        <f aca="false">IFERROR(INDEX(分录报销!$F:$F,MATCH($L971,分录报销!$L:$L,0)),"")</f>
        <v/>
      </c>
      <c r="F971" s="68" t="str">
        <f aca="false">IFERROR(INDEX(分录报销!$H:$H,MATCH($L971,分录报销!$L:$L,0)),"")</f>
        <v/>
      </c>
      <c r="G971" s="69" t="str">
        <f aca="false">IFERROR(INDEX(分录报销!$I:$I,MATCH($L971,分录报销!$L:$L,0)),"")</f>
        <v/>
      </c>
      <c r="H971" s="23"/>
      <c r="I971" s="70"/>
      <c r="L971" s="71" t="n">
        <f aca="false">IF(助手报销!$R$66="",-1,助手报销!$R$66*100+(助手报销!$S$66-1)*6+6)</f>
        <v>-1</v>
      </c>
    </row>
    <row r="972" customFormat="false" ht="23.25" hidden="false" customHeight="true" outlineLevel="0" collapsed="false">
      <c r="B972" s="72" t="str">
        <f aca="false">IF(助手报销!$T$66=1,"合计：","")</f>
        <v/>
      </c>
      <c r="C972" s="73" t="str">
        <f aca="false">IF(助手报销!$T$66=1,$F972,"")</f>
        <v/>
      </c>
      <c r="D972" s="74"/>
      <c r="E972" s="74"/>
      <c r="F972" s="75" t="str">
        <f aca="false">IF(助手报销!$T$66=1,INDEX(助手报销!$N$2:$N$121,助手报销!$R$66),"")</f>
        <v/>
      </c>
      <c r="G972" s="76" t="str">
        <f aca="false">IF(助手报销!$T$66=1,INDEX(助手报销!$O$2:$O$121,助手报销!$R$66),"")</f>
        <v/>
      </c>
      <c r="H972" s="74"/>
      <c r="I972" s="77"/>
    </row>
    <row r="973" customFormat="false" ht="6" hidden="false" customHeight="true" outlineLevel="0" collapsed="false"/>
    <row r="974" customFormat="false" ht="13.5" hidden="false" customHeight="false" outlineLevel="0" collapsed="false">
      <c r="B974" s="78" t="str">
        <f aca="false">IF(助手报销!$R$66&lt;&gt;"","会计主管：","")</f>
        <v/>
      </c>
      <c r="D974" s="78" t="str">
        <f aca="false">IF(助手报销!$R$66&lt;&gt;"","会计：","")</f>
        <v/>
      </c>
      <c r="E974" s="78" t="str">
        <f aca="false">IF(助手报销!$R$66&lt;&gt;"","出纳：","")</f>
        <v/>
      </c>
      <c r="F974" s="78" t="str">
        <f aca="false">IF(助手报销!$R$66&lt;&gt;"","复核：","")</f>
        <v/>
      </c>
      <c r="G974" s="78" t="str">
        <f aca="false">IF(助手报销!$R$66&lt;&gt;"","制单：","")</f>
        <v/>
      </c>
    </row>
    <row r="975" customFormat="false" ht="3" hidden="false" customHeight="true" outlineLevel="0" collapsed="false"/>
    <row r="976" customFormat="false" ht="19.5" hidden="false" customHeight="true" outlineLevel="0" collapsed="false">
      <c r="B976" s="53" t="str">
        <f aca="false">IF(助手报销!$R$67&lt;&gt;"","记  账  凭  证","")</f>
        <v/>
      </c>
      <c r="C976" s="53"/>
      <c r="D976" s="53"/>
      <c r="E976" s="53"/>
      <c r="F976" s="53"/>
      <c r="G976" s="53"/>
      <c r="H976" s="53"/>
      <c r="I976" s="53"/>
    </row>
    <row r="977" customFormat="false" ht="3" hidden="false" customHeight="true" outlineLevel="0" collapsed="false"/>
    <row r="978" customFormat="false" ht="15" hidden="false" customHeight="true" outlineLevel="0" collapsed="false">
      <c r="C978" s="56" t="str">
        <f aca="false">IF(助手报销!$R$67&lt;&gt;"",INDEX(助手报销!$B$2:$B$121,助手报销!$R$67),"")</f>
        <v/>
      </c>
      <c r="D978" s="57" t="str">
        <f aca="false">IF(助手报销!$R$67&lt;&gt;"",INDEX(助手报销!$D$2:$D$121,助手报销!$R$67),"")</f>
        <v/>
      </c>
      <c r="E978" s="57"/>
      <c r="F978" s="58" t="str">
        <f aca="false">IF(助手报销!$R$67&lt;&gt;"",INDEX(助手报销!$C$2:$C$121,助手报销!$R$67)&amp;"  字第 "&amp;IF(参数!$B$9="是",INDEX(助手报销!$P$2:$P$121,助手报销!$R$67),"　　　　")&amp;" 号"&amp;IF(INDEX(助手报销!$L$2:$L$121,助手报销!$R$67)&gt;1,"  (共"&amp;INDEX(助手报销!$L$2:$L$121,助手报销!$R$67)&amp;"页 第"&amp;助手报销!$S$67&amp;"页)",""),"")</f>
        <v/>
      </c>
      <c r="G978" s="58"/>
      <c r="H978" s="58"/>
      <c r="I978" s="58"/>
      <c r="M978" s="79" t="str">
        <f aca="false">IF(助手报销!$R$67="","",助手报销!$Q$67)</f>
        <v/>
      </c>
      <c r="N978" s="80" t="str">
        <f aca="false">IF(助手报销!$R$67="","",INDEX(助手报销!$P$2:$P$121,助手报销!$R$67))</f>
        <v/>
      </c>
      <c r="O978" s="55" t="str">
        <f aca="false">IF(助手报销!$R$67="","",INDEX(助手报销!$C$2:$C$121,助手报销!$R$67)&amp;"  字第 "&amp;INDEX(助手报销!$P$2:$P$121,助手报销!$R$67)&amp;" 号"&amp;IF(INDEX(助手报销!$L$2:$L$121,助手报销!$R$67)&gt;1,"  (共"&amp;INDEX(助手报销!$L$2:$L$121,助手报销!$R$67)&amp;"页 第"&amp;助手报销!$S$67&amp;"页)",""))</f>
        <v/>
      </c>
    </row>
    <row r="979" customFormat="false" ht="12.75" hidden="false" customHeight="true" outlineLevel="0" collapsed="false">
      <c r="B979" s="61" t="str">
        <f aca="false">IF(助手报销!$R$67&lt;&gt;"","摘　　要","")</f>
        <v/>
      </c>
      <c r="C979" s="61"/>
      <c r="D979" s="62" t="str">
        <f aca="false">IF(助手报销!$R$67&lt;&gt;"","科　　　　目","")</f>
        <v/>
      </c>
      <c r="E979" s="62"/>
      <c r="F979" s="61" t="str">
        <f aca="false">IF(助手报销!$R$67&lt;&gt;"","借 方 金 额","")</f>
        <v/>
      </c>
      <c r="G979" s="62" t="str">
        <f aca="false">IF(助手报销!$R$67&lt;&gt;"","贷 方 金 额","")</f>
        <v/>
      </c>
      <c r="H979" s="63" t="str">
        <f aca="false">IF(助手报销!$R$67&lt;&gt;"","√","")</f>
        <v/>
      </c>
      <c r="I979" s="64" t="str">
        <f aca="false">IF(助手报销!$R$67&lt;&gt;"","附单据  张","")</f>
        <v/>
      </c>
    </row>
    <row r="980" customFormat="false" ht="12.75" hidden="false" customHeight="true" outlineLevel="0" collapsed="false">
      <c r="B980" s="61"/>
      <c r="C980" s="61"/>
      <c r="D980" s="23" t="str">
        <f aca="false">IF(助手报销!$R$67&lt;&gt;"","总 账 科 目","")</f>
        <v/>
      </c>
      <c r="E980" s="23" t="str">
        <f aca="false">IF(助手报销!$R$67&lt;&gt;"","明 细 科 目","")</f>
        <v/>
      </c>
      <c r="F980" s="65"/>
      <c r="G980" s="66"/>
      <c r="H980" s="63"/>
      <c r="I980" s="64"/>
    </row>
    <row r="981" customFormat="false" ht="23.25" hidden="false" customHeight="true" outlineLevel="0" collapsed="false">
      <c r="B981" s="67" t="str">
        <f aca="false">IFERROR(INDEX(分录报销!$M:$M,MATCH($L981,分录报销!$L:$L,0)),"")</f>
        <v/>
      </c>
      <c r="C981" s="67"/>
      <c r="D981" s="23" t="str">
        <f aca="false">IFERROR(INDEX(分录报销!$E:$E,MATCH($L981,分录报销!$L:$L,0)),"")</f>
        <v/>
      </c>
      <c r="E981" s="23" t="str">
        <f aca="false">IFERROR(INDEX(分录报销!$F:$F,MATCH($L981,分录报销!$L:$L,0)),"")</f>
        <v/>
      </c>
      <c r="F981" s="68" t="str">
        <f aca="false">IFERROR(INDEX(分录报销!$H:$H,MATCH($L981,分录报销!$L:$L,0)),"")</f>
        <v/>
      </c>
      <c r="G981" s="69" t="str">
        <f aca="false">IFERROR(INDEX(分录报销!$I:$I,MATCH($L981,分录报销!$L:$L,0)),"")</f>
        <v/>
      </c>
      <c r="H981" s="23"/>
      <c r="I981" s="70"/>
      <c r="L981" s="71" t="n">
        <f aca="false">IF(助手报销!$R$67="",-1,助手报销!$R$67*100+(助手报销!$S$67-1)*6+1)</f>
        <v>-1</v>
      </c>
    </row>
    <row r="982" customFormat="false" ht="23.25" hidden="false" customHeight="true" outlineLevel="0" collapsed="false">
      <c r="B982" s="67" t="str">
        <f aca="false">IFERROR(INDEX(分录报销!$M:$M,MATCH($L982,分录报销!$L:$L,0)),"")</f>
        <v/>
      </c>
      <c r="C982" s="67"/>
      <c r="D982" s="23" t="str">
        <f aca="false">IFERROR(INDEX(分录报销!$E:$E,MATCH($L982,分录报销!$L:$L,0)),"")</f>
        <v/>
      </c>
      <c r="E982" s="23" t="str">
        <f aca="false">IFERROR(INDEX(分录报销!$F:$F,MATCH($L982,分录报销!$L:$L,0)),"")</f>
        <v/>
      </c>
      <c r="F982" s="68" t="str">
        <f aca="false">IFERROR(INDEX(分录报销!$H:$H,MATCH($L982,分录报销!$L:$L,0)),"")</f>
        <v/>
      </c>
      <c r="G982" s="69" t="str">
        <f aca="false">IFERROR(INDEX(分录报销!$I:$I,MATCH($L982,分录报销!$L:$L,0)),"")</f>
        <v/>
      </c>
      <c r="H982" s="23"/>
      <c r="I982" s="70"/>
      <c r="L982" s="71" t="n">
        <f aca="false">IF(助手报销!$R$67="",-1,助手报销!$R$67*100+(助手报销!$S$67-1)*6+2)</f>
        <v>-1</v>
      </c>
    </row>
    <row r="983" customFormat="false" ht="23.25" hidden="false" customHeight="true" outlineLevel="0" collapsed="false">
      <c r="B983" s="67" t="str">
        <f aca="false">IFERROR(INDEX(分录报销!$M:$M,MATCH($L983,分录报销!$L:$L,0)),"")</f>
        <v/>
      </c>
      <c r="C983" s="67"/>
      <c r="D983" s="23" t="str">
        <f aca="false">IFERROR(INDEX(分录报销!$E:$E,MATCH($L983,分录报销!$L:$L,0)),"")</f>
        <v/>
      </c>
      <c r="E983" s="23" t="str">
        <f aca="false">IFERROR(INDEX(分录报销!$F:$F,MATCH($L983,分录报销!$L:$L,0)),"")</f>
        <v/>
      </c>
      <c r="F983" s="68" t="str">
        <f aca="false">IFERROR(INDEX(分录报销!$H:$H,MATCH($L983,分录报销!$L:$L,0)),"")</f>
        <v/>
      </c>
      <c r="G983" s="69" t="str">
        <f aca="false">IFERROR(INDEX(分录报销!$I:$I,MATCH($L983,分录报销!$L:$L,0)),"")</f>
        <v/>
      </c>
      <c r="H983" s="23"/>
      <c r="I983" s="70"/>
      <c r="L983" s="71" t="n">
        <f aca="false">IF(助手报销!$R$67="",-1,助手报销!$R$67*100+(助手报销!$S$67-1)*6+3)</f>
        <v>-1</v>
      </c>
    </row>
    <row r="984" customFormat="false" ht="23.25" hidden="false" customHeight="true" outlineLevel="0" collapsed="false">
      <c r="B984" s="67" t="str">
        <f aca="false">IFERROR(INDEX(分录报销!$M:$M,MATCH($L984,分录报销!$L:$L,0)),"")</f>
        <v/>
      </c>
      <c r="C984" s="67"/>
      <c r="D984" s="23" t="str">
        <f aca="false">IFERROR(INDEX(分录报销!$E:$E,MATCH($L984,分录报销!$L:$L,0)),"")</f>
        <v/>
      </c>
      <c r="E984" s="23" t="str">
        <f aca="false">IFERROR(INDEX(分录报销!$F:$F,MATCH($L984,分录报销!$L:$L,0)),"")</f>
        <v/>
      </c>
      <c r="F984" s="68" t="str">
        <f aca="false">IFERROR(INDEX(分录报销!$H:$H,MATCH($L984,分录报销!$L:$L,0)),"")</f>
        <v/>
      </c>
      <c r="G984" s="69" t="str">
        <f aca="false">IFERROR(INDEX(分录报销!$I:$I,MATCH($L984,分录报销!$L:$L,0)),"")</f>
        <v/>
      </c>
      <c r="H984" s="23"/>
      <c r="I984" s="70"/>
      <c r="L984" s="71" t="n">
        <f aca="false">IF(助手报销!$R$67="",-1,助手报销!$R$67*100+(助手报销!$S$67-1)*6+4)</f>
        <v>-1</v>
      </c>
    </row>
    <row r="985" customFormat="false" ht="23.25" hidden="false" customHeight="true" outlineLevel="0" collapsed="false">
      <c r="B985" s="67" t="str">
        <f aca="false">IFERROR(INDEX(分录报销!$M:$M,MATCH($L985,分录报销!$L:$L,0)),"")</f>
        <v/>
      </c>
      <c r="C985" s="67"/>
      <c r="D985" s="23" t="str">
        <f aca="false">IFERROR(INDEX(分录报销!$E:$E,MATCH($L985,分录报销!$L:$L,0)),"")</f>
        <v/>
      </c>
      <c r="E985" s="23" t="str">
        <f aca="false">IFERROR(INDEX(分录报销!$F:$F,MATCH($L985,分录报销!$L:$L,0)),"")</f>
        <v/>
      </c>
      <c r="F985" s="68" t="str">
        <f aca="false">IFERROR(INDEX(分录报销!$H:$H,MATCH($L985,分录报销!$L:$L,0)),"")</f>
        <v/>
      </c>
      <c r="G985" s="69" t="str">
        <f aca="false">IFERROR(INDEX(分录报销!$I:$I,MATCH($L985,分录报销!$L:$L,0)),"")</f>
        <v/>
      </c>
      <c r="H985" s="23"/>
      <c r="I985" s="70"/>
      <c r="L985" s="71" t="n">
        <f aca="false">IF(助手报销!$R$67="",-1,助手报销!$R$67*100+(助手报销!$S$67-1)*6+5)</f>
        <v>-1</v>
      </c>
    </row>
    <row r="986" customFormat="false" ht="23.25" hidden="false" customHeight="true" outlineLevel="0" collapsed="false">
      <c r="B986" s="67" t="str">
        <f aca="false">IFERROR(INDEX(分录报销!$M:$M,MATCH($L986,分录报销!$L:$L,0)),"")</f>
        <v/>
      </c>
      <c r="C986" s="67"/>
      <c r="D986" s="23" t="str">
        <f aca="false">IFERROR(INDEX(分录报销!$E:$E,MATCH($L986,分录报销!$L:$L,0)),"")</f>
        <v/>
      </c>
      <c r="E986" s="23" t="str">
        <f aca="false">IFERROR(INDEX(分录报销!$F:$F,MATCH($L986,分录报销!$L:$L,0)),"")</f>
        <v/>
      </c>
      <c r="F986" s="68" t="str">
        <f aca="false">IFERROR(INDEX(分录报销!$H:$H,MATCH($L986,分录报销!$L:$L,0)),"")</f>
        <v/>
      </c>
      <c r="G986" s="69" t="str">
        <f aca="false">IFERROR(INDEX(分录报销!$I:$I,MATCH($L986,分录报销!$L:$L,0)),"")</f>
        <v/>
      </c>
      <c r="H986" s="23"/>
      <c r="I986" s="70"/>
      <c r="L986" s="71" t="n">
        <f aca="false">IF(助手报销!$R$67="",-1,助手报销!$R$67*100+(助手报销!$S$67-1)*6+6)</f>
        <v>-1</v>
      </c>
    </row>
    <row r="987" customFormat="false" ht="23.25" hidden="false" customHeight="true" outlineLevel="0" collapsed="false">
      <c r="B987" s="72" t="str">
        <f aca="false">IF(助手报销!$T$67=1,"合计：","")</f>
        <v/>
      </c>
      <c r="C987" s="73" t="str">
        <f aca="false">IF(助手报销!$T$67=1,$F987,"")</f>
        <v/>
      </c>
      <c r="D987" s="74"/>
      <c r="E987" s="74"/>
      <c r="F987" s="75" t="str">
        <f aca="false">IF(助手报销!$T$67=1,INDEX(助手报销!$N$2:$N$121,助手报销!$R$67),"")</f>
        <v/>
      </c>
      <c r="G987" s="76" t="str">
        <f aca="false">IF(助手报销!$T$67=1,INDEX(助手报销!$O$2:$O$121,助手报销!$R$67),"")</f>
        <v/>
      </c>
      <c r="H987" s="74"/>
      <c r="I987" s="77"/>
    </row>
    <row r="988" customFormat="false" ht="6" hidden="false" customHeight="true" outlineLevel="0" collapsed="false"/>
    <row r="989" customFormat="false" ht="13.5" hidden="false" customHeight="false" outlineLevel="0" collapsed="false">
      <c r="B989" s="78" t="str">
        <f aca="false">IF(助手报销!$R$67&lt;&gt;"","会计主管：","")</f>
        <v/>
      </c>
      <c r="D989" s="78" t="str">
        <f aca="false">IF(助手报销!$R$67&lt;&gt;"","会计：","")</f>
        <v/>
      </c>
      <c r="E989" s="78" t="str">
        <f aca="false">IF(助手报销!$R$67&lt;&gt;"","出纳：","")</f>
        <v/>
      </c>
      <c r="F989" s="78" t="str">
        <f aca="false">IF(助手报销!$R$67&lt;&gt;"","复核：","")</f>
        <v/>
      </c>
      <c r="G989" s="78" t="str">
        <f aca="false">IF(助手报销!$R$67&lt;&gt;"","制单：","")</f>
        <v/>
      </c>
    </row>
    <row r="990" customFormat="false" ht="3" hidden="false" customHeight="true" outlineLevel="0" collapsed="false"/>
    <row r="991" customFormat="false" ht="19.5" hidden="false" customHeight="true" outlineLevel="0" collapsed="false">
      <c r="B991" s="53" t="str">
        <f aca="false">IF(助手报销!$R$68&lt;&gt;"","记  账  凭  证","")</f>
        <v/>
      </c>
      <c r="C991" s="53"/>
      <c r="D991" s="53"/>
      <c r="E991" s="53"/>
      <c r="F991" s="53"/>
      <c r="G991" s="53"/>
      <c r="H991" s="53"/>
      <c r="I991" s="53"/>
    </row>
    <row r="992" customFormat="false" ht="3" hidden="false" customHeight="true" outlineLevel="0" collapsed="false"/>
    <row r="993" customFormat="false" ht="15" hidden="false" customHeight="true" outlineLevel="0" collapsed="false">
      <c r="C993" s="56" t="str">
        <f aca="false">IF(助手报销!$R$68&lt;&gt;"",INDEX(助手报销!$B$2:$B$121,助手报销!$R$68),"")</f>
        <v/>
      </c>
      <c r="D993" s="57" t="str">
        <f aca="false">IF(助手报销!$R$68&lt;&gt;"",INDEX(助手报销!$D$2:$D$121,助手报销!$R$68),"")</f>
        <v/>
      </c>
      <c r="E993" s="57"/>
      <c r="F993" s="58" t="str">
        <f aca="false">IF(助手报销!$R$68&lt;&gt;"",INDEX(助手报销!$C$2:$C$121,助手报销!$R$68)&amp;"  字第 "&amp;IF(参数!$B$9="是",INDEX(助手报销!$P$2:$P$121,助手报销!$R$68),"　　　　")&amp;" 号"&amp;IF(INDEX(助手报销!$L$2:$L$121,助手报销!$R$68)&gt;1,"  (共"&amp;INDEX(助手报销!$L$2:$L$121,助手报销!$R$68)&amp;"页 第"&amp;助手报销!$S$68&amp;"页)",""),"")</f>
        <v/>
      </c>
      <c r="G993" s="58"/>
      <c r="H993" s="58"/>
      <c r="I993" s="58"/>
      <c r="M993" s="79" t="str">
        <f aca="false">IF(助手报销!$R$68="","",助手报销!$Q$68)</f>
        <v/>
      </c>
      <c r="N993" s="80" t="str">
        <f aca="false">IF(助手报销!$R$68="","",INDEX(助手报销!$P$2:$P$121,助手报销!$R$68))</f>
        <v/>
      </c>
      <c r="O993" s="55" t="str">
        <f aca="false">IF(助手报销!$R$68="","",INDEX(助手报销!$C$2:$C$121,助手报销!$R$68)&amp;"  字第 "&amp;INDEX(助手报销!$P$2:$P$121,助手报销!$R$68)&amp;" 号"&amp;IF(INDEX(助手报销!$L$2:$L$121,助手报销!$R$68)&gt;1,"  (共"&amp;INDEX(助手报销!$L$2:$L$121,助手报销!$R$68)&amp;"页 第"&amp;助手报销!$S$68&amp;"页)",""))</f>
        <v/>
      </c>
    </row>
    <row r="994" customFormat="false" ht="12.75" hidden="false" customHeight="true" outlineLevel="0" collapsed="false">
      <c r="B994" s="61" t="str">
        <f aca="false">IF(助手报销!$R$68&lt;&gt;"","摘　　要","")</f>
        <v/>
      </c>
      <c r="C994" s="61"/>
      <c r="D994" s="62" t="str">
        <f aca="false">IF(助手报销!$R$68&lt;&gt;"","科　　　　目","")</f>
        <v/>
      </c>
      <c r="E994" s="62"/>
      <c r="F994" s="61" t="str">
        <f aca="false">IF(助手报销!$R$68&lt;&gt;"","借 方 金 额","")</f>
        <v/>
      </c>
      <c r="G994" s="62" t="str">
        <f aca="false">IF(助手报销!$R$68&lt;&gt;"","贷 方 金 额","")</f>
        <v/>
      </c>
      <c r="H994" s="63" t="str">
        <f aca="false">IF(助手报销!$R$68&lt;&gt;"","√","")</f>
        <v/>
      </c>
      <c r="I994" s="64" t="str">
        <f aca="false">IF(助手报销!$R$68&lt;&gt;"","附单据  张","")</f>
        <v/>
      </c>
    </row>
    <row r="995" customFormat="false" ht="12.75" hidden="false" customHeight="true" outlineLevel="0" collapsed="false">
      <c r="B995" s="61"/>
      <c r="C995" s="61"/>
      <c r="D995" s="23" t="str">
        <f aca="false">IF(助手报销!$R$68&lt;&gt;"","总 账 科 目","")</f>
        <v/>
      </c>
      <c r="E995" s="23" t="str">
        <f aca="false">IF(助手报销!$R$68&lt;&gt;"","明 细 科 目","")</f>
        <v/>
      </c>
      <c r="F995" s="65"/>
      <c r="G995" s="66"/>
      <c r="H995" s="63"/>
      <c r="I995" s="64"/>
    </row>
    <row r="996" customFormat="false" ht="23.25" hidden="false" customHeight="true" outlineLevel="0" collapsed="false">
      <c r="B996" s="67" t="str">
        <f aca="false">IFERROR(INDEX(分录报销!$M:$M,MATCH($L996,分录报销!$L:$L,0)),"")</f>
        <v/>
      </c>
      <c r="C996" s="67"/>
      <c r="D996" s="23" t="str">
        <f aca="false">IFERROR(INDEX(分录报销!$E:$E,MATCH($L996,分录报销!$L:$L,0)),"")</f>
        <v/>
      </c>
      <c r="E996" s="23" t="str">
        <f aca="false">IFERROR(INDEX(分录报销!$F:$F,MATCH($L996,分录报销!$L:$L,0)),"")</f>
        <v/>
      </c>
      <c r="F996" s="68" t="str">
        <f aca="false">IFERROR(INDEX(分录报销!$H:$H,MATCH($L996,分录报销!$L:$L,0)),"")</f>
        <v/>
      </c>
      <c r="G996" s="69" t="str">
        <f aca="false">IFERROR(INDEX(分录报销!$I:$I,MATCH($L996,分录报销!$L:$L,0)),"")</f>
        <v/>
      </c>
      <c r="H996" s="23"/>
      <c r="I996" s="70"/>
      <c r="L996" s="71" t="n">
        <f aca="false">IF(助手报销!$R$68="",-1,助手报销!$R$68*100+(助手报销!$S$68-1)*6+1)</f>
        <v>-1</v>
      </c>
    </row>
    <row r="997" customFormat="false" ht="23.25" hidden="false" customHeight="true" outlineLevel="0" collapsed="false">
      <c r="B997" s="67" t="str">
        <f aca="false">IFERROR(INDEX(分录报销!$M:$M,MATCH($L997,分录报销!$L:$L,0)),"")</f>
        <v/>
      </c>
      <c r="C997" s="67"/>
      <c r="D997" s="23" t="str">
        <f aca="false">IFERROR(INDEX(分录报销!$E:$E,MATCH($L997,分录报销!$L:$L,0)),"")</f>
        <v/>
      </c>
      <c r="E997" s="23" t="str">
        <f aca="false">IFERROR(INDEX(分录报销!$F:$F,MATCH($L997,分录报销!$L:$L,0)),"")</f>
        <v/>
      </c>
      <c r="F997" s="68" t="str">
        <f aca="false">IFERROR(INDEX(分录报销!$H:$H,MATCH($L997,分录报销!$L:$L,0)),"")</f>
        <v/>
      </c>
      <c r="G997" s="69" t="str">
        <f aca="false">IFERROR(INDEX(分录报销!$I:$I,MATCH($L997,分录报销!$L:$L,0)),"")</f>
        <v/>
      </c>
      <c r="H997" s="23"/>
      <c r="I997" s="70"/>
      <c r="L997" s="71" t="n">
        <f aca="false">IF(助手报销!$R$68="",-1,助手报销!$R$68*100+(助手报销!$S$68-1)*6+2)</f>
        <v>-1</v>
      </c>
    </row>
    <row r="998" customFormat="false" ht="23.25" hidden="false" customHeight="true" outlineLevel="0" collapsed="false">
      <c r="B998" s="67" t="str">
        <f aca="false">IFERROR(INDEX(分录报销!$M:$M,MATCH($L998,分录报销!$L:$L,0)),"")</f>
        <v/>
      </c>
      <c r="C998" s="67"/>
      <c r="D998" s="23" t="str">
        <f aca="false">IFERROR(INDEX(分录报销!$E:$E,MATCH($L998,分录报销!$L:$L,0)),"")</f>
        <v/>
      </c>
      <c r="E998" s="23" t="str">
        <f aca="false">IFERROR(INDEX(分录报销!$F:$F,MATCH($L998,分录报销!$L:$L,0)),"")</f>
        <v/>
      </c>
      <c r="F998" s="68" t="str">
        <f aca="false">IFERROR(INDEX(分录报销!$H:$H,MATCH($L998,分录报销!$L:$L,0)),"")</f>
        <v/>
      </c>
      <c r="G998" s="69" t="str">
        <f aca="false">IFERROR(INDEX(分录报销!$I:$I,MATCH($L998,分录报销!$L:$L,0)),"")</f>
        <v/>
      </c>
      <c r="H998" s="23"/>
      <c r="I998" s="70"/>
      <c r="L998" s="71" t="n">
        <f aca="false">IF(助手报销!$R$68="",-1,助手报销!$R$68*100+(助手报销!$S$68-1)*6+3)</f>
        <v>-1</v>
      </c>
    </row>
    <row r="999" customFormat="false" ht="23.25" hidden="false" customHeight="true" outlineLevel="0" collapsed="false">
      <c r="B999" s="67" t="str">
        <f aca="false">IFERROR(INDEX(分录报销!$M:$M,MATCH($L999,分录报销!$L:$L,0)),"")</f>
        <v/>
      </c>
      <c r="C999" s="67"/>
      <c r="D999" s="23" t="str">
        <f aca="false">IFERROR(INDEX(分录报销!$E:$E,MATCH($L999,分录报销!$L:$L,0)),"")</f>
        <v/>
      </c>
      <c r="E999" s="23" t="str">
        <f aca="false">IFERROR(INDEX(分录报销!$F:$F,MATCH($L999,分录报销!$L:$L,0)),"")</f>
        <v/>
      </c>
      <c r="F999" s="68" t="str">
        <f aca="false">IFERROR(INDEX(分录报销!$H:$H,MATCH($L999,分录报销!$L:$L,0)),"")</f>
        <v/>
      </c>
      <c r="G999" s="69" t="str">
        <f aca="false">IFERROR(INDEX(分录报销!$I:$I,MATCH($L999,分录报销!$L:$L,0)),"")</f>
        <v/>
      </c>
      <c r="H999" s="23"/>
      <c r="I999" s="70"/>
      <c r="L999" s="71" t="n">
        <f aca="false">IF(助手报销!$R$68="",-1,助手报销!$R$68*100+(助手报销!$S$68-1)*6+4)</f>
        <v>-1</v>
      </c>
    </row>
    <row r="1000" customFormat="false" ht="23.25" hidden="false" customHeight="true" outlineLevel="0" collapsed="false">
      <c r="B1000" s="67" t="str">
        <f aca="false">IFERROR(INDEX(分录报销!$M:$M,MATCH($L1000,分录报销!$L:$L,0)),"")</f>
        <v/>
      </c>
      <c r="C1000" s="67"/>
      <c r="D1000" s="23" t="str">
        <f aca="false">IFERROR(INDEX(分录报销!$E:$E,MATCH($L1000,分录报销!$L:$L,0)),"")</f>
        <v/>
      </c>
      <c r="E1000" s="23" t="str">
        <f aca="false">IFERROR(INDEX(分录报销!$F:$F,MATCH($L1000,分录报销!$L:$L,0)),"")</f>
        <v/>
      </c>
      <c r="F1000" s="68" t="str">
        <f aca="false">IFERROR(INDEX(分录报销!$H:$H,MATCH($L1000,分录报销!$L:$L,0)),"")</f>
        <v/>
      </c>
      <c r="G1000" s="69" t="str">
        <f aca="false">IFERROR(INDEX(分录报销!$I:$I,MATCH($L1000,分录报销!$L:$L,0)),"")</f>
        <v/>
      </c>
      <c r="H1000" s="23"/>
      <c r="I1000" s="70"/>
      <c r="L1000" s="71" t="n">
        <f aca="false">IF(助手报销!$R$68="",-1,助手报销!$R$68*100+(助手报销!$S$68-1)*6+5)</f>
        <v>-1</v>
      </c>
    </row>
    <row r="1001" customFormat="false" ht="23.25" hidden="false" customHeight="true" outlineLevel="0" collapsed="false">
      <c r="B1001" s="67" t="str">
        <f aca="false">IFERROR(INDEX(分录报销!$M:$M,MATCH($L1001,分录报销!$L:$L,0)),"")</f>
        <v/>
      </c>
      <c r="C1001" s="67"/>
      <c r="D1001" s="23" t="str">
        <f aca="false">IFERROR(INDEX(分录报销!$E:$E,MATCH($L1001,分录报销!$L:$L,0)),"")</f>
        <v/>
      </c>
      <c r="E1001" s="23" t="str">
        <f aca="false">IFERROR(INDEX(分录报销!$F:$F,MATCH($L1001,分录报销!$L:$L,0)),"")</f>
        <v/>
      </c>
      <c r="F1001" s="68" t="str">
        <f aca="false">IFERROR(INDEX(分录报销!$H:$H,MATCH($L1001,分录报销!$L:$L,0)),"")</f>
        <v/>
      </c>
      <c r="G1001" s="69" t="str">
        <f aca="false">IFERROR(INDEX(分录报销!$I:$I,MATCH($L1001,分录报销!$L:$L,0)),"")</f>
        <v/>
      </c>
      <c r="H1001" s="23"/>
      <c r="I1001" s="70"/>
      <c r="L1001" s="71" t="n">
        <f aca="false">IF(助手报销!$R$68="",-1,助手报销!$R$68*100+(助手报销!$S$68-1)*6+6)</f>
        <v>-1</v>
      </c>
    </row>
    <row r="1002" customFormat="false" ht="23.25" hidden="false" customHeight="true" outlineLevel="0" collapsed="false">
      <c r="B1002" s="72" t="str">
        <f aca="false">IF(助手报销!$T$68=1,"合计：","")</f>
        <v/>
      </c>
      <c r="C1002" s="73" t="str">
        <f aca="false">IF(助手报销!$T$68=1,$F1002,"")</f>
        <v/>
      </c>
      <c r="D1002" s="74"/>
      <c r="E1002" s="74"/>
      <c r="F1002" s="75" t="str">
        <f aca="false">IF(助手报销!$T$68=1,INDEX(助手报销!$N$2:$N$121,助手报销!$R$68),"")</f>
        <v/>
      </c>
      <c r="G1002" s="76" t="str">
        <f aca="false">IF(助手报销!$T$68=1,INDEX(助手报销!$O$2:$O$121,助手报销!$R$68),"")</f>
        <v/>
      </c>
      <c r="H1002" s="74"/>
      <c r="I1002" s="77"/>
    </row>
    <row r="1003" customFormat="false" ht="6" hidden="false" customHeight="true" outlineLevel="0" collapsed="false"/>
    <row r="1004" customFormat="false" ht="13.5" hidden="false" customHeight="false" outlineLevel="0" collapsed="false">
      <c r="B1004" s="78" t="str">
        <f aca="false">IF(助手报销!$R$68&lt;&gt;"","会计主管：","")</f>
        <v/>
      </c>
      <c r="D1004" s="78" t="str">
        <f aca="false">IF(助手报销!$R$68&lt;&gt;"","会计：","")</f>
        <v/>
      </c>
      <c r="E1004" s="78" t="str">
        <f aca="false">IF(助手报销!$R$68&lt;&gt;"","出纳：","")</f>
        <v/>
      </c>
      <c r="F1004" s="78" t="str">
        <f aca="false">IF(助手报销!$R$68&lt;&gt;"","复核：","")</f>
        <v/>
      </c>
      <c r="G1004" s="78" t="str">
        <f aca="false">IF(助手报销!$R$68&lt;&gt;"","制单：","")</f>
        <v/>
      </c>
    </row>
    <row r="1005" customFormat="false" ht="3" hidden="false" customHeight="true" outlineLevel="0" collapsed="false"/>
    <row r="1006" customFormat="false" ht="19.5" hidden="false" customHeight="true" outlineLevel="0" collapsed="false">
      <c r="B1006" s="53" t="str">
        <f aca="false">IF(助手报销!$R$69&lt;&gt;"","记  账  凭  证","")</f>
        <v/>
      </c>
      <c r="C1006" s="53"/>
      <c r="D1006" s="53"/>
      <c r="E1006" s="53"/>
      <c r="F1006" s="53"/>
      <c r="G1006" s="53"/>
      <c r="H1006" s="53"/>
      <c r="I1006" s="53"/>
    </row>
    <row r="1007" customFormat="false" ht="3" hidden="false" customHeight="true" outlineLevel="0" collapsed="false"/>
    <row r="1008" customFormat="false" ht="15" hidden="false" customHeight="true" outlineLevel="0" collapsed="false">
      <c r="C1008" s="56" t="str">
        <f aca="false">IF(助手报销!$R$69&lt;&gt;"",INDEX(助手报销!$B$2:$B$121,助手报销!$R$69),"")</f>
        <v/>
      </c>
      <c r="D1008" s="57" t="str">
        <f aca="false">IF(助手报销!$R$69&lt;&gt;"",INDEX(助手报销!$D$2:$D$121,助手报销!$R$69),"")</f>
        <v/>
      </c>
      <c r="E1008" s="57"/>
      <c r="F1008" s="58" t="str">
        <f aca="false">IF(助手报销!$R$69&lt;&gt;"",INDEX(助手报销!$C$2:$C$121,助手报销!$R$69)&amp;"  字第 "&amp;IF(参数!$B$9="是",INDEX(助手报销!$P$2:$P$121,助手报销!$R$69),"　　　　")&amp;" 号"&amp;IF(INDEX(助手报销!$L$2:$L$121,助手报销!$R$69)&gt;1,"  (共"&amp;INDEX(助手报销!$L$2:$L$121,助手报销!$R$69)&amp;"页 第"&amp;助手报销!$S$69&amp;"页)",""),"")</f>
        <v/>
      </c>
      <c r="G1008" s="58"/>
      <c r="H1008" s="58"/>
      <c r="I1008" s="58"/>
      <c r="M1008" s="79" t="str">
        <f aca="false">IF(助手报销!$R$69="","",助手报销!$Q$69)</f>
        <v/>
      </c>
      <c r="N1008" s="80" t="str">
        <f aca="false">IF(助手报销!$R$69="","",INDEX(助手报销!$P$2:$P$121,助手报销!$R$69))</f>
        <v/>
      </c>
      <c r="O1008" s="55" t="str">
        <f aca="false">IF(助手报销!$R$69="","",INDEX(助手报销!$C$2:$C$121,助手报销!$R$69)&amp;"  字第 "&amp;INDEX(助手报销!$P$2:$P$121,助手报销!$R$69)&amp;" 号"&amp;IF(INDEX(助手报销!$L$2:$L$121,助手报销!$R$69)&gt;1,"  (共"&amp;INDEX(助手报销!$L$2:$L$121,助手报销!$R$69)&amp;"页 第"&amp;助手报销!$S$69&amp;"页)",""))</f>
        <v/>
      </c>
    </row>
    <row r="1009" customFormat="false" ht="12.75" hidden="false" customHeight="true" outlineLevel="0" collapsed="false">
      <c r="B1009" s="61" t="str">
        <f aca="false">IF(助手报销!$R$69&lt;&gt;"","摘　　要","")</f>
        <v/>
      </c>
      <c r="C1009" s="61"/>
      <c r="D1009" s="62" t="str">
        <f aca="false">IF(助手报销!$R$69&lt;&gt;"","科　　　　目","")</f>
        <v/>
      </c>
      <c r="E1009" s="62"/>
      <c r="F1009" s="61" t="str">
        <f aca="false">IF(助手报销!$R$69&lt;&gt;"","借 方 金 额","")</f>
        <v/>
      </c>
      <c r="G1009" s="62" t="str">
        <f aca="false">IF(助手报销!$R$69&lt;&gt;"","贷 方 金 额","")</f>
        <v/>
      </c>
      <c r="H1009" s="63" t="str">
        <f aca="false">IF(助手报销!$R$69&lt;&gt;"","√","")</f>
        <v/>
      </c>
      <c r="I1009" s="64" t="str">
        <f aca="false">IF(助手报销!$R$69&lt;&gt;"","附单据  张","")</f>
        <v/>
      </c>
    </row>
    <row r="1010" customFormat="false" ht="12.75" hidden="false" customHeight="true" outlineLevel="0" collapsed="false">
      <c r="B1010" s="61"/>
      <c r="C1010" s="61"/>
      <c r="D1010" s="23" t="str">
        <f aca="false">IF(助手报销!$R$69&lt;&gt;"","总 账 科 目","")</f>
        <v/>
      </c>
      <c r="E1010" s="23" t="str">
        <f aca="false">IF(助手报销!$R$69&lt;&gt;"","明 细 科 目","")</f>
        <v/>
      </c>
      <c r="F1010" s="65"/>
      <c r="G1010" s="66"/>
      <c r="H1010" s="63"/>
      <c r="I1010" s="64"/>
    </row>
    <row r="1011" customFormat="false" ht="23.25" hidden="false" customHeight="true" outlineLevel="0" collapsed="false">
      <c r="B1011" s="67" t="str">
        <f aca="false">IFERROR(INDEX(分录报销!$M:$M,MATCH($L1011,分录报销!$L:$L,0)),"")</f>
        <v/>
      </c>
      <c r="C1011" s="67"/>
      <c r="D1011" s="23" t="str">
        <f aca="false">IFERROR(INDEX(分录报销!$E:$E,MATCH($L1011,分录报销!$L:$L,0)),"")</f>
        <v/>
      </c>
      <c r="E1011" s="23" t="str">
        <f aca="false">IFERROR(INDEX(分录报销!$F:$F,MATCH($L1011,分录报销!$L:$L,0)),"")</f>
        <v/>
      </c>
      <c r="F1011" s="68" t="str">
        <f aca="false">IFERROR(INDEX(分录报销!$H:$H,MATCH($L1011,分录报销!$L:$L,0)),"")</f>
        <v/>
      </c>
      <c r="G1011" s="69" t="str">
        <f aca="false">IFERROR(INDEX(分录报销!$I:$I,MATCH($L1011,分录报销!$L:$L,0)),"")</f>
        <v/>
      </c>
      <c r="H1011" s="23"/>
      <c r="I1011" s="70"/>
      <c r="L1011" s="71" t="n">
        <f aca="false">IF(助手报销!$R$69="",-1,助手报销!$R$69*100+(助手报销!$S$69-1)*6+1)</f>
        <v>-1</v>
      </c>
    </row>
    <row r="1012" customFormat="false" ht="23.25" hidden="false" customHeight="true" outlineLevel="0" collapsed="false">
      <c r="B1012" s="67" t="str">
        <f aca="false">IFERROR(INDEX(分录报销!$M:$M,MATCH($L1012,分录报销!$L:$L,0)),"")</f>
        <v/>
      </c>
      <c r="C1012" s="67"/>
      <c r="D1012" s="23" t="str">
        <f aca="false">IFERROR(INDEX(分录报销!$E:$E,MATCH($L1012,分录报销!$L:$L,0)),"")</f>
        <v/>
      </c>
      <c r="E1012" s="23" t="str">
        <f aca="false">IFERROR(INDEX(分录报销!$F:$F,MATCH($L1012,分录报销!$L:$L,0)),"")</f>
        <v/>
      </c>
      <c r="F1012" s="68" t="str">
        <f aca="false">IFERROR(INDEX(分录报销!$H:$H,MATCH($L1012,分录报销!$L:$L,0)),"")</f>
        <v/>
      </c>
      <c r="G1012" s="69" t="str">
        <f aca="false">IFERROR(INDEX(分录报销!$I:$I,MATCH($L1012,分录报销!$L:$L,0)),"")</f>
        <v/>
      </c>
      <c r="H1012" s="23"/>
      <c r="I1012" s="70"/>
      <c r="L1012" s="71" t="n">
        <f aca="false">IF(助手报销!$R$69="",-1,助手报销!$R$69*100+(助手报销!$S$69-1)*6+2)</f>
        <v>-1</v>
      </c>
    </row>
    <row r="1013" customFormat="false" ht="23.25" hidden="false" customHeight="true" outlineLevel="0" collapsed="false">
      <c r="B1013" s="67" t="str">
        <f aca="false">IFERROR(INDEX(分录报销!$M:$M,MATCH($L1013,分录报销!$L:$L,0)),"")</f>
        <v/>
      </c>
      <c r="C1013" s="67"/>
      <c r="D1013" s="23" t="str">
        <f aca="false">IFERROR(INDEX(分录报销!$E:$E,MATCH($L1013,分录报销!$L:$L,0)),"")</f>
        <v/>
      </c>
      <c r="E1013" s="23" t="str">
        <f aca="false">IFERROR(INDEX(分录报销!$F:$F,MATCH($L1013,分录报销!$L:$L,0)),"")</f>
        <v/>
      </c>
      <c r="F1013" s="68" t="str">
        <f aca="false">IFERROR(INDEX(分录报销!$H:$H,MATCH($L1013,分录报销!$L:$L,0)),"")</f>
        <v/>
      </c>
      <c r="G1013" s="69" t="str">
        <f aca="false">IFERROR(INDEX(分录报销!$I:$I,MATCH($L1013,分录报销!$L:$L,0)),"")</f>
        <v/>
      </c>
      <c r="H1013" s="23"/>
      <c r="I1013" s="70"/>
      <c r="L1013" s="71" t="n">
        <f aca="false">IF(助手报销!$R$69="",-1,助手报销!$R$69*100+(助手报销!$S$69-1)*6+3)</f>
        <v>-1</v>
      </c>
    </row>
    <row r="1014" customFormat="false" ht="23.25" hidden="false" customHeight="true" outlineLevel="0" collapsed="false">
      <c r="B1014" s="67" t="str">
        <f aca="false">IFERROR(INDEX(分录报销!$M:$M,MATCH($L1014,分录报销!$L:$L,0)),"")</f>
        <v/>
      </c>
      <c r="C1014" s="67"/>
      <c r="D1014" s="23" t="str">
        <f aca="false">IFERROR(INDEX(分录报销!$E:$E,MATCH($L1014,分录报销!$L:$L,0)),"")</f>
        <v/>
      </c>
      <c r="E1014" s="23" t="str">
        <f aca="false">IFERROR(INDEX(分录报销!$F:$F,MATCH($L1014,分录报销!$L:$L,0)),"")</f>
        <v/>
      </c>
      <c r="F1014" s="68" t="str">
        <f aca="false">IFERROR(INDEX(分录报销!$H:$H,MATCH($L1014,分录报销!$L:$L,0)),"")</f>
        <v/>
      </c>
      <c r="G1014" s="69" t="str">
        <f aca="false">IFERROR(INDEX(分录报销!$I:$I,MATCH($L1014,分录报销!$L:$L,0)),"")</f>
        <v/>
      </c>
      <c r="H1014" s="23"/>
      <c r="I1014" s="70"/>
      <c r="L1014" s="71" t="n">
        <f aca="false">IF(助手报销!$R$69="",-1,助手报销!$R$69*100+(助手报销!$S$69-1)*6+4)</f>
        <v>-1</v>
      </c>
    </row>
    <row r="1015" customFormat="false" ht="23.25" hidden="false" customHeight="true" outlineLevel="0" collapsed="false">
      <c r="B1015" s="67" t="str">
        <f aca="false">IFERROR(INDEX(分录报销!$M:$M,MATCH($L1015,分录报销!$L:$L,0)),"")</f>
        <v/>
      </c>
      <c r="C1015" s="67"/>
      <c r="D1015" s="23" t="str">
        <f aca="false">IFERROR(INDEX(分录报销!$E:$E,MATCH($L1015,分录报销!$L:$L,0)),"")</f>
        <v/>
      </c>
      <c r="E1015" s="23" t="str">
        <f aca="false">IFERROR(INDEX(分录报销!$F:$F,MATCH($L1015,分录报销!$L:$L,0)),"")</f>
        <v/>
      </c>
      <c r="F1015" s="68" t="str">
        <f aca="false">IFERROR(INDEX(分录报销!$H:$H,MATCH($L1015,分录报销!$L:$L,0)),"")</f>
        <v/>
      </c>
      <c r="G1015" s="69" t="str">
        <f aca="false">IFERROR(INDEX(分录报销!$I:$I,MATCH($L1015,分录报销!$L:$L,0)),"")</f>
        <v/>
      </c>
      <c r="H1015" s="23"/>
      <c r="I1015" s="70"/>
      <c r="L1015" s="71" t="n">
        <f aca="false">IF(助手报销!$R$69="",-1,助手报销!$R$69*100+(助手报销!$S$69-1)*6+5)</f>
        <v>-1</v>
      </c>
    </row>
    <row r="1016" customFormat="false" ht="23.25" hidden="false" customHeight="true" outlineLevel="0" collapsed="false">
      <c r="B1016" s="67" t="str">
        <f aca="false">IFERROR(INDEX(分录报销!$M:$M,MATCH($L1016,分录报销!$L:$L,0)),"")</f>
        <v/>
      </c>
      <c r="C1016" s="67"/>
      <c r="D1016" s="23" t="str">
        <f aca="false">IFERROR(INDEX(分录报销!$E:$E,MATCH($L1016,分录报销!$L:$L,0)),"")</f>
        <v/>
      </c>
      <c r="E1016" s="23" t="str">
        <f aca="false">IFERROR(INDEX(分录报销!$F:$F,MATCH($L1016,分录报销!$L:$L,0)),"")</f>
        <v/>
      </c>
      <c r="F1016" s="68" t="str">
        <f aca="false">IFERROR(INDEX(分录报销!$H:$H,MATCH($L1016,分录报销!$L:$L,0)),"")</f>
        <v/>
      </c>
      <c r="G1016" s="69" t="str">
        <f aca="false">IFERROR(INDEX(分录报销!$I:$I,MATCH($L1016,分录报销!$L:$L,0)),"")</f>
        <v/>
      </c>
      <c r="H1016" s="23"/>
      <c r="I1016" s="70"/>
      <c r="L1016" s="71" t="n">
        <f aca="false">IF(助手报销!$R$69="",-1,助手报销!$R$69*100+(助手报销!$S$69-1)*6+6)</f>
        <v>-1</v>
      </c>
    </row>
    <row r="1017" customFormat="false" ht="23.25" hidden="false" customHeight="true" outlineLevel="0" collapsed="false">
      <c r="B1017" s="72" t="str">
        <f aca="false">IF(助手报销!$T$69=1,"合计：","")</f>
        <v/>
      </c>
      <c r="C1017" s="73" t="str">
        <f aca="false">IF(助手报销!$T$69=1,$F1017,"")</f>
        <v/>
      </c>
      <c r="D1017" s="74"/>
      <c r="E1017" s="74"/>
      <c r="F1017" s="75" t="str">
        <f aca="false">IF(助手报销!$T$69=1,INDEX(助手报销!$N$2:$N$121,助手报销!$R$69),"")</f>
        <v/>
      </c>
      <c r="G1017" s="76" t="str">
        <f aca="false">IF(助手报销!$T$69=1,INDEX(助手报销!$O$2:$O$121,助手报销!$R$69),"")</f>
        <v/>
      </c>
      <c r="H1017" s="74"/>
      <c r="I1017" s="77"/>
    </row>
    <row r="1018" customFormat="false" ht="6" hidden="false" customHeight="true" outlineLevel="0" collapsed="false"/>
    <row r="1019" customFormat="false" ht="13.5" hidden="false" customHeight="false" outlineLevel="0" collapsed="false">
      <c r="B1019" s="78" t="str">
        <f aca="false">IF(助手报销!$R$69&lt;&gt;"","会计主管：","")</f>
        <v/>
      </c>
      <c r="D1019" s="78" t="str">
        <f aca="false">IF(助手报销!$R$69&lt;&gt;"","会计：","")</f>
        <v/>
      </c>
      <c r="E1019" s="78" t="str">
        <f aca="false">IF(助手报销!$R$69&lt;&gt;"","出纳：","")</f>
        <v/>
      </c>
      <c r="F1019" s="78" t="str">
        <f aca="false">IF(助手报销!$R$69&lt;&gt;"","复核：","")</f>
        <v/>
      </c>
      <c r="G1019" s="78" t="str">
        <f aca="false">IF(助手报销!$R$69&lt;&gt;"","制单：","")</f>
        <v/>
      </c>
    </row>
    <row r="1020" customFormat="false" ht="3" hidden="false" customHeight="true" outlineLevel="0" collapsed="false"/>
    <row r="1021" customFormat="false" ht="19.5" hidden="false" customHeight="true" outlineLevel="0" collapsed="false">
      <c r="B1021" s="53" t="str">
        <f aca="false">IF(助手报销!$R$70&lt;&gt;"","记  账  凭  证","")</f>
        <v/>
      </c>
      <c r="C1021" s="53"/>
      <c r="D1021" s="53"/>
      <c r="E1021" s="53"/>
      <c r="F1021" s="53"/>
      <c r="G1021" s="53"/>
      <c r="H1021" s="53"/>
      <c r="I1021" s="53"/>
    </row>
    <row r="1022" customFormat="false" ht="3" hidden="false" customHeight="true" outlineLevel="0" collapsed="false"/>
    <row r="1023" customFormat="false" ht="15" hidden="false" customHeight="true" outlineLevel="0" collapsed="false">
      <c r="C1023" s="56" t="str">
        <f aca="false">IF(助手报销!$R$70&lt;&gt;"",INDEX(助手报销!$B$2:$B$121,助手报销!$R$70),"")</f>
        <v/>
      </c>
      <c r="D1023" s="57" t="str">
        <f aca="false">IF(助手报销!$R$70&lt;&gt;"",INDEX(助手报销!$D$2:$D$121,助手报销!$R$70),"")</f>
        <v/>
      </c>
      <c r="E1023" s="57"/>
      <c r="F1023" s="58" t="str">
        <f aca="false">IF(助手报销!$R$70&lt;&gt;"",INDEX(助手报销!$C$2:$C$121,助手报销!$R$70)&amp;"  字第 "&amp;IF(参数!$B$9="是",INDEX(助手报销!$P$2:$P$121,助手报销!$R$70),"　　　　")&amp;" 号"&amp;IF(INDEX(助手报销!$L$2:$L$121,助手报销!$R$70)&gt;1,"  (共"&amp;INDEX(助手报销!$L$2:$L$121,助手报销!$R$70)&amp;"页 第"&amp;助手报销!$S$70&amp;"页)",""),"")</f>
        <v/>
      </c>
      <c r="G1023" s="58"/>
      <c r="H1023" s="58"/>
      <c r="I1023" s="58"/>
      <c r="M1023" s="79" t="str">
        <f aca="false">IF(助手报销!$R$70="","",助手报销!$Q$70)</f>
        <v/>
      </c>
      <c r="N1023" s="80" t="str">
        <f aca="false">IF(助手报销!$R$70="","",INDEX(助手报销!$P$2:$P$121,助手报销!$R$70))</f>
        <v/>
      </c>
      <c r="O1023" s="55" t="str">
        <f aca="false">IF(助手报销!$R$70="","",INDEX(助手报销!$C$2:$C$121,助手报销!$R$70)&amp;"  字第 "&amp;INDEX(助手报销!$P$2:$P$121,助手报销!$R$70)&amp;" 号"&amp;IF(INDEX(助手报销!$L$2:$L$121,助手报销!$R$70)&gt;1,"  (共"&amp;INDEX(助手报销!$L$2:$L$121,助手报销!$R$70)&amp;"页 第"&amp;助手报销!$S$70&amp;"页)",""))</f>
        <v/>
      </c>
    </row>
    <row r="1024" customFormat="false" ht="12.75" hidden="false" customHeight="true" outlineLevel="0" collapsed="false">
      <c r="B1024" s="61" t="str">
        <f aca="false">IF(助手报销!$R$70&lt;&gt;"","摘　　要","")</f>
        <v/>
      </c>
      <c r="C1024" s="61"/>
      <c r="D1024" s="62" t="str">
        <f aca="false">IF(助手报销!$R$70&lt;&gt;"","科　　　　目","")</f>
        <v/>
      </c>
      <c r="E1024" s="62"/>
      <c r="F1024" s="61" t="str">
        <f aca="false">IF(助手报销!$R$70&lt;&gt;"","借 方 金 额","")</f>
        <v/>
      </c>
      <c r="G1024" s="62" t="str">
        <f aca="false">IF(助手报销!$R$70&lt;&gt;"","贷 方 金 额","")</f>
        <v/>
      </c>
      <c r="H1024" s="63" t="str">
        <f aca="false">IF(助手报销!$R$70&lt;&gt;"","√","")</f>
        <v/>
      </c>
      <c r="I1024" s="64" t="str">
        <f aca="false">IF(助手报销!$R$70&lt;&gt;"","附单据  张","")</f>
        <v/>
      </c>
    </row>
    <row r="1025" customFormat="false" ht="12.75" hidden="false" customHeight="true" outlineLevel="0" collapsed="false">
      <c r="B1025" s="61"/>
      <c r="C1025" s="61"/>
      <c r="D1025" s="23" t="str">
        <f aca="false">IF(助手报销!$R$70&lt;&gt;"","总 账 科 目","")</f>
        <v/>
      </c>
      <c r="E1025" s="23" t="str">
        <f aca="false">IF(助手报销!$R$70&lt;&gt;"","明 细 科 目","")</f>
        <v/>
      </c>
      <c r="F1025" s="65"/>
      <c r="G1025" s="66"/>
      <c r="H1025" s="63"/>
      <c r="I1025" s="64"/>
    </row>
    <row r="1026" customFormat="false" ht="23.25" hidden="false" customHeight="true" outlineLevel="0" collapsed="false">
      <c r="B1026" s="67" t="str">
        <f aca="false">IFERROR(INDEX(分录报销!$M:$M,MATCH($L1026,分录报销!$L:$L,0)),"")</f>
        <v/>
      </c>
      <c r="C1026" s="67"/>
      <c r="D1026" s="23" t="str">
        <f aca="false">IFERROR(INDEX(分录报销!$E:$E,MATCH($L1026,分录报销!$L:$L,0)),"")</f>
        <v/>
      </c>
      <c r="E1026" s="23" t="str">
        <f aca="false">IFERROR(INDEX(分录报销!$F:$F,MATCH($L1026,分录报销!$L:$L,0)),"")</f>
        <v/>
      </c>
      <c r="F1026" s="68" t="str">
        <f aca="false">IFERROR(INDEX(分录报销!$H:$H,MATCH($L1026,分录报销!$L:$L,0)),"")</f>
        <v/>
      </c>
      <c r="G1026" s="69" t="str">
        <f aca="false">IFERROR(INDEX(分录报销!$I:$I,MATCH($L1026,分录报销!$L:$L,0)),"")</f>
        <v/>
      </c>
      <c r="H1026" s="23"/>
      <c r="I1026" s="70"/>
      <c r="L1026" s="71" t="n">
        <f aca="false">IF(助手报销!$R$70="",-1,助手报销!$R$70*100+(助手报销!$S$70-1)*6+1)</f>
        <v>-1</v>
      </c>
    </row>
    <row r="1027" customFormat="false" ht="23.25" hidden="false" customHeight="true" outlineLevel="0" collapsed="false">
      <c r="B1027" s="67" t="str">
        <f aca="false">IFERROR(INDEX(分录报销!$M:$M,MATCH($L1027,分录报销!$L:$L,0)),"")</f>
        <v/>
      </c>
      <c r="C1027" s="67"/>
      <c r="D1027" s="23" t="str">
        <f aca="false">IFERROR(INDEX(分录报销!$E:$E,MATCH($L1027,分录报销!$L:$L,0)),"")</f>
        <v/>
      </c>
      <c r="E1027" s="23" t="str">
        <f aca="false">IFERROR(INDEX(分录报销!$F:$F,MATCH($L1027,分录报销!$L:$L,0)),"")</f>
        <v/>
      </c>
      <c r="F1027" s="68" t="str">
        <f aca="false">IFERROR(INDEX(分录报销!$H:$H,MATCH($L1027,分录报销!$L:$L,0)),"")</f>
        <v/>
      </c>
      <c r="G1027" s="69" t="str">
        <f aca="false">IFERROR(INDEX(分录报销!$I:$I,MATCH($L1027,分录报销!$L:$L,0)),"")</f>
        <v/>
      </c>
      <c r="H1027" s="23"/>
      <c r="I1027" s="70"/>
      <c r="L1027" s="71" t="n">
        <f aca="false">IF(助手报销!$R$70="",-1,助手报销!$R$70*100+(助手报销!$S$70-1)*6+2)</f>
        <v>-1</v>
      </c>
    </row>
    <row r="1028" customFormat="false" ht="23.25" hidden="false" customHeight="true" outlineLevel="0" collapsed="false">
      <c r="B1028" s="67" t="str">
        <f aca="false">IFERROR(INDEX(分录报销!$M:$M,MATCH($L1028,分录报销!$L:$L,0)),"")</f>
        <v/>
      </c>
      <c r="C1028" s="67"/>
      <c r="D1028" s="23" t="str">
        <f aca="false">IFERROR(INDEX(分录报销!$E:$E,MATCH($L1028,分录报销!$L:$L,0)),"")</f>
        <v/>
      </c>
      <c r="E1028" s="23" t="str">
        <f aca="false">IFERROR(INDEX(分录报销!$F:$F,MATCH($L1028,分录报销!$L:$L,0)),"")</f>
        <v/>
      </c>
      <c r="F1028" s="68" t="str">
        <f aca="false">IFERROR(INDEX(分录报销!$H:$H,MATCH($L1028,分录报销!$L:$L,0)),"")</f>
        <v/>
      </c>
      <c r="G1028" s="69" t="str">
        <f aca="false">IFERROR(INDEX(分录报销!$I:$I,MATCH($L1028,分录报销!$L:$L,0)),"")</f>
        <v/>
      </c>
      <c r="H1028" s="23"/>
      <c r="I1028" s="70"/>
      <c r="L1028" s="71" t="n">
        <f aca="false">IF(助手报销!$R$70="",-1,助手报销!$R$70*100+(助手报销!$S$70-1)*6+3)</f>
        <v>-1</v>
      </c>
    </row>
    <row r="1029" customFormat="false" ht="23.25" hidden="false" customHeight="true" outlineLevel="0" collapsed="false">
      <c r="B1029" s="67" t="str">
        <f aca="false">IFERROR(INDEX(分录报销!$M:$M,MATCH($L1029,分录报销!$L:$L,0)),"")</f>
        <v/>
      </c>
      <c r="C1029" s="67"/>
      <c r="D1029" s="23" t="str">
        <f aca="false">IFERROR(INDEX(分录报销!$E:$E,MATCH($L1029,分录报销!$L:$L,0)),"")</f>
        <v/>
      </c>
      <c r="E1029" s="23" t="str">
        <f aca="false">IFERROR(INDEX(分录报销!$F:$F,MATCH($L1029,分录报销!$L:$L,0)),"")</f>
        <v/>
      </c>
      <c r="F1029" s="68" t="str">
        <f aca="false">IFERROR(INDEX(分录报销!$H:$H,MATCH($L1029,分录报销!$L:$L,0)),"")</f>
        <v/>
      </c>
      <c r="G1029" s="69" t="str">
        <f aca="false">IFERROR(INDEX(分录报销!$I:$I,MATCH($L1029,分录报销!$L:$L,0)),"")</f>
        <v/>
      </c>
      <c r="H1029" s="23"/>
      <c r="I1029" s="70"/>
      <c r="L1029" s="71" t="n">
        <f aca="false">IF(助手报销!$R$70="",-1,助手报销!$R$70*100+(助手报销!$S$70-1)*6+4)</f>
        <v>-1</v>
      </c>
    </row>
    <row r="1030" customFormat="false" ht="23.25" hidden="false" customHeight="true" outlineLevel="0" collapsed="false">
      <c r="B1030" s="67" t="str">
        <f aca="false">IFERROR(INDEX(分录报销!$M:$M,MATCH($L1030,分录报销!$L:$L,0)),"")</f>
        <v/>
      </c>
      <c r="C1030" s="67"/>
      <c r="D1030" s="23" t="str">
        <f aca="false">IFERROR(INDEX(分录报销!$E:$E,MATCH($L1030,分录报销!$L:$L,0)),"")</f>
        <v/>
      </c>
      <c r="E1030" s="23" t="str">
        <f aca="false">IFERROR(INDEX(分录报销!$F:$F,MATCH($L1030,分录报销!$L:$L,0)),"")</f>
        <v/>
      </c>
      <c r="F1030" s="68" t="str">
        <f aca="false">IFERROR(INDEX(分录报销!$H:$H,MATCH($L1030,分录报销!$L:$L,0)),"")</f>
        <v/>
      </c>
      <c r="G1030" s="69" t="str">
        <f aca="false">IFERROR(INDEX(分录报销!$I:$I,MATCH($L1030,分录报销!$L:$L,0)),"")</f>
        <v/>
      </c>
      <c r="H1030" s="23"/>
      <c r="I1030" s="70"/>
      <c r="L1030" s="71" t="n">
        <f aca="false">IF(助手报销!$R$70="",-1,助手报销!$R$70*100+(助手报销!$S$70-1)*6+5)</f>
        <v>-1</v>
      </c>
    </row>
    <row r="1031" customFormat="false" ht="23.25" hidden="false" customHeight="true" outlineLevel="0" collapsed="false">
      <c r="B1031" s="67" t="str">
        <f aca="false">IFERROR(INDEX(分录报销!$M:$M,MATCH($L1031,分录报销!$L:$L,0)),"")</f>
        <v/>
      </c>
      <c r="C1031" s="67"/>
      <c r="D1031" s="23" t="str">
        <f aca="false">IFERROR(INDEX(分录报销!$E:$E,MATCH($L1031,分录报销!$L:$L,0)),"")</f>
        <v/>
      </c>
      <c r="E1031" s="23" t="str">
        <f aca="false">IFERROR(INDEX(分录报销!$F:$F,MATCH($L1031,分录报销!$L:$L,0)),"")</f>
        <v/>
      </c>
      <c r="F1031" s="68" t="str">
        <f aca="false">IFERROR(INDEX(分录报销!$H:$H,MATCH($L1031,分录报销!$L:$L,0)),"")</f>
        <v/>
      </c>
      <c r="G1031" s="69" t="str">
        <f aca="false">IFERROR(INDEX(分录报销!$I:$I,MATCH($L1031,分录报销!$L:$L,0)),"")</f>
        <v/>
      </c>
      <c r="H1031" s="23"/>
      <c r="I1031" s="70"/>
      <c r="L1031" s="71" t="n">
        <f aca="false">IF(助手报销!$R$70="",-1,助手报销!$R$70*100+(助手报销!$S$70-1)*6+6)</f>
        <v>-1</v>
      </c>
    </row>
    <row r="1032" customFormat="false" ht="23.25" hidden="false" customHeight="true" outlineLevel="0" collapsed="false">
      <c r="B1032" s="72" t="str">
        <f aca="false">IF(助手报销!$T$70=1,"合计：","")</f>
        <v/>
      </c>
      <c r="C1032" s="73" t="str">
        <f aca="false">IF(助手报销!$T$70=1,$F1032,"")</f>
        <v/>
      </c>
      <c r="D1032" s="74"/>
      <c r="E1032" s="74"/>
      <c r="F1032" s="75" t="str">
        <f aca="false">IF(助手报销!$T$70=1,INDEX(助手报销!$N$2:$N$121,助手报销!$R$70),"")</f>
        <v/>
      </c>
      <c r="G1032" s="76" t="str">
        <f aca="false">IF(助手报销!$T$70=1,INDEX(助手报销!$O$2:$O$121,助手报销!$R$70),"")</f>
        <v/>
      </c>
      <c r="H1032" s="74"/>
      <c r="I1032" s="77"/>
    </row>
    <row r="1033" customFormat="false" ht="6" hidden="false" customHeight="true" outlineLevel="0" collapsed="false"/>
    <row r="1034" customFormat="false" ht="13.5" hidden="false" customHeight="false" outlineLevel="0" collapsed="false">
      <c r="B1034" s="78" t="str">
        <f aca="false">IF(助手报销!$R$70&lt;&gt;"","会计主管：","")</f>
        <v/>
      </c>
      <c r="D1034" s="78" t="str">
        <f aca="false">IF(助手报销!$R$70&lt;&gt;"","会计：","")</f>
        <v/>
      </c>
      <c r="E1034" s="78" t="str">
        <f aca="false">IF(助手报销!$R$70&lt;&gt;"","出纳：","")</f>
        <v/>
      </c>
      <c r="F1034" s="78" t="str">
        <f aca="false">IF(助手报销!$R$70&lt;&gt;"","复核：","")</f>
        <v/>
      </c>
      <c r="G1034" s="78" t="str">
        <f aca="false">IF(助手报销!$R$70&lt;&gt;"","制单：","")</f>
        <v/>
      </c>
    </row>
    <row r="1035" customFormat="false" ht="3" hidden="false" customHeight="true" outlineLevel="0" collapsed="false"/>
    <row r="1036" customFormat="false" ht="19.5" hidden="false" customHeight="true" outlineLevel="0" collapsed="false">
      <c r="B1036" s="53" t="str">
        <f aca="false">IF(助手报销!$R$71&lt;&gt;"","记  账  凭  证","")</f>
        <v/>
      </c>
      <c r="C1036" s="53"/>
      <c r="D1036" s="53"/>
      <c r="E1036" s="53"/>
      <c r="F1036" s="53"/>
      <c r="G1036" s="53"/>
      <c r="H1036" s="53"/>
      <c r="I1036" s="53"/>
    </row>
    <row r="1037" customFormat="false" ht="3" hidden="false" customHeight="true" outlineLevel="0" collapsed="false"/>
    <row r="1038" customFormat="false" ht="15" hidden="false" customHeight="true" outlineLevel="0" collapsed="false">
      <c r="C1038" s="56" t="str">
        <f aca="false">IF(助手报销!$R$71&lt;&gt;"",INDEX(助手报销!$B$2:$B$121,助手报销!$R$71),"")</f>
        <v/>
      </c>
      <c r="D1038" s="57" t="str">
        <f aca="false">IF(助手报销!$R$71&lt;&gt;"",INDEX(助手报销!$D$2:$D$121,助手报销!$R$71),"")</f>
        <v/>
      </c>
      <c r="E1038" s="57"/>
      <c r="F1038" s="58" t="str">
        <f aca="false">IF(助手报销!$R$71&lt;&gt;"",INDEX(助手报销!$C$2:$C$121,助手报销!$R$71)&amp;"  字第 "&amp;IF(参数!$B$9="是",INDEX(助手报销!$P$2:$P$121,助手报销!$R$71),"　　　　")&amp;" 号"&amp;IF(INDEX(助手报销!$L$2:$L$121,助手报销!$R$71)&gt;1,"  (共"&amp;INDEX(助手报销!$L$2:$L$121,助手报销!$R$71)&amp;"页 第"&amp;助手报销!$S$71&amp;"页)",""),"")</f>
        <v/>
      </c>
      <c r="G1038" s="58"/>
      <c r="H1038" s="58"/>
      <c r="I1038" s="58"/>
      <c r="M1038" s="79" t="str">
        <f aca="false">IF(助手报销!$R$71="","",助手报销!$Q$71)</f>
        <v/>
      </c>
      <c r="N1038" s="80" t="str">
        <f aca="false">IF(助手报销!$R$71="","",INDEX(助手报销!$P$2:$P$121,助手报销!$R$71))</f>
        <v/>
      </c>
      <c r="O1038" s="55" t="str">
        <f aca="false">IF(助手报销!$R$71="","",INDEX(助手报销!$C$2:$C$121,助手报销!$R$71)&amp;"  字第 "&amp;INDEX(助手报销!$P$2:$P$121,助手报销!$R$71)&amp;" 号"&amp;IF(INDEX(助手报销!$L$2:$L$121,助手报销!$R$71)&gt;1,"  (共"&amp;INDEX(助手报销!$L$2:$L$121,助手报销!$R$71)&amp;"页 第"&amp;助手报销!$S$71&amp;"页)",""))</f>
        <v/>
      </c>
    </row>
    <row r="1039" customFormat="false" ht="12.75" hidden="false" customHeight="true" outlineLevel="0" collapsed="false">
      <c r="B1039" s="61" t="str">
        <f aca="false">IF(助手报销!$R$71&lt;&gt;"","摘　　要","")</f>
        <v/>
      </c>
      <c r="C1039" s="61"/>
      <c r="D1039" s="62" t="str">
        <f aca="false">IF(助手报销!$R$71&lt;&gt;"","科　　　　目","")</f>
        <v/>
      </c>
      <c r="E1039" s="62"/>
      <c r="F1039" s="61" t="str">
        <f aca="false">IF(助手报销!$R$71&lt;&gt;"","借 方 金 额","")</f>
        <v/>
      </c>
      <c r="G1039" s="62" t="str">
        <f aca="false">IF(助手报销!$R$71&lt;&gt;"","贷 方 金 额","")</f>
        <v/>
      </c>
      <c r="H1039" s="63" t="str">
        <f aca="false">IF(助手报销!$R$71&lt;&gt;"","√","")</f>
        <v/>
      </c>
      <c r="I1039" s="64" t="str">
        <f aca="false">IF(助手报销!$R$71&lt;&gt;"","附单据  张","")</f>
        <v/>
      </c>
    </row>
    <row r="1040" customFormat="false" ht="12.75" hidden="false" customHeight="true" outlineLevel="0" collapsed="false">
      <c r="B1040" s="61"/>
      <c r="C1040" s="61"/>
      <c r="D1040" s="23" t="str">
        <f aca="false">IF(助手报销!$R$71&lt;&gt;"","总 账 科 目","")</f>
        <v/>
      </c>
      <c r="E1040" s="23" t="str">
        <f aca="false">IF(助手报销!$R$71&lt;&gt;"","明 细 科 目","")</f>
        <v/>
      </c>
      <c r="F1040" s="65"/>
      <c r="G1040" s="66"/>
      <c r="H1040" s="63"/>
      <c r="I1040" s="64"/>
    </row>
    <row r="1041" customFormat="false" ht="23.25" hidden="false" customHeight="true" outlineLevel="0" collapsed="false">
      <c r="B1041" s="67" t="str">
        <f aca="false">IFERROR(INDEX(分录报销!$M:$M,MATCH($L1041,分录报销!$L:$L,0)),"")</f>
        <v/>
      </c>
      <c r="C1041" s="67"/>
      <c r="D1041" s="23" t="str">
        <f aca="false">IFERROR(INDEX(分录报销!$E:$E,MATCH($L1041,分录报销!$L:$L,0)),"")</f>
        <v/>
      </c>
      <c r="E1041" s="23" t="str">
        <f aca="false">IFERROR(INDEX(分录报销!$F:$F,MATCH($L1041,分录报销!$L:$L,0)),"")</f>
        <v/>
      </c>
      <c r="F1041" s="68" t="str">
        <f aca="false">IFERROR(INDEX(分录报销!$H:$H,MATCH($L1041,分录报销!$L:$L,0)),"")</f>
        <v/>
      </c>
      <c r="G1041" s="69" t="str">
        <f aca="false">IFERROR(INDEX(分录报销!$I:$I,MATCH($L1041,分录报销!$L:$L,0)),"")</f>
        <v/>
      </c>
      <c r="H1041" s="23"/>
      <c r="I1041" s="70"/>
      <c r="L1041" s="71" t="n">
        <f aca="false">IF(助手报销!$R$71="",-1,助手报销!$R$71*100+(助手报销!$S$71-1)*6+1)</f>
        <v>-1</v>
      </c>
    </row>
    <row r="1042" customFormat="false" ht="23.25" hidden="false" customHeight="true" outlineLevel="0" collapsed="false">
      <c r="B1042" s="67" t="str">
        <f aca="false">IFERROR(INDEX(分录报销!$M:$M,MATCH($L1042,分录报销!$L:$L,0)),"")</f>
        <v/>
      </c>
      <c r="C1042" s="67"/>
      <c r="D1042" s="23" t="str">
        <f aca="false">IFERROR(INDEX(分录报销!$E:$E,MATCH($L1042,分录报销!$L:$L,0)),"")</f>
        <v/>
      </c>
      <c r="E1042" s="23" t="str">
        <f aca="false">IFERROR(INDEX(分录报销!$F:$F,MATCH($L1042,分录报销!$L:$L,0)),"")</f>
        <v/>
      </c>
      <c r="F1042" s="68" t="str">
        <f aca="false">IFERROR(INDEX(分录报销!$H:$H,MATCH($L1042,分录报销!$L:$L,0)),"")</f>
        <v/>
      </c>
      <c r="G1042" s="69" t="str">
        <f aca="false">IFERROR(INDEX(分录报销!$I:$I,MATCH($L1042,分录报销!$L:$L,0)),"")</f>
        <v/>
      </c>
      <c r="H1042" s="23"/>
      <c r="I1042" s="70"/>
      <c r="L1042" s="71" t="n">
        <f aca="false">IF(助手报销!$R$71="",-1,助手报销!$R$71*100+(助手报销!$S$71-1)*6+2)</f>
        <v>-1</v>
      </c>
    </row>
    <row r="1043" customFormat="false" ht="23.25" hidden="false" customHeight="true" outlineLevel="0" collapsed="false">
      <c r="B1043" s="67" t="str">
        <f aca="false">IFERROR(INDEX(分录报销!$M:$M,MATCH($L1043,分录报销!$L:$L,0)),"")</f>
        <v/>
      </c>
      <c r="C1043" s="67"/>
      <c r="D1043" s="23" t="str">
        <f aca="false">IFERROR(INDEX(分录报销!$E:$E,MATCH($L1043,分录报销!$L:$L,0)),"")</f>
        <v/>
      </c>
      <c r="E1043" s="23" t="str">
        <f aca="false">IFERROR(INDEX(分录报销!$F:$F,MATCH($L1043,分录报销!$L:$L,0)),"")</f>
        <v/>
      </c>
      <c r="F1043" s="68" t="str">
        <f aca="false">IFERROR(INDEX(分录报销!$H:$H,MATCH($L1043,分录报销!$L:$L,0)),"")</f>
        <v/>
      </c>
      <c r="G1043" s="69" t="str">
        <f aca="false">IFERROR(INDEX(分录报销!$I:$I,MATCH($L1043,分录报销!$L:$L,0)),"")</f>
        <v/>
      </c>
      <c r="H1043" s="23"/>
      <c r="I1043" s="70"/>
      <c r="L1043" s="71" t="n">
        <f aca="false">IF(助手报销!$R$71="",-1,助手报销!$R$71*100+(助手报销!$S$71-1)*6+3)</f>
        <v>-1</v>
      </c>
    </row>
    <row r="1044" customFormat="false" ht="23.25" hidden="false" customHeight="true" outlineLevel="0" collapsed="false">
      <c r="B1044" s="67" t="str">
        <f aca="false">IFERROR(INDEX(分录报销!$M:$M,MATCH($L1044,分录报销!$L:$L,0)),"")</f>
        <v/>
      </c>
      <c r="C1044" s="67"/>
      <c r="D1044" s="23" t="str">
        <f aca="false">IFERROR(INDEX(分录报销!$E:$E,MATCH($L1044,分录报销!$L:$L,0)),"")</f>
        <v/>
      </c>
      <c r="E1044" s="23" t="str">
        <f aca="false">IFERROR(INDEX(分录报销!$F:$F,MATCH($L1044,分录报销!$L:$L,0)),"")</f>
        <v/>
      </c>
      <c r="F1044" s="68" t="str">
        <f aca="false">IFERROR(INDEX(分录报销!$H:$H,MATCH($L1044,分录报销!$L:$L,0)),"")</f>
        <v/>
      </c>
      <c r="G1044" s="69" t="str">
        <f aca="false">IFERROR(INDEX(分录报销!$I:$I,MATCH($L1044,分录报销!$L:$L,0)),"")</f>
        <v/>
      </c>
      <c r="H1044" s="23"/>
      <c r="I1044" s="70"/>
      <c r="L1044" s="71" t="n">
        <f aca="false">IF(助手报销!$R$71="",-1,助手报销!$R$71*100+(助手报销!$S$71-1)*6+4)</f>
        <v>-1</v>
      </c>
    </row>
    <row r="1045" customFormat="false" ht="23.25" hidden="false" customHeight="true" outlineLevel="0" collapsed="false">
      <c r="B1045" s="67" t="str">
        <f aca="false">IFERROR(INDEX(分录报销!$M:$M,MATCH($L1045,分录报销!$L:$L,0)),"")</f>
        <v/>
      </c>
      <c r="C1045" s="67"/>
      <c r="D1045" s="23" t="str">
        <f aca="false">IFERROR(INDEX(分录报销!$E:$E,MATCH($L1045,分录报销!$L:$L,0)),"")</f>
        <v/>
      </c>
      <c r="E1045" s="23" t="str">
        <f aca="false">IFERROR(INDEX(分录报销!$F:$F,MATCH($L1045,分录报销!$L:$L,0)),"")</f>
        <v/>
      </c>
      <c r="F1045" s="68" t="str">
        <f aca="false">IFERROR(INDEX(分录报销!$H:$H,MATCH($L1045,分录报销!$L:$L,0)),"")</f>
        <v/>
      </c>
      <c r="G1045" s="69" t="str">
        <f aca="false">IFERROR(INDEX(分录报销!$I:$I,MATCH($L1045,分录报销!$L:$L,0)),"")</f>
        <v/>
      </c>
      <c r="H1045" s="23"/>
      <c r="I1045" s="70"/>
      <c r="L1045" s="71" t="n">
        <f aca="false">IF(助手报销!$R$71="",-1,助手报销!$R$71*100+(助手报销!$S$71-1)*6+5)</f>
        <v>-1</v>
      </c>
    </row>
    <row r="1046" customFormat="false" ht="23.25" hidden="false" customHeight="true" outlineLevel="0" collapsed="false">
      <c r="B1046" s="67" t="str">
        <f aca="false">IFERROR(INDEX(分录报销!$M:$M,MATCH($L1046,分录报销!$L:$L,0)),"")</f>
        <v/>
      </c>
      <c r="C1046" s="67"/>
      <c r="D1046" s="23" t="str">
        <f aca="false">IFERROR(INDEX(分录报销!$E:$E,MATCH($L1046,分录报销!$L:$L,0)),"")</f>
        <v/>
      </c>
      <c r="E1046" s="23" t="str">
        <f aca="false">IFERROR(INDEX(分录报销!$F:$F,MATCH($L1046,分录报销!$L:$L,0)),"")</f>
        <v/>
      </c>
      <c r="F1046" s="68" t="str">
        <f aca="false">IFERROR(INDEX(分录报销!$H:$H,MATCH($L1046,分录报销!$L:$L,0)),"")</f>
        <v/>
      </c>
      <c r="G1046" s="69" t="str">
        <f aca="false">IFERROR(INDEX(分录报销!$I:$I,MATCH($L1046,分录报销!$L:$L,0)),"")</f>
        <v/>
      </c>
      <c r="H1046" s="23"/>
      <c r="I1046" s="70"/>
      <c r="L1046" s="71" t="n">
        <f aca="false">IF(助手报销!$R$71="",-1,助手报销!$R$71*100+(助手报销!$S$71-1)*6+6)</f>
        <v>-1</v>
      </c>
    </row>
    <row r="1047" customFormat="false" ht="23.25" hidden="false" customHeight="true" outlineLevel="0" collapsed="false">
      <c r="B1047" s="72" t="str">
        <f aca="false">IF(助手报销!$T$71=1,"合计：","")</f>
        <v/>
      </c>
      <c r="C1047" s="73" t="str">
        <f aca="false">IF(助手报销!$T$71=1,$F1047,"")</f>
        <v/>
      </c>
      <c r="D1047" s="74"/>
      <c r="E1047" s="74"/>
      <c r="F1047" s="75" t="str">
        <f aca="false">IF(助手报销!$T$71=1,INDEX(助手报销!$N$2:$N$121,助手报销!$R$71),"")</f>
        <v/>
      </c>
      <c r="G1047" s="76" t="str">
        <f aca="false">IF(助手报销!$T$71=1,INDEX(助手报销!$O$2:$O$121,助手报销!$R$71),"")</f>
        <v/>
      </c>
      <c r="H1047" s="74"/>
      <c r="I1047" s="77"/>
    </row>
    <row r="1048" customFormat="false" ht="6" hidden="false" customHeight="true" outlineLevel="0" collapsed="false"/>
    <row r="1049" customFormat="false" ht="13.5" hidden="false" customHeight="false" outlineLevel="0" collapsed="false">
      <c r="B1049" s="78" t="str">
        <f aca="false">IF(助手报销!$R$71&lt;&gt;"","会计主管：","")</f>
        <v/>
      </c>
      <c r="D1049" s="78" t="str">
        <f aca="false">IF(助手报销!$R$71&lt;&gt;"","会计：","")</f>
        <v/>
      </c>
      <c r="E1049" s="78" t="str">
        <f aca="false">IF(助手报销!$R$71&lt;&gt;"","出纳：","")</f>
        <v/>
      </c>
      <c r="F1049" s="78" t="str">
        <f aca="false">IF(助手报销!$R$71&lt;&gt;"","复核：","")</f>
        <v/>
      </c>
      <c r="G1049" s="78" t="str">
        <f aca="false">IF(助手报销!$R$71&lt;&gt;"","制单：","")</f>
        <v/>
      </c>
    </row>
    <row r="1050" customFormat="false" ht="3" hidden="false" customHeight="true" outlineLevel="0" collapsed="false"/>
    <row r="1051" customFormat="false" ht="19.5" hidden="false" customHeight="true" outlineLevel="0" collapsed="false">
      <c r="B1051" s="53" t="str">
        <f aca="false">IF(助手报销!$R$72&lt;&gt;"","记  账  凭  证","")</f>
        <v/>
      </c>
      <c r="C1051" s="53"/>
      <c r="D1051" s="53"/>
      <c r="E1051" s="53"/>
      <c r="F1051" s="53"/>
      <c r="G1051" s="53"/>
      <c r="H1051" s="53"/>
      <c r="I1051" s="53"/>
    </row>
    <row r="1052" customFormat="false" ht="3" hidden="false" customHeight="true" outlineLevel="0" collapsed="false"/>
    <row r="1053" customFormat="false" ht="15" hidden="false" customHeight="true" outlineLevel="0" collapsed="false">
      <c r="C1053" s="56" t="str">
        <f aca="false">IF(助手报销!$R$72&lt;&gt;"",INDEX(助手报销!$B$2:$B$121,助手报销!$R$72),"")</f>
        <v/>
      </c>
      <c r="D1053" s="57" t="str">
        <f aca="false">IF(助手报销!$R$72&lt;&gt;"",INDEX(助手报销!$D$2:$D$121,助手报销!$R$72),"")</f>
        <v/>
      </c>
      <c r="E1053" s="57"/>
      <c r="F1053" s="58" t="str">
        <f aca="false">IF(助手报销!$R$72&lt;&gt;"",INDEX(助手报销!$C$2:$C$121,助手报销!$R$72)&amp;"  字第 "&amp;IF(参数!$B$9="是",INDEX(助手报销!$P$2:$P$121,助手报销!$R$72),"　　　　")&amp;" 号"&amp;IF(INDEX(助手报销!$L$2:$L$121,助手报销!$R$72)&gt;1,"  (共"&amp;INDEX(助手报销!$L$2:$L$121,助手报销!$R$72)&amp;"页 第"&amp;助手报销!$S$72&amp;"页)",""),"")</f>
        <v/>
      </c>
      <c r="G1053" s="58"/>
      <c r="H1053" s="58"/>
      <c r="I1053" s="58"/>
      <c r="M1053" s="79" t="str">
        <f aca="false">IF(助手报销!$R$72="","",助手报销!$Q$72)</f>
        <v/>
      </c>
      <c r="N1053" s="80" t="str">
        <f aca="false">IF(助手报销!$R$72="","",INDEX(助手报销!$P$2:$P$121,助手报销!$R$72))</f>
        <v/>
      </c>
      <c r="O1053" s="55" t="str">
        <f aca="false">IF(助手报销!$R$72="","",INDEX(助手报销!$C$2:$C$121,助手报销!$R$72)&amp;"  字第 "&amp;INDEX(助手报销!$P$2:$P$121,助手报销!$R$72)&amp;" 号"&amp;IF(INDEX(助手报销!$L$2:$L$121,助手报销!$R$72)&gt;1,"  (共"&amp;INDEX(助手报销!$L$2:$L$121,助手报销!$R$72)&amp;"页 第"&amp;助手报销!$S$72&amp;"页)",""))</f>
        <v/>
      </c>
    </row>
    <row r="1054" customFormat="false" ht="12.75" hidden="false" customHeight="true" outlineLevel="0" collapsed="false">
      <c r="B1054" s="61" t="str">
        <f aca="false">IF(助手报销!$R$72&lt;&gt;"","摘　　要","")</f>
        <v/>
      </c>
      <c r="C1054" s="61"/>
      <c r="D1054" s="62" t="str">
        <f aca="false">IF(助手报销!$R$72&lt;&gt;"","科　　　　目","")</f>
        <v/>
      </c>
      <c r="E1054" s="62"/>
      <c r="F1054" s="61" t="str">
        <f aca="false">IF(助手报销!$R$72&lt;&gt;"","借 方 金 额","")</f>
        <v/>
      </c>
      <c r="G1054" s="62" t="str">
        <f aca="false">IF(助手报销!$R$72&lt;&gt;"","贷 方 金 额","")</f>
        <v/>
      </c>
      <c r="H1054" s="63" t="str">
        <f aca="false">IF(助手报销!$R$72&lt;&gt;"","√","")</f>
        <v/>
      </c>
      <c r="I1054" s="64" t="str">
        <f aca="false">IF(助手报销!$R$72&lt;&gt;"","附单据  张","")</f>
        <v/>
      </c>
    </row>
    <row r="1055" customFormat="false" ht="12.75" hidden="false" customHeight="true" outlineLevel="0" collapsed="false">
      <c r="B1055" s="61"/>
      <c r="C1055" s="61"/>
      <c r="D1055" s="23" t="str">
        <f aca="false">IF(助手报销!$R$72&lt;&gt;"","总 账 科 目","")</f>
        <v/>
      </c>
      <c r="E1055" s="23" t="str">
        <f aca="false">IF(助手报销!$R$72&lt;&gt;"","明 细 科 目","")</f>
        <v/>
      </c>
      <c r="F1055" s="65"/>
      <c r="G1055" s="66"/>
      <c r="H1055" s="63"/>
      <c r="I1055" s="64"/>
    </row>
    <row r="1056" customFormat="false" ht="23.25" hidden="false" customHeight="true" outlineLevel="0" collapsed="false">
      <c r="B1056" s="67" t="str">
        <f aca="false">IFERROR(INDEX(分录报销!$M:$M,MATCH($L1056,分录报销!$L:$L,0)),"")</f>
        <v/>
      </c>
      <c r="C1056" s="67"/>
      <c r="D1056" s="23" t="str">
        <f aca="false">IFERROR(INDEX(分录报销!$E:$E,MATCH($L1056,分录报销!$L:$L,0)),"")</f>
        <v/>
      </c>
      <c r="E1056" s="23" t="str">
        <f aca="false">IFERROR(INDEX(分录报销!$F:$F,MATCH($L1056,分录报销!$L:$L,0)),"")</f>
        <v/>
      </c>
      <c r="F1056" s="68" t="str">
        <f aca="false">IFERROR(INDEX(分录报销!$H:$H,MATCH($L1056,分录报销!$L:$L,0)),"")</f>
        <v/>
      </c>
      <c r="G1056" s="69" t="str">
        <f aca="false">IFERROR(INDEX(分录报销!$I:$I,MATCH($L1056,分录报销!$L:$L,0)),"")</f>
        <v/>
      </c>
      <c r="H1056" s="23"/>
      <c r="I1056" s="70"/>
      <c r="L1056" s="71" t="n">
        <f aca="false">IF(助手报销!$R$72="",-1,助手报销!$R$72*100+(助手报销!$S$72-1)*6+1)</f>
        <v>-1</v>
      </c>
    </row>
    <row r="1057" customFormat="false" ht="23.25" hidden="false" customHeight="true" outlineLevel="0" collapsed="false">
      <c r="B1057" s="67" t="str">
        <f aca="false">IFERROR(INDEX(分录报销!$M:$M,MATCH($L1057,分录报销!$L:$L,0)),"")</f>
        <v/>
      </c>
      <c r="C1057" s="67"/>
      <c r="D1057" s="23" t="str">
        <f aca="false">IFERROR(INDEX(分录报销!$E:$E,MATCH($L1057,分录报销!$L:$L,0)),"")</f>
        <v/>
      </c>
      <c r="E1057" s="23" t="str">
        <f aca="false">IFERROR(INDEX(分录报销!$F:$F,MATCH($L1057,分录报销!$L:$L,0)),"")</f>
        <v/>
      </c>
      <c r="F1057" s="68" t="str">
        <f aca="false">IFERROR(INDEX(分录报销!$H:$H,MATCH($L1057,分录报销!$L:$L,0)),"")</f>
        <v/>
      </c>
      <c r="G1057" s="69" t="str">
        <f aca="false">IFERROR(INDEX(分录报销!$I:$I,MATCH($L1057,分录报销!$L:$L,0)),"")</f>
        <v/>
      </c>
      <c r="H1057" s="23"/>
      <c r="I1057" s="70"/>
      <c r="L1057" s="71" t="n">
        <f aca="false">IF(助手报销!$R$72="",-1,助手报销!$R$72*100+(助手报销!$S$72-1)*6+2)</f>
        <v>-1</v>
      </c>
    </row>
    <row r="1058" customFormat="false" ht="23.25" hidden="false" customHeight="true" outlineLevel="0" collapsed="false">
      <c r="B1058" s="67" t="str">
        <f aca="false">IFERROR(INDEX(分录报销!$M:$M,MATCH($L1058,分录报销!$L:$L,0)),"")</f>
        <v/>
      </c>
      <c r="C1058" s="67"/>
      <c r="D1058" s="23" t="str">
        <f aca="false">IFERROR(INDEX(分录报销!$E:$E,MATCH($L1058,分录报销!$L:$L,0)),"")</f>
        <v/>
      </c>
      <c r="E1058" s="23" t="str">
        <f aca="false">IFERROR(INDEX(分录报销!$F:$F,MATCH($L1058,分录报销!$L:$L,0)),"")</f>
        <v/>
      </c>
      <c r="F1058" s="68" t="str">
        <f aca="false">IFERROR(INDEX(分录报销!$H:$H,MATCH($L1058,分录报销!$L:$L,0)),"")</f>
        <v/>
      </c>
      <c r="G1058" s="69" t="str">
        <f aca="false">IFERROR(INDEX(分录报销!$I:$I,MATCH($L1058,分录报销!$L:$L,0)),"")</f>
        <v/>
      </c>
      <c r="H1058" s="23"/>
      <c r="I1058" s="70"/>
      <c r="L1058" s="71" t="n">
        <f aca="false">IF(助手报销!$R$72="",-1,助手报销!$R$72*100+(助手报销!$S$72-1)*6+3)</f>
        <v>-1</v>
      </c>
    </row>
    <row r="1059" customFormat="false" ht="23.25" hidden="false" customHeight="true" outlineLevel="0" collapsed="false">
      <c r="B1059" s="67" t="str">
        <f aca="false">IFERROR(INDEX(分录报销!$M:$M,MATCH($L1059,分录报销!$L:$L,0)),"")</f>
        <v/>
      </c>
      <c r="C1059" s="67"/>
      <c r="D1059" s="23" t="str">
        <f aca="false">IFERROR(INDEX(分录报销!$E:$E,MATCH($L1059,分录报销!$L:$L,0)),"")</f>
        <v/>
      </c>
      <c r="E1059" s="23" t="str">
        <f aca="false">IFERROR(INDEX(分录报销!$F:$F,MATCH($L1059,分录报销!$L:$L,0)),"")</f>
        <v/>
      </c>
      <c r="F1059" s="68" t="str">
        <f aca="false">IFERROR(INDEX(分录报销!$H:$H,MATCH($L1059,分录报销!$L:$L,0)),"")</f>
        <v/>
      </c>
      <c r="G1059" s="69" t="str">
        <f aca="false">IFERROR(INDEX(分录报销!$I:$I,MATCH($L1059,分录报销!$L:$L,0)),"")</f>
        <v/>
      </c>
      <c r="H1059" s="23"/>
      <c r="I1059" s="70"/>
      <c r="L1059" s="71" t="n">
        <f aca="false">IF(助手报销!$R$72="",-1,助手报销!$R$72*100+(助手报销!$S$72-1)*6+4)</f>
        <v>-1</v>
      </c>
    </row>
    <row r="1060" customFormat="false" ht="23.25" hidden="false" customHeight="true" outlineLevel="0" collapsed="false">
      <c r="B1060" s="67" t="str">
        <f aca="false">IFERROR(INDEX(分录报销!$M:$M,MATCH($L1060,分录报销!$L:$L,0)),"")</f>
        <v/>
      </c>
      <c r="C1060" s="67"/>
      <c r="D1060" s="23" t="str">
        <f aca="false">IFERROR(INDEX(分录报销!$E:$E,MATCH($L1060,分录报销!$L:$L,0)),"")</f>
        <v/>
      </c>
      <c r="E1060" s="23" t="str">
        <f aca="false">IFERROR(INDEX(分录报销!$F:$F,MATCH($L1060,分录报销!$L:$L,0)),"")</f>
        <v/>
      </c>
      <c r="F1060" s="68" t="str">
        <f aca="false">IFERROR(INDEX(分录报销!$H:$H,MATCH($L1060,分录报销!$L:$L,0)),"")</f>
        <v/>
      </c>
      <c r="G1060" s="69" t="str">
        <f aca="false">IFERROR(INDEX(分录报销!$I:$I,MATCH($L1060,分录报销!$L:$L,0)),"")</f>
        <v/>
      </c>
      <c r="H1060" s="23"/>
      <c r="I1060" s="70"/>
      <c r="L1060" s="71" t="n">
        <f aca="false">IF(助手报销!$R$72="",-1,助手报销!$R$72*100+(助手报销!$S$72-1)*6+5)</f>
        <v>-1</v>
      </c>
    </row>
    <row r="1061" customFormat="false" ht="23.25" hidden="false" customHeight="true" outlineLevel="0" collapsed="false">
      <c r="B1061" s="67" t="str">
        <f aca="false">IFERROR(INDEX(分录报销!$M:$M,MATCH($L1061,分录报销!$L:$L,0)),"")</f>
        <v/>
      </c>
      <c r="C1061" s="67"/>
      <c r="D1061" s="23" t="str">
        <f aca="false">IFERROR(INDEX(分录报销!$E:$E,MATCH($L1061,分录报销!$L:$L,0)),"")</f>
        <v/>
      </c>
      <c r="E1061" s="23" t="str">
        <f aca="false">IFERROR(INDEX(分录报销!$F:$F,MATCH($L1061,分录报销!$L:$L,0)),"")</f>
        <v/>
      </c>
      <c r="F1061" s="68" t="str">
        <f aca="false">IFERROR(INDEX(分录报销!$H:$H,MATCH($L1061,分录报销!$L:$L,0)),"")</f>
        <v/>
      </c>
      <c r="G1061" s="69" t="str">
        <f aca="false">IFERROR(INDEX(分录报销!$I:$I,MATCH($L1061,分录报销!$L:$L,0)),"")</f>
        <v/>
      </c>
      <c r="H1061" s="23"/>
      <c r="I1061" s="70"/>
      <c r="L1061" s="71" t="n">
        <f aca="false">IF(助手报销!$R$72="",-1,助手报销!$R$72*100+(助手报销!$S$72-1)*6+6)</f>
        <v>-1</v>
      </c>
    </row>
    <row r="1062" customFormat="false" ht="23.25" hidden="false" customHeight="true" outlineLevel="0" collapsed="false">
      <c r="B1062" s="72" t="str">
        <f aca="false">IF(助手报销!$T$72=1,"合计：","")</f>
        <v/>
      </c>
      <c r="C1062" s="73" t="str">
        <f aca="false">IF(助手报销!$T$72=1,$F1062,"")</f>
        <v/>
      </c>
      <c r="D1062" s="74"/>
      <c r="E1062" s="74"/>
      <c r="F1062" s="75" t="str">
        <f aca="false">IF(助手报销!$T$72=1,INDEX(助手报销!$N$2:$N$121,助手报销!$R$72),"")</f>
        <v/>
      </c>
      <c r="G1062" s="76" t="str">
        <f aca="false">IF(助手报销!$T$72=1,INDEX(助手报销!$O$2:$O$121,助手报销!$R$72),"")</f>
        <v/>
      </c>
      <c r="H1062" s="74"/>
      <c r="I1062" s="77"/>
    </row>
    <row r="1063" customFormat="false" ht="6" hidden="false" customHeight="true" outlineLevel="0" collapsed="false"/>
    <row r="1064" customFormat="false" ht="13.5" hidden="false" customHeight="false" outlineLevel="0" collapsed="false">
      <c r="B1064" s="78" t="str">
        <f aca="false">IF(助手报销!$R$72&lt;&gt;"","会计主管：","")</f>
        <v/>
      </c>
      <c r="D1064" s="78" t="str">
        <f aca="false">IF(助手报销!$R$72&lt;&gt;"","会计：","")</f>
        <v/>
      </c>
      <c r="E1064" s="78" t="str">
        <f aca="false">IF(助手报销!$R$72&lt;&gt;"","出纳：","")</f>
        <v/>
      </c>
      <c r="F1064" s="78" t="str">
        <f aca="false">IF(助手报销!$R$72&lt;&gt;"","复核：","")</f>
        <v/>
      </c>
      <c r="G1064" s="78" t="str">
        <f aca="false">IF(助手报销!$R$72&lt;&gt;"","制单：","")</f>
        <v/>
      </c>
    </row>
    <row r="1065" customFormat="false" ht="3" hidden="false" customHeight="true" outlineLevel="0" collapsed="false"/>
    <row r="1066" customFormat="false" ht="19.5" hidden="false" customHeight="true" outlineLevel="0" collapsed="false">
      <c r="B1066" s="53" t="str">
        <f aca="false">IF(助手报销!$R$73&lt;&gt;"","记  账  凭  证","")</f>
        <v/>
      </c>
      <c r="C1066" s="53"/>
      <c r="D1066" s="53"/>
      <c r="E1066" s="53"/>
      <c r="F1066" s="53"/>
      <c r="G1066" s="53"/>
      <c r="H1066" s="53"/>
      <c r="I1066" s="53"/>
    </row>
    <row r="1067" customFormat="false" ht="3" hidden="false" customHeight="true" outlineLevel="0" collapsed="false"/>
    <row r="1068" customFormat="false" ht="15" hidden="false" customHeight="true" outlineLevel="0" collapsed="false">
      <c r="C1068" s="56" t="str">
        <f aca="false">IF(助手报销!$R$73&lt;&gt;"",INDEX(助手报销!$B$2:$B$121,助手报销!$R$73),"")</f>
        <v/>
      </c>
      <c r="D1068" s="57" t="str">
        <f aca="false">IF(助手报销!$R$73&lt;&gt;"",INDEX(助手报销!$D$2:$D$121,助手报销!$R$73),"")</f>
        <v/>
      </c>
      <c r="E1068" s="57"/>
      <c r="F1068" s="58" t="str">
        <f aca="false">IF(助手报销!$R$73&lt;&gt;"",INDEX(助手报销!$C$2:$C$121,助手报销!$R$73)&amp;"  字第 "&amp;IF(参数!$B$9="是",INDEX(助手报销!$P$2:$P$121,助手报销!$R$73),"　　　　")&amp;" 号"&amp;IF(INDEX(助手报销!$L$2:$L$121,助手报销!$R$73)&gt;1,"  (共"&amp;INDEX(助手报销!$L$2:$L$121,助手报销!$R$73)&amp;"页 第"&amp;助手报销!$S$73&amp;"页)",""),"")</f>
        <v/>
      </c>
      <c r="G1068" s="58"/>
      <c r="H1068" s="58"/>
      <c r="I1068" s="58"/>
      <c r="M1068" s="79" t="str">
        <f aca="false">IF(助手报销!$R$73="","",助手报销!$Q$73)</f>
        <v/>
      </c>
      <c r="N1068" s="80" t="str">
        <f aca="false">IF(助手报销!$R$73="","",INDEX(助手报销!$P$2:$P$121,助手报销!$R$73))</f>
        <v/>
      </c>
      <c r="O1068" s="55" t="str">
        <f aca="false">IF(助手报销!$R$73="","",INDEX(助手报销!$C$2:$C$121,助手报销!$R$73)&amp;"  字第 "&amp;INDEX(助手报销!$P$2:$P$121,助手报销!$R$73)&amp;" 号"&amp;IF(INDEX(助手报销!$L$2:$L$121,助手报销!$R$73)&gt;1,"  (共"&amp;INDEX(助手报销!$L$2:$L$121,助手报销!$R$73)&amp;"页 第"&amp;助手报销!$S$73&amp;"页)",""))</f>
        <v/>
      </c>
    </row>
    <row r="1069" customFormat="false" ht="12.75" hidden="false" customHeight="true" outlineLevel="0" collapsed="false">
      <c r="B1069" s="61" t="str">
        <f aca="false">IF(助手报销!$R$73&lt;&gt;"","摘　　要","")</f>
        <v/>
      </c>
      <c r="C1069" s="61"/>
      <c r="D1069" s="62" t="str">
        <f aca="false">IF(助手报销!$R$73&lt;&gt;"","科　　　　目","")</f>
        <v/>
      </c>
      <c r="E1069" s="62"/>
      <c r="F1069" s="61" t="str">
        <f aca="false">IF(助手报销!$R$73&lt;&gt;"","借 方 金 额","")</f>
        <v/>
      </c>
      <c r="G1069" s="62" t="str">
        <f aca="false">IF(助手报销!$R$73&lt;&gt;"","贷 方 金 额","")</f>
        <v/>
      </c>
      <c r="H1069" s="63" t="str">
        <f aca="false">IF(助手报销!$R$73&lt;&gt;"","√","")</f>
        <v/>
      </c>
      <c r="I1069" s="64" t="str">
        <f aca="false">IF(助手报销!$R$73&lt;&gt;"","附单据  张","")</f>
        <v/>
      </c>
    </row>
    <row r="1070" customFormat="false" ht="12.75" hidden="false" customHeight="true" outlineLevel="0" collapsed="false">
      <c r="B1070" s="61"/>
      <c r="C1070" s="61"/>
      <c r="D1070" s="23" t="str">
        <f aca="false">IF(助手报销!$R$73&lt;&gt;"","总 账 科 目","")</f>
        <v/>
      </c>
      <c r="E1070" s="23" t="str">
        <f aca="false">IF(助手报销!$R$73&lt;&gt;"","明 细 科 目","")</f>
        <v/>
      </c>
      <c r="F1070" s="65"/>
      <c r="G1070" s="66"/>
      <c r="H1070" s="63"/>
      <c r="I1070" s="64"/>
    </row>
    <row r="1071" customFormat="false" ht="23.25" hidden="false" customHeight="true" outlineLevel="0" collapsed="false">
      <c r="B1071" s="67" t="str">
        <f aca="false">IFERROR(INDEX(分录报销!$M:$M,MATCH($L1071,分录报销!$L:$L,0)),"")</f>
        <v/>
      </c>
      <c r="C1071" s="67"/>
      <c r="D1071" s="23" t="str">
        <f aca="false">IFERROR(INDEX(分录报销!$E:$E,MATCH($L1071,分录报销!$L:$L,0)),"")</f>
        <v/>
      </c>
      <c r="E1071" s="23" t="str">
        <f aca="false">IFERROR(INDEX(分录报销!$F:$F,MATCH($L1071,分录报销!$L:$L,0)),"")</f>
        <v/>
      </c>
      <c r="F1071" s="68" t="str">
        <f aca="false">IFERROR(INDEX(分录报销!$H:$H,MATCH($L1071,分录报销!$L:$L,0)),"")</f>
        <v/>
      </c>
      <c r="G1071" s="69" t="str">
        <f aca="false">IFERROR(INDEX(分录报销!$I:$I,MATCH($L1071,分录报销!$L:$L,0)),"")</f>
        <v/>
      </c>
      <c r="H1071" s="23"/>
      <c r="I1071" s="70"/>
      <c r="L1071" s="71" t="n">
        <f aca="false">IF(助手报销!$R$73="",-1,助手报销!$R$73*100+(助手报销!$S$73-1)*6+1)</f>
        <v>-1</v>
      </c>
    </row>
    <row r="1072" customFormat="false" ht="23.25" hidden="false" customHeight="true" outlineLevel="0" collapsed="false">
      <c r="B1072" s="67" t="str">
        <f aca="false">IFERROR(INDEX(分录报销!$M:$M,MATCH($L1072,分录报销!$L:$L,0)),"")</f>
        <v/>
      </c>
      <c r="C1072" s="67"/>
      <c r="D1072" s="23" t="str">
        <f aca="false">IFERROR(INDEX(分录报销!$E:$E,MATCH($L1072,分录报销!$L:$L,0)),"")</f>
        <v/>
      </c>
      <c r="E1072" s="23" t="str">
        <f aca="false">IFERROR(INDEX(分录报销!$F:$F,MATCH($L1072,分录报销!$L:$L,0)),"")</f>
        <v/>
      </c>
      <c r="F1072" s="68" t="str">
        <f aca="false">IFERROR(INDEX(分录报销!$H:$H,MATCH($L1072,分录报销!$L:$L,0)),"")</f>
        <v/>
      </c>
      <c r="G1072" s="69" t="str">
        <f aca="false">IFERROR(INDEX(分录报销!$I:$I,MATCH($L1072,分录报销!$L:$L,0)),"")</f>
        <v/>
      </c>
      <c r="H1072" s="23"/>
      <c r="I1072" s="70"/>
      <c r="L1072" s="71" t="n">
        <f aca="false">IF(助手报销!$R$73="",-1,助手报销!$R$73*100+(助手报销!$S$73-1)*6+2)</f>
        <v>-1</v>
      </c>
    </row>
    <row r="1073" customFormat="false" ht="23.25" hidden="false" customHeight="true" outlineLevel="0" collapsed="false">
      <c r="B1073" s="67" t="str">
        <f aca="false">IFERROR(INDEX(分录报销!$M:$M,MATCH($L1073,分录报销!$L:$L,0)),"")</f>
        <v/>
      </c>
      <c r="C1073" s="67"/>
      <c r="D1073" s="23" t="str">
        <f aca="false">IFERROR(INDEX(分录报销!$E:$E,MATCH($L1073,分录报销!$L:$L,0)),"")</f>
        <v/>
      </c>
      <c r="E1073" s="23" t="str">
        <f aca="false">IFERROR(INDEX(分录报销!$F:$F,MATCH($L1073,分录报销!$L:$L,0)),"")</f>
        <v/>
      </c>
      <c r="F1073" s="68" t="str">
        <f aca="false">IFERROR(INDEX(分录报销!$H:$H,MATCH($L1073,分录报销!$L:$L,0)),"")</f>
        <v/>
      </c>
      <c r="G1073" s="69" t="str">
        <f aca="false">IFERROR(INDEX(分录报销!$I:$I,MATCH($L1073,分录报销!$L:$L,0)),"")</f>
        <v/>
      </c>
      <c r="H1073" s="23"/>
      <c r="I1073" s="70"/>
      <c r="L1073" s="71" t="n">
        <f aca="false">IF(助手报销!$R$73="",-1,助手报销!$R$73*100+(助手报销!$S$73-1)*6+3)</f>
        <v>-1</v>
      </c>
    </row>
    <row r="1074" customFormat="false" ht="23.25" hidden="false" customHeight="true" outlineLevel="0" collapsed="false">
      <c r="B1074" s="67" t="str">
        <f aca="false">IFERROR(INDEX(分录报销!$M:$M,MATCH($L1074,分录报销!$L:$L,0)),"")</f>
        <v/>
      </c>
      <c r="C1074" s="67"/>
      <c r="D1074" s="23" t="str">
        <f aca="false">IFERROR(INDEX(分录报销!$E:$E,MATCH($L1074,分录报销!$L:$L,0)),"")</f>
        <v/>
      </c>
      <c r="E1074" s="23" t="str">
        <f aca="false">IFERROR(INDEX(分录报销!$F:$F,MATCH($L1074,分录报销!$L:$L,0)),"")</f>
        <v/>
      </c>
      <c r="F1074" s="68" t="str">
        <f aca="false">IFERROR(INDEX(分录报销!$H:$H,MATCH($L1074,分录报销!$L:$L,0)),"")</f>
        <v/>
      </c>
      <c r="G1074" s="69" t="str">
        <f aca="false">IFERROR(INDEX(分录报销!$I:$I,MATCH($L1074,分录报销!$L:$L,0)),"")</f>
        <v/>
      </c>
      <c r="H1074" s="23"/>
      <c r="I1074" s="70"/>
      <c r="L1074" s="71" t="n">
        <f aca="false">IF(助手报销!$R$73="",-1,助手报销!$R$73*100+(助手报销!$S$73-1)*6+4)</f>
        <v>-1</v>
      </c>
    </row>
    <row r="1075" customFormat="false" ht="23.25" hidden="false" customHeight="true" outlineLevel="0" collapsed="false">
      <c r="B1075" s="67" t="str">
        <f aca="false">IFERROR(INDEX(分录报销!$M:$M,MATCH($L1075,分录报销!$L:$L,0)),"")</f>
        <v/>
      </c>
      <c r="C1075" s="67"/>
      <c r="D1075" s="23" t="str">
        <f aca="false">IFERROR(INDEX(分录报销!$E:$E,MATCH($L1075,分录报销!$L:$L,0)),"")</f>
        <v/>
      </c>
      <c r="E1075" s="23" t="str">
        <f aca="false">IFERROR(INDEX(分录报销!$F:$F,MATCH($L1075,分录报销!$L:$L,0)),"")</f>
        <v/>
      </c>
      <c r="F1075" s="68" t="str">
        <f aca="false">IFERROR(INDEX(分录报销!$H:$H,MATCH($L1075,分录报销!$L:$L,0)),"")</f>
        <v/>
      </c>
      <c r="G1075" s="69" t="str">
        <f aca="false">IFERROR(INDEX(分录报销!$I:$I,MATCH($L1075,分录报销!$L:$L,0)),"")</f>
        <v/>
      </c>
      <c r="H1075" s="23"/>
      <c r="I1075" s="70"/>
      <c r="L1075" s="71" t="n">
        <f aca="false">IF(助手报销!$R$73="",-1,助手报销!$R$73*100+(助手报销!$S$73-1)*6+5)</f>
        <v>-1</v>
      </c>
    </row>
    <row r="1076" customFormat="false" ht="23.25" hidden="false" customHeight="true" outlineLevel="0" collapsed="false">
      <c r="B1076" s="67" t="str">
        <f aca="false">IFERROR(INDEX(分录报销!$M:$M,MATCH($L1076,分录报销!$L:$L,0)),"")</f>
        <v/>
      </c>
      <c r="C1076" s="67"/>
      <c r="D1076" s="23" t="str">
        <f aca="false">IFERROR(INDEX(分录报销!$E:$E,MATCH($L1076,分录报销!$L:$L,0)),"")</f>
        <v/>
      </c>
      <c r="E1076" s="23" t="str">
        <f aca="false">IFERROR(INDEX(分录报销!$F:$F,MATCH($L1076,分录报销!$L:$L,0)),"")</f>
        <v/>
      </c>
      <c r="F1076" s="68" t="str">
        <f aca="false">IFERROR(INDEX(分录报销!$H:$H,MATCH($L1076,分录报销!$L:$L,0)),"")</f>
        <v/>
      </c>
      <c r="G1076" s="69" t="str">
        <f aca="false">IFERROR(INDEX(分录报销!$I:$I,MATCH($L1076,分录报销!$L:$L,0)),"")</f>
        <v/>
      </c>
      <c r="H1076" s="23"/>
      <c r="I1076" s="70"/>
      <c r="L1076" s="71" t="n">
        <f aca="false">IF(助手报销!$R$73="",-1,助手报销!$R$73*100+(助手报销!$S$73-1)*6+6)</f>
        <v>-1</v>
      </c>
    </row>
    <row r="1077" customFormat="false" ht="23.25" hidden="false" customHeight="true" outlineLevel="0" collapsed="false">
      <c r="B1077" s="72" t="str">
        <f aca="false">IF(助手报销!$T$73=1,"合计：","")</f>
        <v/>
      </c>
      <c r="C1077" s="73" t="str">
        <f aca="false">IF(助手报销!$T$73=1,$F1077,"")</f>
        <v/>
      </c>
      <c r="D1077" s="74"/>
      <c r="E1077" s="74"/>
      <c r="F1077" s="75" t="str">
        <f aca="false">IF(助手报销!$T$73=1,INDEX(助手报销!$N$2:$N$121,助手报销!$R$73),"")</f>
        <v/>
      </c>
      <c r="G1077" s="76" t="str">
        <f aca="false">IF(助手报销!$T$73=1,INDEX(助手报销!$O$2:$O$121,助手报销!$R$73),"")</f>
        <v/>
      </c>
      <c r="H1077" s="74"/>
      <c r="I1077" s="77"/>
    </row>
    <row r="1078" customFormat="false" ht="6" hidden="false" customHeight="true" outlineLevel="0" collapsed="false"/>
    <row r="1079" customFormat="false" ht="13.5" hidden="false" customHeight="false" outlineLevel="0" collapsed="false">
      <c r="B1079" s="78" t="str">
        <f aca="false">IF(助手报销!$R$73&lt;&gt;"","会计主管：","")</f>
        <v/>
      </c>
      <c r="D1079" s="78" t="str">
        <f aca="false">IF(助手报销!$R$73&lt;&gt;"","会计：","")</f>
        <v/>
      </c>
      <c r="E1079" s="78" t="str">
        <f aca="false">IF(助手报销!$R$73&lt;&gt;"","出纳：","")</f>
        <v/>
      </c>
      <c r="F1079" s="78" t="str">
        <f aca="false">IF(助手报销!$R$73&lt;&gt;"","复核：","")</f>
        <v/>
      </c>
      <c r="G1079" s="78" t="str">
        <f aca="false">IF(助手报销!$R$73&lt;&gt;"","制单：","")</f>
        <v/>
      </c>
    </row>
    <row r="1080" customFormat="false" ht="3" hidden="false" customHeight="true" outlineLevel="0" collapsed="false"/>
    <row r="1081" customFormat="false" ht="19.5" hidden="false" customHeight="true" outlineLevel="0" collapsed="false">
      <c r="B1081" s="53" t="str">
        <f aca="false">IF(助手报销!$R$74&lt;&gt;"","记  账  凭  证","")</f>
        <v/>
      </c>
      <c r="C1081" s="53"/>
      <c r="D1081" s="53"/>
      <c r="E1081" s="53"/>
      <c r="F1081" s="53"/>
      <c r="G1081" s="53"/>
      <c r="H1081" s="53"/>
      <c r="I1081" s="53"/>
    </row>
    <row r="1082" customFormat="false" ht="3" hidden="false" customHeight="true" outlineLevel="0" collapsed="false"/>
    <row r="1083" customFormat="false" ht="15" hidden="false" customHeight="true" outlineLevel="0" collapsed="false">
      <c r="C1083" s="56" t="str">
        <f aca="false">IF(助手报销!$R$74&lt;&gt;"",INDEX(助手报销!$B$2:$B$121,助手报销!$R$74),"")</f>
        <v/>
      </c>
      <c r="D1083" s="57" t="str">
        <f aca="false">IF(助手报销!$R$74&lt;&gt;"",INDEX(助手报销!$D$2:$D$121,助手报销!$R$74),"")</f>
        <v/>
      </c>
      <c r="E1083" s="57"/>
      <c r="F1083" s="58" t="str">
        <f aca="false">IF(助手报销!$R$74&lt;&gt;"",INDEX(助手报销!$C$2:$C$121,助手报销!$R$74)&amp;"  字第 "&amp;IF(参数!$B$9="是",INDEX(助手报销!$P$2:$P$121,助手报销!$R$74),"　　　　")&amp;" 号"&amp;IF(INDEX(助手报销!$L$2:$L$121,助手报销!$R$74)&gt;1,"  (共"&amp;INDEX(助手报销!$L$2:$L$121,助手报销!$R$74)&amp;"页 第"&amp;助手报销!$S$74&amp;"页)",""),"")</f>
        <v/>
      </c>
      <c r="G1083" s="58"/>
      <c r="H1083" s="58"/>
      <c r="I1083" s="58"/>
      <c r="M1083" s="79" t="str">
        <f aca="false">IF(助手报销!$R$74="","",助手报销!$Q$74)</f>
        <v/>
      </c>
      <c r="N1083" s="80" t="str">
        <f aca="false">IF(助手报销!$R$74="","",INDEX(助手报销!$P$2:$P$121,助手报销!$R$74))</f>
        <v/>
      </c>
      <c r="O1083" s="55" t="str">
        <f aca="false">IF(助手报销!$R$74="","",INDEX(助手报销!$C$2:$C$121,助手报销!$R$74)&amp;"  字第 "&amp;INDEX(助手报销!$P$2:$P$121,助手报销!$R$74)&amp;" 号"&amp;IF(INDEX(助手报销!$L$2:$L$121,助手报销!$R$74)&gt;1,"  (共"&amp;INDEX(助手报销!$L$2:$L$121,助手报销!$R$74)&amp;"页 第"&amp;助手报销!$S$74&amp;"页)",""))</f>
        <v/>
      </c>
    </row>
    <row r="1084" customFormat="false" ht="12.75" hidden="false" customHeight="true" outlineLevel="0" collapsed="false">
      <c r="B1084" s="61" t="str">
        <f aca="false">IF(助手报销!$R$74&lt;&gt;"","摘　　要","")</f>
        <v/>
      </c>
      <c r="C1084" s="61"/>
      <c r="D1084" s="62" t="str">
        <f aca="false">IF(助手报销!$R$74&lt;&gt;"","科　　　　目","")</f>
        <v/>
      </c>
      <c r="E1084" s="62"/>
      <c r="F1084" s="61" t="str">
        <f aca="false">IF(助手报销!$R$74&lt;&gt;"","借 方 金 额","")</f>
        <v/>
      </c>
      <c r="G1084" s="62" t="str">
        <f aca="false">IF(助手报销!$R$74&lt;&gt;"","贷 方 金 额","")</f>
        <v/>
      </c>
      <c r="H1084" s="63" t="str">
        <f aca="false">IF(助手报销!$R$74&lt;&gt;"","√","")</f>
        <v/>
      </c>
      <c r="I1084" s="64" t="str">
        <f aca="false">IF(助手报销!$R$74&lt;&gt;"","附单据  张","")</f>
        <v/>
      </c>
    </row>
    <row r="1085" customFormat="false" ht="12.75" hidden="false" customHeight="true" outlineLevel="0" collapsed="false">
      <c r="B1085" s="61"/>
      <c r="C1085" s="61"/>
      <c r="D1085" s="23" t="str">
        <f aca="false">IF(助手报销!$R$74&lt;&gt;"","总 账 科 目","")</f>
        <v/>
      </c>
      <c r="E1085" s="23" t="str">
        <f aca="false">IF(助手报销!$R$74&lt;&gt;"","明 细 科 目","")</f>
        <v/>
      </c>
      <c r="F1085" s="65"/>
      <c r="G1085" s="66"/>
      <c r="H1085" s="63"/>
      <c r="I1085" s="64"/>
    </row>
    <row r="1086" customFormat="false" ht="23.25" hidden="false" customHeight="true" outlineLevel="0" collapsed="false">
      <c r="B1086" s="67" t="str">
        <f aca="false">IFERROR(INDEX(分录报销!$M:$M,MATCH($L1086,分录报销!$L:$L,0)),"")</f>
        <v/>
      </c>
      <c r="C1086" s="67"/>
      <c r="D1086" s="23" t="str">
        <f aca="false">IFERROR(INDEX(分录报销!$E:$E,MATCH($L1086,分录报销!$L:$L,0)),"")</f>
        <v/>
      </c>
      <c r="E1086" s="23" t="str">
        <f aca="false">IFERROR(INDEX(分录报销!$F:$F,MATCH($L1086,分录报销!$L:$L,0)),"")</f>
        <v/>
      </c>
      <c r="F1086" s="68" t="str">
        <f aca="false">IFERROR(INDEX(分录报销!$H:$H,MATCH($L1086,分录报销!$L:$L,0)),"")</f>
        <v/>
      </c>
      <c r="G1086" s="69" t="str">
        <f aca="false">IFERROR(INDEX(分录报销!$I:$I,MATCH($L1086,分录报销!$L:$L,0)),"")</f>
        <v/>
      </c>
      <c r="H1086" s="23"/>
      <c r="I1086" s="70"/>
      <c r="L1086" s="71" t="n">
        <f aca="false">IF(助手报销!$R$74="",-1,助手报销!$R$74*100+(助手报销!$S$74-1)*6+1)</f>
        <v>-1</v>
      </c>
    </row>
    <row r="1087" customFormat="false" ht="23.25" hidden="false" customHeight="true" outlineLevel="0" collapsed="false">
      <c r="B1087" s="67" t="str">
        <f aca="false">IFERROR(INDEX(分录报销!$M:$M,MATCH($L1087,分录报销!$L:$L,0)),"")</f>
        <v/>
      </c>
      <c r="C1087" s="67"/>
      <c r="D1087" s="23" t="str">
        <f aca="false">IFERROR(INDEX(分录报销!$E:$E,MATCH($L1087,分录报销!$L:$L,0)),"")</f>
        <v/>
      </c>
      <c r="E1087" s="23" t="str">
        <f aca="false">IFERROR(INDEX(分录报销!$F:$F,MATCH($L1087,分录报销!$L:$L,0)),"")</f>
        <v/>
      </c>
      <c r="F1087" s="68" t="str">
        <f aca="false">IFERROR(INDEX(分录报销!$H:$H,MATCH($L1087,分录报销!$L:$L,0)),"")</f>
        <v/>
      </c>
      <c r="G1087" s="69" t="str">
        <f aca="false">IFERROR(INDEX(分录报销!$I:$I,MATCH($L1087,分录报销!$L:$L,0)),"")</f>
        <v/>
      </c>
      <c r="H1087" s="23"/>
      <c r="I1087" s="70"/>
      <c r="L1087" s="71" t="n">
        <f aca="false">IF(助手报销!$R$74="",-1,助手报销!$R$74*100+(助手报销!$S$74-1)*6+2)</f>
        <v>-1</v>
      </c>
    </row>
    <row r="1088" customFormat="false" ht="23.25" hidden="false" customHeight="true" outlineLevel="0" collapsed="false">
      <c r="B1088" s="67" t="str">
        <f aca="false">IFERROR(INDEX(分录报销!$M:$M,MATCH($L1088,分录报销!$L:$L,0)),"")</f>
        <v/>
      </c>
      <c r="C1088" s="67"/>
      <c r="D1088" s="23" t="str">
        <f aca="false">IFERROR(INDEX(分录报销!$E:$E,MATCH($L1088,分录报销!$L:$L,0)),"")</f>
        <v/>
      </c>
      <c r="E1088" s="23" t="str">
        <f aca="false">IFERROR(INDEX(分录报销!$F:$F,MATCH($L1088,分录报销!$L:$L,0)),"")</f>
        <v/>
      </c>
      <c r="F1088" s="68" t="str">
        <f aca="false">IFERROR(INDEX(分录报销!$H:$H,MATCH($L1088,分录报销!$L:$L,0)),"")</f>
        <v/>
      </c>
      <c r="G1088" s="69" t="str">
        <f aca="false">IFERROR(INDEX(分录报销!$I:$I,MATCH($L1088,分录报销!$L:$L,0)),"")</f>
        <v/>
      </c>
      <c r="H1088" s="23"/>
      <c r="I1088" s="70"/>
      <c r="L1088" s="71" t="n">
        <f aca="false">IF(助手报销!$R$74="",-1,助手报销!$R$74*100+(助手报销!$S$74-1)*6+3)</f>
        <v>-1</v>
      </c>
    </row>
    <row r="1089" customFormat="false" ht="23.25" hidden="false" customHeight="true" outlineLevel="0" collapsed="false">
      <c r="B1089" s="67" t="str">
        <f aca="false">IFERROR(INDEX(分录报销!$M:$M,MATCH($L1089,分录报销!$L:$L,0)),"")</f>
        <v/>
      </c>
      <c r="C1089" s="67"/>
      <c r="D1089" s="23" t="str">
        <f aca="false">IFERROR(INDEX(分录报销!$E:$E,MATCH($L1089,分录报销!$L:$L,0)),"")</f>
        <v/>
      </c>
      <c r="E1089" s="23" t="str">
        <f aca="false">IFERROR(INDEX(分录报销!$F:$F,MATCH($L1089,分录报销!$L:$L,0)),"")</f>
        <v/>
      </c>
      <c r="F1089" s="68" t="str">
        <f aca="false">IFERROR(INDEX(分录报销!$H:$H,MATCH($L1089,分录报销!$L:$L,0)),"")</f>
        <v/>
      </c>
      <c r="G1089" s="69" t="str">
        <f aca="false">IFERROR(INDEX(分录报销!$I:$I,MATCH($L1089,分录报销!$L:$L,0)),"")</f>
        <v/>
      </c>
      <c r="H1089" s="23"/>
      <c r="I1089" s="70"/>
      <c r="L1089" s="71" t="n">
        <f aca="false">IF(助手报销!$R$74="",-1,助手报销!$R$74*100+(助手报销!$S$74-1)*6+4)</f>
        <v>-1</v>
      </c>
    </row>
    <row r="1090" customFormat="false" ht="23.25" hidden="false" customHeight="true" outlineLevel="0" collapsed="false">
      <c r="B1090" s="67" t="str">
        <f aca="false">IFERROR(INDEX(分录报销!$M:$M,MATCH($L1090,分录报销!$L:$L,0)),"")</f>
        <v/>
      </c>
      <c r="C1090" s="67"/>
      <c r="D1090" s="23" t="str">
        <f aca="false">IFERROR(INDEX(分录报销!$E:$E,MATCH($L1090,分录报销!$L:$L,0)),"")</f>
        <v/>
      </c>
      <c r="E1090" s="23" t="str">
        <f aca="false">IFERROR(INDEX(分录报销!$F:$F,MATCH($L1090,分录报销!$L:$L,0)),"")</f>
        <v/>
      </c>
      <c r="F1090" s="68" t="str">
        <f aca="false">IFERROR(INDEX(分录报销!$H:$H,MATCH($L1090,分录报销!$L:$L,0)),"")</f>
        <v/>
      </c>
      <c r="G1090" s="69" t="str">
        <f aca="false">IFERROR(INDEX(分录报销!$I:$I,MATCH($L1090,分录报销!$L:$L,0)),"")</f>
        <v/>
      </c>
      <c r="H1090" s="23"/>
      <c r="I1090" s="70"/>
      <c r="L1090" s="71" t="n">
        <f aca="false">IF(助手报销!$R$74="",-1,助手报销!$R$74*100+(助手报销!$S$74-1)*6+5)</f>
        <v>-1</v>
      </c>
    </row>
    <row r="1091" customFormat="false" ht="23.25" hidden="false" customHeight="true" outlineLevel="0" collapsed="false">
      <c r="B1091" s="67" t="str">
        <f aca="false">IFERROR(INDEX(分录报销!$M:$M,MATCH($L1091,分录报销!$L:$L,0)),"")</f>
        <v/>
      </c>
      <c r="C1091" s="67"/>
      <c r="D1091" s="23" t="str">
        <f aca="false">IFERROR(INDEX(分录报销!$E:$E,MATCH($L1091,分录报销!$L:$L,0)),"")</f>
        <v/>
      </c>
      <c r="E1091" s="23" t="str">
        <f aca="false">IFERROR(INDEX(分录报销!$F:$F,MATCH($L1091,分录报销!$L:$L,0)),"")</f>
        <v/>
      </c>
      <c r="F1091" s="68" t="str">
        <f aca="false">IFERROR(INDEX(分录报销!$H:$H,MATCH($L1091,分录报销!$L:$L,0)),"")</f>
        <v/>
      </c>
      <c r="G1091" s="69" t="str">
        <f aca="false">IFERROR(INDEX(分录报销!$I:$I,MATCH($L1091,分录报销!$L:$L,0)),"")</f>
        <v/>
      </c>
      <c r="H1091" s="23"/>
      <c r="I1091" s="70"/>
      <c r="L1091" s="71" t="n">
        <f aca="false">IF(助手报销!$R$74="",-1,助手报销!$R$74*100+(助手报销!$S$74-1)*6+6)</f>
        <v>-1</v>
      </c>
    </row>
    <row r="1092" customFormat="false" ht="23.25" hidden="false" customHeight="true" outlineLevel="0" collapsed="false">
      <c r="B1092" s="72" t="str">
        <f aca="false">IF(助手报销!$T$74=1,"合计：","")</f>
        <v/>
      </c>
      <c r="C1092" s="73" t="str">
        <f aca="false">IF(助手报销!$T$74=1,$F1092,"")</f>
        <v/>
      </c>
      <c r="D1092" s="74"/>
      <c r="E1092" s="74"/>
      <c r="F1092" s="75" t="str">
        <f aca="false">IF(助手报销!$T$74=1,INDEX(助手报销!$N$2:$N$121,助手报销!$R$74),"")</f>
        <v/>
      </c>
      <c r="G1092" s="76" t="str">
        <f aca="false">IF(助手报销!$T$74=1,INDEX(助手报销!$O$2:$O$121,助手报销!$R$74),"")</f>
        <v/>
      </c>
      <c r="H1092" s="74"/>
      <c r="I1092" s="77"/>
    </row>
    <row r="1093" customFormat="false" ht="6" hidden="false" customHeight="true" outlineLevel="0" collapsed="false"/>
    <row r="1094" customFormat="false" ht="13.5" hidden="false" customHeight="false" outlineLevel="0" collapsed="false">
      <c r="B1094" s="78" t="str">
        <f aca="false">IF(助手报销!$R$74&lt;&gt;"","会计主管：","")</f>
        <v/>
      </c>
      <c r="D1094" s="78" t="str">
        <f aca="false">IF(助手报销!$R$74&lt;&gt;"","会计：","")</f>
        <v/>
      </c>
      <c r="E1094" s="78" t="str">
        <f aca="false">IF(助手报销!$R$74&lt;&gt;"","出纳：","")</f>
        <v/>
      </c>
      <c r="F1094" s="78" t="str">
        <f aca="false">IF(助手报销!$R$74&lt;&gt;"","复核：","")</f>
        <v/>
      </c>
      <c r="G1094" s="78" t="str">
        <f aca="false">IF(助手报销!$R$74&lt;&gt;"","制单：","")</f>
        <v/>
      </c>
    </row>
    <row r="1095" customFormat="false" ht="3" hidden="false" customHeight="true" outlineLevel="0" collapsed="false"/>
    <row r="1096" customFormat="false" ht="19.5" hidden="false" customHeight="true" outlineLevel="0" collapsed="false">
      <c r="B1096" s="53" t="str">
        <f aca="false">IF(助手报销!$R$75&lt;&gt;"","记  账  凭  证","")</f>
        <v/>
      </c>
      <c r="C1096" s="53"/>
      <c r="D1096" s="53"/>
      <c r="E1096" s="53"/>
      <c r="F1096" s="53"/>
      <c r="G1096" s="53"/>
      <c r="H1096" s="53"/>
      <c r="I1096" s="53"/>
    </row>
    <row r="1097" customFormat="false" ht="3" hidden="false" customHeight="true" outlineLevel="0" collapsed="false"/>
    <row r="1098" customFormat="false" ht="15" hidden="false" customHeight="true" outlineLevel="0" collapsed="false">
      <c r="C1098" s="56" t="str">
        <f aca="false">IF(助手报销!$R$75&lt;&gt;"",INDEX(助手报销!$B$2:$B$121,助手报销!$R$75),"")</f>
        <v/>
      </c>
      <c r="D1098" s="57" t="str">
        <f aca="false">IF(助手报销!$R$75&lt;&gt;"",INDEX(助手报销!$D$2:$D$121,助手报销!$R$75),"")</f>
        <v/>
      </c>
      <c r="E1098" s="57"/>
      <c r="F1098" s="58" t="str">
        <f aca="false">IF(助手报销!$R$75&lt;&gt;"",INDEX(助手报销!$C$2:$C$121,助手报销!$R$75)&amp;"  字第 "&amp;IF(参数!$B$9="是",INDEX(助手报销!$P$2:$P$121,助手报销!$R$75),"　　　　")&amp;" 号"&amp;IF(INDEX(助手报销!$L$2:$L$121,助手报销!$R$75)&gt;1,"  (共"&amp;INDEX(助手报销!$L$2:$L$121,助手报销!$R$75)&amp;"页 第"&amp;助手报销!$S$75&amp;"页)",""),"")</f>
        <v/>
      </c>
      <c r="G1098" s="58"/>
      <c r="H1098" s="58"/>
      <c r="I1098" s="58"/>
      <c r="M1098" s="79" t="str">
        <f aca="false">IF(助手报销!$R$75="","",助手报销!$Q$75)</f>
        <v/>
      </c>
      <c r="N1098" s="80" t="str">
        <f aca="false">IF(助手报销!$R$75="","",INDEX(助手报销!$P$2:$P$121,助手报销!$R$75))</f>
        <v/>
      </c>
      <c r="O1098" s="55" t="str">
        <f aca="false">IF(助手报销!$R$75="","",INDEX(助手报销!$C$2:$C$121,助手报销!$R$75)&amp;"  字第 "&amp;INDEX(助手报销!$P$2:$P$121,助手报销!$R$75)&amp;" 号"&amp;IF(INDEX(助手报销!$L$2:$L$121,助手报销!$R$75)&gt;1,"  (共"&amp;INDEX(助手报销!$L$2:$L$121,助手报销!$R$75)&amp;"页 第"&amp;助手报销!$S$75&amp;"页)",""))</f>
        <v/>
      </c>
    </row>
    <row r="1099" customFormat="false" ht="12.75" hidden="false" customHeight="true" outlineLevel="0" collapsed="false">
      <c r="B1099" s="61" t="str">
        <f aca="false">IF(助手报销!$R$75&lt;&gt;"","摘　　要","")</f>
        <v/>
      </c>
      <c r="C1099" s="61"/>
      <c r="D1099" s="62" t="str">
        <f aca="false">IF(助手报销!$R$75&lt;&gt;"","科　　　　目","")</f>
        <v/>
      </c>
      <c r="E1099" s="62"/>
      <c r="F1099" s="61" t="str">
        <f aca="false">IF(助手报销!$R$75&lt;&gt;"","借 方 金 额","")</f>
        <v/>
      </c>
      <c r="G1099" s="62" t="str">
        <f aca="false">IF(助手报销!$R$75&lt;&gt;"","贷 方 金 额","")</f>
        <v/>
      </c>
      <c r="H1099" s="63" t="str">
        <f aca="false">IF(助手报销!$R$75&lt;&gt;"","√","")</f>
        <v/>
      </c>
      <c r="I1099" s="64" t="str">
        <f aca="false">IF(助手报销!$R$75&lt;&gt;"","附单据  张","")</f>
        <v/>
      </c>
    </row>
    <row r="1100" customFormat="false" ht="12.75" hidden="false" customHeight="true" outlineLevel="0" collapsed="false">
      <c r="B1100" s="61"/>
      <c r="C1100" s="61"/>
      <c r="D1100" s="23" t="str">
        <f aca="false">IF(助手报销!$R$75&lt;&gt;"","总 账 科 目","")</f>
        <v/>
      </c>
      <c r="E1100" s="23" t="str">
        <f aca="false">IF(助手报销!$R$75&lt;&gt;"","明 细 科 目","")</f>
        <v/>
      </c>
      <c r="F1100" s="65"/>
      <c r="G1100" s="66"/>
      <c r="H1100" s="63"/>
      <c r="I1100" s="64"/>
    </row>
    <row r="1101" customFormat="false" ht="23.25" hidden="false" customHeight="true" outlineLevel="0" collapsed="false">
      <c r="B1101" s="67" t="str">
        <f aca="false">IFERROR(INDEX(分录报销!$M:$M,MATCH($L1101,分录报销!$L:$L,0)),"")</f>
        <v/>
      </c>
      <c r="C1101" s="67"/>
      <c r="D1101" s="23" t="str">
        <f aca="false">IFERROR(INDEX(分录报销!$E:$E,MATCH($L1101,分录报销!$L:$L,0)),"")</f>
        <v/>
      </c>
      <c r="E1101" s="23" t="str">
        <f aca="false">IFERROR(INDEX(分录报销!$F:$F,MATCH($L1101,分录报销!$L:$L,0)),"")</f>
        <v/>
      </c>
      <c r="F1101" s="68" t="str">
        <f aca="false">IFERROR(INDEX(分录报销!$H:$H,MATCH($L1101,分录报销!$L:$L,0)),"")</f>
        <v/>
      </c>
      <c r="G1101" s="69" t="str">
        <f aca="false">IFERROR(INDEX(分录报销!$I:$I,MATCH($L1101,分录报销!$L:$L,0)),"")</f>
        <v/>
      </c>
      <c r="H1101" s="23"/>
      <c r="I1101" s="70"/>
      <c r="L1101" s="71" t="n">
        <f aca="false">IF(助手报销!$R$75="",-1,助手报销!$R$75*100+(助手报销!$S$75-1)*6+1)</f>
        <v>-1</v>
      </c>
    </row>
    <row r="1102" customFormat="false" ht="23.25" hidden="false" customHeight="true" outlineLevel="0" collapsed="false">
      <c r="B1102" s="67" t="str">
        <f aca="false">IFERROR(INDEX(分录报销!$M:$M,MATCH($L1102,分录报销!$L:$L,0)),"")</f>
        <v/>
      </c>
      <c r="C1102" s="67"/>
      <c r="D1102" s="23" t="str">
        <f aca="false">IFERROR(INDEX(分录报销!$E:$E,MATCH($L1102,分录报销!$L:$L,0)),"")</f>
        <v/>
      </c>
      <c r="E1102" s="23" t="str">
        <f aca="false">IFERROR(INDEX(分录报销!$F:$F,MATCH($L1102,分录报销!$L:$L,0)),"")</f>
        <v/>
      </c>
      <c r="F1102" s="68" t="str">
        <f aca="false">IFERROR(INDEX(分录报销!$H:$H,MATCH($L1102,分录报销!$L:$L,0)),"")</f>
        <v/>
      </c>
      <c r="G1102" s="69" t="str">
        <f aca="false">IFERROR(INDEX(分录报销!$I:$I,MATCH($L1102,分录报销!$L:$L,0)),"")</f>
        <v/>
      </c>
      <c r="H1102" s="23"/>
      <c r="I1102" s="70"/>
      <c r="L1102" s="71" t="n">
        <f aca="false">IF(助手报销!$R$75="",-1,助手报销!$R$75*100+(助手报销!$S$75-1)*6+2)</f>
        <v>-1</v>
      </c>
    </row>
    <row r="1103" customFormat="false" ht="23.25" hidden="false" customHeight="true" outlineLevel="0" collapsed="false">
      <c r="B1103" s="67" t="str">
        <f aca="false">IFERROR(INDEX(分录报销!$M:$M,MATCH($L1103,分录报销!$L:$L,0)),"")</f>
        <v/>
      </c>
      <c r="C1103" s="67"/>
      <c r="D1103" s="23" t="str">
        <f aca="false">IFERROR(INDEX(分录报销!$E:$E,MATCH($L1103,分录报销!$L:$L,0)),"")</f>
        <v/>
      </c>
      <c r="E1103" s="23" t="str">
        <f aca="false">IFERROR(INDEX(分录报销!$F:$F,MATCH($L1103,分录报销!$L:$L,0)),"")</f>
        <v/>
      </c>
      <c r="F1103" s="68" t="str">
        <f aca="false">IFERROR(INDEX(分录报销!$H:$H,MATCH($L1103,分录报销!$L:$L,0)),"")</f>
        <v/>
      </c>
      <c r="G1103" s="69" t="str">
        <f aca="false">IFERROR(INDEX(分录报销!$I:$I,MATCH($L1103,分录报销!$L:$L,0)),"")</f>
        <v/>
      </c>
      <c r="H1103" s="23"/>
      <c r="I1103" s="70"/>
      <c r="L1103" s="71" t="n">
        <f aca="false">IF(助手报销!$R$75="",-1,助手报销!$R$75*100+(助手报销!$S$75-1)*6+3)</f>
        <v>-1</v>
      </c>
    </row>
    <row r="1104" customFormat="false" ht="23.25" hidden="false" customHeight="true" outlineLevel="0" collapsed="false">
      <c r="B1104" s="67" t="str">
        <f aca="false">IFERROR(INDEX(分录报销!$M:$M,MATCH($L1104,分录报销!$L:$L,0)),"")</f>
        <v/>
      </c>
      <c r="C1104" s="67"/>
      <c r="D1104" s="23" t="str">
        <f aca="false">IFERROR(INDEX(分录报销!$E:$E,MATCH($L1104,分录报销!$L:$L,0)),"")</f>
        <v/>
      </c>
      <c r="E1104" s="23" t="str">
        <f aca="false">IFERROR(INDEX(分录报销!$F:$F,MATCH($L1104,分录报销!$L:$L,0)),"")</f>
        <v/>
      </c>
      <c r="F1104" s="68" t="str">
        <f aca="false">IFERROR(INDEX(分录报销!$H:$H,MATCH($L1104,分录报销!$L:$L,0)),"")</f>
        <v/>
      </c>
      <c r="G1104" s="69" t="str">
        <f aca="false">IFERROR(INDEX(分录报销!$I:$I,MATCH($L1104,分录报销!$L:$L,0)),"")</f>
        <v/>
      </c>
      <c r="H1104" s="23"/>
      <c r="I1104" s="70"/>
      <c r="L1104" s="71" t="n">
        <f aca="false">IF(助手报销!$R$75="",-1,助手报销!$R$75*100+(助手报销!$S$75-1)*6+4)</f>
        <v>-1</v>
      </c>
    </row>
    <row r="1105" customFormat="false" ht="23.25" hidden="false" customHeight="true" outlineLevel="0" collapsed="false">
      <c r="B1105" s="67" t="str">
        <f aca="false">IFERROR(INDEX(分录报销!$M:$M,MATCH($L1105,分录报销!$L:$L,0)),"")</f>
        <v/>
      </c>
      <c r="C1105" s="67"/>
      <c r="D1105" s="23" t="str">
        <f aca="false">IFERROR(INDEX(分录报销!$E:$E,MATCH($L1105,分录报销!$L:$L,0)),"")</f>
        <v/>
      </c>
      <c r="E1105" s="23" t="str">
        <f aca="false">IFERROR(INDEX(分录报销!$F:$F,MATCH($L1105,分录报销!$L:$L,0)),"")</f>
        <v/>
      </c>
      <c r="F1105" s="68" t="str">
        <f aca="false">IFERROR(INDEX(分录报销!$H:$H,MATCH($L1105,分录报销!$L:$L,0)),"")</f>
        <v/>
      </c>
      <c r="G1105" s="69" t="str">
        <f aca="false">IFERROR(INDEX(分录报销!$I:$I,MATCH($L1105,分录报销!$L:$L,0)),"")</f>
        <v/>
      </c>
      <c r="H1105" s="23"/>
      <c r="I1105" s="70"/>
      <c r="L1105" s="71" t="n">
        <f aca="false">IF(助手报销!$R$75="",-1,助手报销!$R$75*100+(助手报销!$S$75-1)*6+5)</f>
        <v>-1</v>
      </c>
    </row>
    <row r="1106" customFormat="false" ht="23.25" hidden="false" customHeight="true" outlineLevel="0" collapsed="false">
      <c r="B1106" s="67" t="str">
        <f aca="false">IFERROR(INDEX(分录报销!$M:$M,MATCH($L1106,分录报销!$L:$L,0)),"")</f>
        <v/>
      </c>
      <c r="C1106" s="67"/>
      <c r="D1106" s="23" t="str">
        <f aca="false">IFERROR(INDEX(分录报销!$E:$E,MATCH($L1106,分录报销!$L:$L,0)),"")</f>
        <v/>
      </c>
      <c r="E1106" s="23" t="str">
        <f aca="false">IFERROR(INDEX(分录报销!$F:$F,MATCH($L1106,分录报销!$L:$L,0)),"")</f>
        <v/>
      </c>
      <c r="F1106" s="68" t="str">
        <f aca="false">IFERROR(INDEX(分录报销!$H:$H,MATCH($L1106,分录报销!$L:$L,0)),"")</f>
        <v/>
      </c>
      <c r="G1106" s="69" t="str">
        <f aca="false">IFERROR(INDEX(分录报销!$I:$I,MATCH($L1106,分录报销!$L:$L,0)),"")</f>
        <v/>
      </c>
      <c r="H1106" s="23"/>
      <c r="I1106" s="70"/>
      <c r="L1106" s="71" t="n">
        <f aca="false">IF(助手报销!$R$75="",-1,助手报销!$R$75*100+(助手报销!$S$75-1)*6+6)</f>
        <v>-1</v>
      </c>
    </row>
    <row r="1107" customFormat="false" ht="23.25" hidden="false" customHeight="true" outlineLevel="0" collapsed="false">
      <c r="B1107" s="72" t="str">
        <f aca="false">IF(助手报销!$T$75=1,"合计：","")</f>
        <v/>
      </c>
      <c r="C1107" s="73" t="str">
        <f aca="false">IF(助手报销!$T$75=1,$F1107,"")</f>
        <v/>
      </c>
      <c r="D1107" s="74"/>
      <c r="E1107" s="74"/>
      <c r="F1107" s="75" t="str">
        <f aca="false">IF(助手报销!$T$75=1,INDEX(助手报销!$N$2:$N$121,助手报销!$R$75),"")</f>
        <v/>
      </c>
      <c r="G1107" s="76" t="str">
        <f aca="false">IF(助手报销!$T$75=1,INDEX(助手报销!$O$2:$O$121,助手报销!$R$75),"")</f>
        <v/>
      </c>
      <c r="H1107" s="74"/>
      <c r="I1107" s="77"/>
    </row>
    <row r="1108" customFormat="false" ht="6" hidden="false" customHeight="true" outlineLevel="0" collapsed="false"/>
    <row r="1109" customFormat="false" ht="13.5" hidden="false" customHeight="false" outlineLevel="0" collapsed="false">
      <c r="B1109" s="78" t="str">
        <f aca="false">IF(助手报销!$R$75&lt;&gt;"","会计主管：","")</f>
        <v/>
      </c>
      <c r="D1109" s="78" t="str">
        <f aca="false">IF(助手报销!$R$75&lt;&gt;"","会计：","")</f>
        <v/>
      </c>
      <c r="E1109" s="78" t="str">
        <f aca="false">IF(助手报销!$R$75&lt;&gt;"","出纳：","")</f>
        <v/>
      </c>
      <c r="F1109" s="78" t="str">
        <f aca="false">IF(助手报销!$R$75&lt;&gt;"","复核：","")</f>
        <v/>
      </c>
      <c r="G1109" s="78" t="str">
        <f aca="false">IF(助手报销!$R$75&lt;&gt;"","制单：","")</f>
        <v/>
      </c>
    </row>
    <row r="1110" customFormat="false" ht="3" hidden="false" customHeight="true" outlineLevel="0" collapsed="false"/>
    <row r="1111" customFormat="false" ht="19.5" hidden="false" customHeight="true" outlineLevel="0" collapsed="false">
      <c r="B1111" s="53" t="str">
        <f aca="false">IF(助手报销!$R$76&lt;&gt;"","记  账  凭  证","")</f>
        <v/>
      </c>
      <c r="C1111" s="53"/>
      <c r="D1111" s="53"/>
      <c r="E1111" s="53"/>
      <c r="F1111" s="53"/>
      <c r="G1111" s="53"/>
      <c r="H1111" s="53"/>
      <c r="I1111" s="53"/>
    </row>
    <row r="1112" customFormat="false" ht="3" hidden="false" customHeight="true" outlineLevel="0" collapsed="false"/>
    <row r="1113" customFormat="false" ht="15" hidden="false" customHeight="true" outlineLevel="0" collapsed="false">
      <c r="C1113" s="56" t="str">
        <f aca="false">IF(助手报销!$R$76&lt;&gt;"",INDEX(助手报销!$B$2:$B$121,助手报销!$R$76),"")</f>
        <v/>
      </c>
      <c r="D1113" s="57" t="str">
        <f aca="false">IF(助手报销!$R$76&lt;&gt;"",INDEX(助手报销!$D$2:$D$121,助手报销!$R$76),"")</f>
        <v/>
      </c>
      <c r="E1113" s="57"/>
      <c r="F1113" s="58" t="str">
        <f aca="false">IF(助手报销!$R$76&lt;&gt;"",INDEX(助手报销!$C$2:$C$121,助手报销!$R$76)&amp;"  字第 "&amp;IF(参数!$B$9="是",INDEX(助手报销!$P$2:$P$121,助手报销!$R$76),"　　　　")&amp;" 号"&amp;IF(INDEX(助手报销!$L$2:$L$121,助手报销!$R$76)&gt;1,"  (共"&amp;INDEX(助手报销!$L$2:$L$121,助手报销!$R$76)&amp;"页 第"&amp;助手报销!$S$76&amp;"页)",""),"")</f>
        <v/>
      </c>
      <c r="G1113" s="58"/>
      <c r="H1113" s="58"/>
      <c r="I1113" s="58"/>
      <c r="M1113" s="79" t="str">
        <f aca="false">IF(助手报销!$R$76="","",助手报销!$Q$76)</f>
        <v/>
      </c>
      <c r="N1113" s="80" t="str">
        <f aca="false">IF(助手报销!$R$76="","",INDEX(助手报销!$P$2:$P$121,助手报销!$R$76))</f>
        <v/>
      </c>
      <c r="O1113" s="55" t="str">
        <f aca="false">IF(助手报销!$R$76="","",INDEX(助手报销!$C$2:$C$121,助手报销!$R$76)&amp;"  字第 "&amp;INDEX(助手报销!$P$2:$P$121,助手报销!$R$76)&amp;" 号"&amp;IF(INDEX(助手报销!$L$2:$L$121,助手报销!$R$76)&gt;1,"  (共"&amp;INDEX(助手报销!$L$2:$L$121,助手报销!$R$76)&amp;"页 第"&amp;助手报销!$S$76&amp;"页)",""))</f>
        <v/>
      </c>
    </row>
    <row r="1114" customFormat="false" ht="12.75" hidden="false" customHeight="true" outlineLevel="0" collapsed="false">
      <c r="B1114" s="61" t="str">
        <f aca="false">IF(助手报销!$R$76&lt;&gt;"","摘　　要","")</f>
        <v/>
      </c>
      <c r="C1114" s="61"/>
      <c r="D1114" s="62" t="str">
        <f aca="false">IF(助手报销!$R$76&lt;&gt;"","科　　　　目","")</f>
        <v/>
      </c>
      <c r="E1114" s="62"/>
      <c r="F1114" s="61" t="str">
        <f aca="false">IF(助手报销!$R$76&lt;&gt;"","借 方 金 额","")</f>
        <v/>
      </c>
      <c r="G1114" s="62" t="str">
        <f aca="false">IF(助手报销!$R$76&lt;&gt;"","贷 方 金 额","")</f>
        <v/>
      </c>
      <c r="H1114" s="63" t="str">
        <f aca="false">IF(助手报销!$R$76&lt;&gt;"","√","")</f>
        <v/>
      </c>
      <c r="I1114" s="64" t="str">
        <f aca="false">IF(助手报销!$R$76&lt;&gt;"","附单据  张","")</f>
        <v/>
      </c>
    </row>
    <row r="1115" customFormat="false" ht="12.75" hidden="false" customHeight="true" outlineLevel="0" collapsed="false">
      <c r="B1115" s="61"/>
      <c r="C1115" s="61"/>
      <c r="D1115" s="23" t="str">
        <f aca="false">IF(助手报销!$R$76&lt;&gt;"","总 账 科 目","")</f>
        <v/>
      </c>
      <c r="E1115" s="23" t="str">
        <f aca="false">IF(助手报销!$R$76&lt;&gt;"","明 细 科 目","")</f>
        <v/>
      </c>
      <c r="F1115" s="65"/>
      <c r="G1115" s="66"/>
      <c r="H1115" s="63"/>
      <c r="I1115" s="64"/>
    </row>
    <row r="1116" customFormat="false" ht="23.25" hidden="false" customHeight="true" outlineLevel="0" collapsed="false">
      <c r="B1116" s="67" t="str">
        <f aca="false">IFERROR(INDEX(分录报销!$M:$M,MATCH($L1116,分录报销!$L:$L,0)),"")</f>
        <v/>
      </c>
      <c r="C1116" s="67"/>
      <c r="D1116" s="23" t="str">
        <f aca="false">IFERROR(INDEX(分录报销!$E:$E,MATCH($L1116,分录报销!$L:$L,0)),"")</f>
        <v/>
      </c>
      <c r="E1116" s="23" t="str">
        <f aca="false">IFERROR(INDEX(分录报销!$F:$F,MATCH($L1116,分录报销!$L:$L,0)),"")</f>
        <v/>
      </c>
      <c r="F1116" s="68" t="str">
        <f aca="false">IFERROR(INDEX(分录报销!$H:$H,MATCH($L1116,分录报销!$L:$L,0)),"")</f>
        <v/>
      </c>
      <c r="G1116" s="69" t="str">
        <f aca="false">IFERROR(INDEX(分录报销!$I:$I,MATCH($L1116,分录报销!$L:$L,0)),"")</f>
        <v/>
      </c>
      <c r="H1116" s="23"/>
      <c r="I1116" s="70"/>
      <c r="L1116" s="71" t="n">
        <f aca="false">IF(助手报销!$R$76="",-1,助手报销!$R$76*100+(助手报销!$S$76-1)*6+1)</f>
        <v>-1</v>
      </c>
    </row>
    <row r="1117" customFormat="false" ht="23.25" hidden="false" customHeight="true" outlineLevel="0" collapsed="false">
      <c r="B1117" s="67" t="str">
        <f aca="false">IFERROR(INDEX(分录报销!$M:$M,MATCH($L1117,分录报销!$L:$L,0)),"")</f>
        <v/>
      </c>
      <c r="C1117" s="67"/>
      <c r="D1117" s="23" t="str">
        <f aca="false">IFERROR(INDEX(分录报销!$E:$E,MATCH($L1117,分录报销!$L:$L,0)),"")</f>
        <v/>
      </c>
      <c r="E1117" s="23" t="str">
        <f aca="false">IFERROR(INDEX(分录报销!$F:$F,MATCH($L1117,分录报销!$L:$L,0)),"")</f>
        <v/>
      </c>
      <c r="F1117" s="68" t="str">
        <f aca="false">IFERROR(INDEX(分录报销!$H:$H,MATCH($L1117,分录报销!$L:$L,0)),"")</f>
        <v/>
      </c>
      <c r="G1117" s="69" t="str">
        <f aca="false">IFERROR(INDEX(分录报销!$I:$I,MATCH($L1117,分录报销!$L:$L,0)),"")</f>
        <v/>
      </c>
      <c r="H1117" s="23"/>
      <c r="I1117" s="70"/>
      <c r="L1117" s="71" t="n">
        <f aca="false">IF(助手报销!$R$76="",-1,助手报销!$R$76*100+(助手报销!$S$76-1)*6+2)</f>
        <v>-1</v>
      </c>
    </row>
    <row r="1118" customFormat="false" ht="23.25" hidden="false" customHeight="true" outlineLevel="0" collapsed="false">
      <c r="B1118" s="67" t="str">
        <f aca="false">IFERROR(INDEX(分录报销!$M:$M,MATCH($L1118,分录报销!$L:$L,0)),"")</f>
        <v/>
      </c>
      <c r="C1118" s="67"/>
      <c r="D1118" s="23" t="str">
        <f aca="false">IFERROR(INDEX(分录报销!$E:$E,MATCH($L1118,分录报销!$L:$L,0)),"")</f>
        <v/>
      </c>
      <c r="E1118" s="23" t="str">
        <f aca="false">IFERROR(INDEX(分录报销!$F:$F,MATCH($L1118,分录报销!$L:$L,0)),"")</f>
        <v/>
      </c>
      <c r="F1118" s="68" t="str">
        <f aca="false">IFERROR(INDEX(分录报销!$H:$H,MATCH($L1118,分录报销!$L:$L,0)),"")</f>
        <v/>
      </c>
      <c r="G1118" s="69" t="str">
        <f aca="false">IFERROR(INDEX(分录报销!$I:$I,MATCH($L1118,分录报销!$L:$L,0)),"")</f>
        <v/>
      </c>
      <c r="H1118" s="23"/>
      <c r="I1118" s="70"/>
      <c r="L1118" s="71" t="n">
        <f aca="false">IF(助手报销!$R$76="",-1,助手报销!$R$76*100+(助手报销!$S$76-1)*6+3)</f>
        <v>-1</v>
      </c>
    </row>
    <row r="1119" customFormat="false" ht="23.25" hidden="false" customHeight="true" outlineLevel="0" collapsed="false">
      <c r="B1119" s="67" t="str">
        <f aca="false">IFERROR(INDEX(分录报销!$M:$M,MATCH($L1119,分录报销!$L:$L,0)),"")</f>
        <v/>
      </c>
      <c r="C1119" s="67"/>
      <c r="D1119" s="23" t="str">
        <f aca="false">IFERROR(INDEX(分录报销!$E:$E,MATCH($L1119,分录报销!$L:$L,0)),"")</f>
        <v/>
      </c>
      <c r="E1119" s="23" t="str">
        <f aca="false">IFERROR(INDEX(分录报销!$F:$F,MATCH($L1119,分录报销!$L:$L,0)),"")</f>
        <v/>
      </c>
      <c r="F1119" s="68" t="str">
        <f aca="false">IFERROR(INDEX(分录报销!$H:$H,MATCH($L1119,分录报销!$L:$L,0)),"")</f>
        <v/>
      </c>
      <c r="G1119" s="69" t="str">
        <f aca="false">IFERROR(INDEX(分录报销!$I:$I,MATCH($L1119,分录报销!$L:$L,0)),"")</f>
        <v/>
      </c>
      <c r="H1119" s="23"/>
      <c r="I1119" s="70"/>
      <c r="L1119" s="71" t="n">
        <f aca="false">IF(助手报销!$R$76="",-1,助手报销!$R$76*100+(助手报销!$S$76-1)*6+4)</f>
        <v>-1</v>
      </c>
    </row>
    <row r="1120" customFormat="false" ht="23.25" hidden="false" customHeight="true" outlineLevel="0" collapsed="false">
      <c r="B1120" s="67" t="str">
        <f aca="false">IFERROR(INDEX(分录报销!$M:$M,MATCH($L1120,分录报销!$L:$L,0)),"")</f>
        <v/>
      </c>
      <c r="C1120" s="67"/>
      <c r="D1120" s="23" t="str">
        <f aca="false">IFERROR(INDEX(分录报销!$E:$E,MATCH($L1120,分录报销!$L:$L,0)),"")</f>
        <v/>
      </c>
      <c r="E1120" s="23" t="str">
        <f aca="false">IFERROR(INDEX(分录报销!$F:$F,MATCH($L1120,分录报销!$L:$L,0)),"")</f>
        <v/>
      </c>
      <c r="F1120" s="68" t="str">
        <f aca="false">IFERROR(INDEX(分录报销!$H:$H,MATCH($L1120,分录报销!$L:$L,0)),"")</f>
        <v/>
      </c>
      <c r="G1120" s="69" t="str">
        <f aca="false">IFERROR(INDEX(分录报销!$I:$I,MATCH($L1120,分录报销!$L:$L,0)),"")</f>
        <v/>
      </c>
      <c r="H1120" s="23"/>
      <c r="I1120" s="70"/>
      <c r="L1120" s="71" t="n">
        <f aca="false">IF(助手报销!$R$76="",-1,助手报销!$R$76*100+(助手报销!$S$76-1)*6+5)</f>
        <v>-1</v>
      </c>
    </row>
    <row r="1121" customFormat="false" ht="23.25" hidden="false" customHeight="true" outlineLevel="0" collapsed="false">
      <c r="B1121" s="67" t="str">
        <f aca="false">IFERROR(INDEX(分录报销!$M:$M,MATCH($L1121,分录报销!$L:$L,0)),"")</f>
        <v/>
      </c>
      <c r="C1121" s="67"/>
      <c r="D1121" s="23" t="str">
        <f aca="false">IFERROR(INDEX(分录报销!$E:$E,MATCH($L1121,分录报销!$L:$L,0)),"")</f>
        <v/>
      </c>
      <c r="E1121" s="23" t="str">
        <f aca="false">IFERROR(INDEX(分录报销!$F:$F,MATCH($L1121,分录报销!$L:$L,0)),"")</f>
        <v/>
      </c>
      <c r="F1121" s="68" t="str">
        <f aca="false">IFERROR(INDEX(分录报销!$H:$H,MATCH($L1121,分录报销!$L:$L,0)),"")</f>
        <v/>
      </c>
      <c r="G1121" s="69" t="str">
        <f aca="false">IFERROR(INDEX(分录报销!$I:$I,MATCH($L1121,分录报销!$L:$L,0)),"")</f>
        <v/>
      </c>
      <c r="H1121" s="23"/>
      <c r="I1121" s="70"/>
      <c r="L1121" s="71" t="n">
        <f aca="false">IF(助手报销!$R$76="",-1,助手报销!$R$76*100+(助手报销!$S$76-1)*6+6)</f>
        <v>-1</v>
      </c>
    </row>
    <row r="1122" customFormat="false" ht="23.25" hidden="false" customHeight="true" outlineLevel="0" collapsed="false">
      <c r="B1122" s="72" t="str">
        <f aca="false">IF(助手报销!$T$76=1,"合计：","")</f>
        <v/>
      </c>
      <c r="C1122" s="73" t="str">
        <f aca="false">IF(助手报销!$T$76=1,$F1122,"")</f>
        <v/>
      </c>
      <c r="D1122" s="74"/>
      <c r="E1122" s="74"/>
      <c r="F1122" s="75" t="str">
        <f aca="false">IF(助手报销!$T$76=1,INDEX(助手报销!$N$2:$N$121,助手报销!$R$76),"")</f>
        <v/>
      </c>
      <c r="G1122" s="76" t="str">
        <f aca="false">IF(助手报销!$T$76=1,INDEX(助手报销!$O$2:$O$121,助手报销!$R$76),"")</f>
        <v/>
      </c>
      <c r="H1122" s="74"/>
      <c r="I1122" s="77"/>
    </row>
    <row r="1123" customFormat="false" ht="6" hidden="false" customHeight="true" outlineLevel="0" collapsed="false"/>
    <row r="1124" customFormat="false" ht="13.5" hidden="false" customHeight="false" outlineLevel="0" collapsed="false">
      <c r="B1124" s="78" t="str">
        <f aca="false">IF(助手报销!$R$76&lt;&gt;"","会计主管：","")</f>
        <v/>
      </c>
      <c r="D1124" s="78" t="str">
        <f aca="false">IF(助手报销!$R$76&lt;&gt;"","会计：","")</f>
        <v/>
      </c>
      <c r="E1124" s="78" t="str">
        <f aca="false">IF(助手报销!$R$76&lt;&gt;"","出纳：","")</f>
        <v/>
      </c>
      <c r="F1124" s="78" t="str">
        <f aca="false">IF(助手报销!$R$76&lt;&gt;"","复核：","")</f>
        <v/>
      </c>
      <c r="G1124" s="78" t="str">
        <f aca="false">IF(助手报销!$R$76&lt;&gt;"","制单：","")</f>
        <v/>
      </c>
    </row>
    <row r="1125" customFormat="false" ht="3" hidden="false" customHeight="true" outlineLevel="0" collapsed="false"/>
    <row r="1126" customFormat="false" ht="19.5" hidden="false" customHeight="true" outlineLevel="0" collapsed="false">
      <c r="B1126" s="53" t="str">
        <f aca="false">IF(助手报销!$R$77&lt;&gt;"","记  账  凭  证","")</f>
        <v/>
      </c>
      <c r="C1126" s="53"/>
      <c r="D1126" s="53"/>
      <c r="E1126" s="53"/>
      <c r="F1126" s="53"/>
      <c r="G1126" s="53"/>
      <c r="H1126" s="53"/>
      <c r="I1126" s="53"/>
    </row>
    <row r="1127" customFormat="false" ht="3" hidden="false" customHeight="true" outlineLevel="0" collapsed="false"/>
    <row r="1128" customFormat="false" ht="15" hidden="false" customHeight="true" outlineLevel="0" collapsed="false">
      <c r="C1128" s="56" t="str">
        <f aca="false">IF(助手报销!$R$77&lt;&gt;"",INDEX(助手报销!$B$2:$B$121,助手报销!$R$77),"")</f>
        <v/>
      </c>
      <c r="D1128" s="57" t="str">
        <f aca="false">IF(助手报销!$R$77&lt;&gt;"",INDEX(助手报销!$D$2:$D$121,助手报销!$R$77),"")</f>
        <v/>
      </c>
      <c r="E1128" s="57"/>
      <c r="F1128" s="58" t="str">
        <f aca="false">IF(助手报销!$R$77&lt;&gt;"",INDEX(助手报销!$C$2:$C$121,助手报销!$R$77)&amp;"  字第 "&amp;IF(参数!$B$9="是",INDEX(助手报销!$P$2:$P$121,助手报销!$R$77),"　　　　")&amp;" 号"&amp;IF(INDEX(助手报销!$L$2:$L$121,助手报销!$R$77)&gt;1,"  (共"&amp;INDEX(助手报销!$L$2:$L$121,助手报销!$R$77)&amp;"页 第"&amp;助手报销!$S$77&amp;"页)",""),"")</f>
        <v/>
      </c>
      <c r="G1128" s="58"/>
      <c r="H1128" s="58"/>
      <c r="I1128" s="58"/>
      <c r="M1128" s="79" t="str">
        <f aca="false">IF(助手报销!$R$77="","",助手报销!$Q$77)</f>
        <v/>
      </c>
      <c r="N1128" s="80" t="str">
        <f aca="false">IF(助手报销!$R$77="","",INDEX(助手报销!$P$2:$P$121,助手报销!$R$77))</f>
        <v/>
      </c>
      <c r="O1128" s="55" t="str">
        <f aca="false">IF(助手报销!$R$77="","",INDEX(助手报销!$C$2:$C$121,助手报销!$R$77)&amp;"  字第 "&amp;INDEX(助手报销!$P$2:$P$121,助手报销!$R$77)&amp;" 号"&amp;IF(INDEX(助手报销!$L$2:$L$121,助手报销!$R$77)&gt;1,"  (共"&amp;INDEX(助手报销!$L$2:$L$121,助手报销!$R$77)&amp;"页 第"&amp;助手报销!$S$77&amp;"页)",""))</f>
        <v/>
      </c>
    </row>
    <row r="1129" customFormat="false" ht="12.75" hidden="false" customHeight="true" outlineLevel="0" collapsed="false">
      <c r="B1129" s="61" t="str">
        <f aca="false">IF(助手报销!$R$77&lt;&gt;"","摘　　要","")</f>
        <v/>
      </c>
      <c r="C1129" s="61"/>
      <c r="D1129" s="62" t="str">
        <f aca="false">IF(助手报销!$R$77&lt;&gt;"","科　　　　目","")</f>
        <v/>
      </c>
      <c r="E1129" s="62"/>
      <c r="F1129" s="61" t="str">
        <f aca="false">IF(助手报销!$R$77&lt;&gt;"","借 方 金 额","")</f>
        <v/>
      </c>
      <c r="G1129" s="62" t="str">
        <f aca="false">IF(助手报销!$R$77&lt;&gt;"","贷 方 金 额","")</f>
        <v/>
      </c>
      <c r="H1129" s="63" t="str">
        <f aca="false">IF(助手报销!$R$77&lt;&gt;"","√","")</f>
        <v/>
      </c>
      <c r="I1129" s="64" t="str">
        <f aca="false">IF(助手报销!$R$77&lt;&gt;"","附单据  张","")</f>
        <v/>
      </c>
    </row>
    <row r="1130" customFormat="false" ht="12.75" hidden="false" customHeight="true" outlineLevel="0" collapsed="false">
      <c r="B1130" s="61"/>
      <c r="C1130" s="61"/>
      <c r="D1130" s="23" t="str">
        <f aca="false">IF(助手报销!$R$77&lt;&gt;"","总 账 科 目","")</f>
        <v/>
      </c>
      <c r="E1130" s="23" t="str">
        <f aca="false">IF(助手报销!$R$77&lt;&gt;"","明 细 科 目","")</f>
        <v/>
      </c>
      <c r="F1130" s="65"/>
      <c r="G1130" s="66"/>
      <c r="H1130" s="63"/>
      <c r="I1130" s="64"/>
    </row>
    <row r="1131" customFormat="false" ht="23.25" hidden="false" customHeight="true" outlineLevel="0" collapsed="false">
      <c r="B1131" s="67" t="str">
        <f aca="false">IFERROR(INDEX(分录报销!$M:$M,MATCH($L1131,分录报销!$L:$L,0)),"")</f>
        <v/>
      </c>
      <c r="C1131" s="67"/>
      <c r="D1131" s="23" t="str">
        <f aca="false">IFERROR(INDEX(分录报销!$E:$E,MATCH($L1131,分录报销!$L:$L,0)),"")</f>
        <v/>
      </c>
      <c r="E1131" s="23" t="str">
        <f aca="false">IFERROR(INDEX(分录报销!$F:$F,MATCH($L1131,分录报销!$L:$L,0)),"")</f>
        <v/>
      </c>
      <c r="F1131" s="68" t="str">
        <f aca="false">IFERROR(INDEX(分录报销!$H:$H,MATCH($L1131,分录报销!$L:$L,0)),"")</f>
        <v/>
      </c>
      <c r="G1131" s="69" t="str">
        <f aca="false">IFERROR(INDEX(分录报销!$I:$I,MATCH($L1131,分录报销!$L:$L,0)),"")</f>
        <v/>
      </c>
      <c r="H1131" s="23"/>
      <c r="I1131" s="70"/>
      <c r="L1131" s="71" t="n">
        <f aca="false">IF(助手报销!$R$77="",-1,助手报销!$R$77*100+(助手报销!$S$77-1)*6+1)</f>
        <v>-1</v>
      </c>
    </row>
    <row r="1132" customFormat="false" ht="23.25" hidden="false" customHeight="true" outlineLevel="0" collapsed="false">
      <c r="B1132" s="67" t="str">
        <f aca="false">IFERROR(INDEX(分录报销!$M:$M,MATCH($L1132,分录报销!$L:$L,0)),"")</f>
        <v/>
      </c>
      <c r="C1132" s="67"/>
      <c r="D1132" s="23" t="str">
        <f aca="false">IFERROR(INDEX(分录报销!$E:$E,MATCH($L1132,分录报销!$L:$L,0)),"")</f>
        <v/>
      </c>
      <c r="E1132" s="23" t="str">
        <f aca="false">IFERROR(INDEX(分录报销!$F:$F,MATCH($L1132,分录报销!$L:$L,0)),"")</f>
        <v/>
      </c>
      <c r="F1132" s="68" t="str">
        <f aca="false">IFERROR(INDEX(分录报销!$H:$H,MATCH($L1132,分录报销!$L:$L,0)),"")</f>
        <v/>
      </c>
      <c r="G1132" s="69" t="str">
        <f aca="false">IFERROR(INDEX(分录报销!$I:$I,MATCH($L1132,分录报销!$L:$L,0)),"")</f>
        <v/>
      </c>
      <c r="H1132" s="23"/>
      <c r="I1132" s="70"/>
      <c r="L1132" s="71" t="n">
        <f aca="false">IF(助手报销!$R$77="",-1,助手报销!$R$77*100+(助手报销!$S$77-1)*6+2)</f>
        <v>-1</v>
      </c>
    </row>
    <row r="1133" customFormat="false" ht="23.25" hidden="false" customHeight="true" outlineLevel="0" collapsed="false">
      <c r="B1133" s="67" t="str">
        <f aca="false">IFERROR(INDEX(分录报销!$M:$M,MATCH($L1133,分录报销!$L:$L,0)),"")</f>
        <v/>
      </c>
      <c r="C1133" s="67"/>
      <c r="D1133" s="23" t="str">
        <f aca="false">IFERROR(INDEX(分录报销!$E:$E,MATCH($L1133,分录报销!$L:$L,0)),"")</f>
        <v/>
      </c>
      <c r="E1133" s="23" t="str">
        <f aca="false">IFERROR(INDEX(分录报销!$F:$F,MATCH($L1133,分录报销!$L:$L,0)),"")</f>
        <v/>
      </c>
      <c r="F1133" s="68" t="str">
        <f aca="false">IFERROR(INDEX(分录报销!$H:$H,MATCH($L1133,分录报销!$L:$L,0)),"")</f>
        <v/>
      </c>
      <c r="G1133" s="69" t="str">
        <f aca="false">IFERROR(INDEX(分录报销!$I:$I,MATCH($L1133,分录报销!$L:$L,0)),"")</f>
        <v/>
      </c>
      <c r="H1133" s="23"/>
      <c r="I1133" s="70"/>
      <c r="L1133" s="71" t="n">
        <f aca="false">IF(助手报销!$R$77="",-1,助手报销!$R$77*100+(助手报销!$S$77-1)*6+3)</f>
        <v>-1</v>
      </c>
    </row>
    <row r="1134" customFormat="false" ht="23.25" hidden="false" customHeight="true" outlineLevel="0" collapsed="false">
      <c r="B1134" s="67" t="str">
        <f aca="false">IFERROR(INDEX(分录报销!$M:$M,MATCH($L1134,分录报销!$L:$L,0)),"")</f>
        <v/>
      </c>
      <c r="C1134" s="67"/>
      <c r="D1134" s="23" t="str">
        <f aca="false">IFERROR(INDEX(分录报销!$E:$E,MATCH($L1134,分录报销!$L:$L,0)),"")</f>
        <v/>
      </c>
      <c r="E1134" s="23" t="str">
        <f aca="false">IFERROR(INDEX(分录报销!$F:$F,MATCH($L1134,分录报销!$L:$L,0)),"")</f>
        <v/>
      </c>
      <c r="F1134" s="68" t="str">
        <f aca="false">IFERROR(INDEX(分录报销!$H:$H,MATCH($L1134,分录报销!$L:$L,0)),"")</f>
        <v/>
      </c>
      <c r="G1134" s="69" t="str">
        <f aca="false">IFERROR(INDEX(分录报销!$I:$I,MATCH($L1134,分录报销!$L:$L,0)),"")</f>
        <v/>
      </c>
      <c r="H1134" s="23"/>
      <c r="I1134" s="70"/>
      <c r="L1134" s="71" t="n">
        <f aca="false">IF(助手报销!$R$77="",-1,助手报销!$R$77*100+(助手报销!$S$77-1)*6+4)</f>
        <v>-1</v>
      </c>
    </row>
    <row r="1135" customFormat="false" ht="23.25" hidden="false" customHeight="true" outlineLevel="0" collapsed="false">
      <c r="B1135" s="67" t="str">
        <f aca="false">IFERROR(INDEX(分录报销!$M:$M,MATCH($L1135,分录报销!$L:$L,0)),"")</f>
        <v/>
      </c>
      <c r="C1135" s="67"/>
      <c r="D1135" s="23" t="str">
        <f aca="false">IFERROR(INDEX(分录报销!$E:$E,MATCH($L1135,分录报销!$L:$L,0)),"")</f>
        <v/>
      </c>
      <c r="E1135" s="23" t="str">
        <f aca="false">IFERROR(INDEX(分录报销!$F:$F,MATCH($L1135,分录报销!$L:$L,0)),"")</f>
        <v/>
      </c>
      <c r="F1135" s="68" t="str">
        <f aca="false">IFERROR(INDEX(分录报销!$H:$H,MATCH($L1135,分录报销!$L:$L,0)),"")</f>
        <v/>
      </c>
      <c r="G1135" s="69" t="str">
        <f aca="false">IFERROR(INDEX(分录报销!$I:$I,MATCH($L1135,分录报销!$L:$L,0)),"")</f>
        <v/>
      </c>
      <c r="H1135" s="23"/>
      <c r="I1135" s="70"/>
      <c r="L1135" s="71" t="n">
        <f aca="false">IF(助手报销!$R$77="",-1,助手报销!$R$77*100+(助手报销!$S$77-1)*6+5)</f>
        <v>-1</v>
      </c>
    </row>
    <row r="1136" customFormat="false" ht="23.25" hidden="false" customHeight="true" outlineLevel="0" collapsed="false">
      <c r="B1136" s="67" t="str">
        <f aca="false">IFERROR(INDEX(分录报销!$M:$M,MATCH($L1136,分录报销!$L:$L,0)),"")</f>
        <v/>
      </c>
      <c r="C1136" s="67"/>
      <c r="D1136" s="23" t="str">
        <f aca="false">IFERROR(INDEX(分录报销!$E:$E,MATCH($L1136,分录报销!$L:$L,0)),"")</f>
        <v/>
      </c>
      <c r="E1136" s="23" t="str">
        <f aca="false">IFERROR(INDEX(分录报销!$F:$F,MATCH($L1136,分录报销!$L:$L,0)),"")</f>
        <v/>
      </c>
      <c r="F1136" s="68" t="str">
        <f aca="false">IFERROR(INDEX(分录报销!$H:$H,MATCH($L1136,分录报销!$L:$L,0)),"")</f>
        <v/>
      </c>
      <c r="G1136" s="69" t="str">
        <f aca="false">IFERROR(INDEX(分录报销!$I:$I,MATCH($L1136,分录报销!$L:$L,0)),"")</f>
        <v/>
      </c>
      <c r="H1136" s="23"/>
      <c r="I1136" s="70"/>
      <c r="L1136" s="71" t="n">
        <f aca="false">IF(助手报销!$R$77="",-1,助手报销!$R$77*100+(助手报销!$S$77-1)*6+6)</f>
        <v>-1</v>
      </c>
    </row>
    <row r="1137" customFormat="false" ht="23.25" hidden="false" customHeight="true" outlineLevel="0" collapsed="false">
      <c r="B1137" s="72" t="str">
        <f aca="false">IF(助手报销!$T$77=1,"合计：","")</f>
        <v/>
      </c>
      <c r="C1137" s="73" t="str">
        <f aca="false">IF(助手报销!$T$77=1,$F1137,"")</f>
        <v/>
      </c>
      <c r="D1137" s="74"/>
      <c r="E1137" s="74"/>
      <c r="F1137" s="75" t="str">
        <f aca="false">IF(助手报销!$T$77=1,INDEX(助手报销!$N$2:$N$121,助手报销!$R$77),"")</f>
        <v/>
      </c>
      <c r="G1137" s="76" t="str">
        <f aca="false">IF(助手报销!$T$77=1,INDEX(助手报销!$O$2:$O$121,助手报销!$R$77),"")</f>
        <v/>
      </c>
      <c r="H1137" s="74"/>
      <c r="I1137" s="77"/>
    </row>
    <row r="1138" customFormat="false" ht="6" hidden="false" customHeight="true" outlineLevel="0" collapsed="false"/>
    <row r="1139" customFormat="false" ht="13.5" hidden="false" customHeight="false" outlineLevel="0" collapsed="false">
      <c r="B1139" s="78" t="str">
        <f aca="false">IF(助手报销!$R$77&lt;&gt;"","会计主管：","")</f>
        <v/>
      </c>
      <c r="D1139" s="78" t="str">
        <f aca="false">IF(助手报销!$R$77&lt;&gt;"","会计：","")</f>
        <v/>
      </c>
      <c r="E1139" s="78" t="str">
        <f aca="false">IF(助手报销!$R$77&lt;&gt;"","出纳：","")</f>
        <v/>
      </c>
      <c r="F1139" s="78" t="str">
        <f aca="false">IF(助手报销!$R$77&lt;&gt;"","复核：","")</f>
        <v/>
      </c>
      <c r="G1139" s="78" t="str">
        <f aca="false">IF(助手报销!$R$77&lt;&gt;"","制单：","")</f>
        <v/>
      </c>
    </row>
    <row r="1140" customFormat="false" ht="3" hidden="false" customHeight="true" outlineLevel="0" collapsed="false"/>
    <row r="1141" customFormat="false" ht="19.5" hidden="false" customHeight="true" outlineLevel="0" collapsed="false">
      <c r="B1141" s="53" t="str">
        <f aca="false">IF(助手报销!$R$78&lt;&gt;"","记  账  凭  证","")</f>
        <v/>
      </c>
      <c r="C1141" s="53"/>
      <c r="D1141" s="53"/>
      <c r="E1141" s="53"/>
      <c r="F1141" s="53"/>
      <c r="G1141" s="53"/>
      <c r="H1141" s="53"/>
      <c r="I1141" s="53"/>
    </row>
    <row r="1142" customFormat="false" ht="3" hidden="false" customHeight="true" outlineLevel="0" collapsed="false"/>
    <row r="1143" customFormat="false" ht="15" hidden="false" customHeight="true" outlineLevel="0" collapsed="false">
      <c r="C1143" s="56" t="str">
        <f aca="false">IF(助手报销!$R$78&lt;&gt;"",INDEX(助手报销!$B$2:$B$121,助手报销!$R$78),"")</f>
        <v/>
      </c>
      <c r="D1143" s="57" t="str">
        <f aca="false">IF(助手报销!$R$78&lt;&gt;"",INDEX(助手报销!$D$2:$D$121,助手报销!$R$78),"")</f>
        <v/>
      </c>
      <c r="E1143" s="57"/>
      <c r="F1143" s="58" t="str">
        <f aca="false">IF(助手报销!$R$78&lt;&gt;"",INDEX(助手报销!$C$2:$C$121,助手报销!$R$78)&amp;"  字第 "&amp;IF(参数!$B$9="是",INDEX(助手报销!$P$2:$P$121,助手报销!$R$78),"　　　　")&amp;" 号"&amp;IF(INDEX(助手报销!$L$2:$L$121,助手报销!$R$78)&gt;1,"  (共"&amp;INDEX(助手报销!$L$2:$L$121,助手报销!$R$78)&amp;"页 第"&amp;助手报销!$S$78&amp;"页)",""),"")</f>
        <v/>
      </c>
      <c r="G1143" s="58"/>
      <c r="H1143" s="58"/>
      <c r="I1143" s="58"/>
      <c r="M1143" s="79" t="str">
        <f aca="false">IF(助手报销!$R$78="","",助手报销!$Q$78)</f>
        <v/>
      </c>
      <c r="N1143" s="80" t="str">
        <f aca="false">IF(助手报销!$R$78="","",INDEX(助手报销!$P$2:$P$121,助手报销!$R$78))</f>
        <v/>
      </c>
      <c r="O1143" s="55" t="str">
        <f aca="false">IF(助手报销!$R$78="","",INDEX(助手报销!$C$2:$C$121,助手报销!$R$78)&amp;"  字第 "&amp;INDEX(助手报销!$P$2:$P$121,助手报销!$R$78)&amp;" 号"&amp;IF(INDEX(助手报销!$L$2:$L$121,助手报销!$R$78)&gt;1,"  (共"&amp;INDEX(助手报销!$L$2:$L$121,助手报销!$R$78)&amp;"页 第"&amp;助手报销!$S$78&amp;"页)",""))</f>
        <v/>
      </c>
    </row>
    <row r="1144" customFormat="false" ht="12.75" hidden="false" customHeight="true" outlineLevel="0" collapsed="false">
      <c r="B1144" s="61" t="str">
        <f aca="false">IF(助手报销!$R$78&lt;&gt;"","摘　　要","")</f>
        <v/>
      </c>
      <c r="C1144" s="61"/>
      <c r="D1144" s="62" t="str">
        <f aca="false">IF(助手报销!$R$78&lt;&gt;"","科　　　　目","")</f>
        <v/>
      </c>
      <c r="E1144" s="62"/>
      <c r="F1144" s="61" t="str">
        <f aca="false">IF(助手报销!$R$78&lt;&gt;"","借 方 金 额","")</f>
        <v/>
      </c>
      <c r="G1144" s="62" t="str">
        <f aca="false">IF(助手报销!$R$78&lt;&gt;"","贷 方 金 额","")</f>
        <v/>
      </c>
      <c r="H1144" s="63" t="str">
        <f aca="false">IF(助手报销!$R$78&lt;&gt;"","√","")</f>
        <v/>
      </c>
      <c r="I1144" s="64" t="str">
        <f aca="false">IF(助手报销!$R$78&lt;&gt;"","附单据  张","")</f>
        <v/>
      </c>
    </row>
    <row r="1145" customFormat="false" ht="12.75" hidden="false" customHeight="true" outlineLevel="0" collapsed="false">
      <c r="B1145" s="61"/>
      <c r="C1145" s="61"/>
      <c r="D1145" s="23" t="str">
        <f aca="false">IF(助手报销!$R$78&lt;&gt;"","总 账 科 目","")</f>
        <v/>
      </c>
      <c r="E1145" s="23" t="str">
        <f aca="false">IF(助手报销!$R$78&lt;&gt;"","明 细 科 目","")</f>
        <v/>
      </c>
      <c r="F1145" s="65"/>
      <c r="G1145" s="66"/>
      <c r="H1145" s="63"/>
      <c r="I1145" s="64"/>
    </row>
    <row r="1146" customFormat="false" ht="23.25" hidden="false" customHeight="true" outlineLevel="0" collapsed="false">
      <c r="B1146" s="67" t="str">
        <f aca="false">IFERROR(INDEX(分录报销!$M:$M,MATCH($L1146,分录报销!$L:$L,0)),"")</f>
        <v/>
      </c>
      <c r="C1146" s="67"/>
      <c r="D1146" s="23" t="str">
        <f aca="false">IFERROR(INDEX(分录报销!$E:$E,MATCH($L1146,分录报销!$L:$L,0)),"")</f>
        <v/>
      </c>
      <c r="E1146" s="23" t="str">
        <f aca="false">IFERROR(INDEX(分录报销!$F:$F,MATCH($L1146,分录报销!$L:$L,0)),"")</f>
        <v/>
      </c>
      <c r="F1146" s="68" t="str">
        <f aca="false">IFERROR(INDEX(分录报销!$H:$H,MATCH($L1146,分录报销!$L:$L,0)),"")</f>
        <v/>
      </c>
      <c r="G1146" s="69" t="str">
        <f aca="false">IFERROR(INDEX(分录报销!$I:$I,MATCH($L1146,分录报销!$L:$L,0)),"")</f>
        <v/>
      </c>
      <c r="H1146" s="23"/>
      <c r="I1146" s="70"/>
      <c r="L1146" s="71" t="n">
        <f aca="false">IF(助手报销!$R$78="",-1,助手报销!$R$78*100+(助手报销!$S$78-1)*6+1)</f>
        <v>-1</v>
      </c>
    </row>
    <row r="1147" customFormat="false" ht="23.25" hidden="false" customHeight="true" outlineLevel="0" collapsed="false">
      <c r="B1147" s="67" t="str">
        <f aca="false">IFERROR(INDEX(分录报销!$M:$M,MATCH($L1147,分录报销!$L:$L,0)),"")</f>
        <v/>
      </c>
      <c r="C1147" s="67"/>
      <c r="D1147" s="23" t="str">
        <f aca="false">IFERROR(INDEX(分录报销!$E:$E,MATCH($L1147,分录报销!$L:$L,0)),"")</f>
        <v/>
      </c>
      <c r="E1147" s="23" t="str">
        <f aca="false">IFERROR(INDEX(分录报销!$F:$F,MATCH($L1147,分录报销!$L:$L,0)),"")</f>
        <v/>
      </c>
      <c r="F1147" s="68" t="str">
        <f aca="false">IFERROR(INDEX(分录报销!$H:$H,MATCH($L1147,分录报销!$L:$L,0)),"")</f>
        <v/>
      </c>
      <c r="G1147" s="69" t="str">
        <f aca="false">IFERROR(INDEX(分录报销!$I:$I,MATCH($L1147,分录报销!$L:$L,0)),"")</f>
        <v/>
      </c>
      <c r="H1147" s="23"/>
      <c r="I1147" s="70"/>
      <c r="L1147" s="71" t="n">
        <f aca="false">IF(助手报销!$R$78="",-1,助手报销!$R$78*100+(助手报销!$S$78-1)*6+2)</f>
        <v>-1</v>
      </c>
    </row>
    <row r="1148" customFormat="false" ht="23.25" hidden="false" customHeight="true" outlineLevel="0" collapsed="false">
      <c r="B1148" s="67" t="str">
        <f aca="false">IFERROR(INDEX(分录报销!$M:$M,MATCH($L1148,分录报销!$L:$L,0)),"")</f>
        <v/>
      </c>
      <c r="C1148" s="67"/>
      <c r="D1148" s="23" t="str">
        <f aca="false">IFERROR(INDEX(分录报销!$E:$E,MATCH($L1148,分录报销!$L:$L,0)),"")</f>
        <v/>
      </c>
      <c r="E1148" s="23" t="str">
        <f aca="false">IFERROR(INDEX(分录报销!$F:$F,MATCH($L1148,分录报销!$L:$L,0)),"")</f>
        <v/>
      </c>
      <c r="F1148" s="68" t="str">
        <f aca="false">IFERROR(INDEX(分录报销!$H:$H,MATCH($L1148,分录报销!$L:$L,0)),"")</f>
        <v/>
      </c>
      <c r="G1148" s="69" t="str">
        <f aca="false">IFERROR(INDEX(分录报销!$I:$I,MATCH($L1148,分录报销!$L:$L,0)),"")</f>
        <v/>
      </c>
      <c r="H1148" s="23"/>
      <c r="I1148" s="70"/>
      <c r="L1148" s="71" t="n">
        <f aca="false">IF(助手报销!$R$78="",-1,助手报销!$R$78*100+(助手报销!$S$78-1)*6+3)</f>
        <v>-1</v>
      </c>
    </row>
    <row r="1149" customFormat="false" ht="23.25" hidden="false" customHeight="true" outlineLevel="0" collapsed="false">
      <c r="B1149" s="67" t="str">
        <f aca="false">IFERROR(INDEX(分录报销!$M:$M,MATCH($L1149,分录报销!$L:$L,0)),"")</f>
        <v/>
      </c>
      <c r="C1149" s="67"/>
      <c r="D1149" s="23" t="str">
        <f aca="false">IFERROR(INDEX(分录报销!$E:$E,MATCH($L1149,分录报销!$L:$L,0)),"")</f>
        <v/>
      </c>
      <c r="E1149" s="23" t="str">
        <f aca="false">IFERROR(INDEX(分录报销!$F:$F,MATCH($L1149,分录报销!$L:$L,0)),"")</f>
        <v/>
      </c>
      <c r="F1149" s="68" t="str">
        <f aca="false">IFERROR(INDEX(分录报销!$H:$H,MATCH($L1149,分录报销!$L:$L,0)),"")</f>
        <v/>
      </c>
      <c r="G1149" s="69" t="str">
        <f aca="false">IFERROR(INDEX(分录报销!$I:$I,MATCH($L1149,分录报销!$L:$L,0)),"")</f>
        <v/>
      </c>
      <c r="H1149" s="23"/>
      <c r="I1149" s="70"/>
      <c r="L1149" s="71" t="n">
        <f aca="false">IF(助手报销!$R$78="",-1,助手报销!$R$78*100+(助手报销!$S$78-1)*6+4)</f>
        <v>-1</v>
      </c>
    </row>
    <row r="1150" customFormat="false" ht="23.25" hidden="false" customHeight="true" outlineLevel="0" collapsed="false">
      <c r="B1150" s="67" t="str">
        <f aca="false">IFERROR(INDEX(分录报销!$M:$M,MATCH($L1150,分录报销!$L:$L,0)),"")</f>
        <v/>
      </c>
      <c r="C1150" s="67"/>
      <c r="D1150" s="23" t="str">
        <f aca="false">IFERROR(INDEX(分录报销!$E:$E,MATCH($L1150,分录报销!$L:$L,0)),"")</f>
        <v/>
      </c>
      <c r="E1150" s="23" t="str">
        <f aca="false">IFERROR(INDEX(分录报销!$F:$F,MATCH($L1150,分录报销!$L:$L,0)),"")</f>
        <v/>
      </c>
      <c r="F1150" s="68" t="str">
        <f aca="false">IFERROR(INDEX(分录报销!$H:$H,MATCH($L1150,分录报销!$L:$L,0)),"")</f>
        <v/>
      </c>
      <c r="G1150" s="69" t="str">
        <f aca="false">IFERROR(INDEX(分录报销!$I:$I,MATCH($L1150,分录报销!$L:$L,0)),"")</f>
        <v/>
      </c>
      <c r="H1150" s="23"/>
      <c r="I1150" s="70"/>
      <c r="L1150" s="71" t="n">
        <f aca="false">IF(助手报销!$R$78="",-1,助手报销!$R$78*100+(助手报销!$S$78-1)*6+5)</f>
        <v>-1</v>
      </c>
    </row>
    <row r="1151" customFormat="false" ht="23.25" hidden="false" customHeight="true" outlineLevel="0" collapsed="false">
      <c r="B1151" s="67" t="str">
        <f aca="false">IFERROR(INDEX(分录报销!$M:$M,MATCH($L1151,分录报销!$L:$L,0)),"")</f>
        <v/>
      </c>
      <c r="C1151" s="67"/>
      <c r="D1151" s="23" t="str">
        <f aca="false">IFERROR(INDEX(分录报销!$E:$E,MATCH($L1151,分录报销!$L:$L,0)),"")</f>
        <v/>
      </c>
      <c r="E1151" s="23" t="str">
        <f aca="false">IFERROR(INDEX(分录报销!$F:$F,MATCH($L1151,分录报销!$L:$L,0)),"")</f>
        <v/>
      </c>
      <c r="F1151" s="68" t="str">
        <f aca="false">IFERROR(INDEX(分录报销!$H:$H,MATCH($L1151,分录报销!$L:$L,0)),"")</f>
        <v/>
      </c>
      <c r="G1151" s="69" t="str">
        <f aca="false">IFERROR(INDEX(分录报销!$I:$I,MATCH($L1151,分录报销!$L:$L,0)),"")</f>
        <v/>
      </c>
      <c r="H1151" s="23"/>
      <c r="I1151" s="70"/>
      <c r="L1151" s="71" t="n">
        <f aca="false">IF(助手报销!$R$78="",-1,助手报销!$R$78*100+(助手报销!$S$78-1)*6+6)</f>
        <v>-1</v>
      </c>
    </row>
    <row r="1152" customFormat="false" ht="23.25" hidden="false" customHeight="true" outlineLevel="0" collapsed="false">
      <c r="B1152" s="72" t="str">
        <f aca="false">IF(助手报销!$T$78=1,"合计：","")</f>
        <v/>
      </c>
      <c r="C1152" s="73" t="str">
        <f aca="false">IF(助手报销!$T$78=1,$F1152,"")</f>
        <v/>
      </c>
      <c r="D1152" s="74"/>
      <c r="E1152" s="74"/>
      <c r="F1152" s="75" t="str">
        <f aca="false">IF(助手报销!$T$78=1,INDEX(助手报销!$N$2:$N$121,助手报销!$R$78),"")</f>
        <v/>
      </c>
      <c r="G1152" s="76" t="str">
        <f aca="false">IF(助手报销!$T$78=1,INDEX(助手报销!$O$2:$O$121,助手报销!$R$78),"")</f>
        <v/>
      </c>
      <c r="H1152" s="74"/>
      <c r="I1152" s="77"/>
    </row>
    <row r="1153" customFormat="false" ht="6" hidden="false" customHeight="true" outlineLevel="0" collapsed="false"/>
    <row r="1154" customFormat="false" ht="13.5" hidden="false" customHeight="false" outlineLevel="0" collapsed="false">
      <c r="B1154" s="78" t="str">
        <f aca="false">IF(助手报销!$R$78&lt;&gt;"","会计主管：","")</f>
        <v/>
      </c>
      <c r="D1154" s="78" t="str">
        <f aca="false">IF(助手报销!$R$78&lt;&gt;"","会计：","")</f>
        <v/>
      </c>
      <c r="E1154" s="78" t="str">
        <f aca="false">IF(助手报销!$R$78&lt;&gt;"","出纳：","")</f>
        <v/>
      </c>
      <c r="F1154" s="78" t="str">
        <f aca="false">IF(助手报销!$R$78&lt;&gt;"","复核：","")</f>
        <v/>
      </c>
      <c r="G1154" s="78" t="str">
        <f aca="false">IF(助手报销!$R$78&lt;&gt;"","制单：","")</f>
        <v/>
      </c>
    </row>
    <row r="1155" customFormat="false" ht="3" hidden="false" customHeight="true" outlineLevel="0" collapsed="false"/>
    <row r="1156" customFormat="false" ht="19.5" hidden="false" customHeight="true" outlineLevel="0" collapsed="false">
      <c r="B1156" s="53" t="str">
        <f aca="false">IF(助手报销!$R$79&lt;&gt;"","记  账  凭  证","")</f>
        <v/>
      </c>
      <c r="C1156" s="53"/>
      <c r="D1156" s="53"/>
      <c r="E1156" s="53"/>
      <c r="F1156" s="53"/>
      <c r="G1156" s="53"/>
      <c r="H1156" s="53"/>
      <c r="I1156" s="53"/>
    </row>
    <row r="1157" customFormat="false" ht="3" hidden="false" customHeight="true" outlineLevel="0" collapsed="false"/>
    <row r="1158" customFormat="false" ht="15" hidden="false" customHeight="true" outlineLevel="0" collapsed="false">
      <c r="C1158" s="56" t="str">
        <f aca="false">IF(助手报销!$R$79&lt;&gt;"",INDEX(助手报销!$B$2:$B$121,助手报销!$R$79),"")</f>
        <v/>
      </c>
      <c r="D1158" s="57" t="str">
        <f aca="false">IF(助手报销!$R$79&lt;&gt;"",INDEX(助手报销!$D$2:$D$121,助手报销!$R$79),"")</f>
        <v/>
      </c>
      <c r="E1158" s="57"/>
      <c r="F1158" s="58" t="str">
        <f aca="false">IF(助手报销!$R$79&lt;&gt;"",INDEX(助手报销!$C$2:$C$121,助手报销!$R$79)&amp;"  字第 "&amp;IF(参数!$B$9="是",INDEX(助手报销!$P$2:$P$121,助手报销!$R$79),"　　　　")&amp;" 号"&amp;IF(INDEX(助手报销!$L$2:$L$121,助手报销!$R$79)&gt;1,"  (共"&amp;INDEX(助手报销!$L$2:$L$121,助手报销!$R$79)&amp;"页 第"&amp;助手报销!$S$79&amp;"页)",""),"")</f>
        <v/>
      </c>
      <c r="G1158" s="58"/>
      <c r="H1158" s="58"/>
      <c r="I1158" s="58"/>
      <c r="M1158" s="79" t="str">
        <f aca="false">IF(助手报销!$R$79="","",助手报销!$Q$79)</f>
        <v/>
      </c>
      <c r="N1158" s="80" t="str">
        <f aca="false">IF(助手报销!$R$79="","",INDEX(助手报销!$P$2:$P$121,助手报销!$R$79))</f>
        <v/>
      </c>
      <c r="O1158" s="55" t="str">
        <f aca="false">IF(助手报销!$R$79="","",INDEX(助手报销!$C$2:$C$121,助手报销!$R$79)&amp;"  字第 "&amp;INDEX(助手报销!$P$2:$P$121,助手报销!$R$79)&amp;" 号"&amp;IF(INDEX(助手报销!$L$2:$L$121,助手报销!$R$79)&gt;1,"  (共"&amp;INDEX(助手报销!$L$2:$L$121,助手报销!$R$79)&amp;"页 第"&amp;助手报销!$S$79&amp;"页)",""))</f>
        <v/>
      </c>
    </row>
    <row r="1159" customFormat="false" ht="12.75" hidden="false" customHeight="true" outlineLevel="0" collapsed="false">
      <c r="B1159" s="61" t="str">
        <f aca="false">IF(助手报销!$R$79&lt;&gt;"","摘　　要","")</f>
        <v/>
      </c>
      <c r="C1159" s="61"/>
      <c r="D1159" s="62" t="str">
        <f aca="false">IF(助手报销!$R$79&lt;&gt;"","科　　　　目","")</f>
        <v/>
      </c>
      <c r="E1159" s="62"/>
      <c r="F1159" s="61" t="str">
        <f aca="false">IF(助手报销!$R$79&lt;&gt;"","借 方 金 额","")</f>
        <v/>
      </c>
      <c r="G1159" s="62" t="str">
        <f aca="false">IF(助手报销!$R$79&lt;&gt;"","贷 方 金 额","")</f>
        <v/>
      </c>
      <c r="H1159" s="63" t="str">
        <f aca="false">IF(助手报销!$R$79&lt;&gt;"","√","")</f>
        <v/>
      </c>
      <c r="I1159" s="64" t="str">
        <f aca="false">IF(助手报销!$R$79&lt;&gt;"","附单据  张","")</f>
        <v/>
      </c>
    </row>
    <row r="1160" customFormat="false" ht="12.75" hidden="false" customHeight="true" outlineLevel="0" collapsed="false">
      <c r="B1160" s="61"/>
      <c r="C1160" s="61"/>
      <c r="D1160" s="23" t="str">
        <f aca="false">IF(助手报销!$R$79&lt;&gt;"","总 账 科 目","")</f>
        <v/>
      </c>
      <c r="E1160" s="23" t="str">
        <f aca="false">IF(助手报销!$R$79&lt;&gt;"","明 细 科 目","")</f>
        <v/>
      </c>
      <c r="F1160" s="65"/>
      <c r="G1160" s="66"/>
      <c r="H1160" s="63"/>
      <c r="I1160" s="64"/>
    </row>
    <row r="1161" customFormat="false" ht="23.25" hidden="false" customHeight="true" outlineLevel="0" collapsed="false">
      <c r="B1161" s="67" t="str">
        <f aca="false">IFERROR(INDEX(分录报销!$M:$M,MATCH($L1161,分录报销!$L:$L,0)),"")</f>
        <v/>
      </c>
      <c r="C1161" s="67"/>
      <c r="D1161" s="23" t="str">
        <f aca="false">IFERROR(INDEX(分录报销!$E:$E,MATCH($L1161,分录报销!$L:$L,0)),"")</f>
        <v/>
      </c>
      <c r="E1161" s="23" t="str">
        <f aca="false">IFERROR(INDEX(分录报销!$F:$F,MATCH($L1161,分录报销!$L:$L,0)),"")</f>
        <v/>
      </c>
      <c r="F1161" s="68" t="str">
        <f aca="false">IFERROR(INDEX(分录报销!$H:$H,MATCH($L1161,分录报销!$L:$L,0)),"")</f>
        <v/>
      </c>
      <c r="G1161" s="69" t="str">
        <f aca="false">IFERROR(INDEX(分录报销!$I:$I,MATCH($L1161,分录报销!$L:$L,0)),"")</f>
        <v/>
      </c>
      <c r="H1161" s="23"/>
      <c r="I1161" s="70"/>
      <c r="L1161" s="71" t="n">
        <f aca="false">IF(助手报销!$R$79="",-1,助手报销!$R$79*100+(助手报销!$S$79-1)*6+1)</f>
        <v>-1</v>
      </c>
    </row>
    <row r="1162" customFormat="false" ht="23.25" hidden="false" customHeight="true" outlineLevel="0" collapsed="false">
      <c r="B1162" s="67" t="str">
        <f aca="false">IFERROR(INDEX(分录报销!$M:$M,MATCH($L1162,分录报销!$L:$L,0)),"")</f>
        <v/>
      </c>
      <c r="C1162" s="67"/>
      <c r="D1162" s="23" t="str">
        <f aca="false">IFERROR(INDEX(分录报销!$E:$E,MATCH($L1162,分录报销!$L:$L,0)),"")</f>
        <v/>
      </c>
      <c r="E1162" s="23" t="str">
        <f aca="false">IFERROR(INDEX(分录报销!$F:$F,MATCH($L1162,分录报销!$L:$L,0)),"")</f>
        <v/>
      </c>
      <c r="F1162" s="68" t="str">
        <f aca="false">IFERROR(INDEX(分录报销!$H:$H,MATCH($L1162,分录报销!$L:$L,0)),"")</f>
        <v/>
      </c>
      <c r="G1162" s="69" t="str">
        <f aca="false">IFERROR(INDEX(分录报销!$I:$I,MATCH($L1162,分录报销!$L:$L,0)),"")</f>
        <v/>
      </c>
      <c r="H1162" s="23"/>
      <c r="I1162" s="70"/>
      <c r="L1162" s="71" t="n">
        <f aca="false">IF(助手报销!$R$79="",-1,助手报销!$R$79*100+(助手报销!$S$79-1)*6+2)</f>
        <v>-1</v>
      </c>
    </row>
    <row r="1163" customFormat="false" ht="23.25" hidden="false" customHeight="true" outlineLevel="0" collapsed="false">
      <c r="B1163" s="67" t="str">
        <f aca="false">IFERROR(INDEX(分录报销!$M:$M,MATCH($L1163,分录报销!$L:$L,0)),"")</f>
        <v/>
      </c>
      <c r="C1163" s="67"/>
      <c r="D1163" s="23" t="str">
        <f aca="false">IFERROR(INDEX(分录报销!$E:$E,MATCH($L1163,分录报销!$L:$L,0)),"")</f>
        <v/>
      </c>
      <c r="E1163" s="23" t="str">
        <f aca="false">IFERROR(INDEX(分录报销!$F:$F,MATCH($L1163,分录报销!$L:$L,0)),"")</f>
        <v/>
      </c>
      <c r="F1163" s="68" t="str">
        <f aca="false">IFERROR(INDEX(分录报销!$H:$H,MATCH($L1163,分录报销!$L:$L,0)),"")</f>
        <v/>
      </c>
      <c r="G1163" s="69" t="str">
        <f aca="false">IFERROR(INDEX(分录报销!$I:$I,MATCH($L1163,分录报销!$L:$L,0)),"")</f>
        <v/>
      </c>
      <c r="H1163" s="23"/>
      <c r="I1163" s="70"/>
      <c r="L1163" s="71" t="n">
        <f aca="false">IF(助手报销!$R$79="",-1,助手报销!$R$79*100+(助手报销!$S$79-1)*6+3)</f>
        <v>-1</v>
      </c>
    </row>
    <row r="1164" customFormat="false" ht="23.25" hidden="false" customHeight="true" outlineLevel="0" collapsed="false">
      <c r="B1164" s="67" t="str">
        <f aca="false">IFERROR(INDEX(分录报销!$M:$M,MATCH($L1164,分录报销!$L:$L,0)),"")</f>
        <v/>
      </c>
      <c r="C1164" s="67"/>
      <c r="D1164" s="23" t="str">
        <f aca="false">IFERROR(INDEX(分录报销!$E:$E,MATCH($L1164,分录报销!$L:$L,0)),"")</f>
        <v/>
      </c>
      <c r="E1164" s="23" t="str">
        <f aca="false">IFERROR(INDEX(分录报销!$F:$F,MATCH($L1164,分录报销!$L:$L,0)),"")</f>
        <v/>
      </c>
      <c r="F1164" s="68" t="str">
        <f aca="false">IFERROR(INDEX(分录报销!$H:$H,MATCH($L1164,分录报销!$L:$L,0)),"")</f>
        <v/>
      </c>
      <c r="G1164" s="69" t="str">
        <f aca="false">IFERROR(INDEX(分录报销!$I:$I,MATCH($L1164,分录报销!$L:$L,0)),"")</f>
        <v/>
      </c>
      <c r="H1164" s="23"/>
      <c r="I1164" s="70"/>
      <c r="L1164" s="71" t="n">
        <f aca="false">IF(助手报销!$R$79="",-1,助手报销!$R$79*100+(助手报销!$S$79-1)*6+4)</f>
        <v>-1</v>
      </c>
    </row>
    <row r="1165" customFormat="false" ht="23.25" hidden="false" customHeight="true" outlineLevel="0" collapsed="false">
      <c r="B1165" s="67" t="str">
        <f aca="false">IFERROR(INDEX(分录报销!$M:$M,MATCH($L1165,分录报销!$L:$L,0)),"")</f>
        <v/>
      </c>
      <c r="C1165" s="67"/>
      <c r="D1165" s="23" t="str">
        <f aca="false">IFERROR(INDEX(分录报销!$E:$E,MATCH($L1165,分录报销!$L:$L,0)),"")</f>
        <v/>
      </c>
      <c r="E1165" s="23" t="str">
        <f aca="false">IFERROR(INDEX(分录报销!$F:$F,MATCH($L1165,分录报销!$L:$L,0)),"")</f>
        <v/>
      </c>
      <c r="F1165" s="68" t="str">
        <f aca="false">IFERROR(INDEX(分录报销!$H:$H,MATCH($L1165,分录报销!$L:$L,0)),"")</f>
        <v/>
      </c>
      <c r="G1165" s="69" t="str">
        <f aca="false">IFERROR(INDEX(分录报销!$I:$I,MATCH($L1165,分录报销!$L:$L,0)),"")</f>
        <v/>
      </c>
      <c r="H1165" s="23"/>
      <c r="I1165" s="70"/>
      <c r="L1165" s="71" t="n">
        <f aca="false">IF(助手报销!$R$79="",-1,助手报销!$R$79*100+(助手报销!$S$79-1)*6+5)</f>
        <v>-1</v>
      </c>
    </row>
    <row r="1166" customFormat="false" ht="23.25" hidden="false" customHeight="true" outlineLevel="0" collapsed="false">
      <c r="B1166" s="67" t="str">
        <f aca="false">IFERROR(INDEX(分录报销!$M:$M,MATCH($L1166,分录报销!$L:$L,0)),"")</f>
        <v/>
      </c>
      <c r="C1166" s="67"/>
      <c r="D1166" s="23" t="str">
        <f aca="false">IFERROR(INDEX(分录报销!$E:$E,MATCH($L1166,分录报销!$L:$L,0)),"")</f>
        <v/>
      </c>
      <c r="E1166" s="23" t="str">
        <f aca="false">IFERROR(INDEX(分录报销!$F:$F,MATCH($L1166,分录报销!$L:$L,0)),"")</f>
        <v/>
      </c>
      <c r="F1166" s="68" t="str">
        <f aca="false">IFERROR(INDEX(分录报销!$H:$H,MATCH($L1166,分录报销!$L:$L,0)),"")</f>
        <v/>
      </c>
      <c r="G1166" s="69" t="str">
        <f aca="false">IFERROR(INDEX(分录报销!$I:$I,MATCH($L1166,分录报销!$L:$L,0)),"")</f>
        <v/>
      </c>
      <c r="H1166" s="23"/>
      <c r="I1166" s="70"/>
      <c r="L1166" s="71" t="n">
        <f aca="false">IF(助手报销!$R$79="",-1,助手报销!$R$79*100+(助手报销!$S$79-1)*6+6)</f>
        <v>-1</v>
      </c>
    </row>
    <row r="1167" customFormat="false" ht="23.25" hidden="false" customHeight="true" outlineLevel="0" collapsed="false">
      <c r="B1167" s="72" t="str">
        <f aca="false">IF(助手报销!$T$79=1,"合计：","")</f>
        <v/>
      </c>
      <c r="C1167" s="73" t="str">
        <f aca="false">IF(助手报销!$T$79=1,$F1167,"")</f>
        <v/>
      </c>
      <c r="D1167" s="74"/>
      <c r="E1167" s="74"/>
      <c r="F1167" s="75" t="str">
        <f aca="false">IF(助手报销!$T$79=1,INDEX(助手报销!$N$2:$N$121,助手报销!$R$79),"")</f>
        <v/>
      </c>
      <c r="G1167" s="76" t="str">
        <f aca="false">IF(助手报销!$T$79=1,INDEX(助手报销!$O$2:$O$121,助手报销!$R$79),"")</f>
        <v/>
      </c>
      <c r="H1167" s="74"/>
      <c r="I1167" s="77"/>
    </row>
    <row r="1168" customFormat="false" ht="6" hidden="false" customHeight="true" outlineLevel="0" collapsed="false"/>
    <row r="1169" customFormat="false" ht="13.5" hidden="false" customHeight="false" outlineLevel="0" collapsed="false">
      <c r="B1169" s="78" t="str">
        <f aca="false">IF(助手报销!$R$79&lt;&gt;"","会计主管：","")</f>
        <v/>
      </c>
      <c r="D1169" s="78" t="str">
        <f aca="false">IF(助手报销!$R$79&lt;&gt;"","会计：","")</f>
        <v/>
      </c>
      <c r="E1169" s="78" t="str">
        <f aca="false">IF(助手报销!$R$79&lt;&gt;"","出纳：","")</f>
        <v/>
      </c>
      <c r="F1169" s="78" t="str">
        <f aca="false">IF(助手报销!$R$79&lt;&gt;"","复核：","")</f>
        <v/>
      </c>
      <c r="G1169" s="78" t="str">
        <f aca="false">IF(助手报销!$R$79&lt;&gt;"","制单：","")</f>
        <v/>
      </c>
    </row>
    <row r="1170" customFormat="false" ht="3" hidden="false" customHeight="true" outlineLevel="0" collapsed="false"/>
    <row r="1171" customFormat="false" ht="19.5" hidden="false" customHeight="true" outlineLevel="0" collapsed="false">
      <c r="B1171" s="53" t="str">
        <f aca="false">IF(助手报销!$R$80&lt;&gt;"","记  账  凭  证","")</f>
        <v/>
      </c>
      <c r="C1171" s="53"/>
      <c r="D1171" s="53"/>
      <c r="E1171" s="53"/>
      <c r="F1171" s="53"/>
      <c r="G1171" s="53"/>
      <c r="H1171" s="53"/>
      <c r="I1171" s="53"/>
    </row>
    <row r="1172" customFormat="false" ht="3" hidden="false" customHeight="true" outlineLevel="0" collapsed="false"/>
    <row r="1173" customFormat="false" ht="15" hidden="false" customHeight="true" outlineLevel="0" collapsed="false">
      <c r="C1173" s="56" t="str">
        <f aca="false">IF(助手报销!$R$80&lt;&gt;"",INDEX(助手报销!$B$2:$B$121,助手报销!$R$80),"")</f>
        <v/>
      </c>
      <c r="D1173" s="57" t="str">
        <f aca="false">IF(助手报销!$R$80&lt;&gt;"",INDEX(助手报销!$D$2:$D$121,助手报销!$R$80),"")</f>
        <v/>
      </c>
      <c r="E1173" s="57"/>
      <c r="F1173" s="58" t="str">
        <f aca="false">IF(助手报销!$R$80&lt;&gt;"",INDEX(助手报销!$C$2:$C$121,助手报销!$R$80)&amp;"  字第 "&amp;IF(参数!$B$9="是",INDEX(助手报销!$P$2:$P$121,助手报销!$R$80),"　　　　")&amp;" 号"&amp;IF(INDEX(助手报销!$L$2:$L$121,助手报销!$R$80)&gt;1,"  (共"&amp;INDEX(助手报销!$L$2:$L$121,助手报销!$R$80)&amp;"页 第"&amp;助手报销!$S$80&amp;"页)",""),"")</f>
        <v/>
      </c>
      <c r="G1173" s="58"/>
      <c r="H1173" s="58"/>
      <c r="I1173" s="58"/>
      <c r="M1173" s="79" t="str">
        <f aca="false">IF(助手报销!$R$80="","",助手报销!$Q$80)</f>
        <v/>
      </c>
      <c r="N1173" s="80" t="str">
        <f aca="false">IF(助手报销!$R$80="","",INDEX(助手报销!$P$2:$P$121,助手报销!$R$80))</f>
        <v/>
      </c>
      <c r="O1173" s="55" t="str">
        <f aca="false">IF(助手报销!$R$80="","",INDEX(助手报销!$C$2:$C$121,助手报销!$R$80)&amp;"  字第 "&amp;INDEX(助手报销!$P$2:$P$121,助手报销!$R$80)&amp;" 号"&amp;IF(INDEX(助手报销!$L$2:$L$121,助手报销!$R$80)&gt;1,"  (共"&amp;INDEX(助手报销!$L$2:$L$121,助手报销!$R$80)&amp;"页 第"&amp;助手报销!$S$80&amp;"页)",""))</f>
        <v/>
      </c>
    </row>
    <row r="1174" customFormat="false" ht="12.75" hidden="false" customHeight="true" outlineLevel="0" collapsed="false">
      <c r="B1174" s="61" t="str">
        <f aca="false">IF(助手报销!$R$80&lt;&gt;"","摘　　要","")</f>
        <v/>
      </c>
      <c r="C1174" s="61"/>
      <c r="D1174" s="62" t="str">
        <f aca="false">IF(助手报销!$R$80&lt;&gt;"","科　　　　目","")</f>
        <v/>
      </c>
      <c r="E1174" s="62"/>
      <c r="F1174" s="61" t="str">
        <f aca="false">IF(助手报销!$R$80&lt;&gt;"","借 方 金 额","")</f>
        <v/>
      </c>
      <c r="G1174" s="62" t="str">
        <f aca="false">IF(助手报销!$R$80&lt;&gt;"","贷 方 金 额","")</f>
        <v/>
      </c>
      <c r="H1174" s="63" t="str">
        <f aca="false">IF(助手报销!$R$80&lt;&gt;"","√","")</f>
        <v/>
      </c>
      <c r="I1174" s="64" t="str">
        <f aca="false">IF(助手报销!$R$80&lt;&gt;"","附单据  张","")</f>
        <v/>
      </c>
    </row>
    <row r="1175" customFormat="false" ht="12.75" hidden="false" customHeight="true" outlineLevel="0" collapsed="false">
      <c r="B1175" s="61"/>
      <c r="C1175" s="61"/>
      <c r="D1175" s="23" t="str">
        <f aca="false">IF(助手报销!$R$80&lt;&gt;"","总 账 科 目","")</f>
        <v/>
      </c>
      <c r="E1175" s="23" t="str">
        <f aca="false">IF(助手报销!$R$80&lt;&gt;"","明 细 科 目","")</f>
        <v/>
      </c>
      <c r="F1175" s="65"/>
      <c r="G1175" s="66"/>
      <c r="H1175" s="63"/>
      <c r="I1175" s="64"/>
    </row>
    <row r="1176" customFormat="false" ht="23.25" hidden="false" customHeight="true" outlineLevel="0" collapsed="false">
      <c r="B1176" s="67" t="str">
        <f aca="false">IFERROR(INDEX(分录报销!$M:$M,MATCH($L1176,分录报销!$L:$L,0)),"")</f>
        <v/>
      </c>
      <c r="C1176" s="67"/>
      <c r="D1176" s="23" t="str">
        <f aca="false">IFERROR(INDEX(分录报销!$E:$E,MATCH($L1176,分录报销!$L:$L,0)),"")</f>
        <v/>
      </c>
      <c r="E1176" s="23" t="str">
        <f aca="false">IFERROR(INDEX(分录报销!$F:$F,MATCH($L1176,分录报销!$L:$L,0)),"")</f>
        <v/>
      </c>
      <c r="F1176" s="68" t="str">
        <f aca="false">IFERROR(INDEX(分录报销!$H:$H,MATCH($L1176,分录报销!$L:$L,0)),"")</f>
        <v/>
      </c>
      <c r="G1176" s="69" t="str">
        <f aca="false">IFERROR(INDEX(分录报销!$I:$I,MATCH($L1176,分录报销!$L:$L,0)),"")</f>
        <v/>
      </c>
      <c r="H1176" s="23"/>
      <c r="I1176" s="70"/>
      <c r="L1176" s="71" t="n">
        <f aca="false">IF(助手报销!$R$80="",-1,助手报销!$R$80*100+(助手报销!$S$80-1)*6+1)</f>
        <v>-1</v>
      </c>
    </row>
    <row r="1177" customFormat="false" ht="23.25" hidden="false" customHeight="true" outlineLevel="0" collapsed="false">
      <c r="B1177" s="67" t="str">
        <f aca="false">IFERROR(INDEX(分录报销!$M:$M,MATCH($L1177,分录报销!$L:$L,0)),"")</f>
        <v/>
      </c>
      <c r="C1177" s="67"/>
      <c r="D1177" s="23" t="str">
        <f aca="false">IFERROR(INDEX(分录报销!$E:$E,MATCH($L1177,分录报销!$L:$L,0)),"")</f>
        <v/>
      </c>
      <c r="E1177" s="23" t="str">
        <f aca="false">IFERROR(INDEX(分录报销!$F:$F,MATCH($L1177,分录报销!$L:$L,0)),"")</f>
        <v/>
      </c>
      <c r="F1177" s="68" t="str">
        <f aca="false">IFERROR(INDEX(分录报销!$H:$H,MATCH($L1177,分录报销!$L:$L,0)),"")</f>
        <v/>
      </c>
      <c r="G1177" s="69" t="str">
        <f aca="false">IFERROR(INDEX(分录报销!$I:$I,MATCH($L1177,分录报销!$L:$L,0)),"")</f>
        <v/>
      </c>
      <c r="H1177" s="23"/>
      <c r="I1177" s="70"/>
      <c r="L1177" s="71" t="n">
        <f aca="false">IF(助手报销!$R$80="",-1,助手报销!$R$80*100+(助手报销!$S$80-1)*6+2)</f>
        <v>-1</v>
      </c>
    </row>
    <row r="1178" customFormat="false" ht="23.25" hidden="false" customHeight="true" outlineLevel="0" collapsed="false">
      <c r="B1178" s="67" t="str">
        <f aca="false">IFERROR(INDEX(分录报销!$M:$M,MATCH($L1178,分录报销!$L:$L,0)),"")</f>
        <v/>
      </c>
      <c r="C1178" s="67"/>
      <c r="D1178" s="23" t="str">
        <f aca="false">IFERROR(INDEX(分录报销!$E:$E,MATCH($L1178,分录报销!$L:$L,0)),"")</f>
        <v/>
      </c>
      <c r="E1178" s="23" t="str">
        <f aca="false">IFERROR(INDEX(分录报销!$F:$F,MATCH($L1178,分录报销!$L:$L,0)),"")</f>
        <v/>
      </c>
      <c r="F1178" s="68" t="str">
        <f aca="false">IFERROR(INDEX(分录报销!$H:$H,MATCH($L1178,分录报销!$L:$L,0)),"")</f>
        <v/>
      </c>
      <c r="G1178" s="69" t="str">
        <f aca="false">IFERROR(INDEX(分录报销!$I:$I,MATCH($L1178,分录报销!$L:$L,0)),"")</f>
        <v/>
      </c>
      <c r="H1178" s="23"/>
      <c r="I1178" s="70"/>
      <c r="L1178" s="71" t="n">
        <f aca="false">IF(助手报销!$R$80="",-1,助手报销!$R$80*100+(助手报销!$S$80-1)*6+3)</f>
        <v>-1</v>
      </c>
    </row>
    <row r="1179" customFormat="false" ht="23.25" hidden="false" customHeight="true" outlineLevel="0" collapsed="false">
      <c r="B1179" s="67" t="str">
        <f aca="false">IFERROR(INDEX(分录报销!$M:$M,MATCH($L1179,分录报销!$L:$L,0)),"")</f>
        <v/>
      </c>
      <c r="C1179" s="67"/>
      <c r="D1179" s="23" t="str">
        <f aca="false">IFERROR(INDEX(分录报销!$E:$E,MATCH($L1179,分录报销!$L:$L,0)),"")</f>
        <v/>
      </c>
      <c r="E1179" s="23" t="str">
        <f aca="false">IFERROR(INDEX(分录报销!$F:$F,MATCH($L1179,分录报销!$L:$L,0)),"")</f>
        <v/>
      </c>
      <c r="F1179" s="68" t="str">
        <f aca="false">IFERROR(INDEX(分录报销!$H:$H,MATCH($L1179,分录报销!$L:$L,0)),"")</f>
        <v/>
      </c>
      <c r="G1179" s="69" t="str">
        <f aca="false">IFERROR(INDEX(分录报销!$I:$I,MATCH($L1179,分录报销!$L:$L,0)),"")</f>
        <v/>
      </c>
      <c r="H1179" s="23"/>
      <c r="I1179" s="70"/>
      <c r="L1179" s="71" t="n">
        <f aca="false">IF(助手报销!$R$80="",-1,助手报销!$R$80*100+(助手报销!$S$80-1)*6+4)</f>
        <v>-1</v>
      </c>
    </row>
    <row r="1180" customFormat="false" ht="23.25" hidden="false" customHeight="true" outlineLevel="0" collapsed="false">
      <c r="B1180" s="67" t="str">
        <f aca="false">IFERROR(INDEX(分录报销!$M:$M,MATCH($L1180,分录报销!$L:$L,0)),"")</f>
        <v/>
      </c>
      <c r="C1180" s="67"/>
      <c r="D1180" s="23" t="str">
        <f aca="false">IFERROR(INDEX(分录报销!$E:$E,MATCH($L1180,分录报销!$L:$L,0)),"")</f>
        <v/>
      </c>
      <c r="E1180" s="23" t="str">
        <f aca="false">IFERROR(INDEX(分录报销!$F:$F,MATCH($L1180,分录报销!$L:$L,0)),"")</f>
        <v/>
      </c>
      <c r="F1180" s="68" t="str">
        <f aca="false">IFERROR(INDEX(分录报销!$H:$H,MATCH($L1180,分录报销!$L:$L,0)),"")</f>
        <v/>
      </c>
      <c r="G1180" s="69" t="str">
        <f aca="false">IFERROR(INDEX(分录报销!$I:$I,MATCH($L1180,分录报销!$L:$L,0)),"")</f>
        <v/>
      </c>
      <c r="H1180" s="23"/>
      <c r="I1180" s="70"/>
      <c r="L1180" s="71" t="n">
        <f aca="false">IF(助手报销!$R$80="",-1,助手报销!$R$80*100+(助手报销!$S$80-1)*6+5)</f>
        <v>-1</v>
      </c>
    </row>
    <row r="1181" customFormat="false" ht="23.25" hidden="false" customHeight="true" outlineLevel="0" collapsed="false">
      <c r="B1181" s="67" t="str">
        <f aca="false">IFERROR(INDEX(分录报销!$M:$M,MATCH($L1181,分录报销!$L:$L,0)),"")</f>
        <v/>
      </c>
      <c r="C1181" s="67"/>
      <c r="D1181" s="23" t="str">
        <f aca="false">IFERROR(INDEX(分录报销!$E:$E,MATCH($L1181,分录报销!$L:$L,0)),"")</f>
        <v/>
      </c>
      <c r="E1181" s="23" t="str">
        <f aca="false">IFERROR(INDEX(分录报销!$F:$F,MATCH($L1181,分录报销!$L:$L,0)),"")</f>
        <v/>
      </c>
      <c r="F1181" s="68" t="str">
        <f aca="false">IFERROR(INDEX(分录报销!$H:$H,MATCH($L1181,分录报销!$L:$L,0)),"")</f>
        <v/>
      </c>
      <c r="G1181" s="69" t="str">
        <f aca="false">IFERROR(INDEX(分录报销!$I:$I,MATCH($L1181,分录报销!$L:$L,0)),"")</f>
        <v/>
      </c>
      <c r="H1181" s="23"/>
      <c r="I1181" s="70"/>
      <c r="L1181" s="71" t="n">
        <f aca="false">IF(助手报销!$R$80="",-1,助手报销!$R$80*100+(助手报销!$S$80-1)*6+6)</f>
        <v>-1</v>
      </c>
    </row>
    <row r="1182" customFormat="false" ht="23.25" hidden="false" customHeight="true" outlineLevel="0" collapsed="false">
      <c r="B1182" s="72" t="str">
        <f aca="false">IF(助手报销!$T$80=1,"合计：","")</f>
        <v/>
      </c>
      <c r="C1182" s="73" t="str">
        <f aca="false">IF(助手报销!$T$80=1,$F1182,"")</f>
        <v/>
      </c>
      <c r="D1182" s="74"/>
      <c r="E1182" s="74"/>
      <c r="F1182" s="75" t="str">
        <f aca="false">IF(助手报销!$T$80=1,INDEX(助手报销!$N$2:$N$121,助手报销!$R$80),"")</f>
        <v/>
      </c>
      <c r="G1182" s="76" t="str">
        <f aca="false">IF(助手报销!$T$80=1,INDEX(助手报销!$O$2:$O$121,助手报销!$R$80),"")</f>
        <v/>
      </c>
      <c r="H1182" s="74"/>
      <c r="I1182" s="77"/>
    </row>
    <row r="1183" customFormat="false" ht="6" hidden="false" customHeight="true" outlineLevel="0" collapsed="false"/>
    <row r="1184" customFormat="false" ht="13.5" hidden="false" customHeight="false" outlineLevel="0" collapsed="false">
      <c r="B1184" s="78" t="str">
        <f aca="false">IF(助手报销!$R$80&lt;&gt;"","会计主管：","")</f>
        <v/>
      </c>
      <c r="D1184" s="78" t="str">
        <f aca="false">IF(助手报销!$R$80&lt;&gt;"","会计：","")</f>
        <v/>
      </c>
      <c r="E1184" s="78" t="str">
        <f aca="false">IF(助手报销!$R$80&lt;&gt;"","出纳：","")</f>
        <v/>
      </c>
      <c r="F1184" s="78" t="str">
        <f aca="false">IF(助手报销!$R$80&lt;&gt;"","复核：","")</f>
        <v/>
      </c>
      <c r="G1184" s="78" t="str">
        <f aca="false">IF(助手报销!$R$80&lt;&gt;"","制单：","")</f>
        <v/>
      </c>
    </row>
    <row r="1185" customFormat="false" ht="3" hidden="false" customHeight="true" outlineLevel="0" collapsed="false"/>
    <row r="1186" customFormat="false" ht="19.5" hidden="false" customHeight="true" outlineLevel="0" collapsed="false">
      <c r="B1186" s="53" t="str">
        <f aca="false">IF(助手报销!$R$81&lt;&gt;"","记  账  凭  证","")</f>
        <v/>
      </c>
      <c r="C1186" s="53"/>
      <c r="D1186" s="53"/>
      <c r="E1186" s="53"/>
      <c r="F1186" s="53"/>
      <c r="G1186" s="53"/>
      <c r="H1186" s="53"/>
      <c r="I1186" s="53"/>
    </row>
    <row r="1187" customFormat="false" ht="3" hidden="false" customHeight="true" outlineLevel="0" collapsed="false"/>
    <row r="1188" customFormat="false" ht="15" hidden="false" customHeight="true" outlineLevel="0" collapsed="false">
      <c r="C1188" s="56" t="str">
        <f aca="false">IF(助手报销!$R$81&lt;&gt;"",INDEX(助手报销!$B$2:$B$121,助手报销!$R$81),"")</f>
        <v/>
      </c>
      <c r="D1188" s="57" t="str">
        <f aca="false">IF(助手报销!$R$81&lt;&gt;"",INDEX(助手报销!$D$2:$D$121,助手报销!$R$81),"")</f>
        <v/>
      </c>
      <c r="E1188" s="57"/>
      <c r="F1188" s="58" t="str">
        <f aca="false">IF(助手报销!$R$81&lt;&gt;"",INDEX(助手报销!$C$2:$C$121,助手报销!$R$81)&amp;"  字第 "&amp;IF(参数!$B$9="是",INDEX(助手报销!$P$2:$P$121,助手报销!$R$81),"　　　　")&amp;" 号"&amp;IF(INDEX(助手报销!$L$2:$L$121,助手报销!$R$81)&gt;1,"  (共"&amp;INDEX(助手报销!$L$2:$L$121,助手报销!$R$81)&amp;"页 第"&amp;助手报销!$S$81&amp;"页)",""),"")</f>
        <v/>
      </c>
      <c r="G1188" s="58"/>
      <c r="H1188" s="58"/>
      <c r="I1188" s="58"/>
      <c r="M1188" s="79" t="str">
        <f aca="false">IF(助手报销!$R$81="","",助手报销!$Q$81)</f>
        <v/>
      </c>
      <c r="N1188" s="80" t="str">
        <f aca="false">IF(助手报销!$R$81="","",INDEX(助手报销!$P$2:$P$121,助手报销!$R$81))</f>
        <v/>
      </c>
      <c r="O1188" s="55" t="str">
        <f aca="false">IF(助手报销!$R$81="","",INDEX(助手报销!$C$2:$C$121,助手报销!$R$81)&amp;"  字第 "&amp;INDEX(助手报销!$P$2:$P$121,助手报销!$R$81)&amp;" 号"&amp;IF(INDEX(助手报销!$L$2:$L$121,助手报销!$R$81)&gt;1,"  (共"&amp;INDEX(助手报销!$L$2:$L$121,助手报销!$R$81)&amp;"页 第"&amp;助手报销!$S$81&amp;"页)",""))</f>
        <v/>
      </c>
    </row>
    <row r="1189" customFormat="false" ht="12.75" hidden="false" customHeight="true" outlineLevel="0" collapsed="false">
      <c r="B1189" s="61" t="str">
        <f aca="false">IF(助手报销!$R$81&lt;&gt;"","摘　　要","")</f>
        <v/>
      </c>
      <c r="C1189" s="61"/>
      <c r="D1189" s="62" t="str">
        <f aca="false">IF(助手报销!$R$81&lt;&gt;"","科　　　　目","")</f>
        <v/>
      </c>
      <c r="E1189" s="62"/>
      <c r="F1189" s="61" t="str">
        <f aca="false">IF(助手报销!$R$81&lt;&gt;"","借 方 金 额","")</f>
        <v/>
      </c>
      <c r="G1189" s="62" t="str">
        <f aca="false">IF(助手报销!$R$81&lt;&gt;"","贷 方 金 额","")</f>
        <v/>
      </c>
      <c r="H1189" s="63" t="str">
        <f aca="false">IF(助手报销!$R$81&lt;&gt;"","√","")</f>
        <v/>
      </c>
      <c r="I1189" s="64" t="str">
        <f aca="false">IF(助手报销!$R$81&lt;&gt;"","附单据  张","")</f>
        <v/>
      </c>
    </row>
    <row r="1190" customFormat="false" ht="12.75" hidden="false" customHeight="true" outlineLevel="0" collapsed="false">
      <c r="B1190" s="61"/>
      <c r="C1190" s="61"/>
      <c r="D1190" s="23" t="str">
        <f aca="false">IF(助手报销!$R$81&lt;&gt;"","总 账 科 目","")</f>
        <v/>
      </c>
      <c r="E1190" s="23" t="str">
        <f aca="false">IF(助手报销!$R$81&lt;&gt;"","明 细 科 目","")</f>
        <v/>
      </c>
      <c r="F1190" s="65"/>
      <c r="G1190" s="66"/>
      <c r="H1190" s="63"/>
      <c r="I1190" s="64"/>
    </row>
    <row r="1191" customFormat="false" ht="23.25" hidden="false" customHeight="true" outlineLevel="0" collapsed="false">
      <c r="B1191" s="67" t="str">
        <f aca="false">IFERROR(INDEX(分录报销!$M:$M,MATCH($L1191,分录报销!$L:$L,0)),"")</f>
        <v/>
      </c>
      <c r="C1191" s="67"/>
      <c r="D1191" s="23" t="str">
        <f aca="false">IFERROR(INDEX(分录报销!$E:$E,MATCH($L1191,分录报销!$L:$L,0)),"")</f>
        <v/>
      </c>
      <c r="E1191" s="23" t="str">
        <f aca="false">IFERROR(INDEX(分录报销!$F:$F,MATCH($L1191,分录报销!$L:$L,0)),"")</f>
        <v/>
      </c>
      <c r="F1191" s="68" t="str">
        <f aca="false">IFERROR(INDEX(分录报销!$H:$H,MATCH($L1191,分录报销!$L:$L,0)),"")</f>
        <v/>
      </c>
      <c r="G1191" s="69" t="str">
        <f aca="false">IFERROR(INDEX(分录报销!$I:$I,MATCH($L1191,分录报销!$L:$L,0)),"")</f>
        <v/>
      </c>
      <c r="H1191" s="23"/>
      <c r="I1191" s="70"/>
      <c r="L1191" s="71" t="n">
        <f aca="false">IF(助手报销!$R$81="",-1,助手报销!$R$81*100+(助手报销!$S$81-1)*6+1)</f>
        <v>-1</v>
      </c>
    </row>
    <row r="1192" customFormat="false" ht="23.25" hidden="false" customHeight="true" outlineLevel="0" collapsed="false">
      <c r="B1192" s="67" t="str">
        <f aca="false">IFERROR(INDEX(分录报销!$M:$M,MATCH($L1192,分录报销!$L:$L,0)),"")</f>
        <v/>
      </c>
      <c r="C1192" s="67"/>
      <c r="D1192" s="23" t="str">
        <f aca="false">IFERROR(INDEX(分录报销!$E:$E,MATCH($L1192,分录报销!$L:$L,0)),"")</f>
        <v/>
      </c>
      <c r="E1192" s="23" t="str">
        <f aca="false">IFERROR(INDEX(分录报销!$F:$F,MATCH($L1192,分录报销!$L:$L,0)),"")</f>
        <v/>
      </c>
      <c r="F1192" s="68" t="str">
        <f aca="false">IFERROR(INDEX(分录报销!$H:$H,MATCH($L1192,分录报销!$L:$L,0)),"")</f>
        <v/>
      </c>
      <c r="G1192" s="69" t="str">
        <f aca="false">IFERROR(INDEX(分录报销!$I:$I,MATCH($L1192,分录报销!$L:$L,0)),"")</f>
        <v/>
      </c>
      <c r="H1192" s="23"/>
      <c r="I1192" s="70"/>
      <c r="L1192" s="71" t="n">
        <f aca="false">IF(助手报销!$R$81="",-1,助手报销!$R$81*100+(助手报销!$S$81-1)*6+2)</f>
        <v>-1</v>
      </c>
    </row>
    <row r="1193" customFormat="false" ht="23.25" hidden="false" customHeight="true" outlineLevel="0" collapsed="false">
      <c r="B1193" s="67" t="str">
        <f aca="false">IFERROR(INDEX(分录报销!$M:$M,MATCH($L1193,分录报销!$L:$L,0)),"")</f>
        <v/>
      </c>
      <c r="C1193" s="67"/>
      <c r="D1193" s="23" t="str">
        <f aca="false">IFERROR(INDEX(分录报销!$E:$E,MATCH($L1193,分录报销!$L:$L,0)),"")</f>
        <v/>
      </c>
      <c r="E1193" s="23" t="str">
        <f aca="false">IFERROR(INDEX(分录报销!$F:$F,MATCH($L1193,分录报销!$L:$L,0)),"")</f>
        <v/>
      </c>
      <c r="F1193" s="68" t="str">
        <f aca="false">IFERROR(INDEX(分录报销!$H:$H,MATCH($L1193,分录报销!$L:$L,0)),"")</f>
        <v/>
      </c>
      <c r="G1193" s="69" t="str">
        <f aca="false">IFERROR(INDEX(分录报销!$I:$I,MATCH($L1193,分录报销!$L:$L,0)),"")</f>
        <v/>
      </c>
      <c r="H1193" s="23"/>
      <c r="I1193" s="70"/>
      <c r="L1193" s="71" t="n">
        <f aca="false">IF(助手报销!$R$81="",-1,助手报销!$R$81*100+(助手报销!$S$81-1)*6+3)</f>
        <v>-1</v>
      </c>
    </row>
    <row r="1194" customFormat="false" ht="23.25" hidden="false" customHeight="true" outlineLevel="0" collapsed="false">
      <c r="B1194" s="67" t="str">
        <f aca="false">IFERROR(INDEX(分录报销!$M:$M,MATCH($L1194,分录报销!$L:$L,0)),"")</f>
        <v/>
      </c>
      <c r="C1194" s="67"/>
      <c r="D1194" s="23" t="str">
        <f aca="false">IFERROR(INDEX(分录报销!$E:$E,MATCH($L1194,分录报销!$L:$L,0)),"")</f>
        <v/>
      </c>
      <c r="E1194" s="23" t="str">
        <f aca="false">IFERROR(INDEX(分录报销!$F:$F,MATCH($L1194,分录报销!$L:$L,0)),"")</f>
        <v/>
      </c>
      <c r="F1194" s="68" t="str">
        <f aca="false">IFERROR(INDEX(分录报销!$H:$H,MATCH($L1194,分录报销!$L:$L,0)),"")</f>
        <v/>
      </c>
      <c r="G1194" s="69" t="str">
        <f aca="false">IFERROR(INDEX(分录报销!$I:$I,MATCH($L1194,分录报销!$L:$L,0)),"")</f>
        <v/>
      </c>
      <c r="H1194" s="23"/>
      <c r="I1194" s="70"/>
      <c r="L1194" s="71" t="n">
        <f aca="false">IF(助手报销!$R$81="",-1,助手报销!$R$81*100+(助手报销!$S$81-1)*6+4)</f>
        <v>-1</v>
      </c>
    </row>
    <row r="1195" customFormat="false" ht="23.25" hidden="false" customHeight="true" outlineLevel="0" collapsed="false">
      <c r="B1195" s="67" t="str">
        <f aca="false">IFERROR(INDEX(分录报销!$M:$M,MATCH($L1195,分录报销!$L:$L,0)),"")</f>
        <v/>
      </c>
      <c r="C1195" s="67"/>
      <c r="D1195" s="23" t="str">
        <f aca="false">IFERROR(INDEX(分录报销!$E:$E,MATCH($L1195,分录报销!$L:$L,0)),"")</f>
        <v/>
      </c>
      <c r="E1195" s="23" t="str">
        <f aca="false">IFERROR(INDEX(分录报销!$F:$F,MATCH($L1195,分录报销!$L:$L,0)),"")</f>
        <v/>
      </c>
      <c r="F1195" s="68" t="str">
        <f aca="false">IFERROR(INDEX(分录报销!$H:$H,MATCH($L1195,分录报销!$L:$L,0)),"")</f>
        <v/>
      </c>
      <c r="G1195" s="69" t="str">
        <f aca="false">IFERROR(INDEX(分录报销!$I:$I,MATCH($L1195,分录报销!$L:$L,0)),"")</f>
        <v/>
      </c>
      <c r="H1195" s="23"/>
      <c r="I1195" s="70"/>
      <c r="L1195" s="71" t="n">
        <f aca="false">IF(助手报销!$R$81="",-1,助手报销!$R$81*100+(助手报销!$S$81-1)*6+5)</f>
        <v>-1</v>
      </c>
    </row>
    <row r="1196" customFormat="false" ht="23.25" hidden="false" customHeight="true" outlineLevel="0" collapsed="false">
      <c r="B1196" s="67" t="str">
        <f aca="false">IFERROR(INDEX(分录报销!$M:$M,MATCH($L1196,分录报销!$L:$L,0)),"")</f>
        <v/>
      </c>
      <c r="C1196" s="67"/>
      <c r="D1196" s="23" t="str">
        <f aca="false">IFERROR(INDEX(分录报销!$E:$E,MATCH($L1196,分录报销!$L:$L,0)),"")</f>
        <v/>
      </c>
      <c r="E1196" s="23" t="str">
        <f aca="false">IFERROR(INDEX(分录报销!$F:$F,MATCH($L1196,分录报销!$L:$L,0)),"")</f>
        <v/>
      </c>
      <c r="F1196" s="68" t="str">
        <f aca="false">IFERROR(INDEX(分录报销!$H:$H,MATCH($L1196,分录报销!$L:$L,0)),"")</f>
        <v/>
      </c>
      <c r="G1196" s="69" t="str">
        <f aca="false">IFERROR(INDEX(分录报销!$I:$I,MATCH($L1196,分录报销!$L:$L,0)),"")</f>
        <v/>
      </c>
      <c r="H1196" s="23"/>
      <c r="I1196" s="70"/>
      <c r="L1196" s="71" t="n">
        <f aca="false">IF(助手报销!$R$81="",-1,助手报销!$R$81*100+(助手报销!$S$81-1)*6+6)</f>
        <v>-1</v>
      </c>
    </row>
    <row r="1197" customFormat="false" ht="23.25" hidden="false" customHeight="true" outlineLevel="0" collapsed="false">
      <c r="B1197" s="72" t="str">
        <f aca="false">IF(助手报销!$T$81=1,"合计：","")</f>
        <v/>
      </c>
      <c r="C1197" s="73" t="str">
        <f aca="false">IF(助手报销!$T$81=1,$F1197,"")</f>
        <v/>
      </c>
      <c r="D1197" s="74"/>
      <c r="E1197" s="74"/>
      <c r="F1197" s="75" t="str">
        <f aca="false">IF(助手报销!$T$81=1,INDEX(助手报销!$N$2:$N$121,助手报销!$R$81),"")</f>
        <v/>
      </c>
      <c r="G1197" s="76" t="str">
        <f aca="false">IF(助手报销!$T$81=1,INDEX(助手报销!$O$2:$O$121,助手报销!$R$81),"")</f>
        <v/>
      </c>
      <c r="H1197" s="74"/>
      <c r="I1197" s="77"/>
    </row>
    <row r="1198" customFormat="false" ht="6" hidden="false" customHeight="true" outlineLevel="0" collapsed="false"/>
    <row r="1199" customFormat="false" ht="13.5" hidden="false" customHeight="false" outlineLevel="0" collapsed="false">
      <c r="B1199" s="78" t="str">
        <f aca="false">IF(助手报销!$R$81&lt;&gt;"","会计主管：","")</f>
        <v/>
      </c>
      <c r="D1199" s="78" t="str">
        <f aca="false">IF(助手报销!$R$81&lt;&gt;"","会计：","")</f>
        <v/>
      </c>
      <c r="E1199" s="78" t="str">
        <f aca="false">IF(助手报销!$R$81&lt;&gt;"","出纳：","")</f>
        <v/>
      </c>
      <c r="F1199" s="78" t="str">
        <f aca="false">IF(助手报销!$R$81&lt;&gt;"","复核：","")</f>
        <v/>
      </c>
      <c r="G1199" s="78" t="str">
        <f aca="false">IF(助手报销!$R$81&lt;&gt;"","制单：","")</f>
        <v/>
      </c>
    </row>
    <row r="1200" customFormat="false" ht="3" hidden="false" customHeight="true" outlineLevel="0" collapsed="false"/>
    <row r="1201" customFormat="false" ht="19.5" hidden="false" customHeight="true" outlineLevel="0" collapsed="false">
      <c r="B1201" s="53" t="str">
        <f aca="false">IF(助手报销!$R$82&lt;&gt;"","记  账  凭  证","")</f>
        <v/>
      </c>
      <c r="C1201" s="53"/>
      <c r="D1201" s="53"/>
      <c r="E1201" s="53"/>
      <c r="F1201" s="53"/>
      <c r="G1201" s="53"/>
      <c r="H1201" s="53"/>
      <c r="I1201" s="53"/>
    </row>
    <row r="1202" customFormat="false" ht="3" hidden="false" customHeight="true" outlineLevel="0" collapsed="false"/>
    <row r="1203" customFormat="false" ht="15" hidden="false" customHeight="true" outlineLevel="0" collapsed="false">
      <c r="C1203" s="56" t="str">
        <f aca="false">IF(助手报销!$R$82&lt;&gt;"",INDEX(助手报销!$B$2:$B$121,助手报销!$R$82),"")</f>
        <v/>
      </c>
      <c r="D1203" s="57" t="str">
        <f aca="false">IF(助手报销!$R$82&lt;&gt;"",INDEX(助手报销!$D$2:$D$121,助手报销!$R$82),"")</f>
        <v/>
      </c>
      <c r="E1203" s="57"/>
      <c r="F1203" s="58" t="str">
        <f aca="false">IF(助手报销!$R$82&lt;&gt;"",INDEX(助手报销!$C$2:$C$121,助手报销!$R$82)&amp;"  字第 "&amp;IF(参数!$B$9="是",INDEX(助手报销!$P$2:$P$121,助手报销!$R$82),"　　　　")&amp;" 号"&amp;IF(INDEX(助手报销!$L$2:$L$121,助手报销!$R$82)&gt;1,"  (共"&amp;INDEX(助手报销!$L$2:$L$121,助手报销!$R$82)&amp;"页 第"&amp;助手报销!$S$82&amp;"页)",""),"")</f>
        <v/>
      </c>
      <c r="G1203" s="58"/>
      <c r="H1203" s="58"/>
      <c r="I1203" s="58"/>
      <c r="M1203" s="79" t="str">
        <f aca="false">IF(助手报销!$R$82="","",助手报销!$Q$82)</f>
        <v/>
      </c>
      <c r="N1203" s="80" t="str">
        <f aca="false">IF(助手报销!$R$82="","",INDEX(助手报销!$P$2:$P$121,助手报销!$R$82))</f>
        <v/>
      </c>
      <c r="O1203" s="55" t="str">
        <f aca="false">IF(助手报销!$R$82="","",INDEX(助手报销!$C$2:$C$121,助手报销!$R$82)&amp;"  字第 "&amp;INDEX(助手报销!$P$2:$P$121,助手报销!$R$82)&amp;" 号"&amp;IF(INDEX(助手报销!$L$2:$L$121,助手报销!$R$82)&gt;1,"  (共"&amp;INDEX(助手报销!$L$2:$L$121,助手报销!$R$82)&amp;"页 第"&amp;助手报销!$S$82&amp;"页)",""))</f>
        <v/>
      </c>
    </row>
    <row r="1204" customFormat="false" ht="12.75" hidden="false" customHeight="true" outlineLevel="0" collapsed="false">
      <c r="B1204" s="61" t="str">
        <f aca="false">IF(助手报销!$R$82&lt;&gt;"","摘　　要","")</f>
        <v/>
      </c>
      <c r="C1204" s="61"/>
      <c r="D1204" s="62" t="str">
        <f aca="false">IF(助手报销!$R$82&lt;&gt;"","科　　　　目","")</f>
        <v/>
      </c>
      <c r="E1204" s="62"/>
      <c r="F1204" s="61" t="str">
        <f aca="false">IF(助手报销!$R$82&lt;&gt;"","借 方 金 额","")</f>
        <v/>
      </c>
      <c r="G1204" s="62" t="str">
        <f aca="false">IF(助手报销!$R$82&lt;&gt;"","贷 方 金 额","")</f>
        <v/>
      </c>
      <c r="H1204" s="63" t="str">
        <f aca="false">IF(助手报销!$R$82&lt;&gt;"","√","")</f>
        <v/>
      </c>
      <c r="I1204" s="64" t="str">
        <f aca="false">IF(助手报销!$R$82&lt;&gt;"","附单据  张","")</f>
        <v/>
      </c>
    </row>
    <row r="1205" customFormat="false" ht="12.75" hidden="false" customHeight="true" outlineLevel="0" collapsed="false">
      <c r="B1205" s="61"/>
      <c r="C1205" s="61"/>
      <c r="D1205" s="23" t="str">
        <f aca="false">IF(助手报销!$R$82&lt;&gt;"","总 账 科 目","")</f>
        <v/>
      </c>
      <c r="E1205" s="23" t="str">
        <f aca="false">IF(助手报销!$R$82&lt;&gt;"","明 细 科 目","")</f>
        <v/>
      </c>
      <c r="F1205" s="65"/>
      <c r="G1205" s="66"/>
      <c r="H1205" s="63"/>
      <c r="I1205" s="64"/>
    </row>
    <row r="1206" customFormat="false" ht="23.25" hidden="false" customHeight="true" outlineLevel="0" collapsed="false">
      <c r="B1206" s="67" t="str">
        <f aca="false">IFERROR(INDEX(分录报销!$M:$M,MATCH($L1206,分录报销!$L:$L,0)),"")</f>
        <v/>
      </c>
      <c r="C1206" s="67"/>
      <c r="D1206" s="23" t="str">
        <f aca="false">IFERROR(INDEX(分录报销!$E:$E,MATCH($L1206,分录报销!$L:$L,0)),"")</f>
        <v/>
      </c>
      <c r="E1206" s="23" t="str">
        <f aca="false">IFERROR(INDEX(分录报销!$F:$F,MATCH($L1206,分录报销!$L:$L,0)),"")</f>
        <v/>
      </c>
      <c r="F1206" s="68" t="str">
        <f aca="false">IFERROR(INDEX(分录报销!$H:$H,MATCH($L1206,分录报销!$L:$L,0)),"")</f>
        <v/>
      </c>
      <c r="G1206" s="69" t="str">
        <f aca="false">IFERROR(INDEX(分录报销!$I:$I,MATCH($L1206,分录报销!$L:$L,0)),"")</f>
        <v/>
      </c>
      <c r="H1206" s="23"/>
      <c r="I1206" s="70"/>
      <c r="L1206" s="71" t="n">
        <f aca="false">IF(助手报销!$R$82="",-1,助手报销!$R$82*100+(助手报销!$S$82-1)*6+1)</f>
        <v>-1</v>
      </c>
    </row>
    <row r="1207" customFormat="false" ht="23.25" hidden="false" customHeight="true" outlineLevel="0" collapsed="false">
      <c r="B1207" s="67" t="str">
        <f aca="false">IFERROR(INDEX(分录报销!$M:$M,MATCH($L1207,分录报销!$L:$L,0)),"")</f>
        <v/>
      </c>
      <c r="C1207" s="67"/>
      <c r="D1207" s="23" t="str">
        <f aca="false">IFERROR(INDEX(分录报销!$E:$E,MATCH($L1207,分录报销!$L:$L,0)),"")</f>
        <v/>
      </c>
      <c r="E1207" s="23" t="str">
        <f aca="false">IFERROR(INDEX(分录报销!$F:$F,MATCH($L1207,分录报销!$L:$L,0)),"")</f>
        <v/>
      </c>
      <c r="F1207" s="68" t="str">
        <f aca="false">IFERROR(INDEX(分录报销!$H:$H,MATCH($L1207,分录报销!$L:$L,0)),"")</f>
        <v/>
      </c>
      <c r="G1207" s="69" t="str">
        <f aca="false">IFERROR(INDEX(分录报销!$I:$I,MATCH($L1207,分录报销!$L:$L,0)),"")</f>
        <v/>
      </c>
      <c r="H1207" s="23"/>
      <c r="I1207" s="70"/>
      <c r="L1207" s="71" t="n">
        <f aca="false">IF(助手报销!$R$82="",-1,助手报销!$R$82*100+(助手报销!$S$82-1)*6+2)</f>
        <v>-1</v>
      </c>
    </row>
    <row r="1208" customFormat="false" ht="23.25" hidden="false" customHeight="true" outlineLevel="0" collapsed="false">
      <c r="B1208" s="67" t="str">
        <f aca="false">IFERROR(INDEX(分录报销!$M:$M,MATCH($L1208,分录报销!$L:$L,0)),"")</f>
        <v/>
      </c>
      <c r="C1208" s="67"/>
      <c r="D1208" s="23" t="str">
        <f aca="false">IFERROR(INDEX(分录报销!$E:$E,MATCH($L1208,分录报销!$L:$L,0)),"")</f>
        <v/>
      </c>
      <c r="E1208" s="23" t="str">
        <f aca="false">IFERROR(INDEX(分录报销!$F:$F,MATCH($L1208,分录报销!$L:$L,0)),"")</f>
        <v/>
      </c>
      <c r="F1208" s="68" t="str">
        <f aca="false">IFERROR(INDEX(分录报销!$H:$H,MATCH($L1208,分录报销!$L:$L,0)),"")</f>
        <v/>
      </c>
      <c r="G1208" s="69" t="str">
        <f aca="false">IFERROR(INDEX(分录报销!$I:$I,MATCH($L1208,分录报销!$L:$L,0)),"")</f>
        <v/>
      </c>
      <c r="H1208" s="23"/>
      <c r="I1208" s="70"/>
      <c r="L1208" s="71" t="n">
        <f aca="false">IF(助手报销!$R$82="",-1,助手报销!$R$82*100+(助手报销!$S$82-1)*6+3)</f>
        <v>-1</v>
      </c>
    </row>
    <row r="1209" customFormat="false" ht="23.25" hidden="false" customHeight="true" outlineLevel="0" collapsed="false">
      <c r="B1209" s="67" t="str">
        <f aca="false">IFERROR(INDEX(分录报销!$M:$M,MATCH($L1209,分录报销!$L:$L,0)),"")</f>
        <v/>
      </c>
      <c r="C1209" s="67"/>
      <c r="D1209" s="23" t="str">
        <f aca="false">IFERROR(INDEX(分录报销!$E:$E,MATCH($L1209,分录报销!$L:$L,0)),"")</f>
        <v/>
      </c>
      <c r="E1209" s="23" t="str">
        <f aca="false">IFERROR(INDEX(分录报销!$F:$F,MATCH($L1209,分录报销!$L:$L,0)),"")</f>
        <v/>
      </c>
      <c r="F1209" s="68" t="str">
        <f aca="false">IFERROR(INDEX(分录报销!$H:$H,MATCH($L1209,分录报销!$L:$L,0)),"")</f>
        <v/>
      </c>
      <c r="G1209" s="69" t="str">
        <f aca="false">IFERROR(INDEX(分录报销!$I:$I,MATCH($L1209,分录报销!$L:$L,0)),"")</f>
        <v/>
      </c>
      <c r="H1209" s="23"/>
      <c r="I1209" s="70"/>
      <c r="L1209" s="71" t="n">
        <f aca="false">IF(助手报销!$R$82="",-1,助手报销!$R$82*100+(助手报销!$S$82-1)*6+4)</f>
        <v>-1</v>
      </c>
    </row>
    <row r="1210" customFormat="false" ht="23.25" hidden="false" customHeight="true" outlineLevel="0" collapsed="false">
      <c r="B1210" s="67" t="str">
        <f aca="false">IFERROR(INDEX(分录报销!$M:$M,MATCH($L1210,分录报销!$L:$L,0)),"")</f>
        <v/>
      </c>
      <c r="C1210" s="67"/>
      <c r="D1210" s="23" t="str">
        <f aca="false">IFERROR(INDEX(分录报销!$E:$E,MATCH($L1210,分录报销!$L:$L,0)),"")</f>
        <v/>
      </c>
      <c r="E1210" s="23" t="str">
        <f aca="false">IFERROR(INDEX(分录报销!$F:$F,MATCH($L1210,分录报销!$L:$L,0)),"")</f>
        <v/>
      </c>
      <c r="F1210" s="68" t="str">
        <f aca="false">IFERROR(INDEX(分录报销!$H:$H,MATCH($L1210,分录报销!$L:$L,0)),"")</f>
        <v/>
      </c>
      <c r="G1210" s="69" t="str">
        <f aca="false">IFERROR(INDEX(分录报销!$I:$I,MATCH($L1210,分录报销!$L:$L,0)),"")</f>
        <v/>
      </c>
      <c r="H1210" s="23"/>
      <c r="I1210" s="70"/>
      <c r="L1210" s="71" t="n">
        <f aca="false">IF(助手报销!$R$82="",-1,助手报销!$R$82*100+(助手报销!$S$82-1)*6+5)</f>
        <v>-1</v>
      </c>
    </row>
    <row r="1211" customFormat="false" ht="23.25" hidden="false" customHeight="true" outlineLevel="0" collapsed="false">
      <c r="B1211" s="67" t="str">
        <f aca="false">IFERROR(INDEX(分录报销!$M:$M,MATCH($L1211,分录报销!$L:$L,0)),"")</f>
        <v/>
      </c>
      <c r="C1211" s="67"/>
      <c r="D1211" s="23" t="str">
        <f aca="false">IFERROR(INDEX(分录报销!$E:$E,MATCH($L1211,分录报销!$L:$L,0)),"")</f>
        <v/>
      </c>
      <c r="E1211" s="23" t="str">
        <f aca="false">IFERROR(INDEX(分录报销!$F:$F,MATCH($L1211,分录报销!$L:$L,0)),"")</f>
        <v/>
      </c>
      <c r="F1211" s="68" t="str">
        <f aca="false">IFERROR(INDEX(分录报销!$H:$H,MATCH($L1211,分录报销!$L:$L,0)),"")</f>
        <v/>
      </c>
      <c r="G1211" s="69" t="str">
        <f aca="false">IFERROR(INDEX(分录报销!$I:$I,MATCH($L1211,分录报销!$L:$L,0)),"")</f>
        <v/>
      </c>
      <c r="H1211" s="23"/>
      <c r="I1211" s="70"/>
      <c r="L1211" s="71" t="n">
        <f aca="false">IF(助手报销!$R$82="",-1,助手报销!$R$82*100+(助手报销!$S$82-1)*6+6)</f>
        <v>-1</v>
      </c>
    </row>
    <row r="1212" customFormat="false" ht="23.25" hidden="false" customHeight="true" outlineLevel="0" collapsed="false">
      <c r="B1212" s="72" t="str">
        <f aca="false">IF(助手报销!$T$82=1,"合计：","")</f>
        <v/>
      </c>
      <c r="C1212" s="73" t="str">
        <f aca="false">IF(助手报销!$T$82=1,$F1212,"")</f>
        <v/>
      </c>
      <c r="D1212" s="74"/>
      <c r="E1212" s="74"/>
      <c r="F1212" s="75" t="str">
        <f aca="false">IF(助手报销!$T$82=1,INDEX(助手报销!$N$2:$N$121,助手报销!$R$82),"")</f>
        <v/>
      </c>
      <c r="G1212" s="76" t="str">
        <f aca="false">IF(助手报销!$T$82=1,INDEX(助手报销!$O$2:$O$121,助手报销!$R$82),"")</f>
        <v/>
      </c>
      <c r="H1212" s="74"/>
      <c r="I1212" s="77"/>
    </row>
    <row r="1213" customFormat="false" ht="6" hidden="false" customHeight="true" outlineLevel="0" collapsed="false"/>
    <row r="1214" customFormat="false" ht="13.5" hidden="false" customHeight="false" outlineLevel="0" collapsed="false">
      <c r="B1214" s="78" t="str">
        <f aca="false">IF(助手报销!$R$82&lt;&gt;"","会计主管：","")</f>
        <v/>
      </c>
      <c r="D1214" s="78" t="str">
        <f aca="false">IF(助手报销!$R$82&lt;&gt;"","会计：","")</f>
        <v/>
      </c>
      <c r="E1214" s="78" t="str">
        <f aca="false">IF(助手报销!$R$82&lt;&gt;"","出纳：","")</f>
        <v/>
      </c>
      <c r="F1214" s="78" t="str">
        <f aca="false">IF(助手报销!$R$82&lt;&gt;"","复核：","")</f>
        <v/>
      </c>
      <c r="G1214" s="78" t="str">
        <f aca="false">IF(助手报销!$R$82&lt;&gt;"","制单：","")</f>
        <v/>
      </c>
    </row>
    <row r="1215" customFormat="false" ht="3" hidden="false" customHeight="true" outlineLevel="0" collapsed="false"/>
    <row r="1216" customFormat="false" ht="19.5" hidden="false" customHeight="true" outlineLevel="0" collapsed="false">
      <c r="B1216" s="53" t="str">
        <f aca="false">IF(助手报销!$R$83&lt;&gt;"","记  账  凭  证","")</f>
        <v/>
      </c>
      <c r="C1216" s="53"/>
      <c r="D1216" s="53"/>
      <c r="E1216" s="53"/>
      <c r="F1216" s="53"/>
      <c r="G1216" s="53"/>
      <c r="H1216" s="53"/>
      <c r="I1216" s="53"/>
    </row>
    <row r="1217" customFormat="false" ht="3" hidden="false" customHeight="true" outlineLevel="0" collapsed="false"/>
    <row r="1218" customFormat="false" ht="15" hidden="false" customHeight="true" outlineLevel="0" collapsed="false">
      <c r="C1218" s="56" t="str">
        <f aca="false">IF(助手报销!$R$83&lt;&gt;"",INDEX(助手报销!$B$2:$B$121,助手报销!$R$83),"")</f>
        <v/>
      </c>
      <c r="D1218" s="57" t="str">
        <f aca="false">IF(助手报销!$R$83&lt;&gt;"",INDEX(助手报销!$D$2:$D$121,助手报销!$R$83),"")</f>
        <v/>
      </c>
      <c r="E1218" s="57"/>
      <c r="F1218" s="58" t="str">
        <f aca="false">IF(助手报销!$R$83&lt;&gt;"",INDEX(助手报销!$C$2:$C$121,助手报销!$R$83)&amp;"  字第 "&amp;IF(参数!$B$9="是",INDEX(助手报销!$P$2:$P$121,助手报销!$R$83),"　　　　")&amp;" 号"&amp;IF(INDEX(助手报销!$L$2:$L$121,助手报销!$R$83)&gt;1,"  (共"&amp;INDEX(助手报销!$L$2:$L$121,助手报销!$R$83)&amp;"页 第"&amp;助手报销!$S$83&amp;"页)",""),"")</f>
        <v/>
      </c>
      <c r="G1218" s="58"/>
      <c r="H1218" s="58"/>
      <c r="I1218" s="58"/>
      <c r="M1218" s="79" t="str">
        <f aca="false">IF(助手报销!$R$83="","",助手报销!$Q$83)</f>
        <v/>
      </c>
      <c r="N1218" s="80" t="str">
        <f aca="false">IF(助手报销!$R$83="","",INDEX(助手报销!$P$2:$P$121,助手报销!$R$83))</f>
        <v/>
      </c>
      <c r="O1218" s="55" t="str">
        <f aca="false">IF(助手报销!$R$83="","",INDEX(助手报销!$C$2:$C$121,助手报销!$R$83)&amp;"  字第 "&amp;INDEX(助手报销!$P$2:$P$121,助手报销!$R$83)&amp;" 号"&amp;IF(INDEX(助手报销!$L$2:$L$121,助手报销!$R$83)&gt;1,"  (共"&amp;INDEX(助手报销!$L$2:$L$121,助手报销!$R$83)&amp;"页 第"&amp;助手报销!$S$83&amp;"页)",""))</f>
        <v/>
      </c>
    </row>
    <row r="1219" customFormat="false" ht="12.75" hidden="false" customHeight="true" outlineLevel="0" collapsed="false">
      <c r="B1219" s="61" t="str">
        <f aca="false">IF(助手报销!$R$83&lt;&gt;"","摘　　要","")</f>
        <v/>
      </c>
      <c r="C1219" s="61"/>
      <c r="D1219" s="62" t="str">
        <f aca="false">IF(助手报销!$R$83&lt;&gt;"","科　　　　目","")</f>
        <v/>
      </c>
      <c r="E1219" s="62"/>
      <c r="F1219" s="61" t="str">
        <f aca="false">IF(助手报销!$R$83&lt;&gt;"","借 方 金 额","")</f>
        <v/>
      </c>
      <c r="G1219" s="62" t="str">
        <f aca="false">IF(助手报销!$R$83&lt;&gt;"","贷 方 金 额","")</f>
        <v/>
      </c>
      <c r="H1219" s="63" t="str">
        <f aca="false">IF(助手报销!$R$83&lt;&gt;"","√","")</f>
        <v/>
      </c>
      <c r="I1219" s="64" t="str">
        <f aca="false">IF(助手报销!$R$83&lt;&gt;"","附单据  张","")</f>
        <v/>
      </c>
    </row>
    <row r="1220" customFormat="false" ht="12.75" hidden="false" customHeight="true" outlineLevel="0" collapsed="false">
      <c r="B1220" s="61"/>
      <c r="C1220" s="61"/>
      <c r="D1220" s="23" t="str">
        <f aca="false">IF(助手报销!$R$83&lt;&gt;"","总 账 科 目","")</f>
        <v/>
      </c>
      <c r="E1220" s="23" t="str">
        <f aca="false">IF(助手报销!$R$83&lt;&gt;"","明 细 科 目","")</f>
        <v/>
      </c>
      <c r="F1220" s="65"/>
      <c r="G1220" s="66"/>
      <c r="H1220" s="63"/>
      <c r="I1220" s="64"/>
    </row>
    <row r="1221" customFormat="false" ht="23.25" hidden="false" customHeight="true" outlineLevel="0" collapsed="false">
      <c r="B1221" s="67" t="str">
        <f aca="false">IFERROR(INDEX(分录报销!$M:$M,MATCH($L1221,分录报销!$L:$L,0)),"")</f>
        <v/>
      </c>
      <c r="C1221" s="67"/>
      <c r="D1221" s="23" t="str">
        <f aca="false">IFERROR(INDEX(分录报销!$E:$E,MATCH($L1221,分录报销!$L:$L,0)),"")</f>
        <v/>
      </c>
      <c r="E1221" s="23" t="str">
        <f aca="false">IFERROR(INDEX(分录报销!$F:$F,MATCH($L1221,分录报销!$L:$L,0)),"")</f>
        <v/>
      </c>
      <c r="F1221" s="68" t="str">
        <f aca="false">IFERROR(INDEX(分录报销!$H:$H,MATCH($L1221,分录报销!$L:$L,0)),"")</f>
        <v/>
      </c>
      <c r="G1221" s="69" t="str">
        <f aca="false">IFERROR(INDEX(分录报销!$I:$I,MATCH($L1221,分录报销!$L:$L,0)),"")</f>
        <v/>
      </c>
      <c r="H1221" s="23"/>
      <c r="I1221" s="70"/>
      <c r="L1221" s="71" t="n">
        <f aca="false">IF(助手报销!$R$83="",-1,助手报销!$R$83*100+(助手报销!$S$83-1)*6+1)</f>
        <v>-1</v>
      </c>
    </row>
    <row r="1222" customFormat="false" ht="23.25" hidden="false" customHeight="true" outlineLevel="0" collapsed="false">
      <c r="B1222" s="67" t="str">
        <f aca="false">IFERROR(INDEX(分录报销!$M:$M,MATCH($L1222,分录报销!$L:$L,0)),"")</f>
        <v/>
      </c>
      <c r="C1222" s="67"/>
      <c r="D1222" s="23" t="str">
        <f aca="false">IFERROR(INDEX(分录报销!$E:$E,MATCH($L1222,分录报销!$L:$L,0)),"")</f>
        <v/>
      </c>
      <c r="E1222" s="23" t="str">
        <f aca="false">IFERROR(INDEX(分录报销!$F:$F,MATCH($L1222,分录报销!$L:$L,0)),"")</f>
        <v/>
      </c>
      <c r="F1222" s="68" t="str">
        <f aca="false">IFERROR(INDEX(分录报销!$H:$H,MATCH($L1222,分录报销!$L:$L,0)),"")</f>
        <v/>
      </c>
      <c r="G1222" s="69" t="str">
        <f aca="false">IFERROR(INDEX(分录报销!$I:$I,MATCH($L1222,分录报销!$L:$L,0)),"")</f>
        <v/>
      </c>
      <c r="H1222" s="23"/>
      <c r="I1222" s="70"/>
      <c r="L1222" s="71" t="n">
        <f aca="false">IF(助手报销!$R$83="",-1,助手报销!$R$83*100+(助手报销!$S$83-1)*6+2)</f>
        <v>-1</v>
      </c>
    </row>
    <row r="1223" customFormat="false" ht="23.25" hidden="false" customHeight="true" outlineLevel="0" collapsed="false">
      <c r="B1223" s="67" t="str">
        <f aca="false">IFERROR(INDEX(分录报销!$M:$M,MATCH($L1223,分录报销!$L:$L,0)),"")</f>
        <v/>
      </c>
      <c r="C1223" s="67"/>
      <c r="D1223" s="23" t="str">
        <f aca="false">IFERROR(INDEX(分录报销!$E:$E,MATCH($L1223,分录报销!$L:$L,0)),"")</f>
        <v/>
      </c>
      <c r="E1223" s="23" t="str">
        <f aca="false">IFERROR(INDEX(分录报销!$F:$F,MATCH($L1223,分录报销!$L:$L,0)),"")</f>
        <v/>
      </c>
      <c r="F1223" s="68" t="str">
        <f aca="false">IFERROR(INDEX(分录报销!$H:$H,MATCH($L1223,分录报销!$L:$L,0)),"")</f>
        <v/>
      </c>
      <c r="G1223" s="69" t="str">
        <f aca="false">IFERROR(INDEX(分录报销!$I:$I,MATCH($L1223,分录报销!$L:$L,0)),"")</f>
        <v/>
      </c>
      <c r="H1223" s="23"/>
      <c r="I1223" s="70"/>
      <c r="L1223" s="71" t="n">
        <f aca="false">IF(助手报销!$R$83="",-1,助手报销!$R$83*100+(助手报销!$S$83-1)*6+3)</f>
        <v>-1</v>
      </c>
    </row>
    <row r="1224" customFormat="false" ht="23.25" hidden="false" customHeight="true" outlineLevel="0" collapsed="false">
      <c r="B1224" s="67" t="str">
        <f aca="false">IFERROR(INDEX(分录报销!$M:$M,MATCH($L1224,分录报销!$L:$L,0)),"")</f>
        <v/>
      </c>
      <c r="C1224" s="67"/>
      <c r="D1224" s="23" t="str">
        <f aca="false">IFERROR(INDEX(分录报销!$E:$E,MATCH($L1224,分录报销!$L:$L,0)),"")</f>
        <v/>
      </c>
      <c r="E1224" s="23" t="str">
        <f aca="false">IFERROR(INDEX(分录报销!$F:$F,MATCH($L1224,分录报销!$L:$L,0)),"")</f>
        <v/>
      </c>
      <c r="F1224" s="68" t="str">
        <f aca="false">IFERROR(INDEX(分录报销!$H:$H,MATCH($L1224,分录报销!$L:$L,0)),"")</f>
        <v/>
      </c>
      <c r="G1224" s="69" t="str">
        <f aca="false">IFERROR(INDEX(分录报销!$I:$I,MATCH($L1224,分录报销!$L:$L,0)),"")</f>
        <v/>
      </c>
      <c r="H1224" s="23"/>
      <c r="I1224" s="70"/>
      <c r="L1224" s="71" t="n">
        <f aca="false">IF(助手报销!$R$83="",-1,助手报销!$R$83*100+(助手报销!$S$83-1)*6+4)</f>
        <v>-1</v>
      </c>
    </row>
    <row r="1225" customFormat="false" ht="23.25" hidden="false" customHeight="true" outlineLevel="0" collapsed="false">
      <c r="B1225" s="67" t="str">
        <f aca="false">IFERROR(INDEX(分录报销!$M:$M,MATCH($L1225,分录报销!$L:$L,0)),"")</f>
        <v/>
      </c>
      <c r="C1225" s="67"/>
      <c r="D1225" s="23" t="str">
        <f aca="false">IFERROR(INDEX(分录报销!$E:$E,MATCH($L1225,分录报销!$L:$L,0)),"")</f>
        <v/>
      </c>
      <c r="E1225" s="23" t="str">
        <f aca="false">IFERROR(INDEX(分录报销!$F:$F,MATCH($L1225,分录报销!$L:$L,0)),"")</f>
        <v/>
      </c>
      <c r="F1225" s="68" t="str">
        <f aca="false">IFERROR(INDEX(分录报销!$H:$H,MATCH($L1225,分录报销!$L:$L,0)),"")</f>
        <v/>
      </c>
      <c r="G1225" s="69" t="str">
        <f aca="false">IFERROR(INDEX(分录报销!$I:$I,MATCH($L1225,分录报销!$L:$L,0)),"")</f>
        <v/>
      </c>
      <c r="H1225" s="23"/>
      <c r="I1225" s="70"/>
      <c r="L1225" s="71" t="n">
        <f aca="false">IF(助手报销!$R$83="",-1,助手报销!$R$83*100+(助手报销!$S$83-1)*6+5)</f>
        <v>-1</v>
      </c>
    </row>
    <row r="1226" customFormat="false" ht="23.25" hidden="false" customHeight="true" outlineLevel="0" collapsed="false">
      <c r="B1226" s="67" t="str">
        <f aca="false">IFERROR(INDEX(分录报销!$M:$M,MATCH($L1226,分录报销!$L:$L,0)),"")</f>
        <v/>
      </c>
      <c r="C1226" s="67"/>
      <c r="D1226" s="23" t="str">
        <f aca="false">IFERROR(INDEX(分录报销!$E:$E,MATCH($L1226,分录报销!$L:$L,0)),"")</f>
        <v/>
      </c>
      <c r="E1226" s="23" t="str">
        <f aca="false">IFERROR(INDEX(分录报销!$F:$F,MATCH($L1226,分录报销!$L:$L,0)),"")</f>
        <v/>
      </c>
      <c r="F1226" s="68" t="str">
        <f aca="false">IFERROR(INDEX(分录报销!$H:$H,MATCH($L1226,分录报销!$L:$L,0)),"")</f>
        <v/>
      </c>
      <c r="G1226" s="69" t="str">
        <f aca="false">IFERROR(INDEX(分录报销!$I:$I,MATCH($L1226,分录报销!$L:$L,0)),"")</f>
        <v/>
      </c>
      <c r="H1226" s="23"/>
      <c r="I1226" s="70"/>
      <c r="L1226" s="71" t="n">
        <f aca="false">IF(助手报销!$R$83="",-1,助手报销!$R$83*100+(助手报销!$S$83-1)*6+6)</f>
        <v>-1</v>
      </c>
    </row>
    <row r="1227" customFormat="false" ht="23.25" hidden="false" customHeight="true" outlineLevel="0" collapsed="false">
      <c r="B1227" s="72" t="str">
        <f aca="false">IF(助手报销!$T$83=1,"合计：","")</f>
        <v/>
      </c>
      <c r="C1227" s="73" t="str">
        <f aca="false">IF(助手报销!$T$83=1,$F1227,"")</f>
        <v/>
      </c>
      <c r="D1227" s="74"/>
      <c r="E1227" s="74"/>
      <c r="F1227" s="75" t="str">
        <f aca="false">IF(助手报销!$T$83=1,INDEX(助手报销!$N$2:$N$121,助手报销!$R$83),"")</f>
        <v/>
      </c>
      <c r="G1227" s="76" t="str">
        <f aca="false">IF(助手报销!$T$83=1,INDEX(助手报销!$O$2:$O$121,助手报销!$R$83),"")</f>
        <v/>
      </c>
      <c r="H1227" s="74"/>
      <c r="I1227" s="77"/>
    </row>
    <row r="1228" customFormat="false" ht="6" hidden="false" customHeight="true" outlineLevel="0" collapsed="false"/>
    <row r="1229" customFormat="false" ht="13.5" hidden="false" customHeight="false" outlineLevel="0" collapsed="false">
      <c r="B1229" s="78" t="str">
        <f aca="false">IF(助手报销!$R$83&lt;&gt;"","会计主管：","")</f>
        <v/>
      </c>
      <c r="D1229" s="78" t="str">
        <f aca="false">IF(助手报销!$R$83&lt;&gt;"","会计：","")</f>
        <v/>
      </c>
      <c r="E1229" s="78" t="str">
        <f aca="false">IF(助手报销!$R$83&lt;&gt;"","出纳：","")</f>
        <v/>
      </c>
      <c r="F1229" s="78" t="str">
        <f aca="false">IF(助手报销!$R$83&lt;&gt;"","复核：","")</f>
        <v/>
      </c>
      <c r="G1229" s="78" t="str">
        <f aca="false">IF(助手报销!$R$83&lt;&gt;"","制单：","")</f>
        <v/>
      </c>
    </row>
    <row r="1230" customFormat="false" ht="3" hidden="false" customHeight="true" outlineLevel="0" collapsed="false"/>
    <row r="1231" customFormat="false" ht="19.5" hidden="false" customHeight="true" outlineLevel="0" collapsed="false">
      <c r="B1231" s="53" t="str">
        <f aca="false">IF(助手报销!$R$84&lt;&gt;"","记  账  凭  证","")</f>
        <v/>
      </c>
      <c r="C1231" s="53"/>
      <c r="D1231" s="53"/>
      <c r="E1231" s="53"/>
      <c r="F1231" s="53"/>
      <c r="G1231" s="53"/>
      <c r="H1231" s="53"/>
      <c r="I1231" s="53"/>
    </row>
    <row r="1232" customFormat="false" ht="3" hidden="false" customHeight="true" outlineLevel="0" collapsed="false"/>
    <row r="1233" customFormat="false" ht="15" hidden="false" customHeight="true" outlineLevel="0" collapsed="false">
      <c r="C1233" s="56" t="str">
        <f aca="false">IF(助手报销!$R$84&lt;&gt;"",INDEX(助手报销!$B$2:$B$121,助手报销!$R$84),"")</f>
        <v/>
      </c>
      <c r="D1233" s="57" t="str">
        <f aca="false">IF(助手报销!$R$84&lt;&gt;"",INDEX(助手报销!$D$2:$D$121,助手报销!$R$84),"")</f>
        <v/>
      </c>
      <c r="E1233" s="57"/>
      <c r="F1233" s="58" t="str">
        <f aca="false">IF(助手报销!$R$84&lt;&gt;"",INDEX(助手报销!$C$2:$C$121,助手报销!$R$84)&amp;"  字第 "&amp;IF(参数!$B$9="是",INDEX(助手报销!$P$2:$P$121,助手报销!$R$84),"　　　　")&amp;" 号"&amp;IF(INDEX(助手报销!$L$2:$L$121,助手报销!$R$84)&gt;1,"  (共"&amp;INDEX(助手报销!$L$2:$L$121,助手报销!$R$84)&amp;"页 第"&amp;助手报销!$S$84&amp;"页)",""),"")</f>
        <v/>
      </c>
      <c r="G1233" s="58"/>
      <c r="H1233" s="58"/>
      <c r="I1233" s="58"/>
      <c r="M1233" s="79" t="str">
        <f aca="false">IF(助手报销!$R$84="","",助手报销!$Q$84)</f>
        <v/>
      </c>
      <c r="N1233" s="80" t="str">
        <f aca="false">IF(助手报销!$R$84="","",INDEX(助手报销!$P$2:$P$121,助手报销!$R$84))</f>
        <v/>
      </c>
      <c r="O1233" s="55" t="str">
        <f aca="false">IF(助手报销!$R$84="","",INDEX(助手报销!$C$2:$C$121,助手报销!$R$84)&amp;"  字第 "&amp;INDEX(助手报销!$P$2:$P$121,助手报销!$R$84)&amp;" 号"&amp;IF(INDEX(助手报销!$L$2:$L$121,助手报销!$R$84)&gt;1,"  (共"&amp;INDEX(助手报销!$L$2:$L$121,助手报销!$R$84)&amp;"页 第"&amp;助手报销!$S$84&amp;"页)",""))</f>
        <v/>
      </c>
    </row>
    <row r="1234" customFormat="false" ht="12.75" hidden="false" customHeight="true" outlineLevel="0" collapsed="false">
      <c r="B1234" s="61" t="str">
        <f aca="false">IF(助手报销!$R$84&lt;&gt;"","摘　　要","")</f>
        <v/>
      </c>
      <c r="C1234" s="61"/>
      <c r="D1234" s="62" t="str">
        <f aca="false">IF(助手报销!$R$84&lt;&gt;"","科　　　　目","")</f>
        <v/>
      </c>
      <c r="E1234" s="62"/>
      <c r="F1234" s="61" t="str">
        <f aca="false">IF(助手报销!$R$84&lt;&gt;"","借 方 金 额","")</f>
        <v/>
      </c>
      <c r="G1234" s="62" t="str">
        <f aca="false">IF(助手报销!$R$84&lt;&gt;"","贷 方 金 额","")</f>
        <v/>
      </c>
      <c r="H1234" s="63" t="str">
        <f aca="false">IF(助手报销!$R$84&lt;&gt;"","√","")</f>
        <v/>
      </c>
      <c r="I1234" s="64" t="str">
        <f aca="false">IF(助手报销!$R$84&lt;&gt;"","附单据  张","")</f>
        <v/>
      </c>
    </row>
    <row r="1235" customFormat="false" ht="12.75" hidden="false" customHeight="true" outlineLevel="0" collapsed="false">
      <c r="B1235" s="61"/>
      <c r="C1235" s="61"/>
      <c r="D1235" s="23" t="str">
        <f aca="false">IF(助手报销!$R$84&lt;&gt;"","总 账 科 目","")</f>
        <v/>
      </c>
      <c r="E1235" s="23" t="str">
        <f aca="false">IF(助手报销!$R$84&lt;&gt;"","明 细 科 目","")</f>
        <v/>
      </c>
      <c r="F1235" s="65"/>
      <c r="G1235" s="66"/>
      <c r="H1235" s="63"/>
      <c r="I1235" s="64"/>
    </row>
    <row r="1236" customFormat="false" ht="23.25" hidden="false" customHeight="true" outlineLevel="0" collapsed="false">
      <c r="B1236" s="67" t="str">
        <f aca="false">IFERROR(INDEX(分录报销!$M:$M,MATCH($L1236,分录报销!$L:$L,0)),"")</f>
        <v/>
      </c>
      <c r="C1236" s="67"/>
      <c r="D1236" s="23" t="str">
        <f aca="false">IFERROR(INDEX(分录报销!$E:$E,MATCH($L1236,分录报销!$L:$L,0)),"")</f>
        <v/>
      </c>
      <c r="E1236" s="23" t="str">
        <f aca="false">IFERROR(INDEX(分录报销!$F:$F,MATCH($L1236,分录报销!$L:$L,0)),"")</f>
        <v/>
      </c>
      <c r="F1236" s="68" t="str">
        <f aca="false">IFERROR(INDEX(分录报销!$H:$H,MATCH($L1236,分录报销!$L:$L,0)),"")</f>
        <v/>
      </c>
      <c r="G1236" s="69" t="str">
        <f aca="false">IFERROR(INDEX(分录报销!$I:$I,MATCH($L1236,分录报销!$L:$L,0)),"")</f>
        <v/>
      </c>
      <c r="H1236" s="23"/>
      <c r="I1236" s="70"/>
      <c r="L1236" s="71" t="n">
        <f aca="false">IF(助手报销!$R$84="",-1,助手报销!$R$84*100+(助手报销!$S$84-1)*6+1)</f>
        <v>-1</v>
      </c>
    </row>
    <row r="1237" customFormat="false" ht="23.25" hidden="false" customHeight="true" outlineLevel="0" collapsed="false">
      <c r="B1237" s="67" t="str">
        <f aca="false">IFERROR(INDEX(分录报销!$M:$M,MATCH($L1237,分录报销!$L:$L,0)),"")</f>
        <v/>
      </c>
      <c r="C1237" s="67"/>
      <c r="D1237" s="23" t="str">
        <f aca="false">IFERROR(INDEX(分录报销!$E:$E,MATCH($L1237,分录报销!$L:$L,0)),"")</f>
        <v/>
      </c>
      <c r="E1237" s="23" t="str">
        <f aca="false">IFERROR(INDEX(分录报销!$F:$F,MATCH($L1237,分录报销!$L:$L,0)),"")</f>
        <v/>
      </c>
      <c r="F1237" s="68" t="str">
        <f aca="false">IFERROR(INDEX(分录报销!$H:$H,MATCH($L1237,分录报销!$L:$L,0)),"")</f>
        <v/>
      </c>
      <c r="G1237" s="69" t="str">
        <f aca="false">IFERROR(INDEX(分录报销!$I:$I,MATCH($L1237,分录报销!$L:$L,0)),"")</f>
        <v/>
      </c>
      <c r="H1237" s="23"/>
      <c r="I1237" s="70"/>
      <c r="L1237" s="71" t="n">
        <f aca="false">IF(助手报销!$R$84="",-1,助手报销!$R$84*100+(助手报销!$S$84-1)*6+2)</f>
        <v>-1</v>
      </c>
    </row>
    <row r="1238" customFormat="false" ht="23.25" hidden="false" customHeight="true" outlineLevel="0" collapsed="false">
      <c r="B1238" s="67" t="str">
        <f aca="false">IFERROR(INDEX(分录报销!$M:$M,MATCH($L1238,分录报销!$L:$L,0)),"")</f>
        <v/>
      </c>
      <c r="C1238" s="67"/>
      <c r="D1238" s="23" t="str">
        <f aca="false">IFERROR(INDEX(分录报销!$E:$E,MATCH($L1238,分录报销!$L:$L,0)),"")</f>
        <v/>
      </c>
      <c r="E1238" s="23" t="str">
        <f aca="false">IFERROR(INDEX(分录报销!$F:$F,MATCH($L1238,分录报销!$L:$L,0)),"")</f>
        <v/>
      </c>
      <c r="F1238" s="68" t="str">
        <f aca="false">IFERROR(INDEX(分录报销!$H:$H,MATCH($L1238,分录报销!$L:$L,0)),"")</f>
        <v/>
      </c>
      <c r="G1238" s="69" t="str">
        <f aca="false">IFERROR(INDEX(分录报销!$I:$I,MATCH($L1238,分录报销!$L:$L,0)),"")</f>
        <v/>
      </c>
      <c r="H1238" s="23"/>
      <c r="I1238" s="70"/>
      <c r="L1238" s="71" t="n">
        <f aca="false">IF(助手报销!$R$84="",-1,助手报销!$R$84*100+(助手报销!$S$84-1)*6+3)</f>
        <v>-1</v>
      </c>
    </row>
    <row r="1239" customFormat="false" ht="23.25" hidden="false" customHeight="true" outlineLevel="0" collapsed="false">
      <c r="B1239" s="67" t="str">
        <f aca="false">IFERROR(INDEX(分录报销!$M:$M,MATCH($L1239,分录报销!$L:$L,0)),"")</f>
        <v/>
      </c>
      <c r="C1239" s="67"/>
      <c r="D1239" s="23" t="str">
        <f aca="false">IFERROR(INDEX(分录报销!$E:$E,MATCH($L1239,分录报销!$L:$L,0)),"")</f>
        <v/>
      </c>
      <c r="E1239" s="23" t="str">
        <f aca="false">IFERROR(INDEX(分录报销!$F:$F,MATCH($L1239,分录报销!$L:$L,0)),"")</f>
        <v/>
      </c>
      <c r="F1239" s="68" t="str">
        <f aca="false">IFERROR(INDEX(分录报销!$H:$H,MATCH($L1239,分录报销!$L:$L,0)),"")</f>
        <v/>
      </c>
      <c r="G1239" s="69" t="str">
        <f aca="false">IFERROR(INDEX(分录报销!$I:$I,MATCH($L1239,分录报销!$L:$L,0)),"")</f>
        <v/>
      </c>
      <c r="H1239" s="23"/>
      <c r="I1239" s="70"/>
      <c r="L1239" s="71" t="n">
        <f aca="false">IF(助手报销!$R$84="",-1,助手报销!$R$84*100+(助手报销!$S$84-1)*6+4)</f>
        <v>-1</v>
      </c>
    </row>
    <row r="1240" customFormat="false" ht="23.25" hidden="false" customHeight="true" outlineLevel="0" collapsed="false">
      <c r="B1240" s="67" t="str">
        <f aca="false">IFERROR(INDEX(分录报销!$M:$M,MATCH($L1240,分录报销!$L:$L,0)),"")</f>
        <v/>
      </c>
      <c r="C1240" s="67"/>
      <c r="D1240" s="23" t="str">
        <f aca="false">IFERROR(INDEX(分录报销!$E:$E,MATCH($L1240,分录报销!$L:$L,0)),"")</f>
        <v/>
      </c>
      <c r="E1240" s="23" t="str">
        <f aca="false">IFERROR(INDEX(分录报销!$F:$F,MATCH($L1240,分录报销!$L:$L,0)),"")</f>
        <v/>
      </c>
      <c r="F1240" s="68" t="str">
        <f aca="false">IFERROR(INDEX(分录报销!$H:$H,MATCH($L1240,分录报销!$L:$L,0)),"")</f>
        <v/>
      </c>
      <c r="G1240" s="69" t="str">
        <f aca="false">IFERROR(INDEX(分录报销!$I:$I,MATCH($L1240,分录报销!$L:$L,0)),"")</f>
        <v/>
      </c>
      <c r="H1240" s="23"/>
      <c r="I1240" s="70"/>
      <c r="L1240" s="71" t="n">
        <f aca="false">IF(助手报销!$R$84="",-1,助手报销!$R$84*100+(助手报销!$S$84-1)*6+5)</f>
        <v>-1</v>
      </c>
    </row>
    <row r="1241" customFormat="false" ht="23.25" hidden="false" customHeight="true" outlineLevel="0" collapsed="false">
      <c r="B1241" s="67" t="str">
        <f aca="false">IFERROR(INDEX(分录报销!$M:$M,MATCH($L1241,分录报销!$L:$L,0)),"")</f>
        <v/>
      </c>
      <c r="C1241" s="67"/>
      <c r="D1241" s="23" t="str">
        <f aca="false">IFERROR(INDEX(分录报销!$E:$E,MATCH($L1241,分录报销!$L:$L,0)),"")</f>
        <v/>
      </c>
      <c r="E1241" s="23" t="str">
        <f aca="false">IFERROR(INDEX(分录报销!$F:$F,MATCH($L1241,分录报销!$L:$L,0)),"")</f>
        <v/>
      </c>
      <c r="F1241" s="68" t="str">
        <f aca="false">IFERROR(INDEX(分录报销!$H:$H,MATCH($L1241,分录报销!$L:$L,0)),"")</f>
        <v/>
      </c>
      <c r="G1241" s="69" t="str">
        <f aca="false">IFERROR(INDEX(分录报销!$I:$I,MATCH($L1241,分录报销!$L:$L,0)),"")</f>
        <v/>
      </c>
      <c r="H1241" s="23"/>
      <c r="I1241" s="70"/>
      <c r="L1241" s="71" t="n">
        <f aca="false">IF(助手报销!$R$84="",-1,助手报销!$R$84*100+(助手报销!$S$84-1)*6+6)</f>
        <v>-1</v>
      </c>
    </row>
    <row r="1242" customFormat="false" ht="23.25" hidden="false" customHeight="true" outlineLevel="0" collapsed="false">
      <c r="B1242" s="72" t="str">
        <f aca="false">IF(助手报销!$T$84=1,"合计：","")</f>
        <v/>
      </c>
      <c r="C1242" s="73" t="str">
        <f aca="false">IF(助手报销!$T$84=1,$F1242,"")</f>
        <v/>
      </c>
      <c r="D1242" s="74"/>
      <c r="E1242" s="74"/>
      <c r="F1242" s="75" t="str">
        <f aca="false">IF(助手报销!$T$84=1,INDEX(助手报销!$N$2:$N$121,助手报销!$R$84),"")</f>
        <v/>
      </c>
      <c r="G1242" s="76" t="str">
        <f aca="false">IF(助手报销!$T$84=1,INDEX(助手报销!$O$2:$O$121,助手报销!$R$84),"")</f>
        <v/>
      </c>
      <c r="H1242" s="74"/>
      <c r="I1242" s="77"/>
    </row>
    <row r="1243" customFormat="false" ht="6" hidden="false" customHeight="true" outlineLevel="0" collapsed="false"/>
    <row r="1244" customFormat="false" ht="13.5" hidden="false" customHeight="false" outlineLevel="0" collapsed="false">
      <c r="B1244" s="78" t="str">
        <f aca="false">IF(助手报销!$R$84&lt;&gt;"","会计主管：","")</f>
        <v/>
      </c>
      <c r="D1244" s="78" t="str">
        <f aca="false">IF(助手报销!$R$84&lt;&gt;"","会计：","")</f>
        <v/>
      </c>
      <c r="E1244" s="78" t="str">
        <f aca="false">IF(助手报销!$R$84&lt;&gt;"","出纳：","")</f>
        <v/>
      </c>
      <c r="F1244" s="78" t="str">
        <f aca="false">IF(助手报销!$R$84&lt;&gt;"","复核：","")</f>
        <v/>
      </c>
      <c r="G1244" s="78" t="str">
        <f aca="false">IF(助手报销!$R$84&lt;&gt;"","制单：","")</f>
        <v/>
      </c>
    </row>
    <row r="1245" customFormat="false" ht="3" hidden="false" customHeight="true" outlineLevel="0" collapsed="false"/>
    <row r="1246" customFormat="false" ht="19.5" hidden="false" customHeight="true" outlineLevel="0" collapsed="false">
      <c r="B1246" s="53" t="str">
        <f aca="false">IF(助手报销!$R$85&lt;&gt;"","记  账  凭  证","")</f>
        <v/>
      </c>
      <c r="C1246" s="53"/>
      <c r="D1246" s="53"/>
      <c r="E1246" s="53"/>
      <c r="F1246" s="53"/>
      <c r="G1246" s="53"/>
      <c r="H1246" s="53"/>
      <c r="I1246" s="53"/>
    </row>
    <row r="1247" customFormat="false" ht="3" hidden="false" customHeight="true" outlineLevel="0" collapsed="false"/>
    <row r="1248" customFormat="false" ht="15" hidden="false" customHeight="true" outlineLevel="0" collapsed="false">
      <c r="C1248" s="56" t="str">
        <f aca="false">IF(助手报销!$R$85&lt;&gt;"",INDEX(助手报销!$B$2:$B$121,助手报销!$R$85),"")</f>
        <v/>
      </c>
      <c r="D1248" s="57" t="str">
        <f aca="false">IF(助手报销!$R$85&lt;&gt;"",INDEX(助手报销!$D$2:$D$121,助手报销!$R$85),"")</f>
        <v/>
      </c>
      <c r="E1248" s="57"/>
      <c r="F1248" s="58" t="str">
        <f aca="false">IF(助手报销!$R$85&lt;&gt;"",INDEX(助手报销!$C$2:$C$121,助手报销!$R$85)&amp;"  字第 "&amp;IF(参数!$B$9="是",INDEX(助手报销!$P$2:$P$121,助手报销!$R$85),"　　　　")&amp;" 号"&amp;IF(INDEX(助手报销!$L$2:$L$121,助手报销!$R$85)&gt;1,"  (共"&amp;INDEX(助手报销!$L$2:$L$121,助手报销!$R$85)&amp;"页 第"&amp;助手报销!$S$85&amp;"页)",""),"")</f>
        <v/>
      </c>
      <c r="G1248" s="58"/>
      <c r="H1248" s="58"/>
      <c r="I1248" s="58"/>
      <c r="M1248" s="79" t="str">
        <f aca="false">IF(助手报销!$R$85="","",助手报销!$Q$85)</f>
        <v/>
      </c>
      <c r="N1248" s="80" t="str">
        <f aca="false">IF(助手报销!$R$85="","",INDEX(助手报销!$P$2:$P$121,助手报销!$R$85))</f>
        <v/>
      </c>
      <c r="O1248" s="55" t="str">
        <f aca="false">IF(助手报销!$R$85="","",INDEX(助手报销!$C$2:$C$121,助手报销!$R$85)&amp;"  字第 "&amp;INDEX(助手报销!$P$2:$P$121,助手报销!$R$85)&amp;" 号"&amp;IF(INDEX(助手报销!$L$2:$L$121,助手报销!$R$85)&gt;1,"  (共"&amp;INDEX(助手报销!$L$2:$L$121,助手报销!$R$85)&amp;"页 第"&amp;助手报销!$S$85&amp;"页)",""))</f>
        <v/>
      </c>
    </row>
    <row r="1249" customFormat="false" ht="12.75" hidden="false" customHeight="true" outlineLevel="0" collapsed="false">
      <c r="B1249" s="61" t="str">
        <f aca="false">IF(助手报销!$R$85&lt;&gt;"","摘　　要","")</f>
        <v/>
      </c>
      <c r="C1249" s="61"/>
      <c r="D1249" s="62" t="str">
        <f aca="false">IF(助手报销!$R$85&lt;&gt;"","科　　　　目","")</f>
        <v/>
      </c>
      <c r="E1249" s="62"/>
      <c r="F1249" s="61" t="str">
        <f aca="false">IF(助手报销!$R$85&lt;&gt;"","借 方 金 额","")</f>
        <v/>
      </c>
      <c r="G1249" s="62" t="str">
        <f aca="false">IF(助手报销!$R$85&lt;&gt;"","贷 方 金 额","")</f>
        <v/>
      </c>
      <c r="H1249" s="63" t="str">
        <f aca="false">IF(助手报销!$R$85&lt;&gt;"","√","")</f>
        <v/>
      </c>
      <c r="I1249" s="64" t="str">
        <f aca="false">IF(助手报销!$R$85&lt;&gt;"","附单据  张","")</f>
        <v/>
      </c>
    </row>
    <row r="1250" customFormat="false" ht="12.75" hidden="false" customHeight="true" outlineLevel="0" collapsed="false">
      <c r="B1250" s="61"/>
      <c r="C1250" s="61"/>
      <c r="D1250" s="23" t="str">
        <f aca="false">IF(助手报销!$R$85&lt;&gt;"","总 账 科 目","")</f>
        <v/>
      </c>
      <c r="E1250" s="23" t="str">
        <f aca="false">IF(助手报销!$R$85&lt;&gt;"","明 细 科 目","")</f>
        <v/>
      </c>
      <c r="F1250" s="65"/>
      <c r="G1250" s="66"/>
      <c r="H1250" s="63"/>
      <c r="I1250" s="64"/>
    </row>
    <row r="1251" customFormat="false" ht="23.25" hidden="false" customHeight="true" outlineLevel="0" collapsed="false">
      <c r="B1251" s="67" t="str">
        <f aca="false">IFERROR(INDEX(分录报销!$M:$M,MATCH($L1251,分录报销!$L:$L,0)),"")</f>
        <v/>
      </c>
      <c r="C1251" s="67"/>
      <c r="D1251" s="23" t="str">
        <f aca="false">IFERROR(INDEX(分录报销!$E:$E,MATCH($L1251,分录报销!$L:$L,0)),"")</f>
        <v/>
      </c>
      <c r="E1251" s="23" t="str">
        <f aca="false">IFERROR(INDEX(分录报销!$F:$F,MATCH($L1251,分录报销!$L:$L,0)),"")</f>
        <v/>
      </c>
      <c r="F1251" s="68" t="str">
        <f aca="false">IFERROR(INDEX(分录报销!$H:$H,MATCH($L1251,分录报销!$L:$L,0)),"")</f>
        <v/>
      </c>
      <c r="G1251" s="69" t="str">
        <f aca="false">IFERROR(INDEX(分录报销!$I:$I,MATCH($L1251,分录报销!$L:$L,0)),"")</f>
        <v/>
      </c>
      <c r="H1251" s="23"/>
      <c r="I1251" s="70"/>
      <c r="L1251" s="71" t="n">
        <f aca="false">IF(助手报销!$R$85="",-1,助手报销!$R$85*100+(助手报销!$S$85-1)*6+1)</f>
        <v>-1</v>
      </c>
    </row>
    <row r="1252" customFormat="false" ht="23.25" hidden="false" customHeight="true" outlineLevel="0" collapsed="false">
      <c r="B1252" s="67" t="str">
        <f aca="false">IFERROR(INDEX(分录报销!$M:$M,MATCH($L1252,分录报销!$L:$L,0)),"")</f>
        <v/>
      </c>
      <c r="C1252" s="67"/>
      <c r="D1252" s="23" t="str">
        <f aca="false">IFERROR(INDEX(分录报销!$E:$E,MATCH($L1252,分录报销!$L:$L,0)),"")</f>
        <v/>
      </c>
      <c r="E1252" s="23" t="str">
        <f aca="false">IFERROR(INDEX(分录报销!$F:$F,MATCH($L1252,分录报销!$L:$L,0)),"")</f>
        <v/>
      </c>
      <c r="F1252" s="68" t="str">
        <f aca="false">IFERROR(INDEX(分录报销!$H:$H,MATCH($L1252,分录报销!$L:$L,0)),"")</f>
        <v/>
      </c>
      <c r="G1252" s="69" t="str">
        <f aca="false">IFERROR(INDEX(分录报销!$I:$I,MATCH($L1252,分录报销!$L:$L,0)),"")</f>
        <v/>
      </c>
      <c r="H1252" s="23"/>
      <c r="I1252" s="70"/>
      <c r="L1252" s="71" t="n">
        <f aca="false">IF(助手报销!$R$85="",-1,助手报销!$R$85*100+(助手报销!$S$85-1)*6+2)</f>
        <v>-1</v>
      </c>
    </row>
    <row r="1253" customFormat="false" ht="23.25" hidden="false" customHeight="true" outlineLevel="0" collapsed="false">
      <c r="B1253" s="67" t="str">
        <f aca="false">IFERROR(INDEX(分录报销!$M:$M,MATCH($L1253,分录报销!$L:$L,0)),"")</f>
        <v/>
      </c>
      <c r="C1253" s="67"/>
      <c r="D1253" s="23" t="str">
        <f aca="false">IFERROR(INDEX(分录报销!$E:$E,MATCH($L1253,分录报销!$L:$L,0)),"")</f>
        <v/>
      </c>
      <c r="E1253" s="23" t="str">
        <f aca="false">IFERROR(INDEX(分录报销!$F:$F,MATCH($L1253,分录报销!$L:$L,0)),"")</f>
        <v/>
      </c>
      <c r="F1253" s="68" t="str">
        <f aca="false">IFERROR(INDEX(分录报销!$H:$H,MATCH($L1253,分录报销!$L:$L,0)),"")</f>
        <v/>
      </c>
      <c r="G1253" s="69" t="str">
        <f aca="false">IFERROR(INDEX(分录报销!$I:$I,MATCH($L1253,分录报销!$L:$L,0)),"")</f>
        <v/>
      </c>
      <c r="H1253" s="23"/>
      <c r="I1253" s="70"/>
      <c r="L1253" s="71" t="n">
        <f aca="false">IF(助手报销!$R$85="",-1,助手报销!$R$85*100+(助手报销!$S$85-1)*6+3)</f>
        <v>-1</v>
      </c>
    </row>
    <row r="1254" customFormat="false" ht="23.25" hidden="false" customHeight="true" outlineLevel="0" collapsed="false">
      <c r="B1254" s="67" t="str">
        <f aca="false">IFERROR(INDEX(分录报销!$M:$M,MATCH($L1254,分录报销!$L:$L,0)),"")</f>
        <v/>
      </c>
      <c r="C1254" s="67"/>
      <c r="D1254" s="23" t="str">
        <f aca="false">IFERROR(INDEX(分录报销!$E:$E,MATCH($L1254,分录报销!$L:$L,0)),"")</f>
        <v/>
      </c>
      <c r="E1254" s="23" t="str">
        <f aca="false">IFERROR(INDEX(分录报销!$F:$F,MATCH($L1254,分录报销!$L:$L,0)),"")</f>
        <v/>
      </c>
      <c r="F1254" s="68" t="str">
        <f aca="false">IFERROR(INDEX(分录报销!$H:$H,MATCH($L1254,分录报销!$L:$L,0)),"")</f>
        <v/>
      </c>
      <c r="G1254" s="69" t="str">
        <f aca="false">IFERROR(INDEX(分录报销!$I:$I,MATCH($L1254,分录报销!$L:$L,0)),"")</f>
        <v/>
      </c>
      <c r="H1254" s="23"/>
      <c r="I1254" s="70"/>
      <c r="L1254" s="71" t="n">
        <f aca="false">IF(助手报销!$R$85="",-1,助手报销!$R$85*100+(助手报销!$S$85-1)*6+4)</f>
        <v>-1</v>
      </c>
    </row>
    <row r="1255" customFormat="false" ht="23.25" hidden="false" customHeight="true" outlineLevel="0" collapsed="false">
      <c r="B1255" s="67" t="str">
        <f aca="false">IFERROR(INDEX(分录报销!$M:$M,MATCH($L1255,分录报销!$L:$L,0)),"")</f>
        <v/>
      </c>
      <c r="C1255" s="67"/>
      <c r="D1255" s="23" t="str">
        <f aca="false">IFERROR(INDEX(分录报销!$E:$E,MATCH($L1255,分录报销!$L:$L,0)),"")</f>
        <v/>
      </c>
      <c r="E1255" s="23" t="str">
        <f aca="false">IFERROR(INDEX(分录报销!$F:$F,MATCH($L1255,分录报销!$L:$L,0)),"")</f>
        <v/>
      </c>
      <c r="F1255" s="68" t="str">
        <f aca="false">IFERROR(INDEX(分录报销!$H:$H,MATCH($L1255,分录报销!$L:$L,0)),"")</f>
        <v/>
      </c>
      <c r="G1255" s="69" t="str">
        <f aca="false">IFERROR(INDEX(分录报销!$I:$I,MATCH($L1255,分录报销!$L:$L,0)),"")</f>
        <v/>
      </c>
      <c r="H1255" s="23"/>
      <c r="I1255" s="70"/>
      <c r="L1255" s="71" t="n">
        <f aca="false">IF(助手报销!$R$85="",-1,助手报销!$R$85*100+(助手报销!$S$85-1)*6+5)</f>
        <v>-1</v>
      </c>
    </row>
    <row r="1256" customFormat="false" ht="23.25" hidden="false" customHeight="true" outlineLevel="0" collapsed="false">
      <c r="B1256" s="67" t="str">
        <f aca="false">IFERROR(INDEX(分录报销!$M:$M,MATCH($L1256,分录报销!$L:$L,0)),"")</f>
        <v/>
      </c>
      <c r="C1256" s="67"/>
      <c r="D1256" s="23" t="str">
        <f aca="false">IFERROR(INDEX(分录报销!$E:$E,MATCH($L1256,分录报销!$L:$L,0)),"")</f>
        <v/>
      </c>
      <c r="E1256" s="23" t="str">
        <f aca="false">IFERROR(INDEX(分录报销!$F:$F,MATCH($L1256,分录报销!$L:$L,0)),"")</f>
        <v/>
      </c>
      <c r="F1256" s="68" t="str">
        <f aca="false">IFERROR(INDEX(分录报销!$H:$H,MATCH($L1256,分录报销!$L:$L,0)),"")</f>
        <v/>
      </c>
      <c r="G1256" s="69" t="str">
        <f aca="false">IFERROR(INDEX(分录报销!$I:$I,MATCH($L1256,分录报销!$L:$L,0)),"")</f>
        <v/>
      </c>
      <c r="H1256" s="23"/>
      <c r="I1256" s="70"/>
      <c r="L1256" s="71" t="n">
        <f aca="false">IF(助手报销!$R$85="",-1,助手报销!$R$85*100+(助手报销!$S$85-1)*6+6)</f>
        <v>-1</v>
      </c>
    </row>
    <row r="1257" customFormat="false" ht="23.25" hidden="false" customHeight="true" outlineLevel="0" collapsed="false">
      <c r="B1257" s="72" t="str">
        <f aca="false">IF(助手报销!$T$85=1,"合计：","")</f>
        <v/>
      </c>
      <c r="C1257" s="73" t="str">
        <f aca="false">IF(助手报销!$T$85=1,$F1257,"")</f>
        <v/>
      </c>
      <c r="D1257" s="74"/>
      <c r="E1257" s="74"/>
      <c r="F1257" s="75" t="str">
        <f aca="false">IF(助手报销!$T$85=1,INDEX(助手报销!$N$2:$N$121,助手报销!$R$85),"")</f>
        <v/>
      </c>
      <c r="G1257" s="76" t="str">
        <f aca="false">IF(助手报销!$T$85=1,INDEX(助手报销!$O$2:$O$121,助手报销!$R$85),"")</f>
        <v/>
      </c>
      <c r="H1257" s="74"/>
      <c r="I1257" s="77"/>
    </row>
    <row r="1258" customFormat="false" ht="6" hidden="false" customHeight="true" outlineLevel="0" collapsed="false"/>
    <row r="1259" customFormat="false" ht="13.5" hidden="false" customHeight="false" outlineLevel="0" collapsed="false">
      <c r="B1259" s="78" t="str">
        <f aca="false">IF(助手报销!$R$85&lt;&gt;"","会计主管：","")</f>
        <v/>
      </c>
      <c r="D1259" s="78" t="str">
        <f aca="false">IF(助手报销!$R$85&lt;&gt;"","会计：","")</f>
        <v/>
      </c>
      <c r="E1259" s="78" t="str">
        <f aca="false">IF(助手报销!$R$85&lt;&gt;"","出纳：","")</f>
        <v/>
      </c>
      <c r="F1259" s="78" t="str">
        <f aca="false">IF(助手报销!$R$85&lt;&gt;"","复核：","")</f>
        <v/>
      </c>
      <c r="G1259" s="78" t="str">
        <f aca="false">IF(助手报销!$R$85&lt;&gt;"","制单：","")</f>
        <v/>
      </c>
    </row>
    <row r="1260" customFormat="false" ht="3" hidden="false" customHeight="true" outlineLevel="0" collapsed="false"/>
    <row r="1261" customFormat="false" ht="19.5" hidden="false" customHeight="true" outlineLevel="0" collapsed="false">
      <c r="B1261" s="53" t="str">
        <f aca="false">IF(助手报销!$R$86&lt;&gt;"","记  账  凭  证","")</f>
        <v/>
      </c>
      <c r="C1261" s="53"/>
      <c r="D1261" s="53"/>
      <c r="E1261" s="53"/>
      <c r="F1261" s="53"/>
      <c r="G1261" s="53"/>
      <c r="H1261" s="53"/>
      <c r="I1261" s="53"/>
    </row>
    <row r="1262" customFormat="false" ht="3" hidden="false" customHeight="true" outlineLevel="0" collapsed="false"/>
    <row r="1263" customFormat="false" ht="15" hidden="false" customHeight="true" outlineLevel="0" collapsed="false">
      <c r="C1263" s="56" t="str">
        <f aca="false">IF(助手报销!$R$86&lt;&gt;"",INDEX(助手报销!$B$2:$B$121,助手报销!$R$86),"")</f>
        <v/>
      </c>
      <c r="D1263" s="57" t="str">
        <f aca="false">IF(助手报销!$R$86&lt;&gt;"",INDEX(助手报销!$D$2:$D$121,助手报销!$R$86),"")</f>
        <v/>
      </c>
      <c r="E1263" s="57"/>
      <c r="F1263" s="58" t="str">
        <f aca="false">IF(助手报销!$R$86&lt;&gt;"",INDEX(助手报销!$C$2:$C$121,助手报销!$R$86)&amp;"  字第 "&amp;IF(参数!$B$9="是",INDEX(助手报销!$P$2:$P$121,助手报销!$R$86),"　　　　")&amp;" 号"&amp;IF(INDEX(助手报销!$L$2:$L$121,助手报销!$R$86)&gt;1,"  (共"&amp;INDEX(助手报销!$L$2:$L$121,助手报销!$R$86)&amp;"页 第"&amp;助手报销!$S$86&amp;"页)",""),"")</f>
        <v/>
      </c>
      <c r="G1263" s="58"/>
      <c r="H1263" s="58"/>
      <c r="I1263" s="58"/>
      <c r="M1263" s="79" t="str">
        <f aca="false">IF(助手报销!$R$86="","",助手报销!$Q$86)</f>
        <v/>
      </c>
      <c r="N1263" s="80" t="str">
        <f aca="false">IF(助手报销!$R$86="","",INDEX(助手报销!$P$2:$P$121,助手报销!$R$86))</f>
        <v/>
      </c>
      <c r="O1263" s="55" t="str">
        <f aca="false">IF(助手报销!$R$86="","",INDEX(助手报销!$C$2:$C$121,助手报销!$R$86)&amp;"  字第 "&amp;INDEX(助手报销!$P$2:$P$121,助手报销!$R$86)&amp;" 号"&amp;IF(INDEX(助手报销!$L$2:$L$121,助手报销!$R$86)&gt;1,"  (共"&amp;INDEX(助手报销!$L$2:$L$121,助手报销!$R$86)&amp;"页 第"&amp;助手报销!$S$86&amp;"页)",""))</f>
        <v/>
      </c>
    </row>
    <row r="1264" customFormat="false" ht="12.75" hidden="false" customHeight="true" outlineLevel="0" collapsed="false">
      <c r="B1264" s="61" t="str">
        <f aca="false">IF(助手报销!$R$86&lt;&gt;"","摘　　要","")</f>
        <v/>
      </c>
      <c r="C1264" s="61"/>
      <c r="D1264" s="62" t="str">
        <f aca="false">IF(助手报销!$R$86&lt;&gt;"","科　　　　目","")</f>
        <v/>
      </c>
      <c r="E1264" s="62"/>
      <c r="F1264" s="61" t="str">
        <f aca="false">IF(助手报销!$R$86&lt;&gt;"","借 方 金 额","")</f>
        <v/>
      </c>
      <c r="G1264" s="62" t="str">
        <f aca="false">IF(助手报销!$R$86&lt;&gt;"","贷 方 金 额","")</f>
        <v/>
      </c>
      <c r="H1264" s="63" t="str">
        <f aca="false">IF(助手报销!$R$86&lt;&gt;"","√","")</f>
        <v/>
      </c>
      <c r="I1264" s="64" t="str">
        <f aca="false">IF(助手报销!$R$86&lt;&gt;"","附单据  张","")</f>
        <v/>
      </c>
    </row>
    <row r="1265" customFormat="false" ht="12.75" hidden="false" customHeight="true" outlineLevel="0" collapsed="false">
      <c r="B1265" s="61"/>
      <c r="C1265" s="61"/>
      <c r="D1265" s="23" t="str">
        <f aca="false">IF(助手报销!$R$86&lt;&gt;"","总 账 科 目","")</f>
        <v/>
      </c>
      <c r="E1265" s="23" t="str">
        <f aca="false">IF(助手报销!$R$86&lt;&gt;"","明 细 科 目","")</f>
        <v/>
      </c>
      <c r="F1265" s="65"/>
      <c r="G1265" s="66"/>
      <c r="H1265" s="63"/>
      <c r="I1265" s="64"/>
    </row>
    <row r="1266" customFormat="false" ht="23.25" hidden="false" customHeight="true" outlineLevel="0" collapsed="false">
      <c r="B1266" s="67" t="str">
        <f aca="false">IFERROR(INDEX(分录报销!$M:$M,MATCH($L1266,分录报销!$L:$L,0)),"")</f>
        <v/>
      </c>
      <c r="C1266" s="67"/>
      <c r="D1266" s="23" t="str">
        <f aca="false">IFERROR(INDEX(分录报销!$E:$E,MATCH($L1266,分录报销!$L:$L,0)),"")</f>
        <v/>
      </c>
      <c r="E1266" s="23" t="str">
        <f aca="false">IFERROR(INDEX(分录报销!$F:$F,MATCH($L1266,分录报销!$L:$L,0)),"")</f>
        <v/>
      </c>
      <c r="F1266" s="68" t="str">
        <f aca="false">IFERROR(INDEX(分录报销!$H:$H,MATCH($L1266,分录报销!$L:$L,0)),"")</f>
        <v/>
      </c>
      <c r="G1266" s="69" t="str">
        <f aca="false">IFERROR(INDEX(分录报销!$I:$I,MATCH($L1266,分录报销!$L:$L,0)),"")</f>
        <v/>
      </c>
      <c r="H1266" s="23"/>
      <c r="I1266" s="70"/>
      <c r="L1266" s="71" t="n">
        <f aca="false">IF(助手报销!$R$86="",-1,助手报销!$R$86*100+(助手报销!$S$86-1)*6+1)</f>
        <v>-1</v>
      </c>
    </row>
    <row r="1267" customFormat="false" ht="23.25" hidden="false" customHeight="true" outlineLevel="0" collapsed="false">
      <c r="B1267" s="67" t="str">
        <f aca="false">IFERROR(INDEX(分录报销!$M:$M,MATCH($L1267,分录报销!$L:$L,0)),"")</f>
        <v/>
      </c>
      <c r="C1267" s="67"/>
      <c r="D1267" s="23" t="str">
        <f aca="false">IFERROR(INDEX(分录报销!$E:$E,MATCH($L1267,分录报销!$L:$L,0)),"")</f>
        <v/>
      </c>
      <c r="E1267" s="23" t="str">
        <f aca="false">IFERROR(INDEX(分录报销!$F:$F,MATCH($L1267,分录报销!$L:$L,0)),"")</f>
        <v/>
      </c>
      <c r="F1267" s="68" t="str">
        <f aca="false">IFERROR(INDEX(分录报销!$H:$H,MATCH($L1267,分录报销!$L:$L,0)),"")</f>
        <v/>
      </c>
      <c r="G1267" s="69" t="str">
        <f aca="false">IFERROR(INDEX(分录报销!$I:$I,MATCH($L1267,分录报销!$L:$L,0)),"")</f>
        <v/>
      </c>
      <c r="H1267" s="23"/>
      <c r="I1267" s="70"/>
      <c r="L1267" s="71" t="n">
        <f aca="false">IF(助手报销!$R$86="",-1,助手报销!$R$86*100+(助手报销!$S$86-1)*6+2)</f>
        <v>-1</v>
      </c>
    </row>
    <row r="1268" customFormat="false" ht="23.25" hidden="false" customHeight="true" outlineLevel="0" collapsed="false">
      <c r="B1268" s="67" t="str">
        <f aca="false">IFERROR(INDEX(分录报销!$M:$M,MATCH($L1268,分录报销!$L:$L,0)),"")</f>
        <v/>
      </c>
      <c r="C1268" s="67"/>
      <c r="D1268" s="23" t="str">
        <f aca="false">IFERROR(INDEX(分录报销!$E:$E,MATCH($L1268,分录报销!$L:$L,0)),"")</f>
        <v/>
      </c>
      <c r="E1268" s="23" t="str">
        <f aca="false">IFERROR(INDEX(分录报销!$F:$F,MATCH($L1268,分录报销!$L:$L,0)),"")</f>
        <v/>
      </c>
      <c r="F1268" s="68" t="str">
        <f aca="false">IFERROR(INDEX(分录报销!$H:$H,MATCH($L1268,分录报销!$L:$L,0)),"")</f>
        <v/>
      </c>
      <c r="G1268" s="69" t="str">
        <f aca="false">IFERROR(INDEX(分录报销!$I:$I,MATCH($L1268,分录报销!$L:$L,0)),"")</f>
        <v/>
      </c>
      <c r="H1268" s="23"/>
      <c r="I1268" s="70"/>
      <c r="L1268" s="71" t="n">
        <f aca="false">IF(助手报销!$R$86="",-1,助手报销!$R$86*100+(助手报销!$S$86-1)*6+3)</f>
        <v>-1</v>
      </c>
    </row>
    <row r="1269" customFormat="false" ht="23.25" hidden="false" customHeight="true" outlineLevel="0" collapsed="false">
      <c r="B1269" s="67" t="str">
        <f aca="false">IFERROR(INDEX(分录报销!$M:$M,MATCH($L1269,分录报销!$L:$L,0)),"")</f>
        <v/>
      </c>
      <c r="C1269" s="67"/>
      <c r="D1269" s="23" t="str">
        <f aca="false">IFERROR(INDEX(分录报销!$E:$E,MATCH($L1269,分录报销!$L:$L,0)),"")</f>
        <v/>
      </c>
      <c r="E1269" s="23" t="str">
        <f aca="false">IFERROR(INDEX(分录报销!$F:$F,MATCH($L1269,分录报销!$L:$L,0)),"")</f>
        <v/>
      </c>
      <c r="F1269" s="68" t="str">
        <f aca="false">IFERROR(INDEX(分录报销!$H:$H,MATCH($L1269,分录报销!$L:$L,0)),"")</f>
        <v/>
      </c>
      <c r="G1269" s="69" t="str">
        <f aca="false">IFERROR(INDEX(分录报销!$I:$I,MATCH($L1269,分录报销!$L:$L,0)),"")</f>
        <v/>
      </c>
      <c r="H1269" s="23"/>
      <c r="I1269" s="70"/>
      <c r="L1269" s="71" t="n">
        <f aca="false">IF(助手报销!$R$86="",-1,助手报销!$R$86*100+(助手报销!$S$86-1)*6+4)</f>
        <v>-1</v>
      </c>
    </row>
    <row r="1270" customFormat="false" ht="23.25" hidden="false" customHeight="true" outlineLevel="0" collapsed="false">
      <c r="B1270" s="67" t="str">
        <f aca="false">IFERROR(INDEX(分录报销!$M:$M,MATCH($L1270,分录报销!$L:$L,0)),"")</f>
        <v/>
      </c>
      <c r="C1270" s="67"/>
      <c r="D1270" s="23" t="str">
        <f aca="false">IFERROR(INDEX(分录报销!$E:$E,MATCH($L1270,分录报销!$L:$L,0)),"")</f>
        <v/>
      </c>
      <c r="E1270" s="23" t="str">
        <f aca="false">IFERROR(INDEX(分录报销!$F:$F,MATCH($L1270,分录报销!$L:$L,0)),"")</f>
        <v/>
      </c>
      <c r="F1270" s="68" t="str">
        <f aca="false">IFERROR(INDEX(分录报销!$H:$H,MATCH($L1270,分录报销!$L:$L,0)),"")</f>
        <v/>
      </c>
      <c r="G1270" s="69" t="str">
        <f aca="false">IFERROR(INDEX(分录报销!$I:$I,MATCH($L1270,分录报销!$L:$L,0)),"")</f>
        <v/>
      </c>
      <c r="H1270" s="23"/>
      <c r="I1270" s="70"/>
      <c r="L1270" s="71" t="n">
        <f aca="false">IF(助手报销!$R$86="",-1,助手报销!$R$86*100+(助手报销!$S$86-1)*6+5)</f>
        <v>-1</v>
      </c>
    </row>
    <row r="1271" customFormat="false" ht="23.25" hidden="false" customHeight="true" outlineLevel="0" collapsed="false">
      <c r="B1271" s="67" t="str">
        <f aca="false">IFERROR(INDEX(分录报销!$M:$M,MATCH($L1271,分录报销!$L:$L,0)),"")</f>
        <v/>
      </c>
      <c r="C1271" s="67"/>
      <c r="D1271" s="23" t="str">
        <f aca="false">IFERROR(INDEX(分录报销!$E:$E,MATCH($L1271,分录报销!$L:$L,0)),"")</f>
        <v/>
      </c>
      <c r="E1271" s="23" t="str">
        <f aca="false">IFERROR(INDEX(分录报销!$F:$F,MATCH($L1271,分录报销!$L:$L,0)),"")</f>
        <v/>
      </c>
      <c r="F1271" s="68" t="str">
        <f aca="false">IFERROR(INDEX(分录报销!$H:$H,MATCH($L1271,分录报销!$L:$L,0)),"")</f>
        <v/>
      </c>
      <c r="G1271" s="69" t="str">
        <f aca="false">IFERROR(INDEX(分录报销!$I:$I,MATCH($L1271,分录报销!$L:$L,0)),"")</f>
        <v/>
      </c>
      <c r="H1271" s="23"/>
      <c r="I1271" s="70"/>
      <c r="L1271" s="71" t="n">
        <f aca="false">IF(助手报销!$R$86="",-1,助手报销!$R$86*100+(助手报销!$S$86-1)*6+6)</f>
        <v>-1</v>
      </c>
    </row>
    <row r="1272" customFormat="false" ht="23.25" hidden="false" customHeight="true" outlineLevel="0" collapsed="false">
      <c r="B1272" s="72" t="str">
        <f aca="false">IF(助手报销!$T$86=1,"合计：","")</f>
        <v/>
      </c>
      <c r="C1272" s="73" t="str">
        <f aca="false">IF(助手报销!$T$86=1,$F1272,"")</f>
        <v/>
      </c>
      <c r="D1272" s="74"/>
      <c r="E1272" s="74"/>
      <c r="F1272" s="75" t="str">
        <f aca="false">IF(助手报销!$T$86=1,INDEX(助手报销!$N$2:$N$121,助手报销!$R$86),"")</f>
        <v/>
      </c>
      <c r="G1272" s="76" t="str">
        <f aca="false">IF(助手报销!$T$86=1,INDEX(助手报销!$O$2:$O$121,助手报销!$R$86),"")</f>
        <v/>
      </c>
      <c r="H1272" s="74"/>
      <c r="I1272" s="77"/>
    </row>
    <row r="1273" customFormat="false" ht="6" hidden="false" customHeight="true" outlineLevel="0" collapsed="false"/>
    <row r="1274" customFormat="false" ht="13.5" hidden="false" customHeight="false" outlineLevel="0" collapsed="false">
      <c r="B1274" s="78" t="str">
        <f aca="false">IF(助手报销!$R$86&lt;&gt;"","会计主管：","")</f>
        <v/>
      </c>
      <c r="D1274" s="78" t="str">
        <f aca="false">IF(助手报销!$R$86&lt;&gt;"","会计：","")</f>
        <v/>
      </c>
      <c r="E1274" s="78" t="str">
        <f aca="false">IF(助手报销!$R$86&lt;&gt;"","出纳：","")</f>
        <v/>
      </c>
      <c r="F1274" s="78" t="str">
        <f aca="false">IF(助手报销!$R$86&lt;&gt;"","复核：","")</f>
        <v/>
      </c>
      <c r="G1274" s="78" t="str">
        <f aca="false">IF(助手报销!$R$86&lt;&gt;"","制单：","")</f>
        <v/>
      </c>
    </row>
    <row r="1275" customFormat="false" ht="3" hidden="false" customHeight="true" outlineLevel="0" collapsed="false"/>
    <row r="1276" customFormat="false" ht="19.5" hidden="false" customHeight="true" outlineLevel="0" collapsed="false">
      <c r="B1276" s="53" t="str">
        <f aca="false">IF(助手报销!$R$87&lt;&gt;"","记  账  凭  证","")</f>
        <v/>
      </c>
      <c r="C1276" s="53"/>
      <c r="D1276" s="53"/>
      <c r="E1276" s="53"/>
      <c r="F1276" s="53"/>
      <c r="G1276" s="53"/>
      <c r="H1276" s="53"/>
      <c r="I1276" s="53"/>
    </row>
    <row r="1277" customFormat="false" ht="3" hidden="false" customHeight="true" outlineLevel="0" collapsed="false"/>
    <row r="1278" customFormat="false" ht="15" hidden="false" customHeight="true" outlineLevel="0" collapsed="false">
      <c r="C1278" s="56" t="str">
        <f aca="false">IF(助手报销!$R$87&lt;&gt;"",INDEX(助手报销!$B$2:$B$121,助手报销!$R$87),"")</f>
        <v/>
      </c>
      <c r="D1278" s="57" t="str">
        <f aca="false">IF(助手报销!$R$87&lt;&gt;"",INDEX(助手报销!$D$2:$D$121,助手报销!$R$87),"")</f>
        <v/>
      </c>
      <c r="E1278" s="57"/>
      <c r="F1278" s="58" t="str">
        <f aca="false">IF(助手报销!$R$87&lt;&gt;"",INDEX(助手报销!$C$2:$C$121,助手报销!$R$87)&amp;"  字第 "&amp;IF(参数!$B$9="是",INDEX(助手报销!$P$2:$P$121,助手报销!$R$87),"　　　　")&amp;" 号"&amp;IF(INDEX(助手报销!$L$2:$L$121,助手报销!$R$87)&gt;1,"  (共"&amp;INDEX(助手报销!$L$2:$L$121,助手报销!$R$87)&amp;"页 第"&amp;助手报销!$S$87&amp;"页)",""),"")</f>
        <v/>
      </c>
      <c r="G1278" s="58"/>
      <c r="H1278" s="58"/>
      <c r="I1278" s="58"/>
      <c r="M1278" s="79" t="str">
        <f aca="false">IF(助手报销!$R$87="","",助手报销!$Q$87)</f>
        <v/>
      </c>
      <c r="N1278" s="80" t="str">
        <f aca="false">IF(助手报销!$R$87="","",INDEX(助手报销!$P$2:$P$121,助手报销!$R$87))</f>
        <v/>
      </c>
      <c r="O1278" s="55" t="str">
        <f aca="false">IF(助手报销!$R$87="","",INDEX(助手报销!$C$2:$C$121,助手报销!$R$87)&amp;"  字第 "&amp;INDEX(助手报销!$P$2:$P$121,助手报销!$R$87)&amp;" 号"&amp;IF(INDEX(助手报销!$L$2:$L$121,助手报销!$R$87)&gt;1,"  (共"&amp;INDEX(助手报销!$L$2:$L$121,助手报销!$R$87)&amp;"页 第"&amp;助手报销!$S$87&amp;"页)",""))</f>
        <v/>
      </c>
    </row>
    <row r="1279" customFormat="false" ht="12.75" hidden="false" customHeight="true" outlineLevel="0" collapsed="false">
      <c r="B1279" s="61" t="str">
        <f aca="false">IF(助手报销!$R$87&lt;&gt;"","摘　　要","")</f>
        <v/>
      </c>
      <c r="C1279" s="61"/>
      <c r="D1279" s="62" t="str">
        <f aca="false">IF(助手报销!$R$87&lt;&gt;"","科　　　　目","")</f>
        <v/>
      </c>
      <c r="E1279" s="62"/>
      <c r="F1279" s="61" t="str">
        <f aca="false">IF(助手报销!$R$87&lt;&gt;"","借 方 金 额","")</f>
        <v/>
      </c>
      <c r="G1279" s="62" t="str">
        <f aca="false">IF(助手报销!$R$87&lt;&gt;"","贷 方 金 额","")</f>
        <v/>
      </c>
      <c r="H1279" s="63" t="str">
        <f aca="false">IF(助手报销!$R$87&lt;&gt;"","√","")</f>
        <v/>
      </c>
      <c r="I1279" s="64" t="str">
        <f aca="false">IF(助手报销!$R$87&lt;&gt;"","附单据  张","")</f>
        <v/>
      </c>
    </row>
    <row r="1280" customFormat="false" ht="12.75" hidden="false" customHeight="true" outlineLevel="0" collapsed="false">
      <c r="B1280" s="61"/>
      <c r="C1280" s="61"/>
      <c r="D1280" s="23" t="str">
        <f aca="false">IF(助手报销!$R$87&lt;&gt;"","总 账 科 目","")</f>
        <v/>
      </c>
      <c r="E1280" s="23" t="str">
        <f aca="false">IF(助手报销!$R$87&lt;&gt;"","明 细 科 目","")</f>
        <v/>
      </c>
      <c r="F1280" s="65"/>
      <c r="G1280" s="66"/>
      <c r="H1280" s="63"/>
      <c r="I1280" s="64"/>
    </row>
    <row r="1281" customFormat="false" ht="23.25" hidden="false" customHeight="true" outlineLevel="0" collapsed="false">
      <c r="B1281" s="67" t="str">
        <f aca="false">IFERROR(INDEX(分录报销!$M:$M,MATCH($L1281,分录报销!$L:$L,0)),"")</f>
        <v/>
      </c>
      <c r="C1281" s="67"/>
      <c r="D1281" s="23" t="str">
        <f aca="false">IFERROR(INDEX(分录报销!$E:$E,MATCH($L1281,分录报销!$L:$L,0)),"")</f>
        <v/>
      </c>
      <c r="E1281" s="23" t="str">
        <f aca="false">IFERROR(INDEX(分录报销!$F:$F,MATCH($L1281,分录报销!$L:$L,0)),"")</f>
        <v/>
      </c>
      <c r="F1281" s="68" t="str">
        <f aca="false">IFERROR(INDEX(分录报销!$H:$H,MATCH($L1281,分录报销!$L:$L,0)),"")</f>
        <v/>
      </c>
      <c r="G1281" s="69" t="str">
        <f aca="false">IFERROR(INDEX(分录报销!$I:$I,MATCH($L1281,分录报销!$L:$L,0)),"")</f>
        <v/>
      </c>
      <c r="H1281" s="23"/>
      <c r="I1281" s="70"/>
      <c r="L1281" s="71" t="n">
        <f aca="false">IF(助手报销!$R$87="",-1,助手报销!$R$87*100+(助手报销!$S$87-1)*6+1)</f>
        <v>-1</v>
      </c>
    </row>
    <row r="1282" customFormat="false" ht="23.25" hidden="false" customHeight="true" outlineLevel="0" collapsed="false">
      <c r="B1282" s="67" t="str">
        <f aca="false">IFERROR(INDEX(分录报销!$M:$M,MATCH($L1282,分录报销!$L:$L,0)),"")</f>
        <v/>
      </c>
      <c r="C1282" s="67"/>
      <c r="D1282" s="23" t="str">
        <f aca="false">IFERROR(INDEX(分录报销!$E:$E,MATCH($L1282,分录报销!$L:$L,0)),"")</f>
        <v/>
      </c>
      <c r="E1282" s="23" t="str">
        <f aca="false">IFERROR(INDEX(分录报销!$F:$F,MATCH($L1282,分录报销!$L:$L,0)),"")</f>
        <v/>
      </c>
      <c r="F1282" s="68" t="str">
        <f aca="false">IFERROR(INDEX(分录报销!$H:$H,MATCH($L1282,分录报销!$L:$L,0)),"")</f>
        <v/>
      </c>
      <c r="G1282" s="69" t="str">
        <f aca="false">IFERROR(INDEX(分录报销!$I:$I,MATCH($L1282,分录报销!$L:$L,0)),"")</f>
        <v/>
      </c>
      <c r="H1282" s="23"/>
      <c r="I1282" s="70"/>
      <c r="L1282" s="71" t="n">
        <f aca="false">IF(助手报销!$R$87="",-1,助手报销!$R$87*100+(助手报销!$S$87-1)*6+2)</f>
        <v>-1</v>
      </c>
    </row>
    <row r="1283" customFormat="false" ht="23.25" hidden="false" customHeight="true" outlineLevel="0" collapsed="false">
      <c r="B1283" s="67" t="str">
        <f aca="false">IFERROR(INDEX(分录报销!$M:$M,MATCH($L1283,分录报销!$L:$L,0)),"")</f>
        <v/>
      </c>
      <c r="C1283" s="67"/>
      <c r="D1283" s="23" t="str">
        <f aca="false">IFERROR(INDEX(分录报销!$E:$E,MATCH($L1283,分录报销!$L:$L,0)),"")</f>
        <v/>
      </c>
      <c r="E1283" s="23" t="str">
        <f aca="false">IFERROR(INDEX(分录报销!$F:$F,MATCH($L1283,分录报销!$L:$L,0)),"")</f>
        <v/>
      </c>
      <c r="F1283" s="68" t="str">
        <f aca="false">IFERROR(INDEX(分录报销!$H:$H,MATCH($L1283,分录报销!$L:$L,0)),"")</f>
        <v/>
      </c>
      <c r="G1283" s="69" t="str">
        <f aca="false">IFERROR(INDEX(分录报销!$I:$I,MATCH($L1283,分录报销!$L:$L,0)),"")</f>
        <v/>
      </c>
      <c r="H1283" s="23"/>
      <c r="I1283" s="70"/>
      <c r="L1283" s="71" t="n">
        <f aca="false">IF(助手报销!$R$87="",-1,助手报销!$R$87*100+(助手报销!$S$87-1)*6+3)</f>
        <v>-1</v>
      </c>
    </row>
    <row r="1284" customFormat="false" ht="23.25" hidden="false" customHeight="true" outlineLevel="0" collapsed="false">
      <c r="B1284" s="67" t="str">
        <f aca="false">IFERROR(INDEX(分录报销!$M:$M,MATCH($L1284,分录报销!$L:$L,0)),"")</f>
        <v/>
      </c>
      <c r="C1284" s="67"/>
      <c r="D1284" s="23" t="str">
        <f aca="false">IFERROR(INDEX(分录报销!$E:$E,MATCH($L1284,分录报销!$L:$L,0)),"")</f>
        <v/>
      </c>
      <c r="E1284" s="23" t="str">
        <f aca="false">IFERROR(INDEX(分录报销!$F:$F,MATCH($L1284,分录报销!$L:$L,0)),"")</f>
        <v/>
      </c>
      <c r="F1284" s="68" t="str">
        <f aca="false">IFERROR(INDEX(分录报销!$H:$H,MATCH($L1284,分录报销!$L:$L,0)),"")</f>
        <v/>
      </c>
      <c r="G1284" s="69" t="str">
        <f aca="false">IFERROR(INDEX(分录报销!$I:$I,MATCH($L1284,分录报销!$L:$L,0)),"")</f>
        <v/>
      </c>
      <c r="H1284" s="23"/>
      <c r="I1284" s="70"/>
      <c r="L1284" s="71" t="n">
        <f aca="false">IF(助手报销!$R$87="",-1,助手报销!$R$87*100+(助手报销!$S$87-1)*6+4)</f>
        <v>-1</v>
      </c>
    </row>
    <row r="1285" customFormat="false" ht="23.25" hidden="false" customHeight="true" outlineLevel="0" collapsed="false">
      <c r="B1285" s="67" t="str">
        <f aca="false">IFERROR(INDEX(分录报销!$M:$M,MATCH($L1285,分录报销!$L:$L,0)),"")</f>
        <v/>
      </c>
      <c r="C1285" s="67"/>
      <c r="D1285" s="23" t="str">
        <f aca="false">IFERROR(INDEX(分录报销!$E:$E,MATCH($L1285,分录报销!$L:$L,0)),"")</f>
        <v/>
      </c>
      <c r="E1285" s="23" t="str">
        <f aca="false">IFERROR(INDEX(分录报销!$F:$F,MATCH($L1285,分录报销!$L:$L,0)),"")</f>
        <v/>
      </c>
      <c r="F1285" s="68" t="str">
        <f aca="false">IFERROR(INDEX(分录报销!$H:$H,MATCH($L1285,分录报销!$L:$L,0)),"")</f>
        <v/>
      </c>
      <c r="G1285" s="69" t="str">
        <f aca="false">IFERROR(INDEX(分录报销!$I:$I,MATCH($L1285,分录报销!$L:$L,0)),"")</f>
        <v/>
      </c>
      <c r="H1285" s="23"/>
      <c r="I1285" s="70"/>
      <c r="L1285" s="71" t="n">
        <f aca="false">IF(助手报销!$R$87="",-1,助手报销!$R$87*100+(助手报销!$S$87-1)*6+5)</f>
        <v>-1</v>
      </c>
    </row>
    <row r="1286" customFormat="false" ht="23.25" hidden="false" customHeight="true" outlineLevel="0" collapsed="false">
      <c r="B1286" s="67" t="str">
        <f aca="false">IFERROR(INDEX(分录报销!$M:$M,MATCH($L1286,分录报销!$L:$L,0)),"")</f>
        <v/>
      </c>
      <c r="C1286" s="67"/>
      <c r="D1286" s="23" t="str">
        <f aca="false">IFERROR(INDEX(分录报销!$E:$E,MATCH($L1286,分录报销!$L:$L,0)),"")</f>
        <v/>
      </c>
      <c r="E1286" s="23" t="str">
        <f aca="false">IFERROR(INDEX(分录报销!$F:$F,MATCH($L1286,分录报销!$L:$L,0)),"")</f>
        <v/>
      </c>
      <c r="F1286" s="68" t="str">
        <f aca="false">IFERROR(INDEX(分录报销!$H:$H,MATCH($L1286,分录报销!$L:$L,0)),"")</f>
        <v/>
      </c>
      <c r="G1286" s="69" t="str">
        <f aca="false">IFERROR(INDEX(分录报销!$I:$I,MATCH($L1286,分录报销!$L:$L,0)),"")</f>
        <v/>
      </c>
      <c r="H1286" s="23"/>
      <c r="I1286" s="70"/>
      <c r="L1286" s="71" t="n">
        <f aca="false">IF(助手报销!$R$87="",-1,助手报销!$R$87*100+(助手报销!$S$87-1)*6+6)</f>
        <v>-1</v>
      </c>
    </row>
    <row r="1287" customFormat="false" ht="23.25" hidden="false" customHeight="true" outlineLevel="0" collapsed="false">
      <c r="B1287" s="72" t="str">
        <f aca="false">IF(助手报销!$T$87=1,"合计：","")</f>
        <v/>
      </c>
      <c r="C1287" s="73" t="str">
        <f aca="false">IF(助手报销!$T$87=1,$F1287,"")</f>
        <v/>
      </c>
      <c r="D1287" s="74"/>
      <c r="E1287" s="74"/>
      <c r="F1287" s="75" t="str">
        <f aca="false">IF(助手报销!$T$87=1,INDEX(助手报销!$N$2:$N$121,助手报销!$R$87),"")</f>
        <v/>
      </c>
      <c r="G1287" s="76" t="str">
        <f aca="false">IF(助手报销!$T$87=1,INDEX(助手报销!$O$2:$O$121,助手报销!$R$87),"")</f>
        <v/>
      </c>
      <c r="H1287" s="74"/>
      <c r="I1287" s="77"/>
    </row>
    <row r="1288" customFormat="false" ht="6" hidden="false" customHeight="true" outlineLevel="0" collapsed="false"/>
    <row r="1289" customFormat="false" ht="13.5" hidden="false" customHeight="false" outlineLevel="0" collapsed="false">
      <c r="B1289" s="78" t="str">
        <f aca="false">IF(助手报销!$R$87&lt;&gt;"","会计主管：","")</f>
        <v/>
      </c>
      <c r="D1289" s="78" t="str">
        <f aca="false">IF(助手报销!$R$87&lt;&gt;"","会计：","")</f>
        <v/>
      </c>
      <c r="E1289" s="78" t="str">
        <f aca="false">IF(助手报销!$R$87&lt;&gt;"","出纳：","")</f>
        <v/>
      </c>
      <c r="F1289" s="78" t="str">
        <f aca="false">IF(助手报销!$R$87&lt;&gt;"","复核：","")</f>
        <v/>
      </c>
      <c r="G1289" s="78" t="str">
        <f aca="false">IF(助手报销!$R$87&lt;&gt;"","制单：","")</f>
        <v/>
      </c>
    </row>
    <row r="1290" customFormat="false" ht="3" hidden="false" customHeight="true" outlineLevel="0" collapsed="false"/>
    <row r="1291" customFormat="false" ht="19.5" hidden="false" customHeight="true" outlineLevel="0" collapsed="false">
      <c r="B1291" s="53" t="str">
        <f aca="false">IF(助手报销!$R$88&lt;&gt;"","记  账  凭  证","")</f>
        <v/>
      </c>
      <c r="C1291" s="53"/>
      <c r="D1291" s="53"/>
      <c r="E1291" s="53"/>
      <c r="F1291" s="53"/>
      <c r="G1291" s="53"/>
      <c r="H1291" s="53"/>
      <c r="I1291" s="53"/>
    </row>
    <row r="1292" customFormat="false" ht="3" hidden="false" customHeight="true" outlineLevel="0" collapsed="false"/>
    <row r="1293" customFormat="false" ht="15" hidden="false" customHeight="true" outlineLevel="0" collapsed="false">
      <c r="C1293" s="56" t="str">
        <f aca="false">IF(助手报销!$R$88&lt;&gt;"",INDEX(助手报销!$B$2:$B$121,助手报销!$R$88),"")</f>
        <v/>
      </c>
      <c r="D1293" s="57" t="str">
        <f aca="false">IF(助手报销!$R$88&lt;&gt;"",INDEX(助手报销!$D$2:$D$121,助手报销!$R$88),"")</f>
        <v/>
      </c>
      <c r="E1293" s="57"/>
      <c r="F1293" s="58" t="str">
        <f aca="false">IF(助手报销!$R$88&lt;&gt;"",INDEX(助手报销!$C$2:$C$121,助手报销!$R$88)&amp;"  字第 "&amp;IF(参数!$B$9="是",INDEX(助手报销!$P$2:$P$121,助手报销!$R$88),"　　　　")&amp;" 号"&amp;IF(INDEX(助手报销!$L$2:$L$121,助手报销!$R$88)&gt;1,"  (共"&amp;INDEX(助手报销!$L$2:$L$121,助手报销!$R$88)&amp;"页 第"&amp;助手报销!$S$88&amp;"页)",""),"")</f>
        <v/>
      </c>
      <c r="G1293" s="58"/>
      <c r="H1293" s="58"/>
      <c r="I1293" s="58"/>
      <c r="M1293" s="79" t="str">
        <f aca="false">IF(助手报销!$R$88="","",助手报销!$Q$88)</f>
        <v/>
      </c>
      <c r="N1293" s="80" t="str">
        <f aca="false">IF(助手报销!$R$88="","",INDEX(助手报销!$P$2:$P$121,助手报销!$R$88))</f>
        <v/>
      </c>
      <c r="O1293" s="55" t="str">
        <f aca="false">IF(助手报销!$R$88="","",INDEX(助手报销!$C$2:$C$121,助手报销!$R$88)&amp;"  字第 "&amp;INDEX(助手报销!$P$2:$P$121,助手报销!$R$88)&amp;" 号"&amp;IF(INDEX(助手报销!$L$2:$L$121,助手报销!$R$88)&gt;1,"  (共"&amp;INDEX(助手报销!$L$2:$L$121,助手报销!$R$88)&amp;"页 第"&amp;助手报销!$S$88&amp;"页)",""))</f>
        <v/>
      </c>
    </row>
    <row r="1294" customFormat="false" ht="12.75" hidden="false" customHeight="true" outlineLevel="0" collapsed="false">
      <c r="B1294" s="61" t="str">
        <f aca="false">IF(助手报销!$R$88&lt;&gt;"","摘　　要","")</f>
        <v/>
      </c>
      <c r="C1294" s="61"/>
      <c r="D1294" s="62" t="str">
        <f aca="false">IF(助手报销!$R$88&lt;&gt;"","科　　　　目","")</f>
        <v/>
      </c>
      <c r="E1294" s="62"/>
      <c r="F1294" s="61" t="str">
        <f aca="false">IF(助手报销!$R$88&lt;&gt;"","借 方 金 额","")</f>
        <v/>
      </c>
      <c r="G1294" s="62" t="str">
        <f aca="false">IF(助手报销!$R$88&lt;&gt;"","贷 方 金 额","")</f>
        <v/>
      </c>
      <c r="H1294" s="63" t="str">
        <f aca="false">IF(助手报销!$R$88&lt;&gt;"","√","")</f>
        <v/>
      </c>
      <c r="I1294" s="64" t="str">
        <f aca="false">IF(助手报销!$R$88&lt;&gt;"","附单据  张","")</f>
        <v/>
      </c>
    </row>
    <row r="1295" customFormat="false" ht="12.75" hidden="false" customHeight="true" outlineLevel="0" collapsed="false">
      <c r="B1295" s="61"/>
      <c r="C1295" s="61"/>
      <c r="D1295" s="23" t="str">
        <f aca="false">IF(助手报销!$R$88&lt;&gt;"","总 账 科 目","")</f>
        <v/>
      </c>
      <c r="E1295" s="23" t="str">
        <f aca="false">IF(助手报销!$R$88&lt;&gt;"","明 细 科 目","")</f>
        <v/>
      </c>
      <c r="F1295" s="65"/>
      <c r="G1295" s="66"/>
      <c r="H1295" s="63"/>
      <c r="I1295" s="64"/>
    </row>
    <row r="1296" customFormat="false" ht="23.25" hidden="false" customHeight="true" outlineLevel="0" collapsed="false">
      <c r="B1296" s="67" t="str">
        <f aca="false">IFERROR(INDEX(分录报销!$M:$M,MATCH($L1296,分录报销!$L:$L,0)),"")</f>
        <v/>
      </c>
      <c r="C1296" s="67"/>
      <c r="D1296" s="23" t="str">
        <f aca="false">IFERROR(INDEX(分录报销!$E:$E,MATCH($L1296,分录报销!$L:$L,0)),"")</f>
        <v/>
      </c>
      <c r="E1296" s="23" t="str">
        <f aca="false">IFERROR(INDEX(分录报销!$F:$F,MATCH($L1296,分录报销!$L:$L,0)),"")</f>
        <v/>
      </c>
      <c r="F1296" s="68" t="str">
        <f aca="false">IFERROR(INDEX(分录报销!$H:$H,MATCH($L1296,分录报销!$L:$L,0)),"")</f>
        <v/>
      </c>
      <c r="G1296" s="69" t="str">
        <f aca="false">IFERROR(INDEX(分录报销!$I:$I,MATCH($L1296,分录报销!$L:$L,0)),"")</f>
        <v/>
      </c>
      <c r="H1296" s="23"/>
      <c r="I1296" s="70"/>
      <c r="L1296" s="71" t="n">
        <f aca="false">IF(助手报销!$R$88="",-1,助手报销!$R$88*100+(助手报销!$S$88-1)*6+1)</f>
        <v>-1</v>
      </c>
    </row>
    <row r="1297" customFormat="false" ht="23.25" hidden="false" customHeight="true" outlineLevel="0" collapsed="false">
      <c r="B1297" s="67" t="str">
        <f aca="false">IFERROR(INDEX(分录报销!$M:$M,MATCH($L1297,分录报销!$L:$L,0)),"")</f>
        <v/>
      </c>
      <c r="C1297" s="67"/>
      <c r="D1297" s="23" t="str">
        <f aca="false">IFERROR(INDEX(分录报销!$E:$E,MATCH($L1297,分录报销!$L:$L,0)),"")</f>
        <v/>
      </c>
      <c r="E1297" s="23" t="str">
        <f aca="false">IFERROR(INDEX(分录报销!$F:$F,MATCH($L1297,分录报销!$L:$L,0)),"")</f>
        <v/>
      </c>
      <c r="F1297" s="68" t="str">
        <f aca="false">IFERROR(INDEX(分录报销!$H:$H,MATCH($L1297,分录报销!$L:$L,0)),"")</f>
        <v/>
      </c>
      <c r="G1297" s="69" t="str">
        <f aca="false">IFERROR(INDEX(分录报销!$I:$I,MATCH($L1297,分录报销!$L:$L,0)),"")</f>
        <v/>
      </c>
      <c r="H1297" s="23"/>
      <c r="I1297" s="70"/>
      <c r="L1297" s="71" t="n">
        <f aca="false">IF(助手报销!$R$88="",-1,助手报销!$R$88*100+(助手报销!$S$88-1)*6+2)</f>
        <v>-1</v>
      </c>
    </row>
    <row r="1298" customFormat="false" ht="23.25" hidden="false" customHeight="true" outlineLevel="0" collapsed="false">
      <c r="B1298" s="67" t="str">
        <f aca="false">IFERROR(INDEX(分录报销!$M:$M,MATCH($L1298,分录报销!$L:$L,0)),"")</f>
        <v/>
      </c>
      <c r="C1298" s="67"/>
      <c r="D1298" s="23" t="str">
        <f aca="false">IFERROR(INDEX(分录报销!$E:$E,MATCH($L1298,分录报销!$L:$L,0)),"")</f>
        <v/>
      </c>
      <c r="E1298" s="23" t="str">
        <f aca="false">IFERROR(INDEX(分录报销!$F:$F,MATCH($L1298,分录报销!$L:$L,0)),"")</f>
        <v/>
      </c>
      <c r="F1298" s="68" t="str">
        <f aca="false">IFERROR(INDEX(分录报销!$H:$H,MATCH($L1298,分录报销!$L:$L,0)),"")</f>
        <v/>
      </c>
      <c r="G1298" s="69" t="str">
        <f aca="false">IFERROR(INDEX(分录报销!$I:$I,MATCH($L1298,分录报销!$L:$L,0)),"")</f>
        <v/>
      </c>
      <c r="H1298" s="23"/>
      <c r="I1298" s="70"/>
      <c r="L1298" s="71" t="n">
        <f aca="false">IF(助手报销!$R$88="",-1,助手报销!$R$88*100+(助手报销!$S$88-1)*6+3)</f>
        <v>-1</v>
      </c>
    </row>
    <row r="1299" customFormat="false" ht="23.25" hidden="false" customHeight="true" outlineLevel="0" collapsed="false">
      <c r="B1299" s="67" t="str">
        <f aca="false">IFERROR(INDEX(分录报销!$M:$M,MATCH($L1299,分录报销!$L:$L,0)),"")</f>
        <v/>
      </c>
      <c r="C1299" s="67"/>
      <c r="D1299" s="23" t="str">
        <f aca="false">IFERROR(INDEX(分录报销!$E:$E,MATCH($L1299,分录报销!$L:$L,0)),"")</f>
        <v/>
      </c>
      <c r="E1299" s="23" t="str">
        <f aca="false">IFERROR(INDEX(分录报销!$F:$F,MATCH($L1299,分录报销!$L:$L,0)),"")</f>
        <v/>
      </c>
      <c r="F1299" s="68" t="str">
        <f aca="false">IFERROR(INDEX(分录报销!$H:$H,MATCH($L1299,分录报销!$L:$L,0)),"")</f>
        <v/>
      </c>
      <c r="G1299" s="69" t="str">
        <f aca="false">IFERROR(INDEX(分录报销!$I:$I,MATCH($L1299,分录报销!$L:$L,0)),"")</f>
        <v/>
      </c>
      <c r="H1299" s="23"/>
      <c r="I1299" s="70"/>
      <c r="L1299" s="71" t="n">
        <f aca="false">IF(助手报销!$R$88="",-1,助手报销!$R$88*100+(助手报销!$S$88-1)*6+4)</f>
        <v>-1</v>
      </c>
    </row>
    <row r="1300" customFormat="false" ht="23.25" hidden="false" customHeight="true" outlineLevel="0" collapsed="false">
      <c r="B1300" s="67" t="str">
        <f aca="false">IFERROR(INDEX(分录报销!$M:$M,MATCH($L1300,分录报销!$L:$L,0)),"")</f>
        <v/>
      </c>
      <c r="C1300" s="67"/>
      <c r="D1300" s="23" t="str">
        <f aca="false">IFERROR(INDEX(分录报销!$E:$E,MATCH($L1300,分录报销!$L:$L,0)),"")</f>
        <v/>
      </c>
      <c r="E1300" s="23" t="str">
        <f aca="false">IFERROR(INDEX(分录报销!$F:$F,MATCH($L1300,分录报销!$L:$L,0)),"")</f>
        <v/>
      </c>
      <c r="F1300" s="68" t="str">
        <f aca="false">IFERROR(INDEX(分录报销!$H:$H,MATCH($L1300,分录报销!$L:$L,0)),"")</f>
        <v/>
      </c>
      <c r="G1300" s="69" t="str">
        <f aca="false">IFERROR(INDEX(分录报销!$I:$I,MATCH($L1300,分录报销!$L:$L,0)),"")</f>
        <v/>
      </c>
      <c r="H1300" s="23"/>
      <c r="I1300" s="70"/>
      <c r="L1300" s="71" t="n">
        <f aca="false">IF(助手报销!$R$88="",-1,助手报销!$R$88*100+(助手报销!$S$88-1)*6+5)</f>
        <v>-1</v>
      </c>
    </row>
    <row r="1301" customFormat="false" ht="23.25" hidden="false" customHeight="true" outlineLevel="0" collapsed="false">
      <c r="B1301" s="67" t="str">
        <f aca="false">IFERROR(INDEX(分录报销!$M:$M,MATCH($L1301,分录报销!$L:$L,0)),"")</f>
        <v/>
      </c>
      <c r="C1301" s="67"/>
      <c r="D1301" s="23" t="str">
        <f aca="false">IFERROR(INDEX(分录报销!$E:$E,MATCH($L1301,分录报销!$L:$L,0)),"")</f>
        <v/>
      </c>
      <c r="E1301" s="23" t="str">
        <f aca="false">IFERROR(INDEX(分录报销!$F:$F,MATCH($L1301,分录报销!$L:$L,0)),"")</f>
        <v/>
      </c>
      <c r="F1301" s="68" t="str">
        <f aca="false">IFERROR(INDEX(分录报销!$H:$H,MATCH($L1301,分录报销!$L:$L,0)),"")</f>
        <v/>
      </c>
      <c r="G1301" s="69" t="str">
        <f aca="false">IFERROR(INDEX(分录报销!$I:$I,MATCH($L1301,分录报销!$L:$L,0)),"")</f>
        <v/>
      </c>
      <c r="H1301" s="23"/>
      <c r="I1301" s="70"/>
      <c r="L1301" s="71" t="n">
        <f aca="false">IF(助手报销!$R$88="",-1,助手报销!$R$88*100+(助手报销!$S$88-1)*6+6)</f>
        <v>-1</v>
      </c>
    </row>
    <row r="1302" customFormat="false" ht="23.25" hidden="false" customHeight="true" outlineLevel="0" collapsed="false">
      <c r="B1302" s="72" t="str">
        <f aca="false">IF(助手报销!$T$88=1,"合计：","")</f>
        <v/>
      </c>
      <c r="C1302" s="73" t="str">
        <f aca="false">IF(助手报销!$T$88=1,$F1302,"")</f>
        <v/>
      </c>
      <c r="D1302" s="74"/>
      <c r="E1302" s="74"/>
      <c r="F1302" s="75" t="str">
        <f aca="false">IF(助手报销!$T$88=1,INDEX(助手报销!$N$2:$N$121,助手报销!$R$88),"")</f>
        <v/>
      </c>
      <c r="G1302" s="76" t="str">
        <f aca="false">IF(助手报销!$T$88=1,INDEX(助手报销!$O$2:$O$121,助手报销!$R$88),"")</f>
        <v/>
      </c>
      <c r="H1302" s="74"/>
      <c r="I1302" s="77"/>
    </row>
    <row r="1303" customFormat="false" ht="6" hidden="false" customHeight="true" outlineLevel="0" collapsed="false"/>
    <row r="1304" customFormat="false" ht="13.5" hidden="false" customHeight="false" outlineLevel="0" collapsed="false">
      <c r="B1304" s="78" t="str">
        <f aca="false">IF(助手报销!$R$88&lt;&gt;"","会计主管：","")</f>
        <v/>
      </c>
      <c r="D1304" s="78" t="str">
        <f aca="false">IF(助手报销!$R$88&lt;&gt;"","会计：","")</f>
        <v/>
      </c>
      <c r="E1304" s="78" t="str">
        <f aca="false">IF(助手报销!$R$88&lt;&gt;"","出纳：","")</f>
        <v/>
      </c>
      <c r="F1304" s="78" t="str">
        <f aca="false">IF(助手报销!$R$88&lt;&gt;"","复核：","")</f>
        <v/>
      </c>
      <c r="G1304" s="78" t="str">
        <f aca="false">IF(助手报销!$R$88&lt;&gt;"","制单：","")</f>
        <v/>
      </c>
    </row>
    <row r="1305" customFormat="false" ht="3" hidden="false" customHeight="true" outlineLevel="0" collapsed="false"/>
    <row r="1306" customFormat="false" ht="19.5" hidden="false" customHeight="true" outlineLevel="0" collapsed="false">
      <c r="B1306" s="53" t="str">
        <f aca="false">IF(助手报销!$R$89&lt;&gt;"","记  账  凭  证","")</f>
        <v/>
      </c>
      <c r="C1306" s="53"/>
      <c r="D1306" s="53"/>
      <c r="E1306" s="53"/>
      <c r="F1306" s="53"/>
      <c r="G1306" s="53"/>
      <c r="H1306" s="53"/>
      <c r="I1306" s="53"/>
    </row>
    <row r="1307" customFormat="false" ht="3" hidden="false" customHeight="true" outlineLevel="0" collapsed="false"/>
    <row r="1308" customFormat="false" ht="15" hidden="false" customHeight="true" outlineLevel="0" collapsed="false">
      <c r="C1308" s="56" t="str">
        <f aca="false">IF(助手报销!$R$89&lt;&gt;"",INDEX(助手报销!$B$2:$B$121,助手报销!$R$89),"")</f>
        <v/>
      </c>
      <c r="D1308" s="57" t="str">
        <f aca="false">IF(助手报销!$R$89&lt;&gt;"",INDEX(助手报销!$D$2:$D$121,助手报销!$R$89),"")</f>
        <v/>
      </c>
      <c r="E1308" s="57"/>
      <c r="F1308" s="58" t="str">
        <f aca="false">IF(助手报销!$R$89&lt;&gt;"",INDEX(助手报销!$C$2:$C$121,助手报销!$R$89)&amp;"  字第 "&amp;IF(参数!$B$9="是",INDEX(助手报销!$P$2:$P$121,助手报销!$R$89),"　　　　")&amp;" 号"&amp;IF(INDEX(助手报销!$L$2:$L$121,助手报销!$R$89)&gt;1,"  (共"&amp;INDEX(助手报销!$L$2:$L$121,助手报销!$R$89)&amp;"页 第"&amp;助手报销!$S$89&amp;"页)",""),"")</f>
        <v/>
      </c>
      <c r="G1308" s="58"/>
      <c r="H1308" s="58"/>
      <c r="I1308" s="58"/>
      <c r="M1308" s="79" t="str">
        <f aca="false">IF(助手报销!$R$89="","",助手报销!$Q$89)</f>
        <v/>
      </c>
      <c r="N1308" s="80" t="str">
        <f aca="false">IF(助手报销!$R$89="","",INDEX(助手报销!$P$2:$P$121,助手报销!$R$89))</f>
        <v/>
      </c>
      <c r="O1308" s="55" t="str">
        <f aca="false">IF(助手报销!$R$89="","",INDEX(助手报销!$C$2:$C$121,助手报销!$R$89)&amp;"  字第 "&amp;INDEX(助手报销!$P$2:$P$121,助手报销!$R$89)&amp;" 号"&amp;IF(INDEX(助手报销!$L$2:$L$121,助手报销!$R$89)&gt;1,"  (共"&amp;INDEX(助手报销!$L$2:$L$121,助手报销!$R$89)&amp;"页 第"&amp;助手报销!$S$89&amp;"页)",""))</f>
        <v/>
      </c>
    </row>
    <row r="1309" customFormat="false" ht="12.75" hidden="false" customHeight="true" outlineLevel="0" collapsed="false">
      <c r="B1309" s="61" t="str">
        <f aca="false">IF(助手报销!$R$89&lt;&gt;"","摘　　要","")</f>
        <v/>
      </c>
      <c r="C1309" s="61"/>
      <c r="D1309" s="62" t="str">
        <f aca="false">IF(助手报销!$R$89&lt;&gt;"","科　　　　目","")</f>
        <v/>
      </c>
      <c r="E1309" s="62"/>
      <c r="F1309" s="61" t="str">
        <f aca="false">IF(助手报销!$R$89&lt;&gt;"","借 方 金 额","")</f>
        <v/>
      </c>
      <c r="G1309" s="62" t="str">
        <f aca="false">IF(助手报销!$R$89&lt;&gt;"","贷 方 金 额","")</f>
        <v/>
      </c>
      <c r="H1309" s="63" t="str">
        <f aca="false">IF(助手报销!$R$89&lt;&gt;"","√","")</f>
        <v/>
      </c>
      <c r="I1309" s="64" t="str">
        <f aca="false">IF(助手报销!$R$89&lt;&gt;"","附单据  张","")</f>
        <v/>
      </c>
    </row>
    <row r="1310" customFormat="false" ht="12.75" hidden="false" customHeight="true" outlineLevel="0" collapsed="false">
      <c r="B1310" s="61"/>
      <c r="C1310" s="61"/>
      <c r="D1310" s="23" t="str">
        <f aca="false">IF(助手报销!$R$89&lt;&gt;"","总 账 科 目","")</f>
        <v/>
      </c>
      <c r="E1310" s="23" t="str">
        <f aca="false">IF(助手报销!$R$89&lt;&gt;"","明 细 科 目","")</f>
        <v/>
      </c>
      <c r="F1310" s="65"/>
      <c r="G1310" s="66"/>
      <c r="H1310" s="63"/>
      <c r="I1310" s="64"/>
    </row>
    <row r="1311" customFormat="false" ht="23.25" hidden="false" customHeight="true" outlineLevel="0" collapsed="false">
      <c r="B1311" s="67" t="str">
        <f aca="false">IFERROR(INDEX(分录报销!$M:$M,MATCH($L1311,分录报销!$L:$L,0)),"")</f>
        <v/>
      </c>
      <c r="C1311" s="67"/>
      <c r="D1311" s="23" t="str">
        <f aca="false">IFERROR(INDEX(分录报销!$E:$E,MATCH($L1311,分录报销!$L:$L,0)),"")</f>
        <v/>
      </c>
      <c r="E1311" s="23" t="str">
        <f aca="false">IFERROR(INDEX(分录报销!$F:$F,MATCH($L1311,分录报销!$L:$L,0)),"")</f>
        <v/>
      </c>
      <c r="F1311" s="68" t="str">
        <f aca="false">IFERROR(INDEX(分录报销!$H:$H,MATCH($L1311,分录报销!$L:$L,0)),"")</f>
        <v/>
      </c>
      <c r="G1311" s="69" t="str">
        <f aca="false">IFERROR(INDEX(分录报销!$I:$I,MATCH($L1311,分录报销!$L:$L,0)),"")</f>
        <v/>
      </c>
      <c r="H1311" s="23"/>
      <c r="I1311" s="70"/>
      <c r="L1311" s="71" t="n">
        <f aca="false">IF(助手报销!$R$89="",-1,助手报销!$R$89*100+(助手报销!$S$89-1)*6+1)</f>
        <v>-1</v>
      </c>
    </row>
    <row r="1312" customFormat="false" ht="23.25" hidden="false" customHeight="true" outlineLevel="0" collapsed="false">
      <c r="B1312" s="67" t="str">
        <f aca="false">IFERROR(INDEX(分录报销!$M:$M,MATCH($L1312,分录报销!$L:$L,0)),"")</f>
        <v/>
      </c>
      <c r="C1312" s="67"/>
      <c r="D1312" s="23" t="str">
        <f aca="false">IFERROR(INDEX(分录报销!$E:$E,MATCH($L1312,分录报销!$L:$L,0)),"")</f>
        <v/>
      </c>
      <c r="E1312" s="23" t="str">
        <f aca="false">IFERROR(INDEX(分录报销!$F:$F,MATCH($L1312,分录报销!$L:$L,0)),"")</f>
        <v/>
      </c>
      <c r="F1312" s="68" t="str">
        <f aca="false">IFERROR(INDEX(分录报销!$H:$H,MATCH($L1312,分录报销!$L:$L,0)),"")</f>
        <v/>
      </c>
      <c r="G1312" s="69" t="str">
        <f aca="false">IFERROR(INDEX(分录报销!$I:$I,MATCH($L1312,分录报销!$L:$L,0)),"")</f>
        <v/>
      </c>
      <c r="H1312" s="23"/>
      <c r="I1312" s="70"/>
      <c r="L1312" s="71" t="n">
        <f aca="false">IF(助手报销!$R$89="",-1,助手报销!$R$89*100+(助手报销!$S$89-1)*6+2)</f>
        <v>-1</v>
      </c>
    </row>
    <row r="1313" customFormat="false" ht="23.25" hidden="false" customHeight="true" outlineLevel="0" collapsed="false">
      <c r="B1313" s="67" t="str">
        <f aca="false">IFERROR(INDEX(分录报销!$M:$M,MATCH($L1313,分录报销!$L:$L,0)),"")</f>
        <v/>
      </c>
      <c r="C1313" s="67"/>
      <c r="D1313" s="23" t="str">
        <f aca="false">IFERROR(INDEX(分录报销!$E:$E,MATCH($L1313,分录报销!$L:$L,0)),"")</f>
        <v/>
      </c>
      <c r="E1313" s="23" t="str">
        <f aca="false">IFERROR(INDEX(分录报销!$F:$F,MATCH($L1313,分录报销!$L:$L,0)),"")</f>
        <v/>
      </c>
      <c r="F1313" s="68" t="str">
        <f aca="false">IFERROR(INDEX(分录报销!$H:$H,MATCH($L1313,分录报销!$L:$L,0)),"")</f>
        <v/>
      </c>
      <c r="G1313" s="69" t="str">
        <f aca="false">IFERROR(INDEX(分录报销!$I:$I,MATCH($L1313,分录报销!$L:$L,0)),"")</f>
        <v/>
      </c>
      <c r="H1313" s="23"/>
      <c r="I1313" s="70"/>
      <c r="L1313" s="71" t="n">
        <f aca="false">IF(助手报销!$R$89="",-1,助手报销!$R$89*100+(助手报销!$S$89-1)*6+3)</f>
        <v>-1</v>
      </c>
    </row>
    <row r="1314" customFormat="false" ht="23.25" hidden="false" customHeight="true" outlineLevel="0" collapsed="false">
      <c r="B1314" s="67" t="str">
        <f aca="false">IFERROR(INDEX(分录报销!$M:$M,MATCH($L1314,分录报销!$L:$L,0)),"")</f>
        <v/>
      </c>
      <c r="C1314" s="67"/>
      <c r="D1314" s="23" t="str">
        <f aca="false">IFERROR(INDEX(分录报销!$E:$E,MATCH($L1314,分录报销!$L:$L,0)),"")</f>
        <v/>
      </c>
      <c r="E1314" s="23" t="str">
        <f aca="false">IFERROR(INDEX(分录报销!$F:$F,MATCH($L1314,分录报销!$L:$L,0)),"")</f>
        <v/>
      </c>
      <c r="F1314" s="68" t="str">
        <f aca="false">IFERROR(INDEX(分录报销!$H:$H,MATCH($L1314,分录报销!$L:$L,0)),"")</f>
        <v/>
      </c>
      <c r="G1314" s="69" t="str">
        <f aca="false">IFERROR(INDEX(分录报销!$I:$I,MATCH($L1314,分录报销!$L:$L,0)),"")</f>
        <v/>
      </c>
      <c r="H1314" s="23"/>
      <c r="I1314" s="70"/>
      <c r="L1314" s="71" t="n">
        <f aca="false">IF(助手报销!$R$89="",-1,助手报销!$R$89*100+(助手报销!$S$89-1)*6+4)</f>
        <v>-1</v>
      </c>
    </row>
    <row r="1315" customFormat="false" ht="23.25" hidden="false" customHeight="true" outlineLevel="0" collapsed="false">
      <c r="B1315" s="67" t="str">
        <f aca="false">IFERROR(INDEX(分录报销!$M:$M,MATCH($L1315,分录报销!$L:$L,0)),"")</f>
        <v/>
      </c>
      <c r="C1315" s="67"/>
      <c r="D1315" s="23" t="str">
        <f aca="false">IFERROR(INDEX(分录报销!$E:$E,MATCH($L1315,分录报销!$L:$L,0)),"")</f>
        <v/>
      </c>
      <c r="E1315" s="23" t="str">
        <f aca="false">IFERROR(INDEX(分录报销!$F:$F,MATCH($L1315,分录报销!$L:$L,0)),"")</f>
        <v/>
      </c>
      <c r="F1315" s="68" t="str">
        <f aca="false">IFERROR(INDEX(分录报销!$H:$H,MATCH($L1315,分录报销!$L:$L,0)),"")</f>
        <v/>
      </c>
      <c r="G1315" s="69" t="str">
        <f aca="false">IFERROR(INDEX(分录报销!$I:$I,MATCH($L1315,分录报销!$L:$L,0)),"")</f>
        <v/>
      </c>
      <c r="H1315" s="23"/>
      <c r="I1315" s="70"/>
      <c r="L1315" s="71" t="n">
        <f aca="false">IF(助手报销!$R$89="",-1,助手报销!$R$89*100+(助手报销!$S$89-1)*6+5)</f>
        <v>-1</v>
      </c>
    </row>
    <row r="1316" customFormat="false" ht="23.25" hidden="false" customHeight="true" outlineLevel="0" collapsed="false">
      <c r="B1316" s="67" t="str">
        <f aca="false">IFERROR(INDEX(分录报销!$M:$M,MATCH($L1316,分录报销!$L:$L,0)),"")</f>
        <v/>
      </c>
      <c r="C1316" s="67"/>
      <c r="D1316" s="23" t="str">
        <f aca="false">IFERROR(INDEX(分录报销!$E:$E,MATCH($L1316,分录报销!$L:$L,0)),"")</f>
        <v/>
      </c>
      <c r="E1316" s="23" t="str">
        <f aca="false">IFERROR(INDEX(分录报销!$F:$F,MATCH($L1316,分录报销!$L:$L,0)),"")</f>
        <v/>
      </c>
      <c r="F1316" s="68" t="str">
        <f aca="false">IFERROR(INDEX(分录报销!$H:$H,MATCH($L1316,分录报销!$L:$L,0)),"")</f>
        <v/>
      </c>
      <c r="G1316" s="69" t="str">
        <f aca="false">IFERROR(INDEX(分录报销!$I:$I,MATCH($L1316,分录报销!$L:$L,0)),"")</f>
        <v/>
      </c>
      <c r="H1316" s="23"/>
      <c r="I1316" s="70"/>
      <c r="L1316" s="71" t="n">
        <f aca="false">IF(助手报销!$R$89="",-1,助手报销!$R$89*100+(助手报销!$S$89-1)*6+6)</f>
        <v>-1</v>
      </c>
    </row>
    <row r="1317" customFormat="false" ht="23.25" hidden="false" customHeight="true" outlineLevel="0" collapsed="false">
      <c r="B1317" s="72" t="str">
        <f aca="false">IF(助手报销!$T$89=1,"合计：","")</f>
        <v/>
      </c>
      <c r="C1317" s="73" t="str">
        <f aca="false">IF(助手报销!$T$89=1,$F1317,"")</f>
        <v/>
      </c>
      <c r="D1317" s="74"/>
      <c r="E1317" s="74"/>
      <c r="F1317" s="75" t="str">
        <f aca="false">IF(助手报销!$T$89=1,INDEX(助手报销!$N$2:$N$121,助手报销!$R$89),"")</f>
        <v/>
      </c>
      <c r="G1317" s="76" t="str">
        <f aca="false">IF(助手报销!$T$89=1,INDEX(助手报销!$O$2:$O$121,助手报销!$R$89),"")</f>
        <v/>
      </c>
      <c r="H1317" s="74"/>
      <c r="I1317" s="77"/>
    </row>
    <row r="1318" customFormat="false" ht="6" hidden="false" customHeight="true" outlineLevel="0" collapsed="false"/>
    <row r="1319" customFormat="false" ht="13.5" hidden="false" customHeight="false" outlineLevel="0" collapsed="false">
      <c r="B1319" s="78" t="str">
        <f aca="false">IF(助手报销!$R$89&lt;&gt;"","会计主管：","")</f>
        <v/>
      </c>
      <c r="D1319" s="78" t="str">
        <f aca="false">IF(助手报销!$R$89&lt;&gt;"","会计：","")</f>
        <v/>
      </c>
      <c r="E1319" s="78" t="str">
        <f aca="false">IF(助手报销!$R$89&lt;&gt;"","出纳：","")</f>
        <v/>
      </c>
      <c r="F1319" s="78" t="str">
        <f aca="false">IF(助手报销!$R$89&lt;&gt;"","复核：","")</f>
        <v/>
      </c>
      <c r="G1319" s="78" t="str">
        <f aca="false">IF(助手报销!$R$89&lt;&gt;"","制单：","")</f>
        <v/>
      </c>
    </row>
    <row r="1320" customFormat="false" ht="3" hidden="false" customHeight="true" outlineLevel="0" collapsed="false"/>
    <row r="1321" customFormat="false" ht="19.5" hidden="false" customHeight="true" outlineLevel="0" collapsed="false">
      <c r="B1321" s="53" t="str">
        <f aca="false">IF(助手报销!$R$90&lt;&gt;"","记  账  凭  证","")</f>
        <v/>
      </c>
      <c r="C1321" s="53"/>
      <c r="D1321" s="53"/>
      <c r="E1321" s="53"/>
      <c r="F1321" s="53"/>
      <c r="G1321" s="53"/>
      <c r="H1321" s="53"/>
      <c r="I1321" s="53"/>
    </row>
    <row r="1322" customFormat="false" ht="3" hidden="false" customHeight="true" outlineLevel="0" collapsed="false"/>
    <row r="1323" customFormat="false" ht="15" hidden="false" customHeight="true" outlineLevel="0" collapsed="false">
      <c r="C1323" s="56" t="str">
        <f aca="false">IF(助手报销!$R$90&lt;&gt;"",INDEX(助手报销!$B$2:$B$121,助手报销!$R$90),"")</f>
        <v/>
      </c>
      <c r="D1323" s="57" t="str">
        <f aca="false">IF(助手报销!$R$90&lt;&gt;"",INDEX(助手报销!$D$2:$D$121,助手报销!$R$90),"")</f>
        <v/>
      </c>
      <c r="E1323" s="57"/>
      <c r="F1323" s="58" t="str">
        <f aca="false">IF(助手报销!$R$90&lt;&gt;"",INDEX(助手报销!$C$2:$C$121,助手报销!$R$90)&amp;"  字第 "&amp;IF(参数!$B$9="是",INDEX(助手报销!$P$2:$P$121,助手报销!$R$90),"　　　　")&amp;" 号"&amp;IF(INDEX(助手报销!$L$2:$L$121,助手报销!$R$90)&gt;1,"  (共"&amp;INDEX(助手报销!$L$2:$L$121,助手报销!$R$90)&amp;"页 第"&amp;助手报销!$S$90&amp;"页)",""),"")</f>
        <v/>
      </c>
      <c r="G1323" s="58"/>
      <c r="H1323" s="58"/>
      <c r="I1323" s="58"/>
      <c r="M1323" s="79" t="str">
        <f aca="false">IF(助手报销!$R$90="","",助手报销!$Q$90)</f>
        <v/>
      </c>
      <c r="N1323" s="80" t="str">
        <f aca="false">IF(助手报销!$R$90="","",INDEX(助手报销!$P$2:$P$121,助手报销!$R$90))</f>
        <v/>
      </c>
      <c r="O1323" s="55" t="str">
        <f aca="false">IF(助手报销!$R$90="","",INDEX(助手报销!$C$2:$C$121,助手报销!$R$90)&amp;"  字第 "&amp;INDEX(助手报销!$P$2:$P$121,助手报销!$R$90)&amp;" 号"&amp;IF(INDEX(助手报销!$L$2:$L$121,助手报销!$R$90)&gt;1,"  (共"&amp;INDEX(助手报销!$L$2:$L$121,助手报销!$R$90)&amp;"页 第"&amp;助手报销!$S$90&amp;"页)",""))</f>
        <v/>
      </c>
    </row>
    <row r="1324" customFormat="false" ht="12.75" hidden="false" customHeight="true" outlineLevel="0" collapsed="false">
      <c r="B1324" s="61" t="str">
        <f aca="false">IF(助手报销!$R$90&lt;&gt;"","摘　　要","")</f>
        <v/>
      </c>
      <c r="C1324" s="61"/>
      <c r="D1324" s="62" t="str">
        <f aca="false">IF(助手报销!$R$90&lt;&gt;"","科　　　　目","")</f>
        <v/>
      </c>
      <c r="E1324" s="62"/>
      <c r="F1324" s="61" t="str">
        <f aca="false">IF(助手报销!$R$90&lt;&gt;"","借 方 金 额","")</f>
        <v/>
      </c>
      <c r="G1324" s="62" t="str">
        <f aca="false">IF(助手报销!$R$90&lt;&gt;"","贷 方 金 额","")</f>
        <v/>
      </c>
      <c r="H1324" s="63" t="str">
        <f aca="false">IF(助手报销!$R$90&lt;&gt;"","√","")</f>
        <v/>
      </c>
      <c r="I1324" s="64" t="str">
        <f aca="false">IF(助手报销!$R$90&lt;&gt;"","附单据  张","")</f>
        <v/>
      </c>
    </row>
    <row r="1325" customFormat="false" ht="12.75" hidden="false" customHeight="true" outlineLevel="0" collapsed="false">
      <c r="B1325" s="61"/>
      <c r="C1325" s="61"/>
      <c r="D1325" s="23" t="str">
        <f aca="false">IF(助手报销!$R$90&lt;&gt;"","总 账 科 目","")</f>
        <v/>
      </c>
      <c r="E1325" s="23" t="str">
        <f aca="false">IF(助手报销!$R$90&lt;&gt;"","明 细 科 目","")</f>
        <v/>
      </c>
      <c r="F1325" s="65"/>
      <c r="G1325" s="66"/>
      <c r="H1325" s="63"/>
      <c r="I1325" s="64"/>
    </row>
    <row r="1326" customFormat="false" ht="23.25" hidden="false" customHeight="true" outlineLevel="0" collapsed="false">
      <c r="B1326" s="67" t="str">
        <f aca="false">IFERROR(INDEX(分录报销!$M:$M,MATCH($L1326,分录报销!$L:$L,0)),"")</f>
        <v/>
      </c>
      <c r="C1326" s="67"/>
      <c r="D1326" s="23" t="str">
        <f aca="false">IFERROR(INDEX(分录报销!$E:$E,MATCH($L1326,分录报销!$L:$L,0)),"")</f>
        <v/>
      </c>
      <c r="E1326" s="23" t="str">
        <f aca="false">IFERROR(INDEX(分录报销!$F:$F,MATCH($L1326,分录报销!$L:$L,0)),"")</f>
        <v/>
      </c>
      <c r="F1326" s="68" t="str">
        <f aca="false">IFERROR(INDEX(分录报销!$H:$H,MATCH($L1326,分录报销!$L:$L,0)),"")</f>
        <v/>
      </c>
      <c r="G1326" s="69" t="str">
        <f aca="false">IFERROR(INDEX(分录报销!$I:$I,MATCH($L1326,分录报销!$L:$L,0)),"")</f>
        <v/>
      </c>
      <c r="H1326" s="23"/>
      <c r="I1326" s="70"/>
      <c r="L1326" s="71" t="n">
        <f aca="false">IF(助手报销!$R$90="",-1,助手报销!$R$90*100+(助手报销!$S$90-1)*6+1)</f>
        <v>-1</v>
      </c>
    </row>
    <row r="1327" customFormat="false" ht="23.25" hidden="false" customHeight="true" outlineLevel="0" collapsed="false">
      <c r="B1327" s="67" t="str">
        <f aca="false">IFERROR(INDEX(分录报销!$M:$M,MATCH($L1327,分录报销!$L:$L,0)),"")</f>
        <v/>
      </c>
      <c r="C1327" s="67"/>
      <c r="D1327" s="23" t="str">
        <f aca="false">IFERROR(INDEX(分录报销!$E:$E,MATCH($L1327,分录报销!$L:$L,0)),"")</f>
        <v/>
      </c>
      <c r="E1327" s="23" t="str">
        <f aca="false">IFERROR(INDEX(分录报销!$F:$F,MATCH($L1327,分录报销!$L:$L,0)),"")</f>
        <v/>
      </c>
      <c r="F1327" s="68" t="str">
        <f aca="false">IFERROR(INDEX(分录报销!$H:$H,MATCH($L1327,分录报销!$L:$L,0)),"")</f>
        <v/>
      </c>
      <c r="G1327" s="69" t="str">
        <f aca="false">IFERROR(INDEX(分录报销!$I:$I,MATCH($L1327,分录报销!$L:$L,0)),"")</f>
        <v/>
      </c>
      <c r="H1327" s="23"/>
      <c r="I1327" s="70"/>
      <c r="L1327" s="71" t="n">
        <f aca="false">IF(助手报销!$R$90="",-1,助手报销!$R$90*100+(助手报销!$S$90-1)*6+2)</f>
        <v>-1</v>
      </c>
    </row>
    <row r="1328" customFormat="false" ht="23.25" hidden="false" customHeight="true" outlineLevel="0" collapsed="false">
      <c r="B1328" s="67" t="str">
        <f aca="false">IFERROR(INDEX(分录报销!$M:$M,MATCH($L1328,分录报销!$L:$L,0)),"")</f>
        <v/>
      </c>
      <c r="C1328" s="67"/>
      <c r="D1328" s="23" t="str">
        <f aca="false">IFERROR(INDEX(分录报销!$E:$E,MATCH($L1328,分录报销!$L:$L,0)),"")</f>
        <v/>
      </c>
      <c r="E1328" s="23" t="str">
        <f aca="false">IFERROR(INDEX(分录报销!$F:$F,MATCH($L1328,分录报销!$L:$L,0)),"")</f>
        <v/>
      </c>
      <c r="F1328" s="68" t="str">
        <f aca="false">IFERROR(INDEX(分录报销!$H:$H,MATCH($L1328,分录报销!$L:$L,0)),"")</f>
        <v/>
      </c>
      <c r="G1328" s="69" t="str">
        <f aca="false">IFERROR(INDEX(分录报销!$I:$I,MATCH($L1328,分录报销!$L:$L,0)),"")</f>
        <v/>
      </c>
      <c r="H1328" s="23"/>
      <c r="I1328" s="70"/>
      <c r="L1328" s="71" t="n">
        <f aca="false">IF(助手报销!$R$90="",-1,助手报销!$R$90*100+(助手报销!$S$90-1)*6+3)</f>
        <v>-1</v>
      </c>
    </row>
    <row r="1329" customFormat="false" ht="23.25" hidden="false" customHeight="true" outlineLevel="0" collapsed="false">
      <c r="B1329" s="67" t="str">
        <f aca="false">IFERROR(INDEX(分录报销!$M:$M,MATCH($L1329,分录报销!$L:$L,0)),"")</f>
        <v/>
      </c>
      <c r="C1329" s="67"/>
      <c r="D1329" s="23" t="str">
        <f aca="false">IFERROR(INDEX(分录报销!$E:$E,MATCH($L1329,分录报销!$L:$L,0)),"")</f>
        <v/>
      </c>
      <c r="E1329" s="23" t="str">
        <f aca="false">IFERROR(INDEX(分录报销!$F:$F,MATCH($L1329,分录报销!$L:$L,0)),"")</f>
        <v/>
      </c>
      <c r="F1329" s="68" t="str">
        <f aca="false">IFERROR(INDEX(分录报销!$H:$H,MATCH($L1329,分录报销!$L:$L,0)),"")</f>
        <v/>
      </c>
      <c r="G1329" s="69" t="str">
        <f aca="false">IFERROR(INDEX(分录报销!$I:$I,MATCH($L1329,分录报销!$L:$L,0)),"")</f>
        <v/>
      </c>
      <c r="H1329" s="23"/>
      <c r="I1329" s="70"/>
      <c r="L1329" s="71" t="n">
        <f aca="false">IF(助手报销!$R$90="",-1,助手报销!$R$90*100+(助手报销!$S$90-1)*6+4)</f>
        <v>-1</v>
      </c>
    </row>
    <row r="1330" customFormat="false" ht="23.25" hidden="false" customHeight="true" outlineLevel="0" collapsed="false">
      <c r="B1330" s="67" t="str">
        <f aca="false">IFERROR(INDEX(分录报销!$M:$M,MATCH($L1330,分录报销!$L:$L,0)),"")</f>
        <v/>
      </c>
      <c r="C1330" s="67"/>
      <c r="D1330" s="23" t="str">
        <f aca="false">IFERROR(INDEX(分录报销!$E:$E,MATCH($L1330,分录报销!$L:$L,0)),"")</f>
        <v/>
      </c>
      <c r="E1330" s="23" t="str">
        <f aca="false">IFERROR(INDEX(分录报销!$F:$F,MATCH($L1330,分录报销!$L:$L,0)),"")</f>
        <v/>
      </c>
      <c r="F1330" s="68" t="str">
        <f aca="false">IFERROR(INDEX(分录报销!$H:$H,MATCH($L1330,分录报销!$L:$L,0)),"")</f>
        <v/>
      </c>
      <c r="G1330" s="69" t="str">
        <f aca="false">IFERROR(INDEX(分录报销!$I:$I,MATCH($L1330,分录报销!$L:$L,0)),"")</f>
        <v/>
      </c>
      <c r="H1330" s="23"/>
      <c r="I1330" s="70"/>
      <c r="L1330" s="71" t="n">
        <f aca="false">IF(助手报销!$R$90="",-1,助手报销!$R$90*100+(助手报销!$S$90-1)*6+5)</f>
        <v>-1</v>
      </c>
    </row>
    <row r="1331" customFormat="false" ht="23.25" hidden="false" customHeight="true" outlineLevel="0" collapsed="false">
      <c r="B1331" s="67" t="str">
        <f aca="false">IFERROR(INDEX(分录报销!$M:$M,MATCH($L1331,分录报销!$L:$L,0)),"")</f>
        <v/>
      </c>
      <c r="C1331" s="67"/>
      <c r="D1331" s="23" t="str">
        <f aca="false">IFERROR(INDEX(分录报销!$E:$E,MATCH($L1331,分录报销!$L:$L,0)),"")</f>
        <v/>
      </c>
      <c r="E1331" s="23" t="str">
        <f aca="false">IFERROR(INDEX(分录报销!$F:$F,MATCH($L1331,分录报销!$L:$L,0)),"")</f>
        <v/>
      </c>
      <c r="F1331" s="68" t="str">
        <f aca="false">IFERROR(INDEX(分录报销!$H:$H,MATCH($L1331,分录报销!$L:$L,0)),"")</f>
        <v/>
      </c>
      <c r="G1331" s="69" t="str">
        <f aca="false">IFERROR(INDEX(分录报销!$I:$I,MATCH($L1331,分录报销!$L:$L,0)),"")</f>
        <v/>
      </c>
      <c r="H1331" s="23"/>
      <c r="I1331" s="70"/>
      <c r="L1331" s="71" t="n">
        <f aca="false">IF(助手报销!$R$90="",-1,助手报销!$R$90*100+(助手报销!$S$90-1)*6+6)</f>
        <v>-1</v>
      </c>
    </row>
    <row r="1332" customFormat="false" ht="23.25" hidden="false" customHeight="true" outlineLevel="0" collapsed="false">
      <c r="B1332" s="72" t="str">
        <f aca="false">IF(助手报销!$T$90=1,"合计：","")</f>
        <v/>
      </c>
      <c r="C1332" s="73" t="str">
        <f aca="false">IF(助手报销!$T$90=1,$F1332,"")</f>
        <v/>
      </c>
      <c r="D1332" s="74"/>
      <c r="E1332" s="74"/>
      <c r="F1332" s="75" t="str">
        <f aca="false">IF(助手报销!$T$90=1,INDEX(助手报销!$N$2:$N$121,助手报销!$R$90),"")</f>
        <v/>
      </c>
      <c r="G1332" s="76" t="str">
        <f aca="false">IF(助手报销!$T$90=1,INDEX(助手报销!$O$2:$O$121,助手报销!$R$90),"")</f>
        <v/>
      </c>
      <c r="H1332" s="74"/>
      <c r="I1332" s="77"/>
    </row>
    <row r="1333" customFormat="false" ht="6" hidden="false" customHeight="true" outlineLevel="0" collapsed="false"/>
    <row r="1334" customFormat="false" ht="13.5" hidden="false" customHeight="false" outlineLevel="0" collapsed="false">
      <c r="B1334" s="78" t="str">
        <f aca="false">IF(助手报销!$R$90&lt;&gt;"","会计主管：","")</f>
        <v/>
      </c>
      <c r="D1334" s="78" t="str">
        <f aca="false">IF(助手报销!$R$90&lt;&gt;"","会计：","")</f>
        <v/>
      </c>
      <c r="E1334" s="78" t="str">
        <f aca="false">IF(助手报销!$R$90&lt;&gt;"","出纳：","")</f>
        <v/>
      </c>
      <c r="F1334" s="78" t="str">
        <f aca="false">IF(助手报销!$R$90&lt;&gt;"","复核：","")</f>
        <v/>
      </c>
      <c r="G1334" s="78" t="str">
        <f aca="false">IF(助手报销!$R$90&lt;&gt;"","制单：","")</f>
        <v/>
      </c>
    </row>
    <row r="1335" customFormat="false" ht="3" hidden="false" customHeight="true" outlineLevel="0" collapsed="false"/>
    <row r="1336" customFormat="false" ht="19.5" hidden="false" customHeight="true" outlineLevel="0" collapsed="false">
      <c r="B1336" s="53" t="str">
        <f aca="false">IF(助手报销!$R$91&lt;&gt;"","记  账  凭  证","")</f>
        <v/>
      </c>
      <c r="C1336" s="53"/>
      <c r="D1336" s="53"/>
      <c r="E1336" s="53"/>
      <c r="F1336" s="53"/>
      <c r="G1336" s="53"/>
      <c r="H1336" s="53"/>
      <c r="I1336" s="53"/>
    </row>
    <row r="1337" customFormat="false" ht="3" hidden="false" customHeight="true" outlineLevel="0" collapsed="false"/>
    <row r="1338" customFormat="false" ht="15" hidden="false" customHeight="true" outlineLevel="0" collapsed="false">
      <c r="C1338" s="56" t="str">
        <f aca="false">IF(助手报销!$R$91&lt;&gt;"",INDEX(助手报销!$B$2:$B$121,助手报销!$R$91),"")</f>
        <v/>
      </c>
      <c r="D1338" s="57" t="str">
        <f aca="false">IF(助手报销!$R$91&lt;&gt;"",INDEX(助手报销!$D$2:$D$121,助手报销!$R$91),"")</f>
        <v/>
      </c>
      <c r="E1338" s="57"/>
      <c r="F1338" s="58" t="str">
        <f aca="false">IF(助手报销!$R$91&lt;&gt;"",INDEX(助手报销!$C$2:$C$121,助手报销!$R$91)&amp;"  字第 "&amp;IF(参数!$B$9="是",INDEX(助手报销!$P$2:$P$121,助手报销!$R$91),"　　　　")&amp;" 号"&amp;IF(INDEX(助手报销!$L$2:$L$121,助手报销!$R$91)&gt;1,"  (共"&amp;INDEX(助手报销!$L$2:$L$121,助手报销!$R$91)&amp;"页 第"&amp;助手报销!$S$91&amp;"页)",""),"")</f>
        <v/>
      </c>
      <c r="G1338" s="58"/>
      <c r="H1338" s="58"/>
      <c r="I1338" s="58"/>
      <c r="M1338" s="79" t="str">
        <f aca="false">IF(助手报销!$R$91="","",助手报销!$Q$91)</f>
        <v/>
      </c>
      <c r="N1338" s="80" t="str">
        <f aca="false">IF(助手报销!$R$91="","",INDEX(助手报销!$P$2:$P$121,助手报销!$R$91))</f>
        <v/>
      </c>
      <c r="O1338" s="55" t="str">
        <f aca="false">IF(助手报销!$R$91="","",INDEX(助手报销!$C$2:$C$121,助手报销!$R$91)&amp;"  字第 "&amp;INDEX(助手报销!$P$2:$P$121,助手报销!$R$91)&amp;" 号"&amp;IF(INDEX(助手报销!$L$2:$L$121,助手报销!$R$91)&gt;1,"  (共"&amp;INDEX(助手报销!$L$2:$L$121,助手报销!$R$91)&amp;"页 第"&amp;助手报销!$S$91&amp;"页)",""))</f>
        <v/>
      </c>
    </row>
    <row r="1339" customFormat="false" ht="12.75" hidden="false" customHeight="true" outlineLevel="0" collapsed="false">
      <c r="B1339" s="61" t="str">
        <f aca="false">IF(助手报销!$R$91&lt;&gt;"","摘　　要","")</f>
        <v/>
      </c>
      <c r="C1339" s="61"/>
      <c r="D1339" s="62" t="str">
        <f aca="false">IF(助手报销!$R$91&lt;&gt;"","科　　　　目","")</f>
        <v/>
      </c>
      <c r="E1339" s="62"/>
      <c r="F1339" s="61" t="str">
        <f aca="false">IF(助手报销!$R$91&lt;&gt;"","借 方 金 额","")</f>
        <v/>
      </c>
      <c r="G1339" s="62" t="str">
        <f aca="false">IF(助手报销!$R$91&lt;&gt;"","贷 方 金 额","")</f>
        <v/>
      </c>
      <c r="H1339" s="63" t="str">
        <f aca="false">IF(助手报销!$R$91&lt;&gt;"","√","")</f>
        <v/>
      </c>
      <c r="I1339" s="64" t="str">
        <f aca="false">IF(助手报销!$R$91&lt;&gt;"","附单据  张","")</f>
        <v/>
      </c>
    </row>
    <row r="1340" customFormat="false" ht="12.75" hidden="false" customHeight="true" outlineLevel="0" collapsed="false">
      <c r="B1340" s="61"/>
      <c r="C1340" s="61"/>
      <c r="D1340" s="23" t="str">
        <f aca="false">IF(助手报销!$R$91&lt;&gt;"","总 账 科 目","")</f>
        <v/>
      </c>
      <c r="E1340" s="23" t="str">
        <f aca="false">IF(助手报销!$R$91&lt;&gt;"","明 细 科 目","")</f>
        <v/>
      </c>
      <c r="F1340" s="65"/>
      <c r="G1340" s="66"/>
      <c r="H1340" s="63"/>
      <c r="I1340" s="64"/>
    </row>
    <row r="1341" customFormat="false" ht="23.25" hidden="false" customHeight="true" outlineLevel="0" collapsed="false">
      <c r="B1341" s="67" t="str">
        <f aca="false">IFERROR(INDEX(分录报销!$M:$M,MATCH($L1341,分录报销!$L:$L,0)),"")</f>
        <v/>
      </c>
      <c r="C1341" s="67"/>
      <c r="D1341" s="23" t="str">
        <f aca="false">IFERROR(INDEX(分录报销!$E:$E,MATCH($L1341,分录报销!$L:$L,0)),"")</f>
        <v/>
      </c>
      <c r="E1341" s="23" t="str">
        <f aca="false">IFERROR(INDEX(分录报销!$F:$F,MATCH($L1341,分录报销!$L:$L,0)),"")</f>
        <v/>
      </c>
      <c r="F1341" s="68" t="str">
        <f aca="false">IFERROR(INDEX(分录报销!$H:$H,MATCH($L1341,分录报销!$L:$L,0)),"")</f>
        <v/>
      </c>
      <c r="G1341" s="69" t="str">
        <f aca="false">IFERROR(INDEX(分录报销!$I:$I,MATCH($L1341,分录报销!$L:$L,0)),"")</f>
        <v/>
      </c>
      <c r="H1341" s="23"/>
      <c r="I1341" s="70"/>
      <c r="L1341" s="71" t="n">
        <f aca="false">IF(助手报销!$R$91="",-1,助手报销!$R$91*100+(助手报销!$S$91-1)*6+1)</f>
        <v>-1</v>
      </c>
    </row>
    <row r="1342" customFormat="false" ht="23.25" hidden="false" customHeight="true" outlineLevel="0" collapsed="false">
      <c r="B1342" s="67" t="str">
        <f aca="false">IFERROR(INDEX(分录报销!$M:$M,MATCH($L1342,分录报销!$L:$L,0)),"")</f>
        <v/>
      </c>
      <c r="C1342" s="67"/>
      <c r="D1342" s="23" t="str">
        <f aca="false">IFERROR(INDEX(分录报销!$E:$E,MATCH($L1342,分录报销!$L:$L,0)),"")</f>
        <v/>
      </c>
      <c r="E1342" s="23" t="str">
        <f aca="false">IFERROR(INDEX(分录报销!$F:$F,MATCH($L1342,分录报销!$L:$L,0)),"")</f>
        <v/>
      </c>
      <c r="F1342" s="68" t="str">
        <f aca="false">IFERROR(INDEX(分录报销!$H:$H,MATCH($L1342,分录报销!$L:$L,0)),"")</f>
        <v/>
      </c>
      <c r="G1342" s="69" t="str">
        <f aca="false">IFERROR(INDEX(分录报销!$I:$I,MATCH($L1342,分录报销!$L:$L,0)),"")</f>
        <v/>
      </c>
      <c r="H1342" s="23"/>
      <c r="I1342" s="70"/>
      <c r="L1342" s="71" t="n">
        <f aca="false">IF(助手报销!$R$91="",-1,助手报销!$R$91*100+(助手报销!$S$91-1)*6+2)</f>
        <v>-1</v>
      </c>
    </row>
    <row r="1343" customFormat="false" ht="23.25" hidden="false" customHeight="true" outlineLevel="0" collapsed="false">
      <c r="B1343" s="67" t="str">
        <f aca="false">IFERROR(INDEX(分录报销!$M:$M,MATCH($L1343,分录报销!$L:$L,0)),"")</f>
        <v/>
      </c>
      <c r="C1343" s="67"/>
      <c r="D1343" s="23" t="str">
        <f aca="false">IFERROR(INDEX(分录报销!$E:$E,MATCH($L1343,分录报销!$L:$L,0)),"")</f>
        <v/>
      </c>
      <c r="E1343" s="23" t="str">
        <f aca="false">IFERROR(INDEX(分录报销!$F:$F,MATCH($L1343,分录报销!$L:$L,0)),"")</f>
        <v/>
      </c>
      <c r="F1343" s="68" t="str">
        <f aca="false">IFERROR(INDEX(分录报销!$H:$H,MATCH($L1343,分录报销!$L:$L,0)),"")</f>
        <v/>
      </c>
      <c r="G1343" s="69" t="str">
        <f aca="false">IFERROR(INDEX(分录报销!$I:$I,MATCH($L1343,分录报销!$L:$L,0)),"")</f>
        <v/>
      </c>
      <c r="H1343" s="23"/>
      <c r="I1343" s="70"/>
      <c r="L1343" s="71" t="n">
        <f aca="false">IF(助手报销!$R$91="",-1,助手报销!$R$91*100+(助手报销!$S$91-1)*6+3)</f>
        <v>-1</v>
      </c>
    </row>
    <row r="1344" customFormat="false" ht="23.25" hidden="false" customHeight="true" outlineLevel="0" collapsed="false">
      <c r="B1344" s="67" t="str">
        <f aca="false">IFERROR(INDEX(分录报销!$M:$M,MATCH($L1344,分录报销!$L:$L,0)),"")</f>
        <v/>
      </c>
      <c r="C1344" s="67"/>
      <c r="D1344" s="23" t="str">
        <f aca="false">IFERROR(INDEX(分录报销!$E:$E,MATCH($L1344,分录报销!$L:$L,0)),"")</f>
        <v/>
      </c>
      <c r="E1344" s="23" t="str">
        <f aca="false">IFERROR(INDEX(分录报销!$F:$F,MATCH($L1344,分录报销!$L:$L,0)),"")</f>
        <v/>
      </c>
      <c r="F1344" s="68" t="str">
        <f aca="false">IFERROR(INDEX(分录报销!$H:$H,MATCH($L1344,分录报销!$L:$L,0)),"")</f>
        <v/>
      </c>
      <c r="G1344" s="69" t="str">
        <f aca="false">IFERROR(INDEX(分录报销!$I:$I,MATCH($L1344,分录报销!$L:$L,0)),"")</f>
        <v/>
      </c>
      <c r="H1344" s="23"/>
      <c r="I1344" s="70"/>
      <c r="L1344" s="71" t="n">
        <f aca="false">IF(助手报销!$R$91="",-1,助手报销!$R$91*100+(助手报销!$S$91-1)*6+4)</f>
        <v>-1</v>
      </c>
    </row>
    <row r="1345" customFormat="false" ht="23.25" hidden="false" customHeight="true" outlineLevel="0" collapsed="false">
      <c r="B1345" s="67" t="str">
        <f aca="false">IFERROR(INDEX(分录报销!$M:$M,MATCH($L1345,分录报销!$L:$L,0)),"")</f>
        <v/>
      </c>
      <c r="C1345" s="67"/>
      <c r="D1345" s="23" t="str">
        <f aca="false">IFERROR(INDEX(分录报销!$E:$E,MATCH($L1345,分录报销!$L:$L,0)),"")</f>
        <v/>
      </c>
      <c r="E1345" s="23" t="str">
        <f aca="false">IFERROR(INDEX(分录报销!$F:$F,MATCH($L1345,分录报销!$L:$L,0)),"")</f>
        <v/>
      </c>
      <c r="F1345" s="68" t="str">
        <f aca="false">IFERROR(INDEX(分录报销!$H:$H,MATCH($L1345,分录报销!$L:$L,0)),"")</f>
        <v/>
      </c>
      <c r="G1345" s="69" t="str">
        <f aca="false">IFERROR(INDEX(分录报销!$I:$I,MATCH($L1345,分录报销!$L:$L,0)),"")</f>
        <v/>
      </c>
      <c r="H1345" s="23"/>
      <c r="I1345" s="70"/>
      <c r="L1345" s="71" t="n">
        <f aca="false">IF(助手报销!$R$91="",-1,助手报销!$R$91*100+(助手报销!$S$91-1)*6+5)</f>
        <v>-1</v>
      </c>
    </row>
    <row r="1346" customFormat="false" ht="23.25" hidden="false" customHeight="true" outlineLevel="0" collapsed="false">
      <c r="B1346" s="67" t="str">
        <f aca="false">IFERROR(INDEX(分录报销!$M:$M,MATCH($L1346,分录报销!$L:$L,0)),"")</f>
        <v/>
      </c>
      <c r="C1346" s="67"/>
      <c r="D1346" s="23" t="str">
        <f aca="false">IFERROR(INDEX(分录报销!$E:$E,MATCH($L1346,分录报销!$L:$L,0)),"")</f>
        <v/>
      </c>
      <c r="E1346" s="23" t="str">
        <f aca="false">IFERROR(INDEX(分录报销!$F:$F,MATCH($L1346,分录报销!$L:$L,0)),"")</f>
        <v/>
      </c>
      <c r="F1346" s="68" t="str">
        <f aca="false">IFERROR(INDEX(分录报销!$H:$H,MATCH($L1346,分录报销!$L:$L,0)),"")</f>
        <v/>
      </c>
      <c r="G1346" s="69" t="str">
        <f aca="false">IFERROR(INDEX(分录报销!$I:$I,MATCH($L1346,分录报销!$L:$L,0)),"")</f>
        <v/>
      </c>
      <c r="H1346" s="23"/>
      <c r="I1346" s="70"/>
      <c r="L1346" s="71" t="n">
        <f aca="false">IF(助手报销!$R$91="",-1,助手报销!$R$91*100+(助手报销!$S$91-1)*6+6)</f>
        <v>-1</v>
      </c>
    </row>
    <row r="1347" customFormat="false" ht="23.25" hidden="false" customHeight="true" outlineLevel="0" collapsed="false">
      <c r="B1347" s="72" t="str">
        <f aca="false">IF(助手报销!$T$91=1,"合计：","")</f>
        <v/>
      </c>
      <c r="C1347" s="73" t="str">
        <f aca="false">IF(助手报销!$T$91=1,$F1347,"")</f>
        <v/>
      </c>
      <c r="D1347" s="74"/>
      <c r="E1347" s="74"/>
      <c r="F1347" s="75" t="str">
        <f aca="false">IF(助手报销!$T$91=1,INDEX(助手报销!$N$2:$N$121,助手报销!$R$91),"")</f>
        <v/>
      </c>
      <c r="G1347" s="76" t="str">
        <f aca="false">IF(助手报销!$T$91=1,INDEX(助手报销!$O$2:$O$121,助手报销!$R$91),"")</f>
        <v/>
      </c>
      <c r="H1347" s="74"/>
      <c r="I1347" s="77"/>
    </row>
    <row r="1348" customFormat="false" ht="6" hidden="false" customHeight="true" outlineLevel="0" collapsed="false"/>
    <row r="1349" customFormat="false" ht="13.5" hidden="false" customHeight="false" outlineLevel="0" collapsed="false">
      <c r="B1349" s="78" t="str">
        <f aca="false">IF(助手报销!$R$91&lt;&gt;"","会计主管：","")</f>
        <v/>
      </c>
      <c r="D1349" s="78" t="str">
        <f aca="false">IF(助手报销!$R$91&lt;&gt;"","会计：","")</f>
        <v/>
      </c>
      <c r="E1349" s="78" t="str">
        <f aca="false">IF(助手报销!$R$91&lt;&gt;"","出纳：","")</f>
        <v/>
      </c>
      <c r="F1349" s="78" t="str">
        <f aca="false">IF(助手报销!$R$91&lt;&gt;"","复核：","")</f>
        <v/>
      </c>
      <c r="G1349" s="78" t="str">
        <f aca="false">IF(助手报销!$R$91&lt;&gt;"","制单：","")</f>
        <v/>
      </c>
    </row>
    <row r="1350" customFormat="false" ht="3" hidden="false" customHeight="true" outlineLevel="0" collapsed="false"/>
    <row r="1351" customFormat="false" ht="19.5" hidden="false" customHeight="true" outlineLevel="0" collapsed="false">
      <c r="B1351" s="53" t="str">
        <f aca="false">IF(助手报销!$R$92&lt;&gt;"","记  账  凭  证","")</f>
        <v/>
      </c>
      <c r="C1351" s="53"/>
      <c r="D1351" s="53"/>
      <c r="E1351" s="53"/>
      <c r="F1351" s="53"/>
      <c r="G1351" s="53"/>
      <c r="H1351" s="53"/>
      <c r="I1351" s="53"/>
    </row>
    <row r="1352" customFormat="false" ht="3" hidden="false" customHeight="true" outlineLevel="0" collapsed="false"/>
    <row r="1353" customFormat="false" ht="15" hidden="false" customHeight="true" outlineLevel="0" collapsed="false">
      <c r="C1353" s="56" t="str">
        <f aca="false">IF(助手报销!$R$92&lt;&gt;"",INDEX(助手报销!$B$2:$B$121,助手报销!$R$92),"")</f>
        <v/>
      </c>
      <c r="D1353" s="57" t="str">
        <f aca="false">IF(助手报销!$R$92&lt;&gt;"",INDEX(助手报销!$D$2:$D$121,助手报销!$R$92),"")</f>
        <v/>
      </c>
      <c r="E1353" s="57"/>
      <c r="F1353" s="58" t="str">
        <f aca="false">IF(助手报销!$R$92&lt;&gt;"",INDEX(助手报销!$C$2:$C$121,助手报销!$R$92)&amp;"  字第 "&amp;IF(参数!$B$9="是",INDEX(助手报销!$P$2:$P$121,助手报销!$R$92),"　　　　")&amp;" 号"&amp;IF(INDEX(助手报销!$L$2:$L$121,助手报销!$R$92)&gt;1,"  (共"&amp;INDEX(助手报销!$L$2:$L$121,助手报销!$R$92)&amp;"页 第"&amp;助手报销!$S$92&amp;"页)",""),"")</f>
        <v/>
      </c>
      <c r="G1353" s="58"/>
      <c r="H1353" s="58"/>
      <c r="I1353" s="58"/>
      <c r="M1353" s="79" t="str">
        <f aca="false">IF(助手报销!$R$92="","",助手报销!$Q$92)</f>
        <v/>
      </c>
      <c r="N1353" s="80" t="str">
        <f aca="false">IF(助手报销!$R$92="","",INDEX(助手报销!$P$2:$P$121,助手报销!$R$92))</f>
        <v/>
      </c>
      <c r="O1353" s="55" t="str">
        <f aca="false">IF(助手报销!$R$92="","",INDEX(助手报销!$C$2:$C$121,助手报销!$R$92)&amp;"  字第 "&amp;INDEX(助手报销!$P$2:$P$121,助手报销!$R$92)&amp;" 号"&amp;IF(INDEX(助手报销!$L$2:$L$121,助手报销!$R$92)&gt;1,"  (共"&amp;INDEX(助手报销!$L$2:$L$121,助手报销!$R$92)&amp;"页 第"&amp;助手报销!$S$92&amp;"页)",""))</f>
        <v/>
      </c>
    </row>
    <row r="1354" customFormat="false" ht="12.75" hidden="false" customHeight="true" outlineLevel="0" collapsed="false">
      <c r="B1354" s="61" t="str">
        <f aca="false">IF(助手报销!$R$92&lt;&gt;"","摘　　要","")</f>
        <v/>
      </c>
      <c r="C1354" s="61"/>
      <c r="D1354" s="62" t="str">
        <f aca="false">IF(助手报销!$R$92&lt;&gt;"","科　　　　目","")</f>
        <v/>
      </c>
      <c r="E1354" s="62"/>
      <c r="F1354" s="61" t="str">
        <f aca="false">IF(助手报销!$R$92&lt;&gt;"","借 方 金 额","")</f>
        <v/>
      </c>
      <c r="G1354" s="62" t="str">
        <f aca="false">IF(助手报销!$R$92&lt;&gt;"","贷 方 金 额","")</f>
        <v/>
      </c>
      <c r="H1354" s="63" t="str">
        <f aca="false">IF(助手报销!$R$92&lt;&gt;"","√","")</f>
        <v/>
      </c>
      <c r="I1354" s="64" t="str">
        <f aca="false">IF(助手报销!$R$92&lt;&gt;"","附单据  张","")</f>
        <v/>
      </c>
    </row>
    <row r="1355" customFormat="false" ht="12.75" hidden="false" customHeight="true" outlineLevel="0" collapsed="false">
      <c r="B1355" s="61"/>
      <c r="C1355" s="61"/>
      <c r="D1355" s="23" t="str">
        <f aca="false">IF(助手报销!$R$92&lt;&gt;"","总 账 科 目","")</f>
        <v/>
      </c>
      <c r="E1355" s="23" t="str">
        <f aca="false">IF(助手报销!$R$92&lt;&gt;"","明 细 科 目","")</f>
        <v/>
      </c>
      <c r="F1355" s="65"/>
      <c r="G1355" s="66"/>
      <c r="H1355" s="63"/>
      <c r="I1355" s="64"/>
    </row>
    <row r="1356" customFormat="false" ht="23.25" hidden="false" customHeight="true" outlineLevel="0" collapsed="false">
      <c r="B1356" s="67" t="str">
        <f aca="false">IFERROR(INDEX(分录报销!$M:$M,MATCH($L1356,分录报销!$L:$L,0)),"")</f>
        <v/>
      </c>
      <c r="C1356" s="67"/>
      <c r="D1356" s="23" t="str">
        <f aca="false">IFERROR(INDEX(分录报销!$E:$E,MATCH($L1356,分录报销!$L:$L,0)),"")</f>
        <v/>
      </c>
      <c r="E1356" s="23" t="str">
        <f aca="false">IFERROR(INDEX(分录报销!$F:$F,MATCH($L1356,分录报销!$L:$L,0)),"")</f>
        <v/>
      </c>
      <c r="F1356" s="68" t="str">
        <f aca="false">IFERROR(INDEX(分录报销!$H:$H,MATCH($L1356,分录报销!$L:$L,0)),"")</f>
        <v/>
      </c>
      <c r="G1356" s="69" t="str">
        <f aca="false">IFERROR(INDEX(分录报销!$I:$I,MATCH($L1356,分录报销!$L:$L,0)),"")</f>
        <v/>
      </c>
      <c r="H1356" s="23"/>
      <c r="I1356" s="70"/>
      <c r="L1356" s="71" t="n">
        <f aca="false">IF(助手报销!$R$92="",-1,助手报销!$R$92*100+(助手报销!$S$92-1)*6+1)</f>
        <v>-1</v>
      </c>
    </row>
    <row r="1357" customFormat="false" ht="23.25" hidden="false" customHeight="true" outlineLevel="0" collapsed="false">
      <c r="B1357" s="67" t="str">
        <f aca="false">IFERROR(INDEX(分录报销!$M:$M,MATCH($L1357,分录报销!$L:$L,0)),"")</f>
        <v/>
      </c>
      <c r="C1357" s="67"/>
      <c r="D1357" s="23" t="str">
        <f aca="false">IFERROR(INDEX(分录报销!$E:$E,MATCH($L1357,分录报销!$L:$L,0)),"")</f>
        <v/>
      </c>
      <c r="E1357" s="23" t="str">
        <f aca="false">IFERROR(INDEX(分录报销!$F:$F,MATCH($L1357,分录报销!$L:$L,0)),"")</f>
        <v/>
      </c>
      <c r="F1357" s="68" t="str">
        <f aca="false">IFERROR(INDEX(分录报销!$H:$H,MATCH($L1357,分录报销!$L:$L,0)),"")</f>
        <v/>
      </c>
      <c r="G1357" s="69" t="str">
        <f aca="false">IFERROR(INDEX(分录报销!$I:$I,MATCH($L1357,分录报销!$L:$L,0)),"")</f>
        <v/>
      </c>
      <c r="H1357" s="23"/>
      <c r="I1357" s="70"/>
      <c r="L1357" s="71" t="n">
        <f aca="false">IF(助手报销!$R$92="",-1,助手报销!$R$92*100+(助手报销!$S$92-1)*6+2)</f>
        <v>-1</v>
      </c>
    </row>
    <row r="1358" customFormat="false" ht="23.25" hidden="false" customHeight="true" outlineLevel="0" collapsed="false">
      <c r="B1358" s="67" t="str">
        <f aca="false">IFERROR(INDEX(分录报销!$M:$M,MATCH($L1358,分录报销!$L:$L,0)),"")</f>
        <v/>
      </c>
      <c r="C1358" s="67"/>
      <c r="D1358" s="23" t="str">
        <f aca="false">IFERROR(INDEX(分录报销!$E:$E,MATCH($L1358,分录报销!$L:$L,0)),"")</f>
        <v/>
      </c>
      <c r="E1358" s="23" t="str">
        <f aca="false">IFERROR(INDEX(分录报销!$F:$F,MATCH($L1358,分录报销!$L:$L,0)),"")</f>
        <v/>
      </c>
      <c r="F1358" s="68" t="str">
        <f aca="false">IFERROR(INDEX(分录报销!$H:$H,MATCH($L1358,分录报销!$L:$L,0)),"")</f>
        <v/>
      </c>
      <c r="G1358" s="69" t="str">
        <f aca="false">IFERROR(INDEX(分录报销!$I:$I,MATCH($L1358,分录报销!$L:$L,0)),"")</f>
        <v/>
      </c>
      <c r="H1358" s="23"/>
      <c r="I1358" s="70"/>
      <c r="L1358" s="71" t="n">
        <f aca="false">IF(助手报销!$R$92="",-1,助手报销!$R$92*100+(助手报销!$S$92-1)*6+3)</f>
        <v>-1</v>
      </c>
    </row>
    <row r="1359" customFormat="false" ht="23.25" hidden="false" customHeight="true" outlineLevel="0" collapsed="false">
      <c r="B1359" s="67" t="str">
        <f aca="false">IFERROR(INDEX(分录报销!$M:$M,MATCH($L1359,分录报销!$L:$L,0)),"")</f>
        <v/>
      </c>
      <c r="C1359" s="67"/>
      <c r="D1359" s="23" t="str">
        <f aca="false">IFERROR(INDEX(分录报销!$E:$E,MATCH($L1359,分录报销!$L:$L,0)),"")</f>
        <v/>
      </c>
      <c r="E1359" s="23" t="str">
        <f aca="false">IFERROR(INDEX(分录报销!$F:$F,MATCH($L1359,分录报销!$L:$L,0)),"")</f>
        <v/>
      </c>
      <c r="F1359" s="68" t="str">
        <f aca="false">IFERROR(INDEX(分录报销!$H:$H,MATCH($L1359,分录报销!$L:$L,0)),"")</f>
        <v/>
      </c>
      <c r="G1359" s="69" t="str">
        <f aca="false">IFERROR(INDEX(分录报销!$I:$I,MATCH($L1359,分录报销!$L:$L,0)),"")</f>
        <v/>
      </c>
      <c r="H1359" s="23"/>
      <c r="I1359" s="70"/>
      <c r="L1359" s="71" t="n">
        <f aca="false">IF(助手报销!$R$92="",-1,助手报销!$R$92*100+(助手报销!$S$92-1)*6+4)</f>
        <v>-1</v>
      </c>
    </row>
    <row r="1360" customFormat="false" ht="23.25" hidden="false" customHeight="true" outlineLevel="0" collapsed="false">
      <c r="B1360" s="67" t="str">
        <f aca="false">IFERROR(INDEX(分录报销!$M:$M,MATCH($L1360,分录报销!$L:$L,0)),"")</f>
        <v/>
      </c>
      <c r="C1360" s="67"/>
      <c r="D1360" s="23" t="str">
        <f aca="false">IFERROR(INDEX(分录报销!$E:$E,MATCH($L1360,分录报销!$L:$L,0)),"")</f>
        <v/>
      </c>
      <c r="E1360" s="23" t="str">
        <f aca="false">IFERROR(INDEX(分录报销!$F:$F,MATCH($L1360,分录报销!$L:$L,0)),"")</f>
        <v/>
      </c>
      <c r="F1360" s="68" t="str">
        <f aca="false">IFERROR(INDEX(分录报销!$H:$H,MATCH($L1360,分录报销!$L:$L,0)),"")</f>
        <v/>
      </c>
      <c r="G1360" s="69" t="str">
        <f aca="false">IFERROR(INDEX(分录报销!$I:$I,MATCH($L1360,分录报销!$L:$L,0)),"")</f>
        <v/>
      </c>
      <c r="H1360" s="23"/>
      <c r="I1360" s="70"/>
      <c r="L1360" s="71" t="n">
        <f aca="false">IF(助手报销!$R$92="",-1,助手报销!$R$92*100+(助手报销!$S$92-1)*6+5)</f>
        <v>-1</v>
      </c>
    </row>
    <row r="1361" customFormat="false" ht="23.25" hidden="false" customHeight="true" outlineLevel="0" collapsed="false">
      <c r="B1361" s="67" t="str">
        <f aca="false">IFERROR(INDEX(分录报销!$M:$M,MATCH($L1361,分录报销!$L:$L,0)),"")</f>
        <v/>
      </c>
      <c r="C1361" s="67"/>
      <c r="D1361" s="23" t="str">
        <f aca="false">IFERROR(INDEX(分录报销!$E:$E,MATCH($L1361,分录报销!$L:$L,0)),"")</f>
        <v/>
      </c>
      <c r="E1361" s="23" t="str">
        <f aca="false">IFERROR(INDEX(分录报销!$F:$F,MATCH($L1361,分录报销!$L:$L,0)),"")</f>
        <v/>
      </c>
      <c r="F1361" s="68" t="str">
        <f aca="false">IFERROR(INDEX(分录报销!$H:$H,MATCH($L1361,分录报销!$L:$L,0)),"")</f>
        <v/>
      </c>
      <c r="G1361" s="69" t="str">
        <f aca="false">IFERROR(INDEX(分录报销!$I:$I,MATCH($L1361,分录报销!$L:$L,0)),"")</f>
        <v/>
      </c>
      <c r="H1361" s="23"/>
      <c r="I1361" s="70"/>
      <c r="L1361" s="71" t="n">
        <f aca="false">IF(助手报销!$R$92="",-1,助手报销!$R$92*100+(助手报销!$S$92-1)*6+6)</f>
        <v>-1</v>
      </c>
    </row>
    <row r="1362" customFormat="false" ht="23.25" hidden="false" customHeight="true" outlineLevel="0" collapsed="false">
      <c r="B1362" s="72" t="str">
        <f aca="false">IF(助手报销!$T$92=1,"合计：","")</f>
        <v/>
      </c>
      <c r="C1362" s="73" t="str">
        <f aca="false">IF(助手报销!$T$92=1,$F1362,"")</f>
        <v/>
      </c>
      <c r="D1362" s="74"/>
      <c r="E1362" s="74"/>
      <c r="F1362" s="75" t="str">
        <f aca="false">IF(助手报销!$T$92=1,INDEX(助手报销!$N$2:$N$121,助手报销!$R$92),"")</f>
        <v/>
      </c>
      <c r="G1362" s="76" t="str">
        <f aca="false">IF(助手报销!$T$92=1,INDEX(助手报销!$O$2:$O$121,助手报销!$R$92),"")</f>
        <v/>
      </c>
      <c r="H1362" s="74"/>
      <c r="I1362" s="77"/>
    </row>
    <row r="1363" customFormat="false" ht="6" hidden="false" customHeight="true" outlineLevel="0" collapsed="false"/>
    <row r="1364" customFormat="false" ht="13.5" hidden="false" customHeight="false" outlineLevel="0" collapsed="false">
      <c r="B1364" s="78" t="str">
        <f aca="false">IF(助手报销!$R$92&lt;&gt;"","会计主管：","")</f>
        <v/>
      </c>
      <c r="D1364" s="78" t="str">
        <f aca="false">IF(助手报销!$R$92&lt;&gt;"","会计：","")</f>
        <v/>
      </c>
      <c r="E1364" s="78" t="str">
        <f aca="false">IF(助手报销!$R$92&lt;&gt;"","出纳：","")</f>
        <v/>
      </c>
      <c r="F1364" s="78" t="str">
        <f aca="false">IF(助手报销!$R$92&lt;&gt;"","复核：","")</f>
        <v/>
      </c>
      <c r="G1364" s="78" t="str">
        <f aca="false">IF(助手报销!$R$92&lt;&gt;"","制单：","")</f>
        <v/>
      </c>
    </row>
    <row r="1365" customFormat="false" ht="3" hidden="false" customHeight="true" outlineLevel="0" collapsed="false"/>
    <row r="1366" customFormat="false" ht="19.5" hidden="false" customHeight="true" outlineLevel="0" collapsed="false">
      <c r="B1366" s="53" t="str">
        <f aca="false">IF(助手报销!$R$93&lt;&gt;"","记  账  凭  证","")</f>
        <v/>
      </c>
      <c r="C1366" s="53"/>
      <c r="D1366" s="53"/>
      <c r="E1366" s="53"/>
      <c r="F1366" s="53"/>
      <c r="G1366" s="53"/>
      <c r="H1366" s="53"/>
      <c r="I1366" s="53"/>
    </row>
    <row r="1367" customFormat="false" ht="3" hidden="false" customHeight="true" outlineLevel="0" collapsed="false"/>
    <row r="1368" customFormat="false" ht="15" hidden="false" customHeight="true" outlineLevel="0" collapsed="false">
      <c r="C1368" s="56" t="str">
        <f aca="false">IF(助手报销!$R$93&lt;&gt;"",INDEX(助手报销!$B$2:$B$121,助手报销!$R$93),"")</f>
        <v/>
      </c>
      <c r="D1368" s="57" t="str">
        <f aca="false">IF(助手报销!$R$93&lt;&gt;"",INDEX(助手报销!$D$2:$D$121,助手报销!$R$93),"")</f>
        <v/>
      </c>
      <c r="E1368" s="57"/>
      <c r="F1368" s="58" t="str">
        <f aca="false">IF(助手报销!$R$93&lt;&gt;"",INDEX(助手报销!$C$2:$C$121,助手报销!$R$93)&amp;"  字第 "&amp;IF(参数!$B$9="是",INDEX(助手报销!$P$2:$P$121,助手报销!$R$93),"　　　　")&amp;" 号"&amp;IF(INDEX(助手报销!$L$2:$L$121,助手报销!$R$93)&gt;1,"  (共"&amp;INDEX(助手报销!$L$2:$L$121,助手报销!$R$93)&amp;"页 第"&amp;助手报销!$S$93&amp;"页)",""),"")</f>
        <v/>
      </c>
      <c r="G1368" s="58"/>
      <c r="H1368" s="58"/>
      <c r="I1368" s="58"/>
      <c r="M1368" s="79" t="str">
        <f aca="false">IF(助手报销!$R$93="","",助手报销!$Q$93)</f>
        <v/>
      </c>
      <c r="N1368" s="80" t="str">
        <f aca="false">IF(助手报销!$R$93="","",INDEX(助手报销!$P$2:$P$121,助手报销!$R$93))</f>
        <v/>
      </c>
      <c r="O1368" s="55" t="str">
        <f aca="false">IF(助手报销!$R$93="","",INDEX(助手报销!$C$2:$C$121,助手报销!$R$93)&amp;"  字第 "&amp;INDEX(助手报销!$P$2:$P$121,助手报销!$R$93)&amp;" 号"&amp;IF(INDEX(助手报销!$L$2:$L$121,助手报销!$R$93)&gt;1,"  (共"&amp;INDEX(助手报销!$L$2:$L$121,助手报销!$R$93)&amp;"页 第"&amp;助手报销!$S$93&amp;"页)",""))</f>
        <v/>
      </c>
    </row>
    <row r="1369" customFormat="false" ht="12.75" hidden="false" customHeight="true" outlineLevel="0" collapsed="false">
      <c r="B1369" s="61" t="str">
        <f aca="false">IF(助手报销!$R$93&lt;&gt;"","摘　　要","")</f>
        <v/>
      </c>
      <c r="C1369" s="61"/>
      <c r="D1369" s="62" t="str">
        <f aca="false">IF(助手报销!$R$93&lt;&gt;"","科　　　　目","")</f>
        <v/>
      </c>
      <c r="E1369" s="62"/>
      <c r="F1369" s="61" t="str">
        <f aca="false">IF(助手报销!$R$93&lt;&gt;"","借 方 金 额","")</f>
        <v/>
      </c>
      <c r="G1369" s="62" t="str">
        <f aca="false">IF(助手报销!$R$93&lt;&gt;"","贷 方 金 额","")</f>
        <v/>
      </c>
      <c r="H1369" s="63" t="str">
        <f aca="false">IF(助手报销!$R$93&lt;&gt;"","√","")</f>
        <v/>
      </c>
      <c r="I1369" s="64" t="str">
        <f aca="false">IF(助手报销!$R$93&lt;&gt;"","附单据  张","")</f>
        <v/>
      </c>
    </row>
    <row r="1370" customFormat="false" ht="12.75" hidden="false" customHeight="true" outlineLevel="0" collapsed="false">
      <c r="B1370" s="61"/>
      <c r="C1370" s="61"/>
      <c r="D1370" s="23" t="str">
        <f aca="false">IF(助手报销!$R$93&lt;&gt;"","总 账 科 目","")</f>
        <v/>
      </c>
      <c r="E1370" s="23" t="str">
        <f aca="false">IF(助手报销!$R$93&lt;&gt;"","明 细 科 目","")</f>
        <v/>
      </c>
      <c r="F1370" s="65"/>
      <c r="G1370" s="66"/>
      <c r="H1370" s="63"/>
      <c r="I1370" s="64"/>
    </row>
    <row r="1371" customFormat="false" ht="23.25" hidden="false" customHeight="true" outlineLevel="0" collapsed="false">
      <c r="B1371" s="67" t="str">
        <f aca="false">IFERROR(INDEX(分录报销!$M:$M,MATCH($L1371,分录报销!$L:$L,0)),"")</f>
        <v/>
      </c>
      <c r="C1371" s="67"/>
      <c r="D1371" s="23" t="str">
        <f aca="false">IFERROR(INDEX(分录报销!$E:$E,MATCH($L1371,分录报销!$L:$L,0)),"")</f>
        <v/>
      </c>
      <c r="E1371" s="23" t="str">
        <f aca="false">IFERROR(INDEX(分录报销!$F:$F,MATCH($L1371,分录报销!$L:$L,0)),"")</f>
        <v/>
      </c>
      <c r="F1371" s="68" t="str">
        <f aca="false">IFERROR(INDEX(分录报销!$H:$H,MATCH($L1371,分录报销!$L:$L,0)),"")</f>
        <v/>
      </c>
      <c r="G1371" s="69" t="str">
        <f aca="false">IFERROR(INDEX(分录报销!$I:$I,MATCH($L1371,分录报销!$L:$L,0)),"")</f>
        <v/>
      </c>
      <c r="H1371" s="23"/>
      <c r="I1371" s="70"/>
      <c r="L1371" s="71" t="n">
        <f aca="false">IF(助手报销!$R$93="",-1,助手报销!$R$93*100+(助手报销!$S$93-1)*6+1)</f>
        <v>-1</v>
      </c>
    </row>
    <row r="1372" customFormat="false" ht="23.25" hidden="false" customHeight="true" outlineLevel="0" collapsed="false">
      <c r="B1372" s="67" t="str">
        <f aca="false">IFERROR(INDEX(分录报销!$M:$M,MATCH($L1372,分录报销!$L:$L,0)),"")</f>
        <v/>
      </c>
      <c r="C1372" s="67"/>
      <c r="D1372" s="23" t="str">
        <f aca="false">IFERROR(INDEX(分录报销!$E:$E,MATCH($L1372,分录报销!$L:$L,0)),"")</f>
        <v/>
      </c>
      <c r="E1372" s="23" t="str">
        <f aca="false">IFERROR(INDEX(分录报销!$F:$F,MATCH($L1372,分录报销!$L:$L,0)),"")</f>
        <v/>
      </c>
      <c r="F1372" s="68" t="str">
        <f aca="false">IFERROR(INDEX(分录报销!$H:$H,MATCH($L1372,分录报销!$L:$L,0)),"")</f>
        <v/>
      </c>
      <c r="G1372" s="69" t="str">
        <f aca="false">IFERROR(INDEX(分录报销!$I:$I,MATCH($L1372,分录报销!$L:$L,0)),"")</f>
        <v/>
      </c>
      <c r="H1372" s="23"/>
      <c r="I1372" s="70"/>
      <c r="L1372" s="71" t="n">
        <f aca="false">IF(助手报销!$R$93="",-1,助手报销!$R$93*100+(助手报销!$S$93-1)*6+2)</f>
        <v>-1</v>
      </c>
    </row>
    <row r="1373" customFormat="false" ht="23.25" hidden="false" customHeight="true" outlineLevel="0" collapsed="false">
      <c r="B1373" s="67" t="str">
        <f aca="false">IFERROR(INDEX(分录报销!$M:$M,MATCH($L1373,分录报销!$L:$L,0)),"")</f>
        <v/>
      </c>
      <c r="C1373" s="67"/>
      <c r="D1373" s="23" t="str">
        <f aca="false">IFERROR(INDEX(分录报销!$E:$E,MATCH($L1373,分录报销!$L:$L,0)),"")</f>
        <v/>
      </c>
      <c r="E1373" s="23" t="str">
        <f aca="false">IFERROR(INDEX(分录报销!$F:$F,MATCH($L1373,分录报销!$L:$L,0)),"")</f>
        <v/>
      </c>
      <c r="F1373" s="68" t="str">
        <f aca="false">IFERROR(INDEX(分录报销!$H:$H,MATCH($L1373,分录报销!$L:$L,0)),"")</f>
        <v/>
      </c>
      <c r="G1373" s="69" t="str">
        <f aca="false">IFERROR(INDEX(分录报销!$I:$I,MATCH($L1373,分录报销!$L:$L,0)),"")</f>
        <v/>
      </c>
      <c r="H1373" s="23"/>
      <c r="I1373" s="70"/>
      <c r="L1373" s="71" t="n">
        <f aca="false">IF(助手报销!$R$93="",-1,助手报销!$R$93*100+(助手报销!$S$93-1)*6+3)</f>
        <v>-1</v>
      </c>
    </row>
    <row r="1374" customFormat="false" ht="23.25" hidden="false" customHeight="true" outlineLevel="0" collapsed="false">
      <c r="B1374" s="67" t="str">
        <f aca="false">IFERROR(INDEX(分录报销!$M:$M,MATCH($L1374,分录报销!$L:$L,0)),"")</f>
        <v/>
      </c>
      <c r="C1374" s="67"/>
      <c r="D1374" s="23" t="str">
        <f aca="false">IFERROR(INDEX(分录报销!$E:$E,MATCH($L1374,分录报销!$L:$L,0)),"")</f>
        <v/>
      </c>
      <c r="E1374" s="23" t="str">
        <f aca="false">IFERROR(INDEX(分录报销!$F:$F,MATCH($L1374,分录报销!$L:$L,0)),"")</f>
        <v/>
      </c>
      <c r="F1374" s="68" t="str">
        <f aca="false">IFERROR(INDEX(分录报销!$H:$H,MATCH($L1374,分录报销!$L:$L,0)),"")</f>
        <v/>
      </c>
      <c r="G1374" s="69" t="str">
        <f aca="false">IFERROR(INDEX(分录报销!$I:$I,MATCH($L1374,分录报销!$L:$L,0)),"")</f>
        <v/>
      </c>
      <c r="H1374" s="23"/>
      <c r="I1374" s="70"/>
      <c r="L1374" s="71" t="n">
        <f aca="false">IF(助手报销!$R$93="",-1,助手报销!$R$93*100+(助手报销!$S$93-1)*6+4)</f>
        <v>-1</v>
      </c>
    </row>
    <row r="1375" customFormat="false" ht="23.25" hidden="false" customHeight="true" outlineLevel="0" collapsed="false">
      <c r="B1375" s="67" t="str">
        <f aca="false">IFERROR(INDEX(分录报销!$M:$M,MATCH($L1375,分录报销!$L:$L,0)),"")</f>
        <v/>
      </c>
      <c r="C1375" s="67"/>
      <c r="D1375" s="23" t="str">
        <f aca="false">IFERROR(INDEX(分录报销!$E:$E,MATCH($L1375,分录报销!$L:$L,0)),"")</f>
        <v/>
      </c>
      <c r="E1375" s="23" t="str">
        <f aca="false">IFERROR(INDEX(分录报销!$F:$F,MATCH($L1375,分录报销!$L:$L,0)),"")</f>
        <v/>
      </c>
      <c r="F1375" s="68" t="str">
        <f aca="false">IFERROR(INDEX(分录报销!$H:$H,MATCH($L1375,分录报销!$L:$L,0)),"")</f>
        <v/>
      </c>
      <c r="G1375" s="69" t="str">
        <f aca="false">IFERROR(INDEX(分录报销!$I:$I,MATCH($L1375,分录报销!$L:$L,0)),"")</f>
        <v/>
      </c>
      <c r="H1375" s="23"/>
      <c r="I1375" s="70"/>
      <c r="L1375" s="71" t="n">
        <f aca="false">IF(助手报销!$R$93="",-1,助手报销!$R$93*100+(助手报销!$S$93-1)*6+5)</f>
        <v>-1</v>
      </c>
    </row>
    <row r="1376" customFormat="false" ht="23.25" hidden="false" customHeight="true" outlineLevel="0" collapsed="false">
      <c r="B1376" s="67" t="str">
        <f aca="false">IFERROR(INDEX(分录报销!$M:$M,MATCH($L1376,分录报销!$L:$L,0)),"")</f>
        <v/>
      </c>
      <c r="C1376" s="67"/>
      <c r="D1376" s="23" t="str">
        <f aca="false">IFERROR(INDEX(分录报销!$E:$E,MATCH($L1376,分录报销!$L:$L,0)),"")</f>
        <v/>
      </c>
      <c r="E1376" s="23" t="str">
        <f aca="false">IFERROR(INDEX(分录报销!$F:$F,MATCH($L1376,分录报销!$L:$L,0)),"")</f>
        <v/>
      </c>
      <c r="F1376" s="68" t="str">
        <f aca="false">IFERROR(INDEX(分录报销!$H:$H,MATCH($L1376,分录报销!$L:$L,0)),"")</f>
        <v/>
      </c>
      <c r="G1376" s="69" t="str">
        <f aca="false">IFERROR(INDEX(分录报销!$I:$I,MATCH($L1376,分录报销!$L:$L,0)),"")</f>
        <v/>
      </c>
      <c r="H1376" s="23"/>
      <c r="I1376" s="70"/>
      <c r="L1376" s="71" t="n">
        <f aca="false">IF(助手报销!$R$93="",-1,助手报销!$R$93*100+(助手报销!$S$93-1)*6+6)</f>
        <v>-1</v>
      </c>
    </row>
    <row r="1377" customFormat="false" ht="23.25" hidden="false" customHeight="true" outlineLevel="0" collapsed="false">
      <c r="B1377" s="72" t="str">
        <f aca="false">IF(助手报销!$T$93=1,"合计：","")</f>
        <v/>
      </c>
      <c r="C1377" s="73" t="str">
        <f aca="false">IF(助手报销!$T$93=1,$F1377,"")</f>
        <v/>
      </c>
      <c r="D1377" s="74"/>
      <c r="E1377" s="74"/>
      <c r="F1377" s="75" t="str">
        <f aca="false">IF(助手报销!$T$93=1,INDEX(助手报销!$N$2:$N$121,助手报销!$R$93),"")</f>
        <v/>
      </c>
      <c r="G1377" s="76" t="str">
        <f aca="false">IF(助手报销!$T$93=1,INDEX(助手报销!$O$2:$O$121,助手报销!$R$93),"")</f>
        <v/>
      </c>
      <c r="H1377" s="74"/>
      <c r="I1377" s="77"/>
    </row>
    <row r="1378" customFormat="false" ht="6" hidden="false" customHeight="true" outlineLevel="0" collapsed="false"/>
    <row r="1379" customFormat="false" ht="13.5" hidden="false" customHeight="false" outlineLevel="0" collapsed="false">
      <c r="B1379" s="78" t="str">
        <f aca="false">IF(助手报销!$R$93&lt;&gt;"","会计主管：","")</f>
        <v/>
      </c>
      <c r="D1379" s="78" t="str">
        <f aca="false">IF(助手报销!$R$93&lt;&gt;"","会计：","")</f>
        <v/>
      </c>
      <c r="E1379" s="78" t="str">
        <f aca="false">IF(助手报销!$R$93&lt;&gt;"","出纳：","")</f>
        <v/>
      </c>
      <c r="F1379" s="78" t="str">
        <f aca="false">IF(助手报销!$R$93&lt;&gt;"","复核：","")</f>
        <v/>
      </c>
      <c r="G1379" s="78" t="str">
        <f aca="false">IF(助手报销!$R$93&lt;&gt;"","制单：","")</f>
        <v/>
      </c>
    </row>
    <row r="1380" customFormat="false" ht="3" hidden="false" customHeight="true" outlineLevel="0" collapsed="false"/>
    <row r="1381" customFormat="false" ht="19.5" hidden="false" customHeight="true" outlineLevel="0" collapsed="false">
      <c r="B1381" s="53" t="str">
        <f aca="false">IF(助手报销!$R$94&lt;&gt;"","记  账  凭  证","")</f>
        <v/>
      </c>
      <c r="C1381" s="53"/>
      <c r="D1381" s="53"/>
      <c r="E1381" s="53"/>
      <c r="F1381" s="53"/>
      <c r="G1381" s="53"/>
      <c r="H1381" s="53"/>
      <c r="I1381" s="53"/>
    </row>
    <row r="1382" customFormat="false" ht="3" hidden="false" customHeight="true" outlineLevel="0" collapsed="false"/>
    <row r="1383" customFormat="false" ht="15" hidden="false" customHeight="true" outlineLevel="0" collapsed="false">
      <c r="C1383" s="56" t="str">
        <f aca="false">IF(助手报销!$R$94&lt;&gt;"",INDEX(助手报销!$B$2:$B$121,助手报销!$R$94),"")</f>
        <v/>
      </c>
      <c r="D1383" s="57" t="str">
        <f aca="false">IF(助手报销!$R$94&lt;&gt;"",INDEX(助手报销!$D$2:$D$121,助手报销!$R$94),"")</f>
        <v/>
      </c>
      <c r="E1383" s="57"/>
      <c r="F1383" s="58" t="str">
        <f aca="false">IF(助手报销!$R$94&lt;&gt;"",INDEX(助手报销!$C$2:$C$121,助手报销!$R$94)&amp;"  字第 "&amp;IF(参数!$B$9="是",INDEX(助手报销!$P$2:$P$121,助手报销!$R$94),"　　　　")&amp;" 号"&amp;IF(INDEX(助手报销!$L$2:$L$121,助手报销!$R$94)&gt;1,"  (共"&amp;INDEX(助手报销!$L$2:$L$121,助手报销!$R$94)&amp;"页 第"&amp;助手报销!$S$94&amp;"页)",""),"")</f>
        <v/>
      </c>
      <c r="G1383" s="58"/>
      <c r="H1383" s="58"/>
      <c r="I1383" s="58"/>
      <c r="M1383" s="79" t="str">
        <f aca="false">IF(助手报销!$R$94="","",助手报销!$Q$94)</f>
        <v/>
      </c>
      <c r="N1383" s="80" t="str">
        <f aca="false">IF(助手报销!$R$94="","",INDEX(助手报销!$P$2:$P$121,助手报销!$R$94))</f>
        <v/>
      </c>
      <c r="O1383" s="55" t="str">
        <f aca="false">IF(助手报销!$R$94="","",INDEX(助手报销!$C$2:$C$121,助手报销!$R$94)&amp;"  字第 "&amp;INDEX(助手报销!$P$2:$P$121,助手报销!$R$94)&amp;" 号"&amp;IF(INDEX(助手报销!$L$2:$L$121,助手报销!$R$94)&gt;1,"  (共"&amp;INDEX(助手报销!$L$2:$L$121,助手报销!$R$94)&amp;"页 第"&amp;助手报销!$S$94&amp;"页)",""))</f>
        <v/>
      </c>
    </row>
    <row r="1384" customFormat="false" ht="12.75" hidden="false" customHeight="true" outlineLevel="0" collapsed="false">
      <c r="B1384" s="61" t="str">
        <f aca="false">IF(助手报销!$R$94&lt;&gt;"","摘　　要","")</f>
        <v/>
      </c>
      <c r="C1384" s="61"/>
      <c r="D1384" s="62" t="str">
        <f aca="false">IF(助手报销!$R$94&lt;&gt;"","科　　　　目","")</f>
        <v/>
      </c>
      <c r="E1384" s="62"/>
      <c r="F1384" s="61" t="str">
        <f aca="false">IF(助手报销!$R$94&lt;&gt;"","借 方 金 额","")</f>
        <v/>
      </c>
      <c r="G1384" s="62" t="str">
        <f aca="false">IF(助手报销!$R$94&lt;&gt;"","贷 方 金 额","")</f>
        <v/>
      </c>
      <c r="H1384" s="63" t="str">
        <f aca="false">IF(助手报销!$R$94&lt;&gt;"","√","")</f>
        <v/>
      </c>
      <c r="I1384" s="64" t="str">
        <f aca="false">IF(助手报销!$R$94&lt;&gt;"","附单据  张","")</f>
        <v/>
      </c>
    </row>
    <row r="1385" customFormat="false" ht="12.75" hidden="false" customHeight="true" outlineLevel="0" collapsed="false">
      <c r="B1385" s="61"/>
      <c r="C1385" s="61"/>
      <c r="D1385" s="23" t="str">
        <f aca="false">IF(助手报销!$R$94&lt;&gt;"","总 账 科 目","")</f>
        <v/>
      </c>
      <c r="E1385" s="23" t="str">
        <f aca="false">IF(助手报销!$R$94&lt;&gt;"","明 细 科 目","")</f>
        <v/>
      </c>
      <c r="F1385" s="65"/>
      <c r="G1385" s="66"/>
      <c r="H1385" s="63"/>
      <c r="I1385" s="64"/>
    </row>
    <row r="1386" customFormat="false" ht="23.25" hidden="false" customHeight="true" outlineLevel="0" collapsed="false">
      <c r="B1386" s="67" t="str">
        <f aca="false">IFERROR(INDEX(分录报销!$M:$M,MATCH($L1386,分录报销!$L:$L,0)),"")</f>
        <v/>
      </c>
      <c r="C1386" s="67"/>
      <c r="D1386" s="23" t="str">
        <f aca="false">IFERROR(INDEX(分录报销!$E:$E,MATCH($L1386,分录报销!$L:$L,0)),"")</f>
        <v/>
      </c>
      <c r="E1386" s="23" t="str">
        <f aca="false">IFERROR(INDEX(分录报销!$F:$F,MATCH($L1386,分录报销!$L:$L,0)),"")</f>
        <v/>
      </c>
      <c r="F1386" s="68" t="str">
        <f aca="false">IFERROR(INDEX(分录报销!$H:$H,MATCH($L1386,分录报销!$L:$L,0)),"")</f>
        <v/>
      </c>
      <c r="G1386" s="69" t="str">
        <f aca="false">IFERROR(INDEX(分录报销!$I:$I,MATCH($L1386,分录报销!$L:$L,0)),"")</f>
        <v/>
      </c>
      <c r="H1386" s="23"/>
      <c r="I1386" s="70"/>
      <c r="L1386" s="71" t="n">
        <f aca="false">IF(助手报销!$R$94="",-1,助手报销!$R$94*100+(助手报销!$S$94-1)*6+1)</f>
        <v>-1</v>
      </c>
    </row>
    <row r="1387" customFormat="false" ht="23.25" hidden="false" customHeight="true" outlineLevel="0" collapsed="false">
      <c r="B1387" s="67" t="str">
        <f aca="false">IFERROR(INDEX(分录报销!$M:$M,MATCH($L1387,分录报销!$L:$L,0)),"")</f>
        <v/>
      </c>
      <c r="C1387" s="67"/>
      <c r="D1387" s="23" t="str">
        <f aca="false">IFERROR(INDEX(分录报销!$E:$E,MATCH($L1387,分录报销!$L:$L,0)),"")</f>
        <v/>
      </c>
      <c r="E1387" s="23" t="str">
        <f aca="false">IFERROR(INDEX(分录报销!$F:$F,MATCH($L1387,分录报销!$L:$L,0)),"")</f>
        <v/>
      </c>
      <c r="F1387" s="68" t="str">
        <f aca="false">IFERROR(INDEX(分录报销!$H:$H,MATCH($L1387,分录报销!$L:$L,0)),"")</f>
        <v/>
      </c>
      <c r="G1387" s="69" t="str">
        <f aca="false">IFERROR(INDEX(分录报销!$I:$I,MATCH($L1387,分录报销!$L:$L,0)),"")</f>
        <v/>
      </c>
      <c r="H1387" s="23"/>
      <c r="I1387" s="70"/>
      <c r="L1387" s="71" t="n">
        <f aca="false">IF(助手报销!$R$94="",-1,助手报销!$R$94*100+(助手报销!$S$94-1)*6+2)</f>
        <v>-1</v>
      </c>
    </row>
    <row r="1388" customFormat="false" ht="23.25" hidden="false" customHeight="true" outlineLevel="0" collapsed="false">
      <c r="B1388" s="67" t="str">
        <f aca="false">IFERROR(INDEX(分录报销!$M:$M,MATCH($L1388,分录报销!$L:$L,0)),"")</f>
        <v/>
      </c>
      <c r="C1388" s="67"/>
      <c r="D1388" s="23" t="str">
        <f aca="false">IFERROR(INDEX(分录报销!$E:$E,MATCH($L1388,分录报销!$L:$L,0)),"")</f>
        <v/>
      </c>
      <c r="E1388" s="23" t="str">
        <f aca="false">IFERROR(INDEX(分录报销!$F:$F,MATCH($L1388,分录报销!$L:$L,0)),"")</f>
        <v/>
      </c>
      <c r="F1388" s="68" t="str">
        <f aca="false">IFERROR(INDEX(分录报销!$H:$H,MATCH($L1388,分录报销!$L:$L,0)),"")</f>
        <v/>
      </c>
      <c r="G1388" s="69" t="str">
        <f aca="false">IFERROR(INDEX(分录报销!$I:$I,MATCH($L1388,分录报销!$L:$L,0)),"")</f>
        <v/>
      </c>
      <c r="H1388" s="23"/>
      <c r="I1388" s="70"/>
      <c r="L1388" s="71" t="n">
        <f aca="false">IF(助手报销!$R$94="",-1,助手报销!$R$94*100+(助手报销!$S$94-1)*6+3)</f>
        <v>-1</v>
      </c>
    </row>
    <row r="1389" customFormat="false" ht="23.25" hidden="false" customHeight="true" outlineLevel="0" collapsed="false">
      <c r="B1389" s="67" t="str">
        <f aca="false">IFERROR(INDEX(分录报销!$M:$M,MATCH($L1389,分录报销!$L:$L,0)),"")</f>
        <v/>
      </c>
      <c r="C1389" s="67"/>
      <c r="D1389" s="23" t="str">
        <f aca="false">IFERROR(INDEX(分录报销!$E:$E,MATCH($L1389,分录报销!$L:$L,0)),"")</f>
        <v/>
      </c>
      <c r="E1389" s="23" t="str">
        <f aca="false">IFERROR(INDEX(分录报销!$F:$F,MATCH($L1389,分录报销!$L:$L,0)),"")</f>
        <v/>
      </c>
      <c r="F1389" s="68" t="str">
        <f aca="false">IFERROR(INDEX(分录报销!$H:$H,MATCH($L1389,分录报销!$L:$L,0)),"")</f>
        <v/>
      </c>
      <c r="G1389" s="69" t="str">
        <f aca="false">IFERROR(INDEX(分录报销!$I:$I,MATCH($L1389,分录报销!$L:$L,0)),"")</f>
        <v/>
      </c>
      <c r="H1389" s="23"/>
      <c r="I1389" s="70"/>
      <c r="L1389" s="71" t="n">
        <f aca="false">IF(助手报销!$R$94="",-1,助手报销!$R$94*100+(助手报销!$S$94-1)*6+4)</f>
        <v>-1</v>
      </c>
    </row>
    <row r="1390" customFormat="false" ht="23.25" hidden="false" customHeight="true" outlineLevel="0" collapsed="false">
      <c r="B1390" s="67" t="str">
        <f aca="false">IFERROR(INDEX(分录报销!$M:$M,MATCH($L1390,分录报销!$L:$L,0)),"")</f>
        <v/>
      </c>
      <c r="C1390" s="67"/>
      <c r="D1390" s="23" t="str">
        <f aca="false">IFERROR(INDEX(分录报销!$E:$E,MATCH($L1390,分录报销!$L:$L,0)),"")</f>
        <v/>
      </c>
      <c r="E1390" s="23" t="str">
        <f aca="false">IFERROR(INDEX(分录报销!$F:$F,MATCH($L1390,分录报销!$L:$L,0)),"")</f>
        <v/>
      </c>
      <c r="F1390" s="68" t="str">
        <f aca="false">IFERROR(INDEX(分录报销!$H:$H,MATCH($L1390,分录报销!$L:$L,0)),"")</f>
        <v/>
      </c>
      <c r="G1390" s="69" t="str">
        <f aca="false">IFERROR(INDEX(分录报销!$I:$I,MATCH($L1390,分录报销!$L:$L,0)),"")</f>
        <v/>
      </c>
      <c r="H1390" s="23"/>
      <c r="I1390" s="70"/>
      <c r="L1390" s="71" t="n">
        <f aca="false">IF(助手报销!$R$94="",-1,助手报销!$R$94*100+(助手报销!$S$94-1)*6+5)</f>
        <v>-1</v>
      </c>
    </row>
    <row r="1391" customFormat="false" ht="23.25" hidden="false" customHeight="true" outlineLevel="0" collapsed="false">
      <c r="B1391" s="67" t="str">
        <f aca="false">IFERROR(INDEX(分录报销!$M:$M,MATCH($L1391,分录报销!$L:$L,0)),"")</f>
        <v/>
      </c>
      <c r="C1391" s="67"/>
      <c r="D1391" s="23" t="str">
        <f aca="false">IFERROR(INDEX(分录报销!$E:$E,MATCH($L1391,分录报销!$L:$L,0)),"")</f>
        <v/>
      </c>
      <c r="E1391" s="23" t="str">
        <f aca="false">IFERROR(INDEX(分录报销!$F:$F,MATCH($L1391,分录报销!$L:$L,0)),"")</f>
        <v/>
      </c>
      <c r="F1391" s="68" t="str">
        <f aca="false">IFERROR(INDEX(分录报销!$H:$H,MATCH($L1391,分录报销!$L:$L,0)),"")</f>
        <v/>
      </c>
      <c r="G1391" s="69" t="str">
        <f aca="false">IFERROR(INDEX(分录报销!$I:$I,MATCH($L1391,分录报销!$L:$L,0)),"")</f>
        <v/>
      </c>
      <c r="H1391" s="23"/>
      <c r="I1391" s="70"/>
      <c r="L1391" s="71" t="n">
        <f aca="false">IF(助手报销!$R$94="",-1,助手报销!$R$94*100+(助手报销!$S$94-1)*6+6)</f>
        <v>-1</v>
      </c>
    </row>
    <row r="1392" customFormat="false" ht="23.25" hidden="false" customHeight="true" outlineLevel="0" collapsed="false">
      <c r="B1392" s="72" t="str">
        <f aca="false">IF(助手报销!$T$94=1,"合计：","")</f>
        <v/>
      </c>
      <c r="C1392" s="73" t="str">
        <f aca="false">IF(助手报销!$T$94=1,$F1392,"")</f>
        <v/>
      </c>
      <c r="D1392" s="74"/>
      <c r="E1392" s="74"/>
      <c r="F1392" s="75" t="str">
        <f aca="false">IF(助手报销!$T$94=1,INDEX(助手报销!$N$2:$N$121,助手报销!$R$94),"")</f>
        <v/>
      </c>
      <c r="G1392" s="76" t="str">
        <f aca="false">IF(助手报销!$T$94=1,INDEX(助手报销!$O$2:$O$121,助手报销!$R$94),"")</f>
        <v/>
      </c>
      <c r="H1392" s="74"/>
      <c r="I1392" s="77"/>
    </row>
    <row r="1393" customFormat="false" ht="6" hidden="false" customHeight="true" outlineLevel="0" collapsed="false"/>
    <row r="1394" customFormat="false" ht="13.5" hidden="false" customHeight="false" outlineLevel="0" collapsed="false">
      <c r="B1394" s="78" t="str">
        <f aca="false">IF(助手报销!$R$94&lt;&gt;"","会计主管：","")</f>
        <v/>
      </c>
      <c r="D1394" s="78" t="str">
        <f aca="false">IF(助手报销!$R$94&lt;&gt;"","会计：","")</f>
        <v/>
      </c>
      <c r="E1394" s="78" t="str">
        <f aca="false">IF(助手报销!$R$94&lt;&gt;"","出纳：","")</f>
        <v/>
      </c>
      <c r="F1394" s="78" t="str">
        <f aca="false">IF(助手报销!$R$94&lt;&gt;"","复核：","")</f>
        <v/>
      </c>
      <c r="G1394" s="78" t="str">
        <f aca="false">IF(助手报销!$R$94&lt;&gt;"","制单：","")</f>
        <v/>
      </c>
    </row>
    <row r="1395" customFormat="false" ht="3" hidden="false" customHeight="true" outlineLevel="0" collapsed="false"/>
    <row r="1396" customFormat="false" ht="19.5" hidden="false" customHeight="true" outlineLevel="0" collapsed="false">
      <c r="B1396" s="53" t="str">
        <f aca="false">IF(助手报销!$R$95&lt;&gt;"","记  账  凭  证","")</f>
        <v/>
      </c>
      <c r="C1396" s="53"/>
      <c r="D1396" s="53"/>
      <c r="E1396" s="53"/>
      <c r="F1396" s="53"/>
      <c r="G1396" s="53"/>
      <c r="H1396" s="53"/>
      <c r="I1396" s="53"/>
    </row>
    <row r="1397" customFormat="false" ht="3" hidden="false" customHeight="true" outlineLevel="0" collapsed="false"/>
    <row r="1398" customFormat="false" ht="15" hidden="false" customHeight="true" outlineLevel="0" collapsed="false">
      <c r="C1398" s="56" t="str">
        <f aca="false">IF(助手报销!$R$95&lt;&gt;"",INDEX(助手报销!$B$2:$B$121,助手报销!$R$95),"")</f>
        <v/>
      </c>
      <c r="D1398" s="57" t="str">
        <f aca="false">IF(助手报销!$R$95&lt;&gt;"",INDEX(助手报销!$D$2:$D$121,助手报销!$R$95),"")</f>
        <v/>
      </c>
      <c r="E1398" s="57"/>
      <c r="F1398" s="58" t="str">
        <f aca="false">IF(助手报销!$R$95&lt;&gt;"",INDEX(助手报销!$C$2:$C$121,助手报销!$R$95)&amp;"  字第 "&amp;IF(参数!$B$9="是",INDEX(助手报销!$P$2:$P$121,助手报销!$R$95),"　　　　")&amp;" 号"&amp;IF(INDEX(助手报销!$L$2:$L$121,助手报销!$R$95)&gt;1,"  (共"&amp;INDEX(助手报销!$L$2:$L$121,助手报销!$R$95)&amp;"页 第"&amp;助手报销!$S$95&amp;"页)",""),"")</f>
        <v/>
      </c>
      <c r="G1398" s="58"/>
      <c r="H1398" s="58"/>
      <c r="I1398" s="58"/>
      <c r="M1398" s="79" t="str">
        <f aca="false">IF(助手报销!$R$95="","",助手报销!$Q$95)</f>
        <v/>
      </c>
      <c r="N1398" s="80" t="str">
        <f aca="false">IF(助手报销!$R$95="","",INDEX(助手报销!$P$2:$P$121,助手报销!$R$95))</f>
        <v/>
      </c>
      <c r="O1398" s="55" t="str">
        <f aca="false">IF(助手报销!$R$95="","",INDEX(助手报销!$C$2:$C$121,助手报销!$R$95)&amp;"  字第 "&amp;INDEX(助手报销!$P$2:$P$121,助手报销!$R$95)&amp;" 号"&amp;IF(INDEX(助手报销!$L$2:$L$121,助手报销!$R$95)&gt;1,"  (共"&amp;INDEX(助手报销!$L$2:$L$121,助手报销!$R$95)&amp;"页 第"&amp;助手报销!$S$95&amp;"页)",""))</f>
        <v/>
      </c>
    </row>
    <row r="1399" customFormat="false" ht="12.75" hidden="false" customHeight="true" outlineLevel="0" collapsed="false">
      <c r="B1399" s="61" t="str">
        <f aca="false">IF(助手报销!$R$95&lt;&gt;"","摘　　要","")</f>
        <v/>
      </c>
      <c r="C1399" s="61"/>
      <c r="D1399" s="62" t="str">
        <f aca="false">IF(助手报销!$R$95&lt;&gt;"","科　　　　目","")</f>
        <v/>
      </c>
      <c r="E1399" s="62"/>
      <c r="F1399" s="61" t="str">
        <f aca="false">IF(助手报销!$R$95&lt;&gt;"","借 方 金 额","")</f>
        <v/>
      </c>
      <c r="G1399" s="62" t="str">
        <f aca="false">IF(助手报销!$R$95&lt;&gt;"","贷 方 金 额","")</f>
        <v/>
      </c>
      <c r="H1399" s="63" t="str">
        <f aca="false">IF(助手报销!$R$95&lt;&gt;"","√","")</f>
        <v/>
      </c>
      <c r="I1399" s="64" t="str">
        <f aca="false">IF(助手报销!$R$95&lt;&gt;"","附单据  张","")</f>
        <v/>
      </c>
    </row>
    <row r="1400" customFormat="false" ht="12.75" hidden="false" customHeight="true" outlineLevel="0" collapsed="false">
      <c r="B1400" s="61"/>
      <c r="C1400" s="61"/>
      <c r="D1400" s="23" t="str">
        <f aca="false">IF(助手报销!$R$95&lt;&gt;"","总 账 科 目","")</f>
        <v/>
      </c>
      <c r="E1400" s="23" t="str">
        <f aca="false">IF(助手报销!$R$95&lt;&gt;"","明 细 科 目","")</f>
        <v/>
      </c>
      <c r="F1400" s="65"/>
      <c r="G1400" s="66"/>
      <c r="H1400" s="63"/>
      <c r="I1400" s="64"/>
    </row>
    <row r="1401" customFormat="false" ht="23.25" hidden="false" customHeight="true" outlineLevel="0" collapsed="false">
      <c r="B1401" s="67" t="str">
        <f aca="false">IFERROR(INDEX(分录报销!$M:$M,MATCH($L1401,分录报销!$L:$L,0)),"")</f>
        <v/>
      </c>
      <c r="C1401" s="67"/>
      <c r="D1401" s="23" t="str">
        <f aca="false">IFERROR(INDEX(分录报销!$E:$E,MATCH($L1401,分录报销!$L:$L,0)),"")</f>
        <v/>
      </c>
      <c r="E1401" s="23" t="str">
        <f aca="false">IFERROR(INDEX(分录报销!$F:$F,MATCH($L1401,分录报销!$L:$L,0)),"")</f>
        <v/>
      </c>
      <c r="F1401" s="68" t="str">
        <f aca="false">IFERROR(INDEX(分录报销!$H:$H,MATCH($L1401,分录报销!$L:$L,0)),"")</f>
        <v/>
      </c>
      <c r="G1401" s="69" t="str">
        <f aca="false">IFERROR(INDEX(分录报销!$I:$I,MATCH($L1401,分录报销!$L:$L,0)),"")</f>
        <v/>
      </c>
      <c r="H1401" s="23"/>
      <c r="I1401" s="70"/>
      <c r="L1401" s="71" t="n">
        <f aca="false">IF(助手报销!$R$95="",-1,助手报销!$R$95*100+(助手报销!$S$95-1)*6+1)</f>
        <v>-1</v>
      </c>
    </row>
    <row r="1402" customFormat="false" ht="23.25" hidden="false" customHeight="true" outlineLevel="0" collapsed="false">
      <c r="B1402" s="67" t="str">
        <f aca="false">IFERROR(INDEX(分录报销!$M:$M,MATCH($L1402,分录报销!$L:$L,0)),"")</f>
        <v/>
      </c>
      <c r="C1402" s="67"/>
      <c r="D1402" s="23" t="str">
        <f aca="false">IFERROR(INDEX(分录报销!$E:$E,MATCH($L1402,分录报销!$L:$L,0)),"")</f>
        <v/>
      </c>
      <c r="E1402" s="23" t="str">
        <f aca="false">IFERROR(INDEX(分录报销!$F:$F,MATCH($L1402,分录报销!$L:$L,0)),"")</f>
        <v/>
      </c>
      <c r="F1402" s="68" t="str">
        <f aca="false">IFERROR(INDEX(分录报销!$H:$H,MATCH($L1402,分录报销!$L:$L,0)),"")</f>
        <v/>
      </c>
      <c r="G1402" s="69" t="str">
        <f aca="false">IFERROR(INDEX(分录报销!$I:$I,MATCH($L1402,分录报销!$L:$L,0)),"")</f>
        <v/>
      </c>
      <c r="H1402" s="23"/>
      <c r="I1402" s="70"/>
      <c r="L1402" s="71" t="n">
        <f aca="false">IF(助手报销!$R$95="",-1,助手报销!$R$95*100+(助手报销!$S$95-1)*6+2)</f>
        <v>-1</v>
      </c>
    </row>
    <row r="1403" customFormat="false" ht="23.25" hidden="false" customHeight="true" outlineLevel="0" collapsed="false">
      <c r="B1403" s="67" t="str">
        <f aca="false">IFERROR(INDEX(分录报销!$M:$M,MATCH($L1403,分录报销!$L:$L,0)),"")</f>
        <v/>
      </c>
      <c r="C1403" s="67"/>
      <c r="D1403" s="23" t="str">
        <f aca="false">IFERROR(INDEX(分录报销!$E:$E,MATCH($L1403,分录报销!$L:$L,0)),"")</f>
        <v/>
      </c>
      <c r="E1403" s="23" t="str">
        <f aca="false">IFERROR(INDEX(分录报销!$F:$F,MATCH($L1403,分录报销!$L:$L,0)),"")</f>
        <v/>
      </c>
      <c r="F1403" s="68" t="str">
        <f aca="false">IFERROR(INDEX(分录报销!$H:$H,MATCH($L1403,分录报销!$L:$L,0)),"")</f>
        <v/>
      </c>
      <c r="G1403" s="69" t="str">
        <f aca="false">IFERROR(INDEX(分录报销!$I:$I,MATCH($L1403,分录报销!$L:$L,0)),"")</f>
        <v/>
      </c>
      <c r="H1403" s="23"/>
      <c r="I1403" s="70"/>
      <c r="L1403" s="71" t="n">
        <f aca="false">IF(助手报销!$R$95="",-1,助手报销!$R$95*100+(助手报销!$S$95-1)*6+3)</f>
        <v>-1</v>
      </c>
    </row>
    <row r="1404" customFormat="false" ht="23.25" hidden="false" customHeight="true" outlineLevel="0" collapsed="false">
      <c r="B1404" s="67" t="str">
        <f aca="false">IFERROR(INDEX(分录报销!$M:$M,MATCH($L1404,分录报销!$L:$L,0)),"")</f>
        <v/>
      </c>
      <c r="C1404" s="67"/>
      <c r="D1404" s="23" t="str">
        <f aca="false">IFERROR(INDEX(分录报销!$E:$E,MATCH($L1404,分录报销!$L:$L,0)),"")</f>
        <v/>
      </c>
      <c r="E1404" s="23" t="str">
        <f aca="false">IFERROR(INDEX(分录报销!$F:$F,MATCH($L1404,分录报销!$L:$L,0)),"")</f>
        <v/>
      </c>
      <c r="F1404" s="68" t="str">
        <f aca="false">IFERROR(INDEX(分录报销!$H:$H,MATCH($L1404,分录报销!$L:$L,0)),"")</f>
        <v/>
      </c>
      <c r="G1404" s="69" t="str">
        <f aca="false">IFERROR(INDEX(分录报销!$I:$I,MATCH($L1404,分录报销!$L:$L,0)),"")</f>
        <v/>
      </c>
      <c r="H1404" s="23"/>
      <c r="I1404" s="70"/>
      <c r="L1404" s="71" t="n">
        <f aca="false">IF(助手报销!$R$95="",-1,助手报销!$R$95*100+(助手报销!$S$95-1)*6+4)</f>
        <v>-1</v>
      </c>
    </row>
    <row r="1405" customFormat="false" ht="23.25" hidden="false" customHeight="true" outlineLevel="0" collapsed="false">
      <c r="B1405" s="67" t="str">
        <f aca="false">IFERROR(INDEX(分录报销!$M:$M,MATCH($L1405,分录报销!$L:$L,0)),"")</f>
        <v/>
      </c>
      <c r="C1405" s="67"/>
      <c r="D1405" s="23" t="str">
        <f aca="false">IFERROR(INDEX(分录报销!$E:$E,MATCH($L1405,分录报销!$L:$L,0)),"")</f>
        <v/>
      </c>
      <c r="E1405" s="23" t="str">
        <f aca="false">IFERROR(INDEX(分录报销!$F:$F,MATCH($L1405,分录报销!$L:$L,0)),"")</f>
        <v/>
      </c>
      <c r="F1405" s="68" t="str">
        <f aca="false">IFERROR(INDEX(分录报销!$H:$H,MATCH($L1405,分录报销!$L:$L,0)),"")</f>
        <v/>
      </c>
      <c r="G1405" s="69" t="str">
        <f aca="false">IFERROR(INDEX(分录报销!$I:$I,MATCH($L1405,分录报销!$L:$L,0)),"")</f>
        <v/>
      </c>
      <c r="H1405" s="23"/>
      <c r="I1405" s="70"/>
      <c r="L1405" s="71" t="n">
        <f aca="false">IF(助手报销!$R$95="",-1,助手报销!$R$95*100+(助手报销!$S$95-1)*6+5)</f>
        <v>-1</v>
      </c>
    </row>
    <row r="1406" customFormat="false" ht="23.25" hidden="false" customHeight="true" outlineLevel="0" collapsed="false">
      <c r="B1406" s="67" t="str">
        <f aca="false">IFERROR(INDEX(分录报销!$M:$M,MATCH($L1406,分录报销!$L:$L,0)),"")</f>
        <v/>
      </c>
      <c r="C1406" s="67"/>
      <c r="D1406" s="23" t="str">
        <f aca="false">IFERROR(INDEX(分录报销!$E:$E,MATCH($L1406,分录报销!$L:$L,0)),"")</f>
        <v/>
      </c>
      <c r="E1406" s="23" t="str">
        <f aca="false">IFERROR(INDEX(分录报销!$F:$F,MATCH($L1406,分录报销!$L:$L,0)),"")</f>
        <v/>
      </c>
      <c r="F1406" s="68" t="str">
        <f aca="false">IFERROR(INDEX(分录报销!$H:$H,MATCH($L1406,分录报销!$L:$L,0)),"")</f>
        <v/>
      </c>
      <c r="G1406" s="69" t="str">
        <f aca="false">IFERROR(INDEX(分录报销!$I:$I,MATCH($L1406,分录报销!$L:$L,0)),"")</f>
        <v/>
      </c>
      <c r="H1406" s="23"/>
      <c r="I1406" s="70"/>
      <c r="L1406" s="71" t="n">
        <f aca="false">IF(助手报销!$R$95="",-1,助手报销!$R$95*100+(助手报销!$S$95-1)*6+6)</f>
        <v>-1</v>
      </c>
    </row>
    <row r="1407" customFormat="false" ht="23.25" hidden="false" customHeight="true" outlineLevel="0" collapsed="false">
      <c r="B1407" s="72" t="str">
        <f aca="false">IF(助手报销!$T$95=1,"合计：","")</f>
        <v/>
      </c>
      <c r="C1407" s="73" t="str">
        <f aca="false">IF(助手报销!$T$95=1,$F1407,"")</f>
        <v/>
      </c>
      <c r="D1407" s="74"/>
      <c r="E1407" s="74"/>
      <c r="F1407" s="75" t="str">
        <f aca="false">IF(助手报销!$T$95=1,INDEX(助手报销!$N$2:$N$121,助手报销!$R$95),"")</f>
        <v/>
      </c>
      <c r="G1407" s="76" t="str">
        <f aca="false">IF(助手报销!$T$95=1,INDEX(助手报销!$O$2:$O$121,助手报销!$R$95),"")</f>
        <v/>
      </c>
      <c r="H1407" s="74"/>
      <c r="I1407" s="77"/>
    </row>
    <row r="1408" customFormat="false" ht="6" hidden="false" customHeight="true" outlineLevel="0" collapsed="false"/>
    <row r="1409" customFormat="false" ht="13.5" hidden="false" customHeight="false" outlineLevel="0" collapsed="false">
      <c r="B1409" s="78" t="str">
        <f aca="false">IF(助手报销!$R$95&lt;&gt;"","会计主管：","")</f>
        <v/>
      </c>
      <c r="D1409" s="78" t="str">
        <f aca="false">IF(助手报销!$R$95&lt;&gt;"","会计：","")</f>
        <v/>
      </c>
      <c r="E1409" s="78" t="str">
        <f aca="false">IF(助手报销!$R$95&lt;&gt;"","出纳：","")</f>
        <v/>
      </c>
      <c r="F1409" s="78" t="str">
        <f aca="false">IF(助手报销!$R$95&lt;&gt;"","复核：","")</f>
        <v/>
      </c>
      <c r="G1409" s="78" t="str">
        <f aca="false">IF(助手报销!$R$95&lt;&gt;"","制单：","")</f>
        <v/>
      </c>
    </row>
    <row r="1410" customFormat="false" ht="3" hidden="false" customHeight="true" outlineLevel="0" collapsed="false"/>
    <row r="1411" customFormat="false" ht="19.5" hidden="false" customHeight="true" outlineLevel="0" collapsed="false">
      <c r="B1411" s="53" t="str">
        <f aca="false">IF(助手报销!$R$96&lt;&gt;"","记  账  凭  证","")</f>
        <v/>
      </c>
      <c r="C1411" s="53"/>
      <c r="D1411" s="53"/>
      <c r="E1411" s="53"/>
      <c r="F1411" s="53"/>
      <c r="G1411" s="53"/>
      <c r="H1411" s="53"/>
      <c r="I1411" s="53"/>
    </row>
    <row r="1412" customFormat="false" ht="3" hidden="false" customHeight="true" outlineLevel="0" collapsed="false"/>
    <row r="1413" customFormat="false" ht="15" hidden="false" customHeight="true" outlineLevel="0" collapsed="false">
      <c r="C1413" s="56" t="str">
        <f aca="false">IF(助手报销!$R$96&lt;&gt;"",INDEX(助手报销!$B$2:$B$121,助手报销!$R$96),"")</f>
        <v/>
      </c>
      <c r="D1413" s="57" t="str">
        <f aca="false">IF(助手报销!$R$96&lt;&gt;"",INDEX(助手报销!$D$2:$D$121,助手报销!$R$96),"")</f>
        <v/>
      </c>
      <c r="E1413" s="57"/>
      <c r="F1413" s="58" t="str">
        <f aca="false">IF(助手报销!$R$96&lt;&gt;"",INDEX(助手报销!$C$2:$C$121,助手报销!$R$96)&amp;"  字第 "&amp;IF(参数!$B$9="是",INDEX(助手报销!$P$2:$P$121,助手报销!$R$96),"　　　　")&amp;" 号"&amp;IF(INDEX(助手报销!$L$2:$L$121,助手报销!$R$96)&gt;1,"  (共"&amp;INDEX(助手报销!$L$2:$L$121,助手报销!$R$96)&amp;"页 第"&amp;助手报销!$S$96&amp;"页)",""),"")</f>
        <v/>
      </c>
      <c r="G1413" s="58"/>
      <c r="H1413" s="58"/>
      <c r="I1413" s="58"/>
      <c r="M1413" s="79" t="str">
        <f aca="false">IF(助手报销!$R$96="","",助手报销!$Q$96)</f>
        <v/>
      </c>
      <c r="N1413" s="80" t="str">
        <f aca="false">IF(助手报销!$R$96="","",INDEX(助手报销!$P$2:$P$121,助手报销!$R$96))</f>
        <v/>
      </c>
      <c r="O1413" s="55" t="str">
        <f aca="false">IF(助手报销!$R$96="","",INDEX(助手报销!$C$2:$C$121,助手报销!$R$96)&amp;"  字第 "&amp;INDEX(助手报销!$P$2:$P$121,助手报销!$R$96)&amp;" 号"&amp;IF(INDEX(助手报销!$L$2:$L$121,助手报销!$R$96)&gt;1,"  (共"&amp;INDEX(助手报销!$L$2:$L$121,助手报销!$R$96)&amp;"页 第"&amp;助手报销!$S$96&amp;"页)",""))</f>
        <v/>
      </c>
    </row>
    <row r="1414" customFormat="false" ht="12.75" hidden="false" customHeight="true" outlineLevel="0" collapsed="false">
      <c r="B1414" s="61" t="str">
        <f aca="false">IF(助手报销!$R$96&lt;&gt;"","摘　　要","")</f>
        <v/>
      </c>
      <c r="C1414" s="61"/>
      <c r="D1414" s="62" t="str">
        <f aca="false">IF(助手报销!$R$96&lt;&gt;"","科　　　　目","")</f>
        <v/>
      </c>
      <c r="E1414" s="62"/>
      <c r="F1414" s="61" t="str">
        <f aca="false">IF(助手报销!$R$96&lt;&gt;"","借 方 金 额","")</f>
        <v/>
      </c>
      <c r="G1414" s="62" t="str">
        <f aca="false">IF(助手报销!$R$96&lt;&gt;"","贷 方 金 额","")</f>
        <v/>
      </c>
      <c r="H1414" s="63" t="str">
        <f aca="false">IF(助手报销!$R$96&lt;&gt;"","√","")</f>
        <v/>
      </c>
      <c r="I1414" s="64" t="str">
        <f aca="false">IF(助手报销!$R$96&lt;&gt;"","附单据  张","")</f>
        <v/>
      </c>
    </row>
    <row r="1415" customFormat="false" ht="12.75" hidden="false" customHeight="true" outlineLevel="0" collapsed="false">
      <c r="B1415" s="61"/>
      <c r="C1415" s="61"/>
      <c r="D1415" s="23" t="str">
        <f aca="false">IF(助手报销!$R$96&lt;&gt;"","总 账 科 目","")</f>
        <v/>
      </c>
      <c r="E1415" s="23" t="str">
        <f aca="false">IF(助手报销!$R$96&lt;&gt;"","明 细 科 目","")</f>
        <v/>
      </c>
      <c r="F1415" s="65"/>
      <c r="G1415" s="66"/>
      <c r="H1415" s="63"/>
      <c r="I1415" s="64"/>
    </row>
    <row r="1416" customFormat="false" ht="23.25" hidden="false" customHeight="true" outlineLevel="0" collapsed="false">
      <c r="B1416" s="67" t="str">
        <f aca="false">IFERROR(INDEX(分录报销!$M:$M,MATCH($L1416,分录报销!$L:$L,0)),"")</f>
        <v/>
      </c>
      <c r="C1416" s="67"/>
      <c r="D1416" s="23" t="str">
        <f aca="false">IFERROR(INDEX(分录报销!$E:$E,MATCH($L1416,分录报销!$L:$L,0)),"")</f>
        <v/>
      </c>
      <c r="E1416" s="23" t="str">
        <f aca="false">IFERROR(INDEX(分录报销!$F:$F,MATCH($L1416,分录报销!$L:$L,0)),"")</f>
        <v/>
      </c>
      <c r="F1416" s="68" t="str">
        <f aca="false">IFERROR(INDEX(分录报销!$H:$H,MATCH($L1416,分录报销!$L:$L,0)),"")</f>
        <v/>
      </c>
      <c r="G1416" s="69" t="str">
        <f aca="false">IFERROR(INDEX(分录报销!$I:$I,MATCH($L1416,分录报销!$L:$L,0)),"")</f>
        <v/>
      </c>
      <c r="H1416" s="23"/>
      <c r="I1416" s="70"/>
      <c r="L1416" s="71" t="n">
        <f aca="false">IF(助手报销!$R$96="",-1,助手报销!$R$96*100+(助手报销!$S$96-1)*6+1)</f>
        <v>-1</v>
      </c>
    </row>
    <row r="1417" customFormat="false" ht="23.25" hidden="false" customHeight="true" outlineLevel="0" collapsed="false">
      <c r="B1417" s="67" t="str">
        <f aca="false">IFERROR(INDEX(分录报销!$M:$M,MATCH($L1417,分录报销!$L:$L,0)),"")</f>
        <v/>
      </c>
      <c r="C1417" s="67"/>
      <c r="D1417" s="23" t="str">
        <f aca="false">IFERROR(INDEX(分录报销!$E:$E,MATCH($L1417,分录报销!$L:$L,0)),"")</f>
        <v/>
      </c>
      <c r="E1417" s="23" t="str">
        <f aca="false">IFERROR(INDEX(分录报销!$F:$F,MATCH($L1417,分录报销!$L:$L,0)),"")</f>
        <v/>
      </c>
      <c r="F1417" s="68" t="str">
        <f aca="false">IFERROR(INDEX(分录报销!$H:$H,MATCH($L1417,分录报销!$L:$L,0)),"")</f>
        <v/>
      </c>
      <c r="G1417" s="69" t="str">
        <f aca="false">IFERROR(INDEX(分录报销!$I:$I,MATCH($L1417,分录报销!$L:$L,0)),"")</f>
        <v/>
      </c>
      <c r="H1417" s="23"/>
      <c r="I1417" s="70"/>
      <c r="L1417" s="71" t="n">
        <f aca="false">IF(助手报销!$R$96="",-1,助手报销!$R$96*100+(助手报销!$S$96-1)*6+2)</f>
        <v>-1</v>
      </c>
    </row>
    <row r="1418" customFormat="false" ht="23.25" hidden="false" customHeight="true" outlineLevel="0" collapsed="false">
      <c r="B1418" s="67" t="str">
        <f aca="false">IFERROR(INDEX(分录报销!$M:$M,MATCH($L1418,分录报销!$L:$L,0)),"")</f>
        <v/>
      </c>
      <c r="C1418" s="67"/>
      <c r="D1418" s="23" t="str">
        <f aca="false">IFERROR(INDEX(分录报销!$E:$E,MATCH($L1418,分录报销!$L:$L,0)),"")</f>
        <v/>
      </c>
      <c r="E1418" s="23" t="str">
        <f aca="false">IFERROR(INDEX(分录报销!$F:$F,MATCH($L1418,分录报销!$L:$L,0)),"")</f>
        <v/>
      </c>
      <c r="F1418" s="68" t="str">
        <f aca="false">IFERROR(INDEX(分录报销!$H:$H,MATCH($L1418,分录报销!$L:$L,0)),"")</f>
        <v/>
      </c>
      <c r="G1418" s="69" t="str">
        <f aca="false">IFERROR(INDEX(分录报销!$I:$I,MATCH($L1418,分录报销!$L:$L,0)),"")</f>
        <v/>
      </c>
      <c r="H1418" s="23"/>
      <c r="I1418" s="70"/>
      <c r="L1418" s="71" t="n">
        <f aca="false">IF(助手报销!$R$96="",-1,助手报销!$R$96*100+(助手报销!$S$96-1)*6+3)</f>
        <v>-1</v>
      </c>
    </row>
    <row r="1419" customFormat="false" ht="23.25" hidden="false" customHeight="true" outlineLevel="0" collapsed="false">
      <c r="B1419" s="67" t="str">
        <f aca="false">IFERROR(INDEX(分录报销!$M:$M,MATCH($L1419,分录报销!$L:$L,0)),"")</f>
        <v/>
      </c>
      <c r="C1419" s="67"/>
      <c r="D1419" s="23" t="str">
        <f aca="false">IFERROR(INDEX(分录报销!$E:$E,MATCH($L1419,分录报销!$L:$L,0)),"")</f>
        <v/>
      </c>
      <c r="E1419" s="23" t="str">
        <f aca="false">IFERROR(INDEX(分录报销!$F:$F,MATCH($L1419,分录报销!$L:$L,0)),"")</f>
        <v/>
      </c>
      <c r="F1419" s="68" t="str">
        <f aca="false">IFERROR(INDEX(分录报销!$H:$H,MATCH($L1419,分录报销!$L:$L,0)),"")</f>
        <v/>
      </c>
      <c r="G1419" s="69" t="str">
        <f aca="false">IFERROR(INDEX(分录报销!$I:$I,MATCH($L1419,分录报销!$L:$L,0)),"")</f>
        <v/>
      </c>
      <c r="H1419" s="23"/>
      <c r="I1419" s="70"/>
      <c r="L1419" s="71" t="n">
        <f aca="false">IF(助手报销!$R$96="",-1,助手报销!$R$96*100+(助手报销!$S$96-1)*6+4)</f>
        <v>-1</v>
      </c>
    </row>
    <row r="1420" customFormat="false" ht="23.25" hidden="false" customHeight="true" outlineLevel="0" collapsed="false">
      <c r="B1420" s="67" t="str">
        <f aca="false">IFERROR(INDEX(分录报销!$M:$M,MATCH($L1420,分录报销!$L:$L,0)),"")</f>
        <v/>
      </c>
      <c r="C1420" s="67"/>
      <c r="D1420" s="23" t="str">
        <f aca="false">IFERROR(INDEX(分录报销!$E:$E,MATCH($L1420,分录报销!$L:$L,0)),"")</f>
        <v/>
      </c>
      <c r="E1420" s="23" t="str">
        <f aca="false">IFERROR(INDEX(分录报销!$F:$F,MATCH($L1420,分录报销!$L:$L,0)),"")</f>
        <v/>
      </c>
      <c r="F1420" s="68" t="str">
        <f aca="false">IFERROR(INDEX(分录报销!$H:$H,MATCH($L1420,分录报销!$L:$L,0)),"")</f>
        <v/>
      </c>
      <c r="G1420" s="69" t="str">
        <f aca="false">IFERROR(INDEX(分录报销!$I:$I,MATCH($L1420,分录报销!$L:$L,0)),"")</f>
        <v/>
      </c>
      <c r="H1420" s="23"/>
      <c r="I1420" s="70"/>
      <c r="L1420" s="71" t="n">
        <f aca="false">IF(助手报销!$R$96="",-1,助手报销!$R$96*100+(助手报销!$S$96-1)*6+5)</f>
        <v>-1</v>
      </c>
    </row>
    <row r="1421" customFormat="false" ht="23.25" hidden="false" customHeight="true" outlineLevel="0" collapsed="false">
      <c r="B1421" s="67" t="str">
        <f aca="false">IFERROR(INDEX(分录报销!$M:$M,MATCH($L1421,分录报销!$L:$L,0)),"")</f>
        <v/>
      </c>
      <c r="C1421" s="67"/>
      <c r="D1421" s="23" t="str">
        <f aca="false">IFERROR(INDEX(分录报销!$E:$E,MATCH($L1421,分录报销!$L:$L,0)),"")</f>
        <v/>
      </c>
      <c r="E1421" s="23" t="str">
        <f aca="false">IFERROR(INDEX(分录报销!$F:$F,MATCH($L1421,分录报销!$L:$L,0)),"")</f>
        <v/>
      </c>
      <c r="F1421" s="68" t="str">
        <f aca="false">IFERROR(INDEX(分录报销!$H:$H,MATCH($L1421,分录报销!$L:$L,0)),"")</f>
        <v/>
      </c>
      <c r="G1421" s="69" t="str">
        <f aca="false">IFERROR(INDEX(分录报销!$I:$I,MATCH($L1421,分录报销!$L:$L,0)),"")</f>
        <v/>
      </c>
      <c r="H1421" s="23"/>
      <c r="I1421" s="70"/>
      <c r="L1421" s="71" t="n">
        <f aca="false">IF(助手报销!$R$96="",-1,助手报销!$R$96*100+(助手报销!$S$96-1)*6+6)</f>
        <v>-1</v>
      </c>
    </row>
    <row r="1422" customFormat="false" ht="23.25" hidden="false" customHeight="true" outlineLevel="0" collapsed="false">
      <c r="B1422" s="72" t="str">
        <f aca="false">IF(助手报销!$T$96=1,"合计：","")</f>
        <v/>
      </c>
      <c r="C1422" s="73" t="str">
        <f aca="false">IF(助手报销!$T$96=1,$F1422,"")</f>
        <v/>
      </c>
      <c r="D1422" s="74"/>
      <c r="E1422" s="74"/>
      <c r="F1422" s="75" t="str">
        <f aca="false">IF(助手报销!$T$96=1,INDEX(助手报销!$N$2:$N$121,助手报销!$R$96),"")</f>
        <v/>
      </c>
      <c r="G1422" s="76" t="str">
        <f aca="false">IF(助手报销!$T$96=1,INDEX(助手报销!$O$2:$O$121,助手报销!$R$96),"")</f>
        <v/>
      </c>
      <c r="H1422" s="74"/>
      <c r="I1422" s="77"/>
    </row>
    <row r="1423" customFormat="false" ht="6" hidden="false" customHeight="true" outlineLevel="0" collapsed="false"/>
    <row r="1424" customFormat="false" ht="13.5" hidden="false" customHeight="false" outlineLevel="0" collapsed="false">
      <c r="B1424" s="78" t="str">
        <f aca="false">IF(助手报销!$R$96&lt;&gt;"","会计主管：","")</f>
        <v/>
      </c>
      <c r="D1424" s="78" t="str">
        <f aca="false">IF(助手报销!$R$96&lt;&gt;"","会计：","")</f>
        <v/>
      </c>
      <c r="E1424" s="78" t="str">
        <f aca="false">IF(助手报销!$R$96&lt;&gt;"","出纳：","")</f>
        <v/>
      </c>
      <c r="F1424" s="78" t="str">
        <f aca="false">IF(助手报销!$R$96&lt;&gt;"","复核：","")</f>
        <v/>
      </c>
      <c r="G1424" s="78" t="str">
        <f aca="false">IF(助手报销!$R$96&lt;&gt;"","制单：","")</f>
        <v/>
      </c>
    </row>
    <row r="1425" customFormat="false" ht="3" hidden="false" customHeight="true" outlineLevel="0" collapsed="false"/>
    <row r="1426" customFormat="false" ht="19.5" hidden="false" customHeight="true" outlineLevel="0" collapsed="false">
      <c r="B1426" s="53" t="str">
        <f aca="false">IF(助手报销!$R$97&lt;&gt;"","记  账  凭  证","")</f>
        <v/>
      </c>
      <c r="C1426" s="53"/>
      <c r="D1426" s="53"/>
      <c r="E1426" s="53"/>
      <c r="F1426" s="53"/>
      <c r="G1426" s="53"/>
      <c r="H1426" s="53"/>
      <c r="I1426" s="53"/>
    </row>
    <row r="1427" customFormat="false" ht="3" hidden="false" customHeight="true" outlineLevel="0" collapsed="false"/>
    <row r="1428" customFormat="false" ht="15" hidden="false" customHeight="true" outlineLevel="0" collapsed="false">
      <c r="C1428" s="56" t="str">
        <f aca="false">IF(助手报销!$R$97&lt;&gt;"",INDEX(助手报销!$B$2:$B$121,助手报销!$R$97),"")</f>
        <v/>
      </c>
      <c r="D1428" s="57" t="str">
        <f aca="false">IF(助手报销!$R$97&lt;&gt;"",INDEX(助手报销!$D$2:$D$121,助手报销!$R$97),"")</f>
        <v/>
      </c>
      <c r="E1428" s="57"/>
      <c r="F1428" s="58" t="str">
        <f aca="false">IF(助手报销!$R$97&lt;&gt;"",INDEX(助手报销!$C$2:$C$121,助手报销!$R$97)&amp;"  字第 "&amp;IF(参数!$B$9="是",INDEX(助手报销!$P$2:$P$121,助手报销!$R$97),"　　　　")&amp;" 号"&amp;IF(INDEX(助手报销!$L$2:$L$121,助手报销!$R$97)&gt;1,"  (共"&amp;INDEX(助手报销!$L$2:$L$121,助手报销!$R$97)&amp;"页 第"&amp;助手报销!$S$97&amp;"页)",""),"")</f>
        <v/>
      </c>
      <c r="G1428" s="58"/>
      <c r="H1428" s="58"/>
      <c r="I1428" s="58"/>
      <c r="M1428" s="79" t="str">
        <f aca="false">IF(助手报销!$R$97="","",助手报销!$Q$97)</f>
        <v/>
      </c>
      <c r="N1428" s="80" t="str">
        <f aca="false">IF(助手报销!$R$97="","",INDEX(助手报销!$P$2:$P$121,助手报销!$R$97))</f>
        <v/>
      </c>
      <c r="O1428" s="55" t="str">
        <f aca="false">IF(助手报销!$R$97="","",INDEX(助手报销!$C$2:$C$121,助手报销!$R$97)&amp;"  字第 "&amp;INDEX(助手报销!$P$2:$P$121,助手报销!$R$97)&amp;" 号"&amp;IF(INDEX(助手报销!$L$2:$L$121,助手报销!$R$97)&gt;1,"  (共"&amp;INDEX(助手报销!$L$2:$L$121,助手报销!$R$97)&amp;"页 第"&amp;助手报销!$S$97&amp;"页)",""))</f>
        <v/>
      </c>
    </row>
    <row r="1429" customFormat="false" ht="12.75" hidden="false" customHeight="true" outlineLevel="0" collapsed="false">
      <c r="B1429" s="61" t="str">
        <f aca="false">IF(助手报销!$R$97&lt;&gt;"","摘　　要","")</f>
        <v/>
      </c>
      <c r="C1429" s="61"/>
      <c r="D1429" s="62" t="str">
        <f aca="false">IF(助手报销!$R$97&lt;&gt;"","科　　　　目","")</f>
        <v/>
      </c>
      <c r="E1429" s="62"/>
      <c r="F1429" s="61" t="str">
        <f aca="false">IF(助手报销!$R$97&lt;&gt;"","借 方 金 额","")</f>
        <v/>
      </c>
      <c r="G1429" s="62" t="str">
        <f aca="false">IF(助手报销!$R$97&lt;&gt;"","贷 方 金 额","")</f>
        <v/>
      </c>
      <c r="H1429" s="63" t="str">
        <f aca="false">IF(助手报销!$R$97&lt;&gt;"","√","")</f>
        <v/>
      </c>
      <c r="I1429" s="64" t="str">
        <f aca="false">IF(助手报销!$R$97&lt;&gt;"","附单据  张","")</f>
        <v/>
      </c>
    </row>
    <row r="1430" customFormat="false" ht="12.75" hidden="false" customHeight="true" outlineLevel="0" collapsed="false">
      <c r="B1430" s="61"/>
      <c r="C1430" s="61"/>
      <c r="D1430" s="23" t="str">
        <f aca="false">IF(助手报销!$R$97&lt;&gt;"","总 账 科 目","")</f>
        <v/>
      </c>
      <c r="E1430" s="23" t="str">
        <f aca="false">IF(助手报销!$R$97&lt;&gt;"","明 细 科 目","")</f>
        <v/>
      </c>
      <c r="F1430" s="65"/>
      <c r="G1430" s="66"/>
      <c r="H1430" s="63"/>
      <c r="I1430" s="64"/>
    </row>
    <row r="1431" customFormat="false" ht="23.25" hidden="false" customHeight="true" outlineLevel="0" collapsed="false">
      <c r="B1431" s="67" t="str">
        <f aca="false">IFERROR(INDEX(分录报销!$M:$M,MATCH($L1431,分录报销!$L:$L,0)),"")</f>
        <v/>
      </c>
      <c r="C1431" s="67"/>
      <c r="D1431" s="23" t="str">
        <f aca="false">IFERROR(INDEX(分录报销!$E:$E,MATCH($L1431,分录报销!$L:$L,0)),"")</f>
        <v/>
      </c>
      <c r="E1431" s="23" t="str">
        <f aca="false">IFERROR(INDEX(分录报销!$F:$F,MATCH($L1431,分录报销!$L:$L,0)),"")</f>
        <v/>
      </c>
      <c r="F1431" s="68" t="str">
        <f aca="false">IFERROR(INDEX(分录报销!$H:$H,MATCH($L1431,分录报销!$L:$L,0)),"")</f>
        <v/>
      </c>
      <c r="G1431" s="69" t="str">
        <f aca="false">IFERROR(INDEX(分录报销!$I:$I,MATCH($L1431,分录报销!$L:$L,0)),"")</f>
        <v/>
      </c>
      <c r="H1431" s="23"/>
      <c r="I1431" s="70"/>
      <c r="L1431" s="71" t="n">
        <f aca="false">IF(助手报销!$R$97="",-1,助手报销!$R$97*100+(助手报销!$S$97-1)*6+1)</f>
        <v>-1</v>
      </c>
    </row>
    <row r="1432" customFormat="false" ht="23.25" hidden="false" customHeight="true" outlineLevel="0" collapsed="false">
      <c r="B1432" s="67" t="str">
        <f aca="false">IFERROR(INDEX(分录报销!$M:$M,MATCH($L1432,分录报销!$L:$L,0)),"")</f>
        <v/>
      </c>
      <c r="C1432" s="67"/>
      <c r="D1432" s="23" t="str">
        <f aca="false">IFERROR(INDEX(分录报销!$E:$E,MATCH($L1432,分录报销!$L:$L,0)),"")</f>
        <v/>
      </c>
      <c r="E1432" s="23" t="str">
        <f aca="false">IFERROR(INDEX(分录报销!$F:$F,MATCH($L1432,分录报销!$L:$L,0)),"")</f>
        <v/>
      </c>
      <c r="F1432" s="68" t="str">
        <f aca="false">IFERROR(INDEX(分录报销!$H:$H,MATCH($L1432,分录报销!$L:$L,0)),"")</f>
        <v/>
      </c>
      <c r="G1432" s="69" t="str">
        <f aca="false">IFERROR(INDEX(分录报销!$I:$I,MATCH($L1432,分录报销!$L:$L,0)),"")</f>
        <v/>
      </c>
      <c r="H1432" s="23"/>
      <c r="I1432" s="70"/>
      <c r="L1432" s="71" t="n">
        <f aca="false">IF(助手报销!$R$97="",-1,助手报销!$R$97*100+(助手报销!$S$97-1)*6+2)</f>
        <v>-1</v>
      </c>
    </row>
    <row r="1433" customFormat="false" ht="23.25" hidden="false" customHeight="true" outlineLevel="0" collapsed="false">
      <c r="B1433" s="67" t="str">
        <f aca="false">IFERROR(INDEX(分录报销!$M:$M,MATCH($L1433,分录报销!$L:$L,0)),"")</f>
        <v/>
      </c>
      <c r="C1433" s="67"/>
      <c r="D1433" s="23" t="str">
        <f aca="false">IFERROR(INDEX(分录报销!$E:$E,MATCH($L1433,分录报销!$L:$L,0)),"")</f>
        <v/>
      </c>
      <c r="E1433" s="23" t="str">
        <f aca="false">IFERROR(INDEX(分录报销!$F:$F,MATCH($L1433,分录报销!$L:$L,0)),"")</f>
        <v/>
      </c>
      <c r="F1433" s="68" t="str">
        <f aca="false">IFERROR(INDEX(分录报销!$H:$H,MATCH($L1433,分录报销!$L:$L,0)),"")</f>
        <v/>
      </c>
      <c r="G1433" s="69" t="str">
        <f aca="false">IFERROR(INDEX(分录报销!$I:$I,MATCH($L1433,分录报销!$L:$L,0)),"")</f>
        <v/>
      </c>
      <c r="H1433" s="23"/>
      <c r="I1433" s="70"/>
      <c r="L1433" s="71" t="n">
        <f aca="false">IF(助手报销!$R$97="",-1,助手报销!$R$97*100+(助手报销!$S$97-1)*6+3)</f>
        <v>-1</v>
      </c>
    </row>
    <row r="1434" customFormat="false" ht="23.25" hidden="false" customHeight="true" outlineLevel="0" collapsed="false">
      <c r="B1434" s="67" t="str">
        <f aca="false">IFERROR(INDEX(分录报销!$M:$M,MATCH($L1434,分录报销!$L:$L,0)),"")</f>
        <v/>
      </c>
      <c r="C1434" s="67"/>
      <c r="D1434" s="23" t="str">
        <f aca="false">IFERROR(INDEX(分录报销!$E:$E,MATCH($L1434,分录报销!$L:$L,0)),"")</f>
        <v/>
      </c>
      <c r="E1434" s="23" t="str">
        <f aca="false">IFERROR(INDEX(分录报销!$F:$F,MATCH($L1434,分录报销!$L:$L,0)),"")</f>
        <v/>
      </c>
      <c r="F1434" s="68" t="str">
        <f aca="false">IFERROR(INDEX(分录报销!$H:$H,MATCH($L1434,分录报销!$L:$L,0)),"")</f>
        <v/>
      </c>
      <c r="G1434" s="69" t="str">
        <f aca="false">IFERROR(INDEX(分录报销!$I:$I,MATCH($L1434,分录报销!$L:$L,0)),"")</f>
        <v/>
      </c>
      <c r="H1434" s="23"/>
      <c r="I1434" s="70"/>
      <c r="L1434" s="71" t="n">
        <f aca="false">IF(助手报销!$R$97="",-1,助手报销!$R$97*100+(助手报销!$S$97-1)*6+4)</f>
        <v>-1</v>
      </c>
    </row>
    <row r="1435" customFormat="false" ht="23.25" hidden="false" customHeight="true" outlineLevel="0" collapsed="false">
      <c r="B1435" s="67" t="str">
        <f aca="false">IFERROR(INDEX(分录报销!$M:$M,MATCH($L1435,分录报销!$L:$L,0)),"")</f>
        <v/>
      </c>
      <c r="C1435" s="67"/>
      <c r="D1435" s="23" t="str">
        <f aca="false">IFERROR(INDEX(分录报销!$E:$E,MATCH($L1435,分录报销!$L:$L,0)),"")</f>
        <v/>
      </c>
      <c r="E1435" s="23" t="str">
        <f aca="false">IFERROR(INDEX(分录报销!$F:$F,MATCH($L1435,分录报销!$L:$L,0)),"")</f>
        <v/>
      </c>
      <c r="F1435" s="68" t="str">
        <f aca="false">IFERROR(INDEX(分录报销!$H:$H,MATCH($L1435,分录报销!$L:$L,0)),"")</f>
        <v/>
      </c>
      <c r="G1435" s="69" t="str">
        <f aca="false">IFERROR(INDEX(分录报销!$I:$I,MATCH($L1435,分录报销!$L:$L,0)),"")</f>
        <v/>
      </c>
      <c r="H1435" s="23"/>
      <c r="I1435" s="70"/>
      <c r="L1435" s="71" t="n">
        <f aca="false">IF(助手报销!$R$97="",-1,助手报销!$R$97*100+(助手报销!$S$97-1)*6+5)</f>
        <v>-1</v>
      </c>
    </row>
    <row r="1436" customFormat="false" ht="23.25" hidden="false" customHeight="true" outlineLevel="0" collapsed="false">
      <c r="B1436" s="67" t="str">
        <f aca="false">IFERROR(INDEX(分录报销!$M:$M,MATCH($L1436,分录报销!$L:$L,0)),"")</f>
        <v/>
      </c>
      <c r="C1436" s="67"/>
      <c r="D1436" s="23" t="str">
        <f aca="false">IFERROR(INDEX(分录报销!$E:$E,MATCH($L1436,分录报销!$L:$L,0)),"")</f>
        <v/>
      </c>
      <c r="E1436" s="23" t="str">
        <f aca="false">IFERROR(INDEX(分录报销!$F:$F,MATCH($L1436,分录报销!$L:$L,0)),"")</f>
        <v/>
      </c>
      <c r="F1436" s="68" t="str">
        <f aca="false">IFERROR(INDEX(分录报销!$H:$H,MATCH($L1436,分录报销!$L:$L,0)),"")</f>
        <v/>
      </c>
      <c r="G1436" s="69" t="str">
        <f aca="false">IFERROR(INDEX(分录报销!$I:$I,MATCH($L1436,分录报销!$L:$L,0)),"")</f>
        <v/>
      </c>
      <c r="H1436" s="23"/>
      <c r="I1436" s="70"/>
      <c r="L1436" s="71" t="n">
        <f aca="false">IF(助手报销!$R$97="",-1,助手报销!$R$97*100+(助手报销!$S$97-1)*6+6)</f>
        <v>-1</v>
      </c>
    </row>
    <row r="1437" customFormat="false" ht="23.25" hidden="false" customHeight="true" outlineLevel="0" collapsed="false">
      <c r="B1437" s="72" t="str">
        <f aca="false">IF(助手报销!$T$97=1,"合计：","")</f>
        <v/>
      </c>
      <c r="C1437" s="73" t="str">
        <f aca="false">IF(助手报销!$T$97=1,$F1437,"")</f>
        <v/>
      </c>
      <c r="D1437" s="74"/>
      <c r="E1437" s="74"/>
      <c r="F1437" s="75" t="str">
        <f aca="false">IF(助手报销!$T$97=1,INDEX(助手报销!$N$2:$N$121,助手报销!$R$97),"")</f>
        <v/>
      </c>
      <c r="G1437" s="76" t="str">
        <f aca="false">IF(助手报销!$T$97=1,INDEX(助手报销!$O$2:$O$121,助手报销!$R$97),"")</f>
        <v/>
      </c>
      <c r="H1437" s="74"/>
      <c r="I1437" s="77"/>
    </row>
    <row r="1438" customFormat="false" ht="6" hidden="false" customHeight="true" outlineLevel="0" collapsed="false"/>
    <row r="1439" customFormat="false" ht="13.5" hidden="false" customHeight="false" outlineLevel="0" collapsed="false">
      <c r="B1439" s="78" t="str">
        <f aca="false">IF(助手报销!$R$97&lt;&gt;"","会计主管：","")</f>
        <v/>
      </c>
      <c r="D1439" s="78" t="str">
        <f aca="false">IF(助手报销!$R$97&lt;&gt;"","会计：","")</f>
        <v/>
      </c>
      <c r="E1439" s="78" t="str">
        <f aca="false">IF(助手报销!$R$97&lt;&gt;"","出纳：","")</f>
        <v/>
      </c>
      <c r="F1439" s="78" t="str">
        <f aca="false">IF(助手报销!$R$97&lt;&gt;"","复核：","")</f>
        <v/>
      </c>
      <c r="G1439" s="78" t="str">
        <f aca="false">IF(助手报销!$R$97&lt;&gt;"","制单：","")</f>
        <v/>
      </c>
    </row>
    <row r="1440" customFormat="false" ht="3" hidden="false" customHeight="true" outlineLevel="0" collapsed="false"/>
    <row r="1441" customFormat="false" ht="19.5" hidden="false" customHeight="true" outlineLevel="0" collapsed="false">
      <c r="B1441" s="53" t="str">
        <f aca="false">IF(助手报销!$R$98&lt;&gt;"","记  账  凭  证","")</f>
        <v/>
      </c>
      <c r="C1441" s="53"/>
      <c r="D1441" s="53"/>
      <c r="E1441" s="53"/>
      <c r="F1441" s="53"/>
      <c r="G1441" s="53"/>
      <c r="H1441" s="53"/>
      <c r="I1441" s="53"/>
    </row>
    <row r="1442" customFormat="false" ht="3" hidden="false" customHeight="true" outlineLevel="0" collapsed="false"/>
    <row r="1443" customFormat="false" ht="15" hidden="false" customHeight="true" outlineLevel="0" collapsed="false">
      <c r="C1443" s="56" t="str">
        <f aca="false">IF(助手报销!$R$98&lt;&gt;"",INDEX(助手报销!$B$2:$B$121,助手报销!$R$98),"")</f>
        <v/>
      </c>
      <c r="D1443" s="57" t="str">
        <f aca="false">IF(助手报销!$R$98&lt;&gt;"",INDEX(助手报销!$D$2:$D$121,助手报销!$R$98),"")</f>
        <v/>
      </c>
      <c r="E1443" s="57"/>
      <c r="F1443" s="58" t="str">
        <f aca="false">IF(助手报销!$R$98&lt;&gt;"",INDEX(助手报销!$C$2:$C$121,助手报销!$R$98)&amp;"  字第 "&amp;IF(参数!$B$9="是",INDEX(助手报销!$P$2:$P$121,助手报销!$R$98),"　　　　")&amp;" 号"&amp;IF(INDEX(助手报销!$L$2:$L$121,助手报销!$R$98)&gt;1,"  (共"&amp;INDEX(助手报销!$L$2:$L$121,助手报销!$R$98)&amp;"页 第"&amp;助手报销!$S$98&amp;"页)",""),"")</f>
        <v/>
      </c>
      <c r="G1443" s="58"/>
      <c r="H1443" s="58"/>
      <c r="I1443" s="58"/>
      <c r="M1443" s="79" t="str">
        <f aca="false">IF(助手报销!$R$98="","",助手报销!$Q$98)</f>
        <v/>
      </c>
      <c r="N1443" s="80" t="str">
        <f aca="false">IF(助手报销!$R$98="","",INDEX(助手报销!$P$2:$P$121,助手报销!$R$98))</f>
        <v/>
      </c>
      <c r="O1443" s="55" t="str">
        <f aca="false">IF(助手报销!$R$98="","",INDEX(助手报销!$C$2:$C$121,助手报销!$R$98)&amp;"  字第 "&amp;INDEX(助手报销!$P$2:$P$121,助手报销!$R$98)&amp;" 号"&amp;IF(INDEX(助手报销!$L$2:$L$121,助手报销!$R$98)&gt;1,"  (共"&amp;INDEX(助手报销!$L$2:$L$121,助手报销!$R$98)&amp;"页 第"&amp;助手报销!$S$98&amp;"页)",""))</f>
        <v/>
      </c>
    </row>
    <row r="1444" customFormat="false" ht="12.75" hidden="false" customHeight="true" outlineLevel="0" collapsed="false">
      <c r="B1444" s="61" t="str">
        <f aca="false">IF(助手报销!$R$98&lt;&gt;"","摘　　要","")</f>
        <v/>
      </c>
      <c r="C1444" s="61"/>
      <c r="D1444" s="62" t="str">
        <f aca="false">IF(助手报销!$R$98&lt;&gt;"","科　　　　目","")</f>
        <v/>
      </c>
      <c r="E1444" s="62"/>
      <c r="F1444" s="61" t="str">
        <f aca="false">IF(助手报销!$R$98&lt;&gt;"","借 方 金 额","")</f>
        <v/>
      </c>
      <c r="G1444" s="62" t="str">
        <f aca="false">IF(助手报销!$R$98&lt;&gt;"","贷 方 金 额","")</f>
        <v/>
      </c>
      <c r="H1444" s="63" t="str">
        <f aca="false">IF(助手报销!$R$98&lt;&gt;"","√","")</f>
        <v/>
      </c>
      <c r="I1444" s="64" t="str">
        <f aca="false">IF(助手报销!$R$98&lt;&gt;"","附单据  张","")</f>
        <v/>
      </c>
    </row>
    <row r="1445" customFormat="false" ht="12.75" hidden="false" customHeight="true" outlineLevel="0" collapsed="false">
      <c r="B1445" s="61"/>
      <c r="C1445" s="61"/>
      <c r="D1445" s="23" t="str">
        <f aca="false">IF(助手报销!$R$98&lt;&gt;"","总 账 科 目","")</f>
        <v/>
      </c>
      <c r="E1445" s="23" t="str">
        <f aca="false">IF(助手报销!$R$98&lt;&gt;"","明 细 科 目","")</f>
        <v/>
      </c>
      <c r="F1445" s="65"/>
      <c r="G1445" s="66"/>
      <c r="H1445" s="63"/>
      <c r="I1445" s="64"/>
    </row>
    <row r="1446" customFormat="false" ht="23.25" hidden="false" customHeight="true" outlineLevel="0" collapsed="false">
      <c r="B1446" s="67" t="str">
        <f aca="false">IFERROR(INDEX(分录报销!$M:$M,MATCH($L1446,分录报销!$L:$L,0)),"")</f>
        <v/>
      </c>
      <c r="C1446" s="67"/>
      <c r="D1446" s="23" t="str">
        <f aca="false">IFERROR(INDEX(分录报销!$E:$E,MATCH($L1446,分录报销!$L:$L,0)),"")</f>
        <v/>
      </c>
      <c r="E1446" s="23" t="str">
        <f aca="false">IFERROR(INDEX(分录报销!$F:$F,MATCH($L1446,分录报销!$L:$L,0)),"")</f>
        <v/>
      </c>
      <c r="F1446" s="68" t="str">
        <f aca="false">IFERROR(INDEX(分录报销!$H:$H,MATCH($L1446,分录报销!$L:$L,0)),"")</f>
        <v/>
      </c>
      <c r="G1446" s="69" t="str">
        <f aca="false">IFERROR(INDEX(分录报销!$I:$I,MATCH($L1446,分录报销!$L:$L,0)),"")</f>
        <v/>
      </c>
      <c r="H1446" s="23"/>
      <c r="I1446" s="70"/>
      <c r="L1446" s="71" t="n">
        <f aca="false">IF(助手报销!$R$98="",-1,助手报销!$R$98*100+(助手报销!$S$98-1)*6+1)</f>
        <v>-1</v>
      </c>
    </row>
    <row r="1447" customFormat="false" ht="23.25" hidden="false" customHeight="true" outlineLevel="0" collapsed="false">
      <c r="B1447" s="67" t="str">
        <f aca="false">IFERROR(INDEX(分录报销!$M:$M,MATCH($L1447,分录报销!$L:$L,0)),"")</f>
        <v/>
      </c>
      <c r="C1447" s="67"/>
      <c r="D1447" s="23" t="str">
        <f aca="false">IFERROR(INDEX(分录报销!$E:$E,MATCH($L1447,分录报销!$L:$L,0)),"")</f>
        <v/>
      </c>
      <c r="E1447" s="23" t="str">
        <f aca="false">IFERROR(INDEX(分录报销!$F:$F,MATCH($L1447,分录报销!$L:$L,0)),"")</f>
        <v/>
      </c>
      <c r="F1447" s="68" t="str">
        <f aca="false">IFERROR(INDEX(分录报销!$H:$H,MATCH($L1447,分录报销!$L:$L,0)),"")</f>
        <v/>
      </c>
      <c r="G1447" s="69" t="str">
        <f aca="false">IFERROR(INDEX(分录报销!$I:$I,MATCH($L1447,分录报销!$L:$L,0)),"")</f>
        <v/>
      </c>
      <c r="H1447" s="23"/>
      <c r="I1447" s="70"/>
      <c r="L1447" s="71" t="n">
        <f aca="false">IF(助手报销!$R$98="",-1,助手报销!$R$98*100+(助手报销!$S$98-1)*6+2)</f>
        <v>-1</v>
      </c>
    </row>
    <row r="1448" customFormat="false" ht="23.25" hidden="false" customHeight="true" outlineLevel="0" collapsed="false">
      <c r="B1448" s="67" t="str">
        <f aca="false">IFERROR(INDEX(分录报销!$M:$M,MATCH($L1448,分录报销!$L:$L,0)),"")</f>
        <v/>
      </c>
      <c r="C1448" s="67"/>
      <c r="D1448" s="23" t="str">
        <f aca="false">IFERROR(INDEX(分录报销!$E:$E,MATCH($L1448,分录报销!$L:$L,0)),"")</f>
        <v/>
      </c>
      <c r="E1448" s="23" t="str">
        <f aca="false">IFERROR(INDEX(分录报销!$F:$F,MATCH($L1448,分录报销!$L:$L,0)),"")</f>
        <v/>
      </c>
      <c r="F1448" s="68" t="str">
        <f aca="false">IFERROR(INDEX(分录报销!$H:$H,MATCH($L1448,分录报销!$L:$L,0)),"")</f>
        <v/>
      </c>
      <c r="G1448" s="69" t="str">
        <f aca="false">IFERROR(INDEX(分录报销!$I:$I,MATCH($L1448,分录报销!$L:$L,0)),"")</f>
        <v/>
      </c>
      <c r="H1448" s="23"/>
      <c r="I1448" s="70"/>
      <c r="L1448" s="71" t="n">
        <f aca="false">IF(助手报销!$R$98="",-1,助手报销!$R$98*100+(助手报销!$S$98-1)*6+3)</f>
        <v>-1</v>
      </c>
    </row>
    <row r="1449" customFormat="false" ht="23.25" hidden="false" customHeight="true" outlineLevel="0" collapsed="false">
      <c r="B1449" s="67" t="str">
        <f aca="false">IFERROR(INDEX(分录报销!$M:$M,MATCH($L1449,分录报销!$L:$L,0)),"")</f>
        <v/>
      </c>
      <c r="C1449" s="67"/>
      <c r="D1449" s="23" t="str">
        <f aca="false">IFERROR(INDEX(分录报销!$E:$E,MATCH($L1449,分录报销!$L:$L,0)),"")</f>
        <v/>
      </c>
      <c r="E1449" s="23" t="str">
        <f aca="false">IFERROR(INDEX(分录报销!$F:$F,MATCH($L1449,分录报销!$L:$L,0)),"")</f>
        <v/>
      </c>
      <c r="F1449" s="68" t="str">
        <f aca="false">IFERROR(INDEX(分录报销!$H:$H,MATCH($L1449,分录报销!$L:$L,0)),"")</f>
        <v/>
      </c>
      <c r="G1449" s="69" t="str">
        <f aca="false">IFERROR(INDEX(分录报销!$I:$I,MATCH($L1449,分录报销!$L:$L,0)),"")</f>
        <v/>
      </c>
      <c r="H1449" s="23"/>
      <c r="I1449" s="70"/>
      <c r="L1449" s="71" t="n">
        <f aca="false">IF(助手报销!$R$98="",-1,助手报销!$R$98*100+(助手报销!$S$98-1)*6+4)</f>
        <v>-1</v>
      </c>
    </row>
    <row r="1450" customFormat="false" ht="23.25" hidden="false" customHeight="true" outlineLevel="0" collapsed="false">
      <c r="B1450" s="67" t="str">
        <f aca="false">IFERROR(INDEX(分录报销!$M:$M,MATCH($L1450,分录报销!$L:$L,0)),"")</f>
        <v/>
      </c>
      <c r="C1450" s="67"/>
      <c r="D1450" s="23" t="str">
        <f aca="false">IFERROR(INDEX(分录报销!$E:$E,MATCH($L1450,分录报销!$L:$L,0)),"")</f>
        <v/>
      </c>
      <c r="E1450" s="23" t="str">
        <f aca="false">IFERROR(INDEX(分录报销!$F:$F,MATCH($L1450,分录报销!$L:$L,0)),"")</f>
        <v/>
      </c>
      <c r="F1450" s="68" t="str">
        <f aca="false">IFERROR(INDEX(分录报销!$H:$H,MATCH($L1450,分录报销!$L:$L,0)),"")</f>
        <v/>
      </c>
      <c r="G1450" s="69" t="str">
        <f aca="false">IFERROR(INDEX(分录报销!$I:$I,MATCH($L1450,分录报销!$L:$L,0)),"")</f>
        <v/>
      </c>
      <c r="H1450" s="23"/>
      <c r="I1450" s="70"/>
      <c r="L1450" s="71" t="n">
        <f aca="false">IF(助手报销!$R$98="",-1,助手报销!$R$98*100+(助手报销!$S$98-1)*6+5)</f>
        <v>-1</v>
      </c>
    </row>
    <row r="1451" customFormat="false" ht="23.25" hidden="false" customHeight="true" outlineLevel="0" collapsed="false">
      <c r="B1451" s="67" t="str">
        <f aca="false">IFERROR(INDEX(分录报销!$M:$M,MATCH($L1451,分录报销!$L:$L,0)),"")</f>
        <v/>
      </c>
      <c r="C1451" s="67"/>
      <c r="D1451" s="23" t="str">
        <f aca="false">IFERROR(INDEX(分录报销!$E:$E,MATCH($L1451,分录报销!$L:$L,0)),"")</f>
        <v/>
      </c>
      <c r="E1451" s="23" t="str">
        <f aca="false">IFERROR(INDEX(分录报销!$F:$F,MATCH($L1451,分录报销!$L:$L,0)),"")</f>
        <v/>
      </c>
      <c r="F1451" s="68" t="str">
        <f aca="false">IFERROR(INDEX(分录报销!$H:$H,MATCH($L1451,分录报销!$L:$L,0)),"")</f>
        <v/>
      </c>
      <c r="G1451" s="69" t="str">
        <f aca="false">IFERROR(INDEX(分录报销!$I:$I,MATCH($L1451,分录报销!$L:$L,0)),"")</f>
        <v/>
      </c>
      <c r="H1451" s="23"/>
      <c r="I1451" s="70"/>
      <c r="L1451" s="71" t="n">
        <f aca="false">IF(助手报销!$R$98="",-1,助手报销!$R$98*100+(助手报销!$S$98-1)*6+6)</f>
        <v>-1</v>
      </c>
    </row>
    <row r="1452" customFormat="false" ht="23.25" hidden="false" customHeight="true" outlineLevel="0" collapsed="false">
      <c r="B1452" s="72" t="str">
        <f aca="false">IF(助手报销!$T$98=1,"合计：","")</f>
        <v/>
      </c>
      <c r="C1452" s="73" t="str">
        <f aca="false">IF(助手报销!$T$98=1,$F1452,"")</f>
        <v/>
      </c>
      <c r="D1452" s="74"/>
      <c r="E1452" s="74"/>
      <c r="F1452" s="75" t="str">
        <f aca="false">IF(助手报销!$T$98=1,INDEX(助手报销!$N$2:$N$121,助手报销!$R$98),"")</f>
        <v/>
      </c>
      <c r="G1452" s="76" t="str">
        <f aca="false">IF(助手报销!$T$98=1,INDEX(助手报销!$O$2:$O$121,助手报销!$R$98),"")</f>
        <v/>
      </c>
      <c r="H1452" s="74"/>
      <c r="I1452" s="77"/>
    </row>
    <row r="1453" customFormat="false" ht="6" hidden="false" customHeight="true" outlineLevel="0" collapsed="false"/>
    <row r="1454" customFormat="false" ht="13.5" hidden="false" customHeight="false" outlineLevel="0" collapsed="false">
      <c r="B1454" s="78" t="str">
        <f aca="false">IF(助手报销!$R$98&lt;&gt;"","会计主管：","")</f>
        <v/>
      </c>
      <c r="D1454" s="78" t="str">
        <f aca="false">IF(助手报销!$R$98&lt;&gt;"","会计：","")</f>
        <v/>
      </c>
      <c r="E1454" s="78" t="str">
        <f aca="false">IF(助手报销!$R$98&lt;&gt;"","出纳：","")</f>
        <v/>
      </c>
      <c r="F1454" s="78" t="str">
        <f aca="false">IF(助手报销!$R$98&lt;&gt;"","复核：","")</f>
        <v/>
      </c>
      <c r="G1454" s="78" t="str">
        <f aca="false">IF(助手报销!$R$98&lt;&gt;"","制单：","")</f>
        <v/>
      </c>
    </row>
    <row r="1455" customFormat="false" ht="3" hidden="false" customHeight="true" outlineLevel="0" collapsed="false"/>
    <row r="1456" customFormat="false" ht="19.5" hidden="false" customHeight="true" outlineLevel="0" collapsed="false">
      <c r="B1456" s="53" t="str">
        <f aca="false">IF(助手报销!$R$99&lt;&gt;"","记  账  凭  证","")</f>
        <v/>
      </c>
      <c r="C1456" s="53"/>
      <c r="D1456" s="53"/>
      <c r="E1456" s="53"/>
      <c r="F1456" s="53"/>
      <c r="G1456" s="53"/>
      <c r="H1456" s="53"/>
      <c r="I1456" s="53"/>
    </row>
    <row r="1457" customFormat="false" ht="3" hidden="false" customHeight="true" outlineLevel="0" collapsed="false"/>
    <row r="1458" customFormat="false" ht="15" hidden="false" customHeight="true" outlineLevel="0" collapsed="false">
      <c r="C1458" s="56" t="str">
        <f aca="false">IF(助手报销!$R$99&lt;&gt;"",INDEX(助手报销!$B$2:$B$121,助手报销!$R$99),"")</f>
        <v/>
      </c>
      <c r="D1458" s="57" t="str">
        <f aca="false">IF(助手报销!$R$99&lt;&gt;"",INDEX(助手报销!$D$2:$D$121,助手报销!$R$99),"")</f>
        <v/>
      </c>
      <c r="E1458" s="57"/>
      <c r="F1458" s="58" t="str">
        <f aca="false">IF(助手报销!$R$99&lt;&gt;"",INDEX(助手报销!$C$2:$C$121,助手报销!$R$99)&amp;"  字第 "&amp;IF(参数!$B$9="是",INDEX(助手报销!$P$2:$P$121,助手报销!$R$99),"　　　　")&amp;" 号"&amp;IF(INDEX(助手报销!$L$2:$L$121,助手报销!$R$99)&gt;1,"  (共"&amp;INDEX(助手报销!$L$2:$L$121,助手报销!$R$99)&amp;"页 第"&amp;助手报销!$S$99&amp;"页)",""),"")</f>
        <v/>
      </c>
      <c r="G1458" s="58"/>
      <c r="H1458" s="58"/>
      <c r="I1458" s="58"/>
      <c r="M1458" s="79" t="str">
        <f aca="false">IF(助手报销!$R$99="","",助手报销!$Q$99)</f>
        <v/>
      </c>
      <c r="N1458" s="80" t="str">
        <f aca="false">IF(助手报销!$R$99="","",INDEX(助手报销!$P$2:$P$121,助手报销!$R$99))</f>
        <v/>
      </c>
      <c r="O1458" s="55" t="str">
        <f aca="false">IF(助手报销!$R$99="","",INDEX(助手报销!$C$2:$C$121,助手报销!$R$99)&amp;"  字第 "&amp;INDEX(助手报销!$P$2:$P$121,助手报销!$R$99)&amp;" 号"&amp;IF(INDEX(助手报销!$L$2:$L$121,助手报销!$R$99)&gt;1,"  (共"&amp;INDEX(助手报销!$L$2:$L$121,助手报销!$R$99)&amp;"页 第"&amp;助手报销!$S$99&amp;"页)",""))</f>
        <v/>
      </c>
    </row>
    <row r="1459" customFormat="false" ht="12.75" hidden="false" customHeight="true" outlineLevel="0" collapsed="false">
      <c r="B1459" s="61" t="str">
        <f aca="false">IF(助手报销!$R$99&lt;&gt;"","摘　　要","")</f>
        <v/>
      </c>
      <c r="C1459" s="61"/>
      <c r="D1459" s="62" t="str">
        <f aca="false">IF(助手报销!$R$99&lt;&gt;"","科　　　　目","")</f>
        <v/>
      </c>
      <c r="E1459" s="62"/>
      <c r="F1459" s="61" t="str">
        <f aca="false">IF(助手报销!$R$99&lt;&gt;"","借 方 金 额","")</f>
        <v/>
      </c>
      <c r="G1459" s="62" t="str">
        <f aca="false">IF(助手报销!$R$99&lt;&gt;"","贷 方 金 额","")</f>
        <v/>
      </c>
      <c r="H1459" s="63" t="str">
        <f aca="false">IF(助手报销!$R$99&lt;&gt;"","√","")</f>
        <v/>
      </c>
      <c r="I1459" s="64" t="str">
        <f aca="false">IF(助手报销!$R$99&lt;&gt;"","附单据  张","")</f>
        <v/>
      </c>
    </row>
    <row r="1460" customFormat="false" ht="12.75" hidden="false" customHeight="true" outlineLevel="0" collapsed="false">
      <c r="B1460" s="61"/>
      <c r="C1460" s="61"/>
      <c r="D1460" s="23" t="str">
        <f aca="false">IF(助手报销!$R$99&lt;&gt;"","总 账 科 目","")</f>
        <v/>
      </c>
      <c r="E1460" s="23" t="str">
        <f aca="false">IF(助手报销!$R$99&lt;&gt;"","明 细 科 目","")</f>
        <v/>
      </c>
      <c r="F1460" s="65"/>
      <c r="G1460" s="66"/>
      <c r="H1460" s="63"/>
      <c r="I1460" s="64"/>
    </row>
    <row r="1461" customFormat="false" ht="23.25" hidden="false" customHeight="true" outlineLevel="0" collapsed="false">
      <c r="B1461" s="67" t="str">
        <f aca="false">IFERROR(INDEX(分录报销!$M:$M,MATCH($L1461,分录报销!$L:$L,0)),"")</f>
        <v/>
      </c>
      <c r="C1461" s="67"/>
      <c r="D1461" s="23" t="str">
        <f aca="false">IFERROR(INDEX(分录报销!$E:$E,MATCH($L1461,分录报销!$L:$L,0)),"")</f>
        <v/>
      </c>
      <c r="E1461" s="23" t="str">
        <f aca="false">IFERROR(INDEX(分录报销!$F:$F,MATCH($L1461,分录报销!$L:$L,0)),"")</f>
        <v/>
      </c>
      <c r="F1461" s="68" t="str">
        <f aca="false">IFERROR(INDEX(分录报销!$H:$H,MATCH($L1461,分录报销!$L:$L,0)),"")</f>
        <v/>
      </c>
      <c r="G1461" s="69" t="str">
        <f aca="false">IFERROR(INDEX(分录报销!$I:$I,MATCH($L1461,分录报销!$L:$L,0)),"")</f>
        <v/>
      </c>
      <c r="H1461" s="23"/>
      <c r="I1461" s="70"/>
      <c r="L1461" s="71" t="n">
        <f aca="false">IF(助手报销!$R$99="",-1,助手报销!$R$99*100+(助手报销!$S$99-1)*6+1)</f>
        <v>-1</v>
      </c>
    </row>
    <row r="1462" customFormat="false" ht="23.25" hidden="false" customHeight="true" outlineLevel="0" collapsed="false">
      <c r="B1462" s="67" t="str">
        <f aca="false">IFERROR(INDEX(分录报销!$M:$M,MATCH($L1462,分录报销!$L:$L,0)),"")</f>
        <v/>
      </c>
      <c r="C1462" s="67"/>
      <c r="D1462" s="23" t="str">
        <f aca="false">IFERROR(INDEX(分录报销!$E:$E,MATCH($L1462,分录报销!$L:$L,0)),"")</f>
        <v/>
      </c>
      <c r="E1462" s="23" t="str">
        <f aca="false">IFERROR(INDEX(分录报销!$F:$F,MATCH($L1462,分录报销!$L:$L,0)),"")</f>
        <v/>
      </c>
      <c r="F1462" s="68" t="str">
        <f aca="false">IFERROR(INDEX(分录报销!$H:$H,MATCH($L1462,分录报销!$L:$L,0)),"")</f>
        <v/>
      </c>
      <c r="G1462" s="69" t="str">
        <f aca="false">IFERROR(INDEX(分录报销!$I:$I,MATCH($L1462,分录报销!$L:$L,0)),"")</f>
        <v/>
      </c>
      <c r="H1462" s="23"/>
      <c r="I1462" s="70"/>
      <c r="L1462" s="71" t="n">
        <f aca="false">IF(助手报销!$R$99="",-1,助手报销!$R$99*100+(助手报销!$S$99-1)*6+2)</f>
        <v>-1</v>
      </c>
    </row>
    <row r="1463" customFormat="false" ht="23.25" hidden="false" customHeight="true" outlineLevel="0" collapsed="false">
      <c r="B1463" s="67" t="str">
        <f aca="false">IFERROR(INDEX(分录报销!$M:$M,MATCH($L1463,分录报销!$L:$L,0)),"")</f>
        <v/>
      </c>
      <c r="C1463" s="67"/>
      <c r="D1463" s="23" t="str">
        <f aca="false">IFERROR(INDEX(分录报销!$E:$E,MATCH($L1463,分录报销!$L:$L,0)),"")</f>
        <v/>
      </c>
      <c r="E1463" s="23" t="str">
        <f aca="false">IFERROR(INDEX(分录报销!$F:$F,MATCH($L1463,分录报销!$L:$L,0)),"")</f>
        <v/>
      </c>
      <c r="F1463" s="68" t="str">
        <f aca="false">IFERROR(INDEX(分录报销!$H:$H,MATCH($L1463,分录报销!$L:$L,0)),"")</f>
        <v/>
      </c>
      <c r="G1463" s="69" t="str">
        <f aca="false">IFERROR(INDEX(分录报销!$I:$I,MATCH($L1463,分录报销!$L:$L,0)),"")</f>
        <v/>
      </c>
      <c r="H1463" s="23"/>
      <c r="I1463" s="70"/>
      <c r="L1463" s="71" t="n">
        <f aca="false">IF(助手报销!$R$99="",-1,助手报销!$R$99*100+(助手报销!$S$99-1)*6+3)</f>
        <v>-1</v>
      </c>
    </row>
    <row r="1464" customFormat="false" ht="23.25" hidden="false" customHeight="true" outlineLevel="0" collapsed="false">
      <c r="B1464" s="67" t="str">
        <f aca="false">IFERROR(INDEX(分录报销!$M:$M,MATCH($L1464,分录报销!$L:$L,0)),"")</f>
        <v/>
      </c>
      <c r="C1464" s="67"/>
      <c r="D1464" s="23" t="str">
        <f aca="false">IFERROR(INDEX(分录报销!$E:$E,MATCH($L1464,分录报销!$L:$L,0)),"")</f>
        <v/>
      </c>
      <c r="E1464" s="23" t="str">
        <f aca="false">IFERROR(INDEX(分录报销!$F:$F,MATCH($L1464,分录报销!$L:$L,0)),"")</f>
        <v/>
      </c>
      <c r="F1464" s="68" t="str">
        <f aca="false">IFERROR(INDEX(分录报销!$H:$H,MATCH($L1464,分录报销!$L:$L,0)),"")</f>
        <v/>
      </c>
      <c r="G1464" s="69" t="str">
        <f aca="false">IFERROR(INDEX(分录报销!$I:$I,MATCH($L1464,分录报销!$L:$L,0)),"")</f>
        <v/>
      </c>
      <c r="H1464" s="23"/>
      <c r="I1464" s="70"/>
      <c r="L1464" s="71" t="n">
        <f aca="false">IF(助手报销!$R$99="",-1,助手报销!$R$99*100+(助手报销!$S$99-1)*6+4)</f>
        <v>-1</v>
      </c>
    </row>
    <row r="1465" customFormat="false" ht="23.25" hidden="false" customHeight="true" outlineLevel="0" collapsed="false">
      <c r="B1465" s="67" t="str">
        <f aca="false">IFERROR(INDEX(分录报销!$M:$M,MATCH($L1465,分录报销!$L:$L,0)),"")</f>
        <v/>
      </c>
      <c r="C1465" s="67"/>
      <c r="D1465" s="23" t="str">
        <f aca="false">IFERROR(INDEX(分录报销!$E:$E,MATCH($L1465,分录报销!$L:$L,0)),"")</f>
        <v/>
      </c>
      <c r="E1465" s="23" t="str">
        <f aca="false">IFERROR(INDEX(分录报销!$F:$F,MATCH($L1465,分录报销!$L:$L,0)),"")</f>
        <v/>
      </c>
      <c r="F1465" s="68" t="str">
        <f aca="false">IFERROR(INDEX(分录报销!$H:$H,MATCH($L1465,分录报销!$L:$L,0)),"")</f>
        <v/>
      </c>
      <c r="G1465" s="69" t="str">
        <f aca="false">IFERROR(INDEX(分录报销!$I:$I,MATCH($L1465,分录报销!$L:$L,0)),"")</f>
        <v/>
      </c>
      <c r="H1465" s="23"/>
      <c r="I1465" s="70"/>
      <c r="L1465" s="71" t="n">
        <f aca="false">IF(助手报销!$R$99="",-1,助手报销!$R$99*100+(助手报销!$S$99-1)*6+5)</f>
        <v>-1</v>
      </c>
    </row>
    <row r="1466" customFormat="false" ht="23.25" hidden="false" customHeight="true" outlineLevel="0" collapsed="false">
      <c r="B1466" s="67" t="str">
        <f aca="false">IFERROR(INDEX(分录报销!$M:$M,MATCH($L1466,分录报销!$L:$L,0)),"")</f>
        <v/>
      </c>
      <c r="C1466" s="67"/>
      <c r="D1466" s="23" t="str">
        <f aca="false">IFERROR(INDEX(分录报销!$E:$E,MATCH($L1466,分录报销!$L:$L,0)),"")</f>
        <v/>
      </c>
      <c r="E1466" s="23" t="str">
        <f aca="false">IFERROR(INDEX(分录报销!$F:$F,MATCH($L1466,分录报销!$L:$L,0)),"")</f>
        <v/>
      </c>
      <c r="F1466" s="68" t="str">
        <f aca="false">IFERROR(INDEX(分录报销!$H:$H,MATCH($L1466,分录报销!$L:$L,0)),"")</f>
        <v/>
      </c>
      <c r="G1466" s="69" t="str">
        <f aca="false">IFERROR(INDEX(分录报销!$I:$I,MATCH($L1466,分录报销!$L:$L,0)),"")</f>
        <v/>
      </c>
      <c r="H1466" s="23"/>
      <c r="I1466" s="70"/>
      <c r="L1466" s="71" t="n">
        <f aca="false">IF(助手报销!$R$99="",-1,助手报销!$R$99*100+(助手报销!$S$99-1)*6+6)</f>
        <v>-1</v>
      </c>
    </row>
    <row r="1467" customFormat="false" ht="23.25" hidden="false" customHeight="true" outlineLevel="0" collapsed="false">
      <c r="B1467" s="72" t="str">
        <f aca="false">IF(助手报销!$T$99=1,"合计：","")</f>
        <v/>
      </c>
      <c r="C1467" s="73" t="str">
        <f aca="false">IF(助手报销!$T$99=1,$F1467,"")</f>
        <v/>
      </c>
      <c r="D1467" s="74"/>
      <c r="E1467" s="74"/>
      <c r="F1467" s="75" t="str">
        <f aca="false">IF(助手报销!$T$99=1,INDEX(助手报销!$N$2:$N$121,助手报销!$R$99),"")</f>
        <v/>
      </c>
      <c r="G1467" s="76" t="str">
        <f aca="false">IF(助手报销!$T$99=1,INDEX(助手报销!$O$2:$O$121,助手报销!$R$99),"")</f>
        <v/>
      </c>
      <c r="H1467" s="74"/>
      <c r="I1467" s="77"/>
    </row>
    <row r="1468" customFormat="false" ht="6" hidden="false" customHeight="true" outlineLevel="0" collapsed="false"/>
    <row r="1469" customFormat="false" ht="13.5" hidden="false" customHeight="false" outlineLevel="0" collapsed="false">
      <c r="B1469" s="78" t="str">
        <f aca="false">IF(助手报销!$R$99&lt;&gt;"","会计主管：","")</f>
        <v/>
      </c>
      <c r="D1469" s="78" t="str">
        <f aca="false">IF(助手报销!$R$99&lt;&gt;"","会计：","")</f>
        <v/>
      </c>
      <c r="E1469" s="78" t="str">
        <f aca="false">IF(助手报销!$R$99&lt;&gt;"","出纳：","")</f>
        <v/>
      </c>
      <c r="F1469" s="78" t="str">
        <f aca="false">IF(助手报销!$R$99&lt;&gt;"","复核：","")</f>
        <v/>
      </c>
      <c r="G1469" s="78" t="str">
        <f aca="false">IF(助手报销!$R$99&lt;&gt;"","制单：","")</f>
        <v/>
      </c>
    </row>
    <row r="1470" customFormat="false" ht="3" hidden="false" customHeight="true" outlineLevel="0" collapsed="false"/>
    <row r="1471" customFormat="false" ht="19.5" hidden="false" customHeight="true" outlineLevel="0" collapsed="false">
      <c r="B1471" s="53" t="str">
        <f aca="false">IF(助手报销!$R$100&lt;&gt;"","记  账  凭  证","")</f>
        <v/>
      </c>
      <c r="C1471" s="53"/>
      <c r="D1471" s="53"/>
      <c r="E1471" s="53"/>
      <c r="F1471" s="53"/>
      <c r="G1471" s="53"/>
      <c r="H1471" s="53"/>
      <c r="I1471" s="53"/>
    </row>
    <row r="1472" customFormat="false" ht="3" hidden="false" customHeight="true" outlineLevel="0" collapsed="false"/>
    <row r="1473" customFormat="false" ht="15" hidden="false" customHeight="true" outlineLevel="0" collapsed="false">
      <c r="C1473" s="56" t="str">
        <f aca="false">IF(助手报销!$R$100&lt;&gt;"",INDEX(助手报销!$B$2:$B$121,助手报销!$R$100),"")</f>
        <v/>
      </c>
      <c r="D1473" s="57" t="str">
        <f aca="false">IF(助手报销!$R$100&lt;&gt;"",INDEX(助手报销!$D$2:$D$121,助手报销!$R$100),"")</f>
        <v/>
      </c>
      <c r="E1473" s="57"/>
      <c r="F1473" s="58" t="str">
        <f aca="false">IF(助手报销!$R$100&lt;&gt;"",INDEX(助手报销!$C$2:$C$121,助手报销!$R$100)&amp;"  字第 "&amp;IF(参数!$B$9="是",INDEX(助手报销!$P$2:$P$121,助手报销!$R$100),"　　　　")&amp;" 号"&amp;IF(INDEX(助手报销!$L$2:$L$121,助手报销!$R$100)&gt;1,"  (共"&amp;INDEX(助手报销!$L$2:$L$121,助手报销!$R$100)&amp;"页 第"&amp;助手报销!$S$100&amp;"页)",""),"")</f>
        <v/>
      </c>
      <c r="G1473" s="58"/>
      <c r="H1473" s="58"/>
      <c r="I1473" s="58"/>
      <c r="M1473" s="79" t="str">
        <f aca="false">IF(助手报销!$R$100="","",助手报销!$Q$100)</f>
        <v/>
      </c>
      <c r="N1473" s="80" t="str">
        <f aca="false">IF(助手报销!$R$100="","",INDEX(助手报销!$P$2:$P$121,助手报销!$R$100))</f>
        <v/>
      </c>
      <c r="O1473" s="55" t="str">
        <f aca="false">IF(助手报销!$R$100="","",INDEX(助手报销!$C$2:$C$121,助手报销!$R$100)&amp;"  字第 "&amp;INDEX(助手报销!$P$2:$P$121,助手报销!$R$100)&amp;" 号"&amp;IF(INDEX(助手报销!$L$2:$L$121,助手报销!$R$100)&gt;1,"  (共"&amp;INDEX(助手报销!$L$2:$L$121,助手报销!$R$100)&amp;"页 第"&amp;助手报销!$S$100&amp;"页)",""))</f>
        <v/>
      </c>
    </row>
    <row r="1474" customFormat="false" ht="12.75" hidden="false" customHeight="true" outlineLevel="0" collapsed="false">
      <c r="B1474" s="61" t="str">
        <f aca="false">IF(助手报销!$R$100&lt;&gt;"","摘　　要","")</f>
        <v/>
      </c>
      <c r="C1474" s="61"/>
      <c r="D1474" s="62" t="str">
        <f aca="false">IF(助手报销!$R$100&lt;&gt;"","科　　　　目","")</f>
        <v/>
      </c>
      <c r="E1474" s="62"/>
      <c r="F1474" s="61" t="str">
        <f aca="false">IF(助手报销!$R$100&lt;&gt;"","借 方 金 额","")</f>
        <v/>
      </c>
      <c r="G1474" s="62" t="str">
        <f aca="false">IF(助手报销!$R$100&lt;&gt;"","贷 方 金 额","")</f>
        <v/>
      </c>
      <c r="H1474" s="63" t="str">
        <f aca="false">IF(助手报销!$R$100&lt;&gt;"","√","")</f>
        <v/>
      </c>
      <c r="I1474" s="64" t="str">
        <f aca="false">IF(助手报销!$R$100&lt;&gt;"","附单据  张","")</f>
        <v/>
      </c>
    </row>
    <row r="1475" customFormat="false" ht="12.75" hidden="false" customHeight="true" outlineLevel="0" collapsed="false">
      <c r="B1475" s="61"/>
      <c r="C1475" s="61"/>
      <c r="D1475" s="23" t="str">
        <f aca="false">IF(助手报销!$R$100&lt;&gt;"","总 账 科 目","")</f>
        <v/>
      </c>
      <c r="E1475" s="23" t="str">
        <f aca="false">IF(助手报销!$R$100&lt;&gt;"","明 细 科 目","")</f>
        <v/>
      </c>
      <c r="F1475" s="65"/>
      <c r="G1475" s="66"/>
      <c r="H1475" s="63"/>
      <c r="I1475" s="64"/>
    </row>
    <row r="1476" customFormat="false" ht="23.25" hidden="false" customHeight="true" outlineLevel="0" collapsed="false">
      <c r="B1476" s="67" t="str">
        <f aca="false">IFERROR(INDEX(分录报销!$M:$M,MATCH($L1476,分录报销!$L:$L,0)),"")</f>
        <v/>
      </c>
      <c r="C1476" s="67"/>
      <c r="D1476" s="23" t="str">
        <f aca="false">IFERROR(INDEX(分录报销!$E:$E,MATCH($L1476,分录报销!$L:$L,0)),"")</f>
        <v/>
      </c>
      <c r="E1476" s="23" t="str">
        <f aca="false">IFERROR(INDEX(分录报销!$F:$F,MATCH($L1476,分录报销!$L:$L,0)),"")</f>
        <v/>
      </c>
      <c r="F1476" s="68" t="str">
        <f aca="false">IFERROR(INDEX(分录报销!$H:$H,MATCH($L1476,分录报销!$L:$L,0)),"")</f>
        <v/>
      </c>
      <c r="G1476" s="69" t="str">
        <f aca="false">IFERROR(INDEX(分录报销!$I:$I,MATCH($L1476,分录报销!$L:$L,0)),"")</f>
        <v/>
      </c>
      <c r="H1476" s="23"/>
      <c r="I1476" s="70"/>
      <c r="L1476" s="71" t="n">
        <f aca="false">IF(助手报销!$R$100="",-1,助手报销!$R$100*100+(助手报销!$S$100-1)*6+1)</f>
        <v>-1</v>
      </c>
    </row>
    <row r="1477" customFormat="false" ht="23.25" hidden="false" customHeight="true" outlineLevel="0" collapsed="false">
      <c r="B1477" s="67" t="str">
        <f aca="false">IFERROR(INDEX(分录报销!$M:$M,MATCH($L1477,分录报销!$L:$L,0)),"")</f>
        <v/>
      </c>
      <c r="C1477" s="67"/>
      <c r="D1477" s="23" t="str">
        <f aca="false">IFERROR(INDEX(分录报销!$E:$E,MATCH($L1477,分录报销!$L:$L,0)),"")</f>
        <v/>
      </c>
      <c r="E1477" s="23" t="str">
        <f aca="false">IFERROR(INDEX(分录报销!$F:$F,MATCH($L1477,分录报销!$L:$L,0)),"")</f>
        <v/>
      </c>
      <c r="F1477" s="68" t="str">
        <f aca="false">IFERROR(INDEX(分录报销!$H:$H,MATCH($L1477,分录报销!$L:$L,0)),"")</f>
        <v/>
      </c>
      <c r="G1477" s="69" t="str">
        <f aca="false">IFERROR(INDEX(分录报销!$I:$I,MATCH($L1477,分录报销!$L:$L,0)),"")</f>
        <v/>
      </c>
      <c r="H1477" s="23"/>
      <c r="I1477" s="70"/>
      <c r="L1477" s="71" t="n">
        <f aca="false">IF(助手报销!$R$100="",-1,助手报销!$R$100*100+(助手报销!$S$100-1)*6+2)</f>
        <v>-1</v>
      </c>
    </row>
    <row r="1478" customFormat="false" ht="23.25" hidden="false" customHeight="true" outlineLevel="0" collapsed="false">
      <c r="B1478" s="67" t="str">
        <f aca="false">IFERROR(INDEX(分录报销!$M:$M,MATCH($L1478,分录报销!$L:$L,0)),"")</f>
        <v/>
      </c>
      <c r="C1478" s="67"/>
      <c r="D1478" s="23" t="str">
        <f aca="false">IFERROR(INDEX(分录报销!$E:$E,MATCH($L1478,分录报销!$L:$L,0)),"")</f>
        <v/>
      </c>
      <c r="E1478" s="23" t="str">
        <f aca="false">IFERROR(INDEX(分录报销!$F:$F,MATCH($L1478,分录报销!$L:$L,0)),"")</f>
        <v/>
      </c>
      <c r="F1478" s="68" t="str">
        <f aca="false">IFERROR(INDEX(分录报销!$H:$H,MATCH($L1478,分录报销!$L:$L,0)),"")</f>
        <v/>
      </c>
      <c r="G1478" s="69" t="str">
        <f aca="false">IFERROR(INDEX(分录报销!$I:$I,MATCH($L1478,分录报销!$L:$L,0)),"")</f>
        <v/>
      </c>
      <c r="H1478" s="23"/>
      <c r="I1478" s="70"/>
      <c r="L1478" s="71" t="n">
        <f aca="false">IF(助手报销!$R$100="",-1,助手报销!$R$100*100+(助手报销!$S$100-1)*6+3)</f>
        <v>-1</v>
      </c>
    </row>
    <row r="1479" customFormat="false" ht="23.25" hidden="false" customHeight="true" outlineLevel="0" collapsed="false">
      <c r="B1479" s="67" t="str">
        <f aca="false">IFERROR(INDEX(分录报销!$M:$M,MATCH($L1479,分录报销!$L:$L,0)),"")</f>
        <v/>
      </c>
      <c r="C1479" s="67"/>
      <c r="D1479" s="23" t="str">
        <f aca="false">IFERROR(INDEX(分录报销!$E:$E,MATCH($L1479,分录报销!$L:$L,0)),"")</f>
        <v/>
      </c>
      <c r="E1479" s="23" t="str">
        <f aca="false">IFERROR(INDEX(分录报销!$F:$F,MATCH($L1479,分录报销!$L:$L,0)),"")</f>
        <v/>
      </c>
      <c r="F1479" s="68" t="str">
        <f aca="false">IFERROR(INDEX(分录报销!$H:$H,MATCH($L1479,分录报销!$L:$L,0)),"")</f>
        <v/>
      </c>
      <c r="G1479" s="69" t="str">
        <f aca="false">IFERROR(INDEX(分录报销!$I:$I,MATCH($L1479,分录报销!$L:$L,0)),"")</f>
        <v/>
      </c>
      <c r="H1479" s="23"/>
      <c r="I1479" s="70"/>
      <c r="L1479" s="71" t="n">
        <f aca="false">IF(助手报销!$R$100="",-1,助手报销!$R$100*100+(助手报销!$S$100-1)*6+4)</f>
        <v>-1</v>
      </c>
    </row>
    <row r="1480" customFormat="false" ht="23.25" hidden="false" customHeight="true" outlineLevel="0" collapsed="false">
      <c r="B1480" s="67" t="str">
        <f aca="false">IFERROR(INDEX(分录报销!$M:$M,MATCH($L1480,分录报销!$L:$L,0)),"")</f>
        <v/>
      </c>
      <c r="C1480" s="67"/>
      <c r="D1480" s="23" t="str">
        <f aca="false">IFERROR(INDEX(分录报销!$E:$E,MATCH($L1480,分录报销!$L:$L,0)),"")</f>
        <v/>
      </c>
      <c r="E1480" s="23" t="str">
        <f aca="false">IFERROR(INDEX(分录报销!$F:$F,MATCH($L1480,分录报销!$L:$L,0)),"")</f>
        <v/>
      </c>
      <c r="F1480" s="68" t="str">
        <f aca="false">IFERROR(INDEX(分录报销!$H:$H,MATCH($L1480,分录报销!$L:$L,0)),"")</f>
        <v/>
      </c>
      <c r="G1480" s="69" t="str">
        <f aca="false">IFERROR(INDEX(分录报销!$I:$I,MATCH($L1480,分录报销!$L:$L,0)),"")</f>
        <v/>
      </c>
      <c r="H1480" s="23"/>
      <c r="I1480" s="70"/>
      <c r="L1480" s="71" t="n">
        <f aca="false">IF(助手报销!$R$100="",-1,助手报销!$R$100*100+(助手报销!$S$100-1)*6+5)</f>
        <v>-1</v>
      </c>
    </row>
    <row r="1481" customFormat="false" ht="23.25" hidden="false" customHeight="true" outlineLevel="0" collapsed="false">
      <c r="B1481" s="67" t="str">
        <f aca="false">IFERROR(INDEX(分录报销!$M:$M,MATCH($L1481,分录报销!$L:$L,0)),"")</f>
        <v/>
      </c>
      <c r="C1481" s="67"/>
      <c r="D1481" s="23" t="str">
        <f aca="false">IFERROR(INDEX(分录报销!$E:$E,MATCH($L1481,分录报销!$L:$L,0)),"")</f>
        <v/>
      </c>
      <c r="E1481" s="23" t="str">
        <f aca="false">IFERROR(INDEX(分录报销!$F:$F,MATCH($L1481,分录报销!$L:$L,0)),"")</f>
        <v/>
      </c>
      <c r="F1481" s="68" t="str">
        <f aca="false">IFERROR(INDEX(分录报销!$H:$H,MATCH($L1481,分录报销!$L:$L,0)),"")</f>
        <v/>
      </c>
      <c r="G1481" s="69" t="str">
        <f aca="false">IFERROR(INDEX(分录报销!$I:$I,MATCH($L1481,分录报销!$L:$L,0)),"")</f>
        <v/>
      </c>
      <c r="H1481" s="23"/>
      <c r="I1481" s="70"/>
      <c r="L1481" s="71" t="n">
        <f aca="false">IF(助手报销!$R$100="",-1,助手报销!$R$100*100+(助手报销!$S$100-1)*6+6)</f>
        <v>-1</v>
      </c>
    </row>
    <row r="1482" customFormat="false" ht="23.25" hidden="false" customHeight="true" outlineLevel="0" collapsed="false">
      <c r="B1482" s="72" t="str">
        <f aca="false">IF(助手报销!$T$100=1,"合计：","")</f>
        <v/>
      </c>
      <c r="C1482" s="73" t="str">
        <f aca="false">IF(助手报销!$T$100=1,$F1482,"")</f>
        <v/>
      </c>
      <c r="D1482" s="74"/>
      <c r="E1482" s="74"/>
      <c r="F1482" s="75" t="str">
        <f aca="false">IF(助手报销!$T$100=1,INDEX(助手报销!$N$2:$N$121,助手报销!$R$100),"")</f>
        <v/>
      </c>
      <c r="G1482" s="76" t="str">
        <f aca="false">IF(助手报销!$T$100=1,INDEX(助手报销!$O$2:$O$121,助手报销!$R$100),"")</f>
        <v/>
      </c>
      <c r="H1482" s="74"/>
      <c r="I1482" s="77"/>
    </row>
    <row r="1483" customFormat="false" ht="6" hidden="false" customHeight="true" outlineLevel="0" collapsed="false"/>
    <row r="1484" customFormat="false" ht="13.5" hidden="false" customHeight="false" outlineLevel="0" collapsed="false">
      <c r="B1484" s="78" t="str">
        <f aca="false">IF(助手报销!$R$100&lt;&gt;"","会计主管：","")</f>
        <v/>
      </c>
      <c r="D1484" s="78" t="str">
        <f aca="false">IF(助手报销!$R$100&lt;&gt;"","会计：","")</f>
        <v/>
      </c>
      <c r="E1484" s="78" t="str">
        <f aca="false">IF(助手报销!$R$100&lt;&gt;"","出纳：","")</f>
        <v/>
      </c>
      <c r="F1484" s="78" t="str">
        <f aca="false">IF(助手报销!$R$100&lt;&gt;"","复核：","")</f>
        <v/>
      </c>
      <c r="G1484" s="78" t="str">
        <f aca="false">IF(助手报销!$R$100&lt;&gt;"","制单：","")</f>
        <v/>
      </c>
    </row>
    <row r="1485" customFormat="false" ht="3" hidden="false" customHeight="true" outlineLevel="0" collapsed="false"/>
    <row r="1486" customFormat="false" ht="19.5" hidden="false" customHeight="true" outlineLevel="0" collapsed="false">
      <c r="B1486" s="53" t="str">
        <f aca="false">IF(助手报销!$R$101&lt;&gt;"","记  账  凭  证","")</f>
        <v/>
      </c>
      <c r="C1486" s="53"/>
      <c r="D1486" s="53"/>
      <c r="E1486" s="53"/>
      <c r="F1486" s="53"/>
      <c r="G1486" s="53"/>
      <c r="H1486" s="53"/>
      <c r="I1486" s="53"/>
    </row>
    <row r="1487" customFormat="false" ht="3" hidden="false" customHeight="true" outlineLevel="0" collapsed="false"/>
    <row r="1488" customFormat="false" ht="15" hidden="false" customHeight="true" outlineLevel="0" collapsed="false">
      <c r="C1488" s="56" t="str">
        <f aca="false">IF(助手报销!$R$101&lt;&gt;"",INDEX(助手报销!$B$2:$B$121,助手报销!$R$101),"")</f>
        <v/>
      </c>
      <c r="D1488" s="57" t="str">
        <f aca="false">IF(助手报销!$R$101&lt;&gt;"",INDEX(助手报销!$D$2:$D$121,助手报销!$R$101),"")</f>
        <v/>
      </c>
      <c r="E1488" s="57"/>
      <c r="F1488" s="58" t="str">
        <f aca="false">IF(助手报销!$R$101&lt;&gt;"",INDEX(助手报销!$C$2:$C$121,助手报销!$R$101)&amp;"  字第 "&amp;IF(参数!$B$9="是",INDEX(助手报销!$P$2:$P$121,助手报销!$R$101),"　　　　")&amp;" 号"&amp;IF(INDEX(助手报销!$L$2:$L$121,助手报销!$R$101)&gt;1,"  (共"&amp;INDEX(助手报销!$L$2:$L$121,助手报销!$R$101)&amp;"页 第"&amp;助手报销!$S$101&amp;"页)",""),"")</f>
        <v/>
      </c>
      <c r="G1488" s="58"/>
      <c r="H1488" s="58"/>
      <c r="I1488" s="58"/>
      <c r="M1488" s="79" t="str">
        <f aca="false">IF(助手报销!$R$101="","",助手报销!$Q$101)</f>
        <v/>
      </c>
      <c r="N1488" s="80" t="str">
        <f aca="false">IF(助手报销!$R$101="","",INDEX(助手报销!$P$2:$P$121,助手报销!$R$101))</f>
        <v/>
      </c>
      <c r="O1488" s="55" t="str">
        <f aca="false">IF(助手报销!$R$101="","",INDEX(助手报销!$C$2:$C$121,助手报销!$R$101)&amp;"  字第 "&amp;INDEX(助手报销!$P$2:$P$121,助手报销!$R$101)&amp;" 号"&amp;IF(INDEX(助手报销!$L$2:$L$121,助手报销!$R$101)&gt;1,"  (共"&amp;INDEX(助手报销!$L$2:$L$121,助手报销!$R$101)&amp;"页 第"&amp;助手报销!$S$101&amp;"页)",""))</f>
        <v/>
      </c>
    </row>
    <row r="1489" customFormat="false" ht="12.75" hidden="false" customHeight="true" outlineLevel="0" collapsed="false">
      <c r="B1489" s="61" t="str">
        <f aca="false">IF(助手报销!$R$101&lt;&gt;"","摘　　要","")</f>
        <v/>
      </c>
      <c r="C1489" s="61"/>
      <c r="D1489" s="62" t="str">
        <f aca="false">IF(助手报销!$R$101&lt;&gt;"","科　　　　目","")</f>
        <v/>
      </c>
      <c r="E1489" s="62"/>
      <c r="F1489" s="61" t="str">
        <f aca="false">IF(助手报销!$R$101&lt;&gt;"","借 方 金 额","")</f>
        <v/>
      </c>
      <c r="G1489" s="62" t="str">
        <f aca="false">IF(助手报销!$R$101&lt;&gt;"","贷 方 金 额","")</f>
        <v/>
      </c>
      <c r="H1489" s="63" t="str">
        <f aca="false">IF(助手报销!$R$101&lt;&gt;"","√","")</f>
        <v/>
      </c>
      <c r="I1489" s="64" t="str">
        <f aca="false">IF(助手报销!$R$101&lt;&gt;"","附单据  张","")</f>
        <v/>
      </c>
    </row>
    <row r="1490" customFormat="false" ht="12.75" hidden="false" customHeight="true" outlineLevel="0" collapsed="false">
      <c r="B1490" s="61"/>
      <c r="C1490" s="61"/>
      <c r="D1490" s="23" t="str">
        <f aca="false">IF(助手报销!$R$101&lt;&gt;"","总 账 科 目","")</f>
        <v/>
      </c>
      <c r="E1490" s="23" t="str">
        <f aca="false">IF(助手报销!$R$101&lt;&gt;"","明 细 科 目","")</f>
        <v/>
      </c>
      <c r="F1490" s="65"/>
      <c r="G1490" s="66"/>
      <c r="H1490" s="63"/>
      <c r="I1490" s="64"/>
    </row>
    <row r="1491" customFormat="false" ht="23.25" hidden="false" customHeight="true" outlineLevel="0" collapsed="false">
      <c r="B1491" s="67" t="str">
        <f aca="false">IFERROR(INDEX(分录报销!$M:$M,MATCH($L1491,分录报销!$L:$L,0)),"")</f>
        <v/>
      </c>
      <c r="C1491" s="67"/>
      <c r="D1491" s="23" t="str">
        <f aca="false">IFERROR(INDEX(分录报销!$E:$E,MATCH($L1491,分录报销!$L:$L,0)),"")</f>
        <v/>
      </c>
      <c r="E1491" s="23" t="str">
        <f aca="false">IFERROR(INDEX(分录报销!$F:$F,MATCH($L1491,分录报销!$L:$L,0)),"")</f>
        <v/>
      </c>
      <c r="F1491" s="68" t="str">
        <f aca="false">IFERROR(INDEX(分录报销!$H:$H,MATCH($L1491,分录报销!$L:$L,0)),"")</f>
        <v/>
      </c>
      <c r="G1491" s="69" t="str">
        <f aca="false">IFERROR(INDEX(分录报销!$I:$I,MATCH($L1491,分录报销!$L:$L,0)),"")</f>
        <v/>
      </c>
      <c r="H1491" s="23"/>
      <c r="I1491" s="70"/>
      <c r="L1491" s="71" t="n">
        <f aca="false">IF(助手报销!$R$101="",-1,助手报销!$R$101*100+(助手报销!$S$101-1)*6+1)</f>
        <v>-1</v>
      </c>
    </row>
    <row r="1492" customFormat="false" ht="23.25" hidden="false" customHeight="true" outlineLevel="0" collapsed="false">
      <c r="B1492" s="67" t="str">
        <f aca="false">IFERROR(INDEX(分录报销!$M:$M,MATCH($L1492,分录报销!$L:$L,0)),"")</f>
        <v/>
      </c>
      <c r="C1492" s="67"/>
      <c r="D1492" s="23" t="str">
        <f aca="false">IFERROR(INDEX(分录报销!$E:$E,MATCH($L1492,分录报销!$L:$L,0)),"")</f>
        <v/>
      </c>
      <c r="E1492" s="23" t="str">
        <f aca="false">IFERROR(INDEX(分录报销!$F:$F,MATCH($L1492,分录报销!$L:$L,0)),"")</f>
        <v/>
      </c>
      <c r="F1492" s="68" t="str">
        <f aca="false">IFERROR(INDEX(分录报销!$H:$H,MATCH($L1492,分录报销!$L:$L,0)),"")</f>
        <v/>
      </c>
      <c r="G1492" s="69" t="str">
        <f aca="false">IFERROR(INDEX(分录报销!$I:$I,MATCH($L1492,分录报销!$L:$L,0)),"")</f>
        <v/>
      </c>
      <c r="H1492" s="23"/>
      <c r="I1492" s="70"/>
      <c r="L1492" s="71" t="n">
        <f aca="false">IF(助手报销!$R$101="",-1,助手报销!$R$101*100+(助手报销!$S$101-1)*6+2)</f>
        <v>-1</v>
      </c>
    </row>
    <row r="1493" customFormat="false" ht="23.25" hidden="false" customHeight="true" outlineLevel="0" collapsed="false">
      <c r="B1493" s="67" t="str">
        <f aca="false">IFERROR(INDEX(分录报销!$M:$M,MATCH($L1493,分录报销!$L:$L,0)),"")</f>
        <v/>
      </c>
      <c r="C1493" s="67"/>
      <c r="D1493" s="23" t="str">
        <f aca="false">IFERROR(INDEX(分录报销!$E:$E,MATCH($L1493,分录报销!$L:$L,0)),"")</f>
        <v/>
      </c>
      <c r="E1493" s="23" t="str">
        <f aca="false">IFERROR(INDEX(分录报销!$F:$F,MATCH($L1493,分录报销!$L:$L,0)),"")</f>
        <v/>
      </c>
      <c r="F1493" s="68" t="str">
        <f aca="false">IFERROR(INDEX(分录报销!$H:$H,MATCH($L1493,分录报销!$L:$L,0)),"")</f>
        <v/>
      </c>
      <c r="G1493" s="69" t="str">
        <f aca="false">IFERROR(INDEX(分录报销!$I:$I,MATCH($L1493,分录报销!$L:$L,0)),"")</f>
        <v/>
      </c>
      <c r="H1493" s="23"/>
      <c r="I1493" s="70"/>
      <c r="L1493" s="71" t="n">
        <f aca="false">IF(助手报销!$R$101="",-1,助手报销!$R$101*100+(助手报销!$S$101-1)*6+3)</f>
        <v>-1</v>
      </c>
    </row>
    <row r="1494" customFormat="false" ht="23.25" hidden="false" customHeight="true" outlineLevel="0" collapsed="false">
      <c r="B1494" s="67" t="str">
        <f aca="false">IFERROR(INDEX(分录报销!$M:$M,MATCH($L1494,分录报销!$L:$L,0)),"")</f>
        <v/>
      </c>
      <c r="C1494" s="67"/>
      <c r="D1494" s="23" t="str">
        <f aca="false">IFERROR(INDEX(分录报销!$E:$E,MATCH($L1494,分录报销!$L:$L,0)),"")</f>
        <v/>
      </c>
      <c r="E1494" s="23" t="str">
        <f aca="false">IFERROR(INDEX(分录报销!$F:$F,MATCH($L1494,分录报销!$L:$L,0)),"")</f>
        <v/>
      </c>
      <c r="F1494" s="68" t="str">
        <f aca="false">IFERROR(INDEX(分录报销!$H:$H,MATCH($L1494,分录报销!$L:$L,0)),"")</f>
        <v/>
      </c>
      <c r="G1494" s="69" t="str">
        <f aca="false">IFERROR(INDEX(分录报销!$I:$I,MATCH($L1494,分录报销!$L:$L,0)),"")</f>
        <v/>
      </c>
      <c r="H1494" s="23"/>
      <c r="I1494" s="70"/>
      <c r="L1494" s="71" t="n">
        <f aca="false">IF(助手报销!$R$101="",-1,助手报销!$R$101*100+(助手报销!$S$101-1)*6+4)</f>
        <v>-1</v>
      </c>
    </row>
    <row r="1495" customFormat="false" ht="23.25" hidden="false" customHeight="true" outlineLevel="0" collapsed="false">
      <c r="B1495" s="67" t="str">
        <f aca="false">IFERROR(INDEX(分录报销!$M:$M,MATCH($L1495,分录报销!$L:$L,0)),"")</f>
        <v/>
      </c>
      <c r="C1495" s="67"/>
      <c r="D1495" s="23" t="str">
        <f aca="false">IFERROR(INDEX(分录报销!$E:$E,MATCH($L1495,分录报销!$L:$L,0)),"")</f>
        <v/>
      </c>
      <c r="E1495" s="23" t="str">
        <f aca="false">IFERROR(INDEX(分录报销!$F:$F,MATCH($L1495,分录报销!$L:$L,0)),"")</f>
        <v/>
      </c>
      <c r="F1495" s="68" t="str">
        <f aca="false">IFERROR(INDEX(分录报销!$H:$H,MATCH($L1495,分录报销!$L:$L,0)),"")</f>
        <v/>
      </c>
      <c r="G1495" s="69" t="str">
        <f aca="false">IFERROR(INDEX(分录报销!$I:$I,MATCH($L1495,分录报销!$L:$L,0)),"")</f>
        <v/>
      </c>
      <c r="H1495" s="23"/>
      <c r="I1495" s="70"/>
      <c r="L1495" s="71" t="n">
        <f aca="false">IF(助手报销!$R$101="",-1,助手报销!$R$101*100+(助手报销!$S$101-1)*6+5)</f>
        <v>-1</v>
      </c>
    </row>
    <row r="1496" customFormat="false" ht="23.25" hidden="false" customHeight="true" outlineLevel="0" collapsed="false">
      <c r="B1496" s="67" t="str">
        <f aca="false">IFERROR(INDEX(分录报销!$M:$M,MATCH($L1496,分录报销!$L:$L,0)),"")</f>
        <v/>
      </c>
      <c r="C1496" s="67"/>
      <c r="D1496" s="23" t="str">
        <f aca="false">IFERROR(INDEX(分录报销!$E:$E,MATCH($L1496,分录报销!$L:$L,0)),"")</f>
        <v/>
      </c>
      <c r="E1496" s="23" t="str">
        <f aca="false">IFERROR(INDEX(分录报销!$F:$F,MATCH($L1496,分录报销!$L:$L,0)),"")</f>
        <v/>
      </c>
      <c r="F1496" s="68" t="str">
        <f aca="false">IFERROR(INDEX(分录报销!$H:$H,MATCH($L1496,分录报销!$L:$L,0)),"")</f>
        <v/>
      </c>
      <c r="G1496" s="69" t="str">
        <f aca="false">IFERROR(INDEX(分录报销!$I:$I,MATCH($L1496,分录报销!$L:$L,0)),"")</f>
        <v/>
      </c>
      <c r="H1496" s="23"/>
      <c r="I1496" s="70"/>
      <c r="L1496" s="71" t="n">
        <f aca="false">IF(助手报销!$R$101="",-1,助手报销!$R$101*100+(助手报销!$S$101-1)*6+6)</f>
        <v>-1</v>
      </c>
    </row>
    <row r="1497" customFormat="false" ht="23.25" hidden="false" customHeight="true" outlineLevel="0" collapsed="false">
      <c r="B1497" s="72" t="str">
        <f aca="false">IF(助手报销!$T$101=1,"合计：","")</f>
        <v/>
      </c>
      <c r="C1497" s="73" t="str">
        <f aca="false">IF(助手报销!$T$101=1,$F1497,"")</f>
        <v/>
      </c>
      <c r="D1497" s="74"/>
      <c r="E1497" s="74"/>
      <c r="F1497" s="75" t="str">
        <f aca="false">IF(助手报销!$T$101=1,INDEX(助手报销!$N$2:$N$121,助手报销!$R$101),"")</f>
        <v/>
      </c>
      <c r="G1497" s="76" t="str">
        <f aca="false">IF(助手报销!$T$101=1,INDEX(助手报销!$O$2:$O$121,助手报销!$R$101),"")</f>
        <v/>
      </c>
      <c r="H1497" s="74"/>
      <c r="I1497" s="77"/>
    </row>
    <row r="1498" customFormat="false" ht="6" hidden="false" customHeight="true" outlineLevel="0" collapsed="false"/>
    <row r="1499" customFormat="false" ht="13.5" hidden="false" customHeight="false" outlineLevel="0" collapsed="false">
      <c r="B1499" s="78" t="str">
        <f aca="false">IF(助手报销!$R$101&lt;&gt;"","会计主管：","")</f>
        <v/>
      </c>
      <c r="D1499" s="78" t="str">
        <f aca="false">IF(助手报销!$R$101&lt;&gt;"","会计：","")</f>
        <v/>
      </c>
      <c r="E1499" s="78" t="str">
        <f aca="false">IF(助手报销!$R$101&lt;&gt;"","出纳：","")</f>
        <v/>
      </c>
      <c r="F1499" s="78" t="str">
        <f aca="false">IF(助手报销!$R$101&lt;&gt;"","复核：","")</f>
        <v/>
      </c>
      <c r="G1499" s="78" t="str">
        <f aca="false">IF(助手报销!$R$101&lt;&gt;"","制单：","")</f>
        <v/>
      </c>
    </row>
    <row r="1500" customFormat="false" ht="3" hidden="false" customHeight="true" outlineLevel="0" collapsed="false"/>
    <row r="1501" customFormat="false" ht="19.5" hidden="false" customHeight="true" outlineLevel="0" collapsed="false">
      <c r="B1501" s="53" t="str">
        <f aca="false">IF(助手报销!$R$102&lt;&gt;"","记  账  凭  证","")</f>
        <v/>
      </c>
      <c r="C1501" s="53"/>
      <c r="D1501" s="53"/>
      <c r="E1501" s="53"/>
      <c r="F1501" s="53"/>
      <c r="G1501" s="53"/>
      <c r="H1501" s="53"/>
      <c r="I1501" s="53"/>
    </row>
    <row r="1502" customFormat="false" ht="3" hidden="false" customHeight="true" outlineLevel="0" collapsed="false"/>
    <row r="1503" customFormat="false" ht="15" hidden="false" customHeight="true" outlineLevel="0" collapsed="false">
      <c r="C1503" s="56" t="str">
        <f aca="false">IF(助手报销!$R$102&lt;&gt;"",INDEX(助手报销!$B$2:$B$121,助手报销!$R$102),"")</f>
        <v/>
      </c>
      <c r="D1503" s="57" t="str">
        <f aca="false">IF(助手报销!$R$102&lt;&gt;"",INDEX(助手报销!$D$2:$D$121,助手报销!$R$102),"")</f>
        <v/>
      </c>
      <c r="E1503" s="57"/>
      <c r="F1503" s="58" t="str">
        <f aca="false">IF(助手报销!$R$102&lt;&gt;"",INDEX(助手报销!$C$2:$C$121,助手报销!$R$102)&amp;"  字第 "&amp;IF(参数!$B$9="是",INDEX(助手报销!$P$2:$P$121,助手报销!$R$102),"　　　　")&amp;" 号"&amp;IF(INDEX(助手报销!$L$2:$L$121,助手报销!$R$102)&gt;1,"  (共"&amp;INDEX(助手报销!$L$2:$L$121,助手报销!$R$102)&amp;"页 第"&amp;助手报销!$S$102&amp;"页)",""),"")</f>
        <v/>
      </c>
      <c r="G1503" s="58"/>
      <c r="H1503" s="58"/>
      <c r="I1503" s="58"/>
      <c r="M1503" s="79" t="str">
        <f aca="false">IF(助手报销!$R$102="","",助手报销!$Q$102)</f>
        <v/>
      </c>
      <c r="N1503" s="80" t="str">
        <f aca="false">IF(助手报销!$R$102="","",INDEX(助手报销!$P$2:$P$121,助手报销!$R$102))</f>
        <v/>
      </c>
      <c r="O1503" s="55" t="str">
        <f aca="false">IF(助手报销!$R$102="","",INDEX(助手报销!$C$2:$C$121,助手报销!$R$102)&amp;"  字第 "&amp;INDEX(助手报销!$P$2:$P$121,助手报销!$R$102)&amp;" 号"&amp;IF(INDEX(助手报销!$L$2:$L$121,助手报销!$R$102)&gt;1,"  (共"&amp;INDEX(助手报销!$L$2:$L$121,助手报销!$R$102)&amp;"页 第"&amp;助手报销!$S$102&amp;"页)",""))</f>
        <v/>
      </c>
    </row>
    <row r="1504" customFormat="false" ht="12.75" hidden="false" customHeight="true" outlineLevel="0" collapsed="false">
      <c r="B1504" s="61" t="str">
        <f aca="false">IF(助手报销!$R$102&lt;&gt;"","摘　　要","")</f>
        <v/>
      </c>
      <c r="C1504" s="61"/>
      <c r="D1504" s="62" t="str">
        <f aca="false">IF(助手报销!$R$102&lt;&gt;"","科　　　　目","")</f>
        <v/>
      </c>
      <c r="E1504" s="62"/>
      <c r="F1504" s="61" t="str">
        <f aca="false">IF(助手报销!$R$102&lt;&gt;"","借 方 金 额","")</f>
        <v/>
      </c>
      <c r="G1504" s="62" t="str">
        <f aca="false">IF(助手报销!$R$102&lt;&gt;"","贷 方 金 额","")</f>
        <v/>
      </c>
      <c r="H1504" s="63" t="str">
        <f aca="false">IF(助手报销!$R$102&lt;&gt;"","√","")</f>
        <v/>
      </c>
      <c r="I1504" s="64" t="str">
        <f aca="false">IF(助手报销!$R$102&lt;&gt;"","附单据  张","")</f>
        <v/>
      </c>
    </row>
    <row r="1505" customFormat="false" ht="12.75" hidden="false" customHeight="true" outlineLevel="0" collapsed="false">
      <c r="B1505" s="61"/>
      <c r="C1505" s="61"/>
      <c r="D1505" s="23" t="str">
        <f aca="false">IF(助手报销!$R$102&lt;&gt;"","总 账 科 目","")</f>
        <v/>
      </c>
      <c r="E1505" s="23" t="str">
        <f aca="false">IF(助手报销!$R$102&lt;&gt;"","明 细 科 目","")</f>
        <v/>
      </c>
      <c r="F1505" s="65"/>
      <c r="G1505" s="66"/>
      <c r="H1505" s="63"/>
      <c r="I1505" s="64"/>
    </row>
    <row r="1506" customFormat="false" ht="23.25" hidden="false" customHeight="true" outlineLevel="0" collapsed="false">
      <c r="B1506" s="67" t="str">
        <f aca="false">IFERROR(INDEX(分录报销!$M:$M,MATCH($L1506,分录报销!$L:$L,0)),"")</f>
        <v/>
      </c>
      <c r="C1506" s="67"/>
      <c r="D1506" s="23" t="str">
        <f aca="false">IFERROR(INDEX(分录报销!$E:$E,MATCH($L1506,分录报销!$L:$L,0)),"")</f>
        <v/>
      </c>
      <c r="E1506" s="23" t="str">
        <f aca="false">IFERROR(INDEX(分录报销!$F:$F,MATCH($L1506,分录报销!$L:$L,0)),"")</f>
        <v/>
      </c>
      <c r="F1506" s="68" t="str">
        <f aca="false">IFERROR(INDEX(分录报销!$H:$H,MATCH($L1506,分录报销!$L:$L,0)),"")</f>
        <v/>
      </c>
      <c r="G1506" s="69" t="str">
        <f aca="false">IFERROR(INDEX(分录报销!$I:$I,MATCH($L1506,分录报销!$L:$L,0)),"")</f>
        <v/>
      </c>
      <c r="H1506" s="23"/>
      <c r="I1506" s="70"/>
      <c r="L1506" s="71" t="n">
        <f aca="false">IF(助手报销!$R$102="",-1,助手报销!$R$102*100+(助手报销!$S$102-1)*6+1)</f>
        <v>-1</v>
      </c>
    </row>
    <row r="1507" customFormat="false" ht="23.25" hidden="false" customHeight="true" outlineLevel="0" collapsed="false">
      <c r="B1507" s="67" t="str">
        <f aca="false">IFERROR(INDEX(分录报销!$M:$M,MATCH($L1507,分录报销!$L:$L,0)),"")</f>
        <v/>
      </c>
      <c r="C1507" s="67"/>
      <c r="D1507" s="23" t="str">
        <f aca="false">IFERROR(INDEX(分录报销!$E:$E,MATCH($L1507,分录报销!$L:$L,0)),"")</f>
        <v/>
      </c>
      <c r="E1507" s="23" t="str">
        <f aca="false">IFERROR(INDEX(分录报销!$F:$F,MATCH($L1507,分录报销!$L:$L,0)),"")</f>
        <v/>
      </c>
      <c r="F1507" s="68" t="str">
        <f aca="false">IFERROR(INDEX(分录报销!$H:$H,MATCH($L1507,分录报销!$L:$L,0)),"")</f>
        <v/>
      </c>
      <c r="G1507" s="69" t="str">
        <f aca="false">IFERROR(INDEX(分录报销!$I:$I,MATCH($L1507,分录报销!$L:$L,0)),"")</f>
        <v/>
      </c>
      <c r="H1507" s="23"/>
      <c r="I1507" s="70"/>
      <c r="L1507" s="71" t="n">
        <f aca="false">IF(助手报销!$R$102="",-1,助手报销!$R$102*100+(助手报销!$S$102-1)*6+2)</f>
        <v>-1</v>
      </c>
    </row>
    <row r="1508" customFormat="false" ht="23.25" hidden="false" customHeight="true" outlineLevel="0" collapsed="false">
      <c r="B1508" s="67" t="str">
        <f aca="false">IFERROR(INDEX(分录报销!$M:$M,MATCH($L1508,分录报销!$L:$L,0)),"")</f>
        <v/>
      </c>
      <c r="C1508" s="67"/>
      <c r="D1508" s="23" t="str">
        <f aca="false">IFERROR(INDEX(分录报销!$E:$E,MATCH($L1508,分录报销!$L:$L,0)),"")</f>
        <v/>
      </c>
      <c r="E1508" s="23" t="str">
        <f aca="false">IFERROR(INDEX(分录报销!$F:$F,MATCH($L1508,分录报销!$L:$L,0)),"")</f>
        <v/>
      </c>
      <c r="F1508" s="68" t="str">
        <f aca="false">IFERROR(INDEX(分录报销!$H:$H,MATCH($L1508,分录报销!$L:$L,0)),"")</f>
        <v/>
      </c>
      <c r="G1508" s="69" t="str">
        <f aca="false">IFERROR(INDEX(分录报销!$I:$I,MATCH($L1508,分录报销!$L:$L,0)),"")</f>
        <v/>
      </c>
      <c r="H1508" s="23"/>
      <c r="I1508" s="70"/>
      <c r="L1508" s="71" t="n">
        <f aca="false">IF(助手报销!$R$102="",-1,助手报销!$R$102*100+(助手报销!$S$102-1)*6+3)</f>
        <v>-1</v>
      </c>
    </row>
    <row r="1509" customFormat="false" ht="23.25" hidden="false" customHeight="true" outlineLevel="0" collapsed="false">
      <c r="B1509" s="67" t="str">
        <f aca="false">IFERROR(INDEX(分录报销!$M:$M,MATCH($L1509,分录报销!$L:$L,0)),"")</f>
        <v/>
      </c>
      <c r="C1509" s="67"/>
      <c r="D1509" s="23" t="str">
        <f aca="false">IFERROR(INDEX(分录报销!$E:$E,MATCH($L1509,分录报销!$L:$L,0)),"")</f>
        <v/>
      </c>
      <c r="E1509" s="23" t="str">
        <f aca="false">IFERROR(INDEX(分录报销!$F:$F,MATCH($L1509,分录报销!$L:$L,0)),"")</f>
        <v/>
      </c>
      <c r="F1509" s="68" t="str">
        <f aca="false">IFERROR(INDEX(分录报销!$H:$H,MATCH($L1509,分录报销!$L:$L,0)),"")</f>
        <v/>
      </c>
      <c r="G1509" s="69" t="str">
        <f aca="false">IFERROR(INDEX(分录报销!$I:$I,MATCH($L1509,分录报销!$L:$L,0)),"")</f>
        <v/>
      </c>
      <c r="H1509" s="23"/>
      <c r="I1509" s="70"/>
      <c r="L1509" s="71" t="n">
        <f aca="false">IF(助手报销!$R$102="",-1,助手报销!$R$102*100+(助手报销!$S$102-1)*6+4)</f>
        <v>-1</v>
      </c>
    </row>
    <row r="1510" customFormat="false" ht="23.25" hidden="false" customHeight="true" outlineLevel="0" collapsed="false">
      <c r="B1510" s="67" t="str">
        <f aca="false">IFERROR(INDEX(分录报销!$M:$M,MATCH($L1510,分录报销!$L:$L,0)),"")</f>
        <v/>
      </c>
      <c r="C1510" s="67"/>
      <c r="D1510" s="23" t="str">
        <f aca="false">IFERROR(INDEX(分录报销!$E:$E,MATCH($L1510,分录报销!$L:$L,0)),"")</f>
        <v/>
      </c>
      <c r="E1510" s="23" t="str">
        <f aca="false">IFERROR(INDEX(分录报销!$F:$F,MATCH($L1510,分录报销!$L:$L,0)),"")</f>
        <v/>
      </c>
      <c r="F1510" s="68" t="str">
        <f aca="false">IFERROR(INDEX(分录报销!$H:$H,MATCH($L1510,分录报销!$L:$L,0)),"")</f>
        <v/>
      </c>
      <c r="G1510" s="69" t="str">
        <f aca="false">IFERROR(INDEX(分录报销!$I:$I,MATCH($L1510,分录报销!$L:$L,0)),"")</f>
        <v/>
      </c>
      <c r="H1510" s="23"/>
      <c r="I1510" s="70"/>
      <c r="L1510" s="71" t="n">
        <f aca="false">IF(助手报销!$R$102="",-1,助手报销!$R$102*100+(助手报销!$S$102-1)*6+5)</f>
        <v>-1</v>
      </c>
    </row>
    <row r="1511" customFormat="false" ht="23.25" hidden="false" customHeight="true" outlineLevel="0" collapsed="false">
      <c r="B1511" s="67" t="str">
        <f aca="false">IFERROR(INDEX(分录报销!$M:$M,MATCH($L1511,分录报销!$L:$L,0)),"")</f>
        <v/>
      </c>
      <c r="C1511" s="67"/>
      <c r="D1511" s="23" t="str">
        <f aca="false">IFERROR(INDEX(分录报销!$E:$E,MATCH($L1511,分录报销!$L:$L,0)),"")</f>
        <v/>
      </c>
      <c r="E1511" s="23" t="str">
        <f aca="false">IFERROR(INDEX(分录报销!$F:$F,MATCH($L1511,分录报销!$L:$L,0)),"")</f>
        <v/>
      </c>
      <c r="F1511" s="68" t="str">
        <f aca="false">IFERROR(INDEX(分录报销!$H:$H,MATCH($L1511,分录报销!$L:$L,0)),"")</f>
        <v/>
      </c>
      <c r="G1511" s="69" t="str">
        <f aca="false">IFERROR(INDEX(分录报销!$I:$I,MATCH($L1511,分录报销!$L:$L,0)),"")</f>
        <v/>
      </c>
      <c r="H1511" s="23"/>
      <c r="I1511" s="70"/>
      <c r="L1511" s="71" t="n">
        <f aca="false">IF(助手报销!$R$102="",-1,助手报销!$R$102*100+(助手报销!$S$102-1)*6+6)</f>
        <v>-1</v>
      </c>
    </row>
    <row r="1512" customFormat="false" ht="23.25" hidden="false" customHeight="true" outlineLevel="0" collapsed="false">
      <c r="B1512" s="72" t="str">
        <f aca="false">IF(助手报销!$T$102=1,"合计：","")</f>
        <v/>
      </c>
      <c r="C1512" s="73" t="str">
        <f aca="false">IF(助手报销!$T$102=1,$F1512,"")</f>
        <v/>
      </c>
      <c r="D1512" s="74"/>
      <c r="E1512" s="74"/>
      <c r="F1512" s="75" t="str">
        <f aca="false">IF(助手报销!$T$102=1,INDEX(助手报销!$N$2:$N$121,助手报销!$R$102),"")</f>
        <v/>
      </c>
      <c r="G1512" s="76" t="str">
        <f aca="false">IF(助手报销!$T$102=1,INDEX(助手报销!$O$2:$O$121,助手报销!$R$102),"")</f>
        <v/>
      </c>
      <c r="H1512" s="74"/>
      <c r="I1512" s="77"/>
    </row>
    <row r="1513" customFormat="false" ht="6" hidden="false" customHeight="true" outlineLevel="0" collapsed="false"/>
    <row r="1514" customFormat="false" ht="13.5" hidden="false" customHeight="false" outlineLevel="0" collapsed="false">
      <c r="B1514" s="78" t="str">
        <f aca="false">IF(助手报销!$R$102&lt;&gt;"","会计主管：","")</f>
        <v/>
      </c>
      <c r="D1514" s="78" t="str">
        <f aca="false">IF(助手报销!$R$102&lt;&gt;"","会计：","")</f>
        <v/>
      </c>
      <c r="E1514" s="78" t="str">
        <f aca="false">IF(助手报销!$R$102&lt;&gt;"","出纳：","")</f>
        <v/>
      </c>
      <c r="F1514" s="78" t="str">
        <f aca="false">IF(助手报销!$R$102&lt;&gt;"","复核：","")</f>
        <v/>
      </c>
      <c r="G1514" s="78" t="str">
        <f aca="false">IF(助手报销!$R$102&lt;&gt;"","制单：","")</f>
        <v/>
      </c>
    </row>
    <row r="1515" customFormat="false" ht="3" hidden="false" customHeight="true" outlineLevel="0" collapsed="false"/>
    <row r="1516" customFormat="false" ht="19.5" hidden="false" customHeight="true" outlineLevel="0" collapsed="false">
      <c r="B1516" s="53" t="str">
        <f aca="false">IF(助手报销!$R$103&lt;&gt;"","记  账  凭  证","")</f>
        <v/>
      </c>
      <c r="C1516" s="53"/>
      <c r="D1516" s="53"/>
      <c r="E1516" s="53"/>
      <c r="F1516" s="53"/>
      <c r="G1516" s="53"/>
      <c r="H1516" s="53"/>
      <c r="I1516" s="53"/>
    </row>
    <row r="1517" customFormat="false" ht="3" hidden="false" customHeight="true" outlineLevel="0" collapsed="false"/>
    <row r="1518" customFormat="false" ht="15" hidden="false" customHeight="true" outlineLevel="0" collapsed="false">
      <c r="C1518" s="56" t="str">
        <f aca="false">IF(助手报销!$R$103&lt;&gt;"",INDEX(助手报销!$B$2:$B$121,助手报销!$R$103),"")</f>
        <v/>
      </c>
      <c r="D1518" s="57" t="str">
        <f aca="false">IF(助手报销!$R$103&lt;&gt;"",INDEX(助手报销!$D$2:$D$121,助手报销!$R$103),"")</f>
        <v/>
      </c>
      <c r="E1518" s="57"/>
      <c r="F1518" s="58" t="str">
        <f aca="false">IF(助手报销!$R$103&lt;&gt;"",INDEX(助手报销!$C$2:$C$121,助手报销!$R$103)&amp;"  字第 "&amp;IF(参数!$B$9="是",INDEX(助手报销!$P$2:$P$121,助手报销!$R$103),"　　　　")&amp;" 号"&amp;IF(INDEX(助手报销!$L$2:$L$121,助手报销!$R$103)&gt;1,"  (共"&amp;INDEX(助手报销!$L$2:$L$121,助手报销!$R$103)&amp;"页 第"&amp;助手报销!$S$103&amp;"页)",""),"")</f>
        <v/>
      </c>
      <c r="G1518" s="58"/>
      <c r="H1518" s="58"/>
      <c r="I1518" s="58"/>
      <c r="M1518" s="79" t="str">
        <f aca="false">IF(助手报销!$R$103="","",助手报销!$Q$103)</f>
        <v/>
      </c>
      <c r="N1518" s="80" t="str">
        <f aca="false">IF(助手报销!$R$103="","",INDEX(助手报销!$P$2:$P$121,助手报销!$R$103))</f>
        <v/>
      </c>
      <c r="O1518" s="55" t="str">
        <f aca="false">IF(助手报销!$R$103="","",INDEX(助手报销!$C$2:$C$121,助手报销!$R$103)&amp;"  字第 "&amp;INDEX(助手报销!$P$2:$P$121,助手报销!$R$103)&amp;" 号"&amp;IF(INDEX(助手报销!$L$2:$L$121,助手报销!$R$103)&gt;1,"  (共"&amp;INDEX(助手报销!$L$2:$L$121,助手报销!$R$103)&amp;"页 第"&amp;助手报销!$S$103&amp;"页)",""))</f>
        <v/>
      </c>
    </row>
    <row r="1519" customFormat="false" ht="12.75" hidden="false" customHeight="true" outlineLevel="0" collapsed="false">
      <c r="B1519" s="61" t="str">
        <f aca="false">IF(助手报销!$R$103&lt;&gt;"","摘　　要","")</f>
        <v/>
      </c>
      <c r="C1519" s="61"/>
      <c r="D1519" s="62" t="str">
        <f aca="false">IF(助手报销!$R$103&lt;&gt;"","科　　　　目","")</f>
        <v/>
      </c>
      <c r="E1519" s="62"/>
      <c r="F1519" s="61" t="str">
        <f aca="false">IF(助手报销!$R$103&lt;&gt;"","借 方 金 额","")</f>
        <v/>
      </c>
      <c r="G1519" s="62" t="str">
        <f aca="false">IF(助手报销!$R$103&lt;&gt;"","贷 方 金 额","")</f>
        <v/>
      </c>
      <c r="H1519" s="63" t="str">
        <f aca="false">IF(助手报销!$R$103&lt;&gt;"","√","")</f>
        <v/>
      </c>
      <c r="I1519" s="64" t="str">
        <f aca="false">IF(助手报销!$R$103&lt;&gt;"","附单据  张","")</f>
        <v/>
      </c>
    </row>
    <row r="1520" customFormat="false" ht="12.75" hidden="false" customHeight="true" outlineLevel="0" collapsed="false">
      <c r="B1520" s="61"/>
      <c r="C1520" s="61"/>
      <c r="D1520" s="23" t="str">
        <f aca="false">IF(助手报销!$R$103&lt;&gt;"","总 账 科 目","")</f>
        <v/>
      </c>
      <c r="E1520" s="23" t="str">
        <f aca="false">IF(助手报销!$R$103&lt;&gt;"","明 细 科 目","")</f>
        <v/>
      </c>
      <c r="F1520" s="65"/>
      <c r="G1520" s="66"/>
      <c r="H1520" s="63"/>
      <c r="I1520" s="64"/>
    </row>
    <row r="1521" customFormat="false" ht="23.25" hidden="false" customHeight="true" outlineLevel="0" collapsed="false">
      <c r="B1521" s="67" t="str">
        <f aca="false">IFERROR(INDEX(分录报销!$M:$M,MATCH($L1521,分录报销!$L:$L,0)),"")</f>
        <v/>
      </c>
      <c r="C1521" s="67"/>
      <c r="D1521" s="23" t="str">
        <f aca="false">IFERROR(INDEX(分录报销!$E:$E,MATCH($L1521,分录报销!$L:$L,0)),"")</f>
        <v/>
      </c>
      <c r="E1521" s="23" t="str">
        <f aca="false">IFERROR(INDEX(分录报销!$F:$F,MATCH($L1521,分录报销!$L:$L,0)),"")</f>
        <v/>
      </c>
      <c r="F1521" s="68" t="str">
        <f aca="false">IFERROR(INDEX(分录报销!$H:$H,MATCH($L1521,分录报销!$L:$L,0)),"")</f>
        <v/>
      </c>
      <c r="G1521" s="69" t="str">
        <f aca="false">IFERROR(INDEX(分录报销!$I:$I,MATCH($L1521,分录报销!$L:$L,0)),"")</f>
        <v/>
      </c>
      <c r="H1521" s="23"/>
      <c r="I1521" s="70"/>
      <c r="L1521" s="71" t="n">
        <f aca="false">IF(助手报销!$R$103="",-1,助手报销!$R$103*100+(助手报销!$S$103-1)*6+1)</f>
        <v>-1</v>
      </c>
    </row>
    <row r="1522" customFormat="false" ht="23.25" hidden="false" customHeight="true" outlineLevel="0" collapsed="false">
      <c r="B1522" s="67" t="str">
        <f aca="false">IFERROR(INDEX(分录报销!$M:$M,MATCH($L1522,分录报销!$L:$L,0)),"")</f>
        <v/>
      </c>
      <c r="C1522" s="67"/>
      <c r="D1522" s="23" t="str">
        <f aca="false">IFERROR(INDEX(分录报销!$E:$E,MATCH($L1522,分录报销!$L:$L,0)),"")</f>
        <v/>
      </c>
      <c r="E1522" s="23" t="str">
        <f aca="false">IFERROR(INDEX(分录报销!$F:$F,MATCH($L1522,分录报销!$L:$L,0)),"")</f>
        <v/>
      </c>
      <c r="F1522" s="68" t="str">
        <f aca="false">IFERROR(INDEX(分录报销!$H:$H,MATCH($L1522,分录报销!$L:$L,0)),"")</f>
        <v/>
      </c>
      <c r="G1522" s="69" t="str">
        <f aca="false">IFERROR(INDEX(分录报销!$I:$I,MATCH($L1522,分录报销!$L:$L,0)),"")</f>
        <v/>
      </c>
      <c r="H1522" s="23"/>
      <c r="I1522" s="70"/>
      <c r="L1522" s="71" t="n">
        <f aca="false">IF(助手报销!$R$103="",-1,助手报销!$R$103*100+(助手报销!$S$103-1)*6+2)</f>
        <v>-1</v>
      </c>
    </row>
    <row r="1523" customFormat="false" ht="23.25" hidden="false" customHeight="true" outlineLevel="0" collapsed="false">
      <c r="B1523" s="67" t="str">
        <f aca="false">IFERROR(INDEX(分录报销!$M:$M,MATCH($L1523,分录报销!$L:$L,0)),"")</f>
        <v/>
      </c>
      <c r="C1523" s="67"/>
      <c r="D1523" s="23" t="str">
        <f aca="false">IFERROR(INDEX(分录报销!$E:$E,MATCH($L1523,分录报销!$L:$L,0)),"")</f>
        <v/>
      </c>
      <c r="E1523" s="23" t="str">
        <f aca="false">IFERROR(INDEX(分录报销!$F:$F,MATCH($L1523,分录报销!$L:$L,0)),"")</f>
        <v/>
      </c>
      <c r="F1523" s="68" t="str">
        <f aca="false">IFERROR(INDEX(分录报销!$H:$H,MATCH($L1523,分录报销!$L:$L,0)),"")</f>
        <v/>
      </c>
      <c r="G1523" s="69" t="str">
        <f aca="false">IFERROR(INDEX(分录报销!$I:$I,MATCH($L1523,分录报销!$L:$L,0)),"")</f>
        <v/>
      </c>
      <c r="H1523" s="23"/>
      <c r="I1523" s="70"/>
      <c r="L1523" s="71" t="n">
        <f aca="false">IF(助手报销!$R$103="",-1,助手报销!$R$103*100+(助手报销!$S$103-1)*6+3)</f>
        <v>-1</v>
      </c>
    </row>
    <row r="1524" customFormat="false" ht="23.25" hidden="false" customHeight="true" outlineLevel="0" collapsed="false">
      <c r="B1524" s="67" t="str">
        <f aca="false">IFERROR(INDEX(分录报销!$M:$M,MATCH($L1524,分录报销!$L:$L,0)),"")</f>
        <v/>
      </c>
      <c r="C1524" s="67"/>
      <c r="D1524" s="23" t="str">
        <f aca="false">IFERROR(INDEX(分录报销!$E:$E,MATCH($L1524,分录报销!$L:$L,0)),"")</f>
        <v/>
      </c>
      <c r="E1524" s="23" t="str">
        <f aca="false">IFERROR(INDEX(分录报销!$F:$F,MATCH($L1524,分录报销!$L:$L,0)),"")</f>
        <v/>
      </c>
      <c r="F1524" s="68" t="str">
        <f aca="false">IFERROR(INDEX(分录报销!$H:$H,MATCH($L1524,分录报销!$L:$L,0)),"")</f>
        <v/>
      </c>
      <c r="G1524" s="69" t="str">
        <f aca="false">IFERROR(INDEX(分录报销!$I:$I,MATCH($L1524,分录报销!$L:$L,0)),"")</f>
        <v/>
      </c>
      <c r="H1524" s="23"/>
      <c r="I1524" s="70"/>
      <c r="L1524" s="71" t="n">
        <f aca="false">IF(助手报销!$R$103="",-1,助手报销!$R$103*100+(助手报销!$S$103-1)*6+4)</f>
        <v>-1</v>
      </c>
    </row>
    <row r="1525" customFormat="false" ht="23.25" hidden="false" customHeight="true" outlineLevel="0" collapsed="false">
      <c r="B1525" s="67" t="str">
        <f aca="false">IFERROR(INDEX(分录报销!$M:$M,MATCH($L1525,分录报销!$L:$L,0)),"")</f>
        <v/>
      </c>
      <c r="C1525" s="67"/>
      <c r="D1525" s="23" t="str">
        <f aca="false">IFERROR(INDEX(分录报销!$E:$E,MATCH($L1525,分录报销!$L:$L,0)),"")</f>
        <v/>
      </c>
      <c r="E1525" s="23" t="str">
        <f aca="false">IFERROR(INDEX(分录报销!$F:$F,MATCH($L1525,分录报销!$L:$L,0)),"")</f>
        <v/>
      </c>
      <c r="F1525" s="68" t="str">
        <f aca="false">IFERROR(INDEX(分录报销!$H:$H,MATCH($L1525,分录报销!$L:$L,0)),"")</f>
        <v/>
      </c>
      <c r="G1525" s="69" t="str">
        <f aca="false">IFERROR(INDEX(分录报销!$I:$I,MATCH($L1525,分录报销!$L:$L,0)),"")</f>
        <v/>
      </c>
      <c r="H1525" s="23"/>
      <c r="I1525" s="70"/>
      <c r="L1525" s="71" t="n">
        <f aca="false">IF(助手报销!$R$103="",-1,助手报销!$R$103*100+(助手报销!$S$103-1)*6+5)</f>
        <v>-1</v>
      </c>
    </row>
    <row r="1526" customFormat="false" ht="23.25" hidden="false" customHeight="true" outlineLevel="0" collapsed="false">
      <c r="B1526" s="67" t="str">
        <f aca="false">IFERROR(INDEX(分录报销!$M:$M,MATCH($L1526,分录报销!$L:$L,0)),"")</f>
        <v/>
      </c>
      <c r="C1526" s="67"/>
      <c r="D1526" s="23" t="str">
        <f aca="false">IFERROR(INDEX(分录报销!$E:$E,MATCH($L1526,分录报销!$L:$L,0)),"")</f>
        <v/>
      </c>
      <c r="E1526" s="23" t="str">
        <f aca="false">IFERROR(INDEX(分录报销!$F:$F,MATCH($L1526,分录报销!$L:$L,0)),"")</f>
        <v/>
      </c>
      <c r="F1526" s="68" t="str">
        <f aca="false">IFERROR(INDEX(分录报销!$H:$H,MATCH($L1526,分录报销!$L:$L,0)),"")</f>
        <v/>
      </c>
      <c r="G1526" s="69" t="str">
        <f aca="false">IFERROR(INDEX(分录报销!$I:$I,MATCH($L1526,分录报销!$L:$L,0)),"")</f>
        <v/>
      </c>
      <c r="H1526" s="23"/>
      <c r="I1526" s="70"/>
      <c r="L1526" s="71" t="n">
        <f aca="false">IF(助手报销!$R$103="",-1,助手报销!$R$103*100+(助手报销!$S$103-1)*6+6)</f>
        <v>-1</v>
      </c>
    </row>
    <row r="1527" customFormat="false" ht="23.25" hidden="false" customHeight="true" outlineLevel="0" collapsed="false">
      <c r="B1527" s="72" t="str">
        <f aca="false">IF(助手报销!$T$103=1,"合计：","")</f>
        <v/>
      </c>
      <c r="C1527" s="73" t="str">
        <f aca="false">IF(助手报销!$T$103=1,$F1527,"")</f>
        <v/>
      </c>
      <c r="D1527" s="74"/>
      <c r="E1527" s="74"/>
      <c r="F1527" s="75" t="str">
        <f aca="false">IF(助手报销!$T$103=1,INDEX(助手报销!$N$2:$N$121,助手报销!$R$103),"")</f>
        <v/>
      </c>
      <c r="G1527" s="76" t="str">
        <f aca="false">IF(助手报销!$T$103=1,INDEX(助手报销!$O$2:$O$121,助手报销!$R$103),"")</f>
        <v/>
      </c>
      <c r="H1527" s="74"/>
      <c r="I1527" s="77"/>
    </row>
    <row r="1528" customFormat="false" ht="6" hidden="false" customHeight="true" outlineLevel="0" collapsed="false"/>
    <row r="1529" customFormat="false" ht="13.5" hidden="false" customHeight="false" outlineLevel="0" collapsed="false">
      <c r="B1529" s="78" t="str">
        <f aca="false">IF(助手报销!$R$103&lt;&gt;"","会计主管：","")</f>
        <v/>
      </c>
      <c r="D1529" s="78" t="str">
        <f aca="false">IF(助手报销!$R$103&lt;&gt;"","会计：","")</f>
        <v/>
      </c>
      <c r="E1529" s="78" t="str">
        <f aca="false">IF(助手报销!$R$103&lt;&gt;"","出纳：","")</f>
        <v/>
      </c>
      <c r="F1529" s="78" t="str">
        <f aca="false">IF(助手报销!$R$103&lt;&gt;"","复核：","")</f>
        <v/>
      </c>
      <c r="G1529" s="78" t="str">
        <f aca="false">IF(助手报销!$R$103&lt;&gt;"","制单：","")</f>
        <v/>
      </c>
    </row>
    <row r="1530" customFormat="false" ht="3" hidden="false" customHeight="true" outlineLevel="0" collapsed="false"/>
    <row r="1531" customFormat="false" ht="19.5" hidden="false" customHeight="true" outlineLevel="0" collapsed="false">
      <c r="B1531" s="53" t="str">
        <f aca="false">IF(助手报销!$R$104&lt;&gt;"","记  账  凭  证","")</f>
        <v/>
      </c>
      <c r="C1531" s="53"/>
      <c r="D1531" s="53"/>
      <c r="E1531" s="53"/>
      <c r="F1531" s="53"/>
      <c r="G1531" s="53"/>
      <c r="H1531" s="53"/>
      <c r="I1531" s="53"/>
    </row>
    <row r="1532" customFormat="false" ht="3" hidden="false" customHeight="true" outlineLevel="0" collapsed="false"/>
    <row r="1533" customFormat="false" ht="15" hidden="false" customHeight="true" outlineLevel="0" collapsed="false">
      <c r="C1533" s="56" t="str">
        <f aca="false">IF(助手报销!$R$104&lt;&gt;"",INDEX(助手报销!$B$2:$B$121,助手报销!$R$104),"")</f>
        <v/>
      </c>
      <c r="D1533" s="57" t="str">
        <f aca="false">IF(助手报销!$R$104&lt;&gt;"",INDEX(助手报销!$D$2:$D$121,助手报销!$R$104),"")</f>
        <v/>
      </c>
      <c r="E1533" s="57"/>
      <c r="F1533" s="58" t="str">
        <f aca="false">IF(助手报销!$R$104&lt;&gt;"",INDEX(助手报销!$C$2:$C$121,助手报销!$R$104)&amp;"  字第 "&amp;IF(参数!$B$9="是",INDEX(助手报销!$P$2:$P$121,助手报销!$R$104),"　　　　")&amp;" 号"&amp;IF(INDEX(助手报销!$L$2:$L$121,助手报销!$R$104)&gt;1,"  (共"&amp;INDEX(助手报销!$L$2:$L$121,助手报销!$R$104)&amp;"页 第"&amp;助手报销!$S$104&amp;"页)",""),"")</f>
        <v/>
      </c>
      <c r="G1533" s="58"/>
      <c r="H1533" s="58"/>
      <c r="I1533" s="58"/>
      <c r="M1533" s="79" t="str">
        <f aca="false">IF(助手报销!$R$104="","",助手报销!$Q$104)</f>
        <v/>
      </c>
      <c r="N1533" s="80" t="str">
        <f aca="false">IF(助手报销!$R$104="","",INDEX(助手报销!$P$2:$P$121,助手报销!$R$104))</f>
        <v/>
      </c>
      <c r="O1533" s="55" t="str">
        <f aca="false">IF(助手报销!$R$104="","",INDEX(助手报销!$C$2:$C$121,助手报销!$R$104)&amp;"  字第 "&amp;INDEX(助手报销!$P$2:$P$121,助手报销!$R$104)&amp;" 号"&amp;IF(INDEX(助手报销!$L$2:$L$121,助手报销!$R$104)&gt;1,"  (共"&amp;INDEX(助手报销!$L$2:$L$121,助手报销!$R$104)&amp;"页 第"&amp;助手报销!$S$104&amp;"页)",""))</f>
        <v/>
      </c>
    </row>
    <row r="1534" customFormat="false" ht="12.75" hidden="false" customHeight="true" outlineLevel="0" collapsed="false">
      <c r="B1534" s="61" t="str">
        <f aca="false">IF(助手报销!$R$104&lt;&gt;"","摘　　要","")</f>
        <v/>
      </c>
      <c r="C1534" s="61"/>
      <c r="D1534" s="62" t="str">
        <f aca="false">IF(助手报销!$R$104&lt;&gt;"","科　　　　目","")</f>
        <v/>
      </c>
      <c r="E1534" s="62"/>
      <c r="F1534" s="61" t="str">
        <f aca="false">IF(助手报销!$R$104&lt;&gt;"","借 方 金 额","")</f>
        <v/>
      </c>
      <c r="G1534" s="62" t="str">
        <f aca="false">IF(助手报销!$R$104&lt;&gt;"","贷 方 金 额","")</f>
        <v/>
      </c>
      <c r="H1534" s="63" t="str">
        <f aca="false">IF(助手报销!$R$104&lt;&gt;"","√","")</f>
        <v/>
      </c>
      <c r="I1534" s="64" t="str">
        <f aca="false">IF(助手报销!$R$104&lt;&gt;"","附单据  张","")</f>
        <v/>
      </c>
    </row>
    <row r="1535" customFormat="false" ht="12.75" hidden="false" customHeight="true" outlineLevel="0" collapsed="false">
      <c r="B1535" s="61"/>
      <c r="C1535" s="61"/>
      <c r="D1535" s="23" t="str">
        <f aca="false">IF(助手报销!$R$104&lt;&gt;"","总 账 科 目","")</f>
        <v/>
      </c>
      <c r="E1535" s="23" t="str">
        <f aca="false">IF(助手报销!$R$104&lt;&gt;"","明 细 科 目","")</f>
        <v/>
      </c>
      <c r="F1535" s="65"/>
      <c r="G1535" s="66"/>
      <c r="H1535" s="63"/>
      <c r="I1535" s="64"/>
    </row>
    <row r="1536" customFormat="false" ht="23.25" hidden="false" customHeight="true" outlineLevel="0" collapsed="false">
      <c r="B1536" s="67" t="str">
        <f aca="false">IFERROR(INDEX(分录报销!$M:$M,MATCH($L1536,分录报销!$L:$L,0)),"")</f>
        <v/>
      </c>
      <c r="C1536" s="67"/>
      <c r="D1536" s="23" t="str">
        <f aca="false">IFERROR(INDEX(分录报销!$E:$E,MATCH($L1536,分录报销!$L:$L,0)),"")</f>
        <v/>
      </c>
      <c r="E1536" s="23" t="str">
        <f aca="false">IFERROR(INDEX(分录报销!$F:$F,MATCH($L1536,分录报销!$L:$L,0)),"")</f>
        <v/>
      </c>
      <c r="F1536" s="68" t="str">
        <f aca="false">IFERROR(INDEX(分录报销!$H:$H,MATCH($L1536,分录报销!$L:$L,0)),"")</f>
        <v/>
      </c>
      <c r="G1536" s="69" t="str">
        <f aca="false">IFERROR(INDEX(分录报销!$I:$I,MATCH($L1536,分录报销!$L:$L,0)),"")</f>
        <v/>
      </c>
      <c r="H1536" s="23"/>
      <c r="I1536" s="70"/>
      <c r="L1536" s="71" t="n">
        <f aca="false">IF(助手报销!$R$104="",-1,助手报销!$R$104*100+(助手报销!$S$104-1)*6+1)</f>
        <v>-1</v>
      </c>
    </row>
    <row r="1537" customFormat="false" ht="23.25" hidden="false" customHeight="true" outlineLevel="0" collapsed="false">
      <c r="B1537" s="67" t="str">
        <f aca="false">IFERROR(INDEX(分录报销!$M:$M,MATCH($L1537,分录报销!$L:$L,0)),"")</f>
        <v/>
      </c>
      <c r="C1537" s="67"/>
      <c r="D1537" s="23" t="str">
        <f aca="false">IFERROR(INDEX(分录报销!$E:$E,MATCH($L1537,分录报销!$L:$L,0)),"")</f>
        <v/>
      </c>
      <c r="E1537" s="23" t="str">
        <f aca="false">IFERROR(INDEX(分录报销!$F:$F,MATCH($L1537,分录报销!$L:$L,0)),"")</f>
        <v/>
      </c>
      <c r="F1537" s="68" t="str">
        <f aca="false">IFERROR(INDEX(分录报销!$H:$H,MATCH($L1537,分录报销!$L:$L,0)),"")</f>
        <v/>
      </c>
      <c r="G1537" s="69" t="str">
        <f aca="false">IFERROR(INDEX(分录报销!$I:$I,MATCH($L1537,分录报销!$L:$L,0)),"")</f>
        <v/>
      </c>
      <c r="H1537" s="23"/>
      <c r="I1537" s="70"/>
      <c r="L1537" s="71" t="n">
        <f aca="false">IF(助手报销!$R$104="",-1,助手报销!$R$104*100+(助手报销!$S$104-1)*6+2)</f>
        <v>-1</v>
      </c>
    </row>
    <row r="1538" customFormat="false" ht="23.25" hidden="false" customHeight="true" outlineLevel="0" collapsed="false">
      <c r="B1538" s="67" t="str">
        <f aca="false">IFERROR(INDEX(分录报销!$M:$M,MATCH($L1538,分录报销!$L:$L,0)),"")</f>
        <v/>
      </c>
      <c r="C1538" s="67"/>
      <c r="D1538" s="23" t="str">
        <f aca="false">IFERROR(INDEX(分录报销!$E:$E,MATCH($L1538,分录报销!$L:$L,0)),"")</f>
        <v/>
      </c>
      <c r="E1538" s="23" t="str">
        <f aca="false">IFERROR(INDEX(分录报销!$F:$F,MATCH($L1538,分录报销!$L:$L,0)),"")</f>
        <v/>
      </c>
      <c r="F1538" s="68" t="str">
        <f aca="false">IFERROR(INDEX(分录报销!$H:$H,MATCH($L1538,分录报销!$L:$L,0)),"")</f>
        <v/>
      </c>
      <c r="G1538" s="69" t="str">
        <f aca="false">IFERROR(INDEX(分录报销!$I:$I,MATCH($L1538,分录报销!$L:$L,0)),"")</f>
        <v/>
      </c>
      <c r="H1538" s="23"/>
      <c r="I1538" s="70"/>
      <c r="L1538" s="71" t="n">
        <f aca="false">IF(助手报销!$R$104="",-1,助手报销!$R$104*100+(助手报销!$S$104-1)*6+3)</f>
        <v>-1</v>
      </c>
    </row>
    <row r="1539" customFormat="false" ht="23.25" hidden="false" customHeight="true" outlineLevel="0" collapsed="false">
      <c r="B1539" s="67" t="str">
        <f aca="false">IFERROR(INDEX(分录报销!$M:$M,MATCH($L1539,分录报销!$L:$L,0)),"")</f>
        <v/>
      </c>
      <c r="C1539" s="67"/>
      <c r="D1539" s="23" t="str">
        <f aca="false">IFERROR(INDEX(分录报销!$E:$E,MATCH($L1539,分录报销!$L:$L,0)),"")</f>
        <v/>
      </c>
      <c r="E1539" s="23" t="str">
        <f aca="false">IFERROR(INDEX(分录报销!$F:$F,MATCH($L1539,分录报销!$L:$L,0)),"")</f>
        <v/>
      </c>
      <c r="F1539" s="68" t="str">
        <f aca="false">IFERROR(INDEX(分录报销!$H:$H,MATCH($L1539,分录报销!$L:$L,0)),"")</f>
        <v/>
      </c>
      <c r="G1539" s="69" t="str">
        <f aca="false">IFERROR(INDEX(分录报销!$I:$I,MATCH($L1539,分录报销!$L:$L,0)),"")</f>
        <v/>
      </c>
      <c r="H1539" s="23"/>
      <c r="I1539" s="70"/>
      <c r="L1539" s="71" t="n">
        <f aca="false">IF(助手报销!$R$104="",-1,助手报销!$R$104*100+(助手报销!$S$104-1)*6+4)</f>
        <v>-1</v>
      </c>
    </row>
    <row r="1540" customFormat="false" ht="23.25" hidden="false" customHeight="true" outlineLevel="0" collapsed="false">
      <c r="B1540" s="67" t="str">
        <f aca="false">IFERROR(INDEX(分录报销!$M:$M,MATCH($L1540,分录报销!$L:$L,0)),"")</f>
        <v/>
      </c>
      <c r="C1540" s="67"/>
      <c r="D1540" s="23" t="str">
        <f aca="false">IFERROR(INDEX(分录报销!$E:$E,MATCH($L1540,分录报销!$L:$L,0)),"")</f>
        <v/>
      </c>
      <c r="E1540" s="23" t="str">
        <f aca="false">IFERROR(INDEX(分录报销!$F:$F,MATCH($L1540,分录报销!$L:$L,0)),"")</f>
        <v/>
      </c>
      <c r="F1540" s="68" t="str">
        <f aca="false">IFERROR(INDEX(分录报销!$H:$H,MATCH($L1540,分录报销!$L:$L,0)),"")</f>
        <v/>
      </c>
      <c r="G1540" s="69" t="str">
        <f aca="false">IFERROR(INDEX(分录报销!$I:$I,MATCH($L1540,分录报销!$L:$L,0)),"")</f>
        <v/>
      </c>
      <c r="H1540" s="23"/>
      <c r="I1540" s="70"/>
      <c r="L1540" s="71" t="n">
        <f aca="false">IF(助手报销!$R$104="",-1,助手报销!$R$104*100+(助手报销!$S$104-1)*6+5)</f>
        <v>-1</v>
      </c>
    </row>
    <row r="1541" customFormat="false" ht="23.25" hidden="false" customHeight="true" outlineLevel="0" collapsed="false">
      <c r="B1541" s="67" t="str">
        <f aca="false">IFERROR(INDEX(分录报销!$M:$M,MATCH($L1541,分录报销!$L:$L,0)),"")</f>
        <v/>
      </c>
      <c r="C1541" s="67"/>
      <c r="D1541" s="23" t="str">
        <f aca="false">IFERROR(INDEX(分录报销!$E:$E,MATCH($L1541,分录报销!$L:$L,0)),"")</f>
        <v/>
      </c>
      <c r="E1541" s="23" t="str">
        <f aca="false">IFERROR(INDEX(分录报销!$F:$F,MATCH($L1541,分录报销!$L:$L,0)),"")</f>
        <v/>
      </c>
      <c r="F1541" s="68" t="str">
        <f aca="false">IFERROR(INDEX(分录报销!$H:$H,MATCH($L1541,分录报销!$L:$L,0)),"")</f>
        <v/>
      </c>
      <c r="G1541" s="69" t="str">
        <f aca="false">IFERROR(INDEX(分录报销!$I:$I,MATCH($L1541,分录报销!$L:$L,0)),"")</f>
        <v/>
      </c>
      <c r="H1541" s="23"/>
      <c r="I1541" s="70"/>
      <c r="L1541" s="71" t="n">
        <f aca="false">IF(助手报销!$R$104="",-1,助手报销!$R$104*100+(助手报销!$S$104-1)*6+6)</f>
        <v>-1</v>
      </c>
    </row>
    <row r="1542" customFormat="false" ht="23.25" hidden="false" customHeight="true" outlineLevel="0" collapsed="false">
      <c r="B1542" s="72" t="str">
        <f aca="false">IF(助手报销!$T$104=1,"合计：","")</f>
        <v/>
      </c>
      <c r="C1542" s="73" t="str">
        <f aca="false">IF(助手报销!$T$104=1,$F1542,"")</f>
        <v/>
      </c>
      <c r="D1542" s="74"/>
      <c r="E1542" s="74"/>
      <c r="F1542" s="75" t="str">
        <f aca="false">IF(助手报销!$T$104=1,INDEX(助手报销!$N$2:$N$121,助手报销!$R$104),"")</f>
        <v/>
      </c>
      <c r="G1542" s="76" t="str">
        <f aca="false">IF(助手报销!$T$104=1,INDEX(助手报销!$O$2:$O$121,助手报销!$R$104),"")</f>
        <v/>
      </c>
      <c r="H1542" s="74"/>
      <c r="I1542" s="77"/>
    </row>
    <row r="1543" customFormat="false" ht="6" hidden="false" customHeight="true" outlineLevel="0" collapsed="false"/>
    <row r="1544" customFormat="false" ht="13.5" hidden="false" customHeight="false" outlineLevel="0" collapsed="false">
      <c r="B1544" s="78" t="str">
        <f aca="false">IF(助手报销!$R$104&lt;&gt;"","会计主管：","")</f>
        <v/>
      </c>
      <c r="D1544" s="78" t="str">
        <f aca="false">IF(助手报销!$R$104&lt;&gt;"","会计：","")</f>
        <v/>
      </c>
      <c r="E1544" s="78" t="str">
        <f aca="false">IF(助手报销!$R$104&lt;&gt;"","出纳：","")</f>
        <v/>
      </c>
      <c r="F1544" s="78" t="str">
        <f aca="false">IF(助手报销!$R$104&lt;&gt;"","复核：","")</f>
        <v/>
      </c>
      <c r="G1544" s="78" t="str">
        <f aca="false">IF(助手报销!$R$104&lt;&gt;"","制单：","")</f>
        <v/>
      </c>
    </row>
    <row r="1545" customFormat="false" ht="3" hidden="false" customHeight="true" outlineLevel="0" collapsed="false"/>
    <row r="1546" customFormat="false" ht="19.5" hidden="false" customHeight="true" outlineLevel="0" collapsed="false">
      <c r="B1546" s="53" t="str">
        <f aca="false">IF(助手报销!$R$105&lt;&gt;"","记  账  凭  证","")</f>
        <v/>
      </c>
      <c r="C1546" s="53"/>
      <c r="D1546" s="53"/>
      <c r="E1546" s="53"/>
      <c r="F1546" s="53"/>
      <c r="G1546" s="53"/>
      <c r="H1546" s="53"/>
      <c r="I1546" s="53"/>
    </row>
    <row r="1547" customFormat="false" ht="3" hidden="false" customHeight="true" outlineLevel="0" collapsed="false"/>
    <row r="1548" customFormat="false" ht="15" hidden="false" customHeight="true" outlineLevel="0" collapsed="false">
      <c r="C1548" s="56" t="str">
        <f aca="false">IF(助手报销!$R$105&lt;&gt;"",INDEX(助手报销!$B$2:$B$121,助手报销!$R$105),"")</f>
        <v/>
      </c>
      <c r="D1548" s="57" t="str">
        <f aca="false">IF(助手报销!$R$105&lt;&gt;"",INDEX(助手报销!$D$2:$D$121,助手报销!$R$105),"")</f>
        <v/>
      </c>
      <c r="E1548" s="57"/>
      <c r="F1548" s="58" t="str">
        <f aca="false">IF(助手报销!$R$105&lt;&gt;"",INDEX(助手报销!$C$2:$C$121,助手报销!$R$105)&amp;"  字第 "&amp;IF(参数!$B$9="是",INDEX(助手报销!$P$2:$P$121,助手报销!$R$105),"　　　　")&amp;" 号"&amp;IF(INDEX(助手报销!$L$2:$L$121,助手报销!$R$105)&gt;1,"  (共"&amp;INDEX(助手报销!$L$2:$L$121,助手报销!$R$105)&amp;"页 第"&amp;助手报销!$S$105&amp;"页)",""),"")</f>
        <v/>
      </c>
      <c r="G1548" s="58"/>
      <c r="H1548" s="58"/>
      <c r="I1548" s="58"/>
      <c r="M1548" s="79" t="str">
        <f aca="false">IF(助手报销!$R$105="","",助手报销!$Q$105)</f>
        <v/>
      </c>
      <c r="N1548" s="80" t="str">
        <f aca="false">IF(助手报销!$R$105="","",INDEX(助手报销!$P$2:$P$121,助手报销!$R$105))</f>
        <v/>
      </c>
      <c r="O1548" s="55" t="str">
        <f aca="false">IF(助手报销!$R$105="","",INDEX(助手报销!$C$2:$C$121,助手报销!$R$105)&amp;"  字第 "&amp;INDEX(助手报销!$P$2:$P$121,助手报销!$R$105)&amp;" 号"&amp;IF(INDEX(助手报销!$L$2:$L$121,助手报销!$R$105)&gt;1,"  (共"&amp;INDEX(助手报销!$L$2:$L$121,助手报销!$R$105)&amp;"页 第"&amp;助手报销!$S$105&amp;"页)",""))</f>
        <v/>
      </c>
    </row>
    <row r="1549" customFormat="false" ht="12.75" hidden="false" customHeight="true" outlineLevel="0" collapsed="false">
      <c r="B1549" s="61" t="str">
        <f aca="false">IF(助手报销!$R$105&lt;&gt;"","摘　　要","")</f>
        <v/>
      </c>
      <c r="C1549" s="61"/>
      <c r="D1549" s="62" t="str">
        <f aca="false">IF(助手报销!$R$105&lt;&gt;"","科　　　　目","")</f>
        <v/>
      </c>
      <c r="E1549" s="62"/>
      <c r="F1549" s="61" t="str">
        <f aca="false">IF(助手报销!$R$105&lt;&gt;"","借 方 金 额","")</f>
        <v/>
      </c>
      <c r="G1549" s="62" t="str">
        <f aca="false">IF(助手报销!$R$105&lt;&gt;"","贷 方 金 额","")</f>
        <v/>
      </c>
      <c r="H1549" s="63" t="str">
        <f aca="false">IF(助手报销!$R$105&lt;&gt;"","√","")</f>
        <v/>
      </c>
      <c r="I1549" s="64" t="str">
        <f aca="false">IF(助手报销!$R$105&lt;&gt;"","附单据  张","")</f>
        <v/>
      </c>
    </row>
    <row r="1550" customFormat="false" ht="12.75" hidden="false" customHeight="true" outlineLevel="0" collapsed="false">
      <c r="B1550" s="61"/>
      <c r="C1550" s="61"/>
      <c r="D1550" s="23" t="str">
        <f aca="false">IF(助手报销!$R$105&lt;&gt;"","总 账 科 目","")</f>
        <v/>
      </c>
      <c r="E1550" s="23" t="str">
        <f aca="false">IF(助手报销!$R$105&lt;&gt;"","明 细 科 目","")</f>
        <v/>
      </c>
      <c r="F1550" s="65"/>
      <c r="G1550" s="66"/>
      <c r="H1550" s="63"/>
      <c r="I1550" s="64"/>
    </row>
    <row r="1551" customFormat="false" ht="23.25" hidden="false" customHeight="true" outlineLevel="0" collapsed="false">
      <c r="B1551" s="67" t="str">
        <f aca="false">IFERROR(INDEX(分录报销!$M:$M,MATCH($L1551,分录报销!$L:$L,0)),"")</f>
        <v/>
      </c>
      <c r="C1551" s="67"/>
      <c r="D1551" s="23" t="str">
        <f aca="false">IFERROR(INDEX(分录报销!$E:$E,MATCH($L1551,分录报销!$L:$L,0)),"")</f>
        <v/>
      </c>
      <c r="E1551" s="23" t="str">
        <f aca="false">IFERROR(INDEX(分录报销!$F:$F,MATCH($L1551,分录报销!$L:$L,0)),"")</f>
        <v/>
      </c>
      <c r="F1551" s="68" t="str">
        <f aca="false">IFERROR(INDEX(分录报销!$H:$H,MATCH($L1551,分录报销!$L:$L,0)),"")</f>
        <v/>
      </c>
      <c r="G1551" s="69" t="str">
        <f aca="false">IFERROR(INDEX(分录报销!$I:$I,MATCH($L1551,分录报销!$L:$L,0)),"")</f>
        <v/>
      </c>
      <c r="H1551" s="23"/>
      <c r="I1551" s="70"/>
      <c r="L1551" s="71" t="n">
        <f aca="false">IF(助手报销!$R$105="",-1,助手报销!$R$105*100+(助手报销!$S$105-1)*6+1)</f>
        <v>-1</v>
      </c>
    </row>
    <row r="1552" customFormat="false" ht="23.25" hidden="false" customHeight="true" outlineLevel="0" collapsed="false">
      <c r="B1552" s="67" t="str">
        <f aca="false">IFERROR(INDEX(分录报销!$M:$M,MATCH($L1552,分录报销!$L:$L,0)),"")</f>
        <v/>
      </c>
      <c r="C1552" s="67"/>
      <c r="D1552" s="23" t="str">
        <f aca="false">IFERROR(INDEX(分录报销!$E:$E,MATCH($L1552,分录报销!$L:$L,0)),"")</f>
        <v/>
      </c>
      <c r="E1552" s="23" t="str">
        <f aca="false">IFERROR(INDEX(分录报销!$F:$F,MATCH($L1552,分录报销!$L:$L,0)),"")</f>
        <v/>
      </c>
      <c r="F1552" s="68" t="str">
        <f aca="false">IFERROR(INDEX(分录报销!$H:$H,MATCH($L1552,分录报销!$L:$L,0)),"")</f>
        <v/>
      </c>
      <c r="G1552" s="69" t="str">
        <f aca="false">IFERROR(INDEX(分录报销!$I:$I,MATCH($L1552,分录报销!$L:$L,0)),"")</f>
        <v/>
      </c>
      <c r="H1552" s="23"/>
      <c r="I1552" s="70"/>
      <c r="L1552" s="71" t="n">
        <f aca="false">IF(助手报销!$R$105="",-1,助手报销!$R$105*100+(助手报销!$S$105-1)*6+2)</f>
        <v>-1</v>
      </c>
    </row>
    <row r="1553" customFormat="false" ht="23.25" hidden="false" customHeight="true" outlineLevel="0" collapsed="false">
      <c r="B1553" s="67" t="str">
        <f aca="false">IFERROR(INDEX(分录报销!$M:$M,MATCH($L1553,分录报销!$L:$L,0)),"")</f>
        <v/>
      </c>
      <c r="C1553" s="67"/>
      <c r="D1553" s="23" t="str">
        <f aca="false">IFERROR(INDEX(分录报销!$E:$E,MATCH($L1553,分录报销!$L:$L,0)),"")</f>
        <v/>
      </c>
      <c r="E1553" s="23" t="str">
        <f aca="false">IFERROR(INDEX(分录报销!$F:$F,MATCH($L1553,分录报销!$L:$L,0)),"")</f>
        <v/>
      </c>
      <c r="F1553" s="68" t="str">
        <f aca="false">IFERROR(INDEX(分录报销!$H:$H,MATCH($L1553,分录报销!$L:$L,0)),"")</f>
        <v/>
      </c>
      <c r="G1553" s="69" t="str">
        <f aca="false">IFERROR(INDEX(分录报销!$I:$I,MATCH($L1553,分录报销!$L:$L,0)),"")</f>
        <v/>
      </c>
      <c r="H1553" s="23"/>
      <c r="I1553" s="70"/>
      <c r="L1553" s="71" t="n">
        <f aca="false">IF(助手报销!$R$105="",-1,助手报销!$R$105*100+(助手报销!$S$105-1)*6+3)</f>
        <v>-1</v>
      </c>
    </row>
    <row r="1554" customFormat="false" ht="23.25" hidden="false" customHeight="true" outlineLevel="0" collapsed="false">
      <c r="B1554" s="67" t="str">
        <f aca="false">IFERROR(INDEX(分录报销!$M:$M,MATCH($L1554,分录报销!$L:$L,0)),"")</f>
        <v/>
      </c>
      <c r="C1554" s="67"/>
      <c r="D1554" s="23" t="str">
        <f aca="false">IFERROR(INDEX(分录报销!$E:$E,MATCH($L1554,分录报销!$L:$L,0)),"")</f>
        <v/>
      </c>
      <c r="E1554" s="23" t="str">
        <f aca="false">IFERROR(INDEX(分录报销!$F:$F,MATCH($L1554,分录报销!$L:$L,0)),"")</f>
        <v/>
      </c>
      <c r="F1554" s="68" t="str">
        <f aca="false">IFERROR(INDEX(分录报销!$H:$H,MATCH($L1554,分录报销!$L:$L,0)),"")</f>
        <v/>
      </c>
      <c r="G1554" s="69" t="str">
        <f aca="false">IFERROR(INDEX(分录报销!$I:$I,MATCH($L1554,分录报销!$L:$L,0)),"")</f>
        <v/>
      </c>
      <c r="H1554" s="23"/>
      <c r="I1554" s="70"/>
      <c r="L1554" s="71" t="n">
        <f aca="false">IF(助手报销!$R$105="",-1,助手报销!$R$105*100+(助手报销!$S$105-1)*6+4)</f>
        <v>-1</v>
      </c>
    </row>
    <row r="1555" customFormat="false" ht="23.25" hidden="false" customHeight="true" outlineLevel="0" collapsed="false">
      <c r="B1555" s="67" t="str">
        <f aca="false">IFERROR(INDEX(分录报销!$M:$M,MATCH($L1555,分录报销!$L:$L,0)),"")</f>
        <v/>
      </c>
      <c r="C1555" s="67"/>
      <c r="D1555" s="23" t="str">
        <f aca="false">IFERROR(INDEX(分录报销!$E:$E,MATCH($L1555,分录报销!$L:$L,0)),"")</f>
        <v/>
      </c>
      <c r="E1555" s="23" t="str">
        <f aca="false">IFERROR(INDEX(分录报销!$F:$F,MATCH($L1555,分录报销!$L:$L,0)),"")</f>
        <v/>
      </c>
      <c r="F1555" s="68" t="str">
        <f aca="false">IFERROR(INDEX(分录报销!$H:$H,MATCH($L1555,分录报销!$L:$L,0)),"")</f>
        <v/>
      </c>
      <c r="G1555" s="69" t="str">
        <f aca="false">IFERROR(INDEX(分录报销!$I:$I,MATCH($L1555,分录报销!$L:$L,0)),"")</f>
        <v/>
      </c>
      <c r="H1555" s="23"/>
      <c r="I1555" s="70"/>
      <c r="L1555" s="71" t="n">
        <f aca="false">IF(助手报销!$R$105="",-1,助手报销!$R$105*100+(助手报销!$S$105-1)*6+5)</f>
        <v>-1</v>
      </c>
    </row>
    <row r="1556" customFormat="false" ht="23.25" hidden="false" customHeight="true" outlineLevel="0" collapsed="false">
      <c r="B1556" s="67" t="str">
        <f aca="false">IFERROR(INDEX(分录报销!$M:$M,MATCH($L1556,分录报销!$L:$L,0)),"")</f>
        <v/>
      </c>
      <c r="C1556" s="67"/>
      <c r="D1556" s="23" t="str">
        <f aca="false">IFERROR(INDEX(分录报销!$E:$E,MATCH($L1556,分录报销!$L:$L,0)),"")</f>
        <v/>
      </c>
      <c r="E1556" s="23" t="str">
        <f aca="false">IFERROR(INDEX(分录报销!$F:$F,MATCH($L1556,分录报销!$L:$L,0)),"")</f>
        <v/>
      </c>
      <c r="F1556" s="68" t="str">
        <f aca="false">IFERROR(INDEX(分录报销!$H:$H,MATCH($L1556,分录报销!$L:$L,0)),"")</f>
        <v/>
      </c>
      <c r="G1556" s="69" t="str">
        <f aca="false">IFERROR(INDEX(分录报销!$I:$I,MATCH($L1556,分录报销!$L:$L,0)),"")</f>
        <v/>
      </c>
      <c r="H1556" s="23"/>
      <c r="I1556" s="70"/>
      <c r="L1556" s="71" t="n">
        <f aca="false">IF(助手报销!$R$105="",-1,助手报销!$R$105*100+(助手报销!$S$105-1)*6+6)</f>
        <v>-1</v>
      </c>
    </row>
    <row r="1557" customFormat="false" ht="23.25" hidden="false" customHeight="true" outlineLevel="0" collapsed="false">
      <c r="B1557" s="72" t="str">
        <f aca="false">IF(助手报销!$T$105=1,"合计：","")</f>
        <v/>
      </c>
      <c r="C1557" s="73" t="str">
        <f aca="false">IF(助手报销!$T$105=1,$F1557,"")</f>
        <v/>
      </c>
      <c r="D1557" s="74"/>
      <c r="E1557" s="74"/>
      <c r="F1557" s="75" t="str">
        <f aca="false">IF(助手报销!$T$105=1,INDEX(助手报销!$N$2:$N$121,助手报销!$R$105),"")</f>
        <v/>
      </c>
      <c r="G1557" s="76" t="str">
        <f aca="false">IF(助手报销!$T$105=1,INDEX(助手报销!$O$2:$O$121,助手报销!$R$105),"")</f>
        <v/>
      </c>
      <c r="H1557" s="74"/>
      <c r="I1557" s="77"/>
    </row>
    <row r="1558" customFormat="false" ht="6" hidden="false" customHeight="true" outlineLevel="0" collapsed="false"/>
    <row r="1559" customFormat="false" ht="13.5" hidden="false" customHeight="false" outlineLevel="0" collapsed="false">
      <c r="B1559" s="78" t="str">
        <f aca="false">IF(助手报销!$R$105&lt;&gt;"","会计主管：","")</f>
        <v/>
      </c>
      <c r="D1559" s="78" t="str">
        <f aca="false">IF(助手报销!$R$105&lt;&gt;"","会计：","")</f>
        <v/>
      </c>
      <c r="E1559" s="78" t="str">
        <f aca="false">IF(助手报销!$R$105&lt;&gt;"","出纳：","")</f>
        <v/>
      </c>
      <c r="F1559" s="78" t="str">
        <f aca="false">IF(助手报销!$R$105&lt;&gt;"","复核：","")</f>
        <v/>
      </c>
      <c r="G1559" s="78" t="str">
        <f aca="false">IF(助手报销!$R$105&lt;&gt;"","制单：","")</f>
        <v/>
      </c>
    </row>
    <row r="1560" customFormat="false" ht="3" hidden="false" customHeight="true" outlineLevel="0" collapsed="false"/>
    <row r="1561" customFormat="false" ht="19.5" hidden="false" customHeight="true" outlineLevel="0" collapsed="false">
      <c r="B1561" s="53" t="str">
        <f aca="false">IF(助手报销!$R$106&lt;&gt;"","记  账  凭  证","")</f>
        <v/>
      </c>
      <c r="C1561" s="53"/>
      <c r="D1561" s="53"/>
      <c r="E1561" s="53"/>
      <c r="F1561" s="53"/>
      <c r="G1561" s="53"/>
      <c r="H1561" s="53"/>
      <c r="I1561" s="53"/>
    </row>
    <row r="1562" customFormat="false" ht="3" hidden="false" customHeight="true" outlineLevel="0" collapsed="false"/>
    <row r="1563" customFormat="false" ht="15" hidden="false" customHeight="true" outlineLevel="0" collapsed="false">
      <c r="C1563" s="56" t="str">
        <f aca="false">IF(助手报销!$R$106&lt;&gt;"",INDEX(助手报销!$B$2:$B$121,助手报销!$R$106),"")</f>
        <v/>
      </c>
      <c r="D1563" s="57" t="str">
        <f aca="false">IF(助手报销!$R$106&lt;&gt;"",INDEX(助手报销!$D$2:$D$121,助手报销!$R$106),"")</f>
        <v/>
      </c>
      <c r="E1563" s="57"/>
      <c r="F1563" s="58" t="str">
        <f aca="false">IF(助手报销!$R$106&lt;&gt;"",INDEX(助手报销!$C$2:$C$121,助手报销!$R$106)&amp;"  字第 "&amp;IF(参数!$B$9="是",INDEX(助手报销!$P$2:$P$121,助手报销!$R$106),"　　　　")&amp;" 号"&amp;IF(INDEX(助手报销!$L$2:$L$121,助手报销!$R$106)&gt;1,"  (共"&amp;INDEX(助手报销!$L$2:$L$121,助手报销!$R$106)&amp;"页 第"&amp;助手报销!$S$106&amp;"页)",""),"")</f>
        <v/>
      </c>
      <c r="G1563" s="58"/>
      <c r="H1563" s="58"/>
      <c r="I1563" s="58"/>
      <c r="M1563" s="79" t="str">
        <f aca="false">IF(助手报销!$R$106="","",助手报销!$Q$106)</f>
        <v/>
      </c>
      <c r="N1563" s="80" t="str">
        <f aca="false">IF(助手报销!$R$106="","",INDEX(助手报销!$P$2:$P$121,助手报销!$R$106))</f>
        <v/>
      </c>
      <c r="O1563" s="55" t="str">
        <f aca="false">IF(助手报销!$R$106="","",INDEX(助手报销!$C$2:$C$121,助手报销!$R$106)&amp;"  字第 "&amp;INDEX(助手报销!$P$2:$P$121,助手报销!$R$106)&amp;" 号"&amp;IF(INDEX(助手报销!$L$2:$L$121,助手报销!$R$106)&gt;1,"  (共"&amp;INDEX(助手报销!$L$2:$L$121,助手报销!$R$106)&amp;"页 第"&amp;助手报销!$S$106&amp;"页)",""))</f>
        <v/>
      </c>
    </row>
    <row r="1564" customFormat="false" ht="12.75" hidden="false" customHeight="true" outlineLevel="0" collapsed="false">
      <c r="B1564" s="61" t="str">
        <f aca="false">IF(助手报销!$R$106&lt;&gt;"","摘　　要","")</f>
        <v/>
      </c>
      <c r="C1564" s="61"/>
      <c r="D1564" s="62" t="str">
        <f aca="false">IF(助手报销!$R$106&lt;&gt;"","科　　　　目","")</f>
        <v/>
      </c>
      <c r="E1564" s="62"/>
      <c r="F1564" s="61" t="str">
        <f aca="false">IF(助手报销!$R$106&lt;&gt;"","借 方 金 额","")</f>
        <v/>
      </c>
      <c r="G1564" s="62" t="str">
        <f aca="false">IF(助手报销!$R$106&lt;&gt;"","贷 方 金 额","")</f>
        <v/>
      </c>
      <c r="H1564" s="63" t="str">
        <f aca="false">IF(助手报销!$R$106&lt;&gt;"","√","")</f>
        <v/>
      </c>
      <c r="I1564" s="64" t="str">
        <f aca="false">IF(助手报销!$R$106&lt;&gt;"","附单据  张","")</f>
        <v/>
      </c>
    </row>
    <row r="1565" customFormat="false" ht="12.75" hidden="false" customHeight="true" outlineLevel="0" collapsed="false">
      <c r="B1565" s="61"/>
      <c r="C1565" s="61"/>
      <c r="D1565" s="23" t="str">
        <f aca="false">IF(助手报销!$R$106&lt;&gt;"","总 账 科 目","")</f>
        <v/>
      </c>
      <c r="E1565" s="23" t="str">
        <f aca="false">IF(助手报销!$R$106&lt;&gt;"","明 细 科 目","")</f>
        <v/>
      </c>
      <c r="F1565" s="65"/>
      <c r="G1565" s="66"/>
      <c r="H1565" s="63"/>
      <c r="I1565" s="64"/>
    </row>
    <row r="1566" customFormat="false" ht="23.25" hidden="false" customHeight="true" outlineLevel="0" collapsed="false">
      <c r="B1566" s="67" t="str">
        <f aca="false">IFERROR(INDEX(分录报销!$M:$M,MATCH($L1566,分录报销!$L:$L,0)),"")</f>
        <v/>
      </c>
      <c r="C1566" s="67"/>
      <c r="D1566" s="23" t="str">
        <f aca="false">IFERROR(INDEX(分录报销!$E:$E,MATCH($L1566,分录报销!$L:$L,0)),"")</f>
        <v/>
      </c>
      <c r="E1566" s="23" t="str">
        <f aca="false">IFERROR(INDEX(分录报销!$F:$F,MATCH($L1566,分录报销!$L:$L,0)),"")</f>
        <v/>
      </c>
      <c r="F1566" s="68" t="str">
        <f aca="false">IFERROR(INDEX(分录报销!$H:$H,MATCH($L1566,分录报销!$L:$L,0)),"")</f>
        <v/>
      </c>
      <c r="G1566" s="69" t="str">
        <f aca="false">IFERROR(INDEX(分录报销!$I:$I,MATCH($L1566,分录报销!$L:$L,0)),"")</f>
        <v/>
      </c>
      <c r="H1566" s="23"/>
      <c r="I1566" s="70"/>
      <c r="L1566" s="71" t="n">
        <f aca="false">IF(助手报销!$R$106="",-1,助手报销!$R$106*100+(助手报销!$S$106-1)*6+1)</f>
        <v>-1</v>
      </c>
    </row>
    <row r="1567" customFormat="false" ht="23.25" hidden="false" customHeight="true" outlineLevel="0" collapsed="false">
      <c r="B1567" s="67" t="str">
        <f aca="false">IFERROR(INDEX(分录报销!$M:$M,MATCH($L1567,分录报销!$L:$L,0)),"")</f>
        <v/>
      </c>
      <c r="C1567" s="67"/>
      <c r="D1567" s="23" t="str">
        <f aca="false">IFERROR(INDEX(分录报销!$E:$E,MATCH($L1567,分录报销!$L:$L,0)),"")</f>
        <v/>
      </c>
      <c r="E1567" s="23" t="str">
        <f aca="false">IFERROR(INDEX(分录报销!$F:$F,MATCH($L1567,分录报销!$L:$L,0)),"")</f>
        <v/>
      </c>
      <c r="F1567" s="68" t="str">
        <f aca="false">IFERROR(INDEX(分录报销!$H:$H,MATCH($L1567,分录报销!$L:$L,0)),"")</f>
        <v/>
      </c>
      <c r="G1567" s="69" t="str">
        <f aca="false">IFERROR(INDEX(分录报销!$I:$I,MATCH($L1567,分录报销!$L:$L,0)),"")</f>
        <v/>
      </c>
      <c r="H1567" s="23"/>
      <c r="I1567" s="70"/>
      <c r="L1567" s="71" t="n">
        <f aca="false">IF(助手报销!$R$106="",-1,助手报销!$R$106*100+(助手报销!$S$106-1)*6+2)</f>
        <v>-1</v>
      </c>
    </row>
    <row r="1568" customFormat="false" ht="23.25" hidden="false" customHeight="true" outlineLevel="0" collapsed="false">
      <c r="B1568" s="67" t="str">
        <f aca="false">IFERROR(INDEX(分录报销!$M:$M,MATCH($L1568,分录报销!$L:$L,0)),"")</f>
        <v/>
      </c>
      <c r="C1568" s="67"/>
      <c r="D1568" s="23" t="str">
        <f aca="false">IFERROR(INDEX(分录报销!$E:$E,MATCH($L1568,分录报销!$L:$L,0)),"")</f>
        <v/>
      </c>
      <c r="E1568" s="23" t="str">
        <f aca="false">IFERROR(INDEX(分录报销!$F:$F,MATCH($L1568,分录报销!$L:$L,0)),"")</f>
        <v/>
      </c>
      <c r="F1568" s="68" t="str">
        <f aca="false">IFERROR(INDEX(分录报销!$H:$H,MATCH($L1568,分录报销!$L:$L,0)),"")</f>
        <v/>
      </c>
      <c r="G1568" s="69" t="str">
        <f aca="false">IFERROR(INDEX(分录报销!$I:$I,MATCH($L1568,分录报销!$L:$L,0)),"")</f>
        <v/>
      </c>
      <c r="H1568" s="23"/>
      <c r="I1568" s="70"/>
      <c r="L1568" s="71" t="n">
        <f aca="false">IF(助手报销!$R$106="",-1,助手报销!$R$106*100+(助手报销!$S$106-1)*6+3)</f>
        <v>-1</v>
      </c>
    </row>
    <row r="1569" customFormat="false" ht="23.25" hidden="false" customHeight="true" outlineLevel="0" collapsed="false">
      <c r="B1569" s="67" t="str">
        <f aca="false">IFERROR(INDEX(分录报销!$M:$M,MATCH($L1569,分录报销!$L:$L,0)),"")</f>
        <v/>
      </c>
      <c r="C1569" s="67"/>
      <c r="D1569" s="23" t="str">
        <f aca="false">IFERROR(INDEX(分录报销!$E:$E,MATCH($L1569,分录报销!$L:$L,0)),"")</f>
        <v/>
      </c>
      <c r="E1569" s="23" t="str">
        <f aca="false">IFERROR(INDEX(分录报销!$F:$F,MATCH($L1569,分录报销!$L:$L,0)),"")</f>
        <v/>
      </c>
      <c r="F1569" s="68" t="str">
        <f aca="false">IFERROR(INDEX(分录报销!$H:$H,MATCH($L1569,分录报销!$L:$L,0)),"")</f>
        <v/>
      </c>
      <c r="G1569" s="69" t="str">
        <f aca="false">IFERROR(INDEX(分录报销!$I:$I,MATCH($L1569,分录报销!$L:$L,0)),"")</f>
        <v/>
      </c>
      <c r="H1569" s="23"/>
      <c r="I1569" s="70"/>
      <c r="L1569" s="71" t="n">
        <f aca="false">IF(助手报销!$R$106="",-1,助手报销!$R$106*100+(助手报销!$S$106-1)*6+4)</f>
        <v>-1</v>
      </c>
    </row>
    <row r="1570" customFormat="false" ht="23.25" hidden="false" customHeight="true" outlineLevel="0" collapsed="false">
      <c r="B1570" s="67" t="str">
        <f aca="false">IFERROR(INDEX(分录报销!$M:$M,MATCH($L1570,分录报销!$L:$L,0)),"")</f>
        <v/>
      </c>
      <c r="C1570" s="67"/>
      <c r="D1570" s="23" t="str">
        <f aca="false">IFERROR(INDEX(分录报销!$E:$E,MATCH($L1570,分录报销!$L:$L,0)),"")</f>
        <v/>
      </c>
      <c r="E1570" s="23" t="str">
        <f aca="false">IFERROR(INDEX(分录报销!$F:$F,MATCH($L1570,分录报销!$L:$L,0)),"")</f>
        <v/>
      </c>
      <c r="F1570" s="68" t="str">
        <f aca="false">IFERROR(INDEX(分录报销!$H:$H,MATCH($L1570,分录报销!$L:$L,0)),"")</f>
        <v/>
      </c>
      <c r="G1570" s="69" t="str">
        <f aca="false">IFERROR(INDEX(分录报销!$I:$I,MATCH($L1570,分录报销!$L:$L,0)),"")</f>
        <v/>
      </c>
      <c r="H1570" s="23"/>
      <c r="I1570" s="70"/>
      <c r="L1570" s="71" t="n">
        <f aca="false">IF(助手报销!$R$106="",-1,助手报销!$R$106*100+(助手报销!$S$106-1)*6+5)</f>
        <v>-1</v>
      </c>
    </row>
    <row r="1571" customFormat="false" ht="23.25" hidden="false" customHeight="true" outlineLevel="0" collapsed="false">
      <c r="B1571" s="67" t="str">
        <f aca="false">IFERROR(INDEX(分录报销!$M:$M,MATCH($L1571,分录报销!$L:$L,0)),"")</f>
        <v/>
      </c>
      <c r="C1571" s="67"/>
      <c r="D1571" s="23" t="str">
        <f aca="false">IFERROR(INDEX(分录报销!$E:$E,MATCH($L1571,分录报销!$L:$L,0)),"")</f>
        <v/>
      </c>
      <c r="E1571" s="23" t="str">
        <f aca="false">IFERROR(INDEX(分录报销!$F:$F,MATCH($L1571,分录报销!$L:$L,0)),"")</f>
        <v/>
      </c>
      <c r="F1571" s="68" t="str">
        <f aca="false">IFERROR(INDEX(分录报销!$H:$H,MATCH($L1571,分录报销!$L:$L,0)),"")</f>
        <v/>
      </c>
      <c r="G1571" s="69" t="str">
        <f aca="false">IFERROR(INDEX(分录报销!$I:$I,MATCH($L1571,分录报销!$L:$L,0)),"")</f>
        <v/>
      </c>
      <c r="H1571" s="23"/>
      <c r="I1571" s="70"/>
      <c r="L1571" s="71" t="n">
        <f aca="false">IF(助手报销!$R$106="",-1,助手报销!$R$106*100+(助手报销!$S$106-1)*6+6)</f>
        <v>-1</v>
      </c>
    </row>
    <row r="1572" customFormat="false" ht="23.25" hidden="false" customHeight="true" outlineLevel="0" collapsed="false">
      <c r="B1572" s="72" t="str">
        <f aca="false">IF(助手报销!$T$106=1,"合计：","")</f>
        <v/>
      </c>
      <c r="C1572" s="73" t="str">
        <f aca="false">IF(助手报销!$T$106=1,$F1572,"")</f>
        <v/>
      </c>
      <c r="D1572" s="74"/>
      <c r="E1572" s="74"/>
      <c r="F1572" s="75" t="str">
        <f aca="false">IF(助手报销!$T$106=1,INDEX(助手报销!$N$2:$N$121,助手报销!$R$106),"")</f>
        <v/>
      </c>
      <c r="G1572" s="76" t="str">
        <f aca="false">IF(助手报销!$T$106=1,INDEX(助手报销!$O$2:$O$121,助手报销!$R$106),"")</f>
        <v/>
      </c>
      <c r="H1572" s="74"/>
      <c r="I1572" s="77"/>
    </row>
    <row r="1573" customFormat="false" ht="6" hidden="false" customHeight="true" outlineLevel="0" collapsed="false"/>
    <row r="1574" customFormat="false" ht="13.5" hidden="false" customHeight="false" outlineLevel="0" collapsed="false">
      <c r="B1574" s="78" t="str">
        <f aca="false">IF(助手报销!$R$106&lt;&gt;"","会计主管：","")</f>
        <v/>
      </c>
      <c r="D1574" s="78" t="str">
        <f aca="false">IF(助手报销!$R$106&lt;&gt;"","会计：","")</f>
        <v/>
      </c>
      <c r="E1574" s="78" t="str">
        <f aca="false">IF(助手报销!$R$106&lt;&gt;"","出纳：","")</f>
        <v/>
      </c>
      <c r="F1574" s="78" t="str">
        <f aca="false">IF(助手报销!$R$106&lt;&gt;"","复核：","")</f>
        <v/>
      </c>
      <c r="G1574" s="78" t="str">
        <f aca="false">IF(助手报销!$R$106&lt;&gt;"","制单：","")</f>
        <v/>
      </c>
    </row>
    <row r="1575" customFormat="false" ht="3" hidden="false" customHeight="true" outlineLevel="0" collapsed="false"/>
    <row r="1576" customFormat="false" ht="19.5" hidden="false" customHeight="true" outlineLevel="0" collapsed="false">
      <c r="B1576" s="53" t="str">
        <f aca="false">IF(助手报销!$R$107&lt;&gt;"","记  账  凭  证","")</f>
        <v/>
      </c>
      <c r="C1576" s="53"/>
      <c r="D1576" s="53"/>
      <c r="E1576" s="53"/>
      <c r="F1576" s="53"/>
      <c r="G1576" s="53"/>
      <c r="H1576" s="53"/>
      <c r="I1576" s="53"/>
    </row>
    <row r="1577" customFormat="false" ht="3" hidden="false" customHeight="true" outlineLevel="0" collapsed="false"/>
    <row r="1578" customFormat="false" ht="15" hidden="false" customHeight="true" outlineLevel="0" collapsed="false">
      <c r="C1578" s="56" t="str">
        <f aca="false">IF(助手报销!$R$107&lt;&gt;"",INDEX(助手报销!$B$2:$B$121,助手报销!$R$107),"")</f>
        <v/>
      </c>
      <c r="D1578" s="57" t="str">
        <f aca="false">IF(助手报销!$R$107&lt;&gt;"",INDEX(助手报销!$D$2:$D$121,助手报销!$R$107),"")</f>
        <v/>
      </c>
      <c r="E1578" s="57"/>
      <c r="F1578" s="58" t="str">
        <f aca="false">IF(助手报销!$R$107&lt;&gt;"",INDEX(助手报销!$C$2:$C$121,助手报销!$R$107)&amp;"  字第 "&amp;IF(参数!$B$9="是",INDEX(助手报销!$P$2:$P$121,助手报销!$R$107),"　　　　")&amp;" 号"&amp;IF(INDEX(助手报销!$L$2:$L$121,助手报销!$R$107)&gt;1,"  (共"&amp;INDEX(助手报销!$L$2:$L$121,助手报销!$R$107)&amp;"页 第"&amp;助手报销!$S$107&amp;"页)",""),"")</f>
        <v/>
      </c>
      <c r="G1578" s="58"/>
      <c r="H1578" s="58"/>
      <c r="I1578" s="58"/>
      <c r="M1578" s="79" t="str">
        <f aca="false">IF(助手报销!$R$107="","",助手报销!$Q$107)</f>
        <v/>
      </c>
      <c r="N1578" s="80" t="str">
        <f aca="false">IF(助手报销!$R$107="","",INDEX(助手报销!$P$2:$P$121,助手报销!$R$107))</f>
        <v/>
      </c>
      <c r="O1578" s="55" t="str">
        <f aca="false">IF(助手报销!$R$107="","",INDEX(助手报销!$C$2:$C$121,助手报销!$R$107)&amp;"  字第 "&amp;INDEX(助手报销!$P$2:$P$121,助手报销!$R$107)&amp;" 号"&amp;IF(INDEX(助手报销!$L$2:$L$121,助手报销!$R$107)&gt;1,"  (共"&amp;INDEX(助手报销!$L$2:$L$121,助手报销!$R$107)&amp;"页 第"&amp;助手报销!$S$107&amp;"页)",""))</f>
        <v/>
      </c>
    </row>
    <row r="1579" customFormat="false" ht="12.75" hidden="false" customHeight="true" outlineLevel="0" collapsed="false">
      <c r="B1579" s="61" t="str">
        <f aca="false">IF(助手报销!$R$107&lt;&gt;"","摘　　要","")</f>
        <v/>
      </c>
      <c r="C1579" s="61"/>
      <c r="D1579" s="62" t="str">
        <f aca="false">IF(助手报销!$R$107&lt;&gt;"","科　　　　目","")</f>
        <v/>
      </c>
      <c r="E1579" s="62"/>
      <c r="F1579" s="61" t="str">
        <f aca="false">IF(助手报销!$R$107&lt;&gt;"","借 方 金 额","")</f>
        <v/>
      </c>
      <c r="G1579" s="62" t="str">
        <f aca="false">IF(助手报销!$R$107&lt;&gt;"","贷 方 金 额","")</f>
        <v/>
      </c>
      <c r="H1579" s="63" t="str">
        <f aca="false">IF(助手报销!$R$107&lt;&gt;"","√","")</f>
        <v/>
      </c>
      <c r="I1579" s="64" t="str">
        <f aca="false">IF(助手报销!$R$107&lt;&gt;"","附单据  张","")</f>
        <v/>
      </c>
    </row>
    <row r="1580" customFormat="false" ht="12.75" hidden="false" customHeight="true" outlineLevel="0" collapsed="false">
      <c r="B1580" s="61"/>
      <c r="C1580" s="61"/>
      <c r="D1580" s="23" t="str">
        <f aca="false">IF(助手报销!$R$107&lt;&gt;"","总 账 科 目","")</f>
        <v/>
      </c>
      <c r="E1580" s="23" t="str">
        <f aca="false">IF(助手报销!$R$107&lt;&gt;"","明 细 科 目","")</f>
        <v/>
      </c>
      <c r="F1580" s="65"/>
      <c r="G1580" s="66"/>
      <c r="H1580" s="63"/>
      <c r="I1580" s="64"/>
    </row>
    <row r="1581" customFormat="false" ht="23.25" hidden="false" customHeight="true" outlineLevel="0" collapsed="false">
      <c r="B1581" s="67" t="str">
        <f aca="false">IFERROR(INDEX(分录报销!$M:$M,MATCH($L1581,分录报销!$L:$L,0)),"")</f>
        <v/>
      </c>
      <c r="C1581" s="67"/>
      <c r="D1581" s="23" t="str">
        <f aca="false">IFERROR(INDEX(分录报销!$E:$E,MATCH($L1581,分录报销!$L:$L,0)),"")</f>
        <v/>
      </c>
      <c r="E1581" s="23" t="str">
        <f aca="false">IFERROR(INDEX(分录报销!$F:$F,MATCH($L1581,分录报销!$L:$L,0)),"")</f>
        <v/>
      </c>
      <c r="F1581" s="68" t="str">
        <f aca="false">IFERROR(INDEX(分录报销!$H:$H,MATCH($L1581,分录报销!$L:$L,0)),"")</f>
        <v/>
      </c>
      <c r="G1581" s="69" t="str">
        <f aca="false">IFERROR(INDEX(分录报销!$I:$I,MATCH($L1581,分录报销!$L:$L,0)),"")</f>
        <v/>
      </c>
      <c r="H1581" s="23"/>
      <c r="I1581" s="70"/>
      <c r="L1581" s="71" t="n">
        <f aca="false">IF(助手报销!$R$107="",-1,助手报销!$R$107*100+(助手报销!$S$107-1)*6+1)</f>
        <v>-1</v>
      </c>
    </row>
    <row r="1582" customFormat="false" ht="23.25" hidden="false" customHeight="true" outlineLevel="0" collapsed="false">
      <c r="B1582" s="67" t="str">
        <f aca="false">IFERROR(INDEX(分录报销!$M:$M,MATCH($L1582,分录报销!$L:$L,0)),"")</f>
        <v/>
      </c>
      <c r="C1582" s="67"/>
      <c r="D1582" s="23" t="str">
        <f aca="false">IFERROR(INDEX(分录报销!$E:$E,MATCH($L1582,分录报销!$L:$L,0)),"")</f>
        <v/>
      </c>
      <c r="E1582" s="23" t="str">
        <f aca="false">IFERROR(INDEX(分录报销!$F:$F,MATCH($L1582,分录报销!$L:$L,0)),"")</f>
        <v/>
      </c>
      <c r="F1582" s="68" t="str">
        <f aca="false">IFERROR(INDEX(分录报销!$H:$H,MATCH($L1582,分录报销!$L:$L,0)),"")</f>
        <v/>
      </c>
      <c r="G1582" s="69" t="str">
        <f aca="false">IFERROR(INDEX(分录报销!$I:$I,MATCH($L1582,分录报销!$L:$L,0)),"")</f>
        <v/>
      </c>
      <c r="H1582" s="23"/>
      <c r="I1582" s="70"/>
      <c r="L1582" s="71" t="n">
        <f aca="false">IF(助手报销!$R$107="",-1,助手报销!$R$107*100+(助手报销!$S$107-1)*6+2)</f>
        <v>-1</v>
      </c>
    </row>
    <row r="1583" customFormat="false" ht="23.25" hidden="false" customHeight="true" outlineLevel="0" collapsed="false">
      <c r="B1583" s="67" t="str">
        <f aca="false">IFERROR(INDEX(分录报销!$M:$M,MATCH($L1583,分录报销!$L:$L,0)),"")</f>
        <v/>
      </c>
      <c r="C1583" s="67"/>
      <c r="D1583" s="23" t="str">
        <f aca="false">IFERROR(INDEX(分录报销!$E:$E,MATCH($L1583,分录报销!$L:$L,0)),"")</f>
        <v/>
      </c>
      <c r="E1583" s="23" t="str">
        <f aca="false">IFERROR(INDEX(分录报销!$F:$F,MATCH($L1583,分录报销!$L:$L,0)),"")</f>
        <v/>
      </c>
      <c r="F1583" s="68" t="str">
        <f aca="false">IFERROR(INDEX(分录报销!$H:$H,MATCH($L1583,分录报销!$L:$L,0)),"")</f>
        <v/>
      </c>
      <c r="G1583" s="69" t="str">
        <f aca="false">IFERROR(INDEX(分录报销!$I:$I,MATCH($L1583,分录报销!$L:$L,0)),"")</f>
        <v/>
      </c>
      <c r="H1583" s="23"/>
      <c r="I1583" s="70"/>
      <c r="L1583" s="71" t="n">
        <f aca="false">IF(助手报销!$R$107="",-1,助手报销!$R$107*100+(助手报销!$S$107-1)*6+3)</f>
        <v>-1</v>
      </c>
    </row>
    <row r="1584" customFormat="false" ht="23.25" hidden="false" customHeight="true" outlineLevel="0" collapsed="false">
      <c r="B1584" s="67" t="str">
        <f aca="false">IFERROR(INDEX(分录报销!$M:$M,MATCH($L1584,分录报销!$L:$L,0)),"")</f>
        <v/>
      </c>
      <c r="C1584" s="67"/>
      <c r="D1584" s="23" t="str">
        <f aca="false">IFERROR(INDEX(分录报销!$E:$E,MATCH($L1584,分录报销!$L:$L,0)),"")</f>
        <v/>
      </c>
      <c r="E1584" s="23" t="str">
        <f aca="false">IFERROR(INDEX(分录报销!$F:$F,MATCH($L1584,分录报销!$L:$L,0)),"")</f>
        <v/>
      </c>
      <c r="F1584" s="68" t="str">
        <f aca="false">IFERROR(INDEX(分录报销!$H:$H,MATCH($L1584,分录报销!$L:$L,0)),"")</f>
        <v/>
      </c>
      <c r="G1584" s="69" t="str">
        <f aca="false">IFERROR(INDEX(分录报销!$I:$I,MATCH($L1584,分录报销!$L:$L,0)),"")</f>
        <v/>
      </c>
      <c r="H1584" s="23"/>
      <c r="I1584" s="70"/>
      <c r="L1584" s="71" t="n">
        <f aca="false">IF(助手报销!$R$107="",-1,助手报销!$R$107*100+(助手报销!$S$107-1)*6+4)</f>
        <v>-1</v>
      </c>
    </row>
    <row r="1585" customFormat="false" ht="23.25" hidden="false" customHeight="true" outlineLevel="0" collapsed="false">
      <c r="B1585" s="67" t="str">
        <f aca="false">IFERROR(INDEX(分录报销!$M:$M,MATCH($L1585,分录报销!$L:$L,0)),"")</f>
        <v/>
      </c>
      <c r="C1585" s="67"/>
      <c r="D1585" s="23" t="str">
        <f aca="false">IFERROR(INDEX(分录报销!$E:$E,MATCH($L1585,分录报销!$L:$L,0)),"")</f>
        <v/>
      </c>
      <c r="E1585" s="23" t="str">
        <f aca="false">IFERROR(INDEX(分录报销!$F:$F,MATCH($L1585,分录报销!$L:$L,0)),"")</f>
        <v/>
      </c>
      <c r="F1585" s="68" t="str">
        <f aca="false">IFERROR(INDEX(分录报销!$H:$H,MATCH($L1585,分录报销!$L:$L,0)),"")</f>
        <v/>
      </c>
      <c r="G1585" s="69" t="str">
        <f aca="false">IFERROR(INDEX(分录报销!$I:$I,MATCH($L1585,分录报销!$L:$L,0)),"")</f>
        <v/>
      </c>
      <c r="H1585" s="23"/>
      <c r="I1585" s="70"/>
      <c r="L1585" s="71" t="n">
        <f aca="false">IF(助手报销!$R$107="",-1,助手报销!$R$107*100+(助手报销!$S$107-1)*6+5)</f>
        <v>-1</v>
      </c>
    </row>
    <row r="1586" customFormat="false" ht="23.25" hidden="false" customHeight="true" outlineLevel="0" collapsed="false">
      <c r="B1586" s="67" t="str">
        <f aca="false">IFERROR(INDEX(分录报销!$M:$M,MATCH($L1586,分录报销!$L:$L,0)),"")</f>
        <v/>
      </c>
      <c r="C1586" s="67"/>
      <c r="D1586" s="23" t="str">
        <f aca="false">IFERROR(INDEX(分录报销!$E:$E,MATCH($L1586,分录报销!$L:$L,0)),"")</f>
        <v/>
      </c>
      <c r="E1586" s="23" t="str">
        <f aca="false">IFERROR(INDEX(分录报销!$F:$F,MATCH($L1586,分录报销!$L:$L,0)),"")</f>
        <v/>
      </c>
      <c r="F1586" s="68" t="str">
        <f aca="false">IFERROR(INDEX(分录报销!$H:$H,MATCH($L1586,分录报销!$L:$L,0)),"")</f>
        <v/>
      </c>
      <c r="G1586" s="69" t="str">
        <f aca="false">IFERROR(INDEX(分录报销!$I:$I,MATCH($L1586,分录报销!$L:$L,0)),"")</f>
        <v/>
      </c>
      <c r="H1586" s="23"/>
      <c r="I1586" s="70"/>
      <c r="L1586" s="71" t="n">
        <f aca="false">IF(助手报销!$R$107="",-1,助手报销!$R$107*100+(助手报销!$S$107-1)*6+6)</f>
        <v>-1</v>
      </c>
    </row>
    <row r="1587" customFormat="false" ht="23.25" hidden="false" customHeight="true" outlineLevel="0" collapsed="false">
      <c r="B1587" s="72" t="str">
        <f aca="false">IF(助手报销!$T$107=1,"合计：","")</f>
        <v/>
      </c>
      <c r="C1587" s="73" t="str">
        <f aca="false">IF(助手报销!$T$107=1,$F1587,"")</f>
        <v/>
      </c>
      <c r="D1587" s="74"/>
      <c r="E1587" s="74"/>
      <c r="F1587" s="75" t="str">
        <f aca="false">IF(助手报销!$T$107=1,INDEX(助手报销!$N$2:$N$121,助手报销!$R$107),"")</f>
        <v/>
      </c>
      <c r="G1587" s="76" t="str">
        <f aca="false">IF(助手报销!$T$107=1,INDEX(助手报销!$O$2:$O$121,助手报销!$R$107),"")</f>
        <v/>
      </c>
      <c r="H1587" s="74"/>
      <c r="I1587" s="77"/>
    </row>
    <row r="1588" customFormat="false" ht="6" hidden="false" customHeight="true" outlineLevel="0" collapsed="false"/>
    <row r="1589" customFormat="false" ht="13.5" hidden="false" customHeight="false" outlineLevel="0" collapsed="false">
      <c r="B1589" s="78" t="str">
        <f aca="false">IF(助手报销!$R$107&lt;&gt;"","会计主管：","")</f>
        <v/>
      </c>
      <c r="D1589" s="78" t="str">
        <f aca="false">IF(助手报销!$R$107&lt;&gt;"","会计：","")</f>
        <v/>
      </c>
      <c r="E1589" s="78" t="str">
        <f aca="false">IF(助手报销!$R$107&lt;&gt;"","出纳：","")</f>
        <v/>
      </c>
      <c r="F1589" s="78" t="str">
        <f aca="false">IF(助手报销!$R$107&lt;&gt;"","复核：","")</f>
        <v/>
      </c>
      <c r="G1589" s="78" t="str">
        <f aca="false">IF(助手报销!$R$107&lt;&gt;"","制单：","")</f>
        <v/>
      </c>
    </row>
    <row r="1590" customFormat="false" ht="3" hidden="false" customHeight="true" outlineLevel="0" collapsed="false"/>
    <row r="1591" customFormat="false" ht="19.5" hidden="false" customHeight="true" outlineLevel="0" collapsed="false">
      <c r="B1591" s="53" t="str">
        <f aca="false">IF(助手报销!$R$108&lt;&gt;"","记  账  凭  证","")</f>
        <v/>
      </c>
      <c r="C1591" s="53"/>
      <c r="D1591" s="53"/>
      <c r="E1591" s="53"/>
      <c r="F1591" s="53"/>
      <c r="G1591" s="53"/>
      <c r="H1591" s="53"/>
      <c r="I1591" s="53"/>
    </row>
    <row r="1592" customFormat="false" ht="3" hidden="false" customHeight="true" outlineLevel="0" collapsed="false"/>
    <row r="1593" customFormat="false" ht="15" hidden="false" customHeight="true" outlineLevel="0" collapsed="false">
      <c r="C1593" s="56" t="str">
        <f aca="false">IF(助手报销!$R$108&lt;&gt;"",INDEX(助手报销!$B$2:$B$121,助手报销!$R$108),"")</f>
        <v/>
      </c>
      <c r="D1593" s="57" t="str">
        <f aca="false">IF(助手报销!$R$108&lt;&gt;"",INDEX(助手报销!$D$2:$D$121,助手报销!$R$108),"")</f>
        <v/>
      </c>
      <c r="E1593" s="57"/>
      <c r="F1593" s="58" t="str">
        <f aca="false">IF(助手报销!$R$108&lt;&gt;"",INDEX(助手报销!$C$2:$C$121,助手报销!$R$108)&amp;"  字第 "&amp;IF(参数!$B$9="是",INDEX(助手报销!$P$2:$P$121,助手报销!$R$108),"　　　　")&amp;" 号"&amp;IF(INDEX(助手报销!$L$2:$L$121,助手报销!$R$108)&gt;1,"  (共"&amp;INDEX(助手报销!$L$2:$L$121,助手报销!$R$108)&amp;"页 第"&amp;助手报销!$S$108&amp;"页)",""),"")</f>
        <v/>
      </c>
      <c r="G1593" s="58"/>
      <c r="H1593" s="58"/>
      <c r="I1593" s="58"/>
      <c r="M1593" s="79" t="str">
        <f aca="false">IF(助手报销!$R$108="","",助手报销!$Q$108)</f>
        <v/>
      </c>
      <c r="N1593" s="80" t="str">
        <f aca="false">IF(助手报销!$R$108="","",INDEX(助手报销!$P$2:$P$121,助手报销!$R$108))</f>
        <v/>
      </c>
      <c r="O1593" s="55" t="str">
        <f aca="false">IF(助手报销!$R$108="","",INDEX(助手报销!$C$2:$C$121,助手报销!$R$108)&amp;"  字第 "&amp;INDEX(助手报销!$P$2:$P$121,助手报销!$R$108)&amp;" 号"&amp;IF(INDEX(助手报销!$L$2:$L$121,助手报销!$R$108)&gt;1,"  (共"&amp;INDEX(助手报销!$L$2:$L$121,助手报销!$R$108)&amp;"页 第"&amp;助手报销!$S$108&amp;"页)",""))</f>
        <v/>
      </c>
    </row>
    <row r="1594" customFormat="false" ht="12.75" hidden="false" customHeight="true" outlineLevel="0" collapsed="false">
      <c r="B1594" s="61" t="str">
        <f aca="false">IF(助手报销!$R$108&lt;&gt;"","摘　　要","")</f>
        <v/>
      </c>
      <c r="C1594" s="61"/>
      <c r="D1594" s="62" t="str">
        <f aca="false">IF(助手报销!$R$108&lt;&gt;"","科　　　　目","")</f>
        <v/>
      </c>
      <c r="E1594" s="62"/>
      <c r="F1594" s="61" t="str">
        <f aca="false">IF(助手报销!$R$108&lt;&gt;"","借 方 金 额","")</f>
        <v/>
      </c>
      <c r="G1594" s="62" t="str">
        <f aca="false">IF(助手报销!$R$108&lt;&gt;"","贷 方 金 额","")</f>
        <v/>
      </c>
      <c r="H1594" s="63" t="str">
        <f aca="false">IF(助手报销!$R$108&lt;&gt;"","√","")</f>
        <v/>
      </c>
      <c r="I1594" s="64" t="str">
        <f aca="false">IF(助手报销!$R$108&lt;&gt;"","附单据  张","")</f>
        <v/>
      </c>
    </row>
    <row r="1595" customFormat="false" ht="12.75" hidden="false" customHeight="true" outlineLevel="0" collapsed="false">
      <c r="B1595" s="61"/>
      <c r="C1595" s="61"/>
      <c r="D1595" s="23" t="str">
        <f aca="false">IF(助手报销!$R$108&lt;&gt;"","总 账 科 目","")</f>
        <v/>
      </c>
      <c r="E1595" s="23" t="str">
        <f aca="false">IF(助手报销!$R$108&lt;&gt;"","明 细 科 目","")</f>
        <v/>
      </c>
      <c r="F1595" s="65"/>
      <c r="G1595" s="66"/>
      <c r="H1595" s="63"/>
      <c r="I1595" s="64"/>
    </row>
    <row r="1596" customFormat="false" ht="23.25" hidden="false" customHeight="true" outlineLevel="0" collapsed="false">
      <c r="B1596" s="67" t="str">
        <f aca="false">IFERROR(INDEX(分录报销!$M:$M,MATCH($L1596,分录报销!$L:$L,0)),"")</f>
        <v/>
      </c>
      <c r="C1596" s="67"/>
      <c r="D1596" s="23" t="str">
        <f aca="false">IFERROR(INDEX(分录报销!$E:$E,MATCH($L1596,分录报销!$L:$L,0)),"")</f>
        <v/>
      </c>
      <c r="E1596" s="23" t="str">
        <f aca="false">IFERROR(INDEX(分录报销!$F:$F,MATCH($L1596,分录报销!$L:$L,0)),"")</f>
        <v/>
      </c>
      <c r="F1596" s="68" t="str">
        <f aca="false">IFERROR(INDEX(分录报销!$H:$H,MATCH($L1596,分录报销!$L:$L,0)),"")</f>
        <v/>
      </c>
      <c r="G1596" s="69" t="str">
        <f aca="false">IFERROR(INDEX(分录报销!$I:$I,MATCH($L1596,分录报销!$L:$L,0)),"")</f>
        <v/>
      </c>
      <c r="H1596" s="23"/>
      <c r="I1596" s="70"/>
      <c r="L1596" s="71" t="n">
        <f aca="false">IF(助手报销!$R$108="",-1,助手报销!$R$108*100+(助手报销!$S$108-1)*6+1)</f>
        <v>-1</v>
      </c>
    </row>
    <row r="1597" customFormat="false" ht="23.25" hidden="false" customHeight="true" outlineLevel="0" collapsed="false">
      <c r="B1597" s="67" t="str">
        <f aca="false">IFERROR(INDEX(分录报销!$M:$M,MATCH($L1597,分录报销!$L:$L,0)),"")</f>
        <v/>
      </c>
      <c r="C1597" s="67"/>
      <c r="D1597" s="23" t="str">
        <f aca="false">IFERROR(INDEX(分录报销!$E:$E,MATCH($L1597,分录报销!$L:$L,0)),"")</f>
        <v/>
      </c>
      <c r="E1597" s="23" t="str">
        <f aca="false">IFERROR(INDEX(分录报销!$F:$F,MATCH($L1597,分录报销!$L:$L,0)),"")</f>
        <v/>
      </c>
      <c r="F1597" s="68" t="str">
        <f aca="false">IFERROR(INDEX(分录报销!$H:$H,MATCH($L1597,分录报销!$L:$L,0)),"")</f>
        <v/>
      </c>
      <c r="G1597" s="69" t="str">
        <f aca="false">IFERROR(INDEX(分录报销!$I:$I,MATCH($L1597,分录报销!$L:$L,0)),"")</f>
        <v/>
      </c>
      <c r="H1597" s="23"/>
      <c r="I1597" s="70"/>
      <c r="L1597" s="71" t="n">
        <f aca="false">IF(助手报销!$R$108="",-1,助手报销!$R$108*100+(助手报销!$S$108-1)*6+2)</f>
        <v>-1</v>
      </c>
    </row>
    <row r="1598" customFormat="false" ht="23.25" hidden="false" customHeight="true" outlineLevel="0" collapsed="false">
      <c r="B1598" s="67" t="str">
        <f aca="false">IFERROR(INDEX(分录报销!$M:$M,MATCH($L1598,分录报销!$L:$L,0)),"")</f>
        <v/>
      </c>
      <c r="C1598" s="67"/>
      <c r="D1598" s="23" t="str">
        <f aca="false">IFERROR(INDEX(分录报销!$E:$E,MATCH($L1598,分录报销!$L:$L,0)),"")</f>
        <v/>
      </c>
      <c r="E1598" s="23" t="str">
        <f aca="false">IFERROR(INDEX(分录报销!$F:$F,MATCH($L1598,分录报销!$L:$L,0)),"")</f>
        <v/>
      </c>
      <c r="F1598" s="68" t="str">
        <f aca="false">IFERROR(INDEX(分录报销!$H:$H,MATCH($L1598,分录报销!$L:$L,0)),"")</f>
        <v/>
      </c>
      <c r="G1598" s="69" t="str">
        <f aca="false">IFERROR(INDEX(分录报销!$I:$I,MATCH($L1598,分录报销!$L:$L,0)),"")</f>
        <v/>
      </c>
      <c r="H1598" s="23"/>
      <c r="I1598" s="70"/>
      <c r="L1598" s="71" t="n">
        <f aca="false">IF(助手报销!$R$108="",-1,助手报销!$R$108*100+(助手报销!$S$108-1)*6+3)</f>
        <v>-1</v>
      </c>
    </row>
    <row r="1599" customFormat="false" ht="23.25" hidden="false" customHeight="true" outlineLevel="0" collapsed="false">
      <c r="B1599" s="67" t="str">
        <f aca="false">IFERROR(INDEX(分录报销!$M:$M,MATCH($L1599,分录报销!$L:$L,0)),"")</f>
        <v/>
      </c>
      <c r="C1599" s="67"/>
      <c r="D1599" s="23" t="str">
        <f aca="false">IFERROR(INDEX(分录报销!$E:$E,MATCH($L1599,分录报销!$L:$L,0)),"")</f>
        <v/>
      </c>
      <c r="E1599" s="23" t="str">
        <f aca="false">IFERROR(INDEX(分录报销!$F:$F,MATCH($L1599,分录报销!$L:$L,0)),"")</f>
        <v/>
      </c>
      <c r="F1599" s="68" t="str">
        <f aca="false">IFERROR(INDEX(分录报销!$H:$H,MATCH($L1599,分录报销!$L:$L,0)),"")</f>
        <v/>
      </c>
      <c r="G1599" s="69" t="str">
        <f aca="false">IFERROR(INDEX(分录报销!$I:$I,MATCH($L1599,分录报销!$L:$L,0)),"")</f>
        <v/>
      </c>
      <c r="H1599" s="23"/>
      <c r="I1599" s="70"/>
      <c r="L1599" s="71" t="n">
        <f aca="false">IF(助手报销!$R$108="",-1,助手报销!$R$108*100+(助手报销!$S$108-1)*6+4)</f>
        <v>-1</v>
      </c>
    </row>
    <row r="1600" customFormat="false" ht="23.25" hidden="false" customHeight="true" outlineLevel="0" collapsed="false">
      <c r="B1600" s="67" t="str">
        <f aca="false">IFERROR(INDEX(分录报销!$M:$M,MATCH($L1600,分录报销!$L:$L,0)),"")</f>
        <v/>
      </c>
      <c r="C1600" s="67"/>
      <c r="D1600" s="23" t="str">
        <f aca="false">IFERROR(INDEX(分录报销!$E:$E,MATCH($L1600,分录报销!$L:$L,0)),"")</f>
        <v/>
      </c>
      <c r="E1600" s="23" t="str">
        <f aca="false">IFERROR(INDEX(分录报销!$F:$F,MATCH($L1600,分录报销!$L:$L,0)),"")</f>
        <v/>
      </c>
      <c r="F1600" s="68" t="str">
        <f aca="false">IFERROR(INDEX(分录报销!$H:$H,MATCH($L1600,分录报销!$L:$L,0)),"")</f>
        <v/>
      </c>
      <c r="G1600" s="69" t="str">
        <f aca="false">IFERROR(INDEX(分录报销!$I:$I,MATCH($L1600,分录报销!$L:$L,0)),"")</f>
        <v/>
      </c>
      <c r="H1600" s="23"/>
      <c r="I1600" s="70"/>
      <c r="L1600" s="71" t="n">
        <f aca="false">IF(助手报销!$R$108="",-1,助手报销!$R$108*100+(助手报销!$S$108-1)*6+5)</f>
        <v>-1</v>
      </c>
    </row>
    <row r="1601" customFormat="false" ht="23.25" hidden="false" customHeight="true" outlineLevel="0" collapsed="false">
      <c r="B1601" s="67" t="str">
        <f aca="false">IFERROR(INDEX(分录报销!$M:$M,MATCH($L1601,分录报销!$L:$L,0)),"")</f>
        <v/>
      </c>
      <c r="C1601" s="67"/>
      <c r="D1601" s="23" t="str">
        <f aca="false">IFERROR(INDEX(分录报销!$E:$E,MATCH($L1601,分录报销!$L:$L,0)),"")</f>
        <v/>
      </c>
      <c r="E1601" s="23" t="str">
        <f aca="false">IFERROR(INDEX(分录报销!$F:$F,MATCH($L1601,分录报销!$L:$L,0)),"")</f>
        <v/>
      </c>
      <c r="F1601" s="68" t="str">
        <f aca="false">IFERROR(INDEX(分录报销!$H:$H,MATCH($L1601,分录报销!$L:$L,0)),"")</f>
        <v/>
      </c>
      <c r="G1601" s="69" t="str">
        <f aca="false">IFERROR(INDEX(分录报销!$I:$I,MATCH($L1601,分录报销!$L:$L,0)),"")</f>
        <v/>
      </c>
      <c r="H1601" s="23"/>
      <c r="I1601" s="70"/>
      <c r="L1601" s="71" t="n">
        <f aca="false">IF(助手报销!$R$108="",-1,助手报销!$R$108*100+(助手报销!$S$108-1)*6+6)</f>
        <v>-1</v>
      </c>
    </row>
    <row r="1602" customFormat="false" ht="23.25" hidden="false" customHeight="true" outlineLevel="0" collapsed="false">
      <c r="B1602" s="72" t="str">
        <f aca="false">IF(助手报销!$T$108=1,"合计：","")</f>
        <v/>
      </c>
      <c r="C1602" s="73" t="str">
        <f aca="false">IF(助手报销!$T$108=1,$F1602,"")</f>
        <v/>
      </c>
      <c r="D1602" s="74"/>
      <c r="E1602" s="74"/>
      <c r="F1602" s="75" t="str">
        <f aca="false">IF(助手报销!$T$108=1,INDEX(助手报销!$N$2:$N$121,助手报销!$R$108),"")</f>
        <v/>
      </c>
      <c r="G1602" s="76" t="str">
        <f aca="false">IF(助手报销!$T$108=1,INDEX(助手报销!$O$2:$O$121,助手报销!$R$108),"")</f>
        <v/>
      </c>
      <c r="H1602" s="74"/>
      <c r="I1602" s="77"/>
    </row>
    <row r="1603" customFormat="false" ht="6" hidden="false" customHeight="true" outlineLevel="0" collapsed="false"/>
    <row r="1604" customFormat="false" ht="13.5" hidden="false" customHeight="false" outlineLevel="0" collapsed="false">
      <c r="B1604" s="78" t="str">
        <f aca="false">IF(助手报销!$R$108&lt;&gt;"","会计主管：","")</f>
        <v/>
      </c>
      <c r="D1604" s="78" t="str">
        <f aca="false">IF(助手报销!$R$108&lt;&gt;"","会计：","")</f>
        <v/>
      </c>
      <c r="E1604" s="78" t="str">
        <f aca="false">IF(助手报销!$R$108&lt;&gt;"","出纳：","")</f>
        <v/>
      </c>
      <c r="F1604" s="78" t="str">
        <f aca="false">IF(助手报销!$R$108&lt;&gt;"","复核：","")</f>
        <v/>
      </c>
      <c r="G1604" s="78" t="str">
        <f aca="false">IF(助手报销!$R$108&lt;&gt;"","制单：","")</f>
        <v/>
      </c>
    </row>
    <row r="1605" customFormat="false" ht="3" hidden="false" customHeight="true" outlineLevel="0" collapsed="false"/>
    <row r="1606" customFormat="false" ht="19.5" hidden="false" customHeight="true" outlineLevel="0" collapsed="false">
      <c r="B1606" s="53" t="str">
        <f aca="false">IF(助手报销!$R$109&lt;&gt;"","记  账  凭  证","")</f>
        <v/>
      </c>
      <c r="C1606" s="53"/>
      <c r="D1606" s="53"/>
      <c r="E1606" s="53"/>
      <c r="F1606" s="53"/>
      <c r="G1606" s="53"/>
      <c r="H1606" s="53"/>
      <c r="I1606" s="53"/>
    </row>
    <row r="1607" customFormat="false" ht="3" hidden="false" customHeight="true" outlineLevel="0" collapsed="false"/>
    <row r="1608" customFormat="false" ht="15" hidden="false" customHeight="true" outlineLevel="0" collapsed="false">
      <c r="C1608" s="56" t="str">
        <f aca="false">IF(助手报销!$R$109&lt;&gt;"",INDEX(助手报销!$B$2:$B$121,助手报销!$R$109),"")</f>
        <v/>
      </c>
      <c r="D1608" s="57" t="str">
        <f aca="false">IF(助手报销!$R$109&lt;&gt;"",INDEX(助手报销!$D$2:$D$121,助手报销!$R$109),"")</f>
        <v/>
      </c>
      <c r="E1608" s="57"/>
      <c r="F1608" s="58" t="str">
        <f aca="false">IF(助手报销!$R$109&lt;&gt;"",INDEX(助手报销!$C$2:$C$121,助手报销!$R$109)&amp;"  字第 "&amp;IF(参数!$B$9="是",INDEX(助手报销!$P$2:$P$121,助手报销!$R$109),"　　　　")&amp;" 号"&amp;IF(INDEX(助手报销!$L$2:$L$121,助手报销!$R$109)&gt;1,"  (共"&amp;INDEX(助手报销!$L$2:$L$121,助手报销!$R$109)&amp;"页 第"&amp;助手报销!$S$109&amp;"页)",""),"")</f>
        <v/>
      </c>
      <c r="G1608" s="58"/>
      <c r="H1608" s="58"/>
      <c r="I1608" s="58"/>
      <c r="M1608" s="79" t="str">
        <f aca="false">IF(助手报销!$R$109="","",助手报销!$Q$109)</f>
        <v/>
      </c>
      <c r="N1608" s="80" t="str">
        <f aca="false">IF(助手报销!$R$109="","",INDEX(助手报销!$P$2:$P$121,助手报销!$R$109))</f>
        <v/>
      </c>
      <c r="O1608" s="55" t="str">
        <f aca="false">IF(助手报销!$R$109="","",INDEX(助手报销!$C$2:$C$121,助手报销!$R$109)&amp;"  字第 "&amp;INDEX(助手报销!$P$2:$P$121,助手报销!$R$109)&amp;" 号"&amp;IF(INDEX(助手报销!$L$2:$L$121,助手报销!$R$109)&gt;1,"  (共"&amp;INDEX(助手报销!$L$2:$L$121,助手报销!$R$109)&amp;"页 第"&amp;助手报销!$S$109&amp;"页)",""))</f>
        <v/>
      </c>
    </row>
    <row r="1609" customFormat="false" ht="12.75" hidden="false" customHeight="true" outlineLevel="0" collapsed="false">
      <c r="B1609" s="61" t="str">
        <f aca="false">IF(助手报销!$R$109&lt;&gt;"","摘　　要","")</f>
        <v/>
      </c>
      <c r="C1609" s="61"/>
      <c r="D1609" s="62" t="str">
        <f aca="false">IF(助手报销!$R$109&lt;&gt;"","科　　　　目","")</f>
        <v/>
      </c>
      <c r="E1609" s="62"/>
      <c r="F1609" s="61" t="str">
        <f aca="false">IF(助手报销!$R$109&lt;&gt;"","借 方 金 额","")</f>
        <v/>
      </c>
      <c r="G1609" s="62" t="str">
        <f aca="false">IF(助手报销!$R$109&lt;&gt;"","贷 方 金 额","")</f>
        <v/>
      </c>
      <c r="H1609" s="63" t="str">
        <f aca="false">IF(助手报销!$R$109&lt;&gt;"","√","")</f>
        <v/>
      </c>
      <c r="I1609" s="64" t="str">
        <f aca="false">IF(助手报销!$R$109&lt;&gt;"","附单据  张","")</f>
        <v/>
      </c>
    </row>
    <row r="1610" customFormat="false" ht="12.75" hidden="false" customHeight="true" outlineLevel="0" collapsed="false">
      <c r="B1610" s="61"/>
      <c r="C1610" s="61"/>
      <c r="D1610" s="23" t="str">
        <f aca="false">IF(助手报销!$R$109&lt;&gt;"","总 账 科 目","")</f>
        <v/>
      </c>
      <c r="E1610" s="23" t="str">
        <f aca="false">IF(助手报销!$R$109&lt;&gt;"","明 细 科 目","")</f>
        <v/>
      </c>
      <c r="F1610" s="65"/>
      <c r="G1610" s="66"/>
      <c r="H1610" s="63"/>
      <c r="I1610" s="64"/>
    </row>
    <row r="1611" customFormat="false" ht="23.25" hidden="false" customHeight="true" outlineLevel="0" collapsed="false">
      <c r="B1611" s="67" t="str">
        <f aca="false">IFERROR(INDEX(分录报销!$M:$M,MATCH($L1611,分录报销!$L:$L,0)),"")</f>
        <v/>
      </c>
      <c r="C1611" s="67"/>
      <c r="D1611" s="23" t="str">
        <f aca="false">IFERROR(INDEX(分录报销!$E:$E,MATCH($L1611,分录报销!$L:$L,0)),"")</f>
        <v/>
      </c>
      <c r="E1611" s="23" t="str">
        <f aca="false">IFERROR(INDEX(分录报销!$F:$F,MATCH($L1611,分录报销!$L:$L,0)),"")</f>
        <v/>
      </c>
      <c r="F1611" s="68" t="str">
        <f aca="false">IFERROR(INDEX(分录报销!$H:$H,MATCH($L1611,分录报销!$L:$L,0)),"")</f>
        <v/>
      </c>
      <c r="G1611" s="69" t="str">
        <f aca="false">IFERROR(INDEX(分录报销!$I:$I,MATCH($L1611,分录报销!$L:$L,0)),"")</f>
        <v/>
      </c>
      <c r="H1611" s="23"/>
      <c r="I1611" s="70"/>
      <c r="L1611" s="71" t="n">
        <f aca="false">IF(助手报销!$R$109="",-1,助手报销!$R$109*100+(助手报销!$S$109-1)*6+1)</f>
        <v>-1</v>
      </c>
    </row>
    <row r="1612" customFormat="false" ht="23.25" hidden="false" customHeight="true" outlineLevel="0" collapsed="false">
      <c r="B1612" s="67" t="str">
        <f aca="false">IFERROR(INDEX(分录报销!$M:$M,MATCH($L1612,分录报销!$L:$L,0)),"")</f>
        <v/>
      </c>
      <c r="C1612" s="67"/>
      <c r="D1612" s="23" t="str">
        <f aca="false">IFERROR(INDEX(分录报销!$E:$E,MATCH($L1612,分录报销!$L:$L,0)),"")</f>
        <v/>
      </c>
      <c r="E1612" s="23" t="str">
        <f aca="false">IFERROR(INDEX(分录报销!$F:$F,MATCH($L1612,分录报销!$L:$L,0)),"")</f>
        <v/>
      </c>
      <c r="F1612" s="68" t="str">
        <f aca="false">IFERROR(INDEX(分录报销!$H:$H,MATCH($L1612,分录报销!$L:$L,0)),"")</f>
        <v/>
      </c>
      <c r="G1612" s="69" t="str">
        <f aca="false">IFERROR(INDEX(分录报销!$I:$I,MATCH($L1612,分录报销!$L:$L,0)),"")</f>
        <v/>
      </c>
      <c r="H1612" s="23"/>
      <c r="I1612" s="70"/>
      <c r="L1612" s="71" t="n">
        <f aca="false">IF(助手报销!$R$109="",-1,助手报销!$R$109*100+(助手报销!$S$109-1)*6+2)</f>
        <v>-1</v>
      </c>
    </row>
    <row r="1613" customFormat="false" ht="23.25" hidden="false" customHeight="true" outlineLevel="0" collapsed="false">
      <c r="B1613" s="67" t="str">
        <f aca="false">IFERROR(INDEX(分录报销!$M:$M,MATCH($L1613,分录报销!$L:$L,0)),"")</f>
        <v/>
      </c>
      <c r="C1613" s="67"/>
      <c r="D1613" s="23" t="str">
        <f aca="false">IFERROR(INDEX(分录报销!$E:$E,MATCH($L1613,分录报销!$L:$L,0)),"")</f>
        <v/>
      </c>
      <c r="E1613" s="23" t="str">
        <f aca="false">IFERROR(INDEX(分录报销!$F:$F,MATCH($L1613,分录报销!$L:$L,0)),"")</f>
        <v/>
      </c>
      <c r="F1613" s="68" t="str">
        <f aca="false">IFERROR(INDEX(分录报销!$H:$H,MATCH($L1613,分录报销!$L:$L,0)),"")</f>
        <v/>
      </c>
      <c r="G1613" s="69" t="str">
        <f aca="false">IFERROR(INDEX(分录报销!$I:$I,MATCH($L1613,分录报销!$L:$L,0)),"")</f>
        <v/>
      </c>
      <c r="H1613" s="23"/>
      <c r="I1613" s="70"/>
      <c r="L1613" s="71" t="n">
        <f aca="false">IF(助手报销!$R$109="",-1,助手报销!$R$109*100+(助手报销!$S$109-1)*6+3)</f>
        <v>-1</v>
      </c>
    </row>
    <row r="1614" customFormat="false" ht="23.25" hidden="false" customHeight="true" outlineLevel="0" collapsed="false">
      <c r="B1614" s="67" t="str">
        <f aca="false">IFERROR(INDEX(分录报销!$M:$M,MATCH($L1614,分录报销!$L:$L,0)),"")</f>
        <v/>
      </c>
      <c r="C1614" s="67"/>
      <c r="D1614" s="23" t="str">
        <f aca="false">IFERROR(INDEX(分录报销!$E:$E,MATCH($L1614,分录报销!$L:$L,0)),"")</f>
        <v/>
      </c>
      <c r="E1614" s="23" t="str">
        <f aca="false">IFERROR(INDEX(分录报销!$F:$F,MATCH($L1614,分录报销!$L:$L,0)),"")</f>
        <v/>
      </c>
      <c r="F1614" s="68" t="str">
        <f aca="false">IFERROR(INDEX(分录报销!$H:$H,MATCH($L1614,分录报销!$L:$L,0)),"")</f>
        <v/>
      </c>
      <c r="G1614" s="69" t="str">
        <f aca="false">IFERROR(INDEX(分录报销!$I:$I,MATCH($L1614,分录报销!$L:$L,0)),"")</f>
        <v/>
      </c>
      <c r="H1614" s="23"/>
      <c r="I1614" s="70"/>
      <c r="L1614" s="71" t="n">
        <f aca="false">IF(助手报销!$R$109="",-1,助手报销!$R$109*100+(助手报销!$S$109-1)*6+4)</f>
        <v>-1</v>
      </c>
    </row>
    <row r="1615" customFormat="false" ht="23.25" hidden="false" customHeight="true" outlineLevel="0" collapsed="false">
      <c r="B1615" s="67" t="str">
        <f aca="false">IFERROR(INDEX(分录报销!$M:$M,MATCH($L1615,分录报销!$L:$L,0)),"")</f>
        <v/>
      </c>
      <c r="C1615" s="67"/>
      <c r="D1615" s="23" t="str">
        <f aca="false">IFERROR(INDEX(分录报销!$E:$E,MATCH($L1615,分录报销!$L:$L,0)),"")</f>
        <v/>
      </c>
      <c r="E1615" s="23" t="str">
        <f aca="false">IFERROR(INDEX(分录报销!$F:$F,MATCH($L1615,分录报销!$L:$L,0)),"")</f>
        <v/>
      </c>
      <c r="F1615" s="68" t="str">
        <f aca="false">IFERROR(INDEX(分录报销!$H:$H,MATCH($L1615,分录报销!$L:$L,0)),"")</f>
        <v/>
      </c>
      <c r="G1615" s="69" t="str">
        <f aca="false">IFERROR(INDEX(分录报销!$I:$I,MATCH($L1615,分录报销!$L:$L,0)),"")</f>
        <v/>
      </c>
      <c r="H1615" s="23"/>
      <c r="I1615" s="70"/>
      <c r="L1615" s="71" t="n">
        <f aca="false">IF(助手报销!$R$109="",-1,助手报销!$R$109*100+(助手报销!$S$109-1)*6+5)</f>
        <v>-1</v>
      </c>
    </row>
    <row r="1616" customFormat="false" ht="23.25" hidden="false" customHeight="true" outlineLevel="0" collapsed="false">
      <c r="B1616" s="67" t="str">
        <f aca="false">IFERROR(INDEX(分录报销!$M:$M,MATCH($L1616,分录报销!$L:$L,0)),"")</f>
        <v/>
      </c>
      <c r="C1616" s="67"/>
      <c r="D1616" s="23" t="str">
        <f aca="false">IFERROR(INDEX(分录报销!$E:$E,MATCH($L1616,分录报销!$L:$L,0)),"")</f>
        <v/>
      </c>
      <c r="E1616" s="23" t="str">
        <f aca="false">IFERROR(INDEX(分录报销!$F:$F,MATCH($L1616,分录报销!$L:$L,0)),"")</f>
        <v/>
      </c>
      <c r="F1616" s="68" t="str">
        <f aca="false">IFERROR(INDEX(分录报销!$H:$H,MATCH($L1616,分录报销!$L:$L,0)),"")</f>
        <v/>
      </c>
      <c r="G1616" s="69" t="str">
        <f aca="false">IFERROR(INDEX(分录报销!$I:$I,MATCH($L1616,分录报销!$L:$L,0)),"")</f>
        <v/>
      </c>
      <c r="H1616" s="23"/>
      <c r="I1616" s="70"/>
      <c r="L1616" s="71" t="n">
        <f aca="false">IF(助手报销!$R$109="",-1,助手报销!$R$109*100+(助手报销!$S$109-1)*6+6)</f>
        <v>-1</v>
      </c>
    </row>
    <row r="1617" customFormat="false" ht="23.25" hidden="false" customHeight="true" outlineLevel="0" collapsed="false">
      <c r="B1617" s="72" t="str">
        <f aca="false">IF(助手报销!$T$109=1,"合计：","")</f>
        <v/>
      </c>
      <c r="C1617" s="73" t="str">
        <f aca="false">IF(助手报销!$T$109=1,$F1617,"")</f>
        <v/>
      </c>
      <c r="D1617" s="74"/>
      <c r="E1617" s="74"/>
      <c r="F1617" s="75" t="str">
        <f aca="false">IF(助手报销!$T$109=1,INDEX(助手报销!$N$2:$N$121,助手报销!$R$109),"")</f>
        <v/>
      </c>
      <c r="G1617" s="76" t="str">
        <f aca="false">IF(助手报销!$T$109=1,INDEX(助手报销!$O$2:$O$121,助手报销!$R$109),"")</f>
        <v/>
      </c>
      <c r="H1617" s="74"/>
      <c r="I1617" s="77"/>
    </row>
    <row r="1618" customFormat="false" ht="6" hidden="false" customHeight="true" outlineLevel="0" collapsed="false"/>
    <row r="1619" customFormat="false" ht="13.5" hidden="false" customHeight="false" outlineLevel="0" collapsed="false">
      <c r="B1619" s="78" t="str">
        <f aca="false">IF(助手报销!$R$109&lt;&gt;"","会计主管：","")</f>
        <v/>
      </c>
      <c r="D1619" s="78" t="str">
        <f aca="false">IF(助手报销!$R$109&lt;&gt;"","会计：","")</f>
        <v/>
      </c>
      <c r="E1619" s="78" t="str">
        <f aca="false">IF(助手报销!$R$109&lt;&gt;"","出纳：","")</f>
        <v/>
      </c>
      <c r="F1619" s="78" t="str">
        <f aca="false">IF(助手报销!$R$109&lt;&gt;"","复核：","")</f>
        <v/>
      </c>
      <c r="G1619" s="78" t="str">
        <f aca="false">IF(助手报销!$R$109&lt;&gt;"","制单：","")</f>
        <v/>
      </c>
    </row>
    <row r="1620" customFormat="false" ht="3" hidden="false" customHeight="true" outlineLevel="0" collapsed="false"/>
    <row r="1621" customFormat="false" ht="19.5" hidden="false" customHeight="true" outlineLevel="0" collapsed="false">
      <c r="B1621" s="53" t="str">
        <f aca="false">IF(助手报销!$R$110&lt;&gt;"","记  账  凭  证","")</f>
        <v/>
      </c>
      <c r="C1621" s="53"/>
      <c r="D1621" s="53"/>
      <c r="E1621" s="53"/>
      <c r="F1621" s="53"/>
      <c r="G1621" s="53"/>
      <c r="H1621" s="53"/>
      <c r="I1621" s="53"/>
    </row>
    <row r="1622" customFormat="false" ht="3" hidden="false" customHeight="true" outlineLevel="0" collapsed="false"/>
    <row r="1623" customFormat="false" ht="15" hidden="false" customHeight="true" outlineLevel="0" collapsed="false">
      <c r="C1623" s="56" t="str">
        <f aca="false">IF(助手报销!$R$110&lt;&gt;"",INDEX(助手报销!$B$2:$B$121,助手报销!$R$110),"")</f>
        <v/>
      </c>
      <c r="D1623" s="57" t="str">
        <f aca="false">IF(助手报销!$R$110&lt;&gt;"",INDEX(助手报销!$D$2:$D$121,助手报销!$R$110),"")</f>
        <v/>
      </c>
      <c r="E1623" s="57"/>
      <c r="F1623" s="58" t="str">
        <f aca="false">IF(助手报销!$R$110&lt;&gt;"",INDEX(助手报销!$C$2:$C$121,助手报销!$R$110)&amp;"  字第 "&amp;IF(参数!$B$9="是",INDEX(助手报销!$P$2:$P$121,助手报销!$R$110),"　　　　")&amp;" 号"&amp;IF(INDEX(助手报销!$L$2:$L$121,助手报销!$R$110)&gt;1,"  (共"&amp;INDEX(助手报销!$L$2:$L$121,助手报销!$R$110)&amp;"页 第"&amp;助手报销!$S$110&amp;"页)",""),"")</f>
        <v/>
      </c>
      <c r="G1623" s="58"/>
      <c r="H1623" s="58"/>
      <c r="I1623" s="58"/>
      <c r="M1623" s="79" t="str">
        <f aca="false">IF(助手报销!$R$110="","",助手报销!$Q$110)</f>
        <v/>
      </c>
      <c r="N1623" s="80" t="str">
        <f aca="false">IF(助手报销!$R$110="","",INDEX(助手报销!$P$2:$P$121,助手报销!$R$110))</f>
        <v/>
      </c>
      <c r="O1623" s="55" t="str">
        <f aca="false">IF(助手报销!$R$110="","",INDEX(助手报销!$C$2:$C$121,助手报销!$R$110)&amp;"  字第 "&amp;INDEX(助手报销!$P$2:$P$121,助手报销!$R$110)&amp;" 号"&amp;IF(INDEX(助手报销!$L$2:$L$121,助手报销!$R$110)&gt;1,"  (共"&amp;INDEX(助手报销!$L$2:$L$121,助手报销!$R$110)&amp;"页 第"&amp;助手报销!$S$110&amp;"页)",""))</f>
        <v/>
      </c>
    </row>
    <row r="1624" customFormat="false" ht="12.75" hidden="false" customHeight="true" outlineLevel="0" collapsed="false">
      <c r="B1624" s="61" t="str">
        <f aca="false">IF(助手报销!$R$110&lt;&gt;"","摘　　要","")</f>
        <v/>
      </c>
      <c r="C1624" s="61"/>
      <c r="D1624" s="62" t="str">
        <f aca="false">IF(助手报销!$R$110&lt;&gt;"","科　　　　目","")</f>
        <v/>
      </c>
      <c r="E1624" s="62"/>
      <c r="F1624" s="61" t="str">
        <f aca="false">IF(助手报销!$R$110&lt;&gt;"","借 方 金 额","")</f>
        <v/>
      </c>
      <c r="G1624" s="62" t="str">
        <f aca="false">IF(助手报销!$R$110&lt;&gt;"","贷 方 金 额","")</f>
        <v/>
      </c>
      <c r="H1624" s="63" t="str">
        <f aca="false">IF(助手报销!$R$110&lt;&gt;"","√","")</f>
        <v/>
      </c>
      <c r="I1624" s="64" t="str">
        <f aca="false">IF(助手报销!$R$110&lt;&gt;"","附单据  张","")</f>
        <v/>
      </c>
    </row>
    <row r="1625" customFormat="false" ht="12.75" hidden="false" customHeight="true" outlineLevel="0" collapsed="false">
      <c r="B1625" s="61"/>
      <c r="C1625" s="61"/>
      <c r="D1625" s="23" t="str">
        <f aca="false">IF(助手报销!$R$110&lt;&gt;"","总 账 科 目","")</f>
        <v/>
      </c>
      <c r="E1625" s="23" t="str">
        <f aca="false">IF(助手报销!$R$110&lt;&gt;"","明 细 科 目","")</f>
        <v/>
      </c>
      <c r="F1625" s="65"/>
      <c r="G1625" s="66"/>
      <c r="H1625" s="63"/>
      <c r="I1625" s="64"/>
    </row>
    <row r="1626" customFormat="false" ht="23.25" hidden="false" customHeight="true" outlineLevel="0" collapsed="false">
      <c r="B1626" s="67" t="str">
        <f aca="false">IFERROR(INDEX(分录报销!$M:$M,MATCH($L1626,分录报销!$L:$L,0)),"")</f>
        <v/>
      </c>
      <c r="C1626" s="67"/>
      <c r="D1626" s="23" t="str">
        <f aca="false">IFERROR(INDEX(分录报销!$E:$E,MATCH($L1626,分录报销!$L:$L,0)),"")</f>
        <v/>
      </c>
      <c r="E1626" s="23" t="str">
        <f aca="false">IFERROR(INDEX(分录报销!$F:$F,MATCH($L1626,分录报销!$L:$L,0)),"")</f>
        <v/>
      </c>
      <c r="F1626" s="68" t="str">
        <f aca="false">IFERROR(INDEX(分录报销!$H:$H,MATCH($L1626,分录报销!$L:$L,0)),"")</f>
        <v/>
      </c>
      <c r="G1626" s="69" t="str">
        <f aca="false">IFERROR(INDEX(分录报销!$I:$I,MATCH($L1626,分录报销!$L:$L,0)),"")</f>
        <v/>
      </c>
      <c r="H1626" s="23"/>
      <c r="I1626" s="70"/>
      <c r="L1626" s="71" t="n">
        <f aca="false">IF(助手报销!$R$110="",-1,助手报销!$R$110*100+(助手报销!$S$110-1)*6+1)</f>
        <v>-1</v>
      </c>
    </row>
    <row r="1627" customFormat="false" ht="23.25" hidden="false" customHeight="true" outlineLevel="0" collapsed="false">
      <c r="B1627" s="67" t="str">
        <f aca="false">IFERROR(INDEX(分录报销!$M:$M,MATCH($L1627,分录报销!$L:$L,0)),"")</f>
        <v/>
      </c>
      <c r="C1627" s="67"/>
      <c r="D1627" s="23" t="str">
        <f aca="false">IFERROR(INDEX(分录报销!$E:$E,MATCH($L1627,分录报销!$L:$L,0)),"")</f>
        <v/>
      </c>
      <c r="E1627" s="23" t="str">
        <f aca="false">IFERROR(INDEX(分录报销!$F:$F,MATCH($L1627,分录报销!$L:$L,0)),"")</f>
        <v/>
      </c>
      <c r="F1627" s="68" t="str">
        <f aca="false">IFERROR(INDEX(分录报销!$H:$H,MATCH($L1627,分录报销!$L:$L,0)),"")</f>
        <v/>
      </c>
      <c r="G1627" s="69" t="str">
        <f aca="false">IFERROR(INDEX(分录报销!$I:$I,MATCH($L1627,分录报销!$L:$L,0)),"")</f>
        <v/>
      </c>
      <c r="H1627" s="23"/>
      <c r="I1627" s="70"/>
      <c r="L1627" s="71" t="n">
        <f aca="false">IF(助手报销!$R$110="",-1,助手报销!$R$110*100+(助手报销!$S$110-1)*6+2)</f>
        <v>-1</v>
      </c>
    </row>
    <row r="1628" customFormat="false" ht="23.25" hidden="false" customHeight="true" outlineLevel="0" collapsed="false">
      <c r="B1628" s="67" t="str">
        <f aca="false">IFERROR(INDEX(分录报销!$M:$M,MATCH($L1628,分录报销!$L:$L,0)),"")</f>
        <v/>
      </c>
      <c r="C1628" s="67"/>
      <c r="D1628" s="23" t="str">
        <f aca="false">IFERROR(INDEX(分录报销!$E:$E,MATCH($L1628,分录报销!$L:$L,0)),"")</f>
        <v/>
      </c>
      <c r="E1628" s="23" t="str">
        <f aca="false">IFERROR(INDEX(分录报销!$F:$F,MATCH($L1628,分录报销!$L:$L,0)),"")</f>
        <v/>
      </c>
      <c r="F1628" s="68" t="str">
        <f aca="false">IFERROR(INDEX(分录报销!$H:$H,MATCH($L1628,分录报销!$L:$L,0)),"")</f>
        <v/>
      </c>
      <c r="G1628" s="69" t="str">
        <f aca="false">IFERROR(INDEX(分录报销!$I:$I,MATCH($L1628,分录报销!$L:$L,0)),"")</f>
        <v/>
      </c>
      <c r="H1628" s="23"/>
      <c r="I1628" s="70"/>
      <c r="L1628" s="71" t="n">
        <f aca="false">IF(助手报销!$R$110="",-1,助手报销!$R$110*100+(助手报销!$S$110-1)*6+3)</f>
        <v>-1</v>
      </c>
    </row>
    <row r="1629" customFormat="false" ht="23.25" hidden="false" customHeight="true" outlineLevel="0" collapsed="false">
      <c r="B1629" s="67" t="str">
        <f aca="false">IFERROR(INDEX(分录报销!$M:$M,MATCH($L1629,分录报销!$L:$L,0)),"")</f>
        <v/>
      </c>
      <c r="C1629" s="67"/>
      <c r="D1629" s="23" t="str">
        <f aca="false">IFERROR(INDEX(分录报销!$E:$E,MATCH($L1629,分录报销!$L:$L,0)),"")</f>
        <v/>
      </c>
      <c r="E1629" s="23" t="str">
        <f aca="false">IFERROR(INDEX(分录报销!$F:$F,MATCH($L1629,分录报销!$L:$L,0)),"")</f>
        <v/>
      </c>
      <c r="F1629" s="68" t="str">
        <f aca="false">IFERROR(INDEX(分录报销!$H:$H,MATCH($L1629,分录报销!$L:$L,0)),"")</f>
        <v/>
      </c>
      <c r="G1629" s="69" t="str">
        <f aca="false">IFERROR(INDEX(分录报销!$I:$I,MATCH($L1629,分录报销!$L:$L,0)),"")</f>
        <v/>
      </c>
      <c r="H1629" s="23"/>
      <c r="I1629" s="70"/>
      <c r="L1629" s="71" t="n">
        <f aca="false">IF(助手报销!$R$110="",-1,助手报销!$R$110*100+(助手报销!$S$110-1)*6+4)</f>
        <v>-1</v>
      </c>
    </row>
    <row r="1630" customFormat="false" ht="23.25" hidden="false" customHeight="true" outlineLevel="0" collapsed="false">
      <c r="B1630" s="67" t="str">
        <f aca="false">IFERROR(INDEX(分录报销!$M:$M,MATCH($L1630,分录报销!$L:$L,0)),"")</f>
        <v/>
      </c>
      <c r="C1630" s="67"/>
      <c r="D1630" s="23" t="str">
        <f aca="false">IFERROR(INDEX(分录报销!$E:$E,MATCH($L1630,分录报销!$L:$L,0)),"")</f>
        <v/>
      </c>
      <c r="E1630" s="23" t="str">
        <f aca="false">IFERROR(INDEX(分录报销!$F:$F,MATCH($L1630,分录报销!$L:$L,0)),"")</f>
        <v/>
      </c>
      <c r="F1630" s="68" t="str">
        <f aca="false">IFERROR(INDEX(分录报销!$H:$H,MATCH($L1630,分录报销!$L:$L,0)),"")</f>
        <v/>
      </c>
      <c r="G1630" s="69" t="str">
        <f aca="false">IFERROR(INDEX(分录报销!$I:$I,MATCH($L1630,分录报销!$L:$L,0)),"")</f>
        <v/>
      </c>
      <c r="H1630" s="23"/>
      <c r="I1630" s="70"/>
      <c r="L1630" s="71" t="n">
        <f aca="false">IF(助手报销!$R$110="",-1,助手报销!$R$110*100+(助手报销!$S$110-1)*6+5)</f>
        <v>-1</v>
      </c>
    </row>
    <row r="1631" customFormat="false" ht="23.25" hidden="false" customHeight="true" outlineLevel="0" collapsed="false">
      <c r="B1631" s="67" t="str">
        <f aca="false">IFERROR(INDEX(分录报销!$M:$M,MATCH($L1631,分录报销!$L:$L,0)),"")</f>
        <v/>
      </c>
      <c r="C1631" s="67"/>
      <c r="D1631" s="23" t="str">
        <f aca="false">IFERROR(INDEX(分录报销!$E:$E,MATCH($L1631,分录报销!$L:$L,0)),"")</f>
        <v/>
      </c>
      <c r="E1631" s="23" t="str">
        <f aca="false">IFERROR(INDEX(分录报销!$F:$F,MATCH($L1631,分录报销!$L:$L,0)),"")</f>
        <v/>
      </c>
      <c r="F1631" s="68" t="str">
        <f aca="false">IFERROR(INDEX(分录报销!$H:$H,MATCH($L1631,分录报销!$L:$L,0)),"")</f>
        <v/>
      </c>
      <c r="G1631" s="69" t="str">
        <f aca="false">IFERROR(INDEX(分录报销!$I:$I,MATCH($L1631,分录报销!$L:$L,0)),"")</f>
        <v/>
      </c>
      <c r="H1631" s="23"/>
      <c r="I1631" s="70"/>
      <c r="L1631" s="71" t="n">
        <f aca="false">IF(助手报销!$R$110="",-1,助手报销!$R$110*100+(助手报销!$S$110-1)*6+6)</f>
        <v>-1</v>
      </c>
    </row>
    <row r="1632" customFormat="false" ht="23.25" hidden="false" customHeight="true" outlineLevel="0" collapsed="false">
      <c r="B1632" s="72" t="str">
        <f aca="false">IF(助手报销!$T$110=1,"合计：","")</f>
        <v/>
      </c>
      <c r="C1632" s="73" t="str">
        <f aca="false">IF(助手报销!$T$110=1,$F1632,"")</f>
        <v/>
      </c>
      <c r="D1632" s="74"/>
      <c r="E1632" s="74"/>
      <c r="F1632" s="75" t="str">
        <f aca="false">IF(助手报销!$T$110=1,INDEX(助手报销!$N$2:$N$121,助手报销!$R$110),"")</f>
        <v/>
      </c>
      <c r="G1632" s="76" t="str">
        <f aca="false">IF(助手报销!$T$110=1,INDEX(助手报销!$O$2:$O$121,助手报销!$R$110),"")</f>
        <v/>
      </c>
      <c r="H1632" s="74"/>
      <c r="I1632" s="77"/>
    </row>
    <row r="1633" customFormat="false" ht="6" hidden="false" customHeight="true" outlineLevel="0" collapsed="false"/>
    <row r="1634" customFormat="false" ht="13.5" hidden="false" customHeight="false" outlineLevel="0" collapsed="false">
      <c r="B1634" s="78" t="str">
        <f aca="false">IF(助手报销!$R$110&lt;&gt;"","会计主管：","")</f>
        <v/>
      </c>
      <c r="D1634" s="78" t="str">
        <f aca="false">IF(助手报销!$R$110&lt;&gt;"","会计：","")</f>
        <v/>
      </c>
      <c r="E1634" s="78" t="str">
        <f aca="false">IF(助手报销!$R$110&lt;&gt;"","出纳：","")</f>
        <v/>
      </c>
      <c r="F1634" s="78" t="str">
        <f aca="false">IF(助手报销!$R$110&lt;&gt;"","复核：","")</f>
        <v/>
      </c>
      <c r="G1634" s="78" t="str">
        <f aca="false">IF(助手报销!$R$110&lt;&gt;"","制单：","")</f>
        <v/>
      </c>
    </row>
    <row r="1635" customFormat="false" ht="3" hidden="false" customHeight="true" outlineLevel="0" collapsed="false"/>
    <row r="1636" customFormat="false" ht="19.5" hidden="false" customHeight="true" outlineLevel="0" collapsed="false">
      <c r="B1636" s="53" t="str">
        <f aca="false">IF(助手报销!$R$111&lt;&gt;"","记  账  凭  证","")</f>
        <v/>
      </c>
      <c r="C1636" s="53"/>
      <c r="D1636" s="53"/>
      <c r="E1636" s="53"/>
      <c r="F1636" s="53"/>
      <c r="G1636" s="53"/>
      <c r="H1636" s="53"/>
      <c r="I1636" s="53"/>
    </row>
    <row r="1637" customFormat="false" ht="3" hidden="false" customHeight="true" outlineLevel="0" collapsed="false"/>
    <row r="1638" customFormat="false" ht="15" hidden="false" customHeight="true" outlineLevel="0" collapsed="false">
      <c r="C1638" s="56" t="str">
        <f aca="false">IF(助手报销!$R$111&lt;&gt;"",INDEX(助手报销!$B$2:$B$121,助手报销!$R$111),"")</f>
        <v/>
      </c>
      <c r="D1638" s="57" t="str">
        <f aca="false">IF(助手报销!$R$111&lt;&gt;"",INDEX(助手报销!$D$2:$D$121,助手报销!$R$111),"")</f>
        <v/>
      </c>
      <c r="E1638" s="57"/>
      <c r="F1638" s="58" t="str">
        <f aca="false">IF(助手报销!$R$111&lt;&gt;"",INDEX(助手报销!$C$2:$C$121,助手报销!$R$111)&amp;"  字第 "&amp;IF(参数!$B$9="是",INDEX(助手报销!$P$2:$P$121,助手报销!$R$111),"　　　　")&amp;" 号"&amp;IF(INDEX(助手报销!$L$2:$L$121,助手报销!$R$111)&gt;1,"  (共"&amp;INDEX(助手报销!$L$2:$L$121,助手报销!$R$111)&amp;"页 第"&amp;助手报销!$S$111&amp;"页)",""),"")</f>
        <v/>
      </c>
      <c r="G1638" s="58"/>
      <c r="H1638" s="58"/>
      <c r="I1638" s="58"/>
      <c r="M1638" s="79" t="str">
        <f aca="false">IF(助手报销!$R$111="","",助手报销!$Q$111)</f>
        <v/>
      </c>
      <c r="N1638" s="80" t="str">
        <f aca="false">IF(助手报销!$R$111="","",INDEX(助手报销!$P$2:$P$121,助手报销!$R$111))</f>
        <v/>
      </c>
      <c r="O1638" s="55" t="str">
        <f aca="false">IF(助手报销!$R$111="","",INDEX(助手报销!$C$2:$C$121,助手报销!$R$111)&amp;"  字第 "&amp;INDEX(助手报销!$P$2:$P$121,助手报销!$R$111)&amp;" 号"&amp;IF(INDEX(助手报销!$L$2:$L$121,助手报销!$R$111)&gt;1,"  (共"&amp;INDEX(助手报销!$L$2:$L$121,助手报销!$R$111)&amp;"页 第"&amp;助手报销!$S$111&amp;"页)",""))</f>
        <v/>
      </c>
    </row>
    <row r="1639" customFormat="false" ht="12.75" hidden="false" customHeight="true" outlineLevel="0" collapsed="false">
      <c r="B1639" s="61" t="str">
        <f aca="false">IF(助手报销!$R$111&lt;&gt;"","摘　　要","")</f>
        <v/>
      </c>
      <c r="C1639" s="61"/>
      <c r="D1639" s="62" t="str">
        <f aca="false">IF(助手报销!$R$111&lt;&gt;"","科　　　　目","")</f>
        <v/>
      </c>
      <c r="E1639" s="62"/>
      <c r="F1639" s="61" t="str">
        <f aca="false">IF(助手报销!$R$111&lt;&gt;"","借 方 金 额","")</f>
        <v/>
      </c>
      <c r="G1639" s="62" t="str">
        <f aca="false">IF(助手报销!$R$111&lt;&gt;"","贷 方 金 额","")</f>
        <v/>
      </c>
      <c r="H1639" s="63" t="str">
        <f aca="false">IF(助手报销!$R$111&lt;&gt;"","√","")</f>
        <v/>
      </c>
      <c r="I1639" s="64" t="str">
        <f aca="false">IF(助手报销!$R$111&lt;&gt;"","附单据  张","")</f>
        <v/>
      </c>
    </row>
    <row r="1640" customFormat="false" ht="12.75" hidden="false" customHeight="true" outlineLevel="0" collapsed="false">
      <c r="B1640" s="61"/>
      <c r="C1640" s="61"/>
      <c r="D1640" s="23" t="str">
        <f aca="false">IF(助手报销!$R$111&lt;&gt;"","总 账 科 目","")</f>
        <v/>
      </c>
      <c r="E1640" s="23" t="str">
        <f aca="false">IF(助手报销!$R$111&lt;&gt;"","明 细 科 目","")</f>
        <v/>
      </c>
      <c r="F1640" s="65"/>
      <c r="G1640" s="66"/>
      <c r="H1640" s="63"/>
      <c r="I1640" s="64"/>
    </row>
    <row r="1641" customFormat="false" ht="23.25" hidden="false" customHeight="true" outlineLevel="0" collapsed="false">
      <c r="B1641" s="67" t="str">
        <f aca="false">IFERROR(INDEX(分录报销!$M:$M,MATCH($L1641,分录报销!$L:$L,0)),"")</f>
        <v/>
      </c>
      <c r="C1641" s="67"/>
      <c r="D1641" s="23" t="str">
        <f aca="false">IFERROR(INDEX(分录报销!$E:$E,MATCH($L1641,分录报销!$L:$L,0)),"")</f>
        <v/>
      </c>
      <c r="E1641" s="23" t="str">
        <f aca="false">IFERROR(INDEX(分录报销!$F:$F,MATCH($L1641,分录报销!$L:$L,0)),"")</f>
        <v/>
      </c>
      <c r="F1641" s="68" t="str">
        <f aca="false">IFERROR(INDEX(分录报销!$H:$H,MATCH($L1641,分录报销!$L:$L,0)),"")</f>
        <v/>
      </c>
      <c r="G1641" s="69" t="str">
        <f aca="false">IFERROR(INDEX(分录报销!$I:$I,MATCH($L1641,分录报销!$L:$L,0)),"")</f>
        <v/>
      </c>
      <c r="H1641" s="23"/>
      <c r="I1641" s="70"/>
      <c r="L1641" s="71" t="n">
        <f aca="false">IF(助手报销!$R$111="",-1,助手报销!$R$111*100+(助手报销!$S$111-1)*6+1)</f>
        <v>-1</v>
      </c>
    </row>
    <row r="1642" customFormat="false" ht="23.25" hidden="false" customHeight="true" outlineLevel="0" collapsed="false">
      <c r="B1642" s="67" t="str">
        <f aca="false">IFERROR(INDEX(分录报销!$M:$M,MATCH($L1642,分录报销!$L:$L,0)),"")</f>
        <v/>
      </c>
      <c r="C1642" s="67"/>
      <c r="D1642" s="23" t="str">
        <f aca="false">IFERROR(INDEX(分录报销!$E:$E,MATCH($L1642,分录报销!$L:$L,0)),"")</f>
        <v/>
      </c>
      <c r="E1642" s="23" t="str">
        <f aca="false">IFERROR(INDEX(分录报销!$F:$F,MATCH($L1642,分录报销!$L:$L,0)),"")</f>
        <v/>
      </c>
      <c r="F1642" s="68" t="str">
        <f aca="false">IFERROR(INDEX(分录报销!$H:$H,MATCH($L1642,分录报销!$L:$L,0)),"")</f>
        <v/>
      </c>
      <c r="G1642" s="69" t="str">
        <f aca="false">IFERROR(INDEX(分录报销!$I:$I,MATCH($L1642,分录报销!$L:$L,0)),"")</f>
        <v/>
      </c>
      <c r="H1642" s="23"/>
      <c r="I1642" s="70"/>
      <c r="L1642" s="71" t="n">
        <f aca="false">IF(助手报销!$R$111="",-1,助手报销!$R$111*100+(助手报销!$S$111-1)*6+2)</f>
        <v>-1</v>
      </c>
    </row>
    <row r="1643" customFormat="false" ht="23.25" hidden="false" customHeight="true" outlineLevel="0" collapsed="false">
      <c r="B1643" s="67" t="str">
        <f aca="false">IFERROR(INDEX(分录报销!$M:$M,MATCH($L1643,分录报销!$L:$L,0)),"")</f>
        <v/>
      </c>
      <c r="C1643" s="67"/>
      <c r="D1643" s="23" t="str">
        <f aca="false">IFERROR(INDEX(分录报销!$E:$E,MATCH($L1643,分录报销!$L:$L,0)),"")</f>
        <v/>
      </c>
      <c r="E1643" s="23" t="str">
        <f aca="false">IFERROR(INDEX(分录报销!$F:$F,MATCH($L1643,分录报销!$L:$L,0)),"")</f>
        <v/>
      </c>
      <c r="F1643" s="68" t="str">
        <f aca="false">IFERROR(INDEX(分录报销!$H:$H,MATCH($L1643,分录报销!$L:$L,0)),"")</f>
        <v/>
      </c>
      <c r="G1643" s="69" t="str">
        <f aca="false">IFERROR(INDEX(分录报销!$I:$I,MATCH($L1643,分录报销!$L:$L,0)),"")</f>
        <v/>
      </c>
      <c r="H1643" s="23"/>
      <c r="I1643" s="70"/>
      <c r="L1643" s="71" t="n">
        <f aca="false">IF(助手报销!$R$111="",-1,助手报销!$R$111*100+(助手报销!$S$111-1)*6+3)</f>
        <v>-1</v>
      </c>
    </row>
    <row r="1644" customFormat="false" ht="23.25" hidden="false" customHeight="true" outlineLevel="0" collapsed="false">
      <c r="B1644" s="67" t="str">
        <f aca="false">IFERROR(INDEX(分录报销!$M:$M,MATCH($L1644,分录报销!$L:$L,0)),"")</f>
        <v/>
      </c>
      <c r="C1644" s="67"/>
      <c r="D1644" s="23" t="str">
        <f aca="false">IFERROR(INDEX(分录报销!$E:$E,MATCH($L1644,分录报销!$L:$L,0)),"")</f>
        <v/>
      </c>
      <c r="E1644" s="23" t="str">
        <f aca="false">IFERROR(INDEX(分录报销!$F:$F,MATCH($L1644,分录报销!$L:$L,0)),"")</f>
        <v/>
      </c>
      <c r="F1644" s="68" t="str">
        <f aca="false">IFERROR(INDEX(分录报销!$H:$H,MATCH($L1644,分录报销!$L:$L,0)),"")</f>
        <v/>
      </c>
      <c r="G1644" s="69" t="str">
        <f aca="false">IFERROR(INDEX(分录报销!$I:$I,MATCH($L1644,分录报销!$L:$L,0)),"")</f>
        <v/>
      </c>
      <c r="H1644" s="23"/>
      <c r="I1644" s="70"/>
      <c r="L1644" s="71" t="n">
        <f aca="false">IF(助手报销!$R$111="",-1,助手报销!$R$111*100+(助手报销!$S$111-1)*6+4)</f>
        <v>-1</v>
      </c>
    </row>
    <row r="1645" customFormat="false" ht="23.25" hidden="false" customHeight="true" outlineLevel="0" collapsed="false">
      <c r="B1645" s="67" t="str">
        <f aca="false">IFERROR(INDEX(分录报销!$M:$M,MATCH($L1645,分录报销!$L:$L,0)),"")</f>
        <v/>
      </c>
      <c r="C1645" s="67"/>
      <c r="D1645" s="23" t="str">
        <f aca="false">IFERROR(INDEX(分录报销!$E:$E,MATCH($L1645,分录报销!$L:$L,0)),"")</f>
        <v/>
      </c>
      <c r="E1645" s="23" t="str">
        <f aca="false">IFERROR(INDEX(分录报销!$F:$F,MATCH($L1645,分录报销!$L:$L,0)),"")</f>
        <v/>
      </c>
      <c r="F1645" s="68" t="str">
        <f aca="false">IFERROR(INDEX(分录报销!$H:$H,MATCH($L1645,分录报销!$L:$L,0)),"")</f>
        <v/>
      </c>
      <c r="G1645" s="69" t="str">
        <f aca="false">IFERROR(INDEX(分录报销!$I:$I,MATCH($L1645,分录报销!$L:$L,0)),"")</f>
        <v/>
      </c>
      <c r="H1645" s="23"/>
      <c r="I1645" s="70"/>
      <c r="L1645" s="71" t="n">
        <f aca="false">IF(助手报销!$R$111="",-1,助手报销!$R$111*100+(助手报销!$S$111-1)*6+5)</f>
        <v>-1</v>
      </c>
    </row>
    <row r="1646" customFormat="false" ht="23.25" hidden="false" customHeight="true" outlineLevel="0" collapsed="false">
      <c r="B1646" s="67" t="str">
        <f aca="false">IFERROR(INDEX(分录报销!$M:$M,MATCH($L1646,分录报销!$L:$L,0)),"")</f>
        <v/>
      </c>
      <c r="C1646" s="67"/>
      <c r="D1646" s="23" t="str">
        <f aca="false">IFERROR(INDEX(分录报销!$E:$E,MATCH($L1646,分录报销!$L:$L,0)),"")</f>
        <v/>
      </c>
      <c r="E1646" s="23" t="str">
        <f aca="false">IFERROR(INDEX(分录报销!$F:$F,MATCH($L1646,分录报销!$L:$L,0)),"")</f>
        <v/>
      </c>
      <c r="F1646" s="68" t="str">
        <f aca="false">IFERROR(INDEX(分录报销!$H:$H,MATCH($L1646,分录报销!$L:$L,0)),"")</f>
        <v/>
      </c>
      <c r="G1646" s="69" t="str">
        <f aca="false">IFERROR(INDEX(分录报销!$I:$I,MATCH($L1646,分录报销!$L:$L,0)),"")</f>
        <v/>
      </c>
      <c r="H1646" s="23"/>
      <c r="I1646" s="70"/>
      <c r="L1646" s="71" t="n">
        <f aca="false">IF(助手报销!$R$111="",-1,助手报销!$R$111*100+(助手报销!$S$111-1)*6+6)</f>
        <v>-1</v>
      </c>
    </row>
    <row r="1647" customFormat="false" ht="23.25" hidden="false" customHeight="true" outlineLevel="0" collapsed="false">
      <c r="B1647" s="72" t="str">
        <f aca="false">IF(助手报销!$T$111=1,"合计：","")</f>
        <v/>
      </c>
      <c r="C1647" s="73" t="str">
        <f aca="false">IF(助手报销!$T$111=1,$F1647,"")</f>
        <v/>
      </c>
      <c r="D1647" s="74"/>
      <c r="E1647" s="74"/>
      <c r="F1647" s="75" t="str">
        <f aca="false">IF(助手报销!$T$111=1,INDEX(助手报销!$N$2:$N$121,助手报销!$R$111),"")</f>
        <v/>
      </c>
      <c r="G1647" s="76" t="str">
        <f aca="false">IF(助手报销!$T$111=1,INDEX(助手报销!$O$2:$O$121,助手报销!$R$111),"")</f>
        <v/>
      </c>
      <c r="H1647" s="74"/>
      <c r="I1647" s="77"/>
    </row>
    <row r="1648" customFormat="false" ht="6" hidden="false" customHeight="true" outlineLevel="0" collapsed="false"/>
    <row r="1649" customFormat="false" ht="13.5" hidden="false" customHeight="false" outlineLevel="0" collapsed="false">
      <c r="B1649" s="78" t="str">
        <f aca="false">IF(助手报销!$R$111&lt;&gt;"","会计主管：","")</f>
        <v/>
      </c>
      <c r="D1649" s="78" t="str">
        <f aca="false">IF(助手报销!$R$111&lt;&gt;"","会计：","")</f>
        <v/>
      </c>
      <c r="E1649" s="78" t="str">
        <f aca="false">IF(助手报销!$R$111&lt;&gt;"","出纳：","")</f>
        <v/>
      </c>
      <c r="F1649" s="78" t="str">
        <f aca="false">IF(助手报销!$R$111&lt;&gt;"","复核：","")</f>
        <v/>
      </c>
      <c r="G1649" s="78" t="str">
        <f aca="false">IF(助手报销!$R$111&lt;&gt;"","制单：","")</f>
        <v/>
      </c>
    </row>
    <row r="1650" customFormat="false" ht="3" hidden="false" customHeight="true" outlineLevel="0" collapsed="false"/>
    <row r="1651" customFormat="false" ht="19.5" hidden="false" customHeight="true" outlineLevel="0" collapsed="false">
      <c r="B1651" s="53" t="str">
        <f aca="false">IF(助手报销!$R$112&lt;&gt;"","记  账  凭  证","")</f>
        <v/>
      </c>
      <c r="C1651" s="53"/>
      <c r="D1651" s="53"/>
      <c r="E1651" s="53"/>
      <c r="F1651" s="53"/>
      <c r="G1651" s="53"/>
      <c r="H1651" s="53"/>
      <c r="I1651" s="53"/>
    </row>
    <row r="1652" customFormat="false" ht="3" hidden="false" customHeight="true" outlineLevel="0" collapsed="false"/>
    <row r="1653" customFormat="false" ht="15" hidden="false" customHeight="true" outlineLevel="0" collapsed="false">
      <c r="C1653" s="56" t="str">
        <f aca="false">IF(助手报销!$R$112&lt;&gt;"",INDEX(助手报销!$B$2:$B$121,助手报销!$R$112),"")</f>
        <v/>
      </c>
      <c r="D1653" s="57" t="str">
        <f aca="false">IF(助手报销!$R$112&lt;&gt;"",INDEX(助手报销!$D$2:$D$121,助手报销!$R$112),"")</f>
        <v/>
      </c>
      <c r="E1653" s="57"/>
      <c r="F1653" s="58" t="str">
        <f aca="false">IF(助手报销!$R$112&lt;&gt;"",INDEX(助手报销!$C$2:$C$121,助手报销!$R$112)&amp;"  字第 "&amp;IF(参数!$B$9="是",INDEX(助手报销!$P$2:$P$121,助手报销!$R$112),"　　　　")&amp;" 号"&amp;IF(INDEX(助手报销!$L$2:$L$121,助手报销!$R$112)&gt;1,"  (共"&amp;INDEX(助手报销!$L$2:$L$121,助手报销!$R$112)&amp;"页 第"&amp;助手报销!$S$112&amp;"页)",""),"")</f>
        <v/>
      </c>
      <c r="G1653" s="58"/>
      <c r="H1653" s="58"/>
      <c r="I1653" s="58"/>
      <c r="M1653" s="79" t="str">
        <f aca="false">IF(助手报销!$R$112="","",助手报销!$Q$112)</f>
        <v/>
      </c>
      <c r="N1653" s="80" t="str">
        <f aca="false">IF(助手报销!$R$112="","",INDEX(助手报销!$P$2:$P$121,助手报销!$R$112))</f>
        <v/>
      </c>
      <c r="O1653" s="55" t="str">
        <f aca="false">IF(助手报销!$R$112="","",INDEX(助手报销!$C$2:$C$121,助手报销!$R$112)&amp;"  字第 "&amp;INDEX(助手报销!$P$2:$P$121,助手报销!$R$112)&amp;" 号"&amp;IF(INDEX(助手报销!$L$2:$L$121,助手报销!$R$112)&gt;1,"  (共"&amp;INDEX(助手报销!$L$2:$L$121,助手报销!$R$112)&amp;"页 第"&amp;助手报销!$S$112&amp;"页)",""))</f>
        <v/>
      </c>
    </row>
    <row r="1654" customFormat="false" ht="12.75" hidden="false" customHeight="true" outlineLevel="0" collapsed="false">
      <c r="B1654" s="61" t="str">
        <f aca="false">IF(助手报销!$R$112&lt;&gt;"","摘　　要","")</f>
        <v/>
      </c>
      <c r="C1654" s="61"/>
      <c r="D1654" s="62" t="str">
        <f aca="false">IF(助手报销!$R$112&lt;&gt;"","科　　　　目","")</f>
        <v/>
      </c>
      <c r="E1654" s="62"/>
      <c r="F1654" s="61" t="str">
        <f aca="false">IF(助手报销!$R$112&lt;&gt;"","借 方 金 额","")</f>
        <v/>
      </c>
      <c r="G1654" s="62" t="str">
        <f aca="false">IF(助手报销!$R$112&lt;&gt;"","贷 方 金 额","")</f>
        <v/>
      </c>
      <c r="H1654" s="63" t="str">
        <f aca="false">IF(助手报销!$R$112&lt;&gt;"","√","")</f>
        <v/>
      </c>
      <c r="I1654" s="64" t="str">
        <f aca="false">IF(助手报销!$R$112&lt;&gt;"","附单据  张","")</f>
        <v/>
      </c>
    </row>
    <row r="1655" customFormat="false" ht="12.75" hidden="false" customHeight="true" outlineLevel="0" collapsed="false">
      <c r="B1655" s="61"/>
      <c r="C1655" s="61"/>
      <c r="D1655" s="23" t="str">
        <f aca="false">IF(助手报销!$R$112&lt;&gt;"","总 账 科 目","")</f>
        <v/>
      </c>
      <c r="E1655" s="23" t="str">
        <f aca="false">IF(助手报销!$R$112&lt;&gt;"","明 细 科 目","")</f>
        <v/>
      </c>
      <c r="F1655" s="65"/>
      <c r="G1655" s="66"/>
      <c r="H1655" s="63"/>
      <c r="I1655" s="64"/>
    </row>
    <row r="1656" customFormat="false" ht="23.25" hidden="false" customHeight="true" outlineLevel="0" collapsed="false">
      <c r="B1656" s="67" t="str">
        <f aca="false">IFERROR(INDEX(分录报销!$M:$M,MATCH($L1656,分录报销!$L:$L,0)),"")</f>
        <v/>
      </c>
      <c r="C1656" s="67"/>
      <c r="D1656" s="23" t="str">
        <f aca="false">IFERROR(INDEX(分录报销!$E:$E,MATCH($L1656,分录报销!$L:$L,0)),"")</f>
        <v/>
      </c>
      <c r="E1656" s="23" t="str">
        <f aca="false">IFERROR(INDEX(分录报销!$F:$F,MATCH($L1656,分录报销!$L:$L,0)),"")</f>
        <v/>
      </c>
      <c r="F1656" s="68" t="str">
        <f aca="false">IFERROR(INDEX(分录报销!$H:$H,MATCH($L1656,分录报销!$L:$L,0)),"")</f>
        <v/>
      </c>
      <c r="G1656" s="69" t="str">
        <f aca="false">IFERROR(INDEX(分录报销!$I:$I,MATCH($L1656,分录报销!$L:$L,0)),"")</f>
        <v/>
      </c>
      <c r="H1656" s="23"/>
      <c r="I1656" s="70"/>
      <c r="L1656" s="71" t="n">
        <f aca="false">IF(助手报销!$R$112="",-1,助手报销!$R$112*100+(助手报销!$S$112-1)*6+1)</f>
        <v>-1</v>
      </c>
    </row>
    <row r="1657" customFormat="false" ht="23.25" hidden="false" customHeight="true" outlineLevel="0" collapsed="false">
      <c r="B1657" s="67" t="str">
        <f aca="false">IFERROR(INDEX(分录报销!$M:$M,MATCH($L1657,分录报销!$L:$L,0)),"")</f>
        <v/>
      </c>
      <c r="C1657" s="67"/>
      <c r="D1657" s="23" t="str">
        <f aca="false">IFERROR(INDEX(分录报销!$E:$E,MATCH($L1657,分录报销!$L:$L,0)),"")</f>
        <v/>
      </c>
      <c r="E1657" s="23" t="str">
        <f aca="false">IFERROR(INDEX(分录报销!$F:$F,MATCH($L1657,分录报销!$L:$L,0)),"")</f>
        <v/>
      </c>
      <c r="F1657" s="68" t="str">
        <f aca="false">IFERROR(INDEX(分录报销!$H:$H,MATCH($L1657,分录报销!$L:$L,0)),"")</f>
        <v/>
      </c>
      <c r="G1657" s="69" t="str">
        <f aca="false">IFERROR(INDEX(分录报销!$I:$I,MATCH($L1657,分录报销!$L:$L,0)),"")</f>
        <v/>
      </c>
      <c r="H1657" s="23"/>
      <c r="I1657" s="70"/>
      <c r="L1657" s="71" t="n">
        <f aca="false">IF(助手报销!$R$112="",-1,助手报销!$R$112*100+(助手报销!$S$112-1)*6+2)</f>
        <v>-1</v>
      </c>
    </row>
    <row r="1658" customFormat="false" ht="23.25" hidden="false" customHeight="true" outlineLevel="0" collapsed="false">
      <c r="B1658" s="67" t="str">
        <f aca="false">IFERROR(INDEX(分录报销!$M:$M,MATCH($L1658,分录报销!$L:$L,0)),"")</f>
        <v/>
      </c>
      <c r="C1658" s="67"/>
      <c r="D1658" s="23" t="str">
        <f aca="false">IFERROR(INDEX(分录报销!$E:$E,MATCH($L1658,分录报销!$L:$L,0)),"")</f>
        <v/>
      </c>
      <c r="E1658" s="23" t="str">
        <f aca="false">IFERROR(INDEX(分录报销!$F:$F,MATCH($L1658,分录报销!$L:$L,0)),"")</f>
        <v/>
      </c>
      <c r="F1658" s="68" t="str">
        <f aca="false">IFERROR(INDEX(分录报销!$H:$H,MATCH($L1658,分录报销!$L:$L,0)),"")</f>
        <v/>
      </c>
      <c r="G1658" s="69" t="str">
        <f aca="false">IFERROR(INDEX(分录报销!$I:$I,MATCH($L1658,分录报销!$L:$L,0)),"")</f>
        <v/>
      </c>
      <c r="H1658" s="23"/>
      <c r="I1658" s="70"/>
      <c r="L1658" s="71" t="n">
        <f aca="false">IF(助手报销!$R$112="",-1,助手报销!$R$112*100+(助手报销!$S$112-1)*6+3)</f>
        <v>-1</v>
      </c>
    </row>
    <row r="1659" customFormat="false" ht="23.25" hidden="false" customHeight="true" outlineLevel="0" collapsed="false">
      <c r="B1659" s="67" t="str">
        <f aca="false">IFERROR(INDEX(分录报销!$M:$M,MATCH($L1659,分录报销!$L:$L,0)),"")</f>
        <v/>
      </c>
      <c r="C1659" s="67"/>
      <c r="D1659" s="23" t="str">
        <f aca="false">IFERROR(INDEX(分录报销!$E:$E,MATCH($L1659,分录报销!$L:$L,0)),"")</f>
        <v/>
      </c>
      <c r="E1659" s="23" t="str">
        <f aca="false">IFERROR(INDEX(分录报销!$F:$F,MATCH($L1659,分录报销!$L:$L,0)),"")</f>
        <v/>
      </c>
      <c r="F1659" s="68" t="str">
        <f aca="false">IFERROR(INDEX(分录报销!$H:$H,MATCH($L1659,分录报销!$L:$L,0)),"")</f>
        <v/>
      </c>
      <c r="G1659" s="69" t="str">
        <f aca="false">IFERROR(INDEX(分录报销!$I:$I,MATCH($L1659,分录报销!$L:$L,0)),"")</f>
        <v/>
      </c>
      <c r="H1659" s="23"/>
      <c r="I1659" s="70"/>
      <c r="L1659" s="71" t="n">
        <f aca="false">IF(助手报销!$R$112="",-1,助手报销!$R$112*100+(助手报销!$S$112-1)*6+4)</f>
        <v>-1</v>
      </c>
    </row>
    <row r="1660" customFormat="false" ht="23.25" hidden="false" customHeight="true" outlineLevel="0" collapsed="false">
      <c r="B1660" s="67" t="str">
        <f aca="false">IFERROR(INDEX(分录报销!$M:$M,MATCH($L1660,分录报销!$L:$L,0)),"")</f>
        <v/>
      </c>
      <c r="C1660" s="67"/>
      <c r="D1660" s="23" t="str">
        <f aca="false">IFERROR(INDEX(分录报销!$E:$E,MATCH($L1660,分录报销!$L:$L,0)),"")</f>
        <v/>
      </c>
      <c r="E1660" s="23" t="str">
        <f aca="false">IFERROR(INDEX(分录报销!$F:$F,MATCH($L1660,分录报销!$L:$L,0)),"")</f>
        <v/>
      </c>
      <c r="F1660" s="68" t="str">
        <f aca="false">IFERROR(INDEX(分录报销!$H:$H,MATCH($L1660,分录报销!$L:$L,0)),"")</f>
        <v/>
      </c>
      <c r="G1660" s="69" t="str">
        <f aca="false">IFERROR(INDEX(分录报销!$I:$I,MATCH($L1660,分录报销!$L:$L,0)),"")</f>
        <v/>
      </c>
      <c r="H1660" s="23"/>
      <c r="I1660" s="70"/>
      <c r="L1660" s="71" t="n">
        <f aca="false">IF(助手报销!$R$112="",-1,助手报销!$R$112*100+(助手报销!$S$112-1)*6+5)</f>
        <v>-1</v>
      </c>
    </row>
    <row r="1661" customFormat="false" ht="23.25" hidden="false" customHeight="true" outlineLevel="0" collapsed="false">
      <c r="B1661" s="67" t="str">
        <f aca="false">IFERROR(INDEX(分录报销!$M:$M,MATCH($L1661,分录报销!$L:$L,0)),"")</f>
        <v/>
      </c>
      <c r="C1661" s="67"/>
      <c r="D1661" s="23" t="str">
        <f aca="false">IFERROR(INDEX(分录报销!$E:$E,MATCH($L1661,分录报销!$L:$L,0)),"")</f>
        <v/>
      </c>
      <c r="E1661" s="23" t="str">
        <f aca="false">IFERROR(INDEX(分录报销!$F:$F,MATCH($L1661,分录报销!$L:$L,0)),"")</f>
        <v/>
      </c>
      <c r="F1661" s="68" t="str">
        <f aca="false">IFERROR(INDEX(分录报销!$H:$H,MATCH($L1661,分录报销!$L:$L,0)),"")</f>
        <v/>
      </c>
      <c r="G1661" s="69" t="str">
        <f aca="false">IFERROR(INDEX(分录报销!$I:$I,MATCH($L1661,分录报销!$L:$L,0)),"")</f>
        <v/>
      </c>
      <c r="H1661" s="23"/>
      <c r="I1661" s="70"/>
      <c r="L1661" s="71" t="n">
        <f aca="false">IF(助手报销!$R$112="",-1,助手报销!$R$112*100+(助手报销!$S$112-1)*6+6)</f>
        <v>-1</v>
      </c>
    </row>
    <row r="1662" customFormat="false" ht="23.25" hidden="false" customHeight="true" outlineLevel="0" collapsed="false">
      <c r="B1662" s="72" t="str">
        <f aca="false">IF(助手报销!$T$112=1,"合计：","")</f>
        <v/>
      </c>
      <c r="C1662" s="73" t="str">
        <f aca="false">IF(助手报销!$T$112=1,$F1662,"")</f>
        <v/>
      </c>
      <c r="D1662" s="74"/>
      <c r="E1662" s="74"/>
      <c r="F1662" s="75" t="str">
        <f aca="false">IF(助手报销!$T$112=1,INDEX(助手报销!$N$2:$N$121,助手报销!$R$112),"")</f>
        <v/>
      </c>
      <c r="G1662" s="76" t="str">
        <f aca="false">IF(助手报销!$T$112=1,INDEX(助手报销!$O$2:$O$121,助手报销!$R$112),"")</f>
        <v/>
      </c>
      <c r="H1662" s="74"/>
      <c r="I1662" s="77"/>
    </row>
    <row r="1663" customFormat="false" ht="6" hidden="false" customHeight="true" outlineLevel="0" collapsed="false"/>
    <row r="1664" customFormat="false" ht="13.5" hidden="false" customHeight="false" outlineLevel="0" collapsed="false">
      <c r="B1664" s="78" t="str">
        <f aca="false">IF(助手报销!$R$112&lt;&gt;"","会计主管：","")</f>
        <v/>
      </c>
      <c r="D1664" s="78" t="str">
        <f aca="false">IF(助手报销!$R$112&lt;&gt;"","会计：","")</f>
        <v/>
      </c>
      <c r="E1664" s="78" t="str">
        <f aca="false">IF(助手报销!$R$112&lt;&gt;"","出纳：","")</f>
        <v/>
      </c>
      <c r="F1664" s="78" t="str">
        <f aca="false">IF(助手报销!$R$112&lt;&gt;"","复核：","")</f>
        <v/>
      </c>
      <c r="G1664" s="78" t="str">
        <f aca="false">IF(助手报销!$R$112&lt;&gt;"","制单：","")</f>
        <v/>
      </c>
    </row>
    <row r="1665" customFormat="false" ht="3" hidden="false" customHeight="true" outlineLevel="0" collapsed="false"/>
    <row r="1666" customFormat="false" ht="19.5" hidden="false" customHeight="true" outlineLevel="0" collapsed="false">
      <c r="B1666" s="53" t="str">
        <f aca="false">IF(助手报销!$R$113&lt;&gt;"","记  账  凭  证","")</f>
        <v/>
      </c>
      <c r="C1666" s="53"/>
      <c r="D1666" s="53"/>
      <c r="E1666" s="53"/>
      <c r="F1666" s="53"/>
      <c r="G1666" s="53"/>
      <c r="H1666" s="53"/>
      <c r="I1666" s="53"/>
    </row>
    <row r="1667" customFormat="false" ht="3" hidden="false" customHeight="true" outlineLevel="0" collapsed="false"/>
    <row r="1668" customFormat="false" ht="15" hidden="false" customHeight="true" outlineLevel="0" collapsed="false">
      <c r="C1668" s="56" t="str">
        <f aca="false">IF(助手报销!$R$113&lt;&gt;"",INDEX(助手报销!$B$2:$B$121,助手报销!$R$113),"")</f>
        <v/>
      </c>
      <c r="D1668" s="57" t="str">
        <f aca="false">IF(助手报销!$R$113&lt;&gt;"",INDEX(助手报销!$D$2:$D$121,助手报销!$R$113),"")</f>
        <v/>
      </c>
      <c r="E1668" s="57"/>
      <c r="F1668" s="58" t="str">
        <f aca="false">IF(助手报销!$R$113&lt;&gt;"",INDEX(助手报销!$C$2:$C$121,助手报销!$R$113)&amp;"  字第 "&amp;IF(参数!$B$9="是",INDEX(助手报销!$P$2:$P$121,助手报销!$R$113),"　　　　")&amp;" 号"&amp;IF(INDEX(助手报销!$L$2:$L$121,助手报销!$R$113)&gt;1,"  (共"&amp;INDEX(助手报销!$L$2:$L$121,助手报销!$R$113)&amp;"页 第"&amp;助手报销!$S$113&amp;"页)",""),"")</f>
        <v/>
      </c>
      <c r="G1668" s="58"/>
      <c r="H1668" s="58"/>
      <c r="I1668" s="58"/>
      <c r="M1668" s="79" t="str">
        <f aca="false">IF(助手报销!$R$113="","",助手报销!$Q$113)</f>
        <v/>
      </c>
      <c r="N1668" s="80" t="str">
        <f aca="false">IF(助手报销!$R$113="","",INDEX(助手报销!$P$2:$P$121,助手报销!$R$113))</f>
        <v/>
      </c>
      <c r="O1668" s="55" t="str">
        <f aca="false">IF(助手报销!$R$113="","",INDEX(助手报销!$C$2:$C$121,助手报销!$R$113)&amp;"  字第 "&amp;INDEX(助手报销!$P$2:$P$121,助手报销!$R$113)&amp;" 号"&amp;IF(INDEX(助手报销!$L$2:$L$121,助手报销!$R$113)&gt;1,"  (共"&amp;INDEX(助手报销!$L$2:$L$121,助手报销!$R$113)&amp;"页 第"&amp;助手报销!$S$113&amp;"页)",""))</f>
        <v/>
      </c>
    </row>
    <row r="1669" customFormat="false" ht="12.75" hidden="false" customHeight="true" outlineLevel="0" collapsed="false">
      <c r="B1669" s="61" t="str">
        <f aca="false">IF(助手报销!$R$113&lt;&gt;"","摘　　要","")</f>
        <v/>
      </c>
      <c r="C1669" s="61"/>
      <c r="D1669" s="62" t="str">
        <f aca="false">IF(助手报销!$R$113&lt;&gt;"","科　　　　目","")</f>
        <v/>
      </c>
      <c r="E1669" s="62"/>
      <c r="F1669" s="61" t="str">
        <f aca="false">IF(助手报销!$R$113&lt;&gt;"","借 方 金 额","")</f>
        <v/>
      </c>
      <c r="G1669" s="62" t="str">
        <f aca="false">IF(助手报销!$R$113&lt;&gt;"","贷 方 金 额","")</f>
        <v/>
      </c>
      <c r="H1669" s="63" t="str">
        <f aca="false">IF(助手报销!$R$113&lt;&gt;"","√","")</f>
        <v/>
      </c>
      <c r="I1669" s="64" t="str">
        <f aca="false">IF(助手报销!$R$113&lt;&gt;"","附单据  张","")</f>
        <v/>
      </c>
    </row>
    <row r="1670" customFormat="false" ht="12.75" hidden="false" customHeight="true" outlineLevel="0" collapsed="false">
      <c r="B1670" s="61"/>
      <c r="C1670" s="61"/>
      <c r="D1670" s="23" t="str">
        <f aca="false">IF(助手报销!$R$113&lt;&gt;"","总 账 科 目","")</f>
        <v/>
      </c>
      <c r="E1670" s="23" t="str">
        <f aca="false">IF(助手报销!$R$113&lt;&gt;"","明 细 科 目","")</f>
        <v/>
      </c>
      <c r="F1670" s="65"/>
      <c r="G1670" s="66"/>
      <c r="H1670" s="63"/>
      <c r="I1670" s="64"/>
    </row>
    <row r="1671" customFormat="false" ht="23.25" hidden="false" customHeight="true" outlineLevel="0" collapsed="false">
      <c r="B1671" s="67" t="str">
        <f aca="false">IFERROR(INDEX(分录报销!$M:$M,MATCH($L1671,分录报销!$L:$L,0)),"")</f>
        <v/>
      </c>
      <c r="C1671" s="67"/>
      <c r="D1671" s="23" t="str">
        <f aca="false">IFERROR(INDEX(分录报销!$E:$E,MATCH($L1671,分录报销!$L:$L,0)),"")</f>
        <v/>
      </c>
      <c r="E1671" s="23" t="str">
        <f aca="false">IFERROR(INDEX(分录报销!$F:$F,MATCH($L1671,分录报销!$L:$L,0)),"")</f>
        <v/>
      </c>
      <c r="F1671" s="68" t="str">
        <f aca="false">IFERROR(INDEX(分录报销!$H:$H,MATCH($L1671,分录报销!$L:$L,0)),"")</f>
        <v/>
      </c>
      <c r="G1671" s="69" t="str">
        <f aca="false">IFERROR(INDEX(分录报销!$I:$I,MATCH($L1671,分录报销!$L:$L,0)),"")</f>
        <v/>
      </c>
      <c r="H1671" s="23"/>
      <c r="I1671" s="70"/>
      <c r="L1671" s="71" t="n">
        <f aca="false">IF(助手报销!$R$113="",-1,助手报销!$R$113*100+(助手报销!$S$113-1)*6+1)</f>
        <v>-1</v>
      </c>
    </row>
    <row r="1672" customFormat="false" ht="23.25" hidden="false" customHeight="true" outlineLevel="0" collapsed="false">
      <c r="B1672" s="67" t="str">
        <f aca="false">IFERROR(INDEX(分录报销!$M:$M,MATCH($L1672,分录报销!$L:$L,0)),"")</f>
        <v/>
      </c>
      <c r="C1672" s="67"/>
      <c r="D1672" s="23" t="str">
        <f aca="false">IFERROR(INDEX(分录报销!$E:$E,MATCH($L1672,分录报销!$L:$L,0)),"")</f>
        <v/>
      </c>
      <c r="E1672" s="23" t="str">
        <f aca="false">IFERROR(INDEX(分录报销!$F:$F,MATCH($L1672,分录报销!$L:$L,0)),"")</f>
        <v/>
      </c>
      <c r="F1672" s="68" t="str">
        <f aca="false">IFERROR(INDEX(分录报销!$H:$H,MATCH($L1672,分录报销!$L:$L,0)),"")</f>
        <v/>
      </c>
      <c r="G1672" s="69" t="str">
        <f aca="false">IFERROR(INDEX(分录报销!$I:$I,MATCH($L1672,分录报销!$L:$L,0)),"")</f>
        <v/>
      </c>
      <c r="H1672" s="23"/>
      <c r="I1672" s="70"/>
      <c r="L1672" s="71" t="n">
        <f aca="false">IF(助手报销!$R$113="",-1,助手报销!$R$113*100+(助手报销!$S$113-1)*6+2)</f>
        <v>-1</v>
      </c>
    </row>
    <row r="1673" customFormat="false" ht="23.25" hidden="false" customHeight="true" outlineLevel="0" collapsed="false">
      <c r="B1673" s="67" t="str">
        <f aca="false">IFERROR(INDEX(分录报销!$M:$M,MATCH($L1673,分录报销!$L:$L,0)),"")</f>
        <v/>
      </c>
      <c r="C1673" s="67"/>
      <c r="D1673" s="23" t="str">
        <f aca="false">IFERROR(INDEX(分录报销!$E:$E,MATCH($L1673,分录报销!$L:$L,0)),"")</f>
        <v/>
      </c>
      <c r="E1673" s="23" t="str">
        <f aca="false">IFERROR(INDEX(分录报销!$F:$F,MATCH($L1673,分录报销!$L:$L,0)),"")</f>
        <v/>
      </c>
      <c r="F1673" s="68" t="str">
        <f aca="false">IFERROR(INDEX(分录报销!$H:$H,MATCH($L1673,分录报销!$L:$L,0)),"")</f>
        <v/>
      </c>
      <c r="G1673" s="69" t="str">
        <f aca="false">IFERROR(INDEX(分录报销!$I:$I,MATCH($L1673,分录报销!$L:$L,0)),"")</f>
        <v/>
      </c>
      <c r="H1673" s="23"/>
      <c r="I1673" s="70"/>
      <c r="L1673" s="71" t="n">
        <f aca="false">IF(助手报销!$R$113="",-1,助手报销!$R$113*100+(助手报销!$S$113-1)*6+3)</f>
        <v>-1</v>
      </c>
    </row>
    <row r="1674" customFormat="false" ht="23.25" hidden="false" customHeight="true" outlineLevel="0" collapsed="false">
      <c r="B1674" s="67" t="str">
        <f aca="false">IFERROR(INDEX(分录报销!$M:$M,MATCH($L1674,分录报销!$L:$L,0)),"")</f>
        <v/>
      </c>
      <c r="C1674" s="67"/>
      <c r="D1674" s="23" t="str">
        <f aca="false">IFERROR(INDEX(分录报销!$E:$E,MATCH($L1674,分录报销!$L:$L,0)),"")</f>
        <v/>
      </c>
      <c r="E1674" s="23" t="str">
        <f aca="false">IFERROR(INDEX(分录报销!$F:$F,MATCH($L1674,分录报销!$L:$L,0)),"")</f>
        <v/>
      </c>
      <c r="F1674" s="68" t="str">
        <f aca="false">IFERROR(INDEX(分录报销!$H:$H,MATCH($L1674,分录报销!$L:$L,0)),"")</f>
        <v/>
      </c>
      <c r="G1674" s="69" t="str">
        <f aca="false">IFERROR(INDEX(分录报销!$I:$I,MATCH($L1674,分录报销!$L:$L,0)),"")</f>
        <v/>
      </c>
      <c r="H1674" s="23"/>
      <c r="I1674" s="70"/>
      <c r="L1674" s="71" t="n">
        <f aca="false">IF(助手报销!$R$113="",-1,助手报销!$R$113*100+(助手报销!$S$113-1)*6+4)</f>
        <v>-1</v>
      </c>
    </row>
    <row r="1675" customFormat="false" ht="23.25" hidden="false" customHeight="true" outlineLevel="0" collapsed="false">
      <c r="B1675" s="67" t="str">
        <f aca="false">IFERROR(INDEX(分录报销!$M:$M,MATCH($L1675,分录报销!$L:$L,0)),"")</f>
        <v/>
      </c>
      <c r="C1675" s="67"/>
      <c r="D1675" s="23" t="str">
        <f aca="false">IFERROR(INDEX(分录报销!$E:$E,MATCH($L1675,分录报销!$L:$L,0)),"")</f>
        <v/>
      </c>
      <c r="E1675" s="23" t="str">
        <f aca="false">IFERROR(INDEX(分录报销!$F:$F,MATCH($L1675,分录报销!$L:$L,0)),"")</f>
        <v/>
      </c>
      <c r="F1675" s="68" t="str">
        <f aca="false">IFERROR(INDEX(分录报销!$H:$H,MATCH($L1675,分录报销!$L:$L,0)),"")</f>
        <v/>
      </c>
      <c r="G1675" s="69" t="str">
        <f aca="false">IFERROR(INDEX(分录报销!$I:$I,MATCH($L1675,分录报销!$L:$L,0)),"")</f>
        <v/>
      </c>
      <c r="H1675" s="23"/>
      <c r="I1675" s="70"/>
      <c r="L1675" s="71" t="n">
        <f aca="false">IF(助手报销!$R$113="",-1,助手报销!$R$113*100+(助手报销!$S$113-1)*6+5)</f>
        <v>-1</v>
      </c>
    </row>
    <row r="1676" customFormat="false" ht="23.25" hidden="false" customHeight="true" outlineLevel="0" collapsed="false">
      <c r="B1676" s="67" t="str">
        <f aca="false">IFERROR(INDEX(分录报销!$M:$M,MATCH($L1676,分录报销!$L:$L,0)),"")</f>
        <v/>
      </c>
      <c r="C1676" s="67"/>
      <c r="D1676" s="23" t="str">
        <f aca="false">IFERROR(INDEX(分录报销!$E:$E,MATCH($L1676,分录报销!$L:$L,0)),"")</f>
        <v/>
      </c>
      <c r="E1676" s="23" t="str">
        <f aca="false">IFERROR(INDEX(分录报销!$F:$F,MATCH($L1676,分录报销!$L:$L,0)),"")</f>
        <v/>
      </c>
      <c r="F1676" s="68" t="str">
        <f aca="false">IFERROR(INDEX(分录报销!$H:$H,MATCH($L1676,分录报销!$L:$L,0)),"")</f>
        <v/>
      </c>
      <c r="G1676" s="69" t="str">
        <f aca="false">IFERROR(INDEX(分录报销!$I:$I,MATCH($L1676,分录报销!$L:$L,0)),"")</f>
        <v/>
      </c>
      <c r="H1676" s="23"/>
      <c r="I1676" s="70"/>
      <c r="L1676" s="71" t="n">
        <f aca="false">IF(助手报销!$R$113="",-1,助手报销!$R$113*100+(助手报销!$S$113-1)*6+6)</f>
        <v>-1</v>
      </c>
    </row>
    <row r="1677" customFormat="false" ht="23.25" hidden="false" customHeight="true" outlineLevel="0" collapsed="false">
      <c r="B1677" s="72" t="str">
        <f aca="false">IF(助手报销!$T$113=1,"合计：","")</f>
        <v/>
      </c>
      <c r="C1677" s="73" t="str">
        <f aca="false">IF(助手报销!$T$113=1,$F1677,"")</f>
        <v/>
      </c>
      <c r="D1677" s="74"/>
      <c r="E1677" s="74"/>
      <c r="F1677" s="75" t="str">
        <f aca="false">IF(助手报销!$T$113=1,INDEX(助手报销!$N$2:$N$121,助手报销!$R$113),"")</f>
        <v/>
      </c>
      <c r="G1677" s="76" t="str">
        <f aca="false">IF(助手报销!$T$113=1,INDEX(助手报销!$O$2:$O$121,助手报销!$R$113),"")</f>
        <v/>
      </c>
      <c r="H1677" s="74"/>
      <c r="I1677" s="77"/>
    </row>
    <row r="1678" customFormat="false" ht="6" hidden="false" customHeight="true" outlineLevel="0" collapsed="false"/>
    <row r="1679" customFormat="false" ht="13.5" hidden="false" customHeight="false" outlineLevel="0" collapsed="false">
      <c r="B1679" s="78" t="str">
        <f aca="false">IF(助手报销!$R$113&lt;&gt;"","会计主管：","")</f>
        <v/>
      </c>
      <c r="D1679" s="78" t="str">
        <f aca="false">IF(助手报销!$R$113&lt;&gt;"","会计：","")</f>
        <v/>
      </c>
      <c r="E1679" s="78" t="str">
        <f aca="false">IF(助手报销!$R$113&lt;&gt;"","出纳：","")</f>
        <v/>
      </c>
      <c r="F1679" s="78" t="str">
        <f aca="false">IF(助手报销!$R$113&lt;&gt;"","复核：","")</f>
        <v/>
      </c>
      <c r="G1679" s="78" t="str">
        <f aca="false">IF(助手报销!$R$113&lt;&gt;"","制单：","")</f>
        <v/>
      </c>
    </row>
    <row r="1680" customFormat="false" ht="3" hidden="false" customHeight="true" outlineLevel="0" collapsed="false"/>
    <row r="1681" customFormat="false" ht="19.5" hidden="false" customHeight="true" outlineLevel="0" collapsed="false">
      <c r="B1681" s="53" t="str">
        <f aca="false">IF(助手报销!$R$114&lt;&gt;"","记  账  凭  证","")</f>
        <v/>
      </c>
      <c r="C1681" s="53"/>
      <c r="D1681" s="53"/>
      <c r="E1681" s="53"/>
      <c r="F1681" s="53"/>
      <c r="G1681" s="53"/>
      <c r="H1681" s="53"/>
      <c r="I1681" s="53"/>
    </row>
    <row r="1682" customFormat="false" ht="3" hidden="false" customHeight="true" outlineLevel="0" collapsed="false"/>
    <row r="1683" customFormat="false" ht="15" hidden="false" customHeight="true" outlineLevel="0" collapsed="false">
      <c r="C1683" s="56" t="str">
        <f aca="false">IF(助手报销!$R$114&lt;&gt;"",INDEX(助手报销!$B$2:$B$121,助手报销!$R$114),"")</f>
        <v/>
      </c>
      <c r="D1683" s="57" t="str">
        <f aca="false">IF(助手报销!$R$114&lt;&gt;"",INDEX(助手报销!$D$2:$D$121,助手报销!$R$114),"")</f>
        <v/>
      </c>
      <c r="E1683" s="57"/>
      <c r="F1683" s="58" t="str">
        <f aca="false">IF(助手报销!$R$114&lt;&gt;"",INDEX(助手报销!$C$2:$C$121,助手报销!$R$114)&amp;"  字第 "&amp;IF(参数!$B$9="是",INDEX(助手报销!$P$2:$P$121,助手报销!$R$114),"　　　　")&amp;" 号"&amp;IF(INDEX(助手报销!$L$2:$L$121,助手报销!$R$114)&gt;1,"  (共"&amp;INDEX(助手报销!$L$2:$L$121,助手报销!$R$114)&amp;"页 第"&amp;助手报销!$S$114&amp;"页)",""),"")</f>
        <v/>
      </c>
      <c r="G1683" s="58"/>
      <c r="H1683" s="58"/>
      <c r="I1683" s="58"/>
      <c r="M1683" s="79" t="str">
        <f aca="false">IF(助手报销!$R$114="","",助手报销!$Q$114)</f>
        <v/>
      </c>
      <c r="N1683" s="80" t="str">
        <f aca="false">IF(助手报销!$R$114="","",INDEX(助手报销!$P$2:$P$121,助手报销!$R$114))</f>
        <v/>
      </c>
      <c r="O1683" s="55" t="str">
        <f aca="false">IF(助手报销!$R$114="","",INDEX(助手报销!$C$2:$C$121,助手报销!$R$114)&amp;"  字第 "&amp;INDEX(助手报销!$P$2:$P$121,助手报销!$R$114)&amp;" 号"&amp;IF(INDEX(助手报销!$L$2:$L$121,助手报销!$R$114)&gt;1,"  (共"&amp;INDEX(助手报销!$L$2:$L$121,助手报销!$R$114)&amp;"页 第"&amp;助手报销!$S$114&amp;"页)",""))</f>
        <v/>
      </c>
    </row>
    <row r="1684" customFormat="false" ht="12.75" hidden="false" customHeight="true" outlineLevel="0" collapsed="false">
      <c r="B1684" s="61" t="str">
        <f aca="false">IF(助手报销!$R$114&lt;&gt;"","摘　　要","")</f>
        <v/>
      </c>
      <c r="C1684" s="61"/>
      <c r="D1684" s="62" t="str">
        <f aca="false">IF(助手报销!$R$114&lt;&gt;"","科　　　　目","")</f>
        <v/>
      </c>
      <c r="E1684" s="62"/>
      <c r="F1684" s="61" t="str">
        <f aca="false">IF(助手报销!$R$114&lt;&gt;"","借 方 金 额","")</f>
        <v/>
      </c>
      <c r="G1684" s="62" t="str">
        <f aca="false">IF(助手报销!$R$114&lt;&gt;"","贷 方 金 额","")</f>
        <v/>
      </c>
      <c r="H1684" s="63" t="str">
        <f aca="false">IF(助手报销!$R$114&lt;&gt;"","√","")</f>
        <v/>
      </c>
      <c r="I1684" s="64" t="str">
        <f aca="false">IF(助手报销!$R$114&lt;&gt;"","附单据  张","")</f>
        <v/>
      </c>
    </row>
    <row r="1685" customFormat="false" ht="12.75" hidden="false" customHeight="true" outlineLevel="0" collapsed="false">
      <c r="B1685" s="61"/>
      <c r="C1685" s="61"/>
      <c r="D1685" s="23" t="str">
        <f aca="false">IF(助手报销!$R$114&lt;&gt;"","总 账 科 目","")</f>
        <v/>
      </c>
      <c r="E1685" s="23" t="str">
        <f aca="false">IF(助手报销!$R$114&lt;&gt;"","明 细 科 目","")</f>
        <v/>
      </c>
      <c r="F1685" s="65"/>
      <c r="G1685" s="66"/>
      <c r="H1685" s="63"/>
      <c r="I1685" s="64"/>
    </row>
    <row r="1686" customFormat="false" ht="23.25" hidden="false" customHeight="true" outlineLevel="0" collapsed="false">
      <c r="B1686" s="67" t="str">
        <f aca="false">IFERROR(INDEX(分录报销!$M:$M,MATCH($L1686,分录报销!$L:$L,0)),"")</f>
        <v/>
      </c>
      <c r="C1686" s="67"/>
      <c r="D1686" s="23" t="str">
        <f aca="false">IFERROR(INDEX(分录报销!$E:$E,MATCH($L1686,分录报销!$L:$L,0)),"")</f>
        <v/>
      </c>
      <c r="E1686" s="23" t="str">
        <f aca="false">IFERROR(INDEX(分录报销!$F:$F,MATCH($L1686,分录报销!$L:$L,0)),"")</f>
        <v/>
      </c>
      <c r="F1686" s="68" t="str">
        <f aca="false">IFERROR(INDEX(分录报销!$H:$H,MATCH($L1686,分录报销!$L:$L,0)),"")</f>
        <v/>
      </c>
      <c r="G1686" s="69" t="str">
        <f aca="false">IFERROR(INDEX(分录报销!$I:$I,MATCH($L1686,分录报销!$L:$L,0)),"")</f>
        <v/>
      </c>
      <c r="H1686" s="23"/>
      <c r="I1686" s="70"/>
      <c r="L1686" s="71" t="n">
        <f aca="false">IF(助手报销!$R$114="",-1,助手报销!$R$114*100+(助手报销!$S$114-1)*6+1)</f>
        <v>-1</v>
      </c>
    </row>
    <row r="1687" customFormat="false" ht="23.25" hidden="false" customHeight="true" outlineLevel="0" collapsed="false">
      <c r="B1687" s="67" t="str">
        <f aca="false">IFERROR(INDEX(分录报销!$M:$M,MATCH($L1687,分录报销!$L:$L,0)),"")</f>
        <v/>
      </c>
      <c r="C1687" s="67"/>
      <c r="D1687" s="23" t="str">
        <f aca="false">IFERROR(INDEX(分录报销!$E:$E,MATCH($L1687,分录报销!$L:$L,0)),"")</f>
        <v/>
      </c>
      <c r="E1687" s="23" t="str">
        <f aca="false">IFERROR(INDEX(分录报销!$F:$F,MATCH($L1687,分录报销!$L:$L,0)),"")</f>
        <v/>
      </c>
      <c r="F1687" s="68" t="str">
        <f aca="false">IFERROR(INDEX(分录报销!$H:$H,MATCH($L1687,分录报销!$L:$L,0)),"")</f>
        <v/>
      </c>
      <c r="G1687" s="69" t="str">
        <f aca="false">IFERROR(INDEX(分录报销!$I:$I,MATCH($L1687,分录报销!$L:$L,0)),"")</f>
        <v/>
      </c>
      <c r="H1687" s="23"/>
      <c r="I1687" s="70"/>
      <c r="L1687" s="71" t="n">
        <f aca="false">IF(助手报销!$R$114="",-1,助手报销!$R$114*100+(助手报销!$S$114-1)*6+2)</f>
        <v>-1</v>
      </c>
    </row>
    <row r="1688" customFormat="false" ht="23.25" hidden="false" customHeight="true" outlineLevel="0" collapsed="false">
      <c r="B1688" s="67" t="str">
        <f aca="false">IFERROR(INDEX(分录报销!$M:$M,MATCH($L1688,分录报销!$L:$L,0)),"")</f>
        <v/>
      </c>
      <c r="C1688" s="67"/>
      <c r="D1688" s="23" t="str">
        <f aca="false">IFERROR(INDEX(分录报销!$E:$E,MATCH($L1688,分录报销!$L:$L,0)),"")</f>
        <v/>
      </c>
      <c r="E1688" s="23" t="str">
        <f aca="false">IFERROR(INDEX(分录报销!$F:$F,MATCH($L1688,分录报销!$L:$L,0)),"")</f>
        <v/>
      </c>
      <c r="F1688" s="68" t="str">
        <f aca="false">IFERROR(INDEX(分录报销!$H:$H,MATCH($L1688,分录报销!$L:$L,0)),"")</f>
        <v/>
      </c>
      <c r="G1688" s="69" t="str">
        <f aca="false">IFERROR(INDEX(分录报销!$I:$I,MATCH($L1688,分录报销!$L:$L,0)),"")</f>
        <v/>
      </c>
      <c r="H1688" s="23"/>
      <c r="I1688" s="70"/>
      <c r="L1688" s="71" t="n">
        <f aca="false">IF(助手报销!$R$114="",-1,助手报销!$R$114*100+(助手报销!$S$114-1)*6+3)</f>
        <v>-1</v>
      </c>
    </row>
    <row r="1689" customFormat="false" ht="23.25" hidden="false" customHeight="true" outlineLevel="0" collapsed="false">
      <c r="B1689" s="67" t="str">
        <f aca="false">IFERROR(INDEX(分录报销!$M:$M,MATCH($L1689,分录报销!$L:$L,0)),"")</f>
        <v/>
      </c>
      <c r="C1689" s="67"/>
      <c r="D1689" s="23" t="str">
        <f aca="false">IFERROR(INDEX(分录报销!$E:$E,MATCH($L1689,分录报销!$L:$L,0)),"")</f>
        <v/>
      </c>
      <c r="E1689" s="23" t="str">
        <f aca="false">IFERROR(INDEX(分录报销!$F:$F,MATCH($L1689,分录报销!$L:$L,0)),"")</f>
        <v/>
      </c>
      <c r="F1689" s="68" t="str">
        <f aca="false">IFERROR(INDEX(分录报销!$H:$H,MATCH($L1689,分录报销!$L:$L,0)),"")</f>
        <v/>
      </c>
      <c r="G1689" s="69" t="str">
        <f aca="false">IFERROR(INDEX(分录报销!$I:$I,MATCH($L1689,分录报销!$L:$L,0)),"")</f>
        <v/>
      </c>
      <c r="H1689" s="23"/>
      <c r="I1689" s="70"/>
      <c r="L1689" s="71" t="n">
        <f aca="false">IF(助手报销!$R$114="",-1,助手报销!$R$114*100+(助手报销!$S$114-1)*6+4)</f>
        <v>-1</v>
      </c>
    </row>
    <row r="1690" customFormat="false" ht="23.25" hidden="false" customHeight="true" outlineLevel="0" collapsed="false">
      <c r="B1690" s="67" t="str">
        <f aca="false">IFERROR(INDEX(分录报销!$M:$M,MATCH($L1690,分录报销!$L:$L,0)),"")</f>
        <v/>
      </c>
      <c r="C1690" s="67"/>
      <c r="D1690" s="23" t="str">
        <f aca="false">IFERROR(INDEX(分录报销!$E:$E,MATCH($L1690,分录报销!$L:$L,0)),"")</f>
        <v/>
      </c>
      <c r="E1690" s="23" t="str">
        <f aca="false">IFERROR(INDEX(分录报销!$F:$F,MATCH($L1690,分录报销!$L:$L,0)),"")</f>
        <v/>
      </c>
      <c r="F1690" s="68" t="str">
        <f aca="false">IFERROR(INDEX(分录报销!$H:$H,MATCH($L1690,分录报销!$L:$L,0)),"")</f>
        <v/>
      </c>
      <c r="G1690" s="69" t="str">
        <f aca="false">IFERROR(INDEX(分录报销!$I:$I,MATCH($L1690,分录报销!$L:$L,0)),"")</f>
        <v/>
      </c>
      <c r="H1690" s="23"/>
      <c r="I1690" s="70"/>
      <c r="L1690" s="71" t="n">
        <f aca="false">IF(助手报销!$R$114="",-1,助手报销!$R$114*100+(助手报销!$S$114-1)*6+5)</f>
        <v>-1</v>
      </c>
    </row>
    <row r="1691" customFormat="false" ht="23.25" hidden="false" customHeight="true" outlineLevel="0" collapsed="false">
      <c r="B1691" s="67" t="str">
        <f aca="false">IFERROR(INDEX(分录报销!$M:$M,MATCH($L1691,分录报销!$L:$L,0)),"")</f>
        <v/>
      </c>
      <c r="C1691" s="67"/>
      <c r="D1691" s="23" t="str">
        <f aca="false">IFERROR(INDEX(分录报销!$E:$E,MATCH($L1691,分录报销!$L:$L,0)),"")</f>
        <v/>
      </c>
      <c r="E1691" s="23" t="str">
        <f aca="false">IFERROR(INDEX(分录报销!$F:$F,MATCH($L1691,分录报销!$L:$L,0)),"")</f>
        <v/>
      </c>
      <c r="F1691" s="68" t="str">
        <f aca="false">IFERROR(INDEX(分录报销!$H:$H,MATCH($L1691,分录报销!$L:$L,0)),"")</f>
        <v/>
      </c>
      <c r="G1691" s="69" t="str">
        <f aca="false">IFERROR(INDEX(分录报销!$I:$I,MATCH($L1691,分录报销!$L:$L,0)),"")</f>
        <v/>
      </c>
      <c r="H1691" s="23"/>
      <c r="I1691" s="70"/>
      <c r="L1691" s="71" t="n">
        <f aca="false">IF(助手报销!$R$114="",-1,助手报销!$R$114*100+(助手报销!$S$114-1)*6+6)</f>
        <v>-1</v>
      </c>
    </row>
    <row r="1692" customFormat="false" ht="23.25" hidden="false" customHeight="true" outlineLevel="0" collapsed="false">
      <c r="B1692" s="72" t="str">
        <f aca="false">IF(助手报销!$T$114=1,"合计：","")</f>
        <v/>
      </c>
      <c r="C1692" s="73" t="str">
        <f aca="false">IF(助手报销!$T$114=1,$F1692,"")</f>
        <v/>
      </c>
      <c r="D1692" s="74"/>
      <c r="E1692" s="74"/>
      <c r="F1692" s="75" t="str">
        <f aca="false">IF(助手报销!$T$114=1,INDEX(助手报销!$N$2:$N$121,助手报销!$R$114),"")</f>
        <v/>
      </c>
      <c r="G1692" s="76" t="str">
        <f aca="false">IF(助手报销!$T$114=1,INDEX(助手报销!$O$2:$O$121,助手报销!$R$114),"")</f>
        <v/>
      </c>
      <c r="H1692" s="74"/>
      <c r="I1692" s="77"/>
    </row>
    <row r="1693" customFormat="false" ht="6" hidden="false" customHeight="true" outlineLevel="0" collapsed="false"/>
    <row r="1694" customFormat="false" ht="13.5" hidden="false" customHeight="false" outlineLevel="0" collapsed="false">
      <c r="B1694" s="78" t="str">
        <f aca="false">IF(助手报销!$R$114&lt;&gt;"","会计主管：","")</f>
        <v/>
      </c>
      <c r="D1694" s="78" t="str">
        <f aca="false">IF(助手报销!$R$114&lt;&gt;"","会计：","")</f>
        <v/>
      </c>
      <c r="E1694" s="78" t="str">
        <f aca="false">IF(助手报销!$R$114&lt;&gt;"","出纳：","")</f>
        <v/>
      </c>
      <c r="F1694" s="78" t="str">
        <f aca="false">IF(助手报销!$R$114&lt;&gt;"","复核：","")</f>
        <v/>
      </c>
      <c r="G1694" s="78" t="str">
        <f aca="false">IF(助手报销!$R$114&lt;&gt;"","制单：","")</f>
        <v/>
      </c>
    </row>
    <row r="1695" customFormat="false" ht="3" hidden="false" customHeight="true" outlineLevel="0" collapsed="false"/>
    <row r="1696" customFormat="false" ht="19.5" hidden="false" customHeight="true" outlineLevel="0" collapsed="false">
      <c r="B1696" s="53" t="str">
        <f aca="false">IF(助手报销!$R$115&lt;&gt;"","记  账  凭  证","")</f>
        <v/>
      </c>
      <c r="C1696" s="53"/>
      <c r="D1696" s="53"/>
      <c r="E1696" s="53"/>
      <c r="F1696" s="53"/>
      <c r="G1696" s="53"/>
      <c r="H1696" s="53"/>
      <c r="I1696" s="53"/>
    </row>
    <row r="1697" customFormat="false" ht="3" hidden="false" customHeight="true" outlineLevel="0" collapsed="false"/>
    <row r="1698" customFormat="false" ht="15" hidden="false" customHeight="true" outlineLevel="0" collapsed="false">
      <c r="C1698" s="56" t="str">
        <f aca="false">IF(助手报销!$R$115&lt;&gt;"",INDEX(助手报销!$B$2:$B$121,助手报销!$R$115),"")</f>
        <v/>
      </c>
      <c r="D1698" s="57" t="str">
        <f aca="false">IF(助手报销!$R$115&lt;&gt;"",INDEX(助手报销!$D$2:$D$121,助手报销!$R$115),"")</f>
        <v/>
      </c>
      <c r="E1698" s="57"/>
      <c r="F1698" s="58" t="str">
        <f aca="false">IF(助手报销!$R$115&lt;&gt;"",INDEX(助手报销!$C$2:$C$121,助手报销!$R$115)&amp;"  字第 "&amp;IF(参数!$B$9="是",INDEX(助手报销!$P$2:$P$121,助手报销!$R$115),"　　　　")&amp;" 号"&amp;IF(INDEX(助手报销!$L$2:$L$121,助手报销!$R$115)&gt;1,"  (共"&amp;INDEX(助手报销!$L$2:$L$121,助手报销!$R$115)&amp;"页 第"&amp;助手报销!$S$115&amp;"页)",""),"")</f>
        <v/>
      </c>
      <c r="G1698" s="58"/>
      <c r="H1698" s="58"/>
      <c r="I1698" s="58"/>
      <c r="M1698" s="79" t="str">
        <f aca="false">IF(助手报销!$R$115="","",助手报销!$Q$115)</f>
        <v/>
      </c>
      <c r="N1698" s="80" t="str">
        <f aca="false">IF(助手报销!$R$115="","",INDEX(助手报销!$P$2:$P$121,助手报销!$R$115))</f>
        <v/>
      </c>
      <c r="O1698" s="55" t="str">
        <f aca="false">IF(助手报销!$R$115="","",INDEX(助手报销!$C$2:$C$121,助手报销!$R$115)&amp;"  字第 "&amp;INDEX(助手报销!$P$2:$P$121,助手报销!$R$115)&amp;" 号"&amp;IF(INDEX(助手报销!$L$2:$L$121,助手报销!$R$115)&gt;1,"  (共"&amp;INDEX(助手报销!$L$2:$L$121,助手报销!$R$115)&amp;"页 第"&amp;助手报销!$S$115&amp;"页)",""))</f>
        <v/>
      </c>
    </row>
    <row r="1699" customFormat="false" ht="12.75" hidden="false" customHeight="true" outlineLevel="0" collapsed="false">
      <c r="B1699" s="61" t="str">
        <f aca="false">IF(助手报销!$R$115&lt;&gt;"","摘　　要","")</f>
        <v/>
      </c>
      <c r="C1699" s="61"/>
      <c r="D1699" s="62" t="str">
        <f aca="false">IF(助手报销!$R$115&lt;&gt;"","科　　　　目","")</f>
        <v/>
      </c>
      <c r="E1699" s="62"/>
      <c r="F1699" s="61" t="str">
        <f aca="false">IF(助手报销!$R$115&lt;&gt;"","借 方 金 额","")</f>
        <v/>
      </c>
      <c r="G1699" s="62" t="str">
        <f aca="false">IF(助手报销!$R$115&lt;&gt;"","贷 方 金 额","")</f>
        <v/>
      </c>
      <c r="H1699" s="63" t="str">
        <f aca="false">IF(助手报销!$R$115&lt;&gt;"","√","")</f>
        <v/>
      </c>
      <c r="I1699" s="64" t="str">
        <f aca="false">IF(助手报销!$R$115&lt;&gt;"","附单据  张","")</f>
        <v/>
      </c>
    </row>
    <row r="1700" customFormat="false" ht="12.75" hidden="false" customHeight="true" outlineLevel="0" collapsed="false">
      <c r="B1700" s="61"/>
      <c r="C1700" s="61"/>
      <c r="D1700" s="23" t="str">
        <f aca="false">IF(助手报销!$R$115&lt;&gt;"","总 账 科 目","")</f>
        <v/>
      </c>
      <c r="E1700" s="23" t="str">
        <f aca="false">IF(助手报销!$R$115&lt;&gt;"","明 细 科 目","")</f>
        <v/>
      </c>
      <c r="F1700" s="65"/>
      <c r="G1700" s="66"/>
      <c r="H1700" s="63"/>
      <c r="I1700" s="64"/>
    </row>
    <row r="1701" customFormat="false" ht="23.25" hidden="false" customHeight="true" outlineLevel="0" collapsed="false">
      <c r="B1701" s="67" t="str">
        <f aca="false">IFERROR(INDEX(分录报销!$M:$M,MATCH($L1701,分录报销!$L:$L,0)),"")</f>
        <v/>
      </c>
      <c r="C1701" s="67"/>
      <c r="D1701" s="23" t="str">
        <f aca="false">IFERROR(INDEX(分录报销!$E:$E,MATCH($L1701,分录报销!$L:$L,0)),"")</f>
        <v/>
      </c>
      <c r="E1701" s="23" t="str">
        <f aca="false">IFERROR(INDEX(分录报销!$F:$F,MATCH($L1701,分录报销!$L:$L,0)),"")</f>
        <v/>
      </c>
      <c r="F1701" s="68" t="str">
        <f aca="false">IFERROR(INDEX(分录报销!$H:$H,MATCH($L1701,分录报销!$L:$L,0)),"")</f>
        <v/>
      </c>
      <c r="G1701" s="69" t="str">
        <f aca="false">IFERROR(INDEX(分录报销!$I:$I,MATCH($L1701,分录报销!$L:$L,0)),"")</f>
        <v/>
      </c>
      <c r="H1701" s="23"/>
      <c r="I1701" s="70"/>
      <c r="L1701" s="71" t="n">
        <f aca="false">IF(助手报销!$R$115="",-1,助手报销!$R$115*100+(助手报销!$S$115-1)*6+1)</f>
        <v>-1</v>
      </c>
    </row>
    <row r="1702" customFormat="false" ht="23.25" hidden="false" customHeight="true" outlineLevel="0" collapsed="false">
      <c r="B1702" s="67" t="str">
        <f aca="false">IFERROR(INDEX(分录报销!$M:$M,MATCH($L1702,分录报销!$L:$L,0)),"")</f>
        <v/>
      </c>
      <c r="C1702" s="67"/>
      <c r="D1702" s="23" t="str">
        <f aca="false">IFERROR(INDEX(分录报销!$E:$E,MATCH($L1702,分录报销!$L:$L,0)),"")</f>
        <v/>
      </c>
      <c r="E1702" s="23" t="str">
        <f aca="false">IFERROR(INDEX(分录报销!$F:$F,MATCH($L1702,分录报销!$L:$L,0)),"")</f>
        <v/>
      </c>
      <c r="F1702" s="68" t="str">
        <f aca="false">IFERROR(INDEX(分录报销!$H:$H,MATCH($L1702,分录报销!$L:$L,0)),"")</f>
        <v/>
      </c>
      <c r="G1702" s="69" t="str">
        <f aca="false">IFERROR(INDEX(分录报销!$I:$I,MATCH($L1702,分录报销!$L:$L,0)),"")</f>
        <v/>
      </c>
      <c r="H1702" s="23"/>
      <c r="I1702" s="70"/>
      <c r="L1702" s="71" t="n">
        <f aca="false">IF(助手报销!$R$115="",-1,助手报销!$R$115*100+(助手报销!$S$115-1)*6+2)</f>
        <v>-1</v>
      </c>
    </row>
    <row r="1703" customFormat="false" ht="23.25" hidden="false" customHeight="true" outlineLevel="0" collapsed="false">
      <c r="B1703" s="67" t="str">
        <f aca="false">IFERROR(INDEX(分录报销!$M:$M,MATCH($L1703,分录报销!$L:$L,0)),"")</f>
        <v/>
      </c>
      <c r="C1703" s="67"/>
      <c r="D1703" s="23" t="str">
        <f aca="false">IFERROR(INDEX(分录报销!$E:$E,MATCH($L1703,分录报销!$L:$L,0)),"")</f>
        <v/>
      </c>
      <c r="E1703" s="23" t="str">
        <f aca="false">IFERROR(INDEX(分录报销!$F:$F,MATCH($L1703,分录报销!$L:$L,0)),"")</f>
        <v/>
      </c>
      <c r="F1703" s="68" t="str">
        <f aca="false">IFERROR(INDEX(分录报销!$H:$H,MATCH($L1703,分录报销!$L:$L,0)),"")</f>
        <v/>
      </c>
      <c r="G1703" s="69" t="str">
        <f aca="false">IFERROR(INDEX(分录报销!$I:$I,MATCH($L1703,分录报销!$L:$L,0)),"")</f>
        <v/>
      </c>
      <c r="H1703" s="23"/>
      <c r="I1703" s="70"/>
      <c r="L1703" s="71" t="n">
        <f aca="false">IF(助手报销!$R$115="",-1,助手报销!$R$115*100+(助手报销!$S$115-1)*6+3)</f>
        <v>-1</v>
      </c>
    </row>
    <row r="1704" customFormat="false" ht="23.25" hidden="false" customHeight="true" outlineLevel="0" collapsed="false">
      <c r="B1704" s="67" t="str">
        <f aca="false">IFERROR(INDEX(分录报销!$M:$M,MATCH($L1704,分录报销!$L:$L,0)),"")</f>
        <v/>
      </c>
      <c r="C1704" s="67"/>
      <c r="D1704" s="23" t="str">
        <f aca="false">IFERROR(INDEX(分录报销!$E:$E,MATCH($L1704,分录报销!$L:$L,0)),"")</f>
        <v/>
      </c>
      <c r="E1704" s="23" t="str">
        <f aca="false">IFERROR(INDEX(分录报销!$F:$F,MATCH($L1704,分录报销!$L:$L,0)),"")</f>
        <v/>
      </c>
      <c r="F1704" s="68" t="str">
        <f aca="false">IFERROR(INDEX(分录报销!$H:$H,MATCH($L1704,分录报销!$L:$L,0)),"")</f>
        <v/>
      </c>
      <c r="G1704" s="69" t="str">
        <f aca="false">IFERROR(INDEX(分录报销!$I:$I,MATCH($L1704,分录报销!$L:$L,0)),"")</f>
        <v/>
      </c>
      <c r="H1704" s="23"/>
      <c r="I1704" s="70"/>
      <c r="L1704" s="71" t="n">
        <f aca="false">IF(助手报销!$R$115="",-1,助手报销!$R$115*100+(助手报销!$S$115-1)*6+4)</f>
        <v>-1</v>
      </c>
    </row>
    <row r="1705" customFormat="false" ht="23.25" hidden="false" customHeight="true" outlineLevel="0" collapsed="false">
      <c r="B1705" s="67" t="str">
        <f aca="false">IFERROR(INDEX(分录报销!$M:$M,MATCH($L1705,分录报销!$L:$L,0)),"")</f>
        <v/>
      </c>
      <c r="C1705" s="67"/>
      <c r="D1705" s="23" t="str">
        <f aca="false">IFERROR(INDEX(分录报销!$E:$E,MATCH($L1705,分录报销!$L:$L,0)),"")</f>
        <v/>
      </c>
      <c r="E1705" s="23" t="str">
        <f aca="false">IFERROR(INDEX(分录报销!$F:$F,MATCH($L1705,分录报销!$L:$L,0)),"")</f>
        <v/>
      </c>
      <c r="F1705" s="68" t="str">
        <f aca="false">IFERROR(INDEX(分录报销!$H:$H,MATCH($L1705,分录报销!$L:$L,0)),"")</f>
        <v/>
      </c>
      <c r="G1705" s="69" t="str">
        <f aca="false">IFERROR(INDEX(分录报销!$I:$I,MATCH($L1705,分录报销!$L:$L,0)),"")</f>
        <v/>
      </c>
      <c r="H1705" s="23"/>
      <c r="I1705" s="70"/>
      <c r="L1705" s="71" t="n">
        <f aca="false">IF(助手报销!$R$115="",-1,助手报销!$R$115*100+(助手报销!$S$115-1)*6+5)</f>
        <v>-1</v>
      </c>
    </row>
    <row r="1706" customFormat="false" ht="23.25" hidden="false" customHeight="true" outlineLevel="0" collapsed="false">
      <c r="B1706" s="67" t="str">
        <f aca="false">IFERROR(INDEX(分录报销!$M:$M,MATCH($L1706,分录报销!$L:$L,0)),"")</f>
        <v/>
      </c>
      <c r="C1706" s="67"/>
      <c r="D1706" s="23" t="str">
        <f aca="false">IFERROR(INDEX(分录报销!$E:$E,MATCH($L1706,分录报销!$L:$L,0)),"")</f>
        <v/>
      </c>
      <c r="E1706" s="23" t="str">
        <f aca="false">IFERROR(INDEX(分录报销!$F:$F,MATCH($L1706,分录报销!$L:$L,0)),"")</f>
        <v/>
      </c>
      <c r="F1706" s="68" t="str">
        <f aca="false">IFERROR(INDEX(分录报销!$H:$H,MATCH($L1706,分录报销!$L:$L,0)),"")</f>
        <v/>
      </c>
      <c r="G1706" s="69" t="str">
        <f aca="false">IFERROR(INDEX(分录报销!$I:$I,MATCH($L1706,分录报销!$L:$L,0)),"")</f>
        <v/>
      </c>
      <c r="H1706" s="23"/>
      <c r="I1706" s="70"/>
      <c r="L1706" s="71" t="n">
        <f aca="false">IF(助手报销!$R$115="",-1,助手报销!$R$115*100+(助手报销!$S$115-1)*6+6)</f>
        <v>-1</v>
      </c>
    </row>
    <row r="1707" customFormat="false" ht="23.25" hidden="false" customHeight="true" outlineLevel="0" collapsed="false">
      <c r="B1707" s="72" t="str">
        <f aca="false">IF(助手报销!$T$115=1,"合计：","")</f>
        <v/>
      </c>
      <c r="C1707" s="73" t="str">
        <f aca="false">IF(助手报销!$T$115=1,$F1707,"")</f>
        <v/>
      </c>
      <c r="D1707" s="74"/>
      <c r="E1707" s="74"/>
      <c r="F1707" s="75" t="str">
        <f aca="false">IF(助手报销!$T$115=1,INDEX(助手报销!$N$2:$N$121,助手报销!$R$115),"")</f>
        <v/>
      </c>
      <c r="G1707" s="76" t="str">
        <f aca="false">IF(助手报销!$T$115=1,INDEX(助手报销!$O$2:$O$121,助手报销!$R$115),"")</f>
        <v/>
      </c>
      <c r="H1707" s="74"/>
      <c r="I1707" s="77"/>
    </row>
    <row r="1708" customFormat="false" ht="6" hidden="false" customHeight="true" outlineLevel="0" collapsed="false"/>
    <row r="1709" customFormat="false" ht="13.5" hidden="false" customHeight="false" outlineLevel="0" collapsed="false">
      <c r="B1709" s="78" t="str">
        <f aca="false">IF(助手报销!$R$115&lt;&gt;"","会计主管：","")</f>
        <v/>
      </c>
      <c r="D1709" s="78" t="str">
        <f aca="false">IF(助手报销!$R$115&lt;&gt;"","会计：","")</f>
        <v/>
      </c>
      <c r="E1709" s="78" t="str">
        <f aca="false">IF(助手报销!$R$115&lt;&gt;"","出纳：","")</f>
        <v/>
      </c>
      <c r="F1709" s="78" t="str">
        <f aca="false">IF(助手报销!$R$115&lt;&gt;"","复核：","")</f>
        <v/>
      </c>
      <c r="G1709" s="78" t="str">
        <f aca="false">IF(助手报销!$R$115&lt;&gt;"","制单：","")</f>
        <v/>
      </c>
    </row>
    <row r="1710" customFormat="false" ht="3" hidden="false" customHeight="true" outlineLevel="0" collapsed="false"/>
    <row r="1711" customFormat="false" ht="19.5" hidden="false" customHeight="true" outlineLevel="0" collapsed="false">
      <c r="B1711" s="53" t="str">
        <f aca="false">IF(助手报销!$R$116&lt;&gt;"","记  账  凭  证","")</f>
        <v/>
      </c>
      <c r="C1711" s="53"/>
      <c r="D1711" s="53"/>
      <c r="E1711" s="53"/>
      <c r="F1711" s="53"/>
      <c r="G1711" s="53"/>
      <c r="H1711" s="53"/>
      <c r="I1711" s="53"/>
    </row>
    <row r="1712" customFormat="false" ht="3" hidden="false" customHeight="true" outlineLevel="0" collapsed="false"/>
    <row r="1713" customFormat="false" ht="15" hidden="false" customHeight="true" outlineLevel="0" collapsed="false">
      <c r="C1713" s="56" t="str">
        <f aca="false">IF(助手报销!$R$116&lt;&gt;"",INDEX(助手报销!$B$2:$B$121,助手报销!$R$116),"")</f>
        <v/>
      </c>
      <c r="D1713" s="57" t="str">
        <f aca="false">IF(助手报销!$R$116&lt;&gt;"",INDEX(助手报销!$D$2:$D$121,助手报销!$R$116),"")</f>
        <v/>
      </c>
      <c r="E1713" s="57"/>
      <c r="F1713" s="58" t="str">
        <f aca="false">IF(助手报销!$R$116&lt;&gt;"",INDEX(助手报销!$C$2:$C$121,助手报销!$R$116)&amp;"  字第 "&amp;IF(参数!$B$9="是",INDEX(助手报销!$P$2:$P$121,助手报销!$R$116),"　　　　")&amp;" 号"&amp;IF(INDEX(助手报销!$L$2:$L$121,助手报销!$R$116)&gt;1,"  (共"&amp;INDEX(助手报销!$L$2:$L$121,助手报销!$R$116)&amp;"页 第"&amp;助手报销!$S$116&amp;"页)",""),"")</f>
        <v/>
      </c>
      <c r="G1713" s="58"/>
      <c r="H1713" s="58"/>
      <c r="I1713" s="58"/>
      <c r="M1713" s="79" t="str">
        <f aca="false">IF(助手报销!$R$116="","",助手报销!$Q$116)</f>
        <v/>
      </c>
      <c r="N1713" s="80" t="str">
        <f aca="false">IF(助手报销!$R$116="","",INDEX(助手报销!$P$2:$P$121,助手报销!$R$116))</f>
        <v/>
      </c>
      <c r="O1713" s="55" t="str">
        <f aca="false">IF(助手报销!$R$116="","",INDEX(助手报销!$C$2:$C$121,助手报销!$R$116)&amp;"  字第 "&amp;INDEX(助手报销!$P$2:$P$121,助手报销!$R$116)&amp;" 号"&amp;IF(INDEX(助手报销!$L$2:$L$121,助手报销!$R$116)&gt;1,"  (共"&amp;INDEX(助手报销!$L$2:$L$121,助手报销!$R$116)&amp;"页 第"&amp;助手报销!$S$116&amp;"页)",""))</f>
        <v/>
      </c>
    </row>
    <row r="1714" customFormat="false" ht="12.75" hidden="false" customHeight="true" outlineLevel="0" collapsed="false">
      <c r="B1714" s="61" t="str">
        <f aca="false">IF(助手报销!$R$116&lt;&gt;"","摘　　要","")</f>
        <v/>
      </c>
      <c r="C1714" s="61"/>
      <c r="D1714" s="62" t="str">
        <f aca="false">IF(助手报销!$R$116&lt;&gt;"","科　　　　目","")</f>
        <v/>
      </c>
      <c r="E1714" s="62"/>
      <c r="F1714" s="61" t="str">
        <f aca="false">IF(助手报销!$R$116&lt;&gt;"","借 方 金 额","")</f>
        <v/>
      </c>
      <c r="G1714" s="62" t="str">
        <f aca="false">IF(助手报销!$R$116&lt;&gt;"","贷 方 金 额","")</f>
        <v/>
      </c>
      <c r="H1714" s="63" t="str">
        <f aca="false">IF(助手报销!$R$116&lt;&gt;"","√","")</f>
        <v/>
      </c>
      <c r="I1714" s="64" t="str">
        <f aca="false">IF(助手报销!$R$116&lt;&gt;"","附单据  张","")</f>
        <v/>
      </c>
    </row>
    <row r="1715" customFormat="false" ht="12.75" hidden="false" customHeight="true" outlineLevel="0" collapsed="false">
      <c r="B1715" s="61"/>
      <c r="C1715" s="61"/>
      <c r="D1715" s="23" t="str">
        <f aca="false">IF(助手报销!$R$116&lt;&gt;"","总 账 科 目","")</f>
        <v/>
      </c>
      <c r="E1715" s="23" t="str">
        <f aca="false">IF(助手报销!$R$116&lt;&gt;"","明 细 科 目","")</f>
        <v/>
      </c>
      <c r="F1715" s="65"/>
      <c r="G1715" s="66"/>
      <c r="H1715" s="63"/>
      <c r="I1715" s="64"/>
    </row>
    <row r="1716" customFormat="false" ht="23.25" hidden="false" customHeight="true" outlineLevel="0" collapsed="false">
      <c r="B1716" s="67" t="str">
        <f aca="false">IFERROR(INDEX(分录报销!$M:$M,MATCH($L1716,分录报销!$L:$L,0)),"")</f>
        <v/>
      </c>
      <c r="C1716" s="67"/>
      <c r="D1716" s="23" t="str">
        <f aca="false">IFERROR(INDEX(分录报销!$E:$E,MATCH($L1716,分录报销!$L:$L,0)),"")</f>
        <v/>
      </c>
      <c r="E1716" s="23" t="str">
        <f aca="false">IFERROR(INDEX(分录报销!$F:$F,MATCH($L1716,分录报销!$L:$L,0)),"")</f>
        <v/>
      </c>
      <c r="F1716" s="68" t="str">
        <f aca="false">IFERROR(INDEX(分录报销!$H:$H,MATCH($L1716,分录报销!$L:$L,0)),"")</f>
        <v/>
      </c>
      <c r="G1716" s="69" t="str">
        <f aca="false">IFERROR(INDEX(分录报销!$I:$I,MATCH($L1716,分录报销!$L:$L,0)),"")</f>
        <v/>
      </c>
      <c r="H1716" s="23"/>
      <c r="I1716" s="70"/>
      <c r="L1716" s="71" t="n">
        <f aca="false">IF(助手报销!$R$116="",-1,助手报销!$R$116*100+(助手报销!$S$116-1)*6+1)</f>
        <v>-1</v>
      </c>
    </row>
    <row r="1717" customFormat="false" ht="23.25" hidden="false" customHeight="true" outlineLevel="0" collapsed="false">
      <c r="B1717" s="67" t="str">
        <f aca="false">IFERROR(INDEX(分录报销!$M:$M,MATCH($L1717,分录报销!$L:$L,0)),"")</f>
        <v/>
      </c>
      <c r="C1717" s="67"/>
      <c r="D1717" s="23" t="str">
        <f aca="false">IFERROR(INDEX(分录报销!$E:$E,MATCH($L1717,分录报销!$L:$L,0)),"")</f>
        <v/>
      </c>
      <c r="E1717" s="23" t="str">
        <f aca="false">IFERROR(INDEX(分录报销!$F:$F,MATCH($L1717,分录报销!$L:$L,0)),"")</f>
        <v/>
      </c>
      <c r="F1717" s="68" t="str">
        <f aca="false">IFERROR(INDEX(分录报销!$H:$H,MATCH($L1717,分录报销!$L:$L,0)),"")</f>
        <v/>
      </c>
      <c r="G1717" s="69" t="str">
        <f aca="false">IFERROR(INDEX(分录报销!$I:$I,MATCH($L1717,分录报销!$L:$L,0)),"")</f>
        <v/>
      </c>
      <c r="H1717" s="23"/>
      <c r="I1717" s="70"/>
      <c r="L1717" s="71" t="n">
        <f aca="false">IF(助手报销!$R$116="",-1,助手报销!$R$116*100+(助手报销!$S$116-1)*6+2)</f>
        <v>-1</v>
      </c>
    </row>
    <row r="1718" customFormat="false" ht="23.25" hidden="false" customHeight="true" outlineLevel="0" collapsed="false">
      <c r="B1718" s="67" t="str">
        <f aca="false">IFERROR(INDEX(分录报销!$M:$M,MATCH($L1718,分录报销!$L:$L,0)),"")</f>
        <v/>
      </c>
      <c r="C1718" s="67"/>
      <c r="D1718" s="23" t="str">
        <f aca="false">IFERROR(INDEX(分录报销!$E:$E,MATCH($L1718,分录报销!$L:$L,0)),"")</f>
        <v/>
      </c>
      <c r="E1718" s="23" t="str">
        <f aca="false">IFERROR(INDEX(分录报销!$F:$F,MATCH($L1718,分录报销!$L:$L,0)),"")</f>
        <v/>
      </c>
      <c r="F1718" s="68" t="str">
        <f aca="false">IFERROR(INDEX(分录报销!$H:$H,MATCH($L1718,分录报销!$L:$L,0)),"")</f>
        <v/>
      </c>
      <c r="G1718" s="69" t="str">
        <f aca="false">IFERROR(INDEX(分录报销!$I:$I,MATCH($L1718,分录报销!$L:$L,0)),"")</f>
        <v/>
      </c>
      <c r="H1718" s="23"/>
      <c r="I1718" s="70"/>
      <c r="L1718" s="71" t="n">
        <f aca="false">IF(助手报销!$R$116="",-1,助手报销!$R$116*100+(助手报销!$S$116-1)*6+3)</f>
        <v>-1</v>
      </c>
    </row>
    <row r="1719" customFormat="false" ht="23.25" hidden="false" customHeight="true" outlineLevel="0" collapsed="false">
      <c r="B1719" s="67" t="str">
        <f aca="false">IFERROR(INDEX(分录报销!$M:$M,MATCH($L1719,分录报销!$L:$L,0)),"")</f>
        <v/>
      </c>
      <c r="C1719" s="67"/>
      <c r="D1719" s="23" t="str">
        <f aca="false">IFERROR(INDEX(分录报销!$E:$E,MATCH($L1719,分录报销!$L:$L,0)),"")</f>
        <v/>
      </c>
      <c r="E1719" s="23" t="str">
        <f aca="false">IFERROR(INDEX(分录报销!$F:$F,MATCH($L1719,分录报销!$L:$L,0)),"")</f>
        <v/>
      </c>
      <c r="F1719" s="68" t="str">
        <f aca="false">IFERROR(INDEX(分录报销!$H:$H,MATCH($L1719,分录报销!$L:$L,0)),"")</f>
        <v/>
      </c>
      <c r="G1719" s="69" t="str">
        <f aca="false">IFERROR(INDEX(分录报销!$I:$I,MATCH($L1719,分录报销!$L:$L,0)),"")</f>
        <v/>
      </c>
      <c r="H1719" s="23"/>
      <c r="I1719" s="70"/>
      <c r="L1719" s="71" t="n">
        <f aca="false">IF(助手报销!$R$116="",-1,助手报销!$R$116*100+(助手报销!$S$116-1)*6+4)</f>
        <v>-1</v>
      </c>
    </row>
    <row r="1720" customFormat="false" ht="23.25" hidden="false" customHeight="true" outlineLevel="0" collapsed="false">
      <c r="B1720" s="67" t="str">
        <f aca="false">IFERROR(INDEX(分录报销!$M:$M,MATCH($L1720,分录报销!$L:$L,0)),"")</f>
        <v/>
      </c>
      <c r="C1720" s="67"/>
      <c r="D1720" s="23" t="str">
        <f aca="false">IFERROR(INDEX(分录报销!$E:$E,MATCH($L1720,分录报销!$L:$L,0)),"")</f>
        <v/>
      </c>
      <c r="E1720" s="23" t="str">
        <f aca="false">IFERROR(INDEX(分录报销!$F:$F,MATCH($L1720,分录报销!$L:$L,0)),"")</f>
        <v/>
      </c>
      <c r="F1720" s="68" t="str">
        <f aca="false">IFERROR(INDEX(分录报销!$H:$H,MATCH($L1720,分录报销!$L:$L,0)),"")</f>
        <v/>
      </c>
      <c r="G1720" s="69" t="str">
        <f aca="false">IFERROR(INDEX(分录报销!$I:$I,MATCH($L1720,分录报销!$L:$L,0)),"")</f>
        <v/>
      </c>
      <c r="H1720" s="23"/>
      <c r="I1720" s="70"/>
      <c r="L1720" s="71" t="n">
        <f aca="false">IF(助手报销!$R$116="",-1,助手报销!$R$116*100+(助手报销!$S$116-1)*6+5)</f>
        <v>-1</v>
      </c>
    </row>
    <row r="1721" customFormat="false" ht="23.25" hidden="false" customHeight="true" outlineLevel="0" collapsed="false">
      <c r="B1721" s="67" t="str">
        <f aca="false">IFERROR(INDEX(分录报销!$M:$M,MATCH($L1721,分录报销!$L:$L,0)),"")</f>
        <v/>
      </c>
      <c r="C1721" s="67"/>
      <c r="D1721" s="23" t="str">
        <f aca="false">IFERROR(INDEX(分录报销!$E:$E,MATCH($L1721,分录报销!$L:$L,0)),"")</f>
        <v/>
      </c>
      <c r="E1721" s="23" t="str">
        <f aca="false">IFERROR(INDEX(分录报销!$F:$F,MATCH($L1721,分录报销!$L:$L,0)),"")</f>
        <v/>
      </c>
      <c r="F1721" s="68" t="str">
        <f aca="false">IFERROR(INDEX(分录报销!$H:$H,MATCH($L1721,分录报销!$L:$L,0)),"")</f>
        <v/>
      </c>
      <c r="G1721" s="69" t="str">
        <f aca="false">IFERROR(INDEX(分录报销!$I:$I,MATCH($L1721,分录报销!$L:$L,0)),"")</f>
        <v/>
      </c>
      <c r="H1721" s="23"/>
      <c r="I1721" s="70"/>
      <c r="L1721" s="71" t="n">
        <f aca="false">IF(助手报销!$R$116="",-1,助手报销!$R$116*100+(助手报销!$S$116-1)*6+6)</f>
        <v>-1</v>
      </c>
    </row>
    <row r="1722" customFormat="false" ht="23.25" hidden="false" customHeight="true" outlineLevel="0" collapsed="false">
      <c r="B1722" s="72" t="str">
        <f aca="false">IF(助手报销!$T$116=1,"合计：","")</f>
        <v/>
      </c>
      <c r="C1722" s="73" t="str">
        <f aca="false">IF(助手报销!$T$116=1,$F1722,"")</f>
        <v/>
      </c>
      <c r="D1722" s="74"/>
      <c r="E1722" s="74"/>
      <c r="F1722" s="75" t="str">
        <f aca="false">IF(助手报销!$T$116=1,INDEX(助手报销!$N$2:$N$121,助手报销!$R$116),"")</f>
        <v/>
      </c>
      <c r="G1722" s="76" t="str">
        <f aca="false">IF(助手报销!$T$116=1,INDEX(助手报销!$O$2:$O$121,助手报销!$R$116),"")</f>
        <v/>
      </c>
      <c r="H1722" s="74"/>
      <c r="I1722" s="77"/>
    </row>
    <row r="1723" customFormat="false" ht="6" hidden="false" customHeight="true" outlineLevel="0" collapsed="false"/>
    <row r="1724" customFormat="false" ht="13.5" hidden="false" customHeight="false" outlineLevel="0" collapsed="false">
      <c r="B1724" s="78" t="str">
        <f aca="false">IF(助手报销!$R$116&lt;&gt;"","会计主管：","")</f>
        <v/>
      </c>
      <c r="D1724" s="78" t="str">
        <f aca="false">IF(助手报销!$R$116&lt;&gt;"","会计：","")</f>
        <v/>
      </c>
      <c r="E1724" s="78" t="str">
        <f aca="false">IF(助手报销!$R$116&lt;&gt;"","出纳：","")</f>
        <v/>
      </c>
      <c r="F1724" s="78" t="str">
        <f aca="false">IF(助手报销!$R$116&lt;&gt;"","复核：","")</f>
        <v/>
      </c>
      <c r="G1724" s="78" t="str">
        <f aca="false">IF(助手报销!$R$116&lt;&gt;"","制单：","")</f>
        <v/>
      </c>
    </row>
    <row r="1725" customFormat="false" ht="3" hidden="false" customHeight="true" outlineLevel="0" collapsed="false"/>
    <row r="1726" customFormat="false" ht="19.5" hidden="false" customHeight="true" outlineLevel="0" collapsed="false">
      <c r="B1726" s="53" t="str">
        <f aca="false">IF(助手报销!$R$117&lt;&gt;"","记  账  凭  证","")</f>
        <v/>
      </c>
      <c r="C1726" s="53"/>
      <c r="D1726" s="53"/>
      <c r="E1726" s="53"/>
      <c r="F1726" s="53"/>
      <c r="G1726" s="53"/>
      <c r="H1726" s="53"/>
      <c r="I1726" s="53"/>
    </row>
    <row r="1727" customFormat="false" ht="3" hidden="false" customHeight="true" outlineLevel="0" collapsed="false"/>
    <row r="1728" customFormat="false" ht="15" hidden="false" customHeight="true" outlineLevel="0" collapsed="false">
      <c r="C1728" s="56" t="str">
        <f aca="false">IF(助手报销!$R$117&lt;&gt;"",INDEX(助手报销!$B$2:$B$121,助手报销!$R$117),"")</f>
        <v/>
      </c>
      <c r="D1728" s="57" t="str">
        <f aca="false">IF(助手报销!$R$117&lt;&gt;"",INDEX(助手报销!$D$2:$D$121,助手报销!$R$117),"")</f>
        <v/>
      </c>
      <c r="E1728" s="57"/>
      <c r="F1728" s="58" t="str">
        <f aca="false">IF(助手报销!$R$117&lt;&gt;"",INDEX(助手报销!$C$2:$C$121,助手报销!$R$117)&amp;"  字第 "&amp;IF(参数!$B$9="是",INDEX(助手报销!$P$2:$P$121,助手报销!$R$117),"　　　　")&amp;" 号"&amp;IF(INDEX(助手报销!$L$2:$L$121,助手报销!$R$117)&gt;1,"  (共"&amp;INDEX(助手报销!$L$2:$L$121,助手报销!$R$117)&amp;"页 第"&amp;助手报销!$S$117&amp;"页)",""),"")</f>
        <v/>
      </c>
      <c r="G1728" s="58"/>
      <c r="H1728" s="58"/>
      <c r="I1728" s="58"/>
      <c r="M1728" s="79" t="str">
        <f aca="false">IF(助手报销!$R$117="","",助手报销!$Q$117)</f>
        <v/>
      </c>
      <c r="N1728" s="80" t="str">
        <f aca="false">IF(助手报销!$R$117="","",INDEX(助手报销!$P$2:$P$121,助手报销!$R$117))</f>
        <v/>
      </c>
      <c r="O1728" s="55" t="str">
        <f aca="false">IF(助手报销!$R$117="","",INDEX(助手报销!$C$2:$C$121,助手报销!$R$117)&amp;"  字第 "&amp;INDEX(助手报销!$P$2:$P$121,助手报销!$R$117)&amp;" 号"&amp;IF(INDEX(助手报销!$L$2:$L$121,助手报销!$R$117)&gt;1,"  (共"&amp;INDEX(助手报销!$L$2:$L$121,助手报销!$R$117)&amp;"页 第"&amp;助手报销!$S$117&amp;"页)",""))</f>
        <v/>
      </c>
    </row>
    <row r="1729" customFormat="false" ht="12.75" hidden="false" customHeight="true" outlineLevel="0" collapsed="false">
      <c r="B1729" s="61" t="str">
        <f aca="false">IF(助手报销!$R$117&lt;&gt;"","摘　　要","")</f>
        <v/>
      </c>
      <c r="C1729" s="61"/>
      <c r="D1729" s="62" t="str">
        <f aca="false">IF(助手报销!$R$117&lt;&gt;"","科　　　　目","")</f>
        <v/>
      </c>
      <c r="E1729" s="62"/>
      <c r="F1729" s="61" t="str">
        <f aca="false">IF(助手报销!$R$117&lt;&gt;"","借 方 金 额","")</f>
        <v/>
      </c>
      <c r="G1729" s="62" t="str">
        <f aca="false">IF(助手报销!$R$117&lt;&gt;"","贷 方 金 额","")</f>
        <v/>
      </c>
      <c r="H1729" s="63" t="str">
        <f aca="false">IF(助手报销!$R$117&lt;&gt;"","√","")</f>
        <v/>
      </c>
      <c r="I1729" s="64" t="str">
        <f aca="false">IF(助手报销!$R$117&lt;&gt;"","附单据  张","")</f>
        <v/>
      </c>
    </row>
    <row r="1730" customFormat="false" ht="12.75" hidden="false" customHeight="true" outlineLevel="0" collapsed="false">
      <c r="B1730" s="61"/>
      <c r="C1730" s="61"/>
      <c r="D1730" s="23" t="str">
        <f aca="false">IF(助手报销!$R$117&lt;&gt;"","总 账 科 目","")</f>
        <v/>
      </c>
      <c r="E1730" s="23" t="str">
        <f aca="false">IF(助手报销!$R$117&lt;&gt;"","明 细 科 目","")</f>
        <v/>
      </c>
      <c r="F1730" s="65"/>
      <c r="G1730" s="66"/>
      <c r="H1730" s="63"/>
      <c r="I1730" s="64"/>
    </row>
    <row r="1731" customFormat="false" ht="23.25" hidden="false" customHeight="true" outlineLevel="0" collapsed="false">
      <c r="B1731" s="67" t="str">
        <f aca="false">IFERROR(INDEX(分录报销!$M:$M,MATCH($L1731,分录报销!$L:$L,0)),"")</f>
        <v/>
      </c>
      <c r="C1731" s="67"/>
      <c r="D1731" s="23" t="str">
        <f aca="false">IFERROR(INDEX(分录报销!$E:$E,MATCH($L1731,分录报销!$L:$L,0)),"")</f>
        <v/>
      </c>
      <c r="E1731" s="23" t="str">
        <f aca="false">IFERROR(INDEX(分录报销!$F:$F,MATCH($L1731,分录报销!$L:$L,0)),"")</f>
        <v/>
      </c>
      <c r="F1731" s="68" t="str">
        <f aca="false">IFERROR(INDEX(分录报销!$H:$H,MATCH($L1731,分录报销!$L:$L,0)),"")</f>
        <v/>
      </c>
      <c r="G1731" s="69" t="str">
        <f aca="false">IFERROR(INDEX(分录报销!$I:$I,MATCH($L1731,分录报销!$L:$L,0)),"")</f>
        <v/>
      </c>
      <c r="H1731" s="23"/>
      <c r="I1731" s="70"/>
      <c r="L1731" s="71" t="n">
        <f aca="false">IF(助手报销!$R$117="",-1,助手报销!$R$117*100+(助手报销!$S$117-1)*6+1)</f>
        <v>-1</v>
      </c>
    </row>
    <row r="1732" customFormat="false" ht="23.25" hidden="false" customHeight="true" outlineLevel="0" collapsed="false">
      <c r="B1732" s="67" t="str">
        <f aca="false">IFERROR(INDEX(分录报销!$M:$M,MATCH($L1732,分录报销!$L:$L,0)),"")</f>
        <v/>
      </c>
      <c r="C1732" s="67"/>
      <c r="D1732" s="23" t="str">
        <f aca="false">IFERROR(INDEX(分录报销!$E:$E,MATCH($L1732,分录报销!$L:$L,0)),"")</f>
        <v/>
      </c>
      <c r="E1732" s="23" t="str">
        <f aca="false">IFERROR(INDEX(分录报销!$F:$F,MATCH($L1732,分录报销!$L:$L,0)),"")</f>
        <v/>
      </c>
      <c r="F1732" s="68" t="str">
        <f aca="false">IFERROR(INDEX(分录报销!$H:$H,MATCH($L1732,分录报销!$L:$L,0)),"")</f>
        <v/>
      </c>
      <c r="G1732" s="69" t="str">
        <f aca="false">IFERROR(INDEX(分录报销!$I:$I,MATCH($L1732,分录报销!$L:$L,0)),"")</f>
        <v/>
      </c>
      <c r="H1732" s="23"/>
      <c r="I1732" s="70"/>
      <c r="L1732" s="71" t="n">
        <f aca="false">IF(助手报销!$R$117="",-1,助手报销!$R$117*100+(助手报销!$S$117-1)*6+2)</f>
        <v>-1</v>
      </c>
    </row>
    <row r="1733" customFormat="false" ht="23.25" hidden="false" customHeight="true" outlineLevel="0" collapsed="false">
      <c r="B1733" s="67" t="str">
        <f aca="false">IFERROR(INDEX(分录报销!$M:$M,MATCH($L1733,分录报销!$L:$L,0)),"")</f>
        <v/>
      </c>
      <c r="C1733" s="67"/>
      <c r="D1733" s="23" t="str">
        <f aca="false">IFERROR(INDEX(分录报销!$E:$E,MATCH($L1733,分录报销!$L:$L,0)),"")</f>
        <v/>
      </c>
      <c r="E1733" s="23" t="str">
        <f aca="false">IFERROR(INDEX(分录报销!$F:$F,MATCH($L1733,分录报销!$L:$L,0)),"")</f>
        <v/>
      </c>
      <c r="F1733" s="68" t="str">
        <f aca="false">IFERROR(INDEX(分录报销!$H:$H,MATCH($L1733,分录报销!$L:$L,0)),"")</f>
        <v/>
      </c>
      <c r="G1733" s="69" t="str">
        <f aca="false">IFERROR(INDEX(分录报销!$I:$I,MATCH($L1733,分录报销!$L:$L,0)),"")</f>
        <v/>
      </c>
      <c r="H1733" s="23"/>
      <c r="I1733" s="70"/>
      <c r="L1733" s="71" t="n">
        <f aca="false">IF(助手报销!$R$117="",-1,助手报销!$R$117*100+(助手报销!$S$117-1)*6+3)</f>
        <v>-1</v>
      </c>
    </row>
    <row r="1734" customFormat="false" ht="23.25" hidden="false" customHeight="true" outlineLevel="0" collapsed="false">
      <c r="B1734" s="67" t="str">
        <f aca="false">IFERROR(INDEX(分录报销!$M:$M,MATCH($L1734,分录报销!$L:$L,0)),"")</f>
        <v/>
      </c>
      <c r="C1734" s="67"/>
      <c r="D1734" s="23" t="str">
        <f aca="false">IFERROR(INDEX(分录报销!$E:$E,MATCH($L1734,分录报销!$L:$L,0)),"")</f>
        <v/>
      </c>
      <c r="E1734" s="23" t="str">
        <f aca="false">IFERROR(INDEX(分录报销!$F:$F,MATCH($L1734,分录报销!$L:$L,0)),"")</f>
        <v/>
      </c>
      <c r="F1734" s="68" t="str">
        <f aca="false">IFERROR(INDEX(分录报销!$H:$H,MATCH($L1734,分录报销!$L:$L,0)),"")</f>
        <v/>
      </c>
      <c r="G1734" s="69" t="str">
        <f aca="false">IFERROR(INDEX(分录报销!$I:$I,MATCH($L1734,分录报销!$L:$L,0)),"")</f>
        <v/>
      </c>
      <c r="H1734" s="23"/>
      <c r="I1734" s="70"/>
      <c r="L1734" s="71" t="n">
        <f aca="false">IF(助手报销!$R$117="",-1,助手报销!$R$117*100+(助手报销!$S$117-1)*6+4)</f>
        <v>-1</v>
      </c>
    </row>
    <row r="1735" customFormat="false" ht="23.25" hidden="false" customHeight="true" outlineLevel="0" collapsed="false">
      <c r="B1735" s="67" t="str">
        <f aca="false">IFERROR(INDEX(分录报销!$M:$M,MATCH($L1735,分录报销!$L:$L,0)),"")</f>
        <v/>
      </c>
      <c r="C1735" s="67"/>
      <c r="D1735" s="23" t="str">
        <f aca="false">IFERROR(INDEX(分录报销!$E:$E,MATCH($L1735,分录报销!$L:$L,0)),"")</f>
        <v/>
      </c>
      <c r="E1735" s="23" t="str">
        <f aca="false">IFERROR(INDEX(分录报销!$F:$F,MATCH($L1735,分录报销!$L:$L,0)),"")</f>
        <v/>
      </c>
      <c r="F1735" s="68" t="str">
        <f aca="false">IFERROR(INDEX(分录报销!$H:$H,MATCH($L1735,分录报销!$L:$L,0)),"")</f>
        <v/>
      </c>
      <c r="G1735" s="69" t="str">
        <f aca="false">IFERROR(INDEX(分录报销!$I:$I,MATCH($L1735,分录报销!$L:$L,0)),"")</f>
        <v/>
      </c>
      <c r="H1735" s="23"/>
      <c r="I1735" s="70"/>
      <c r="L1735" s="71" t="n">
        <f aca="false">IF(助手报销!$R$117="",-1,助手报销!$R$117*100+(助手报销!$S$117-1)*6+5)</f>
        <v>-1</v>
      </c>
    </row>
    <row r="1736" customFormat="false" ht="23.25" hidden="false" customHeight="true" outlineLevel="0" collapsed="false">
      <c r="B1736" s="67" t="str">
        <f aca="false">IFERROR(INDEX(分录报销!$M:$M,MATCH($L1736,分录报销!$L:$L,0)),"")</f>
        <v/>
      </c>
      <c r="C1736" s="67"/>
      <c r="D1736" s="23" t="str">
        <f aca="false">IFERROR(INDEX(分录报销!$E:$E,MATCH($L1736,分录报销!$L:$L,0)),"")</f>
        <v/>
      </c>
      <c r="E1736" s="23" t="str">
        <f aca="false">IFERROR(INDEX(分录报销!$F:$F,MATCH($L1736,分录报销!$L:$L,0)),"")</f>
        <v/>
      </c>
      <c r="F1736" s="68" t="str">
        <f aca="false">IFERROR(INDEX(分录报销!$H:$H,MATCH($L1736,分录报销!$L:$L,0)),"")</f>
        <v/>
      </c>
      <c r="G1736" s="69" t="str">
        <f aca="false">IFERROR(INDEX(分录报销!$I:$I,MATCH($L1736,分录报销!$L:$L,0)),"")</f>
        <v/>
      </c>
      <c r="H1736" s="23"/>
      <c r="I1736" s="70"/>
      <c r="L1736" s="71" t="n">
        <f aca="false">IF(助手报销!$R$117="",-1,助手报销!$R$117*100+(助手报销!$S$117-1)*6+6)</f>
        <v>-1</v>
      </c>
    </row>
    <row r="1737" customFormat="false" ht="23.25" hidden="false" customHeight="true" outlineLevel="0" collapsed="false">
      <c r="B1737" s="72" t="str">
        <f aca="false">IF(助手报销!$T$117=1,"合计：","")</f>
        <v/>
      </c>
      <c r="C1737" s="73" t="str">
        <f aca="false">IF(助手报销!$T$117=1,$F1737,"")</f>
        <v/>
      </c>
      <c r="D1737" s="74"/>
      <c r="E1737" s="74"/>
      <c r="F1737" s="75" t="str">
        <f aca="false">IF(助手报销!$T$117=1,INDEX(助手报销!$N$2:$N$121,助手报销!$R$117),"")</f>
        <v/>
      </c>
      <c r="G1737" s="76" t="str">
        <f aca="false">IF(助手报销!$T$117=1,INDEX(助手报销!$O$2:$O$121,助手报销!$R$117),"")</f>
        <v/>
      </c>
      <c r="H1737" s="74"/>
      <c r="I1737" s="77"/>
    </row>
    <row r="1738" customFormat="false" ht="6" hidden="false" customHeight="true" outlineLevel="0" collapsed="false"/>
    <row r="1739" customFormat="false" ht="13.5" hidden="false" customHeight="false" outlineLevel="0" collapsed="false">
      <c r="B1739" s="78" t="str">
        <f aca="false">IF(助手报销!$R$117&lt;&gt;"","会计主管：","")</f>
        <v/>
      </c>
      <c r="D1739" s="78" t="str">
        <f aca="false">IF(助手报销!$R$117&lt;&gt;"","会计：","")</f>
        <v/>
      </c>
      <c r="E1739" s="78" t="str">
        <f aca="false">IF(助手报销!$R$117&lt;&gt;"","出纳：","")</f>
        <v/>
      </c>
      <c r="F1739" s="78" t="str">
        <f aca="false">IF(助手报销!$R$117&lt;&gt;"","复核：","")</f>
        <v/>
      </c>
      <c r="G1739" s="78" t="str">
        <f aca="false">IF(助手报销!$R$117&lt;&gt;"","制单：","")</f>
        <v/>
      </c>
    </row>
    <row r="1740" customFormat="false" ht="3" hidden="false" customHeight="true" outlineLevel="0" collapsed="false"/>
    <row r="1741" customFormat="false" ht="19.5" hidden="false" customHeight="true" outlineLevel="0" collapsed="false">
      <c r="B1741" s="53" t="str">
        <f aca="false">IF(助手报销!$R$118&lt;&gt;"","记  账  凭  证","")</f>
        <v/>
      </c>
      <c r="C1741" s="53"/>
      <c r="D1741" s="53"/>
      <c r="E1741" s="53"/>
      <c r="F1741" s="53"/>
      <c r="G1741" s="53"/>
      <c r="H1741" s="53"/>
      <c r="I1741" s="53"/>
    </row>
    <row r="1742" customFormat="false" ht="3" hidden="false" customHeight="true" outlineLevel="0" collapsed="false"/>
    <row r="1743" customFormat="false" ht="15" hidden="false" customHeight="true" outlineLevel="0" collapsed="false">
      <c r="C1743" s="56" t="str">
        <f aca="false">IF(助手报销!$R$118&lt;&gt;"",INDEX(助手报销!$B$2:$B$121,助手报销!$R$118),"")</f>
        <v/>
      </c>
      <c r="D1743" s="57" t="str">
        <f aca="false">IF(助手报销!$R$118&lt;&gt;"",INDEX(助手报销!$D$2:$D$121,助手报销!$R$118),"")</f>
        <v/>
      </c>
      <c r="E1743" s="57"/>
      <c r="F1743" s="58" t="str">
        <f aca="false">IF(助手报销!$R$118&lt;&gt;"",INDEX(助手报销!$C$2:$C$121,助手报销!$R$118)&amp;"  字第 "&amp;IF(参数!$B$9="是",INDEX(助手报销!$P$2:$P$121,助手报销!$R$118),"　　　　")&amp;" 号"&amp;IF(INDEX(助手报销!$L$2:$L$121,助手报销!$R$118)&gt;1,"  (共"&amp;INDEX(助手报销!$L$2:$L$121,助手报销!$R$118)&amp;"页 第"&amp;助手报销!$S$118&amp;"页)",""),"")</f>
        <v/>
      </c>
      <c r="G1743" s="58"/>
      <c r="H1743" s="58"/>
      <c r="I1743" s="58"/>
      <c r="M1743" s="79" t="str">
        <f aca="false">IF(助手报销!$R$118="","",助手报销!$Q$118)</f>
        <v/>
      </c>
      <c r="N1743" s="80" t="str">
        <f aca="false">IF(助手报销!$R$118="","",INDEX(助手报销!$P$2:$P$121,助手报销!$R$118))</f>
        <v/>
      </c>
      <c r="O1743" s="55" t="str">
        <f aca="false">IF(助手报销!$R$118="","",INDEX(助手报销!$C$2:$C$121,助手报销!$R$118)&amp;"  字第 "&amp;INDEX(助手报销!$P$2:$P$121,助手报销!$R$118)&amp;" 号"&amp;IF(INDEX(助手报销!$L$2:$L$121,助手报销!$R$118)&gt;1,"  (共"&amp;INDEX(助手报销!$L$2:$L$121,助手报销!$R$118)&amp;"页 第"&amp;助手报销!$S$118&amp;"页)",""))</f>
        <v/>
      </c>
    </row>
    <row r="1744" customFormat="false" ht="12.75" hidden="false" customHeight="true" outlineLevel="0" collapsed="false">
      <c r="B1744" s="61" t="str">
        <f aca="false">IF(助手报销!$R$118&lt;&gt;"","摘　　要","")</f>
        <v/>
      </c>
      <c r="C1744" s="61"/>
      <c r="D1744" s="62" t="str">
        <f aca="false">IF(助手报销!$R$118&lt;&gt;"","科　　　　目","")</f>
        <v/>
      </c>
      <c r="E1744" s="62"/>
      <c r="F1744" s="61" t="str">
        <f aca="false">IF(助手报销!$R$118&lt;&gt;"","借 方 金 额","")</f>
        <v/>
      </c>
      <c r="G1744" s="62" t="str">
        <f aca="false">IF(助手报销!$R$118&lt;&gt;"","贷 方 金 额","")</f>
        <v/>
      </c>
      <c r="H1744" s="63" t="str">
        <f aca="false">IF(助手报销!$R$118&lt;&gt;"","√","")</f>
        <v/>
      </c>
      <c r="I1744" s="64" t="str">
        <f aca="false">IF(助手报销!$R$118&lt;&gt;"","附单据  张","")</f>
        <v/>
      </c>
    </row>
    <row r="1745" customFormat="false" ht="12.75" hidden="false" customHeight="true" outlineLevel="0" collapsed="false">
      <c r="B1745" s="61"/>
      <c r="C1745" s="61"/>
      <c r="D1745" s="23" t="str">
        <f aca="false">IF(助手报销!$R$118&lt;&gt;"","总 账 科 目","")</f>
        <v/>
      </c>
      <c r="E1745" s="23" t="str">
        <f aca="false">IF(助手报销!$R$118&lt;&gt;"","明 细 科 目","")</f>
        <v/>
      </c>
      <c r="F1745" s="65"/>
      <c r="G1745" s="66"/>
      <c r="H1745" s="63"/>
      <c r="I1745" s="64"/>
    </row>
    <row r="1746" customFormat="false" ht="23.25" hidden="false" customHeight="true" outlineLevel="0" collapsed="false">
      <c r="B1746" s="67" t="str">
        <f aca="false">IFERROR(INDEX(分录报销!$M:$M,MATCH($L1746,分录报销!$L:$L,0)),"")</f>
        <v/>
      </c>
      <c r="C1746" s="67"/>
      <c r="D1746" s="23" t="str">
        <f aca="false">IFERROR(INDEX(分录报销!$E:$E,MATCH($L1746,分录报销!$L:$L,0)),"")</f>
        <v/>
      </c>
      <c r="E1746" s="23" t="str">
        <f aca="false">IFERROR(INDEX(分录报销!$F:$F,MATCH($L1746,分录报销!$L:$L,0)),"")</f>
        <v/>
      </c>
      <c r="F1746" s="68" t="str">
        <f aca="false">IFERROR(INDEX(分录报销!$H:$H,MATCH($L1746,分录报销!$L:$L,0)),"")</f>
        <v/>
      </c>
      <c r="G1746" s="69" t="str">
        <f aca="false">IFERROR(INDEX(分录报销!$I:$I,MATCH($L1746,分录报销!$L:$L,0)),"")</f>
        <v/>
      </c>
      <c r="H1746" s="23"/>
      <c r="I1746" s="70"/>
      <c r="L1746" s="71" t="n">
        <f aca="false">IF(助手报销!$R$118="",-1,助手报销!$R$118*100+(助手报销!$S$118-1)*6+1)</f>
        <v>-1</v>
      </c>
    </row>
    <row r="1747" customFormat="false" ht="23.25" hidden="false" customHeight="true" outlineLevel="0" collapsed="false">
      <c r="B1747" s="67" t="str">
        <f aca="false">IFERROR(INDEX(分录报销!$M:$M,MATCH($L1747,分录报销!$L:$L,0)),"")</f>
        <v/>
      </c>
      <c r="C1747" s="67"/>
      <c r="D1747" s="23" t="str">
        <f aca="false">IFERROR(INDEX(分录报销!$E:$E,MATCH($L1747,分录报销!$L:$L,0)),"")</f>
        <v/>
      </c>
      <c r="E1747" s="23" t="str">
        <f aca="false">IFERROR(INDEX(分录报销!$F:$F,MATCH($L1747,分录报销!$L:$L,0)),"")</f>
        <v/>
      </c>
      <c r="F1747" s="68" t="str">
        <f aca="false">IFERROR(INDEX(分录报销!$H:$H,MATCH($L1747,分录报销!$L:$L,0)),"")</f>
        <v/>
      </c>
      <c r="G1747" s="69" t="str">
        <f aca="false">IFERROR(INDEX(分录报销!$I:$I,MATCH($L1747,分录报销!$L:$L,0)),"")</f>
        <v/>
      </c>
      <c r="H1747" s="23"/>
      <c r="I1747" s="70"/>
      <c r="L1747" s="71" t="n">
        <f aca="false">IF(助手报销!$R$118="",-1,助手报销!$R$118*100+(助手报销!$S$118-1)*6+2)</f>
        <v>-1</v>
      </c>
    </row>
    <row r="1748" customFormat="false" ht="23.25" hidden="false" customHeight="true" outlineLevel="0" collapsed="false">
      <c r="B1748" s="67" t="str">
        <f aca="false">IFERROR(INDEX(分录报销!$M:$M,MATCH($L1748,分录报销!$L:$L,0)),"")</f>
        <v/>
      </c>
      <c r="C1748" s="67"/>
      <c r="D1748" s="23" t="str">
        <f aca="false">IFERROR(INDEX(分录报销!$E:$E,MATCH($L1748,分录报销!$L:$L,0)),"")</f>
        <v/>
      </c>
      <c r="E1748" s="23" t="str">
        <f aca="false">IFERROR(INDEX(分录报销!$F:$F,MATCH($L1748,分录报销!$L:$L,0)),"")</f>
        <v/>
      </c>
      <c r="F1748" s="68" t="str">
        <f aca="false">IFERROR(INDEX(分录报销!$H:$H,MATCH($L1748,分录报销!$L:$L,0)),"")</f>
        <v/>
      </c>
      <c r="G1748" s="69" t="str">
        <f aca="false">IFERROR(INDEX(分录报销!$I:$I,MATCH($L1748,分录报销!$L:$L,0)),"")</f>
        <v/>
      </c>
      <c r="H1748" s="23"/>
      <c r="I1748" s="70"/>
      <c r="L1748" s="71" t="n">
        <f aca="false">IF(助手报销!$R$118="",-1,助手报销!$R$118*100+(助手报销!$S$118-1)*6+3)</f>
        <v>-1</v>
      </c>
    </row>
    <row r="1749" customFormat="false" ht="23.25" hidden="false" customHeight="true" outlineLevel="0" collapsed="false">
      <c r="B1749" s="67" t="str">
        <f aca="false">IFERROR(INDEX(分录报销!$M:$M,MATCH($L1749,分录报销!$L:$L,0)),"")</f>
        <v/>
      </c>
      <c r="C1749" s="67"/>
      <c r="D1749" s="23" t="str">
        <f aca="false">IFERROR(INDEX(分录报销!$E:$E,MATCH($L1749,分录报销!$L:$L,0)),"")</f>
        <v/>
      </c>
      <c r="E1749" s="23" t="str">
        <f aca="false">IFERROR(INDEX(分录报销!$F:$F,MATCH($L1749,分录报销!$L:$L,0)),"")</f>
        <v/>
      </c>
      <c r="F1749" s="68" t="str">
        <f aca="false">IFERROR(INDEX(分录报销!$H:$H,MATCH($L1749,分录报销!$L:$L,0)),"")</f>
        <v/>
      </c>
      <c r="G1749" s="69" t="str">
        <f aca="false">IFERROR(INDEX(分录报销!$I:$I,MATCH($L1749,分录报销!$L:$L,0)),"")</f>
        <v/>
      </c>
      <c r="H1749" s="23"/>
      <c r="I1749" s="70"/>
      <c r="L1749" s="71" t="n">
        <f aca="false">IF(助手报销!$R$118="",-1,助手报销!$R$118*100+(助手报销!$S$118-1)*6+4)</f>
        <v>-1</v>
      </c>
    </row>
    <row r="1750" customFormat="false" ht="23.25" hidden="false" customHeight="true" outlineLevel="0" collapsed="false">
      <c r="B1750" s="67" t="str">
        <f aca="false">IFERROR(INDEX(分录报销!$M:$M,MATCH($L1750,分录报销!$L:$L,0)),"")</f>
        <v/>
      </c>
      <c r="C1750" s="67"/>
      <c r="D1750" s="23" t="str">
        <f aca="false">IFERROR(INDEX(分录报销!$E:$E,MATCH($L1750,分录报销!$L:$L,0)),"")</f>
        <v/>
      </c>
      <c r="E1750" s="23" t="str">
        <f aca="false">IFERROR(INDEX(分录报销!$F:$F,MATCH($L1750,分录报销!$L:$L,0)),"")</f>
        <v/>
      </c>
      <c r="F1750" s="68" t="str">
        <f aca="false">IFERROR(INDEX(分录报销!$H:$H,MATCH($L1750,分录报销!$L:$L,0)),"")</f>
        <v/>
      </c>
      <c r="G1750" s="69" t="str">
        <f aca="false">IFERROR(INDEX(分录报销!$I:$I,MATCH($L1750,分录报销!$L:$L,0)),"")</f>
        <v/>
      </c>
      <c r="H1750" s="23"/>
      <c r="I1750" s="70"/>
      <c r="L1750" s="71" t="n">
        <f aca="false">IF(助手报销!$R$118="",-1,助手报销!$R$118*100+(助手报销!$S$118-1)*6+5)</f>
        <v>-1</v>
      </c>
    </row>
    <row r="1751" customFormat="false" ht="23.25" hidden="false" customHeight="true" outlineLevel="0" collapsed="false">
      <c r="B1751" s="67" t="str">
        <f aca="false">IFERROR(INDEX(分录报销!$M:$M,MATCH($L1751,分录报销!$L:$L,0)),"")</f>
        <v/>
      </c>
      <c r="C1751" s="67"/>
      <c r="D1751" s="23" t="str">
        <f aca="false">IFERROR(INDEX(分录报销!$E:$E,MATCH($L1751,分录报销!$L:$L,0)),"")</f>
        <v/>
      </c>
      <c r="E1751" s="23" t="str">
        <f aca="false">IFERROR(INDEX(分录报销!$F:$F,MATCH($L1751,分录报销!$L:$L,0)),"")</f>
        <v/>
      </c>
      <c r="F1751" s="68" t="str">
        <f aca="false">IFERROR(INDEX(分录报销!$H:$H,MATCH($L1751,分录报销!$L:$L,0)),"")</f>
        <v/>
      </c>
      <c r="G1751" s="69" t="str">
        <f aca="false">IFERROR(INDEX(分录报销!$I:$I,MATCH($L1751,分录报销!$L:$L,0)),"")</f>
        <v/>
      </c>
      <c r="H1751" s="23"/>
      <c r="I1751" s="70"/>
      <c r="L1751" s="71" t="n">
        <f aca="false">IF(助手报销!$R$118="",-1,助手报销!$R$118*100+(助手报销!$S$118-1)*6+6)</f>
        <v>-1</v>
      </c>
    </row>
    <row r="1752" customFormat="false" ht="23.25" hidden="false" customHeight="true" outlineLevel="0" collapsed="false">
      <c r="B1752" s="72" t="str">
        <f aca="false">IF(助手报销!$T$118=1,"合计：","")</f>
        <v/>
      </c>
      <c r="C1752" s="73" t="str">
        <f aca="false">IF(助手报销!$T$118=1,$F1752,"")</f>
        <v/>
      </c>
      <c r="D1752" s="74"/>
      <c r="E1752" s="74"/>
      <c r="F1752" s="75" t="str">
        <f aca="false">IF(助手报销!$T$118=1,INDEX(助手报销!$N$2:$N$121,助手报销!$R$118),"")</f>
        <v/>
      </c>
      <c r="G1752" s="76" t="str">
        <f aca="false">IF(助手报销!$T$118=1,INDEX(助手报销!$O$2:$O$121,助手报销!$R$118),"")</f>
        <v/>
      </c>
      <c r="H1752" s="74"/>
      <c r="I1752" s="77"/>
    </row>
    <row r="1753" customFormat="false" ht="6" hidden="false" customHeight="true" outlineLevel="0" collapsed="false"/>
    <row r="1754" customFormat="false" ht="13.5" hidden="false" customHeight="false" outlineLevel="0" collapsed="false">
      <c r="B1754" s="78" t="str">
        <f aca="false">IF(助手报销!$R$118&lt;&gt;"","会计主管：","")</f>
        <v/>
      </c>
      <c r="D1754" s="78" t="str">
        <f aca="false">IF(助手报销!$R$118&lt;&gt;"","会计：","")</f>
        <v/>
      </c>
      <c r="E1754" s="78" t="str">
        <f aca="false">IF(助手报销!$R$118&lt;&gt;"","出纳：","")</f>
        <v/>
      </c>
      <c r="F1754" s="78" t="str">
        <f aca="false">IF(助手报销!$R$118&lt;&gt;"","复核：","")</f>
        <v/>
      </c>
      <c r="G1754" s="78" t="str">
        <f aca="false">IF(助手报销!$R$118&lt;&gt;"","制单：","")</f>
        <v/>
      </c>
    </row>
    <row r="1755" customFormat="false" ht="3" hidden="false" customHeight="true" outlineLevel="0" collapsed="false"/>
    <row r="1756" customFormat="false" ht="19.5" hidden="false" customHeight="true" outlineLevel="0" collapsed="false">
      <c r="B1756" s="53" t="str">
        <f aca="false">IF(助手报销!$R$119&lt;&gt;"","记  账  凭  证","")</f>
        <v/>
      </c>
      <c r="C1756" s="53"/>
      <c r="D1756" s="53"/>
      <c r="E1756" s="53"/>
      <c r="F1756" s="53"/>
      <c r="G1756" s="53"/>
      <c r="H1756" s="53"/>
      <c r="I1756" s="53"/>
    </row>
    <row r="1757" customFormat="false" ht="3" hidden="false" customHeight="true" outlineLevel="0" collapsed="false"/>
    <row r="1758" customFormat="false" ht="15" hidden="false" customHeight="true" outlineLevel="0" collapsed="false">
      <c r="C1758" s="56" t="str">
        <f aca="false">IF(助手报销!$R$119&lt;&gt;"",INDEX(助手报销!$B$2:$B$121,助手报销!$R$119),"")</f>
        <v/>
      </c>
      <c r="D1758" s="57" t="str">
        <f aca="false">IF(助手报销!$R$119&lt;&gt;"",INDEX(助手报销!$D$2:$D$121,助手报销!$R$119),"")</f>
        <v/>
      </c>
      <c r="E1758" s="57"/>
      <c r="F1758" s="58" t="str">
        <f aca="false">IF(助手报销!$R$119&lt;&gt;"",INDEX(助手报销!$C$2:$C$121,助手报销!$R$119)&amp;"  字第 "&amp;IF(参数!$B$9="是",INDEX(助手报销!$P$2:$P$121,助手报销!$R$119),"　　　　")&amp;" 号"&amp;IF(INDEX(助手报销!$L$2:$L$121,助手报销!$R$119)&gt;1,"  (共"&amp;INDEX(助手报销!$L$2:$L$121,助手报销!$R$119)&amp;"页 第"&amp;助手报销!$S$119&amp;"页)",""),"")</f>
        <v/>
      </c>
      <c r="G1758" s="58"/>
      <c r="H1758" s="58"/>
      <c r="I1758" s="58"/>
      <c r="M1758" s="79" t="str">
        <f aca="false">IF(助手报销!$R$119="","",助手报销!$Q$119)</f>
        <v/>
      </c>
      <c r="N1758" s="80" t="str">
        <f aca="false">IF(助手报销!$R$119="","",INDEX(助手报销!$P$2:$P$121,助手报销!$R$119))</f>
        <v/>
      </c>
      <c r="O1758" s="55" t="str">
        <f aca="false">IF(助手报销!$R$119="","",INDEX(助手报销!$C$2:$C$121,助手报销!$R$119)&amp;"  字第 "&amp;INDEX(助手报销!$P$2:$P$121,助手报销!$R$119)&amp;" 号"&amp;IF(INDEX(助手报销!$L$2:$L$121,助手报销!$R$119)&gt;1,"  (共"&amp;INDEX(助手报销!$L$2:$L$121,助手报销!$R$119)&amp;"页 第"&amp;助手报销!$S$119&amp;"页)",""))</f>
        <v/>
      </c>
    </row>
    <row r="1759" customFormat="false" ht="12.75" hidden="false" customHeight="true" outlineLevel="0" collapsed="false">
      <c r="B1759" s="61" t="str">
        <f aca="false">IF(助手报销!$R$119&lt;&gt;"","摘　　要","")</f>
        <v/>
      </c>
      <c r="C1759" s="61"/>
      <c r="D1759" s="62" t="str">
        <f aca="false">IF(助手报销!$R$119&lt;&gt;"","科　　　　目","")</f>
        <v/>
      </c>
      <c r="E1759" s="62"/>
      <c r="F1759" s="61" t="str">
        <f aca="false">IF(助手报销!$R$119&lt;&gt;"","借 方 金 额","")</f>
        <v/>
      </c>
      <c r="G1759" s="62" t="str">
        <f aca="false">IF(助手报销!$R$119&lt;&gt;"","贷 方 金 额","")</f>
        <v/>
      </c>
      <c r="H1759" s="63" t="str">
        <f aca="false">IF(助手报销!$R$119&lt;&gt;"","√","")</f>
        <v/>
      </c>
      <c r="I1759" s="64" t="str">
        <f aca="false">IF(助手报销!$R$119&lt;&gt;"","附单据  张","")</f>
        <v/>
      </c>
    </row>
    <row r="1760" customFormat="false" ht="12.75" hidden="false" customHeight="true" outlineLevel="0" collapsed="false">
      <c r="B1760" s="61"/>
      <c r="C1760" s="61"/>
      <c r="D1760" s="23" t="str">
        <f aca="false">IF(助手报销!$R$119&lt;&gt;"","总 账 科 目","")</f>
        <v/>
      </c>
      <c r="E1760" s="23" t="str">
        <f aca="false">IF(助手报销!$R$119&lt;&gt;"","明 细 科 目","")</f>
        <v/>
      </c>
      <c r="F1760" s="65"/>
      <c r="G1760" s="66"/>
      <c r="H1760" s="63"/>
      <c r="I1760" s="64"/>
    </row>
    <row r="1761" customFormat="false" ht="23.25" hidden="false" customHeight="true" outlineLevel="0" collapsed="false">
      <c r="B1761" s="67" t="str">
        <f aca="false">IFERROR(INDEX(分录报销!$M:$M,MATCH($L1761,分录报销!$L:$L,0)),"")</f>
        <v/>
      </c>
      <c r="C1761" s="67"/>
      <c r="D1761" s="23" t="str">
        <f aca="false">IFERROR(INDEX(分录报销!$E:$E,MATCH($L1761,分录报销!$L:$L,0)),"")</f>
        <v/>
      </c>
      <c r="E1761" s="23" t="str">
        <f aca="false">IFERROR(INDEX(分录报销!$F:$F,MATCH($L1761,分录报销!$L:$L,0)),"")</f>
        <v/>
      </c>
      <c r="F1761" s="68" t="str">
        <f aca="false">IFERROR(INDEX(分录报销!$H:$H,MATCH($L1761,分录报销!$L:$L,0)),"")</f>
        <v/>
      </c>
      <c r="G1761" s="69" t="str">
        <f aca="false">IFERROR(INDEX(分录报销!$I:$I,MATCH($L1761,分录报销!$L:$L,0)),"")</f>
        <v/>
      </c>
      <c r="H1761" s="23"/>
      <c r="I1761" s="70"/>
      <c r="L1761" s="71" t="n">
        <f aca="false">IF(助手报销!$R$119="",-1,助手报销!$R$119*100+(助手报销!$S$119-1)*6+1)</f>
        <v>-1</v>
      </c>
    </row>
    <row r="1762" customFormat="false" ht="23.25" hidden="false" customHeight="true" outlineLevel="0" collapsed="false">
      <c r="B1762" s="67" t="str">
        <f aca="false">IFERROR(INDEX(分录报销!$M:$M,MATCH($L1762,分录报销!$L:$L,0)),"")</f>
        <v/>
      </c>
      <c r="C1762" s="67"/>
      <c r="D1762" s="23" t="str">
        <f aca="false">IFERROR(INDEX(分录报销!$E:$E,MATCH($L1762,分录报销!$L:$L,0)),"")</f>
        <v/>
      </c>
      <c r="E1762" s="23" t="str">
        <f aca="false">IFERROR(INDEX(分录报销!$F:$F,MATCH($L1762,分录报销!$L:$L,0)),"")</f>
        <v/>
      </c>
      <c r="F1762" s="68" t="str">
        <f aca="false">IFERROR(INDEX(分录报销!$H:$H,MATCH($L1762,分录报销!$L:$L,0)),"")</f>
        <v/>
      </c>
      <c r="G1762" s="69" t="str">
        <f aca="false">IFERROR(INDEX(分录报销!$I:$I,MATCH($L1762,分录报销!$L:$L,0)),"")</f>
        <v/>
      </c>
      <c r="H1762" s="23"/>
      <c r="I1762" s="70"/>
      <c r="L1762" s="71" t="n">
        <f aca="false">IF(助手报销!$R$119="",-1,助手报销!$R$119*100+(助手报销!$S$119-1)*6+2)</f>
        <v>-1</v>
      </c>
    </row>
    <row r="1763" customFormat="false" ht="23.25" hidden="false" customHeight="true" outlineLevel="0" collapsed="false">
      <c r="B1763" s="67" t="str">
        <f aca="false">IFERROR(INDEX(分录报销!$M:$M,MATCH($L1763,分录报销!$L:$L,0)),"")</f>
        <v/>
      </c>
      <c r="C1763" s="67"/>
      <c r="D1763" s="23" t="str">
        <f aca="false">IFERROR(INDEX(分录报销!$E:$E,MATCH($L1763,分录报销!$L:$L,0)),"")</f>
        <v/>
      </c>
      <c r="E1763" s="23" t="str">
        <f aca="false">IFERROR(INDEX(分录报销!$F:$F,MATCH($L1763,分录报销!$L:$L,0)),"")</f>
        <v/>
      </c>
      <c r="F1763" s="68" t="str">
        <f aca="false">IFERROR(INDEX(分录报销!$H:$H,MATCH($L1763,分录报销!$L:$L,0)),"")</f>
        <v/>
      </c>
      <c r="G1763" s="69" t="str">
        <f aca="false">IFERROR(INDEX(分录报销!$I:$I,MATCH($L1763,分录报销!$L:$L,0)),"")</f>
        <v/>
      </c>
      <c r="H1763" s="23"/>
      <c r="I1763" s="70"/>
      <c r="L1763" s="71" t="n">
        <f aca="false">IF(助手报销!$R$119="",-1,助手报销!$R$119*100+(助手报销!$S$119-1)*6+3)</f>
        <v>-1</v>
      </c>
    </row>
    <row r="1764" customFormat="false" ht="23.25" hidden="false" customHeight="true" outlineLevel="0" collapsed="false">
      <c r="B1764" s="67" t="str">
        <f aca="false">IFERROR(INDEX(分录报销!$M:$M,MATCH($L1764,分录报销!$L:$L,0)),"")</f>
        <v/>
      </c>
      <c r="C1764" s="67"/>
      <c r="D1764" s="23" t="str">
        <f aca="false">IFERROR(INDEX(分录报销!$E:$E,MATCH($L1764,分录报销!$L:$L,0)),"")</f>
        <v/>
      </c>
      <c r="E1764" s="23" t="str">
        <f aca="false">IFERROR(INDEX(分录报销!$F:$F,MATCH($L1764,分录报销!$L:$L,0)),"")</f>
        <v/>
      </c>
      <c r="F1764" s="68" t="str">
        <f aca="false">IFERROR(INDEX(分录报销!$H:$H,MATCH($L1764,分录报销!$L:$L,0)),"")</f>
        <v/>
      </c>
      <c r="G1764" s="69" t="str">
        <f aca="false">IFERROR(INDEX(分录报销!$I:$I,MATCH($L1764,分录报销!$L:$L,0)),"")</f>
        <v/>
      </c>
      <c r="H1764" s="23"/>
      <c r="I1764" s="70"/>
      <c r="L1764" s="71" t="n">
        <f aca="false">IF(助手报销!$R$119="",-1,助手报销!$R$119*100+(助手报销!$S$119-1)*6+4)</f>
        <v>-1</v>
      </c>
    </row>
    <row r="1765" customFormat="false" ht="23.25" hidden="false" customHeight="true" outlineLevel="0" collapsed="false">
      <c r="B1765" s="67" t="str">
        <f aca="false">IFERROR(INDEX(分录报销!$M:$M,MATCH($L1765,分录报销!$L:$L,0)),"")</f>
        <v/>
      </c>
      <c r="C1765" s="67"/>
      <c r="D1765" s="23" t="str">
        <f aca="false">IFERROR(INDEX(分录报销!$E:$E,MATCH($L1765,分录报销!$L:$L,0)),"")</f>
        <v/>
      </c>
      <c r="E1765" s="23" t="str">
        <f aca="false">IFERROR(INDEX(分录报销!$F:$F,MATCH($L1765,分录报销!$L:$L,0)),"")</f>
        <v/>
      </c>
      <c r="F1765" s="68" t="str">
        <f aca="false">IFERROR(INDEX(分录报销!$H:$H,MATCH($L1765,分录报销!$L:$L,0)),"")</f>
        <v/>
      </c>
      <c r="G1765" s="69" t="str">
        <f aca="false">IFERROR(INDEX(分录报销!$I:$I,MATCH($L1765,分录报销!$L:$L,0)),"")</f>
        <v/>
      </c>
      <c r="H1765" s="23"/>
      <c r="I1765" s="70"/>
      <c r="L1765" s="71" t="n">
        <f aca="false">IF(助手报销!$R$119="",-1,助手报销!$R$119*100+(助手报销!$S$119-1)*6+5)</f>
        <v>-1</v>
      </c>
    </row>
    <row r="1766" customFormat="false" ht="23.25" hidden="false" customHeight="true" outlineLevel="0" collapsed="false">
      <c r="B1766" s="67" t="str">
        <f aca="false">IFERROR(INDEX(分录报销!$M:$M,MATCH($L1766,分录报销!$L:$L,0)),"")</f>
        <v/>
      </c>
      <c r="C1766" s="67"/>
      <c r="D1766" s="23" t="str">
        <f aca="false">IFERROR(INDEX(分录报销!$E:$E,MATCH($L1766,分录报销!$L:$L,0)),"")</f>
        <v/>
      </c>
      <c r="E1766" s="23" t="str">
        <f aca="false">IFERROR(INDEX(分录报销!$F:$F,MATCH($L1766,分录报销!$L:$L,0)),"")</f>
        <v/>
      </c>
      <c r="F1766" s="68" t="str">
        <f aca="false">IFERROR(INDEX(分录报销!$H:$H,MATCH($L1766,分录报销!$L:$L,0)),"")</f>
        <v/>
      </c>
      <c r="G1766" s="69" t="str">
        <f aca="false">IFERROR(INDEX(分录报销!$I:$I,MATCH($L1766,分录报销!$L:$L,0)),"")</f>
        <v/>
      </c>
      <c r="H1766" s="23"/>
      <c r="I1766" s="70"/>
      <c r="L1766" s="71" t="n">
        <f aca="false">IF(助手报销!$R$119="",-1,助手报销!$R$119*100+(助手报销!$S$119-1)*6+6)</f>
        <v>-1</v>
      </c>
    </row>
    <row r="1767" customFormat="false" ht="23.25" hidden="false" customHeight="true" outlineLevel="0" collapsed="false">
      <c r="B1767" s="72" t="str">
        <f aca="false">IF(助手报销!$T$119=1,"合计：","")</f>
        <v/>
      </c>
      <c r="C1767" s="73" t="str">
        <f aca="false">IF(助手报销!$T$119=1,$F1767,"")</f>
        <v/>
      </c>
      <c r="D1767" s="74"/>
      <c r="E1767" s="74"/>
      <c r="F1767" s="75" t="str">
        <f aca="false">IF(助手报销!$T$119=1,INDEX(助手报销!$N$2:$N$121,助手报销!$R$119),"")</f>
        <v/>
      </c>
      <c r="G1767" s="76" t="str">
        <f aca="false">IF(助手报销!$T$119=1,INDEX(助手报销!$O$2:$O$121,助手报销!$R$119),"")</f>
        <v/>
      </c>
      <c r="H1767" s="74"/>
      <c r="I1767" s="77"/>
    </row>
    <row r="1768" customFormat="false" ht="6" hidden="false" customHeight="true" outlineLevel="0" collapsed="false"/>
    <row r="1769" customFormat="false" ht="13.5" hidden="false" customHeight="false" outlineLevel="0" collapsed="false">
      <c r="B1769" s="78" t="str">
        <f aca="false">IF(助手报销!$R$119&lt;&gt;"","会计主管：","")</f>
        <v/>
      </c>
      <c r="D1769" s="78" t="str">
        <f aca="false">IF(助手报销!$R$119&lt;&gt;"","会计：","")</f>
        <v/>
      </c>
      <c r="E1769" s="78" t="str">
        <f aca="false">IF(助手报销!$R$119&lt;&gt;"","出纳：","")</f>
        <v/>
      </c>
      <c r="F1769" s="78" t="str">
        <f aca="false">IF(助手报销!$R$119&lt;&gt;"","复核：","")</f>
        <v/>
      </c>
      <c r="G1769" s="78" t="str">
        <f aca="false">IF(助手报销!$R$119&lt;&gt;"","制单：","")</f>
        <v/>
      </c>
    </row>
    <row r="1770" customFormat="false" ht="3" hidden="false" customHeight="true" outlineLevel="0" collapsed="false"/>
    <row r="1771" customFormat="false" ht="19.5" hidden="false" customHeight="true" outlineLevel="0" collapsed="false">
      <c r="B1771" s="53" t="str">
        <f aca="false">IF(助手报销!$R$120&lt;&gt;"","记  账  凭  证","")</f>
        <v/>
      </c>
      <c r="C1771" s="53"/>
      <c r="D1771" s="53"/>
      <c r="E1771" s="53"/>
      <c r="F1771" s="53"/>
      <c r="G1771" s="53"/>
      <c r="H1771" s="53"/>
      <c r="I1771" s="53"/>
    </row>
    <row r="1772" customFormat="false" ht="3" hidden="false" customHeight="true" outlineLevel="0" collapsed="false"/>
    <row r="1773" customFormat="false" ht="15" hidden="false" customHeight="true" outlineLevel="0" collapsed="false">
      <c r="C1773" s="56" t="str">
        <f aca="false">IF(助手报销!$R$120&lt;&gt;"",INDEX(助手报销!$B$2:$B$121,助手报销!$R$120),"")</f>
        <v/>
      </c>
      <c r="D1773" s="57" t="str">
        <f aca="false">IF(助手报销!$R$120&lt;&gt;"",INDEX(助手报销!$D$2:$D$121,助手报销!$R$120),"")</f>
        <v/>
      </c>
      <c r="E1773" s="57"/>
      <c r="F1773" s="58" t="str">
        <f aca="false">IF(助手报销!$R$120&lt;&gt;"",INDEX(助手报销!$C$2:$C$121,助手报销!$R$120)&amp;"  字第 "&amp;IF(参数!$B$9="是",INDEX(助手报销!$P$2:$P$121,助手报销!$R$120),"　　　　")&amp;" 号"&amp;IF(INDEX(助手报销!$L$2:$L$121,助手报销!$R$120)&gt;1,"  (共"&amp;INDEX(助手报销!$L$2:$L$121,助手报销!$R$120)&amp;"页 第"&amp;助手报销!$S$120&amp;"页)",""),"")</f>
        <v/>
      </c>
      <c r="G1773" s="58"/>
      <c r="H1773" s="58"/>
      <c r="I1773" s="58"/>
      <c r="M1773" s="79" t="str">
        <f aca="false">IF(助手报销!$R$120="","",助手报销!$Q$120)</f>
        <v/>
      </c>
      <c r="N1773" s="80" t="str">
        <f aca="false">IF(助手报销!$R$120="","",INDEX(助手报销!$P$2:$P$121,助手报销!$R$120))</f>
        <v/>
      </c>
      <c r="O1773" s="55" t="str">
        <f aca="false">IF(助手报销!$R$120="","",INDEX(助手报销!$C$2:$C$121,助手报销!$R$120)&amp;"  字第 "&amp;INDEX(助手报销!$P$2:$P$121,助手报销!$R$120)&amp;" 号"&amp;IF(INDEX(助手报销!$L$2:$L$121,助手报销!$R$120)&gt;1,"  (共"&amp;INDEX(助手报销!$L$2:$L$121,助手报销!$R$120)&amp;"页 第"&amp;助手报销!$S$120&amp;"页)",""))</f>
        <v/>
      </c>
    </row>
    <row r="1774" customFormat="false" ht="12.75" hidden="false" customHeight="true" outlineLevel="0" collapsed="false">
      <c r="B1774" s="61" t="str">
        <f aca="false">IF(助手报销!$R$120&lt;&gt;"","摘　　要","")</f>
        <v/>
      </c>
      <c r="C1774" s="61"/>
      <c r="D1774" s="62" t="str">
        <f aca="false">IF(助手报销!$R$120&lt;&gt;"","科　　　　目","")</f>
        <v/>
      </c>
      <c r="E1774" s="62"/>
      <c r="F1774" s="61" t="str">
        <f aca="false">IF(助手报销!$R$120&lt;&gt;"","借 方 金 额","")</f>
        <v/>
      </c>
      <c r="G1774" s="62" t="str">
        <f aca="false">IF(助手报销!$R$120&lt;&gt;"","贷 方 金 额","")</f>
        <v/>
      </c>
      <c r="H1774" s="63" t="str">
        <f aca="false">IF(助手报销!$R$120&lt;&gt;"","√","")</f>
        <v/>
      </c>
      <c r="I1774" s="64" t="str">
        <f aca="false">IF(助手报销!$R$120&lt;&gt;"","附单据  张","")</f>
        <v/>
      </c>
    </row>
    <row r="1775" customFormat="false" ht="12.75" hidden="false" customHeight="true" outlineLevel="0" collapsed="false">
      <c r="B1775" s="61"/>
      <c r="C1775" s="61"/>
      <c r="D1775" s="23" t="str">
        <f aca="false">IF(助手报销!$R$120&lt;&gt;"","总 账 科 目","")</f>
        <v/>
      </c>
      <c r="E1775" s="23" t="str">
        <f aca="false">IF(助手报销!$R$120&lt;&gt;"","明 细 科 目","")</f>
        <v/>
      </c>
      <c r="F1775" s="65"/>
      <c r="G1775" s="66"/>
      <c r="H1775" s="63"/>
      <c r="I1775" s="64"/>
    </row>
    <row r="1776" customFormat="false" ht="23.25" hidden="false" customHeight="true" outlineLevel="0" collapsed="false">
      <c r="B1776" s="67" t="str">
        <f aca="false">IFERROR(INDEX(分录报销!$M:$M,MATCH($L1776,分录报销!$L:$L,0)),"")</f>
        <v/>
      </c>
      <c r="C1776" s="67"/>
      <c r="D1776" s="23" t="str">
        <f aca="false">IFERROR(INDEX(分录报销!$E:$E,MATCH($L1776,分录报销!$L:$L,0)),"")</f>
        <v/>
      </c>
      <c r="E1776" s="23" t="str">
        <f aca="false">IFERROR(INDEX(分录报销!$F:$F,MATCH($L1776,分录报销!$L:$L,0)),"")</f>
        <v/>
      </c>
      <c r="F1776" s="68" t="str">
        <f aca="false">IFERROR(INDEX(分录报销!$H:$H,MATCH($L1776,分录报销!$L:$L,0)),"")</f>
        <v/>
      </c>
      <c r="G1776" s="69" t="str">
        <f aca="false">IFERROR(INDEX(分录报销!$I:$I,MATCH($L1776,分录报销!$L:$L,0)),"")</f>
        <v/>
      </c>
      <c r="H1776" s="23"/>
      <c r="I1776" s="70"/>
      <c r="L1776" s="71" t="n">
        <f aca="false">IF(助手报销!$R$120="",-1,助手报销!$R$120*100+(助手报销!$S$120-1)*6+1)</f>
        <v>-1</v>
      </c>
    </row>
    <row r="1777" customFormat="false" ht="23.25" hidden="false" customHeight="true" outlineLevel="0" collapsed="false">
      <c r="B1777" s="67" t="str">
        <f aca="false">IFERROR(INDEX(分录报销!$M:$M,MATCH($L1777,分录报销!$L:$L,0)),"")</f>
        <v/>
      </c>
      <c r="C1777" s="67"/>
      <c r="D1777" s="23" t="str">
        <f aca="false">IFERROR(INDEX(分录报销!$E:$E,MATCH($L1777,分录报销!$L:$L,0)),"")</f>
        <v/>
      </c>
      <c r="E1777" s="23" t="str">
        <f aca="false">IFERROR(INDEX(分录报销!$F:$F,MATCH($L1777,分录报销!$L:$L,0)),"")</f>
        <v/>
      </c>
      <c r="F1777" s="68" t="str">
        <f aca="false">IFERROR(INDEX(分录报销!$H:$H,MATCH($L1777,分录报销!$L:$L,0)),"")</f>
        <v/>
      </c>
      <c r="G1777" s="69" t="str">
        <f aca="false">IFERROR(INDEX(分录报销!$I:$I,MATCH($L1777,分录报销!$L:$L,0)),"")</f>
        <v/>
      </c>
      <c r="H1777" s="23"/>
      <c r="I1777" s="70"/>
      <c r="L1777" s="71" t="n">
        <f aca="false">IF(助手报销!$R$120="",-1,助手报销!$R$120*100+(助手报销!$S$120-1)*6+2)</f>
        <v>-1</v>
      </c>
    </row>
    <row r="1778" customFormat="false" ht="23.25" hidden="false" customHeight="true" outlineLevel="0" collapsed="false">
      <c r="B1778" s="67" t="str">
        <f aca="false">IFERROR(INDEX(分录报销!$M:$M,MATCH($L1778,分录报销!$L:$L,0)),"")</f>
        <v/>
      </c>
      <c r="C1778" s="67"/>
      <c r="D1778" s="23" t="str">
        <f aca="false">IFERROR(INDEX(分录报销!$E:$E,MATCH($L1778,分录报销!$L:$L,0)),"")</f>
        <v/>
      </c>
      <c r="E1778" s="23" t="str">
        <f aca="false">IFERROR(INDEX(分录报销!$F:$F,MATCH($L1778,分录报销!$L:$L,0)),"")</f>
        <v/>
      </c>
      <c r="F1778" s="68" t="str">
        <f aca="false">IFERROR(INDEX(分录报销!$H:$H,MATCH($L1778,分录报销!$L:$L,0)),"")</f>
        <v/>
      </c>
      <c r="G1778" s="69" t="str">
        <f aca="false">IFERROR(INDEX(分录报销!$I:$I,MATCH($L1778,分录报销!$L:$L,0)),"")</f>
        <v/>
      </c>
      <c r="H1778" s="23"/>
      <c r="I1778" s="70"/>
      <c r="L1778" s="71" t="n">
        <f aca="false">IF(助手报销!$R$120="",-1,助手报销!$R$120*100+(助手报销!$S$120-1)*6+3)</f>
        <v>-1</v>
      </c>
    </row>
    <row r="1779" customFormat="false" ht="23.25" hidden="false" customHeight="true" outlineLevel="0" collapsed="false">
      <c r="B1779" s="67" t="str">
        <f aca="false">IFERROR(INDEX(分录报销!$M:$M,MATCH($L1779,分录报销!$L:$L,0)),"")</f>
        <v/>
      </c>
      <c r="C1779" s="67"/>
      <c r="D1779" s="23" t="str">
        <f aca="false">IFERROR(INDEX(分录报销!$E:$E,MATCH($L1779,分录报销!$L:$L,0)),"")</f>
        <v/>
      </c>
      <c r="E1779" s="23" t="str">
        <f aca="false">IFERROR(INDEX(分录报销!$F:$F,MATCH($L1779,分录报销!$L:$L,0)),"")</f>
        <v/>
      </c>
      <c r="F1779" s="68" t="str">
        <f aca="false">IFERROR(INDEX(分录报销!$H:$H,MATCH($L1779,分录报销!$L:$L,0)),"")</f>
        <v/>
      </c>
      <c r="G1779" s="69" t="str">
        <f aca="false">IFERROR(INDEX(分录报销!$I:$I,MATCH($L1779,分录报销!$L:$L,0)),"")</f>
        <v/>
      </c>
      <c r="H1779" s="23"/>
      <c r="I1779" s="70"/>
      <c r="L1779" s="71" t="n">
        <f aca="false">IF(助手报销!$R$120="",-1,助手报销!$R$120*100+(助手报销!$S$120-1)*6+4)</f>
        <v>-1</v>
      </c>
    </row>
    <row r="1780" customFormat="false" ht="23.25" hidden="false" customHeight="true" outlineLevel="0" collapsed="false">
      <c r="B1780" s="67" t="str">
        <f aca="false">IFERROR(INDEX(分录报销!$M:$M,MATCH($L1780,分录报销!$L:$L,0)),"")</f>
        <v/>
      </c>
      <c r="C1780" s="67"/>
      <c r="D1780" s="23" t="str">
        <f aca="false">IFERROR(INDEX(分录报销!$E:$E,MATCH($L1780,分录报销!$L:$L,0)),"")</f>
        <v/>
      </c>
      <c r="E1780" s="23" t="str">
        <f aca="false">IFERROR(INDEX(分录报销!$F:$F,MATCH($L1780,分录报销!$L:$L,0)),"")</f>
        <v/>
      </c>
      <c r="F1780" s="68" t="str">
        <f aca="false">IFERROR(INDEX(分录报销!$H:$H,MATCH($L1780,分录报销!$L:$L,0)),"")</f>
        <v/>
      </c>
      <c r="G1780" s="69" t="str">
        <f aca="false">IFERROR(INDEX(分录报销!$I:$I,MATCH($L1780,分录报销!$L:$L,0)),"")</f>
        <v/>
      </c>
      <c r="H1780" s="23"/>
      <c r="I1780" s="70"/>
      <c r="L1780" s="71" t="n">
        <f aca="false">IF(助手报销!$R$120="",-1,助手报销!$R$120*100+(助手报销!$S$120-1)*6+5)</f>
        <v>-1</v>
      </c>
    </row>
    <row r="1781" customFormat="false" ht="23.25" hidden="false" customHeight="true" outlineLevel="0" collapsed="false">
      <c r="B1781" s="67" t="str">
        <f aca="false">IFERROR(INDEX(分录报销!$M:$M,MATCH($L1781,分录报销!$L:$L,0)),"")</f>
        <v/>
      </c>
      <c r="C1781" s="67"/>
      <c r="D1781" s="23" t="str">
        <f aca="false">IFERROR(INDEX(分录报销!$E:$E,MATCH($L1781,分录报销!$L:$L,0)),"")</f>
        <v/>
      </c>
      <c r="E1781" s="23" t="str">
        <f aca="false">IFERROR(INDEX(分录报销!$F:$F,MATCH($L1781,分录报销!$L:$L,0)),"")</f>
        <v/>
      </c>
      <c r="F1781" s="68" t="str">
        <f aca="false">IFERROR(INDEX(分录报销!$H:$H,MATCH($L1781,分录报销!$L:$L,0)),"")</f>
        <v/>
      </c>
      <c r="G1781" s="69" t="str">
        <f aca="false">IFERROR(INDEX(分录报销!$I:$I,MATCH($L1781,分录报销!$L:$L,0)),"")</f>
        <v/>
      </c>
      <c r="H1781" s="23"/>
      <c r="I1781" s="70"/>
      <c r="L1781" s="71" t="n">
        <f aca="false">IF(助手报销!$R$120="",-1,助手报销!$R$120*100+(助手报销!$S$120-1)*6+6)</f>
        <v>-1</v>
      </c>
    </row>
    <row r="1782" customFormat="false" ht="23.25" hidden="false" customHeight="true" outlineLevel="0" collapsed="false">
      <c r="B1782" s="72" t="str">
        <f aca="false">IF(助手报销!$T$120=1,"合计：","")</f>
        <v/>
      </c>
      <c r="C1782" s="73" t="str">
        <f aca="false">IF(助手报销!$T$120=1,$F1782,"")</f>
        <v/>
      </c>
      <c r="D1782" s="74"/>
      <c r="E1782" s="74"/>
      <c r="F1782" s="75" t="str">
        <f aca="false">IF(助手报销!$T$120=1,INDEX(助手报销!$N$2:$N$121,助手报销!$R$120),"")</f>
        <v/>
      </c>
      <c r="G1782" s="76" t="str">
        <f aca="false">IF(助手报销!$T$120=1,INDEX(助手报销!$O$2:$O$121,助手报销!$R$120),"")</f>
        <v/>
      </c>
      <c r="H1782" s="74"/>
      <c r="I1782" s="77"/>
    </row>
    <row r="1783" customFormat="false" ht="6" hidden="false" customHeight="true" outlineLevel="0" collapsed="false"/>
    <row r="1784" customFormat="false" ht="13.5" hidden="false" customHeight="false" outlineLevel="0" collapsed="false">
      <c r="B1784" s="78" t="str">
        <f aca="false">IF(助手报销!$R$120&lt;&gt;"","会计主管：","")</f>
        <v/>
      </c>
      <c r="D1784" s="78" t="str">
        <f aca="false">IF(助手报销!$R$120&lt;&gt;"","会计：","")</f>
        <v/>
      </c>
      <c r="E1784" s="78" t="str">
        <f aca="false">IF(助手报销!$R$120&lt;&gt;"","出纳：","")</f>
        <v/>
      </c>
      <c r="F1784" s="78" t="str">
        <f aca="false">IF(助手报销!$R$120&lt;&gt;"","复核：","")</f>
        <v/>
      </c>
      <c r="G1784" s="78" t="str">
        <f aca="false">IF(助手报销!$R$120&lt;&gt;"","制单：","")</f>
        <v/>
      </c>
    </row>
    <row r="1785" customFormat="false" ht="3" hidden="false" customHeight="true" outlineLevel="0" collapsed="false"/>
    <row r="1786" customFormat="false" ht="19.5" hidden="false" customHeight="true" outlineLevel="0" collapsed="false">
      <c r="B1786" s="53" t="str">
        <f aca="false">IF(助手报销!$R$121&lt;&gt;"","记  账  凭  证","")</f>
        <v/>
      </c>
      <c r="C1786" s="53"/>
      <c r="D1786" s="53"/>
      <c r="E1786" s="53"/>
      <c r="F1786" s="53"/>
      <c r="G1786" s="53"/>
      <c r="H1786" s="53"/>
      <c r="I1786" s="53"/>
    </row>
    <row r="1787" customFormat="false" ht="3" hidden="false" customHeight="true" outlineLevel="0" collapsed="false"/>
    <row r="1788" customFormat="false" ht="15" hidden="false" customHeight="true" outlineLevel="0" collapsed="false">
      <c r="C1788" s="56" t="str">
        <f aca="false">IF(助手报销!$R$121&lt;&gt;"",INDEX(助手报销!$B$2:$B$121,助手报销!$R$121),"")</f>
        <v/>
      </c>
      <c r="D1788" s="57" t="str">
        <f aca="false">IF(助手报销!$R$121&lt;&gt;"",INDEX(助手报销!$D$2:$D$121,助手报销!$R$121),"")</f>
        <v/>
      </c>
      <c r="E1788" s="57"/>
      <c r="F1788" s="58" t="str">
        <f aca="false">IF(助手报销!$R$121&lt;&gt;"",INDEX(助手报销!$C$2:$C$121,助手报销!$R$121)&amp;"  字第 "&amp;IF(参数!$B$9="是",INDEX(助手报销!$P$2:$P$121,助手报销!$R$121),"　　　　")&amp;" 号"&amp;IF(INDEX(助手报销!$L$2:$L$121,助手报销!$R$121)&gt;1,"  (共"&amp;INDEX(助手报销!$L$2:$L$121,助手报销!$R$121)&amp;"页 第"&amp;助手报销!$S$121&amp;"页)",""),"")</f>
        <v/>
      </c>
      <c r="G1788" s="58"/>
      <c r="H1788" s="58"/>
      <c r="I1788" s="58"/>
      <c r="M1788" s="79" t="str">
        <f aca="false">IF(助手报销!$R$121="","",助手报销!$Q$121)</f>
        <v/>
      </c>
      <c r="N1788" s="80" t="str">
        <f aca="false">IF(助手报销!$R$121="","",INDEX(助手报销!$P$2:$P$121,助手报销!$R$121))</f>
        <v/>
      </c>
      <c r="O1788" s="55" t="str">
        <f aca="false">IF(助手报销!$R$121="","",INDEX(助手报销!$C$2:$C$121,助手报销!$R$121)&amp;"  字第 "&amp;INDEX(助手报销!$P$2:$P$121,助手报销!$R$121)&amp;" 号"&amp;IF(INDEX(助手报销!$L$2:$L$121,助手报销!$R$121)&gt;1,"  (共"&amp;INDEX(助手报销!$L$2:$L$121,助手报销!$R$121)&amp;"页 第"&amp;助手报销!$S$121&amp;"页)",""))</f>
        <v/>
      </c>
    </row>
    <row r="1789" customFormat="false" ht="12.75" hidden="false" customHeight="true" outlineLevel="0" collapsed="false">
      <c r="B1789" s="61" t="str">
        <f aca="false">IF(助手报销!$R$121&lt;&gt;"","摘　　要","")</f>
        <v/>
      </c>
      <c r="C1789" s="61"/>
      <c r="D1789" s="62" t="str">
        <f aca="false">IF(助手报销!$R$121&lt;&gt;"","科　　　　目","")</f>
        <v/>
      </c>
      <c r="E1789" s="62"/>
      <c r="F1789" s="61" t="str">
        <f aca="false">IF(助手报销!$R$121&lt;&gt;"","借 方 金 额","")</f>
        <v/>
      </c>
      <c r="G1789" s="62" t="str">
        <f aca="false">IF(助手报销!$R$121&lt;&gt;"","贷 方 金 额","")</f>
        <v/>
      </c>
      <c r="H1789" s="63" t="str">
        <f aca="false">IF(助手报销!$R$121&lt;&gt;"","√","")</f>
        <v/>
      </c>
      <c r="I1789" s="64" t="str">
        <f aca="false">IF(助手报销!$R$121&lt;&gt;"","附单据  张","")</f>
        <v/>
      </c>
    </row>
    <row r="1790" customFormat="false" ht="12.75" hidden="false" customHeight="true" outlineLevel="0" collapsed="false">
      <c r="B1790" s="61"/>
      <c r="C1790" s="61"/>
      <c r="D1790" s="23" t="str">
        <f aca="false">IF(助手报销!$R$121&lt;&gt;"","总 账 科 目","")</f>
        <v/>
      </c>
      <c r="E1790" s="23" t="str">
        <f aca="false">IF(助手报销!$R$121&lt;&gt;"","明 细 科 目","")</f>
        <v/>
      </c>
      <c r="F1790" s="65"/>
      <c r="G1790" s="66"/>
      <c r="H1790" s="63"/>
      <c r="I1790" s="64"/>
    </row>
    <row r="1791" customFormat="false" ht="23.25" hidden="false" customHeight="true" outlineLevel="0" collapsed="false">
      <c r="B1791" s="67" t="str">
        <f aca="false">IFERROR(INDEX(分录报销!$M:$M,MATCH($L1791,分录报销!$L:$L,0)),"")</f>
        <v/>
      </c>
      <c r="C1791" s="67"/>
      <c r="D1791" s="23" t="str">
        <f aca="false">IFERROR(INDEX(分录报销!$E:$E,MATCH($L1791,分录报销!$L:$L,0)),"")</f>
        <v/>
      </c>
      <c r="E1791" s="23" t="str">
        <f aca="false">IFERROR(INDEX(分录报销!$F:$F,MATCH($L1791,分录报销!$L:$L,0)),"")</f>
        <v/>
      </c>
      <c r="F1791" s="68" t="str">
        <f aca="false">IFERROR(INDEX(分录报销!$H:$H,MATCH($L1791,分录报销!$L:$L,0)),"")</f>
        <v/>
      </c>
      <c r="G1791" s="69" t="str">
        <f aca="false">IFERROR(INDEX(分录报销!$I:$I,MATCH($L1791,分录报销!$L:$L,0)),"")</f>
        <v/>
      </c>
      <c r="H1791" s="23"/>
      <c r="I1791" s="70"/>
      <c r="L1791" s="71" t="n">
        <f aca="false">IF(助手报销!$R$121="",-1,助手报销!$R$121*100+(助手报销!$S$121-1)*6+1)</f>
        <v>-1</v>
      </c>
    </row>
    <row r="1792" customFormat="false" ht="23.25" hidden="false" customHeight="true" outlineLevel="0" collapsed="false">
      <c r="B1792" s="67" t="str">
        <f aca="false">IFERROR(INDEX(分录报销!$M:$M,MATCH($L1792,分录报销!$L:$L,0)),"")</f>
        <v/>
      </c>
      <c r="C1792" s="67"/>
      <c r="D1792" s="23" t="str">
        <f aca="false">IFERROR(INDEX(分录报销!$E:$E,MATCH($L1792,分录报销!$L:$L,0)),"")</f>
        <v/>
      </c>
      <c r="E1792" s="23" t="str">
        <f aca="false">IFERROR(INDEX(分录报销!$F:$F,MATCH($L1792,分录报销!$L:$L,0)),"")</f>
        <v/>
      </c>
      <c r="F1792" s="68" t="str">
        <f aca="false">IFERROR(INDEX(分录报销!$H:$H,MATCH($L1792,分录报销!$L:$L,0)),"")</f>
        <v/>
      </c>
      <c r="G1792" s="69" t="str">
        <f aca="false">IFERROR(INDEX(分录报销!$I:$I,MATCH($L1792,分录报销!$L:$L,0)),"")</f>
        <v/>
      </c>
      <c r="H1792" s="23"/>
      <c r="I1792" s="70"/>
      <c r="L1792" s="71" t="n">
        <f aca="false">IF(助手报销!$R$121="",-1,助手报销!$R$121*100+(助手报销!$S$121-1)*6+2)</f>
        <v>-1</v>
      </c>
    </row>
    <row r="1793" customFormat="false" ht="23.25" hidden="false" customHeight="true" outlineLevel="0" collapsed="false">
      <c r="B1793" s="67" t="str">
        <f aca="false">IFERROR(INDEX(分录报销!$M:$M,MATCH($L1793,分录报销!$L:$L,0)),"")</f>
        <v/>
      </c>
      <c r="C1793" s="67"/>
      <c r="D1793" s="23" t="str">
        <f aca="false">IFERROR(INDEX(分录报销!$E:$E,MATCH($L1793,分录报销!$L:$L,0)),"")</f>
        <v/>
      </c>
      <c r="E1793" s="23" t="str">
        <f aca="false">IFERROR(INDEX(分录报销!$F:$F,MATCH($L1793,分录报销!$L:$L,0)),"")</f>
        <v/>
      </c>
      <c r="F1793" s="68" t="str">
        <f aca="false">IFERROR(INDEX(分录报销!$H:$H,MATCH($L1793,分录报销!$L:$L,0)),"")</f>
        <v/>
      </c>
      <c r="G1793" s="69" t="str">
        <f aca="false">IFERROR(INDEX(分录报销!$I:$I,MATCH($L1793,分录报销!$L:$L,0)),"")</f>
        <v/>
      </c>
      <c r="H1793" s="23"/>
      <c r="I1793" s="70"/>
      <c r="L1793" s="71" t="n">
        <f aca="false">IF(助手报销!$R$121="",-1,助手报销!$R$121*100+(助手报销!$S$121-1)*6+3)</f>
        <v>-1</v>
      </c>
    </row>
    <row r="1794" customFormat="false" ht="23.25" hidden="false" customHeight="true" outlineLevel="0" collapsed="false">
      <c r="B1794" s="67" t="str">
        <f aca="false">IFERROR(INDEX(分录报销!$M:$M,MATCH($L1794,分录报销!$L:$L,0)),"")</f>
        <v/>
      </c>
      <c r="C1794" s="67"/>
      <c r="D1794" s="23" t="str">
        <f aca="false">IFERROR(INDEX(分录报销!$E:$E,MATCH($L1794,分录报销!$L:$L,0)),"")</f>
        <v/>
      </c>
      <c r="E1794" s="23" t="str">
        <f aca="false">IFERROR(INDEX(分录报销!$F:$F,MATCH($L1794,分录报销!$L:$L,0)),"")</f>
        <v/>
      </c>
      <c r="F1794" s="68" t="str">
        <f aca="false">IFERROR(INDEX(分录报销!$H:$H,MATCH($L1794,分录报销!$L:$L,0)),"")</f>
        <v/>
      </c>
      <c r="G1794" s="69" t="str">
        <f aca="false">IFERROR(INDEX(分录报销!$I:$I,MATCH($L1794,分录报销!$L:$L,0)),"")</f>
        <v/>
      </c>
      <c r="H1794" s="23"/>
      <c r="I1794" s="70"/>
      <c r="L1794" s="71" t="n">
        <f aca="false">IF(助手报销!$R$121="",-1,助手报销!$R$121*100+(助手报销!$S$121-1)*6+4)</f>
        <v>-1</v>
      </c>
    </row>
    <row r="1795" customFormat="false" ht="23.25" hidden="false" customHeight="true" outlineLevel="0" collapsed="false">
      <c r="B1795" s="67" t="str">
        <f aca="false">IFERROR(INDEX(分录报销!$M:$M,MATCH($L1795,分录报销!$L:$L,0)),"")</f>
        <v/>
      </c>
      <c r="C1795" s="67"/>
      <c r="D1795" s="23" t="str">
        <f aca="false">IFERROR(INDEX(分录报销!$E:$E,MATCH($L1795,分录报销!$L:$L,0)),"")</f>
        <v/>
      </c>
      <c r="E1795" s="23" t="str">
        <f aca="false">IFERROR(INDEX(分录报销!$F:$F,MATCH($L1795,分录报销!$L:$L,0)),"")</f>
        <v/>
      </c>
      <c r="F1795" s="68" t="str">
        <f aca="false">IFERROR(INDEX(分录报销!$H:$H,MATCH($L1795,分录报销!$L:$L,0)),"")</f>
        <v/>
      </c>
      <c r="G1795" s="69" t="str">
        <f aca="false">IFERROR(INDEX(分录报销!$I:$I,MATCH($L1795,分录报销!$L:$L,0)),"")</f>
        <v/>
      </c>
      <c r="H1795" s="23"/>
      <c r="I1795" s="70"/>
      <c r="L1795" s="71" t="n">
        <f aca="false">IF(助手报销!$R$121="",-1,助手报销!$R$121*100+(助手报销!$S$121-1)*6+5)</f>
        <v>-1</v>
      </c>
    </row>
    <row r="1796" customFormat="false" ht="23.25" hidden="false" customHeight="true" outlineLevel="0" collapsed="false">
      <c r="B1796" s="67" t="str">
        <f aca="false">IFERROR(INDEX(分录报销!$M:$M,MATCH($L1796,分录报销!$L:$L,0)),"")</f>
        <v/>
      </c>
      <c r="C1796" s="67"/>
      <c r="D1796" s="23" t="str">
        <f aca="false">IFERROR(INDEX(分录报销!$E:$E,MATCH($L1796,分录报销!$L:$L,0)),"")</f>
        <v/>
      </c>
      <c r="E1796" s="23" t="str">
        <f aca="false">IFERROR(INDEX(分录报销!$F:$F,MATCH($L1796,分录报销!$L:$L,0)),"")</f>
        <v/>
      </c>
      <c r="F1796" s="68" t="str">
        <f aca="false">IFERROR(INDEX(分录报销!$H:$H,MATCH($L1796,分录报销!$L:$L,0)),"")</f>
        <v/>
      </c>
      <c r="G1796" s="69" t="str">
        <f aca="false">IFERROR(INDEX(分录报销!$I:$I,MATCH($L1796,分录报销!$L:$L,0)),"")</f>
        <v/>
      </c>
      <c r="H1796" s="23"/>
      <c r="I1796" s="70"/>
      <c r="L1796" s="71" t="n">
        <f aca="false">IF(助手报销!$R$121="",-1,助手报销!$R$121*100+(助手报销!$S$121-1)*6+6)</f>
        <v>-1</v>
      </c>
    </row>
    <row r="1797" customFormat="false" ht="23.25" hidden="false" customHeight="true" outlineLevel="0" collapsed="false">
      <c r="B1797" s="72" t="str">
        <f aca="false">IF(助手报销!$T$121=1,"合计：","")</f>
        <v/>
      </c>
      <c r="C1797" s="73" t="str">
        <f aca="false">IF(助手报销!$T$121=1,$F1797,"")</f>
        <v/>
      </c>
      <c r="D1797" s="74"/>
      <c r="E1797" s="74"/>
      <c r="F1797" s="75" t="str">
        <f aca="false">IF(助手报销!$T$121=1,INDEX(助手报销!$N$2:$N$121,助手报销!$R$121),"")</f>
        <v/>
      </c>
      <c r="G1797" s="76" t="str">
        <f aca="false">IF(助手报销!$T$121=1,INDEX(助手报销!$O$2:$O$121,助手报销!$R$121),"")</f>
        <v/>
      </c>
      <c r="H1797" s="74"/>
      <c r="I1797" s="77"/>
    </row>
    <row r="1798" customFormat="false" ht="6" hidden="false" customHeight="true" outlineLevel="0" collapsed="false"/>
    <row r="1799" customFormat="false" ht="13.5" hidden="false" customHeight="false" outlineLevel="0" collapsed="false">
      <c r="B1799" s="78" t="str">
        <f aca="false">IF(助手报销!$R$121&lt;&gt;"","会计主管：","")</f>
        <v/>
      </c>
      <c r="D1799" s="78" t="str">
        <f aca="false">IF(助手报销!$R$121&lt;&gt;"","会计：","")</f>
        <v/>
      </c>
      <c r="E1799" s="78" t="str">
        <f aca="false">IF(助手报销!$R$121&lt;&gt;"","出纳：","")</f>
        <v/>
      </c>
      <c r="F1799" s="78" t="str">
        <f aca="false">IF(助手报销!$R$121&lt;&gt;"","复核：","")</f>
        <v/>
      </c>
      <c r="G1799" s="78" t="str">
        <f aca="false">IF(助手报销!$R$121&lt;&gt;"","制单：","")</f>
        <v/>
      </c>
    </row>
    <row r="1800" customFormat="false" ht="3" hidden="false" customHeight="true" outlineLevel="0" collapsed="false"/>
    <row r="1801" customFormat="false" ht="19.5" hidden="false" customHeight="true" outlineLevel="0" collapsed="false">
      <c r="B1801" s="53" t="str">
        <f aca="false">IF(助手报销!$R$122&lt;&gt;"","记  账  凭  证","")</f>
        <v/>
      </c>
      <c r="C1801" s="53"/>
      <c r="D1801" s="53"/>
      <c r="E1801" s="53"/>
      <c r="F1801" s="53"/>
      <c r="G1801" s="53"/>
      <c r="H1801" s="53"/>
      <c r="I1801" s="53"/>
    </row>
    <row r="1802" customFormat="false" ht="3" hidden="false" customHeight="true" outlineLevel="0" collapsed="false"/>
    <row r="1803" customFormat="false" ht="15" hidden="false" customHeight="true" outlineLevel="0" collapsed="false">
      <c r="C1803" s="56" t="str">
        <f aca="false">IF(助手报销!$R$122&lt;&gt;"",INDEX(助手报销!$B$2:$B$121,助手报销!$R$122),"")</f>
        <v/>
      </c>
      <c r="D1803" s="57" t="str">
        <f aca="false">IF(助手报销!$R$122&lt;&gt;"",INDEX(助手报销!$D$2:$D$121,助手报销!$R$122),"")</f>
        <v/>
      </c>
      <c r="E1803" s="57"/>
      <c r="F1803" s="58" t="str">
        <f aca="false">IF(助手报销!$R$122&lt;&gt;"",INDEX(助手报销!$C$2:$C$121,助手报销!$R$122)&amp;"  字第 "&amp;IF(参数!$B$9="是",INDEX(助手报销!$P$2:$P$121,助手报销!$R$122),"　　　　")&amp;" 号"&amp;IF(INDEX(助手报销!$L$2:$L$121,助手报销!$R$122)&gt;1,"  (共"&amp;INDEX(助手报销!$L$2:$L$121,助手报销!$R$122)&amp;"页 第"&amp;助手报销!$S$122&amp;"页)",""),"")</f>
        <v/>
      </c>
      <c r="G1803" s="58"/>
      <c r="H1803" s="58"/>
      <c r="I1803" s="58"/>
      <c r="M1803" s="79" t="str">
        <f aca="false">IF(助手报销!$R$122="","",助手报销!$Q$122)</f>
        <v/>
      </c>
      <c r="N1803" s="80" t="str">
        <f aca="false">IF(助手报销!$R$122="","",INDEX(助手报销!$P$2:$P$121,助手报销!$R$122))</f>
        <v/>
      </c>
      <c r="O1803" s="55" t="str">
        <f aca="false">IF(助手报销!$R$122="","",INDEX(助手报销!$C$2:$C$121,助手报销!$R$122)&amp;"  字第 "&amp;INDEX(助手报销!$P$2:$P$121,助手报销!$R$122)&amp;" 号"&amp;IF(INDEX(助手报销!$L$2:$L$121,助手报销!$R$122)&gt;1,"  (共"&amp;INDEX(助手报销!$L$2:$L$121,助手报销!$R$122)&amp;"页 第"&amp;助手报销!$S$122&amp;"页)",""))</f>
        <v/>
      </c>
    </row>
    <row r="1804" customFormat="false" ht="12.75" hidden="false" customHeight="true" outlineLevel="0" collapsed="false">
      <c r="B1804" s="61" t="str">
        <f aca="false">IF(助手报销!$R$122&lt;&gt;"","摘　　要","")</f>
        <v/>
      </c>
      <c r="C1804" s="61"/>
      <c r="D1804" s="62" t="str">
        <f aca="false">IF(助手报销!$R$122&lt;&gt;"","科　　　　目","")</f>
        <v/>
      </c>
      <c r="E1804" s="62"/>
      <c r="F1804" s="61" t="str">
        <f aca="false">IF(助手报销!$R$122&lt;&gt;"","借 方 金 额","")</f>
        <v/>
      </c>
      <c r="G1804" s="62" t="str">
        <f aca="false">IF(助手报销!$R$122&lt;&gt;"","贷 方 金 额","")</f>
        <v/>
      </c>
      <c r="H1804" s="63" t="str">
        <f aca="false">IF(助手报销!$R$122&lt;&gt;"","√","")</f>
        <v/>
      </c>
      <c r="I1804" s="64" t="str">
        <f aca="false">IF(助手报销!$R$122&lt;&gt;"","附单据  张","")</f>
        <v/>
      </c>
    </row>
    <row r="1805" customFormat="false" ht="12.75" hidden="false" customHeight="true" outlineLevel="0" collapsed="false">
      <c r="B1805" s="61"/>
      <c r="C1805" s="61"/>
      <c r="D1805" s="23" t="str">
        <f aca="false">IF(助手报销!$R$122&lt;&gt;"","总 账 科 目","")</f>
        <v/>
      </c>
      <c r="E1805" s="23" t="str">
        <f aca="false">IF(助手报销!$R$122&lt;&gt;"","明 细 科 目","")</f>
        <v/>
      </c>
      <c r="F1805" s="65"/>
      <c r="G1805" s="66"/>
      <c r="H1805" s="63"/>
      <c r="I1805" s="64"/>
    </row>
    <row r="1806" customFormat="false" ht="23.25" hidden="false" customHeight="true" outlineLevel="0" collapsed="false">
      <c r="B1806" s="67" t="str">
        <f aca="false">IFERROR(INDEX(分录报销!$M:$M,MATCH($L1806,分录报销!$L:$L,0)),"")</f>
        <v/>
      </c>
      <c r="C1806" s="67"/>
      <c r="D1806" s="23" t="str">
        <f aca="false">IFERROR(INDEX(分录报销!$E:$E,MATCH($L1806,分录报销!$L:$L,0)),"")</f>
        <v/>
      </c>
      <c r="E1806" s="23" t="str">
        <f aca="false">IFERROR(INDEX(分录报销!$F:$F,MATCH($L1806,分录报销!$L:$L,0)),"")</f>
        <v/>
      </c>
      <c r="F1806" s="68" t="str">
        <f aca="false">IFERROR(INDEX(分录报销!$H:$H,MATCH($L1806,分录报销!$L:$L,0)),"")</f>
        <v/>
      </c>
      <c r="G1806" s="69" t="str">
        <f aca="false">IFERROR(INDEX(分录报销!$I:$I,MATCH($L1806,分录报销!$L:$L,0)),"")</f>
        <v/>
      </c>
      <c r="H1806" s="23"/>
      <c r="I1806" s="70"/>
      <c r="L1806" s="71" t="n">
        <f aca="false">IF(助手报销!$R$122="",-1,助手报销!$R$122*100+(助手报销!$S$122-1)*6+1)</f>
        <v>-1</v>
      </c>
    </row>
    <row r="1807" customFormat="false" ht="23.25" hidden="false" customHeight="true" outlineLevel="0" collapsed="false">
      <c r="B1807" s="67" t="str">
        <f aca="false">IFERROR(INDEX(分录报销!$M:$M,MATCH($L1807,分录报销!$L:$L,0)),"")</f>
        <v/>
      </c>
      <c r="C1807" s="67"/>
      <c r="D1807" s="23" t="str">
        <f aca="false">IFERROR(INDEX(分录报销!$E:$E,MATCH($L1807,分录报销!$L:$L,0)),"")</f>
        <v/>
      </c>
      <c r="E1807" s="23" t="str">
        <f aca="false">IFERROR(INDEX(分录报销!$F:$F,MATCH($L1807,分录报销!$L:$L,0)),"")</f>
        <v/>
      </c>
      <c r="F1807" s="68" t="str">
        <f aca="false">IFERROR(INDEX(分录报销!$H:$H,MATCH($L1807,分录报销!$L:$L,0)),"")</f>
        <v/>
      </c>
      <c r="G1807" s="69" t="str">
        <f aca="false">IFERROR(INDEX(分录报销!$I:$I,MATCH($L1807,分录报销!$L:$L,0)),"")</f>
        <v/>
      </c>
      <c r="H1807" s="23"/>
      <c r="I1807" s="70"/>
      <c r="L1807" s="71" t="n">
        <f aca="false">IF(助手报销!$R$122="",-1,助手报销!$R$122*100+(助手报销!$S$122-1)*6+2)</f>
        <v>-1</v>
      </c>
    </row>
    <row r="1808" customFormat="false" ht="23.25" hidden="false" customHeight="true" outlineLevel="0" collapsed="false">
      <c r="B1808" s="67" t="str">
        <f aca="false">IFERROR(INDEX(分录报销!$M:$M,MATCH($L1808,分录报销!$L:$L,0)),"")</f>
        <v/>
      </c>
      <c r="C1808" s="67"/>
      <c r="D1808" s="23" t="str">
        <f aca="false">IFERROR(INDEX(分录报销!$E:$E,MATCH($L1808,分录报销!$L:$L,0)),"")</f>
        <v/>
      </c>
      <c r="E1808" s="23" t="str">
        <f aca="false">IFERROR(INDEX(分录报销!$F:$F,MATCH($L1808,分录报销!$L:$L,0)),"")</f>
        <v/>
      </c>
      <c r="F1808" s="68" t="str">
        <f aca="false">IFERROR(INDEX(分录报销!$H:$H,MATCH($L1808,分录报销!$L:$L,0)),"")</f>
        <v/>
      </c>
      <c r="G1808" s="69" t="str">
        <f aca="false">IFERROR(INDEX(分录报销!$I:$I,MATCH($L1808,分录报销!$L:$L,0)),"")</f>
        <v/>
      </c>
      <c r="H1808" s="23"/>
      <c r="I1808" s="70"/>
      <c r="L1808" s="71" t="n">
        <f aca="false">IF(助手报销!$R$122="",-1,助手报销!$R$122*100+(助手报销!$S$122-1)*6+3)</f>
        <v>-1</v>
      </c>
    </row>
    <row r="1809" customFormat="false" ht="23.25" hidden="false" customHeight="true" outlineLevel="0" collapsed="false">
      <c r="B1809" s="67" t="str">
        <f aca="false">IFERROR(INDEX(分录报销!$M:$M,MATCH($L1809,分录报销!$L:$L,0)),"")</f>
        <v/>
      </c>
      <c r="C1809" s="67"/>
      <c r="D1809" s="23" t="str">
        <f aca="false">IFERROR(INDEX(分录报销!$E:$E,MATCH($L1809,分录报销!$L:$L,0)),"")</f>
        <v/>
      </c>
      <c r="E1809" s="23" t="str">
        <f aca="false">IFERROR(INDEX(分录报销!$F:$F,MATCH($L1809,分录报销!$L:$L,0)),"")</f>
        <v/>
      </c>
      <c r="F1809" s="68" t="str">
        <f aca="false">IFERROR(INDEX(分录报销!$H:$H,MATCH($L1809,分录报销!$L:$L,0)),"")</f>
        <v/>
      </c>
      <c r="G1809" s="69" t="str">
        <f aca="false">IFERROR(INDEX(分录报销!$I:$I,MATCH($L1809,分录报销!$L:$L,0)),"")</f>
        <v/>
      </c>
      <c r="H1809" s="23"/>
      <c r="I1809" s="70"/>
      <c r="L1809" s="71" t="n">
        <f aca="false">IF(助手报销!$R$122="",-1,助手报销!$R$122*100+(助手报销!$S$122-1)*6+4)</f>
        <v>-1</v>
      </c>
    </row>
    <row r="1810" customFormat="false" ht="23.25" hidden="false" customHeight="true" outlineLevel="0" collapsed="false">
      <c r="B1810" s="67" t="str">
        <f aca="false">IFERROR(INDEX(分录报销!$M:$M,MATCH($L1810,分录报销!$L:$L,0)),"")</f>
        <v/>
      </c>
      <c r="C1810" s="67"/>
      <c r="D1810" s="23" t="str">
        <f aca="false">IFERROR(INDEX(分录报销!$E:$E,MATCH($L1810,分录报销!$L:$L,0)),"")</f>
        <v/>
      </c>
      <c r="E1810" s="23" t="str">
        <f aca="false">IFERROR(INDEX(分录报销!$F:$F,MATCH($L1810,分录报销!$L:$L,0)),"")</f>
        <v/>
      </c>
      <c r="F1810" s="68" t="str">
        <f aca="false">IFERROR(INDEX(分录报销!$H:$H,MATCH($L1810,分录报销!$L:$L,0)),"")</f>
        <v/>
      </c>
      <c r="G1810" s="69" t="str">
        <f aca="false">IFERROR(INDEX(分录报销!$I:$I,MATCH($L1810,分录报销!$L:$L,0)),"")</f>
        <v/>
      </c>
      <c r="H1810" s="23"/>
      <c r="I1810" s="70"/>
      <c r="L1810" s="71" t="n">
        <f aca="false">IF(助手报销!$R$122="",-1,助手报销!$R$122*100+(助手报销!$S$122-1)*6+5)</f>
        <v>-1</v>
      </c>
    </row>
    <row r="1811" customFormat="false" ht="23.25" hidden="false" customHeight="true" outlineLevel="0" collapsed="false">
      <c r="B1811" s="67" t="str">
        <f aca="false">IFERROR(INDEX(分录报销!$M:$M,MATCH($L1811,分录报销!$L:$L,0)),"")</f>
        <v/>
      </c>
      <c r="C1811" s="67"/>
      <c r="D1811" s="23" t="str">
        <f aca="false">IFERROR(INDEX(分录报销!$E:$E,MATCH($L1811,分录报销!$L:$L,0)),"")</f>
        <v/>
      </c>
      <c r="E1811" s="23" t="str">
        <f aca="false">IFERROR(INDEX(分录报销!$F:$F,MATCH($L1811,分录报销!$L:$L,0)),"")</f>
        <v/>
      </c>
      <c r="F1811" s="68" t="str">
        <f aca="false">IFERROR(INDEX(分录报销!$H:$H,MATCH($L1811,分录报销!$L:$L,0)),"")</f>
        <v/>
      </c>
      <c r="G1811" s="69" t="str">
        <f aca="false">IFERROR(INDEX(分录报销!$I:$I,MATCH($L1811,分录报销!$L:$L,0)),"")</f>
        <v/>
      </c>
      <c r="H1811" s="23"/>
      <c r="I1811" s="70"/>
      <c r="L1811" s="71" t="n">
        <f aca="false">IF(助手报销!$R$122="",-1,助手报销!$R$122*100+(助手报销!$S$122-1)*6+6)</f>
        <v>-1</v>
      </c>
    </row>
    <row r="1812" customFormat="false" ht="23.25" hidden="false" customHeight="true" outlineLevel="0" collapsed="false">
      <c r="B1812" s="72" t="str">
        <f aca="false">IF(助手报销!$T$122=1,"合计：","")</f>
        <v/>
      </c>
      <c r="C1812" s="73" t="str">
        <f aca="false">IF(助手报销!$T$122=1,$F1812,"")</f>
        <v/>
      </c>
      <c r="D1812" s="74"/>
      <c r="E1812" s="74"/>
      <c r="F1812" s="75" t="str">
        <f aca="false">IF(助手报销!$T$122=1,INDEX(助手报销!$N$2:$N$121,助手报销!$R$122),"")</f>
        <v/>
      </c>
      <c r="G1812" s="76" t="str">
        <f aca="false">IF(助手报销!$T$122=1,INDEX(助手报销!$O$2:$O$121,助手报销!$R$122),"")</f>
        <v/>
      </c>
      <c r="H1812" s="74"/>
      <c r="I1812" s="77"/>
    </row>
    <row r="1813" customFormat="false" ht="6" hidden="false" customHeight="true" outlineLevel="0" collapsed="false"/>
    <row r="1814" customFormat="false" ht="13.5" hidden="false" customHeight="false" outlineLevel="0" collapsed="false">
      <c r="B1814" s="78" t="str">
        <f aca="false">IF(助手报销!$R$122&lt;&gt;"","会计主管：","")</f>
        <v/>
      </c>
      <c r="D1814" s="78" t="str">
        <f aca="false">IF(助手报销!$R$122&lt;&gt;"","会计：","")</f>
        <v/>
      </c>
      <c r="E1814" s="78" t="str">
        <f aca="false">IF(助手报销!$R$122&lt;&gt;"","出纳：","")</f>
        <v/>
      </c>
      <c r="F1814" s="78" t="str">
        <f aca="false">IF(助手报销!$R$122&lt;&gt;"","复核：","")</f>
        <v/>
      </c>
      <c r="G1814" s="78" t="str">
        <f aca="false">IF(助手报销!$R$122&lt;&gt;"","制单：","")</f>
        <v/>
      </c>
    </row>
    <row r="1815" customFormat="false" ht="3" hidden="false" customHeight="true" outlineLevel="0" collapsed="false"/>
    <row r="1816" customFormat="false" ht="19.5" hidden="false" customHeight="true" outlineLevel="0" collapsed="false">
      <c r="B1816" s="53" t="str">
        <f aca="false">IF(助手报销!$R$123&lt;&gt;"","记  账  凭  证","")</f>
        <v/>
      </c>
      <c r="C1816" s="53"/>
      <c r="D1816" s="53"/>
      <c r="E1816" s="53"/>
      <c r="F1816" s="53"/>
      <c r="G1816" s="53"/>
      <c r="H1816" s="53"/>
      <c r="I1816" s="53"/>
    </row>
    <row r="1817" customFormat="false" ht="3" hidden="false" customHeight="true" outlineLevel="0" collapsed="false"/>
    <row r="1818" customFormat="false" ht="15" hidden="false" customHeight="true" outlineLevel="0" collapsed="false">
      <c r="C1818" s="56" t="str">
        <f aca="false">IF(助手报销!$R$123&lt;&gt;"",INDEX(助手报销!$B$2:$B$121,助手报销!$R$123),"")</f>
        <v/>
      </c>
      <c r="D1818" s="57" t="str">
        <f aca="false">IF(助手报销!$R$123&lt;&gt;"",INDEX(助手报销!$D$2:$D$121,助手报销!$R$123),"")</f>
        <v/>
      </c>
      <c r="E1818" s="57"/>
      <c r="F1818" s="58" t="str">
        <f aca="false">IF(助手报销!$R$123&lt;&gt;"",INDEX(助手报销!$C$2:$C$121,助手报销!$R$123)&amp;"  字第 "&amp;IF(参数!$B$9="是",INDEX(助手报销!$P$2:$P$121,助手报销!$R$123),"　　　　")&amp;" 号"&amp;IF(INDEX(助手报销!$L$2:$L$121,助手报销!$R$123)&gt;1,"  (共"&amp;INDEX(助手报销!$L$2:$L$121,助手报销!$R$123)&amp;"页 第"&amp;助手报销!$S$123&amp;"页)",""),"")</f>
        <v/>
      </c>
      <c r="G1818" s="58"/>
      <c r="H1818" s="58"/>
      <c r="I1818" s="58"/>
      <c r="M1818" s="79" t="str">
        <f aca="false">IF(助手报销!$R$123="","",助手报销!$Q$123)</f>
        <v/>
      </c>
      <c r="N1818" s="80" t="str">
        <f aca="false">IF(助手报销!$R$123="","",INDEX(助手报销!$P$2:$P$121,助手报销!$R$123))</f>
        <v/>
      </c>
      <c r="O1818" s="55" t="str">
        <f aca="false">IF(助手报销!$R$123="","",INDEX(助手报销!$C$2:$C$121,助手报销!$R$123)&amp;"  字第 "&amp;INDEX(助手报销!$P$2:$P$121,助手报销!$R$123)&amp;" 号"&amp;IF(INDEX(助手报销!$L$2:$L$121,助手报销!$R$123)&gt;1,"  (共"&amp;INDEX(助手报销!$L$2:$L$121,助手报销!$R$123)&amp;"页 第"&amp;助手报销!$S$123&amp;"页)",""))</f>
        <v/>
      </c>
    </row>
    <row r="1819" customFormat="false" ht="12.75" hidden="false" customHeight="true" outlineLevel="0" collapsed="false">
      <c r="B1819" s="61" t="str">
        <f aca="false">IF(助手报销!$R$123&lt;&gt;"","摘　　要","")</f>
        <v/>
      </c>
      <c r="C1819" s="61"/>
      <c r="D1819" s="62" t="str">
        <f aca="false">IF(助手报销!$R$123&lt;&gt;"","科　　　　目","")</f>
        <v/>
      </c>
      <c r="E1819" s="62"/>
      <c r="F1819" s="61" t="str">
        <f aca="false">IF(助手报销!$R$123&lt;&gt;"","借 方 金 额","")</f>
        <v/>
      </c>
      <c r="G1819" s="62" t="str">
        <f aca="false">IF(助手报销!$R$123&lt;&gt;"","贷 方 金 额","")</f>
        <v/>
      </c>
      <c r="H1819" s="63" t="str">
        <f aca="false">IF(助手报销!$R$123&lt;&gt;"","√","")</f>
        <v/>
      </c>
      <c r="I1819" s="64" t="str">
        <f aca="false">IF(助手报销!$R$123&lt;&gt;"","附单据  张","")</f>
        <v/>
      </c>
    </row>
    <row r="1820" customFormat="false" ht="12.75" hidden="false" customHeight="true" outlineLevel="0" collapsed="false">
      <c r="B1820" s="61"/>
      <c r="C1820" s="61"/>
      <c r="D1820" s="23" t="str">
        <f aca="false">IF(助手报销!$R$123&lt;&gt;"","总 账 科 目","")</f>
        <v/>
      </c>
      <c r="E1820" s="23" t="str">
        <f aca="false">IF(助手报销!$R$123&lt;&gt;"","明 细 科 目","")</f>
        <v/>
      </c>
      <c r="F1820" s="65"/>
      <c r="G1820" s="66"/>
      <c r="H1820" s="63"/>
      <c r="I1820" s="64"/>
    </row>
    <row r="1821" customFormat="false" ht="23.25" hidden="false" customHeight="true" outlineLevel="0" collapsed="false">
      <c r="B1821" s="67" t="str">
        <f aca="false">IFERROR(INDEX(分录报销!$M:$M,MATCH($L1821,分录报销!$L:$L,0)),"")</f>
        <v/>
      </c>
      <c r="C1821" s="67"/>
      <c r="D1821" s="23" t="str">
        <f aca="false">IFERROR(INDEX(分录报销!$E:$E,MATCH($L1821,分录报销!$L:$L,0)),"")</f>
        <v/>
      </c>
      <c r="E1821" s="23" t="str">
        <f aca="false">IFERROR(INDEX(分录报销!$F:$F,MATCH($L1821,分录报销!$L:$L,0)),"")</f>
        <v/>
      </c>
      <c r="F1821" s="68" t="str">
        <f aca="false">IFERROR(INDEX(分录报销!$H:$H,MATCH($L1821,分录报销!$L:$L,0)),"")</f>
        <v/>
      </c>
      <c r="G1821" s="69" t="str">
        <f aca="false">IFERROR(INDEX(分录报销!$I:$I,MATCH($L1821,分录报销!$L:$L,0)),"")</f>
        <v/>
      </c>
      <c r="H1821" s="23"/>
      <c r="I1821" s="70"/>
      <c r="L1821" s="71" t="n">
        <f aca="false">IF(助手报销!$R$123="",-1,助手报销!$R$123*100+(助手报销!$S$123-1)*6+1)</f>
        <v>-1</v>
      </c>
    </row>
    <row r="1822" customFormat="false" ht="23.25" hidden="false" customHeight="true" outlineLevel="0" collapsed="false">
      <c r="B1822" s="67" t="str">
        <f aca="false">IFERROR(INDEX(分录报销!$M:$M,MATCH($L1822,分录报销!$L:$L,0)),"")</f>
        <v/>
      </c>
      <c r="C1822" s="67"/>
      <c r="D1822" s="23" t="str">
        <f aca="false">IFERROR(INDEX(分录报销!$E:$E,MATCH($L1822,分录报销!$L:$L,0)),"")</f>
        <v/>
      </c>
      <c r="E1822" s="23" t="str">
        <f aca="false">IFERROR(INDEX(分录报销!$F:$F,MATCH($L1822,分录报销!$L:$L,0)),"")</f>
        <v/>
      </c>
      <c r="F1822" s="68" t="str">
        <f aca="false">IFERROR(INDEX(分录报销!$H:$H,MATCH($L1822,分录报销!$L:$L,0)),"")</f>
        <v/>
      </c>
      <c r="G1822" s="69" t="str">
        <f aca="false">IFERROR(INDEX(分录报销!$I:$I,MATCH($L1822,分录报销!$L:$L,0)),"")</f>
        <v/>
      </c>
      <c r="H1822" s="23"/>
      <c r="I1822" s="70"/>
      <c r="L1822" s="71" t="n">
        <f aca="false">IF(助手报销!$R$123="",-1,助手报销!$R$123*100+(助手报销!$S$123-1)*6+2)</f>
        <v>-1</v>
      </c>
    </row>
    <row r="1823" customFormat="false" ht="23.25" hidden="false" customHeight="true" outlineLevel="0" collapsed="false">
      <c r="B1823" s="67" t="str">
        <f aca="false">IFERROR(INDEX(分录报销!$M:$M,MATCH($L1823,分录报销!$L:$L,0)),"")</f>
        <v/>
      </c>
      <c r="C1823" s="67"/>
      <c r="D1823" s="23" t="str">
        <f aca="false">IFERROR(INDEX(分录报销!$E:$E,MATCH($L1823,分录报销!$L:$L,0)),"")</f>
        <v/>
      </c>
      <c r="E1823" s="23" t="str">
        <f aca="false">IFERROR(INDEX(分录报销!$F:$F,MATCH($L1823,分录报销!$L:$L,0)),"")</f>
        <v/>
      </c>
      <c r="F1823" s="68" t="str">
        <f aca="false">IFERROR(INDEX(分录报销!$H:$H,MATCH($L1823,分录报销!$L:$L,0)),"")</f>
        <v/>
      </c>
      <c r="G1823" s="69" t="str">
        <f aca="false">IFERROR(INDEX(分录报销!$I:$I,MATCH($L1823,分录报销!$L:$L,0)),"")</f>
        <v/>
      </c>
      <c r="H1823" s="23"/>
      <c r="I1823" s="70"/>
      <c r="L1823" s="71" t="n">
        <f aca="false">IF(助手报销!$R$123="",-1,助手报销!$R$123*100+(助手报销!$S$123-1)*6+3)</f>
        <v>-1</v>
      </c>
    </row>
    <row r="1824" customFormat="false" ht="23.25" hidden="false" customHeight="true" outlineLevel="0" collapsed="false">
      <c r="B1824" s="67" t="str">
        <f aca="false">IFERROR(INDEX(分录报销!$M:$M,MATCH($L1824,分录报销!$L:$L,0)),"")</f>
        <v/>
      </c>
      <c r="C1824" s="67"/>
      <c r="D1824" s="23" t="str">
        <f aca="false">IFERROR(INDEX(分录报销!$E:$E,MATCH($L1824,分录报销!$L:$L,0)),"")</f>
        <v/>
      </c>
      <c r="E1824" s="23" t="str">
        <f aca="false">IFERROR(INDEX(分录报销!$F:$F,MATCH($L1824,分录报销!$L:$L,0)),"")</f>
        <v/>
      </c>
      <c r="F1824" s="68" t="str">
        <f aca="false">IFERROR(INDEX(分录报销!$H:$H,MATCH($L1824,分录报销!$L:$L,0)),"")</f>
        <v/>
      </c>
      <c r="G1824" s="69" t="str">
        <f aca="false">IFERROR(INDEX(分录报销!$I:$I,MATCH($L1824,分录报销!$L:$L,0)),"")</f>
        <v/>
      </c>
      <c r="H1824" s="23"/>
      <c r="I1824" s="70"/>
      <c r="L1824" s="71" t="n">
        <f aca="false">IF(助手报销!$R$123="",-1,助手报销!$R$123*100+(助手报销!$S$123-1)*6+4)</f>
        <v>-1</v>
      </c>
    </row>
    <row r="1825" customFormat="false" ht="23.25" hidden="false" customHeight="true" outlineLevel="0" collapsed="false">
      <c r="B1825" s="67" t="str">
        <f aca="false">IFERROR(INDEX(分录报销!$M:$M,MATCH($L1825,分录报销!$L:$L,0)),"")</f>
        <v/>
      </c>
      <c r="C1825" s="67"/>
      <c r="D1825" s="23" t="str">
        <f aca="false">IFERROR(INDEX(分录报销!$E:$E,MATCH($L1825,分录报销!$L:$L,0)),"")</f>
        <v/>
      </c>
      <c r="E1825" s="23" t="str">
        <f aca="false">IFERROR(INDEX(分录报销!$F:$F,MATCH($L1825,分录报销!$L:$L,0)),"")</f>
        <v/>
      </c>
      <c r="F1825" s="68" t="str">
        <f aca="false">IFERROR(INDEX(分录报销!$H:$H,MATCH($L1825,分录报销!$L:$L,0)),"")</f>
        <v/>
      </c>
      <c r="G1825" s="69" t="str">
        <f aca="false">IFERROR(INDEX(分录报销!$I:$I,MATCH($L1825,分录报销!$L:$L,0)),"")</f>
        <v/>
      </c>
      <c r="H1825" s="23"/>
      <c r="I1825" s="70"/>
      <c r="L1825" s="71" t="n">
        <f aca="false">IF(助手报销!$R$123="",-1,助手报销!$R$123*100+(助手报销!$S$123-1)*6+5)</f>
        <v>-1</v>
      </c>
    </row>
    <row r="1826" customFormat="false" ht="23.25" hidden="false" customHeight="true" outlineLevel="0" collapsed="false">
      <c r="B1826" s="67" t="str">
        <f aca="false">IFERROR(INDEX(分录报销!$M:$M,MATCH($L1826,分录报销!$L:$L,0)),"")</f>
        <v/>
      </c>
      <c r="C1826" s="67"/>
      <c r="D1826" s="23" t="str">
        <f aca="false">IFERROR(INDEX(分录报销!$E:$E,MATCH($L1826,分录报销!$L:$L,0)),"")</f>
        <v/>
      </c>
      <c r="E1826" s="23" t="str">
        <f aca="false">IFERROR(INDEX(分录报销!$F:$F,MATCH($L1826,分录报销!$L:$L,0)),"")</f>
        <v/>
      </c>
      <c r="F1826" s="68" t="str">
        <f aca="false">IFERROR(INDEX(分录报销!$H:$H,MATCH($L1826,分录报销!$L:$L,0)),"")</f>
        <v/>
      </c>
      <c r="G1826" s="69" t="str">
        <f aca="false">IFERROR(INDEX(分录报销!$I:$I,MATCH($L1826,分录报销!$L:$L,0)),"")</f>
        <v/>
      </c>
      <c r="H1826" s="23"/>
      <c r="I1826" s="70"/>
      <c r="L1826" s="71" t="n">
        <f aca="false">IF(助手报销!$R$123="",-1,助手报销!$R$123*100+(助手报销!$S$123-1)*6+6)</f>
        <v>-1</v>
      </c>
    </row>
    <row r="1827" customFormat="false" ht="23.25" hidden="false" customHeight="true" outlineLevel="0" collapsed="false">
      <c r="B1827" s="72" t="str">
        <f aca="false">IF(助手报销!$T$123=1,"合计：","")</f>
        <v/>
      </c>
      <c r="C1827" s="73" t="str">
        <f aca="false">IF(助手报销!$T$123=1,$F1827,"")</f>
        <v/>
      </c>
      <c r="D1827" s="74"/>
      <c r="E1827" s="74"/>
      <c r="F1827" s="75" t="str">
        <f aca="false">IF(助手报销!$T$123=1,INDEX(助手报销!$N$2:$N$121,助手报销!$R$123),"")</f>
        <v/>
      </c>
      <c r="G1827" s="76" t="str">
        <f aca="false">IF(助手报销!$T$123=1,INDEX(助手报销!$O$2:$O$121,助手报销!$R$123),"")</f>
        <v/>
      </c>
      <c r="H1827" s="74"/>
      <c r="I1827" s="77"/>
    </row>
    <row r="1828" customFormat="false" ht="6" hidden="false" customHeight="true" outlineLevel="0" collapsed="false"/>
    <row r="1829" customFormat="false" ht="13.5" hidden="false" customHeight="false" outlineLevel="0" collapsed="false">
      <c r="B1829" s="78" t="str">
        <f aca="false">IF(助手报销!$R$123&lt;&gt;"","会计主管：","")</f>
        <v/>
      </c>
      <c r="D1829" s="78" t="str">
        <f aca="false">IF(助手报销!$R$123&lt;&gt;"","会计：","")</f>
        <v/>
      </c>
      <c r="E1829" s="78" t="str">
        <f aca="false">IF(助手报销!$R$123&lt;&gt;"","出纳：","")</f>
        <v/>
      </c>
      <c r="F1829" s="78" t="str">
        <f aca="false">IF(助手报销!$R$123&lt;&gt;"","复核：","")</f>
        <v/>
      </c>
      <c r="G1829" s="78" t="str">
        <f aca="false">IF(助手报销!$R$123&lt;&gt;"","制单：","")</f>
        <v/>
      </c>
    </row>
    <row r="1830" customFormat="false" ht="3" hidden="false" customHeight="true" outlineLevel="0" collapsed="false"/>
    <row r="1831" customFormat="false" ht="19.5" hidden="false" customHeight="true" outlineLevel="0" collapsed="false">
      <c r="B1831" s="53" t="str">
        <f aca="false">IF(助手报销!$R$124&lt;&gt;"","记  账  凭  证","")</f>
        <v/>
      </c>
      <c r="C1831" s="53"/>
      <c r="D1831" s="53"/>
      <c r="E1831" s="53"/>
      <c r="F1831" s="53"/>
      <c r="G1831" s="53"/>
      <c r="H1831" s="53"/>
      <c r="I1831" s="53"/>
    </row>
    <row r="1832" customFormat="false" ht="3" hidden="false" customHeight="true" outlineLevel="0" collapsed="false"/>
    <row r="1833" customFormat="false" ht="15" hidden="false" customHeight="true" outlineLevel="0" collapsed="false">
      <c r="C1833" s="56" t="str">
        <f aca="false">IF(助手报销!$R$124&lt;&gt;"",INDEX(助手报销!$B$2:$B$121,助手报销!$R$124),"")</f>
        <v/>
      </c>
      <c r="D1833" s="57" t="str">
        <f aca="false">IF(助手报销!$R$124&lt;&gt;"",INDEX(助手报销!$D$2:$D$121,助手报销!$R$124),"")</f>
        <v/>
      </c>
      <c r="E1833" s="57"/>
      <c r="F1833" s="58" t="str">
        <f aca="false">IF(助手报销!$R$124&lt;&gt;"",INDEX(助手报销!$C$2:$C$121,助手报销!$R$124)&amp;"  字第 "&amp;IF(参数!$B$9="是",INDEX(助手报销!$P$2:$P$121,助手报销!$R$124),"　　　　")&amp;" 号"&amp;IF(INDEX(助手报销!$L$2:$L$121,助手报销!$R$124)&gt;1,"  (共"&amp;INDEX(助手报销!$L$2:$L$121,助手报销!$R$124)&amp;"页 第"&amp;助手报销!$S$124&amp;"页)",""),"")</f>
        <v/>
      </c>
      <c r="G1833" s="58"/>
      <c r="H1833" s="58"/>
      <c r="I1833" s="58"/>
      <c r="M1833" s="79" t="str">
        <f aca="false">IF(助手报销!$R$124="","",助手报销!$Q$124)</f>
        <v/>
      </c>
      <c r="N1833" s="80" t="str">
        <f aca="false">IF(助手报销!$R$124="","",INDEX(助手报销!$P$2:$P$121,助手报销!$R$124))</f>
        <v/>
      </c>
      <c r="O1833" s="55" t="str">
        <f aca="false">IF(助手报销!$R$124="","",INDEX(助手报销!$C$2:$C$121,助手报销!$R$124)&amp;"  字第 "&amp;INDEX(助手报销!$P$2:$P$121,助手报销!$R$124)&amp;" 号"&amp;IF(INDEX(助手报销!$L$2:$L$121,助手报销!$R$124)&gt;1,"  (共"&amp;INDEX(助手报销!$L$2:$L$121,助手报销!$R$124)&amp;"页 第"&amp;助手报销!$S$124&amp;"页)",""))</f>
        <v/>
      </c>
    </row>
    <row r="1834" customFormat="false" ht="12.75" hidden="false" customHeight="true" outlineLevel="0" collapsed="false">
      <c r="B1834" s="61" t="str">
        <f aca="false">IF(助手报销!$R$124&lt;&gt;"","摘　　要","")</f>
        <v/>
      </c>
      <c r="C1834" s="61"/>
      <c r="D1834" s="62" t="str">
        <f aca="false">IF(助手报销!$R$124&lt;&gt;"","科　　　　目","")</f>
        <v/>
      </c>
      <c r="E1834" s="62"/>
      <c r="F1834" s="61" t="str">
        <f aca="false">IF(助手报销!$R$124&lt;&gt;"","借 方 金 额","")</f>
        <v/>
      </c>
      <c r="G1834" s="62" t="str">
        <f aca="false">IF(助手报销!$R$124&lt;&gt;"","贷 方 金 额","")</f>
        <v/>
      </c>
      <c r="H1834" s="63" t="str">
        <f aca="false">IF(助手报销!$R$124&lt;&gt;"","√","")</f>
        <v/>
      </c>
      <c r="I1834" s="64" t="str">
        <f aca="false">IF(助手报销!$R$124&lt;&gt;"","附单据  张","")</f>
        <v/>
      </c>
    </row>
    <row r="1835" customFormat="false" ht="12.75" hidden="false" customHeight="true" outlineLevel="0" collapsed="false">
      <c r="B1835" s="61"/>
      <c r="C1835" s="61"/>
      <c r="D1835" s="23" t="str">
        <f aca="false">IF(助手报销!$R$124&lt;&gt;"","总 账 科 目","")</f>
        <v/>
      </c>
      <c r="E1835" s="23" t="str">
        <f aca="false">IF(助手报销!$R$124&lt;&gt;"","明 细 科 目","")</f>
        <v/>
      </c>
      <c r="F1835" s="65"/>
      <c r="G1835" s="66"/>
      <c r="H1835" s="63"/>
      <c r="I1835" s="64"/>
    </row>
    <row r="1836" customFormat="false" ht="23.25" hidden="false" customHeight="true" outlineLevel="0" collapsed="false">
      <c r="B1836" s="67" t="str">
        <f aca="false">IFERROR(INDEX(分录报销!$M:$M,MATCH($L1836,分录报销!$L:$L,0)),"")</f>
        <v/>
      </c>
      <c r="C1836" s="67"/>
      <c r="D1836" s="23" t="str">
        <f aca="false">IFERROR(INDEX(分录报销!$E:$E,MATCH($L1836,分录报销!$L:$L,0)),"")</f>
        <v/>
      </c>
      <c r="E1836" s="23" t="str">
        <f aca="false">IFERROR(INDEX(分录报销!$F:$F,MATCH($L1836,分录报销!$L:$L,0)),"")</f>
        <v/>
      </c>
      <c r="F1836" s="68" t="str">
        <f aca="false">IFERROR(INDEX(分录报销!$H:$H,MATCH($L1836,分录报销!$L:$L,0)),"")</f>
        <v/>
      </c>
      <c r="G1836" s="69" t="str">
        <f aca="false">IFERROR(INDEX(分录报销!$I:$I,MATCH($L1836,分录报销!$L:$L,0)),"")</f>
        <v/>
      </c>
      <c r="H1836" s="23"/>
      <c r="I1836" s="70"/>
      <c r="L1836" s="71" t="n">
        <f aca="false">IF(助手报销!$R$124="",-1,助手报销!$R$124*100+(助手报销!$S$124-1)*6+1)</f>
        <v>-1</v>
      </c>
    </row>
    <row r="1837" customFormat="false" ht="23.25" hidden="false" customHeight="true" outlineLevel="0" collapsed="false">
      <c r="B1837" s="67" t="str">
        <f aca="false">IFERROR(INDEX(分录报销!$M:$M,MATCH($L1837,分录报销!$L:$L,0)),"")</f>
        <v/>
      </c>
      <c r="C1837" s="67"/>
      <c r="D1837" s="23" t="str">
        <f aca="false">IFERROR(INDEX(分录报销!$E:$E,MATCH($L1837,分录报销!$L:$L,0)),"")</f>
        <v/>
      </c>
      <c r="E1837" s="23" t="str">
        <f aca="false">IFERROR(INDEX(分录报销!$F:$F,MATCH($L1837,分录报销!$L:$L,0)),"")</f>
        <v/>
      </c>
      <c r="F1837" s="68" t="str">
        <f aca="false">IFERROR(INDEX(分录报销!$H:$H,MATCH($L1837,分录报销!$L:$L,0)),"")</f>
        <v/>
      </c>
      <c r="G1837" s="69" t="str">
        <f aca="false">IFERROR(INDEX(分录报销!$I:$I,MATCH($L1837,分录报销!$L:$L,0)),"")</f>
        <v/>
      </c>
      <c r="H1837" s="23"/>
      <c r="I1837" s="70"/>
      <c r="L1837" s="71" t="n">
        <f aca="false">IF(助手报销!$R$124="",-1,助手报销!$R$124*100+(助手报销!$S$124-1)*6+2)</f>
        <v>-1</v>
      </c>
    </row>
    <row r="1838" customFormat="false" ht="23.25" hidden="false" customHeight="true" outlineLevel="0" collapsed="false">
      <c r="B1838" s="67" t="str">
        <f aca="false">IFERROR(INDEX(分录报销!$M:$M,MATCH($L1838,分录报销!$L:$L,0)),"")</f>
        <v/>
      </c>
      <c r="C1838" s="67"/>
      <c r="D1838" s="23" t="str">
        <f aca="false">IFERROR(INDEX(分录报销!$E:$E,MATCH($L1838,分录报销!$L:$L,0)),"")</f>
        <v/>
      </c>
      <c r="E1838" s="23" t="str">
        <f aca="false">IFERROR(INDEX(分录报销!$F:$F,MATCH($L1838,分录报销!$L:$L,0)),"")</f>
        <v/>
      </c>
      <c r="F1838" s="68" t="str">
        <f aca="false">IFERROR(INDEX(分录报销!$H:$H,MATCH($L1838,分录报销!$L:$L,0)),"")</f>
        <v/>
      </c>
      <c r="G1838" s="69" t="str">
        <f aca="false">IFERROR(INDEX(分录报销!$I:$I,MATCH($L1838,分录报销!$L:$L,0)),"")</f>
        <v/>
      </c>
      <c r="H1838" s="23"/>
      <c r="I1838" s="70"/>
      <c r="L1838" s="71" t="n">
        <f aca="false">IF(助手报销!$R$124="",-1,助手报销!$R$124*100+(助手报销!$S$124-1)*6+3)</f>
        <v>-1</v>
      </c>
    </row>
    <row r="1839" customFormat="false" ht="23.25" hidden="false" customHeight="true" outlineLevel="0" collapsed="false">
      <c r="B1839" s="67" t="str">
        <f aca="false">IFERROR(INDEX(分录报销!$M:$M,MATCH($L1839,分录报销!$L:$L,0)),"")</f>
        <v/>
      </c>
      <c r="C1839" s="67"/>
      <c r="D1839" s="23" t="str">
        <f aca="false">IFERROR(INDEX(分录报销!$E:$E,MATCH($L1839,分录报销!$L:$L,0)),"")</f>
        <v/>
      </c>
      <c r="E1839" s="23" t="str">
        <f aca="false">IFERROR(INDEX(分录报销!$F:$F,MATCH($L1839,分录报销!$L:$L,0)),"")</f>
        <v/>
      </c>
      <c r="F1839" s="68" t="str">
        <f aca="false">IFERROR(INDEX(分录报销!$H:$H,MATCH($L1839,分录报销!$L:$L,0)),"")</f>
        <v/>
      </c>
      <c r="G1839" s="69" t="str">
        <f aca="false">IFERROR(INDEX(分录报销!$I:$I,MATCH($L1839,分录报销!$L:$L,0)),"")</f>
        <v/>
      </c>
      <c r="H1839" s="23"/>
      <c r="I1839" s="70"/>
      <c r="L1839" s="71" t="n">
        <f aca="false">IF(助手报销!$R$124="",-1,助手报销!$R$124*100+(助手报销!$S$124-1)*6+4)</f>
        <v>-1</v>
      </c>
    </row>
    <row r="1840" customFormat="false" ht="23.25" hidden="false" customHeight="true" outlineLevel="0" collapsed="false">
      <c r="B1840" s="67" t="str">
        <f aca="false">IFERROR(INDEX(分录报销!$M:$M,MATCH($L1840,分录报销!$L:$L,0)),"")</f>
        <v/>
      </c>
      <c r="C1840" s="67"/>
      <c r="D1840" s="23" t="str">
        <f aca="false">IFERROR(INDEX(分录报销!$E:$E,MATCH($L1840,分录报销!$L:$L,0)),"")</f>
        <v/>
      </c>
      <c r="E1840" s="23" t="str">
        <f aca="false">IFERROR(INDEX(分录报销!$F:$F,MATCH($L1840,分录报销!$L:$L,0)),"")</f>
        <v/>
      </c>
      <c r="F1840" s="68" t="str">
        <f aca="false">IFERROR(INDEX(分录报销!$H:$H,MATCH($L1840,分录报销!$L:$L,0)),"")</f>
        <v/>
      </c>
      <c r="G1840" s="69" t="str">
        <f aca="false">IFERROR(INDEX(分录报销!$I:$I,MATCH($L1840,分录报销!$L:$L,0)),"")</f>
        <v/>
      </c>
      <c r="H1840" s="23"/>
      <c r="I1840" s="70"/>
      <c r="L1840" s="71" t="n">
        <f aca="false">IF(助手报销!$R$124="",-1,助手报销!$R$124*100+(助手报销!$S$124-1)*6+5)</f>
        <v>-1</v>
      </c>
    </row>
    <row r="1841" customFormat="false" ht="23.25" hidden="false" customHeight="true" outlineLevel="0" collapsed="false">
      <c r="B1841" s="67" t="str">
        <f aca="false">IFERROR(INDEX(分录报销!$M:$M,MATCH($L1841,分录报销!$L:$L,0)),"")</f>
        <v/>
      </c>
      <c r="C1841" s="67"/>
      <c r="D1841" s="23" t="str">
        <f aca="false">IFERROR(INDEX(分录报销!$E:$E,MATCH($L1841,分录报销!$L:$L,0)),"")</f>
        <v/>
      </c>
      <c r="E1841" s="23" t="str">
        <f aca="false">IFERROR(INDEX(分录报销!$F:$F,MATCH($L1841,分录报销!$L:$L,0)),"")</f>
        <v/>
      </c>
      <c r="F1841" s="68" t="str">
        <f aca="false">IFERROR(INDEX(分录报销!$H:$H,MATCH($L1841,分录报销!$L:$L,0)),"")</f>
        <v/>
      </c>
      <c r="G1841" s="69" t="str">
        <f aca="false">IFERROR(INDEX(分录报销!$I:$I,MATCH($L1841,分录报销!$L:$L,0)),"")</f>
        <v/>
      </c>
      <c r="H1841" s="23"/>
      <c r="I1841" s="70"/>
      <c r="L1841" s="71" t="n">
        <f aca="false">IF(助手报销!$R$124="",-1,助手报销!$R$124*100+(助手报销!$S$124-1)*6+6)</f>
        <v>-1</v>
      </c>
    </row>
    <row r="1842" customFormat="false" ht="23.25" hidden="false" customHeight="true" outlineLevel="0" collapsed="false">
      <c r="B1842" s="72" t="str">
        <f aca="false">IF(助手报销!$T$124=1,"合计：","")</f>
        <v/>
      </c>
      <c r="C1842" s="73" t="str">
        <f aca="false">IF(助手报销!$T$124=1,$F1842,"")</f>
        <v/>
      </c>
      <c r="D1842" s="74"/>
      <c r="E1842" s="74"/>
      <c r="F1842" s="75" t="str">
        <f aca="false">IF(助手报销!$T$124=1,INDEX(助手报销!$N$2:$N$121,助手报销!$R$124),"")</f>
        <v/>
      </c>
      <c r="G1842" s="76" t="str">
        <f aca="false">IF(助手报销!$T$124=1,INDEX(助手报销!$O$2:$O$121,助手报销!$R$124),"")</f>
        <v/>
      </c>
      <c r="H1842" s="74"/>
      <c r="I1842" s="77"/>
    </row>
    <row r="1843" customFormat="false" ht="6" hidden="false" customHeight="true" outlineLevel="0" collapsed="false"/>
    <row r="1844" customFormat="false" ht="13.5" hidden="false" customHeight="false" outlineLevel="0" collapsed="false">
      <c r="B1844" s="78" t="str">
        <f aca="false">IF(助手报销!$R$124&lt;&gt;"","会计主管：","")</f>
        <v/>
      </c>
      <c r="D1844" s="78" t="str">
        <f aca="false">IF(助手报销!$R$124&lt;&gt;"","会计：","")</f>
        <v/>
      </c>
      <c r="E1844" s="78" t="str">
        <f aca="false">IF(助手报销!$R$124&lt;&gt;"","出纳：","")</f>
        <v/>
      </c>
      <c r="F1844" s="78" t="str">
        <f aca="false">IF(助手报销!$R$124&lt;&gt;"","复核：","")</f>
        <v/>
      </c>
      <c r="G1844" s="78" t="str">
        <f aca="false">IF(助手报销!$R$124&lt;&gt;"","制单：","")</f>
        <v/>
      </c>
    </row>
    <row r="1845" customFormat="false" ht="3" hidden="false" customHeight="true" outlineLevel="0" collapsed="false"/>
    <row r="1846" customFormat="false" ht="19.5" hidden="false" customHeight="true" outlineLevel="0" collapsed="false">
      <c r="B1846" s="53" t="str">
        <f aca="false">IF(助手报销!$R$125&lt;&gt;"","记  账  凭  证","")</f>
        <v/>
      </c>
      <c r="C1846" s="53"/>
      <c r="D1846" s="53"/>
      <c r="E1846" s="53"/>
      <c r="F1846" s="53"/>
      <c r="G1846" s="53"/>
      <c r="H1846" s="53"/>
      <c r="I1846" s="53"/>
    </row>
    <row r="1847" customFormat="false" ht="3" hidden="false" customHeight="true" outlineLevel="0" collapsed="false"/>
    <row r="1848" customFormat="false" ht="15" hidden="false" customHeight="true" outlineLevel="0" collapsed="false">
      <c r="C1848" s="56" t="str">
        <f aca="false">IF(助手报销!$R$125&lt;&gt;"",INDEX(助手报销!$B$2:$B$121,助手报销!$R$125),"")</f>
        <v/>
      </c>
      <c r="D1848" s="57" t="str">
        <f aca="false">IF(助手报销!$R$125&lt;&gt;"",INDEX(助手报销!$D$2:$D$121,助手报销!$R$125),"")</f>
        <v/>
      </c>
      <c r="E1848" s="57"/>
      <c r="F1848" s="58" t="str">
        <f aca="false">IF(助手报销!$R$125&lt;&gt;"",INDEX(助手报销!$C$2:$C$121,助手报销!$R$125)&amp;"  字第 "&amp;IF(参数!$B$9="是",INDEX(助手报销!$P$2:$P$121,助手报销!$R$125),"　　　　")&amp;" 号"&amp;IF(INDEX(助手报销!$L$2:$L$121,助手报销!$R$125)&gt;1,"  (共"&amp;INDEX(助手报销!$L$2:$L$121,助手报销!$R$125)&amp;"页 第"&amp;助手报销!$S$125&amp;"页)",""),"")</f>
        <v/>
      </c>
      <c r="G1848" s="58"/>
      <c r="H1848" s="58"/>
      <c r="I1848" s="58"/>
      <c r="M1848" s="79" t="str">
        <f aca="false">IF(助手报销!$R$125="","",助手报销!$Q$125)</f>
        <v/>
      </c>
      <c r="N1848" s="80" t="str">
        <f aca="false">IF(助手报销!$R$125="","",INDEX(助手报销!$P$2:$P$121,助手报销!$R$125))</f>
        <v/>
      </c>
      <c r="O1848" s="55" t="str">
        <f aca="false">IF(助手报销!$R$125="","",INDEX(助手报销!$C$2:$C$121,助手报销!$R$125)&amp;"  字第 "&amp;INDEX(助手报销!$P$2:$P$121,助手报销!$R$125)&amp;" 号"&amp;IF(INDEX(助手报销!$L$2:$L$121,助手报销!$R$125)&gt;1,"  (共"&amp;INDEX(助手报销!$L$2:$L$121,助手报销!$R$125)&amp;"页 第"&amp;助手报销!$S$125&amp;"页)",""))</f>
        <v/>
      </c>
    </row>
    <row r="1849" customFormat="false" ht="12.75" hidden="false" customHeight="true" outlineLevel="0" collapsed="false">
      <c r="B1849" s="61" t="str">
        <f aca="false">IF(助手报销!$R$125&lt;&gt;"","摘　　要","")</f>
        <v/>
      </c>
      <c r="C1849" s="61"/>
      <c r="D1849" s="62" t="str">
        <f aca="false">IF(助手报销!$R$125&lt;&gt;"","科　　　　目","")</f>
        <v/>
      </c>
      <c r="E1849" s="62"/>
      <c r="F1849" s="61" t="str">
        <f aca="false">IF(助手报销!$R$125&lt;&gt;"","借 方 金 额","")</f>
        <v/>
      </c>
      <c r="G1849" s="62" t="str">
        <f aca="false">IF(助手报销!$R$125&lt;&gt;"","贷 方 金 额","")</f>
        <v/>
      </c>
      <c r="H1849" s="63" t="str">
        <f aca="false">IF(助手报销!$R$125&lt;&gt;"","√","")</f>
        <v/>
      </c>
      <c r="I1849" s="64" t="str">
        <f aca="false">IF(助手报销!$R$125&lt;&gt;"","附单据  张","")</f>
        <v/>
      </c>
    </row>
    <row r="1850" customFormat="false" ht="12.75" hidden="false" customHeight="true" outlineLevel="0" collapsed="false">
      <c r="B1850" s="61"/>
      <c r="C1850" s="61"/>
      <c r="D1850" s="23" t="str">
        <f aca="false">IF(助手报销!$R$125&lt;&gt;"","总 账 科 目","")</f>
        <v/>
      </c>
      <c r="E1850" s="23" t="str">
        <f aca="false">IF(助手报销!$R$125&lt;&gt;"","明 细 科 目","")</f>
        <v/>
      </c>
      <c r="F1850" s="65"/>
      <c r="G1850" s="66"/>
      <c r="H1850" s="63"/>
      <c r="I1850" s="64"/>
    </row>
    <row r="1851" customFormat="false" ht="23.25" hidden="false" customHeight="true" outlineLevel="0" collapsed="false">
      <c r="B1851" s="67" t="str">
        <f aca="false">IFERROR(INDEX(分录报销!$M:$M,MATCH($L1851,分录报销!$L:$L,0)),"")</f>
        <v/>
      </c>
      <c r="C1851" s="67"/>
      <c r="D1851" s="23" t="str">
        <f aca="false">IFERROR(INDEX(分录报销!$E:$E,MATCH($L1851,分录报销!$L:$L,0)),"")</f>
        <v/>
      </c>
      <c r="E1851" s="23" t="str">
        <f aca="false">IFERROR(INDEX(分录报销!$F:$F,MATCH($L1851,分录报销!$L:$L,0)),"")</f>
        <v/>
      </c>
      <c r="F1851" s="68" t="str">
        <f aca="false">IFERROR(INDEX(分录报销!$H:$H,MATCH($L1851,分录报销!$L:$L,0)),"")</f>
        <v/>
      </c>
      <c r="G1851" s="69" t="str">
        <f aca="false">IFERROR(INDEX(分录报销!$I:$I,MATCH($L1851,分录报销!$L:$L,0)),"")</f>
        <v/>
      </c>
      <c r="H1851" s="23"/>
      <c r="I1851" s="70"/>
      <c r="L1851" s="71" t="n">
        <f aca="false">IF(助手报销!$R$125="",-1,助手报销!$R$125*100+(助手报销!$S$125-1)*6+1)</f>
        <v>-1</v>
      </c>
    </row>
    <row r="1852" customFormat="false" ht="23.25" hidden="false" customHeight="true" outlineLevel="0" collapsed="false">
      <c r="B1852" s="67" t="str">
        <f aca="false">IFERROR(INDEX(分录报销!$M:$M,MATCH($L1852,分录报销!$L:$L,0)),"")</f>
        <v/>
      </c>
      <c r="C1852" s="67"/>
      <c r="D1852" s="23" t="str">
        <f aca="false">IFERROR(INDEX(分录报销!$E:$E,MATCH($L1852,分录报销!$L:$L,0)),"")</f>
        <v/>
      </c>
      <c r="E1852" s="23" t="str">
        <f aca="false">IFERROR(INDEX(分录报销!$F:$F,MATCH($L1852,分录报销!$L:$L,0)),"")</f>
        <v/>
      </c>
      <c r="F1852" s="68" t="str">
        <f aca="false">IFERROR(INDEX(分录报销!$H:$H,MATCH($L1852,分录报销!$L:$L,0)),"")</f>
        <v/>
      </c>
      <c r="G1852" s="69" t="str">
        <f aca="false">IFERROR(INDEX(分录报销!$I:$I,MATCH($L1852,分录报销!$L:$L,0)),"")</f>
        <v/>
      </c>
      <c r="H1852" s="23"/>
      <c r="I1852" s="70"/>
      <c r="L1852" s="71" t="n">
        <f aca="false">IF(助手报销!$R$125="",-1,助手报销!$R$125*100+(助手报销!$S$125-1)*6+2)</f>
        <v>-1</v>
      </c>
    </row>
    <row r="1853" customFormat="false" ht="23.25" hidden="false" customHeight="true" outlineLevel="0" collapsed="false">
      <c r="B1853" s="67" t="str">
        <f aca="false">IFERROR(INDEX(分录报销!$M:$M,MATCH($L1853,分录报销!$L:$L,0)),"")</f>
        <v/>
      </c>
      <c r="C1853" s="67"/>
      <c r="D1853" s="23" t="str">
        <f aca="false">IFERROR(INDEX(分录报销!$E:$E,MATCH($L1853,分录报销!$L:$L,0)),"")</f>
        <v/>
      </c>
      <c r="E1853" s="23" t="str">
        <f aca="false">IFERROR(INDEX(分录报销!$F:$F,MATCH($L1853,分录报销!$L:$L,0)),"")</f>
        <v/>
      </c>
      <c r="F1853" s="68" t="str">
        <f aca="false">IFERROR(INDEX(分录报销!$H:$H,MATCH($L1853,分录报销!$L:$L,0)),"")</f>
        <v/>
      </c>
      <c r="G1853" s="69" t="str">
        <f aca="false">IFERROR(INDEX(分录报销!$I:$I,MATCH($L1853,分录报销!$L:$L,0)),"")</f>
        <v/>
      </c>
      <c r="H1853" s="23"/>
      <c r="I1853" s="70"/>
      <c r="L1853" s="71" t="n">
        <f aca="false">IF(助手报销!$R$125="",-1,助手报销!$R$125*100+(助手报销!$S$125-1)*6+3)</f>
        <v>-1</v>
      </c>
    </row>
    <row r="1854" customFormat="false" ht="23.25" hidden="false" customHeight="true" outlineLevel="0" collapsed="false">
      <c r="B1854" s="67" t="str">
        <f aca="false">IFERROR(INDEX(分录报销!$M:$M,MATCH($L1854,分录报销!$L:$L,0)),"")</f>
        <v/>
      </c>
      <c r="C1854" s="67"/>
      <c r="D1854" s="23" t="str">
        <f aca="false">IFERROR(INDEX(分录报销!$E:$E,MATCH($L1854,分录报销!$L:$L,0)),"")</f>
        <v/>
      </c>
      <c r="E1854" s="23" t="str">
        <f aca="false">IFERROR(INDEX(分录报销!$F:$F,MATCH($L1854,分录报销!$L:$L,0)),"")</f>
        <v/>
      </c>
      <c r="F1854" s="68" t="str">
        <f aca="false">IFERROR(INDEX(分录报销!$H:$H,MATCH($L1854,分录报销!$L:$L,0)),"")</f>
        <v/>
      </c>
      <c r="G1854" s="69" t="str">
        <f aca="false">IFERROR(INDEX(分录报销!$I:$I,MATCH($L1854,分录报销!$L:$L,0)),"")</f>
        <v/>
      </c>
      <c r="H1854" s="23"/>
      <c r="I1854" s="70"/>
      <c r="L1854" s="71" t="n">
        <f aca="false">IF(助手报销!$R$125="",-1,助手报销!$R$125*100+(助手报销!$S$125-1)*6+4)</f>
        <v>-1</v>
      </c>
    </row>
    <row r="1855" customFormat="false" ht="23.25" hidden="false" customHeight="true" outlineLevel="0" collapsed="false">
      <c r="B1855" s="67" t="str">
        <f aca="false">IFERROR(INDEX(分录报销!$M:$M,MATCH($L1855,分录报销!$L:$L,0)),"")</f>
        <v/>
      </c>
      <c r="C1855" s="67"/>
      <c r="D1855" s="23" t="str">
        <f aca="false">IFERROR(INDEX(分录报销!$E:$E,MATCH($L1855,分录报销!$L:$L,0)),"")</f>
        <v/>
      </c>
      <c r="E1855" s="23" t="str">
        <f aca="false">IFERROR(INDEX(分录报销!$F:$F,MATCH($L1855,分录报销!$L:$L,0)),"")</f>
        <v/>
      </c>
      <c r="F1855" s="68" t="str">
        <f aca="false">IFERROR(INDEX(分录报销!$H:$H,MATCH($L1855,分录报销!$L:$L,0)),"")</f>
        <v/>
      </c>
      <c r="G1855" s="69" t="str">
        <f aca="false">IFERROR(INDEX(分录报销!$I:$I,MATCH($L1855,分录报销!$L:$L,0)),"")</f>
        <v/>
      </c>
      <c r="H1855" s="23"/>
      <c r="I1855" s="70"/>
      <c r="L1855" s="71" t="n">
        <f aca="false">IF(助手报销!$R$125="",-1,助手报销!$R$125*100+(助手报销!$S$125-1)*6+5)</f>
        <v>-1</v>
      </c>
    </row>
    <row r="1856" customFormat="false" ht="23.25" hidden="false" customHeight="true" outlineLevel="0" collapsed="false">
      <c r="B1856" s="67" t="str">
        <f aca="false">IFERROR(INDEX(分录报销!$M:$M,MATCH($L1856,分录报销!$L:$L,0)),"")</f>
        <v/>
      </c>
      <c r="C1856" s="67"/>
      <c r="D1856" s="23" t="str">
        <f aca="false">IFERROR(INDEX(分录报销!$E:$E,MATCH($L1856,分录报销!$L:$L,0)),"")</f>
        <v/>
      </c>
      <c r="E1856" s="23" t="str">
        <f aca="false">IFERROR(INDEX(分录报销!$F:$F,MATCH($L1856,分录报销!$L:$L,0)),"")</f>
        <v/>
      </c>
      <c r="F1856" s="68" t="str">
        <f aca="false">IFERROR(INDEX(分录报销!$H:$H,MATCH($L1856,分录报销!$L:$L,0)),"")</f>
        <v/>
      </c>
      <c r="G1856" s="69" t="str">
        <f aca="false">IFERROR(INDEX(分录报销!$I:$I,MATCH($L1856,分录报销!$L:$L,0)),"")</f>
        <v/>
      </c>
      <c r="H1856" s="23"/>
      <c r="I1856" s="70"/>
      <c r="L1856" s="71" t="n">
        <f aca="false">IF(助手报销!$R$125="",-1,助手报销!$R$125*100+(助手报销!$S$125-1)*6+6)</f>
        <v>-1</v>
      </c>
    </row>
    <row r="1857" customFormat="false" ht="23.25" hidden="false" customHeight="true" outlineLevel="0" collapsed="false">
      <c r="B1857" s="72" t="str">
        <f aca="false">IF(助手报销!$T$125=1,"合计：","")</f>
        <v/>
      </c>
      <c r="C1857" s="73" t="str">
        <f aca="false">IF(助手报销!$T$125=1,$F1857,"")</f>
        <v/>
      </c>
      <c r="D1857" s="74"/>
      <c r="E1857" s="74"/>
      <c r="F1857" s="75" t="str">
        <f aca="false">IF(助手报销!$T$125=1,INDEX(助手报销!$N$2:$N$121,助手报销!$R$125),"")</f>
        <v/>
      </c>
      <c r="G1857" s="76" t="str">
        <f aca="false">IF(助手报销!$T$125=1,INDEX(助手报销!$O$2:$O$121,助手报销!$R$125),"")</f>
        <v/>
      </c>
      <c r="H1857" s="74"/>
      <c r="I1857" s="77"/>
    </row>
    <row r="1858" customFormat="false" ht="6" hidden="false" customHeight="true" outlineLevel="0" collapsed="false"/>
    <row r="1859" customFormat="false" ht="13.5" hidden="false" customHeight="false" outlineLevel="0" collapsed="false">
      <c r="B1859" s="78" t="str">
        <f aca="false">IF(助手报销!$R$125&lt;&gt;"","会计主管：","")</f>
        <v/>
      </c>
      <c r="D1859" s="78" t="str">
        <f aca="false">IF(助手报销!$R$125&lt;&gt;"","会计：","")</f>
        <v/>
      </c>
      <c r="E1859" s="78" t="str">
        <f aca="false">IF(助手报销!$R$125&lt;&gt;"","出纳：","")</f>
        <v/>
      </c>
      <c r="F1859" s="78" t="str">
        <f aca="false">IF(助手报销!$R$125&lt;&gt;"","复核：","")</f>
        <v/>
      </c>
      <c r="G1859" s="78" t="str">
        <f aca="false">IF(助手报销!$R$125&lt;&gt;"","制单：","")</f>
        <v/>
      </c>
    </row>
    <row r="1860" customFormat="false" ht="3" hidden="false" customHeight="true" outlineLevel="0" collapsed="false"/>
    <row r="1861" customFormat="false" ht="19.5" hidden="false" customHeight="true" outlineLevel="0" collapsed="false">
      <c r="B1861" s="53" t="str">
        <f aca="false">IF(助手报销!$R$126&lt;&gt;"","记  账  凭  证","")</f>
        <v/>
      </c>
      <c r="C1861" s="53"/>
      <c r="D1861" s="53"/>
      <c r="E1861" s="53"/>
      <c r="F1861" s="53"/>
      <c r="G1861" s="53"/>
      <c r="H1861" s="53"/>
      <c r="I1861" s="53"/>
    </row>
    <row r="1862" customFormat="false" ht="3" hidden="false" customHeight="true" outlineLevel="0" collapsed="false"/>
    <row r="1863" customFormat="false" ht="15" hidden="false" customHeight="true" outlineLevel="0" collapsed="false">
      <c r="C1863" s="56" t="str">
        <f aca="false">IF(助手报销!$R$126&lt;&gt;"",INDEX(助手报销!$B$2:$B$121,助手报销!$R$126),"")</f>
        <v/>
      </c>
      <c r="D1863" s="57" t="str">
        <f aca="false">IF(助手报销!$R$126&lt;&gt;"",INDEX(助手报销!$D$2:$D$121,助手报销!$R$126),"")</f>
        <v/>
      </c>
      <c r="E1863" s="57"/>
      <c r="F1863" s="58" t="str">
        <f aca="false">IF(助手报销!$R$126&lt;&gt;"",INDEX(助手报销!$C$2:$C$121,助手报销!$R$126)&amp;"  字第 "&amp;IF(参数!$B$9="是",INDEX(助手报销!$P$2:$P$121,助手报销!$R$126),"　　　　")&amp;" 号"&amp;IF(INDEX(助手报销!$L$2:$L$121,助手报销!$R$126)&gt;1,"  (共"&amp;INDEX(助手报销!$L$2:$L$121,助手报销!$R$126)&amp;"页 第"&amp;助手报销!$S$126&amp;"页)",""),"")</f>
        <v/>
      </c>
      <c r="G1863" s="58"/>
      <c r="H1863" s="58"/>
      <c r="I1863" s="58"/>
      <c r="M1863" s="79" t="str">
        <f aca="false">IF(助手报销!$R$126="","",助手报销!$Q$126)</f>
        <v/>
      </c>
      <c r="N1863" s="80" t="str">
        <f aca="false">IF(助手报销!$R$126="","",INDEX(助手报销!$P$2:$P$121,助手报销!$R$126))</f>
        <v/>
      </c>
      <c r="O1863" s="55" t="str">
        <f aca="false">IF(助手报销!$R$126="","",INDEX(助手报销!$C$2:$C$121,助手报销!$R$126)&amp;"  字第 "&amp;INDEX(助手报销!$P$2:$P$121,助手报销!$R$126)&amp;" 号"&amp;IF(INDEX(助手报销!$L$2:$L$121,助手报销!$R$126)&gt;1,"  (共"&amp;INDEX(助手报销!$L$2:$L$121,助手报销!$R$126)&amp;"页 第"&amp;助手报销!$S$126&amp;"页)",""))</f>
        <v/>
      </c>
    </row>
    <row r="1864" customFormat="false" ht="12.75" hidden="false" customHeight="true" outlineLevel="0" collapsed="false">
      <c r="B1864" s="61" t="str">
        <f aca="false">IF(助手报销!$R$126&lt;&gt;"","摘　　要","")</f>
        <v/>
      </c>
      <c r="C1864" s="61"/>
      <c r="D1864" s="62" t="str">
        <f aca="false">IF(助手报销!$R$126&lt;&gt;"","科　　　　目","")</f>
        <v/>
      </c>
      <c r="E1864" s="62"/>
      <c r="F1864" s="61" t="str">
        <f aca="false">IF(助手报销!$R$126&lt;&gt;"","借 方 金 额","")</f>
        <v/>
      </c>
      <c r="G1864" s="62" t="str">
        <f aca="false">IF(助手报销!$R$126&lt;&gt;"","贷 方 金 额","")</f>
        <v/>
      </c>
      <c r="H1864" s="63" t="str">
        <f aca="false">IF(助手报销!$R$126&lt;&gt;"","√","")</f>
        <v/>
      </c>
      <c r="I1864" s="64" t="str">
        <f aca="false">IF(助手报销!$R$126&lt;&gt;"","附单据  张","")</f>
        <v/>
      </c>
    </row>
    <row r="1865" customFormat="false" ht="12.75" hidden="false" customHeight="true" outlineLevel="0" collapsed="false">
      <c r="B1865" s="61"/>
      <c r="C1865" s="61"/>
      <c r="D1865" s="23" t="str">
        <f aca="false">IF(助手报销!$R$126&lt;&gt;"","总 账 科 目","")</f>
        <v/>
      </c>
      <c r="E1865" s="23" t="str">
        <f aca="false">IF(助手报销!$R$126&lt;&gt;"","明 细 科 目","")</f>
        <v/>
      </c>
      <c r="F1865" s="65"/>
      <c r="G1865" s="66"/>
      <c r="H1865" s="63"/>
      <c r="I1865" s="64"/>
    </row>
    <row r="1866" customFormat="false" ht="23.25" hidden="false" customHeight="true" outlineLevel="0" collapsed="false">
      <c r="B1866" s="67" t="str">
        <f aca="false">IFERROR(INDEX(分录报销!$M:$M,MATCH($L1866,分录报销!$L:$L,0)),"")</f>
        <v/>
      </c>
      <c r="C1866" s="67"/>
      <c r="D1866" s="23" t="str">
        <f aca="false">IFERROR(INDEX(分录报销!$E:$E,MATCH($L1866,分录报销!$L:$L,0)),"")</f>
        <v/>
      </c>
      <c r="E1866" s="23" t="str">
        <f aca="false">IFERROR(INDEX(分录报销!$F:$F,MATCH($L1866,分录报销!$L:$L,0)),"")</f>
        <v/>
      </c>
      <c r="F1866" s="68" t="str">
        <f aca="false">IFERROR(INDEX(分录报销!$H:$H,MATCH($L1866,分录报销!$L:$L,0)),"")</f>
        <v/>
      </c>
      <c r="G1866" s="69" t="str">
        <f aca="false">IFERROR(INDEX(分录报销!$I:$I,MATCH($L1866,分录报销!$L:$L,0)),"")</f>
        <v/>
      </c>
      <c r="H1866" s="23"/>
      <c r="I1866" s="70"/>
      <c r="L1866" s="71" t="n">
        <f aca="false">IF(助手报销!$R$126="",-1,助手报销!$R$126*100+(助手报销!$S$126-1)*6+1)</f>
        <v>-1</v>
      </c>
    </row>
    <row r="1867" customFormat="false" ht="23.25" hidden="false" customHeight="true" outlineLevel="0" collapsed="false">
      <c r="B1867" s="67" t="str">
        <f aca="false">IFERROR(INDEX(分录报销!$M:$M,MATCH($L1867,分录报销!$L:$L,0)),"")</f>
        <v/>
      </c>
      <c r="C1867" s="67"/>
      <c r="D1867" s="23" t="str">
        <f aca="false">IFERROR(INDEX(分录报销!$E:$E,MATCH($L1867,分录报销!$L:$L,0)),"")</f>
        <v/>
      </c>
      <c r="E1867" s="23" t="str">
        <f aca="false">IFERROR(INDEX(分录报销!$F:$F,MATCH($L1867,分录报销!$L:$L,0)),"")</f>
        <v/>
      </c>
      <c r="F1867" s="68" t="str">
        <f aca="false">IFERROR(INDEX(分录报销!$H:$H,MATCH($L1867,分录报销!$L:$L,0)),"")</f>
        <v/>
      </c>
      <c r="G1867" s="69" t="str">
        <f aca="false">IFERROR(INDEX(分录报销!$I:$I,MATCH($L1867,分录报销!$L:$L,0)),"")</f>
        <v/>
      </c>
      <c r="H1867" s="23"/>
      <c r="I1867" s="70"/>
      <c r="L1867" s="71" t="n">
        <f aca="false">IF(助手报销!$R$126="",-1,助手报销!$R$126*100+(助手报销!$S$126-1)*6+2)</f>
        <v>-1</v>
      </c>
    </row>
    <row r="1868" customFormat="false" ht="23.25" hidden="false" customHeight="true" outlineLevel="0" collapsed="false">
      <c r="B1868" s="67" t="str">
        <f aca="false">IFERROR(INDEX(分录报销!$M:$M,MATCH($L1868,分录报销!$L:$L,0)),"")</f>
        <v/>
      </c>
      <c r="C1868" s="67"/>
      <c r="D1868" s="23" t="str">
        <f aca="false">IFERROR(INDEX(分录报销!$E:$E,MATCH($L1868,分录报销!$L:$L,0)),"")</f>
        <v/>
      </c>
      <c r="E1868" s="23" t="str">
        <f aca="false">IFERROR(INDEX(分录报销!$F:$F,MATCH($L1868,分录报销!$L:$L,0)),"")</f>
        <v/>
      </c>
      <c r="F1868" s="68" t="str">
        <f aca="false">IFERROR(INDEX(分录报销!$H:$H,MATCH($L1868,分录报销!$L:$L,0)),"")</f>
        <v/>
      </c>
      <c r="G1868" s="69" t="str">
        <f aca="false">IFERROR(INDEX(分录报销!$I:$I,MATCH($L1868,分录报销!$L:$L,0)),"")</f>
        <v/>
      </c>
      <c r="H1868" s="23"/>
      <c r="I1868" s="70"/>
      <c r="L1868" s="71" t="n">
        <f aca="false">IF(助手报销!$R$126="",-1,助手报销!$R$126*100+(助手报销!$S$126-1)*6+3)</f>
        <v>-1</v>
      </c>
    </row>
    <row r="1869" customFormat="false" ht="23.25" hidden="false" customHeight="true" outlineLevel="0" collapsed="false">
      <c r="B1869" s="67" t="str">
        <f aca="false">IFERROR(INDEX(分录报销!$M:$M,MATCH($L1869,分录报销!$L:$L,0)),"")</f>
        <v/>
      </c>
      <c r="C1869" s="67"/>
      <c r="D1869" s="23" t="str">
        <f aca="false">IFERROR(INDEX(分录报销!$E:$E,MATCH($L1869,分录报销!$L:$L,0)),"")</f>
        <v/>
      </c>
      <c r="E1869" s="23" t="str">
        <f aca="false">IFERROR(INDEX(分录报销!$F:$F,MATCH($L1869,分录报销!$L:$L,0)),"")</f>
        <v/>
      </c>
      <c r="F1869" s="68" t="str">
        <f aca="false">IFERROR(INDEX(分录报销!$H:$H,MATCH($L1869,分录报销!$L:$L,0)),"")</f>
        <v/>
      </c>
      <c r="G1869" s="69" t="str">
        <f aca="false">IFERROR(INDEX(分录报销!$I:$I,MATCH($L1869,分录报销!$L:$L,0)),"")</f>
        <v/>
      </c>
      <c r="H1869" s="23"/>
      <c r="I1869" s="70"/>
      <c r="L1869" s="71" t="n">
        <f aca="false">IF(助手报销!$R$126="",-1,助手报销!$R$126*100+(助手报销!$S$126-1)*6+4)</f>
        <v>-1</v>
      </c>
    </row>
    <row r="1870" customFormat="false" ht="23.25" hidden="false" customHeight="true" outlineLevel="0" collapsed="false">
      <c r="B1870" s="67" t="str">
        <f aca="false">IFERROR(INDEX(分录报销!$M:$M,MATCH($L1870,分录报销!$L:$L,0)),"")</f>
        <v/>
      </c>
      <c r="C1870" s="67"/>
      <c r="D1870" s="23" t="str">
        <f aca="false">IFERROR(INDEX(分录报销!$E:$E,MATCH($L1870,分录报销!$L:$L,0)),"")</f>
        <v/>
      </c>
      <c r="E1870" s="23" t="str">
        <f aca="false">IFERROR(INDEX(分录报销!$F:$F,MATCH($L1870,分录报销!$L:$L,0)),"")</f>
        <v/>
      </c>
      <c r="F1870" s="68" t="str">
        <f aca="false">IFERROR(INDEX(分录报销!$H:$H,MATCH($L1870,分录报销!$L:$L,0)),"")</f>
        <v/>
      </c>
      <c r="G1870" s="69" t="str">
        <f aca="false">IFERROR(INDEX(分录报销!$I:$I,MATCH($L1870,分录报销!$L:$L,0)),"")</f>
        <v/>
      </c>
      <c r="H1870" s="23"/>
      <c r="I1870" s="70"/>
      <c r="L1870" s="71" t="n">
        <f aca="false">IF(助手报销!$R$126="",-1,助手报销!$R$126*100+(助手报销!$S$126-1)*6+5)</f>
        <v>-1</v>
      </c>
    </row>
    <row r="1871" customFormat="false" ht="23.25" hidden="false" customHeight="true" outlineLevel="0" collapsed="false">
      <c r="B1871" s="67" t="str">
        <f aca="false">IFERROR(INDEX(分录报销!$M:$M,MATCH($L1871,分录报销!$L:$L,0)),"")</f>
        <v/>
      </c>
      <c r="C1871" s="67"/>
      <c r="D1871" s="23" t="str">
        <f aca="false">IFERROR(INDEX(分录报销!$E:$E,MATCH($L1871,分录报销!$L:$L,0)),"")</f>
        <v/>
      </c>
      <c r="E1871" s="23" t="str">
        <f aca="false">IFERROR(INDEX(分录报销!$F:$F,MATCH($L1871,分录报销!$L:$L,0)),"")</f>
        <v/>
      </c>
      <c r="F1871" s="68" t="str">
        <f aca="false">IFERROR(INDEX(分录报销!$H:$H,MATCH($L1871,分录报销!$L:$L,0)),"")</f>
        <v/>
      </c>
      <c r="G1871" s="69" t="str">
        <f aca="false">IFERROR(INDEX(分录报销!$I:$I,MATCH($L1871,分录报销!$L:$L,0)),"")</f>
        <v/>
      </c>
      <c r="H1871" s="23"/>
      <c r="I1871" s="70"/>
      <c r="L1871" s="71" t="n">
        <f aca="false">IF(助手报销!$R$126="",-1,助手报销!$R$126*100+(助手报销!$S$126-1)*6+6)</f>
        <v>-1</v>
      </c>
    </row>
    <row r="1872" customFormat="false" ht="23.25" hidden="false" customHeight="true" outlineLevel="0" collapsed="false">
      <c r="B1872" s="72" t="str">
        <f aca="false">IF(助手报销!$T$126=1,"合计：","")</f>
        <v/>
      </c>
      <c r="C1872" s="73" t="str">
        <f aca="false">IF(助手报销!$T$126=1,$F1872,"")</f>
        <v/>
      </c>
      <c r="D1872" s="74"/>
      <c r="E1872" s="74"/>
      <c r="F1872" s="75" t="str">
        <f aca="false">IF(助手报销!$T$126=1,INDEX(助手报销!$N$2:$N$121,助手报销!$R$126),"")</f>
        <v/>
      </c>
      <c r="G1872" s="76" t="str">
        <f aca="false">IF(助手报销!$T$126=1,INDEX(助手报销!$O$2:$O$121,助手报销!$R$126),"")</f>
        <v/>
      </c>
      <c r="H1872" s="74"/>
      <c r="I1872" s="77"/>
    </row>
    <row r="1873" customFormat="false" ht="6" hidden="false" customHeight="true" outlineLevel="0" collapsed="false"/>
    <row r="1874" customFormat="false" ht="13.5" hidden="false" customHeight="false" outlineLevel="0" collapsed="false">
      <c r="B1874" s="78" t="str">
        <f aca="false">IF(助手报销!$R$126&lt;&gt;"","会计主管：","")</f>
        <v/>
      </c>
      <c r="D1874" s="78" t="str">
        <f aca="false">IF(助手报销!$R$126&lt;&gt;"","会计：","")</f>
        <v/>
      </c>
      <c r="E1874" s="78" t="str">
        <f aca="false">IF(助手报销!$R$126&lt;&gt;"","出纳：","")</f>
        <v/>
      </c>
      <c r="F1874" s="78" t="str">
        <f aca="false">IF(助手报销!$R$126&lt;&gt;"","复核：","")</f>
        <v/>
      </c>
      <c r="G1874" s="78" t="str">
        <f aca="false">IF(助手报销!$R$126&lt;&gt;"","制单：","")</f>
        <v/>
      </c>
    </row>
    <row r="1875" customFormat="false" ht="3" hidden="false" customHeight="true" outlineLevel="0" collapsed="false"/>
    <row r="1876" customFormat="false" ht="19.5" hidden="false" customHeight="true" outlineLevel="0" collapsed="false">
      <c r="B1876" s="53" t="str">
        <f aca="false">IF(助手报销!$R$127&lt;&gt;"","记  账  凭  证","")</f>
        <v/>
      </c>
      <c r="C1876" s="53"/>
      <c r="D1876" s="53"/>
      <c r="E1876" s="53"/>
      <c r="F1876" s="53"/>
      <c r="G1876" s="53"/>
      <c r="H1876" s="53"/>
      <c r="I1876" s="53"/>
    </row>
    <row r="1877" customFormat="false" ht="3" hidden="false" customHeight="true" outlineLevel="0" collapsed="false"/>
    <row r="1878" customFormat="false" ht="15" hidden="false" customHeight="true" outlineLevel="0" collapsed="false">
      <c r="C1878" s="56" t="str">
        <f aca="false">IF(助手报销!$R$127&lt;&gt;"",INDEX(助手报销!$B$2:$B$121,助手报销!$R$127),"")</f>
        <v/>
      </c>
      <c r="D1878" s="57" t="str">
        <f aca="false">IF(助手报销!$R$127&lt;&gt;"",INDEX(助手报销!$D$2:$D$121,助手报销!$R$127),"")</f>
        <v/>
      </c>
      <c r="E1878" s="57"/>
      <c r="F1878" s="58" t="str">
        <f aca="false">IF(助手报销!$R$127&lt;&gt;"",INDEX(助手报销!$C$2:$C$121,助手报销!$R$127)&amp;"  字第 "&amp;IF(参数!$B$9="是",INDEX(助手报销!$P$2:$P$121,助手报销!$R$127),"　　　　")&amp;" 号"&amp;IF(INDEX(助手报销!$L$2:$L$121,助手报销!$R$127)&gt;1,"  (共"&amp;INDEX(助手报销!$L$2:$L$121,助手报销!$R$127)&amp;"页 第"&amp;助手报销!$S$127&amp;"页)",""),"")</f>
        <v/>
      </c>
      <c r="G1878" s="58"/>
      <c r="H1878" s="58"/>
      <c r="I1878" s="58"/>
      <c r="M1878" s="79" t="str">
        <f aca="false">IF(助手报销!$R$127="","",助手报销!$Q$127)</f>
        <v/>
      </c>
      <c r="N1878" s="80" t="str">
        <f aca="false">IF(助手报销!$R$127="","",INDEX(助手报销!$P$2:$P$121,助手报销!$R$127))</f>
        <v/>
      </c>
      <c r="O1878" s="55" t="str">
        <f aca="false">IF(助手报销!$R$127="","",INDEX(助手报销!$C$2:$C$121,助手报销!$R$127)&amp;"  字第 "&amp;INDEX(助手报销!$P$2:$P$121,助手报销!$R$127)&amp;" 号"&amp;IF(INDEX(助手报销!$L$2:$L$121,助手报销!$R$127)&gt;1,"  (共"&amp;INDEX(助手报销!$L$2:$L$121,助手报销!$R$127)&amp;"页 第"&amp;助手报销!$S$127&amp;"页)",""))</f>
        <v/>
      </c>
    </row>
    <row r="1879" customFormat="false" ht="12.75" hidden="false" customHeight="true" outlineLevel="0" collapsed="false">
      <c r="B1879" s="61" t="str">
        <f aca="false">IF(助手报销!$R$127&lt;&gt;"","摘　　要","")</f>
        <v/>
      </c>
      <c r="C1879" s="61"/>
      <c r="D1879" s="62" t="str">
        <f aca="false">IF(助手报销!$R$127&lt;&gt;"","科　　　　目","")</f>
        <v/>
      </c>
      <c r="E1879" s="62"/>
      <c r="F1879" s="61" t="str">
        <f aca="false">IF(助手报销!$R$127&lt;&gt;"","借 方 金 额","")</f>
        <v/>
      </c>
      <c r="G1879" s="62" t="str">
        <f aca="false">IF(助手报销!$R$127&lt;&gt;"","贷 方 金 额","")</f>
        <v/>
      </c>
      <c r="H1879" s="63" t="str">
        <f aca="false">IF(助手报销!$R$127&lt;&gt;"","√","")</f>
        <v/>
      </c>
      <c r="I1879" s="64" t="str">
        <f aca="false">IF(助手报销!$R$127&lt;&gt;"","附单据  张","")</f>
        <v/>
      </c>
    </row>
    <row r="1880" customFormat="false" ht="12.75" hidden="false" customHeight="true" outlineLevel="0" collapsed="false">
      <c r="B1880" s="61"/>
      <c r="C1880" s="61"/>
      <c r="D1880" s="23" t="str">
        <f aca="false">IF(助手报销!$R$127&lt;&gt;"","总 账 科 目","")</f>
        <v/>
      </c>
      <c r="E1880" s="23" t="str">
        <f aca="false">IF(助手报销!$R$127&lt;&gt;"","明 细 科 目","")</f>
        <v/>
      </c>
      <c r="F1880" s="65"/>
      <c r="G1880" s="66"/>
      <c r="H1880" s="63"/>
      <c r="I1880" s="64"/>
    </row>
    <row r="1881" customFormat="false" ht="23.25" hidden="false" customHeight="true" outlineLevel="0" collapsed="false">
      <c r="B1881" s="67" t="str">
        <f aca="false">IFERROR(INDEX(分录报销!$M:$M,MATCH($L1881,分录报销!$L:$L,0)),"")</f>
        <v/>
      </c>
      <c r="C1881" s="67"/>
      <c r="D1881" s="23" t="str">
        <f aca="false">IFERROR(INDEX(分录报销!$E:$E,MATCH($L1881,分录报销!$L:$L,0)),"")</f>
        <v/>
      </c>
      <c r="E1881" s="23" t="str">
        <f aca="false">IFERROR(INDEX(分录报销!$F:$F,MATCH($L1881,分录报销!$L:$L,0)),"")</f>
        <v/>
      </c>
      <c r="F1881" s="68" t="str">
        <f aca="false">IFERROR(INDEX(分录报销!$H:$H,MATCH($L1881,分录报销!$L:$L,0)),"")</f>
        <v/>
      </c>
      <c r="G1881" s="69" t="str">
        <f aca="false">IFERROR(INDEX(分录报销!$I:$I,MATCH($L1881,分录报销!$L:$L,0)),"")</f>
        <v/>
      </c>
      <c r="H1881" s="23"/>
      <c r="I1881" s="70"/>
      <c r="L1881" s="71" t="n">
        <f aca="false">IF(助手报销!$R$127="",-1,助手报销!$R$127*100+(助手报销!$S$127-1)*6+1)</f>
        <v>-1</v>
      </c>
    </row>
    <row r="1882" customFormat="false" ht="23.25" hidden="false" customHeight="true" outlineLevel="0" collapsed="false">
      <c r="B1882" s="67" t="str">
        <f aca="false">IFERROR(INDEX(分录报销!$M:$M,MATCH($L1882,分录报销!$L:$L,0)),"")</f>
        <v/>
      </c>
      <c r="C1882" s="67"/>
      <c r="D1882" s="23" t="str">
        <f aca="false">IFERROR(INDEX(分录报销!$E:$E,MATCH($L1882,分录报销!$L:$L,0)),"")</f>
        <v/>
      </c>
      <c r="E1882" s="23" t="str">
        <f aca="false">IFERROR(INDEX(分录报销!$F:$F,MATCH($L1882,分录报销!$L:$L,0)),"")</f>
        <v/>
      </c>
      <c r="F1882" s="68" t="str">
        <f aca="false">IFERROR(INDEX(分录报销!$H:$H,MATCH($L1882,分录报销!$L:$L,0)),"")</f>
        <v/>
      </c>
      <c r="G1882" s="69" t="str">
        <f aca="false">IFERROR(INDEX(分录报销!$I:$I,MATCH($L1882,分录报销!$L:$L,0)),"")</f>
        <v/>
      </c>
      <c r="H1882" s="23"/>
      <c r="I1882" s="70"/>
      <c r="L1882" s="71" t="n">
        <f aca="false">IF(助手报销!$R$127="",-1,助手报销!$R$127*100+(助手报销!$S$127-1)*6+2)</f>
        <v>-1</v>
      </c>
    </row>
    <row r="1883" customFormat="false" ht="23.25" hidden="false" customHeight="true" outlineLevel="0" collapsed="false">
      <c r="B1883" s="67" t="str">
        <f aca="false">IFERROR(INDEX(分录报销!$M:$M,MATCH($L1883,分录报销!$L:$L,0)),"")</f>
        <v/>
      </c>
      <c r="C1883" s="67"/>
      <c r="D1883" s="23" t="str">
        <f aca="false">IFERROR(INDEX(分录报销!$E:$E,MATCH($L1883,分录报销!$L:$L,0)),"")</f>
        <v/>
      </c>
      <c r="E1883" s="23" t="str">
        <f aca="false">IFERROR(INDEX(分录报销!$F:$F,MATCH($L1883,分录报销!$L:$L,0)),"")</f>
        <v/>
      </c>
      <c r="F1883" s="68" t="str">
        <f aca="false">IFERROR(INDEX(分录报销!$H:$H,MATCH($L1883,分录报销!$L:$L,0)),"")</f>
        <v/>
      </c>
      <c r="G1883" s="69" t="str">
        <f aca="false">IFERROR(INDEX(分录报销!$I:$I,MATCH($L1883,分录报销!$L:$L,0)),"")</f>
        <v/>
      </c>
      <c r="H1883" s="23"/>
      <c r="I1883" s="70"/>
      <c r="L1883" s="71" t="n">
        <f aca="false">IF(助手报销!$R$127="",-1,助手报销!$R$127*100+(助手报销!$S$127-1)*6+3)</f>
        <v>-1</v>
      </c>
    </row>
    <row r="1884" customFormat="false" ht="23.25" hidden="false" customHeight="true" outlineLevel="0" collapsed="false">
      <c r="B1884" s="67" t="str">
        <f aca="false">IFERROR(INDEX(分录报销!$M:$M,MATCH($L1884,分录报销!$L:$L,0)),"")</f>
        <v/>
      </c>
      <c r="C1884" s="67"/>
      <c r="D1884" s="23" t="str">
        <f aca="false">IFERROR(INDEX(分录报销!$E:$E,MATCH($L1884,分录报销!$L:$L,0)),"")</f>
        <v/>
      </c>
      <c r="E1884" s="23" t="str">
        <f aca="false">IFERROR(INDEX(分录报销!$F:$F,MATCH($L1884,分录报销!$L:$L,0)),"")</f>
        <v/>
      </c>
      <c r="F1884" s="68" t="str">
        <f aca="false">IFERROR(INDEX(分录报销!$H:$H,MATCH($L1884,分录报销!$L:$L,0)),"")</f>
        <v/>
      </c>
      <c r="G1884" s="69" t="str">
        <f aca="false">IFERROR(INDEX(分录报销!$I:$I,MATCH($L1884,分录报销!$L:$L,0)),"")</f>
        <v/>
      </c>
      <c r="H1884" s="23"/>
      <c r="I1884" s="70"/>
      <c r="L1884" s="71" t="n">
        <f aca="false">IF(助手报销!$R$127="",-1,助手报销!$R$127*100+(助手报销!$S$127-1)*6+4)</f>
        <v>-1</v>
      </c>
    </row>
    <row r="1885" customFormat="false" ht="23.25" hidden="false" customHeight="true" outlineLevel="0" collapsed="false">
      <c r="B1885" s="67" t="str">
        <f aca="false">IFERROR(INDEX(分录报销!$M:$M,MATCH($L1885,分录报销!$L:$L,0)),"")</f>
        <v/>
      </c>
      <c r="C1885" s="67"/>
      <c r="D1885" s="23" t="str">
        <f aca="false">IFERROR(INDEX(分录报销!$E:$E,MATCH($L1885,分录报销!$L:$L,0)),"")</f>
        <v/>
      </c>
      <c r="E1885" s="23" t="str">
        <f aca="false">IFERROR(INDEX(分录报销!$F:$F,MATCH($L1885,分录报销!$L:$L,0)),"")</f>
        <v/>
      </c>
      <c r="F1885" s="68" t="str">
        <f aca="false">IFERROR(INDEX(分录报销!$H:$H,MATCH($L1885,分录报销!$L:$L,0)),"")</f>
        <v/>
      </c>
      <c r="G1885" s="69" t="str">
        <f aca="false">IFERROR(INDEX(分录报销!$I:$I,MATCH($L1885,分录报销!$L:$L,0)),"")</f>
        <v/>
      </c>
      <c r="H1885" s="23"/>
      <c r="I1885" s="70"/>
      <c r="L1885" s="71" t="n">
        <f aca="false">IF(助手报销!$R$127="",-1,助手报销!$R$127*100+(助手报销!$S$127-1)*6+5)</f>
        <v>-1</v>
      </c>
    </row>
    <row r="1886" customFormat="false" ht="23.25" hidden="false" customHeight="true" outlineLevel="0" collapsed="false">
      <c r="B1886" s="67" t="str">
        <f aca="false">IFERROR(INDEX(分录报销!$M:$M,MATCH($L1886,分录报销!$L:$L,0)),"")</f>
        <v/>
      </c>
      <c r="C1886" s="67"/>
      <c r="D1886" s="23" t="str">
        <f aca="false">IFERROR(INDEX(分录报销!$E:$E,MATCH($L1886,分录报销!$L:$L,0)),"")</f>
        <v/>
      </c>
      <c r="E1886" s="23" t="str">
        <f aca="false">IFERROR(INDEX(分录报销!$F:$F,MATCH($L1886,分录报销!$L:$L,0)),"")</f>
        <v/>
      </c>
      <c r="F1886" s="68" t="str">
        <f aca="false">IFERROR(INDEX(分录报销!$H:$H,MATCH($L1886,分录报销!$L:$L,0)),"")</f>
        <v/>
      </c>
      <c r="G1886" s="69" t="str">
        <f aca="false">IFERROR(INDEX(分录报销!$I:$I,MATCH($L1886,分录报销!$L:$L,0)),"")</f>
        <v/>
      </c>
      <c r="H1886" s="23"/>
      <c r="I1886" s="70"/>
      <c r="L1886" s="71" t="n">
        <f aca="false">IF(助手报销!$R$127="",-1,助手报销!$R$127*100+(助手报销!$S$127-1)*6+6)</f>
        <v>-1</v>
      </c>
    </row>
    <row r="1887" customFormat="false" ht="23.25" hidden="false" customHeight="true" outlineLevel="0" collapsed="false">
      <c r="B1887" s="72" t="str">
        <f aca="false">IF(助手报销!$T$127=1,"合计：","")</f>
        <v/>
      </c>
      <c r="C1887" s="73" t="str">
        <f aca="false">IF(助手报销!$T$127=1,$F1887,"")</f>
        <v/>
      </c>
      <c r="D1887" s="74"/>
      <c r="E1887" s="74"/>
      <c r="F1887" s="75" t="str">
        <f aca="false">IF(助手报销!$T$127=1,INDEX(助手报销!$N$2:$N$121,助手报销!$R$127),"")</f>
        <v/>
      </c>
      <c r="G1887" s="76" t="str">
        <f aca="false">IF(助手报销!$T$127=1,INDEX(助手报销!$O$2:$O$121,助手报销!$R$127),"")</f>
        <v/>
      </c>
      <c r="H1887" s="74"/>
      <c r="I1887" s="77"/>
    </row>
    <row r="1888" customFormat="false" ht="6" hidden="false" customHeight="true" outlineLevel="0" collapsed="false"/>
    <row r="1889" customFormat="false" ht="13.5" hidden="false" customHeight="false" outlineLevel="0" collapsed="false">
      <c r="B1889" s="78" t="str">
        <f aca="false">IF(助手报销!$R$127&lt;&gt;"","会计主管：","")</f>
        <v/>
      </c>
      <c r="D1889" s="78" t="str">
        <f aca="false">IF(助手报销!$R$127&lt;&gt;"","会计：","")</f>
        <v/>
      </c>
      <c r="E1889" s="78" t="str">
        <f aca="false">IF(助手报销!$R$127&lt;&gt;"","出纳：","")</f>
        <v/>
      </c>
      <c r="F1889" s="78" t="str">
        <f aca="false">IF(助手报销!$R$127&lt;&gt;"","复核：","")</f>
        <v/>
      </c>
      <c r="G1889" s="78" t="str">
        <f aca="false">IF(助手报销!$R$127&lt;&gt;"","制单：","")</f>
        <v/>
      </c>
    </row>
    <row r="1890" customFormat="false" ht="3" hidden="false" customHeight="true" outlineLevel="0" collapsed="false"/>
    <row r="1891" customFormat="false" ht="19.5" hidden="false" customHeight="true" outlineLevel="0" collapsed="false">
      <c r="B1891" s="53" t="str">
        <f aca="false">IF(助手报销!$R$128&lt;&gt;"","记  账  凭  证","")</f>
        <v/>
      </c>
      <c r="C1891" s="53"/>
      <c r="D1891" s="53"/>
      <c r="E1891" s="53"/>
      <c r="F1891" s="53"/>
      <c r="G1891" s="53"/>
      <c r="H1891" s="53"/>
      <c r="I1891" s="53"/>
    </row>
    <row r="1892" customFormat="false" ht="3" hidden="false" customHeight="true" outlineLevel="0" collapsed="false"/>
    <row r="1893" customFormat="false" ht="15" hidden="false" customHeight="true" outlineLevel="0" collapsed="false">
      <c r="C1893" s="56" t="str">
        <f aca="false">IF(助手报销!$R$128&lt;&gt;"",INDEX(助手报销!$B$2:$B$121,助手报销!$R$128),"")</f>
        <v/>
      </c>
      <c r="D1893" s="57" t="str">
        <f aca="false">IF(助手报销!$R$128&lt;&gt;"",INDEX(助手报销!$D$2:$D$121,助手报销!$R$128),"")</f>
        <v/>
      </c>
      <c r="E1893" s="57"/>
      <c r="F1893" s="58" t="str">
        <f aca="false">IF(助手报销!$R$128&lt;&gt;"",INDEX(助手报销!$C$2:$C$121,助手报销!$R$128)&amp;"  字第 "&amp;IF(参数!$B$9="是",INDEX(助手报销!$P$2:$P$121,助手报销!$R$128),"　　　　")&amp;" 号"&amp;IF(INDEX(助手报销!$L$2:$L$121,助手报销!$R$128)&gt;1,"  (共"&amp;INDEX(助手报销!$L$2:$L$121,助手报销!$R$128)&amp;"页 第"&amp;助手报销!$S$128&amp;"页)",""),"")</f>
        <v/>
      </c>
      <c r="G1893" s="58"/>
      <c r="H1893" s="58"/>
      <c r="I1893" s="58"/>
      <c r="M1893" s="79" t="str">
        <f aca="false">IF(助手报销!$R$128="","",助手报销!$Q$128)</f>
        <v/>
      </c>
      <c r="N1893" s="80" t="str">
        <f aca="false">IF(助手报销!$R$128="","",INDEX(助手报销!$P$2:$P$121,助手报销!$R$128))</f>
        <v/>
      </c>
      <c r="O1893" s="55" t="str">
        <f aca="false">IF(助手报销!$R$128="","",INDEX(助手报销!$C$2:$C$121,助手报销!$R$128)&amp;"  字第 "&amp;INDEX(助手报销!$P$2:$P$121,助手报销!$R$128)&amp;" 号"&amp;IF(INDEX(助手报销!$L$2:$L$121,助手报销!$R$128)&gt;1,"  (共"&amp;INDEX(助手报销!$L$2:$L$121,助手报销!$R$128)&amp;"页 第"&amp;助手报销!$S$128&amp;"页)",""))</f>
        <v/>
      </c>
    </row>
    <row r="1894" customFormat="false" ht="12.75" hidden="false" customHeight="true" outlineLevel="0" collapsed="false">
      <c r="B1894" s="61" t="str">
        <f aca="false">IF(助手报销!$R$128&lt;&gt;"","摘　　要","")</f>
        <v/>
      </c>
      <c r="C1894" s="61"/>
      <c r="D1894" s="62" t="str">
        <f aca="false">IF(助手报销!$R$128&lt;&gt;"","科　　　　目","")</f>
        <v/>
      </c>
      <c r="E1894" s="62"/>
      <c r="F1894" s="61" t="str">
        <f aca="false">IF(助手报销!$R$128&lt;&gt;"","借 方 金 额","")</f>
        <v/>
      </c>
      <c r="G1894" s="62" t="str">
        <f aca="false">IF(助手报销!$R$128&lt;&gt;"","贷 方 金 额","")</f>
        <v/>
      </c>
      <c r="H1894" s="63" t="str">
        <f aca="false">IF(助手报销!$R$128&lt;&gt;"","√","")</f>
        <v/>
      </c>
      <c r="I1894" s="64" t="str">
        <f aca="false">IF(助手报销!$R$128&lt;&gt;"","附单据  张","")</f>
        <v/>
      </c>
    </row>
    <row r="1895" customFormat="false" ht="12.75" hidden="false" customHeight="true" outlineLevel="0" collapsed="false">
      <c r="B1895" s="61"/>
      <c r="C1895" s="61"/>
      <c r="D1895" s="23" t="str">
        <f aca="false">IF(助手报销!$R$128&lt;&gt;"","总 账 科 目","")</f>
        <v/>
      </c>
      <c r="E1895" s="23" t="str">
        <f aca="false">IF(助手报销!$R$128&lt;&gt;"","明 细 科 目","")</f>
        <v/>
      </c>
      <c r="F1895" s="65"/>
      <c r="G1895" s="66"/>
      <c r="H1895" s="63"/>
      <c r="I1895" s="64"/>
    </row>
    <row r="1896" customFormat="false" ht="23.25" hidden="false" customHeight="true" outlineLevel="0" collapsed="false">
      <c r="B1896" s="67" t="str">
        <f aca="false">IFERROR(INDEX(分录报销!$M:$M,MATCH($L1896,分录报销!$L:$L,0)),"")</f>
        <v/>
      </c>
      <c r="C1896" s="67"/>
      <c r="D1896" s="23" t="str">
        <f aca="false">IFERROR(INDEX(分录报销!$E:$E,MATCH($L1896,分录报销!$L:$L,0)),"")</f>
        <v/>
      </c>
      <c r="E1896" s="23" t="str">
        <f aca="false">IFERROR(INDEX(分录报销!$F:$F,MATCH($L1896,分录报销!$L:$L,0)),"")</f>
        <v/>
      </c>
      <c r="F1896" s="68" t="str">
        <f aca="false">IFERROR(INDEX(分录报销!$H:$H,MATCH($L1896,分录报销!$L:$L,0)),"")</f>
        <v/>
      </c>
      <c r="G1896" s="69" t="str">
        <f aca="false">IFERROR(INDEX(分录报销!$I:$I,MATCH($L1896,分录报销!$L:$L,0)),"")</f>
        <v/>
      </c>
      <c r="H1896" s="23"/>
      <c r="I1896" s="70"/>
      <c r="L1896" s="71" t="n">
        <f aca="false">IF(助手报销!$R$128="",-1,助手报销!$R$128*100+(助手报销!$S$128-1)*6+1)</f>
        <v>-1</v>
      </c>
    </row>
    <row r="1897" customFormat="false" ht="23.25" hidden="false" customHeight="true" outlineLevel="0" collapsed="false">
      <c r="B1897" s="67" t="str">
        <f aca="false">IFERROR(INDEX(分录报销!$M:$M,MATCH($L1897,分录报销!$L:$L,0)),"")</f>
        <v/>
      </c>
      <c r="C1897" s="67"/>
      <c r="D1897" s="23" t="str">
        <f aca="false">IFERROR(INDEX(分录报销!$E:$E,MATCH($L1897,分录报销!$L:$L,0)),"")</f>
        <v/>
      </c>
      <c r="E1897" s="23" t="str">
        <f aca="false">IFERROR(INDEX(分录报销!$F:$F,MATCH($L1897,分录报销!$L:$L,0)),"")</f>
        <v/>
      </c>
      <c r="F1897" s="68" t="str">
        <f aca="false">IFERROR(INDEX(分录报销!$H:$H,MATCH($L1897,分录报销!$L:$L,0)),"")</f>
        <v/>
      </c>
      <c r="G1897" s="69" t="str">
        <f aca="false">IFERROR(INDEX(分录报销!$I:$I,MATCH($L1897,分录报销!$L:$L,0)),"")</f>
        <v/>
      </c>
      <c r="H1897" s="23"/>
      <c r="I1897" s="70"/>
      <c r="L1897" s="71" t="n">
        <f aca="false">IF(助手报销!$R$128="",-1,助手报销!$R$128*100+(助手报销!$S$128-1)*6+2)</f>
        <v>-1</v>
      </c>
    </row>
    <row r="1898" customFormat="false" ht="23.25" hidden="false" customHeight="true" outlineLevel="0" collapsed="false">
      <c r="B1898" s="67" t="str">
        <f aca="false">IFERROR(INDEX(分录报销!$M:$M,MATCH($L1898,分录报销!$L:$L,0)),"")</f>
        <v/>
      </c>
      <c r="C1898" s="67"/>
      <c r="D1898" s="23" t="str">
        <f aca="false">IFERROR(INDEX(分录报销!$E:$E,MATCH($L1898,分录报销!$L:$L,0)),"")</f>
        <v/>
      </c>
      <c r="E1898" s="23" t="str">
        <f aca="false">IFERROR(INDEX(分录报销!$F:$F,MATCH($L1898,分录报销!$L:$L,0)),"")</f>
        <v/>
      </c>
      <c r="F1898" s="68" t="str">
        <f aca="false">IFERROR(INDEX(分录报销!$H:$H,MATCH($L1898,分录报销!$L:$L,0)),"")</f>
        <v/>
      </c>
      <c r="G1898" s="69" t="str">
        <f aca="false">IFERROR(INDEX(分录报销!$I:$I,MATCH($L1898,分录报销!$L:$L,0)),"")</f>
        <v/>
      </c>
      <c r="H1898" s="23"/>
      <c r="I1898" s="70"/>
      <c r="L1898" s="71" t="n">
        <f aca="false">IF(助手报销!$R$128="",-1,助手报销!$R$128*100+(助手报销!$S$128-1)*6+3)</f>
        <v>-1</v>
      </c>
    </row>
    <row r="1899" customFormat="false" ht="23.25" hidden="false" customHeight="true" outlineLevel="0" collapsed="false">
      <c r="B1899" s="67" t="str">
        <f aca="false">IFERROR(INDEX(分录报销!$M:$M,MATCH($L1899,分录报销!$L:$L,0)),"")</f>
        <v/>
      </c>
      <c r="C1899" s="67"/>
      <c r="D1899" s="23" t="str">
        <f aca="false">IFERROR(INDEX(分录报销!$E:$E,MATCH($L1899,分录报销!$L:$L,0)),"")</f>
        <v/>
      </c>
      <c r="E1899" s="23" t="str">
        <f aca="false">IFERROR(INDEX(分录报销!$F:$F,MATCH($L1899,分录报销!$L:$L,0)),"")</f>
        <v/>
      </c>
      <c r="F1899" s="68" t="str">
        <f aca="false">IFERROR(INDEX(分录报销!$H:$H,MATCH($L1899,分录报销!$L:$L,0)),"")</f>
        <v/>
      </c>
      <c r="G1899" s="69" t="str">
        <f aca="false">IFERROR(INDEX(分录报销!$I:$I,MATCH($L1899,分录报销!$L:$L,0)),"")</f>
        <v/>
      </c>
      <c r="H1899" s="23"/>
      <c r="I1899" s="70"/>
      <c r="L1899" s="71" t="n">
        <f aca="false">IF(助手报销!$R$128="",-1,助手报销!$R$128*100+(助手报销!$S$128-1)*6+4)</f>
        <v>-1</v>
      </c>
    </row>
    <row r="1900" customFormat="false" ht="23.25" hidden="false" customHeight="true" outlineLevel="0" collapsed="false">
      <c r="B1900" s="67" t="str">
        <f aca="false">IFERROR(INDEX(分录报销!$M:$M,MATCH($L1900,分录报销!$L:$L,0)),"")</f>
        <v/>
      </c>
      <c r="C1900" s="67"/>
      <c r="D1900" s="23" t="str">
        <f aca="false">IFERROR(INDEX(分录报销!$E:$E,MATCH($L1900,分录报销!$L:$L,0)),"")</f>
        <v/>
      </c>
      <c r="E1900" s="23" t="str">
        <f aca="false">IFERROR(INDEX(分录报销!$F:$F,MATCH($L1900,分录报销!$L:$L,0)),"")</f>
        <v/>
      </c>
      <c r="F1900" s="68" t="str">
        <f aca="false">IFERROR(INDEX(分录报销!$H:$H,MATCH($L1900,分录报销!$L:$L,0)),"")</f>
        <v/>
      </c>
      <c r="G1900" s="69" t="str">
        <f aca="false">IFERROR(INDEX(分录报销!$I:$I,MATCH($L1900,分录报销!$L:$L,0)),"")</f>
        <v/>
      </c>
      <c r="H1900" s="23"/>
      <c r="I1900" s="70"/>
      <c r="L1900" s="71" t="n">
        <f aca="false">IF(助手报销!$R$128="",-1,助手报销!$R$128*100+(助手报销!$S$128-1)*6+5)</f>
        <v>-1</v>
      </c>
    </row>
    <row r="1901" customFormat="false" ht="23.25" hidden="false" customHeight="true" outlineLevel="0" collapsed="false">
      <c r="B1901" s="67" t="str">
        <f aca="false">IFERROR(INDEX(分录报销!$M:$M,MATCH($L1901,分录报销!$L:$L,0)),"")</f>
        <v/>
      </c>
      <c r="C1901" s="67"/>
      <c r="D1901" s="23" t="str">
        <f aca="false">IFERROR(INDEX(分录报销!$E:$E,MATCH($L1901,分录报销!$L:$L,0)),"")</f>
        <v/>
      </c>
      <c r="E1901" s="23" t="str">
        <f aca="false">IFERROR(INDEX(分录报销!$F:$F,MATCH($L1901,分录报销!$L:$L,0)),"")</f>
        <v/>
      </c>
      <c r="F1901" s="68" t="str">
        <f aca="false">IFERROR(INDEX(分录报销!$H:$H,MATCH($L1901,分录报销!$L:$L,0)),"")</f>
        <v/>
      </c>
      <c r="G1901" s="69" t="str">
        <f aca="false">IFERROR(INDEX(分录报销!$I:$I,MATCH($L1901,分录报销!$L:$L,0)),"")</f>
        <v/>
      </c>
      <c r="H1901" s="23"/>
      <c r="I1901" s="70"/>
      <c r="L1901" s="71" t="n">
        <f aca="false">IF(助手报销!$R$128="",-1,助手报销!$R$128*100+(助手报销!$S$128-1)*6+6)</f>
        <v>-1</v>
      </c>
    </row>
    <row r="1902" customFormat="false" ht="23.25" hidden="false" customHeight="true" outlineLevel="0" collapsed="false">
      <c r="B1902" s="72" t="str">
        <f aca="false">IF(助手报销!$T$128=1,"合计：","")</f>
        <v/>
      </c>
      <c r="C1902" s="73" t="str">
        <f aca="false">IF(助手报销!$T$128=1,$F1902,"")</f>
        <v/>
      </c>
      <c r="D1902" s="74"/>
      <c r="E1902" s="74"/>
      <c r="F1902" s="75" t="str">
        <f aca="false">IF(助手报销!$T$128=1,INDEX(助手报销!$N$2:$N$121,助手报销!$R$128),"")</f>
        <v/>
      </c>
      <c r="G1902" s="76" t="str">
        <f aca="false">IF(助手报销!$T$128=1,INDEX(助手报销!$O$2:$O$121,助手报销!$R$128),"")</f>
        <v/>
      </c>
      <c r="H1902" s="74"/>
      <c r="I1902" s="77"/>
    </row>
    <row r="1903" customFormat="false" ht="6" hidden="false" customHeight="true" outlineLevel="0" collapsed="false"/>
    <row r="1904" customFormat="false" ht="13.5" hidden="false" customHeight="false" outlineLevel="0" collapsed="false">
      <c r="B1904" s="78" t="str">
        <f aca="false">IF(助手报销!$R$128&lt;&gt;"","会计主管：","")</f>
        <v/>
      </c>
      <c r="D1904" s="78" t="str">
        <f aca="false">IF(助手报销!$R$128&lt;&gt;"","会计：","")</f>
        <v/>
      </c>
      <c r="E1904" s="78" t="str">
        <f aca="false">IF(助手报销!$R$128&lt;&gt;"","出纳：","")</f>
        <v/>
      </c>
      <c r="F1904" s="78" t="str">
        <f aca="false">IF(助手报销!$R$128&lt;&gt;"","复核：","")</f>
        <v/>
      </c>
      <c r="G1904" s="78" t="str">
        <f aca="false">IF(助手报销!$R$128&lt;&gt;"","制单：","")</f>
        <v/>
      </c>
    </row>
    <row r="1905" customFormat="false" ht="3" hidden="false" customHeight="true" outlineLevel="0" collapsed="false"/>
    <row r="1906" customFormat="false" ht="19.5" hidden="false" customHeight="true" outlineLevel="0" collapsed="false">
      <c r="B1906" s="53" t="str">
        <f aca="false">IF(助手报销!$R$129&lt;&gt;"","记  账  凭  证","")</f>
        <v/>
      </c>
      <c r="C1906" s="53"/>
      <c r="D1906" s="53"/>
      <c r="E1906" s="53"/>
      <c r="F1906" s="53"/>
      <c r="G1906" s="53"/>
      <c r="H1906" s="53"/>
      <c r="I1906" s="53"/>
    </row>
    <row r="1907" customFormat="false" ht="3" hidden="false" customHeight="true" outlineLevel="0" collapsed="false"/>
    <row r="1908" customFormat="false" ht="15" hidden="false" customHeight="true" outlineLevel="0" collapsed="false">
      <c r="C1908" s="56" t="str">
        <f aca="false">IF(助手报销!$R$129&lt;&gt;"",INDEX(助手报销!$B$2:$B$121,助手报销!$R$129),"")</f>
        <v/>
      </c>
      <c r="D1908" s="57" t="str">
        <f aca="false">IF(助手报销!$R$129&lt;&gt;"",INDEX(助手报销!$D$2:$D$121,助手报销!$R$129),"")</f>
        <v/>
      </c>
      <c r="E1908" s="57"/>
      <c r="F1908" s="58" t="str">
        <f aca="false">IF(助手报销!$R$129&lt;&gt;"",INDEX(助手报销!$C$2:$C$121,助手报销!$R$129)&amp;"  字第 "&amp;IF(参数!$B$9="是",INDEX(助手报销!$P$2:$P$121,助手报销!$R$129),"　　　　")&amp;" 号"&amp;IF(INDEX(助手报销!$L$2:$L$121,助手报销!$R$129)&gt;1,"  (共"&amp;INDEX(助手报销!$L$2:$L$121,助手报销!$R$129)&amp;"页 第"&amp;助手报销!$S$129&amp;"页)",""),"")</f>
        <v/>
      </c>
      <c r="G1908" s="58"/>
      <c r="H1908" s="58"/>
      <c r="I1908" s="58"/>
      <c r="M1908" s="79" t="str">
        <f aca="false">IF(助手报销!$R$129="","",助手报销!$Q$129)</f>
        <v/>
      </c>
      <c r="N1908" s="80" t="str">
        <f aca="false">IF(助手报销!$R$129="","",INDEX(助手报销!$P$2:$P$121,助手报销!$R$129))</f>
        <v/>
      </c>
      <c r="O1908" s="55" t="str">
        <f aca="false">IF(助手报销!$R$129="","",INDEX(助手报销!$C$2:$C$121,助手报销!$R$129)&amp;"  字第 "&amp;INDEX(助手报销!$P$2:$P$121,助手报销!$R$129)&amp;" 号"&amp;IF(INDEX(助手报销!$L$2:$L$121,助手报销!$R$129)&gt;1,"  (共"&amp;INDEX(助手报销!$L$2:$L$121,助手报销!$R$129)&amp;"页 第"&amp;助手报销!$S$129&amp;"页)",""))</f>
        <v/>
      </c>
    </row>
    <row r="1909" customFormat="false" ht="12.75" hidden="false" customHeight="true" outlineLevel="0" collapsed="false">
      <c r="B1909" s="61" t="str">
        <f aca="false">IF(助手报销!$R$129&lt;&gt;"","摘　　要","")</f>
        <v/>
      </c>
      <c r="C1909" s="61"/>
      <c r="D1909" s="62" t="str">
        <f aca="false">IF(助手报销!$R$129&lt;&gt;"","科　　　　目","")</f>
        <v/>
      </c>
      <c r="E1909" s="62"/>
      <c r="F1909" s="61" t="str">
        <f aca="false">IF(助手报销!$R$129&lt;&gt;"","借 方 金 额","")</f>
        <v/>
      </c>
      <c r="G1909" s="62" t="str">
        <f aca="false">IF(助手报销!$R$129&lt;&gt;"","贷 方 金 额","")</f>
        <v/>
      </c>
      <c r="H1909" s="63" t="str">
        <f aca="false">IF(助手报销!$R$129&lt;&gt;"","√","")</f>
        <v/>
      </c>
      <c r="I1909" s="64" t="str">
        <f aca="false">IF(助手报销!$R$129&lt;&gt;"","附单据  张","")</f>
        <v/>
      </c>
    </row>
    <row r="1910" customFormat="false" ht="12.75" hidden="false" customHeight="true" outlineLevel="0" collapsed="false">
      <c r="B1910" s="61"/>
      <c r="C1910" s="61"/>
      <c r="D1910" s="23" t="str">
        <f aca="false">IF(助手报销!$R$129&lt;&gt;"","总 账 科 目","")</f>
        <v/>
      </c>
      <c r="E1910" s="23" t="str">
        <f aca="false">IF(助手报销!$R$129&lt;&gt;"","明 细 科 目","")</f>
        <v/>
      </c>
      <c r="F1910" s="65"/>
      <c r="G1910" s="66"/>
      <c r="H1910" s="63"/>
      <c r="I1910" s="64"/>
    </row>
    <row r="1911" customFormat="false" ht="23.25" hidden="false" customHeight="true" outlineLevel="0" collapsed="false">
      <c r="B1911" s="67" t="str">
        <f aca="false">IFERROR(INDEX(分录报销!$M:$M,MATCH($L1911,分录报销!$L:$L,0)),"")</f>
        <v/>
      </c>
      <c r="C1911" s="67"/>
      <c r="D1911" s="23" t="str">
        <f aca="false">IFERROR(INDEX(分录报销!$E:$E,MATCH($L1911,分录报销!$L:$L,0)),"")</f>
        <v/>
      </c>
      <c r="E1911" s="23" t="str">
        <f aca="false">IFERROR(INDEX(分录报销!$F:$F,MATCH($L1911,分录报销!$L:$L,0)),"")</f>
        <v/>
      </c>
      <c r="F1911" s="68" t="str">
        <f aca="false">IFERROR(INDEX(分录报销!$H:$H,MATCH($L1911,分录报销!$L:$L,0)),"")</f>
        <v/>
      </c>
      <c r="G1911" s="69" t="str">
        <f aca="false">IFERROR(INDEX(分录报销!$I:$I,MATCH($L1911,分录报销!$L:$L,0)),"")</f>
        <v/>
      </c>
      <c r="H1911" s="23"/>
      <c r="I1911" s="70"/>
      <c r="L1911" s="71" t="n">
        <f aca="false">IF(助手报销!$R$129="",-1,助手报销!$R$129*100+(助手报销!$S$129-1)*6+1)</f>
        <v>-1</v>
      </c>
    </row>
    <row r="1912" customFormat="false" ht="23.25" hidden="false" customHeight="true" outlineLevel="0" collapsed="false">
      <c r="B1912" s="67" t="str">
        <f aca="false">IFERROR(INDEX(分录报销!$M:$M,MATCH($L1912,分录报销!$L:$L,0)),"")</f>
        <v/>
      </c>
      <c r="C1912" s="67"/>
      <c r="D1912" s="23" t="str">
        <f aca="false">IFERROR(INDEX(分录报销!$E:$E,MATCH($L1912,分录报销!$L:$L,0)),"")</f>
        <v/>
      </c>
      <c r="E1912" s="23" t="str">
        <f aca="false">IFERROR(INDEX(分录报销!$F:$F,MATCH($L1912,分录报销!$L:$L,0)),"")</f>
        <v/>
      </c>
      <c r="F1912" s="68" t="str">
        <f aca="false">IFERROR(INDEX(分录报销!$H:$H,MATCH($L1912,分录报销!$L:$L,0)),"")</f>
        <v/>
      </c>
      <c r="G1912" s="69" t="str">
        <f aca="false">IFERROR(INDEX(分录报销!$I:$I,MATCH($L1912,分录报销!$L:$L,0)),"")</f>
        <v/>
      </c>
      <c r="H1912" s="23"/>
      <c r="I1912" s="70"/>
      <c r="L1912" s="71" t="n">
        <f aca="false">IF(助手报销!$R$129="",-1,助手报销!$R$129*100+(助手报销!$S$129-1)*6+2)</f>
        <v>-1</v>
      </c>
    </row>
    <row r="1913" customFormat="false" ht="23.25" hidden="false" customHeight="true" outlineLevel="0" collapsed="false">
      <c r="B1913" s="67" t="str">
        <f aca="false">IFERROR(INDEX(分录报销!$M:$M,MATCH($L1913,分录报销!$L:$L,0)),"")</f>
        <v/>
      </c>
      <c r="C1913" s="67"/>
      <c r="D1913" s="23" t="str">
        <f aca="false">IFERROR(INDEX(分录报销!$E:$E,MATCH($L1913,分录报销!$L:$L,0)),"")</f>
        <v/>
      </c>
      <c r="E1913" s="23" t="str">
        <f aca="false">IFERROR(INDEX(分录报销!$F:$F,MATCH($L1913,分录报销!$L:$L,0)),"")</f>
        <v/>
      </c>
      <c r="F1913" s="68" t="str">
        <f aca="false">IFERROR(INDEX(分录报销!$H:$H,MATCH($L1913,分录报销!$L:$L,0)),"")</f>
        <v/>
      </c>
      <c r="G1913" s="69" t="str">
        <f aca="false">IFERROR(INDEX(分录报销!$I:$I,MATCH($L1913,分录报销!$L:$L,0)),"")</f>
        <v/>
      </c>
      <c r="H1913" s="23"/>
      <c r="I1913" s="70"/>
      <c r="L1913" s="71" t="n">
        <f aca="false">IF(助手报销!$R$129="",-1,助手报销!$R$129*100+(助手报销!$S$129-1)*6+3)</f>
        <v>-1</v>
      </c>
    </row>
    <row r="1914" customFormat="false" ht="23.25" hidden="false" customHeight="true" outlineLevel="0" collapsed="false">
      <c r="B1914" s="67" t="str">
        <f aca="false">IFERROR(INDEX(分录报销!$M:$M,MATCH($L1914,分录报销!$L:$L,0)),"")</f>
        <v/>
      </c>
      <c r="C1914" s="67"/>
      <c r="D1914" s="23" t="str">
        <f aca="false">IFERROR(INDEX(分录报销!$E:$E,MATCH($L1914,分录报销!$L:$L,0)),"")</f>
        <v/>
      </c>
      <c r="E1914" s="23" t="str">
        <f aca="false">IFERROR(INDEX(分录报销!$F:$F,MATCH($L1914,分录报销!$L:$L,0)),"")</f>
        <v/>
      </c>
      <c r="F1914" s="68" t="str">
        <f aca="false">IFERROR(INDEX(分录报销!$H:$H,MATCH($L1914,分录报销!$L:$L,0)),"")</f>
        <v/>
      </c>
      <c r="G1914" s="69" t="str">
        <f aca="false">IFERROR(INDEX(分录报销!$I:$I,MATCH($L1914,分录报销!$L:$L,0)),"")</f>
        <v/>
      </c>
      <c r="H1914" s="23"/>
      <c r="I1914" s="70"/>
      <c r="L1914" s="71" t="n">
        <f aca="false">IF(助手报销!$R$129="",-1,助手报销!$R$129*100+(助手报销!$S$129-1)*6+4)</f>
        <v>-1</v>
      </c>
    </row>
    <row r="1915" customFormat="false" ht="23.25" hidden="false" customHeight="true" outlineLevel="0" collapsed="false">
      <c r="B1915" s="67" t="str">
        <f aca="false">IFERROR(INDEX(分录报销!$M:$M,MATCH($L1915,分录报销!$L:$L,0)),"")</f>
        <v/>
      </c>
      <c r="C1915" s="67"/>
      <c r="D1915" s="23" t="str">
        <f aca="false">IFERROR(INDEX(分录报销!$E:$E,MATCH($L1915,分录报销!$L:$L,0)),"")</f>
        <v/>
      </c>
      <c r="E1915" s="23" t="str">
        <f aca="false">IFERROR(INDEX(分录报销!$F:$F,MATCH($L1915,分录报销!$L:$L,0)),"")</f>
        <v/>
      </c>
      <c r="F1915" s="68" t="str">
        <f aca="false">IFERROR(INDEX(分录报销!$H:$H,MATCH($L1915,分录报销!$L:$L,0)),"")</f>
        <v/>
      </c>
      <c r="G1915" s="69" t="str">
        <f aca="false">IFERROR(INDEX(分录报销!$I:$I,MATCH($L1915,分录报销!$L:$L,0)),"")</f>
        <v/>
      </c>
      <c r="H1915" s="23"/>
      <c r="I1915" s="70"/>
      <c r="L1915" s="71" t="n">
        <f aca="false">IF(助手报销!$R$129="",-1,助手报销!$R$129*100+(助手报销!$S$129-1)*6+5)</f>
        <v>-1</v>
      </c>
    </row>
    <row r="1916" customFormat="false" ht="23.25" hidden="false" customHeight="true" outlineLevel="0" collapsed="false">
      <c r="B1916" s="67" t="str">
        <f aca="false">IFERROR(INDEX(分录报销!$M:$M,MATCH($L1916,分录报销!$L:$L,0)),"")</f>
        <v/>
      </c>
      <c r="C1916" s="67"/>
      <c r="D1916" s="23" t="str">
        <f aca="false">IFERROR(INDEX(分录报销!$E:$E,MATCH($L1916,分录报销!$L:$L,0)),"")</f>
        <v/>
      </c>
      <c r="E1916" s="23" t="str">
        <f aca="false">IFERROR(INDEX(分录报销!$F:$F,MATCH($L1916,分录报销!$L:$L,0)),"")</f>
        <v/>
      </c>
      <c r="F1916" s="68" t="str">
        <f aca="false">IFERROR(INDEX(分录报销!$H:$H,MATCH($L1916,分录报销!$L:$L,0)),"")</f>
        <v/>
      </c>
      <c r="G1916" s="69" t="str">
        <f aca="false">IFERROR(INDEX(分录报销!$I:$I,MATCH($L1916,分录报销!$L:$L,0)),"")</f>
        <v/>
      </c>
      <c r="H1916" s="23"/>
      <c r="I1916" s="70"/>
      <c r="L1916" s="71" t="n">
        <f aca="false">IF(助手报销!$R$129="",-1,助手报销!$R$129*100+(助手报销!$S$129-1)*6+6)</f>
        <v>-1</v>
      </c>
    </row>
    <row r="1917" customFormat="false" ht="23.25" hidden="false" customHeight="true" outlineLevel="0" collapsed="false">
      <c r="B1917" s="72" t="str">
        <f aca="false">IF(助手报销!$T$129=1,"合计：","")</f>
        <v/>
      </c>
      <c r="C1917" s="73" t="str">
        <f aca="false">IF(助手报销!$T$129=1,$F1917,"")</f>
        <v/>
      </c>
      <c r="D1917" s="74"/>
      <c r="E1917" s="74"/>
      <c r="F1917" s="75" t="str">
        <f aca="false">IF(助手报销!$T$129=1,INDEX(助手报销!$N$2:$N$121,助手报销!$R$129),"")</f>
        <v/>
      </c>
      <c r="G1917" s="76" t="str">
        <f aca="false">IF(助手报销!$T$129=1,INDEX(助手报销!$O$2:$O$121,助手报销!$R$129),"")</f>
        <v/>
      </c>
      <c r="H1917" s="74"/>
      <c r="I1917" s="77"/>
    </row>
    <row r="1918" customFormat="false" ht="6" hidden="false" customHeight="true" outlineLevel="0" collapsed="false"/>
    <row r="1919" customFormat="false" ht="13.5" hidden="false" customHeight="false" outlineLevel="0" collapsed="false">
      <c r="B1919" s="78" t="str">
        <f aca="false">IF(助手报销!$R$129&lt;&gt;"","会计主管：","")</f>
        <v/>
      </c>
      <c r="D1919" s="78" t="str">
        <f aca="false">IF(助手报销!$R$129&lt;&gt;"","会计：","")</f>
        <v/>
      </c>
      <c r="E1919" s="78" t="str">
        <f aca="false">IF(助手报销!$R$129&lt;&gt;"","出纳：","")</f>
        <v/>
      </c>
      <c r="F1919" s="78" t="str">
        <f aca="false">IF(助手报销!$R$129&lt;&gt;"","复核：","")</f>
        <v/>
      </c>
      <c r="G1919" s="78" t="str">
        <f aca="false">IF(助手报销!$R$129&lt;&gt;"","制单：","")</f>
        <v/>
      </c>
    </row>
    <row r="1920" customFormat="false" ht="3" hidden="false" customHeight="true" outlineLevel="0" collapsed="false"/>
    <row r="1921" customFormat="false" ht="19.5" hidden="false" customHeight="true" outlineLevel="0" collapsed="false">
      <c r="B1921" s="53" t="str">
        <f aca="false">IF(助手报销!$R$130&lt;&gt;"","记  账  凭  证","")</f>
        <v/>
      </c>
      <c r="C1921" s="53"/>
      <c r="D1921" s="53"/>
      <c r="E1921" s="53"/>
      <c r="F1921" s="53"/>
      <c r="G1921" s="53"/>
      <c r="H1921" s="53"/>
      <c r="I1921" s="53"/>
    </row>
    <row r="1922" customFormat="false" ht="3" hidden="false" customHeight="true" outlineLevel="0" collapsed="false"/>
    <row r="1923" customFormat="false" ht="15" hidden="false" customHeight="true" outlineLevel="0" collapsed="false">
      <c r="C1923" s="56" t="str">
        <f aca="false">IF(助手报销!$R$130&lt;&gt;"",INDEX(助手报销!$B$2:$B$121,助手报销!$R$130),"")</f>
        <v/>
      </c>
      <c r="D1923" s="57" t="str">
        <f aca="false">IF(助手报销!$R$130&lt;&gt;"",INDEX(助手报销!$D$2:$D$121,助手报销!$R$130),"")</f>
        <v/>
      </c>
      <c r="E1923" s="57"/>
      <c r="F1923" s="58" t="str">
        <f aca="false">IF(助手报销!$R$130&lt;&gt;"",INDEX(助手报销!$C$2:$C$121,助手报销!$R$130)&amp;"  字第 "&amp;IF(参数!$B$9="是",INDEX(助手报销!$P$2:$P$121,助手报销!$R$130),"　　　　")&amp;" 号"&amp;IF(INDEX(助手报销!$L$2:$L$121,助手报销!$R$130)&gt;1,"  (共"&amp;INDEX(助手报销!$L$2:$L$121,助手报销!$R$130)&amp;"页 第"&amp;助手报销!$S$130&amp;"页)",""),"")</f>
        <v/>
      </c>
      <c r="G1923" s="58"/>
      <c r="H1923" s="58"/>
      <c r="I1923" s="58"/>
      <c r="M1923" s="79" t="str">
        <f aca="false">IF(助手报销!$R$130="","",助手报销!$Q$130)</f>
        <v/>
      </c>
      <c r="N1923" s="80" t="str">
        <f aca="false">IF(助手报销!$R$130="","",INDEX(助手报销!$P$2:$P$121,助手报销!$R$130))</f>
        <v/>
      </c>
      <c r="O1923" s="55" t="str">
        <f aca="false">IF(助手报销!$R$130="","",INDEX(助手报销!$C$2:$C$121,助手报销!$R$130)&amp;"  字第 "&amp;INDEX(助手报销!$P$2:$P$121,助手报销!$R$130)&amp;" 号"&amp;IF(INDEX(助手报销!$L$2:$L$121,助手报销!$R$130)&gt;1,"  (共"&amp;INDEX(助手报销!$L$2:$L$121,助手报销!$R$130)&amp;"页 第"&amp;助手报销!$S$130&amp;"页)",""))</f>
        <v/>
      </c>
    </row>
    <row r="1924" customFormat="false" ht="12.75" hidden="false" customHeight="true" outlineLevel="0" collapsed="false">
      <c r="B1924" s="61" t="str">
        <f aca="false">IF(助手报销!$R$130&lt;&gt;"","摘　　要","")</f>
        <v/>
      </c>
      <c r="C1924" s="61"/>
      <c r="D1924" s="62" t="str">
        <f aca="false">IF(助手报销!$R$130&lt;&gt;"","科　　　　目","")</f>
        <v/>
      </c>
      <c r="E1924" s="62"/>
      <c r="F1924" s="61" t="str">
        <f aca="false">IF(助手报销!$R$130&lt;&gt;"","借 方 金 额","")</f>
        <v/>
      </c>
      <c r="G1924" s="62" t="str">
        <f aca="false">IF(助手报销!$R$130&lt;&gt;"","贷 方 金 额","")</f>
        <v/>
      </c>
      <c r="H1924" s="63" t="str">
        <f aca="false">IF(助手报销!$R$130&lt;&gt;"","√","")</f>
        <v/>
      </c>
      <c r="I1924" s="64" t="str">
        <f aca="false">IF(助手报销!$R$130&lt;&gt;"","附单据  张","")</f>
        <v/>
      </c>
    </row>
    <row r="1925" customFormat="false" ht="12.75" hidden="false" customHeight="true" outlineLevel="0" collapsed="false">
      <c r="B1925" s="61"/>
      <c r="C1925" s="61"/>
      <c r="D1925" s="23" t="str">
        <f aca="false">IF(助手报销!$R$130&lt;&gt;"","总 账 科 目","")</f>
        <v/>
      </c>
      <c r="E1925" s="23" t="str">
        <f aca="false">IF(助手报销!$R$130&lt;&gt;"","明 细 科 目","")</f>
        <v/>
      </c>
      <c r="F1925" s="65"/>
      <c r="G1925" s="66"/>
      <c r="H1925" s="63"/>
      <c r="I1925" s="64"/>
    </row>
    <row r="1926" customFormat="false" ht="23.25" hidden="false" customHeight="true" outlineLevel="0" collapsed="false">
      <c r="B1926" s="67" t="str">
        <f aca="false">IFERROR(INDEX(分录报销!$M:$M,MATCH($L1926,分录报销!$L:$L,0)),"")</f>
        <v/>
      </c>
      <c r="C1926" s="67"/>
      <c r="D1926" s="23" t="str">
        <f aca="false">IFERROR(INDEX(分录报销!$E:$E,MATCH($L1926,分录报销!$L:$L,0)),"")</f>
        <v/>
      </c>
      <c r="E1926" s="23" t="str">
        <f aca="false">IFERROR(INDEX(分录报销!$F:$F,MATCH($L1926,分录报销!$L:$L,0)),"")</f>
        <v/>
      </c>
      <c r="F1926" s="68" t="str">
        <f aca="false">IFERROR(INDEX(分录报销!$H:$H,MATCH($L1926,分录报销!$L:$L,0)),"")</f>
        <v/>
      </c>
      <c r="G1926" s="69" t="str">
        <f aca="false">IFERROR(INDEX(分录报销!$I:$I,MATCH($L1926,分录报销!$L:$L,0)),"")</f>
        <v/>
      </c>
      <c r="H1926" s="23"/>
      <c r="I1926" s="70"/>
      <c r="L1926" s="71" t="n">
        <f aca="false">IF(助手报销!$R$130="",-1,助手报销!$R$130*100+(助手报销!$S$130-1)*6+1)</f>
        <v>-1</v>
      </c>
    </row>
    <row r="1927" customFormat="false" ht="23.25" hidden="false" customHeight="true" outlineLevel="0" collapsed="false">
      <c r="B1927" s="67" t="str">
        <f aca="false">IFERROR(INDEX(分录报销!$M:$M,MATCH($L1927,分录报销!$L:$L,0)),"")</f>
        <v/>
      </c>
      <c r="C1927" s="67"/>
      <c r="D1927" s="23" t="str">
        <f aca="false">IFERROR(INDEX(分录报销!$E:$E,MATCH($L1927,分录报销!$L:$L,0)),"")</f>
        <v/>
      </c>
      <c r="E1927" s="23" t="str">
        <f aca="false">IFERROR(INDEX(分录报销!$F:$F,MATCH($L1927,分录报销!$L:$L,0)),"")</f>
        <v/>
      </c>
      <c r="F1927" s="68" t="str">
        <f aca="false">IFERROR(INDEX(分录报销!$H:$H,MATCH($L1927,分录报销!$L:$L,0)),"")</f>
        <v/>
      </c>
      <c r="G1927" s="69" t="str">
        <f aca="false">IFERROR(INDEX(分录报销!$I:$I,MATCH($L1927,分录报销!$L:$L,0)),"")</f>
        <v/>
      </c>
      <c r="H1927" s="23"/>
      <c r="I1927" s="70"/>
      <c r="L1927" s="71" t="n">
        <f aca="false">IF(助手报销!$R$130="",-1,助手报销!$R$130*100+(助手报销!$S$130-1)*6+2)</f>
        <v>-1</v>
      </c>
    </row>
    <row r="1928" customFormat="false" ht="23.25" hidden="false" customHeight="true" outlineLevel="0" collapsed="false">
      <c r="B1928" s="67" t="str">
        <f aca="false">IFERROR(INDEX(分录报销!$M:$M,MATCH($L1928,分录报销!$L:$L,0)),"")</f>
        <v/>
      </c>
      <c r="C1928" s="67"/>
      <c r="D1928" s="23" t="str">
        <f aca="false">IFERROR(INDEX(分录报销!$E:$E,MATCH($L1928,分录报销!$L:$L,0)),"")</f>
        <v/>
      </c>
      <c r="E1928" s="23" t="str">
        <f aca="false">IFERROR(INDEX(分录报销!$F:$F,MATCH($L1928,分录报销!$L:$L,0)),"")</f>
        <v/>
      </c>
      <c r="F1928" s="68" t="str">
        <f aca="false">IFERROR(INDEX(分录报销!$H:$H,MATCH($L1928,分录报销!$L:$L,0)),"")</f>
        <v/>
      </c>
      <c r="G1928" s="69" t="str">
        <f aca="false">IFERROR(INDEX(分录报销!$I:$I,MATCH($L1928,分录报销!$L:$L,0)),"")</f>
        <v/>
      </c>
      <c r="H1928" s="23"/>
      <c r="I1928" s="70"/>
      <c r="L1928" s="71" t="n">
        <f aca="false">IF(助手报销!$R$130="",-1,助手报销!$R$130*100+(助手报销!$S$130-1)*6+3)</f>
        <v>-1</v>
      </c>
    </row>
    <row r="1929" customFormat="false" ht="23.25" hidden="false" customHeight="true" outlineLevel="0" collapsed="false">
      <c r="B1929" s="67" t="str">
        <f aca="false">IFERROR(INDEX(分录报销!$M:$M,MATCH($L1929,分录报销!$L:$L,0)),"")</f>
        <v/>
      </c>
      <c r="C1929" s="67"/>
      <c r="D1929" s="23" t="str">
        <f aca="false">IFERROR(INDEX(分录报销!$E:$E,MATCH($L1929,分录报销!$L:$L,0)),"")</f>
        <v/>
      </c>
      <c r="E1929" s="23" t="str">
        <f aca="false">IFERROR(INDEX(分录报销!$F:$F,MATCH($L1929,分录报销!$L:$L,0)),"")</f>
        <v/>
      </c>
      <c r="F1929" s="68" t="str">
        <f aca="false">IFERROR(INDEX(分录报销!$H:$H,MATCH($L1929,分录报销!$L:$L,0)),"")</f>
        <v/>
      </c>
      <c r="G1929" s="69" t="str">
        <f aca="false">IFERROR(INDEX(分录报销!$I:$I,MATCH($L1929,分录报销!$L:$L,0)),"")</f>
        <v/>
      </c>
      <c r="H1929" s="23"/>
      <c r="I1929" s="70"/>
      <c r="L1929" s="71" t="n">
        <f aca="false">IF(助手报销!$R$130="",-1,助手报销!$R$130*100+(助手报销!$S$130-1)*6+4)</f>
        <v>-1</v>
      </c>
    </row>
    <row r="1930" customFormat="false" ht="23.25" hidden="false" customHeight="true" outlineLevel="0" collapsed="false">
      <c r="B1930" s="67" t="str">
        <f aca="false">IFERROR(INDEX(分录报销!$M:$M,MATCH($L1930,分录报销!$L:$L,0)),"")</f>
        <v/>
      </c>
      <c r="C1930" s="67"/>
      <c r="D1930" s="23" t="str">
        <f aca="false">IFERROR(INDEX(分录报销!$E:$E,MATCH($L1930,分录报销!$L:$L,0)),"")</f>
        <v/>
      </c>
      <c r="E1930" s="23" t="str">
        <f aca="false">IFERROR(INDEX(分录报销!$F:$F,MATCH($L1930,分录报销!$L:$L,0)),"")</f>
        <v/>
      </c>
      <c r="F1930" s="68" t="str">
        <f aca="false">IFERROR(INDEX(分录报销!$H:$H,MATCH($L1930,分录报销!$L:$L,0)),"")</f>
        <v/>
      </c>
      <c r="G1930" s="69" t="str">
        <f aca="false">IFERROR(INDEX(分录报销!$I:$I,MATCH($L1930,分录报销!$L:$L,0)),"")</f>
        <v/>
      </c>
      <c r="H1930" s="23"/>
      <c r="I1930" s="70"/>
      <c r="L1930" s="71" t="n">
        <f aca="false">IF(助手报销!$R$130="",-1,助手报销!$R$130*100+(助手报销!$S$130-1)*6+5)</f>
        <v>-1</v>
      </c>
    </row>
    <row r="1931" customFormat="false" ht="23.25" hidden="false" customHeight="true" outlineLevel="0" collapsed="false">
      <c r="B1931" s="67" t="str">
        <f aca="false">IFERROR(INDEX(分录报销!$M:$M,MATCH($L1931,分录报销!$L:$L,0)),"")</f>
        <v/>
      </c>
      <c r="C1931" s="67"/>
      <c r="D1931" s="23" t="str">
        <f aca="false">IFERROR(INDEX(分录报销!$E:$E,MATCH($L1931,分录报销!$L:$L,0)),"")</f>
        <v/>
      </c>
      <c r="E1931" s="23" t="str">
        <f aca="false">IFERROR(INDEX(分录报销!$F:$F,MATCH($L1931,分录报销!$L:$L,0)),"")</f>
        <v/>
      </c>
      <c r="F1931" s="68" t="str">
        <f aca="false">IFERROR(INDEX(分录报销!$H:$H,MATCH($L1931,分录报销!$L:$L,0)),"")</f>
        <v/>
      </c>
      <c r="G1931" s="69" t="str">
        <f aca="false">IFERROR(INDEX(分录报销!$I:$I,MATCH($L1931,分录报销!$L:$L,0)),"")</f>
        <v/>
      </c>
      <c r="H1931" s="23"/>
      <c r="I1931" s="70"/>
      <c r="L1931" s="71" t="n">
        <f aca="false">IF(助手报销!$R$130="",-1,助手报销!$R$130*100+(助手报销!$S$130-1)*6+6)</f>
        <v>-1</v>
      </c>
    </row>
    <row r="1932" customFormat="false" ht="23.25" hidden="false" customHeight="true" outlineLevel="0" collapsed="false">
      <c r="B1932" s="72" t="str">
        <f aca="false">IF(助手报销!$T$130=1,"合计：","")</f>
        <v/>
      </c>
      <c r="C1932" s="73" t="str">
        <f aca="false">IF(助手报销!$T$130=1,$F1932,"")</f>
        <v/>
      </c>
      <c r="D1932" s="74"/>
      <c r="E1932" s="74"/>
      <c r="F1932" s="75" t="str">
        <f aca="false">IF(助手报销!$T$130=1,INDEX(助手报销!$N$2:$N$121,助手报销!$R$130),"")</f>
        <v/>
      </c>
      <c r="G1932" s="76" t="str">
        <f aca="false">IF(助手报销!$T$130=1,INDEX(助手报销!$O$2:$O$121,助手报销!$R$130),"")</f>
        <v/>
      </c>
      <c r="H1932" s="74"/>
      <c r="I1932" s="77"/>
    </row>
    <row r="1933" customFormat="false" ht="6" hidden="false" customHeight="true" outlineLevel="0" collapsed="false"/>
    <row r="1934" customFormat="false" ht="13.5" hidden="false" customHeight="false" outlineLevel="0" collapsed="false">
      <c r="B1934" s="78" t="str">
        <f aca="false">IF(助手报销!$R$130&lt;&gt;"","会计主管：","")</f>
        <v/>
      </c>
      <c r="D1934" s="78" t="str">
        <f aca="false">IF(助手报销!$R$130&lt;&gt;"","会计：","")</f>
        <v/>
      </c>
      <c r="E1934" s="78" t="str">
        <f aca="false">IF(助手报销!$R$130&lt;&gt;"","出纳：","")</f>
        <v/>
      </c>
      <c r="F1934" s="78" t="str">
        <f aca="false">IF(助手报销!$R$130&lt;&gt;"","复核：","")</f>
        <v/>
      </c>
      <c r="G1934" s="78" t="str">
        <f aca="false">IF(助手报销!$R$130&lt;&gt;"","制单：","")</f>
        <v/>
      </c>
    </row>
    <row r="1935" customFormat="false" ht="3" hidden="false" customHeight="true" outlineLevel="0" collapsed="false"/>
    <row r="1936" customFormat="false" ht="19.5" hidden="false" customHeight="true" outlineLevel="0" collapsed="false">
      <c r="B1936" s="53" t="str">
        <f aca="false">IF(助手报销!$R$131&lt;&gt;"","记  账  凭  证","")</f>
        <v/>
      </c>
      <c r="C1936" s="53"/>
      <c r="D1936" s="53"/>
      <c r="E1936" s="53"/>
      <c r="F1936" s="53"/>
      <c r="G1936" s="53"/>
      <c r="H1936" s="53"/>
      <c r="I1936" s="53"/>
    </row>
    <row r="1937" customFormat="false" ht="3" hidden="false" customHeight="true" outlineLevel="0" collapsed="false"/>
    <row r="1938" customFormat="false" ht="15" hidden="false" customHeight="true" outlineLevel="0" collapsed="false">
      <c r="C1938" s="56" t="str">
        <f aca="false">IF(助手报销!$R$131&lt;&gt;"",INDEX(助手报销!$B$2:$B$121,助手报销!$R$131),"")</f>
        <v/>
      </c>
      <c r="D1938" s="57" t="str">
        <f aca="false">IF(助手报销!$R$131&lt;&gt;"",INDEX(助手报销!$D$2:$D$121,助手报销!$R$131),"")</f>
        <v/>
      </c>
      <c r="E1938" s="57"/>
      <c r="F1938" s="58" t="str">
        <f aca="false">IF(助手报销!$R$131&lt;&gt;"",INDEX(助手报销!$C$2:$C$121,助手报销!$R$131)&amp;"  字第 "&amp;IF(参数!$B$9="是",INDEX(助手报销!$P$2:$P$121,助手报销!$R$131),"　　　　")&amp;" 号"&amp;IF(INDEX(助手报销!$L$2:$L$121,助手报销!$R$131)&gt;1,"  (共"&amp;INDEX(助手报销!$L$2:$L$121,助手报销!$R$131)&amp;"页 第"&amp;助手报销!$S$131&amp;"页)",""),"")</f>
        <v/>
      </c>
      <c r="G1938" s="58"/>
      <c r="H1938" s="58"/>
      <c r="I1938" s="58"/>
      <c r="M1938" s="79" t="str">
        <f aca="false">IF(助手报销!$R$131="","",助手报销!$Q$131)</f>
        <v/>
      </c>
      <c r="N1938" s="80" t="str">
        <f aca="false">IF(助手报销!$R$131="","",INDEX(助手报销!$P$2:$P$121,助手报销!$R$131))</f>
        <v/>
      </c>
      <c r="O1938" s="55" t="str">
        <f aca="false">IF(助手报销!$R$131="","",INDEX(助手报销!$C$2:$C$121,助手报销!$R$131)&amp;"  字第 "&amp;INDEX(助手报销!$P$2:$P$121,助手报销!$R$131)&amp;" 号"&amp;IF(INDEX(助手报销!$L$2:$L$121,助手报销!$R$131)&gt;1,"  (共"&amp;INDEX(助手报销!$L$2:$L$121,助手报销!$R$131)&amp;"页 第"&amp;助手报销!$S$131&amp;"页)",""))</f>
        <v/>
      </c>
    </row>
    <row r="1939" customFormat="false" ht="12.75" hidden="false" customHeight="true" outlineLevel="0" collapsed="false">
      <c r="B1939" s="61" t="str">
        <f aca="false">IF(助手报销!$R$131&lt;&gt;"","摘　　要","")</f>
        <v/>
      </c>
      <c r="C1939" s="61"/>
      <c r="D1939" s="62" t="str">
        <f aca="false">IF(助手报销!$R$131&lt;&gt;"","科　　　　目","")</f>
        <v/>
      </c>
      <c r="E1939" s="62"/>
      <c r="F1939" s="61" t="str">
        <f aca="false">IF(助手报销!$R$131&lt;&gt;"","借 方 金 额","")</f>
        <v/>
      </c>
      <c r="G1939" s="62" t="str">
        <f aca="false">IF(助手报销!$R$131&lt;&gt;"","贷 方 金 额","")</f>
        <v/>
      </c>
      <c r="H1939" s="63" t="str">
        <f aca="false">IF(助手报销!$R$131&lt;&gt;"","√","")</f>
        <v/>
      </c>
      <c r="I1939" s="64" t="str">
        <f aca="false">IF(助手报销!$R$131&lt;&gt;"","附单据  张","")</f>
        <v/>
      </c>
    </row>
    <row r="1940" customFormat="false" ht="12.75" hidden="false" customHeight="true" outlineLevel="0" collapsed="false">
      <c r="B1940" s="61"/>
      <c r="C1940" s="61"/>
      <c r="D1940" s="23" t="str">
        <f aca="false">IF(助手报销!$R$131&lt;&gt;"","总 账 科 目","")</f>
        <v/>
      </c>
      <c r="E1940" s="23" t="str">
        <f aca="false">IF(助手报销!$R$131&lt;&gt;"","明 细 科 目","")</f>
        <v/>
      </c>
      <c r="F1940" s="65"/>
      <c r="G1940" s="66"/>
      <c r="H1940" s="63"/>
      <c r="I1940" s="64"/>
    </row>
    <row r="1941" customFormat="false" ht="23.25" hidden="false" customHeight="true" outlineLevel="0" collapsed="false">
      <c r="B1941" s="67" t="str">
        <f aca="false">IFERROR(INDEX(分录报销!$M:$M,MATCH($L1941,分录报销!$L:$L,0)),"")</f>
        <v/>
      </c>
      <c r="C1941" s="67"/>
      <c r="D1941" s="23" t="str">
        <f aca="false">IFERROR(INDEX(分录报销!$E:$E,MATCH($L1941,分录报销!$L:$L,0)),"")</f>
        <v/>
      </c>
      <c r="E1941" s="23" t="str">
        <f aca="false">IFERROR(INDEX(分录报销!$F:$F,MATCH($L1941,分录报销!$L:$L,0)),"")</f>
        <v/>
      </c>
      <c r="F1941" s="68" t="str">
        <f aca="false">IFERROR(INDEX(分录报销!$H:$H,MATCH($L1941,分录报销!$L:$L,0)),"")</f>
        <v/>
      </c>
      <c r="G1941" s="69" t="str">
        <f aca="false">IFERROR(INDEX(分录报销!$I:$I,MATCH($L1941,分录报销!$L:$L,0)),"")</f>
        <v/>
      </c>
      <c r="H1941" s="23"/>
      <c r="I1941" s="70"/>
      <c r="L1941" s="71" t="n">
        <f aca="false">IF(助手报销!$R$131="",-1,助手报销!$R$131*100+(助手报销!$S$131-1)*6+1)</f>
        <v>-1</v>
      </c>
    </row>
    <row r="1942" customFormat="false" ht="23.25" hidden="false" customHeight="true" outlineLevel="0" collapsed="false">
      <c r="B1942" s="67" t="str">
        <f aca="false">IFERROR(INDEX(分录报销!$M:$M,MATCH($L1942,分录报销!$L:$L,0)),"")</f>
        <v/>
      </c>
      <c r="C1942" s="67"/>
      <c r="D1942" s="23" t="str">
        <f aca="false">IFERROR(INDEX(分录报销!$E:$E,MATCH($L1942,分录报销!$L:$L,0)),"")</f>
        <v/>
      </c>
      <c r="E1942" s="23" t="str">
        <f aca="false">IFERROR(INDEX(分录报销!$F:$F,MATCH($L1942,分录报销!$L:$L,0)),"")</f>
        <v/>
      </c>
      <c r="F1942" s="68" t="str">
        <f aca="false">IFERROR(INDEX(分录报销!$H:$H,MATCH($L1942,分录报销!$L:$L,0)),"")</f>
        <v/>
      </c>
      <c r="G1942" s="69" t="str">
        <f aca="false">IFERROR(INDEX(分录报销!$I:$I,MATCH($L1942,分录报销!$L:$L,0)),"")</f>
        <v/>
      </c>
      <c r="H1942" s="23"/>
      <c r="I1942" s="70"/>
      <c r="L1942" s="71" t="n">
        <f aca="false">IF(助手报销!$R$131="",-1,助手报销!$R$131*100+(助手报销!$S$131-1)*6+2)</f>
        <v>-1</v>
      </c>
    </row>
    <row r="1943" customFormat="false" ht="23.25" hidden="false" customHeight="true" outlineLevel="0" collapsed="false">
      <c r="B1943" s="67" t="str">
        <f aca="false">IFERROR(INDEX(分录报销!$M:$M,MATCH($L1943,分录报销!$L:$L,0)),"")</f>
        <v/>
      </c>
      <c r="C1943" s="67"/>
      <c r="D1943" s="23" t="str">
        <f aca="false">IFERROR(INDEX(分录报销!$E:$E,MATCH($L1943,分录报销!$L:$L,0)),"")</f>
        <v/>
      </c>
      <c r="E1943" s="23" t="str">
        <f aca="false">IFERROR(INDEX(分录报销!$F:$F,MATCH($L1943,分录报销!$L:$L,0)),"")</f>
        <v/>
      </c>
      <c r="F1943" s="68" t="str">
        <f aca="false">IFERROR(INDEX(分录报销!$H:$H,MATCH($L1943,分录报销!$L:$L,0)),"")</f>
        <v/>
      </c>
      <c r="G1943" s="69" t="str">
        <f aca="false">IFERROR(INDEX(分录报销!$I:$I,MATCH($L1943,分录报销!$L:$L,0)),"")</f>
        <v/>
      </c>
      <c r="H1943" s="23"/>
      <c r="I1943" s="70"/>
      <c r="L1943" s="71" t="n">
        <f aca="false">IF(助手报销!$R$131="",-1,助手报销!$R$131*100+(助手报销!$S$131-1)*6+3)</f>
        <v>-1</v>
      </c>
    </row>
    <row r="1944" customFormat="false" ht="23.25" hidden="false" customHeight="true" outlineLevel="0" collapsed="false">
      <c r="B1944" s="67" t="str">
        <f aca="false">IFERROR(INDEX(分录报销!$M:$M,MATCH($L1944,分录报销!$L:$L,0)),"")</f>
        <v/>
      </c>
      <c r="C1944" s="67"/>
      <c r="D1944" s="23" t="str">
        <f aca="false">IFERROR(INDEX(分录报销!$E:$E,MATCH($L1944,分录报销!$L:$L,0)),"")</f>
        <v/>
      </c>
      <c r="E1944" s="23" t="str">
        <f aca="false">IFERROR(INDEX(分录报销!$F:$F,MATCH($L1944,分录报销!$L:$L,0)),"")</f>
        <v/>
      </c>
      <c r="F1944" s="68" t="str">
        <f aca="false">IFERROR(INDEX(分录报销!$H:$H,MATCH($L1944,分录报销!$L:$L,0)),"")</f>
        <v/>
      </c>
      <c r="G1944" s="69" t="str">
        <f aca="false">IFERROR(INDEX(分录报销!$I:$I,MATCH($L1944,分录报销!$L:$L,0)),"")</f>
        <v/>
      </c>
      <c r="H1944" s="23"/>
      <c r="I1944" s="70"/>
      <c r="L1944" s="71" t="n">
        <f aca="false">IF(助手报销!$R$131="",-1,助手报销!$R$131*100+(助手报销!$S$131-1)*6+4)</f>
        <v>-1</v>
      </c>
    </row>
    <row r="1945" customFormat="false" ht="23.25" hidden="false" customHeight="true" outlineLevel="0" collapsed="false">
      <c r="B1945" s="67" t="str">
        <f aca="false">IFERROR(INDEX(分录报销!$M:$M,MATCH($L1945,分录报销!$L:$L,0)),"")</f>
        <v/>
      </c>
      <c r="C1945" s="67"/>
      <c r="D1945" s="23" t="str">
        <f aca="false">IFERROR(INDEX(分录报销!$E:$E,MATCH($L1945,分录报销!$L:$L,0)),"")</f>
        <v/>
      </c>
      <c r="E1945" s="23" t="str">
        <f aca="false">IFERROR(INDEX(分录报销!$F:$F,MATCH($L1945,分录报销!$L:$L,0)),"")</f>
        <v/>
      </c>
      <c r="F1945" s="68" t="str">
        <f aca="false">IFERROR(INDEX(分录报销!$H:$H,MATCH($L1945,分录报销!$L:$L,0)),"")</f>
        <v/>
      </c>
      <c r="G1945" s="69" t="str">
        <f aca="false">IFERROR(INDEX(分录报销!$I:$I,MATCH($L1945,分录报销!$L:$L,0)),"")</f>
        <v/>
      </c>
      <c r="H1945" s="23"/>
      <c r="I1945" s="70"/>
      <c r="L1945" s="71" t="n">
        <f aca="false">IF(助手报销!$R$131="",-1,助手报销!$R$131*100+(助手报销!$S$131-1)*6+5)</f>
        <v>-1</v>
      </c>
    </row>
    <row r="1946" customFormat="false" ht="23.25" hidden="false" customHeight="true" outlineLevel="0" collapsed="false">
      <c r="B1946" s="67" t="str">
        <f aca="false">IFERROR(INDEX(分录报销!$M:$M,MATCH($L1946,分录报销!$L:$L,0)),"")</f>
        <v/>
      </c>
      <c r="C1946" s="67"/>
      <c r="D1946" s="23" t="str">
        <f aca="false">IFERROR(INDEX(分录报销!$E:$E,MATCH($L1946,分录报销!$L:$L,0)),"")</f>
        <v/>
      </c>
      <c r="E1946" s="23" t="str">
        <f aca="false">IFERROR(INDEX(分录报销!$F:$F,MATCH($L1946,分录报销!$L:$L,0)),"")</f>
        <v/>
      </c>
      <c r="F1946" s="68" t="str">
        <f aca="false">IFERROR(INDEX(分录报销!$H:$H,MATCH($L1946,分录报销!$L:$L,0)),"")</f>
        <v/>
      </c>
      <c r="G1946" s="69" t="str">
        <f aca="false">IFERROR(INDEX(分录报销!$I:$I,MATCH($L1946,分录报销!$L:$L,0)),"")</f>
        <v/>
      </c>
      <c r="H1946" s="23"/>
      <c r="I1946" s="70"/>
      <c r="L1946" s="71" t="n">
        <f aca="false">IF(助手报销!$R$131="",-1,助手报销!$R$131*100+(助手报销!$S$131-1)*6+6)</f>
        <v>-1</v>
      </c>
    </row>
    <row r="1947" customFormat="false" ht="23.25" hidden="false" customHeight="true" outlineLevel="0" collapsed="false">
      <c r="B1947" s="72" t="str">
        <f aca="false">IF(助手报销!$T$131=1,"合计：","")</f>
        <v/>
      </c>
      <c r="C1947" s="73" t="str">
        <f aca="false">IF(助手报销!$T$131=1,$F1947,"")</f>
        <v/>
      </c>
      <c r="D1947" s="74"/>
      <c r="E1947" s="74"/>
      <c r="F1947" s="75" t="str">
        <f aca="false">IF(助手报销!$T$131=1,INDEX(助手报销!$N$2:$N$121,助手报销!$R$131),"")</f>
        <v/>
      </c>
      <c r="G1947" s="76" t="str">
        <f aca="false">IF(助手报销!$T$131=1,INDEX(助手报销!$O$2:$O$121,助手报销!$R$131),"")</f>
        <v/>
      </c>
      <c r="H1947" s="74"/>
      <c r="I1947" s="77"/>
    </row>
    <row r="1948" customFormat="false" ht="6" hidden="false" customHeight="true" outlineLevel="0" collapsed="false"/>
    <row r="1949" customFormat="false" ht="13.5" hidden="false" customHeight="false" outlineLevel="0" collapsed="false">
      <c r="B1949" s="78" t="str">
        <f aca="false">IF(助手报销!$R$131&lt;&gt;"","会计主管：","")</f>
        <v/>
      </c>
      <c r="D1949" s="78" t="str">
        <f aca="false">IF(助手报销!$R$131&lt;&gt;"","会计：","")</f>
        <v/>
      </c>
      <c r="E1949" s="78" t="str">
        <f aca="false">IF(助手报销!$R$131&lt;&gt;"","出纳：","")</f>
        <v/>
      </c>
      <c r="F1949" s="78" t="str">
        <f aca="false">IF(助手报销!$R$131&lt;&gt;"","复核：","")</f>
        <v/>
      </c>
      <c r="G1949" s="78" t="str">
        <f aca="false">IF(助手报销!$R$131&lt;&gt;"","制单：","")</f>
        <v/>
      </c>
    </row>
    <row r="1950" customFormat="false" ht="3" hidden="false" customHeight="true" outlineLevel="0" collapsed="false"/>
    <row r="1951" customFormat="false" ht="19.5" hidden="false" customHeight="true" outlineLevel="0" collapsed="false">
      <c r="B1951" s="53" t="str">
        <f aca="false">IF(助手报销!$R$132&lt;&gt;"","记  账  凭  证","")</f>
        <v/>
      </c>
      <c r="C1951" s="53"/>
      <c r="D1951" s="53"/>
      <c r="E1951" s="53"/>
      <c r="F1951" s="53"/>
      <c r="G1951" s="53"/>
      <c r="H1951" s="53"/>
      <c r="I1951" s="53"/>
    </row>
    <row r="1952" customFormat="false" ht="3" hidden="false" customHeight="true" outlineLevel="0" collapsed="false"/>
    <row r="1953" customFormat="false" ht="15" hidden="false" customHeight="true" outlineLevel="0" collapsed="false">
      <c r="C1953" s="56" t="str">
        <f aca="false">IF(助手报销!$R$132&lt;&gt;"",INDEX(助手报销!$B$2:$B$121,助手报销!$R$132),"")</f>
        <v/>
      </c>
      <c r="D1953" s="57" t="str">
        <f aca="false">IF(助手报销!$R$132&lt;&gt;"",INDEX(助手报销!$D$2:$D$121,助手报销!$R$132),"")</f>
        <v/>
      </c>
      <c r="E1953" s="57"/>
      <c r="F1953" s="58" t="str">
        <f aca="false">IF(助手报销!$R$132&lt;&gt;"",INDEX(助手报销!$C$2:$C$121,助手报销!$R$132)&amp;"  字第 "&amp;IF(参数!$B$9="是",INDEX(助手报销!$P$2:$P$121,助手报销!$R$132),"　　　　")&amp;" 号"&amp;IF(INDEX(助手报销!$L$2:$L$121,助手报销!$R$132)&gt;1,"  (共"&amp;INDEX(助手报销!$L$2:$L$121,助手报销!$R$132)&amp;"页 第"&amp;助手报销!$S$132&amp;"页)",""),"")</f>
        <v/>
      </c>
      <c r="G1953" s="58"/>
      <c r="H1953" s="58"/>
      <c r="I1953" s="58"/>
      <c r="M1953" s="79" t="str">
        <f aca="false">IF(助手报销!$R$132="","",助手报销!$Q$132)</f>
        <v/>
      </c>
      <c r="N1953" s="80" t="str">
        <f aca="false">IF(助手报销!$R$132="","",INDEX(助手报销!$P$2:$P$121,助手报销!$R$132))</f>
        <v/>
      </c>
      <c r="O1953" s="55" t="str">
        <f aca="false">IF(助手报销!$R$132="","",INDEX(助手报销!$C$2:$C$121,助手报销!$R$132)&amp;"  字第 "&amp;INDEX(助手报销!$P$2:$P$121,助手报销!$R$132)&amp;" 号"&amp;IF(INDEX(助手报销!$L$2:$L$121,助手报销!$R$132)&gt;1,"  (共"&amp;INDEX(助手报销!$L$2:$L$121,助手报销!$R$132)&amp;"页 第"&amp;助手报销!$S$132&amp;"页)",""))</f>
        <v/>
      </c>
    </row>
    <row r="1954" customFormat="false" ht="12.75" hidden="false" customHeight="true" outlineLevel="0" collapsed="false">
      <c r="B1954" s="61" t="str">
        <f aca="false">IF(助手报销!$R$132&lt;&gt;"","摘　　要","")</f>
        <v/>
      </c>
      <c r="C1954" s="61"/>
      <c r="D1954" s="62" t="str">
        <f aca="false">IF(助手报销!$R$132&lt;&gt;"","科　　　　目","")</f>
        <v/>
      </c>
      <c r="E1954" s="62"/>
      <c r="F1954" s="61" t="str">
        <f aca="false">IF(助手报销!$R$132&lt;&gt;"","借 方 金 额","")</f>
        <v/>
      </c>
      <c r="G1954" s="62" t="str">
        <f aca="false">IF(助手报销!$R$132&lt;&gt;"","贷 方 金 额","")</f>
        <v/>
      </c>
      <c r="H1954" s="63" t="str">
        <f aca="false">IF(助手报销!$R$132&lt;&gt;"","√","")</f>
        <v/>
      </c>
      <c r="I1954" s="64" t="str">
        <f aca="false">IF(助手报销!$R$132&lt;&gt;"","附单据  张","")</f>
        <v/>
      </c>
    </row>
    <row r="1955" customFormat="false" ht="12.75" hidden="false" customHeight="true" outlineLevel="0" collapsed="false">
      <c r="B1955" s="61"/>
      <c r="C1955" s="61"/>
      <c r="D1955" s="23" t="str">
        <f aca="false">IF(助手报销!$R$132&lt;&gt;"","总 账 科 目","")</f>
        <v/>
      </c>
      <c r="E1955" s="23" t="str">
        <f aca="false">IF(助手报销!$R$132&lt;&gt;"","明 细 科 目","")</f>
        <v/>
      </c>
      <c r="F1955" s="65"/>
      <c r="G1955" s="66"/>
      <c r="H1955" s="63"/>
      <c r="I1955" s="64"/>
    </row>
    <row r="1956" customFormat="false" ht="23.25" hidden="false" customHeight="true" outlineLevel="0" collapsed="false">
      <c r="B1956" s="67" t="str">
        <f aca="false">IFERROR(INDEX(分录报销!$M:$M,MATCH($L1956,分录报销!$L:$L,0)),"")</f>
        <v/>
      </c>
      <c r="C1956" s="67"/>
      <c r="D1956" s="23" t="str">
        <f aca="false">IFERROR(INDEX(分录报销!$E:$E,MATCH($L1956,分录报销!$L:$L,0)),"")</f>
        <v/>
      </c>
      <c r="E1956" s="23" t="str">
        <f aca="false">IFERROR(INDEX(分录报销!$F:$F,MATCH($L1956,分录报销!$L:$L,0)),"")</f>
        <v/>
      </c>
      <c r="F1956" s="68" t="str">
        <f aca="false">IFERROR(INDEX(分录报销!$H:$H,MATCH($L1956,分录报销!$L:$L,0)),"")</f>
        <v/>
      </c>
      <c r="G1956" s="69" t="str">
        <f aca="false">IFERROR(INDEX(分录报销!$I:$I,MATCH($L1956,分录报销!$L:$L,0)),"")</f>
        <v/>
      </c>
      <c r="H1956" s="23"/>
      <c r="I1956" s="70"/>
      <c r="L1956" s="71" t="n">
        <f aca="false">IF(助手报销!$R$132="",-1,助手报销!$R$132*100+(助手报销!$S$132-1)*6+1)</f>
        <v>-1</v>
      </c>
    </row>
    <row r="1957" customFormat="false" ht="23.25" hidden="false" customHeight="true" outlineLevel="0" collapsed="false">
      <c r="B1957" s="67" t="str">
        <f aca="false">IFERROR(INDEX(分录报销!$M:$M,MATCH($L1957,分录报销!$L:$L,0)),"")</f>
        <v/>
      </c>
      <c r="C1957" s="67"/>
      <c r="D1957" s="23" t="str">
        <f aca="false">IFERROR(INDEX(分录报销!$E:$E,MATCH($L1957,分录报销!$L:$L,0)),"")</f>
        <v/>
      </c>
      <c r="E1957" s="23" t="str">
        <f aca="false">IFERROR(INDEX(分录报销!$F:$F,MATCH($L1957,分录报销!$L:$L,0)),"")</f>
        <v/>
      </c>
      <c r="F1957" s="68" t="str">
        <f aca="false">IFERROR(INDEX(分录报销!$H:$H,MATCH($L1957,分录报销!$L:$L,0)),"")</f>
        <v/>
      </c>
      <c r="G1957" s="69" t="str">
        <f aca="false">IFERROR(INDEX(分录报销!$I:$I,MATCH($L1957,分录报销!$L:$L,0)),"")</f>
        <v/>
      </c>
      <c r="H1957" s="23"/>
      <c r="I1957" s="70"/>
      <c r="L1957" s="71" t="n">
        <f aca="false">IF(助手报销!$R$132="",-1,助手报销!$R$132*100+(助手报销!$S$132-1)*6+2)</f>
        <v>-1</v>
      </c>
    </row>
    <row r="1958" customFormat="false" ht="23.25" hidden="false" customHeight="true" outlineLevel="0" collapsed="false">
      <c r="B1958" s="67" t="str">
        <f aca="false">IFERROR(INDEX(分录报销!$M:$M,MATCH($L1958,分录报销!$L:$L,0)),"")</f>
        <v/>
      </c>
      <c r="C1958" s="67"/>
      <c r="D1958" s="23" t="str">
        <f aca="false">IFERROR(INDEX(分录报销!$E:$E,MATCH($L1958,分录报销!$L:$L,0)),"")</f>
        <v/>
      </c>
      <c r="E1958" s="23" t="str">
        <f aca="false">IFERROR(INDEX(分录报销!$F:$F,MATCH($L1958,分录报销!$L:$L,0)),"")</f>
        <v/>
      </c>
      <c r="F1958" s="68" t="str">
        <f aca="false">IFERROR(INDEX(分录报销!$H:$H,MATCH($L1958,分录报销!$L:$L,0)),"")</f>
        <v/>
      </c>
      <c r="G1958" s="69" t="str">
        <f aca="false">IFERROR(INDEX(分录报销!$I:$I,MATCH($L1958,分录报销!$L:$L,0)),"")</f>
        <v/>
      </c>
      <c r="H1958" s="23"/>
      <c r="I1958" s="70"/>
      <c r="L1958" s="71" t="n">
        <f aca="false">IF(助手报销!$R$132="",-1,助手报销!$R$132*100+(助手报销!$S$132-1)*6+3)</f>
        <v>-1</v>
      </c>
    </row>
    <row r="1959" customFormat="false" ht="23.25" hidden="false" customHeight="true" outlineLevel="0" collapsed="false">
      <c r="B1959" s="67" t="str">
        <f aca="false">IFERROR(INDEX(分录报销!$M:$M,MATCH($L1959,分录报销!$L:$L,0)),"")</f>
        <v/>
      </c>
      <c r="C1959" s="67"/>
      <c r="D1959" s="23" t="str">
        <f aca="false">IFERROR(INDEX(分录报销!$E:$E,MATCH($L1959,分录报销!$L:$L,0)),"")</f>
        <v/>
      </c>
      <c r="E1959" s="23" t="str">
        <f aca="false">IFERROR(INDEX(分录报销!$F:$F,MATCH($L1959,分录报销!$L:$L,0)),"")</f>
        <v/>
      </c>
      <c r="F1959" s="68" t="str">
        <f aca="false">IFERROR(INDEX(分录报销!$H:$H,MATCH($L1959,分录报销!$L:$L,0)),"")</f>
        <v/>
      </c>
      <c r="G1959" s="69" t="str">
        <f aca="false">IFERROR(INDEX(分录报销!$I:$I,MATCH($L1959,分录报销!$L:$L,0)),"")</f>
        <v/>
      </c>
      <c r="H1959" s="23"/>
      <c r="I1959" s="70"/>
      <c r="L1959" s="71" t="n">
        <f aca="false">IF(助手报销!$R$132="",-1,助手报销!$R$132*100+(助手报销!$S$132-1)*6+4)</f>
        <v>-1</v>
      </c>
    </row>
    <row r="1960" customFormat="false" ht="23.25" hidden="false" customHeight="true" outlineLevel="0" collapsed="false">
      <c r="B1960" s="67" t="str">
        <f aca="false">IFERROR(INDEX(分录报销!$M:$M,MATCH($L1960,分录报销!$L:$L,0)),"")</f>
        <v/>
      </c>
      <c r="C1960" s="67"/>
      <c r="D1960" s="23" t="str">
        <f aca="false">IFERROR(INDEX(分录报销!$E:$E,MATCH($L1960,分录报销!$L:$L,0)),"")</f>
        <v/>
      </c>
      <c r="E1960" s="23" t="str">
        <f aca="false">IFERROR(INDEX(分录报销!$F:$F,MATCH($L1960,分录报销!$L:$L,0)),"")</f>
        <v/>
      </c>
      <c r="F1960" s="68" t="str">
        <f aca="false">IFERROR(INDEX(分录报销!$H:$H,MATCH($L1960,分录报销!$L:$L,0)),"")</f>
        <v/>
      </c>
      <c r="G1960" s="69" t="str">
        <f aca="false">IFERROR(INDEX(分录报销!$I:$I,MATCH($L1960,分录报销!$L:$L,0)),"")</f>
        <v/>
      </c>
      <c r="H1960" s="23"/>
      <c r="I1960" s="70"/>
      <c r="L1960" s="71" t="n">
        <f aca="false">IF(助手报销!$R$132="",-1,助手报销!$R$132*100+(助手报销!$S$132-1)*6+5)</f>
        <v>-1</v>
      </c>
    </row>
    <row r="1961" customFormat="false" ht="23.25" hidden="false" customHeight="true" outlineLevel="0" collapsed="false">
      <c r="B1961" s="67" t="str">
        <f aca="false">IFERROR(INDEX(分录报销!$M:$M,MATCH($L1961,分录报销!$L:$L,0)),"")</f>
        <v/>
      </c>
      <c r="C1961" s="67"/>
      <c r="D1961" s="23" t="str">
        <f aca="false">IFERROR(INDEX(分录报销!$E:$E,MATCH($L1961,分录报销!$L:$L,0)),"")</f>
        <v/>
      </c>
      <c r="E1961" s="23" t="str">
        <f aca="false">IFERROR(INDEX(分录报销!$F:$F,MATCH($L1961,分录报销!$L:$L,0)),"")</f>
        <v/>
      </c>
      <c r="F1961" s="68" t="str">
        <f aca="false">IFERROR(INDEX(分录报销!$H:$H,MATCH($L1961,分录报销!$L:$L,0)),"")</f>
        <v/>
      </c>
      <c r="G1961" s="69" t="str">
        <f aca="false">IFERROR(INDEX(分录报销!$I:$I,MATCH($L1961,分录报销!$L:$L,0)),"")</f>
        <v/>
      </c>
      <c r="H1961" s="23"/>
      <c r="I1961" s="70"/>
      <c r="L1961" s="71" t="n">
        <f aca="false">IF(助手报销!$R$132="",-1,助手报销!$R$132*100+(助手报销!$S$132-1)*6+6)</f>
        <v>-1</v>
      </c>
    </row>
    <row r="1962" customFormat="false" ht="23.25" hidden="false" customHeight="true" outlineLevel="0" collapsed="false">
      <c r="B1962" s="72" t="str">
        <f aca="false">IF(助手报销!$T$132=1,"合计：","")</f>
        <v/>
      </c>
      <c r="C1962" s="73" t="str">
        <f aca="false">IF(助手报销!$T$132=1,$F1962,"")</f>
        <v/>
      </c>
      <c r="D1962" s="74"/>
      <c r="E1962" s="74"/>
      <c r="F1962" s="75" t="str">
        <f aca="false">IF(助手报销!$T$132=1,INDEX(助手报销!$N$2:$N$121,助手报销!$R$132),"")</f>
        <v/>
      </c>
      <c r="G1962" s="76" t="str">
        <f aca="false">IF(助手报销!$T$132=1,INDEX(助手报销!$O$2:$O$121,助手报销!$R$132),"")</f>
        <v/>
      </c>
      <c r="H1962" s="74"/>
      <c r="I1962" s="77"/>
    </row>
    <row r="1963" customFormat="false" ht="6" hidden="false" customHeight="true" outlineLevel="0" collapsed="false"/>
    <row r="1964" customFormat="false" ht="13.5" hidden="false" customHeight="false" outlineLevel="0" collapsed="false">
      <c r="B1964" s="78" t="str">
        <f aca="false">IF(助手报销!$R$132&lt;&gt;"","会计主管：","")</f>
        <v/>
      </c>
      <c r="D1964" s="78" t="str">
        <f aca="false">IF(助手报销!$R$132&lt;&gt;"","会计：","")</f>
        <v/>
      </c>
      <c r="E1964" s="78" t="str">
        <f aca="false">IF(助手报销!$R$132&lt;&gt;"","出纳：","")</f>
        <v/>
      </c>
      <c r="F1964" s="78" t="str">
        <f aca="false">IF(助手报销!$R$132&lt;&gt;"","复核：","")</f>
        <v/>
      </c>
      <c r="G1964" s="78" t="str">
        <f aca="false">IF(助手报销!$R$132&lt;&gt;"","制单：","")</f>
        <v/>
      </c>
    </row>
    <row r="1965" customFormat="false" ht="3" hidden="false" customHeight="true" outlineLevel="0" collapsed="false"/>
    <row r="1966" customFormat="false" ht="19.5" hidden="false" customHeight="true" outlineLevel="0" collapsed="false">
      <c r="B1966" s="53" t="str">
        <f aca="false">IF(助手报销!$R$133&lt;&gt;"","记  账  凭  证","")</f>
        <v/>
      </c>
      <c r="C1966" s="53"/>
      <c r="D1966" s="53"/>
      <c r="E1966" s="53"/>
      <c r="F1966" s="53"/>
      <c r="G1966" s="53"/>
      <c r="H1966" s="53"/>
      <c r="I1966" s="53"/>
    </row>
    <row r="1967" customFormat="false" ht="3" hidden="false" customHeight="true" outlineLevel="0" collapsed="false"/>
    <row r="1968" customFormat="false" ht="15" hidden="false" customHeight="true" outlineLevel="0" collapsed="false">
      <c r="C1968" s="56" t="str">
        <f aca="false">IF(助手报销!$R$133&lt;&gt;"",INDEX(助手报销!$B$2:$B$121,助手报销!$R$133),"")</f>
        <v/>
      </c>
      <c r="D1968" s="57" t="str">
        <f aca="false">IF(助手报销!$R$133&lt;&gt;"",INDEX(助手报销!$D$2:$D$121,助手报销!$R$133),"")</f>
        <v/>
      </c>
      <c r="E1968" s="57"/>
      <c r="F1968" s="58" t="str">
        <f aca="false">IF(助手报销!$R$133&lt;&gt;"",INDEX(助手报销!$C$2:$C$121,助手报销!$R$133)&amp;"  字第 "&amp;IF(参数!$B$9="是",INDEX(助手报销!$P$2:$P$121,助手报销!$R$133),"　　　　")&amp;" 号"&amp;IF(INDEX(助手报销!$L$2:$L$121,助手报销!$R$133)&gt;1,"  (共"&amp;INDEX(助手报销!$L$2:$L$121,助手报销!$R$133)&amp;"页 第"&amp;助手报销!$S$133&amp;"页)",""),"")</f>
        <v/>
      </c>
      <c r="G1968" s="58"/>
      <c r="H1968" s="58"/>
      <c r="I1968" s="58"/>
      <c r="M1968" s="79" t="str">
        <f aca="false">IF(助手报销!$R$133="","",助手报销!$Q$133)</f>
        <v/>
      </c>
      <c r="N1968" s="80" t="str">
        <f aca="false">IF(助手报销!$R$133="","",INDEX(助手报销!$P$2:$P$121,助手报销!$R$133))</f>
        <v/>
      </c>
      <c r="O1968" s="55" t="str">
        <f aca="false">IF(助手报销!$R$133="","",INDEX(助手报销!$C$2:$C$121,助手报销!$R$133)&amp;"  字第 "&amp;INDEX(助手报销!$P$2:$P$121,助手报销!$R$133)&amp;" 号"&amp;IF(INDEX(助手报销!$L$2:$L$121,助手报销!$R$133)&gt;1,"  (共"&amp;INDEX(助手报销!$L$2:$L$121,助手报销!$R$133)&amp;"页 第"&amp;助手报销!$S$133&amp;"页)",""))</f>
        <v/>
      </c>
    </row>
    <row r="1969" customFormat="false" ht="12.75" hidden="false" customHeight="true" outlineLevel="0" collapsed="false">
      <c r="B1969" s="61" t="str">
        <f aca="false">IF(助手报销!$R$133&lt;&gt;"","摘　　要","")</f>
        <v/>
      </c>
      <c r="C1969" s="61"/>
      <c r="D1969" s="62" t="str">
        <f aca="false">IF(助手报销!$R$133&lt;&gt;"","科　　　　目","")</f>
        <v/>
      </c>
      <c r="E1969" s="62"/>
      <c r="F1969" s="61" t="str">
        <f aca="false">IF(助手报销!$R$133&lt;&gt;"","借 方 金 额","")</f>
        <v/>
      </c>
      <c r="G1969" s="62" t="str">
        <f aca="false">IF(助手报销!$R$133&lt;&gt;"","贷 方 金 额","")</f>
        <v/>
      </c>
      <c r="H1969" s="63" t="str">
        <f aca="false">IF(助手报销!$R$133&lt;&gt;"","√","")</f>
        <v/>
      </c>
      <c r="I1969" s="64" t="str">
        <f aca="false">IF(助手报销!$R$133&lt;&gt;"","附单据  张","")</f>
        <v/>
      </c>
    </row>
    <row r="1970" customFormat="false" ht="12.75" hidden="false" customHeight="true" outlineLevel="0" collapsed="false">
      <c r="B1970" s="61"/>
      <c r="C1970" s="61"/>
      <c r="D1970" s="23" t="str">
        <f aca="false">IF(助手报销!$R$133&lt;&gt;"","总 账 科 目","")</f>
        <v/>
      </c>
      <c r="E1970" s="23" t="str">
        <f aca="false">IF(助手报销!$R$133&lt;&gt;"","明 细 科 目","")</f>
        <v/>
      </c>
      <c r="F1970" s="65"/>
      <c r="G1970" s="66"/>
      <c r="H1970" s="63"/>
      <c r="I1970" s="64"/>
    </row>
    <row r="1971" customFormat="false" ht="23.25" hidden="false" customHeight="true" outlineLevel="0" collapsed="false">
      <c r="B1971" s="67" t="str">
        <f aca="false">IFERROR(INDEX(分录报销!$M:$M,MATCH($L1971,分录报销!$L:$L,0)),"")</f>
        <v/>
      </c>
      <c r="C1971" s="67"/>
      <c r="D1971" s="23" t="str">
        <f aca="false">IFERROR(INDEX(分录报销!$E:$E,MATCH($L1971,分录报销!$L:$L,0)),"")</f>
        <v/>
      </c>
      <c r="E1971" s="23" t="str">
        <f aca="false">IFERROR(INDEX(分录报销!$F:$F,MATCH($L1971,分录报销!$L:$L,0)),"")</f>
        <v/>
      </c>
      <c r="F1971" s="68" t="str">
        <f aca="false">IFERROR(INDEX(分录报销!$H:$H,MATCH($L1971,分录报销!$L:$L,0)),"")</f>
        <v/>
      </c>
      <c r="G1971" s="69" t="str">
        <f aca="false">IFERROR(INDEX(分录报销!$I:$I,MATCH($L1971,分录报销!$L:$L,0)),"")</f>
        <v/>
      </c>
      <c r="H1971" s="23"/>
      <c r="I1971" s="70"/>
      <c r="L1971" s="71" t="n">
        <f aca="false">IF(助手报销!$R$133="",-1,助手报销!$R$133*100+(助手报销!$S$133-1)*6+1)</f>
        <v>-1</v>
      </c>
    </row>
    <row r="1972" customFormat="false" ht="23.25" hidden="false" customHeight="true" outlineLevel="0" collapsed="false">
      <c r="B1972" s="67" t="str">
        <f aca="false">IFERROR(INDEX(分录报销!$M:$M,MATCH($L1972,分录报销!$L:$L,0)),"")</f>
        <v/>
      </c>
      <c r="C1972" s="67"/>
      <c r="D1972" s="23" t="str">
        <f aca="false">IFERROR(INDEX(分录报销!$E:$E,MATCH($L1972,分录报销!$L:$L,0)),"")</f>
        <v/>
      </c>
      <c r="E1972" s="23" t="str">
        <f aca="false">IFERROR(INDEX(分录报销!$F:$F,MATCH($L1972,分录报销!$L:$L,0)),"")</f>
        <v/>
      </c>
      <c r="F1972" s="68" t="str">
        <f aca="false">IFERROR(INDEX(分录报销!$H:$H,MATCH($L1972,分录报销!$L:$L,0)),"")</f>
        <v/>
      </c>
      <c r="G1972" s="69" t="str">
        <f aca="false">IFERROR(INDEX(分录报销!$I:$I,MATCH($L1972,分录报销!$L:$L,0)),"")</f>
        <v/>
      </c>
      <c r="H1972" s="23"/>
      <c r="I1972" s="70"/>
      <c r="L1972" s="71" t="n">
        <f aca="false">IF(助手报销!$R$133="",-1,助手报销!$R$133*100+(助手报销!$S$133-1)*6+2)</f>
        <v>-1</v>
      </c>
    </row>
    <row r="1973" customFormat="false" ht="23.25" hidden="false" customHeight="true" outlineLevel="0" collapsed="false">
      <c r="B1973" s="67" t="str">
        <f aca="false">IFERROR(INDEX(分录报销!$M:$M,MATCH($L1973,分录报销!$L:$L,0)),"")</f>
        <v/>
      </c>
      <c r="C1973" s="67"/>
      <c r="D1973" s="23" t="str">
        <f aca="false">IFERROR(INDEX(分录报销!$E:$E,MATCH($L1973,分录报销!$L:$L,0)),"")</f>
        <v/>
      </c>
      <c r="E1973" s="23" t="str">
        <f aca="false">IFERROR(INDEX(分录报销!$F:$F,MATCH($L1973,分录报销!$L:$L,0)),"")</f>
        <v/>
      </c>
      <c r="F1973" s="68" t="str">
        <f aca="false">IFERROR(INDEX(分录报销!$H:$H,MATCH($L1973,分录报销!$L:$L,0)),"")</f>
        <v/>
      </c>
      <c r="G1973" s="69" t="str">
        <f aca="false">IFERROR(INDEX(分录报销!$I:$I,MATCH($L1973,分录报销!$L:$L,0)),"")</f>
        <v/>
      </c>
      <c r="H1973" s="23"/>
      <c r="I1973" s="70"/>
      <c r="L1973" s="71" t="n">
        <f aca="false">IF(助手报销!$R$133="",-1,助手报销!$R$133*100+(助手报销!$S$133-1)*6+3)</f>
        <v>-1</v>
      </c>
    </row>
    <row r="1974" customFormat="false" ht="23.25" hidden="false" customHeight="true" outlineLevel="0" collapsed="false">
      <c r="B1974" s="67" t="str">
        <f aca="false">IFERROR(INDEX(分录报销!$M:$M,MATCH($L1974,分录报销!$L:$L,0)),"")</f>
        <v/>
      </c>
      <c r="C1974" s="67"/>
      <c r="D1974" s="23" t="str">
        <f aca="false">IFERROR(INDEX(分录报销!$E:$E,MATCH($L1974,分录报销!$L:$L,0)),"")</f>
        <v/>
      </c>
      <c r="E1974" s="23" t="str">
        <f aca="false">IFERROR(INDEX(分录报销!$F:$F,MATCH($L1974,分录报销!$L:$L,0)),"")</f>
        <v/>
      </c>
      <c r="F1974" s="68" t="str">
        <f aca="false">IFERROR(INDEX(分录报销!$H:$H,MATCH($L1974,分录报销!$L:$L,0)),"")</f>
        <v/>
      </c>
      <c r="G1974" s="69" t="str">
        <f aca="false">IFERROR(INDEX(分录报销!$I:$I,MATCH($L1974,分录报销!$L:$L,0)),"")</f>
        <v/>
      </c>
      <c r="H1974" s="23"/>
      <c r="I1974" s="70"/>
      <c r="L1974" s="71" t="n">
        <f aca="false">IF(助手报销!$R$133="",-1,助手报销!$R$133*100+(助手报销!$S$133-1)*6+4)</f>
        <v>-1</v>
      </c>
    </row>
    <row r="1975" customFormat="false" ht="23.25" hidden="false" customHeight="true" outlineLevel="0" collapsed="false">
      <c r="B1975" s="67" t="str">
        <f aca="false">IFERROR(INDEX(分录报销!$M:$M,MATCH($L1975,分录报销!$L:$L,0)),"")</f>
        <v/>
      </c>
      <c r="C1975" s="67"/>
      <c r="D1975" s="23" t="str">
        <f aca="false">IFERROR(INDEX(分录报销!$E:$E,MATCH($L1975,分录报销!$L:$L,0)),"")</f>
        <v/>
      </c>
      <c r="E1975" s="23" t="str">
        <f aca="false">IFERROR(INDEX(分录报销!$F:$F,MATCH($L1975,分录报销!$L:$L,0)),"")</f>
        <v/>
      </c>
      <c r="F1975" s="68" t="str">
        <f aca="false">IFERROR(INDEX(分录报销!$H:$H,MATCH($L1975,分录报销!$L:$L,0)),"")</f>
        <v/>
      </c>
      <c r="G1975" s="69" t="str">
        <f aca="false">IFERROR(INDEX(分录报销!$I:$I,MATCH($L1975,分录报销!$L:$L,0)),"")</f>
        <v/>
      </c>
      <c r="H1975" s="23"/>
      <c r="I1975" s="70"/>
      <c r="L1975" s="71" t="n">
        <f aca="false">IF(助手报销!$R$133="",-1,助手报销!$R$133*100+(助手报销!$S$133-1)*6+5)</f>
        <v>-1</v>
      </c>
    </row>
    <row r="1976" customFormat="false" ht="23.25" hidden="false" customHeight="true" outlineLevel="0" collapsed="false">
      <c r="B1976" s="67" t="str">
        <f aca="false">IFERROR(INDEX(分录报销!$M:$M,MATCH($L1976,分录报销!$L:$L,0)),"")</f>
        <v/>
      </c>
      <c r="C1976" s="67"/>
      <c r="D1976" s="23" t="str">
        <f aca="false">IFERROR(INDEX(分录报销!$E:$E,MATCH($L1976,分录报销!$L:$L,0)),"")</f>
        <v/>
      </c>
      <c r="E1976" s="23" t="str">
        <f aca="false">IFERROR(INDEX(分录报销!$F:$F,MATCH($L1976,分录报销!$L:$L,0)),"")</f>
        <v/>
      </c>
      <c r="F1976" s="68" t="str">
        <f aca="false">IFERROR(INDEX(分录报销!$H:$H,MATCH($L1976,分录报销!$L:$L,0)),"")</f>
        <v/>
      </c>
      <c r="G1976" s="69" t="str">
        <f aca="false">IFERROR(INDEX(分录报销!$I:$I,MATCH($L1976,分录报销!$L:$L,0)),"")</f>
        <v/>
      </c>
      <c r="H1976" s="23"/>
      <c r="I1976" s="70"/>
      <c r="L1976" s="71" t="n">
        <f aca="false">IF(助手报销!$R$133="",-1,助手报销!$R$133*100+(助手报销!$S$133-1)*6+6)</f>
        <v>-1</v>
      </c>
    </row>
    <row r="1977" customFormat="false" ht="23.25" hidden="false" customHeight="true" outlineLevel="0" collapsed="false">
      <c r="B1977" s="72" t="str">
        <f aca="false">IF(助手报销!$T$133=1,"合计：","")</f>
        <v/>
      </c>
      <c r="C1977" s="73" t="str">
        <f aca="false">IF(助手报销!$T$133=1,$F1977,"")</f>
        <v/>
      </c>
      <c r="D1977" s="74"/>
      <c r="E1977" s="74"/>
      <c r="F1977" s="75" t="str">
        <f aca="false">IF(助手报销!$T$133=1,INDEX(助手报销!$N$2:$N$121,助手报销!$R$133),"")</f>
        <v/>
      </c>
      <c r="G1977" s="76" t="str">
        <f aca="false">IF(助手报销!$T$133=1,INDEX(助手报销!$O$2:$O$121,助手报销!$R$133),"")</f>
        <v/>
      </c>
      <c r="H1977" s="74"/>
      <c r="I1977" s="77"/>
    </row>
    <row r="1978" customFormat="false" ht="6" hidden="false" customHeight="true" outlineLevel="0" collapsed="false"/>
    <row r="1979" customFormat="false" ht="13.5" hidden="false" customHeight="false" outlineLevel="0" collapsed="false">
      <c r="B1979" s="78" t="str">
        <f aca="false">IF(助手报销!$R$133&lt;&gt;"","会计主管：","")</f>
        <v/>
      </c>
      <c r="D1979" s="78" t="str">
        <f aca="false">IF(助手报销!$R$133&lt;&gt;"","会计：","")</f>
        <v/>
      </c>
      <c r="E1979" s="78" t="str">
        <f aca="false">IF(助手报销!$R$133&lt;&gt;"","出纳：","")</f>
        <v/>
      </c>
      <c r="F1979" s="78" t="str">
        <f aca="false">IF(助手报销!$R$133&lt;&gt;"","复核：","")</f>
        <v/>
      </c>
      <c r="G1979" s="78" t="str">
        <f aca="false">IF(助手报销!$R$133&lt;&gt;"","制单：","")</f>
        <v/>
      </c>
    </row>
    <row r="1980" customFormat="false" ht="3" hidden="false" customHeight="true" outlineLevel="0" collapsed="false"/>
    <row r="1981" customFormat="false" ht="19.5" hidden="false" customHeight="true" outlineLevel="0" collapsed="false">
      <c r="B1981" s="53" t="str">
        <f aca="false">IF(助手报销!$R$134&lt;&gt;"","记  账  凭  证","")</f>
        <v/>
      </c>
      <c r="C1981" s="53"/>
      <c r="D1981" s="53"/>
      <c r="E1981" s="53"/>
      <c r="F1981" s="53"/>
      <c r="G1981" s="53"/>
      <c r="H1981" s="53"/>
      <c r="I1981" s="53"/>
    </row>
    <row r="1982" customFormat="false" ht="3" hidden="false" customHeight="true" outlineLevel="0" collapsed="false"/>
    <row r="1983" customFormat="false" ht="15" hidden="false" customHeight="true" outlineLevel="0" collapsed="false">
      <c r="C1983" s="56" t="str">
        <f aca="false">IF(助手报销!$R$134&lt;&gt;"",INDEX(助手报销!$B$2:$B$121,助手报销!$R$134),"")</f>
        <v/>
      </c>
      <c r="D1983" s="57" t="str">
        <f aca="false">IF(助手报销!$R$134&lt;&gt;"",INDEX(助手报销!$D$2:$D$121,助手报销!$R$134),"")</f>
        <v/>
      </c>
      <c r="E1983" s="57"/>
      <c r="F1983" s="58" t="str">
        <f aca="false">IF(助手报销!$R$134&lt;&gt;"",INDEX(助手报销!$C$2:$C$121,助手报销!$R$134)&amp;"  字第 "&amp;IF(参数!$B$9="是",INDEX(助手报销!$P$2:$P$121,助手报销!$R$134),"　　　　")&amp;" 号"&amp;IF(INDEX(助手报销!$L$2:$L$121,助手报销!$R$134)&gt;1,"  (共"&amp;INDEX(助手报销!$L$2:$L$121,助手报销!$R$134)&amp;"页 第"&amp;助手报销!$S$134&amp;"页)",""),"")</f>
        <v/>
      </c>
      <c r="G1983" s="58"/>
      <c r="H1983" s="58"/>
      <c r="I1983" s="58"/>
      <c r="M1983" s="79" t="str">
        <f aca="false">IF(助手报销!$R$134="","",助手报销!$Q$134)</f>
        <v/>
      </c>
      <c r="N1983" s="80" t="str">
        <f aca="false">IF(助手报销!$R$134="","",INDEX(助手报销!$P$2:$P$121,助手报销!$R$134))</f>
        <v/>
      </c>
      <c r="O1983" s="55" t="str">
        <f aca="false">IF(助手报销!$R$134="","",INDEX(助手报销!$C$2:$C$121,助手报销!$R$134)&amp;"  字第 "&amp;INDEX(助手报销!$P$2:$P$121,助手报销!$R$134)&amp;" 号"&amp;IF(INDEX(助手报销!$L$2:$L$121,助手报销!$R$134)&gt;1,"  (共"&amp;INDEX(助手报销!$L$2:$L$121,助手报销!$R$134)&amp;"页 第"&amp;助手报销!$S$134&amp;"页)",""))</f>
        <v/>
      </c>
    </row>
    <row r="1984" customFormat="false" ht="12.75" hidden="false" customHeight="true" outlineLevel="0" collapsed="false">
      <c r="B1984" s="61" t="str">
        <f aca="false">IF(助手报销!$R$134&lt;&gt;"","摘　　要","")</f>
        <v/>
      </c>
      <c r="C1984" s="61"/>
      <c r="D1984" s="62" t="str">
        <f aca="false">IF(助手报销!$R$134&lt;&gt;"","科　　　　目","")</f>
        <v/>
      </c>
      <c r="E1984" s="62"/>
      <c r="F1984" s="61" t="str">
        <f aca="false">IF(助手报销!$R$134&lt;&gt;"","借 方 金 额","")</f>
        <v/>
      </c>
      <c r="G1984" s="62" t="str">
        <f aca="false">IF(助手报销!$R$134&lt;&gt;"","贷 方 金 额","")</f>
        <v/>
      </c>
      <c r="H1984" s="63" t="str">
        <f aca="false">IF(助手报销!$R$134&lt;&gt;"","√","")</f>
        <v/>
      </c>
      <c r="I1984" s="64" t="str">
        <f aca="false">IF(助手报销!$R$134&lt;&gt;"","附单据  张","")</f>
        <v/>
      </c>
    </row>
    <row r="1985" customFormat="false" ht="12.75" hidden="false" customHeight="true" outlineLevel="0" collapsed="false">
      <c r="B1985" s="61"/>
      <c r="C1985" s="61"/>
      <c r="D1985" s="23" t="str">
        <f aca="false">IF(助手报销!$R$134&lt;&gt;"","总 账 科 目","")</f>
        <v/>
      </c>
      <c r="E1985" s="23" t="str">
        <f aca="false">IF(助手报销!$R$134&lt;&gt;"","明 细 科 目","")</f>
        <v/>
      </c>
      <c r="F1985" s="65"/>
      <c r="G1985" s="66"/>
      <c r="H1985" s="63"/>
      <c r="I1985" s="64"/>
    </row>
    <row r="1986" customFormat="false" ht="23.25" hidden="false" customHeight="true" outlineLevel="0" collapsed="false">
      <c r="B1986" s="67" t="str">
        <f aca="false">IFERROR(INDEX(分录报销!$M:$M,MATCH($L1986,分录报销!$L:$L,0)),"")</f>
        <v/>
      </c>
      <c r="C1986" s="67"/>
      <c r="D1986" s="23" t="str">
        <f aca="false">IFERROR(INDEX(分录报销!$E:$E,MATCH($L1986,分录报销!$L:$L,0)),"")</f>
        <v/>
      </c>
      <c r="E1986" s="23" t="str">
        <f aca="false">IFERROR(INDEX(分录报销!$F:$F,MATCH($L1986,分录报销!$L:$L,0)),"")</f>
        <v/>
      </c>
      <c r="F1986" s="68" t="str">
        <f aca="false">IFERROR(INDEX(分录报销!$H:$H,MATCH($L1986,分录报销!$L:$L,0)),"")</f>
        <v/>
      </c>
      <c r="G1986" s="69" t="str">
        <f aca="false">IFERROR(INDEX(分录报销!$I:$I,MATCH($L1986,分录报销!$L:$L,0)),"")</f>
        <v/>
      </c>
      <c r="H1986" s="23"/>
      <c r="I1986" s="70"/>
      <c r="L1986" s="71" t="n">
        <f aca="false">IF(助手报销!$R$134="",-1,助手报销!$R$134*100+(助手报销!$S$134-1)*6+1)</f>
        <v>-1</v>
      </c>
    </row>
    <row r="1987" customFormat="false" ht="23.25" hidden="false" customHeight="true" outlineLevel="0" collapsed="false">
      <c r="B1987" s="67" t="str">
        <f aca="false">IFERROR(INDEX(分录报销!$M:$M,MATCH($L1987,分录报销!$L:$L,0)),"")</f>
        <v/>
      </c>
      <c r="C1987" s="67"/>
      <c r="D1987" s="23" t="str">
        <f aca="false">IFERROR(INDEX(分录报销!$E:$E,MATCH($L1987,分录报销!$L:$L,0)),"")</f>
        <v/>
      </c>
      <c r="E1987" s="23" t="str">
        <f aca="false">IFERROR(INDEX(分录报销!$F:$F,MATCH($L1987,分录报销!$L:$L,0)),"")</f>
        <v/>
      </c>
      <c r="F1987" s="68" t="str">
        <f aca="false">IFERROR(INDEX(分录报销!$H:$H,MATCH($L1987,分录报销!$L:$L,0)),"")</f>
        <v/>
      </c>
      <c r="G1987" s="69" t="str">
        <f aca="false">IFERROR(INDEX(分录报销!$I:$I,MATCH($L1987,分录报销!$L:$L,0)),"")</f>
        <v/>
      </c>
      <c r="H1987" s="23"/>
      <c r="I1987" s="70"/>
      <c r="L1987" s="71" t="n">
        <f aca="false">IF(助手报销!$R$134="",-1,助手报销!$R$134*100+(助手报销!$S$134-1)*6+2)</f>
        <v>-1</v>
      </c>
    </row>
    <row r="1988" customFormat="false" ht="23.25" hidden="false" customHeight="true" outlineLevel="0" collapsed="false">
      <c r="B1988" s="67" t="str">
        <f aca="false">IFERROR(INDEX(分录报销!$M:$M,MATCH($L1988,分录报销!$L:$L,0)),"")</f>
        <v/>
      </c>
      <c r="C1988" s="67"/>
      <c r="D1988" s="23" t="str">
        <f aca="false">IFERROR(INDEX(分录报销!$E:$E,MATCH($L1988,分录报销!$L:$L,0)),"")</f>
        <v/>
      </c>
      <c r="E1988" s="23" t="str">
        <f aca="false">IFERROR(INDEX(分录报销!$F:$F,MATCH($L1988,分录报销!$L:$L,0)),"")</f>
        <v/>
      </c>
      <c r="F1988" s="68" t="str">
        <f aca="false">IFERROR(INDEX(分录报销!$H:$H,MATCH($L1988,分录报销!$L:$L,0)),"")</f>
        <v/>
      </c>
      <c r="G1988" s="69" t="str">
        <f aca="false">IFERROR(INDEX(分录报销!$I:$I,MATCH($L1988,分录报销!$L:$L,0)),"")</f>
        <v/>
      </c>
      <c r="H1988" s="23"/>
      <c r="I1988" s="70"/>
      <c r="L1988" s="71" t="n">
        <f aca="false">IF(助手报销!$R$134="",-1,助手报销!$R$134*100+(助手报销!$S$134-1)*6+3)</f>
        <v>-1</v>
      </c>
    </row>
    <row r="1989" customFormat="false" ht="23.25" hidden="false" customHeight="true" outlineLevel="0" collapsed="false">
      <c r="B1989" s="67" t="str">
        <f aca="false">IFERROR(INDEX(分录报销!$M:$M,MATCH($L1989,分录报销!$L:$L,0)),"")</f>
        <v/>
      </c>
      <c r="C1989" s="67"/>
      <c r="D1989" s="23" t="str">
        <f aca="false">IFERROR(INDEX(分录报销!$E:$E,MATCH($L1989,分录报销!$L:$L,0)),"")</f>
        <v/>
      </c>
      <c r="E1989" s="23" t="str">
        <f aca="false">IFERROR(INDEX(分录报销!$F:$F,MATCH($L1989,分录报销!$L:$L,0)),"")</f>
        <v/>
      </c>
      <c r="F1989" s="68" t="str">
        <f aca="false">IFERROR(INDEX(分录报销!$H:$H,MATCH($L1989,分录报销!$L:$L,0)),"")</f>
        <v/>
      </c>
      <c r="G1989" s="69" t="str">
        <f aca="false">IFERROR(INDEX(分录报销!$I:$I,MATCH($L1989,分录报销!$L:$L,0)),"")</f>
        <v/>
      </c>
      <c r="H1989" s="23"/>
      <c r="I1989" s="70"/>
      <c r="L1989" s="71" t="n">
        <f aca="false">IF(助手报销!$R$134="",-1,助手报销!$R$134*100+(助手报销!$S$134-1)*6+4)</f>
        <v>-1</v>
      </c>
    </row>
    <row r="1990" customFormat="false" ht="23.25" hidden="false" customHeight="true" outlineLevel="0" collapsed="false">
      <c r="B1990" s="67" t="str">
        <f aca="false">IFERROR(INDEX(分录报销!$M:$M,MATCH($L1990,分录报销!$L:$L,0)),"")</f>
        <v/>
      </c>
      <c r="C1990" s="67"/>
      <c r="D1990" s="23" t="str">
        <f aca="false">IFERROR(INDEX(分录报销!$E:$E,MATCH($L1990,分录报销!$L:$L,0)),"")</f>
        <v/>
      </c>
      <c r="E1990" s="23" t="str">
        <f aca="false">IFERROR(INDEX(分录报销!$F:$F,MATCH($L1990,分录报销!$L:$L,0)),"")</f>
        <v/>
      </c>
      <c r="F1990" s="68" t="str">
        <f aca="false">IFERROR(INDEX(分录报销!$H:$H,MATCH($L1990,分录报销!$L:$L,0)),"")</f>
        <v/>
      </c>
      <c r="G1990" s="69" t="str">
        <f aca="false">IFERROR(INDEX(分录报销!$I:$I,MATCH($L1990,分录报销!$L:$L,0)),"")</f>
        <v/>
      </c>
      <c r="H1990" s="23"/>
      <c r="I1990" s="70"/>
      <c r="L1990" s="71" t="n">
        <f aca="false">IF(助手报销!$R$134="",-1,助手报销!$R$134*100+(助手报销!$S$134-1)*6+5)</f>
        <v>-1</v>
      </c>
    </row>
    <row r="1991" customFormat="false" ht="23.25" hidden="false" customHeight="true" outlineLevel="0" collapsed="false">
      <c r="B1991" s="67" t="str">
        <f aca="false">IFERROR(INDEX(分录报销!$M:$M,MATCH($L1991,分录报销!$L:$L,0)),"")</f>
        <v/>
      </c>
      <c r="C1991" s="67"/>
      <c r="D1991" s="23" t="str">
        <f aca="false">IFERROR(INDEX(分录报销!$E:$E,MATCH($L1991,分录报销!$L:$L,0)),"")</f>
        <v/>
      </c>
      <c r="E1991" s="23" t="str">
        <f aca="false">IFERROR(INDEX(分录报销!$F:$F,MATCH($L1991,分录报销!$L:$L,0)),"")</f>
        <v/>
      </c>
      <c r="F1991" s="68" t="str">
        <f aca="false">IFERROR(INDEX(分录报销!$H:$H,MATCH($L1991,分录报销!$L:$L,0)),"")</f>
        <v/>
      </c>
      <c r="G1991" s="69" t="str">
        <f aca="false">IFERROR(INDEX(分录报销!$I:$I,MATCH($L1991,分录报销!$L:$L,0)),"")</f>
        <v/>
      </c>
      <c r="H1991" s="23"/>
      <c r="I1991" s="70"/>
      <c r="L1991" s="71" t="n">
        <f aca="false">IF(助手报销!$R$134="",-1,助手报销!$R$134*100+(助手报销!$S$134-1)*6+6)</f>
        <v>-1</v>
      </c>
    </row>
    <row r="1992" customFormat="false" ht="23.25" hidden="false" customHeight="true" outlineLevel="0" collapsed="false">
      <c r="B1992" s="72" t="str">
        <f aca="false">IF(助手报销!$T$134=1,"合计：","")</f>
        <v/>
      </c>
      <c r="C1992" s="73" t="str">
        <f aca="false">IF(助手报销!$T$134=1,$F1992,"")</f>
        <v/>
      </c>
      <c r="D1992" s="74"/>
      <c r="E1992" s="74"/>
      <c r="F1992" s="75" t="str">
        <f aca="false">IF(助手报销!$T$134=1,INDEX(助手报销!$N$2:$N$121,助手报销!$R$134),"")</f>
        <v/>
      </c>
      <c r="G1992" s="76" t="str">
        <f aca="false">IF(助手报销!$T$134=1,INDEX(助手报销!$O$2:$O$121,助手报销!$R$134),"")</f>
        <v/>
      </c>
      <c r="H1992" s="74"/>
      <c r="I1992" s="77"/>
    </row>
    <row r="1993" customFormat="false" ht="6" hidden="false" customHeight="true" outlineLevel="0" collapsed="false"/>
    <row r="1994" customFormat="false" ht="13.5" hidden="false" customHeight="false" outlineLevel="0" collapsed="false">
      <c r="B1994" s="78" t="str">
        <f aca="false">IF(助手报销!$R$134&lt;&gt;"","会计主管：","")</f>
        <v/>
      </c>
      <c r="D1994" s="78" t="str">
        <f aca="false">IF(助手报销!$R$134&lt;&gt;"","会计：","")</f>
        <v/>
      </c>
      <c r="E1994" s="78" t="str">
        <f aca="false">IF(助手报销!$R$134&lt;&gt;"","出纳：","")</f>
        <v/>
      </c>
      <c r="F1994" s="78" t="str">
        <f aca="false">IF(助手报销!$R$134&lt;&gt;"","复核：","")</f>
        <v/>
      </c>
      <c r="G1994" s="78" t="str">
        <f aca="false">IF(助手报销!$R$134&lt;&gt;"","制单：","")</f>
        <v/>
      </c>
    </row>
    <row r="1995" customFormat="false" ht="3" hidden="false" customHeight="true" outlineLevel="0" collapsed="false"/>
    <row r="1996" customFormat="false" ht="19.5" hidden="false" customHeight="true" outlineLevel="0" collapsed="false">
      <c r="B1996" s="53" t="str">
        <f aca="false">IF(助手报销!$R$135&lt;&gt;"","记  账  凭  证","")</f>
        <v/>
      </c>
      <c r="C1996" s="53"/>
      <c r="D1996" s="53"/>
      <c r="E1996" s="53"/>
      <c r="F1996" s="53"/>
      <c r="G1996" s="53"/>
      <c r="H1996" s="53"/>
      <c r="I1996" s="53"/>
    </row>
    <row r="1997" customFormat="false" ht="3" hidden="false" customHeight="true" outlineLevel="0" collapsed="false"/>
    <row r="1998" customFormat="false" ht="15" hidden="false" customHeight="true" outlineLevel="0" collapsed="false">
      <c r="C1998" s="56" t="str">
        <f aca="false">IF(助手报销!$R$135&lt;&gt;"",INDEX(助手报销!$B$2:$B$121,助手报销!$R$135),"")</f>
        <v/>
      </c>
      <c r="D1998" s="57" t="str">
        <f aca="false">IF(助手报销!$R$135&lt;&gt;"",INDEX(助手报销!$D$2:$D$121,助手报销!$R$135),"")</f>
        <v/>
      </c>
      <c r="E1998" s="57"/>
      <c r="F1998" s="58" t="str">
        <f aca="false">IF(助手报销!$R$135&lt;&gt;"",INDEX(助手报销!$C$2:$C$121,助手报销!$R$135)&amp;"  字第 "&amp;IF(参数!$B$9="是",INDEX(助手报销!$P$2:$P$121,助手报销!$R$135),"　　　　")&amp;" 号"&amp;IF(INDEX(助手报销!$L$2:$L$121,助手报销!$R$135)&gt;1,"  (共"&amp;INDEX(助手报销!$L$2:$L$121,助手报销!$R$135)&amp;"页 第"&amp;助手报销!$S$135&amp;"页)",""),"")</f>
        <v/>
      </c>
      <c r="G1998" s="58"/>
      <c r="H1998" s="58"/>
      <c r="I1998" s="58"/>
      <c r="M1998" s="79" t="str">
        <f aca="false">IF(助手报销!$R$135="","",助手报销!$Q$135)</f>
        <v/>
      </c>
      <c r="N1998" s="80" t="str">
        <f aca="false">IF(助手报销!$R$135="","",INDEX(助手报销!$P$2:$P$121,助手报销!$R$135))</f>
        <v/>
      </c>
      <c r="O1998" s="55" t="str">
        <f aca="false">IF(助手报销!$R$135="","",INDEX(助手报销!$C$2:$C$121,助手报销!$R$135)&amp;"  字第 "&amp;INDEX(助手报销!$P$2:$P$121,助手报销!$R$135)&amp;" 号"&amp;IF(INDEX(助手报销!$L$2:$L$121,助手报销!$R$135)&gt;1,"  (共"&amp;INDEX(助手报销!$L$2:$L$121,助手报销!$R$135)&amp;"页 第"&amp;助手报销!$S$135&amp;"页)",""))</f>
        <v/>
      </c>
    </row>
    <row r="1999" customFormat="false" ht="12.75" hidden="false" customHeight="true" outlineLevel="0" collapsed="false">
      <c r="B1999" s="61" t="str">
        <f aca="false">IF(助手报销!$R$135&lt;&gt;"","摘　　要","")</f>
        <v/>
      </c>
      <c r="C1999" s="61"/>
      <c r="D1999" s="62" t="str">
        <f aca="false">IF(助手报销!$R$135&lt;&gt;"","科　　　　目","")</f>
        <v/>
      </c>
      <c r="E1999" s="62"/>
      <c r="F1999" s="61" t="str">
        <f aca="false">IF(助手报销!$R$135&lt;&gt;"","借 方 金 额","")</f>
        <v/>
      </c>
      <c r="G1999" s="62" t="str">
        <f aca="false">IF(助手报销!$R$135&lt;&gt;"","贷 方 金 额","")</f>
        <v/>
      </c>
      <c r="H1999" s="63" t="str">
        <f aca="false">IF(助手报销!$R$135&lt;&gt;"","√","")</f>
        <v/>
      </c>
      <c r="I1999" s="64" t="str">
        <f aca="false">IF(助手报销!$R$135&lt;&gt;"","附单据  张","")</f>
        <v/>
      </c>
    </row>
    <row r="2000" customFormat="false" ht="12.75" hidden="false" customHeight="true" outlineLevel="0" collapsed="false">
      <c r="B2000" s="61"/>
      <c r="C2000" s="61"/>
      <c r="D2000" s="23" t="str">
        <f aca="false">IF(助手报销!$R$135&lt;&gt;"","总 账 科 目","")</f>
        <v/>
      </c>
      <c r="E2000" s="23" t="str">
        <f aca="false">IF(助手报销!$R$135&lt;&gt;"","明 细 科 目","")</f>
        <v/>
      </c>
      <c r="F2000" s="65"/>
      <c r="G2000" s="66"/>
      <c r="H2000" s="63"/>
      <c r="I2000" s="64"/>
    </row>
    <row r="2001" customFormat="false" ht="23.25" hidden="false" customHeight="true" outlineLevel="0" collapsed="false">
      <c r="B2001" s="67" t="str">
        <f aca="false">IFERROR(INDEX(分录报销!$M:$M,MATCH($L2001,分录报销!$L:$L,0)),"")</f>
        <v/>
      </c>
      <c r="C2001" s="67"/>
      <c r="D2001" s="23" t="str">
        <f aca="false">IFERROR(INDEX(分录报销!$E:$E,MATCH($L2001,分录报销!$L:$L,0)),"")</f>
        <v/>
      </c>
      <c r="E2001" s="23" t="str">
        <f aca="false">IFERROR(INDEX(分录报销!$F:$F,MATCH($L2001,分录报销!$L:$L,0)),"")</f>
        <v/>
      </c>
      <c r="F2001" s="68" t="str">
        <f aca="false">IFERROR(INDEX(分录报销!$H:$H,MATCH($L2001,分录报销!$L:$L,0)),"")</f>
        <v/>
      </c>
      <c r="G2001" s="69" t="str">
        <f aca="false">IFERROR(INDEX(分录报销!$I:$I,MATCH($L2001,分录报销!$L:$L,0)),"")</f>
        <v/>
      </c>
      <c r="H2001" s="23"/>
      <c r="I2001" s="70"/>
      <c r="L2001" s="71" t="n">
        <f aca="false">IF(助手报销!$R$135="",-1,助手报销!$R$135*100+(助手报销!$S$135-1)*6+1)</f>
        <v>-1</v>
      </c>
    </row>
    <row r="2002" customFormat="false" ht="23.25" hidden="false" customHeight="true" outlineLevel="0" collapsed="false">
      <c r="B2002" s="67" t="str">
        <f aca="false">IFERROR(INDEX(分录报销!$M:$M,MATCH($L2002,分录报销!$L:$L,0)),"")</f>
        <v/>
      </c>
      <c r="C2002" s="67"/>
      <c r="D2002" s="23" t="str">
        <f aca="false">IFERROR(INDEX(分录报销!$E:$E,MATCH($L2002,分录报销!$L:$L,0)),"")</f>
        <v/>
      </c>
      <c r="E2002" s="23" t="str">
        <f aca="false">IFERROR(INDEX(分录报销!$F:$F,MATCH($L2002,分录报销!$L:$L,0)),"")</f>
        <v/>
      </c>
      <c r="F2002" s="68" t="str">
        <f aca="false">IFERROR(INDEX(分录报销!$H:$H,MATCH($L2002,分录报销!$L:$L,0)),"")</f>
        <v/>
      </c>
      <c r="G2002" s="69" t="str">
        <f aca="false">IFERROR(INDEX(分录报销!$I:$I,MATCH($L2002,分录报销!$L:$L,0)),"")</f>
        <v/>
      </c>
      <c r="H2002" s="23"/>
      <c r="I2002" s="70"/>
      <c r="L2002" s="71" t="n">
        <f aca="false">IF(助手报销!$R$135="",-1,助手报销!$R$135*100+(助手报销!$S$135-1)*6+2)</f>
        <v>-1</v>
      </c>
    </row>
    <row r="2003" customFormat="false" ht="23.25" hidden="false" customHeight="true" outlineLevel="0" collapsed="false">
      <c r="B2003" s="67" t="str">
        <f aca="false">IFERROR(INDEX(分录报销!$M:$M,MATCH($L2003,分录报销!$L:$L,0)),"")</f>
        <v/>
      </c>
      <c r="C2003" s="67"/>
      <c r="D2003" s="23" t="str">
        <f aca="false">IFERROR(INDEX(分录报销!$E:$E,MATCH($L2003,分录报销!$L:$L,0)),"")</f>
        <v/>
      </c>
      <c r="E2003" s="23" t="str">
        <f aca="false">IFERROR(INDEX(分录报销!$F:$F,MATCH($L2003,分录报销!$L:$L,0)),"")</f>
        <v/>
      </c>
      <c r="F2003" s="68" t="str">
        <f aca="false">IFERROR(INDEX(分录报销!$H:$H,MATCH($L2003,分录报销!$L:$L,0)),"")</f>
        <v/>
      </c>
      <c r="G2003" s="69" t="str">
        <f aca="false">IFERROR(INDEX(分录报销!$I:$I,MATCH($L2003,分录报销!$L:$L,0)),"")</f>
        <v/>
      </c>
      <c r="H2003" s="23"/>
      <c r="I2003" s="70"/>
      <c r="L2003" s="71" t="n">
        <f aca="false">IF(助手报销!$R$135="",-1,助手报销!$R$135*100+(助手报销!$S$135-1)*6+3)</f>
        <v>-1</v>
      </c>
    </row>
    <row r="2004" customFormat="false" ht="23.25" hidden="false" customHeight="true" outlineLevel="0" collapsed="false">
      <c r="B2004" s="67" t="str">
        <f aca="false">IFERROR(INDEX(分录报销!$M:$M,MATCH($L2004,分录报销!$L:$L,0)),"")</f>
        <v/>
      </c>
      <c r="C2004" s="67"/>
      <c r="D2004" s="23" t="str">
        <f aca="false">IFERROR(INDEX(分录报销!$E:$E,MATCH($L2004,分录报销!$L:$L,0)),"")</f>
        <v/>
      </c>
      <c r="E2004" s="23" t="str">
        <f aca="false">IFERROR(INDEX(分录报销!$F:$F,MATCH($L2004,分录报销!$L:$L,0)),"")</f>
        <v/>
      </c>
      <c r="F2004" s="68" t="str">
        <f aca="false">IFERROR(INDEX(分录报销!$H:$H,MATCH($L2004,分录报销!$L:$L,0)),"")</f>
        <v/>
      </c>
      <c r="G2004" s="69" t="str">
        <f aca="false">IFERROR(INDEX(分录报销!$I:$I,MATCH($L2004,分录报销!$L:$L,0)),"")</f>
        <v/>
      </c>
      <c r="H2004" s="23"/>
      <c r="I2004" s="70"/>
      <c r="L2004" s="71" t="n">
        <f aca="false">IF(助手报销!$R$135="",-1,助手报销!$R$135*100+(助手报销!$S$135-1)*6+4)</f>
        <v>-1</v>
      </c>
    </row>
    <row r="2005" customFormat="false" ht="23.25" hidden="false" customHeight="true" outlineLevel="0" collapsed="false">
      <c r="B2005" s="67" t="str">
        <f aca="false">IFERROR(INDEX(分录报销!$M:$M,MATCH($L2005,分录报销!$L:$L,0)),"")</f>
        <v/>
      </c>
      <c r="C2005" s="67"/>
      <c r="D2005" s="23" t="str">
        <f aca="false">IFERROR(INDEX(分录报销!$E:$E,MATCH($L2005,分录报销!$L:$L,0)),"")</f>
        <v/>
      </c>
      <c r="E2005" s="23" t="str">
        <f aca="false">IFERROR(INDEX(分录报销!$F:$F,MATCH($L2005,分录报销!$L:$L,0)),"")</f>
        <v/>
      </c>
      <c r="F2005" s="68" t="str">
        <f aca="false">IFERROR(INDEX(分录报销!$H:$H,MATCH($L2005,分录报销!$L:$L,0)),"")</f>
        <v/>
      </c>
      <c r="G2005" s="69" t="str">
        <f aca="false">IFERROR(INDEX(分录报销!$I:$I,MATCH($L2005,分录报销!$L:$L,0)),"")</f>
        <v/>
      </c>
      <c r="H2005" s="23"/>
      <c r="I2005" s="70"/>
      <c r="L2005" s="71" t="n">
        <f aca="false">IF(助手报销!$R$135="",-1,助手报销!$R$135*100+(助手报销!$S$135-1)*6+5)</f>
        <v>-1</v>
      </c>
    </row>
    <row r="2006" customFormat="false" ht="23.25" hidden="false" customHeight="true" outlineLevel="0" collapsed="false">
      <c r="B2006" s="67" t="str">
        <f aca="false">IFERROR(INDEX(分录报销!$M:$M,MATCH($L2006,分录报销!$L:$L,0)),"")</f>
        <v/>
      </c>
      <c r="C2006" s="67"/>
      <c r="D2006" s="23" t="str">
        <f aca="false">IFERROR(INDEX(分录报销!$E:$E,MATCH($L2006,分录报销!$L:$L,0)),"")</f>
        <v/>
      </c>
      <c r="E2006" s="23" t="str">
        <f aca="false">IFERROR(INDEX(分录报销!$F:$F,MATCH($L2006,分录报销!$L:$L,0)),"")</f>
        <v/>
      </c>
      <c r="F2006" s="68" t="str">
        <f aca="false">IFERROR(INDEX(分录报销!$H:$H,MATCH($L2006,分录报销!$L:$L,0)),"")</f>
        <v/>
      </c>
      <c r="G2006" s="69" t="str">
        <f aca="false">IFERROR(INDEX(分录报销!$I:$I,MATCH($L2006,分录报销!$L:$L,0)),"")</f>
        <v/>
      </c>
      <c r="H2006" s="23"/>
      <c r="I2006" s="70"/>
      <c r="L2006" s="71" t="n">
        <f aca="false">IF(助手报销!$R$135="",-1,助手报销!$R$135*100+(助手报销!$S$135-1)*6+6)</f>
        <v>-1</v>
      </c>
    </row>
    <row r="2007" customFormat="false" ht="23.25" hidden="false" customHeight="true" outlineLevel="0" collapsed="false">
      <c r="B2007" s="72" t="str">
        <f aca="false">IF(助手报销!$T$135=1,"合计：","")</f>
        <v/>
      </c>
      <c r="C2007" s="73" t="str">
        <f aca="false">IF(助手报销!$T$135=1,$F2007,"")</f>
        <v/>
      </c>
      <c r="D2007" s="74"/>
      <c r="E2007" s="74"/>
      <c r="F2007" s="75" t="str">
        <f aca="false">IF(助手报销!$T$135=1,INDEX(助手报销!$N$2:$N$121,助手报销!$R$135),"")</f>
        <v/>
      </c>
      <c r="G2007" s="76" t="str">
        <f aca="false">IF(助手报销!$T$135=1,INDEX(助手报销!$O$2:$O$121,助手报销!$R$135),"")</f>
        <v/>
      </c>
      <c r="H2007" s="74"/>
      <c r="I2007" s="77"/>
    </row>
    <row r="2008" customFormat="false" ht="6" hidden="false" customHeight="true" outlineLevel="0" collapsed="false"/>
    <row r="2009" customFormat="false" ht="13.5" hidden="false" customHeight="false" outlineLevel="0" collapsed="false">
      <c r="B2009" s="78" t="str">
        <f aca="false">IF(助手报销!$R$135&lt;&gt;"","会计主管：","")</f>
        <v/>
      </c>
      <c r="D2009" s="78" t="str">
        <f aca="false">IF(助手报销!$R$135&lt;&gt;"","会计：","")</f>
        <v/>
      </c>
      <c r="E2009" s="78" t="str">
        <f aca="false">IF(助手报销!$R$135&lt;&gt;"","出纳：","")</f>
        <v/>
      </c>
      <c r="F2009" s="78" t="str">
        <f aca="false">IF(助手报销!$R$135&lt;&gt;"","复核：","")</f>
        <v/>
      </c>
      <c r="G2009" s="78" t="str">
        <f aca="false">IF(助手报销!$R$135&lt;&gt;"","制单：","")</f>
        <v/>
      </c>
    </row>
    <row r="2010" customFormat="false" ht="3" hidden="false" customHeight="true" outlineLevel="0" collapsed="false"/>
    <row r="2011" customFormat="false" ht="19.5" hidden="false" customHeight="true" outlineLevel="0" collapsed="false">
      <c r="B2011" s="53" t="str">
        <f aca="false">IF(助手报销!$R$136&lt;&gt;"","记  账  凭  证","")</f>
        <v/>
      </c>
      <c r="C2011" s="53"/>
      <c r="D2011" s="53"/>
      <c r="E2011" s="53"/>
      <c r="F2011" s="53"/>
      <c r="G2011" s="53"/>
      <c r="H2011" s="53"/>
      <c r="I2011" s="53"/>
    </row>
    <row r="2012" customFormat="false" ht="3" hidden="false" customHeight="true" outlineLevel="0" collapsed="false"/>
    <row r="2013" customFormat="false" ht="15" hidden="false" customHeight="true" outlineLevel="0" collapsed="false">
      <c r="C2013" s="56" t="str">
        <f aca="false">IF(助手报销!$R$136&lt;&gt;"",INDEX(助手报销!$B$2:$B$121,助手报销!$R$136),"")</f>
        <v/>
      </c>
      <c r="D2013" s="57" t="str">
        <f aca="false">IF(助手报销!$R$136&lt;&gt;"",INDEX(助手报销!$D$2:$D$121,助手报销!$R$136),"")</f>
        <v/>
      </c>
      <c r="E2013" s="57"/>
      <c r="F2013" s="58" t="str">
        <f aca="false">IF(助手报销!$R$136&lt;&gt;"",INDEX(助手报销!$C$2:$C$121,助手报销!$R$136)&amp;"  字第 "&amp;IF(参数!$B$9="是",INDEX(助手报销!$P$2:$P$121,助手报销!$R$136),"　　　　")&amp;" 号"&amp;IF(INDEX(助手报销!$L$2:$L$121,助手报销!$R$136)&gt;1,"  (共"&amp;INDEX(助手报销!$L$2:$L$121,助手报销!$R$136)&amp;"页 第"&amp;助手报销!$S$136&amp;"页)",""),"")</f>
        <v/>
      </c>
      <c r="G2013" s="58"/>
      <c r="H2013" s="58"/>
      <c r="I2013" s="58"/>
      <c r="M2013" s="79" t="str">
        <f aca="false">IF(助手报销!$R$136="","",助手报销!$Q$136)</f>
        <v/>
      </c>
      <c r="N2013" s="80" t="str">
        <f aca="false">IF(助手报销!$R$136="","",INDEX(助手报销!$P$2:$P$121,助手报销!$R$136))</f>
        <v/>
      </c>
      <c r="O2013" s="55" t="str">
        <f aca="false">IF(助手报销!$R$136="","",INDEX(助手报销!$C$2:$C$121,助手报销!$R$136)&amp;"  字第 "&amp;INDEX(助手报销!$P$2:$P$121,助手报销!$R$136)&amp;" 号"&amp;IF(INDEX(助手报销!$L$2:$L$121,助手报销!$R$136)&gt;1,"  (共"&amp;INDEX(助手报销!$L$2:$L$121,助手报销!$R$136)&amp;"页 第"&amp;助手报销!$S$136&amp;"页)",""))</f>
        <v/>
      </c>
    </row>
    <row r="2014" customFormat="false" ht="12.75" hidden="false" customHeight="true" outlineLevel="0" collapsed="false">
      <c r="B2014" s="61" t="str">
        <f aca="false">IF(助手报销!$R$136&lt;&gt;"","摘　　要","")</f>
        <v/>
      </c>
      <c r="C2014" s="61"/>
      <c r="D2014" s="62" t="str">
        <f aca="false">IF(助手报销!$R$136&lt;&gt;"","科　　　　目","")</f>
        <v/>
      </c>
      <c r="E2014" s="62"/>
      <c r="F2014" s="61" t="str">
        <f aca="false">IF(助手报销!$R$136&lt;&gt;"","借 方 金 额","")</f>
        <v/>
      </c>
      <c r="G2014" s="62" t="str">
        <f aca="false">IF(助手报销!$R$136&lt;&gt;"","贷 方 金 额","")</f>
        <v/>
      </c>
      <c r="H2014" s="63" t="str">
        <f aca="false">IF(助手报销!$R$136&lt;&gt;"","√","")</f>
        <v/>
      </c>
      <c r="I2014" s="64" t="str">
        <f aca="false">IF(助手报销!$R$136&lt;&gt;"","附单据  张","")</f>
        <v/>
      </c>
    </row>
    <row r="2015" customFormat="false" ht="12.75" hidden="false" customHeight="true" outlineLevel="0" collapsed="false">
      <c r="B2015" s="61"/>
      <c r="C2015" s="61"/>
      <c r="D2015" s="23" t="str">
        <f aca="false">IF(助手报销!$R$136&lt;&gt;"","总 账 科 目","")</f>
        <v/>
      </c>
      <c r="E2015" s="23" t="str">
        <f aca="false">IF(助手报销!$R$136&lt;&gt;"","明 细 科 目","")</f>
        <v/>
      </c>
      <c r="F2015" s="65"/>
      <c r="G2015" s="66"/>
      <c r="H2015" s="63"/>
      <c r="I2015" s="64"/>
    </row>
    <row r="2016" customFormat="false" ht="23.25" hidden="false" customHeight="true" outlineLevel="0" collapsed="false">
      <c r="B2016" s="67" t="str">
        <f aca="false">IFERROR(INDEX(分录报销!$M:$M,MATCH($L2016,分录报销!$L:$L,0)),"")</f>
        <v/>
      </c>
      <c r="C2016" s="67"/>
      <c r="D2016" s="23" t="str">
        <f aca="false">IFERROR(INDEX(分录报销!$E:$E,MATCH($L2016,分录报销!$L:$L,0)),"")</f>
        <v/>
      </c>
      <c r="E2016" s="23" t="str">
        <f aca="false">IFERROR(INDEX(分录报销!$F:$F,MATCH($L2016,分录报销!$L:$L,0)),"")</f>
        <v/>
      </c>
      <c r="F2016" s="68" t="str">
        <f aca="false">IFERROR(INDEX(分录报销!$H:$H,MATCH($L2016,分录报销!$L:$L,0)),"")</f>
        <v/>
      </c>
      <c r="G2016" s="69" t="str">
        <f aca="false">IFERROR(INDEX(分录报销!$I:$I,MATCH($L2016,分录报销!$L:$L,0)),"")</f>
        <v/>
      </c>
      <c r="H2016" s="23"/>
      <c r="I2016" s="70"/>
      <c r="L2016" s="71" t="n">
        <f aca="false">IF(助手报销!$R$136="",-1,助手报销!$R$136*100+(助手报销!$S$136-1)*6+1)</f>
        <v>-1</v>
      </c>
    </row>
    <row r="2017" customFormat="false" ht="23.25" hidden="false" customHeight="true" outlineLevel="0" collapsed="false">
      <c r="B2017" s="67" t="str">
        <f aca="false">IFERROR(INDEX(分录报销!$M:$M,MATCH($L2017,分录报销!$L:$L,0)),"")</f>
        <v/>
      </c>
      <c r="C2017" s="67"/>
      <c r="D2017" s="23" t="str">
        <f aca="false">IFERROR(INDEX(分录报销!$E:$E,MATCH($L2017,分录报销!$L:$L,0)),"")</f>
        <v/>
      </c>
      <c r="E2017" s="23" t="str">
        <f aca="false">IFERROR(INDEX(分录报销!$F:$F,MATCH($L2017,分录报销!$L:$L,0)),"")</f>
        <v/>
      </c>
      <c r="F2017" s="68" t="str">
        <f aca="false">IFERROR(INDEX(分录报销!$H:$H,MATCH($L2017,分录报销!$L:$L,0)),"")</f>
        <v/>
      </c>
      <c r="G2017" s="69" t="str">
        <f aca="false">IFERROR(INDEX(分录报销!$I:$I,MATCH($L2017,分录报销!$L:$L,0)),"")</f>
        <v/>
      </c>
      <c r="H2017" s="23"/>
      <c r="I2017" s="70"/>
      <c r="L2017" s="71" t="n">
        <f aca="false">IF(助手报销!$R$136="",-1,助手报销!$R$136*100+(助手报销!$S$136-1)*6+2)</f>
        <v>-1</v>
      </c>
    </row>
    <row r="2018" customFormat="false" ht="23.25" hidden="false" customHeight="true" outlineLevel="0" collapsed="false">
      <c r="B2018" s="67" t="str">
        <f aca="false">IFERROR(INDEX(分录报销!$M:$M,MATCH($L2018,分录报销!$L:$L,0)),"")</f>
        <v/>
      </c>
      <c r="C2018" s="67"/>
      <c r="D2018" s="23" t="str">
        <f aca="false">IFERROR(INDEX(分录报销!$E:$E,MATCH($L2018,分录报销!$L:$L,0)),"")</f>
        <v/>
      </c>
      <c r="E2018" s="23" t="str">
        <f aca="false">IFERROR(INDEX(分录报销!$F:$F,MATCH($L2018,分录报销!$L:$L,0)),"")</f>
        <v/>
      </c>
      <c r="F2018" s="68" t="str">
        <f aca="false">IFERROR(INDEX(分录报销!$H:$H,MATCH($L2018,分录报销!$L:$L,0)),"")</f>
        <v/>
      </c>
      <c r="G2018" s="69" t="str">
        <f aca="false">IFERROR(INDEX(分录报销!$I:$I,MATCH($L2018,分录报销!$L:$L,0)),"")</f>
        <v/>
      </c>
      <c r="H2018" s="23"/>
      <c r="I2018" s="70"/>
      <c r="L2018" s="71" t="n">
        <f aca="false">IF(助手报销!$R$136="",-1,助手报销!$R$136*100+(助手报销!$S$136-1)*6+3)</f>
        <v>-1</v>
      </c>
    </row>
    <row r="2019" customFormat="false" ht="23.25" hidden="false" customHeight="true" outlineLevel="0" collapsed="false">
      <c r="B2019" s="67" t="str">
        <f aca="false">IFERROR(INDEX(分录报销!$M:$M,MATCH($L2019,分录报销!$L:$L,0)),"")</f>
        <v/>
      </c>
      <c r="C2019" s="67"/>
      <c r="D2019" s="23" t="str">
        <f aca="false">IFERROR(INDEX(分录报销!$E:$E,MATCH($L2019,分录报销!$L:$L,0)),"")</f>
        <v/>
      </c>
      <c r="E2019" s="23" t="str">
        <f aca="false">IFERROR(INDEX(分录报销!$F:$F,MATCH($L2019,分录报销!$L:$L,0)),"")</f>
        <v/>
      </c>
      <c r="F2019" s="68" t="str">
        <f aca="false">IFERROR(INDEX(分录报销!$H:$H,MATCH($L2019,分录报销!$L:$L,0)),"")</f>
        <v/>
      </c>
      <c r="G2019" s="69" t="str">
        <f aca="false">IFERROR(INDEX(分录报销!$I:$I,MATCH($L2019,分录报销!$L:$L,0)),"")</f>
        <v/>
      </c>
      <c r="H2019" s="23"/>
      <c r="I2019" s="70"/>
      <c r="L2019" s="71" t="n">
        <f aca="false">IF(助手报销!$R$136="",-1,助手报销!$R$136*100+(助手报销!$S$136-1)*6+4)</f>
        <v>-1</v>
      </c>
    </row>
    <row r="2020" customFormat="false" ht="23.25" hidden="false" customHeight="true" outlineLevel="0" collapsed="false">
      <c r="B2020" s="67" t="str">
        <f aca="false">IFERROR(INDEX(分录报销!$M:$M,MATCH($L2020,分录报销!$L:$L,0)),"")</f>
        <v/>
      </c>
      <c r="C2020" s="67"/>
      <c r="D2020" s="23" t="str">
        <f aca="false">IFERROR(INDEX(分录报销!$E:$E,MATCH($L2020,分录报销!$L:$L,0)),"")</f>
        <v/>
      </c>
      <c r="E2020" s="23" t="str">
        <f aca="false">IFERROR(INDEX(分录报销!$F:$F,MATCH($L2020,分录报销!$L:$L,0)),"")</f>
        <v/>
      </c>
      <c r="F2020" s="68" t="str">
        <f aca="false">IFERROR(INDEX(分录报销!$H:$H,MATCH($L2020,分录报销!$L:$L,0)),"")</f>
        <v/>
      </c>
      <c r="G2020" s="69" t="str">
        <f aca="false">IFERROR(INDEX(分录报销!$I:$I,MATCH($L2020,分录报销!$L:$L,0)),"")</f>
        <v/>
      </c>
      <c r="H2020" s="23"/>
      <c r="I2020" s="70"/>
      <c r="L2020" s="71" t="n">
        <f aca="false">IF(助手报销!$R$136="",-1,助手报销!$R$136*100+(助手报销!$S$136-1)*6+5)</f>
        <v>-1</v>
      </c>
    </row>
    <row r="2021" customFormat="false" ht="23.25" hidden="false" customHeight="true" outlineLevel="0" collapsed="false">
      <c r="B2021" s="67" t="str">
        <f aca="false">IFERROR(INDEX(分录报销!$M:$M,MATCH($L2021,分录报销!$L:$L,0)),"")</f>
        <v/>
      </c>
      <c r="C2021" s="67"/>
      <c r="D2021" s="23" t="str">
        <f aca="false">IFERROR(INDEX(分录报销!$E:$E,MATCH($L2021,分录报销!$L:$L,0)),"")</f>
        <v/>
      </c>
      <c r="E2021" s="23" t="str">
        <f aca="false">IFERROR(INDEX(分录报销!$F:$F,MATCH($L2021,分录报销!$L:$L,0)),"")</f>
        <v/>
      </c>
      <c r="F2021" s="68" t="str">
        <f aca="false">IFERROR(INDEX(分录报销!$H:$H,MATCH($L2021,分录报销!$L:$L,0)),"")</f>
        <v/>
      </c>
      <c r="G2021" s="69" t="str">
        <f aca="false">IFERROR(INDEX(分录报销!$I:$I,MATCH($L2021,分录报销!$L:$L,0)),"")</f>
        <v/>
      </c>
      <c r="H2021" s="23"/>
      <c r="I2021" s="70"/>
      <c r="L2021" s="71" t="n">
        <f aca="false">IF(助手报销!$R$136="",-1,助手报销!$R$136*100+(助手报销!$S$136-1)*6+6)</f>
        <v>-1</v>
      </c>
    </row>
    <row r="2022" customFormat="false" ht="23.25" hidden="false" customHeight="true" outlineLevel="0" collapsed="false">
      <c r="B2022" s="72" t="str">
        <f aca="false">IF(助手报销!$T$136=1,"合计：","")</f>
        <v/>
      </c>
      <c r="C2022" s="73" t="str">
        <f aca="false">IF(助手报销!$T$136=1,$F2022,"")</f>
        <v/>
      </c>
      <c r="D2022" s="74"/>
      <c r="E2022" s="74"/>
      <c r="F2022" s="75" t="str">
        <f aca="false">IF(助手报销!$T$136=1,INDEX(助手报销!$N$2:$N$121,助手报销!$R$136),"")</f>
        <v/>
      </c>
      <c r="G2022" s="76" t="str">
        <f aca="false">IF(助手报销!$T$136=1,INDEX(助手报销!$O$2:$O$121,助手报销!$R$136),"")</f>
        <v/>
      </c>
      <c r="H2022" s="74"/>
      <c r="I2022" s="77"/>
    </row>
    <row r="2023" customFormat="false" ht="6" hidden="false" customHeight="true" outlineLevel="0" collapsed="false"/>
    <row r="2024" customFormat="false" ht="13.5" hidden="false" customHeight="false" outlineLevel="0" collapsed="false">
      <c r="B2024" s="78" t="str">
        <f aca="false">IF(助手报销!$R$136&lt;&gt;"","会计主管：","")</f>
        <v/>
      </c>
      <c r="D2024" s="78" t="str">
        <f aca="false">IF(助手报销!$R$136&lt;&gt;"","会计：","")</f>
        <v/>
      </c>
      <c r="E2024" s="78" t="str">
        <f aca="false">IF(助手报销!$R$136&lt;&gt;"","出纳：","")</f>
        <v/>
      </c>
      <c r="F2024" s="78" t="str">
        <f aca="false">IF(助手报销!$R$136&lt;&gt;"","复核：","")</f>
        <v/>
      </c>
      <c r="G2024" s="78" t="str">
        <f aca="false">IF(助手报销!$R$136&lt;&gt;"","制单：","")</f>
        <v/>
      </c>
    </row>
    <row r="2025" customFormat="false" ht="3" hidden="false" customHeight="true" outlineLevel="0" collapsed="false"/>
    <row r="2026" customFormat="false" ht="19.5" hidden="false" customHeight="true" outlineLevel="0" collapsed="false">
      <c r="B2026" s="53" t="str">
        <f aca="false">IF(助手报销!$R$137&lt;&gt;"","记  账  凭  证","")</f>
        <v/>
      </c>
      <c r="C2026" s="53"/>
      <c r="D2026" s="53"/>
      <c r="E2026" s="53"/>
      <c r="F2026" s="53"/>
      <c r="G2026" s="53"/>
      <c r="H2026" s="53"/>
      <c r="I2026" s="53"/>
    </row>
    <row r="2027" customFormat="false" ht="3" hidden="false" customHeight="true" outlineLevel="0" collapsed="false"/>
    <row r="2028" customFormat="false" ht="15" hidden="false" customHeight="true" outlineLevel="0" collapsed="false">
      <c r="C2028" s="56" t="str">
        <f aca="false">IF(助手报销!$R$137&lt;&gt;"",INDEX(助手报销!$B$2:$B$121,助手报销!$R$137),"")</f>
        <v/>
      </c>
      <c r="D2028" s="57" t="str">
        <f aca="false">IF(助手报销!$R$137&lt;&gt;"",INDEX(助手报销!$D$2:$D$121,助手报销!$R$137),"")</f>
        <v/>
      </c>
      <c r="E2028" s="57"/>
      <c r="F2028" s="58" t="str">
        <f aca="false">IF(助手报销!$R$137&lt;&gt;"",INDEX(助手报销!$C$2:$C$121,助手报销!$R$137)&amp;"  字第 "&amp;IF(参数!$B$9="是",INDEX(助手报销!$P$2:$P$121,助手报销!$R$137),"　　　　")&amp;" 号"&amp;IF(INDEX(助手报销!$L$2:$L$121,助手报销!$R$137)&gt;1,"  (共"&amp;INDEX(助手报销!$L$2:$L$121,助手报销!$R$137)&amp;"页 第"&amp;助手报销!$S$137&amp;"页)",""),"")</f>
        <v/>
      </c>
      <c r="G2028" s="58"/>
      <c r="H2028" s="58"/>
      <c r="I2028" s="58"/>
      <c r="M2028" s="79" t="str">
        <f aca="false">IF(助手报销!$R$137="","",助手报销!$Q$137)</f>
        <v/>
      </c>
      <c r="N2028" s="80" t="str">
        <f aca="false">IF(助手报销!$R$137="","",INDEX(助手报销!$P$2:$P$121,助手报销!$R$137))</f>
        <v/>
      </c>
      <c r="O2028" s="55" t="str">
        <f aca="false">IF(助手报销!$R$137="","",INDEX(助手报销!$C$2:$C$121,助手报销!$R$137)&amp;"  字第 "&amp;INDEX(助手报销!$P$2:$P$121,助手报销!$R$137)&amp;" 号"&amp;IF(INDEX(助手报销!$L$2:$L$121,助手报销!$R$137)&gt;1,"  (共"&amp;INDEX(助手报销!$L$2:$L$121,助手报销!$R$137)&amp;"页 第"&amp;助手报销!$S$137&amp;"页)",""))</f>
        <v/>
      </c>
    </row>
    <row r="2029" customFormat="false" ht="12.75" hidden="false" customHeight="true" outlineLevel="0" collapsed="false">
      <c r="B2029" s="61" t="str">
        <f aca="false">IF(助手报销!$R$137&lt;&gt;"","摘　　要","")</f>
        <v/>
      </c>
      <c r="C2029" s="61"/>
      <c r="D2029" s="62" t="str">
        <f aca="false">IF(助手报销!$R$137&lt;&gt;"","科　　　　目","")</f>
        <v/>
      </c>
      <c r="E2029" s="62"/>
      <c r="F2029" s="61" t="str">
        <f aca="false">IF(助手报销!$R$137&lt;&gt;"","借 方 金 额","")</f>
        <v/>
      </c>
      <c r="G2029" s="62" t="str">
        <f aca="false">IF(助手报销!$R$137&lt;&gt;"","贷 方 金 额","")</f>
        <v/>
      </c>
      <c r="H2029" s="63" t="str">
        <f aca="false">IF(助手报销!$R$137&lt;&gt;"","√","")</f>
        <v/>
      </c>
      <c r="I2029" s="64" t="str">
        <f aca="false">IF(助手报销!$R$137&lt;&gt;"","附单据  张","")</f>
        <v/>
      </c>
    </row>
    <row r="2030" customFormat="false" ht="12.75" hidden="false" customHeight="true" outlineLevel="0" collapsed="false">
      <c r="B2030" s="61"/>
      <c r="C2030" s="61"/>
      <c r="D2030" s="23" t="str">
        <f aca="false">IF(助手报销!$R$137&lt;&gt;"","总 账 科 目","")</f>
        <v/>
      </c>
      <c r="E2030" s="23" t="str">
        <f aca="false">IF(助手报销!$R$137&lt;&gt;"","明 细 科 目","")</f>
        <v/>
      </c>
      <c r="F2030" s="65"/>
      <c r="G2030" s="66"/>
      <c r="H2030" s="63"/>
      <c r="I2030" s="64"/>
    </row>
    <row r="2031" customFormat="false" ht="23.25" hidden="false" customHeight="true" outlineLevel="0" collapsed="false">
      <c r="B2031" s="67" t="str">
        <f aca="false">IFERROR(INDEX(分录报销!$M:$M,MATCH($L2031,分录报销!$L:$L,0)),"")</f>
        <v/>
      </c>
      <c r="C2031" s="67"/>
      <c r="D2031" s="23" t="str">
        <f aca="false">IFERROR(INDEX(分录报销!$E:$E,MATCH($L2031,分录报销!$L:$L,0)),"")</f>
        <v/>
      </c>
      <c r="E2031" s="23" t="str">
        <f aca="false">IFERROR(INDEX(分录报销!$F:$F,MATCH($L2031,分录报销!$L:$L,0)),"")</f>
        <v/>
      </c>
      <c r="F2031" s="68" t="str">
        <f aca="false">IFERROR(INDEX(分录报销!$H:$H,MATCH($L2031,分录报销!$L:$L,0)),"")</f>
        <v/>
      </c>
      <c r="G2031" s="69" t="str">
        <f aca="false">IFERROR(INDEX(分录报销!$I:$I,MATCH($L2031,分录报销!$L:$L,0)),"")</f>
        <v/>
      </c>
      <c r="H2031" s="23"/>
      <c r="I2031" s="70"/>
      <c r="L2031" s="71" t="n">
        <f aca="false">IF(助手报销!$R$137="",-1,助手报销!$R$137*100+(助手报销!$S$137-1)*6+1)</f>
        <v>-1</v>
      </c>
    </row>
    <row r="2032" customFormat="false" ht="23.25" hidden="false" customHeight="true" outlineLevel="0" collapsed="false">
      <c r="B2032" s="67" t="str">
        <f aca="false">IFERROR(INDEX(分录报销!$M:$M,MATCH($L2032,分录报销!$L:$L,0)),"")</f>
        <v/>
      </c>
      <c r="C2032" s="67"/>
      <c r="D2032" s="23" t="str">
        <f aca="false">IFERROR(INDEX(分录报销!$E:$E,MATCH($L2032,分录报销!$L:$L,0)),"")</f>
        <v/>
      </c>
      <c r="E2032" s="23" t="str">
        <f aca="false">IFERROR(INDEX(分录报销!$F:$F,MATCH($L2032,分录报销!$L:$L,0)),"")</f>
        <v/>
      </c>
      <c r="F2032" s="68" t="str">
        <f aca="false">IFERROR(INDEX(分录报销!$H:$H,MATCH($L2032,分录报销!$L:$L,0)),"")</f>
        <v/>
      </c>
      <c r="G2032" s="69" t="str">
        <f aca="false">IFERROR(INDEX(分录报销!$I:$I,MATCH($L2032,分录报销!$L:$L,0)),"")</f>
        <v/>
      </c>
      <c r="H2032" s="23"/>
      <c r="I2032" s="70"/>
      <c r="L2032" s="71" t="n">
        <f aca="false">IF(助手报销!$R$137="",-1,助手报销!$R$137*100+(助手报销!$S$137-1)*6+2)</f>
        <v>-1</v>
      </c>
    </row>
    <row r="2033" customFormat="false" ht="23.25" hidden="false" customHeight="true" outlineLevel="0" collapsed="false">
      <c r="B2033" s="67" t="str">
        <f aca="false">IFERROR(INDEX(分录报销!$M:$M,MATCH($L2033,分录报销!$L:$L,0)),"")</f>
        <v/>
      </c>
      <c r="C2033" s="67"/>
      <c r="D2033" s="23" t="str">
        <f aca="false">IFERROR(INDEX(分录报销!$E:$E,MATCH($L2033,分录报销!$L:$L,0)),"")</f>
        <v/>
      </c>
      <c r="E2033" s="23" t="str">
        <f aca="false">IFERROR(INDEX(分录报销!$F:$F,MATCH($L2033,分录报销!$L:$L,0)),"")</f>
        <v/>
      </c>
      <c r="F2033" s="68" t="str">
        <f aca="false">IFERROR(INDEX(分录报销!$H:$H,MATCH($L2033,分录报销!$L:$L,0)),"")</f>
        <v/>
      </c>
      <c r="G2033" s="69" t="str">
        <f aca="false">IFERROR(INDEX(分录报销!$I:$I,MATCH($L2033,分录报销!$L:$L,0)),"")</f>
        <v/>
      </c>
      <c r="H2033" s="23"/>
      <c r="I2033" s="70"/>
      <c r="L2033" s="71" t="n">
        <f aca="false">IF(助手报销!$R$137="",-1,助手报销!$R$137*100+(助手报销!$S$137-1)*6+3)</f>
        <v>-1</v>
      </c>
    </row>
    <row r="2034" customFormat="false" ht="23.25" hidden="false" customHeight="true" outlineLevel="0" collapsed="false">
      <c r="B2034" s="67" t="str">
        <f aca="false">IFERROR(INDEX(分录报销!$M:$M,MATCH($L2034,分录报销!$L:$L,0)),"")</f>
        <v/>
      </c>
      <c r="C2034" s="67"/>
      <c r="D2034" s="23" t="str">
        <f aca="false">IFERROR(INDEX(分录报销!$E:$E,MATCH($L2034,分录报销!$L:$L,0)),"")</f>
        <v/>
      </c>
      <c r="E2034" s="23" t="str">
        <f aca="false">IFERROR(INDEX(分录报销!$F:$F,MATCH($L2034,分录报销!$L:$L,0)),"")</f>
        <v/>
      </c>
      <c r="F2034" s="68" t="str">
        <f aca="false">IFERROR(INDEX(分录报销!$H:$H,MATCH($L2034,分录报销!$L:$L,0)),"")</f>
        <v/>
      </c>
      <c r="G2034" s="69" t="str">
        <f aca="false">IFERROR(INDEX(分录报销!$I:$I,MATCH($L2034,分录报销!$L:$L,0)),"")</f>
        <v/>
      </c>
      <c r="H2034" s="23"/>
      <c r="I2034" s="70"/>
      <c r="L2034" s="71" t="n">
        <f aca="false">IF(助手报销!$R$137="",-1,助手报销!$R$137*100+(助手报销!$S$137-1)*6+4)</f>
        <v>-1</v>
      </c>
    </row>
    <row r="2035" customFormat="false" ht="23.25" hidden="false" customHeight="true" outlineLevel="0" collapsed="false">
      <c r="B2035" s="67" t="str">
        <f aca="false">IFERROR(INDEX(分录报销!$M:$M,MATCH($L2035,分录报销!$L:$L,0)),"")</f>
        <v/>
      </c>
      <c r="C2035" s="67"/>
      <c r="D2035" s="23" t="str">
        <f aca="false">IFERROR(INDEX(分录报销!$E:$E,MATCH($L2035,分录报销!$L:$L,0)),"")</f>
        <v/>
      </c>
      <c r="E2035" s="23" t="str">
        <f aca="false">IFERROR(INDEX(分录报销!$F:$F,MATCH($L2035,分录报销!$L:$L,0)),"")</f>
        <v/>
      </c>
      <c r="F2035" s="68" t="str">
        <f aca="false">IFERROR(INDEX(分录报销!$H:$H,MATCH($L2035,分录报销!$L:$L,0)),"")</f>
        <v/>
      </c>
      <c r="G2035" s="69" t="str">
        <f aca="false">IFERROR(INDEX(分录报销!$I:$I,MATCH($L2035,分录报销!$L:$L,0)),"")</f>
        <v/>
      </c>
      <c r="H2035" s="23"/>
      <c r="I2035" s="70"/>
      <c r="L2035" s="71" t="n">
        <f aca="false">IF(助手报销!$R$137="",-1,助手报销!$R$137*100+(助手报销!$S$137-1)*6+5)</f>
        <v>-1</v>
      </c>
    </row>
    <row r="2036" customFormat="false" ht="23.25" hidden="false" customHeight="true" outlineLevel="0" collapsed="false">
      <c r="B2036" s="67" t="str">
        <f aca="false">IFERROR(INDEX(分录报销!$M:$M,MATCH($L2036,分录报销!$L:$L,0)),"")</f>
        <v/>
      </c>
      <c r="C2036" s="67"/>
      <c r="D2036" s="23" t="str">
        <f aca="false">IFERROR(INDEX(分录报销!$E:$E,MATCH($L2036,分录报销!$L:$L,0)),"")</f>
        <v/>
      </c>
      <c r="E2036" s="23" t="str">
        <f aca="false">IFERROR(INDEX(分录报销!$F:$F,MATCH($L2036,分录报销!$L:$L,0)),"")</f>
        <v/>
      </c>
      <c r="F2036" s="68" t="str">
        <f aca="false">IFERROR(INDEX(分录报销!$H:$H,MATCH($L2036,分录报销!$L:$L,0)),"")</f>
        <v/>
      </c>
      <c r="G2036" s="69" t="str">
        <f aca="false">IFERROR(INDEX(分录报销!$I:$I,MATCH($L2036,分录报销!$L:$L,0)),"")</f>
        <v/>
      </c>
      <c r="H2036" s="23"/>
      <c r="I2036" s="70"/>
      <c r="L2036" s="71" t="n">
        <f aca="false">IF(助手报销!$R$137="",-1,助手报销!$R$137*100+(助手报销!$S$137-1)*6+6)</f>
        <v>-1</v>
      </c>
    </row>
    <row r="2037" customFormat="false" ht="23.25" hidden="false" customHeight="true" outlineLevel="0" collapsed="false">
      <c r="B2037" s="72" t="str">
        <f aca="false">IF(助手报销!$T$137=1,"合计：","")</f>
        <v/>
      </c>
      <c r="C2037" s="73" t="str">
        <f aca="false">IF(助手报销!$T$137=1,$F2037,"")</f>
        <v/>
      </c>
      <c r="D2037" s="74"/>
      <c r="E2037" s="74"/>
      <c r="F2037" s="75" t="str">
        <f aca="false">IF(助手报销!$T$137=1,INDEX(助手报销!$N$2:$N$121,助手报销!$R$137),"")</f>
        <v/>
      </c>
      <c r="G2037" s="76" t="str">
        <f aca="false">IF(助手报销!$T$137=1,INDEX(助手报销!$O$2:$O$121,助手报销!$R$137),"")</f>
        <v/>
      </c>
      <c r="H2037" s="74"/>
      <c r="I2037" s="77"/>
    </row>
    <row r="2038" customFormat="false" ht="6" hidden="false" customHeight="true" outlineLevel="0" collapsed="false"/>
    <row r="2039" customFormat="false" ht="13.5" hidden="false" customHeight="false" outlineLevel="0" collapsed="false">
      <c r="B2039" s="78" t="str">
        <f aca="false">IF(助手报销!$R$137&lt;&gt;"","会计主管：","")</f>
        <v/>
      </c>
      <c r="D2039" s="78" t="str">
        <f aca="false">IF(助手报销!$R$137&lt;&gt;"","会计：","")</f>
        <v/>
      </c>
      <c r="E2039" s="78" t="str">
        <f aca="false">IF(助手报销!$R$137&lt;&gt;"","出纳：","")</f>
        <v/>
      </c>
      <c r="F2039" s="78" t="str">
        <f aca="false">IF(助手报销!$R$137&lt;&gt;"","复核：","")</f>
        <v/>
      </c>
      <c r="G2039" s="78" t="str">
        <f aca="false">IF(助手报销!$R$137&lt;&gt;"","制单：","")</f>
        <v/>
      </c>
    </row>
    <row r="2040" customFormat="false" ht="3" hidden="false" customHeight="true" outlineLevel="0" collapsed="false"/>
    <row r="2041" customFormat="false" ht="19.5" hidden="false" customHeight="true" outlineLevel="0" collapsed="false">
      <c r="B2041" s="53" t="str">
        <f aca="false">IF(助手报销!$R$138&lt;&gt;"","记  账  凭  证","")</f>
        <v/>
      </c>
      <c r="C2041" s="53"/>
      <c r="D2041" s="53"/>
      <c r="E2041" s="53"/>
      <c r="F2041" s="53"/>
      <c r="G2041" s="53"/>
      <c r="H2041" s="53"/>
      <c r="I2041" s="53"/>
    </row>
    <row r="2042" customFormat="false" ht="3" hidden="false" customHeight="true" outlineLevel="0" collapsed="false"/>
    <row r="2043" customFormat="false" ht="15" hidden="false" customHeight="true" outlineLevel="0" collapsed="false">
      <c r="C2043" s="56" t="str">
        <f aca="false">IF(助手报销!$R$138&lt;&gt;"",INDEX(助手报销!$B$2:$B$121,助手报销!$R$138),"")</f>
        <v/>
      </c>
      <c r="D2043" s="57" t="str">
        <f aca="false">IF(助手报销!$R$138&lt;&gt;"",INDEX(助手报销!$D$2:$D$121,助手报销!$R$138),"")</f>
        <v/>
      </c>
      <c r="E2043" s="57"/>
      <c r="F2043" s="58" t="str">
        <f aca="false">IF(助手报销!$R$138&lt;&gt;"",INDEX(助手报销!$C$2:$C$121,助手报销!$R$138)&amp;"  字第 "&amp;IF(参数!$B$9="是",INDEX(助手报销!$P$2:$P$121,助手报销!$R$138),"　　　　")&amp;" 号"&amp;IF(INDEX(助手报销!$L$2:$L$121,助手报销!$R$138)&gt;1,"  (共"&amp;INDEX(助手报销!$L$2:$L$121,助手报销!$R$138)&amp;"页 第"&amp;助手报销!$S$138&amp;"页)",""),"")</f>
        <v/>
      </c>
      <c r="G2043" s="58"/>
      <c r="H2043" s="58"/>
      <c r="I2043" s="58"/>
      <c r="M2043" s="79" t="str">
        <f aca="false">IF(助手报销!$R$138="","",助手报销!$Q$138)</f>
        <v/>
      </c>
      <c r="N2043" s="80" t="str">
        <f aca="false">IF(助手报销!$R$138="","",INDEX(助手报销!$P$2:$P$121,助手报销!$R$138))</f>
        <v/>
      </c>
      <c r="O2043" s="55" t="str">
        <f aca="false">IF(助手报销!$R$138="","",INDEX(助手报销!$C$2:$C$121,助手报销!$R$138)&amp;"  字第 "&amp;INDEX(助手报销!$P$2:$P$121,助手报销!$R$138)&amp;" 号"&amp;IF(INDEX(助手报销!$L$2:$L$121,助手报销!$R$138)&gt;1,"  (共"&amp;INDEX(助手报销!$L$2:$L$121,助手报销!$R$138)&amp;"页 第"&amp;助手报销!$S$138&amp;"页)",""))</f>
        <v/>
      </c>
    </row>
    <row r="2044" customFormat="false" ht="12.75" hidden="false" customHeight="true" outlineLevel="0" collapsed="false">
      <c r="B2044" s="61" t="str">
        <f aca="false">IF(助手报销!$R$138&lt;&gt;"","摘　　要","")</f>
        <v/>
      </c>
      <c r="C2044" s="61"/>
      <c r="D2044" s="62" t="str">
        <f aca="false">IF(助手报销!$R$138&lt;&gt;"","科　　　　目","")</f>
        <v/>
      </c>
      <c r="E2044" s="62"/>
      <c r="F2044" s="61" t="str">
        <f aca="false">IF(助手报销!$R$138&lt;&gt;"","借 方 金 额","")</f>
        <v/>
      </c>
      <c r="G2044" s="62" t="str">
        <f aca="false">IF(助手报销!$R$138&lt;&gt;"","贷 方 金 额","")</f>
        <v/>
      </c>
      <c r="H2044" s="63" t="str">
        <f aca="false">IF(助手报销!$R$138&lt;&gt;"","√","")</f>
        <v/>
      </c>
      <c r="I2044" s="64" t="str">
        <f aca="false">IF(助手报销!$R$138&lt;&gt;"","附单据  张","")</f>
        <v/>
      </c>
    </row>
    <row r="2045" customFormat="false" ht="12.75" hidden="false" customHeight="true" outlineLevel="0" collapsed="false">
      <c r="B2045" s="61"/>
      <c r="C2045" s="61"/>
      <c r="D2045" s="23" t="str">
        <f aca="false">IF(助手报销!$R$138&lt;&gt;"","总 账 科 目","")</f>
        <v/>
      </c>
      <c r="E2045" s="23" t="str">
        <f aca="false">IF(助手报销!$R$138&lt;&gt;"","明 细 科 目","")</f>
        <v/>
      </c>
      <c r="F2045" s="65"/>
      <c r="G2045" s="66"/>
      <c r="H2045" s="63"/>
      <c r="I2045" s="64"/>
    </row>
    <row r="2046" customFormat="false" ht="23.25" hidden="false" customHeight="true" outlineLevel="0" collapsed="false">
      <c r="B2046" s="67" t="str">
        <f aca="false">IFERROR(INDEX(分录报销!$M:$M,MATCH($L2046,分录报销!$L:$L,0)),"")</f>
        <v/>
      </c>
      <c r="C2046" s="67"/>
      <c r="D2046" s="23" t="str">
        <f aca="false">IFERROR(INDEX(分录报销!$E:$E,MATCH($L2046,分录报销!$L:$L,0)),"")</f>
        <v/>
      </c>
      <c r="E2046" s="23" t="str">
        <f aca="false">IFERROR(INDEX(分录报销!$F:$F,MATCH($L2046,分录报销!$L:$L,0)),"")</f>
        <v/>
      </c>
      <c r="F2046" s="68" t="str">
        <f aca="false">IFERROR(INDEX(分录报销!$H:$H,MATCH($L2046,分录报销!$L:$L,0)),"")</f>
        <v/>
      </c>
      <c r="G2046" s="69" t="str">
        <f aca="false">IFERROR(INDEX(分录报销!$I:$I,MATCH($L2046,分录报销!$L:$L,0)),"")</f>
        <v/>
      </c>
      <c r="H2046" s="23"/>
      <c r="I2046" s="70"/>
      <c r="L2046" s="71" t="n">
        <f aca="false">IF(助手报销!$R$138="",-1,助手报销!$R$138*100+(助手报销!$S$138-1)*6+1)</f>
        <v>-1</v>
      </c>
    </row>
    <row r="2047" customFormat="false" ht="23.25" hidden="false" customHeight="true" outlineLevel="0" collapsed="false">
      <c r="B2047" s="67" t="str">
        <f aca="false">IFERROR(INDEX(分录报销!$M:$M,MATCH($L2047,分录报销!$L:$L,0)),"")</f>
        <v/>
      </c>
      <c r="C2047" s="67"/>
      <c r="D2047" s="23" t="str">
        <f aca="false">IFERROR(INDEX(分录报销!$E:$E,MATCH($L2047,分录报销!$L:$L,0)),"")</f>
        <v/>
      </c>
      <c r="E2047" s="23" t="str">
        <f aca="false">IFERROR(INDEX(分录报销!$F:$F,MATCH($L2047,分录报销!$L:$L,0)),"")</f>
        <v/>
      </c>
      <c r="F2047" s="68" t="str">
        <f aca="false">IFERROR(INDEX(分录报销!$H:$H,MATCH($L2047,分录报销!$L:$L,0)),"")</f>
        <v/>
      </c>
      <c r="G2047" s="69" t="str">
        <f aca="false">IFERROR(INDEX(分录报销!$I:$I,MATCH($L2047,分录报销!$L:$L,0)),"")</f>
        <v/>
      </c>
      <c r="H2047" s="23"/>
      <c r="I2047" s="70"/>
      <c r="L2047" s="71" t="n">
        <f aca="false">IF(助手报销!$R$138="",-1,助手报销!$R$138*100+(助手报销!$S$138-1)*6+2)</f>
        <v>-1</v>
      </c>
    </row>
    <row r="2048" customFormat="false" ht="23.25" hidden="false" customHeight="true" outlineLevel="0" collapsed="false">
      <c r="B2048" s="67" t="str">
        <f aca="false">IFERROR(INDEX(分录报销!$M:$M,MATCH($L2048,分录报销!$L:$L,0)),"")</f>
        <v/>
      </c>
      <c r="C2048" s="67"/>
      <c r="D2048" s="23" t="str">
        <f aca="false">IFERROR(INDEX(分录报销!$E:$E,MATCH($L2048,分录报销!$L:$L,0)),"")</f>
        <v/>
      </c>
      <c r="E2048" s="23" t="str">
        <f aca="false">IFERROR(INDEX(分录报销!$F:$F,MATCH($L2048,分录报销!$L:$L,0)),"")</f>
        <v/>
      </c>
      <c r="F2048" s="68" t="str">
        <f aca="false">IFERROR(INDEX(分录报销!$H:$H,MATCH($L2048,分录报销!$L:$L,0)),"")</f>
        <v/>
      </c>
      <c r="G2048" s="69" t="str">
        <f aca="false">IFERROR(INDEX(分录报销!$I:$I,MATCH($L2048,分录报销!$L:$L,0)),"")</f>
        <v/>
      </c>
      <c r="H2048" s="23"/>
      <c r="I2048" s="70"/>
      <c r="L2048" s="71" t="n">
        <f aca="false">IF(助手报销!$R$138="",-1,助手报销!$R$138*100+(助手报销!$S$138-1)*6+3)</f>
        <v>-1</v>
      </c>
    </row>
    <row r="2049" customFormat="false" ht="23.25" hidden="false" customHeight="true" outlineLevel="0" collapsed="false">
      <c r="B2049" s="67" t="str">
        <f aca="false">IFERROR(INDEX(分录报销!$M:$M,MATCH($L2049,分录报销!$L:$L,0)),"")</f>
        <v/>
      </c>
      <c r="C2049" s="67"/>
      <c r="D2049" s="23" t="str">
        <f aca="false">IFERROR(INDEX(分录报销!$E:$E,MATCH($L2049,分录报销!$L:$L,0)),"")</f>
        <v/>
      </c>
      <c r="E2049" s="23" t="str">
        <f aca="false">IFERROR(INDEX(分录报销!$F:$F,MATCH($L2049,分录报销!$L:$L,0)),"")</f>
        <v/>
      </c>
      <c r="F2049" s="68" t="str">
        <f aca="false">IFERROR(INDEX(分录报销!$H:$H,MATCH($L2049,分录报销!$L:$L,0)),"")</f>
        <v/>
      </c>
      <c r="G2049" s="69" t="str">
        <f aca="false">IFERROR(INDEX(分录报销!$I:$I,MATCH($L2049,分录报销!$L:$L,0)),"")</f>
        <v/>
      </c>
      <c r="H2049" s="23"/>
      <c r="I2049" s="70"/>
      <c r="L2049" s="71" t="n">
        <f aca="false">IF(助手报销!$R$138="",-1,助手报销!$R$138*100+(助手报销!$S$138-1)*6+4)</f>
        <v>-1</v>
      </c>
    </row>
    <row r="2050" customFormat="false" ht="23.25" hidden="false" customHeight="true" outlineLevel="0" collapsed="false">
      <c r="B2050" s="67" t="str">
        <f aca="false">IFERROR(INDEX(分录报销!$M:$M,MATCH($L2050,分录报销!$L:$L,0)),"")</f>
        <v/>
      </c>
      <c r="C2050" s="67"/>
      <c r="D2050" s="23" t="str">
        <f aca="false">IFERROR(INDEX(分录报销!$E:$E,MATCH($L2050,分录报销!$L:$L,0)),"")</f>
        <v/>
      </c>
      <c r="E2050" s="23" t="str">
        <f aca="false">IFERROR(INDEX(分录报销!$F:$F,MATCH($L2050,分录报销!$L:$L,0)),"")</f>
        <v/>
      </c>
      <c r="F2050" s="68" t="str">
        <f aca="false">IFERROR(INDEX(分录报销!$H:$H,MATCH($L2050,分录报销!$L:$L,0)),"")</f>
        <v/>
      </c>
      <c r="G2050" s="69" t="str">
        <f aca="false">IFERROR(INDEX(分录报销!$I:$I,MATCH($L2050,分录报销!$L:$L,0)),"")</f>
        <v/>
      </c>
      <c r="H2050" s="23"/>
      <c r="I2050" s="70"/>
      <c r="L2050" s="71" t="n">
        <f aca="false">IF(助手报销!$R$138="",-1,助手报销!$R$138*100+(助手报销!$S$138-1)*6+5)</f>
        <v>-1</v>
      </c>
    </row>
    <row r="2051" customFormat="false" ht="23.25" hidden="false" customHeight="true" outlineLevel="0" collapsed="false">
      <c r="B2051" s="67" t="str">
        <f aca="false">IFERROR(INDEX(分录报销!$M:$M,MATCH($L2051,分录报销!$L:$L,0)),"")</f>
        <v/>
      </c>
      <c r="C2051" s="67"/>
      <c r="D2051" s="23" t="str">
        <f aca="false">IFERROR(INDEX(分录报销!$E:$E,MATCH($L2051,分录报销!$L:$L,0)),"")</f>
        <v/>
      </c>
      <c r="E2051" s="23" t="str">
        <f aca="false">IFERROR(INDEX(分录报销!$F:$F,MATCH($L2051,分录报销!$L:$L,0)),"")</f>
        <v/>
      </c>
      <c r="F2051" s="68" t="str">
        <f aca="false">IFERROR(INDEX(分录报销!$H:$H,MATCH($L2051,分录报销!$L:$L,0)),"")</f>
        <v/>
      </c>
      <c r="G2051" s="69" t="str">
        <f aca="false">IFERROR(INDEX(分录报销!$I:$I,MATCH($L2051,分录报销!$L:$L,0)),"")</f>
        <v/>
      </c>
      <c r="H2051" s="23"/>
      <c r="I2051" s="70"/>
      <c r="L2051" s="71" t="n">
        <f aca="false">IF(助手报销!$R$138="",-1,助手报销!$R$138*100+(助手报销!$S$138-1)*6+6)</f>
        <v>-1</v>
      </c>
    </row>
    <row r="2052" customFormat="false" ht="23.25" hidden="false" customHeight="true" outlineLevel="0" collapsed="false">
      <c r="B2052" s="72" t="str">
        <f aca="false">IF(助手报销!$T$138=1,"合计：","")</f>
        <v/>
      </c>
      <c r="C2052" s="73" t="str">
        <f aca="false">IF(助手报销!$T$138=1,$F2052,"")</f>
        <v/>
      </c>
      <c r="D2052" s="74"/>
      <c r="E2052" s="74"/>
      <c r="F2052" s="75" t="str">
        <f aca="false">IF(助手报销!$T$138=1,INDEX(助手报销!$N$2:$N$121,助手报销!$R$138),"")</f>
        <v/>
      </c>
      <c r="G2052" s="76" t="str">
        <f aca="false">IF(助手报销!$T$138=1,INDEX(助手报销!$O$2:$O$121,助手报销!$R$138),"")</f>
        <v/>
      </c>
      <c r="H2052" s="74"/>
      <c r="I2052" s="77"/>
    </row>
    <row r="2053" customFormat="false" ht="6" hidden="false" customHeight="true" outlineLevel="0" collapsed="false"/>
    <row r="2054" customFormat="false" ht="13.5" hidden="false" customHeight="false" outlineLevel="0" collapsed="false">
      <c r="B2054" s="78" t="str">
        <f aca="false">IF(助手报销!$R$138&lt;&gt;"","会计主管：","")</f>
        <v/>
      </c>
      <c r="D2054" s="78" t="str">
        <f aca="false">IF(助手报销!$R$138&lt;&gt;"","会计：","")</f>
        <v/>
      </c>
      <c r="E2054" s="78" t="str">
        <f aca="false">IF(助手报销!$R$138&lt;&gt;"","出纳：","")</f>
        <v/>
      </c>
      <c r="F2054" s="78" t="str">
        <f aca="false">IF(助手报销!$R$138&lt;&gt;"","复核：","")</f>
        <v/>
      </c>
      <c r="G2054" s="78" t="str">
        <f aca="false">IF(助手报销!$R$138&lt;&gt;"","制单：","")</f>
        <v/>
      </c>
    </row>
    <row r="2055" customFormat="false" ht="3" hidden="false" customHeight="true" outlineLevel="0" collapsed="false"/>
    <row r="2056" customFormat="false" ht="19.5" hidden="false" customHeight="true" outlineLevel="0" collapsed="false">
      <c r="B2056" s="53" t="str">
        <f aca="false">IF(助手报销!$R$139&lt;&gt;"","记  账  凭  证","")</f>
        <v/>
      </c>
      <c r="C2056" s="53"/>
      <c r="D2056" s="53"/>
      <c r="E2056" s="53"/>
      <c r="F2056" s="53"/>
      <c r="G2056" s="53"/>
      <c r="H2056" s="53"/>
      <c r="I2056" s="53"/>
    </row>
    <row r="2057" customFormat="false" ht="3" hidden="false" customHeight="true" outlineLevel="0" collapsed="false"/>
    <row r="2058" customFormat="false" ht="15" hidden="false" customHeight="true" outlineLevel="0" collapsed="false">
      <c r="C2058" s="56" t="str">
        <f aca="false">IF(助手报销!$R$139&lt;&gt;"",INDEX(助手报销!$B$2:$B$121,助手报销!$R$139),"")</f>
        <v/>
      </c>
      <c r="D2058" s="57" t="str">
        <f aca="false">IF(助手报销!$R$139&lt;&gt;"",INDEX(助手报销!$D$2:$D$121,助手报销!$R$139),"")</f>
        <v/>
      </c>
      <c r="E2058" s="57"/>
      <c r="F2058" s="58" t="str">
        <f aca="false">IF(助手报销!$R$139&lt;&gt;"",INDEX(助手报销!$C$2:$C$121,助手报销!$R$139)&amp;"  字第 "&amp;IF(参数!$B$9="是",INDEX(助手报销!$P$2:$P$121,助手报销!$R$139),"　　　　")&amp;" 号"&amp;IF(INDEX(助手报销!$L$2:$L$121,助手报销!$R$139)&gt;1,"  (共"&amp;INDEX(助手报销!$L$2:$L$121,助手报销!$R$139)&amp;"页 第"&amp;助手报销!$S$139&amp;"页)",""),"")</f>
        <v/>
      </c>
      <c r="G2058" s="58"/>
      <c r="H2058" s="58"/>
      <c r="I2058" s="58"/>
      <c r="M2058" s="79" t="str">
        <f aca="false">IF(助手报销!$R$139="","",助手报销!$Q$139)</f>
        <v/>
      </c>
      <c r="N2058" s="80" t="str">
        <f aca="false">IF(助手报销!$R$139="","",INDEX(助手报销!$P$2:$P$121,助手报销!$R$139))</f>
        <v/>
      </c>
      <c r="O2058" s="55" t="str">
        <f aca="false">IF(助手报销!$R$139="","",INDEX(助手报销!$C$2:$C$121,助手报销!$R$139)&amp;"  字第 "&amp;INDEX(助手报销!$P$2:$P$121,助手报销!$R$139)&amp;" 号"&amp;IF(INDEX(助手报销!$L$2:$L$121,助手报销!$R$139)&gt;1,"  (共"&amp;INDEX(助手报销!$L$2:$L$121,助手报销!$R$139)&amp;"页 第"&amp;助手报销!$S$139&amp;"页)",""))</f>
        <v/>
      </c>
    </row>
    <row r="2059" customFormat="false" ht="12.75" hidden="false" customHeight="true" outlineLevel="0" collapsed="false">
      <c r="B2059" s="61" t="str">
        <f aca="false">IF(助手报销!$R$139&lt;&gt;"","摘　　要","")</f>
        <v/>
      </c>
      <c r="C2059" s="61"/>
      <c r="D2059" s="62" t="str">
        <f aca="false">IF(助手报销!$R$139&lt;&gt;"","科　　　　目","")</f>
        <v/>
      </c>
      <c r="E2059" s="62"/>
      <c r="F2059" s="61" t="str">
        <f aca="false">IF(助手报销!$R$139&lt;&gt;"","借 方 金 额","")</f>
        <v/>
      </c>
      <c r="G2059" s="62" t="str">
        <f aca="false">IF(助手报销!$R$139&lt;&gt;"","贷 方 金 额","")</f>
        <v/>
      </c>
      <c r="H2059" s="63" t="str">
        <f aca="false">IF(助手报销!$R$139&lt;&gt;"","√","")</f>
        <v/>
      </c>
      <c r="I2059" s="64" t="str">
        <f aca="false">IF(助手报销!$R$139&lt;&gt;"","附单据  张","")</f>
        <v/>
      </c>
    </row>
    <row r="2060" customFormat="false" ht="12.75" hidden="false" customHeight="true" outlineLevel="0" collapsed="false">
      <c r="B2060" s="61"/>
      <c r="C2060" s="61"/>
      <c r="D2060" s="23" t="str">
        <f aca="false">IF(助手报销!$R$139&lt;&gt;"","总 账 科 目","")</f>
        <v/>
      </c>
      <c r="E2060" s="23" t="str">
        <f aca="false">IF(助手报销!$R$139&lt;&gt;"","明 细 科 目","")</f>
        <v/>
      </c>
      <c r="F2060" s="65"/>
      <c r="G2060" s="66"/>
      <c r="H2060" s="63"/>
      <c r="I2060" s="64"/>
    </row>
    <row r="2061" customFormat="false" ht="23.25" hidden="false" customHeight="true" outlineLevel="0" collapsed="false">
      <c r="B2061" s="67" t="str">
        <f aca="false">IFERROR(INDEX(分录报销!$M:$M,MATCH($L2061,分录报销!$L:$L,0)),"")</f>
        <v/>
      </c>
      <c r="C2061" s="67"/>
      <c r="D2061" s="23" t="str">
        <f aca="false">IFERROR(INDEX(分录报销!$E:$E,MATCH($L2061,分录报销!$L:$L,0)),"")</f>
        <v/>
      </c>
      <c r="E2061" s="23" t="str">
        <f aca="false">IFERROR(INDEX(分录报销!$F:$F,MATCH($L2061,分录报销!$L:$L,0)),"")</f>
        <v/>
      </c>
      <c r="F2061" s="68" t="str">
        <f aca="false">IFERROR(INDEX(分录报销!$H:$H,MATCH($L2061,分录报销!$L:$L,0)),"")</f>
        <v/>
      </c>
      <c r="G2061" s="69" t="str">
        <f aca="false">IFERROR(INDEX(分录报销!$I:$I,MATCH($L2061,分录报销!$L:$L,0)),"")</f>
        <v/>
      </c>
      <c r="H2061" s="23"/>
      <c r="I2061" s="70"/>
      <c r="L2061" s="71" t="n">
        <f aca="false">IF(助手报销!$R$139="",-1,助手报销!$R$139*100+(助手报销!$S$139-1)*6+1)</f>
        <v>-1</v>
      </c>
    </row>
    <row r="2062" customFormat="false" ht="23.25" hidden="false" customHeight="true" outlineLevel="0" collapsed="false">
      <c r="B2062" s="67" t="str">
        <f aca="false">IFERROR(INDEX(分录报销!$M:$M,MATCH($L2062,分录报销!$L:$L,0)),"")</f>
        <v/>
      </c>
      <c r="C2062" s="67"/>
      <c r="D2062" s="23" t="str">
        <f aca="false">IFERROR(INDEX(分录报销!$E:$E,MATCH($L2062,分录报销!$L:$L,0)),"")</f>
        <v/>
      </c>
      <c r="E2062" s="23" t="str">
        <f aca="false">IFERROR(INDEX(分录报销!$F:$F,MATCH($L2062,分录报销!$L:$L,0)),"")</f>
        <v/>
      </c>
      <c r="F2062" s="68" t="str">
        <f aca="false">IFERROR(INDEX(分录报销!$H:$H,MATCH($L2062,分录报销!$L:$L,0)),"")</f>
        <v/>
      </c>
      <c r="G2062" s="69" t="str">
        <f aca="false">IFERROR(INDEX(分录报销!$I:$I,MATCH($L2062,分录报销!$L:$L,0)),"")</f>
        <v/>
      </c>
      <c r="H2062" s="23"/>
      <c r="I2062" s="70"/>
      <c r="L2062" s="71" t="n">
        <f aca="false">IF(助手报销!$R$139="",-1,助手报销!$R$139*100+(助手报销!$S$139-1)*6+2)</f>
        <v>-1</v>
      </c>
    </row>
    <row r="2063" customFormat="false" ht="23.25" hidden="false" customHeight="true" outlineLevel="0" collapsed="false">
      <c r="B2063" s="67" t="str">
        <f aca="false">IFERROR(INDEX(分录报销!$M:$M,MATCH($L2063,分录报销!$L:$L,0)),"")</f>
        <v/>
      </c>
      <c r="C2063" s="67"/>
      <c r="D2063" s="23" t="str">
        <f aca="false">IFERROR(INDEX(分录报销!$E:$E,MATCH($L2063,分录报销!$L:$L,0)),"")</f>
        <v/>
      </c>
      <c r="E2063" s="23" t="str">
        <f aca="false">IFERROR(INDEX(分录报销!$F:$F,MATCH($L2063,分录报销!$L:$L,0)),"")</f>
        <v/>
      </c>
      <c r="F2063" s="68" t="str">
        <f aca="false">IFERROR(INDEX(分录报销!$H:$H,MATCH($L2063,分录报销!$L:$L,0)),"")</f>
        <v/>
      </c>
      <c r="G2063" s="69" t="str">
        <f aca="false">IFERROR(INDEX(分录报销!$I:$I,MATCH($L2063,分录报销!$L:$L,0)),"")</f>
        <v/>
      </c>
      <c r="H2063" s="23"/>
      <c r="I2063" s="70"/>
      <c r="L2063" s="71" t="n">
        <f aca="false">IF(助手报销!$R$139="",-1,助手报销!$R$139*100+(助手报销!$S$139-1)*6+3)</f>
        <v>-1</v>
      </c>
    </row>
    <row r="2064" customFormat="false" ht="23.25" hidden="false" customHeight="true" outlineLevel="0" collapsed="false">
      <c r="B2064" s="67" t="str">
        <f aca="false">IFERROR(INDEX(分录报销!$M:$M,MATCH($L2064,分录报销!$L:$L,0)),"")</f>
        <v/>
      </c>
      <c r="C2064" s="67"/>
      <c r="D2064" s="23" t="str">
        <f aca="false">IFERROR(INDEX(分录报销!$E:$E,MATCH($L2064,分录报销!$L:$L,0)),"")</f>
        <v/>
      </c>
      <c r="E2064" s="23" t="str">
        <f aca="false">IFERROR(INDEX(分录报销!$F:$F,MATCH($L2064,分录报销!$L:$L,0)),"")</f>
        <v/>
      </c>
      <c r="F2064" s="68" t="str">
        <f aca="false">IFERROR(INDEX(分录报销!$H:$H,MATCH($L2064,分录报销!$L:$L,0)),"")</f>
        <v/>
      </c>
      <c r="G2064" s="69" t="str">
        <f aca="false">IFERROR(INDEX(分录报销!$I:$I,MATCH($L2064,分录报销!$L:$L,0)),"")</f>
        <v/>
      </c>
      <c r="H2064" s="23"/>
      <c r="I2064" s="70"/>
      <c r="L2064" s="71" t="n">
        <f aca="false">IF(助手报销!$R$139="",-1,助手报销!$R$139*100+(助手报销!$S$139-1)*6+4)</f>
        <v>-1</v>
      </c>
    </row>
    <row r="2065" customFormat="false" ht="23.25" hidden="false" customHeight="true" outlineLevel="0" collapsed="false">
      <c r="B2065" s="67" t="str">
        <f aca="false">IFERROR(INDEX(分录报销!$M:$M,MATCH($L2065,分录报销!$L:$L,0)),"")</f>
        <v/>
      </c>
      <c r="C2065" s="67"/>
      <c r="D2065" s="23" t="str">
        <f aca="false">IFERROR(INDEX(分录报销!$E:$E,MATCH($L2065,分录报销!$L:$L,0)),"")</f>
        <v/>
      </c>
      <c r="E2065" s="23" t="str">
        <f aca="false">IFERROR(INDEX(分录报销!$F:$F,MATCH($L2065,分录报销!$L:$L,0)),"")</f>
        <v/>
      </c>
      <c r="F2065" s="68" t="str">
        <f aca="false">IFERROR(INDEX(分录报销!$H:$H,MATCH($L2065,分录报销!$L:$L,0)),"")</f>
        <v/>
      </c>
      <c r="G2065" s="69" t="str">
        <f aca="false">IFERROR(INDEX(分录报销!$I:$I,MATCH($L2065,分录报销!$L:$L,0)),"")</f>
        <v/>
      </c>
      <c r="H2065" s="23"/>
      <c r="I2065" s="70"/>
      <c r="L2065" s="71" t="n">
        <f aca="false">IF(助手报销!$R$139="",-1,助手报销!$R$139*100+(助手报销!$S$139-1)*6+5)</f>
        <v>-1</v>
      </c>
    </row>
    <row r="2066" customFormat="false" ht="23.25" hidden="false" customHeight="true" outlineLevel="0" collapsed="false">
      <c r="B2066" s="67" t="str">
        <f aca="false">IFERROR(INDEX(分录报销!$M:$M,MATCH($L2066,分录报销!$L:$L,0)),"")</f>
        <v/>
      </c>
      <c r="C2066" s="67"/>
      <c r="D2066" s="23" t="str">
        <f aca="false">IFERROR(INDEX(分录报销!$E:$E,MATCH($L2066,分录报销!$L:$L,0)),"")</f>
        <v/>
      </c>
      <c r="E2066" s="23" t="str">
        <f aca="false">IFERROR(INDEX(分录报销!$F:$F,MATCH($L2066,分录报销!$L:$L,0)),"")</f>
        <v/>
      </c>
      <c r="F2066" s="68" t="str">
        <f aca="false">IFERROR(INDEX(分录报销!$H:$H,MATCH($L2066,分录报销!$L:$L,0)),"")</f>
        <v/>
      </c>
      <c r="G2066" s="69" t="str">
        <f aca="false">IFERROR(INDEX(分录报销!$I:$I,MATCH($L2066,分录报销!$L:$L,0)),"")</f>
        <v/>
      </c>
      <c r="H2066" s="23"/>
      <c r="I2066" s="70"/>
      <c r="L2066" s="71" t="n">
        <f aca="false">IF(助手报销!$R$139="",-1,助手报销!$R$139*100+(助手报销!$S$139-1)*6+6)</f>
        <v>-1</v>
      </c>
    </row>
    <row r="2067" customFormat="false" ht="23.25" hidden="false" customHeight="true" outlineLevel="0" collapsed="false">
      <c r="B2067" s="72" t="str">
        <f aca="false">IF(助手报销!$T$139=1,"合计：","")</f>
        <v/>
      </c>
      <c r="C2067" s="73" t="str">
        <f aca="false">IF(助手报销!$T$139=1,$F2067,"")</f>
        <v/>
      </c>
      <c r="D2067" s="74"/>
      <c r="E2067" s="74"/>
      <c r="F2067" s="75" t="str">
        <f aca="false">IF(助手报销!$T$139=1,INDEX(助手报销!$N$2:$N$121,助手报销!$R$139),"")</f>
        <v/>
      </c>
      <c r="G2067" s="76" t="str">
        <f aca="false">IF(助手报销!$T$139=1,INDEX(助手报销!$O$2:$O$121,助手报销!$R$139),"")</f>
        <v/>
      </c>
      <c r="H2067" s="74"/>
      <c r="I2067" s="77"/>
    </row>
    <row r="2068" customFormat="false" ht="6" hidden="false" customHeight="true" outlineLevel="0" collapsed="false"/>
    <row r="2069" customFormat="false" ht="13.5" hidden="false" customHeight="false" outlineLevel="0" collapsed="false">
      <c r="B2069" s="78" t="str">
        <f aca="false">IF(助手报销!$R$139&lt;&gt;"","会计主管：","")</f>
        <v/>
      </c>
      <c r="D2069" s="78" t="str">
        <f aca="false">IF(助手报销!$R$139&lt;&gt;"","会计：","")</f>
        <v/>
      </c>
      <c r="E2069" s="78" t="str">
        <f aca="false">IF(助手报销!$R$139&lt;&gt;"","出纳：","")</f>
        <v/>
      </c>
      <c r="F2069" s="78" t="str">
        <f aca="false">IF(助手报销!$R$139&lt;&gt;"","复核：","")</f>
        <v/>
      </c>
      <c r="G2069" s="78" t="str">
        <f aca="false">IF(助手报销!$R$139&lt;&gt;"","制单：","")</f>
        <v/>
      </c>
    </row>
    <row r="2070" customFormat="false" ht="3" hidden="false" customHeight="true" outlineLevel="0" collapsed="false"/>
    <row r="2071" customFormat="false" ht="19.5" hidden="false" customHeight="true" outlineLevel="0" collapsed="false">
      <c r="B2071" s="53" t="str">
        <f aca="false">IF(助手报销!$R$140&lt;&gt;"","记  账  凭  证","")</f>
        <v/>
      </c>
      <c r="C2071" s="53"/>
      <c r="D2071" s="53"/>
      <c r="E2071" s="53"/>
      <c r="F2071" s="53"/>
      <c r="G2071" s="53"/>
      <c r="H2071" s="53"/>
      <c r="I2071" s="53"/>
    </row>
    <row r="2072" customFormat="false" ht="3" hidden="false" customHeight="true" outlineLevel="0" collapsed="false"/>
    <row r="2073" customFormat="false" ht="15" hidden="false" customHeight="true" outlineLevel="0" collapsed="false">
      <c r="C2073" s="56" t="str">
        <f aca="false">IF(助手报销!$R$140&lt;&gt;"",INDEX(助手报销!$B$2:$B$121,助手报销!$R$140),"")</f>
        <v/>
      </c>
      <c r="D2073" s="57" t="str">
        <f aca="false">IF(助手报销!$R$140&lt;&gt;"",INDEX(助手报销!$D$2:$D$121,助手报销!$R$140),"")</f>
        <v/>
      </c>
      <c r="E2073" s="57"/>
      <c r="F2073" s="58" t="str">
        <f aca="false">IF(助手报销!$R$140&lt;&gt;"",INDEX(助手报销!$C$2:$C$121,助手报销!$R$140)&amp;"  字第 "&amp;IF(参数!$B$9="是",INDEX(助手报销!$P$2:$P$121,助手报销!$R$140),"　　　　")&amp;" 号"&amp;IF(INDEX(助手报销!$L$2:$L$121,助手报销!$R$140)&gt;1,"  (共"&amp;INDEX(助手报销!$L$2:$L$121,助手报销!$R$140)&amp;"页 第"&amp;助手报销!$S$140&amp;"页)",""),"")</f>
        <v/>
      </c>
      <c r="G2073" s="58"/>
      <c r="H2073" s="58"/>
      <c r="I2073" s="58"/>
      <c r="M2073" s="79" t="str">
        <f aca="false">IF(助手报销!$R$140="","",助手报销!$Q$140)</f>
        <v/>
      </c>
      <c r="N2073" s="80" t="str">
        <f aca="false">IF(助手报销!$R$140="","",INDEX(助手报销!$P$2:$P$121,助手报销!$R$140))</f>
        <v/>
      </c>
      <c r="O2073" s="55" t="str">
        <f aca="false">IF(助手报销!$R$140="","",INDEX(助手报销!$C$2:$C$121,助手报销!$R$140)&amp;"  字第 "&amp;INDEX(助手报销!$P$2:$P$121,助手报销!$R$140)&amp;" 号"&amp;IF(INDEX(助手报销!$L$2:$L$121,助手报销!$R$140)&gt;1,"  (共"&amp;INDEX(助手报销!$L$2:$L$121,助手报销!$R$140)&amp;"页 第"&amp;助手报销!$S$140&amp;"页)",""))</f>
        <v/>
      </c>
    </row>
    <row r="2074" customFormat="false" ht="12.75" hidden="false" customHeight="true" outlineLevel="0" collapsed="false">
      <c r="B2074" s="61" t="str">
        <f aca="false">IF(助手报销!$R$140&lt;&gt;"","摘　　要","")</f>
        <v/>
      </c>
      <c r="C2074" s="61"/>
      <c r="D2074" s="62" t="str">
        <f aca="false">IF(助手报销!$R$140&lt;&gt;"","科　　　　目","")</f>
        <v/>
      </c>
      <c r="E2074" s="62"/>
      <c r="F2074" s="61" t="str">
        <f aca="false">IF(助手报销!$R$140&lt;&gt;"","借 方 金 额","")</f>
        <v/>
      </c>
      <c r="G2074" s="62" t="str">
        <f aca="false">IF(助手报销!$R$140&lt;&gt;"","贷 方 金 额","")</f>
        <v/>
      </c>
      <c r="H2074" s="63" t="str">
        <f aca="false">IF(助手报销!$R$140&lt;&gt;"","√","")</f>
        <v/>
      </c>
      <c r="I2074" s="64" t="str">
        <f aca="false">IF(助手报销!$R$140&lt;&gt;"","附单据  张","")</f>
        <v/>
      </c>
    </row>
    <row r="2075" customFormat="false" ht="12.75" hidden="false" customHeight="true" outlineLevel="0" collapsed="false">
      <c r="B2075" s="61"/>
      <c r="C2075" s="61"/>
      <c r="D2075" s="23" t="str">
        <f aca="false">IF(助手报销!$R$140&lt;&gt;"","总 账 科 目","")</f>
        <v/>
      </c>
      <c r="E2075" s="23" t="str">
        <f aca="false">IF(助手报销!$R$140&lt;&gt;"","明 细 科 目","")</f>
        <v/>
      </c>
      <c r="F2075" s="65"/>
      <c r="G2075" s="66"/>
      <c r="H2075" s="63"/>
      <c r="I2075" s="64"/>
    </row>
    <row r="2076" customFormat="false" ht="23.25" hidden="false" customHeight="true" outlineLevel="0" collapsed="false">
      <c r="B2076" s="67" t="str">
        <f aca="false">IFERROR(INDEX(分录报销!$M:$M,MATCH($L2076,分录报销!$L:$L,0)),"")</f>
        <v/>
      </c>
      <c r="C2076" s="67"/>
      <c r="D2076" s="23" t="str">
        <f aca="false">IFERROR(INDEX(分录报销!$E:$E,MATCH($L2076,分录报销!$L:$L,0)),"")</f>
        <v/>
      </c>
      <c r="E2076" s="23" t="str">
        <f aca="false">IFERROR(INDEX(分录报销!$F:$F,MATCH($L2076,分录报销!$L:$L,0)),"")</f>
        <v/>
      </c>
      <c r="F2076" s="68" t="str">
        <f aca="false">IFERROR(INDEX(分录报销!$H:$H,MATCH($L2076,分录报销!$L:$L,0)),"")</f>
        <v/>
      </c>
      <c r="G2076" s="69" t="str">
        <f aca="false">IFERROR(INDEX(分录报销!$I:$I,MATCH($L2076,分录报销!$L:$L,0)),"")</f>
        <v/>
      </c>
      <c r="H2076" s="23"/>
      <c r="I2076" s="70"/>
      <c r="L2076" s="71" t="n">
        <f aca="false">IF(助手报销!$R$140="",-1,助手报销!$R$140*100+(助手报销!$S$140-1)*6+1)</f>
        <v>-1</v>
      </c>
    </row>
    <row r="2077" customFormat="false" ht="23.25" hidden="false" customHeight="true" outlineLevel="0" collapsed="false">
      <c r="B2077" s="67" t="str">
        <f aca="false">IFERROR(INDEX(分录报销!$M:$M,MATCH($L2077,分录报销!$L:$L,0)),"")</f>
        <v/>
      </c>
      <c r="C2077" s="67"/>
      <c r="D2077" s="23" t="str">
        <f aca="false">IFERROR(INDEX(分录报销!$E:$E,MATCH($L2077,分录报销!$L:$L,0)),"")</f>
        <v/>
      </c>
      <c r="E2077" s="23" t="str">
        <f aca="false">IFERROR(INDEX(分录报销!$F:$F,MATCH($L2077,分录报销!$L:$L,0)),"")</f>
        <v/>
      </c>
      <c r="F2077" s="68" t="str">
        <f aca="false">IFERROR(INDEX(分录报销!$H:$H,MATCH($L2077,分录报销!$L:$L,0)),"")</f>
        <v/>
      </c>
      <c r="G2077" s="69" t="str">
        <f aca="false">IFERROR(INDEX(分录报销!$I:$I,MATCH($L2077,分录报销!$L:$L,0)),"")</f>
        <v/>
      </c>
      <c r="H2077" s="23"/>
      <c r="I2077" s="70"/>
      <c r="L2077" s="71" t="n">
        <f aca="false">IF(助手报销!$R$140="",-1,助手报销!$R$140*100+(助手报销!$S$140-1)*6+2)</f>
        <v>-1</v>
      </c>
    </row>
    <row r="2078" customFormat="false" ht="23.25" hidden="false" customHeight="true" outlineLevel="0" collapsed="false">
      <c r="B2078" s="67" t="str">
        <f aca="false">IFERROR(INDEX(分录报销!$M:$M,MATCH($L2078,分录报销!$L:$L,0)),"")</f>
        <v/>
      </c>
      <c r="C2078" s="67"/>
      <c r="D2078" s="23" t="str">
        <f aca="false">IFERROR(INDEX(分录报销!$E:$E,MATCH($L2078,分录报销!$L:$L,0)),"")</f>
        <v/>
      </c>
      <c r="E2078" s="23" t="str">
        <f aca="false">IFERROR(INDEX(分录报销!$F:$F,MATCH($L2078,分录报销!$L:$L,0)),"")</f>
        <v/>
      </c>
      <c r="F2078" s="68" t="str">
        <f aca="false">IFERROR(INDEX(分录报销!$H:$H,MATCH($L2078,分录报销!$L:$L,0)),"")</f>
        <v/>
      </c>
      <c r="G2078" s="69" t="str">
        <f aca="false">IFERROR(INDEX(分录报销!$I:$I,MATCH($L2078,分录报销!$L:$L,0)),"")</f>
        <v/>
      </c>
      <c r="H2078" s="23"/>
      <c r="I2078" s="70"/>
      <c r="L2078" s="71" t="n">
        <f aca="false">IF(助手报销!$R$140="",-1,助手报销!$R$140*100+(助手报销!$S$140-1)*6+3)</f>
        <v>-1</v>
      </c>
    </row>
    <row r="2079" customFormat="false" ht="23.25" hidden="false" customHeight="true" outlineLevel="0" collapsed="false">
      <c r="B2079" s="67" t="str">
        <f aca="false">IFERROR(INDEX(分录报销!$M:$M,MATCH($L2079,分录报销!$L:$L,0)),"")</f>
        <v/>
      </c>
      <c r="C2079" s="67"/>
      <c r="D2079" s="23" t="str">
        <f aca="false">IFERROR(INDEX(分录报销!$E:$E,MATCH($L2079,分录报销!$L:$L,0)),"")</f>
        <v/>
      </c>
      <c r="E2079" s="23" t="str">
        <f aca="false">IFERROR(INDEX(分录报销!$F:$F,MATCH($L2079,分录报销!$L:$L,0)),"")</f>
        <v/>
      </c>
      <c r="F2079" s="68" t="str">
        <f aca="false">IFERROR(INDEX(分录报销!$H:$H,MATCH($L2079,分录报销!$L:$L,0)),"")</f>
        <v/>
      </c>
      <c r="G2079" s="69" t="str">
        <f aca="false">IFERROR(INDEX(分录报销!$I:$I,MATCH($L2079,分录报销!$L:$L,0)),"")</f>
        <v/>
      </c>
      <c r="H2079" s="23"/>
      <c r="I2079" s="70"/>
      <c r="L2079" s="71" t="n">
        <f aca="false">IF(助手报销!$R$140="",-1,助手报销!$R$140*100+(助手报销!$S$140-1)*6+4)</f>
        <v>-1</v>
      </c>
    </row>
    <row r="2080" customFormat="false" ht="23.25" hidden="false" customHeight="true" outlineLevel="0" collapsed="false">
      <c r="B2080" s="67" t="str">
        <f aca="false">IFERROR(INDEX(分录报销!$M:$M,MATCH($L2080,分录报销!$L:$L,0)),"")</f>
        <v/>
      </c>
      <c r="C2080" s="67"/>
      <c r="D2080" s="23" t="str">
        <f aca="false">IFERROR(INDEX(分录报销!$E:$E,MATCH($L2080,分录报销!$L:$L,0)),"")</f>
        <v/>
      </c>
      <c r="E2080" s="23" t="str">
        <f aca="false">IFERROR(INDEX(分录报销!$F:$F,MATCH($L2080,分录报销!$L:$L,0)),"")</f>
        <v/>
      </c>
      <c r="F2080" s="68" t="str">
        <f aca="false">IFERROR(INDEX(分录报销!$H:$H,MATCH($L2080,分录报销!$L:$L,0)),"")</f>
        <v/>
      </c>
      <c r="G2080" s="69" t="str">
        <f aca="false">IFERROR(INDEX(分录报销!$I:$I,MATCH($L2080,分录报销!$L:$L,0)),"")</f>
        <v/>
      </c>
      <c r="H2080" s="23"/>
      <c r="I2080" s="70"/>
      <c r="L2080" s="71" t="n">
        <f aca="false">IF(助手报销!$R$140="",-1,助手报销!$R$140*100+(助手报销!$S$140-1)*6+5)</f>
        <v>-1</v>
      </c>
    </row>
    <row r="2081" customFormat="false" ht="23.25" hidden="false" customHeight="true" outlineLevel="0" collapsed="false">
      <c r="B2081" s="67" t="str">
        <f aca="false">IFERROR(INDEX(分录报销!$M:$M,MATCH($L2081,分录报销!$L:$L,0)),"")</f>
        <v/>
      </c>
      <c r="C2081" s="67"/>
      <c r="D2081" s="23" t="str">
        <f aca="false">IFERROR(INDEX(分录报销!$E:$E,MATCH($L2081,分录报销!$L:$L,0)),"")</f>
        <v/>
      </c>
      <c r="E2081" s="23" t="str">
        <f aca="false">IFERROR(INDEX(分录报销!$F:$F,MATCH($L2081,分录报销!$L:$L,0)),"")</f>
        <v/>
      </c>
      <c r="F2081" s="68" t="str">
        <f aca="false">IFERROR(INDEX(分录报销!$H:$H,MATCH($L2081,分录报销!$L:$L,0)),"")</f>
        <v/>
      </c>
      <c r="G2081" s="69" t="str">
        <f aca="false">IFERROR(INDEX(分录报销!$I:$I,MATCH($L2081,分录报销!$L:$L,0)),"")</f>
        <v/>
      </c>
      <c r="H2081" s="23"/>
      <c r="I2081" s="70"/>
      <c r="L2081" s="71" t="n">
        <f aca="false">IF(助手报销!$R$140="",-1,助手报销!$R$140*100+(助手报销!$S$140-1)*6+6)</f>
        <v>-1</v>
      </c>
    </row>
    <row r="2082" customFormat="false" ht="23.25" hidden="false" customHeight="true" outlineLevel="0" collapsed="false">
      <c r="B2082" s="72" t="str">
        <f aca="false">IF(助手报销!$T$140=1,"合计：","")</f>
        <v/>
      </c>
      <c r="C2082" s="73" t="str">
        <f aca="false">IF(助手报销!$T$140=1,$F2082,"")</f>
        <v/>
      </c>
      <c r="D2082" s="74"/>
      <c r="E2082" s="74"/>
      <c r="F2082" s="75" t="str">
        <f aca="false">IF(助手报销!$T$140=1,INDEX(助手报销!$N$2:$N$121,助手报销!$R$140),"")</f>
        <v/>
      </c>
      <c r="G2082" s="76" t="str">
        <f aca="false">IF(助手报销!$T$140=1,INDEX(助手报销!$O$2:$O$121,助手报销!$R$140),"")</f>
        <v/>
      </c>
      <c r="H2082" s="74"/>
      <c r="I2082" s="77"/>
    </row>
    <row r="2083" customFormat="false" ht="6" hidden="false" customHeight="true" outlineLevel="0" collapsed="false"/>
    <row r="2084" customFormat="false" ht="13.5" hidden="false" customHeight="false" outlineLevel="0" collapsed="false">
      <c r="B2084" s="78" t="str">
        <f aca="false">IF(助手报销!$R$140&lt;&gt;"","会计主管：","")</f>
        <v/>
      </c>
      <c r="D2084" s="78" t="str">
        <f aca="false">IF(助手报销!$R$140&lt;&gt;"","会计：","")</f>
        <v/>
      </c>
      <c r="E2084" s="78" t="str">
        <f aca="false">IF(助手报销!$R$140&lt;&gt;"","出纳：","")</f>
        <v/>
      </c>
      <c r="F2084" s="78" t="str">
        <f aca="false">IF(助手报销!$R$140&lt;&gt;"","复核：","")</f>
        <v/>
      </c>
      <c r="G2084" s="78" t="str">
        <f aca="false">IF(助手报销!$R$140&lt;&gt;"","制单：","")</f>
        <v/>
      </c>
    </row>
    <row r="2085" customFormat="false" ht="3" hidden="false" customHeight="true" outlineLevel="0" collapsed="false"/>
    <row r="2086" customFormat="false" ht="19.5" hidden="false" customHeight="true" outlineLevel="0" collapsed="false">
      <c r="B2086" s="53" t="str">
        <f aca="false">IF(助手报销!$R$141&lt;&gt;"","记  账  凭  证","")</f>
        <v/>
      </c>
      <c r="C2086" s="53"/>
      <c r="D2086" s="53"/>
      <c r="E2086" s="53"/>
      <c r="F2086" s="53"/>
      <c r="G2086" s="53"/>
      <c r="H2086" s="53"/>
      <c r="I2086" s="53"/>
    </row>
    <row r="2087" customFormat="false" ht="3" hidden="false" customHeight="true" outlineLevel="0" collapsed="false"/>
    <row r="2088" customFormat="false" ht="15" hidden="false" customHeight="true" outlineLevel="0" collapsed="false">
      <c r="C2088" s="56" t="str">
        <f aca="false">IF(助手报销!$R$141&lt;&gt;"",INDEX(助手报销!$B$2:$B$121,助手报销!$R$141),"")</f>
        <v/>
      </c>
      <c r="D2088" s="57" t="str">
        <f aca="false">IF(助手报销!$R$141&lt;&gt;"",INDEX(助手报销!$D$2:$D$121,助手报销!$R$141),"")</f>
        <v/>
      </c>
      <c r="E2088" s="57"/>
      <c r="F2088" s="58" t="str">
        <f aca="false">IF(助手报销!$R$141&lt;&gt;"",INDEX(助手报销!$C$2:$C$121,助手报销!$R$141)&amp;"  字第 "&amp;IF(参数!$B$9="是",INDEX(助手报销!$P$2:$P$121,助手报销!$R$141),"　　　　")&amp;" 号"&amp;IF(INDEX(助手报销!$L$2:$L$121,助手报销!$R$141)&gt;1,"  (共"&amp;INDEX(助手报销!$L$2:$L$121,助手报销!$R$141)&amp;"页 第"&amp;助手报销!$S$141&amp;"页)",""),"")</f>
        <v/>
      </c>
      <c r="G2088" s="58"/>
      <c r="H2088" s="58"/>
      <c r="I2088" s="58"/>
      <c r="M2088" s="79" t="str">
        <f aca="false">IF(助手报销!$R$141="","",助手报销!$Q$141)</f>
        <v/>
      </c>
      <c r="N2088" s="80" t="str">
        <f aca="false">IF(助手报销!$R$141="","",INDEX(助手报销!$P$2:$P$121,助手报销!$R$141))</f>
        <v/>
      </c>
      <c r="O2088" s="55" t="str">
        <f aca="false">IF(助手报销!$R$141="","",INDEX(助手报销!$C$2:$C$121,助手报销!$R$141)&amp;"  字第 "&amp;INDEX(助手报销!$P$2:$P$121,助手报销!$R$141)&amp;" 号"&amp;IF(INDEX(助手报销!$L$2:$L$121,助手报销!$R$141)&gt;1,"  (共"&amp;INDEX(助手报销!$L$2:$L$121,助手报销!$R$141)&amp;"页 第"&amp;助手报销!$S$141&amp;"页)",""))</f>
        <v/>
      </c>
    </row>
    <row r="2089" customFormat="false" ht="12.75" hidden="false" customHeight="true" outlineLevel="0" collapsed="false">
      <c r="B2089" s="61" t="str">
        <f aca="false">IF(助手报销!$R$141&lt;&gt;"","摘　　要","")</f>
        <v/>
      </c>
      <c r="C2089" s="61"/>
      <c r="D2089" s="62" t="str">
        <f aca="false">IF(助手报销!$R$141&lt;&gt;"","科　　　　目","")</f>
        <v/>
      </c>
      <c r="E2089" s="62"/>
      <c r="F2089" s="61" t="str">
        <f aca="false">IF(助手报销!$R$141&lt;&gt;"","借 方 金 额","")</f>
        <v/>
      </c>
      <c r="G2089" s="62" t="str">
        <f aca="false">IF(助手报销!$R$141&lt;&gt;"","贷 方 金 额","")</f>
        <v/>
      </c>
      <c r="H2089" s="63" t="str">
        <f aca="false">IF(助手报销!$R$141&lt;&gt;"","√","")</f>
        <v/>
      </c>
      <c r="I2089" s="64" t="str">
        <f aca="false">IF(助手报销!$R$141&lt;&gt;"","附单据  张","")</f>
        <v/>
      </c>
    </row>
    <row r="2090" customFormat="false" ht="12.75" hidden="false" customHeight="true" outlineLevel="0" collapsed="false">
      <c r="B2090" s="61"/>
      <c r="C2090" s="61"/>
      <c r="D2090" s="23" t="str">
        <f aca="false">IF(助手报销!$R$141&lt;&gt;"","总 账 科 目","")</f>
        <v/>
      </c>
      <c r="E2090" s="23" t="str">
        <f aca="false">IF(助手报销!$R$141&lt;&gt;"","明 细 科 目","")</f>
        <v/>
      </c>
      <c r="F2090" s="65"/>
      <c r="G2090" s="66"/>
      <c r="H2090" s="63"/>
      <c r="I2090" s="64"/>
    </row>
    <row r="2091" customFormat="false" ht="23.25" hidden="false" customHeight="true" outlineLevel="0" collapsed="false">
      <c r="B2091" s="67" t="str">
        <f aca="false">IFERROR(INDEX(分录报销!$M:$M,MATCH($L2091,分录报销!$L:$L,0)),"")</f>
        <v/>
      </c>
      <c r="C2091" s="67"/>
      <c r="D2091" s="23" t="str">
        <f aca="false">IFERROR(INDEX(分录报销!$E:$E,MATCH($L2091,分录报销!$L:$L,0)),"")</f>
        <v/>
      </c>
      <c r="E2091" s="23" t="str">
        <f aca="false">IFERROR(INDEX(分录报销!$F:$F,MATCH($L2091,分录报销!$L:$L,0)),"")</f>
        <v/>
      </c>
      <c r="F2091" s="68" t="str">
        <f aca="false">IFERROR(INDEX(分录报销!$H:$H,MATCH($L2091,分录报销!$L:$L,0)),"")</f>
        <v/>
      </c>
      <c r="G2091" s="69" t="str">
        <f aca="false">IFERROR(INDEX(分录报销!$I:$I,MATCH($L2091,分录报销!$L:$L,0)),"")</f>
        <v/>
      </c>
      <c r="H2091" s="23"/>
      <c r="I2091" s="70"/>
      <c r="L2091" s="71" t="n">
        <f aca="false">IF(助手报销!$R$141="",-1,助手报销!$R$141*100+(助手报销!$S$141-1)*6+1)</f>
        <v>-1</v>
      </c>
    </row>
    <row r="2092" customFormat="false" ht="23.25" hidden="false" customHeight="true" outlineLevel="0" collapsed="false">
      <c r="B2092" s="67" t="str">
        <f aca="false">IFERROR(INDEX(分录报销!$M:$M,MATCH($L2092,分录报销!$L:$L,0)),"")</f>
        <v/>
      </c>
      <c r="C2092" s="67"/>
      <c r="D2092" s="23" t="str">
        <f aca="false">IFERROR(INDEX(分录报销!$E:$E,MATCH($L2092,分录报销!$L:$L,0)),"")</f>
        <v/>
      </c>
      <c r="E2092" s="23" t="str">
        <f aca="false">IFERROR(INDEX(分录报销!$F:$F,MATCH($L2092,分录报销!$L:$L,0)),"")</f>
        <v/>
      </c>
      <c r="F2092" s="68" t="str">
        <f aca="false">IFERROR(INDEX(分录报销!$H:$H,MATCH($L2092,分录报销!$L:$L,0)),"")</f>
        <v/>
      </c>
      <c r="G2092" s="69" t="str">
        <f aca="false">IFERROR(INDEX(分录报销!$I:$I,MATCH($L2092,分录报销!$L:$L,0)),"")</f>
        <v/>
      </c>
      <c r="H2092" s="23"/>
      <c r="I2092" s="70"/>
      <c r="L2092" s="71" t="n">
        <f aca="false">IF(助手报销!$R$141="",-1,助手报销!$R$141*100+(助手报销!$S$141-1)*6+2)</f>
        <v>-1</v>
      </c>
    </row>
    <row r="2093" customFormat="false" ht="23.25" hidden="false" customHeight="true" outlineLevel="0" collapsed="false">
      <c r="B2093" s="67" t="str">
        <f aca="false">IFERROR(INDEX(分录报销!$M:$M,MATCH($L2093,分录报销!$L:$L,0)),"")</f>
        <v/>
      </c>
      <c r="C2093" s="67"/>
      <c r="D2093" s="23" t="str">
        <f aca="false">IFERROR(INDEX(分录报销!$E:$E,MATCH($L2093,分录报销!$L:$L,0)),"")</f>
        <v/>
      </c>
      <c r="E2093" s="23" t="str">
        <f aca="false">IFERROR(INDEX(分录报销!$F:$F,MATCH($L2093,分录报销!$L:$L,0)),"")</f>
        <v/>
      </c>
      <c r="F2093" s="68" t="str">
        <f aca="false">IFERROR(INDEX(分录报销!$H:$H,MATCH($L2093,分录报销!$L:$L,0)),"")</f>
        <v/>
      </c>
      <c r="G2093" s="69" t="str">
        <f aca="false">IFERROR(INDEX(分录报销!$I:$I,MATCH($L2093,分录报销!$L:$L,0)),"")</f>
        <v/>
      </c>
      <c r="H2093" s="23"/>
      <c r="I2093" s="70"/>
      <c r="L2093" s="71" t="n">
        <f aca="false">IF(助手报销!$R$141="",-1,助手报销!$R$141*100+(助手报销!$S$141-1)*6+3)</f>
        <v>-1</v>
      </c>
    </row>
    <row r="2094" customFormat="false" ht="23.25" hidden="false" customHeight="true" outlineLevel="0" collapsed="false">
      <c r="B2094" s="67" t="str">
        <f aca="false">IFERROR(INDEX(分录报销!$M:$M,MATCH($L2094,分录报销!$L:$L,0)),"")</f>
        <v/>
      </c>
      <c r="C2094" s="67"/>
      <c r="D2094" s="23" t="str">
        <f aca="false">IFERROR(INDEX(分录报销!$E:$E,MATCH($L2094,分录报销!$L:$L,0)),"")</f>
        <v/>
      </c>
      <c r="E2094" s="23" t="str">
        <f aca="false">IFERROR(INDEX(分录报销!$F:$F,MATCH($L2094,分录报销!$L:$L,0)),"")</f>
        <v/>
      </c>
      <c r="F2094" s="68" t="str">
        <f aca="false">IFERROR(INDEX(分录报销!$H:$H,MATCH($L2094,分录报销!$L:$L,0)),"")</f>
        <v/>
      </c>
      <c r="G2094" s="69" t="str">
        <f aca="false">IFERROR(INDEX(分录报销!$I:$I,MATCH($L2094,分录报销!$L:$L,0)),"")</f>
        <v/>
      </c>
      <c r="H2094" s="23"/>
      <c r="I2094" s="70"/>
      <c r="L2094" s="71" t="n">
        <f aca="false">IF(助手报销!$R$141="",-1,助手报销!$R$141*100+(助手报销!$S$141-1)*6+4)</f>
        <v>-1</v>
      </c>
    </row>
    <row r="2095" customFormat="false" ht="23.25" hidden="false" customHeight="true" outlineLevel="0" collapsed="false">
      <c r="B2095" s="67" t="str">
        <f aca="false">IFERROR(INDEX(分录报销!$M:$M,MATCH($L2095,分录报销!$L:$L,0)),"")</f>
        <v/>
      </c>
      <c r="C2095" s="67"/>
      <c r="D2095" s="23" t="str">
        <f aca="false">IFERROR(INDEX(分录报销!$E:$E,MATCH($L2095,分录报销!$L:$L,0)),"")</f>
        <v/>
      </c>
      <c r="E2095" s="23" t="str">
        <f aca="false">IFERROR(INDEX(分录报销!$F:$F,MATCH($L2095,分录报销!$L:$L,0)),"")</f>
        <v/>
      </c>
      <c r="F2095" s="68" t="str">
        <f aca="false">IFERROR(INDEX(分录报销!$H:$H,MATCH($L2095,分录报销!$L:$L,0)),"")</f>
        <v/>
      </c>
      <c r="G2095" s="69" t="str">
        <f aca="false">IFERROR(INDEX(分录报销!$I:$I,MATCH($L2095,分录报销!$L:$L,0)),"")</f>
        <v/>
      </c>
      <c r="H2095" s="23"/>
      <c r="I2095" s="70"/>
      <c r="L2095" s="71" t="n">
        <f aca="false">IF(助手报销!$R$141="",-1,助手报销!$R$141*100+(助手报销!$S$141-1)*6+5)</f>
        <v>-1</v>
      </c>
    </row>
    <row r="2096" customFormat="false" ht="23.25" hidden="false" customHeight="true" outlineLevel="0" collapsed="false">
      <c r="B2096" s="67" t="str">
        <f aca="false">IFERROR(INDEX(分录报销!$M:$M,MATCH($L2096,分录报销!$L:$L,0)),"")</f>
        <v/>
      </c>
      <c r="C2096" s="67"/>
      <c r="D2096" s="23" t="str">
        <f aca="false">IFERROR(INDEX(分录报销!$E:$E,MATCH($L2096,分录报销!$L:$L,0)),"")</f>
        <v/>
      </c>
      <c r="E2096" s="23" t="str">
        <f aca="false">IFERROR(INDEX(分录报销!$F:$F,MATCH($L2096,分录报销!$L:$L,0)),"")</f>
        <v/>
      </c>
      <c r="F2096" s="68" t="str">
        <f aca="false">IFERROR(INDEX(分录报销!$H:$H,MATCH($L2096,分录报销!$L:$L,0)),"")</f>
        <v/>
      </c>
      <c r="G2096" s="69" t="str">
        <f aca="false">IFERROR(INDEX(分录报销!$I:$I,MATCH($L2096,分录报销!$L:$L,0)),"")</f>
        <v/>
      </c>
      <c r="H2096" s="23"/>
      <c r="I2096" s="70"/>
      <c r="L2096" s="71" t="n">
        <f aca="false">IF(助手报销!$R$141="",-1,助手报销!$R$141*100+(助手报销!$S$141-1)*6+6)</f>
        <v>-1</v>
      </c>
    </row>
    <row r="2097" customFormat="false" ht="23.25" hidden="false" customHeight="true" outlineLevel="0" collapsed="false">
      <c r="B2097" s="72" t="str">
        <f aca="false">IF(助手报销!$T$141=1,"合计：","")</f>
        <v/>
      </c>
      <c r="C2097" s="73" t="str">
        <f aca="false">IF(助手报销!$T$141=1,$F2097,"")</f>
        <v/>
      </c>
      <c r="D2097" s="74"/>
      <c r="E2097" s="74"/>
      <c r="F2097" s="75" t="str">
        <f aca="false">IF(助手报销!$T$141=1,INDEX(助手报销!$N$2:$N$121,助手报销!$R$141),"")</f>
        <v/>
      </c>
      <c r="G2097" s="76" t="str">
        <f aca="false">IF(助手报销!$T$141=1,INDEX(助手报销!$O$2:$O$121,助手报销!$R$141),"")</f>
        <v/>
      </c>
      <c r="H2097" s="74"/>
      <c r="I2097" s="77"/>
    </row>
    <row r="2098" customFormat="false" ht="6" hidden="false" customHeight="true" outlineLevel="0" collapsed="false"/>
    <row r="2099" customFormat="false" ht="13.5" hidden="false" customHeight="false" outlineLevel="0" collapsed="false">
      <c r="B2099" s="78" t="str">
        <f aca="false">IF(助手报销!$R$141&lt;&gt;"","会计主管：","")</f>
        <v/>
      </c>
      <c r="D2099" s="78" t="str">
        <f aca="false">IF(助手报销!$R$141&lt;&gt;"","会计：","")</f>
        <v/>
      </c>
      <c r="E2099" s="78" t="str">
        <f aca="false">IF(助手报销!$R$141&lt;&gt;"","出纳：","")</f>
        <v/>
      </c>
      <c r="F2099" s="78" t="str">
        <f aca="false">IF(助手报销!$R$141&lt;&gt;"","复核：","")</f>
        <v/>
      </c>
      <c r="G2099" s="78" t="str">
        <f aca="false">IF(助手报销!$R$141&lt;&gt;"","制单：","")</f>
        <v/>
      </c>
    </row>
    <row r="2100" customFormat="false" ht="3" hidden="false" customHeight="true" outlineLevel="0" collapsed="false"/>
    <row r="2101" customFormat="false" ht="19.5" hidden="false" customHeight="true" outlineLevel="0" collapsed="false">
      <c r="B2101" s="53" t="str">
        <f aca="false">IF(助手报销!$R$142&lt;&gt;"","记  账  凭  证","")</f>
        <v/>
      </c>
      <c r="C2101" s="53"/>
      <c r="D2101" s="53"/>
      <c r="E2101" s="53"/>
      <c r="F2101" s="53"/>
      <c r="G2101" s="53"/>
      <c r="H2101" s="53"/>
      <c r="I2101" s="53"/>
    </row>
    <row r="2102" customFormat="false" ht="3" hidden="false" customHeight="true" outlineLevel="0" collapsed="false"/>
    <row r="2103" customFormat="false" ht="15" hidden="false" customHeight="true" outlineLevel="0" collapsed="false">
      <c r="C2103" s="56" t="str">
        <f aca="false">IF(助手报销!$R$142&lt;&gt;"",INDEX(助手报销!$B$2:$B$121,助手报销!$R$142),"")</f>
        <v/>
      </c>
      <c r="D2103" s="57" t="str">
        <f aca="false">IF(助手报销!$R$142&lt;&gt;"",INDEX(助手报销!$D$2:$D$121,助手报销!$R$142),"")</f>
        <v/>
      </c>
      <c r="E2103" s="57"/>
      <c r="F2103" s="58" t="str">
        <f aca="false">IF(助手报销!$R$142&lt;&gt;"",INDEX(助手报销!$C$2:$C$121,助手报销!$R$142)&amp;"  字第 "&amp;IF(参数!$B$9="是",INDEX(助手报销!$P$2:$P$121,助手报销!$R$142),"　　　　")&amp;" 号"&amp;IF(INDEX(助手报销!$L$2:$L$121,助手报销!$R$142)&gt;1,"  (共"&amp;INDEX(助手报销!$L$2:$L$121,助手报销!$R$142)&amp;"页 第"&amp;助手报销!$S$142&amp;"页)",""),"")</f>
        <v/>
      </c>
      <c r="G2103" s="58"/>
      <c r="H2103" s="58"/>
      <c r="I2103" s="58"/>
      <c r="M2103" s="79" t="str">
        <f aca="false">IF(助手报销!$R$142="","",助手报销!$Q$142)</f>
        <v/>
      </c>
      <c r="N2103" s="80" t="str">
        <f aca="false">IF(助手报销!$R$142="","",INDEX(助手报销!$P$2:$P$121,助手报销!$R$142))</f>
        <v/>
      </c>
      <c r="O2103" s="55" t="str">
        <f aca="false">IF(助手报销!$R$142="","",INDEX(助手报销!$C$2:$C$121,助手报销!$R$142)&amp;"  字第 "&amp;INDEX(助手报销!$P$2:$P$121,助手报销!$R$142)&amp;" 号"&amp;IF(INDEX(助手报销!$L$2:$L$121,助手报销!$R$142)&gt;1,"  (共"&amp;INDEX(助手报销!$L$2:$L$121,助手报销!$R$142)&amp;"页 第"&amp;助手报销!$S$142&amp;"页)",""))</f>
        <v/>
      </c>
    </row>
    <row r="2104" customFormat="false" ht="12.75" hidden="false" customHeight="true" outlineLevel="0" collapsed="false">
      <c r="B2104" s="61" t="str">
        <f aca="false">IF(助手报销!$R$142&lt;&gt;"","摘　　要","")</f>
        <v/>
      </c>
      <c r="C2104" s="61"/>
      <c r="D2104" s="62" t="str">
        <f aca="false">IF(助手报销!$R$142&lt;&gt;"","科　　　　目","")</f>
        <v/>
      </c>
      <c r="E2104" s="62"/>
      <c r="F2104" s="61" t="str">
        <f aca="false">IF(助手报销!$R$142&lt;&gt;"","借 方 金 额","")</f>
        <v/>
      </c>
      <c r="G2104" s="62" t="str">
        <f aca="false">IF(助手报销!$R$142&lt;&gt;"","贷 方 金 额","")</f>
        <v/>
      </c>
      <c r="H2104" s="63" t="str">
        <f aca="false">IF(助手报销!$R$142&lt;&gt;"","√","")</f>
        <v/>
      </c>
      <c r="I2104" s="64" t="str">
        <f aca="false">IF(助手报销!$R$142&lt;&gt;"","附单据  张","")</f>
        <v/>
      </c>
    </row>
    <row r="2105" customFormat="false" ht="12.75" hidden="false" customHeight="true" outlineLevel="0" collapsed="false">
      <c r="B2105" s="61"/>
      <c r="C2105" s="61"/>
      <c r="D2105" s="23" t="str">
        <f aca="false">IF(助手报销!$R$142&lt;&gt;"","总 账 科 目","")</f>
        <v/>
      </c>
      <c r="E2105" s="23" t="str">
        <f aca="false">IF(助手报销!$R$142&lt;&gt;"","明 细 科 目","")</f>
        <v/>
      </c>
      <c r="F2105" s="65"/>
      <c r="G2105" s="66"/>
      <c r="H2105" s="63"/>
      <c r="I2105" s="64"/>
    </row>
    <row r="2106" customFormat="false" ht="23.25" hidden="false" customHeight="true" outlineLevel="0" collapsed="false">
      <c r="B2106" s="67" t="str">
        <f aca="false">IFERROR(INDEX(分录报销!$M:$M,MATCH($L2106,分录报销!$L:$L,0)),"")</f>
        <v/>
      </c>
      <c r="C2106" s="67"/>
      <c r="D2106" s="23" t="str">
        <f aca="false">IFERROR(INDEX(分录报销!$E:$E,MATCH($L2106,分录报销!$L:$L,0)),"")</f>
        <v/>
      </c>
      <c r="E2106" s="23" t="str">
        <f aca="false">IFERROR(INDEX(分录报销!$F:$F,MATCH($L2106,分录报销!$L:$L,0)),"")</f>
        <v/>
      </c>
      <c r="F2106" s="68" t="str">
        <f aca="false">IFERROR(INDEX(分录报销!$H:$H,MATCH($L2106,分录报销!$L:$L,0)),"")</f>
        <v/>
      </c>
      <c r="G2106" s="69" t="str">
        <f aca="false">IFERROR(INDEX(分录报销!$I:$I,MATCH($L2106,分录报销!$L:$L,0)),"")</f>
        <v/>
      </c>
      <c r="H2106" s="23"/>
      <c r="I2106" s="70"/>
      <c r="L2106" s="71" t="n">
        <f aca="false">IF(助手报销!$R$142="",-1,助手报销!$R$142*100+(助手报销!$S$142-1)*6+1)</f>
        <v>-1</v>
      </c>
    </row>
    <row r="2107" customFormat="false" ht="23.25" hidden="false" customHeight="true" outlineLevel="0" collapsed="false">
      <c r="B2107" s="67" t="str">
        <f aca="false">IFERROR(INDEX(分录报销!$M:$M,MATCH($L2107,分录报销!$L:$L,0)),"")</f>
        <v/>
      </c>
      <c r="C2107" s="67"/>
      <c r="D2107" s="23" t="str">
        <f aca="false">IFERROR(INDEX(分录报销!$E:$E,MATCH($L2107,分录报销!$L:$L,0)),"")</f>
        <v/>
      </c>
      <c r="E2107" s="23" t="str">
        <f aca="false">IFERROR(INDEX(分录报销!$F:$F,MATCH($L2107,分录报销!$L:$L,0)),"")</f>
        <v/>
      </c>
      <c r="F2107" s="68" t="str">
        <f aca="false">IFERROR(INDEX(分录报销!$H:$H,MATCH($L2107,分录报销!$L:$L,0)),"")</f>
        <v/>
      </c>
      <c r="G2107" s="69" t="str">
        <f aca="false">IFERROR(INDEX(分录报销!$I:$I,MATCH($L2107,分录报销!$L:$L,0)),"")</f>
        <v/>
      </c>
      <c r="H2107" s="23"/>
      <c r="I2107" s="70"/>
      <c r="L2107" s="71" t="n">
        <f aca="false">IF(助手报销!$R$142="",-1,助手报销!$R$142*100+(助手报销!$S$142-1)*6+2)</f>
        <v>-1</v>
      </c>
    </row>
    <row r="2108" customFormat="false" ht="23.25" hidden="false" customHeight="true" outlineLevel="0" collapsed="false">
      <c r="B2108" s="67" t="str">
        <f aca="false">IFERROR(INDEX(分录报销!$M:$M,MATCH($L2108,分录报销!$L:$L,0)),"")</f>
        <v/>
      </c>
      <c r="C2108" s="67"/>
      <c r="D2108" s="23" t="str">
        <f aca="false">IFERROR(INDEX(分录报销!$E:$E,MATCH($L2108,分录报销!$L:$L,0)),"")</f>
        <v/>
      </c>
      <c r="E2108" s="23" t="str">
        <f aca="false">IFERROR(INDEX(分录报销!$F:$F,MATCH($L2108,分录报销!$L:$L,0)),"")</f>
        <v/>
      </c>
      <c r="F2108" s="68" t="str">
        <f aca="false">IFERROR(INDEX(分录报销!$H:$H,MATCH($L2108,分录报销!$L:$L,0)),"")</f>
        <v/>
      </c>
      <c r="G2108" s="69" t="str">
        <f aca="false">IFERROR(INDEX(分录报销!$I:$I,MATCH($L2108,分录报销!$L:$L,0)),"")</f>
        <v/>
      </c>
      <c r="H2108" s="23"/>
      <c r="I2108" s="70"/>
      <c r="L2108" s="71" t="n">
        <f aca="false">IF(助手报销!$R$142="",-1,助手报销!$R$142*100+(助手报销!$S$142-1)*6+3)</f>
        <v>-1</v>
      </c>
    </row>
    <row r="2109" customFormat="false" ht="23.25" hidden="false" customHeight="true" outlineLevel="0" collapsed="false">
      <c r="B2109" s="67" t="str">
        <f aca="false">IFERROR(INDEX(分录报销!$M:$M,MATCH($L2109,分录报销!$L:$L,0)),"")</f>
        <v/>
      </c>
      <c r="C2109" s="67"/>
      <c r="D2109" s="23" t="str">
        <f aca="false">IFERROR(INDEX(分录报销!$E:$E,MATCH($L2109,分录报销!$L:$L,0)),"")</f>
        <v/>
      </c>
      <c r="E2109" s="23" t="str">
        <f aca="false">IFERROR(INDEX(分录报销!$F:$F,MATCH($L2109,分录报销!$L:$L,0)),"")</f>
        <v/>
      </c>
      <c r="F2109" s="68" t="str">
        <f aca="false">IFERROR(INDEX(分录报销!$H:$H,MATCH($L2109,分录报销!$L:$L,0)),"")</f>
        <v/>
      </c>
      <c r="G2109" s="69" t="str">
        <f aca="false">IFERROR(INDEX(分录报销!$I:$I,MATCH($L2109,分录报销!$L:$L,0)),"")</f>
        <v/>
      </c>
      <c r="H2109" s="23"/>
      <c r="I2109" s="70"/>
      <c r="L2109" s="71" t="n">
        <f aca="false">IF(助手报销!$R$142="",-1,助手报销!$R$142*100+(助手报销!$S$142-1)*6+4)</f>
        <v>-1</v>
      </c>
    </row>
    <row r="2110" customFormat="false" ht="23.25" hidden="false" customHeight="true" outlineLevel="0" collapsed="false">
      <c r="B2110" s="67" t="str">
        <f aca="false">IFERROR(INDEX(分录报销!$M:$M,MATCH($L2110,分录报销!$L:$L,0)),"")</f>
        <v/>
      </c>
      <c r="C2110" s="67"/>
      <c r="D2110" s="23" t="str">
        <f aca="false">IFERROR(INDEX(分录报销!$E:$E,MATCH($L2110,分录报销!$L:$L,0)),"")</f>
        <v/>
      </c>
      <c r="E2110" s="23" t="str">
        <f aca="false">IFERROR(INDEX(分录报销!$F:$F,MATCH($L2110,分录报销!$L:$L,0)),"")</f>
        <v/>
      </c>
      <c r="F2110" s="68" t="str">
        <f aca="false">IFERROR(INDEX(分录报销!$H:$H,MATCH($L2110,分录报销!$L:$L,0)),"")</f>
        <v/>
      </c>
      <c r="G2110" s="69" t="str">
        <f aca="false">IFERROR(INDEX(分录报销!$I:$I,MATCH($L2110,分录报销!$L:$L,0)),"")</f>
        <v/>
      </c>
      <c r="H2110" s="23"/>
      <c r="I2110" s="70"/>
      <c r="L2110" s="71" t="n">
        <f aca="false">IF(助手报销!$R$142="",-1,助手报销!$R$142*100+(助手报销!$S$142-1)*6+5)</f>
        <v>-1</v>
      </c>
    </row>
    <row r="2111" customFormat="false" ht="23.25" hidden="false" customHeight="true" outlineLevel="0" collapsed="false">
      <c r="B2111" s="67" t="str">
        <f aca="false">IFERROR(INDEX(分录报销!$M:$M,MATCH($L2111,分录报销!$L:$L,0)),"")</f>
        <v/>
      </c>
      <c r="C2111" s="67"/>
      <c r="D2111" s="23" t="str">
        <f aca="false">IFERROR(INDEX(分录报销!$E:$E,MATCH($L2111,分录报销!$L:$L,0)),"")</f>
        <v/>
      </c>
      <c r="E2111" s="23" t="str">
        <f aca="false">IFERROR(INDEX(分录报销!$F:$F,MATCH($L2111,分录报销!$L:$L,0)),"")</f>
        <v/>
      </c>
      <c r="F2111" s="68" t="str">
        <f aca="false">IFERROR(INDEX(分录报销!$H:$H,MATCH($L2111,分录报销!$L:$L,0)),"")</f>
        <v/>
      </c>
      <c r="G2111" s="69" t="str">
        <f aca="false">IFERROR(INDEX(分录报销!$I:$I,MATCH($L2111,分录报销!$L:$L,0)),"")</f>
        <v/>
      </c>
      <c r="H2111" s="23"/>
      <c r="I2111" s="70"/>
      <c r="L2111" s="71" t="n">
        <f aca="false">IF(助手报销!$R$142="",-1,助手报销!$R$142*100+(助手报销!$S$142-1)*6+6)</f>
        <v>-1</v>
      </c>
    </row>
    <row r="2112" customFormat="false" ht="23.25" hidden="false" customHeight="true" outlineLevel="0" collapsed="false">
      <c r="B2112" s="72" t="str">
        <f aca="false">IF(助手报销!$T$142=1,"合计：","")</f>
        <v/>
      </c>
      <c r="C2112" s="73" t="str">
        <f aca="false">IF(助手报销!$T$142=1,$F2112,"")</f>
        <v/>
      </c>
      <c r="D2112" s="74"/>
      <c r="E2112" s="74"/>
      <c r="F2112" s="75" t="str">
        <f aca="false">IF(助手报销!$T$142=1,INDEX(助手报销!$N$2:$N$121,助手报销!$R$142),"")</f>
        <v/>
      </c>
      <c r="G2112" s="76" t="str">
        <f aca="false">IF(助手报销!$T$142=1,INDEX(助手报销!$O$2:$O$121,助手报销!$R$142),"")</f>
        <v/>
      </c>
      <c r="H2112" s="74"/>
      <c r="I2112" s="77"/>
    </row>
    <row r="2113" customFormat="false" ht="6" hidden="false" customHeight="true" outlineLevel="0" collapsed="false"/>
    <row r="2114" customFormat="false" ht="13.5" hidden="false" customHeight="false" outlineLevel="0" collapsed="false">
      <c r="B2114" s="78" t="str">
        <f aca="false">IF(助手报销!$R$142&lt;&gt;"","会计主管：","")</f>
        <v/>
      </c>
      <c r="D2114" s="78" t="str">
        <f aca="false">IF(助手报销!$R$142&lt;&gt;"","会计：","")</f>
        <v/>
      </c>
      <c r="E2114" s="78" t="str">
        <f aca="false">IF(助手报销!$R$142&lt;&gt;"","出纳：","")</f>
        <v/>
      </c>
      <c r="F2114" s="78" t="str">
        <f aca="false">IF(助手报销!$R$142&lt;&gt;"","复核：","")</f>
        <v/>
      </c>
      <c r="G2114" s="78" t="str">
        <f aca="false">IF(助手报销!$R$142&lt;&gt;"","制单：","")</f>
        <v/>
      </c>
    </row>
    <row r="2115" customFormat="false" ht="3" hidden="false" customHeight="true" outlineLevel="0" collapsed="false"/>
    <row r="2116" customFormat="false" ht="19.5" hidden="false" customHeight="true" outlineLevel="0" collapsed="false">
      <c r="B2116" s="53" t="str">
        <f aca="false">IF(助手报销!$R$143&lt;&gt;"","记  账  凭  证","")</f>
        <v/>
      </c>
      <c r="C2116" s="53"/>
      <c r="D2116" s="53"/>
      <c r="E2116" s="53"/>
      <c r="F2116" s="53"/>
      <c r="G2116" s="53"/>
      <c r="H2116" s="53"/>
      <c r="I2116" s="53"/>
    </row>
    <row r="2117" customFormat="false" ht="3" hidden="false" customHeight="true" outlineLevel="0" collapsed="false"/>
    <row r="2118" customFormat="false" ht="15" hidden="false" customHeight="true" outlineLevel="0" collapsed="false">
      <c r="C2118" s="56" t="str">
        <f aca="false">IF(助手报销!$R$143&lt;&gt;"",INDEX(助手报销!$B$2:$B$121,助手报销!$R$143),"")</f>
        <v/>
      </c>
      <c r="D2118" s="57" t="str">
        <f aca="false">IF(助手报销!$R$143&lt;&gt;"",INDEX(助手报销!$D$2:$D$121,助手报销!$R$143),"")</f>
        <v/>
      </c>
      <c r="E2118" s="57"/>
      <c r="F2118" s="58" t="str">
        <f aca="false">IF(助手报销!$R$143&lt;&gt;"",INDEX(助手报销!$C$2:$C$121,助手报销!$R$143)&amp;"  字第 "&amp;IF(参数!$B$9="是",INDEX(助手报销!$P$2:$P$121,助手报销!$R$143),"　　　　")&amp;" 号"&amp;IF(INDEX(助手报销!$L$2:$L$121,助手报销!$R$143)&gt;1,"  (共"&amp;INDEX(助手报销!$L$2:$L$121,助手报销!$R$143)&amp;"页 第"&amp;助手报销!$S$143&amp;"页)",""),"")</f>
        <v/>
      </c>
      <c r="G2118" s="58"/>
      <c r="H2118" s="58"/>
      <c r="I2118" s="58"/>
      <c r="M2118" s="79" t="str">
        <f aca="false">IF(助手报销!$R$143="","",助手报销!$Q$143)</f>
        <v/>
      </c>
      <c r="N2118" s="80" t="str">
        <f aca="false">IF(助手报销!$R$143="","",INDEX(助手报销!$P$2:$P$121,助手报销!$R$143))</f>
        <v/>
      </c>
      <c r="O2118" s="55" t="str">
        <f aca="false">IF(助手报销!$R$143="","",INDEX(助手报销!$C$2:$C$121,助手报销!$R$143)&amp;"  字第 "&amp;INDEX(助手报销!$P$2:$P$121,助手报销!$R$143)&amp;" 号"&amp;IF(INDEX(助手报销!$L$2:$L$121,助手报销!$R$143)&gt;1,"  (共"&amp;INDEX(助手报销!$L$2:$L$121,助手报销!$R$143)&amp;"页 第"&amp;助手报销!$S$143&amp;"页)",""))</f>
        <v/>
      </c>
    </row>
    <row r="2119" customFormat="false" ht="12.75" hidden="false" customHeight="true" outlineLevel="0" collapsed="false">
      <c r="B2119" s="61" t="str">
        <f aca="false">IF(助手报销!$R$143&lt;&gt;"","摘　　要","")</f>
        <v/>
      </c>
      <c r="C2119" s="61"/>
      <c r="D2119" s="62" t="str">
        <f aca="false">IF(助手报销!$R$143&lt;&gt;"","科　　　　目","")</f>
        <v/>
      </c>
      <c r="E2119" s="62"/>
      <c r="F2119" s="61" t="str">
        <f aca="false">IF(助手报销!$R$143&lt;&gt;"","借 方 金 额","")</f>
        <v/>
      </c>
      <c r="G2119" s="62" t="str">
        <f aca="false">IF(助手报销!$R$143&lt;&gt;"","贷 方 金 额","")</f>
        <v/>
      </c>
      <c r="H2119" s="63" t="str">
        <f aca="false">IF(助手报销!$R$143&lt;&gt;"","√","")</f>
        <v/>
      </c>
      <c r="I2119" s="64" t="str">
        <f aca="false">IF(助手报销!$R$143&lt;&gt;"","附单据  张","")</f>
        <v/>
      </c>
    </row>
    <row r="2120" customFormat="false" ht="12.75" hidden="false" customHeight="true" outlineLevel="0" collapsed="false">
      <c r="B2120" s="61"/>
      <c r="C2120" s="61"/>
      <c r="D2120" s="23" t="str">
        <f aca="false">IF(助手报销!$R$143&lt;&gt;"","总 账 科 目","")</f>
        <v/>
      </c>
      <c r="E2120" s="23" t="str">
        <f aca="false">IF(助手报销!$R$143&lt;&gt;"","明 细 科 目","")</f>
        <v/>
      </c>
      <c r="F2120" s="65"/>
      <c r="G2120" s="66"/>
      <c r="H2120" s="63"/>
      <c r="I2120" s="64"/>
    </row>
    <row r="2121" customFormat="false" ht="23.25" hidden="false" customHeight="true" outlineLevel="0" collapsed="false">
      <c r="B2121" s="67" t="str">
        <f aca="false">IFERROR(INDEX(分录报销!$M:$M,MATCH($L2121,分录报销!$L:$L,0)),"")</f>
        <v/>
      </c>
      <c r="C2121" s="67"/>
      <c r="D2121" s="23" t="str">
        <f aca="false">IFERROR(INDEX(分录报销!$E:$E,MATCH($L2121,分录报销!$L:$L,0)),"")</f>
        <v/>
      </c>
      <c r="E2121" s="23" t="str">
        <f aca="false">IFERROR(INDEX(分录报销!$F:$F,MATCH($L2121,分录报销!$L:$L,0)),"")</f>
        <v/>
      </c>
      <c r="F2121" s="68" t="str">
        <f aca="false">IFERROR(INDEX(分录报销!$H:$H,MATCH($L2121,分录报销!$L:$L,0)),"")</f>
        <v/>
      </c>
      <c r="G2121" s="69" t="str">
        <f aca="false">IFERROR(INDEX(分录报销!$I:$I,MATCH($L2121,分录报销!$L:$L,0)),"")</f>
        <v/>
      </c>
      <c r="H2121" s="23"/>
      <c r="I2121" s="70"/>
      <c r="L2121" s="71" t="n">
        <f aca="false">IF(助手报销!$R$143="",-1,助手报销!$R$143*100+(助手报销!$S$143-1)*6+1)</f>
        <v>-1</v>
      </c>
    </row>
    <row r="2122" customFormat="false" ht="23.25" hidden="false" customHeight="true" outlineLevel="0" collapsed="false">
      <c r="B2122" s="67" t="str">
        <f aca="false">IFERROR(INDEX(分录报销!$M:$M,MATCH($L2122,分录报销!$L:$L,0)),"")</f>
        <v/>
      </c>
      <c r="C2122" s="67"/>
      <c r="D2122" s="23" t="str">
        <f aca="false">IFERROR(INDEX(分录报销!$E:$E,MATCH($L2122,分录报销!$L:$L,0)),"")</f>
        <v/>
      </c>
      <c r="E2122" s="23" t="str">
        <f aca="false">IFERROR(INDEX(分录报销!$F:$F,MATCH($L2122,分录报销!$L:$L,0)),"")</f>
        <v/>
      </c>
      <c r="F2122" s="68" t="str">
        <f aca="false">IFERROR(INDEX(分录报销!$H:$H,MATCH($L2122,分录报销!$L:$L,0)),"")</f>
        <v/>
      </c>
      <c r="G2122" s="69" t="str">
        <f aca="false">IFERROR(INDEX(分录报销!$I:$I,MATCH($L2122,分录报销!$L:$L,0)),"")</f>
        <v/>
      </c>
      <c r="H2122" s="23"/>
      <c r="I2122" s="70"/>
      <c r="L2122" s="71" t="n">
        <f aca="false">IF(助手报销!$R$143="",-1,助手报销!$R$143*100+(助手报销!$S$143-1)*6+2)</f>
        <v>-1</v>
      </c>
    </row>
    <row r="2123" customFormat="false" ht="23.25" hidden="false" customHeight="true" outlineLevel="0" collapsed="false">
      <c r="B2123" s="67" t="str">
        <f aca="false">IFERROR(INDEX(分录报销!$M:$M,MATCH($L2123,分录报销!$L:$L,0)),"")</f>
        <v/>
      </c>
      <c r="C2123" s="67"/>
      <c r="D2123" s="23" t="str">
        <f aca="false">IFERROR(INDEX(分录报销!$E:$E,MATCH($L2123,分录报销!$L:$L,0)),"")</f>
        <v/>
      </c>
      <c r="E2123" s="23" t="str">
        <f aca="false">IFERROR(INDEX(分录报销!$F:$F,MATCH($L2123,分录报销!$L:$L,0)),"")</f>
        <v/>
      </c>
      <c r="F2123" s="68" t="str">
        <f aca="false">IFERROR(INDEX(分录报销!$H:$H,MATCH($L2123,分录报销!$L:$L,0)),"")</f>
        <v/>
      </c>
      <c r="G2123" s="69" t="str">
        <f aca="false">IFERROR(INDEX(分录报销!$I:$I,MATCH($L2123,分录报销!$L:$L,0)),"")</f>
        <v/>
      </c>
      <c r="H2123" s="23"/>
      <c r="I2123" s="70"/>
      <c r="L2123" s="71" t="n">
        <f aca="false">IF(助手报销!$R$143="",-1,助手报销!$R$143*100+(助手报销!$S$143-1)*6+3)</f>
        <v>-1</v>
      </c>
    </row>
    <row r="2124" customFormat="false" ht="23.25" hidden="false" customHeight="true" outlineLevel="0" collapsed="false">
      <c r="B2124" s="67" t="str">
        <f aca="false">IFERROR(INDEX(分录报销!$M:$M,MATCH($L2124,分录报销!$L:$L,0)),"")</f>
        <v/>
      </c>
      <c r="C2124" s="67"/>
      <c r="D2124" s="23" t="str">
        <f aca="false">IFERROR(INDEX(分录报销!$E:$E,MATCH($L2124,分录报销!$L:$L,0)),"")</f>
        <v/>
      </c>
      <c r="E2124" s="23" t="str">
        <f aca="false">IFERROR(INDEX(分录报销!$F:$F,MATCH($L2124,分录报销!$L:$L,0)),"")</f>
        <v/>
      </c>
      <c r="F2124" s="68" t="str">
        <f aca="false">IFERROR(INDEX(分录报销!$H:$H,MATCH($L2124,分录报销!$L:$L,0)),"")</f>
        <v/>
      </c>
      <c r="G2124" s="69" t="str">
        <f aca="false">IFERROR(INDEX(分录报销!$I:$I,MATCH($L2124,分录报销!$L:$L,0)),"")</f>
        <v/>
      </c>
      <c r="H2124" s="23"/>
      <c r="I2124" s="70"/>
      <c r="L2124" s="71" t="n">
        <f aca="false">IF(助手报销!$R$143="",-1,助手报销!$R$143*100+(助手报销!$S$143-1)*6+4)</f>
        <v>-1</v>
      </c>
    </row>
    <row r="2125" customFormat="false" ht="23.25" hidden="false" customHeight="true" outlineLevel="0" collapsed="false">
      <c r="B2125" s="67" t="str">
        <f aca="false">IFERROR(INDEX(分录报销!$M:$M,MATCH($L2125,分录报销!$L:$L,0)),"")</f>
        <v/>
      </c>
      <c r="C2125" s="67"/>
      <c r="D2125" s="23" t="str">
        <f aca="false">IFERROR(INDEX(分录报销!$E:$E,MATCH($L2125,分录报销!$L:$L,0)),"")</f>
        <v/>
      </c>
      <c r="E2125" s="23" t="str">
        <f aca="false">IFERROR(INDEX(分录报销!$F:$F,MATCH($L2125,分录报销!$L:$L,0)),"")</f>
        <v/>
      </c>
      <c r="F2125" s="68" t="str">
        <f aca="false">IFERROR(INDEX(分录报销!$H:$H,MATCH($L2125,分录报销!$L:$L,0)),"")</f>
        <v/>
      </c>
      <c r="G2125" s="69" t="str">
        <f aca="false">IFERROR(INDEX(分录报销!$I:$I,MATCH($L2125,分录报销!$L:$L,0)),"")</f>
        <v/>
      </c>
      <c r="H2125" s="23"/>
      <c r="I2125" s="70"/>
      <c r="L2125" s="71" t="n">
        <f aca="false">IF(助手报销!$R$143="",-1,助手报销!$R$143*100+(助手报销!$S$143-1)*6+5)</f>
        <v>-1</v>
      </c>
    </row>
    <row r="2126" customFormat="false" ht="23.25" hidden="false" customHeight="true" outlineLevel="0" collapsed="false">
      <c r="B2126" s="67" t="str">
        <f aca="false">IFERROR(INDEX(分录报销!$M:$M,MATCH($L2126,分录报销!$L:$L,0)),"")</f>
        <v/>
      </c>
      <c r="C2126" s="67"/>
      <c r="D2126" s="23" t="str">
        <f aca="false">IFERROR(INDEX(分录报销!$E:$E,MATCH($L2126,分录报销!$L:$L,0)),"")</f>
        <v/>
      </c>
      <c r="E2126" s="23" t="str">
        <f aca="false">IFERROR(INDEX(分录报销!$F:$F,MATCH($L2126,分录报销!$L:$L,0)),"")</f>
        <v/>
      </c>
      <c r="F2126" s="68" t="str">
        <f aca="false">IFERROR(INDEX(分录报销!$H:$H,MATCH($L2126,分录报销!$L:$L,0)),"")</f>
        <v/>
      </c>
      <c r="G2126" s="69" t="str">
        <f aca="false">IFERROR(INDEX(分录报销!$I:$I,MATCH($L2126,分录报销!$L:$L,0)),"")</f>
        <v/>
      </c>
      <c r="H2126" s="23"/>
      <c r="I2126" s="70"/>
      <c r="L2126" s="71" t="n">
        <f aca="false">IF(助手报销!$R$143="",-1,助手报销!$R$143*100+(助手报销!$S$143-1)*6+6)</f>
        <v>-1</v>
      </c>
    </row>
    <row r="2127" customFormat="false" ht="23.25" hidden="false" customHeight="true" outlineLevel="0" collapsed="false">
      <c r="B2127" s="72" t="str">
        <f aca="false">IF(助手报销!$T$143=1,"合计：","")</f>
        <v/>
      </c>
      <c r="C2127" s="73" t="str">
        <f aca="false">IF(助手报销!$T$143=1,$F2127,"")</f>
        <v/>
      </c>
      <c r="D2127" s="74"/>
      <c r="E2127" s="74"/>
      <c r="F2127" s="75" t="str">
        <f aca="false">IF(助手报销!$T$143=1,INDEX(助手报销!$N$2:$N$121,助手报销!$R$143),"")</f>
        <v/>
      </c>
      <c r="G2127" s="76" t="str">
        <f aca="false">IF(助手报销!$T$143=1,INDEX(助手报销!$O$2:$O$121,助手报销!$R$143),"")</f>
        <v/>
      </c>
      <c r="H2127" s="74"/>
      <c r="I2127" s="77"/>
    </row>
    <row r="2128" customFormat="false" ht="6" hidden="false" customHeight="true" outlineLevel="0" collapsed="false"/>
    <row r="2129" customFormat="false" ht="13.5" hidden="false" customHeight="false" outlineLevel="0" collapsed="false">
      <c r="B2129" s="78" t="str">
        <f aca="false">IF(助手报销!$R$143&lt;&gt;"","会计主管：","")</f>
        <v/>
      </c>
      <c r="D2129" s="78" t="str">
        <f aca="false">IF(助手报销!$R$143&lt;&gt;"","会计：","")</f>
        <v/>
      </c>
      <c r="E2129" s="78" t="str">
        <f aca="false">IF(助手报销!$R$143&lt;&gt;"","出纳：","")</f>
        <v/>
      </c>
      <c r="F2129" s="78" t="str">
        <f aca="false">IF(助手报销!$R$143&lt;&gt;"","复核：","")</f>
        <v/>
      </c>
      <c r="G2129" s="78" t="str">
        <f aca="false">IF(助手报销!$R$143&lt;&gt;"","制单：","")</f>
        <v/>
      </c>
    </row>
    <row r="2130" customFormat="false" ht="3" hidden="false" customHeight="true" outlineLevel="0" collapsed="false"/>
    <row r="2131" customFormat="false" ht="19.5" hidden="false" customHeight="true" outlineLevel="0" collapsed="false">
      <c r="B2131" s="53" t="str">
        <f aca="false">IF(助手报销!$R$144&lt;&gt;"","记  账  凭  证","")</f>
        <v/>
      </c>
      <c r="C2131" s="53"/>
      <c r="D2131" s="53"/>
      <c r="E2131" s="53"/>
      <c r="F2131" s="53"/>
      <c r="G2131" s="53"/>
      <c r="H2131" s="53"/>
      <c r="I2131" s="53"/>
    </row>
    <row r="2132" customFormat="false" ht="3" hidden="false" customHeight="true" outlineLevel="0" collapsed="false"/>
    <row r="2133" customFormat="false" ht="15" hidden="false" customHeight="true" outlineLevel="0" collapsed="false">
      <c r="C2133" s="56" t="str">
        <f aca="false">IF(助手报销!$R$144&lt;&gt;"",INDEX(助手报销!$B$2:$B$121,助手报销!$R$144),"")</f>
        <v/>
      </c>
      <c r="D2133" s="57" t="str">
        <f aca="false">IF(助手报销!$R$144&lt;&gt;"",INDEX(助手报销!$D$2:$D$121,助手报销!$R$144),"")</f>
        <v/>
      </c>
      <c r="E2133" s="57"/>
      <c r="F2133" s="58" t="str">
        <f aca="false">IF(助手报销!$R$144&lt;&gt;"",INDEX(助手报销!$C$2:$C$121,助手报销!$R$144)&amp;"  字第 "&amp;IF(参数!$B$9="是",INDEX(助手报销!$P$2:$P$121,助手报销!$R$144),"　　　　")&amp;" 号"&amp;IF(INDEX(助手报销!$L$2:$L$121,助手报销!$R$144)&gt;1,"  (共"&amp;INDEX(助手报销!$L$2:$L$121,助手报销!$R$144)&amp;"页 第"&amp;助手报销!$S$144&amp;"页)",""),"")</f>
        <v/>
      </c>
      <c r="G2133" s="58"/>
      <c r="H2133" s="58"/>
      <c r="I2133" s="58"/>
      <c r="M2133" s="79" t="str">
        <f aca="false">IF(助手报销!$R$144="","",助手报销!$Q$144)</f>
        <v/>
      </c>
      <c r="N2133" s="80" t="str">
        <f aca="false">IF(助手报销!$R$144="","",INDEX(助手报销!$P$2:$P$121,助手报销!$R$144))</f>
        <v/>
      </c>
      <c r="O2133" s="55" t="str">
        <f aca="false">IF(助手报销!$R$144="","",INDEX(助手报销!$C$2:$C$121,助手报销!$R$144)&amp;"  字第 "&amp;INDEX(助手报销!$P$2:$P$121,助手报销!$R$144)&amp;" 号"&amp;IF(INDEX(助手报销!$L$2:$L$121,助手报销!$R$144)&gt;1,"  (共"&amp;INDEX(助手报销!$L$2:$L$121,助手报销!$R$144)&amp;"页 第"&amp;助手报销!$S$144&amp;"页)",""))</f>
        <v/>
      </c>
    </row>
    <row r="2134" customFormat="false" ht="12.75" hidden="false" customHeight="true" outlineLevel="0" collapsed="false">
      <c r="B2134" s="61" t="str">
        <f aca="false">IF(助手报销!$R$144&lt;&gt;"","摘　　要","")</f>
        <v/>
      </c>
      <c r="C2134" s="61"/>
      <c r="D2134" s="62" t="str">
        <f aca="false">IF(助手报销!$R$144&lt;&gt;"","科　　　　目","")</f>
        <v/>
      </c>
      <c r="E2134" s="62"/>
      <c r="F2134" s="61" t="str">
        <f aca="false">IF(助手报销!$R$144&lt;&gt;"","借 方 金 额","")</f>
        <v/>
      </c>
      <c r="G2134" s="62" t="str">
        <f aca="false">IF(助手报销!$R$144&lt;&gt;"","贷 方 金 额","")</f>
        <v/>
      </c>
      <c r="H2134" s="63" t="str">
        <f aca="false">IF(助手报销!$R$144&lt;&gt;"","√","")</f>
        <v/>
      </c>
      <c r="I2134" s="64" t="str">
        <f aca="false">IF(助手报销!$R$144&lt;&gt;"","附单据  张","")</f>
        <v/>
      </c>
    </row>
    <row r="2135" customFormat="false" ht="12.75" hidden="false" customHeight="true" outlineLevel="0" collapsed="false">
      <c r="B2135" s="61"/>
      <c r="C2135" s="61"/>
      <c r="D2135" s="23" t="str">
        <f aca="false">IF(助手报销!$R$144&lt;&gt;"","总 账 科 目","")</f>
        <v/>
      </c>
      <c r="E2135" s="23" t="str">
        <f aca="false">IF(助手报销!$R$144&lt;&gt;"","明 细 科 目","")</f>
        <v/>
      </c>
      <c r="F2135" s="65"/>
      <c r="G2135" s="66"/>
      <c r="H2135" s="63"/>
      <c r="I2135" s="64"/>
    </row>
    <row r="2136" customFormat="false" ht="23.25" hidden="false" customHeight="true" outlineLevel="0" collapsed="false">
      <c r="B2136" s="67" t="str">
        <f aca="false">IFERROR(INDEX(分录报销!$M:$M,MATCH($L2136,分录报销!$L:$L,0)),"")</f>
        <v/>
      </c>
      <c r="C2136" s="67"/>
      <c r="D2136" s="23" t="str">
        <f aca="false">IFERROR(INDEX(分录报销!$E:$E,MATCH($L2136,分录报销!$L:$L,0)),"")</f>
        <v/>
      </c>
      <c r="E2136" s="23" t="str">
        <f aca="false">IFERROR(INDEX(分录报销!$F:$F,MATCH($L2136,分录报销!$L:$L,0)),"")</f>
        <v/>
      </c>
      <c r="F2136" s="68" t="str">
        <f aca="false">IFERROR(INDEX(分录报销!$H:$H,MATCH($L2136,分录报销!$L:$L,0)),"")</f>
        <v/>
      </c>
      <c r="G2136" s="69" t="str">
        <f aca="false">IFERROR(INDEX(分录报销!$I:$I,MATCH($L2136,分录报销!$L:$L,0)),"")</f>
        <v/>
      </c>
      <c r="H2136" s="23"/>
      <c r="I2136" s="70"/>
      <c r="L2136" s="71" t="n">
        <f aca="false">IF(助手报销!$R$144="",-1,助手报销!$R$144*100+(助手报销!$S$144-1)*6+1)</f>
        <v>-1</v>
      </c>
    </row>
    <row r="2137" customFormat="false" ht="23.25" hidden="false" customHeight="true" outlineLevel="0" collapsed="false">
      <c r="B2137" s="67" t="str">
        <f aca="false">IFERROR(INDEX(分录报销!$M:$M,MATCH($L2137,分录报销!$L:$L,0)),"")</f>
        <v/>
      </c>
      <c r="C2137" s="67"/>
      <c r="D2137" s="23" t="str">
        <f aca="false">IFERROR(INDEX(分录报销!$E:$E,MATCH($L2137,分录报销!$L:$L,0)),"")</f>
        <v/>
      </c>
      <c r="E2137" s="23" t="str">
        <f aca="false">IFERROR(INDEX(分录报销!$F:$F,MATCH($L2137,分录报销!$L:$L,0)),"")</f>
        <v/>
      </c>
      <c r="F2137" s="68" t="str">
        <f aca="false">IFERROR(INDEX(分录报销!$H:$H,MATCH($L2137,分录报销!$L:$L,0)),"")</f>
        <v/>
      </c>
      <c r="G2137" s="69" t="str">
        <f aca="false">IFERROR(INDEX(分录报销!$I:$I,MATCH($L2137,分录报销!$L:$L,0)),"")</f>
        <v/>
      </c>
      <c r="H2137" s="23"/>
      <c r="I2137" s="70"/>
      <c r="L2137" s="71" t="n">
        <f aca="false">IF(助手报销!$R$144="",-1,助手报销!$R$144*100+(助手报销!$S$144-1)*6+2)</f>
        <v>-1</v>
      </c>
    </row>
    <row r="2138" customFormat="false" ht="23.25" hidden="false" customHeight="true" outlineLevel="0" collapsed="false">
      <c r="B2138" s="67" t="str">
        <f aca="false">IFERROR(INDEX(分录报销!$M:$M,MATCH($L2138,分录报销!$L:$L,0)),"")</f>
        <v/>
      </c>
      <c r="C2138" s="67"/>
      <c r="D2138" s="23" t="str">
        <f aca="false">IFERROR(INDEX(分录报销!$E:$E,MATCH($L2138,分录报销!$L:$L,0)),"")</f>
        <v/>
      </c>
      <c r="E2138" s="23" t="str">
        <f aca="false">IFERROR(INDEX(分录报销!$F:$F,MATCH($L2138,分录报销!$L:$L,0)),"")</f>
        <v/>
      </c>
      <c r="F2138" s="68" t="str">
        <f aca="false">IFERROR(INDEX(分录报销!$H:$H,MATCH($L2138,分录报销!$L:$L,0)),"")</f>
        <v/>
      </c>
      <c r="G2138" s="69" t="str">
        <f aca="false">IFERROR(INDEX(分录报销!$I:$I,MATCH($L2138,分录报销!$L:$L,0)),"")</f>
        <v/>
      </c>
      <c r="H2138" s="23"/>
      <c r="I2138" s="70"/>
      <c r="L2138" s="71" t="n">
        <f aca="false">IF(助手报销!$R$144="",-1,助手报销!$R$144*100+(助手报销!$S$144-1)*6+3)</f>
        <v>-1</v>
      </c>
    </row>
    <row r="2139" customFormat="false" ht="23.25" hidden="false" customHeight="true" outlineLevel="0" collapsed="false">
      <c r="B2139" s="67" t="str">
        <f aca="false">IFERROR(INDEX(分录报销!$M:$M,MATCH($L2139,分录报销!$L:$L,0)),"")</f>
        <v/>
      </c>
      <c r="C2139" s="67"/>
      <c r="D2139" s="23" t="str">
        <f aca="false">IFERROR(INDEX(分录报销!$E:$E,MATCH($L2139,分录报销!$L:$L,0)),"")</f>
        <v/>
      </c>
      <c r="E2139" s="23" t="str">
        <f aca="false">IFERROR(INDEX(分录报销!$F:$F,MATCH($L2139,分录报销!$L:$L,0)),"")</f>
        <v/>
      </c>
      <c r="F2139" s="68" t="str">
        <f aca="false">IFERROR(INDEX(分录报销!$H:$H,MATCH($L2139,分录报销!$L:$L,0)),"")</f>
        <v/>
      </c>
      <c r="G2139" s="69" t="str">
        <f aca="false">IFERROR(INDEX(分录报销!$I:$I,MATCH($L2139,分录报销!$L:$L,0)),"")</f>
        <v/>
      </c>
      <c r="H2139" s="23"/>
      <c r="I2139" s="70"/>
      <c r="L2139" s="71" t="n">
        <f aca="false">IF(助手报销!$R$144="",-1,助手报销!$R$144*100+(助手报销!$S$144-1)*6+4)</f>
        <v>-1</v>
      </c>
    </row>
    <row r="2140" customFormat="false" ht="23.25" hidden="false" customHeight="true" outlineLevel="0" collapsed="false">
      <c r="B2140" s="67" t="str">
        <f aca="false">IFERROR(INDEX(分录报销!$M:$M,MATCH($L2140,分录报销!$L:$L,0)),"")</f>
        <v/>
      </c>
      <c r="C2140" s="67"/>
      <c r="D2140" s="23" t="str">
        <f aca="false">IFERROR(INDEX(分录报销!$E:$E,MATCH($L2140,分录报销!$L:$L,0)),"")</f>
        <v/>
      </c>
      <c r="E2140" s="23" t="str">
        <f aca="false">IFERROR(INDEX(分录报销!$F:$F,MATCH($L2140,分录报销!$L:$L,0)),"")</f>
        <v/>
      </c>
      <c r="F2140" s="68" t="str">
        <f aca="false">IFERROR(INDEX(分录报销!$H:$H,MATCH($L2140,分录报销!$L:$L,0)),"")</f>
        <v/>
      </c>
      <c r="G2140" s="69" t="str">
        <f aca="false">IFERROR(INDEX(分录报销!$I:$I,MATCH($L2140,分录报销!$L:$L,0)),"")</f>
        <v/>
      </c>
      <c r="H2140" s="23"/>
      <c r="I2140" s="70"/>
      <c r="L2140" s="71" t="n">
        <f aca="false">IF(助手报销!$R$144="",-1,助手报销!$R$144*100+(助手报销!$S$144-1)*6+5)</f>
        <v>-1</v>
      </c>
    </row>
    <row r="2141" customFormat="false" ht="23.25" hidden="false" customHeight="true" outlineLevel="0" collapsed="false">
      <c r="B2141" s="67" t="str">
        <f aca="false">IFERROR(INDEX(分录报销!$M:$M,MATCH($L2141,分录报销!$L:$L,0)),"")</f>
        <v/>
      </c>
      <c r="C2141" s="67"/>
      <c r="D2141" s="23" t="str">
        <f aca="false">IFERROR(INDEX(分录报销!$E:$E,MATCH($L2141,分录报销!$L:$L,0)),"")</f>
        <v/>
      </c>
      <c r="E2141" s="23" t="str">
        <f aca="false">IFERROR(INDEX(分录报销!$F:$F,MATCH($L2141,分录报销!$L:$L,0)),"")</f>
        <v/>
      </c>
      <c r="F2141" s="68" t="str">
        <f aca="false">IFERROR(INDEX(分录报销!$H:$H,MATCH($L2141,分录报销!$L:$L,0)),"")</f>
        <v/>
      </c>
      <c r="G2141" s="69" t="str">
        <f aca="false">IFERROR(INDEX(分录报销!$I:$I,MATCH($L2141,分录报销!$L:$L,0)),"")</f>
        <v/>
      </c>
      <c r="H2141" s="23"/>
      <c r="I2141" s="70"/>
      <c r="L2141" s="71" t="n">
        <f aca="false">IF(助手报销!$R$144="",-1,助手报销!$R$144*100+(助手报销!$S$144-1)*6+6)</f>
        <v>-1</v>
      </c>
    </row>
    <row r="2142" customFormat="false" ht="23.25" hidden="false" customHeight="true" outlineLevel="0" collapsed="false">
      <c r="B2142" s="72" t="str">
        <f aca="false">IF(助手报销!$T$144=1,"合计：","")</f>
        <v/>
      </c>
      <c r="C2142" s="73" t="str">
        <f aca="false">IF(助手报销!$T$144=1,$F2142,"")</f>
        <v/>
      </c>
      <c r="D2142" s="74"/>
      <c r="E2142" s="74"/>
      <c r="F2142" s="75" t="str">
        <f aca="false">IF(助手报销!$T$144=1,INDEX(助手报销!$N$2:$N$121,助手报销!$R$144),"")</f>
        <v/>
      </c>
      <c r="G2142" s="76" t="str">
        <f aca="false">IF(助手报销!$T$144=1,INDEX(助手报销!$O$2:$O$121,助手报销!$R$144),"")</f>
        <v/>
      </c>
      <c r="H2142" s="74"/>
      <c r="I2142" s="77"/>
    </row>
    <row r="2143" customFormat="false" ht="6" hidden="false" customHeight="true" outlineLevel="0" collapsed="false"/>
    <row r="2144" customFormat="false" ht="13.5" hidden="false" customHeight="false" outlineLevel="0" collapsed="false">
      <c r="B2144" s="78" t="str">
        <f aca="false">IF(助手报销!$R$144&lt;&gt;"","会计主管：","")</f>
        <v/>
      </c>
      <c r="D2144" s="78" t="str">
        <f aca="false">IF(助手报销!$R$144&lt;&gt;"","会计：","")</f>
        <v/>
      </c>
      <c r="E2144" s="78" t="str">
        <f aca="false">IF(助手报销!$R$144&lt;&gt;"","出纳：","")</f>
        <v/>
      </c>
      <c r="F2144" s="78" t="str">
        <f aca="false">IF(助手报销!$R$144&lt;&gt;"","复核：","")</f>
        <v/>
      </c>
      <c r="G2144" s="78" t="str">
        <f aca="false">IF(助手报销!$R$144&lt;&gt;"","制单：","")</f>
        <v/>
      </c>
    </row>
    <row r="2145" customFormat="false" ht="3" hidden="false" customHeight="true" outlineLevel="0" collapsed="false"/>
    <row r="2146" customFormat="false" ht="19.5" hidden="false" customHeight="true" outlineLevel="0" collapsed="false">
      <c r="B2146" s="53" t="str">
        <f aca="false">IF(助手报销!$R$145&lt;&gt;"","记  账  凭  证","")</f>
        <v/>
      </c>
      <c r="C2146" s="53"/>
      <c r="D2146" s="53"/>
      <c r="E2146" s="53"/>
      <c r="F2146" s="53"/>
      <c r="G2146" s="53"/>
      <c r="H2146" s="53"/>
      <c r="I2146" s="53"/>
    </row>
    <row r="2147" customFormat="false" ht="3" hidden="false" customHeight="true" outlineLevel="0" collapsed="false"/>
    <row r="2148" customFormat="false" ht="15" hidden="false" customHeight="true" outlineLevel="0" collapsed="false">
      <c r="C2148" s="56" t="str">
        <f aca="false">IF(助手报销!$R$145&lt;&gt;"",INDEX(助手报销!$B$2:$B$121,助手报销!$R$145),"")</f>
        <v/>
      </c>
      <c r="D2148" s="57" t="str">
        <f aca="false">IF(助手报销!$R$145&lt;&gt;"",INDEX(助手报销!$D$2:$D$121,助手报销!$R$145),"")</f>
        <v/>
      </c>
      <c r="E2148" s="57"/>
      <c r="F2148" s="58" t="str">
        <f aca="false">IF(助手报销!$R$145&lt;&gt;"",INDEX(助手报销!$C$2:$C$121,助手报销!$R$145)&amp;"  字第 "&amp;IF(参数!$B$9="是",INDEX(助手报销!$P$2:$P$121,助手报销!$R$145),"　　　　")&amp;" 号"&amp;IF(INDEX(助手报销!$L$2:$L$121,助手报销!$R$145)&gt;1,"  (共"&amp;INDEX(助手报销!$L$2:$L$121,助手报销!$R$145)&amp;"页 第"&amp;助手报销!$S$145&amp;"页)",""),"")</f>
        <v/>
      </c>
      <c r="G2148" s="58"/>
      <c r="H2148" s="58"/>
      <c r="I2148" s="58"/>
      <c r="M2148" s="79" t="str">
        <f aca="false">IF(助手报销!$R$145="","",助手报销!$Q$145)</f>
        <v/>
      </c>
      <c r="N2148" s="80" t="str">
        <f aca="false">IF(助手报销!$R$145="","",INDEX(助手报销!$P$2:$P$121,助手报销!$R$145))</f>
        <v/>
      </c>
      <c r="O2148" s="55" t="str">
        <f aca="false">IF(助手报销!$R$145="","",INDEX(助手报销!$C$2:$C$121,助手报销!$R$145)&amp;"  字第 "&amp;INDEX(助手报销!$P$2:$P$121,助手报销!$R$145)&amp;" 号"&amp;IF(INDEX(助手报销!$L$2:$L$121,助手报销!$R$145)&gt;1,"  (共"&amp;INDEX(助手报销!$L$2:$L$121,助手报销!$R$145)&amp;"页 第"&amp;助手报销!$S$145&amp;"页)",""))</f>
        <v/>
      </c>
    </row>
    <row r="2149" customFormat="false" ht="12.75" hidden="false" customHeight="true" outlineLevel="0" collapsed="false">
      <c r="B2149" s="61" t="str">
        <f aca="false">IF(助手报销!$R$145&lt;&gt;"","摘　　要","")</f>
        <v/>
      </c>
      <c r="C2149" s="61"/>
      <c r="D2149" s="62" t="str">
        <f aca="false">IF(助手报销!$R$145&lt;&gt;"","科　　　　目","")</f>
        <v/>
      </c>
      <c r="E2149" s="62"/>
      <c r="F2149" s="61" t="str">
        <f aca="false">IF(助手报销!$R$145&lt;&gt;"","借 方 金 额","")</f>
        <v/>
      </c>
      <c r="G2149" s="62" t="str">
        <f aca="false">IF(助手报销!$R$145&lt;&gt;"","贷 方 金 额","")</f>
        <v/>
      </c>
      <c r="H2149" s="63" t="str">
        <f aca="false">IF(助手报销!$R$145&lt;&gt;"","√","")</f>
        <v/>
      </c>
      <c r="I2149" s="64" t="str">
        <f aca="false">IF(助手报销!$R$145&lt;&gt;"","附单据  张","")</f>
        <v/>
      </c>
    </row>
    <row r="2150" customFormat="false" ht="12.75" hidden="false" customHeight="true" outlineLevel="0" collapsed="false">
      <c r="B2150" s="61"/>
      <c r="C2150" s="61"/>
      <c r="D2150" s="23" t="str">
        <f aca="false">IF(助手报销!$R$145&lt;&gt;"","总 账 科 目","")</f>
        <v/>
      </c>
      <c r="E2150" s="23" t="str">
        <f aca="false">IF(助手报销!$R$145&lt;&gt;"","明 细 科 目","")</f>
        <v/>
      </c>
      <c r="F2150" s="65"/>
      <c r="G2150" s="66"/>
      <c r="H2150" s="63"/>
      <c r="I2150" s="64"/>
    </row>
    <row r="2151" customFormat="false" ht="23.25" hidden="false" customHeight="true" outlineLevel="0" collapsed="false">
      <c r="B2151" s="67" t="str">
        <f aca="false">IFERROR(INDEX(分录报销!$M:$M,MATCH($L2151,分录报销!$L:$L,0)),"")</f>
        <v/>
      </c>
      <c r="C2151" s="67"/>
      <c r="D2151" s="23" t="str">
        <f aca="false">IFERROR(INDEX(分录报销!$E:$E,MATCH($L2151,分录报销!$L:$L,0)),"")</f>
        <v/>
      </c>
      <c r="E2151" s="23" t="str">
        <f aca="false">IFERROR(INDEX(分录报销!$F:$F,MATCH($L2151,分录报销!$L:$L,0)),"")</f>
        <v/>
      </c>
      <c r="F2151" s="68" t="str">
        <f aca="false">IFERROR(INDEX(分录报销!$H:$H,MATCH($L2151,分录报销!$L:$L,0)),"")</f>
        <v/>
      </c>
      <c r="G2151" s="69" t="str">
        <f aca="false">IFERROR(INDEX(分录报销!$I:$I,MATCH($L2151,分录报销!$L:$L,0)),"")</f>
        <v/>
      </c>
      <c r="H2151" s="23"/>
      <c r="I2151" s="70"/>
      <c r="L2151" s="71" t="n">
        <f aca="false">IF(助手报销!$R$145="",-1,助手报销!$R$145*100+(助手报销!$S$145-1)*6+1)</f>
        <v>-1</v>
      </c>
    </row>
    <row r="2152" customFormat="false" ht="23.25" hidden="false" customHeight="true" outlineLevel="0" collapsed="false">
      <c r="B2152" s="67" t="str">
        <f aca="false">IFERROR(INDEX(分录报销!$M:$M,MATCH($L2152,分录报销!$L:$L,0)),"")</f>
        <v/>
      </c>
      <c r="C2152" s="67"/>
      <c r="D2152" s="23" t="str">
        <f aca="false">IFERROR(INDEX(分录报销!$E:$E,MATCH($L2152,分录报销!$L:$L,0)),"")</f>
        <v/>
      </c>
      <c r="E2152" s="23" t="str">
        <f aca="false">IFERROR(INDEX(分录报销!$F:$F,MATCH($L2152,分录报销!$L:$L,0)),"")</f>
        <v/>
      </c>
      <c r="F2152" s="68" t="str">
        <f aca="false">IFERROR(INDEX(分录报销!$H:$H,MATCH($L2152,分录报销!$L:$L,0)),"")</f>
        <v/>
      </c>
      <c r="G2152" s="69" t="str">
        <f aca="false">IFERROR(INDEX(分录报销!$I:$I,MATCH($L2152,分录报销!$L:$L,0)),"")</f>
        <v/>
      </c>
      <c r="H2152" s="23"/>
      <c r="I2152" s="70"/>
      <c r="L2152" s="71" t="n">
        <f aca="false">IF(助手报销!$R$145="",-1,助手报销!$R$145*100+(助手报销!$S$145-1)*6+2)</f>
        <v>-1</v>
      </c>
    </row>
    <row r="2153" customFormat="false" ht="23.25" hidden="false" customHeight="true" outlineLevel="0" collapsed="false">
      <c r="B2153" s="67" t="str">
        <f aca="false">IFERROR(INDEX(分录报销!$M:$M,MATCH($L2153,分录报销!$L:$L,0)),"")</f>
        <v/>
      </c>
      <c r="C2153" s="67"/>
      <c r="D2153" s="23" t="str">
        <f aca="false">IFERROR(INDEX(分录报销!$E:$E,MATCH($L2153,分录报销!$L:$L,0)),"")</f>
        <v/>
      </c>
      <c r="E2153" s="23" t="str">
        <f aca="false">IFERROR(INDEX(分录报销!$F:$F,MATCH($L2153,分录报销!$L:$L,0)),"")</f>
        <v/>
      </c>
      <c r="F2153" s="68" t="str">
        <f aca="false">IFERROR(INDEX(分录报销!$H:$H,MATCH($L2153,分录报销!$L:$L,0)),"")</f>
        <v/>
      </c>
      <c r="G2153" s="69" t="str">
        <f aca="false">IFERROR(INDEX(分录报销!$I:$I,MATCH($L2153,分录报销!$L:$L,0)),"")</f>
        <v/>
      </c>
      <c r="H2153" s="23"/>
      <c r="I2153" s="70"/>
      <c r="L2153" s="71" t="n">
        <f aca="false">IF(助手报销!$R$145="",-1,助手报销!$R$145*100+(助手报销!$S$145-1)*6+3)</f>
        <v>-1</v>
      </c>
    </row>
    <row r="2154" customFormat="false" ht="23.25" hidden="false" customHeight="true" outlineLevel="0" collapsed="false">
      <c r="B2154" s="67" t="str">
        <f aca="false">IFERROR(INDEX(分录报销!$M:$M,MATCH($L2154,分录报销!$L:$L,0)),"")</f>
        <v/>
      </c>
      <c r="C2154" s="67"/>
      <c r="D2154" s="23" t="str">
        <f aca="false">IFERROR(INDEX(分录报销!$E:$E,MATCH($L2154,分录报销!$L:$L,0)),"")</f>
        <v/>
      </c>
      <c r="E2154" s="23" t="str">
        <f aca="false">IFERROR(INDEX(分录报销!$F:$F,MATCH($L2154,分录报销!$L:$L,0)),"")</f>
        <v/>
      </c>
      <c r="F2154" s="68" t="str">
        <f aca="false">IFERROR(INDEX(分录报销!$H:$H,MATCH($L2154,分录报销!$L:$L,0)),"")</f>
        <v/>
      </c>
      <c r="G2154" s="69" t="str">
        <f aca="false">IFERROR(INDEX(分录报销!$I:$I,MATCH($L2154,分录报销!$L:$L,0)),"")</f>
        <v/>
      </c>
      <c r="H2154" s="23"/>
      <c r="I2154" s="70"/>
      <c r="L2154" s="71" t="n">
        <f aca="false">IF(助手报销!$R$145="",-1,助手报销!$R$145*100+(助手报销!$S$145-1)*6+4)</f>
        <v>-1</v>
      </c>
    </row>
    <row r="2155" customFormat="false" ht="23.25" hidden="false" customHeight="true" outlineLevel="0" collapsed="false">
      <c r="B2155" s="67" t="str">
        <f aca="false">IFERROR(INDEX(分录报销!$M:$M,MATCH($L2155,分录报销!$L:$L,0)),"")</f>
        <v/>
      </c>
      <c r="C2155" s="67"/>
      <c r="D2155" s="23" t="str">
        <f aca="false">IFERROR(INDEX(分录报销!$E:$E,MATCH($L2155,分录报销!$L:$L,0)),"")</f>
        <v/>
      </c>
      <c r="E2155" s="23" t="str">
        <f aca="false">IFERROR(INDEX(分录报销!$F:$F,MATCH($L2155,分录报销!$L:$L,0)),"")</f>
        <v/>
      </c>
      <c r="F2155" s="68" t="str">
        <f aca="false">IFERROR(INDEX(分录报销!$H:$H,MATCH($L2155,分录报销!$L:$L,0)),"")</f>
        <v/>
      </c>
      <c r="G2155" s="69" t="str">
        <f aca="false">IFERROR(INDEX(分录报销!$I:$I,MATCH($L2155,分录报销!$L:$L,0)),"")</f>
        <v/>
      </c>
      <c r="H2155" s="23"/>
      <c r="I2155" s="70"/>
      <c r="L2155" s="71" t="n">
        <f aca="false">IF(助手报销!$R$145="",-1,助手报销!$R$145*100+(助手报销!$S$145-1)*6+5)</f>
        <v>-1</v>
      </c>
    </row>
    <row r="2156" customFormat="false" ht="23.25" hidden="false" customHeight="true" outlineLevel="0" collapsed="false">
      <c r="B2156" s="67" t="str">
        <f aca="false">IFERROR(INDEX(分录报销!$M:$M,MATCH($L2156,分录报销!$L:$L,0)),"")</f>
        <v/>
      </c>
      <c r="C2156" s="67"/>
      <c r="D2156" s="23" t="str">
        <f aca="false">IFERROR(INDEX(分录报销!$E:$E,MATCH($L2156,分录报销!$L:$L,0)),"")</f>
        <v/>
      </c>
      <c r="E2156" s="23" t="str">
        <f aca="false">IFERROR(INDEX(分录报销!$F:$F,MATCH($L2156,分录报销!$L:$L,0)),"")</f>
        <v/>
      </c>
      <c r="F2156" s="68" t="str">
        <f aca="false">IFERROR(INDEX(分录报销!$H:$H,MATCH($L2156,分录报销!$L:$L,0)),"")</f>
        <v/>
      </c>
      <c r="G2156" s="69" t="str">
        <f aca="false">IFERROR(INDEX(分录报销!$I:$I,MATCH($L2156,分录报销!$L:$L,0)),"")</f>
        <v/>
      </c>
      <c r="H2156" s="23"/>
      <c r="I2156" s="70"/>
      <c r="L2156" s="71" t="n">
        <f aca="false">IF(助手报销!$R$145="",-1,助手报销!$R$145*100+(助手报销!$S$145-1)*6+6)</f>
        <v>-1</v>
      </c>
    </row>
    <row r="2157" customFormat="false" ht="23.25" hidden="false" customHeight="true" outlineLevel="0" collapsed="false">
      <c r="B2157" s="72" t="str">
        <f aca="false">IF(助手报销!$T$145=1,"合计：","")</f>
        <v/>
      </c>
      <c r="C2157" s="73" t="str">
        <f aca="false">IF(助手报销!$T$145=1,$F2157,"")</f>
        <v/>
      </c>
      <c r="D2157" s="74"/>
      <c r="E2157" s="74"/>
      <c r="F2157" s="75" t="str">
        <f aca="false">IF(助手报销!$T$145=1,INDEX(助手报销!$N$2:$N$121,助手报销!$R$145),"")</f>
        <v/>
      </c>
      <c r="G2157" s="76" t="str">
        <f aca="false">IF(助手报销!$T$145=1,INDEX(助手报销!$O$2:$O$121,助手报销!$R$145),"")</f>
        <v/>
      </c>
      <c r="H2157" s="74"/>
      <c r="I2157" s="77"/>
    </row>
    <row r="2158" customFormat="false" ht="6" hidden="false" customHeight="true" outlineLevel="0" collapsed="false"/>
    <row r="2159" customFormat="false" ht="13.5" hidden="false" customHeight="false" outlineLevel="0" collapsed="false">
      <c r="B2159" s="78" t="str">
        <f aca="false">IF(助手报销!$R$145&lt;&gt;"","会计主管：","")</f>
        <v/>
      </c>
      <c r="D2159" s="78" t="str">
        <f aca="false">IF(助手报销!$R$145&lt;&gt;"","会计：","")</f>
        <v/>
      </c>
      <c r="E2159" s="78" t="str">
        <f aca="false">IF(助手报销!$R$145&lt;&gt;"","出纳：","")</f>
        <v/>
      </c>
      <c r="F2159" s="78" t="str">
        <f aca="false">IF(助手报销!$R$145&lt;&gt;"","复核：","")</f>
        <v/>
      </c>
      <c r="G2159" s="78" t="str">
        <f aca="false">IF(助手报销!$R$145&lt;&gt;"","制单：","")</f>
        <v/>
      </c>
    </row>
    <row r="2160" customFormat="false" ht="3" hidden="false" customHeight="true" outlineLevel="0" collapsed="false"/>
    <row r="2161" customFormat="false" ht="19.5" hidden="false" customHeight="true" outlineLevel="0" collapsed="false">
      <c r="B2161" s="53" t="str">
        <f aca="false">IF(助手报销!$R$146&lt;&gt;"","记  账  凭  证","")</f>
        <v/>
      </c>
      <c r="C2161" s="53"/>
      <c r="D2161" s="53"/>
      <c r="E2161" s="53"/>
      <c r="F2161" s="53"/>
      <c r="G2161" s="53"/>
      <c r="H2161" s="53"/>
      <c r="I2161" s="53"/>
    </row>
    <row r="2162" customFormat="false" ht="3" hidden="false" customHeight="true" outlineLevel="0" collapsed="false"/>
    <row r="2163" customFormat="false" ht="15" hidden="false" customHeight="true" outlineLevel="0" collapsed="false">
      <c r="C2163" s="56" t="str">
        <f aca="false">IF(助手报销!$R$146&lt;&gt;"",INDEX(助手报销!$B$2:$B$121,助手报销!$R$146),"")</f>
        <v/>
      </c>
      <c r="D2163" s="57" t="str">
        <f aca="false">IF(助手报销!$R$146&lt;&gt;"",INDEX(助手报销!$D$2:$D$121,助手报销!$R$146),"")</f>
        <v/>
      </c>
      <c r="E2163" s="57"/>
      <c r="F2163" s="58" t="str">
        <f aca="false">IF(助手报销!$R$146&lt;&gt;"",INDEX(助手报销!$C$2:$C$121,助手报销!$R$146)&amp;"  字第 "&amp;IF(参数!$B$9="是",INDEX(助手报销!$P$2:$P$121,助手报销!$R$146),"　　　　")&amp;" 号"&amp;IF(INDEX(助手报销!$L$2:$L$121,助手报销!$R$146)&gt;1,"  (共"&amp;INDEX(助手报销!$L$2:$L$121,助手报销!$R$146)&amp;"页 第"&amp;助手报销!$S$146&amp;"页)",""),"")</f>
        <v/>
      </c>
      <c r="G2163" s="58"/>
      <c r="H2163" s="58"/>
      <c r="I2163" s="58"/>
      <c r="M2163" s="79" t="str">
        <f aca="false">IF(助手报销!$R$146="","",助手报销!$Q$146)</f>
        <v/>
      </c>
      <c r="N2163" s="80" t="str">
        <f aca="false">IF(助手报销!$R$146="","",INDEX(助手报销!$P$2:$P$121,助手报销!$R$146))</f>
        <v/>
      </c>
      <c r="O2163" s="55" t="str">
        <f aca="false">IF(助手报销!$R$146="","",INDEX(助手报销!$C$2:$C$121,助手报销!$R$146)&amp;"  字第 "&amp;INDEX(助手报销!$P$2:$P$121,助手报销!$R$146)&amp;" 号"&amp;IF(INDEX(助手报销!$L$2:$L$121,助手报销!$R$146)&gt;1,"  (共"&amp;INDEX(助手报销!$L$2:$L$121,助手报销!$R$146)&amp;"页 第"&amp;助手报销!$S$146&amp;"页)",""))</f>
        <v/>
      </c>
    </row>
    <row r="2164" customFormat="false" ht="12.75" hidden="false" customHeight="true" outlineLevel="0" collapsed="false">
      <c r="B2164" s="61" t="str">
        <f aca="false">IF(助手报销!$R$146&lt;&gt;"","摘　　要","")</f>
        <v/>
      </c>
      <c r="C2164" s="61"/>
      <c r="D2164" s="62" t="str">
        <f aca="false">IF(助手报销!$R$146&lt;&gt;"","科　　　　目","")</f>
        <v/>
      </c>
      <c r="E2164" s="62"/>
      <c r="F2164" s="61" t="str">
        <f aca="false">IF(助手报销!$R$146&lt;&gt;"","借 方 金 额","")</f>
        <v/>
      </c>
      <c r="G2164" s="62" t="str">
        <f aca="false">IF(助手报销!$R$146&lt;&gt;"","贷 方 金 额","")</f>
        <v/>
      </c>
      <c r="H2164" s="63" t="str">
        <f aca="false">IF(助手报销!$R$146&lt;&gt;"","√","")</f>
        <v/>
      </c>
      <c r="I2164" s="64" t="str">
        <f aca="false">IF(助手报销!$R$146&lt;&gt;"","附单据  张","")</f>
        <v/>
      </c>
    </row>
    <row r="2165" customFormat="false" ht="12.75" hidden="false" customHeight="true" outlineLevel="0" collapsed="false">
      <c r="B2165" s="61"/>
      <c r="C2165" s="61"/>
      <c r="D2165" s="23" t="str">
        <f aca="false">IF(助手报销!$R$146&lt;&gt;"","总 账 科 目","")</f>
        <v/>
      </c>
      <c r="E2165" s="23" t="str">
        <f aca="false">IF(助手报销!$R$146&lt;&gt;"","明 细 科 目","")</f>
        <v/>
      </c>
      <c r="F2165" s="65"/>
      <c r="G2165" s="66"/>
      <c r="H2165" s="63"/>
      <c r="I2165" s="64"/>
    </row>
    <row r="2166" customFormat="false" ht="23.25" hidden="false" customHeight="true" outlineLevel="0" collapsed="false">
      <c r="B2166" s="67" t="str">
        <f aca="false">IFERROR(INDEX(分录报销!$M:$M,MATCH($L2166,分录报销!$L:$L,0)),"")</f>
        <v/>
      </c>
      <c r="C2166" s="67"/>
      <c r="D2166" s="23" t="str">
        <f aca="false">IFERROR(INDEX(分录报销!$E:$E,MATCH($L2166,分录报销!$L:$L,0)),"")</f>
        <v/>
      </c>
      <c r="E2166" s="23" t="str">
        <f aca="false">IFERROR(INDEX(分录报销!$F:$F,MATCH($L2166,分录报销!$L:$L,0)),"")</f>
        <v/>
      </c>
      <c r="F2166" s="68" t="str">
        <f aca="false">IFERROR(INDEX(分录报销!$H:$H,MATCH($L2166,分录报销!$L:$L,0)),"")</f>
        <v/>
      </c>
      <c r="G2166" s="69" t="str">
        <f aca="false">IFERROR(INDEX(分录报销!$I:$I,MATCH($L2166,分录报销!$L:$L,0)),"")</f>
        <v/>
      </c>
      <c r="H2166" s="23"/>
      <c r="I2166" s="70"/>
      <c r="L2166" s="71" t="n">
        <f aca="false">IF(助手报销!$R$146="",-1,助手报销!$R$146*100+(助手报销!$S$146-1)*6+1)</f>
        <v>-1</v>
      </c>
    </row>
    <row r="2167" customFormat="false" ht="23.25" hidden="false" customHeight="true" outlineLevel="0" collapsed="false">
      <c r="B2167" s="67" t="str">
        <f aca="false">IFERROR(INDEX(分录报销!$M:$M,MATCH($L2167,分录报销!$L:$L,0)),"")</f>
        <v/>
      </c>
      <c r="C2167" s="67"/>
      <c r="D2167" s="23" t="str">
        <f aca="false">IFERROR(INDEX(分录报销!$E:$E,MATCH($L2167,分录报销!$L:$L,0)),"")</f>
        <v/>
      </c>
      <c r="E2167" s="23" t="str">
        <f aca="false">IFERROR(INDEX(分录报销!$F:$F,MATCH($L2167,分录报销!$L:$L,0)),"")</f>
        <v/>
      </c>
      <c r="F2167" s="68" t="str">
        <f aca="false">IFERROR(INDEX(分录报销!$H:$H,MATCH($L2167,分录报销!$L:$L,0)),"")</f>
        <v/>
      </c>
      <c r="G2167" s="69" t="str">
        <f aca="false">IFERROR(INDEX(分录报销!$I:$I,MATCH($L2167,分录报销!$L:$L,0)),"")</f>
        <v/>
      </c>
      <c r="H2167" s="23"/>
      <c r="I2167" s="70"/>
      <c r="L2167" s="71" t="n">
        <f aca="false">IF(助手报销!$R$146="",-1,助手报销!$R$146*100+(助手报销!$S$146-1)*6+2)</f>
        <v>-1</v>
      </c>
    </row>
    <row r="2168" customFormat="false" ht="23.25" hidden="false" customHeight="true" outlineLevel="0" collapsed="false">
      <c r="B2168" s="67" t="str">
        <f aca="false">IFERROR(INDEX(分录报销!$M:$M,MATCH($L2168,分录报销!$L:$L,0)),"")</f>
        <v/>
      </c>
      <c r="C2168" s="67"/>
      <c r="D2168" s="23" t="str">
        <f aca="false">IFERROR(INDEX(分录报销!$E:$E,MATCH($L2168,分录报销!$L:$L,0)),"")</f>
        <v/>
      </c>
      <c r="E2168" s="23" t="str">
        <f aca="false">IFERROR(INDEX(分录报销!$F:$F,MATCH($L2168,分录报销!$L:$L,0)),"")</f>
        <v/>
      </c>
      <c r="F2168" s="68" t="str">
        <f aca="false">IFERROR(INDEX(分录报销!$H:$H,MATCH($L2168,分录报销!$L:$L,0)),"")</f>
        <v/>
      </c>
      <c r="G2168" s="69" t="str">
        <f aca="false">IFERROR(INDEX(分录报销!$I:$I,MATCH($L2168,分录报销!$L:$L,0)),"")</f>
        <v/>
      </c>
      <c r="H2168" s="23"/>
      <c r="I2168" s="70"/>
      <c r="L2168" s="71" t="n">
        <f aca="false">IF(助手报销!$R$146="",-1,助手报销!$R$146*100+(助手报销!$S$146-1)*6+3)</f>
        <v>-1</v>
      </c>
    </row>
    <row r="2169" customFormat="false" ht="23.25" hidden="false" customHeight="true" outlineLevel="0" collapsed="false">
      <c r="B2169" s="67" t="str">
        <f aca="false">IFERROR(INDEX(分录报销!$M:$M,MATCH($L2169,分录报销!$L:$L,0)),"")</f>
        <v/>
      </c>
      <c r="C2169" s="67"/>
      <c r="D2169" s="23" t="str">
        <f aca="false">IFERROR(INDEX(分录报销!$E:$E,MATCH($L2169,分录报销!$L:$L,0)),"")</f>
        <v/>
      </c>
      <c r="E2169" s="23" t="str">
        <f aca="false">IFERROR(INDEX(分录报销!$F:$F,MATCH($L2169,分录报销!$L:$L,0)),"")</f>
        <v/>
      </c>
      <c r="F2169" s="68" t="str">
        <f aca="false">IFERROR(INDEX(分录报销!$H:$H,MATCH($L2169,分录报销!$L:$L,0)),"")</f>
        <v/>
      </c>
      <c r="G2169" s="69" t="str">
        <f aca="false">IFERROR(INDEX(分录报销!$I:$I,MATCH($L2169,分录报销!$L:$L,0)),"")</f>
        <v/>
      </c>
      <c r="H2169" s="23"/>
      <c r="I2169" s="70"/>
      <c r="L2169" s="71" t="n">
        <f aca="false">IF(助手报销!$R$146="",-1,助手报销!$R$146*100+(助手报销!$S$146-1)*6+4)</f>
        <v>-1</v>
      </c>
    </row>
    <row r="2170" customFormat="false" ht="23.25" hidden="false" customHeight="true" outlineLevel="0" collapsed="false">
      <c r="B2170" s="67" t="str">
        <f aca="false">IFERROR(INDEX(分录报销!$M:$M,MATCH($L2170,分录报销!$L:$L,0)),"")</f>
        <v/>
      </c>
      <c r="C2170" s="67"/>
      <c r="D2170" s="23" t="str">
        <f aca="false">IFERROR(INDEX(分录报销!$E:$E,MATCH($L2170,分录报销!$L:$L,0)),"")</f>
        <v/>
      </c>
      <c r="E2170" s="23" t="str">
        <f aca="false">IFERROR(INDEX(分录报销!$F:$F,MATCH($L2170,分录报销!$L:$L,0)),"")</f>
        <v/>
      </c>
      <c r="F2170" s="68" t="str">
        <f aca="false">IFERROR(INDEX(分录报销!$H:$H,MATCH($L2170,分录报销!$L:$L,0)),"")</f>
        <v/>
      </c>
      <c r="G2170" s="69" t="str">
        <f aca="false">IFERROR(INDEX(分录报销!$I:$I,MATCH($L2170,分录报销!$L:$L,0)),"")</f>
        <v/>
      </c>
      <c r="H2170" s="23"/>
      <c r="I2170" s="70"/>
      <c r="L2170" s="71" t="n">
        <f aca="false">IF(助手报销!$R$146="",-1,助手报销!$R$146*100+(助手报销!$S$146-1)*6+5)</f>
        <v>-1</v>
      </c>
    </row>
    <row r="2171" customFormat="false" ht="23.25" hidden="false" customHeight="true" outlineLevel="0" collapsed="false">
      <c r="B2171" s="67" t="str">
        <f aca="false">IFERROR(INDEX(分录报销!$M:$M,MATCH($L2171,分录报销!$L:$L,0)),"")</f>
        <v/>
      </c>
      <c r="C2171" s="67"/>
      <c r="D2171" s="23" t="str">
        <f aca="false">IFERROR(INDEX(分录报销!$E:$E,MATCH($L2171,分录报销!$L:$L,0)),"")</f>
        <v/>
      </c>
      <c r="E2171" s="23" t="str">
        <f aca="false">IFERROR(INDEX(分录报销!$F:$F,MATCH($L2171,分录报销!$L:$L,0)),"")</f>
        <v/>
      </c>
      <c r="F2171" s="68" t="str">
        <f aca="false">IFERROR(INDEX(分录报销!$H:$H,MATCH($L2171,分录报销!$L:$L,0)),"")</f>
        <v/>
      </c>
      <c r="G2171" s="69" t="str">
        <f aca="false">IFERROR(INDEX(分录报销!$I:$I,MATCH($L2171,分录报销!$L:$L,0)),"")</f>
        <v/>
      </c>
      <c r="H2171" s="23"/>
      <c r="I2171" s="70"/>
      <c r="L2171" s="71" t="n">
        <f aca="false">IF(助手报销!$R$146="",-1,助手报销!$R$146*100+(助手报销!$S$146-1)*6+6)</f>
        <v>-1</v>
      </c>
    </row>
    <row r="2172" customFormat="false" ht="23.25" hidden="false" customHeight="true" outlineLevel="0" collapsed="false">
      <c r="B2172" s="72" t="str">
        <f aca="false">IF(助手报销!$T$146=1,"合计：","")</f>
        <v/>
      </c>
      <c r="C2172" s="73" t="str">
        <f aca="false">IF(助手报销!$T$146=1,$F2172,"")</f>
        <v/>
      </c>
      <c r="D2172" s="74"/>
      <c r="E2172" s="74"/>
      <c r="F2172" s="75" t="str">
        <f aca="false">IF(助手报销!$T$146=1,INDEX(助手报销!$N$2:$N$121,助手报销!$R$146),"")</f>
        <v/>
      </c>
      <c r="G2172" s="76" t="str">
        <f aca="false">IF(助手报销!$T$146=1,INDEX(助手报销!$O$2:$O$121,助手报销!$R$146),"")</f>
        <v/>
      </c>
      <c r="H2172" s="74"/>
      <c r="I2172" s="77"/>
    </row>
    <row r="2173" customFormat="false" ht="6" hidden="false" customHeight="true" outlineLevel="0" collapsed="false"/>
    <row r="2174" customFormat="false" ht="13.5" hidden="false" customHeight="false" outlineLevel="0" collapsed="false">
      <c r="B2174" s="78" t="str">
        <f aca="false">IF(助手报销!$R$146&lt;&gt;"","会计主管：","")</f>
        <v/>
      </c>
      <c r="D2174" s="78" t="str">
        <f aca="false">IF(助手报销!$R$146&lt;&gt;"","会计：","")</f>
        <v/>
      </c>
      <c r="E2174" s="78" t="str">
        <f aca="false">IF(助手报销!$R$146&lt;&gt;"","出纳：","")</f>
        <v/>
      </c>
      <c r="F2174" s="78" t="str">
        <f aca="false">IF(助手报销!$R$146&lt;&gt;"","复核：","")</f>
        <v/>
      </c>
      <c r="G2174" s="78" t="str">
        <f aca="false">IF(助手报销!$R$146&lt;&gt;"","制单：","")</f>
        <v/>
      </c>
    </row>
    <row r="2175" customFormat="false" ht="3" hidden="false" customHeight="true" outlineLevel="0" collapsed="false"/>
    <row r="2176" customFormat="false" ht="19.5" hidden="false" customHeight="true" outlineLevel="0" collapsed="false">
      <c r="B2176" s="53" t="str">
        <f aca="false">IF(助手报销!$R$147&lt;&gt;"","记  账  凭  证","")</f>
        <v/>
      </c>
      <c r="C2176" s="53"/>
      <c r="D2176" s="53"/>
      <c r="E2176" s="53"/>
      <c r="F2176" s="53"/>
      <c r="G2176" s="53"/>
      <c r="H2176" s="53"/>
      <c r="I2176" s="53"/>
    </row>
    <row r="2177" customFormat="false" ht="3" hidden="false" customHeight="true" outlineLevel="0" collapsed="false"/>
    <row r="2178" customFormat="false" ht="15" hidden="false" customHeight="true" outlineLevel="0" collapsed="false">
      <c r="C2178" s="56" t="str">
        <f aca="false">IF(助手报销!$R$147&lt;&gt;"",INDEX(助手报销!$B$2:$B$121,助手报销!$R$147),"")</f>
        <v/>
      </c>
      <c r="D2178" s="57" t="str">
        <f aca="false">IF(助手报销!$R$147&lt;&gt;"",INDEX(助手报销!$D$2:$D$121,助手报销!$R$147),"")</f>
        <v/>
      </c>
      <c r="E2178" s="57"/>
      <c r="F2178" s="58" t="str">
        <f aca="false">IF(助手报销!$R$147&lt;&gt;"",INDEX(助手报销!$C$2:$C$121,助手报销!$R$147)&amp;"  字第 "&amp;IF(参数!$B$9="是",INDEX(助手报销!$P$2:$P$121,助手报销!$R$147),"　　　　")&amp;" 号"&amp;IF(INDEX(助手报销!$L$2:$L$121,助手报销!$R$147)&gt;1,"  (共"&amp;INDEX(助手报销!$L$2:$L$121,助手报销!$R$147)&amp;"页 第"&amp;助手报销!$S$147&amp;"页)",""),"")</f>
        <v/>
      </c>
      <c r="G2178" s="58"/>
      <c r="H2178" s="58"/>
      <c r="I2178" s="58"/>
      <c r="M2178" s="79" t="str">
        <f aca="false">IF(助手报销!$R$147="","",助手报销!$Q$147)</f>
        <v/>
      </c>
      <c r="N2178" s="80" t="str">
        <f aca="false">IF(助手报销!$R$147="","",INDEX(助手报销!$P$2:$P$121,助手报销!$R$147))</f>
        <v/>
      </c>
      <c r="O2178" s="55" t="str">
        <f aca="false">IF(助手报销!$R$147="","",INDEX(助手报销!$C$2:$C$121,助手报销!$R$147)&amp;"  字第 "&amp;INDEX(助手报销!$P$2:$P$121,助手报销!$R$147)&amp;" 号"&amp;IF(INDEX(助手报销!$L$2:$L$121,助手报销!$R$147)&gt;1,"  (共"&amp;INDEX(助手报销!$L$2:$L$121,助手报销!$R$147)&amp;"页 第"&amp;助手报销!$S$147&amp;"页)",""))</f>
        <v/>
      </c>
    </row>
    <row r="2179" customFormat="false" ht="12.75" hidden="false" customHeight="true" outlineLevel="0" collapsed="false">
      <c r="B2179" s="61" t="str">
        <f aca="false">IF(助手报销!$R$147&lt;&gt;"","摘　　要","")</f>
        <v/>
      </c>
      <c r="C2179" s="61"/>
      <c r="D2179" s="62" t="str">
        <f aca="false">IF(助手报销!$R$147&lt;&gt;"","科　　　　目","")</f>
        <v/>
      </c>
      <c r="E2179" s="62"/>
      <c r="F2179" s="61" t="str">
        <f aca="false">IF(助手报销!$R$147&lt;&gt;"","借 方 金 额","")</f>
        <v/>
      </c>
      <c r="G2179" s="62" t="str">
        <f aca="false">IF(助手报销!$R$147&lt;&gt;"","贷 方 金 额","")</f>
        <v/>
      </c>
      <c r="H2179" s="63" t="str">
        <f aca="false">IF(助手报销!$R$147&lt;&gt;"","√","")</f>
        <v/>
      </c>
      <c r="I2179" s="64" t="str">
        <f aca="false">IF(助手报销!$R$147&lt;&gt;"","附单据  张","")</f>
        <v/>
      </c>
    </row>
    <row r="2180" customFormat="false" ht="12.75" hidden="false" customHeight="true" outlineLevel="0" collapsed="false">
      <c r="B2180" s="61"/>
      <c r="C2180" s="61"/>
      <c r="D2180" s="23" t="str">
        <f aca="false">IF(助手报销!$R$147&lt;&gt;"","总 账 科 目","")</f>
        <v/>
      </c>
      <c r="E2180" s="23" t="str">
        <f aca="false">IF(助手报销!$R$147&lt;&gt;"","明 细 科 目","")</f>
        <v/>
      </c>
      <c r="F2180" s="65"/>
      <c r="G2180" s="66"/>
      <c r="H2180" s="63"/>
      <c r="I2180" s="64"/>
    </row>
    <row r="2181" customFormat="false" ht="23.25" hidden="false" customHeight="true" outlineLevel="0" collapsed="false">
      <c r="B2181" s="67" t="str">
        <f aca="false">IFERROR(INDEX(分录报销!$M:$M,MATCH($L2181,分录报销!$L:$L,0)),"")</f>
        <v/>
      </c>
      <c r="C2181" s="67"/>
      <c r="D2181" s="23" t="str">
        <f aca="false">IFERROR(INDEX(分录报销!$E:$E,MATCH($L2181,分录报销!$L:$L,0)),"")</f>
        <v/>
      </c>
      <c r="E2181" s="23" t="str">
        <f aca="false">IFERROR(INDEX(分录报销!$F:$F,MATCH($L2181,分录报销!$L:$L,0)),"")</f>
        <v/>
      </c>
      <c r="F2181" s="68" t="str">
        <f aca="false">IFERROR(INDEX(分录报销!$H:$H,MATCH($L2181,分录报销!$L:$L,0)),"")</f>
        <v/>
      </c>
      <c r="G2181" s="69" t="str">
        <f aca="false">IFERROR(INDEX(分录报销!$I:$I,MATCH($L2181,分录报销!$L:$L,0)),"")</f>
        <v/>
      </c>
      <c r="H2181" s="23"/>
      <c r="I2181" s="70"/>
      <c r="L2181" s="71" t="n">
        <f aca="false">IF(助手报销!$R$147="",-1,助手报销!$R$147*100+(助手报销!$S$147-1)*6+1)</f>
        <v>-1</v>
      </c>
    </row>
    <row r="2182" customFormat="false" ht="23.25" hidden="false" customHeight="true" outlineLevel="0" collapsed="false">
      <c r="B2182" s="67" t="str">
        <f aca="false">IFERROR(INDEX(分录报销!$M:$M,MATCH($L2182,分录报销!$L:$L,0)),"")</f>
        <v/>
      </c>
      <c r="C2182" s="67"/>
      <c r="D2182" s="23" t="str">
        <f aca="false">IFERROR(INDEX(分录报销!$E:$E,MATCH($L2182,分录报销!$L:$L,0)),"")</f>
        <v/>
      </c>
      <c r="E2182" s="23" t="str">
        <f aca="false">IFERROR(INDEX(分录报销!$F:$F,MATCH($L2182,分录报销!$L:$L,0)),"")</f>
        <v/>
      </c>
      <c r="F2182" s="68" t="str">
        <f aca="false">IFERROR(INDEX(分录报销!$H:$H,MATCH($L2182,分录报销!$L:$L,0)),"")</f>
        <v/>
      </c>
      <c r="G2182" s="69" t="str">
        <f aca="false">IFERROR(INDEX(分录报销!$I:$I,MATCH($L2182,分录报销!$L:$L,0)),"")</f>
        <v/>
      </c>
      <c r="H2182" s="23"/>
      <c r="I2182" s="70"/>
      <c r="L2182" s="71" t="n">
        <f aca="false">IF(助手报销!$R$147="",-1,助手报销!$R$147*100+(助手报销!$S$147-1)*6+2)</f>
        <v>-1</v>
      </c>
    </row>
    <row r="2183" customFormat="false" ht="23.25" hidden="false" customHeight="true" outlineLevel="0" collapsed="false">
      <c r="B2183" s="67" t="str">
        <f aca="false">IFERROR(INDEX(分录报销!$M:$M,MATCH($L2183,分录报销!$L:$L,0)),"")</f>
        <v/>
      </c>
      <c r="C2183" s="67"/>
      <c r="D2183" s="23" t="str">
        <f aca="false">IFERROR(INDEX(分录报销!$E:$E,MATCH($L2183,分录报销!$L:$L,0)),"")</f>
        <v/>
      </c>
      <c r="E2183" s="23" t="str">
        <f aca="false">IFERROR(INDEX(分录报销!$F:$F,MATCH($L2183,分录报销!$L:$L,0)),"")</f>
        <v/>
      </c>
      <c r="F2183" s="68" t="str">
        <f aca="false">IFERROR(INDEX(分录报销!$H:$H,MATCH($L2183,分录报销!$L:$L,0)),"")</f>
        <v/>
      </c>
      <c r="G2183" s="69" t="str">
        <f aca="false">IFERROR(INDEX(分录报销!$I:$I,MATCH($L2183,分录报销!$L:$L,0)),"")</f>
        <v/>
      </c>
      <c r="H2183" s="23"/>
      <c r="I2183" s="70"/>
      <c r="L2183" s="71" t="n">
        <f aca="false">IF(助手报销!$R$147="",-1,助手报销!$R$147*100+(助手报销!$S$147-1)*6+3)</f>
        <v>-1</v>
      </c>
    </row>
    <row r="2184" customFormat="false" ht="23.25" hidden="false" customHeight="true" outlineLevel="0" collapsed="false">
      <c r="B2184" s="67" t="str">
        <f aca="false">IFERROR(INDEX(分录报销!$M:$M,MATCH($L2184,分录报销!$L:$L,0)),"")</f>
        <v/>
      </c>
      <c r="C2184" s="67"/>
      <c r="D2184" s="23" t="str">
        <f aca="false">IFERROR(INDEX(分录报销!$E:$E,MATCH($L2184,分录报销!$L:$L,0)),"")</f>
        <v/>
      </c>
      <c r="E2184" s="23" t="str">
        <f aca="false">IFERROR(INDEX(分录报销!$F:$F,MATCH($L2184,分录报销!$L:$L,0)),"")</f>
        <v/>
      </c>
      <c r="F2184" s="68" t="str">
        <f aca="false">IFERROR(INDEX(分录报销!$H:$H,MATCH($L2184,分录报销!$L:$L,0)),"")</f>
        <v/>
      </c>
      <c r="G2184" s="69" t="str">
        <f aca="false">IFERROR(INDEX(分录报销!$I:$I,MATCH($L2184,分录报销!$L:$L,0)),"")</f>
        <v/>
      </c>
      <c r="H2184" s="23"/>
      <c r="I2184" s="70"/>
      <c r="L2184" s="71" t="n">
        <f aca="false">IF(助手报销!$R$147="",-1,助手报销!$R$147*100+(助手报销!$S$147-1)*6+4)</f>
        <v>-1</v>
      </c>
    </row>
    <row r="2185" customFormat="false" ht="23.25" hidden="false" customHeight="true" outlineLevel="0" collapsed="false">
      <c r="B2185" s="67" t="str">
        <f aca="false">IFERROR(INDEX(分录报销!$M:$M,MATCH($L2185,分录报销!$L:$L,0)),"")</f>
        <v/>
      </c>
      <c r="C2185" s="67"/>
      <c r="D2185" s="23" t="str">
        <f aca="false">IFERROR(INDEX(分录报销!$E:$E,MATCH($L2185,分录报销!$L:$L,0)),"")</f>
        <v/>
      </c>
      <c r="E2185" s="23" t="str">
        <f aca="false">IFERROR(INDEX(分录报销!$F:$F,MATCH($L2185,分录报销!$L:$L,0)),"")</f>
        <v/>
      </c>
      <c r="F2185" s="68" t="str">
        <f aca="false">IFERROR(INDEX(分录报销!$H:$H,MATCH($L2185,分录报销!$L:$L,0)),"")</f>
        <v/>
      </c>
      <c r="G2185" s="69" t="str">
        <f aca="false">IFERROR(INDEX(分录报销!$I:$I,MATCH($L2185,分录报销!$L:$L,0)),"")</f>
        <v/>
      </c>
      <c r="H2185" s="23"/>
      <c r="I2185" s="70"/>
      <c r="L2185" s="71" t="n">
        <f aca="false">IF(助手报销!$R$147="",-1,助手报销!$R$147*100+(助手报销!$S$147-1)*6+5)</f>
        <v>-1</v>
      </c>
    </row>
    <row r="2186" customFormat="false" ht="23.25" hidden="false" customHeight="true" outlineLevel="0" collapsed="false">
      <c r="B2186" s="67" t="str">
        <f aca="false">IFERROR(INDEX(分录报销!$M:$M,MATCH($L2186,分录报销!$L:$L,0)),"")</f>
        <v/>
      </c>
      <c r="C2186" s="67"/>
      <c r="D2186" s="23" t="str">
        <f aca="false">IFERROR(INDEX(分录报销!$E:$E,MATCH($L2186,分录报销!$L:$L,0)),"")</f>
        <v/>
      </c>
      <c r="E2186" s="23" t="str">
        <f aca="false">IFERROR(INDEX(分录报销!$F:$F,MATCH($L2186,分录报销!$L:$L,0)),"")</f>
        <v/>
      </c>
      <c r="F2186" s="68" t="str">
        <f aca="false">IFERROR(INDEX(分录报销!$H:$H,MATCH($L2186,分录报销!$L:$L,0)),"")</f>
        <v/>
      </c>
      <c r="G2186" s="69" t="str">
        <f aca="false">IFERROR(INDEX(分录报销!$I:$I,MATCH($L2186,分录报销!$L:$L,0)),"")</f>
        <v/>
      </c>
      <c r="H2186" s="23"/>
      <c r="I2186" s="70"/>
      <c r="L2186" s="71" t="n">
        <f aca="false">IF(助手报销!$R$147="",-1,助手报销!$R$147*100+(助手报销!$S$147-1)*6+6)</f>
        <v>-1</v>
      </c>
    </row>
    <row r="2187" customFormat="false" ht="23.25" hidden="false" customHeight="true" outlineLevel="0" collapsed="false">
      <c r="B2187" s="72" t="str">
        <f aca="false">IF(助手报销!$T$147=1,"合计：","")</f>
        <v/>
      </c>
      <c r="C2187" s="73" t="str">
        <f aca="false">IF(助手报销!$T$147=1,$F2187,"")</f>
        <v/>
      </c>
      <c r="D2187" s="74"/>
      <c r="E2187" s="74"/>
      <c r="F2187" s="75" t="str">
        <f aca="false">IF(助手报销!$T$147=1,INDEX(助手报销!$N$2:$N$121,助手报销!$R$147),"")</f>
        <v/>
      </c>
      <c r="G2187" s="76" t="str">
        <f aca="false">IF(助手报销!$T$147=1,INDEX(助手报销!$O$2:$O$121,助手报销!$R$147),"")</f>
        <v/>
      </c>
      <c r="H2187" s="74"/>
      <c r="I2187" s="77"/>
    </row>
    <row r="2188" customFormat="false" ht="6" hidden="false" customHeight="true" outlineLevel="0" collapsed="false"/>
    <row r="2189" customFormat="false" ht="13.5" hidden="false" customHeight="false" outlineLevel="0" collapsed="false">
      <c r="B2189" s="78" t="str">
        <f aca="false">IF(助手报销!$R$147&lt;&gt;"","会计主管：","")</f>
        <v/>
      </c>
      <c r="D2189" s="78" t="str">
        <f aca="false">IF(助手报销!$R$147&lt;&gt;"","会计：","")</f>
        <v/>
      </c>
      <c r="E2189" s="78" t="str">
        <f aca="false">IF(助手报销!$R$147&lt;&gt;"","出纳：","")</f>
        <v/>
      </c>
      <c r="F2189" s="78" t="str">
        <f aca="false">IF(助手报销!$R$147&lt;&gt;"","复核：","")</f>
        <v/>
      </c>
      <c r="G2189" s="78" t="str">
        <f aca="false">IF(助手报销!$R$147&lt;&gt;"","制单：","")</f>
        <v/>
      </c>
    </row>
    <row r="2190" customFormat="false" ht="3" hidden="false" customHeight="true" outlineLevel="0" collapsed="false"/>
    <row r="2191" customFormat="false" ht="19.5" hidden="false" customHeight="true" outlineLevel="0" collapsed="false">
      <c r="B2191" s="53" t="str">
        <f aca="false">IF(助手报销!$R$148&lt;&gt;"","记  账  凭  证","")</f>
        <v/>
      </c>
      <c r="C2191" s="53"/>
      <c r="D2191" s="53"/>
      <c r="E2191" s="53"/>
      <c r="F2191" s="53"/>
      <c r="G2191" s="53"/>
      <c r="H2191" s="53"/>
      <c r="I2191" s="53"/>
    </row>
    <row r="2192" customFormat="false" ht="3" hidden="false" customHeight="true" outlineLevel="0" collapsed="false"/>
    <row r="2193" customFormat="false" ht="15" hidden="false" customHeight="true" outlineLevel="0" collapsed="false">
      <c r="C2193" s="56" t="str">
        <f aca="false">IF(助手报销!$R$148&lt;&gt;"",INDEX(助手报销!$B$2:$B$121,助手报销!$R$148),"")</f>
        <v/>
      </c>
      <c r="D2193" s="57" t="str">
        <f aca="false">IF(助手报销!$R$148&lt;&gt;"",INDEX(助手报销!$D$2:$D$121,助手报销!$R$148),"")</f>
        <v/>
      </c>
      <c r="E2193" s="57"/>
      <c r="F2193" s="58" t="str">
        <f aca="false">IF(助手报销!$R$148&lt;&gt;"",INDEX(助手报销!$C$2:$C$121,助手报销!$R$148)&amp;"  字第 "&amp;IF(参数!$B$9="是",INDEX(助手报销!$P$2:$P$121,助手报销!$R$148),"　　　　")&amp;" 号"&amp;IF(INDEX(助手报销!$L$2:$L$121,助手报销!$R$148)&gt;1,"  (共"&amp;INDEX(助手报销!$L$2:$L$121,助手报销!$R$148)&amp;"页 第"&amp;助手报销!$S$148&amp;"页)",""),"")</f>
        <v/>
      </c>
      <c r="G2193" s="58"/>
      <c r="H2193" s="58"/>
      <c r="I2193" s="58"/>
      <c r="M2193" s="79" t="str">
        <f aca="false">IF(助手报销!$R$148="","",助手报销!$Q$148)</f>
        <v/>
      </c>
      <c r="N2193" s="80" t="str">
        <f aca="false">IF(助手报销!$R$148="","",INDEX(助手报销!$P$2:$P$121,助手报销!$R$148))</f>
        <v/>
      </c>
      <c r="O2193" s="55" t="str">
        <f aca="false">IF(助手报销!$R$148="","",INDEX(助手报销!$C$2:$C$121,助手报销!$R$148)&amp;"  字第 "&amp;INDEX(助手报销!$P$2:$P$121,助手报销!$R$148)&amp;" 号"&amp;IF(INDEX(助手报销!$L$2:$L$121,助手报销!$R$148)&gt;1,"  (共"&amp;INDEX(助手报销!$L$2:$L$121,助手报销!$R$148)&amp;"页 第"&amp;助手报销!$S$148&amp;"页)",""))</f>
        <v/>
      </c>
    </row>
    <row r="2194" customFormat="false" ht="12.75" hidden="false" customHeight="true" outlineLevel="0" collapsed="false">
      <c r="B2194" s="61" t="str">
        <f aca="false">IF(助手报销!$R$148&lt;&gt;"","摘　　要","")</f>
        <v/>
      </c>
      <c r="C2194" s="61"/>
      <c r="D2194" s="62" t="str">
        <f aca="false">IF(助手报销!$R$148&lt;&gt;"","科　　　　目","")</f>
        <v/>
      </c>
      <c r="E2194" s="62"/>
      <c r="F2194" s="61" t="str">
        <f aca="false">IF(助手报销!$R$148&lt;&gt;"","借 方 金 额","")</f>
        <v/>
      </c>
      <c r="G2194" s="62" t="str">
        <f aca="false">IF(助手报销!$R$148&lt;&gt;"","贷 方 金 额","")</f>
        <v/>
      </c>
      <c r="H2194" s="63" t="str">
        <f aca="false">IF(助手报销!$R$148&lt;&gt;"","√","")</f>
        <v/>
      </c>
      <c r="I2194" s="64" t="str">
        <f aca="false">IF(助手报销!$R$148&lt;&gt;"","附单据  张","")</f>
        <v/>
      </c>
    </row>
    <row r="2195" customFormat="false" ht="12.75" hidden="false" customHeight="true" outlineLevel="0" collapsed="false">
      <c r="B2195" s="61"/>
      <c r="C2195" s="61"/>
      <c r="D2195" s="23" t="str">
        <f aca="false">IF(助手报销!$R$148&lt;&gt;"","总 账 科 目","")</f>
        <v/>
      </c>
      <c r="E2195" s="23" t="str">
        <f aca="false">IF(助手报销!$R$148&lt;&gt;"","明 细 科 目","")</f>
        <v/>
      </c>
      <c r="F2195" s="65"/>
      <c r="G2195" s="66"/>
      <c r="H2195" s="63"/>
      <c r="I2195" s="64"/>
    </row>
    <row r="2196" customFormat="false" ht="23.25" hidden="false" customHeight="true" outlineLevel="0" collapsed="false">
      <c r="B2196" s="67" t="str">
        <f aca="false">IFERROR(INDEX(分录报销!$M:$M,MATCH($L2196,分录报销!$L:$L,0)),"")</f>
        <v/>
      </c>
      <c r="C2196" s="67"/>
      <c r="D2196" s="23" t="str">
        <f aca="false">IFERROR(INDEX(分录报销!$E:$E,MATCH($L2196,分录报销!$L:$L,0)),"")</f>
        <v/>
      </c>
      <c r="E2196" s="23" t="str">
        <f aca="false">IFERROR(INDEX(分录报销!$F:$F,MATCH($L2196,分录报销!$L:$L,0)),"")</f>
        <v/>
      </c>
      <c r="F2196" s="68" t="str">
        <f aca="false">IFERROR(INDEX(分录报销!$H:$H,MATCH($L2196,分录报销!$L:$L,0)),"")</f>
        <v/>
      </c>
      <c r="G2196" s="69" t="str">
        <f aca="false">IFERROR(INDEX(分录报销!$I:$I,MATCH($L2196,分录报销!$L:$L,0)),"")</f>
        <v/>
      </c>
      <c r="H2196" s="23"/>
      <c r="I2196" s="70"/>
      <c r="L2196" s="71" t="n">
        <f aca="false">IF(助手报销!$R$148="",-1,助手报销!$R$148*100+(助手报销!$S$148-1)*6+1)</f>
        <v>-1</v>
      </c>
    </row>
    <row r="2197" customFormat="false" ht="23.25" hidden="false" customHeight="true" outlineLevel="0" collapsed="false">
      <c r="B2197" s="67" t="str">
        <f aca="false">IFERROR(INDEX(分录报销!$M:$M,MATCH($L2197,分录报销!$L:$L,0)),"")</f>
        <v/>
      </c>
      <c r="C2197" s="67"/>
      <c r="D2197" s="23" t="str">
        <f aca="false">IFERROR(INDEX(分录报销!$E:$E,MATCH($L2197,分录报销!$L:$L,0)),"")</f>
        <v/>
      </c>
      <c r="E2197" s="23" t="str">
        <f aca="false">IFERROR(INDEX(分录报销!$F:$F,MATCH($L2197,分录报销!$L:$L,0)),"")</f>
        <v/>
      </c>
      <c r="F2197" s="68" t="str">
        <f aca="false">IFERROR(INDEX(分录报销!$H:$H,MATCH($L2197,分录报销!$L:$L,0)),"")</f>
        <v/>
      </c>
      <c r="G2197" s="69" t="str">
        <f aca="false">IFERROR(INDEX(分录报销!$I:$I,MATCH($L2197,分录报销!$L:$L,0)),"")</f>
        <v/>
      </c>
      <c r="H2197" s="23"/>
      <c r="I2197" s="70"/>
      <c r="L2197" s="71" t="n">
        <f aca="false">IF(助手报销!$R$148="",-1,助手报销!$R$148*100+(助手报销!$S$148-1)*6+2)</f>
        <v>-1</v>
      </c>
    </row>
    <row r="2198" customFormat="false" ht="23.25" hidden="false" customHeight="true" outlineLevel="0" collapsed="false">
      <c r="B2198" s="67" t="str">
        <f aca="false">IFERROR(INDEX(分录报销!$M:$M,MATCH($L2198,分录报销!$L:$L,0)),"")</f>
        <v/>
      </c>
      <c r="C2198" s="67"/>
      <c r="D2198" s="23" t="str">
        <f aca="false">IFERROR(INDEX(分录报销!$E:$E,MATCH($L2198,分录报销!$L:$L,0)),"")</f>
        <v/>
      </c>
      <c r="E2198" s="23" t="str">
        <f aca="false">IFERROR(INDEX(分录报销!$F:$F,MATCH($L2198,分录报销!$L:$L,0)),"")</f>
        <v/>
      </c>
      <c r="F2198" s="68" t="str">
        <f aca="false">IFERROR(INDEX(分录报销!$H:$H,MATCH($L2198,分录报销!$L:$L,0)),"")</f>
        <v/>
      </c>
      <c r="G2198" s="69" t="str">
        <f aca="false">IFERROR(INDEX(分录报销!$I:$I,MATCH($L2198,分录报销!$L:$L,0)),"")</f>
        <v/>
      </c>
      <c r="H2198" s="23"/>
      <c r="I2198" s="70"/>
      <c r="L2198" s="71" t="n">
        <f aca="false">IF(助手报销!$R$148="",-1,助手报销!$R$148*100+(助手报销!$S$148-1)*6+3)</f>
        <v>-1</v>
      </c>
    </row>
    <row r="2199" customFormat="false" ht="23.25" hidden="false" customHeight="true" outlineLevel="0" collapsed="false">
      <c r="B2199" s="67" t="str">
        <f aca="false">IFERROR(INDEX(分录报销!$M:$M,MATCH($L2199,分录报销!$L:$L,0)),"")</f>
        <v/>
      </c>
      <c r="C2199" s="67"/>
      <c r="D2199" s="23" t="str">
        <f aca="false">IFERROR(INDEX(分录报销!$E:$E,MATCH($L2199,分录报销!$L:$L,0)),"")</f>
        <v/>
      </c>
      <c r="E2199" s="23" t="str">
        <f aca="false">IFERROR(INDEX(分录报销!$F:$F,MATCH($L2199,分录报销!$L:$L,0)),"")</f>
        <v/>
      </c>
      <c r="F2199" s="68" t="str">
        <f aca="false">IFERROR(INDEX(分录报销!$H:$H,MATCH($L2199,分录报销!$L:$L,0)),"")</f>
        <v/>
      </c>
      <c r="G2199" s="69" t="str">
        <f aca="false">IFERROR(INDEX(分录报销!$I:$I,MATCH($L2199,分录报销!$L:$L,0)),"")</f>
        <v/>
      </c>
      <c r="H2199" s="23"/>
      <c r="I2199" s="70"/>
      <c r="L2199" s="71" t="n">
        <f aca="false">IF(助手报销!$R$148="",-1,助手报销!$R$148*100+(助手报销!$S$148-1)*6+4)</f>
        <v>-1</v>
      </c>
    </row>
    <row r="2200" customFormat="false" ht="23.25" hidden="false" customHeight="true" outlineLevel="0" collapsed="false">
      <c r="B2200" s="67" t="str">
        <f aca="false">IFERROR(INDEX(分录报销!$M:$M,MATCH($L2200,分录报销!$L:$L,0)),"")</f>
        <v/>
      </c>
      <c r="C2200" s="67"/>
      <c r="D2200" s="23" t="str">
        <f aca="false">IFERROR(INDEX(分录报销!$E:$E,MATCH($L2200,分录报销!$L:$L,0)),"")</f>
        <v/>
      </c>
      <c r="E2200" s="23" t="str">
        <f aca="false">IFERROR(INDEX(分录报销!$F:$F,MATCH($L2200,分录报销!$L:$L,0)),"")</f>
        <v/>
      </c>
      <c r="F2200" s="68" t="str">
        <f aca="false">IFERROR(INDEX(分录报销!$H:$H,MATCH($L2200,分录报销!$L:$L,0)),"")</f>
        <v/>
      </c>
      <c r="G2200" s="69" t="str">
        <f aca="false">IFERROR(INDEX(分录报销!$I:$I,MATCH($L2200,分录报销!$L:$L,0)),"")</f>
        <v/>
      </c>
      <c r="H2200" s="23"/>
      <c r="I2200" s="70"/>
      <c r="L2200" s="71" t="n">
        <f aca="false">IF(助手报销!$R$148="",-1,助手报销!$R$148*100+(助手报销!$S$148-1)*6+5)</f>
        <v>-1</v>
      </c>
    </row>
    <row r="2201" customFormat="false" ht="23.25" hidden="false" customHeight="true" outlineLevel="0" collapsed="false">
      <c r="B2201" s="67" t="str">
        <f aca="false">IFERROR(INDEX(分录报销!$M:$M,MATCH($L2201,分录报销!$L:$L,0)),"")</f>
        <v/>
      </c>
      <c r="C2201" s="67"/>
      <c r="D2201" s="23" t="str">
        <f aca="false">IFERROR(INDEX(分录报销!$E:$E,MATCH($L2201,分录报销!$L:$L,0)),"")</f>
        <v/>
      </c>
      <c r="E2201" s="23" t="str">
        <f aca="false">IFERROR(INDEX(分录报销!$F:$F,MATCH($L2201,分录报销!$L:$L,0)),"")</f>
        <v/>
      </c>
      <c r="F2201" s="68" t="str">
        <f aca="false">IFERROR(INDEX(分录报销!$H:$H,MATCH($L2201,分录报销!$L:$L,0)),"")</f>
        <v/>
      </c>
      <c r="G2201" s="69" t="str">
        <f aca="false">IFERROR(INDEX(分录报销!$I:$I,MATCH($L2201,分录报销!$L:$L,0)),"")</f>
        <v/>
      </c>
      <c r="H2201" s="23"/>
      <c r="I2201" s="70"/>
      <c r="L2201" s="71" t="n">
        <f aca="false">IF(助手报销!$R$148="",-1,助手报销!$R$148*100+(助手报销!$S$148-1)*6+6)</f>
        <v>-1</v>
      </c>
    </row>
    <row r="2202" customFormat="false" ht="23.25" hidden="false" customHeight="true" outlineLevel="0" collapsed="false">
      <c r="B2202" s="72" t="str">
        <f aca="false">IF(助手报销!$T$148=1,"合计：","")</f>
        <v/>
      </c>
      <c r="C2202" s="73" t="str">
        <f aca="false">IF(助手报销!$T$148=1,$F2202,"")</f>
        <v/>
      </c>
      <c r="D2202" s="74"/>
      <c r="E2202" s="74"/>
      <c r="F2202" s="75" t="str">
        <f aca="false">IF(助手报销!$T$148=1,INDEX(助手报销!$N$2:$N$121,助手报销!$R$148),"")</f>
        <v/>
      </c>
      <c r="G2202" s="76" t="str">
        <f aca="false">IF(助手报销!$T$148=1,INDEX(助手报销!$O$2:$O$121,助手报销!$R$148),"")</f>
        <v/>
      </c>
      <c r="H2202" s="74"/>
      <c r="I2202" s="77"/>
    </row>
    <row r="2203" customFormat="false" ht="6" hidden="false" customHeight="true" outlineLevel="0" collapsed="false"/>
    <row r="2204" customFormat="false" ht="13.5" hidden="false" customHeight="false" outlineLevel="0" collapsed="false">
      <c r="B2204" s="78" t="str">
        <f aca="false">IF(助手报销!$R$148&lt;&gt;"","会计主管：","")</f>
        <v/>
      </c>
      <c r="D2204" s="78" t="str">
        <f aca="false">IF(助手报销!$R$148&lt;&gt;"","会计：","")</f>
        <v/>
      </c>
      <c r="E2204" s="78" t="str">
        <f aca="false">IF(助手报销!$R$148&lt;&gt;"","出纳：","")</f>
        <v/>
      </c>
      <c r="F2204" s="78" t="str">
        <f aca="false">IF(助手报销!$R$148&lt;&gt;"","复核：","")</f>
        <v/>
      </c>
      <c r="G2204" s="78" t="str">
        <f aca="false">IF(助手报销!$R$148&lt;&gt;"","制单：","")</f>
        <v/>
      </c>
    </row>
    <row r="2205" customFormat="false" ht="3" hidden="false" customHeight="true" outlineLevel="0" collapsed="false"/>
    <row r="2206" customFormat="false" ht="19.5" hidden="false" customHeight="true" outlineLevel="0" collapsed="false">
      <c r="B2206" s="53" t="str">
        <f aca="false">IF(助手报销!$R$149&lt;&gt;"","记  账  凭  证","")</f>
        <v/>
      </c>
      <c r="C2206" s="53"/>
      <c r="D2206" s="53"/>
      <c r="E2206" s="53"/>
      <c r="F2206" s="53"/>
      <c r="G2206" s="53"/>
      <c r="H2206" s="53"/>
      <c r="I2206" s="53"/>
    </row>
    <row r="2207" customFormat="false" ht="3" hidden="false" customHeight="true" outlineLevel="0" collapsed="false"/>
    <row r="2208" customFormat="false" ht="15" hidden="false" customHeight="true" outlineLevel="0" collapsed="false">
      <c r="C2208" s="56" t="str">
        <f aca="false">IF(助手报销!$R$149&lt;&gt;"",INDEX(助手报销!$B$2:$B$121,助手报销!$R$149),"")</f>
        <v/>
      </c>
      <c r="D2208" s="57" t="str">
        <f aca="false">IF(助手报销!$R$149&lt;&gt;"",INDEX(助手报销!$D$2:$D$121,助手报销!$R$149),"")</f>
        <v/>
      </c>
      <c r="E2208" s="57"/>
      <c r="F2208" s="58" t="str">
        <f aca="false">IF(助手报销!$R$149&lt;&gt;"",INDEX(助手报销!$C$2:$C$121,助手报销!$R$149)&amp;"  字第 "&amp;IF(参数!$B$9="是",INDEX(助手报销!$P$2:$P$121,助手报销!$R$149),"　　　　")&amp;" 号"&amp;IF(INDEX(助手报销!$L$2:$L$121,助手报销!$R$149)&gt;1,"  (共"&amp;INDEX(助手报销!$L$2:$L$121,助手报销!$R$149)&amp;"页 第"&amp;助手报销!$S$149&amp;"页)",""),"")</f>
        <v/>
      </c>
      <c r="G2208" s="58"/>
      <c r="H2208" s="58"/>
      <c r="I2208" s="58"/>
      <c r="M2208" s="79" t="str">
        <f aca="false">IF(助手报销!$R$149="","",助手报销!$Q$149)</f>
        <v/>
      </c>
      <c r="N2208" s="80" t="str">
        <f aca="false">IF(助手报销!$R$149="","",INDEX(助手报销!$P$2:$P$121,助手报销!$R$149))</f>
        <v/>
      </c>
      <c r="O2208" s="55" t="str">
        <f aca="false">IF(助手报销!$R$149="","",INDEX(助手报销!$C$2:$C$121,助手报销!$R$149)&amp;"  字第 "&amp;INDEX(助手报销!$P$2:$P$121,助手报销!$R$149)&amp;" 号"&amp;IF(INDEX(助手报销!$L$2:$L$121,助手报销!$R$149)&gt;1,"  (共"&amp;INDEX(助手报销!$L$2:$L$121,助手报销!$R$149)&amp;"页 第"&amp;助手报销!$S$149&amp;"页)",""))</f>
        <v/>
      </c>
    </row>
    <row r="2209" customFormat="false" ht="12.75" hidden="false" customHeight="true" outlineLevel="0" collapsed="false">
      <c r="B2209" s="61" t="str">
        <f aca="false">IF(助手报销!$R$149&lt;&gt;"","摘　　要","")</f>
        <v/>
      </c>
      <c r="C2209" s="61"/>
      <c r="D2209" s="62" t="str">
        <f aca="false">IF(助手报销!$R$149&lt;&gt;"","科　　　　目","")</f>
        <v/>
      </c>
      <c r="E2209" s="62"/>
      <c r="F2209" s="61" t="str">
        <f aca="false">IF(助手报销!$R$149&lt;&gt;"","借 方 金 额","")</f>
        <v/>
      </c>
      <c r="G2209" s="62" t="str">
        <f aca="false">IF(助手报销!$R$149&lt;&gt;"","贷 方 金 额","")</f>
        <v/>
      </c>
      <c r="H2209" s="63" t="str">
        <f aca="false">IF(助手报销!$R$149&lt;&gt;"","√","")</f>
        <v/>
      </c>
      <c r="I2209" s="64" t="str">
        <f aca="false">IF(助手报销!$R$149&lt;&gt;"","附单据  张","")</f>
        <v/>
      </c>
    </row>
    <row r="2210" customFormat="false" ht="12.75" hidden="false" customHeight="true" outlineLevel="0" collapsed="false">
      <c r="B2210" s="61"/>
      <c r="C2210" s="61"/>
      <c r="D2210" s="23" t="str">
        <f aca="false">IF(助手报销!$R$149&lt;&gt;"","总 账 科 目","")</f>
        <v/>
      </c>
      <c r="E2210" s="23" t="str">
        <f aca="false">IF(助手报销!$R$149&lt;&gt;"","明 细 科 目","")</f>
        <v/>
      </c>
      <c r="F2210" s="65"/>
      <c r="G2210" s="66"/>
      <c r="H2210" s="63"/>
      <c r="I2210" s="64"/>
    </row>
    <row r="2211" customFormat="false" ht="23.25" hidden="false" customHeight="true" outlineLevel="0" collapsed="false">
      <c r="B2211" s="67" t="str">
        <f aca="false">IFERROR(INDEX(分录报销!$M:$M,MATCH($L2211,分录报销!$L:$L,0)),"")</f>
        <v/>
      </c>
      <c r="C2211" s="67"/>
      <c r="D2211" s="23" t="str">
        <f aca="false">IFERROR(INDEX(分录报销!$E:$E,MATCH($L2211,分录报销!$L:$L,0)),"")</f>
        <v/>
      </c>
      <c r="E2211" s="23" t="str">
        <f aca="false">IFERROR(INDEX(分录报销!$F:$F,MATCH($L2211,分录报销!$L:$L,0)),"")</f>
        <v/>
      </c>
      <c r="F2211" s="68" t="str">
        <f aca="false">IFERROR(INDEX(分录报销!$H:$H,MATCH($L2211,分录报销!$L:$L,0)),"")</f>
        <v/>
      </c>
      <c r="G2211" s="69" t="str">
        <f aca="false">IFERROR(INDEX(分录报销!$I:$I,MATCH($L2211,分录报销!$L:$L,0)),"")</f>
        <v/>
      </c>
      <c r="H2211" s="23"/>
      <c r="I2211" s="70"/>
      <c r="L2211" s="71" t="n">
        <f aca="false">IF(助手报销!$R$149="",-1,助手报销!$R$149*100+(助手报销!$S$149-1)*6+1)</f>
        <v>-1</v>
      </c>
    </row>
    <row r="2212" customFormat="false" ht="23.25" hidden="false" customHeight="true" outlineLevel="0" collapsed="false">
      <c r="B2212" s="67" t="str">
        <f aca="false">IFERROR(INDEX(分录报销!$M:$M,MATCH($L2212,分录报销!$L:$L,0)),"")</f>
        <v/>
      </c>
      <c r="C2212" s="67"/>
      <c r="D2212" s="23" t="str">
        <f aca="false">IFERROR(INDEX(分录报销!$E:$E,MATCH($L2212,分录报销!$L:$L,0)),"")</f>
        <v/>
      </c>
      <c r="E2212" s="23" t="str">
        <f aca="false">IFERROR(INDEX(分录报销!$F:$F,MATCH($L2212,分录报销!$L:$L,0)),"")</f>
        <v/>
      </c>
      <c r="F2212" s="68" t="str">
        <f aca="false">IFERROR(INDEX(分录报销!$H:$H,MATCH($L2212,分录报销!$L:$L,0)),"")</f>
        <v/>
      </c>
      <c r="G2212" s="69" t="str">
        <f aca="false">IFERROR(INDEX(分录报销!$I:$I,MATCH($L2212,分录报销!$L:$L,0)),"")</f>
        <v/>
      </c>
      <c r="H2212" s="23"/>
      <c r="I2212" s="70"/>
      <c r="L2212" s="71" t="n">
        <f aca="false">IF(助手报销!$R$149="",-1,助手报销!$R$149*100+(助手报销!$S$149-1)*6+2)</f>
        <v>-1</v>
      </c>
    </row>
    <row r="2213" customFormat="false" ht="23.25" hidden="false" customHeight="true" outlineLevel="0" collapsed="false">
      <c r="B2213" s="67" t="str">
        <f aca="false">IFERROR(INDEX(分录报销!$M:$M,MATCH($L2213,分录报销!$L:$L,0)),"")</f>
        <v/>
      </c>
      <c r="C2213" s="67"/>
      <c r="D2213" s="23" t="str">
        <f aca="false">IFERROR(INDEX(分录报销!$E:$E,MATCH($L2213,分录报销!$L:$L,0)),"")</f>
        <v/>
      </c>
      <c r="E2213" s="23" t="str">
        <f aca="false">IFERROR(INDEX(分录报销!$F:$F,MATCH($L2213,分录报销!$L:$L,0)),"")</f>
        <v/>
      </c>
      <c r="F2213" s="68" t="str">
        <f aca="false">IFERROR(INDEX(分录报销!$H:$H,MATCH($L2213,分录报销!$L:$L,0)),"")</f>
        <v/>
      </c>
      <c r="G2213" s="69" t="str">
        <f aca="false">IFERROR(INDEX(分录报销!$I:$I,MATCH($L2213,分录报销!$L:$L,0)),"")</f>
        <v/>
      </c>
      <c r="H2213" s="23"/>
      <c r="I2213" s="70"/>
      <c r="L2213" s="71" t="n">
        <f aca="false">IF(助手报销!$R$149="",-1,助手报销!$R$149*100+(助手报销!$S$149-1)*6+3)</f>
        <v>-1</v>
      </c>
    </row>
    <row r="2214" customFormat="false" ht="23.25" hidden="false" customHeight="true" outlineLevel="0" collapsed="false">
      <c r="B2214" s="67" t="str">
        <f aca="false">IFERROR(INDEX(分录报销!$M:$M,MATCH($L2214,分录报销!$L:$L,0)),"")</f>
        <v/>
      </c>
      <c r="C2214" s="67"/>
      <c r="D2214" s="23" t="str">
        <f aca="false">IFERROR(INDEX(分录报销!$E:$E,MATCH($L2214,分录报销!$L:$L,0)),"")</f>
        <v/>
      </c>
      <c r="E2214" s="23" t="str">
        <f aca="false">IFERROR(INDEX(分录报销!$F:$F,MATCH($L2214,分录报销!$L:$L,0)),"")</f>
        <v/>
      </c>
      <c r="F2214" s="68" t="str">
        <f aca="false">IFERROR(INDEX(分录报销!$H:$H,MATCH($L2214,分录报销!$L:$L,0)),"")</f>
        <v/>
      </c>
      <c r="G2214" s="69" t="str">
        <f aca="false">IFERROR(INDEX(分录报销!$I:$I,MATCH($L2214,分录报销!$L:$L,0)),"")</f>
        <v/>
      </c>
      <c r="H2214" s="23"/>
      <c r="I2214" s="70"/>
      <c r="L2214" s="71" t="n">
        <f aca="false">IF(助手报销!$R$149="",-1,助手报销!$R$149*100+(助手报销!$S$149-1)*6+4)</f>
        <v>-1</v>
      </c>
    </row>
    <row r="2215" customFormat="false" ht="23.25" hidden="false" customHeight="true" outlineLevel="0" collapsed="false">
      <c r="B2215" s="67" t="str">
        <f aca="false">IFERROR(INDEX(分录报销!$M:$M,MATCH($L2215,分录报销!$L:$L,0)),"")</f>
        <v/>
      </c>
      <c r="C2215" s="67"/>
      <c r="D2215" s="23" t="str">
        <f aca="false">IFERROR(INDEX(分录报销!$E:$E,MATCH($L2215,分录报销!$L:$L,0)),"")</f>
        <v/>
      </c>
      <c r="E2215" s="23" t="str">
        <f aca="false">IFERROR(INDEX(分录报销!$F:$F,MATCH($L2215,分录报销!$L:$L,0)),"")</f>
        <v/>
      </c>
      <c r="F2215" s="68" t="str">
        <f aca="false">IFERROR(INDEX(分录报销!$H:$H,MATCH($L2215,分录报销!$L:$L,0)),"")</f>
        <v/>
      </c>
      <c r="G2215" s="69" t="str">
        <f aca="false">IFERROR(INDEX(分录报销!$I:$I,MATCH($L2215,分录报销!$L:$L,0)),"")</f>
        <v/>
      </c>
      <c r="H2215" s="23"/>
      <c r="I2215" s="70"/>
      <c r="L2215" s="71" t="n">
        <f aca="false">IF(助手报销!$R$149="",-1,助手报销!$R$149*100+(助手报销!$S$149-1)*6+5)</f>
        <v>-1</v>
      </c>
    </row>
    <row r="2216" customFormat="false" ht="23.25" hidden="false" customHeight="true" outlineLevel="0" collapsed="false">
      <c r="B2216" s="67" t="str">
        <f aca="false">IFERROR(INDEX(分录报销!$M:$M,MATCH($L2216,分录报销!$L:$L,0)),"")</f>
        <v/>
      </c>
      <c r="C2216" s="67"/>
      <c r="D2216" s="23" t="str">
        <f aca="false">IFERROR(INDEX(分录报销!$E:$E,MATCH($L2216,分录报销!$L:$L,0)),"")</f>
        <v/>
      </c>
      <c r="E2216" s="23" t="str">
        <f aca="false">IFERROR(INDEX(分录报销!$F:$F,MATCH($L2216,分录报销!$L:$L,0)),"")</f>
        <v/>
      </c>
      <c r="F2216" s="68" t="str">
        <f aca="false">IFERROR(INDEX(分录报销!$H:$H,MATCH($L2216,分录报销!$L:$L,0)),"")</f>
        <v/>
      </c>
      <c r="G2216" s="69" t="str">
        <f aca="false">IFERROR(INDEX(分录报销!$I:$I,MATCH($L2216,分录报销!$L:$L,0)),"")</f>
        <v/>
      </c>
      <c r="H2216" s="23"/>
      <c r="I2216" s="70"/>
      <c r="L2216" s="71" t="n">
        <f aca="false">IF(助手报销!$R$149="",-1,助手报销!$R$149*100+(助手报销!$S$149-1)*6+6)</f>
        <v>-1</v>
      </c>
    </row>
    <row r="2217" customFormat="false" ht="23.25" hidden="false" customHeight="true" outlineLevel="0" collapsed="false">
      <c r="B2217" s="72" t="str">
        <f aca="false">IF(助手报销!$T$149=1,"合计：","")</f>
        <v/>
      </c>
      <c r="C2217" s="73" t="str">
        <f aca="false">IF(助手报销!$T$149=1,$F2217,"")</f>
        <v/>
      </c>
      <c r="D2217" s="74"/>
      <c r="E2217" s="74"/>
      <c r="F2217" s="75" t="str">
        <f aca="false">IF(助手报销!$T$149=1,INDEX(助手报销!$N$2:$N$121,助手报销!$R$149),"")</f>
        <v/>
      </c>
      <c r="G2217" s="76" t="str">
        <f aca="false">IF(助手报销!$T$149=1,INDEX(助手报销!$O$2:$O$121,助手报销!$R$149),"")</f>
        <v/>
      </c>
      <c r="H2217" s="74"/>
      <c r="I2217" s="77"/>
    </row>
    <row r="2218" customFormat="false" ht="6" hidden="false" customHeight="true" outlineLevel="0" collapsed="false"/>
    <row r="2219" customFormat="false" ht="13.5" hidden="false" customHeight="false" outlineLevel="0" collapsed="false">
      <c r="B2219" s="78" t="str">
        <f aca="false">IF(助手报销!$R$149&lt;&gt;"","会计主管：","")</f>
        <v/>
      </c>
      <c r="D2219" s="78" t="str">
        <f aca="false">IF(助手报销!$R$149&lt;&gt;"","会计：","")</f>
        <v/>
      </c>
      <c r="E2219" s="78" t="str">
        <f aca="false">IF(助手报销!$R$149&lt;&gt;"","出纳：","")</f>
        <v/>
      </c>
      <c r="F2219" s="78" t="str">
        <f aca="false">IF(助手报销!$R$149&lt;&gt;"","复核：","")</f>
        <v/>
      </c>
      <c r="G2219" s="78" t="str">
        <f aca="false">IF(助手报销!$R$149&lt;&gt;"","制单：","")</f>
        <v/>
      </c>
    </row>
    <row r="2220" customFormat="false" ht="3" hidden="false" customHeight="true" outlineLevel="0" collapsed="false"/>
    <row r="2221" customFormat="false" ht="19.5" hidden="false" customHeight="true" outlineLevel="0" collapsed="false">
      <c r="B2221" s="53" t="str">
        <f aca="false">IF(助手报销!$R$150&lt;&gt;"","记  账  凭  证","")</f>
        <v/>
      </c>
      <c r="C2221" s="53"/>
      <c r="D2221" s="53"/>
      <c r="E2221" s="53"/>
      <c r="F2221" s="53"/>
      <c r="G2221" s="53"/>
      <c r="H2221" s="53"/>
      <c r="I2221" s="53"/>
    </row>
    <row r="2222" customFormat="false" ht="3" hidden="false" customHeight="true" outlineLevel="0" collapsed="false"/>
    <row r="2223" customFormat="false" ht="15" hidden="false" customHeight="true" outlineLevel="0" collapsed="false">
      <c r="C2223" s="56" t="str">
        <f aca="false">IF(助手报销!$R$150&lt;&gt;"",INDEX(助手报销!$B$2:$B$121,助手报销!$R$150),"")</f>
        <v/>
      </c>
      <c r="D2223" s="57" t="str">
        <f aca="false">IF(助手报销!$R$150&lt;&gt;"",INDEX(助手报销!$D$2:$D$121,助手报销!$R$150),"")</f>
        <v/>
      </c>
      <c r="E2223" s="57"/>
      <c r="F2223" s="58" t="str">
        <f aca="false">IF(助手报销!$R$150&lt;&gt;"",INDEX(助手报销!$C$2:$C$121,助手报销!$R$150)&amp;"  字第 "&amp;IF(参数!$B$9="是",INDEX(助手报销!$P$2:$P$121,助手报销!$R$150),"　　　　")&amp;" 号"&amp;IF(INDEX(助手报销!$L$2:$L$121,助手报销!$R$150)&gt;1,"  (共"&amp;INDEX(助手报销!$L$2:$L$121,助手报销!$R$150)&amp;"页 第"&amp;助手报销!$S$150&amp;"页)",""),"")</f>
        <v/>
      </c>
      <c r="G2223" s="58"/>
      <c r="H2223" s="58"/>
      <c r="I2223" s="58"/>
      <c r="M2223" s="79" t="str">
        <f aca="false">IF(助手报销!$R$150="","",助手报销!$Q$150)</f>
        <v/>
      </c>
      <c r="N2223" s="80" t="str">
        <f aca="false">IF(助手报销!$R$150="","",INDEX(助手报销!$P$2:$P$121,助手报销!$R$150))</f>
        <v/>
      </c>
      <c r="O2223" s="55" t="str">
        <f aca="false">IF(助手报销!$R$150="","",INDEX(助手报销!$C$2:$C$121,助手报销!$R$150)&amp;"  字第 "&amp;INDEX(助手报销!$P$2:$P$121,助手报销!$R$150)&amp;" 号"&amp;IF(INDEX(助手报销!$L$2:$L$121,助手报销!$R$150)&gt;1,"  (共"&amp;INDEX(助手报销!$L$2:$L$121,助手报销!$R$150)&amp;"页 第"&amp;助手报销!$S$150&amp;"页)",""))</f>
        <v/>
      </c>
    </row>
    <row r="2224" customFormat="false" ht="12.75" hidden="false" customHeight="true" outlineLevel="0" collapsed="false">
      <c r="B2224" s="61" t="str">
        <f aca="false">IF(助手报销!$R$150&lt;&gt;"","摘　　要","")</f>
        <v/>
      </c>
      <c r="C2224" s="61"/>
      <c r="D2224" s="62" t="str">
        <f aca="false">IF(助手报销!$R$150&lt;&gt;"","科　　　　目","")</f>
        <v/>
      </c>
      <c r="E2224" s="62"/>
      <c r="F2224" s="61" t="str">
        <f aca="false">IF(助手报销!$R$150&lt;&gt;"","借 方 金 额","")</f>
        <v/>
      </c>
      <c r="G2224" s="62" t="str">
        <f aca="false">IF(助手报销!$R$150&lt;&gt;"","贷 方 金 额","")</f>
        <v/>
      </c>
      <c r="H2224" s="63" t="str">
        <f aca="false">IF(助手报销!$R$150&lt;&gt;"","√","")</f>
        <v/>
      </c>
      <c r="I2224" s="64" t="str">
        <f aca="false">IF(助手报销!$R$150&lt;&gt;"","附单据  张","")</f>
        <v/>
      </c>
    </row>
    <row r="2225" customFormat="false" ht="12.75" hidden="false" customHeight="true" outlineLevel="0" collapsed="false">
      <c r="B2225" s="61"/>
      <c r="C2225" s="61"/>
      <c r="D2225" s="23" t="str">
        <f aca="false">IF(助手报销!$R$150&lt;&gt;"","总 账 科 目","")</f>
        <v/>
      </c>
      <c r="E2225" s="23" t="str">
        <f aca="false">IF(助手报销!$R$150&lt;&gt;"","明 细 科 目","")</f>
        <v/>
      </c>
      <c r="F2225" s="65"/>
      <c r="G2225" s="66"/>
      <c r="H2225" s="63"/>
      <c r="I2225" s="64"/>
    </row>
    <row r="2226" customFormat="false" ht="23.25" hidden="false" customHeight="true" outlineLevel="0" collapsed="false">
      <c r="B2226" s="67" t="str">
        <f aca="false">IFERROR(INDEX(分录报销!$M:$M,MATCH($L2226,分录报销!$L:$L,0)),"")</f>
        <v/>
      </c>
      <c r="C2226" s="67"/>
      <c r="D2226" s="23" t="str">
        <f aca="false">IFERROR(INDEX(分录报销!$E:$E,MATCH($L2226,分录报销!$L:$L,0)),"")</f>
        <v/>
      </c>
      <c r="E2226" s="23" t="str">
        <f aca="false">IFERROR(INDEX(分录报销!$F:$F,MATCH($L2226,分录报销!$L:$L,0)),"")</f>
        <v/>
      </c>
      <c r="F2226" s="68" t="str">
        <f aca="false">IFERROR(INDEX(分录报销!$H:$H,MATCH($L2226,分录报销!$L:$L,0)),"")</f>
        <v/>
      </c>
      <c r="G2226" s="69" t="str">
        <f aca="false">IFERROR(INDEX(分录报销!$I:$I,MATCH($L2226,分录报销!$L:$L,0)),"")</f>
        <v/>
      </c>
      <c r="H2226" s="23"/>
      <c r="I2226" s="70"/>
      <c r="L2226" s="71" t="n">
        <f aca="false">IF(助手报销!$R$150="",-1,助手报销!$R$150*100+(助手报销!$S$150-1)*6+1)</f>
        <v>-1</v>
      </c>
    </row>
    <row r="2227" customFormat="false" ht="23.25" hidden="false" customHeight="true" outlineLevel="0" collapsed="false">
      <c r="B2227" s="67" t="str">
        <f aca="false">IFERROR(INDEX(分录报销!$M:$M,MATCH($L2227,分录报销!$L:$L,0)),"")</f>
        <v/>
      </c>
      <c r="C2227" s="67"/>
      <c r="D2227" s="23" t="str">
        <f aca="false">IFERROR(INDEX(分录报销!$E:$E,MATCH($L2227,分录报销!$L:$L,0)),"")</f>
        <v/>
      </c>
      <c r="E2227" s="23" t="str">
        <f aca="false">IFERROR(INDEX(分录报销!$F:$F,MATCH($L2227,分录报销!$L:$L,0)),"")</f>
        <v/>
      </c>
      <c r="F2227" s="68" t="str">
        <f aca="false">IFERROR(INDEX(分录报销!$H:$H,MATCH($L2227,分录报销!$L:$L,0)),"")</f>
        <v/>
      </c>
      <c r="G2227" s="69" t="str">
        <f aca="false">IFERROR(INDEX(分录报销!$I:$I,MATCH($L2227,分录报销!$L:$L,0)),"")</f>
        <v/>
      </c>
      <c r="H2227" s="23"/>
      <c r="I2227" s="70"/>
      <c r="L2227" s="71" t="n">
        <f aca="false">IF(助手报销!$R$150="",-1,助手报销!$R$150*100+(助手报销!$S$150-1)*6+2)</f>
        <v>-1</v>
      </c>
    </row>
    <row r="2228" customFormat="false" ht="23.25" hidden="false" customHeight="true" outlineLevel="0" collapsed="false">
      <c r="B2228" s="67" t="str">
        <f aca="false">IFERROR(INDEX(分录报销!$M:$M,MATCH($L2228,分录报销!$L:$L,0)),"")</f>
        <v/>
      </c>
      <c r="C2228" s="67"/>
      <c r="D2228" s="23" t="str">
        <f aca="false">IFERROR(INDEX(分录报销!$E:$E,MATCH($L2228,分录报销!$L:$L,0)),"")</f>
        <v/>
      </c>
      <c r="E2228" s="23" t="str">
        <f aca="false">IFERROR(INDEX(分录报销!$F:$F,MATCH($L2228,分录报销!$L:$L,0)),"")</f>
        <v/>
      </c>
      <c r="F2228" s="68" t="str">
        <f aca="false">IFERROR(INDEX(分录报销!$H:$H,MATCH($L2228,分录报销!$L:$L,0)),"")</f>
        <v/>
      </c>
      <c r="G2228" s="69" t="str">
        <f aca="false">IFERROR(INDEX(分录报销!$I:$I,MATCH($L2228,分录报销!$L:$L,0)),"")</f>
        <v/>
      </c>
      <c r="H2228" s="23"/>
      <c r="I2228" s="70"/>
      <c r="L2228" s="71" t="n">
        <f aca="false">IF(助手报销!$R$150="",-1,助手报销!$R$150*100+(助手报销!$S$150-1)*6+3)</f>
        <v>-1</v>
      </c>
    </row>
    <row r="2229" customFormat="false" ht="23.25" hidden="false" customHeight="true" outlineLevel="0" collapsed="false">
      <c r="B2229" s="67" t="str">
        <f aca="false">IFERROR(INDEX(分录报销!$M:$M,MATCH($L2229,分录报销!$L:$L,0)),"")</f>
        <v/>
      </c>
      <c r="C2229" s="67"/>
      <c r="D2229" s="23" t="str">
        <f aca="false">IFERROR(INDEX(分录报销!$E:$E,MATCH($L2229,分录报销!$L:$L,0)),"")</f>
        <v/>
      </c>
      <c r="E2229" s="23" t="str">
        <f aca="false">IFERROR(INDEX(分录报销!$F:$F,MATCH($L2229,分录报销!$L:$L,0)),"")</f>
        <v/>
      </c>
      <c r="F2229" s="68" t="str">
        <f aca="false">IFERROR(INDEX(分录报销!$H:$H,MATCH($L2229,分录报销!$L:$L,0)),"")</f>
        <v/>
      </c>
      <c r="G2229" s="69" t="str">
        <f aca="false">IFERROR(INDEX(分录报销!$I:$I,MATCH($L2229,分录报销!$L:$L,0)),"")</f>
        <v/>
      </c>
      <c r="H2229" s="23"/>
      <c r="I2229" s="70"/>
      <c r="L2229" s="71" t="n">
        <f aca="false">IF(助手报销!$R$150="",-1,助手报销!$R$150*100+(助手报销!$S$150-1)*6+4)</f>
        <v>-1</v>
      </c>
    </row>
    <row r="2230" customFormat="false" ht="23.25" hidden="false" customHeight="true" outlineLevel="0" collapsed="false">
      <c r="B2230" s="67" t="str">
        <f aca="false">IFERROR(INDEX(分录报销!$M:$M,MATCH($L2230,分录报销!$L:$L,0)),"")</f>
        <v/>
      </c>
      <c r="C2230" s="67"/>
      <c r="D2230" s="23" t="str">
        <f aca="false">IFERROR(INDEX(分录报销!$E:$E,MATCH($L2230,分录报销!$L:$L,0)),"")</f>
        <v/>
      </c>
      <c r="E2230" s="23" t="str">
        <f aca="false">IFERROR(INDEX(分录报销!$F:$F,MATCH($L2230,分录报销!$L:$L,0)),"")</f>
        <v/>
      </c>
      <c r="F2230" s="68" t="str">
        <f aca="false">IFERROR(INDEX(分录报销!$H:$H,MATCH($L2230,分录报销!$L:$L,0)),"")</f>
        <v/>
      </c>
      <c r="G2230" s="69" t="str">
        <f aca="false">IFERROR(INDEX(分录报销!$I:$I,MATCH($L2230,分录报销!$L:$L,0)),"")</f>
        <v/>
      </c>
      <c r="H2230" s="23"/>
      <c r="I2230" s="70"/>
      <c r="L2230" s="71" t="n">
        <f aca="false">IF(助手报销!$R$150="",-1,助手报销!$R$150*100+(助手报销!$S$150-1)*6+5)</f>
        <v>-1</v>
      </c>
    </row>
    <row r="2231" customFormat="false" ht="23.25" hidden="false" customHeight="true" outlineLevel="0" collapsed="false">
      <c r="B2231" s="67" t="str">
        <f aca="false">IFERROR(INDEX(分录报销!$M:$M,MATCH($L2231,分录报销!$L:$L,0)),"")</f>
        <v/>
      </c>
      <c r="C2231" s="67"/>
      <c r="D2231" s="23" t="str">
        <f aca="false">IFERROR(INDEX(分录报销!$E:$E,MATCH($L2231,分录报销!$L:$L,0)),"")</f>
        <v/>
      </c>
      <c r="E2231" s="23" t="str">
        <f aca="false">IFERROR(INDEX(分录报销!$F:$F,MATCH($L2231,分录报销!$L:$L,0)),"")</f>
        <v/>
      </c>
      <c r="F2231" s="68" t="str">
        <f aca="false">IFERROR(INDEX(分录报销!$H:$H,MATCH($L2231,分录报销!$L:$L,0)),"")</f>
        <v/>
      </c>
      <c r="G2231" s="69" t="str">
        <f aca="false">IFERROR(INDEX(分录报销!$I:$I,MATCH($L2231,分录报销!$L:$L,0)),"")</f>
        <v/>
      </c>
      <c r="H2231" s="23"/>
      <c r="I2231" s="70"/>
      <c r="L2231" s="71" t="n">
        <f aca="false">IF(助手报销!$R$150="",-1,助手报销!$R$150*100+(助手报销!$S$150-1)*6+6)</f>
        <v>-1</v>
      </c>
    </row>
    <row r="2232" customFormat="false" ht="23.25" hidden="false" customHeight="true" outlineLevel="0" collapsed="false">
      <c r="B2232" s="72" t="str">
        <f aca="false">IF(助手报销!$T$150=1,"合计：","")</f>
        <v/>
      </c>
      <c r="C2232" s="73" t="str">
        <f aca="false">IF(助手报销!$T$150=1,$F2232,"")</f>
        <v/>
      </c>
      <c r="D2232" s="74"/>
      <c r="E2232" s="74"/>
      <c r="F2232" s="75" t="str">
        <f aca="false">IF(助手报销!$T$150=1,INDEX(助手报销!$N$2:$N$121,助手报销!$R$150),"")</f>
        <v/>
      </c>
      <c r="G2232" s="76" t="str">
        <f aca="false">IF(助手报销!$T$150=1,INDEX(助手报销!$O$2:$O$121,助手报销!$R$150),"")</f>
        <v/>
      </c>
      <c r="H2232" s="74"/>
      <c r="I2232" s="77"/>
    </row>
    <row r="2233" customFormat="false" ht="6" hidden="false" customHeight="true" outlineLevel="0" collapsed="false"/>
    <row r="2234" customFormat="false" ht="13.5" hidden="false" customHeight="false" outlineLevel="0" collapsed="false">
      <c r="B2234" s="78" t="str">
        <f aca="false">IF(助手报销!$R$150&lt;&gt;"","会计主管：","")</f>
        <v/>
      </c>
      <c r="D2234" s="78" t="str">
        <f aca="false">IF(助手报销!$R$150&lt;&gt;"","会计：","")</f>
        <v/>
      </c>
      <c r="E2234" s="78" t="str">
        <f aca="false">IF(助手报销!$R$150&lt;&gt;"","出纳：","")</f>
        <v/>
      </c>
      <c r="F2234" s="78" t="str">
        <f aca="false">IF(助手报销!$R$150&lt;&gt;"","复核：","")</f>
        <v/>
      </c>
      <c r="G2234" s="78" t="str">
        <f aca="false">IF(助手报销!$R$150&lt;&gt;"","制单：","")</f>
        <v/>
      </c>
    </row>
    <row r="2235" customFormat="false" ht="3" hidden="false" customHeight="true" outlineLevel="0" collapsed="false"/>
    <row r="2236" customFormat="false" ht="19.5" hidden="false" customHeight="true" outlineLevel="0" collapsed="false">
      <c r="B2236" s="53" t="str">
        <f aca="false">IF(助手报销!$R$151&lt;&gt;"","记  账  凭  证","")</f>
        <v/>
      </c>
      <c r="C2236" s="53"/>
      <c r="D2236" s="53"/>
      <c r="E2236" s="53"/>
      <c r="F2236" s="53"/>
      <c r="G2236" s="53"/>
      <c r="H2236" s="53"/>
      <c r="I2236" s="53"/>
    </row>
    <row r="2237" customFormat="false" ht="3" hidden="false" customHeight="true" outlineLevel="0" collapsed="false"/>
    <row r="2238" customFormat="false" ht="15" hidden="false" customHeight="true" outlineLevel="0" collapsed="false">
      <c r="C2238" s="56" t="str">
        <f aca="false">IF(助手报销!$R$151&lt;&gt;"",INDEX(助手报销!$B$2:$B$121,助手报销!$R$151),"")</f>
        <v/>
      </c>
      <c r="D2238" s="57" t="str">
        <f aca="false">IF(助手报销!$R$151&lt;&gt;"",INDEX(助手报销!$D$2:$D$121,助手报销!$R$151),"")</f>
        <v/>
      </c>
      <c r="E2238" s="57"/>
      <c r="F2238" s="58" t="str">
        <f aca="false">IF(助手报销!$R$151&lt;&gt;"",INDEX(助手报销!$C$2:$C$121,助手报销!$R$151)&amp;"  字第 "&amp;IF(参数!$B$9="是",INDEX(助手报销!$P$2:$P$121,助手报销!$R$151),"　　　　")&amp;" 号"&amp;IF(INDEX(助手报销!$L$2:$L$121,助手报销!$R$151)&gt;1,"  (共"&amp;INDEX(助手报销!$L$2:$L$121,助手报销!$R$151)&amp;"页 第"&amp;助手报销!$S$151&amp;"页)",""),"")</f>
        <v/>
      </c>
      <c r="G2238" s="58"/>
      <c r="H2238" s="58"/>
      <c r="I2238" s="58"/>
      <c r="M2238" s="79" t="str">
        <f aca="false">IF(助手报销!$R$151="","",助手报销!$Q$151)</f>
        <v/>
      </c>
      <c r="N2238" s="80" t="str">
        <f aca="false">IF(助手报销!$R$151="","",INDEX(助手报销!$P$2:$P$121,助手报销!$R$151))</f>
        <v/>
      </c>
      <c r="O2238" s="55" t="str">
        <f aca="false">IF(助手报销!$R$151="","",INDEX(助手报销!$C$2:$C$121,助手报销!$R$151)&amp;"  字第 "&amp;INDEX(助手报销!$P$2:$P$121,助手报销!$R$151)&amp;" 号"&amp;IF(INDEX(助手报销!$L$2:$L$121,助手报销!$R$151)&gt;1,"  (共"&amp;INDEX(助手报销!$L$2:$L$121,助手报销!$R$151)&amp;"页 第"&amp;助手报销!$S$151&amp;"页)",""))</f>
        <v/>
      </c>
    </row>
    <row r="2239" customFormat="false" ht="12.75" hidden="false" customHeight="true" outlineLevel="0" collapsed="false">
      <c r="B2239" s="61" t="str">
        <f aca="false">IF(助手报销!$R$151&lt;&gt;"","摘　　要","")</f>
        <v/>
      </c>
      <c r="C2239" s="61"/>
      <c r="D2239" s="62" t="str">
        <f aca="false">IF(助手报销!$R$151&lt;&gt;"","科　　　　目","")</f>
        <v/>
      </c>
      <c r="E2239" s="62"/>
      <c r="F2239" s="61" t="str">
        <f aca="false">IF(助手报销!$R$151&lt;&gt;"","借 方 金 额","")</f>
        <v/>
      </c>
      <c r="G2239" s="62" t="str">
        <f aca="false">IF(助手报销!$R$151&lt;&gt;"","贷 方 金 额","")</f>
        <v/>
      </c>
      <c r="H2239" s="63" t="str">
        <f aca="false">IF(助手报销!$R$151&lt;&gt;"","√","")</f>
        <v/>
      </c>
      <c r="I2239" s="64" t="str">
        <f aca="false">IF(助手报销!$R$151&lt;&gt;"","附单据  张","")</f>
        <v/>
      </c>
    </row>
    <row r="2240" customFormat="false" ht="12.75" hidden="false" customHeight="true" outlineLevel="0" collapsed="false">
      <c r="B2240" s="61"/>
      <c r="C2240" s="61"/>
      <c r="D2240" s="23" t="str">
        <f aca="false">IF(助手报销!$R$151&lt;&gt;"","总 账 科 目","")</f>
        <v/>
      </c>
      <c r="E2240" s="23" t="str">
        <f aca="false">IF(助手报销!$R$151&lt;&gt;"","明 细 科 目","")</f>
        <v/>
      </c>
      <c r="F2240" s="65"/>
      <c r="G2240" s="66"/>
      <c r="H2240" s="63"/>
      <c r="I2240" s="64"/>
    </row>
    <row r="2241" customFormat="false" ht="23.25" hidden="false" customHeight="true" outlineLevel="0" collapsed="false">
      <c r="B2241" s="67" t="str">
        <f aca="false">IFERROR(INDEX(分录报销!$M:$M,MATCH($L2241,分录报销!$L:$L,0)),"")</f>
        <v/>
      </c>
      <c r="C2241" s="67"/>
      <c r="D2241" s="23" t="str">
        <f aca="false">IFERROR(INDEX(分录报销!$E:$E,MATCH($L2241,分录报销!$L:$L,0)),"")</f>
        <v/>
      </c>
      <c r="E2241" s="23" t="str">
        <f aca="false">IFERROR(INDEX(分录报销!$F:$F,MATCH($L2241,分录报销!$L:$L,0)),"")</f>
        <v/>
      </c>
      <c r="F2241" s="68" t="str">
        <f aca="false">IFERROR(INDEX(分录报销!$H:$H,MATCH($L2241,分录报销!$L:$L,0)),"")</f>
        <v/>
      </c>
      <c r="G2241" s="69" t="str">
        <f aca="false">IFERROR(INDEX(分录报销!$I:$I,MATCH($L2241,分录报销!$L:$L,0)),"")</f>
        <v/>
      </c>
      <c r="H2241" s="23"/>
      <c r="I2241" s="70"/>
      <c r="L2241" s="71" t="n">
        <f aca="false">IF(助手报销!$R$151="",-1,助手报销!$R$151*100+(助手报销!$S$151-1)*6+1)</f>
        <v>-1</v>
      </c>
    </row>
    <row r="2242" customFormat="false" ht="23.25" hidden="false" customHeight="true" outlineLevel="0" collapsed="false">
      <c r="B2242" s="67" t="str">
        <f aca="false">IFERROR(INDEX(分录报销!$M:$M,MATCH($L2242,分录报销!$L:$L,0)),"")</f>
        <v/>
      </c>
      <c r="C2242" s="67"/>
      <c r="D2242" s="23" t="str">
        <f aca="false">IFERROR(INDEX(分录报销!$E:$E,MATCH($L2242,分录报销!$L:$L,0)),"")</f>
        <v/>
      </c>
      <c r="E2242" s="23" t="str">
        <f aca="false">IFERROR(INDEX(分录报销!$F:$F,MATCH($L2242,分录报销!$L:$L,0)),"")</f>
        <v/>
      </c>
      <c r="F2242" s="68" t="str">
        <f aca="false">IFERROR(INDEX(分录报销!$H:$H,MATCH($L2242,分录报销!$L:$L,0)),"")</f>
        <v/>
      </c>
      <c r="G2242" s="69" t="str">
        <f aca="false">IFERROR(INDEX(分录报销!$I:$I,MATCH($L2242,分录报销!$L:$L,0)),"")</f>
        <v/>
      </c>
      <c r="H2242" s="23"/>
      <c r="I2242" s="70"/>
      <c r="L2242" s="71" t="n">
        <f aca="false">IF(助手报销!$R$151="",-1,助手报销!$R$151*100+(助手报销!$S$151-1)*6+2)</f>
        <v>-1</v>
      </c>
    </row>
    <row r="2243" customFormat="false" ht="23.25" hidden="false" customHeight="true" outlineLevel="0" collapsed="false">
      <c r="B2243" s="67" t="str">
        <f aca="false">IFERROR(INDEX(分录报销!$M:$M,MATCH($L2243,分录报销!$L:$L,0)),"")</f>
        <v/>
      </c>
      <c r="C2243" s="67"/>
      <c r="D2243" s="23" t="str">
        <f aca="false">IFERROR(INDEX(分录报销!$E:$E,MATCH($L2243,分录报销!$L:$L,0)),"")</f>
        <v/>
      </c>
      <c r="E2243" s="23" t="str">
        <f aca="false">IFERROR(INDEX(分录报销!$F:$F,MATCH($L2243,分录报销!$L:$L,0)),"")</f>
        <v/>
      </c>
      <c r="F2243" s="68" t="str">
        <f aca="false">IFERROR(INDEX(分录报销!$H:$H,MATCH($L2243,分录报销!$L:$L,0)),"")</f>
        <v/>
      </c>
      <c r="G2243" s="69" t="str">
        <f aca="false">IFERROR(INDEX(分录报销!$I:$I,MATCH($L2243,分录报销!$L:$L,0)),"")</f>
        <v/>
      </c>
      <c r="H2243" s="23"/>
      <c r="I2243" s="70"/>
      <c r="L2243" s="71" t="n">
        <f aca="false">IF(助手报销!$R$151="",-1,助手报销!$R$151*100+(助手报销!$S$151-1)*6+3)</f>
        <v>-1</v>
      </c>
    </row>
    <row r="2244" customFormat="false" ht="23.25" hidden="false" customHeight="true" outlineLevel="0" collapsed="false">
      <c r="B2244" s="67" t="str">
        <f aca="false">IFERROR(INDEX(分录报销!$M:$M,MATCH($L2244,分录报销!$L:$L,0)),"")</f>
        <v/>
      </c>
      <c r="C2244" s="67"/>
      <c r="D2244" s="23" t="str">
        <f aca="false">IFERROR(INDEX(分录报销!$E:$E,MATCH($L2244,分录报销!$L:$L,0)),"")</f>
        <v/>
      </c>
      <c r="E2244" s="23" t="str">
        <f aca="false">IFERROR(INDEX(分录报销!$F:$F,MATCH($L2244,分录报销!$L:$L,0)),"")</f>
        <v/>
      </c>
      <c r="F2244" s="68" t="str">
        <f aca="false">IFERROR(INDEX(分录报销!$H:$H,MATCH($L2244,分录报销!$L:$L,0)),"")</f>
        <v/>
      </c>
      <c r="G2244" s="69" t="str">
        <f aca="false">IFERROR(INDEX(分录报销!$I:$I,MATCH($L2244,分录报销!$L:$L,0)),"")</f>
        <v/>
      </c>
      <c r="H2244" s="23"/>
      <c r="I2244" s="70"/>
      <c r="L2244" s="71" t="n">
        <f aca="false">IF(助手报销!$R$151="",-1,助手报销!$R$151*100+(助手报销!$S$151-1)*6+4)</f>
        <v>-1</v>
      </c>
    </row>
    <row r="2245" customFormat="false" ht="23.25" hidden="false" customHeight="true" outlineLevel="0" collapsed="false">
      <c r="B2245" s="67" t="str">
        <f aca="false">IFERROR(INDEX(分录报销!$M:$M,MATCH($L2245,分录报销!$L:$L,0)),"")</f>
        <v/>
      </c>
      <c r="C2245" s="67"/>
      <c r="D2245" s="23" t="str">
        <f aca="false">IFERROR(INDEX(分录报销!$E:$E,MATCH($L2245,分录报销!$L:$L,0)),"")</f>
        <v/>
      </c>
      <c r="E2245" s="23" t="str">
        <f aca="false">IFERROR(INDEX(分录报销!$F:$F,MATCH($L2245,分录报销!$L:$L,0)),"")</f>
        <v/>
      </c>
      <c r="F2245" s="68" t="str">
        <f aca="false">IFERROR(INDEX(分录报销!$H:$H,MATCH($L2245,分录报销!$L:$L,0)),"")</f>
        <v/>
      </c>
      <c r="G2245" s="69" t="str">
        <f aca="false">IFERROR(INDEX(分录报销!$I:$I,MATCH($L2245,分录报销!$L:$L,0)),"")</f>
        <v/>
      </c>
      <c r="H2245" s="23"/>
      <c r="I2245" s="70"/>
      <c r="L2245" s="71" t="n">
        <f aca="false">IF(助手报销!$R$151="",-1,助手报销!$R$151*100+(助手报销!$S$151-1)*6+5)</f>
        <v>-1</v>
      </c>
    </row>
    <row r="2246" customFormat="false" ht="23.25" hidden="false" customHeight="true" outlineLevel="0" collapsed="false">
      <c r="B2246" s="67" t="str">
        <f aca="false">IFERROR(INDEX(分录报销!$M:$M,MATCH($L2246,分录报销!$L:$L,0)),"")</f>
        <v/>
      </c>
      <c r="C2246" s="67"/>
      <c r="D2246" s="23" t="str">
        <f aca="false">IFERROR(INDEX(分录报销!$E:$E,MATCH($L2246,分录报销!$L:$L,0)),"")</f>
        <v/>
      </c>
      <c r="E2246" s="23" t="str">
        <f aca="false">IFERROR(INDEX(分录报销!$F:$F,MATCH($L2246,分录报销!$L:$L,0)),"")</f>
        <v/>
      </c>
      <c r="F2246" s="68" t="str">
        <f aca="false">IFERROR(INDEX(分录报销!$H:$H,MATCH($L2246,分录报销!$L:$L,0)),"")</f>
        <v/>
      </c>
      <c r="G2246" s="69" t="str">
        <f aca="false">IFERROR(INDEX(分录报销!$I:$I,MATCH($L2246,分录报销!$L:$L,0)),"")</f>
        <v/>
      </c>
      <c r="H2246" s="23"/>
      <c r="I2246" s="70"/>
      <c r="L2246" s="71" t="n">
        <f aca="false">IF(助手报销!$R$151="",-1,助手报销!$R$151*100+(助手报销!$S$151-1)*6+6)</f>
        <v>-1</v>
      </c>
    </row>
    <row r="2247" customFormat="false" ht="23.25" hidden="false" customHeight="true" outlineLevel="0" collapsed="false">
      <c r="B2247" s="72" t="str">
        <f aca="false">IF(助手报销!$T$151=1,"合计：","")</f>
        <v/>
      </c>
      <c r="C2247" s="73" t="str">
        <f aca="false">IF(助手报销!$T$151=1,$F2247,"")</f>
        <v/>
      </c>
      <c r="D2247" s="74"/>
      <c r="E2247" s="74"/>
      <c r="F2247" s="75" t="str">
        <f aca="false">IF(助手报销!$T$151=1,INDEX(助手报销!$N$2:$N$121,助手报销!$R$151),"")</f>
        <v/>
      </c>
      <c r="G2247" s="76" t="str">
        <f aca="false">IF(助手报销!$T$151=1,INDEX(助手报销!$O$2:$O$121,助手报销!$R$151),"")</f>
        <v/>
      </c>
      <c r="H2247" s="74"/>
      <c r="I2247" s="77"/>
    </row>
    <row r="2248" customFormat="false" ht="6" hidden="false" customHeight="true" outlineLevel="0" collapsed="false"/>
    <row r="2249" customFormat="false" ht="13.5" hidden="false" customHeight="false" outlineLevel="0" collapsed="false">
      <c r="B2249" s="78" t="str">
        <f aca="false">IF(助手报销!$R$151&lt;&gt;"","会计主管：","")</f>
        <v/>
      </c>
      <c r="D2249" s="78" t="str">
        <f aca="false">IF(助手报销!$R$151&lt;&gt;"","会计：","")</f>
        <v/>
      </c>
      <c r="E2249" s="78" t="str">
        <f aca="false">IF(助手报销!$R$151&lt;&gt;"","出纳：","")</f>
        <v/>
      </c>
      <c r="F2249" s="78" t="str">
        <f aca="false">IF(助手报销!$R$151&lt;&gt;"","复核：","")</f>
        <v/>
      </c>
      <c r="G2249" s="78" t="str">
        <f aca="false">IF(助手报销!$R$151&lt;&gt;"","制单：","")</f>
        <v/>
      </c>
    </row>
    <row r="2250" customFormat="false" ht="3" hidden="false" customHeight="true" outlineLevel="0" collapsed="false"/>
    <row r="2251" customFormat="false" ht="19.5" hidden="false" customHeight="true" outlineLevel="0" collapsed="false">
      <c r="B2251" s="53" t="str">
        <f aca="false">IF(助手报销!$R$152&lt;&gt;"","记  账  凭  证","")</f>
        <v/>
      </c>
      <c r="C2251" s="53"/>
      <c r="D2251" s="53"/>
      <c r="E2251" s="53"/>
      <c r="F2251" s="53"/>
      <c r="G2251" s="53"/>
      <c r="H2251" s="53"/>
      <c r="I2251" s="53"/>
    </row>
    <row r="2252" customFormat="false" ht="3" hidden="false" customHeight="true" outlineLevel="0" collapsed="false"/>
    <row r="2253" customFormat="false" ht="15" hidden="false" customHeight="true" outlineLevel="0" collapsed="false">
      <c r="C2253" s="56" t="str">
        <f aca="false">IF(助手报销!$R$152&lt;&gt;"",INDEX(助手报销!$B$2:$B$121,助手报销!$R$152),"")</f>
        <v/>
      </c>
      <c r="D2253" s="57" t="str">
        <f aca="false">IF(助手报销!$R$152&lt;&gt;"",INDEX(助手报销!$D$2:$D$121,助手报销!$R$152),"")</f>
        <v/>
      </c>
      <c r="E2253" s="57"/>
      <c r="F2253" s="58" t="str">
        <f aca="false">IF(助手报销!$R$152&lt;&gt;"",INDEX(助手报销!$C$2:$C$121,助手报销!$R$152)&amp;"  字第 "&amp;IF(参数!$B$9="是",INDEX(助手报销!$P$2:$P$121,助手报销!$R$152),"　　　　")&amp;" 号"&amp;IF(INDEX(助手报销!$L$2:$L$121,助手报销!$R$152)&gt;1,"  (共"&amp;INDEX(助手报销!$L$2:$L$121,助手报销!$R$152)&amp;"页 第"&amp;助手报销!$S$152&amp;"页)",""),"")</f>
        <v/>
      </c>
      <c r="G2253" s="58"/>
      <c r="H2253" s="58"/>
      <c r="I2253" s="58"/>
      <c r="M2253" s="79" t="str">
        <f aca="false">IF(助手报销!$R$152="","",助手报销!$Q$152)</f>
        <v/>
      </c>
      <c r="N2253" s="80" t="str">
        <f aca="false">IF(助手报销!$R$152="","",INDEX(助手报销!$P$2:$P$121,助手报销!$R$152))</f>
        <v/>
      </c>
      <c r="O2253" s="55" t="str">
        <f aca="false">IF(助手报销!$R$152="","",INDEX(助手报销!$C$2:$C$121,助手报销!$R$152)&amp;"  字第 "&amp;INDEX(助手报销!$P$2:$P$121,助手报销!$R$152)&amp;" 号"&amp;IF(INDEX(助手报销!$L$2:$L$121,助手报销!$R$152)&gt;1,"  (共"&amp;INDEX(助手报销!$L$2:$L$121,助手报销!$R$152)&amp;"页 第"&amp;助手报销!$S$152&amp;"页)",""))</f>
        <v/>
      </c>
    </row>
    <row r="2254" customFormat="false" ht="12.75" hidden="false" customHeight="true" outlineLevel="0" collapsed="false">
      <c r="B2254" s="61" t="str">
        <f aca="false">IF(助手报销!$R$152&lt;&gt;"","摘　　要","")</f>
        <v/>
      </c>
      <c r="C2254" s="61"/>
      <c r="D2254" s="62" t="str">
        <f aca="false">IF(助手报销!$R$152&lt;&gt;"","科　　　　目","")</f>
        <v/>
      </c>
      <c r="E2254" s="62"/>
      <c r="F2254" s="61" t="str">
        <f aca="false">IF(助手报销!$R$152&lt;&gt;"","借 方 金 额","")</f>
        <v/>
      </c>
      <c r="G2254" s="62" t="str">
        <f aca="false">IF(助手报销!$R$152&lt;&gt;"","贷 方 金 额","")</f>
        <v/>
      </c>
      <c r="H2254" s="63" t="str">
        <f aca="false">IF(助手报销!$R$152&lt;&gt;"","√","")</f>
        <v/>
      </c>
      <c r="I2254" s="64" t="str">
        <f aca="false">IF(助手报销!$R$152&lt;&gt;"","附单据  张","")</f>
        <v/>
      </c>
    </row>
    <row r="2255" customFormat="false" ht="12.75" hidden="false" customHeight="true" outlineLevel="0" collapsed="false">
      <c r="B2255" s="61"/>
      <c r="C2255" s="61"/>
      <c r="D2255" s="23" t="str">
        <f aca="false">IF(助手报销!$R$152&lt;&gt;"","总 账 科 目","")</f>
        <v/>
      </c>
      <c r="E2255" s="23" t="str">
        <f aca="false">IF(助手报销!$R$152&lt;&gt;"","明 细 科 目","")</f>
        <v/>
      </c>
      <c r="F2255" s="65"/>
      <c r="G2255" s="66"/>
      <c r="H2255" s="63"/>
      <c r="I2255" s="64"/>
    </row>
    <row r="2256" customFormat="false" ht="23.25" hidden="false" customHeight="true" outlineLevel="0" collapsed="false">
      <c r="B2256" s="67" t="str">
        <f aca="false">IFERROR(INDEX(分录报销!$M:$M,MATCH($L2256,分录报销!$L:$L,0)),"")</f>
        <v/>
      </c>
      <c r="C2256" s="67"/>
      <c r="D2256" s="23" t="str">
        <f aca="false">IFERROR(INDEX(分录报销!$E:$E,MATCH($L2256,分录报销!$L:$L,0)),"")</f>
        <v/>
      </c>
      <c r="E2256" s="23" t="str">
        <f aca="false">IFERROR(INDEX(分录报销!$F:$F,MATCH($L2256,分录报销!$L:$L,0)),"")</f>
        <v/>
      </c>
      <c r="F2256" s="68" t="str">
        <f aca="false">IFERROR(INDEX(分录报销!$H:$H,MATCH($L2256,分录报销!$L:$L,0)),"")</f>
        <v/>
      </c>
      <c r="G2256" s="69" t="str">
        <f aca="false">IFERROR(INDEX(分录报销!$I:$I,MATCH($L2256,分录报销!$L:$L,0)),"")</f>
        <v/>
      </c>
      <c r="H2256" s="23"/>
      <c r="I2256" s="70"/>
      <c r="L2256" s="71" t="n">
        <f aca="false">IF(助手报销!$R$152="",-1,助手报销!$R$152*100+(助手报销!$S$152-1)*6+1)</f>
        <v>-1</v>
      </c>
    </row>
    <row r="2257" customFormat="false" ht="23.25" hidden="false" customHeight="true" outlineLevel="0" collapsed="false">
      <c r="B2257" s="67" t="str">
        <f aca="false">IFERROR(INDEX(分录报销!$M:$M,MATCH($L2257,分录报销!$L:$L,0)),"")</f>
        <v/>
      </c>
      <c r="C2257" s="67"/>
      <c r="D2257" s="23" t="str">
        <f aca="false">IFERROR(INDEX(分录报销!$E:$E,MATCH($L2257,分录报销!$L:$L,0)),"")</f>
        <v/>
      </c>
      <c r="E2257" s="23" t="str">
        <f aca="false">IFERROR(INDEX(分录报销!$F:$F,MATCH($L2257,分录报销!$L:$L,0)),"")</f>
        <v/>
      </c>
      <c r="F2257" s="68" t="str">
        <f aca="false">IFERROR(INDEX(分录报销!$H:$H,MATCH($L2257,分录报销!$L:$L,0)),"")</f>
        <v/>
      </c>
      <c r="G2257" s="69" t="str">
        <f aca="false">IFERROR(INDEX(分录报销!$I:$I,MATCH($L2257,分录报销!$L:$L,0)),"")</f>
        <v/>
      </c>
      <c r="H2257" s="23"/>
      <c r="I2257" s="70"/>
      <c r="L2257" s="71" t="n">
        <f aca="false">IF(助手报销!$R$152="",-1,助手报销!$R$152*100+(助手报销!$S$152-1)*6+2)</f>
        <v>-1</v>
      </c>
    </row>
    <row r="2258" customFormat="false" ht="23.25" hidden="false" customHeight="true" outlineLevel="0" collapsed="false">
      <c r="B2258" s="67" t="str">
        <f aca="false">IFERROR(INDEX(分录报销!$M:$M,MATCH($L2258,分录报销!$L:$L,0)),"")</f>
        <v/>
      </c>
      <c r="C2258" s="67"/>
      <c r="D2258" s="23" t="str">
        <f aca="false">IFERROR(INDEX(分录报销!$E:$E,MATCH($L2258,分录报销!$L:$L,0)),"")</f>
        <v/>
      </c>
      <c r="E2258" s="23" t="str">
        <f aca="false">IFERROR(INDEX(分录报销!$F:$F,MATCH($L2258,分录报销!$L:$L,0)),"")</f>
        <v/>
      </c>
      <c r="F2258" s="68" t="str">
        <f aca="false">IFERROR(INDEX(分录报销!$H:$H,MATCH($L2258,分录报销!$L:$L,0)),"")</f>
        <v/>
      </c>
      <c r="G2258" s="69" t="str">
        <f aca="false">IFERROR(INDEX(分录报销!$I:$I,MATCH($L2258,分录报销!$L:$L,0)),"")</f>
        <v/>
      </c>
      <c r="H2258" s="23"/>
      <c r="I2258" s="70"/>
      <c r="L2258" s="71" t="n">
        <f aca="false">IF(助手报销!$R$152="",-1,助手报销!$R$152*100+(助手报销!$S$152-1)*6+3)</f>
        <v>-1</v>
      </c>
    </row>
    <row r="2259" customFormat="false" ht="23.25" hidden="false" customHeight="true" outlineLevel="0" collapsed="false">
      <c r="B2259" s="67" t="str">
        <f aca="false">IFERROR(INDEX(分录报销!$M:$M,MATCH($L2259,分录报销!$L:$L,0)),"")</f>
        <v/>
      </c>
      <c r="C2259" s="67"/>
      <c r="D2259" s="23" t="str">
        <f aca="false">IFERROR(INDEX(分录报销!$E:$E,MATCH($L2259,分录报销!$L:$L,0)),"")</f>
        <v/>
      </c>
      <c r="E2259" s="23" t="str">
        <f aca="false">IFERROR(INDEX(分录报销!$F:$F,MATCH($L2259,分录报销!$L:$L,0)),"")</f>
        <v/>
      </c>
      <c r="F2259" s="68" t="str">
        <f aca="false">IFERROR(INDEX(分录报销!$H:$H,MATCH($L2259,分录报销!$L:$L,0)),"")</f>
        <v/>
      </c>
      <c r="G2259" s="69" t="str">
        <f aca="false">IFERROR(INDEX(分录报销!$I:$I,MATCH($L2259,分录报销!$L:$L,0)),"")</f>
        <v/>
      </c>
      <c r="H2259" s="23"/>
      <c r="I2259" s="70"/>
      <c r="L2259" s="71" t="n">
        <f aca="false">IF(助手报销!$R$152="",-1,助手报销!$R$152*100+(助手报销!$S$152-1)*6+4)</f>
        <v>-1</v>
      </c>
    </row>
    <row r="2260" customFormat="false" ht="23.25" hidden="false" customHeight="true" outlineLevel="0" collapsed="false">
      <c r="B2260" s="67" t="str">
        <f aca="false">IFERROR(INDEX(分录报销!$M:$M,MATCH($L2260,分录报销!$L:$L,0)),"")</f>
        <v/>
      </c>
      <c r="C2260" s="67"/>
      <c r="D2260" s="23" t="str">
        <f aca="false">IFERROR(INDEX(分录报销!$E:$E,MATCH($L2260,分录报销!$L:$L,0)),"")</f>
        <v/>
      </c>
      <c r="E2260" s="23" t="str">
        <f aca="false">IFERROR(INDEX(分录报销!$F:$F,MATCH($L2260,分录报销!$L:$L,0)),"")</f>
        <v/>
      </c>
      <c r="F2260" s="68" t="str">
        <f aca="false">IFERROR(INDEX(分录报销!$H:$H,MATCH($L2260,分录报销!$L:$L,0)),"")</f>
        <v/>
      </c>
      <c r="G2260" s="69" t="str">
        <f aca="false">IFERROR(INDEX(分录报销!$I:$I,MATCH($L2260,分录报销!$L:$L,0)),"")</f>
        <v/>
      </c>
      <c r="H2260" s="23"/>
      <c r="I2260" s="70"/>
      <c r="L2260" s="71" t="n">
        <f aca="false">IF(助手报销!$R$152="",-1,助手报销!$R$152*100+(助手报销!$S$152-1)*6+5)</f>
        <v>-1</v>
      </c>
    </row>
    <row r="2261" customFormat="false" ht="23.25" hidden="false" customHeight="true" outlineLevel="0" collapsed="false">
      <c r="B2261" s="67" t="str">
        <f aca="false">IFERROR(INDEX(分录报销!$M:$M,MATCH($L2261,分录报销!$L:$L,0)),"")</f>
        <v/>
      </c>
      <c r="C2261" s="67"/>
      <c r="D2261" s="23" t="str">
        <f aca="false">IFERROR(INDEX(分录报销!$E:$E,MATCH($L2261,分录报销!$L:$L,0)),"")</f>
        <v/>
      </c>
      <c r="E2261" s="23" t="str">
        <f aca="false">IFERROR(INDEX(分录报销!$F:$F,MATCH($L2261,分录报销!$L:$L,0)),"")</f>
        <v/>
      </c>
      <c r="F2261" s="68" t="str">
        <f aca="false">IFERROR(INDEX(分录报销!$H:$H,MATCH($L2261,分录报销!$L:$L,0)),"")</f>
        <v/>
      </c>
      <c r="G2261" s="69" t="str">
        <f aca="false">IFERROR(INDEX(分录报销!$I:$I,MATCH($L2261,分录报销!$L:$L,0)),"")</f>
        <v/>
      </c>
      <c r="H2261" s="23"/>
      <c r="I2261" s="70"/>
      <c r="L2261" s="71" t="n">
        <f aca="false">IF(助手报销!$R$152="",-1,助手报销!$R$152*100+(助手报销!$S$152-1)*6+6)</f>
        <v>-1</v>
      </c>
    </row>
    <row r="2262" customFormat="false" ht="23.25" hidden="false" customHeight="true" outlineLevel="0" collapsed="false">
      <c r="B2262" s="72" t="str">
        <f aca="false">IF(助手报销!$T$152=1,"合计：","")</f>
        <v/>
      </c>
      <c r="C2262" s="73" t="str">
        <f aca="false">IF(助手报销!$T$152=1,$F2262,"")</f>
        <v/>
      </c>
      <c r="D2262" s="74"/>
      <c r="E2262" s="74"/>
      <c r="F2262" s="75" t="str">
        <f aca="false">IF(助手报销!$T$152=1,INDEX(助手报销!$N$2:$N$121,助手报销!$R$152),"")</f>
        <v/>
      </c>
      <c r="G2262" s="76" t="str">
        <f aca="false">IF(助手报销!$T$152=1,INDEX(助手报销!$O$2:$O$121,助手报销!$R$152),"")</f>
        <v/>
      </c>
      <c r="H2262" s="74"/>
      <c r="I2262" s="77"/>
    </row>
    <row r="2263" customFormat="false" ht="6" hidden="false" customHeight="true" outlineLevel="0" collapsed="false"/>
    <row r="2264" customFormat="false" ht="13.5" hidden="false" customHeight="false" outlineLevel="0" collapsed="false">
      <c r="B2264" s="78" t="str">
        <f aca="false">IF(助手报销!$R$152&lt;&gt;"","会计主管：","")</f>
        <v/>
      </c>
      <c r="D2264" s="78" t="str">
        <f aca="false">IF(助手报销!$R$152&lt;&gt;"","会计：","")</f>
        <v/>
      </c>
      <c r="E2264" s="78" t="str">
        <f aca="false">IF(助手报销!$R$152&lt;&gt;"","出纳：","")</f>
        <v/>
      </c>
      <c r="F2264" s="78" t="str">
        <f aca="false">IF(助手报销!$R$152&lt;&gt;"","复核：","")</f>
        <v/>
      </c>
      <c r="G2264" s="78" t="str">
        <f aca="false">IF(助手报销!$R$152&lt;&gt;"","制单：","")</f>
        <v/>
      </c>
    </row>
    <row r="2265" customFormat="false" ht="3" hidden="false" customHeight="true" outlineLevel="0" collapsed="false"/>
    <row r="2266" customFormat="false" ht="19.5" hidden="false" customHeight="true" outlineLevel="0" collapsed="false">
      <c r="B2266" s="53" t="str">
        <f aca="false">IF(助手报销!$R$153&lt;&gt;"","记  账  凭  证","")</f>
        <v/>
      </c>
      <c r="C2266" s="53"/>
      <c r="D2266" s="53"/>
      <c r="E2266" s="53"/>
      <c r="F2266" s="53"/>
      <c r="G2266" s="53"/>
      <c r="H2266" s="53"/>
      <c r="I2266" s="53"/>
    </row>
    <row r="2267" customFormat="false" ht="3" hidden="false" customHeight="true" outlineLevel="0" collapsed="false"/>
    <row r="2268" customFormat="false" ht="15" hidden="false" customHeight="true" outlineLevel="0" collapsed="false">
      <c r="C2268" s="56" t="str">
        <f aca="false">IF(助手报销!$R$153&lt;&gt;"",INDEX(助手报销!$B$2:$B$121,助手报销!$R$153),"")</f>
        <v/>
      </c>
      <c r="D2268" s="57" t="str">
        <f aca="false">IF(助手报销!$R$153&lt;&gt;"",INDEX(助手报销!$D$2:$D$121,助手报销!$R$153),"")</f>
        <v/>
      </c>
      <c r="E2268" s="57"/>
      <c r="F2268" s="58" t="str">
        <f aca="false">IF(助手报销!$R$153&lt;&gt;"",INDEX(助手报销!$C$2:$C$121,助手报销!$R$153)&amp;"  字第 "&amp;IF(参数!$B$9="是",INDEX(助手报销!$P$2:$P$121,助手报销!$R$153),"　　　　")&amp;" 号"&amp;IF(INDEX(助手报销!$L$2:$L$121,助手报销!$R$153)&gt;1,"  (共"&amp;INDEX(助手报销!$L$2:$L$121,助手报销!$R$153)&amp;"页 第"&amp;助手报销!$S$153&amp;"页)",""),"")</f>
        <v/>
      </c>
      <c r="G2268" s="58"/>
      <c r="H2268" s="58"/>
      <c r="I2268" s="58"/>
      <c r="M2268" s="79" t="str">
        <f aca="false">IF(助手报销!$R$153="","",助手报销!$Q$153)</f>
        <v/>
      </c>
      <c r="N2268" s="80" t="str">
        <f aca="false">IF(助手报销!$R$153="","",INDEX(助手报销!$P$2:$P$121,助手报销!$R$153))</f>
        <v/>
      </c>
      <c r="O2268" s="55" t="str">
        <f aca="false">IF(助手报销!$R$153="","",INDEX(助手报销!$C$2:$C$121,助手报销!$R$153)&amp;"  字第 "&amp;INDEX(助手报销!$P$2:$P$121,助手报销!$R$153)&amp;" 号"&amp;IF(INDEX(助手报销!$L$2:$L$121,助手报销!$R$153)&gt;1,"  (共"&amp;INDEX(助手报销!$L$2:$L$121,助手报销!$R$153)&amp;"页 第"&amp;助手报销!$S$153&amp;"页)",""))</f>
        <v/>
      </c>
    </row>
    <row r="2269" customFormat="false" ht="12.75" hidden="false" customHeight="true" outlineLevel="0" collapsed="false">
      <c r="B2269" s="61" t="str">
        <f aca="false">IF(助手报销!$R$153&lt;&gt;"","摘　　要","")</f>
        <v/>
      </c>
      <c r="C2269" s="61"/>
      <c r="D2269" s="62" t="str">
        <f aca="false">IF(助手报销!$R$153&lt;&gt;"","科　　　　目","")</f>
        <v/>
      </c>
      <c r="E2269" s="62"/>
      <c r="F2269" s="61" t="str">
        <f aca="false">IF(助手报销!$R$153&lt;&gt;"","借 方 金 额","")</f>
        <v/>
      </c>
      <c r="G2269" s="62" t="str">
        <f aca="false">IF(助手报销!$R$153&lt;&gt;"","贷 方 金 额","")</f>
        <v/>
      </c>
      <c r="H2269" s="63" t="str">
        <f aca="false">IF(助手报销!$R$153&lt;&gt;"","√","")</f>
        <v/>
      </c>
      <c r="I2269" s="64" t="str">
        <f aca="false">IF(助手报销!$R$153&lt;&gt;"","附单据  张","")</f>
        <v/>
      </c>
    </row>
    <row r="2270" customFormat="false" ht="12.75" hidden="false" customHeight="true" outlineLevel="0" collapsed="false">
      <c r="B2270" s="61"/>
      <c r="C2270" s="61"/>
      <c r="D2270" s="23" t="str">
        <f aca="false">IF(助手报销!$R$153&lt;&gt;"","总 账 科 目","")</f>
        <v/>
      </c>
      <c r="E2270" s="23" t="str">
        <f aca="false">IF(助手报销!$R$153&lt;&gt;"","明 细 科 目","")</f>
        <v/>
      </c>
      <c r="F2270" s="65"/>
      <c r="G2270" s="66"/>
      <c r="H2270" s="63"/>
      <c r="I2270" s="64"/>
    </row>
    <row r="2271" customFormat="false" ht="23.25" hidden="false" customHeight="true" outlineLevel="0" collapsed="false">
      <c r="B2271" s="67" t="str">
        <f aca="false">IFERROR(INDEX(分录报销!$M:$M,MATCH($L2271,分录报销!$L:$L,0)),"")</f>
        <v/>
      </c>
      <c r="C2271" s="67"/>
      <c r="D2271" s="23" t="str">
        <f aca="false">IFERROR(INDEX(分录报销!$E:$E,MATCH($L2271,分录报销!$L:$L,0)),"")</f>
        <v/>
      </c>
      <c r="E2271" s="23" t="str">
        <f aca="false">IFERROR(INDEX(分录报销!$F:$F,MATCH($L2271,分录报销!$L:$L,0)),"")</f>
        <v/>
      </c>
      <c r="F2271" s="68" t="str">
        <f aca="false">IFERROR(INDEX(分录报销!$H:$H,MATCH($L2271,分录报销!$L:$L,0)),"")</f>
        <v/>
      </c>
      <c r="G2271" s="69" t="str">
        <f aca="false">IFERROR(INDEX(分录报销!$I:$I,MATCH($L2271,分录报销!$L:$L,0)),"")</f>
        <v/>
      </c>
      <c r="H2271" s="23"/>
      <c r="I2271" s="70"/>
      <c r="L2271" s="71" t="n">
        <f aca="false">IF(助手报销!$R$153="",-1,助手报销!$R$153*100+(助手报销!$S$153-1)*6+1)</f>
        <v>-1</v>
      </c>
    </row>
    <row r="2272" customFormat="false" ht="23.25" hidden="false" customHeight="true" outlineLevel="0" collapsed="false">
      <c r="B2272" s="67" t="str">
        <f aca="false">IFERROR(INDEX(分录报销!$M:$M,MATCH($L2272,分录报销!$L:$L,0)),"")</f>
        <v/>
      </c>
      <c r="C2272" s="67"/>
      <c r="D2272" s="23" t="str">
        <f aca="false">IFERROR(INDEX(分录报销!$E:$E,MATCH($L2272,分录报销!$L:$L,0)),"")</f>
        <v/>
      </c>
      <c r="E2272" s="23" t="str">
        <f aca="false">IFERROR(INDEX(分录报销!$F:$F,MATCH($L2272,分录报销!$L:$L,0)),"")</f>
        <v/>
      </c>
      <c r="F2272" s="68" t="str">
        <f aca="false">IFERROR(INDEX(分录报销!$H:$H,MATCH($L2272,分录报销!$L:$L,0)),"")</f>
        <v/>
      </c>
      <c r="G2272" s="69" t="str">
        <f aca="false">IFERROR(INDEX(分录报销!$I:$I,MATCH($L2272,分录报销!$L:$L,0)),"")</f>
        <v/>
      </c>
      <c r="H2272" s="23"/>
      <c r="I2272" s="70"/>
      <c r="L2272" s="71" t="n">
        <f aca="false">IF(助手报销!$R$153="",-1,助手报销!$R$153*100+(助手报销!$S$153-1)*6+2)</f>
        <v>-1</v>
      </c>
    </row>
    <row r="2273" customFormat="false" ht="23.25" hidden="false" customHeight="true" outlineLevel="0" collapsed="false">
      <c r="B2273" s="67" t="str">
        <f aca="false">IFERROR(INDEX(分录报销!$M:$M,MATCH($L2273,分录报销!$L:$L,0)),"")</f>
        <v/>
      </c>
      <c r="C2273" s="67"/>
      <c r="D2273" s="23" t="str">
        <f aca="false">IFERROR(INDEX(分录报销!$E:$E,MATCH($L2273,分录报销!$L:$L,0)),"")</f>
        <v/>
      </c>
      <c r="E2273" s="23" t="str">
        <f aca="false">IFERROR(INDEX(分录报销!$F:$F,MATCH($L2273,分录报销!$L:$L,0)),"")</f>
        <v/>
      </c>
      <c r="F2273" s="68" t="str">
        <f aca="false">IFERROR(INDEX(分录报销!$H:$H,MATCH($L2273,分录报销!$L:$L,0)),"")</f>
        <v/>
      </c>
      <c r="G2273" s="69" t="str">
        <f aca="false">IFERROR(INDEX(分录报销!$I:$I,MATCH($L2273,分录报销!$L:$L,0)),"")</f>
        <v/>
      </c>
      <c r="H2273" s="23"/>
      <c r="I2273" s="70"/>
      <c r="L2273" s="71" t="n">
        <f aca="false">IF(助手报销!$R$153="",-1,助手报销!$R$153*100+(助手报销!$S$153-1)*6+3)</f>
        <v>-1</v>
      </c>
    </row>
    <row r="2274" customFormat="false" ht="23.25" hidden="false" customHeight="true" outlineLevel="0" collapsed="false">
      <c r="B2274" s="67" t="str">
        <f aca="false">IFERROR(INDEX(分录报销!$M:$M,MATCH($L2274,分录报销!$L:$L,0)),"")</f>
        <v/>
      </c>
      <c r="C2274" s="67"/>
      <c r="D2274" s="23" t="str">
        <f aca="false">IFERROR(INDEX(分录报销!$E:$E,MATCH($L2274,分录报销!$L:$L,0)),"")</f>
        <v/>
      </c>
      <c r="E2274" s="23" t="str">
        <f aca="false">IFERROR(INDEX(分录报销!$F:$F,MATCH($L2274,分录报销!$L:$L,0)),"")</f>
        <v/>
      </c>
      <c r="F2274" s="68" t="str">
        <f aca="false">IFERROR(INDEX(分录报销!$H:$H,MATCH($L2274,分录报销!$L:$L,0)),"")</f>
        <v/>
      </c>
      <c r="G2274" s="69" t="str">
        <f aca="false">IFERROR(INDEX(分录报销!$I:$I,MATCH($L2274,分录报销!$L:$L,0)),"")</f>
        <v/>
      </c>
      <c r="H2274" s="23"/>
      <c r="I2274" s="70"/>
      <c r="L2274" s="71" t="n">
        <f aca="false">IF(助手报销!$R$153="",-1,助手报销!$R$153*100+(助手报销!$S$153-1)*6+4)</f>
        <v>-1</v>
      </c>
    </row>
    <row r="2275" customFormat="false" ht="23.25" hidden="false" customHeight="true" outlineLevel="0" collapsed="false">
      <c r="B2275" s="67" t="str">
        <f aca="false">IFERROR(INDEX(分录报销!$M:$M,MATCH($L2275,分录报销!$L:$L,0)),"")</f>
        <v/>
      </c>
      <c r="C2275" s="67"/>
      <c r="D2275" s="23" t="str">
        <f aca="false">IFERROR(INDEX(分录报销!$E:$E,MATCH($L2275,分录报销!$L:$L,0)),"")</f>
        <v/>
      </c>
      <c r="E2275" s="23" t="str">
        <f aca="false">IFERROR(INDEX(分录报销!$F:$F,MATCH($L2275,分录报销!$L:$L,0)),"")</f>
        <v/>
      </c>
      <c r="F2275" s="68" t="str">
        <f aca="false">IFERROR(INDEX(分录报销!$H:$H,MATCH($L2275,分录报销!$L:$L,0)),"")</f>
        <v/>
      </c>
      <c r="G2275" s="69" t="str">
        <f aca="false">IFERROR(INDEX(分录报销!$I:$I,MATCH($L2275,分录报销!$L:$L,0)),"")</f>
        <v/>
      </c>
      <c r="H2275" s="23"/>
      <c r="I2275" s="70"/>
      <c r="L2275" s="71" t="n">
        <f aca="false">IF(助手报销!$R$153="",-1,助手报销!$R$153*100+(助手报销!$S$153-1)*6+5)</f>
        <v>-1</v>
      </c>
    </row>
    <row r="2276" customFormat="false" ht="23.25" hidden="false" customHeight="true" outlineLevel="0" collapsed="false">
      <c r="B2276" s="67" t="str">
        <f aca="false">IFERROR(INDEX(分录报销!$M:$M,MATCH($L2276,分录报销!$L:$L,0)),"")</f>
        <v/>
      </c>
      <c r="C2276" s="67"/>
      <c r="D2276" s="23" t="str">
        <f aca="false">IFERROR(INDEX(分录报销!$E:$E,MATCH($L2276,分录报销!$L:$L,0)),"")</f>
        <v/>
      </c>
      <c r="E2276" s="23" t="str">
        <f aca="false">IFERROR(INDEX(分录报销!$F:$F,MATCH($L2276,分录报销!$L:$L,0)),"")</f>
        <v/>
      </c>
      <c r="F2276" s="68" t="str">
        <f aca="false">IFERROR(INDEX(分录报销!$H:$H,MATCH($L2276,分录报销!$L:$L,0)),"")</f>
        <v/>
      </c>
      <c r="G2276" s="69" t="str">
        <f aca="false">IFERROR(INDEX(分录报销!$I:$I,MATCH($L2276,分录报销!$L:$L,0)),"")</f>
        <v/>
      </c>
      <c r="H2276" s="23"/>
      <c r="I2276" s="70"/>
      <c r="L2276" s="71" t="n">
        <f aca="false">IF(助手报销!$R$153="",-1,助手报销!$R$153*100+(助手报销!$S$153-1)*6+6)</f>
        <v>-1</v>
      </c>
    </row>
    <row r="2277" customFormat="false" ht="23.25" hidden="false" customHeight="true" outlineLevel="0" collapsed="false">
      <c r="B2277" s="72" t="str">
        <f aca="false">IF(助手报销!$T$153=1,"合计：","")</f>
        <v/>
      </c>
      <c r="C2277" s="73" t="str">
        <f aca="false">IF(助手报销!$T$153=1,$F2277,"")</f>
        <v/>
      </c>
      <c r="D2277" s="74"/>
      <c r="E2277" s="74"/>
      <c r="F2277" s="75" t="str">
        <f aca="false">IF(助手报销!$T$153=1,INDEX(助手报销!$N$2:$N$121,助手报销!$R$153),"")</f>
        <v/>
      </c>
      <c r="G2277" s="76" t="str">
        <f aca="false">IF(助手报销!$T$153=1,INDEX(助手报销!$O$2:$O$121,助手报销!$R$153),"")</f>
        <v/>
      </c>
      <c r="H2277" s="74"/>
      <c r="I2277" s="77"/>
    </row>
    <row r="2278" customFormat="false" ht="6" hidden="false" customHeight="true" outlineLevel="0" collapsed="false"/>
    <row r="2279" customFormat="false" ht="13.5" hidden="false" customHeight="false" outlineLevel="0" collapsed="false">
      <c r="B2279" s="78" t="str">
        <f aca="false">IF(助手报销!$R$153&lt;&gt;"","会计主管：","")</f>
        <v/>
      </c>
      <c r="D2279" s="78" t="str">
        <f aca="false">IF(助手报销!$R$153&lt;&gt;"","会计：","")</f>
        <v/>
      </c>
      <c r="E2279" s="78" t="str">
        <f aca="false">IF(助手报销!$R$153&lt;&gt;"","出纳：","")</f>
        <v/>
      </c>
      <c r="F2279" s="78" t="str">
        <f aca="false">IF(助手报销!$R$153&lt;&gt;"","复核：","")</f>
        <v/>
      </c>
      <c r="G2279" s="78" t="str">
        <f aca="false">IF(助手报销!$R$153&lt;&gt;"","制单：","")</f>
        <v/>
      </c>
    </row>
    <row r="2280" customFormat="false" ht="3" hidden="false" customHeight="true" outlineLevel="0" collapsed="false"/>
    <row r="2281" customFormat="false" ht="19.5" hidden="false" customHeight="true" outlineLevel="0" collapsed="false">
      <c r="B2281" s="53" t="str">
        <f aca="false">IF(助手报销!$R$154&lt;&gt;"","记  账  凭  证","")</f>
        <v/>
      </c>
      <c r="C2281" s="53"/>
      <c r="D2281" s="53"/>
      <c r="E2281" s="53"/>
      <c r="F2281" s="53"/>
      <c r="G2281" s="53"/>
      <c r="H2281" s="53"/>
      <c r="I2281" s="53"/>
    </row>
    <row r="2282" customFormat="false" ht="3" hidden="false" customHeight="true" outlineLevel="0" collapsed="false"/>
    <row r="2283" customFormat="false" ht="15" hidden="false" customHeight="true" outlineLevel="0" collapsed="false">
      <c r="C2283" s="56" t="str">
        <f aca="false">IF(助手报销!$R$154&lt;&gt;"",INDEX(助手报销!$B$2:$B$121,助手报销!$R$154),"")</f>
        <v/>
      </c>
      <c r="D2283" s="57" t="str">
        <f aca="false">IF(助手报销!$R$154&lt;&gt;"",INDEX(助手报销!$D$2:$D$121,助手报销!$R$154),"")</f>
        <v/>
      </c>
      <c r="E2283" s="57"/>
      <c r="F2283" s="58" t="str">
        <f aca="false">IF(助手报销!$R$154&lt;&gt;"",INDEX(助手报销!$C$2:$C$121,助手报销!$R$154)&amp;"  字第 "&amp;IF(参数!$B$9="是",INDEX(助手报销!$P$2:$P$121,助手报销!$R$154),"　　　　")&amp;" 号"&amp;IF(INDEX(助手报销!$L$2:$L$121,助手报销!$R$154)&gt;1,"  (共"&amp;INDEX(助手报销!$L$2:$L$121,助手报销!$R$154)&amp;"页 第"&amp;助手报销!$S$154&amp;"页)",""),"")</f>
        <v/>
      </c>
      <c r="G2283" s="58"/>
      <c r="H2283" s="58"/>
      <c r="I2283" s="58"/>
      <c r="M2283" s="79" t="str">
        <f aca="false">IF(助手报销!$R$154="","",助手报销!$Q$154)</f>
        <v/>
      </c>
      <c r="N2283" s="80" t="str">
        <f aca="false">IF(助手报销!$R$154="","",INDEX(助手报销!$P$2:$P$121,助手报销!$R$154))</f>
        <v/>
      </c>
      <c r="O2283" s="55" t="str">
        <f aca="false">IF(助手报销!$R$154="","",INDEX(助手报销!$C$2:$C$121,助手报销!$R$154)&amp;"  字第 "&amp;INDEX(助手报销!$P$2:$P$121,助手报销!$R$154)&amp;" 号"&amp;IF(INDEX(助手报销!$L$2:$L$121,助手报销!$R$154)&gt;1,"  (共"&amp;INDEX(助手报销!$L$2:$L$121,助手报销!$R$154)&amp;"页 第"&amp;助手报销!$S$154&amp;"页)",""))</f>
        <v/>
      </c>
    </row>
    <row r="2284" customFormat="false" ht="12.75" hidden="false" customHeight="true" outlineLevel="0" collapsed="false">
      <c r="B2284" s="61" t="str">
        <f aca="false">IF(助手报销!$R$154&lt;&gt;"","摘　　要","")</f>
        <v/>
      </c>
      <c r="C2284" s="61"/>
      <c r="D2284" s="62" t="str">
        <f aca="false">IF(助手报销!$R$154&lt;&gt;"","科　　　　目","")</f>
        <v/>
      </c>
      <c r="E2284" s="62"/>
      <c r="F2284" s="61" t="str">
        <f aca="false">IF(助手报销!$R$154&lt;&gt;"","借 方 金 额","")</f>
        <v/>
      </c>
      <c r="G2284" s="62" t="str">
        <f aca="false">IF(助手报销!$R$154&lt;&gt;"","贷 方 金 额","")</f>
        <v/>
      </c>
      <c r="H2284" s="63" t="str">
        <f aca="false">IF(助手报销!$R$154&lt;&gt;"","√","")</f>
        <v/>
      </c>
      <c r="I2284" s="64" t="str">
        <f aca="false">IF(助手报销!$R$154&lt;&gt;"","附单据  张","")</f>
        <v/>
      </c>
    </row>
    <row r="2285" customFormat="false" ht="12.75" hidden="false" customHeight="true" outlineLevel="0" collapsed="false">
      <c r="B2285" s="61"/>
      <c r="C2285" s="61"/>
      <c r="D2285" s="23" t="str">
        <f aca="false">IF(助手报销!$R$154&lt;&gt;"","总 账 科 目","")</f>
        <v/>
      </c>
      <c r="E2285" s="23" t="str">
        <f aca="false">IF(助手报销!$R$154&lt;&gt;"","明 细 科 目","")</f>
        <v/>
      </c>
      <c r="F2285" s="65"/>
      <c r="G2285" s="66"/>
      <c r="H2285" s="63"/>
      <c r="I2285" s="64"/>
    </row>
    <row r="2286" customFormat="false" ht="23.25" hidden="false" customHeight="true" outlineLevel="0" collapsed="false">
      <c r="B2286" s="67" t="str">
        <f aca="false">IFERROR(INDEX(分录报销!$M:$M,MATCH($L2286,分录报销!$L:$L,0)),"")</f>
        <v/>
      </c>
      <c r="C2286" s="67"/>
      <c r="D2286" s="23" t="str">
        <f aca="false">IFERROR(INDEX(分录报销!$E:$E,MATCH($L2286,分录报销!$L:$L,0)),"")</f>
        <v/>
      </c>
      <c r="E2286" s="23" t="str">
        <f aca="false">IFERROR(INDEX(分录报销!$F:$F,MATCH($L2286,分录报销!$L:$L,0)),"")</f>
        <v/>
      </c>
      <c r="F2286" s="68" t="str">
        <f aca="false">IFERROR(INDEX(分录报销!$H:$H,MATCH($L2286,分录报销!$L:$L,0)),"")</f>
        <v/>
      </c>
      <c r="G2286" s="69" t="str">
        <f aca="false">IFERROR(INDEX(分录报销!$I:$I,MATCH($L2286,分录报销!$L:$L,0)),"")</f>
        <v/>
      </c>
      <c r="H2286" s="23"/>
      <c r="I2286" s="70"/>
      <c r="L2286" s="71" t="n">
        <f aca="false">IF(助手报销!$R$154="",-1,助手报销!$R$154*100+(助手报销!$S$154-1)*6+1)</f>
        <v>-1</v>
      </c>
    </row>
    <row r="2287" customFormat="false" ht="23.25" hidden="false" customHeight="true" outlineLevel="0" collapsed="false">
      <c r="B2287" s="67" t="str">
        <f aca="false">IFERROR(INDEX(分录报销!$M:$M,MATCH($L2287,分录报销!$L:$L,0)),"")</f>
        <v/>
      </c>
      <c r="C2287" s="67"/>
      <c r="D2287" s="23" t="str">
        <f aca="false">IFERROR(INDEX(分录报销!$E:$E,MATCH($L2287,分录报销!$L:$L,0)),"")</f>
        <v/>
      </c>
      <c r="E2287" s="23" t="str">
        <f aca="false">IFERROR(INDEX(分录报销!$F:$F,MATCH($L2287,分录报销!$L:$L,0)),"")</f>
        <v/>
      </c>
      <c r="F2287" s="68" t="str">
        <f aca="false">IFERROR(INDEX(分录报销!$H:$H,MATCH($L2287,分录报销!$L:$L,0)),"")</f>
        <v/>
      </c>
      <c r="G2287" s="69" t="str">
        <f aca="false">IFERROR(INDEX(分录报销!$I:$I,MATCH($L2287,分录报销!$L:$L,0)),"")</f>
        <v/>
      </c>
      <c r="H2287" s="23"/>
      <c r="I2287" s="70"/>
      <c r="L2287" s="71" t="n">
        <f aca="false">IF(助手报销!$R$154="",-1,助手报销!$R$154*100+(助手报销!$S$154-1)*6+2)</f>
        <v>-1</v>
      </c>
    </row>
    <row r="2288" customFormat="false" ht="23.25" hidden="false" customHeight="true" outlineLevel="0" collapsed="false">
      <c r="B2288" s="67" t="str">
        <f aca="false">IFERROR(INDEX(分录报销!$M:$M,MATCH($L2288,分录报销!$L:$L,0)),"")</f>
        <v/>
      </c>
      <c r="C2288" s="67"/>
      <c r="D2288" s="23" t="str">
        <f aca="false">IFERROR(INDEX(分录报销!$E:$E,MATCH($L2288,分录报销!$L:$L,0)),"")</f>
        <v/>
      </c>
      <c r="E2288" s="23" t="str">
        <f aca="false">IFERROR(INDEX(分录报销!$F:$F,MATCH($L2288,分录报销!$L:$L,0)),"")</f>
        <v/>
      </c>
      <c r="F2288" s="68" t="str">
        <f aca="false">IFERROR(INDEX(分录报销!$H:$H,MATCH($L2288,分录报销!$L:$L,0)),"")</f>
        <v/>
      </c>
      <c r="G2288" s="69" t="str">
        <f aca="false">IFERROR(INDEX(分录报销!$I:$I,MATCH($L2288,分录报销!$L:$L,0)),"")</f>
        <v/>
      </c>
      <c r="H2288" s="23"/>
      <c r="I2288" s="70"/>
      <c r="L2288" s="71" t="n">
        <f aca="false">IF(助手报销!$R$154="",-1,助手报销!$R$154*100+(助手报销!$S$154-1)*6+3)</f>
        <v>-1</v>
      </c>
    </row>
    <row r="2289" customFormat="false" ht="23.25" hidden="false" customHeight="true" outlineLevel="0" collapsed="false">
      <c r="B2289" s="67" t="str">
        <f aca="false">IFERROR(INDEX(分录报销!$M:$M,MATCH($L2289,分录报销!$L:$L,0)),"")</f>
        <v/>
      </c>
      <c r="C2289" s="67"/>
      <c r="D2289" s="23" t="str">
        <f aca="false">IFERROR(INDEX(分录报销!$E:$E,MATCH($L2289,分录报销!$L:$L,0)),"")</f>
        <v/>
      </c>
      <c r="E2289" s="23" t="str">
        <f aca="false">IFERROR(INDEX(分录报销!$F:$F,MATCH($L2289,分录报销!$L:$L,0)),"")</f>
        <v/>
      </c>
      <c r="F2289" s="68" t="str">
        <f aca="false">IFERROR(INDEX(分录报销!$H:$H,MATCH($L2289,分录报销!$L:$L,0)),"")</f>
        <v/>
      </c>
      <c r="G2289" s="69" t="str">
        <f aca="false">IFERROR(INDEX(分录报销!$I:$I,MATCH($L2289,分录报销!$L:$L,0)),"")</f>
        <v/>
      </c>
      <c r="H2289" s="23"/>
      <c r="I2289" s="70"/>
      <c r="L2289" s="71" t="n">
        <f aca="false">IF(助手报销!$R$154="",-1,助手报销!$R$154*100+(助手报销!$S$154-1)*6+4)</f>
        <v>-1</v>
      </c>
    </row>
    <row r="2290" customFormat="false" ht="23.25" hidden="false" customHeight="true" outlineLevel="0" collapsed="false">
      <c r="B2290" s="67" t="str">
        <f aca="false">IFERROR(INDEX(分录报销!$M:$M,MATCH($L2290,分录报销!$L:$L,0)),"")</f>
        <v/>
      </c>
      <c r="C2290" s="67"/>
      <c r="D2290" s="23" t="str">
        <f aca="false">IFERROR(INDEX(分录报销!$E:$E,MATCH($L2290,分录报销!$L:$L,0)),"")</f>
        <v/>
      </c>
      <c r="E2290" s="23" t="str">
        <f aca="false">IFERROR(INDEX(分录报销!$F:$F,MATCH($L2290,分录报销!$L:$L,0)),"")</f>
        <v/>
      </c>
      <c r="F2290" s="68" t="str">
        <f aca="false">IFERROR(INDEX(分录报销!$H:$H,MATCH($L2290,分录报销!$L:$L,0)),"")</f>
        <v/>
      </c>
      <c r="G2290" s="69" t="str">
        <f aca="false">IFERROR(INDEX(分录报销!$I:$I,MATCH($L2290,分录报销!$L:$L,0)),"")</f>
        <v/>
      </c>
      <c r="H2290" s="23"/>
      <c r="I2290" s="70"/>
      <c r="L2290" s="71" t="n">
        <f aca="false">IF(助手报销!$R$154="",-1,助手报销!$R$154*100+(助手报销!$S$154-1)*6+5)</f>
        <v>-1</v>
      </c>
    </row>
    <row r="2291" customFormat="false" ht="23.25" hidden="false" customHeight="true" outlineLevel="0" collapsed="false">
      <c r="B2291" s="67" t="str">
        <f aca="false">IFERROR(INDEX(分录报销!$M:$M,MATCH($L2291,分录报销!$L:$L,0)),"")</f>
        <v/>
      </c>
      <c r="C2291" s="67"/>
      <c r="D2291" s="23" t="str">
        <f aca="false">IFERROR(INDEX(分录报销!$E:$E,MATCH($L2291,分录报销!$L:$L,0)),"")</f>
        <v/>
      </c>
      <c r="E2291" s="23" t="str">
        <f aca="false">IFERROR(INDEX(分录报销!$F:$F,MATCH($L2291,分录报销!$L:$L,0)),"")</f>
        <v/>
      </c>
      <c r="F2291" s="68" t="str">
        <f aca="false">IFERROR(INDEX(分录报销!$H:$H,MATCH($L2291,分录报销!$L:$L,0)),"")</f>
        <v/>
      </c>
      <c r="G2291" s="69" t="str">
        <f aca="false">IFERROR(INDEX(分录报销!$I:$I,MATCH($L2291,分录报销!$L:$L,0)),"")</f>
        <v/>
      </c>
      <c r="H2291" s="23"/>
      <c r="I2291" s="70"/>
      <c r="L2291" s="71" t="n">
        <f aca="false">IF(助手报销!$R$154="",-1,助手报销!$R$154*100+(助手报销!$S$154-1)*6+6)</f>
        <v>-1</v>
      </c>
    </row>
    <row r="2292" customFormat="false" ht="23.25" hidden="false" customHeight="true" outlineLevel="0" collapsed="false">
      <c r="B2292" s="72" t="str">
        <f aca="false">IF(助手报销!$T$154=1,"合计：","")</f>
        <v/>
      </c>
      <c r="C2292" s="73" t="str">
        <f aca="false">IF(助手报销!$T$154=1,$F2292,"")</f>
        <v/>
      </c>
      <c r="D2292" s="74"/>
      <c r="E2292" s="74"/>
      <c r="F2292" s="75" t="str">
        <f aca="false">IF(助手报销!$T$154=1,INDEX(助手报销!$N$2:$N$121,助手报销!$R$154),"")</f>
        <v/>
      </c>
      <c r="G2292" s="76" t="str">
        <f aca="false">IF(助手报销!$T$154=1,INDEX(助手报销!$O$2:$O$121,助手报销!$R$154),"")</f>
        <v/>
      </c>
      <c r="H2292" s="74"/>
      <c r="I2292" s="77"/>
    </row>
    <row r="2293" customFormat="false" ht="6" hidden="false" customHeight="true" outlineLevel="0" collapsed="false"/>
    <row r="2294" customFormat="false" ht="13.5" hidden="false" customHeight="false" outlineLevel="0" collapsed="false">
      <c r="B2294" s="78" t="str">
        <f aca="false">IF(助手报销!$R$154&lt;&gt;"","会计主管：","")</f>
        <v/>
      </c>
      <c r="D2294" s="78" t="str">
        <f aca="false">IF(助手报销!$R$154&lt;&gt;"","会计：","")</f>
        <v/>
      </c>
      <c r="E2294" s="78" t="str">
        <f aca="false">IF(助手报销!$R$154&lt;&gt;"","出纳：","")</f>
        <v/>
      </c>
      <c r="F2294" s="78" t="str">
        <f aca="false">IF(助手报销!$R$154&lt;&gt;"","复核：","")</f>
        <v/>
      </c>
      <c r="G2294" s="78" t="str">
        <f aca="false">IF(助手报销!$R$154&lt;&gt;"","制单：","")</f>
        <v/>
      </c>
    </row>
    <row r="2295" customFormat="false" ht="3" hidden="false" customHeight="true" outlineLevel="0" collapsed="false"/>
    <row r="2296" customFormat="false" ht="19.5" hidden="false" customHeight="true" outlineLevel="0" collapsed="false">
      <c r="B2296" s="53" t="str">
        <f aca="false">IF(助手报销!$R$155&lt;&gt;"","记  账  凭  证","")</f>
        <v/>
      </c>
      <c r="C2296" s="53"/>
      <c r="D2296" s="53"/>
      <c r="E2296" s="53"/>
      <c r="F2296" s="53"/>
      <c r="G2296" s="53"/>
      <c r="H2296" s="53"/>
      <c r="I2296" s="53"/>
    </row>
    <row r="2297" customFormat="false" ht="3" hidden="false" customHeight="true" outlineLevel="0" collapsed="false"/>
    <row r="2298" customFormat="false" ht="15" hidden="false" customHeight="true" outlineLevel="0" collapsed="false">
      <c r="C2298" s="56" t="str">
        <f aca="false">IF(助手报销!$R$155&lt;&gt;"",INDEX(助手报销!$B$2:$B$121,助手报销!$R$155),"")</f>
        <v/>
      </c>
      <c r="D2298" s="57" t="str">
        <f aca="false">IF(助手报销!$R$155&lt;&gt;"",INDEX(助手报销!$D$2:$D$121,助手报销!$R$155),"")</f>
        <v/>
      </c>
      <c r="E2298" s="57"/>
      <c r="F2298" s="58" t="str">
        <f aca="false">IF(助手报销!$R$155&lt;&gt;"",INDEX(助手报销!$C$2:$C$121,助手报销!$R$155)&amp;"  字第 "&amp;IF(参数!$B$9="是",INDEX(助手报销!$P$2:$P$121,助手报销!$R$155),"　　　　")&amp;" 号"&amp;IF(INDEX(助手报销!$L$2:$L$121,助手报销!$R$155)&gt;1,"  (共"&amp;INDEX(助手报销!$L$2:$L$121,助手报销!$R$155)&amp;"页 第"&amp;助手报销!$S$155&amp;"页)",""),"")</f>
        <v/>
      </c>
      <c r="G2298" s="58"/>
      <c r="H2298" s="58"/>
      <c r="I2298" s="58"/>
      <c r="M2298" s="79" t="str">
        <f aca="false">IF(助手报销!$R$155="","",助手报销!$Q$155)</f>
        <v/>
      </c>
      <c r="N2298" s="80" t="str">
        <f aca="false">IF(助手报销!$R$155="","",INDEX(助手报销!$P$2:$P$121,助手报销!$R$155))</f>
        <v/>
      </c>
      <c r="O2298" s="55" t="str">
        <f aca="false">IF(助手报销!$R$155="","",INDEX(助手报销!$C$2:$C$121,助手报销!$R$155)&amp;"  字第 "&amp;INDEX(助手报销!$P$2:$P$121,助手报销!$R$155)&amp;" 号"&amp;IF(INDEX(助手报销!$L$2:$L$121,助手报销!$R$155)&gt;1,"  (共"&amp;INDEX(助手报销!$L$2:$L$121,助手报销!$R$155)&amp;"页 第"&amp;助手报销!$S$155&amp;"页)",""))</f>
        <v/>
      </c>
    </row>
    <row r="2299" customFormat="false" ht="12.75" hidden="false" customHeight="true" outlineLevel="0" collapsed="false">
      <c r="B2299" s="61" t="str">
        <f aca="false">IF(助手报销!$R$155&lt;&gt;"","摘　　要","")</f>
        <v/>
      </c>
      <c r="C2299" s="61"/>
      <c r="D2299" s="62" t="str">
        <f aca="false">IF(助手报销!$R$155&lt;&gt;"","科　　　　目","")</f>
        <v/>
      </c>
      <c r="E2299" s="62"/>
      <c r="F2299" s="61" t="str">
        <f aca="false">IF(助手报销!$R$155&lt;&gt;"","借 方 金 额","")</f>
        <v/>
      </c>
      <c r="G2299" s="62" t="str">
        <f aca="false">IF(助手报销!$R$155&lt;&gt;"","贷 方 金 额","")</f>
        <v/>
      </c>
      <c r="H2299" s="63" t="str">
        <f aca="false">IF(助手报销!$R$155&lt;&gt;"","√","")</f>
        <v/>
      </c>
      <c r="I2299" s="64" t="str">
        <f aca="false">IF(助手报销!$R$155&lt;&gt;"","附单据  张","")</f>
        <v/>
      </c>
    </row>
    <row r="2300" customFormat="false" ht="12.75" hidden="false" customHeight="true" outlineLevel="0" collapsed="false">
      <c r="B2300" s="61"/>
      <c r="C2300" s="61"/>
      <c r="D2300" s="23" t="str">
        <f aca="false">IF(助手报销!$R$155&lt;&gt;"","总 账 科 目","")</f>
        <v/>
      </c>
      <c r="E2300" s="23" t="str">
        <f aca="false">IF(助手报销!$R$155&lt;&gt;"","明 细 科 目","")</f>
        <v/>
      </c>
      <c r="F2300" s="65"/>
      <c r="G2300" s="66"/>
      <c r="H2300" s="63"/>
      <c r="I2300" s="64"/>
    </row>
    <row r="2301" customFormat="false" ht="23.25" hidden="false" customHeight="true" outlineLevel="0" collapsed="false">
      <c r="B2301" s="67" t="str">
        <f aca="false">IFERROR(INDEX(分录报销!$M:$M,MATCH($L2301,分录报销!$L:$L,0)),"")</f>
        <v/>
      </c>
      <c r="C2301" s="67"/>
      <c r="D2301" s="23" t="str">
        <f aca="false">IFERROR(INDEX(分录报销!$E:$E,MATCH($L2301,分录报销!$L:$L,0)),"")</f>
        <v/>
      </c>
      <c r="E2301" s="23" t="str">
        <f aca="false">IFERROR(INDEX(分录报销!$F:$F,MATCH($L2301,分录报销!$L:$L,0)),"")</f>
        <v/>
      </c>
      <c r="F2301" s="68" t="str">
        <f aca="false">IFERROR(INDEX(分录报销!$H:$H,MATCH($L2301,分录报销!$L:$L,0)),"")</f>
        <v/>
      </c>
      <c r="G2301" s="69" t="str">
        <f aca="false">IFERROR(INDEX(分录报销!$I:$I,MATCH($L2301,分录报销!$L:$L,0)),"")</f>
        <v/>
      </c>
      <c r="H2301" s="23"/>
      <c r="I2301" s="70"/>
      <c r="L2301" s="71" t="n">
        <f aca="false">IF(助手报销!$R$155="",-1,助手报销!$R$155*100+(助手报销!$S$155-1)*6+1)</f>
        <v>-1</v>
      </c>
    </row>
    <row r="2302" customFormat="false" ht="23.25" hidden="false" customHeight="true" outlineLevel="0" collapsed="false">
      <c r="B2302" s="67" t="str">
        <f aca="false">IFERROR(INDEX(分录报销!$M:$M,MATCH($L2302,分录报销!$L:$L,0)),"")</f>
        <v/>
      </c>
      <c r="C2302" s="67"/>
      <c r="D2302" s="23" t="str">
        <f aca="false">IFERROR(INDEX(分录报销!$E:$E,MATCH($L2302,分录报销!$L:$L,0)),"")</f>
        <v/>
      </c>
      <c r="E2302" s="23" t="str">
        <f aca="false">IFERROR(INDEX(分录报销!$F:$F,MATCH($L2302,分录报销!$L:$L,0)),"")</f>
        <v/>
      </c>
      <c r="F2302" s="68" t="str">
        <f aca="false">IFERROR(INDEX(分录报销!$H:$H,MATCH($L2302,分录报销!$L:$L,0)),"")</f>
        <v/>
      </c>
      <c r="G2302" s="69" t="str">
        <f aca="false">IFERROR(INDEX(分录报销!$I:$I,MATCH($L2302,分录报销!$L:$L,0)),"")</f>
        <v/>
      </c>
      <c r="H2302" s="23"/>
      <c r="I2302" s="70"/>
      <c r="L2302" s="71" t="n">
        <f aca="false">IF(助手报销!$R$155="",-1,助手报销!$R$155*100+(助手报销!$S$155-1)*6+2)</f>
        <v>-1</v>
      </c>
    </row>
    <row r="2303" customFormat="false" ht="23.25" hidden="false" customHeight="true" outlineLevel="0" collapsed="false">
      <c r="B2303" s="67" t="str">
        <f aca="false">IFERROR(INDEX(分录报销!$M:$M,MATCH($L2303,分录报销!$L:$L,0)),"")</f>
        <v/>
      </c>
      <c r="C2303" s="67"/>
      <c r="D2303" s="23" t="str">
        <f aca="false">IFERROR(INDEX(分录报销!$E:$E,MATCH($L2303,分录报销!$L:$L,0)),"")</f>
        <v/>
      </c>
      <c r="E2303" s="23" t="str">
        <f aca="false">IFERROR(INDEX(分录报销!$F:$F,MATCH($L2303,分录报销!$L:$L,0)),"")</f>
        <v/>
      </c>
      <c r="F2303" s="68" t="str">
        <f aca="false">IFERROR(INDEX(分录报销!$H:$H,MATCH($L2303,分录报销!$L:$L,0)),"")</f>
        <v/>
      </c>
      <c r="G2303" s="69" t="str">
        <f aca="false">IFERROR(INDEX(分录报销!$I:$I,MATCH($L2303,分录报销!$L:$L,0)),"")</f>
        <v/>
      </c>
      <c r="H2303" s="23"/>
      <c r="I2303" s="70"/>
      <c r="L2303" s="71" t="n">
        <f aca="false">IF(助手报销!$R$155="",-1,助手报销!$R$155*100+(助手报销!$S$155-1)*6+3)</f>
        <v>-1</v>
      </c>
    </row>
    <row r="2304" customFormat="false" ht="23.25" hidden="false" customHeight="true" outlineLevel="0" collapsed="false">
      <c r="B2304" s="67" t="str">
        <f aca="false">IFERROR(INDEX(分录报销!$M:$M,MATCH($L2304,分录报销!$L:$L,0)),"")</f>
        <v/>
      </c>
      <c r="C2304" s="67"/>
      <c r="D2304" s="23" t="str">
        <f aca="false">IFERROR(INDEX(分录报销!$E:$E,MATCH($L2304,分录报销!$L:$L,0)),"")</f>
        <v/>
      </c>
      <c r="E2304" s="23" t="str">
        <f aca="false">IFERROR(INDEX(分录报销!$F:$F,MATCH($L2304,分录报销!$L:$L,0)),"")</f>
        <v/>
      </c>
      <c r="F2304" s="68" t="str">
        <f aca="false">IFERROR(INDEX(分录报销!$H:$H,MATCH($L2304,分录报销!$L:$L,0)),"")</f>
        <v/>
      </c>
      <c r="G2304" s="69" t="str">
        <f aca="false">IFERROR(INDEX(分录报销!$I:$I,MATCH($L2304,分录报销!$L:$L,0)),"")</f>
        <v/>
      </c>
      <c r="H2304" s="23"/>
      <c r="I2304" s="70"/>
      <c r="L2304" s="71" t="n">
        <f aca="false">IF(助手报销!$R$155="",-1,助手报销!$R$155*100+(助手报销!$S$155-1)*6+4)</f>
        <v>-1</v>
      </c>
    </row>
    <row r="2305" customFormat="false" ht="23.25" hidden="false" customHeight="true" outlineLevel="0" collapsed="false">
      <c r="B2305" s="67" t="str">
        <f aca="false">IFERROR(INDEX(分录报销!$M:$M,MATCH($L2305,分录报销!$L:$L,0)),"")</f>
        <v/>
      </c>
      <c r="C2305" s="67"/>
      <c r="D2305" s="23" t="str">
        <f aca="false">IFERROR(INDEX(分录报销!$E:$E,MATCH($L2305,分录报销!$L:$L,0)),"")</f>
        <v/>
      </c>
      <c r="E2305" s="23" t="str">
        <f aca="false">IFERROR(INDEX(分录报销!$F:$F,MATCH($L2305,分录报销!$L:$L,0)),"")</f>
        <v/>
      </c>
      <c r="F2305" s="68" t="str">
        <f aca="false">IFERROR(INDEX(分录报销!$H:$H,MATCH($L2305,分录报销!$L:$L,0)),"")</f>
        <v/>
      </c>
      <c r="G2305" s="69" t="str">
        <f aca="false">IFERROR(INDEX(分录报销!$I:$I,MATCH($L2305,分录报销!$L:$L,0)),"")</f>
        <v/>
      </c>
      <c r="H2305" s="23"/>
      <c r="I2305" s="70"/>
      <c r="L2305" s="71" t="n">
        <f aca="false">IF(助手报销!$R$155="",-1,助手报销!$R$155*100+(助手报销!$S$155-1)*6+5)</f>
        <v>-1</v>
      </c>
    </row>
    <row r="2306" customFormat="false" ht="23.25" hidden="false" customHeight="true" outlineLevel="0" collapsed="false">
      <c r="B2306" s="67" t="str">
        <f aca="false">IFERROR(INDEX(分录报销!$M:$M,MATCH($L2306,分录报销!$L:$L,0)),"")</f>
        <v/>
      </c>
      <c r="C2306" s="67"/>
      <c r="D2306" s="23" t="str">
        <f aca="false">IFERROR(INDEX(分录报销!$E:$E,MATCH($L2306,分录报销!$L:$L,0)),"")</f>
        <v/>
      </c>
      <c r="E2306" s="23" t="str">
        <f aca="false">IFERROR(INDEX(分录报销!$F:$F,MATCH($L2306,分录报销!$L:$L,0)),"")</f>
        <v/>
      </c>
      <c r="F2306" s="68" t="str">
        <f aca="false">IFERROR(INDEX(分录报销!$H:$H,MATCH($L2306,分录报销!$L:$L,0)),"")</f>
        <v/>
      </c>
      <c r="G2306" s="69" t="str">
        <f aca="false">IFERROR(INDEX(分录报销!$I:$I,MATCH($L2306,分录报销!$L:$L,0)),"")</f>
        <v/>
      </c>
      <c r="H2306" s="23"/>
      <c r="I2306" s="70"/>
      <c r="L2306" s="71" t="n">
        <f aca="false">IF(助手报销!$R$155="",-1,助手报销!$R$155*100+(助手报销!$S$155-1)*6+6)</f>
        <v>-1</v>
      </c>
    </row>
    <row r="2307" customFormat="false" ht="23.25" hidden="false" customHeight="true" outlineLevel="0" collapsed="false">
      <c r="B2307" s="72" t="str">
        <f aca="false">IF(助手报销!$T$155=1,"合计：","")</f>
        <v/>
      </c>
      <c r="C2307" s="73" t="str">
        <f aca="false">IF(助手报销!$T$155=1,$F2307,"")</f>
        <v/>
      </c>
      <c r="D2307" s="74"/>
      <c r="E2307" s="74"/>
      <c r="F2307" s="75" t="str">
        <f aca="false">IF(助手报销!$T$155=1,INDEX(助手报销!$N$2:$N$121,助手报销!$R$155),"")</f>
        <v/>
      </c>
      <c r="G2307" s="76" t="str">
        <f aca="false">IF(助手报销!$T$155=1,INDEX(助手报销!$O$2:$O$121,助手报销!$R$155),"")</f>
        <v/>
      </c>
      <c r="H2307" s="74"/>
      <c r="I2307" s="77"/>
    </row>
    <row r="2308" customFormat="false" ht="6" hidden="false" customHeight="true" outlineLevel="0" collapsed="false"/>
    <row r="2309" customFormat="false" ht="13.5" hidden="false" customHeight="false" outlineLevel="0" collapsed="false">
      <c r="B2309" s="78" t="str">
        <f aca="false">IF(助手报销!$R$155&lt;&gt;"","会计主管：","")</f>
        <v/>
      </c>
      <c r="D2309" s="78" t="str">
        <f aca="false">IF(助手报销!$R$155&lt;&gt;"","会计：","")</f>
        <v/>
      </c>
      <c r="E2309" s="78" t="str">
        <f aca="false">IF(助手报销!$R$155&lt;&gt;"","出纳：","")</f>
        <v/>
      </c>
      <c r="F2309" s="78" t="str">
        <f aca="false">IF(助手报销!$R$155&lt;&gt;"","复核：","")</f>
        <v/>
      </c>
      <c r="G2309" s="78" t="str">
        <f aca="false">IF(助手报销!$R$155&lt;&gt;"","制单：","")</f>
        <v/>
      </c>
    </row>
    <row r="2310" customFormat="false" ht="3" hidden="false" customHeight="true" outlineLevel="0" collapsed="false"/>
    <row r="2311" customFormat="false" ht="19.5" hidden="false" customHeight="true" outlineLevel="0" collapsed="false">
      <c r="B2311" s="53" t="str">
        <f aca="false">IF(助手报销!$R$156&lt;&gt;"","记  账  凭  证","")</f>
        <v/>
      </c>
      <c r="C2311" s="53"/>
      <c r="D2311" s="53"/>
      <c r="E2311" s="53"/>
      <c r="F2311" s="53"/>
      <c r="G2311" s="53"/>
      <c r="H2311" s="53"/>
      <c r="I2311" s="53"/>
    </row>
    <row r="2312" customFormat="false" ht="3" hidden="false" customHeight="true" outlineLevel="0" collapsed="false"/>
    <row r="2313" customFormat="false" ht="15" hidden="false" customHeight="true" outlineLevel="0" collapsed="false">
      <c r="C2313" s="56" t="str">
        <f aca="false">IF(助手报销!$R$156&lt;&gt;"",INDEX(助手报销!$B$2:$B$121,助手报销!$R$156),"")</f>
        <v/>
      </c>
      <c r="D2313" s="57" t="str">
        <f aca="false">IF(助手报销!$R$156&lt;&gt;"",INDEX(助手报销!$D$2:$D$121,助手报销!$R$156),"")</f>
        <v/>
      </c>
      <c r="E2313" s="57"/>
      <c r="F2313" s="58" t="str">
        <f aca="false">IF(助手报销!$R$156&lt;&gt;"",INDEX(助手报销!$C$2:$C$121,助手报销!$R$156)&amp;"  字第 "&amp;IF(参数!$B$9="是",INDEX(助手报销!$P$2:$P$121,助手报销!$R$156),"　　　　")&amp;" 号"&amp;IF(INDEX(助手报销!$L$2:$L$121,助手报销!$R$156)&gt;1,"  (共"&amp;INDEX(助手报销!$L$2:$L$121,助手报销!$R$156)&amp;"页 第"&amp;助手报销!$S$156&amp;"页)",""),"")</f>
        <v/>
      </c>
      <c r="G2313" s="58"/>
      <c r="H2313" s="58"/>
      <c r="I2313" s="58"/>
      <c r="M2313" s="79" t="str">
        <f aca="false">IF(助手报销!$R$156="","",助手报销!$Q$156)</f>
        <v/>
      </c>
      <c r="N2313" s="80" t="str">
        <f aca="false">IF(助手报销!$R$156="","",INDEX(助手报销!$P$2:$P$121,助手报销!$R$156))</f>
        <v/>
      </c>
      <c r="O2313" s="55" t="str">
        <f aca="false">IF(助手报销!$R$156="","",INDEX(助手报销!$C$2:$C$121,助手报销!$R$156)&amp;"  字第 "&amp;INDEX(助手报销!$P$2:$P$121,助手报销!$R$156)&amp;" 号"&amp;IF(INDEX(助手报销!$L$2:$L$121,助手报销!$R$156)&gt;1,"  (共"&amp;INDEX(助手报销!$L$2:$L$121,助手报销!$R$156)&amp;"页 第"&amp;助手报销!$S$156&amp;"页)",""))</f>
        <v/>
      </c>
    </row>
    <row r="2314" customFormat="false" ht="12.75" hidden="false" customHeight="true" outlineLevel="0" collapsed="false">
      <c r="B2314" s="61" t="str">
        <f aca="false">IF(助手报销!$R$156&lt;&gt;"","摘　　要","")</f>
        <v/>
      </c>
      <c r="C2314" s="61"/>
      <c r="D2314" s="62" t="str">
        <f aca="false">IF(助手报销!$R$156&lt;&gt;"","科　　　　目","")</f>
        <v/>
      </c>
      <c r="E2314" s="62"/>
      <c r="F2314" s="61" t="str">
        <f aca="false">IF(助手报销!$R$156&lt;&gt;"","借 方 金 额","")</f>
        <v/>
      </c>
      <c r="G2314" s="62" t="str">
        <f aca="false">IF(助手报销!$R$156&lt;&gt;"","贷 方 金 额","")</f>
        <v/>
      </c>
      <c r="H2314" s="63" t="str">
        <f aca="false">IF(助手报销!$R$156&lt;&gt;"","√","")</f>
        <v/>
      </c>
      <c r="I2314" s="64" t="str">
        <f aca="false">IF(助手报销!$R$156&lt;&gt;"","附单据  张","")</f>
        <v/>
      </c>
    </row>
    <row r="2315" customFormat="false" ht="12.75" hidden="false" customHeight="true" outlineLevel="0" collapsed="false">
      <c r="B2315" s="61"/>
      <c r="C2315" s="61"/>
      <c r="D2315" s="23" t="str">
        <f aca="false">IF(助手报销!$R$156&lt;&gt;"","总 账 科 目","")</f>
        <v/>
      </c>
      <c r="E2315" s="23" t="str">
        <f aca="false">IF(助手报销!$R$156&lt;&gt;"","明 细 科 目","")</f>
        <v/>
      </c>
      <c r="F2315" s="65"/>
      <c r="G2315" s="66"/>
      <c r="H2315" s="63"/>
      <c r="I2315" s="64"/>
    </row>
    <row r="2316" customFormat="false" ht="23.25" hidden="false" customHeight="true" outlineLevel="0" collapsed="false">
      <c r="B2316" s="67" t="str">
        <f aca="false">IFERROR(INDEX(分录报销!$M:$M,MATCH($L2316,分录报销!$L:$L,0)),"")</f>
        <v/>
      </c>
      <c r="C2316" s="67"/>
      <c r="D2316" s="23" t="str">
        <f aca="false">IFERROR(INDEX(分录报销!$E:$E,MATCH($L2316,分录报销!$L:$L,0)),"")</f>
        <v/>
      </c>
      <c r="E2316" s="23" t="str">
        <f aca="false">IFERROR(INDEX(分录报销!$F:$F,MATCH($L2316,分录报销!$L:$L,0)),"")</f>
        <v/>
      </c>
      <c r="F2316" s="68" t="str">
        <f aca="false">IFERROR(INDEX(分录报销!$H:$H,MATCH($L2316,分录报销!$L:$L,0)),"")</f>
        <v/>
      </c>
      <c r="G2316" s="69" t="str">
        <f aca="false">IFERROR(INDEX(分录报销!$I:$I,MATCH($L2316,分录报销!$L:$L,0)),"")</f>
        <v/>
      </c>
      <c r="H2316" s="23"/>
      <c r="I2316" s="70"/>
      <c r="L2316" s="71" t="n">
        <f aca="false">IF(助手报销!$R$156="",-1,助手报销!$R$156*100+(助手报销!$S$156-1)*6+1)</f>
        <v>-1</v>
      </c>
    </row>
    <row r="2317" customFormat="false" ht="23.25" hidden="false" customHeight="true" outlineLevel="0" collapsed="false">
      <c r="B2317" s="67" t="str">
        <f aca="false">IFERROR(INDEX(分录报销!$M:$M,MATCH($L2317,分录报销!$L:$L,0)),"")</f>
        <v/>
      </c>
      <c r="C2317" s="67"/>
      <c r="D2317" s="23" t="str">
        <f aca="false">IFERROR(INDEX(分录报销!$E:$E,MATCH($L2317,分录报销!$L:$L,0)),"")</f>
        <v/>
      </c>
      <c r="E2317" s="23" t="str">
        <f aca="false">IFERROR(INDEX(分录报销!$F:$F,MATCH($L2317,分录报销!$L:$L,0)),"")</f>
        <v/>
      </c>
      <c r="F2317" s="68" t="str">
        <f aca="false">IFERROR(INDEX(分录报销!$H:$H,MATCH($L2317,分录报销!$L:$L,0)),"")</f>
        <v/>
      </c>
      <c r="G2317" s="69" t="str">
        <f aca="false">IFERROR(INDEX(分录报销!$I:$I,MATCH($L2317,分录报销!$L:$L,0)),"")</f>
        <v/>
      </c>
      <c r="H2317" s="23"/>
      <c r="I2317" s="70"/>
      <c r="L2317" s="71" t="n">
        <f aca="false">IF(助手报销!$R$156="",-1,助手报销!$R$156*100+(助手报销!$S$156-1)*6+2)</f>
        <v>-1</v>
      </c>
    </row>
    <row r="2318" customFormat="false" ht="23.25" hidden="false" customHeight="true" outlineLevel="0" collapsed="false">
      <c r="B2318" s="67" t="str">
        <f aca="false">IFERROR(INDEX(分录报销!$M:$M,MATCH($L2318,分录报销!$L:$L,0)),"")</f>
        <v/>
      </c>
      <c r="C2318" s="67"/>
      <c r="D2318" s="23" t="str">
        <f aca="false">IFERROR(INDEX(分录报销!$E:$E,MATCH($L2318,分录报销!$L:$L,0)),"")</f>
        <v/>
      </c>
      <c r="E2318" s="23" t="str">
        <f aca="false">IFERROR(INDEX(分录报销!$F:$F,MATCH($L2318,分录报销!$L:$L,0)),"")</f>
        <v/>
      </c>
      <c r="F2318" s="68" t="str">
        <f aca="false">IFERROR(INDEX(分录报销!$H:$H,MATCH($L2318,分录报销!$L:$L,0)),"")</f>
        <v/>
      </c>
      <c r="G2318" s="69" t="str">
        <f aca="false">IFERROR(INDEX(分录报销!$I:$I,MATCH($L2318,分录报销!$L:$L,0)),"")</f>
        <v/>
      </c>
      <c r="H2318" s="23"/>
      <c r="I2318" s="70"/>
      <c r="L2318" s="71" t="n">
        <f aca="false">IF(助手报销!$R$156="",-1,助手报销!$R$156*100+(助手报销!$S$156-1)*6+3)</f>
        <v>-1</v>
      </c>
    </row>
    <row r="2319" customFormat="false" ht="23.25" hidden="false" customHeight="true" outlineLevel="0" collapsed="false">
      <c r="B2319" s="67" t="str">
        <f aca="false">IFERROR(INDEX(分录报销!$M:$M,MATCH($L2319,分录报销!$L:$L,0)),"")</f>
        <v/>
      </c>
      <c r="C2319" s="67"/>
      <c r="D2319" s="23" t="str">
        <f aca="false">IFERROR(INDEX(分录报销!$E:$E,MATCH($L2319,分录报销!$L:$L,0)),"")</f>
        <v/>
      </c>
      <c r="E2319" s="23" t="str">
        <f aca="false">IFERROR(INDEX(分录报销!$F:$F,MATCH($L2319,分录报销!$L:$L,0)),"")</f>
        <v/>
      </c>
      <c r="F2319" s="68" t="str">
        <f aca="false">IFERROR(INDEX(分录报销!$H:$H,MATCH($L2319,分录报销!$L:$L,0)),"")</f>
        <v/>
      </c>
      <c r="G2319" s="69" t="str">
        <f aca="false">IFERROR(INDEX(分录报销!$I:$I,MATCH($L2319,分录报销!$L:$L,0)),"")</f>
        <v/>
      </c>
      <c r="H2319" s="23"/>
      <c r="I2319" s="70"/>
      <c r="L2319" s="71" t="n">
        <f aca="false">IF(助手报销!$R$156="",-1,助手报销!$R$156*100+(助手报销!$S$156-1)*6+4)</f>
        <v>-1</v>
      </c>
    </row>
    <row r="2320" customFormat="false" ht="23.25" hidden="false" customHeight="true" outlineLevel="0" collapsed="false">
      <c r="B2320" s="67" t="str">
        <f aca="false">IFERROR(INDEX(分录报销!$M:$M,MATCH($L2320,分录报销!$L:$L,0)),"")</f>
        <v/>
      </c>
      <c r="C2320" s="67"/>
      <c r="D2320" s="23" t="str">
        <f aca="false">IFERROR(INDEX(分录报销!$E:$E,MATCH($L2320,分录报销!$L:$L,0)),"")</f>
        <v/>
      </c>
      <c r="E2320" s="23" t="str">
        <f aca="false">IFERROR(INDEX(分录报销!$F:$F,MATCH($L2320,分录报销!$L:$L,0)),"")</f>
        <v/>
      </c>
      <c r="F2320" s="68" t="str">
        <f aca="false">IFERROR(INDEX(分录报销!$H:$H,MATCH($L2320,分录报销!$L:$L,0)),"")</f>
        <v/>
      </c>
      <c r="G2320" s="69" t="str">
        <f aca="false">IFERROR(INDEX(分录报销!$I:$I,MATCH($L2320,分录报销!$L:$L,0)),"")</f>
        <v/>
      </c>
      <c r="H2320" s="23"/>
      <c r="I2320" s="70"/>
      <c r="L2320" s="71" t="n">
        <f aca="false">IF(助手报销!$R$156="",-1,助手报销!$R$156*100+(助手报销!$S$156-1)*6+5)</f>
        <v>-1</v>
      </c>
    </row>
    <row r="2321" customFormat="false" ht="23.25" hidden="false" customHeight="true" outlineLevel="0" collapsed="false">
      <c r="B2321" s="67" t="str">
        <f aca="false">IFERROR(INDEX(分录报销!$M:$M,MATCH($L2321,分录报销!$L:$L,0)),"")</f>
        <v/>
      </c>
      <c r="C2321" s="67"/>
      <c r="D2321" s="23" t="str">
        <f aca="false">IFERROR(INDEX(分录报销!$E:$E,MATCH($L2321,分录报销!$L:$L,0)),"")</f>
        <v/>
      </c>
      <c r="E2321" s="23" t="str">
        <f aca="false">IFERROR(INDEX(分录报销!$F:$F,MATCH($L2321,分录报销!$L:$L,0)),"")</f>
        <v/>
      </c>
      <c r="F2321" s="68" t="str">
        <f aca="false">IFERROR(INDEX(分录报销!$H:$H,MATCH($L2321,分录报销!$L:$L,0)),"")</f>
        <v/>
      </c>
      <c r="G2321" s="69" t="str">
        <f aca="false">IFERROR(INDEX(分录报销!$I:$I,MATCH($L2321,分录报销!$L:$L,0)),"")</f>
        <v/>
      </c>
      <c r="H2321" s="23"/>
      <c r="I2321" s="70"/>
      <c r="L2321" s="71" t="n">
        <f aca="false">IF(助手报销!$R$156="",-1,助手报销!$R$156*100+(助手报销!$S$156-1)*6+6)</f>
        <v>-1</v>
      </c>
    </row>
    <row r="2322" customFormat="false" ht="23.25" hidden="false" customHeight="true" outlineLevel="0" collapsed="false">
      <c r="B2322" s="72" t="str">
        <f aca="false">IF(助手报销!$T$156=1,"合计：","")</f>
        <v/>
      </c>
      <c r="C2322" s="73" t="str">
        <f aca="false">IF(助手报销!$T$156=1,$F2322,"")</f>
        <v/>
      </c>
      <c r="D2322" s="74"/>
      <c r="E2322" s="74"/>
      <c r="F2322" s="75" t="str">
        <f aca="false">IF(助手报销!$T$156=1,INDEX(助手报销!$N$2:$N$121,助手报销!$R$156),"")</f>
        <v/>
      </c>
      <c r="G2322" s="76" t="str">
        <f aca="false">IF(助手报销!$T$156=1,INDEX(助手报销!$O$2:$O$121,助手报销!$R$156),"")</f>
        <v/>
      </c>
      <c r="H2322" s="74"/>
      <c r="I2322" s="77"/>
    </row>
    <row r="2323" customFormat="false" ht="6" hidden="false" customHeight="true" outlineLevel="0" collapsed="false"/>
    <row r="2324" customFormat="false" ht="13.5" hidden="false" customHeight="false" outlineLevel="0" collapsed="false">
      <c r="B2324" s="78" t="str">
        <f aca="false">IF(助手报销!$R$156&lt;&gt;"","会计主管：","")</f>
        <v/>
      </c>
      <c r="D2324" s="78" t="str">
        <f aca="false">IF(助手报销!$R$156&lt;&gt;"","会计：","")</f>
        <v/>
      </c>
      <c r="E2324" s="78" t="str">
        <f aca="false">IF(助手报销!$R$156&lt;&gt;"","出纳：","")</f>
        <v/>
      </c>
      <c r="F2324" s="78" t="str">
        <f aca="false">IF(助手报销!$R$156&lt;&gt;"","复核：","")</f>
        <v/>
      </c>
      <c r="G2324" s="78" t="str">
        <f aca="false">IF(助手报销!$R$156&lt;&gt;"","制单：","")</f>
        <v/>
      </c>
    </row>
    <row r="2325" customFormat="false" ht="3" hidden="false" customHeight="true" outlineLevel="0" collapsed="false"/>
    <row r="2326" customFormat="false" ht="19.5" hidden="false" customHeight="true" outlineLevel="0" collapsed="false">
      <c r="B2326" s="53" t="str">
        <f aca="false">IF(助手报销!$R$157&lt;&gt;"","记  账  凭  证","")</f>
        <v/>
      </c>
      <c r="C2326" s="53"/>
      <c r="D2326" s="53"/>
      <c r="E2326" s="53"/>
      <c r="F2326" s="53"/>
      <c r="G2326" s="53"/>
      <c r="H2326" s="53"/>
      <c r="I2326" s="53"/>
    </row>
    <row r="2327" customFormat="false" ht="3" hidden="false" customHeight="true" outlineLevel="0" collapsed="false"/>
    <row r="2328" customFormat="false" ht="15" hidden="false" customHeight="true" outlineLevel="0" collapsed="false">
      <c r="C2328" s="56" t="str">
        <f aca="false">IF(助手报销!$R$157&lt;&gt;"",INDEX(助手报销!$B$2:$B$121,助手报销!$R$157),"")</f>
        <v/>
      </c>
      <c r="D2328" s="57" t="str">
        <f aca="false">IF(助手报销!$R$157&lt;&gt;"",INDEX(助手报销!$D$2:$D$121,助手报销!$R$157),"")</f>
        <v/>
      </c>
      <c r="E2328" s="57"/>
      <c r="F2328" s="58" t="str">
        <f aca="false">IF(助手报销!$R$157&lt;&gt;"",INDEX(助手报销!$C$2:$C$121,助手报销!$R$157)&amp;"  字第 "&amp;IF(参数!$B$9="是",INDEX(助手报销!$P$2:$P$121,助手报销!$R$157),"　　　　")&amp;" 号"&amp;IF(INDEX(助手报销!$L$2:$L$121,助手报销!$R$157)&gt;1,"  (共"&amp;INDEX(助手报销!$L$2:$L$121,助手报销!$R$157)&amp;"页 第"&amp;助手报销!$S$157&amp;"页)",""),"")</f>
        <v/>
      </c>
      <c r="G2328" s="58"/>
      <c r="H2328" s="58"/>
      <c r="I2328" s="58"/>
      <c r="M2328" s="79" t="str">
        <f aca="false">IF(助手报销!$R$157="","",助手报销!$Q$157)</f>
        <v/>
      </c>
      <c r="N2328" s="80" t="str">
        <f aca="false">IF(助手报销!$R$157="","",INDEX(助手报销!$P$2:$P$121,助手报销!$R$157))</f>
        <v/>
      </c>
      <c r="O2328" s="55" t="str">
        <f aca="false">IF(助手报销!$R$157="","",INDEX(助手报销!$C$2:$C$121,助手报销!$R$157)&amp;"  字第 "&amp;INDEX(助手报销!$P$2:$P$121,助手报销!$R$157)&amp;" 号"&amp;IF(INDEX(助手报销!$L$2:$L$121,助手报销!$R$157)&gt;1,"  (共"&amp;INDEX(助手报销!$L$2:$L$121,助手报销!$R$157)&amp;"页 第"&amp;助手报销!$S$157&amp;"页)",""))</f>
        <v/>
      </c>
    </row>
    <row r="2329" customFormat="false" ht="12.75" hidden="false" customHeight="true" outlineLevel="0" collapsed="false">
      <c r="B2329" s="61" t="str">
        <f aca="false">IF(助手报销!$R$157&lt;&gt;"","摘　　要","")</f>
        <v/>
      </c>
      <c r="C2329" s="61"/>
      <c r="D2329" s="62" t="str">
        <f aca="false">IF(助手报销!$R$157&lt;&gt;"","科　　　　目","")</f>
        <v/>
      </c>
      <c r="E2329" s="62"/>
      <c r="F2329" s="61" t="str">
        <f aca="false">IF(助手报销!$R$157&lt;&gt;"","借 方 金 额","")</f>
        <v/>
      </c>
      <c r="G2329" s="62" t="str">
        <f aca="false">IF(助手报销!$R$157&lt;&gt;"","贷 方 金 额","")</f>
        <v/>
      </c>
      <c r="H2329" s="63" t="str">
        <f aca="false">IF(助手报销!$R$157&lt;&gt;"","√","")</f>
        <v/>
      </c>
      <c r="I2329" s="64" t="str">
        <f aca="false">IF(助手报销!$R$157&lt;&gt;"","附单据  张","")</f>
        <v/>
      </c>
    </row>
    <row r="2330" customFormat="false" ht="12.75" hidden="false" customHeight="true" outlineLevel="0" collapsed="false">
      <c r="B2330" s="61"/>
      <c r="C2330" s="61"/>
      <c r="D2330" s="23" t="str">
        <f aca="false">IF(助手报销!$R$157&lt;&gt;"","总 账 科 目","")</f>
        <v/>
      </c>
      <c r="E2330" s="23" t="str">
        <f aca="false">IF(助手报销!$R$157&lt;&gt;"","明 细 科 目","")</f>
        <v/>
      </c>
      <c r="F2330" s="65"/>
      <c r="G2330" s="66"/>
      <c r="H2330" s="63"/>
      <c r="I2330" s="64"/>
    </row>
    <row r="2331" customFormat="false" ht="23.25" hidden="false" customHeight="true" outlineLevel="0" collapsed="false">
      <c r="B2331" s="67" t="str">
        <f aca="false">IFERROR(INDEX(分录报销!$M:$M,MATCH($L2331,分录报销!$L:$L,0)),"")</f>
        <v/>
      </c>
      <c r="C2331" s="67"/>
      <c r="D2331" s="23" t="str">
        <f aca="false">IFERROR(INDEX(分录报销!$E:$E,MATCH($L2331,分录报销!$L:$L,0)),"")</f>
        <v/>
      </c>
      <c r="E2331" s="23" t="str">
        <f aca="false">IFERROR(INDEX(分录报销!$F:$F,MATCH($L2331,分录报销!$L:$L,0)),"")</f>
        <v/>
      </c>
      <c r="F2331" s="68" t="str">
        <f aca="false">IFERROR(INDEX(分录报销!$H:$H,MATCH($L2331,分录报销!$L:$L,0)),"")</f>
        <v/>
      </c>
      <c r="G2331" s="69" t="str">
        <f aca="false">IFERROR(INDEX(分录报销!$I:$I,MATCH($L2331,分录报销!$L:$L,0)),"")</f>
        <v/>
      </c>
      <c r="H2331" s="23"/>
      <c r="I2331" s="70"/>
      <c r="L2331" s="71" t="n">
        <f aca="false">IF(助手报销!$R$157="",-1,助手报销!$R$157*100+(助手报销!$S$157-1)*6+1)</f>
        <v>-1</v>
      </c>
    </row>
    <row r="2332" customFormat="false" ht="23.25" hidden="false" customHeight="true" outlineLevel="0" collapsed="false">
      <c r="B2332" s="67" t="str">
        <f aca="false">IFERROR(INDEX(分录报销!$M:$M,MATCH($L2332,分录报销!$L:$L,0)),"")</f>
        <v/>
      </c>
      <c r="C2332" s="67"/>
      <c r="D2332" s="23" t="str">
        <f aca="false">IFERROR(INDEX(分录报销!$E:$E,MATCH($L2332,分录报销!$L:$L,0)),"")</f>
        <v/>
      </c>
      <c r="E2332" s="23" t="str">
        <f aca="false">IFERROR(INDEX(分录报销!$F:$F,MATCH($L2332,分录报销!$L:$L,0)),"")</f>
        <v/>
      </c>
      <c r="F2332" s="68" t="str">
        <f aca="false">IFERROR(INDEX(分录报销!$H:$H,MATCH($L2332,分录报销!$L:$L,0)),"")</f>
        <v/>
      </c>
      <c r="G2332" s="69" t="str">
        <f aca="false">IFERROR(INDEX(分录报销!$I:$I,MATCH($L2332,分录报销!$L:$L,0)),"")</f>
        <v/>
      </c>
      <c r="H2332" s="23"/>
      <c r="I2332" s="70"/>
      <c r="L2332" s="71" t="n">
        <f aca="false">IF(助手报销!$R$157="",-1,助手报销!$R$157*100+(助手报销!$S$157-1)*6+2)</f>
        <v>-1</v>
      </c>
    </row>
    <row r="2333" customFormat="false" ht="23.25" hidden="false" customHeight="true" outlineLevel="0" collapsed="false">
      <c r="B2333" s="67" t="str">
        <f aca="false">IFERROR(INDEX(分录报销!$M:$M,MATCH($L2333,分录报销!$L:$L,0)),"")</f>
        <v/>
      </c>
      <c r="C2333" s="67"/>
      <c r="D2333" s="23" t="str">
        <f aca="false">IFERROR(INDEX(分录报销!$E:$E,MATCH($L2333,分录报销!$L:$L,0)),"")</f>
        <v/>
      </c>
      <c r="E2333" s="23" t="str">
        <f aca="false">IFERROR(INDEX(分录报销!$F:$F,MATCH($L2333,分录报销!$L:$L,0)),"")</f>
        <v/>
      </c>
      <c r="F2333" s="68" t="str">
        <f aca="false">IFERROR(INDEX(分录报销!$H:$H,MATCH($L2333,分录报销!$L:$L,0)),"")</f>
        <v/>
      </c>
      <c r="G2333" s="69" t="str">
        <f aca="false">IFERROR(INDEX(分录报销!$I:$I,MATCH($L2333,分录报销!$L:$L,0)),"")</f>
        <v/>
      </c>
      <c r="H2333" s="23"/>
      <c r="I2333" s="70"/>
      <c r="L2333" s="71" t="n">
        <f aca="false">IF(助手报销!$R$157="",-1,助手报销!$R$157*100+(助手报销!$S$157-1)*6+3)</f>
        <v>-1</v>
      </c>
    </row>
    <row r="2334" customFormat="false" ht="23.25" hidden="false" customHeight="true" outlineLevel="0" collapsed="false">
      <c r="B2334" s="67" t="str">
        <f aca="false">IFERROR(INDEX(分录报销!$M:$M,MATCH($L2334,分录报销!$L:$L,0)),"")</f>
        <v/>
      </c>
      <c r="C2334" s="67"/>
      <c r="D2334" s="23" t="str">
        <f aca="false">IFERROR(INDEX(分录报销!$E:$E,MATCH($L2334,分录报销!$L:$L,0)),"")</f>
        <v/>
      </c>
      <c r="E2334" s="23" t="str">
        <f aca="false">IFERROR(INDEX(分录报销!$F:$F,MATCH($L2334,分录报销!$L:$L,0)),"")</f>
        <v/>
      </c>
      <c r="F2334" s="68" t="str">
        <f aca="false">IFERROR(INDEX(分录报销!$H:$H,MATCH($L2334,分录报销!$L:$L,0)),"")</f>
        <v/>
      </c>
      <c r="G2334" s="69" t="str">
        <f aca="false">IFERROR(INDEX(分录报销!$I:$I,MATCH($L2334,分录报销!$L:$L,0)),"")</f>
        <v/>
      </c>
      <c r="H2334" s="23"/>
      <c r="I2334" s="70"/>
      <c r="L2334" s="71" t="n">
        <f aca="false">IF(助手报销!$R$157="",-1,助手报销!$R$157*100+(助手报销!$S$157-1)*6+4)</f>
        <v>-1</v>
      </c>
    </row>
    <row r="2335" customFormat="false" ht="23.25" hidden="false" customHeight="true" outlineLevel="0" collapsed="false">
      <c r="B2335" s="67" t="str">
        <f aca="false">IFERROR(INDEX(分录报销!$M:$M,MATCH($L2335,分录报销!$L:$L,0)),"")</f>
        <v/>
      </c>
      <c r="C2335" s="67"/>
      <c r="D2335" s="23" t="str">
        <f aca="false">IFERROR(INDEX(分录报销!$E:$E,MATCH($L2335,分录报销!$L:$L,0)),"")</f>
        <v/>
      </c>
      <c r="E2335" s="23" t="str">
        <f aca="false">IFERROR(INDEX(分录报销!$F:$F,MATCH($L2335,分录报销!$L:$L,0)),"")</f>
        <v/>
      </c>
      <c r="F2335" s="68" t="str">
        <f aca="false">IFERROR(INDEX(分录报销!$H:$H,MATCH($L2335,分录报销!$L:$L,0)),"")</f>
        <v/>
      </c>
      <c r="G2335" s="69" t="str">
        <f aca="false">IFERROR(INDEX(分录报销!$I:$I,MATCH($L2335,分录报销!$L:$L,0)),"")</f>
        <v/>
      </c>
      <c r="H2335" s="23"/>
      <c r="I2335" s="70"/>
      <c r="L2335" s="71" t="n">
        <f aca="false">IF(助手报销!$R$157="",-1,助手报销!$R$157*100+(助手报销!$S$157-1)*6+5)</f>
        <v>-1</v>
      </c>
    </row>
    <row r="2336" customFormat="false" ht="23.25" hidden="false" customHeight="true" outlineLevel="0" collapsed="false">
      <c r="B2336" s="67" t="str">
        <f aca="false">IFERROR(INDEX(分录报销!$M:$M,MATCH($L2336,分录报销!$L:$L,0)),"")</f>
        <v/>
      </c>
      <c r="C2336" s="67"/>
      <c r="D2336" s="23" t="str">
        <f aca="false">IFERROR(INDEX(分录报销!$E:$E,MATCH($L2336,分录报销!$L:$L,0)),"")</f>
        <v/>
      </c>
      <c r="E2336" s="23" t="str">
        <f aca="false">IFERROR(INDEX(分录报销!$F:$F,MATCH($L2336,分录报销!$L:$L,0)),"")</f>
        <v/>
      </c>
      <c r="F2336" s="68" t="str">
        <f aca="false">IFERROR(INDEX(分录报销!$H:$H,MATCH($L2336,分录报销!$L:$L,0)),"")</f>
        <v/>
      </c>
      <c r="G2336" s="69" t="str">
        <f aca="false">IFERROR(INDEX(分录报销!$I:$I,MATCH($L2336,分录报销!$L:$L,0)),"")</f>
        <v/>
      </c>
      <c r="H2336" s="23"/>
      <c r="I2336" s="70"/>
      <c r="L2336" s="71" t="n">
        <f aca="false">IF(助手报销!$R$157="",-1,助手报销!$R$157*100+(助手报销!$S$157-1)*6+6)</f>
        <v>-1</v>
      </c>
    </row>
    <row r="2337" customFormat="false" ht="23.25" hidden="false" customHeight="true" outlineLevel="0" collapsed="false">
      <c r="B2337" s="72" t="str">
        <f aca="false">IF(助手报销!$T$157=1,"合计：","")</f>
        <v/>
      </c>
      <c r="C2337" s="73" t="str">
        <f aca="false">IF(助手报销!$T$157=1,$F2337,"")</f>
        <v/>
      </c>
      <c r="D2337" s="74"/>
      <c r="E2337" s="74"/>
      <c r="F2337" s="75" t="str">
        <f aca="false">IF(助手报销!$T$157=1,INDEX(助手报销!$N$2:$N$121,助手报销!$R$157),"")</f>
        <v/>
      </c>
      <c r="G2337" s="76" t="str">
        <f aca="false">IF(助手报销!$T$157=1,INDEX(助手报销!$O$2:$O$121,助手报销!$R$157),"")</f>
        <v/>
      </c>
      <c r="H2337" s="74"/>
      <c r="I2337" s="77"/>
    </row>
    <row r="2338" customFormat="false" ht="6" hidden="false" customHeight="true" outlineLevel="0" collapsed="false"/>
    <row r="2339" customFormat="false" ht="13.5" hidden="false" customHeight="false" outlineLevel="0" collapsed="false">
      <c r="B2339" s="78" t="str">
        <f aca="false">IF(助手报销!$R$157&lt;&gt;"","会计主管：","")</f>
        <v/>
      </c>
      <c r="D2339" s="78" t="str">
        <f aca="false">IF(助手报销!$R$157&lt;&gt;"","会计：","")</f>
        <v/>
      </c>
      <c r="E2339" s="78" t="str">
        <f aca="false">IF(助手报销!$R$157&lt;&gt;"","出纳：","")</f>
        <v/>
      </c>
      <c r="F2339" s="78" t="str">
        <f aca="false">IF(助手报销!$R$157&lt;&gt;"","复核：","")</f>
        <v/>
      </c>
      <c r="G2339" s="78" t="str">
        <f aca="false">IF(助手报销!$R$157&lt;&gt;"","制单：","")</f>
        <v/>
      </c>
    </row>
    <row r="2340" customFormat="false" ht="3" hidden="false" customHeight="true" outlineLevel="0" collapsed="false"/>
    <row r="2341" customFormat="false" ht="19.5" hidden="false" customHeight="true" outlineLevel="0" collapsed="false">
      <c r="B2341" s="53" t="str">
        <f aca="false">IF(助手报销!$R$158&lt;&gt;"","记  账  凭  证","")</f>
        <v/>
      </c>
      <c r="C2341" s="53"/>
      <c r="D2341" s="53"/>
      <c r="E2341" s="53"/>
      <c r="F2341" s="53"/>
      <c r="G2341" s="53"/>
      <c r="H2341" s="53"/>
      <c r="I2341" s="53"/>
    </row>
    <row r="2342" customFormat="false" ht="3" hidden="false" customHeight="true" outlineLevel="0" collapsed="false"/>
    <row r="2343" customFormat="false" ht="15" hidden="false" customHeight="true" outlineLevel="0" collapsed="false">
      <c r="C2343" s="56" t="str">
        <f aca="false">IF(助手报销!$R$158&lt;&gt;"",INDEX(助手报销!$B$2:$B$121,助手报销!$R$158),"")</f>
        <v/>
      </c>
      <c r="D2343" s="57" t="str">
        <f aca="false">IF(助手报销!$R$158&lt;&gt;"",INDEX(助手报销!$D$2:$D$121,助手报销!$R$158),"")</f>
        <v/>
      </c>
      <c r="E2343" s="57"/>
      <c r="F2343" s="58" t="str">
        <f aca="false">IF(助手报销!$R$158&lt;&gt;"",INDEX(助手报销!$C$2:$C$121,助手报销!$R$158)&amp;"  字第 "&amp;IF(参数!$B$9="是",INDEX(助手报销!$P$2:$P$121,助手报销!$R$158),"　　　　")&amp;" 号"&amp;IF(INDEX(助手报销!$L$2:$L$121,助手报销!$R$158)&gt;1,"  (共"&amp;INDEX(助手报销!$L$2:$L$121,助手报销!$R$158)&amp;"页 第"&amp;助手报销!$S$158&amp;"页)",""),"")</f>
        <v/>
      </c>
      <c r="G2343" s="58"/>
      <c r="H2343" s="58"/>
      <c r="I2343" s="58"/>
      <c r="M2343" s="79" t="str">
        <f aca="false">IF(助手报销!$R$158="","",助手报销!$Q$158)</f>
        <v/>
      </c>
      <c r="N2343" s="80" t="str">
        <f aca="false">IF(助手报销!$R$158="","",INDEX(助手报销!$P$2:$P$121,助手报销!$R$158))</f>
        <v/>
      </c>
      <c r="O2343" s="55" t="str">
        <f aca="false">IF(助手报销!$R$158="","",INDEX(助手报销!$C$2:$C$121,助手报销!$R$158)&amp;"  字第 "&amp;INDEX(助手报销!$P$2:$P$121,助手报销!$R$158)&amp;" 号"&amp;IF(INDEX(助手报销!$L$2:$L$121,助手报销!$R$158)&gt;1,"  (共"&amp;INDEX(助手报销!$L$2:$L$121,助手报销!$R$158)&amp;"页 第"&amp;助手报销!$S$158&amp;"页)",""))</f>
        <v/>
      </c>
    </row>
    <row r="2344" customFormat="false" ht="12.75" hidden="false" customHeight="true" outlineLevel="0" collapsed="false">
      <c r="B2344" s="61" t="str">
        <f aca="false">IF(助手报销!$R$158&lt;&gt;"","摘　　要","")</f>
        <v/>
      </c>
      <c r="C2344" s="61"/>
      <c r="D2344" s="62" t="str">
        <f aca="false">IF(助手报销!$R$158&lt;&gt;"","科　　　　目","")</f>
        <v/>
      </c>
      <c r="E2344" s="62"/>
      <c r="F2344" s="61" t="str">
        <f aca="false">IF(助手报销!$R$158&lt;&gt;"","借 方 金 额","")</f>
        <v/>
      </c>
      <c r="G2344" s="62" t="str">
        <f aca="false">IF(助手报销!$R$158&lt;&gt;"","贷 方 金 额","")</f>
        <v/>
      </c>
      <c r="H2344" s="63" t="str">
        <f aca="false">IF(助手报销!$R$158&lt;&gt;"","√","")</f>
        <v/>
      </c>
      <c r="I2344" s="64" t="str">
        <f aca="false">IF(助手报销!$R$158&lt;&gt;"","附单据  张","")</f>
        <v/>
      </c>
    </row>
    <row r="2345" customFormat="false" ht="12.75" hidden="false" customHeight="true" outlineLevel="0" collapsed="false">
      <c r="B2345" s="61"/>
      <c r="C2345" s="61"/>
      <c r="D2345" s="23" t="str">
        <f aca="false">IF(助手报销!$R$158&lt;&gt;"","总 账 科 目","")</f>
        <v/>
      </c>
      <c r="E2345" s="23" t="str">
        <f aca="false">IF(助手报销!$R$158&lt;&gt;"","明 细 科 目","")</f>
        <v/>
      </c>
      <c r="F2345" s="65"/>
      <c r="G2345" s="66"/>
      <c r="H2345" s="63"/>
      <c r="I2345" s="64"/>
    </row>
    <row r="2346" customFormat="false" ht="23.25" hidden="false" customHeight="true" outlineLevel="0" collapsed="false">
      <c r="B2346" s="67" t="str">
        <f aca="false">IFERROR(INDEX(分录报销!$M:$M,MATCH($L2346,分录报销!$L:$L,0)),"")</f>
        <v/>
      </c>
      <c r="C2346" s="67"/>
      <c r="D2346" s="23" t="str">
        <f aca="false">IFERROR(INDEX(分录报销!$E:$E,MATCH($L2346,分录报销!$L:$L,0)),"")</f>
        <v/>
      </c>
      <c r="E2346" s="23" t="str">
        <f aca="false">IFERROR(INDEX(分录报销!$F:$F,MATCH($L2346,分录报销!$L:$L,0)),"")</f>
        <v/>
      </c>
      <c r="F2346" s="68" t="str">
        <f aca="false">IFERROR(INDEX(分录报销!$H:$H,MATCH($L2346,分录报销!$L:$L,0)),"")</f>
        <v/>
      </c>
      <c r="G2346" s="69" t="str">
        <f aca="false">IFERROR(INDEX(分录报销!$I:$I,MATCH($L2346,分录报销!$L:$L,0)),"")</f>
        <v/>
      </c>
      <c r="H2346" s="23"/>
      <c r="I2346" s="70"/>
      <c r="L2346" s="71" t="n">
        <f aca="false">IF(助手报销!$R$158="",-1,助手报销!$R$158*100+(助手报销!$S$158-1)*6+1)</f>
        <v>-1</v>
      </c>
    </row>
    <row r="2347" customFormat="false" ht="23.25" hidden="false" customHeight="true" outlineLevel="0" collapsed="false">
      <c r="B2347" s="67" t="str">
        <f aca="false">IFERROR(INDEX(分录报销!$M:$M,MATCH($L2347,分录报销!$L:$L,0)),"")</f>
        <v/>
      </c>
      <c r="C2347" s="67"/>
      <c r="D2347" s="23" t="str">
        <f aca="false">IFERROR(INDEX(分录报销!$E:$E,MATCH($L2347,分录报销!$L:$L,0)),"")</f>
        <v/>
      </c>
      <c r="E2347" s="23" t="str">
        <f aca="false">IFERROR(INDEX(分录报销!$F:$F,MATCH($L2347,分录报销!$L:$L,0)),"")</f>
        <v/>
      </c>
      <c r="F2347" s="68" t="str">
        <f aca="false">IFERROR(INDEX(分录报销!$H:$H,MATCH($L2347,分录报销!$L:$L,0)),"")</f>
        <v/>
      </c>
      <c r="G2347" s="69" t="str">
        <f aca="false">IFERROR(INDEX(分录报销!$I:$I,MATCH($L2347,分录报销!$L:$L,0)),"")</f>
        <v/>
      </c>
      <c r="H2347" s="23"/>
      <c r="I2347" s="70"/>
      <c r="L2347" s="71" t="n">
        <f aca="false">IF(助手报销!$R$158="",-1,助手报销!$R$158*100+(助手报销!$S$158-1)*6+2)</f>
        <v>-1</v>
      </c>
    </row>
    <row r="2348" customFormat="false" ht="23.25" hidden="false" customHeight="true" outlineLevel="0" collapsed="false">
      <c r="B2348" s="67" t="str">
        <f aca="false">IFERROR(INDEX(分录报销!$M:$M,MATCH($L2348,分录报销!$L:$L,0)),"")</f>
        <v/>
      </c>
      <c r="C2348" s="67"/>
      <c r="D2348" s="23" t="str">
        <f aca="false">IFERROR(INDEX(分录报销!$E:$E,MATCH($L2348,分录报销!$L:$L,0)),"")</f>
        <v/>
      </c>
      <c r="E2348" s="23" t="str">
        <f aca="false">IFERROR(INDEX(分录报销!$F:$F,MATCH($L2348,分录报销!$L:$L,0)),"")</f>
        <v/>
      </c>
      <c r="F2348" s="68" t="str">
        <f aca="false">IFERROR(INDEX(分录报销!$H:$H,MATCH($L2348,分录报销!$L:$L,0)),"")</f>
        <v/>
      </c>
      <c r="G2348" s="69" t="str">
        <f aca="false">IFERROR(INDEX(分录报销!$I:$I,MATCH($L2348,分录报销!$L:$L,0)),"")</f>
        <v/>
      </c>
      <c r="H2348" s="23"/>
      <c r="I2348" s="70"/>
      <c r="L2348" s="71" t="n">
        <f aca="false">IF(助手报销!$R$158="",-1,助手报销!$R$158*100+(助手报销!$S$158-1)*6+3)</f>
        <v>-1</v>
      </c>
    </row>
    <row r="2349" customFormat="false" ht="23.25" hidden="false" customHeight="true" outlineLevel="0" collapsed="false">
      <c r="B2349" s="67" t="str">
        <f aca="false">IFERROR(INDEX(分录报销!$M:$M,MATCH($L2349,分录报销!$L:$L,0)),"")</f>
        <v/>
      </c>
      <c r="C2349" s="67"/>
      <c r="D2349" s="23" t="str">
        <f aca="false">IFERROR(INDEX(分录报销!$E:$E,MATCH($L2349,分录报销!$L:$L,0)),"")</f>
        <v/>
      </c>
      <c r="E2349" s="23" t="str">
        <f aca="false">IFERROR(INDEX(分录报销!$F:$F,MATCH($L2349,分录报销!$L:$L,0)),"")</f>
        <v/>
      </c>
      <c r="F2349" s="68" t="str">
        <f aca="false">IFERROR(INDEX(分录报销!$H:$H,MATCH($L2349,分录报销!$L:$L,0)),"")</f>
        <v/>
      </c>
      <c r="G2349" s="69" t="str">
        <f aca="false">IFERROR(INDEX(分录报销!$I:$I,MATCH($L2349,分录报销!$L:$L,0)),"")</f>
        <v/>
      </c>
      <c r="H2349" s="23"/>
      <c r="I2349" s="70"/>
      <c r="L2349" s="71" t="n">
        <f aca="false">IF(助手报销!$R$158="",-1,助手报销!$R$158*100+(助手报销!$S$158-1)*6+4)</f>
        <v>-1</v>
      </c>
    </row>
    <row r="2350" customFormat="false" ht="23.25" hidden="false" customHeight="true" outlineLevel="0" collapsed="false">
      <c r="B2350" s="67" t="str">
        <f aca="false">IFERROR(INDEX(分录报销!$M:$M,MATCH($L2350,分录报销!$L:$L,0)),"")</f>
        <v/>
      </c>
      <c r="C2350" s="67"/>
      <c r="D2350" s="23" t="str">
        <f aca="false">IFERROR(INDEX(分录报销!$E:$E,MATCH($L2350,分录报销!$L:$L,0)),"")</f>
        <v/>
      </c>
      <c r="E2350" s="23" t="str">
        <f aca="false">IFERROR(INDEX(分录报销!$F:$F,MATCH($L2350,分录报销!$L:$L,0)),"")</f>
        <v/>
      </c>
      <c r="F2350" s="68" t="str">
        <f aca="false">IFERROR(INDEX(分录报销!$H:$H,MATCH($L2350,分录报销!$L:$L,0)),"")</f>
        <v/>
      </c>
      <c r="G2350" s="69" t="str">
        <f aca="false">IFERROR(INDEX(分录报销!$I:$I,MATCH($L2350,分录报销!$L:$L,0)),"")</f>
        <v/>
      </c>
      <c r="H2350" s="23"/>
      <c r="I2350" s="70"/>
      <c r="L2350" s="71" t="n">
        <f aca="false">IF(助手报销!$R$158="",-1,助手报销!$R$158*100+(助手报销!$S$158-1)*6+5)</f>
        <v>-1</v>
      </c>
    </row>
    <row r="2351" customFormat="false" ht="23.25" hidden="false" customHeight="true" outlineLevel="0" collapsed="false">
      <c r="B2351" s="67" t="str">
        <f aca="false">IFERROR(INDEX(分录报销!$M:$M,MATCH($L2351,分录报销!$L:$L,0)),"")</f>
        <v/>
      </c>
      <c r="C2351" s="67"/>
      <c r="D2351" s="23" t="str">
        <f aca="false">IFERROR(INDEX(分录报销!$E:$E,MATCH($L2351,分录报销!$L:$L,0)),"")</f>
        <v/>
      </c>
      <c r="E2351" s="23" t="str">
        <f aca="false">IFERROR(INDEX(分录报销!$F:$F,MATCH($L2351,分录报销!$L:$L,0)),"")</f>
        <v/>
      </c>
      <c r="F2351" s="68" t="str">
        <f aca="false">IFERROR(INDEX(分录报销!$H:$H,MATCH($L2351,分录报销!$L:$L,0)),"")</f>
        <v/>
      </c>
      <c r="G2351" s="69" t="str">
        <f aca="false">IFERROR(INDEX(分录报销!$I:$I,MATCH($L2351,分录报销!$L:$L,0)),"")</f>
        <v/>
      </c>
      <c r="H2351" s="23"/>
      <c r="I2351" s="70"/>
      <c r="L2351" s="71" t="n">
        <f aca="false">IF(助手报销!$R$158="",-1,助手报销!$R$158*100+(助手报销!$S$158-1)*6+6)</f>
        <v>-1</v>
      </c>
    </row>
    <row r="2352" customFormat="false" ht="23.25" hidden="false" customHeight="true" outlineLevel="0" collapsed="false">
      <c r="B2352" s="72" t="str">
        <f aca="false">IF(助手报销!$T$158=1,"合计：","")</f>
        <v/>
      </c>
      <c r="C2352" s="73" t="str">
        <f aca="false">IF(助手报销!$T$158=1,$F2352,"")</f>
        <v/>
      </c>
      <c r="D2352" s="74"/>
      <c r="E2352" s="74"/>
      <c r="F2352" s="75" t="str">
        <f aca="false">IF(助手报销!$T$158=1,INDEX(助手报销!$N$2:$N$121,助手报销!$R$158),"")</f>
        <v/>
      </c>
      <c r="G2352" s="76" t="str">
        <f aca="false">IF(助手报销!$T$158=1,INDEX(助手报销!$O$2:$O$121,助手报销!$R$158),"")</f>
        <v/>
      </c>
      <c r="H2352" s="74"/>
      <c r="I2352" s="77"/>
    </row>
    <row r="2353" customFormat="false" ht="6" hidden="false" customHeight="true" outlineLevel="0" collapsed="false"/>
    <row r="2354" customFormat="false" ht="13.5" hidden="false" customHeight="false" outlineLevel="0" collapsed="false">
      <c r="B2354" s="78" t="str">
        <f aca="false">IF(助手报销!$R$158&lt;&gt;"","会计主管：","")</f>
        <v/>
      </c>
      <c r="D2354" s="78" t="str">
        <f aca="false">IF(助手报销!$R$158&lt;&gt;"","会计：","")</f>
        <v/>
      </c>
      <c r="E2354" s="78" t="str">
        <f aca="false">IF(助手报销!$R$158&lt;&gt;"","出纳：","")</f>
        <v/>
      </c>
      <c r="F2354" s="78" t="str">
        <f aca="false">IF(助手报销!$R$158&lt;&gt;"","复核：","")</f>
        <v/>
      </c>
      <c r="G2354" s="78" t="str">
        <f aca="false">IF(助手报销!$R$158&lt;&gt;"","制单：","")</f>
        <v/>
      </c>
    </row>
    <row r="2355" customFormat="false" ht="3" hidden="false" customHeight="true" outlineLevel="0" collapsed="false"/>
    <row r="2356" customFormat="false" ht="19.5" hidden="false" customHeight="true" outlineLevel="0" collapsed="false">
      <c r="B2356" s="53" t="str">
        <f aca="false">IF(助手报销!$R$159&lt;&gt;"","记  账  凭  证","")</f>
        <v/>
      </c>
      <c r="C2356" s="53"/>
      <c r="D2356" s="53"/>
      <c r="E2356" s="53"/>
      <c r="F2356" s="53"/>
      <c r="G2356" s="53"/>
      <c r="H2356" s="53"/>
      <c r="I2356" s="53"/>
    </row>
    <row r="2357" customFormat="false" ht="3" hidden="false" customHeight="true" outlineLevel="0" collapsed="false"/>
    <row r="2358" customFormat="false" ht="15" hidden="false" customHeight="true" outlineLevel="0" collapsed="false">
      <c r="C2358" s="56" t="str">
        <f aca="false">IF(助手报销!$R$159&lt;&gt;"",INDEX(助手报销!$B$2:$B$121,助手报销!$R$159),"")</f>
        <v/>
      </c>
      <c r="D2358" s="57" t="str">
        <f aca="false">IF(助手报销!$R$159&lt;&gt;"",INDEX(助手报销!$D$2:$D$121,助手报销!$R$159),"")</f>
        <v/>
      </c>
      <c r="E2358" s="57"/>
      <c r="F2358" s="58" t="str">
        <f aca="false">IF(助手报销!$R$159&lt;&gt;"",INDEX(助手报销!$C$2:$C$121,助手报销!$R$159)&amp;"  字第 "&amp;IF(参数!$B$9="是",INDEX(助手报销!$P$2:$P$121,助手报销!$R$159),"　　　　")&amp;" 号"&amp;IF(INDEX(助手报销!$L$2:$L$121,助手报销!$R$159)&gt;1,"  (共"&amp;INDEX(助手报销!$L$2:$L$121,助手报销!$R$159)&amp;"页 第"&amp;助手报销!$S$159&amp;"页)",""),"")</f>
        <v/>
      </c>
      <c r="G2358" s="58"/>
      <c r="H2358" s="58"/>
      <c r="I2358" s="58"/>
      <c r="M2358" s="79" t="str">
        <f aca="false">IF(助手报销!$R$159="","",助手报销!$Q$159)</f>
        <v/>
      </c>
      <c r="N2358" s="80" t="str">
        <f aca="false">IF(助手报销!$R$159="","",INDEX(助手报销!$P$2:$P$121,助手报销!$R$159))</f>
        <v/>
      </c>
      <c r="O2358" s="55" t="str">
        <f aca="false">IF(助手报销!$R$159="","",INDEX(助手报销!$C$2:$C$121,助手报销!$R$159)&amp;"  字第 "&amp;INDEX(助手报销!$P$2:$P$121,助手报销!$R$159)&amp;" 号"&amp;IF(INDEX(助手报销!$L$2:$L$121,助手报销!$R$159)&gt;1,"  (共"&amp;INDEX(助手报销!$L$2:$L$121,助手报销!$R$159)&amp;"页 第"&amp;助手报销!$S$159&amp;"页)",""))</f>
        <v/>
      </c>
    </row>
    <row r="2359" customFormat="false" ht="12.75" hidden="false" customHeight="true" outlineLevel="0" collapsed="false">
      <c r="B2359" s="61" t="str">
        <f aca="false">IF(助手报销!$R$159&lt;&gt;"","摘　　要","")</f>
        <v/>
      </c>
      <c r="C2359" s="61"/>
      <c r="D2359" s="62" t="str">
        <f aca="false">IF(助手报销!$R$159&lt;&gt;"","科　　　　目","")</f>
        <v/>
      </c>
      <c r="E2359" s="62"/>
      <c r="F2359" s="61" t="str">
        <f aca="false">IF(助手报销!$R$159&lt;&gt;"","借 方 金 额","")</f>
        <v/>
      </c>
      <c r="G2359" s="62" t="str">
        <f aca="false">IF(助手报销!$R$159&lt;&gt;"","贷 方 金 额","")</f>
        <v/>
      </c>
      <c r="H2359" s="63" t="str">
        <f aca="false">IF(助手报销!$R$159&lt;&gt;"","√","")</f>
        <v/>
      </c>
      <c r="I2359" s="64" t="str">
        <f aca="false">IF(助手报销!$R$159&lt;&gt;"","附单据  张","")</f>
        <v/>
      </c>
    </row>
    <row r="2360" customFormat="false" ht="12.75" hidden="false" customHeight="true" outlineLevel="0" collapsed="false">
      <c r="B2360" s="61"/>
      <c r="C2360" s="61"/>
      <c r="D2360" s="23" t="str">
        <f aca="false">IF(助手报销!$R$159&lt;&gt;"","总 账 科 目","")</f>
        <v/>
      </c>
      <c r="E2360" s="23" t="str">
        <f aca="false">IF(助手报销!$R$159&lt;&gt;"","明 细 科 目","")</f>
        <v/>
      </c>
      <c r="F2360" s="65"/>
      <c r="G2360" s="66"/>
      <c r="H2360" s="63"/>
      <c r="I2360" s="64"/>
    </row>
    <row r="2361" customFormat="false" ht="23.25" hidden="false" customHeight="true" outlineLevel="0" collapsed="false">
      <c r="B2361" s="67" t="str">
        <f aca="false">IFERROR(INDEX(分录报销!$M:$M,MATCH($L2361,分录报销!$L:$L,0)),"")</f>
        <v/>
      </c>
      <c r="C2361" s="67"/>
      <c r="D2361" s="23" t="str">
        <f aca="false">IFERROR(INDEX(分录报销!$E:$E,MATCH($L2361,分录报销!$L:$L,0)),"")</f>
        <v/>
      </c>
      <c r="E2361" s="23" t="str">
        <f aca="false">IFERROR(INDEX(分录报销!$F:$F,MATCH($L2361,分录报销!$L:$L,0)),"")</f>
        <v/>
      </c>
      <c r="F2361" s="68" t="str">
        <f aca="false">IFERROR(INDEX(分录报销!$H:$H,MATCH($L2361,分录报销!$L:$L,0)),"")</f>
        <v/>
      </c>
      <c r="G2361" s="69" t="str">
        <f aca="false">IFERROR(INDEX(分录报销!$I:$I,MATCH($L2361,分录报销!$L:$L,0)),"")</f>
        <v/>
      </c>
      <c r="H2361" s="23"/>
      <c r="I2361" s="70"/>
      <c r="L2361" s="71" t="n">
        <f aca="false">IF(助手报销!$R$159="",-1,助手报销!$R$159*100+(助手报销!$S$159-1)*6+1)</f>
        <v>-1</v>
      </c>
    </row>
    <row r="2362" customFormat="false" ht="23.25" hidden="false" customHeight="true" outlineLevel="0" collapsed="false">
      <c r="B2362" s="67" t="str">
        <f aca="false">IFERROR(INDEX(分录报销!$M:$M,MATCH($L2362,分录报销!$L:$L,0)),"")</f>
        <v/>
      </c>
      <c r="C2362" s="67"/>
      <c r="D2362" s="23" t="str">
        <f aca="false">IFERROR(INDEX(分录报销!$E:$E,MATCH($L2362,分录报销!$L:$L,0)),"")</f>
        <v/>
      </c>
      <c r="E2362" s="23" t="str">
        <f aca="false">IFERROR(INDEX(分录报销!$F:$F,MATCH($L2362,分录报销!$L:$L,0)),"")</f>
        <v/>
      </c>
      <c r="F2362" s="68" t="str">
        <f aca="false">IFERROR(INDEX(分录报销!$H:$H,MATCH($L2362,分录报销!$L:$L,0)),"")</f>
        <v/>
      </c>
      <c r="G2362" s="69" t="str">
        <f aca="false">IFERROR(INDEX(分录报销!$I:$I,MATCH($L2362,分录报销!$L:$L,0)),"")</f>
        <v/>
      </c>
      <c r="H2362" s="23"/>
      <c r="I2362" s="70"/>
      <c r="L2362" s="71" t="n">
        <f aca="false">IF(助手报销!$R$159="",-1,助手报销!$R$159*100+(助手报销!$S$159-1)*6+2)</f>
        <v>-1</v>
      </c>
    </row>
    <row r="2363" customFormat="false" ht="23.25" hidden="false" customHeight="true" outlineLevel="0" collapsed="false">
      <c r="B2363" s="67" t="str">
        <f aca="false">IFERROR(INDEX(分录报销!$M:$M,MATCH($L2363,分录报销!$L:$L,0)),"")</f>
        <v/>
      </c>
      <c r="C2363" s="67"/>
      <c r="D2363" s="23" t="str">
        <f aca="false">IFERROR(INDEX(分录报销!$E:$E,MATCH($L2363,分录报销!$L:$L,0)),"")</f>
        <v/>
      </c>
      <c r="E2363" s="23" t="str">
        <f aca="false">IFERROR(INDEX(分录报销!$F:$F,MATCH($L2363,分录报销!$L:$L,0)),"")</f>
        <v/>
      </c>
      <c r="F2363" s="68" t="str">
        <f aca="false">IFERROR(INDEX(分录报销!$H:$H,MATCH($L2363,分录报销!$L:$L,0)),"")</f>
        <v/>
      </c>
      <c r="G2363" s="69" t="str">
        <f aca="false">IFERROR(INDEX(分录报销!$I:$I,MATCH($L2363,分录报销!$L:$L,0)),"")</f>
        <v/>
      </c>
      <c r="H2363" s="23"/>
      <c r="I2363" s="70"/>
      <c r="L2363" s="71" t="n">
        <f aca="false">IF(助手报销!$R$159="",-1,助手报销!$R$159*100+(助手报销!$S$159-1)*6+3)</f>
        <v>-1</v>
      </c>
    </row>
    <row r="2364" customFormat="false" ht="23.25" hidden="false" customHeight="true" outlineLevel="0" collapsed="false">
      <c r="B2364" s="67" t="str">
        <f aca="false">IFERROR(INDEX(分录报销!$M:$M,MATCH($L2364,分录报销!$L:$L,0)),"")</f>
        <v/>
      </c>
      <c r="C2364" s="67"/>
      <c r="D2364" s="23" t="str">
        <f aca="false">IFERROR(INDEX(分录报销!$E:$E,MATCH($L2364,分录报销!$L:$L,0)),"")</f>
        <v/>
      </c>
      <c r="E2364" s="23" t="str">
        <f aca="false">IFERROR(INDEX(分录报销!$F:$F,MATCH($L2364,分录报销!$L:$L,0)),"")</f>
        <v/>
      </c>
      <c r="F2364" s="68" t="str">
        <f aca="false">IFERROR(INDEX(分录报销!$H:$H,MATCH($L2364,分录报销!$L:$L,0)),"")</f>
        <v/>
      </c>
      <c r="G2364" s="69" t="str">
        <f aca="false">IFERROR(INDEX(分录报销!$I:$I,MATCH($L2364,分录报销!$L:$L,0)),"")</f>
        <v/>
      </c>
      <c r="H2364" s="23"/>
      <c r="I2364" s="70"/>
      <c r="L2364" s="71" t="n">
        <f aca="false">IF(助手报销!$R$159="",-1,助手报销!$R$159*100+(助手报销!$S$159-1)*6+4)</f>
        <v>-1</v>
      </c>
    </row>
    <row r="2365" customFormat="false" ht="23.25" hidden="false" customHeight="true" outlineLevel="0" collapsed="false">
      <c r="B2365" s="67" t="str">
        <f aca="false">IFERROR(INDEX(分录报销!$M:$M,MATCH($L2365,分录报销!$L:$L,0)),"")</f>
        <v/>
      </c>
      <c r="C2365" s="67"/>
      <c r="D2365" s="23" t="str">
        <f aca="false">IFERROR(INDEX(分录报销!$E:$E,MATCH($L2365,分录报销!$L:$L,0)),"")</f>
        <v/>
      </c>
      <c r="E2365" s="23" t="str">
        <f aca="false">IFERROR(INDEX(分录报销!$F:$F,MATCH($L2365,分录报销!$L:$L,0)),"")</f>
        <v/>
      </c>
      <c r="F2365" s="68" t="str">
        <f aca="false">IFERROR(INDEX(分录报销!$H:$H,MATCH($L2365,分录报销!$L:$L,0)),"")</f>
        <v/>
      </c>
      <c r="G2365" s="69" t="str">
        <f aca="false">IFERROR(INDEX(分录报销!$I:$I,MATCH($L2365,分录报销!$L:$L,0)),"")</f>
        <v/>
      </c>
      <c r="H2365" s="23"/>
      <c r="I2365" s="70"/>
      <c r="L2365" s="71" t="n">
        <f aca="false">IF(助手报销!$R$159="",-1,助手报销!$R$159*100+(助手报销!$S$159-1)*6+5)</f>
        <v>-1</v>
      </c>
    </row>
    <row r="2366" customFormat="false" ht="23.25" hidden="false" customHeight="true" outlineLevel="0" collapsed="false">
      <c r="B2366" s="67" t="str">
        <f aca="false">IFERROR(INDEX(分录报销!$M:$M,MATCH($L2366,分录报销!$L:$L,0)),"")</f>
        <v/>
      </c>
      <c r="C2366" s="67"/>
      <c r="D2366" s="23" t="str">
        <f aca="false">IFERROR(INDEX(分录报销!$E:$E,MATCH($L2366,分录报销!$L:$L,0)),"")</f>
        <v/>
      </c>
      <c r="E2366" s="23" t="str">
        <f aca="false">IFERROR(INDEX(分录报销!$F:$F,MATCH($L2366,分录报销!$L:$L,0)),"")</f>
        <v/>
      </c>
      <c r="F2366" s="68" t="str">
        <f aca="false">IFERROR(INDEX(分录报销!$H:$H,MATCH($L2366,分录报销!$L:$L,0)),"")</f>
        <v/>
      </c>
      <c r="G2366" s="69" t="str">
        <f aca="false">IFERROR(INDEX(分录报销!$I:$I,MATCH($L2366,分录报销!$L:$L,0)),"")</f>
        <v/>
      </c>
      <c r="H2366" s="23"/>
      <c r="I2366" s="70"/>
      <c r="L2366" s="71" t="n">
        <f aca="false">IF(助手报销!$R$159="",-1,助手报销!$R$159*100+(助手报销!$S$159-1)*6+6)</f>
        <v>-1</v>
      </c>
    </row>
    <row r="2367" customFormat="false" ht="23.25" hidden="false" customHeight="true" outlineLevel="0" collapsed="false">
      <c r="B2367" s="72" t="str">
        <f aca="false">IF(助手报销!$T$159=1,"合计：","")</f>
        <v/>
      </c>
      <c r="C2367" s="73" t="str">
        <f aca="false">IF(助手报销!$T$159=1,$F2367,"")</f>
        <v/>
      </c>
      <c r="D2367" s="74"/>
      <c r="E2367" s="74"/>
      <c r="F2367" s="75" t="str">
        <f aca="false">IF(助手报销!$T$159=1,INDEX(助手报销!$N$2:$N$121,助手报销!$R$159),"")</f>
        <v/>
      </c>
      <c r="G2367" s="76" t="str">
        <f aca="false">IF(助手报销!$T$159=1,INDEX(助手报销!$O$2:$O$121,助手报销!$R$159),"")</f>
        <v/>
      </c>
      <c r="H2367" s="74"/>
      <c r="I2367" s="77"/>
    </row>
    <row r="2368" customFormat="false" ht="6" hidden="false" customHeight="true" outlineLevel="0" collapsed="false"/>
    <row r="2369" customFormat="false" ht="13.5" hidden="false" customHeight="false" outlineLevel="0" collapsed="false">
      <c r="B2369" s="78" t="str">
        <f aca="false">IF(助手报销!$R$159&lt;&gt;"","会计主管：","")</f>
        <v/>
      </c>
      <c r="D2369" s="78" t="str">
        <f aca="false">IF(助手报销!$R$159&lt;&gt;"","会计：","")</f>
        <v/>
      </c>
      <c r="E2369" s="78" t="str">
        <f aca="false">IF(助手报销!$R$159&lt;&gt;"","出纳：","")</f>
        <v/>
      </c>
      <c r="F2369" s="78" t="str">
        <f aca="false">IF(助手报销!$R$159&lt;&gt;"","复核：","")</f>
        <v/>
      </c>
      <c r="G2369" s="78" t="str">
        <f aca="false">IF(助手报销!$R$159&lt;&gt;"","制单：","")</f>
        <v/>
      </c>
    </row>
    <row r="2370" customFormat="false" ht="3" hidden="false" customHeight="true" outlineLevel="0" collapsed="false"/>
    <row r="2371" customFormat="false" ht="19.5" hidden="false" customHeight="true" outlineLevel="0" collapsed="false">
      <c r="B2371" s="53" t="str">
        <f aca="false">IF(助手报销!$R$160&lt;&gt;"","记  账  凭  证","")</f>
        <v/>
      </c>
      <c r="C2371" s="53"/>
      <c r="D2371" s="53"/>
      <c r="E2371" s="53"/>
      <c r="F2371" s="53"/>
      <c r="G2371" s="53"/>
      <c r="H2371" s="53"/>
      <c r="I2371" s="53"/>
    </row>
    <row r="2372" customFormat="false" ht="3" hidden="false" customHeight="true" outlineLevel="0" collapsed="false"/>
    <row r="2373" customFormat="false" ht="15" hidden="false" customHeight="true" outlineLevel="0" collapsed="false">
      <c r="C2373" s="56" t="str">
        <f aca="false">IF(助手报销!$R$160&lt;&gt;"",INDEX(助手报销!$B$2:$B$121,助手报销!$R$160),"")</f>
        <v/>
      </c>
      <c r="D2373" s="57" t="str">
        <f aca="false">IF(助手报销!$R$160&lt;&gt;"",INDEX(助手报销!$D$2:$D$121,助手报销!$R$160),"")</f>
        <v/>
      </c>
      <c r="E2373" s="57"/>
      <c r="F2373" s="58" t="str">
        <f aca="false">IF(助手报销!$R$160&lt;&gt;"",INDEX(助手报销!$C$2:$C$121,助手报销!$R$160)&amp;"  字第 "&amp;IF(参数!$B$9="是",INDEX(助手报销!$P$2:$P$121,助手报销!$R$160),"　　　　")&amp;" 号"&amp;IF(INDEX(助手报销!$L$2:$L$121,助手报销!$R$160)&gt;1,"  (共"&amp;INDEX(助手报销!$L$2:$L$121,助手报销!$R$160)&amp;"页 第"&amp;助手报销!$S$160&amp;"页)",""),"")</f>
        <v/>
      </c>
      <c r="G2373" s="58"/>
      <c r="H2373" s="58"/>
      <c r="I2373" s="58"/>
      <c r="M2373" s="79" t="str">
        <f aca="false">IF(助手报销!$R$160="","",助手报销!$Q$160)</f>
        <v/>
      </c>
      <c r="N2373" s="80" t="str">
        <f aca="false">IF(助手报销!$R$160="","",INDEX(助手报销!$P$2:$P$121,助手报销!$R$160))</f>
        <v/>
      </c>
      <c r="O2373" s="55" t="str">
        <f aca="false">IF(助手报销!$R$160="","",INDEX(助手报销!$C$2:$C$121,助手报销!$R$160)&amp;"  字第 "&amp;INDEX(助手报销!$P$2:$P$121,助手报销!$R$160)&amp;" 号"&amp;IF(INDEX(助手报销!$L$2:$L$121,助手报销!$R$160)&gt;1,"  (共"&amp;INDEX(助手报销!$L$2:$L$121,助手报销!$R$160)&amp;"页 第"&amp;助手报销!$S$160&amp;"页)",""))</f>
        <v/>
      </c>
    </row>
    <row r="2374" customFormat="false" ht="12.75" hidden="false" customHeight="true" outlineLevel="0" collapsed="false">
      <c r="B2374" s="61" t="str">
        <f aca="false">IF(助手报销!$R$160&lt;&gt;"","摘　　要","")</f>
        <v/>
      </c>
      <c r="C2374" s="61"/>
      <c r="D2374" s="62" t="str">
        <f aca="false">IF(助手报销!$R$160&lt;&gt;"","科　　　　目","")</f>
        <v/>
      </c>
      <c r="E2374" s="62"/>
      <c r="F2374" s="61" t="str">
        <f aca="false">IF(助手报销!$R$160&lt;&gt;"","借 方 金 额","")</f>
        <v/>
      </c>
      <c r="G2374" s="62" t="str">
        <f aca="false">IF(助手报销!$R$160&lt;&gt;"","贷 方 金 额","")</f>
        <v/>
      </c>
      <c r="H2374" s="63" t="str">
        <f aca="false">IF(助手报销!$R$160&lt;&gt;"","√","")</f>
        <v/>
      </c>
      <c r="I2374" s="64" t="str">
        <f aca="false">IF(助手报销!$R$160&lt;&gt;"","附单据  张","")</f>
        <v/>
      </c>
    </row>
    <row r="2375" customFormat="false" ht="12.75" hidden="false" customHeight="true" outlineLevel="0" collapsed="false">
      <c r="B2375" s="61"/>
      <c r="C2375" s="61"/>
      <c r="D2375" s="23" t="str">
        <f aca="false">IF(助手报销!$R$160&lt;&gt;"","总 账 科 目","")</f>
        <v/>
      </c>
      <c r="E2375" s="23" t="str">
        <f aca="false">IF(助手报销!$R$160&lt;&gt;"","明 细 科 目","")</f>
        <v/>
      </c>
      <c r="F2375" s="65"/>
      <c r="G2375" s="66"/>
      <c r="H2375" s="63"/>
      <c r="I2375" s="64"/>
    </row>
    <row r="2376" customFormat="false" ht="23.25" hidden="false" customHeight="true" outlineLevel="0" collapsed="false">
      <c r="B2376" s="67" t="str">
        <f aca="false">IFERROR(INDEX(分录报销!$M:$M,MATCH($L2376,分录报销!$L:$L,0)),"")</f>
        <v/>
      </c>
      <c r="C2376" s="67"/>
      <c r="D2376" s="23" t="str">
        <f aca="false">IFERROR(INDEX(分录报销!$E:$E,MATCH($L2376,分录报销!$L:$L,0)),"")</f>
        <v/>
      </c>
      <c r="E2376" s="23" t="str">
        <f aca="false">IFERROR(INDEX(分录报销!$F:$F,MATCH($L2376,分录报销!$L:$L,0)),"")</f>
        <v/>
      </c>
      <c r="F2376" s="68" t="str">
        <f aca="false">IFERROR(INDEX(分录报销!$H:$H,MATCH($L2376,分录报销!$L:$L,0)),"")</f>
        <v/>
      </c>
      <c r="G2376" s="69" t="str">
        <f aca="false">IFERROR(INDEX(分录报销!$I:$I,MATCH($L2376,分录报销!$L:$L,0)),"")</f>
        <v/>
      </c>
      <c r="H2376" s="23"/>
      <c r="I2376" s="70"/>
      <c r="L2376" s="71" t="n">
        <f aca="false">IF(助手报销!$R$160="",-1,助手报销!$R$160*100+(助手报销!$S$160-1)*6+1)</f>
        <v>-1</v>
      </c>
    </row>
    <row r="2377" customFormat="false" ht="23.25" hidden="false" customHeight="true" outlineLevel="0" collapsed="false">
      <c r="B2377" s="67" t="str">
        <f aca="false">IFERROR(INDEX(分录报销!$M:$M,MATCH($L2377,分录报销!$L:$L,0)),"")</f>
        <v/>
      </c>
      <c r="C2377" s="67"/>
      <c r="D2377" s="23" t="str">
        <f aca="false">IFERROR(INDEX(分录报销!$E:$E,MATCH($L2377,分录报销!$L:$L,0)),"")</f>
        <v/>
      </c>
      <c r="E2377" s="23" t="str">
        <f aca="false">IFERROR(INDEX(分录报销!$F:$F,MATCH($L2377,分录报销!$L:$L,0)),"")</f>
        <v/>
      </c>
      <c r="F2377" s="68" t="str">
        <f aca="false">IFERROR(INDEX(分录报销!$H:$H,MATCH($L2377,分录报销!$L:$L,0)),"")</f>
        <v/>
      </c>
      <c r="G2377" s="69" t="str">
        <f aca="false">IFERROR(INDEX(分录报销!$I:$I,MATCH($L2377,分录报销!$L:$L,0)),"")</f>
        <v/>
      </c>
      <c r="H2377" s="23"/>
      <c r="I2377" s="70"/>
      <c r="L2377" s="71" t="n">
        <f aca="false">IF(助手报销!$R$160="",-1,助手报销!$R$160*100+(助手报销!$S$160-1)*6+2)</f>
        <v>-1</v>
      </c>
    </row>
    <row r="2378" customFormat="false" ht="23.25" hidden="false" customHeight="true" outlineLevel="0" collapsed="false">
      <c r="B2378" s="67" t="str">
        <f aca="false">IFERROR(INDEX(分录报销!$M:$M,MATCH($L2378,分录报销!$L:$L,0)),"")</f>
        <v/>
      </c>
      <c r="C2378" s="67"/>
      <c r="D2378" s="23" t="str">
        <f aca="false">IFERROR(INDEX(分录报销!$E:$E,MATCH($L2378,分录报销!$L:$L,0)),"")</f>
        <v/>
      </c>
      <c r="E2378" s="23" t="str">
        <f aca="false">IFERROR(INDEX(分录报销!$F:$F,MATCH($L2378,分录报销!$L:$L,0)),"")</f>
        <v/>
      </c>
      <c r="F2378" s="68" t="str">
        <f aca="false">IFERROR(INDEX(分录报销!$H:$H,MATCH($L2378,分录报销!$L:$L,0)),"")</f>
        <v/>
      </c>
      <c r="G2378" s="69" t="str">
        <f aca="false">IFERROR(INDEX(分录报销!$I:$I,MATCH($L2378,分录报销!$L:$L,0)),"")</f>
        <v/>
      </c>
      <c r="H2378" s="23"/>
      <c r="I2378" s="70"/>
      <c r="L2378" s="71" t="n">
        <f aca="false">IF(助手报销!$R$160="",-1,助手报销!$R$160*100+(助手报销!$S$160-1)*6+3)</f>
        <v>-1</v>
      </c>
    </row>
    <row r="2379" customFormat="false" ht="23.25" hidden="false" customHeight="true" outlineLevel="0" collapsed="false">
      <c r="B2379" s="67" t="str">
        <f aca="false">IFERROR(INDEX(分录报销!$M:$M,MATCH($L2379,分录报销!$L:$L,0)),"")</f>
        <v/>
      </c>
      <c r="C2379" s="67"/>
      <c r="D2379" s="23" t="str">
        <f aca="false">IFERROR(INDEX(分录报销!$E:$E,MATCH($L2379,分录报销!$L:$L,0)),"")</f>
        <v/>
      </c>
      <c r="E2379" s="23" t="str">
        <f aca="false">IFERROR(INDEX(分录报销!$F:$F,MATCH($L2379,分录报销!$L:$L,0)),"")</f>
        <v/>
      </c>
      <c r="F2379" s="68" t="str">
        <f aca="false">IFERROR(INDEX(分录报销!$H:$H,MATCH($L2379,分录报销!$L:$L,0)),"")</f>
        <v/>
      </c>
      <c r="G2379" s="69" t="str">
        <f aca="false">IFERROR(INDEX(分录报销!$I:$I,MATCH($L2379,分录报销!$L:$L,0)),"")</f>
        <v/>
      </c>
      <c r="H2379" s="23"/>
      <c r="I2379" s="70"/>
      <c r="L2379" s="71" t="n">
        <f aca="false">IF(助手报销!$R$160="",-1,助手报销!$R$160*100+(助手报销!$S$160-1)*6+4)</f>
        <v>-1</v>
      </c>
    </row>
    <row r="2380" customFormat="false" ht="23.25" hidden="false" customHeight="true" outlineLevel="0" collapsed="false">
      <c r="B2380" s="67" t="str">
        <f aca="false">IFERROR(INDEX(分录报销!$M:$M,MATCH($L2380,分录报销!$L:$L,0)),"")</f>
        <v/>
      </c>
      <c r="C2380" s="67"/>
      <c r="D2380" s="23" t="str">
        <f aca="false">IFERROR(INDEX(分录报销!$E:$E,MATCH($L2380,分录报销!$L:$L,0)),"")</f>
        <v/>
      </c>
      <c r="E2380" s="23" t="str">
        <f aca="false">IFERROR(INDEX(分录报销!$F:$F,MATCH($L2380,分录报销!$L:$L,0)),"")</f>
        <v/>
      </c>
      <c r="F2380" s="68" t="str">
        <f aca="false">IFERROR(INDEX(分录报销!$H:$H,MATCH($L2380,分录报销!$L:$L,0)),"")</f>
        <v/>
      </c>
      <c r="G2380" s="69" t="str">
        <f aca="false">IFERROR(INDEX(分录报销!$I:$I,MATCH($L2380,分录报销!$L:$L,0)),"")</f>
        <v/>
      </c>
      <c r="H2380" s="23"/>
      <c r="I2380" s="70"/>
      <c r="L2380" s="71" t="n">
        <f aca="false">IF(助手报销!$R$160="",-1,助手报销!$R$160*100+(助手报销!$S$160-1)*6+5)</f>
        <v>-1</v>
      </c>
    </row>
    <row r="2381" customFormat="false" ht="23.25" hidden="false" customHeight="true" outlineLevel="0" collapsed="false">
      <c r="B2381" s="67" t="str">
        <f aca="false">IFERROR(INDEX(分录报销!$M:$M,MATCH($L2381,分录报销!$L:$L,0)),"")</f>
        <v/>
      </c>
      <c r="C2381" s="67"/>
      <c r="D2381" s="23" t="str">
        <f aca="false">IFERROR(INDEX(分录报销!$E:$E,MATCH($L2381,分录报销!$L:$L,0)),"")</f>
        <v/>
      </c>
      <c r="E2381" s="23" t="str">
        <f aca="false">IFERROR(INDEX(分录报销!$F:$F,MATCH($L2381,分录报销!$L:$L,0)),"")</f>
        <v/>
      </c>
      <c r="F2381" s="68" t="str">
        <f aca="false">IFERROR(INDEX(分录报销!$H:$H,MATCH($L2381,分录报销!$L:$L,0)),"")</f>
        <v/>
      </c>
      <c r="G2381" s="69" t="str">
        <f aca="false">IFERROR(INDEX(分录报销!$I:$I,MATCH($L2381,分录报销!$L:$L,0)),"")</f>
        <v/>
      </c>
      <c r="H2381" s="23"/>
      <c r="I2381" s="70"/>
      <c r="L2381" s="71" t="n">
        <f aca="false">IF(助手报销!$R$160="",-1,助手报销!$R$160*100+(助手报销!$S$160-1)*6+6)</f>
        <v>-1</v>
      </c>
    </row>
    <row r="2382" customFormat="false" ht="23.25" hidden="false" customHeight="true" outlineLevel="0" collapsed="false">
      <c r="B2382" s="72" t="str">
        <f aca="false">IF(助手报销!$T$160=1,"合计：","")</f>
        <v/>
      </c>
      <c r="C2382" s="73" t="str">
        <f aca="false">IF(助手报销!$T$160=1,$F2382,"")</f>
        <v/>
      </c>
      <c r="D2382" s="74"/>
      <c r="E2382" s="74"/>
      <c r="F2382" s="75" t="str">
        <f aca="false">IF(助手报销!$T$160=1,INDEX(助手报销!$N$2:$N$121,助手报销!$R$160),"")</f>
        <v/>
      </c>
      <c r="G2382" s="76" t="str">
        <f aca="false">IF(助手报销!$T$160=1,INDEX(助手报销!$O$2:$O$121,助手报销!$R$160),"")</f>
        <v/>
      </c>
      <c r="H2382" s="74"/>
      <c r="I2382" s="77"/>
    </row>
    <row r="2383" customFormat="false" ht="6" hidden="false" customHeight="true" outlineLevel="0" collapsed="false"/>
    <row r="2384" customFormat="false" ht="13.5" hidden="false" customHeight="false" outlineLevel="0" collapsed="false">
      <c r="B2384" s="78" t="str">
        <f aca="false">IF(助手报销!$R$160&lt;&gt;"","会计主管：","")</f>
        <v/>
      </c>
      <c r="D2384" s="78" t="str">
        <f aca="false">IF(助手报销!$R$160&lt;&gt;"","会计：","")</f>
        <v/>
      </c>
      <c r="E2384" s="78" t="str">
        <f aca="false">IF(助手报销!$R$160&lt;&gt;"","出纳：","")</f>
        <v/>
      </c>
      <c r="F2384" s="78" t="str">
        <f aca="false">IF(助手报销!$R$160&lt;&gt;"","复核：","")</f>
        <v/>
      </c>
      <c r="G2384" s="78" t="str">
        <f aca="false">IF(助手报销!$R$160&lt;&gt;"","制单：","")</f>
        <v/>
      </c>
    </row>
    <row r="2385" customFormat="false" ht="3" hidden="false" customHeight="true" outlineLevel="0" collapsed="false"/>
    <row r="2386" customFormat="false" ht="19.5" hidden="false" customHeight="true" outlineLevel="0" collapsed="false">
      <c r="B2386" s="53" t="str">
        <f aca="false">IF(助手报销!$R$161&lt;&gt;"","记  账  凭  证","")</f>
        <v/>
      </c>
      <c r="C2386" s="53"/>
      <c r="D2386" s="53"/>
      <c r="E2386" s="53"/>
      <c r="F2386" s="53"/>
      <c r="G2386" s="53"/>
      <c r="H2386" s="53"/>
      <c r="I2386" s="53"/>
    </row>
    <row r="2387" customFormat="false" ht="3" hidden="false" customHeight="true" outlineLevel="0" collapsed="false"/>
    <row r="2388" customFormat="false" ht="15" hidden="false" customHeight="true" outlineLevel="0" collapsed="false">
      <c r="C2388" s="56" t="str">
        <f aca="false">IF(助手报销!$R$161&lt;&gt;"",INDEX(助手报销!$B$2:$B$121,助手报销!$R$161),"")</f>
        <v/>
      </c>
      <c r="D2388" s="57" t="str">
        <f aca="false">IF(助手报销!$R$161&lt;&gt;"",INDEX(助手报销!$D$2:$D$121,助手报销!$R$161),"")</f>
        <v/>
      </c>
      <c r="E2388" s="57"/>
      <c r="F2388" s="58" t="str">
        <f aca="false">IF(助手报销!$R$161&lt;&gt;"",INDEX(助手报销!$C$2:$C$121,助手报销!$R$161)&amp;"  字第 "&amp;IF(参数!$B$9="是",INDEX(助手报销!$P$2:$P$121,助手报销!$R$161),"　　　　")&amp;" 号"&amp;IF(INDEX(助手报销!$L$2:$L$121,助手报销!$R$161)&gt;1,"  (共"&amp;INDEX(助手报销!$L$2:$L$121,助手报销!$R$161)&amp;"页 第"&amp;助手报销!$S$161&amp;"页)",""),"")</f>
        <v/>
      </c>
      <c r="G2388" s="58"/>
      <c r="H2388" s="58"/>
      <c r="I2388" s="58"/>
      <c r="M2388" s="79" t="str">
        <f aca="false">IF(助手报销!$R$161="","",助手报销!$Q$161)</f>
        <v/>
      </c>
      <c r="N2388" s="80" t="str">
        <f aca="false">IF(助手报销!$R$161="","",INDEX(助手报销!$P$2:$P$121,助手报销!$R$161))</f>
        <v/>
      </c>
      <c r="O2388" s="55" t="str">
        <f aca="false">IF(助手报销!$R$161="","",INDEX(助手报销!$C$2:$C$121,助手报销!$R$161)&amp;"  字第 "&amp;INDEX(助手报销!$P$2:$P$121,助手报销!$R$161)&amp;" 号"&amp;IF(INDEX(助手报销!$L$2:$L$121,助手报销!$R$161)&gt;1,"  (共"&amp;INDEX(助手报销!$L$2:$L$121,助手报销!$R$161)&amp;"页 第"&amp;助手报销!$S$161&amp;"页)",""))</f>
        <v/>
      </c>
    </row>
    <row r="2389" customFormat="false" ht="12.75" hidden="false" customHeight="true" outlineLevel="0" collapsed="false">
      <c r="B2389" s="61" t="str">
        <f aca="false">IF(助手报销!$R$161&lt;&gt;"","摘　　要","")</f>
        <v/>
      </c>
      <c r="C2389" s="61"/>
      <c r="D2389" s="62" t="str">
        <f aca="false">IF(助手报销!$R$161&lt;&gt;"","科　　　　目","")</f>
        <v/>
      </c>
      <c r="E2389" s="62"/>
      <c r="F2389" s="61" t="str">
        <f aca="false">IF(助手报销!$R$161&lt;&gt;"","借 方 金 额","")</f>
        <v/>
      </c>
      <c r="G2389" s="62" t="str">
        <f aca="false">IF(助手报销!$R$161&lt;&gt;"","贷 方 金 额","")</f>
        <v/>
      </c>
      <c r="H2389" s="63" t="str">
        <f aca="false">IF(助手报销!$R$161&lt;&gt;"","√","")</f>
        <v/>
      </c>
      <c r="I2389" s="64" t="str">
        <f aca="false">IF(助手报销!$R$161&lt;&gt;"","附单据  张","")</f>
        <v/>
      </c>
    </row>
    <row r="2390" customFormat="false" ht="12.75" hidden="false" customHeight="true" outlineLevel="0" collapsed="false">
      <c r="B2390" s="61"/>
      <c r="C2390" s="61"/>
      <c r="D2390" s="23" t="str">
        <f aca="false">IF(助手报销!$R$161&lt;&gt;"","总 账 科 目","")</f>
        <v/>
      </c>
      <c r="E2390" s="23" t="str">
        <f aca="false">IF(助手报销!$R$161&lt;&gt;"","明 细 科 目","")</f>
        <v/>
      </c>
      <c r="F2390" s="65"/>
      <c r="G2390" s="66"/>
      <c r="H2390" s="63"/>
      <c r="I2390" s="64"/>
    </row>
    <row r="2391" customFormat="false" ht="23.25" hidden="false" customHeight="true" outlineLevel="0" collapsed="false">
      <c r="B2391" s="67" t="str">
        <f aca="false">IFERROR(INDEX(分录报销!$M:$M,MATCH($L2391,分录报销!$L:$L,0)),"")</f>
        <v/>
      </c>
      <c r="C2391" s="67"/>
      <c r="D2391" s="23" t="str">
        <f aca="false">IFERROR(INDEX(分录报销!$E:$E,MATCH($L2391,分录报销!$L:$L,0)),"")</f>
        <v/>
      </c>
      <c r="E2391" s="23" t="str">
        <f aca="false">IFERROR(INDEX(分录报销!$F:$F,MATCH($L2391,分录报销!$L:$L,0)),"")</f>
        <v/>
      </c>
      <c r="F2391" s="68" t="str">
        <f aca="false">IFERROR(INDEX(分录报销!$H:$H,MATCH($L2391,分录报销!$L:$L,0)),"")</f>
        <v/>
      </c>
      <c r="G2391" s="69" t="str">
        <f aca="false">IFERROR(INDEX(分录报销!$I:$I,MATCH($L2391,分录报销!$L:$L,0)),"")</f>
        <v/>
      </c>
      <c r="H2391" s="23"/>
      <c r="I2391" s="70"/>
      <c r="L2391" s="71" t="n">
        <f aca="false">IF(助手报销!$R$161="",-1,助手报销!$R$161*100+(助手报销!$S$161-1)*6+1)</f>
        <v>-1</v>
      </c>
    </row>
    <row r="2392" customFormat="false" ht="23.25" hidden="false" customHeight="true" outlineLevel="0" collapsed="false">
      <c r="B2392" s="67" t="str">
        <f aca="false">IFERROR(INDEX(分录报销!$M:$M,MATCH($L2392,分录报销!$L:$L,0)),"")</f>
        <v/>
      </c>
      <c r="C2392" s="67"/>
      <c r="D2392" s="23" t="str">
        <f aca="false">IFERROR(INDEX(分录报销!$E:$E,MATCH($L2392,分录报销!$L:$L,0)),"")</f>
        <v/>
      </c>
      <c r="E2392" s="23" t="str">
        <f aca="false">IFERROR(INDEX(分录报销!$F:$F,MATCH($L2392,分录报销!$L:$L,0)),"")</f>
        <v/>
      </c>
      <c r="F2392" s="68" t="str">
        <f aca="false">IFERROR(INDEX(分录报销!$H:$H,MATCH($L2392,分录报销!$L:$L,0)),"")</f>
        <v/>
      </c>
      <c r="G2392" s="69" t="str">
        <f aca="false">IFERROR(INDEX(分录报销!$I:$I,MATCH($L2392,分录报销!$L:$L,0)),"")</f>
        <v/>
      </c>
      <c r="H2392" s="23"/>
      <c r="I2392" s="70"/>
      <c r="L2392" s="71" t="n">
        <f aca="false">IF(助手报销!$R$161="",-1,助手报销!$R$161*100+(助手报销!$S$161-1)*6+2)</f>
        <v>-1</v>
      </c>
    </row>
    <row r="2393" customFormat="false" ht="23.25" hidden="false" customHeight="true" outlineLevel="0" collapsed="false">
      <c r="B2393" s="67" t="str">
        <f aca="false">IFERROR(INDEX(分录报销!$M:$M,MATCH($L2393,分录报销!$L:$L,0)),"")</f>
        <v/>
      </c>
      <c r="C2393" s="67"/>
      <c r="D2393" s="23" t="str">
        <f aca="false">IFERROR(INDEX(分录报销!$E:$E,MATCH($L2393,分录报销!$L:$L,0)),"")</f>
        <v/>
      </c>
      <c r="E2393" s="23" t="str">
        <f aca="false">IFERROR(INDEX(分录报销!$F:$F,MATCH($L2393,分录报销!$L:$L,0)),"")</f>
        <v/>
      </c>
      <c r="F2393" s="68" t="str">
        <f aca="false">IFERROR(INDEX(分录报销!$H:$H,MATCH($L2393,分录报销!$L:$L,0)),"")</f>
        <v/>
      </c>
      <c r="G2393" s="69" t="str">
        <f aca="false">IFERROR(INDEX(分录报销!$I:$I,MATCH($L2393,分录报销!$L:$L,0)),"")</f>
        <v/>
      </c>
      <c r="H2393" s="23"/>
      <c r="I2393" s="70"/>
      <c r="L2393" s="71" t="n">
        <f aca="false">IF(助手报销!$R$161="",-1,助手报销!$R$161*100+(助手报销!$S$161-1)*6+3)</f>
        <v>-1</v>
      </c>
    </row>
    <row r="2394" customFormat="false" ht="23.25" hidden="false" customHeight="true" outlineLevel="0" collapsed="false">
      <c r="B2394" s="67" t="str">
        <f aca="false">IFERROR(INDEX(分录报销!$M:$M,MATCH($L2394,分录报销!$L:$L,0)),"")</f>
        <v/>
      </c>
      <c r="C2394" s="67"/>
      <c r="D2394" s="23" t="str">
        <f aca="false">IFERROR(INDEX(分录报销!$E:$E,MATCH($L2394,分录报销!$L:$L,0)),"")</f>
        <v/>
      </c>
      <c r="E2394" s="23" t="str">
        <f aca="false">IFERROR(INDEX(分录报销!$F:$F,MATCH($L2394,分录报销!$L:$L,0)),"")</f>
        <v/>
      </c>
      <c r="F2394" s="68" t="str">
        <f aca="false">IFERROR(INDEX(分录报销!$H:$H,MATCH($L2394,分录报销!$L:$L,0)),"")</f>
        <v/>
      </c>
      <c r="G2394" s="69" t="str">
        <f aca="false">IFERROR(INDEX(分录报销!$I:$I,MATCH($L2394,分录报销!$L:$L,0)),"")</f>
        <v/>
      </c>
      <c r="H2394" s="23"/>
      <c r="I2394" s="70"/>
      <c r="L2394" s="71" t="n">
        <f aca="false">IF(助手报销!$R$161="",-1,助手报销!$R$161*100+(助手报销!$S$161-1)*6+4)</f>
        <v>-1</v>
      </c>
    </row>
    <row r="2395" customFormat="false" ht="23.25" hidden="false" customHeight="true" outlineLevel="0" collapsed="false">
      <c r="B2395" s="67" t="str">
        <f aca="false">IFERROR(INDEX(分录报销!$M:$M,MATCH($L2395,分录报销!$L:$L,0)),"")</f>
        <v/>
      </c>
      <c r="C2395" s="67"/>
      <c r="D2395" s="23" t="str">
        <f aca="false">IFERROR(INDEX(分录报销!$E:$E,MATCH($L2395,分录报销!$L:$L,0)),"")</f>
        <v/>
      </c>
      <c r="E2395" s="23" t="str">
        <f aca="false">IFERROR(INDEX(分录报销!$F:$F,MATCH($L2395,分录报销!$L:$L,0)),"")</f>
        <v/>
      </c>
      <c r="F2395" s="68" t="str">
        <f aca="false">IFERROR(INDEX(分录报销!$H:$H,MATCH($L2395,分录报销!$L:$L,0)),"")</f>
        <v/>
      </c>
      <c r="G2395" s="69" t="str">
        <f aca="false">IFERROR(INDEX(分录报销!$I:$I,MATCH($L2395,分录报销!$L:$L,0)),"")</f>
        <v/>
      </c>
      <c r="H2395" s="23"/>
      <c r="I2395" s="70"/>
      <c r="L2395" s="71" t="n">
        <f aca="false">IF(助手报销!$R$161="",-1,助手报销!$R$161*100+(助手报销!$S$161-1)*6+5)</f>
        <v>-1</v>
      </c>
    </row>
    <row r="2396" customFormat="false" ht="23.25" hidden="false" customHeight="true" outlineLevel="0" collapsed="false">
      <c r="B2396" s="67" t="str">
        <f aca="false">IFERROR(INDEX(分录报销!$M:$M,MATCH($L2396,分录报销!$L:$L,0)),"")</f>
        <v/>
      </c>
      <c r="C2396" s="67"/>
      <c r="D2396" s="23" t="str">
        <f aca="false">IFERROR(INDEX(分录报销!$E:$E,MATCH($L2396,分录报销!$L:$L,0)),"")</f>
        <v/>
      </c>
      <c r="E2396" s="23" t="str">
        <f aca="false">IFERROR(INDEX(分录报销!$F:$F,MATCH($L2396,分录报销!$L:$L,0)),"")</f>
        <v/>
      </c>
      <c r="F2396" s="68" t="str">
        <f aca="false">IFERROR(INDEX(分录报销!$H:$H,MATCH($L2396,分录报销!$L:$L,0)),"")</f>
        <v/>
      </c>
      <c r="G2396" s="69" t="str">
        <f aca="false">IFERROR(INDEX(分录报销!$I:$I,MATCH($L2396,分录报销!$L:$L,0)),"")</f>
        <v/>
      </c>
      <c r="H2396" s="23"/>
      <c r="I2396" s="70"/>
      <c r="L2396" s="71" t="n">
        <f aca="false">IF(助手报销!$R$161="",-1,助手报销!$R$161*100+(助手报销!$S$161-1)*6+6)</f>
        <v>-1</v>
      </c>
    </row>
    <row r="2397" customFormat="false" ht="23.25" hidden="false" customHeight="true" outlineLevel="0" collapsed="false">
      <c r="B2397" s="72" t="str">
        <f aca="false">IF(助手报销!$T$161=1,"合计：","")</f>
        <v/>
      </c>
      <c r="C2397" s="73" t="str">
        <f aca="false">IF(助手报销!$T$161=1,$F2397,"")</f>
        <v/>
      </c>
      <c r="D2397" s="74"/>
      <c r="E2397" s="74"/>
      <c r="F2397" s="75" t="str">
        <f aca="false">IF(助手报销!$T$161=1,INDEX(助手报销!$N$2:$N$121,助手报销!$R$161),"")</f>
        <v/>
      </c>
      <c r="G2397" s="76" t="str">
        <f aca="false">IF(助手报销!$T$161=1,INDEX(助手报销!$O$2:$O$121,助手报销!$R$161),"")</f>
        <v/>
      </c>
      <c r="H2397" s="74"/>
      <c r="I2397" s="77"/>
    </row>
    <row r="2398" customFormat="false" ht="6" hidden="false" customHeight="true" outlineLevel="0" collapsed="false"/>
    <row r="2399" customFormat="false" ht="13.5" hidden="false" customHeight="false" outlineLevel="0" collapsed="false">
      <c r="B2399" s="78" t="str">
        <f aca="false">IF(助手报销!$R$161&lt;&gt;"","会计主管：","")</f>
        <v/>
      </c>
      <c r="D2399" s="78" t="str">
        <f aca="false">IF(助手报销!$R$161&lt;&gt;"","会计：","")</f>
        <v/>
      </c>
      <c r="E2399" s="78" t="str">
        <f aca="false">IF(助手报销!$R$161&lt;&gt;"","出纳：","")</f>
        <v/>
      </c>
      <c r="F2399" s="78" t="str">
        <f aca="false">IF(助手报销!$R$161&lt;&gt;"","复核：","")</f>
        <v/>
      </c>
      <c r="G2399" s="78" t="str">
        <f aca="false">IF(助手报销!$R$161&lt;&gt;"","制单：","")</f>
        <v/>
      </c>
    </row>
    <row r="2400" customFormat="false" ht="3" hidden="false" customHeight="true" outlineLevel="0" collapsed="false"/>
    <row r="2401" customFormat="false" ht="19.5" hidden="false" customHeight="true" outlineLevel="0" collapsed="false">
      <c r="B2401" s="53" t="str">
        <f aca="false">IF(助手报销!$R$162&lt;&gt;"","记  账  凭  证","")</f>
        <v/>
      </c>
      <c r="C2401" s="53"/>
      <c r="D2401" s="53"/>
      <c r="E2401" s="53"/>
      <c r="F2401" s="53"/>
      <c r="G2401" s="53"/>
      <c r="H2401" s="53"/>
      <c r="I2401" s="53"/>
    </row>
    <row r="2402" customFormat="false" ht="3" hidden="false" customHeight="true" outlineLevel="0" collapsed="false"/>
    <row r="2403" customFormat="false" ht="15" hidden="false" customHeight="true" outlineLevel="0" collapsed="false">
      <c r="C2403" s="56" t="str">
        <f aca="false">IF(助手报销!$R$162&lt;&gt;"",INDEX(助手报销!$B$2:$B$121,助手报销!$R$162),"")</f>
        <v/>
      </c>
      <c r="D2403" s="57" t="str">
        <f aca="false">IF(助手报销!$R$162&lt;&gt;"",INDEX(助手报销!$D$2:$D$121,助手报销!$R$162),"")</f>
        <v/>
      </c>
      <c r="E2403" s="57"/>
      <c r="F2403" s="58" t="str">
        <f aca="false">IF(助手报销!$R$162&lt;&gt;"",INDEX(助手报销!$C$2:$C$121,助手报销!$R$162)&amp;"  字第 "&amp;IF(参数!$B$9="是",INDEX(助手报销!$P$2:$P$121,助手报销!$R$162),"　　　　")&amp;" 号"&amp;IF(INDEX(助手报销!$L$2:$L$121,助手报销!$R$162)&gt;1,"  (共"&amp;INDEX(助手报销!$L$2:$L$121,助手报销!$R$162)&amp;"页 第"&amp;助手报销!$S$162&amp;"页)",""),"")</f>
        <v/>
      </c>
      <c r="G2403" s="58"/>
      <c r="H2403" s="58"/>
      <c r="I2403" s="58"/>
      <c r="M2403" s="79" t="str">
        <f aca="false">IF(助手报销!$R$162="","",助手报销!$Q$162)</f>
        <v/>
      </c>
      <c r="N2403" s="80" t="str">
        <f aca="false">IF(助手报销!$R$162="","",INDEX(助手报销!$P$2:$P$121,助手报销!$R$162))</f>
        <v/>
      </c>
      <c r="O2403" s="55" t="str">
        <f aca="false">IF(助手报销!$R$162="","",INDEX(助手报销!$C$2:$C$121,助手报销!$R$162)&amp;"  字第 "&amp;INDEX(助手报销!$P$2:$P$121,助手报销!$R$162)&amp;" 号"&amp;IF(INDEX(助手报销!$L$2:$L$121,助手报销!$R$162)&gt;1,"  (共"&amp;INDEX(助手报销!$L$2:$L$121,助手报销!$R$162)&amp;"页 第"&amp;助手报销!$S$162&amp;"页)",""))</f>
        <v/>
      </c>
    </row>
    <row r="2404" customFormat="false" ht="12.75" hidden="false" customHeight="true" outlineLevel="0" collapsed="false">
      <c r="B2404" s="61" t="str">
        <f aca="false">IF(助手报销!$R$162&lt;&gt;"","摘　　要","")</f>
        <v/>
      </c>
      <c r="C2404" s="61"/>
      <c r="D2404" s="62" t="str">
        <f aca="false">IF(助手报销!$R$162&lt;&gt;"","科　　　　目","")</f>
        <v/>
      </c>
      <c r="E2404" s="62"/>
      <c r="F2404" s="61" t="str">
        <f aca="false">IF(助手报销!$R$162&lt;&gt;"","借 方 金 额","")</f>
        <v/>
      </c>
      <c r="G2404" s="62" t="str">
        <f aca="false">IF(助手报销!$R$162&lt;&gt;"","贷 方 金 额","")</f>
        <v/>
      </c>
      <c r="H2404" s="63" t="str">
        <f aca="false">IF(助手报销!$R$162&lt;&gt;"","√","")</f>
        <v/>
      </c>
      <c r="I2404" s="64" t="str">
        <f aca="false">IF(助手报销!$R$162&lt;&gt;"","附单据  张","")</f>
        <v/>
      </c>
    </row>
    <row r="2405" customFormat="false" ht="12.75" hidden="false" customHeight="true" outlineLevel="0" collapsed="false">
      <c r="B2405" s="61"/>
      <c r="C2405" s="61"/>
      <c r="D2405" s="23" t="str">
        <f aca="false">IF(助手报销!$R$162&lt;&gt;"","总 账 科 目","")</f>
        <v/>
      </c>
      <c r="E2405" s="23" t="str">
        <f aca="false">IF(助手报销!$R$162&lt;&gt;"","明 细 科 目","")</f>
        <v/>
      </c>
      <c r="F2405" s="65"/>
      <c r="G2405" s="66"/>
      <c r="H2405" s="63"/>
      <c r="I2405" s="64"/>
    </row>
    <row r="2406" customFormat="false" ht="23.25" hidden="false" customHeight="true" outlineLevel="0" collapsed="false">
      <c r="B2406" s="67" t="str">
        <f aca="false">IFERROR(INDEX(分录报销!$M:$M,MATCH($L2406,分录报销!$L:$L,0)),"")</f>
        <v/>
      </c>
      <c r="C2406" s="67"/>
      <c r="D2406" s="23" t="str">
        <f aca="false">IFERROR(INDEX(分录报销!$E:$E,MATCH($L2406,分录报销!$L:$L,0)),"")</f>
        <v/>
      </c>
      <c r="E2406" s="23" t="str">
        <f aca="false">IFERROR(INDEX(分录报销!$F:$F,MATCH($L2406,分录报销!$L:$L,0)),"")</f>
        <v/>
      </c>
      <c r="F2406" s="68" t="str">
        <f aca="false">IFERROR(INDEX(分录报销!$H:$H,MATCH($L2406,分录报销!$L:$L,0)),"")</f>
        <v/>
      </c>
      <c r="G2406" s="69" t="str">
        <f aca="false">IFERROR(INDEX(分录报销!$I:$I,MATCH($L2406,分录报销!$L:$L,0)),"")</f>
        <v/>
      </c>
      <c r="H2406" s="23"/>
      <c r="I2406" s="70"/>
      <c r="L2406" s="71" t="n">
        <f aca="false">IF(助手报销!$R$162="",-1,助手报销!$R$162*100+(助手报销!$S$162-1)*6+1)</f>
        <v>-1</v>
      </c>
    </row>
    <row r="2407" customFormat="false" ht="23.25" hidden="false" customHeight="true" outlineLevel="0" collapsed="false">
      <c r="B2407" s="67" t="str">
        <f aca="false">IFERROR(INDEX(分录报销!$M:$M,MATCH($L2407,分录报销!$L:$L,0)),"")</f>
        <v/>
      </c>
      <c r="C2407" s="67"/>
      <c r="D2407" s="23" t="str">
        <f aca="false">IFERROR(INDEX(分录报销!$E:$E,MATCH($L2407,分录报销!$L:$L,0)),"")</f>
        <v/>
      </c>
      <c r="E2407" s="23" t="str">
        <f aca="false">IFERROR(INDEX(分录报销!$F:$F,MATCH($L2407,分录报销!$L:$L,0)),"")</f>
        <v/>
      </c>
      <c r="F2407" s="68" t="str">
        <f aca="false">IFERROR(INDEX(分录报销!$H:$H,MATCH($L2407,分录报销!$L:$L,0)),"")</f>
        <v/>
      </c>
      <c r="G2407" s="69" t="str">
        <f aca="false">IFERROR(INDEX(分录报销!$I:$I,MATCH($L2407,分录报销!$L:$L,0)),"")</f>
        <v/>
      </c>
      <c r="H2407" s="23"/>
      <c r="I2407" s="70"/>
      <c r="L2407" s="71" t="n">
        <f aca="false">IF(助手报销!$R$162="",-1,助手报销!$R$162*100+(助手报销!$S$162-1)*6+2)</f>
        <v>-1</v>
      </c>
    </row>
    <row r="2408" customFormat="false" ht="23.25" hidden="false" customHeight="true" outlineLevel="0" collapsed="false">
      <c r="B2408" s="67" t="str">
        <f aca="false">IFERROR(INDEX(分录报销!$M:$M,MATCH($L2408,分录报销!$L:$L,0)),"")</f>
        <v/>
      </c>
      <c r="C2408" s="67"/>
      <c r="D2408" s="23" t="str">
        <f aca="false">IFERROR(INDEX(分录报销!$E:$E,MATCH($L2408,分录报销!$L:$L,0)),"")</f>
        <v/>
      </c>
      <c r="E2408" s="23" t="str">
        <f aca="false">IFERROR(INDEX(分录报销!$F:$F,MATCH($L2408,分录报销!$L:$L,0)),"")</f>
        <v/>
      </c>
      <c r="F2408" s="68" t="str">
        <f aca="false">IFERROR(INDEX(分录报销!$H:$H,MATCH($L2408,分录报销!$L:$L,0)),"")</f>
        <v/>
      </c>
      <c r="G2408" s="69" t="str">
        <f aca="false">IFERROR(INDEX(分录报销!$I:$I,MATCH($L2408,分录报销!$L:$L,0)),"")</f>
        <v/>
      </c>
      <c r="H2408" s="23"/>
      <c r="I2408" s="70"/>
      <c r="L2408" s="71" t="n">
        <f aca="false">IF(助手报销!$R$162="",-1,助手报销!$R$162*100+(助手报销!$S$162-1)*6+3)</f>
        <v>-1</v>
      </c>
    </row>
    <row r="2409" customFormat="false" ht="23.25" hidden="false" customHeight="true" outlineLevel="0" collapsed="false">
      <c r="B2409" s="67" t="str">
        <f aca="false">IFERROR(INDEX(分录报销!$M:$M,MATCH($L2409,分录报销!$L:$L,0)),"")</f>
        <v/>
      </c>
      <c r="C2409" s="67"/>
      <c r="D2409" s="23" t="str">
        <f aca="false">IFERROR(INDEX(分录报销!$E:$E,MATCH($L2409,分录报销!$L:$L,0)),"")</f>
        <v/>
      </c>
      <c r="E2409" s="23" t="str">
        <f aca="false">IFERROR(INDEX(分录报销!$F:$F,MATCH($L2409,分录报销!$L:$L,0)),"")</f>
        <v/>
      </c>
      <c r="F2409" s="68" t="str">
        <f aca="false">IFERROR(INDEX(分录报销!$H:$H,MATCH($L2409,分录报销!$L:$L,0)),"")</f>
        <v/>
      </c>
      <c r="G2409" s="69" t="str">
        <f aca="false">IFERROR(INDEX(分录报销!$I:$I,MATCH($L2409,分录报销!$L:$L,0)),"")</f>
        <v/>
      </c>
      <c r="H2409" s="23"/>
      <c r="I2409" s="70"/>
      <c r="L2409" s="71" t="n">
        <f aca="false">IF(助手报销!$R$162="",-1,助手报销!$R$162*100+(助手报销!$S$162-1)*6+4)</f>
        <v>-1</v>
      </c>
    </row>
    <row r="2410" customFormat="false" ht="23.25" hidden="false" customHeight="true" outlineLevel="0" collapsed="false">
      <c r="B2410" s="67" t="str">
        <f aca="false">IFERROR(INDEX(分录报销!$M:$M,MATCH($L2410,分录报销!$L:$L,0)),"")</f>
        <v/>
      </c>
      <c r="C2410" s="67"/>
      <c r="D2410" s="23" t="str">
        <f aca="false">IFERROR(INDEX(分录报销!$E:$E,MATCH($L2410,分录报销!$L:$L,0)),"")</f>
        <v/>
      </c>
      <c r="E2410" s="23" t="str">
        <f aca="false">IFERROR(INDEX(分录报销!$F:$F,MATCH($L2410,分录报销!$L:$L,0)),"")</f>
        <v/>
      </c>
      <c r="F2410" s="68" t="str">
        <f aca="false">IFERROR(INDEX(分录报销!$H:$H,MATCH($L2410,分录报销!$L:$L,0)),"")</f>
        <v/>
      </c>
      <c r="G2410" s="69" t="str">
        <f aca="false">IFERROR(INDEX(分录报销!$I:$I,MATCH($L2410,分录报销!$L:$L,0)),"")</f>
        <v/>
      </c>
      <c r="H2410" s="23"/>
      <c r="I2410" s="70"/>
      <c r="L2410" s="71" t="n">
        <f aca="false">IF(助手报销!$R$162="",-1,助手报销!$R$162*100+(助手报销!$S$162-1)*6+5)</f>
        <v>-1</v>
      </c>
    </row>
    <row r="2411" customFormat="false" ht="23.25" hidden="false" customHeight="true" outlineLevel="0" collapsed="false">
      <c r="B2411" s="67" t="str">
        <f aca="false">IFERROR(INDEX(分录报销!$M:$M,MATCH($L2411,分录报销!$L:$L,0)),"")</f>
        <v/>
      </c>
      <c r="C2411" s="67"/>
      <c r="D2411" s="23" t="str">
        <f aca="false">IFERROR(INDEX(分录报销!$E:$E,MATCH($L2411,分录报销!$L:$L,0)),"")</f>
        <v/>
      </c>
      <c r="E2411" s="23" t="str">
        <f aca="false">IFERROR(INDEX(分录报销!$F:$F,MATCH($L2411,分录报销!$L:$L,0)),"")</f>
        <v/>
      </c>
      <c r="F2411" s="68" t="str">
        <f aca="false">IFERROR(INDEX(分录报销!$H:$H,MATCH($L2411,分录报销!$L:$L,0)),"")</f>
        <v/>
      </c>
      <c r="G2411" s="69" t="str">
        <f aca="false">IFERROR(INDEX(分录报销!$I:$I,MATCH($L2411,分录报销!$L:$L,0)),"")</f>
        <v/>
      </c>
      <c r="H2411" s="23"/>
      <c r="I2411" s="70"/>
      <c r="L2411" s="71" t="n">
        <f aca="false">IF(助手报销!$R$162="",-1,助手报销!$R$162*100+(助手报销!$S$162-1)*6+6)</f>
        <v>-1</v>
      </c>
    </row>
    <row r="2412" customFormat="false" ht="23.25" hidden="false" customHeight="true" outlineLevel="0" collapsed="false">
      <c r="B2412" s="72" t="str">
        <f aca="false">IF(助手报销!$T$162=1,"合计：","")</f>
        <v/>
      </c>
      <c r="C2412" s="73" t="str">
        <f aca="false">IF(助手报销!$T$162=1,$F2412,"")</f>
        <v/>
      </c>
      <c r="D2412" s="74"/>
      <c r="E2412" s="74"/>
      <c r="F2412" s="75" t="str">
        <f aca="false">IF(助手报销!$T$162=1,INDEX(助手报销!$N$2:$N$121,助手报销!$R$162),"")</f>
        <v/>
      </c>
      <c r="G2412" s="76" t="str">
        <f aca="false">IF(助手报销!$T$162=1,INDEX(助手报销!$O$2:$O$121,助手报销!$R$162),"")</f>
        <v/>
      </c>
      <c r="H2412" s="74"/>
      <c r="I2412" s="77"/>
    </row>
    <row r="2413" customFormat="false" ht="6" hidden="false" customHeight="true" outlineLevel="0" collapsed="false"/>
    <row r="2414" customFormat="false" ht="13.5" hidden="false" customHeight="false" outlineLevel="0" collapsed="false">
      <c r="B2414" s="78" t="str">
        <f aca="false">IF(助手报销!$R$162&lt;&gt;"","会计主管：","")</f>
        <v/>
      </c>
      <c r="D2414" s="78" t="str">
        <f aca="false">IF(助手报销!$R$162&lt;&gt;"","会计：","")</f>
        <v/>
      </c>
      <c r="E2414" s="78" t="str">
        <f aca="false">IF(助手报销!$R$162&lt;&gt;"","出纳：","")</f>
        <v/>
      </c>
      <c r="F2414" s="78" t="str">
        <f aca="false">IF(助手报销!$R$162&lt;&gt;"","复核：","")</f>
        <v/>
      </c>
      <c r="G2414" s="78" t="str">
        <f aca="false">IF(助手报销!$R$162&lt;&gt;"","制单：","")</f>
        <v/>
      </c>
    </row>
    <row r="2415" customFormat="false" ht="3" hidden="false" customHeight="true" outlineLevel="0" collapsed="false"/>
    <row r="2416" customFormat="false" ht="19.5" hidden="false" customHeight="true" outlineLevel="0" collapsed="false">
      <c r="B2416" s="53" t="str">
        <f aca="false">IF(助手报销!$R$163&lt;&gt;"","记  账  凭  证","")</f>
        <v/>
      </c>
      <c r="C2416" s="53"/>
      <c r="D2416" s="53"/>
      <c r="E2416" s="53"/>
      <c r="F2416" s="53"/>
      <c r="G2416" s="53"/>
      <c r="H2416" s="53"/>
      <c r="I2416" s="53"/>
    </row>
    <row r="2417" customFormat="false" ht="3" hidden="false" customHeight="true" outlineLevel="0" collapsed="false"/>
    <row r="2418" customFormat="false" ht="15" hidden="false" customHeight="true" outlineLevel="0" collapsed="false">
      <c r="C2418" s="56" t="str">
        <f aca="false">IF(助手报销!$R$163&lt;&gt;"",INDEX(助手报销!$B$2:$B$121,助手报销!$R$163),"")</f>
        <v/>
      </c>
      <c r="D2418" s="57" t="str">
        <f aca="false">IF(助手报销!$R$163&lt;&gt;"",INDEX(助手报销!$D$2:$D$121,助手报销!$R$163),"")</f>
        <v/>
      </c>
      <c r="E2418" s="57"/>
      <c r="F2418" s="58" t="str">
        <f aca="false">IF(助手报销!$R$163&lt;&gt;"",INDEX(助手报销!$C$2:$C$121,助手报销!$R$163)&amp;"  字第 "&amp;IF(参数!$B$9="是",INDEX(助手报销!$P$2:$P$121,助手报销!$R$163),"　　　　")&amp;" 号"&amp;IF(INDEX(助手报销!$L$2:$L$121,助手报销!$R$163)&gt;1,"  (共"&amp;INDEX(助手报销!$L$2:$L$121,助手报销!$R$163)&amp;"页 第"&amp;助手报销!$S$163&amp;"页)",""),"")</f>
        <v/>
      </c>
      <c r="G2418" s="58"/>
      <c r="H2418" s="58"/>
      <c r="I2418" s="58"/>
      <c r="M2418" s="79" t="str">
        <f aca="false">IF(助手报销!$R$163="","",助手报销!$Q$163)</f>
        <v/>
      </c>
      <c r="N2418" s="80" t="str">
        <f aca="false">IF(助手报销!$R$163="","",INDEX(助手报销!$P$2:$P$121,助手报销!$R$163))</f>
        <v/>
      </c>
      <c r="O2418" s="55" t="str">
        <f aca="false">IF(助手报销!$R$163="","",INDEX(助手报销!$C$2:$C$121,助手报销!$R$163)&amp;"  字第 "&amp;INDEX(助手报销!$P$2:$P$121,助手报销!$R$163)&amp;" 号"&amp;IF(INDEX(助手报销!$L$2:$L$121,助手报销!$R$163)&gt;1,"  (共"&amp;INDEX(助手报销!$L$2:$L$121,助手报销!$R$163)&amp;"页 第"&amp;助手报销!$S$163&amp;"页)",""))</f>
        <v/>
      </c>
    </row>
    <row r="2419" customFormat="false" ht="12.75" hidden="false" customHeight="true" outlineLevel="0" collapsed="false">
      <c r="B2419" s="61" t="str">
        <f aca="false">IF(助手报销!$R$163&lt;&gt;"","摘　　要","")</f>
        <v/>
      </c>
      <c r="C2419" s="61"/>
      <c r="D2419" s="62" t="str">
        <f aca="false">IF(助手报销!$R$163&lt;&gt;"","科　　　　目","")</f>
        <v/>
      </c>
      <c r="E2419" s="62"/>
      <c r="F2419" s="61" t="str">
        <f aca="false">IF(助手报销!$R$163&lt;&gt;"","借 方 金 额","")</f>
        <v/>
      </c>
      <c r="G2419" s="62" t="str">
        <f aca="false">IF(助手报销!$R$163&lt;&gt;"","贷 方 金 额","")</f>
        <v/>
      </c>
      <c r="H2419" s="63" t="str">
        <f aca="false">IF(助手报销!$R$163&lt;&gt;"","√","")</f>
        <v/>
      </c>
      <c r="I2419" s="64" t="str">
        <f aca="false">IF(助手报销!$R$163&lt;&gt;"","附单据  张","")</f>
        <v/>
      </c>
    </row>
    <row r="2420" customFormat="false" ht="12.75" hidden="false" customHeight="true" outlineLevel="0" collapsed="false">
      <c r="B2420" s="61"/>
      <c r="C2420" s="61"/>
      <c r="D2420" s="23" t="str">
        <f aca="false">IF(助手报销!$R$163&lt;&gt;"","总 账 科 目","")</f>
        <v/>
      </c>
      <c r="E2420" s="23" t="str">
        <f aca="false">IF(助手报销!$R$163&lt;&gt;"","明 细 科 目","")</f>
        <v/>
      </c>
      <c r="F2420" s="65"/>
      <c r="G2420" s="66"/>
      <c r="H2420" s="63"/>
      <c r="I2420" s="64"/>
    </row>
    <row r="2421" customFormat="false" ht="23.25" hidden="false" customHeight="true" outlineLevel="0" collapsed="false">
      <c r="B2421" s="67" t="str">
        <f aca="false">IFERROR(INDEX(分录报销!$M:$M,MATCH($L2421,分录报销!$L:$L,0)),"")</f>
        <v/>
      </c>
      <c r="C2421" s="67"/>
      <c r="D2421" s="23" t="str">
        <f aca="false">IFERROR(INDEX(分录报销!$E:$E,MATCH($L2421,分录报销!$L:$L,0)),"")</f>
        <v/>
      </c>
      <c r="E2421" s="23" t="str">
        <f aca="false">IFERROR(INDEX(分录报销!$F:$F,MATCH($L2421,分录报销!$L:$L,0)),"")</f>
        <v/>
      </c>
      <c r="F2421" s="68" t="str">
        <f aca="false">IFERROR(INDEX(分录报销!$H:$H,MATCH($L2421,分录报销!$L:$L,0)),"")</f>
        <v/>
      </c>
      <c r="G2421" s="69" t="str">
        <f aca="false">IFERROR(INDEX(分录报销!$I:$I,MATCH($L2421,分录报销!$L:$L,0)),"")</f>
        <v/>
      </c>
      <c r="H2421" s="23"/>
      <c r="I2421" s="70"/>
      <c r="L2421" s="71" t="n">
        <f aca="false">IF(助手报销!$R$163="",-1,助手报销!$R$163*100+(助手报销!$S$163-1)*6+1)</f>
        <v>-1</v>
      </c>
    </row>
    <row r="2422" customFormat="false" ht="23.25" hidden="false" customHeight="true" outlineLevel="0" collapsed="false">
      <c r="B2422" s="67" t="str">
        <f aca="false">IFERROR(INDEX(分录报销!$M:$M,MATCH($L2422,分录报销!$L:$L,0)),"")</f>
        <v/>
      </c>
      <c r="C2422" s="67"/>
      <c r="D2422" s="23" t="str">
        <f aca="false">IFERROR(INDEX(分录报销!$E:$E,MATCH($L2422,分录报销!$L:$L,0)),"")</f>
        <v/>
      </c>
      <c r="E2422" s="23" t="str">
        <f aca="false">IFERROR(INDEX(分录报销!$F:$F,MATCH($L2422,分录报销!$L:$L,0)),"")</f>
        <v/>
      </c>
      <c r="F2422" s="68" t="str">
        <f aca="false">IFERROR(INDEX(分录报销!$H:$H,MATCH($L2422,分录报销!$L:$L,0)),"")</f>
        <v/>
      </c>
      <c r="G2422" s="69" t="str">
        <f aca="false">IFERROR(INDEX(分录报销!$I:$I,MATCH($L2422,分录报销!$L:$L,0)),"")</f>
        <v/>
      </c>
      <c r="H2422" s="23"/>
      <c r="I2422" s="70"/>
      <c r="L2422" s="71" t="n">
        <f aca="false">IF(助手报销!$R$163="",-1,助手报销!$R$163*100+(助手报销!$S$163-1)*6+2)</f>
        <v>-1</v>
      </c>
    </row>
    <row r="2423" customFormat="false" ht="23.25" hidden="false" customHeight="true" outlineLevel="0" collapsed="false">
      <c r="B2423" s="67" t="str">
        <f aca="false">IFERROR(INDEX(分录报销!$M:$M,MATCH($L2423,分录报销!$L:$L,0)),"")</f>
        <v/>
      </c>
      <c r="C2423" s="67"/>
      <c r="D2423" s="23" t="str">
        <f aca="false">IFERROR(INDEX(分录报销!$E:$E,MATCH($L2423,分录报销!$L:$L,0)),"")</f>
        <v/>
      </c>
      <c r="E2423" s="23" t="str">
        <f aca="false">IFERROR(INDEX(分录报销!$F:$F,MATCH($L2423,分录报销!$L:$L,0)),"")</f>
        <v/>
      </c>
      <c r="F2423" s="68" t="str">
        <f aca="false">IFERROR(INDEX(分录报销!$H:$H,MATCH($L2423,分录报销!$L:$L,0)),"")</f>
        <v/>
      </c>
      <c r="G2423" s="69" t="str">
        <f aca="false">IFERROR(INDEX(分录报销!$I:$I,MATCH($L2423,分录报销!$L:$L,0)),"")</f>
        <v/>
      </c>
      <c r="H2423" s="23"/>
      <c r="I2423" s="70"/>
      <c r="L2423" s="71" t="n">
        <f aca="false">IF(助手报销!$R$163="",-1,助手报销!$R$163*100+(助手报销!$S$163-1)*6+3)</f>
        <v>-1</v>
      </c>
    </row>
    <row r="2424" customFormat="false" ht="23.25" hidden="false" customHeight="true" outlineLevel="0" collapsed="false">
      <c r="B2424" s="67" t="str">
        <f aca="false">IFERROR(INDEX(分录报销!$M:$M,MATCH($L2424,分录报销!$L:$L,0)),"")</f>
        <v/>
      </c>
      <c r="C2424" s="67"/>
      <c r="D2424" s="23" t="str">
        <f aca="false">IFERROR(INDEX(分录报销!$E:$E,MATCH($L2424,分录报销!$L:$L,0)),"")</f>
        <v/>
      </c>
      <c r="E2424" s="23" t="str">
        <f aca="false">IFERROR(INDEX(分录报销!$F:$F,MATCH($L2424,分录报销!$L:$L,0)),"")</f>
        <v/>
      </c>
      <c r="F2424" s="68" t="str">
        <f aca="false">IFERROR(INDEX(分录报销!$H:$H,MATCH($L2424,分录报销!$L:$L,0)),"")</f>
        <v/>
      </c>
      <c r="G2424" s="69" t="str">
        <f aca="false">IFERROR(INDEX(分录报销!$I:$I,MATCH($L2424,分录报销!$L:$L,0)),"")</f>
        <v/>
      </c>
      <c r="H2424" s="23"/>
      <c r="I2424" s="70"/>
      <c r="L2424" s="71" t="n">
        <f aca="false">IF(助手报销!$R$163="",-1,助手报销!$R$163*100+(助手报销!$S$163-1)*6+4)</f>
        <v>-1</v>
      </c>
    </row>
    <row r="2425" customFormat="false" ht="23.25" hidden="false" customHeight="true" outlineLevel="0" collapsed="false">
      <c r="B2425" s="67" t="str">
        <f aca="false">IFERROR(INDEX(分录报销!$M:$M,MATCH($L2425,分录报销!$L:$L,0)),"")</f>
        <v/>
      </c>
      <c r="C2425" s="67"/>
      <c r="D2425" s="23" t="str">
        <f aca="false">IFERROR(INDEX(分录报销!$E:$E,MATCH($L2425,分录报销!$L:$L,0)),"")</f>
        <v/>
      </c>
      <c r="E2425" s="23" t="str">
        <f aca="false">IFERROR(INDEX(分录报销!$F:$F,MATCH($L2425,分录报销!$L:$L,0)),"")</f>
        <v/>
      </c>
      <c r="F2425" s="68" t="str">
        <f aca="false">IFERROR(INDEX(分录报销!$H:$H,MATCH($L2425,分录报销!$L:$L,0)),"")</f>
        <v/>
      </c>
      <c r="G2425" s="69" t="str">
        <f aca="false">IFERROR(INDEX(分录报销!$I:$I,MATCH($L2425,分录报销!$L:$L,0)),"")</f>
        <v/>
      </c>
      <c r="H2425" s="23"/>
      <c r="I2425" s="70"/>
      <c r="L2425" s="71" t="n">
        <f aca="false">IF(助手报销!$R$163="",-1,助手报销!$R$163*100+(助手报销!$S$163-1)*6+5)</f>
        <v>-1</v>
      </c>
    </row>
    <row r="2426" customFormat="false" ht="23.25" hidden="false" customHeight="true" outlineLevel="0" collapsed="false">
      <c r="B2426" s="67" t="str">
        <f aca="false">IFERROR(INDEX(分录报销!$M:$M,MATCH($L2426,分录报销!$L:$L,0)),"")</f>
        <v/>
      </c>
      <c r="C2426" s="67"/>
      <c r="D2426" s="23" t="str">
        <f aca="false">IFERROR(INDEX(分录报销!$E:$E,MATCH($L2426,分录报销!$L:$L,0)),"")</f>
        <v/>
      </c>
      <c r="E2426" s="23" t="str">
        <f aca="false">IFERROR(INDEX(分录报销!$F:$F,MATCH($L2426,分录报销!$L:$L,0)),"")</f>
        <v/>
      </c>
      <c r="F2426" s="68" t="str">
        <f aca="false">IFERROR(INDEX(分录报销!$H:$H,MATCH($L2426,分录报销!$L:$L,0)),"")</f>
        <v/>
      </c>
      <c r="G2426" s="69" t="str">
        <f aca="false">IFERROR(INDEX(分录报销!$I:$I,MATCH($L2426,分录报销!$L:$L,0)),"")</f>
        <v/>
      </c>
      <c r="H2426" s="23"/>
      <c r="I2426" s="70"/>
      <c r="L2426" s="71" t="n">
        <f aca="false">IF(助手报销!$R$163="",-1,助手报销!$R$163*100+(助手报销!$S$163-1)*6+6)</f>
        <v>-1</v>
      </c>
    </row>
    <row r="2427" customFormat="false" ht="23.25" hidden="false" customHeight="true" outlineLevel="0" collapsed="false">
      <c r="B2427" s="72" t="str">
        <f aca="false">IF(助手报销!$T$163=1,"合计：","")</f>
        <v/>
      </c>
      <c r="C2427" s="73" t="str">
        <f aca="false">IF(助手报销!$T$163=1,$F2427,"")</f>
        <v/>
      </c>
      <c r="D2427" s="74"/>
      <c r="E2427" s="74"/>
      <c r="F2427" s="75" t="str">
        <f aca="false">IF(助手报销!$T$163=1,INDEX(助手报销!$N$2:$N$121,助手报销!$R$163),"")</f>
        <v/>
      </c>
      <c r="G2427" s="76" t="str">
        <f aca="false">IF(助手报销!$T$163=1,INDEX(助手报销!$O$2:$O$121,助手报销!$R$163),"")</f>
        <v/>
      </c>
      <c r="H2427" s="74"/>
      <c r="I2427" s="77"/>
    </row>
    <row r="2428" customFormat="false" ht="6" hidden="false" customHeight="true" outlineLevel="0" collapsed="false"/>
    <row r="2429" customFormat="false" ht="13.5" hidden="false" customHeight="false" outlineLevel="0" collapsed="false">
      <c r="B2429" s="78" t="str">
        <f aca="false">IF(助手报销!$R$163&lt;&gt;"","会计主管：","")</f>
        <v/>
      </c>
      <c r="D2429" s="78" t="str">
        <f aca="false">IF(助手报销!$R$163&lt;&gt;"","会计：","")</f>
        <v/>
      </c>
      <c r="E2429" s="78" t="str">
        <f aca="false">IF(助手报销!$R$163&lt;&gt;"","出纳：","")</f>
        <v/>
      </c>
      <c r="F2429" s="78" t="str">
        <f aca="false">IF(助手报销!$R$163&lt;&gt;"","复核：","")</f>
        <v/>
      </c>
      <c r="G2429" s="78" t="str">
        <f aca="false">IF(助手报销!$R$163&lt;&gt;"","制单：","")</f>
        <v/>
      </c>
    </row>
    <row r="2430" customFormat="false" ht="3" hidden="false" customHeight="true" outlineLevel="0" collapsed="false"/>
    <row r="2431" customFormat="false" ht="19.5" hidden="false" customHeight="true" outlineLevel="0" collapsed="false">
      <c r="B2431" s="53" t="str">
        <f aca="false">IF(助手报销!$R$164&lt;&gt;"","记  账  凭  证","")</f>
        <v/>
      </c>
      <c r="C2431" s="53"/>
      <c r="D2431" s="53"/>
      <c r="E2431" s="53"/>
      <c r="F2431" s="53"/>
      <c r="G2431" s="53"/>
      <c r="H2431" s="53"/>
      <c r="I2431" s="53"/>
    </row>
    <row r="2432" customFormat="false" ht="3" hidden="false" customHeight="true" outlineLevel="0" collapsed="false"/>
    <row r="2433" customFormat="false" ht="15" hidden="false" customHeight="true" outlineLevel="0" collapsed="false">
      <c r="C2433" s="56" t="str">
        <f aca="false">IF(助手报销!$R$164&lt;&gt;"",INDEX(助手报销!$B$2:$B$121,助手报销!$R$164),"")</f>
        <v/>
      </c>
      <c r="D2433" s="57" t="str">
        <f aca="false">IF(助手报销!$R$164&lt;&gt;"",INDEX(助手报销!$D$2:$D$121,助手报销!$R$164),"")</f>
        <v/>
      </c>
      <c r="E2433" s="57"/>
      <c r="F2433" s="58" t="str">
        <f aca="false">IF(助手报销!$R$164&lt;&gt;"",INDEX(助手报销!$C$2:$C$121,助手报销!$R$164)&amp;"  字第 "&amp;IF(参数!$B$9="是",INDEX(助手报销!$P$2:$P$121,助手报销!$R$164),"　　　　")&amp;" 号"&amp;IF(INDEX(助手报销!$L$2:$L$121,助手报销!$R$164)&gt;1,"  (共"&amp;INDEX(助手报销!$L$2:$L$121,助手报销!$R$164)&amp;"页 第"&amp;助手报销!$S$164&amp;"页)",""),"")</f>
        <v/>
      </c>
      <c r="G2433" s="58"/>
      <c r="H2433" s="58"/>
      <c r="I2433" s="58"/>
      <c r="M2433" s="79" t="str">
        <f aca="false">IF(助手报销!$R$164="","",助手报销!$Q$164)</f>
        <v/>
      </c>
      <c r="N2433" s="80" t="str">
        <f aca="false">IF(助手报销!$R$164="","",INDEX(助手报销!$P$2:$P$121,助手报销!$R$164))</f>
        <v/>
      </c>
      <c r="O2433" s="55" t="str">
        <f aca="false">IF(助手报销!$R$164="","",INDEX(助手报销!$C$2:$C$121,助手报销!$R$164)&amp;"  字第 "&amp;INDEX(助手报销!$P$2:$P$121,助手报销!$R$164)&amp;" 号"&amp;IF(INDEX(助手报销!$L$2:$L$121,助手报销!$R$164)&gt;1,"  (共"&amp;INDEX(助手报销!$L$2:$L$121,助手报销!$R$164)&amp;"页 第"&amp;助手报销!$S$164&amp;"页)",""))</f>
        <v/>
      </c>
    </row>
    <row r="2434" customFormat="false" ht="12.75" hidden="false" customHeight="true" outlineLevel="0" collapsed="false">
      <c r="B2434" s="61" t="str">
        <f aca="false">IF(助手报销!$R$164&lt;&gt;"","摘　　要","")</f>
        <v/>
      </c>
      <c r="C2434" s="61"/>
      <c r="D2434" s="62" t="str">
        <f aca="false">IF(助手报销!$R$164&lt;&gt;"","科　　　　目","")</f>
        <v/>
      </c>
      <c r="E2434" s="62"/>
      <c r="F2434" s="61" t="str">
        <f aca="false">IF(助手报销!$R$164&lt;&gt;"","借 方 金 额","")</f>
        <v/>
      </c>
      <c r="G2434" s="62" t="str">
        <f aca="false">IF(助手报销!$R$164&lt;&gt;"","贷 方 金 额","")</f>
        <v/>
      </c>
      <c r="H2434" s="63" t="str">
        <f aca="false">IF(助手报销!$R$164&lt;&gt;"","√","")</f>
        <v/>
      </c>
      <c r="I2434" s="64" t="str">
        <f aca="false">IF(助手报销!$R$164&lt;&gt;"","附单据  张","")</f>
        <v/>
      </c>
    </row>
    <row r="2435" customFormat="false" ht="12.75" hidden="false" customHeight="true" outlineLevel="0" collapsed="false">
      <c r="B2435" s="61"/>
      <c r="C2435" s="61"/>
      <c r="D2435" s="23" t="str">
        <f aca="false">IF(助手报销!$R$164&lt;&gt;"","总 账 科 目","")</f>
        <v/>
      </c>
      <c r="E2435" s="23" t="str">
        <f aca="false">IF(助手报销!$R$164&lt;&gt;"","明 细 科 目","")</f>
        <v/>
      </c>
      <c r="F2435" s="65"/>
      <c r="G2435" s="66"/>
      <c r="H2435" s="63"/>
      <c r="I2435" s="64"/>
    </row>
    <row r="2436" customFormat="false" ht="23.25" hidden="false" customHeight="true" outlineLevel="0" collapsed="false">
      <c r="B2436" s="67" t="str">
        <f aca="false">IFERROR(INDEX(分录报销!$M:$M,MATCH($L2436,分录报销!$L:$L,0)),"")</f>
        <v/>
      </c>
      <c r="C2436" s="67"/>
      <c r="D2436" s="23" t="str">
        <f aca="false">IFERROR(INDEX(分录报销!$E:$E,MATCH($L2436,分录报销!$L:$L,0)),"")</f>
        <v/>
      </c>
      <c r="E2436" s="23" t="str">
        <f aca="false">IFERROR(INDEX(分录报销!$F:$F,MATCH($L2436,分录报销!$L:$L,0)),"")</f>
        <v/>
      </c>
      <c r="F2436" s="68" t="str">
        <f aca="false">IFERROR(INDEX(分录报销!$H:$H,MATCH($L2436,分录报销!$L:$L,0)),"")</f>
        <v/>
      </c>
      <c r="G2436" s="69" t="str">
        <f aca="false">IFERROR(INDEX(分录报销!$I:$I,MATCH($L2436,分录报销!$L:$L,0)),"")</f>
        <v/>
      </c>
      <c r="H2436" s="23"/>
      <c r="I2436" s="70"/>
      <c r="L2436" s="71" t="n">
        <f aca="false">IF(助手报销!$R$164="",-1,助手报销!$R$164*100+(助手报销!$S$164-1)*6+1)</f>
        <v>-1</v>
      </c>
    </row>
    <row r="2437" customFormat="false" ht="23.25" hidden="false" customHeight="true" outlineLevel="0" collapsed="false">
      <c r="B2437" s="67" t="str">
        <f aca="false">IFERROR(INDEX(分录报销!$M:$M,MATCH($L2437,分录报销!$L:$L,0)),"")</f>
        <v/>
      </c>
      <c r="C2437" s="67"/>
      <c r="D2437" s="23" t="str">
        <f aca="false">IFERROR(INDEX(分录报销!$E:$E,MATCH($L2437,分录报销!$L:$L,0)),"")</f>
        <v/>
      </c>
      <c r="E2437" s="23" t="str">
        <f aca="false">IFERROR(INDEX(分录报销!$F:$F,MATCH($L2437,分录报销!$L:$L,0)),"")</f>
        <v/>
      </c>
      <c r="F2437" s="68" t="str">
        <f aca="false">IFERROR(INDEX(分录报销!$H:$H,MATCH($L2437,分录报销!$L:$L,0)),"")</f>
        <v/>
      </c>
      <c r="G2437" s="69" t="str">
        <f aca="false">IFERROR(INDEX(分录报销!$I:$I,MATCH($L2437,分录报销!$L:$L,0)),"")</f>
        <v/>
      </c>
      <c r="H2437" s="23"/>
      <c r="I2437" s="70"/>
      <c r="L2437" s="71" t="n">
        <f aca="false">IF(助手报销!$R$164="",-1,助手报销!$R$164*100+(助手报销!$S$164-1)*6+2)</f>
        <v>-1</v>
      </c>
    </row>
    <row r="2438" customFormat="false" ht="23.25" hidden="false" customHeight="true" outlineLevel="0" collapsed="false">
      <c r="B2438" s="67" t="str">
        <f aca="false">IFERROR(INDEX(分录报销!$M:$M,MATCH($L2438,分录报销!$L:$L,0)),"")</f>
        <v/>
      </c>
      <c r="C2438" s="67"/>
      <c r="D2438" s="23" t="str">
        <f aca="false">IFERROR(INDEX(分录报销!$E:$E,MATCH($L2438,分录报销!$L:$L,0)),"")</f>
        <v/>
      </c>
      <c r="E2438" s="23" t="str">
        <f aca="false">IFERROR(INDEX(分录报销!$F:$F,MATCH($L2438,分录报销!$L:$L,0)),"")</f>
        <v/>
      </c>
      <c r="F2438" s="68" t="str">
        <f aca="false">IFERROR(INDEX(分录报销!$H:$H,MATCH($L2438,分录报销!$L:$L,0)),"")</f>
        <v/>
      </c>
      <c r="G2438" s="69" t="str">
        <f aca="false">IFERROR(INDEX(分录报销!$I:$I,MATCH($L2438,分录报销!$L:$L,0)),"")</f>
        <v/>
      </c>
      <c r="H2438" s="23"/>
      <c r="I2438" s="70"/>
      <c r="L2438" s="71" t="n">
        <f aca="false">IF(助手报销!$R$164="",-1,助手报销!$R$164*100+(助手报销!$S$164-1)*6+3)</f>
        <v>-1</v>
      </c>
    </row>
    <row r="2439" customFormat="false" ht="23.25" hidden="false" customHeight="true" outlineLevel="0" collapsed="false">
      <c r="B2439" s="67" t="str">
        <f aca="false">IFERROR(INDEX(分录报销!$M:$M,MATCH($L2439,分录报销!$L:$L,0)),"")</f>
        <v/>
      </c>
      <c r="C2439" s="67"/>
      <c r="D2439" s="23" t="str">
        <f aca="false">IFERROR(INDEX(分录报销!$E:$E,MATCH($L2439,分录报销!$L:$L,0)),"")</f>
        <v/>
      </c>
      <c r="E2439" s="23" t="str">
        <f aca="false">IFERROR(INDEX(分录报销!$F:$F,MATCH($L2439,分录报销!$L:$L,0)),"")</f>
        <v/>
      </c>
      <c r="F2439" s="68" t="str">
        <f aca="false">IFERROR(INDEX(分录报销!$H:$H,MATCH($L2439,分录报销!$L:$L,0)),"")</f>
        <v/>
      </c>
      <c r="G2439" s="69" t="str">
        <f aca="false">IFERROR(INDEX(分录报销!$I:$I,MATCH($L2439,分录报销!$L:$L,0)),"")</f>
        <v/>
      </c>
      <c r="H2439" s="23"/>
      <c r="I2439" s="70"/>
      <c r="L2439" s="71" t="n">
        <f aca="false">IF(助手报销!$R$164="",-1,助手报销!$R$164*100+(助手报销!$S$164-1)*6+4)</f>
        <v>-1</v>
      </c>
    </row>
    <row r="2440" customFormat="false" ht="23.25" hidden="false" customHeight="true" outlineLevel="0" collapsed="false">
      <c r="B2440" s="67" t="str">
        <f aca="false">IFERROR(INDEX(分录报销!$M:$M,MATCH($L2440,分录报销!$L:$L,0)),"")</f>
        <v/>
      </c>
      <c r="C2440" s="67"/>
      <c r="D2440" s="23" t="str">
        <f aca="false">IFERROR(INDEX(分录报销!$E:$E,MATCH($L2440,分录报销!$L:$L,0)),"")</f>
        <v/>
      </c>
      <c r="E2440" s="23" t="str">
        <f aca="false">IFERROR(INDEX(分录报销!$F:$F,MATCH($L2440,分录报销!$L:$L,0)),"")</f>
        <v/>
      </c>
      <c r="F2440" s="68" t="str">
        <f aca="false">IFERROR(INDEX(分录报销!$H:$H,MATCH($L2440,分录报销!$L:$L,0)),"")</f>
        <v/>
      </c>
      <c r="G2440" s="69" t="str">
        <f aca="false">IFERROR(INDEX(分录报销!$I:$I,MATCH($L2440,分录报销!$L:$L,0)),"")</f>
        <v/>
      </c>
      <c r="H2440" s="23"/>
      <c r="I2440" s="70"/>
      <c r="L2440" s="71" t="n">
        <f aca="false">IF(助手报销!$R$164="",-1,助手报销!$R$164*100+(助手报销!$S$164-1)*6+5)</f>
        <v>-1</v>
      </c>
    </row>
    <row r="2441" customFormat="false" ht="23.25" hidden="false" customHeight="true" outlineLevel="0" collapsed="false">
      <c r="B2441" s="67" t="str">
        <f aca="false">IFERROR(INDEX(分录报销!$M:$M,MATCH($L2441,分录报销!$L:$L,0)),"")</f>
        <v/>
      </c>
      <c r="C2441" s="67"/>
      <c r="D2441" s="23" t="str">
        <f aca="false">IFERROR(INDEX(分录报销!$E:$E,MATCH($L2441,分录报销!$L:$L,0)),"")</f>
        <v/>
      </c>
      <c r="E2441" s="23" t="str">
        <f aca="false">IFERROR(INDEX(分录报销!$F:$F,MATCH($L2441,分录报销!$L:$L,0)),"")</f>
        <v/>
      </c>
      <c r="F2441" s="68" t="str">
        <f aca="false">IFERROR(INDEX(分录报销!$H:$H,MATCH($L2441,分录报销!$L:$L,0)),"")</f>
        <v/>
      </c>
      <c r="G2441" s="69" t="str">
        <f aca="false">IFERROR(INDEX(分录报销!$I:$I,MATCH($L2441,分录报销!$L:$L,0)),"")</f>
        <v/>
      </c>
      <c r="H2441" s="23"/>
      <c r="I2441" s="70"/>
      <c r="L2441" s="71" t="n">
        <f aca="false">IF(助手报销!$R$164="",-1,助手报销!$R$164*100+(助手报销!$S$164-1)*6+6)</f>
        <v>-1</v>
      </c>
    </row>
    <row r="2442" customFormat="false" ht="23.25" hidden="false" customHeight="true" outlineLevel="0" collapsed="false">
      <c r="B2442" s="72" t="str">
        <f aca="false">IF(助手报销!$T$164=1,"合计：","")</f>
        <v/>
      </c>
      <c r="C2442" s="73" t="str">
        <f aca="false">IF(助手报销!$T$164=1,$F2442,"")</f>
        <v/>
      </c>
      <c r="D2442" s="74"/>
      <c r="E2442" s="74"/>
      <c r="F2442" s="75" t="str">
        <f aca="false">IF(助手报销!$T$164=1,INDEX(助手报销!$N$2:$N$121,助手报销!$R$164),"")</f>
        <v/>
      </c>
      <c r="G2442" s="76" t="str">
        <f aca="false">IF(助手报销!$T$164=1,INDEX(助手报销!$O$2:$O$121,助手报销!$R$164),"")</f>
        <v/>
      </c>
      <c r="H2442" s="74"/>
      <c r="I2442" s="77"/>
    </row>
    <row r="2443" customFormat="false" ht="6" hidden="false" customHeight="true" outlineLevel="0" collapsed="false"/>
    <row r="2444" customFormat="false" ht="13.5" hidden="false" customHeight="false" outlineLevel="0" collapsed="false">
      <c r="B2444" s="78" t="str">
        <f aca="false">IF(助手报销!$R$164&lt;&gt;"","会计主管：","")</f>
        <v/>
      </c>
      <c r="D2444" s="78" t="str">
        <f aca="false">IF(助手报销!$R$164&lt;&gt;"","会计：","")</f>
        <v/>
      </c>
      <c r="E2444" s="78" t="str">
        <f aca="false">IF(助手报销!$R$164&lt;&gt;"","出纳：","")</f>
        <v/>
      </c>
      <c r="F2444" s="78" t="str">
        <f aca="false">IF(助手报销!$R$164&lt;&gt;"","复核：","")</f>
        <v/>
      </c>
      <c r="G2444" s="78" t="str">
        <f aca="false">IF(助手报销!$R$164&lt;&gt;"","制单：","")</f>
        <v/>
      </c>
    </row>
    <row r="2445" customFormat="false" ht="3" hidden="false" customHeight="true" outlineLevel="0" collapsed="false"/>
    <row r="2446" customFormat="false" ht="19.5" hidden="false" customHeight="true" outlineLevel="0" collapsed="false">
      <c r="B2446" s="53" t="str">
        <f aca="false">IF(助手报销!$R$165&lt;&gt;"","记  账  凭  证","")</f>
        <v/>
      </c>
      <c r="C2446" s="53"/>
      <c r="D2446" s="53"/>
      <c r="E2446" s="53"/>
      <c r="F2446" s="53"/>
      <c r="G2446" s="53"/>
      <c r="H2446" s="53"/>
      <c r="I2446" s="53"/>
    </row>
    <row r="2447" customFormat="false" ht="3" hidden="false" customHeight="true" outlineLevel="0" collapsed="false"/>
    <row r="2448" customFormat="false" ht="15" hidden="false" customHeight="true" outlineLevel="0" collapsed="false">
      <c r="C2448" s="56" t="str">
        <f aca="false">IF(助手报销!$R$165&lt;&gt;"",INDEX(助手报销!$B$2:$B$121,助手报销!$R$165),"")</f>
        <v/>
      </c>
      <c r="D2448" s="57" t="str">
        <f aca="false">IF(助手报销!$R$165&lt;&gt;"",INDEX(助手报销!$D$2:$D$121,助手报销!$R$165),"")</f>
        <v/>
      </c>
      <c r="E2448" s="57"/>
      <c r="F2448" s="58" t="str">
        <f aca="false">IF(助手报销!$R$165&lt;&gt;"",INDEX(助手报销!$C$2:$C$121,助手报销!$R$165)&amp;"  字第 "&amp;IF(参数!$B$9="是",INDEX(助手报销!$P$2:$P$121,助手报销!$R$165),"　　　　")&amp;" 号"&amp;IF(INDEX(助手报销!$L$2:$L$121,助手报销!$R$165)&gt;1,"  (共"&amp;INDEX(助手报销!$L$2:$L$121,助手报销!$R$165)&amp;"页 第"&amp;助手报销!$S$165&amp;"页)",""),"")</f>
        <v/>
      </c>
      <c r="G2448" s="58"/>
      <c r="H2448" s="58"/>
      <c r="I2448" s="58"/>
      <c r="M2448" s="79" t="str">
        <f aca="false">IF(助手报销!$R$165="","",助手报销!$Q$165)</f>
        <v/>
      </c>
      <c r="N2448" s="80" t="str">
        <f aca="false">IF(助手报销!$R$165="","",INDEX(助手报销!$P$2:$P$121,助手报销!$R$165))</f>
        <v/>
      </c>
      <c r="O2448" s="55" t="str">
        <f aca="false">IF(助手报销!$R$165="","",INDEX(助手报销!$C$2:$C$121,助手报销!$R$165)&amp;"  字第 "&amp;INDEX(助手报销!$P$2:$P$121,助手报销!$R$165)&amp;" 号"&amp;IF(INDEX(助手报销!$L$2:$L$121,助手报销!$R$165)&gt;1,"  (共"&amp;INDEX(助手报销!$L$2:$L$121,助手报销!$R$165)&amp;"页 第"&amp;助手报销!$S$165&amp;"页)",""))</f>
        <v/>
      </c>
    </row>
    <row r="2449" customFormat="false" ht="12.75" hidden="false" customHeight="true" outlineLevel="0" collapsed="false">
      <c r="B2449" s="61" t="str">
        <f aca="false">IF(助手报销!$R$165&lt;&gt;"","摘　　要","")</f>
        <v/>
      </c>
      <c r="C2449" s="61"/>
      <c r="D2449" s="62" t="str">
        <f aca="false">IF(助手报销!$R$165&lt;&gt;"","科　　　　目","")</f>
        <v/>
      </c>
      <c r="E2449" s="62"/>
      <c r="F2449" s="61" t="str">
        <f aca="false">IF(助手报销!$R$165&lt;&gt;"","借 方 金 额","")</f>
        <v/>
      </c>
      <c r="G2449" s="62" t="str">
        <f aca="false">IF(助手报销!$R$165&lt;&gt;"","贷 方 金 额","")</f>
        <v/>
      </c>
      <c r="H2449" s="63" t="str">
        <f aca="false">IF(助手报销!$R$165&lt;&gt;"","√","")</f>
        <v/>
      </c>
      <c r="I2449" s="64" t="str">
        <f aca="false">IF(助手报销!$R$165&lt;&gt;"","附单据  张","")</f>
        <v/>
      </c>
    </row>
    <row r="2450" customFormat="false" ht="12.75" hidden="false" customHeight="true" outlineLevel="0" collapsed="false">
      <c r="B2450" s="61"/>
      <c r="C2450" s="61"/>
      <c r="D2450" s="23" t="str">
        <f aca="false">IF(助手报销!$R$165&lt;&gt;"","总 账 科 目","")</f>
        <v/>
      </c>
      <c r="E2450" s="23" t="str">
        <f aca="false">IF(助手报销!$R$165&lt;&gt;"","明 细 科 目","")</f>
        <v/>
      </c>
      <c r="F2450" s="65"/>
      <c r="G2450" s="66"/>
      <c r="H2450" s="63"/>
      <c r="I2450" s="64"/>
    </row>
    <row r="2451" customFormat="false" ht="23.25" hidden="false" customHeight="true" outlineLevel="0" collapsed="false">
      <c r="B2451" s="67" t="str">
        <f aca="false">IFERROR(INDEX(分录报销!$M:$M,MATCH($L2451,分录报销!$L:$L,0)),"")</f>
        <v/>
      </c>
      <c r="C2451" s="67"/>
      <c r="D2451" s="23" t="str">
        <f aca="false">IFERROR(INDEX(分录报销!$E:$E,MATCH($L2451,分录报销!$L:$L,0)),"")</f>
        <v/>
      </c>
      <c r="E2451" s="23" t="str">
        <f aca="false">IFERROR(INDEX(分录报销!$F:$F,MATCH($L2451,分录报销!$L:$L,0)),"")</f>
        <v/>
      </c>
      <c r="F2451" s="68" t="str">
        <f aca="false">IFERROR(INDEX(分录报销!$H:$H,MATCH($L2451,分录报销!$L:$L,0)),"")</f>
        <v/>
      </c>
      <c r="G2451" s="69" t="str">
        <f aca="false">IFERROR(INDEX(分录报销!$I:$I,MATCH($L2451,分录报销!$L:$L,0)),"")</f>
        <v/>
      </c>
      <c r="H2451" s="23"/>
      <c r="I2451" s="70"/>
      <c r="L2451" s="71" t="n">
        <f aca="false">IF(助手报销!$R$165="",-1,助手报销!$R$165*100+(助手报销!$S$165-1)*6+1)</f>
        <v>-1</v>
      </c>
    </row>
    <row r="2452" customFormat="false" ht="23.25" hidden="false" customHeight="true" outlineLevel="0" collapsed="false">
      <c r="B2452" s="67" t="str">
        <f aca="false">IFERROR(INDEX(分录报销!$M:$M,MATCH($L2452,分录报销!$L:$L,0)),"")</f>
        <v/>
      </c>
      <c r="C2452" s="67"/>
      <c r="D2452" s="23" t="str">
        <f aca="false">IFERROR(INDEX(分录报销!$E:$E,MATCH($L2452,分录报销!$L:$L,0)),"")</f>
        <v/>
      </c>
      <c r="E2452" s="23" t="str">
        <f aca="false">IFERROR(INDEX(分录报销!$F:$F,MATCH($L2452,分录报销!$L:$L,0)),"")</f>
        <v/>
      </c>
      <c r="F2452" s="68" t="str">
        <f aca="false">IFERROR(INDEX(分录报销!$H:$H,MATCH($L2452,分录报销!$L:$L,0)),"")</f>
        <v/>
      </c>
      <c r="G2452" s="69" t="str">
        <f aca="false">IFERROR(INDEX(分录报销!$I:$I,MATCH($L2452,分录报销!$L:$L,0)),"")</f>
        <v/>
      </c>
      <c r="H2452" s="23"/>
      <c r="I2452" s="70"/>
      <c r="L2452" s="71" t="n">
        <f aca="false">IF(助手报销!$R$165="",-1,助手报销!$R$165*100+(助手报销!$S$165-1)*6+2)</f>
        <v>-1</v>
      </c>
    </row>
    <row r="2453" customFormat="false" ht="23.25" hidden="false" customHeight="true" outlineLevel="0" collapsed="false">
      <c r="B2453" s="67" t="str">
        <f aca="false">IFERROR(INDEX(分录报销!$M:$M,MATCH($L2453,分录报销!$L:$L,0)),"")</f>
        <v/>
      </c>
      <c r="C2453" s="67"/>
      <c r="D2453" s="23" t="str">
        <f aca="false">IFERROR(INDEX(分录报销!$E:$E,MATCH($L2453,分录报销!$L:$L,0)),"")</f>
        <v/>
      </c>
      <c r="E2453" s="23" t="str">
        <f aca="false">IFERROR(INDEX(分录报销!$F:$F,MATCH($L2453,分录报销!$L:$L,0)),"")</f>
        <v/>
      </c>
      <c r="F2453" s="68" t="str">
        <f aca="false">IFERROR(INDEX(分录报销!$H:$H,MATCH($L2453,分录报销!$L:$L,0)),"")</f>
        <v/>
      </c>
      <c r="G2453" s="69" t="str">
        <f aca="false">IFERROR(INDEX(分录报销!$I:$I,MATCH($L2453,分录报销!$L:$L,0)),"")</f>
        <v/>
      </c>
      <c r="H2453" s="23"/>
      <c r="I2453" s="70"/>
      <c r="L2453" s="71" t="n">
        <f aca="false">IF(助手报销!$R$165="",-1,助手报销!$R$165*100+(助手报销!$S$165-1)*6+3)</f>
        <v>-1</v>
      </c>
    </row>
    <row r="2454" customFormat="false" ht="23.25" hidden="false" customHeight="true" outlineLevel="0" collapsed="false">
      <c r="B2454" s="67" t="str">
        <f aca="false">IFERROR(INDEX(分录报销!$M:$M,MATCH($L2454,分录报销!$L:$L,0)),"")</f>
        <v/>
      </c>
      <c r="C2454" s="67"/>
      <c r="D2454" s="23" t="str">
        <f aca="false">IFERROR(INDEX(分录报销!$E:$E,MATCH($L2454,分录报销!$L:$L,0)),"")</f>
        <v/>
      </c>
      <c r="E2454" s="23" t="str">
        <f aca="false">IFERROR(INDEX(分录报销!$F:$F,MATCH($L2454,分录报销!$L:$L,0)),"")</f>
        <v/>
      </c>
      <c r="F2454" s="68" t="str">
        <f aca="false">IFERROR(INDEX(分录报销!$H:$H,MATCH($L2454,分录报销!$L:$L,0)),"")</f>
        <v/>
      </c>
      <c r="G2454" s="69" t="str">
        <f aca="false">IFERROR(INDEX(分录报销!$I:$I,MATCH($L2454,分录报销!$L:$L,0)),"")</f>
        <v/>
      </c>
      <c r="H2454" s="23"/>
      <c r="I2454" s="70"/>
      <c r="L2454" s="71" t="n">
        <f aca="false">IF(助手报销!$R$165="",-1,助手报销!$R$165*100+(助手报销!$S$165-1)*6+4)</f>
        <v>-1</v>
      </c>
    </row>
    <row r="2455" customFormat="false" ht="23.25" hidden="false" customHeight="true" outlineLevel="0" collapsed="false">
      <c r="B2455" s="67" t="str">
        <f aca="false">IFERROR(INDEX(分录报销!$M:$M,MATCH($L2455,分录报销!$L:$L,0)),"")</f>
        <v/>
      </c>
      <c r="C2455" s="67"/>
      <c r="D2455" s="23" t="str">
        <f aca="false">IFERROR(INDEX(分录报销!$E:$E,MATCH($L2455,分录报销!$L:$L,0)),"")</f>
        <v/>
      </c>
      <c r="E2455" s="23" t="str">
        <f aca="false">IFERROR(INDEX(分录报销!$F:$F,MATCH($L2455,分录报销!$L:$L,0)),"")</f>
        <v/>
      </c>
      <c r="F2455" s="68" t="str">
        <f aca="false">IFERROR(INDEX(分录报销!$H:$H,MATCH($L2455,分录报销!$L:$L,0)),"")</f>
        <v/>
      </c>
      <c r="G2455" s="69" t="str">
        <f aca="false">IFERROR(INDEX(分录报销!$I:$I,MATCH($L2455,分录报销!$L:$L,0)),"")</f>
        <v/>
      </c>
      <c r="H2455" s="23"/>
      <c r="I2455" s="70"/>
      <c r="L2455" s="71" t="n">
        <f aca="false">IF(助手报销!$R$165="",-1,助手报销!$R$165*100+(助手报销!$S$165-1)*6+5)</f>
        <v>-1</v>
      </c>
    </row>
    <row r="2456" customFormat="false" ht="23.25" hidden="false" customHeight="true" outlineLevel="0" collapsed="false">
      <c r="B2456" s="67" t="str">
        <f aca="false">IFERROR(INDEX(分录报销!$M:$M,MATCH($L2456,分录报销!$L:$L,0)),"")</f>
        <v/>
      </c>
      <c r="C2456" s="67"/>
      <c r="D2456" s="23" t="str">
        <f aca="false">IFERROR(INDEX(分录报销!$E:$E,MATCH($L2456,分录报销!$L:$L,0)),"")</f>
        <v/>
      </c>
      <c r="E2456" s="23" t="str">
        <f aca="false">IFERROR(INDEX(分录报销!$F:$F,MATCH($L2456,分录报销!$L:$L,0)),"")</f>
        <v/>
      </c>
      <c r="F2456" s="68" t="str">
        <f aca="false">IFERROR(INDEX(分录报销!$H:$H,MATCH($L2456,分录报销!$L:$L,0)),"")</f>
        <v/>
      </c>
      <c r="G2456" s="69" t="str">
        <f aca="false">IFERROR(INDEX(分录报销!$I:$I,MATCH($L2456,分录报销!$L:$L,0)),"")</f>
        <v/>
      </c>
      <c r="H2456" s="23"/>
      <c r="I2456" s="70"/>
      <c r="L2456" s="71" t="n">
        <f aca="false">IF(助手报销!$R$165="",-1,助手报销!$R$165*100+(助手报销!$S$165-1)*6+6)</f>
        <v>-1</v>
      </c>
    </row>
    <row r="2457" customFormat="false" ht="23.25" hidden="false" customHeight="true" outlineLevel="0" collapsed="false">
      <c r="B2457" s="72" t="str">
        <f aca="false">IF(助手报销!$T$165=1,"合计：","")</f>
        <v/>
      </c>
      <c r="C2457" s="73" t="str">
        <f aca="false">IF(助手报销!$T$165=1,$F2457,"")</f>
        <v/>
      </c>
      <c r="D2457" s="74"/>
      <c r="E2457" s="74"/>
      <c r="F2457" s="75" t="str">
        <f aca="false">IF(助手报销!$T$165=1,INDEX(助手报销!$N$2:$N$121,助手报销!$R$165),"")</f>
        <v/>
      </c>
      <c r="G2457" s="76" t="str">
        <f aca="false">IF(助手报销!$T$165=1,INDEX(助手报销!$O$2:$O$121,助手报销!$R$165),"")</f>
        <v/>
      </c>
      <c r="H2457" s="74"/>
      <c r="I2457" s="77"/>
    </row>
    <row r="2458" customFormat="false" ht="6" hidden="false" customHeight="true" outlineLevel="0" collapsed="false"/>
    <row r="2459" customFormat="false" ht="13.5" hidden="false" customHeight="false" outlineLevel="0" collapsed="false">
      <c r="B2459" s="78" t="str">
        <f aca="false">IF(助手报销!$R$165&lt;&gt;"","会计主管：","")</f>
        <v/>
      </c>
      <c r="D2459" s="78" t="str">
        <f aca="false">IF(助手报销!$R$165&lt;&gt;"","会计：","")</f>
        <v/>
      </c>
      <c r="E2459" s="78" t="str">
        <f aca="false">IF(助手报销!$R$165&lt;&gt;"","出纳：","")</f>
        <v/>
      </c>
      <c r="F2459" s="78" t="str">
        <f aca="false">IF(助手报销!$R$165&lt;&gt;"","复核：","")</f>
        <v/>
      </c>
      <c r="G2459" s="78" t="str">
        <f aca="false">IF(助手报销!$R$165&lt;&gt;"","制单：","")</f>
        <v/>
      </c>
    </row>
    <row r="2460" customFormat="false" ht="3" hidden="false" customHeight="true" outlineLevel="0" collapsed="false"/>
    <row r="2461" customFormat="false" ht="19.5" hidden="false" customHeight="true" outlineLevel="0" collapsed="false">
      <c r="B2461" s="53" t="str">
        <f aca="false">IF(助手报销!$R$166&lt;&gt;"","记  账  凭  证","")</f>
        <v/>
      </c>
      <c r="C2461" s="53"/>
      <c r="D2461" s="53"/>
      <c r="E2461" s="53"/>
      <c r="F2461" s="53"/>
      <c r="G2461" s="53"/>
      <c r="H2461" s="53"/>
      <c r="I2461" s="53"/>
    </row>
    <row r="2462" customFormat="false" ht="3" hidden="false" customHeight="true" outlineLevel="0" collapsed="false"/>
    <row r="2463" customFormat="false" ht="15" hidden="false" customHeight="true" outlineLevel="0" collapsed="false">
      <c r="C2463" s="56" t="str">
        <f aca="false">IF(助手报销!$R$166&lt;&gt;"",INDEX(助手报销!$B$2:$B$121,助手报销!$R$166),"")</f>
        <v/>
      </c>
      <c r="D2463" s="57" t="str">
        <f aca="false">IF(助手报销!$R$166&lt;&gt;"",INDEX(助手报销!$D$2:$D$121,助手报销!$R$166),"")</f>
        <v/>
      </c>
      <c r="E2463" s="57"/>
      <c r="F2463" s="58" t="str">
        <f aca="false">IF(助手报销!$R$166&lt;&gt;"",INDEX(助手报销!$C$2:$C$121,助手报销!$R$166)&amp;"  字第 "&amp;IF(参数!$B$9="是",INDEX(助手报销!$P$2:$P$121,助手报销!$R$166),"　　　　")&amp;" 号"&amp;IF(INDEX(助手报销!$L$2:$L$121,助手报销!$R$166)&gt;1,"  (共"&amp;INDEX(助手报销!$L$2:$L$121,助手报销!$R$166)&amp;"页 第"&amp;助手报销!$S$166&amp;"页)",""),"")</f>
        <v/>
      </c>
      <c r="G2463" s="58"/>
      <c r="H2463" s="58"/>
      <c r="I2463" s="58"/>
      <c r="M2463" s="79" t="str">
        <f aca="false">IF(助手报销!$R$166="","",助手报销!$Q$166)</f>
        <v/>
      </c>
      <c r="N2463" s="80" t="str">
        <f aca="false">IF(助手报销!$R$166="","",INDEX(助手报销!$P$2:$P$121,助手报销!$R$166))</f>
        <v/>
      </c>
      <c r="O2463" s="55" t="str">
        <f aca="false">IF(助手报销!$R$166="","",INDEX(助手报销!$C$2:$C$121,助手报销!$R$166)&amp;"  字第 "&amp;INDEX(助手报销!$P$2:$P$121,助手报销!$R$166)&amp;" 号"&amp;IF(INDEX(助手报销!$L$2:$L$121,助手报销!$R$166)&gt;1,"  (共"&amp;INDEX(助手报销!$L$2:$L$121,助手报销!$R$166)&amp;"页 第"&amp;助手报销!$S$166&amp;"页)",""))</f>
        <v/>
      </c>
    </row>
    <row r="2464" customFormat="false" ht="12.75" hidden="false" customHeight="true" outlineLevel="0" collapsed="false">
      <c r="B2464" s="61" t="str">
        <f aca="false">IF(助手报销!$R$166&lt;&gt;"","摘　　要","")</f>
        <v/>
      </c>
      <c r="C2464" s="61"/>
      <c r="D2464" s="62" t="str">
        <f aca="false">IF(助手报销!$R$166&lt;&gt;"","科　　　　目","")</f>
        <v/>
      </c>
      <c r="E2464" s="62"/>
      <c r="F2464" s="61" t="str">
        <f aca="false">IF(助手报销!$R$166&lt;&gt;"","借 方 金 额","")</f>
        <v/>
      </c>
      <c r="G2464" s="62" t="str">
        <f aca="false">IF(助手报销!$R$166&lt;&gt;"","贷 方 金 额","")</f>
        <v/>
      </c>
      <c r="H2464" s="63" t="str">
        <f aca="false">IF(助手报销!$R$166&lt;&gt;"","√","")</f>
        <v/>
      </c>
      <c r="I2464" s="64" t="str">
        <f aca="false">IF(助手报销!$R$166&lt;&gt;"","附单据  张","")</f>
        <v/>
      </c>
    </row>
    <row r="2465" customFormat="false" ht="12.75" hidden="false" customHeight="true" outlineLevel="0" collapsed="false">
      <c r="B2465" s="61"/>
      <c r="C2465" s="61"/>
      <c r="D2465" s="23" t="str">
        <f aca="false">IF(助手报销!$R$166&lt;&gt;"","总 账 科 目","")</f>
        <v/>
      </c>
      <c r="E2465" s="23" t="str">
        <f aca="false">IF(助手报销!$R$166&lt;&gt;"","明 细 科 目","")</f>
        <v/>
      </c>
      <c r="F2465" s="65"/>
      <c r="G2465" s="66"/>
      <c r="H2465" s="63"/>
      <c r="I2465" s="64"/>
    </row>
    <row r="2466" customFormat="false" ht="23.25" hidden="false" customHeight="true" outlineLevel="0" collapsed="false">
      <c r="B2466" s="67" t="str">
        <f aca="false">IFERROR(INDEX(分录报销!$M:$M,MATCH($L2466,分录报销!$L:$L,0)),"")</f>
        <v/>
      </c>
      <c r="C2466" s="67"/>
      <c r="D2466" s="23" t="str">
        <f aca="false">IFERROR(INDEX(分录报销!$E:$E,MATCH($L2466,分录报销!$L:$L,0)),"")</f>
        <v/>
      </c>
      <c r="E2466" s="23" t="str">
        <f aca="false">IFERROR(INDEX(分录报销!$F:$F,MATCH($L2466,分录报销!$L:$L,0)),"")</f>
        <v/>
      </c>
      <c r="F2466" s="68" t="str">
        <f aca="false">IFERROR(INDEX(分录报销!$H:$H,MATCH($L2466,分录报销!$L:$L,0)),"")</f>
        <v/>
      </c>
      <c r="G2466" s="69" t="str">
        <f aca="false">IFERROR(INDEX(分录报销!$I:$I,MATCH($L2466,分录报销!$L:$L,0)),"")</f>
        <v/>
      </c>
      <c r="H2466" s="23"/>
      <c r="I2466" s="70"/>
      <c r="L2466" s="71" t="n">
        <f aca="false">IF(助手报销!$R$166="",-1,助手报销!$R$166*100+(助手报销!$S$166-1)*6+1)</f>
        <v>-1</v>
      </c>
    </row>
    <row r="2467" customFormat="false" ht="23.25" hidden="false" customHeight="true" outlineLevel="0" collapsed="false">
      <c r="B2467" s="67" t="str">
        <f aca="false">IFERROR(INDEX(分录报销!$M:$M,MATCH($L2467,分录报销!$L:$L,0)),"")</f>
        <v/>
      </c>
      <c r="C2467" s="67"/>
      <c r="D2467" s="23" t="str">
        <f aca="false">IFERROR(INDEX(分录报销!$E:$E,MATCH($L2467,分录报销!$L:$L,0)),"")</f>
        <v/>
      </c>
      <c r="E2467" s="23" t="str">
        <f aca="false">IFERROR(INDEX(分录报销!$F:$F,MATCH($L2467,分录报销!$L:$L,0)),"")</f>
        <v/>
      </c>
      <c r="F2467" s="68" t="str">
        <f aca="false">IFERROR(INDEX(分录报销!$H:$H,MATCH($L2467,分录报销!$L:$L,0)),"")</f>
        <v/>
      </c>
      <c r="G2467" s="69" t="str">
        <f aca="false">IFERROR(INDEX(分录报销!$I:$I,MATCH($L2467,分录报销!$L:$L,0)),"")</f>
        <v/>
      </c>
      <c r="H2467" s="23"/>
      <c r="I2467" s="70"/>
      <c r="L2467" s="71" t="n">
        <f aca="false">IF(助手报销!$R$166="",-1,助手报销!$R$166*100+(助手报销!$S$166-1)*6+2)</f>
        <v>-1</v>
      </c>
    </row>
    <row r="2468" customFormat="false" ht="23.25" hidden="false" customHeight="true" outlineLevel="0" collapsed="false">
      <c r="B2468" s="67" t="str">
        <f aca="false">IFERROR(INDEX(分录报销!$M:$M,MATCH($L2468,分录报销!$L:$L,0)),"")</f>
        <v/>
      </c>
      <c r="C2468" s="67"/>
      <c r="D2468" s="23" t="str">
        <f aca="false">IFERROR(INDEX(分录报销!$E:$E,MATCH($L2468,分录报销!$L:$L,0)),"")</f>
        <v/>
      </c>
      <c r="E2468" s="23" t="str">
        <f aca="false">IFERROR(INDEX(分录报销!$F:$F,MATCH($L2468,分录报销!$L:$L,0)),"")</f>
        <v/>
      </c>
      <c r="F2468" s="68" t="str">
        <f aca="false">IFERROR(INDEX(分录报销!$H:$H,MATCH($L2468,分录报销!$L:$L,0)),"")</f>
        <v/>
      </c>
      <c r="G2468" s="69" t="str">
        <f aca="false">IFERROR(INDEX(分录报销!$I:$I,MATCH($L2468,分录报销!$L:$L,0)),"")</f>
        <v/>
      </c>
      <c r="H2468" s="23"/>
      <c r="I2468" s="70"/>
      <c r="L2468" s="71" t="n">
        <f aca="false">IF(助手报销!$R$166="",-1,助手报销!$R$166*100+(助手报销!$S$166-1)*6+3)</f>
        <v>-1</v>
      </c>
    </row>
    <row r="2469" customFormat="false" ht="23.25" hidden="false" customHeight="true" outlineLevel="0" collapsed="false">
      <c r="B2469" s="67" t="str">
        <f aca="false">IFERROR(INDEX(分录报销!$M:$M,MATCH($L2469,分录报销!$L:$L,0)),"")</f>
        <v/>
      </c>
      <c r="C2469" s="67"/>
      <c r="D2469" s="23" t="str">
        <f aca="false">IFERROR(INDEX(分录报销!$E:$E,MATCH($L2469,分录报销!$L:$L,0)),"")</f>
        <v/>
      </c>
      <c r="E2469" s="23" t="str">
        <f aca="false">IFERROR(INDEX(分录报销!$F:$F,MATCH($L2469,分录报销!$L:$L,0)),"")</f>
        <v/>
      </c>
      <c r="F2469" s="68" t="str">
        <f aca="false">IFERROR(INDEX(分录报销!$H:$H,MATCH($L2469,分录报销!$L:$L,0)),"")</f>
        <v/>
      </c>
      <c r="G2469" s="69" t="str">
        <f aca="false">IFERROR(INDEX(分录报销!$I:$I,MATCH($L2469,分录报销!$L:$L,0)),"")</f>
        <v/>
      </c>
      <c r="H2469" s="23"/>
      <c r="I2469" s="70"/>
      <c r="L2469" s="71" t="n">
        <f aca="false">IF(助手报销!$R$166="",-1,助手报销!$R$166*100+(助手报销!$S$166-1)*6+4)</f>
        <v>-1</v>
      </c>
    </row>
    <row r="2470" customFormat="false" ht="23.25" hidden="false" customHeight="true" outlineLevel="0" collapsed="false">
      <c r="B2470" s="67" t="str">
        <f aca="false">IFERROR(INDEX(分录报销!$M:$M,MATCH($L2470,分录报销!$L:$L,0)),"")</f>
        <v/>
      </c>
      <c r="C2470" s="67"/>
      <c r="D2470" s="23" t="str">
        <f aca="false">IFERROR(INDEX(分录报销!$E:$E,MATCH($L2470,分录报销!$L:$L,0)),"")</f>
        <v/>
      </c>
      <c r="E2470" s="23" t="str">
        <f aca="false">IFERROR(INDEX(分录报销!$F:$F,MATCH($L2470,分录报销!$L:$L,0)),"")</f>
        <v/>
      </c>
      <c r="F2470" s="68" t="str">
        <f aca="false">IFERROR(INDEX(分录报销!$H:$H,MATCH($L2470,分录报销!$L:$L,0)),"")</f>
        <v/>
      </c>
      <c r="G2470" s="69" t="str">
        <f aca="false">IFERROR(INDEX(分录报销!$I:$I,MATCH($L2470,分录报销!$L:$L,0)),"")</f>
        <v/>
      </c>
      <c r="H2470" s="23"/>
      <c r="I2470" s="70"/>
      <c r="L2470" s="71" t="n">
        <f aca="false">IF(助手报销!$R$166="",-1,助手报销!$R$166*100+(助手报销!$S$166-1)*6+5)</f>
        <v>-1</v>
      </c>
    </row>
    <row r="2471" customFormat="false" ht="23.25" hidden="false" customHeight="true" outlineLevel="0" collapsed="false">
      <c r="B2471" s="67" t="str">
        <f aca="false">IFERROR(INDEX(分录报销!$M:$M,MATCH($L2471,分录报销!$L:$L,0)),"")</f>
        <v/>
      </c>
      <c r="C2471" s="67"/>
      <c r="D2471" s="23" t="str">
        <f aca="false">IFERROR(INDEX(分录报销!$E:$E,MATCH($L2471,分录报销!$L:$L,0)),"")</f>
        <v/>
      </c>
      <c r="E2471" s="23" t="str">
        <f aca="false">IFERROR(INDEX(分录报销!$F:$F,MATCH($L2471,分录报销!$L:$L,0)),"")</f>
        <v/>
      </c>
      <c r="F2471" s="68" t="str">
        <f aca="false">IFERROR(INDEX(分录报销!$H:$H,MATCH($L2471,分录报销!$L:$L,0)),"")</f>
        <v/>
      </c>
      <c r="G2471" s="69" t="str">
        <f aca="false">IFERROR(INDEX(分录报销!$I:$I,MATCH($L2471,分录报销!$L:$L,0)),"")</f>
        <v/>
      </c>
      <c r="H2471" s="23"/>
      <c r="I2471" s="70"/>
      <c r="L2471" s="71" t="n">
        <f aca="false">IF(助手报销!$R$166="",-1,助手报销!$R$166*100+(助手报销!$S$166-1)*6+6)</f>
        <v>-1</v>
      </c>
    </row>
    <row r="2472" customFormat="false" ht="23.25" hidden="false" customHeight="true" outlineLevel="0" collapsed="false">
      <c r="B2472" s="72" t="str">
        <f aca="false">IF(助手报销!$T$166=1,"合计：","")</f>
        <v/>
      </c>
      <c r="C2472" s="73" t="str">
        <f aca="false">IF(助手报销!$T$166=1,$F2472,"")</f>
        <v/>
      </c>
      <c r="D2472" s="74"/>
      <c r="E2472" s="74"/>
      <c r="F2472" s="75" t="str">
        <f aca="false">IF(助手报销!$T$166=1,INDEX(助手报销!$N$2:$N$121,助手报销!$R$166),"")</f>
        <v/>
      </c>
      <c r="G2472" s="76" t="str">
        <f aca="false">IF(助手报销!$T$166=1,INDEX(助手报销!$O$2:$O$121,助手报销!$R$166),"")</f>
        <v/>
      </c>
      <c r="H2472" s="74"/>
      <c r="I2472" s="77"/>
    </row>
    <row r="2473" customFormat="false" ht="6" hidden="false" customHeight="true" outlineLevel="0" collapsed="false"/>
    <row r="2474" customFormat="false" ht="13.5" hidden="false" customHeight="false" outlineLevel="0" collapsed="false">
      <c r="B2474" s="78" t="str">
        <f aca="false">IF(助手报销!$R$166&lt;&gt;"","会计主管：","")</f>
        <v/>
      </c>
      <c r="D2474" s="78" t="str">
        <f aca="false">IF(助手报销!$R$166&lt;&gt;"","会计：","")</f>
        <v/>
      </c>
      <c r="E2474" s="78" t="str">
        <f aca="false">IF(助手报销!$R$166&lt;&gt;"","出纳：","")</f>
        <v/>
      </c>
      <c r="F2474" s="78" t="str">
        <f aca="false">IF(助手报销!$R$166&lt;&gt;"","复核：","")</f>
        <v/>
      </c>
      <c r="G2474" s="78" t="str">
        <f aca="false">IF(助手报销!$R$166&lt;&gt;"","制单：","")</f>
        <v/>
      </c>
    </row>
    <row r="2475" customFormat="false" ht="3" hidden="false" customHeight="true" outlineLevel="0" collapsed="false"/>
    <row r="2476" customFormat="false" ht="19.5" hidden="false" customHeight="true" outlineLevel="0" collapsed="false">
      <c r="B2476" s="53" t="str">
        <f aca="false">IF(助手报销!$R$167&lt;&gt;"","记  账  凭  证","")</f>
        <v/>
      </c>
      <c r="C2476" s="53"/>
      <c r="D2476" s="53"/>
      <c r="E2476" s="53"/>
      <c r="F2476" s="53"/>
      <c r="G2476" s="53"/>
      <c r="H2476" s="53"/>
      <c r="I2476" s="53"/>
    </row>
    <row r="2477" customFormat="false" ht="3" hidden="false" customHeight="true" outlineLevel="0" collapsed="false"/>
    <row r="2478" customFormat="false" ht="15" hidden="false" customHeight="true" outlineLevel="0" collapsed="false">
      <c r="C2478" s="56" t="str">
        <f aca="false">IF(助手报销!$R$167&lt;&gt;"",INDEX(助手报销!$B$2:$B$121,助手报销!$R$167),"")</f>
        <v/>
      </c>
      <c r="D2478" s="57" t="str">
        <f aca="false">IF(助手报销!$R$167&lt;&gt;"",INDEX(助手报销!$D$2:$D$121,助手报销!$R$167),"")</f>
        <v/>
      </c>
      <c r="E2478" s="57"/>
      <c r="F2478" s="58" t="str">
        <f aca="false">IF(助手报销!$R$167&lt;&gt;"",INDEX(助手报销!$C$2:$C$121,助手报销!$R$167)&amp;"  字第 "&amp;IF(参数!$B$9="是",INDEX(助手报销!$P$2:$P$121,助手报销!$R$167),"　　　　")&amp;" 号"&amp;IF(INDEX(助手报销!$L$2:$L$121,助手报销!$R$167)&gt;1,"  (共"&amp;INDEX(助手报销!$L$2:$L$121,助手报销!$R$167)&amp;"页 第"&amp;助手报销!$S$167&amp;"页)",""),"")</f>
        <v/>
      </c>
      <c r="G2478" s="58"/>
      <c r="H2478" s="58"/>
      <c r="I2478" s="58"/>
      <c r="M2478" s="79" t="str">
        <f aca="false">IF(助手报销!$R$167="","",助手报销!$Q$167)</f>
        <v/>
      </c>
      <c r="N2478" s="80" t="str">
        <f aca="false">IF(助手报销!$R$167="","",INDEX(助手报销!$P$2:$P$121,助手报销!$R$167))</f>
        <v/>
      </c>
      <c r="O2478" s="55" t="str">
        <f aca="false">IF(助手报销!$R$167="","",INDEX(助手报销!$C$2:$C$121,助手报销!$R$167)&amp;"  字第 "&amp;INDEX(助手报销!$P$2:$P$121,助手报销!$R$167)&amp;" 号"&amp;IF(INDEX(助手报销!$L$2:$L$121,助手报销!$R$167)&gt;1,"  (共"&amp;INDEX(助手报销!$L$2:$L$121,助手报销!$R$167)&amp;"页 第"&amp;助手报销!$S$167&amp;"页)",""))</f>
        <v/>
      </c>
    </row>
    <row r="2479" customFormat="false" ht="12.75" hidden="false" customHeight="true" outlineLevel="0" collapsed="false">
      <c r="B2479" s="61" t="str">
        <f aca="false">IF(助手报销!$R$167&lt;&gt;"","摘　　要","")</f>
        <v/>
      </c>
      <c r="C2479" s="61"/>
      <c r="D2479" s="62" t="str">
        <f aca="false">IF(助手报销!$R$167&lt;&gt;"","科　　　　目","")</f>
        <v/>
      </c>
      <c r="E2479" s="62"/>
      <c r="F2479" s="61" t="str">
        <f aca="false">IF(助手报销!$R$167&lt;&gt;"","借 方 金 额","")</f>
        <v/>
      </c>
      <c r="G2479" s="62" t="str">
        <f aca="false">IF(助手报销!$R$167&lt;&gt;"","贷 方 金 额","")</f>
        <v/>
      </c>
      <c r="H2479" s="63" t="str">
        <f aca="false">IF(助手报销!$R$167&lt;&gt;"","√","")</f>
        <v/>
      </c>
      <c r="I2479" s="64" t="str">
        <f aca="false">IF(助手报销!$R$167&lt;&gt;"","附单据  张","")</f>
        <v/>
      </c>
    </row>
    <row r="2480" customFormat="false" ht="12.75" hidden="false" customHeight="true" outlineLevel="0" collapsed="false">
      <c r="B2480" s="61"/>
      <c r="C2480" s="61"/>
      <c r="D2480" s="23" t="str">
        <f aca="false">IF(助手报销!$R$167&lt;&gt;"","总 账 科 目","")</f>
        <v/>
      </c>
      <c r="E2480" s="23" t="str">
        <f aca="false">IF(助手报销!$R$167&lt;&gt;"","明 细 科 目","")</f>
        <v/>
      </c>
      <c r="F2480" s="65"/>
      <c r="G2480" s="66"/>
      <c r="H2480" s="63"/>
      <c r="I2480" s="64"/>
    </row>
    <row r="2481" customFormat="false" ht="23.25" hidden="false" customHeight="true" outlineLevel="0" collapsed="false">
      <c r="B2481" s="67" t="str">
        <f aca="false">IFERROR(INDEX(分录报销!$M:$M,MATCH($L2481,分录报销!$L:$L,0)),"")</f>
        <v/>
      </c>
      <c r="C2481" s="67"/>
      <c r="D2481" s="23" t="str">
        <f aca="false">IFERROR(INDEX(分录报销!$E:$E,MATCH($L2481,分录报销!$L:$L,0)),"")</f>
        <v/>
      </c>
      <c r="E2481" s="23" t="str">
        <f aca="false">IFERROR(INDEX(分录报销!$F:$F,MATCH($L2481,分录报销!$L:$L,0)),"")</f>
        <v/>
      </c>
      <c r="F2481" s="68" t="str">
        <f aca="false">IFERROR(INDEX(分录报销!$H:$H,MATCH($L2481,分录报销!$L:$L,0)),"")</f>
        <v/>
      </c>
      <c r="G2481" s="69" t="str">
        <f aca="false">IFERROR(INDEX(分录报销!$I:$I,MATCH($L2481,分录报销!$L:$L,0)),"")</f>
        <v/>
      </c>
      <c r="H2481" s="23"/>
      <c r="I2481" s="70"/>
      <c r="L2481" s="71" t="n">
        <f aca="false">IF(助手报销!$R$167="",-1,助手报销!$R$167*100+(助手报销!$S$167-1)*6+1)</f>
        <v>-1</v>
      </c>
    </row>
    <row r="2482" customFormat="false" ht="23.25" hidden="false" customHeight="true" outlineLevel="0" collapsed="false">
      <c r="B2482" s="67" t="str">
        <f aca="false">IFERROR(INDEX(分录报销!$M:$M,MATCH($L2482,分录报销!$L:$L,0)),"")</f>
        <v/>
      </c>
      <c r="C2482" s="67"/>
      <c r="D2482" s="23" t="str">
        <f aca="false">IFERROR(INDEX(分录报销!$E:$E,MATCH($L2482,分录报销!$L:$L,0)),"")</f>
        <v/>
      </c>
      <c r="E2482" s="23" t="str">
        <f aca="false">IFERROR(INDEX(分录报销!$F:$F,MATCH($L2482,分录报销!$L:$L,0)),"")</f>
        <v/>
      </c>
      <c r="F2482" s="68" t="str">
        <f aca="false">IFERROR(INDEX(分录报销!$H:$H,MATCH($L2482,分录报销!$L:$L,0)),"")</f>
        <v/>
      </c>
      <c r="G2482" s="69" t="str">
        <f aca="false">IFERROR(INDEX(分录报销!$I:$I,MATCH($L2482,分录报销!$L:$L,0)),"")</f>
        <v/>
      </c>
      <c r="H2482" s="23"/>
      <c r="I2482" s="70"/>
      <c r="L2482" s="71" t="n">
        <f aca="false">IF(助手报销!$R$167="",-1,助手报销!$R$167*100+(助手报销!$S$167-1)*6+2)</f>
        <v>-1</v>
      </c>
    </row>
    <row r="2483" customFormat="false" ht="23.25" hidden="false" customHeight="true" outlineLevel="0" collapsed="false">
      <c r="B2483" s="67" t="str">
        <f aca="false">IFERROR(INDEX(分录报销!$M:$M,MATCH($L2483,分录报销!$L:$L,0)),"")</f>
        <v/>
      </c>
      <c r="C2483" s="67"/>
      <c r="D2483" s="23" t="str">
        <f aca="false">IFERROR(INDEX(分录报销!$E:$E,MATCH($L2483,分录报销!$L:$L,0)),"")</f>
        <v/>
      </c>
      <c r="E2483" s="23" t="str">
        <f aca="false">IFERROR(INDEX(分录报销!$F:$F,MATCH($L2483,分录报销!$L:$L,0)),"")</f>
        <v/>
      </c>
      <c r="F2483" s="68" t="str">
        <f aca="false">IFERROR(INDEX(分录报销!$H:$H,MATCH($L2483,分录报销!$L:$L,0)),"")</f>
        <v/>
      </c>
      <c r="G2483" s="69" t="str">
        <f aca="false">IFERROR(INDEX(分录报销!$I:$I,MATCH($L2483,分录报销!$L:$L,0)),"")</f>
        <v/>
      </c>
      <c r="H2483" s="23"/>
      <c r="I2483" s="70"/>
      <c r="L2483" s="71" t="n">
        <f aca="false">IF(助手报销!$R$167="",-1,助手报销!$R$167*100+(助手报销!$S$167-1)*6+3)</f>
        <v>-1</v>
      </c>
    </row>
    <row r="2484" customFormat="false" ht="23.25" hidden="false" customHeight="true" outlineLevel="0" collapsed="false">
      <c r="B2484" s="67" t="str">
        <f aca="false">IFERROR(INDEX(分录报销!$M:$M,MATCH($L2484,分录报销!$L:$L,0)),"")</f>
        <v/>
      </c>
      <c r="C2484" s="67"/>
      <c r="D2484" s="23" t="str">
        <f aca="false">IFERROR(INDEX(分录报销!$E:$E,MATCH($L2484,分录报销!$L:$L,0)),"")</f>
        <v/>
      </c>
      <c r="E2484" s="23" t="str">
        <f aca="false">IFERROR(INDEX(分录报销!$F:$F,MATCH($L2484,分录报销!$L:$L,0)),"")</f>
        <v/>
      </c>
      <c r="F2484" s="68" t="str">
        <f aca="false">IFERROR(INDEX(分录报销!$H:$H,MATCH($L2484,分录报销!$L:$L,0)),"")</f>
        <v/>
      </c>
      <c r="G2484" s="69" t="str">
        <f aca="false">IFERROR(INDEX(分录报销!$I:$I,MATCH($L2484,分录报销!$L:$L,0)),"")</f>
        <v/>
      </c>
      <c r="H2484" s="23"/>
      <c r="I2484" s="70"/>
      <c r="L2484" s="71" t="n">
        <f aca="false">IF(助手报销!$R$167="",-1,助手报销!$R$167*100+(助手报销!$S$167-1)*6+4)</f>
        <v>-1</v>
      </c>
    </row>
    <row r="2485" customFormat="false" ht="23.25" hidden="false" customHeight="true" outlineLevel="0" collapsed="false">
      <c r="B2485" s="67" t="str">
        <f aca="false">IFERROR(INDEX(分录报销!$M:$M,MATCH($L2485,分录报销!$L:$L,0)),"")</f>
        <v/>
      </c>
      <c r="C2485" s="67"/>
      <c r="D2485" s="23" t="str">
        <f aca="false">IFERROR(INDEX(分录报销!$E:$E,MATCH($L2485,分录报销!$L:$L,0)),"")</f>
        <v/>
      </c>
      <c r="E2485" s="23" t="str">
        <f aca="false">IFERROR(INDEX(分录报销!$F:$F,MATCH($L2485,分录报销!$L:$L,0)),"")</f>
        <v/>
      </c>
      <c r="F2485" s="68" t="str">
        <f aca="false">IFERROR(INDEX(分录报销!$H:$H,MATCH($L2485,分录报销!$L:$L,0)),"")</f>
        <v/>
      </c>
      <c r="G2485" s="69" t="str">
        <f aca="false">IFERROR(INDEX(分录报销!$I:$I,MATCH($L2485,分录报销!$L:$L,0)),"")</f>
        <v/>
      </c>
      <c r="H2485" s="23"/>
      <c r="I2485" s="70"/>
      <c r="L2485" s="71" t="n">
        <f aca="false">IF(助手报销!$R$167="",-1,助手报销!$R$167*100+(助手报销!$S$167-1)*6+5)</f>
        <v>-1</v>
      </c>
    </row>
    <row r="2486" customFormat="false" ht="23.25" hidden="false" customHeight="true" outlineLevel="0" collapsed="false">
      <c r="B2486" s="67" t="str">
        <f aca="false">IFERROR(INDEX(分录报销!$M:$M,MATCH($L2486,分录报销!$L:$L,0)),"")</f>
        <v/>
      </c>
      <c r="C2486" s="67"/>
      <c r="D2486" s="23" t="str">
        <f aca="false">IFERROR(INDEX(分录报销!$E:$E,MATCH($L2486,分录报销!$L:$L,0)),"")</f>
        <v/>
      </c>
      <c r="E2486" s="23" t="str">
        <f aca="false">IFERROR(INDEX(分录报销!$F:$F,MATCH($L2486,分录报销!$L:$L,0)),"")</f>
        <v/>
      </c>
      <c r="F2486" s="68" t="str">
        <f aca="false">IFERROR(INDEX(分录报销!$H:$H,MATCH($L2486,分录报销!$L:$L,0)),"")</f>
        <v/>
      </c>
      <c r="G2486" s="69" t="str">
        <f aca="false">IFERROR(INDEX(分录报销!$I:$I,MATCH($L2486,分录报销!$L:$L,0)),"")</f>
        <v/>
      </c>
      <c r="H2486" s="23"/>
      <c r="I2486" s="70"/>
      <c r="L2486" s="71" t="n">
        <f aca="false">IF(助手报销!$R$167="",-1,助手报销!$R$167*100+(助手报销!$S$167-1)*6+6)</f>
        <v>-1</v>
      </c>
    </row>
    <row r="2487" customFormat="false" ht="23.25" hidden="false" customHeight="true" outlineLevel="0" collapsed="false">
      <c r="B2487" s="72" t="str">
        <f aca="false">IF(助手报销!$T$167=1,"合计：","")</f>
        <v/>
      </c>
      <c r="C2487" s="73" t="str">
        <f aca="false">IF(助手报销!$T$167=1,$F2487,"")</f>
        <v/>
      </c>
      <c r="D2487" s="74"/>
      <c r="E2487" s="74"/>
      <c r="F2487" s="75" t="str">
        <f aca="false">IF(助手报销!$T$167=1,INDEX(助手报销!$N$2:$N$121,助手报销!$R$167),"")</f>
        <v/>
      </c>
      <c r="G2487" s="76" t="str">
        <f aca="false">IF(助手报销!$T$167=1,INDEX(助手报销!$O$2:$O$121,助手报销!$R$167),"")</f>
        <v/>
      </c>
      <c r="H2487" s="74"/>
      <c r="I2487" s="77"/>
    </row>
    <row r="2488" customFormat="false" ht="6" hidden="false" customHeight="true" outlineLevel="0" collapsed="false"/>
    <row r="2489" customFormat="false" ht="13.5" hidden="false" customHeight="false" outlineLevel="0" collapsed="false">
      <c r="B2489" s="78" t="str">
        <f aca="false">IF(助手报销!$R$167&lt;&gt;"","会计主管：","")</f>
        <v/>
      </c>
      <c r="D2489" s="78" t="str">
        <f aca="false">IF(助手报销!$R$167&lt;&gt;"","会计：","")</f>
        <v/>
      </c>
      <c r="E2489" s="78" t="str">
        <f aca="false">IF(助手报销!$R$167&lt;&gt;"","出纳：","")</f>
        <v/>
      </c>
      <c r="F2489" s="78" t="str">
        <f aca="false">IF(助手报销!$R$167&lt;&gt;"","复核：","")</f>
        <v/>
      </c>
      <c r="G2489" s="78" t="str">
        <f aca="false">IF(助手报销!$R$167&lt;&gt;"","制单：","")</f>
        <v/>
      </c>
    </row>
    <row r="2490" customFormat="false" ht="3" hidden="false" customHeight="true" outlineLevel="0" collapsed="false"/>
    <row r="2491" customFormat="false" ht="19.5" hidden="false" customHeight="true" outlineLevel="0" collapsed="false">
      <c r="B2491" s="53" t="str">
        <f aca="false">IF(助手报销!$R$168&lt;&gt;"","记  账  凭  证","")</f>
        <v/>
      </c>
      <c r="C2491" s="53"/>
      <c r="D2491" s="53"/>
      <c r="E2491" s="53"/>
      <c r="F2491" s="53"/>
      <c r="G2491" s="53"/>
      <c r="H2491" s="53"/>
      <c r="I2491" s="53"/>
    </row>
    <row r="2492" customFormat="false" ht="3" hidden="false" customHeight="true" outlineLevel="0" collapsed="false"/>
    <row r="2493" customFormat="false" ht="15" hidden="false" customHeight="true" outlineLevel="0" collapsed="false">
      <c r="C2493" s="56" t="str">
        <f aca="false">IF(助手报销!$R$168&lt;&gt;"",INDEX(助手报销!$B$2:$B$121,助手报销!$R$168),"")</f>
        <v/>
      </c>
      <c r="D2493" s="57" t="str">
        <f aca="false">IF(助手报销!$R$168&lt;&gt;"",INDEX(助手报销!$D$2:$D$121,助手报销!$R$168),"")</f>
        <v/>
      </c>
      <c r="E2493" s="57"/>
      <c r="F2493" s="58" t="str">
        <f aca="false">IF(助手报销!$R$168&lt;&gt;"",INDEX(助手报销!$C$2:$C$121,助手报销!$R$168)&amp;"  字第 "&amp;IF(参数!$B$9="是",INDEX(助手报销!$P$2:$P$121,助手报销!$R$168),"　　　　")&amp;" 号"&amp;IF(INDEX(助手报销!$L$2:$L$121,助手报销!$R$168)&gt;1,"  (共"&amp;INDEX(助手报销!$L$2:$L$121,助手报销!$R$168)&amp;"页 第"&amp;助手报销!$S$168&amp;"页)",""),"")</f>
        <v/>
      </c>
      <c r="G2493" s="58"/>
      <c r="H2493" s="58"/>
      <c r="I2493" s="58"/>
      <c r="M2493" s="79" t="str">
        <f aca="false">IF(助手报销!$R$168="","",助手报销!$Q$168)</f>
        <v/>
      </c>
      <c r="N2493" s="80" t="str">
        <f aca="false">IF(助手报销!$R$168="","",INDEX(助手报销!$P$2:$P$121,助手报销!$R$168))</f>
        <v/>
      </c>
      <c r="O2493" s="55" t="str">
        <f aca="false">IF(助手报销!$R$168="","",INDEX(助手报销!$C$2:$C$121,助手报销!$R$168)&amp;"  字第 "&amp;INDEX(助手报销!$P$2:$P$121,助手报销!$R$168)&amp;" 号"&amp;IF(INDEX(助手报销!$L$2:$L$121,助手报销!$R$168)&gt;1,"  (共"&amp;INDEX(助手报销!$L$2:$L$121,助手报销!$R$168)&amp;"页 第"&amp;助手报销!$S$168&amp;"页)",""))</f>
        <v/>
      </c>
    </row>
    <row r="2494" customFormat="false" ht="12.75" hidden="false" customHeight="true" outlineLevel="0" collapsed="false">
      <c r="B2494" s="61" t="str">
        <f aca="false">IF(助手报销!$R$168&lt;&gt;"","摘　　要","")</f>
        <v/>
      </c>
      <c r="C2494" s="61"/>
      <c r="D2494" s="62" t="str">
        <f aca="false">IF(助手报销!$R$168&lt;&gt;"","科　　　　目","")</f>
        <v/>
      </c>
      <c r="E2494" s="62"/>
      <c r="F2494" s="61" t="str">
        <f aca="false">IF(助手报销!$R$168&lt;&gt;"","借 方 金 额","")</f>
        <v/>
      </c>
      <c r="G2494" s="62" t="str">
        <f aca="false">IF(助手报销!$R$168&lt;&gt;"","贷 方 金 额","")</f>
        <v/>
      </c>
      <c r="H2494" s="63" t="str">
        <f aca="false">IF(助手报销!$R$168&lt;&gt;"","√","")</f>
        <v/>
      </c>
      <c r="I2494" s="64" t="str">
        <f aca="false">IF(助手报销!$R$168&lt;&gt;"","附单据  张","")</f>
        <v/>
      </c>
    </row>
    <row r="2495" customFormat="false" ht="12.75" hidden="false" customHeight="true" outlineLevel="0" collapsed="false">
      <c r="B2495" s="61"/>
      <c r="C2495" s="61"/>
      <c r="D2495" s="23" t="str">
        <f aca="false">IF(助手报销!$R$168&lt;&gt;"","总 账 科 目","")</f>
        <v/>
      </c>
      <c r="E2495" s="23" t="str">
        <f aca="false">IF(助手报销!$R$168&lt;&gt;"","明 细 科 目","")</f>
        <v/>
      </c>
      <c r="F2495" s="65"/>
      <c r="G2495" s="66"/>
      <c r="H2495" s="63"/>
      <c r="I2495" s="64"/>
    </row>
    <row r="2496" customFormat="false" ht="23.25" hidden="false" customHeight="true" outlineLevel="0" collapsed="false">
      <c r="B2496" s="67" t="str">
        <f aca="false">IFERROR(INDEX(分录报销!$M:$M,MATCH($L2496,分录报销!$L:$L,0)),"")</f>
        <v/>
      </c>
      <c r="C2496" s="67"/>
      <c r="D2496" s="23" t="str">
        <f aca="false">IFERROR(INDEX(分录报销!$E:$E,MATCH($L2496,分录报销!$L:$L,0)),"")</f>
        <v/>
      </c>
      <c r="E2496" s="23" t="str">
        <f aca="false">IFERROR(INDEX(分录报销!$F:$F,MATCH($L2496,分录报销!$L:$L,0)),"")</f>
        <v/>
      </c>
      <c r="F2496" s="68" t="str">
        <f aca="false">IFERROR(INDEX(分录报销!$H:$H,MATCH($L2496,分录报销!$L:$L,0)),"")</f>
        <v/>
      </c>
      <c r="G2496" s="69" t="str">
        <f aca="false">IFERROR(INDEX(分录报销!$I:$I,MATCH($L2496,分录报销!$L:$L,0)),"")</f>
        <v/>
      </c>
      <c r="H2496" s="23"/>
      <c r="I2496" s="70"/>
      <c r="L2496" s="71" t="n">
        <f aca="false">IF(助手报销!$R$168="",-1,助手报销!$R$168*100+(助手报销!$S$168-1)*6+1)</f>
        <v>-1</v>
      </c>
    </row>
    <row r="2497" customFormat="false" ht="23.25" hidden="false" customHeight="true" outlineLevel="0" collapsed="false">
      <c r="B2497" s="67" t="str">
        <f aca="false">IFERROR(INDEX(分录报销!$M:$M,MATCH($L2497,分录报销!$L:$L,0)),"")</f>
        <v/>
      </c>
      <c r="C2497" s="67"/>
      <c r="D2497" s="23" t="str">
        <f aca="false">IFERROR(INDEX(分录报销!$E:$E,MATCH($L2497,分录报销!$L:$L,0)),"")</f>
        <v/>
      </c>
      <c r="E2497" s="23" t="str">
        <f aca="false">IFERROR(INDEX(分录报销!$F:$F,MATCH($L2497,分录报销!$L:$L,0)),"")</f>
        <v/>
      </c>
      <c r="F2497" s="68" t="str">
        <f aca="false">IFERROR(INDEX(分录报销!$H:$H,MATCH($L2497,分录报销!$L:$L,0)),"")</f>
        <v/>
      </c>
      <c r="G2497" s="69" t="str">
        <f aca="false">IFERROR(INDEX(分录报销!$I:$I,MATCH($L2497,分录报销!$L:$L,0)),"")</f>
        <v/>
      </c>
      <c r="H2497" s="23"/>
      <c r="I2497" s="70"/>
      <c r="L2497" s="71" t="n">
        <f aca="false">IF(助手报销!$R$168="",-1,助手报销!$R$168*100+(助手报销!$S$168-1)*6+2)</f>
        <v>-1</v>
      </c>
    </row>
    <row r="2498" customFormat="false" ht="23.25" hidden="false" customHeight="true" outlineLevel="0" collapsed="false">
      <c r="B2498" s="67" t="str">
        <f aca="false">IFERROR(INDEX(分录报销!$M:$M,MATCH($L2498,分录报销!$L:$L,0)),"")</f>
        <v/>
      </c>
      <c r="C2498" s="67"/>
      <c r="D2498" s="23" t="str">
        <f aca="false">IFERROR(INDEX(分录报销!$E:$E,MATCH($L2498,分录报销!$L:$L,0)),"")</f>
        <v/>
      </c>
      <c r="E2498" s="23" t="str">
        <f aca="false">IFERROR(INDEX(分录报销!$F:$F,MATCH($L2498,分录报销!$L:$L,0)),"")</f>
        <v/>
      </c>
      <c r="F2498" s="68" t="str">
        <f aca="false">IFERROR(INDEX(分录报销!$H:$H,MATCH($L2498,分录报销!$L:$L,0)),"")</f>
        <v/>
      </c>
      <c r="G2498" s="69" t="str">
        <f aca="false">IFERROR(INDEX(分录报销!$I:$I,MATCH($L2498,分录报销!$L:$L,0)),"")</f>
        <v/>
      </c>
      <c r="H2498" s="23"/>
      <c r="I2498" s="70"/>
      <c r="L2498" s="71" t="n">
        <f aca="false">IF(助手报销!$R$168="",-1,助手报销!$R$168*100+(助手报销!$S$168-1)*6+3)</f>
        <v>-1</v>
      </c>
    </row>
    <row r="2499" customFormat="false" ht="23.25" hidden="false" customHeight="true" outlineLevel="0" collapsed="false">
      <c r="B2499" s="67" t="str">
        <f aca="false">IFERROR(INDEX(分录报销!$M:$M,MATCH($L2499,分录报销!$L:$L,0)),"")</f>
        <v/>
      </c>
      <c r="C2499" s="67"/>
      <c r="D2499" s="23" t="str">
        <f aca="false">IFERROR(INDEX(分录报销!$E:$E,MATCH($L2499,分录报销!$L:$L,0)),"")</f>
        <v/>
      </c>
      <c r="E2499" s="23" t="str">
        <f aca="false">IFERROR(INDEX(分录报销!$F:$F,MATCH($L2499,分录报销!$L:$L,0)),"")</f>
        <v/>
      </c>
      <c r="F2499" s="68" t="str">
        <f aca="false">IFERROR(INDEX(分录报销!$H:$H,MATCH($L2499,分录报销!$L:$L,0)),"")</f>
        <v/>
      </c>
      <c r="G2499" s="69" t="str">
        <f aca="false">IFERROR(INDEX(分录报销!$I:$I,MATCH($L2499,分录报销!$L:$L,0)),"")</f>
        <v/>
      </c>
      <c r="H2499" s="23"/>
      <c r="I2499" s="70"/>
      <c r="L2499" s="71" t="n">
        <f aca="false">IF(助手报销!$R$168="",-1,助手报销!$R$168*100+(助手报销!$S$168-1)*6+4)</f>
        <v>-1</v>
      </c>
    </row>
    <row r="2500" customFormat="false" ht="23.25" hidden="false" customHeight="true" outlineLevel="0" collapsed="false">
      <c r="B2500" s="67" t="str">
        <f aca="false">IFERROR(INDEX(分录报销!$M:$M,MATCH($L2500,分录报销!$L:$L,0)),"")</f>
        <v/>
      </c>
      <c r="C2500" s="67"/>
      <c r="D2500" s="23" t="str">
        <f aca="false">IFERROR(INDEX(分录报销!$E:$E,MATCH($L2500,分录报销!$L:$L,0)),"")</f>
        <v/>
      </c>
      <c r="E2500" s="23" t="str">
        <f aca="false">IFERROR(INDEX(分录报销!$F:$F,MATCH($L2500,分录报销!$L:$L,0)),"")</f>
        <v/>
      </c>
      <c r="F2500" s="68" t="str">
        <f aca="false">IFERROR(INDEX(分录报销!$H:$H,MATCH($L2500,分录报销!$L:$L,0)),"")</f>
        <v/>
      </c>
      <c r="G2500" s="69" t="str">
        <f aca="false">IFERROR(INDEX(分录报销!$I:$I,MATCH($L2500,分录报销!$L:$L,0)),"")</f>
        <v/>
      </c>
      <c r="H2500" s="23"/>
      <c r="I2500" s="70"/>
      <c r="L2500" s="71" t="n">
        <f aca="false">IF(助手报销!$R$168="",-1,助手报销!$R$168*100+(助手报销!$S$168-1)*6+5)</f>
        <v>-1</v>
      </c>
    </row>
    <row r="2501" customFormat="false" ht="23.25" hidden="false" customHeight="true" outlineLevel="0" collapsed="false">
      <c r="B2501" s="67" t="str">
        <f aca="false">IFERROR(INDEX(分录报销!$M:$M,MATCH($L2501,分录报销!$L:$L,0)),"")</f>
        <v/>
      </c>
      <c r="C2501" s="67"/>
      <c r="D2501" s="23" t="str">
        <f aca="false">IFERROR(INDEX(分录报销!$E:$E,MATCH($L2501,分录报销!$L:$L,0)),"")</f>
        <v/>
      </c>
      <c r="E2501" s="23" t="str">
        <f aca="false">IFERROR(INDEX(分录报销!$F:$F,MATCH($L2501,分录报销!$L:$L,0)),"")</f>
        <v/>
      </c>
      <c r="F2501" s="68" t="str">
        <f aca="false">IFERROR(INDEX(分录报销!$H:$H,MATCH($L2501,分录报销!$L:$L,0)),"")</f>
        <v/>
      </c>
      <c r="G2501" s="69" t="str">
        <f aca="false">IFERROR(INDEX(分录报销!$I:$I,MATCH($L2501,分录报销!$L:$L,0)),"")</f>
        <v/>
      </c>
      <c r="H2501" s="23"/>
      <c r="I2501" s="70"/>
      <c r="L2501" s="71" t="n">
        <f aca="false">IF(助手报销!$R$168="",-1,助手报销!$R$168*100+(助手报销!$S$168-1)*6+6)</f>
        <v>-1</v>
      </c>
    </row>
    <row r="2502" customFormat="false" ht="23.25" hidden="false" customHeight="true" outlineLevel="0" collapsed="false">
      <c r="B2502" s="72" t="str">
        <f aca="false">IF(助手报销!$T$168=1,"合计：","")</f>
        <v/>
      </c>
      <c r="C2502" s="73" t="str">
        <f aca="false">IF(助手报销!$T$168=1,$F2502,"")</f>
        <v/>
      </c>
      <c r="D2502" s="74"/>
      <c r="E2502" s="74"/>
      <c r="F2502" s="75" t="str">
        <f aca="false">IF(助手报销!$T$168=1,INDEX(助手报销!$N$2:$N$121,助手报销!$R$168),"")</f>
        <v/>
      </c>
      <c r="G2502" s="76" t="str">
        <f aca="false">IF(助手报销!$T$168=1,INDEX(助手报销!$O$2:$O$121,助手报销!$R$168),"")</f>
        <v/>
      </c>
      <c r="H2502" s="74"/>
      <c r="I2502" s="77"/>
    </row>
    <row r="2503" customFormat="false" ht="6" hidden="false" customHeight="true" outlineLevel="0" collapsed="false"/>
    <row r="2504" customFormat="false" ht="13.5" hidden="false" customHeight="false" outlineLevel="0" collapsed="false">
      <c r="B2504" s="78" t="str">
        <f aca="false">IF(助手报销!$R$168&lt;&gt;"","会计主管：","")</f>
        <v/>
      </c>
      <c r="D2504" s="78" t="str">
        <f aca="false">IF(助手报销!$R$168&lt;&gt;"","会计：","")</f>
        <v/>
      </c>
      <c r="E2504" s="78" t="str">
        <f aca="false">IF(助手报销!$R$168&lt;&gt;"","出纳：","")</f>
        <v/>
      </c>
      <c r="F2504" s="78" t="str">
        <f aca="false">IF(助手报销!$R$168&lt;&gt;"","复核：","")</f>
        <v/>
      </c>
      <c r="G2504" s="78" t="str">
        <f aca="false">IF(助手报销!$R$168&lt;&gt;"","制单：","")</f>
        <v/>
      </c>
    </row>
    <row r="2505" customFormat="false" ht="3" hidden="false" customHeight="true" outlineLevel="0" collapsed="false"/>
    <row r="2506" customFormat="false" ht="19.5" hidden="false" customHeight="true" outlineLevel="0" collapsed="false">
      <c r="B2506" s="53" t="str">
        <f aca="false">IF(助手报销!$R$169&lt;&gt;"","记  账  凭  证","")</f>
        <v/>
      </c>
      <c r="C2506" s="53"/>
      <c r="D2506" s="53"/>
      <c r="E2506" s="53"/>
      <c r="F2506" s="53"/>
      <c r="G2506" s="53"/>
      <c r="H2506" s="53"/>
      <c r="I2506" s="53"/>
    </row>
    <row r="2507" customFormat="false" ht="3" hidden="false" customHeight="true" outlineLevel="0" collapsed="false"/>
    <row r="2508" customFormat="false" ht="15" hidden="false" customHeight="true" outlineLevel="0" collapsed="false">
      <c r="C2508" s="56" t="str">
        <f aca="false">IF(助手报销!$R$169&lt;&gt;"",INDEX(助手报销!$B$2:$B$121,助手报销!$R$169),"")</f>
        <v/>
      </c>
      <c r="D2508" s="57" t="str">
        <f aca="false">IF(助手报销!$R$169&lt;&gt;"",INDEX(助手报销!$D$2:$D$121,助手报销!$R$169),"")</f>
        <v/>
      </c>
      <c r="E2508" s="57"/>
      <c r="F2508" s="58" t="str">
        <f aca="false">IF(助手报销!$R$169&lt;&gt;"",INDEX(助手报销!$C$2:$C$121,助手报销!$R$169)&amp;"  字第 "&amp;IF(参数!$B$9="是",INDEX(助手报销!$P$2:$P$121,助手报销!$R$169),"　　　　")&amp;" 号"&amp;IF(INDEX(助手报销!$L$2:$L$121,助手报销!$R$169)&gt;1,"  (共"&amp;INDEX(助手报销!$L$2:$L$121,助手报销!$R$169)&amp;"页 第"&amp;助手报销!$S$169&amp;"页)",""),"")</f>
        <v/>
      </c>
      <c r="G2508" s="58"/>
      <c r="H2508" s="58"/>
      <c r="I2508" s="58"/>
      <c r="M2508" s="79" t="str">
        <f aca="false">IF(助手报销!$R$169="","",助手报销!$Q$169)</f>
        <v/>
      </c>
      <c r="N2508" s="80" t="str">
        <f aca="false">IF(助手报销!$R$169="","",INDEX(助手报销!$P$2:$P$121,助手报销!$R$169))</f>
        <v/>
      </c>
      <c r="O2508" s="55" t="str">
        <f aca="false">IF(助手报销!$R$169="","",INDEX(助手报销!$C$2:$C$121,助手报销!$R$169)&amp;"  字第 "&amp;INDEX(助手报销!$P$2:$P$121,助手报销!$R$169)&amp;" 号"&amp;IF(INDEX(助手报销!$L$2:$L$121,助手报销!$R$169)&gt;1,"  (共"&amp;INDEX(助手报销!$L$2:$L$121,助手报销!$R$169)&amp;"页 第"&amp;助手报销!$S$169&amp;"页)",""))</f>
        <v/>
      </c>
    </row>
    <row r="2509" customFormat="false" ht="12.75" hidden="false" customHeight="true" outlineLevel="0" collapsed="false">
      <c r="B2509" s="61" t="str">
        <f aca="false">IF(助手报销!$R$169&lt;&gt;"","摘　　要","")</f>
        <v/>
      </c>
      <c r="C2509" s="61"/>
      <c r="D2509" s="62" t="str">
        <f aca="false">IF(助手报销!$R$169&lt;&gt;"","科　　　　目","")</f>
        <v/>
      </c>
      <c r="E2509" s="62"/>
      <c r="F2509" s="61" t="str">
        <f aca="false">IF(助手报销!$R$169&lt;&gt;"","借 方 金 额","")</f>
        <v/>
      </c>
      <c r="G2509" s="62" t="str">
        <f aca="false">IF(助手报销!$R$169&lt;&gt;"","贷 方 金 额","")</f>
        <v/>
      </c>
      <c r="H2509" s="63" t="str">
        <f aca="false">IF(助手报销!$R$169&lt;&gt;"","√","")</f>
        <v/>
      </c>
      <c r="I2509" s="64" t="str">
        <f aca="false">IF(助手报销!$R$169&lt;&gt;"","附单据  张","")</f>
        <v/>
      </c>
    </row>
    <row r="2510" customFormat="false" ht="12.75" hidden="false" customHeight="true" outlineLevel="0" collapsed="false">
      <c r="B2510" s="61"/>
      <c r="C2510" s="61"/>
      <c r="D2510" s="23" t="str">
        <f aca="false">IF(助手报销!$R$169&lt;&gt;"","总 账 科 目","")</f>
        <v/>
      </c>
      <c r="E2510" s="23" t="str">
        <f aca="false">IF(助手报销!$R$169&lt;&gt;"","明 细 科 目","")</f>
        <v/>
      </c>
      <c r="F2510" s="65"/>
      <c r="G2510" s="66"/>
      <c r="H2510" s="63"/>
      <c r="I2510" s="64"/>
    </row>
    <row r="2511" customFormat="false" ht="23.25" hidden="false" customHeight="true" outlineLevel="0" collapsed="false">
      <c r="B2511" s="67" t="str">
        <f aca="false">IFERROR(INDEX(分录报销!$M:$M,MATCH($L2511,分录报销!$L:$L,0)),"")</f>
        <v/>
      </c>
      <c r="C2511" s="67"/>
      <c r="D2511" s="23" t="str">
        <f aca="false">IFERROR(INDEX(分录报销!$E:$E,MATCH($L2511,分录报销!$L:$L,0)),"")</f>
        <v/>
      </c>
      <c r="E2511" s="23" t="str">
        <f aca="false">IFERROR(INDEX(分录报销!$F:$F,MATCH($L2511,分录报销!$L:$L,0)),"")</f>
        <v/>
      </c>
      <c r="F2511" s="68" t="str">
        <f aca="false">IFERROR(INDEX(分录报销!$H:$H,MATCH($L2511,分录报销!$L:$L,0)),"")</f>
        <v/>
      </c>
      <c r="G2511" s="69" t="str">
        <f aca="false">IFERROR(INDEX(分录报销!$I:$I,MATCH($L2511,分录报销!$L:$L,0)),"")</f>
        <v/>
      </c>
      <c r="H2511" s="23"/>
      <c r="I2511" s="70"/>
      <c r="L2511" s="71" t="n">
        <f aca="false">IF(助手报销!$R$169="",-1,助手报销!$R$169*100+(助手报销!$S$169-1)*6+1)</f>
        <v>-1</v>
      </c>
    </row>
    <row r="2512" customFormat="false" ht="23.25" hidden="false" customHeight="true" outlineLevel="0" collapsed="false">
      <c r="B2512" s="67" t="str">
        <f aca="false">IFERROR(INDEX(分录报销!$M:$M,MATCH($L2512,分录报销!$L:$L,0)),"")</f>
        <v/>
      </c>
      <c r="C2512" s="67"/>
      <c r="D2512" s="23" t="str">
        <f aca="false">IFERROR(INDEX(分录报销!$E:$E,MATCH($L2512,分录报销!$L:$L,0)),"")</f>
        <v/>
      </c>
      <c r="E2512" s="23" t="str">
        <f aca="false">IFERROR(INDEX(分录报销!$F:$F,MATCH($L2512,分录报销!$L:$L,0)),"")</f>
        <v/>
      </c>
      <c r="F2512" s="68" t="str">
        <f aca="false">IFERROR(INDEX(分录报销!$H:$H,MATCH($L2512,分录报销!$L:$L,0)),"")</f>
        <v/>
      </c>
      <c r="G2512" s="69" t="str">
        <f aca="false">IFERROR(INDEX(分录报销!$I:$I,MATCH($L2512,分录报销!$L:$L,0)),"")</f>
        <v/>
      </c>
      <c r="H2512" s="23"/>
      <c r="I2512" s="70"/>
      <c r="L2512" s="71" t="n">
        <f aca="false">IF(助手报销!$R$169="",-1,助手报销!$R$169*100+(助手报销!$S$169-1)*6+2)</f>
        <v>-1</v>
      </c>
    </row>
    <row r="2513" customFormat="false" ht="23.25" hidden="false" customHeight="true" outlineLevel="0" collapsed="false">
      <c r="B2513" s="67" t="str">
        <f aca="false">IFERROR(INDEX(分录报销!$M:$M,MATCH($L2513,分录报销!$L:$L,0)),"")</f>
        <v/>
      </c>
      <c r="C2513" s="67"/>
      <c r="D2513" s="23" t="str">
        <f aca="false">IFERROR(INDEX(分录报销!$E:$E,MATCH($L2513,分录报销!$L:$L,0)),"")</f>
        <v/>
      </c>
      <c r="E2513" s="23" t="str">
        <f aca="false">IFERROR(INDEX(分录报销!$F:$F,MATCH($L2513,分录报销!$L:$L,0)),"")</f>
        <v/>
      </c>
      <c r="F2513" s="68" t="str">
        <f aca="false">IFERROR(INDEX(分录报销!$H:$H,MATCH($L2513,分录报销!$L:$L,0)),"")</f>
        <v/>
      </c>
      <c r="G2513" s="69" t="str">
        <f aca="false">IFERROR(INDEX(分录报销!$I:$I,MATCH($L2513,分录报销!$L:$L,0)),"")</f>
        <v/>
      </c>
      <c r="H2513" s="23"/>
      <c r="I2513" s="70"/>
      <c r="L2513" s="71" t="n">
        <f aca="false">IF(助手报销!$R$169="",-1,助手报销!$R$169*100+(助手报销!$S$169-1)*6+3)</f>
        <v>-1</v>
      </c>
    </row>
    <row r="2514" customFormat="false" ht="23.25" hidden="false" customHeight="true" outlineLevel="0" collapsed="false">
      <c r="B2514" s="67" t="str">
        <f aca="false">IFERROR(INDEX(分录报销!$M:$M,MATCH($L2514,分录报销!$L:$L,0)),"")</f>
        <v/>
      </c>
      <c r="C2514" s="67"/>
      <c r="D2514" s="23" t="str">
        <f aca="false">IFERROR(INDEX(分录报销!$E:$E,MATCH($L2514,分录报销!$L:$L,0)),"")</f>
        <v/>
      </c>
      <c r="E2514" s="23" t="str">
        <f aca="false">IFERROR(INDEX(分录报销!$F:$F,MATCH($L2514,分录报销!$L:$L,0)),"")</f>
        <v/>
      </c>
      <c r="F2514" s="68" t="str">
        <f aca="false">IFERROR(INDEX(分录报销!$H:$H,MATCH($L2514,分录报销!$L:$L,0)),"")</f>
        <v/>
      </c>
      <c r="G2514" s="69" t="str">
        <f aca="false">IFERROR(INDEX(分录报销!$I:$I,MATCH($L2514,分录报销!$L:$L,0)),"")</f>
        <v/>
      </c>
      <c r="H2514" s="23"/>
      <c r="I2514" s="70"/>
      <c r="L2514" s="71" t="n">
        <f aca="false">IF(助手报销!$R$169="",-1,助手报销!$R$169*100+(助手报销!$S$169-1)*6+4)</f>
        <v>-1</v>
      </c>
    </row>
    <row r="2515" customFormat="false" ht="23.25" hidden="false" customHeight="true" outlineLevel="0" collapsed="false">
      <c r="B2515" s="67" t="str">
        <f aca="false">IFERROR(INDEX(分录报销!$M:$M,MATCH($L2515,分录报销!$L:$L,0)),"")</f>
        <v/>
      </c>
      <c r="C2515" s="67"/>
      <c r="D2515" s="23" t="str">
        <f aca="false">IFERROR(INDEX(分录报销!$E:$E,MATCH($L2515,分录报销!$L:$L,0)),"")</f>
        <v/>
      </c>
      <c r="E2515" s="23" t="str">
        <f aca="false">IFERROR(INDEX(分录报销!$F:$F,MATCH($L2515,分录报销!$L:$L,0)),"")</f>
        <v/>
      </c>
      <c r="F2515" s="68" t="str">
        <f aca="false">IFERROR(INDEX(分录报销!$H:$H,MATCH($L2515,分录报销!$L:$L,0)),"")</f>
        <v/>
      </c>
      <c r="G2515" s="69" t="str">
        <f aca="false">IFERROR(INDEX(分录报销!$I:$I,MATCH($L2515,分录报销!$L:$L,0)),"")</f>
        <v/>
      </c>
      <c r="H2515" s="23"/>
      <c r="I2515" s="70"/>
      <c r="L2515" s="71" t="n">
        <f aca="false">IF(助手报销!$R$169="",-1,助手报销!$R$169*100+(助手报销!$S$169-1)*6+5)</f>
        <v>-1</v>
      </c>
    </row>
    <row r="2516" customFormat="false" ht="23.25" hidden="false" customHeight="true" outlineLevel="0" collapsed="false">
      <c r="B2516" s="67" t="str">
        <f aca="false">IFERROR(INDEX(分录报销!$M:$M,MATCH($L2516,分录报销!$L:$L,0)),"")</f>
        <v/>
      </c>
      <c r="C2516" s="67"/>
      <c r="D2516" s="23" t="str">
        <f aca="false">IFERROR(INDEX(分录报销!$E:$E,MATCH($L2516,分录报销!$L:$L,0)),"")</f>
        <v/>
      </c>
      <c r="E2516" s="23" t="str">
        <f aca="false">IFERROR(INDEX(分录报销!$F:$F,MATCH($L2516,分录报销!$L:$L,0)),"")</f>
        <v/>
      </c>
      <c r="F2516" s="68" t="str">
        <f aca="false">IFERROR(INDEX(分录报销!$H:$H,MATCH($L2516,分录报销!$L:$L,0)),"")</f>
        <v/>
      </c>
      <c r="G2516" s="69" t="str">
        <f aca="false">IFERROR(INDEX(分录报销!$I:$I,MATCH($L2516,分录报销!$L:$L,0)),"")</f>
        <v/>
      </c>
      <c r="H2516" s="23"/>
      <c r="I2516" s="70"/>
      <c r="L2516" s="71" t="n">
        <f aca="false">IF(助手报销!$R$169="",-1,助手报销!$R$169*100+(助手报销!$S$169-1)*6+6)</f>
        <v>-1</v>
      </c>
    </row>
    <row r="2517" customFormat="false" ht="23.25" hidden="false" customHeight="true" outlineLevel="0" collapsed="false">
      <c r="B2517" s="72" t="str">
        <f aca="false">IF(助手报销!$T$169=1,"合计：","")</f>
        <v/>
      </c>
      <c r="C2517" s="73" t="str">
        <f aca="false">IF(助手报销!$T$169=1,$F2517,"")</f>
        <v/>
      </c>
      <c r="D2517" s="74"/>
      <c r="E2517" s="74"/>
      <c r="F2517" s="75" t="str">
        <f aca="false">IF(助手报销!$T$169=1,INDEX(助手报销!$N$2:$N$121,助手报销!$R$169),"")</f>
        <v/>
      </c>
      <c r="G2517" s="76" t="str">
        <f aca="false">IF(助手报销!$T$169=1,INDEX(助手报销!$O$2:$O$121,助手报销!$R$169),"")</f>
        <v/>
      </c>
      <c r="H2517" s="74"/>
      <c r="I2517" s="77"/>
    </row>
    <row r="2518" customFormat="false" ht="6" hidden="false" customHeight="true" outlineLevel="0" collapsed="false"/>
    <row r="2519" customFormat="false" ht="13.5" hidden="false" customHeight="false" outlineLevel="0" collapsed="false">
      <c r="B2519" s="78" t="str">
        <f aca="false">IF(助手报销!$R$169&lt;&gt;"","会计主管：","")</f>
        <v/>
      </c>
      <c r="D2519" s="78" t="str">
        <f aca="false">IF(助手报销!$R$169&lt;&gt;"","会计：","")</f>
        <v/>
      </c>
      <c r="E2519" s="78" t="str">
        <f aca="false">IF(助手报销!$R$169&lt;&gt;"","出纳：","")</f>
        <v/>
      </c>
      <c r="F2519" s="78" t="str">
        <f aca="false">IF(助手报销!$R$169&lt;&gt;"","复核：","")</f>
        <v/>
      </c>
      <c r="G2519" s="78" t="str">
        <f aca="false">IF(助手报销!$R$169&lt;&gt;"","制单：","")</f>
        <v/>
      </c>
    </row>
    <row r="2520" customFormat="false" ht="3" hidden="false" customHeight="true" outlineLevel="0" collapsed="false"/>
    <row r="2521" customFormat="false" ht="19.5" hidden="false" customHeight="true" outlineLevel="0" collapsed="false">
      <c r="B2521" s="53" t="str">
        <f aca="false">IF(助手报销!$R$170&lt;&gt;"","记  账  凭  证","")</f>
        <v/>
      </c>
      <c r="C2521" s="53"/>
      <c r="D2521" s="53"/>
      <c r="E2521" s="53"/>
      <c r="F2521" s="53"/>
      <c r="G2521" s="53"/>
      <c r="H2521" s="53"/>
      <c r="I2521" s="53"/>
    </row>
    <row r="2522" customFormat="false" ht="3" hidden="false" customHeight="true" outlineLevel="0" collapsed="false"/>
    <row r="2523" customFormat="false" ht="15" hidden="false" customHeight="true" outlineLevel="0" collapsed="false">
      <c r="C2523" s="56" t="str">
        <f aca="false">IF(助手报销!$R$170&lt;&gt;"",INDEX(助手报销!$B$2:$B$121,助手报销!$R$170),"")</f>
        <v/>
      </c>
      <c r="D2523" s="57" t="str">
        <f aca="false">IF(助手报销!$R$170&lt;&gt;"",INDEX(助手报销!$D$2:$D$121,助手报销!$R$170),"")</f>
        <v/>
      </c>
      <c r="E2523" s="57"/>
      <c r="F2523" s="58" t="str">
        <f aca="false">IF(助手报销!$R$170&lt;&gt;"",INDEX(助手报销!$C$2:$C$121,助手报销!$R$170)&amp;"  字第 "&amp;IF(参数!$B$9="是",INDEX(助手报销!$P$2:$P$121,助手报销!$R$170),"　　　　")&amp;" 号"&amp;IF(INDEX(助手报销!$L$2:$L$121,助手报销!$R$170)&gt;1,"  (共"&amp;INDEX(助手报销!$L$2:$L$121,助手报销!$R$170)&amp;"页 第"&amp;助手报销!$S$170&amp;"页)",""),"")</f>
        <v/>
      </c>
      <c r="G2523" s="58"/>
      <c r="H2523" s="58"/>
      <c r="I2523" s="58"/>
      <c r="M2523" s="79" t="str">
        <f aca="false">IF(助手报销!$R$170="","",助手报销!$Q$170)</f>
        <v/>
      </c>
      <c r="N2523" s="80" t="str">
        <f aca="false">IF(助手报销!$R$170="","",INDEX(助手报销!$P$2:$P$121,助手报销!$R$170))</f>
        <v/>
      </c>
      <c r="O2523" s="55" t="str">
        <f aca="false">IF(助手报销!$R$170="","",INDEX(助手报销!$C$2:$C$121,助手报销!$R$170)&amp;"  字第 "&amp;INDEX(助手报销!$P$2:$P$121,助手报销!$R$170)&amp;" 号"&amp;IF(INDEX(助手报销!$L$2:$L$121,助手报销!$R$170)&gt;1,"  (共"&amp;INDEX(助手报销!$L$2:$L$121,助手报销!$R$170)&amp;"页 第"&amp;助手报销!$S$170&amp;"页)",""))</f>
        <v/>
      </c>
    </row>
    <row r="2524" customFormat="false" ht="12.75" hidden="false" customHeight="true" outlineLevel="0" collapsed="false">
      <c r="B2524" s="61" t="str">
        <f aca="false">IF(助手报销!$R$170&lt;&gt;"","摘　　要","")</f>
        <v/>
      </c>
      <c r="C2524" s="61"/>
      <c r="D2524" s="62" t="str">
        <f aca="false">IF(助手报销!$R$170&lt;&gt;"","科　　　　目","")</f>
        <v/>
      </c>
      <c r="E2524" s="62"/>
      <c r="F2524" s="61" t="str">
        <f aca="false">IF(助手报销!$R$170&lt;&gt;"","借 方 金 额","")</f>
        <v/>
      </c>
      <c r="G2524" s="62" t="str">
        <f aca="false">IF(助手报销!$R$170&lt;&gt;"","贷 方 金 额","")</f>
        <v/>
      </c>
      <c r="H2524" s="63" t="str">
        <f aca="false">IF(助手报销!$R$170&lt;&gt;"","√","")</f>
        <v/>
      </c>
      <c r="I2524" s="64" t="str">
        <f aca="false">IF(助手报销!$R$170&lt;&gt;"","附单据  张","")</f>
        <v/>
      </c>
    </row>
    <row r="2525" customFormat="false" ht="12.75" hidden="false" customHeight="true" outlineLevel="0" collapsed="false">
      <c r="B2525" s="61"/>
      <c r="C2525" s="61"/>
      <c r="D2525" s="23" t="str">
        <f aca="false">IF(助手报销!$R$170&lt;&gt;"","总 账 科 目","")</f>
        <v/>
      </c>
      <c r="E2525" s="23" t="str">
        <f aca="false">IF(助手报销!$R$170&lt;&gt;"","明 细 科 目","")</f>
        <v/>
      </c>
      <c r="F2525" s="65"/>
      <c r="G2525" s="66"/>
      <c r="H2525" s="63"/>
      <c r="I2525" s="64"/>
    </row>
    <row r="2526" customFormat="false" ht="23.25" hidden="false" customHeight="true" outlineLevel="0" collapsed="false">
      <c r="B2526" s="67" t="str">
        <f aca="false">IFERROR(INDEX(分录报销!$M:$M,MATCH($L2526,分录报销!$L:$L,0)),"")</f>
        <v/>
      </c>
      <c r="C2526" s="67"/>
      <c r="D2526" s="23" t="str">
        <f aca="false">IFERROR(INDEX(分录报销!$E:$E,MATCH($L2526,分录报销!$L:$L,0)),"")</f>
        <v/>
      </c>
      <c r="E2526" s="23" t="str">
        <f aca="false">IFERROR(INDEX(分录报销!$F:$F,MATCH($L2526,分录报销!$L:$L,0)),"")</f>
        <v/>
      </c>
      <c r="F2526" s="68" t="str">
        <f aca="false">IFERROR(INDEX(分录报销!$H:$H,MATCH($L2526,分录报销!$L:$L,0)),"")</f>
        <v/>
      </c>
      <c r="G2526" s="69" t="str">
        <f aca="false">IFERROR(INDEX(分录报销!$I:$I,MATCH($L2526,分录报销!$L:$L,0)),"")</f>
        <v/>
      </c>
      <c r="H2526" s="23"/>
      <c r="I2526" s="70"/>
      <c r="L2526" s="71" t="n">
        <f aca="false">IF(助手报销!$R$170="",-1,助手报销!$R$170*100+(助手报销!$S$170-1)*6+1)</f>
        <v>-1</v>
      </c>
    </row>
    <row r="2527" customFormat="false" ht="23.25" hidden="false" customHeight="true" outlineLevel="0" collapsed="false">
      <c r="B2527" s="67" t="str">
        <f aca="false">IFERROR(INDEX(分录报销!$M:$M,MATCH($L2527,分录报销!$L:$L,0)),"")</f>
        <v/>
      </c>
      <c r="C2527" s="67"/>
      <c r="D2527" s="23" t="str">
        <f aca="false">IFERROR(INDEX(分录报销!$E:$E,MATCH($L2527,分录报销!$L:$L,0)),"")</f>
        <v/>
      </c>
      <c r="E2527" s="23" t="str">
        <f aca="false">IFERROR(INDEX(分录报销!$F:$F,MATCH($L2527,分录报销!$L:$L,0)),"")</f>
        <v/>
      </c>
      <c r="F2527" s="68" t="str">
        <f aca="false">IFERROR(INDEX(分录报销!$H:$H,MATCH($L2527,分录报销!$L:$L,0)),"")</f>
        <v/>
      </c>
      <c r="G2527" s="69" t="str">
        <f aca="false">IFERROR(INDEX(分录报销!$I:$I,MATCH($L2527,分录报销!$L:$L,0)),"")</f>
        <v/>
      </c>
      <c r="H2527" s="23"/>
      <c r="I2527" s="70"/>
      <c r="L2527" s="71" t="n">
        <f aca="false">IF(助手报销!$R$170="",-1,助手报销!$R$170*100+(助手报销!$S$170-1)*6+2)</f>
        <v>-1</v>
      </c>
    </row>
    <row r="2528" customFormat="false" ht="23.25" hidden="false" customHeight="true" outlineLevel="0" collapsed="false">
      <c r="B2528" s="67" t="str">
        <f aca="false">IFERROR(INDEX(分录报销!$M:$M,MATCH($L2528,分录报销!$L:$L,0)),"")</f>
        <v/>
      </c>
      <c r="C2528" s="67"/>
      <c r="D2528" s="23" t="str">
        <f aca="false">IFERROR(INDEX(分录报销!$E:$E,MATCH($L2528,分录报销!$L:$L,0)),"")</f>
        <v/>
      </c>
      <c r="E2528" s="23" t="str">
        <f aca="false">IFERROR(INDEX(分录报销!$F:$F,MATCH($L2528,分录报销!$L:$L,0)),"")</f>
        <v/>
      </c>
      <c r="F2528" s="68" t="str">
        <f aca="false">IFERROR(INDEX(分录报销!$H:$H,MATCH($L2528,分录报销!$L:$L,0)),"")</f>
        <v/>
      </c>
      <c r="G2528" s="69" t="str">
        <f aca="false">IFERROR(INDEX(分录报销!$I:$I,MATCH($L2528,分录报销!$L:$L,0)),"")</f>
        <v/>
      </c>
      <c r="H2528" s="23"/>
      <c r="I2528" s="70"/>
      <c r="L2528" s="71" t="n">
        <f aca="false">IF(助手报销!$R$170="",-1,助手报销!$R$170*100+(助手报销!$S$170-1)*6+3)</f>
        <v>-1</v>
      </c>
    </row>
    <row r="2529" customFormat="false" ht="23.25" hidden="false" customHeight="true" outlineLevel="0" collapsed="false">
      <c r="B2529" s="67" t="str">
        <f aca="false">IFERROR(INDEX(分录报销!$M:$M,MATCH($L2529,分录报销!$L:$L,0)),"")</f>
        <v/>
      </c>
      <c r="C2529" s="67"/>
      <c r="D2529" s="23" t="str">
        <f aca="false">IFERROR(INDEX(分录报销!$E:$E,MATCH($L2529,分录报销!$L:$L,0)),"")</f>
        <v/>
      </c>
      <c r="E2529" s="23" t="str">
        <f aca="false">IFERROR(INDEX(分录报销!$F:$F,MATCH($L2529,分录报销!$L:$L,0)),"")</f>
        <v/>
      </c>
      <c r="F2529" s="68" t="str">
        <f aca="false">IFERROR(INDEX(分录报销!$H:$H,MATCH($L2529,分录报销!$L:$L,0)),"")</f>
        <v/>
      </c>
      <c r="G2529" s="69" t="str">
        <f aca="false">IFERROR(INDEX(分录报销!$I:$I,MATCH($L2529,分录报销!$L:$L,0)),"")</f>
        <v/>
      </c>
      <c r="H2529" s="23"/>
      <c r="I2529" s="70"/>
      <c r="L2529" s="71" t="n">
        <f aca="false">IF(助手报销!$R$170="",-1,助手报销!$R$170*100+(助手报销!$S$170-1)*6+4)</f>
        <v>-1</v>
      </c>
    </row>
    <row r="2530" customFormat="false" ht="23.25" hidden="false" customHeight="true" outlineLevel="0" collapsed="false">
      <c r="B2530" s="67" t="str">
        <f aca="false">IFERROR(INDEX(分录报销!$M:$M,MATCH($L2530,分录报销!$L:$L,0)),"")</f>
        <v/>
      </c>
      <c r="C2530" s="67"/>
      <c r="D2530" s="23" t="str">
        <f aca="false">IFERROR(INDEX(分录报销!$E:$E,MATCH($L2530,分录报销!$L:$L,0)),"")</f>
        <v/>
      </c>
      <c r="E2530" s="23" t="str">
        <f aca="false">IFERROR(INDEX(分录报销!$F:$F,MATCH($L2530,分录报销!$L:$L,0)),"")</f>
        <v/>
      </c>
      <c r="F2530" s="68" t="str">
        <f aca="false">IFERROR(INDEX(分录报销!$H:$H,MATCH($L2530,分录报销!$L:$L,0)),"")</f>
        <v/>
      </c>
      <c r="G2530" s="69" t="str">
        <f aca="false">IFERROR(INDEX(分录报销!$I:$I,MATCH($L2530,分录报销!$L:$L,0)),"")</f>
        <v/>
      </c>
      <c r="H2530" s="23"/>
      <c r="I2530" s="70"/>
      <c r="L2530" s="71" t="n">
        <f aca="false">IF(助手报销!$R$170="",-1,助手报销!$R$170*100+(助手报销!$S$170-1)*6+5)</f>
        <v>-1</v>
      </c>
    </row>
    <row r="2531" customFormat="false" ht="23.25" hidden="false" customHeight="true" outlineLevel="0" collapsed="false">
      <c r="B2531" s="67" t="str">
        <f aca="false">IFERROR(INDEX(分录报销!$M:$M,MATCH($L2531,分录报销!$L:$L,0)),"")</f>
        <v/>
      </c>
      <c r="C2531" s="67"/>
      <c r="D2531" s="23" t="str">
        <f aca="false">IFERROR(INDEX(分录报销!$E:$E,MATCH($L2531,分录报销!$L:$L,0)),"")</f>
        <v/>
      </c>
      <c r="E2531" s="23" t="str">
        <f aca="false">IFERROR(INDEX(分录报销!$F:$F,MATCH($L2531,分录报销!$L:$L,0)),"")</f>
        <v/>
      </c>
      <c r="F2531" s="68" t="str">
        <f aca="false">IFERROR(INDEX(分录报销!$H:$H,MATCH($L2531,分录报销!$L:$L,0)),"")</f>
        <v/>
      </c>
      <c r="G2531" s="69" t="str">
        <f aca="false">IFERROR(INDEX(分录报销!$I:$I,MATCH($L2531,分录报销!$L:$L,0)),"")</f>
        <v/>
      </c>
      <c r="H2531" s="23"/>
      <c r="I2531" s="70"/>
      <c r="L2531" s="71" t="n">
        <f aca="false">IF(助手报销!$R$170="",-1,助手报销!$R$170*100+(助手报销!$S$170-1)*6+6)</f>
        <v>-1</v>
      </c>
    </row>
    <row r="2532" customFormat="false" ht="23.25" hidden="false" customHeight="true" outlineLevel="0" collapsed="false">
      <c r="B2532" s="72" t="str">
        <f aca="false">IF(助手报销!$T$170=1,"合计：","")</f>
        <v/>
      </c>
      <c r="C2532" s="73" t="str">
        <f aca="false">IF(助手报销!$T$170=1,$F2532,"")</f>
        <v/>
      </c>
      <c r="D2532" s="74"/>
      <c r="E2532" s="74"/>
      <c r="F2532" s="75" t="str">
        <f aca="false">IF(助手报销!$T$170=1,INDEX(助手报销!$N$2:$N$121,助手报销!$R$170),"")</f>
        <v/>
      </c>
      <c r="G2532" s="76" t="str">
        <f aca="false">IF(助手报销!$T$170=1,INDEX(助手报销!$O$2:$O$121,助手报销!$R$170),"")</f>
        <v/>
      </c>
      <c r="H2532" s="74"/>
      <c r="I2532" s="77"/>
    </row>
    <row r="2533" customFormat="false" ht="6" hidden="false" customHeight="true" outlineLevel="0" collapsed="false"/>
    <row r="2534" customFormat="false" ht="13.5" hidden="false" customHeight="false" outlineLevel="0" collapsed="false">
      <c r="B2534" s="78" t="str">
        <f aca="false">IF(助手报销!$R$170&lt;&gt;"","会计主管：","")</f>
        <v/>
      </c>
      <c r="D2534" s="78" t="str">
        <f aca="false">IF(助手报销!$R$170&lt;&gt;"","会计：","")</f>
        <v/>
      </c>
      <c r="E2534" s="78" t="str">
        <f aca="false">IF(助手报销!$R$170&lt;&gt;"","出纳：","")</f>
        <v/>
      </c>
      <c r="F2534" s="78" t="str">
        <f aca="false">IF(助手报销!$R$170&lt;&gt;"","复核：","")</f>
        <v/>
      </c>
      <c r="G2534" s="78" t="str">
        <f aca="false">IF(助手报销!$R$170&lt;&gt;"","制单：","")</f>
        <v/>
      </c>
    </row>
    <row r="2535" customFormat="false" ht="3" hidden="false" customHeight="true" outlineLevel="0" collapsed="false"/>
    <row r="2536" customFormat="false" ht="19.5" hidden="false" customHeight="true" outlineLevel="0" collapsed="false">
      <c r="B2536" s="53" t="str">
        <f aca="false">IF(助手报销!$R$171&lt;&gt;"","记  账  凭  证","")</f>
        <v/>
      </c>
      <c r="C2536" s="53"/>
      <c r="D2536" s="53"/>
      <c r="E2536" s="53"/>
      <c r="F2536" s="53"/>
      <c r="G2536" s="53"/>
      <c r="H2536" s="53"/>
      <c r="I2536" s="53"/>
    </row>
    <row r="2537" customFormat="false" ht="3" hidden="false" customHeight="true" outlineLevel="0" collapsed="false"/>
    <row r="2538" customFormat="false" ht="15" hidden="false" customHeight="true" outlineLevel="0" collapsed="false">
      <c r="C2538" s="56" t="str">
        <f aca="false">IF(助手报销!$R$171&lt;&gt;"",INDEX(助手报销!$B$2:$B$121,助手报销!$R$171),"")</f>
        <v/>
      </c>
      <c r="D2538" s="57" t="str">
        <f aca="false">IF(助手报销!$R$171&lt;&gt;"",INDEX(助手报销!$D$2:$D$121,助手报销!$R$171),"")</f>
        <v/>
      </c>
      <c r="E2538" s="57"/>
      <c r="F2538" s="58" t="str">
        <f aca="false">IF(助手报销!$R$171&lt;&gt;"",INDEX(助手报销!$C$2:$C$121,助手报销!$R$171)&amp;"  字第 "&amp;IF(参数!$B$9="是",INDEX(助手报销!$P$2:$P$121,助手报销!$R$171),"　　　　")&amp;" 号"&amp;IF(INDEX(助手报销!$L$2:$L$121,助手报销!$R$171)&gt;1,"  (共"&amp;INDEX(助手报销!$L$2:$L$121,助手报销!$R$171)&amp;"页 第"&amp;助手报销!$S$171&amp;"页)",""),"")</f>
        <v/>
      </c>
      <c r="G2538" s="58"/>
      <c r="H2538" s="58"/>
      <c r="I2538" s="58"/>
      <c r="M2538" s="79" t="str">
        <f aca="false">IF(助手报销!$R$171="","",助手报销!$Q$171)</f>
        <v/>
      </c>
      <c r="N2538" s="80" t="str">
        <f aca="false">IF(助手报销!$R$171="","",INDEX(助手报销!$P$2:$P$121,助手报销!$R$171))</f>
        <v/>
      </c>
      <c r="O2538" s="55" t="str">
        <f aca="false">IF(助手报销!$R$171="","",INDEX(助手报销!$C$2:$C$121,助手报销!$R$171)&amp;"  字第 "&amp;INDEX(助手报销!$P$2:$P$121,助手报销!$R$171)&amp;" 号"&amp;IF(INDEX(助手报销!$L$2:$L$121,助手报销!$R$171)&gt;1,"  (共"&amp;INDEX(助手报销!$L$2:$L$121,助手报销!$R$171)&amp;"页 第"&amp;助手报销!$S$171&amp;"页)",""))</f>
        <v/>
      </c>
    </row>
    <row r="2539" customFormat="false" ht="12.75" hidden="false" customHeight="true" outlineLevel="0" collapsed="false">
      <c r="B2539" s="61" t="str">
        <f aca="false">IF(助手报销!$R$171&lt;&gt;"","摘　　要","")</f>
        <v/>
      </c>
      <c r="C2539" s="61"/>
      <c r="D2539" s="62" t="str">
        <f aca="false">IF(助手报销!$R$171&lt;&gt;"","科　　　　目","")</f>
        <v/>
      </c>
      <c r="E2539" s="62"/>
      <c r="F2539" s="61" t="str">
        <f aca="false">IF(助手报销!$R$171&lt;&gt;"","借 方 金 额","")</f>
        <v/>
      </c>
      <c r="G2539" s="62" t="str">
        <f aca="false">IF(助手报销!$R$171&lt;&gt;"","贷 方 金 额","")</f>
        <v/>
      </c>
      <c r="H2539" s="63" t="str">
        <f aca="false">IF(助手报销!$R$171&lt;&gt;"","√","")</f>
        <v/>
      </c>
      <c r="I2539" s="64" t="str">
        <f aca="false">IF(助手报销!$R$171&lt;&gt;"","附单据  张","")</f>
        <v/>
      </c>
    </row>
    <row r="2540" customFormat="false" ht="12.75" hidden="false" customHeight="true" outlineLevel="0" collapsed="false">
      <c r="B2540" s="61"/>
      <c r="C2540" s="61"/>
      <c r="D2540" s="23" t="str">
        <f aca="false">IF(助手报销!$R$171&lt;&gt;"","总 账 科 目","")</f>
        <v/>
      </c>
      <c r="E2540" s="23" t="str">
        <f aca="false">IF(助手报销!$R$171&lt;&gt;"","明 细 科 目","")</f>
        <v/>
      </c>
      <c r="F2540" s="65"/>
      <c r="G2540" s="66"/>
      <c r="H2540" s="63"/>
      <c r="I2540" s="64"/>
    </row>
    <row r="2541" customFormat="false" ht="23.25" hidden="false" customHeight="true" outlineLevel="0" collapsed="false">
      <c r="B2541" s="67" t="str">
        <f aca="false">IFERROR(INDEX(分录报销!$M:$M,MATCH($L2541,分录报销!$L:$L,0)),"")</f>
        <v/>
      </c>
      <c r="C2541" s="67"/>
      <c r="D2541" s="23" t="str">
        <f aca="false">IFERROR(INDEX(分录报销!$E:$E,MATCH($L2541,分录报销!$L:$L,0)),"")</f>
        <v/>
      </c>
      <c r="E2541" s="23" t="str">
        <f aca="false">IFERROR(INDEX(分录报销!$F:$F,MATCH($L2541,分录报销!$L:$L,0)),"")</f>
        <v/>
      </c>
      <c r="F2541" s="68" t="str">
        <f aca="false">IFERROR(INDEX(分录报销!$H:$H,MATCH($L2541,分录报销!$L:$L,0)),"")</f>
        <v/>
      </c>
      <c r="G2541" s="69" t="str">
        <f aca="false">IFERROR(INDEX(分录报销!$I:$I,MATCH($L2541,分录报销!$L:$L,0)),"")</f>
        <v/>
      </c>
      <c r="H2541" s="23"/>
      <c r="I2541" s="70"/>
      <c r="L2541" s="71" t="n">
        <f aca="false">IF(助手报销!$R$171="",-1,助手报销!$R$171*100+(助手报销!$S$171-1)*6+1)</f>
        <v>-1</v>
      </c>
    </row>
    <row r="2542" customFormat="false" ht="23.25" hidden="false" customHeight="true" outlineLevel="0" collapsed="false">
      <c r="B2542" s="67" t="str">
        <f aca="false">IFERROR(INDEX(分录报销!$M:$M,MATCH($L2542,分录报销!$L:$L,0)),"")</f>
        <v/>
      </c>
      <c r="C2542" s="67"/>
      <c r="D2542" s="23" t="str">
        <f aca="false">IFERROR(INDEX(分录报销!$E:$E,MATCH($L2542,分录报销!$L:$L,0)),"")</f>
        <v/>
      </c>
      <c r="E2542" s="23" t="str">
        <f aca="false">IFERROR(INDEX(分录报销!$F:$F,MATCH($L2542,分录报销!$L:$L,0)),"")</f>
        <v/>
      </c>
      <c r="F2542" s="68" t="str">
        <f aca="false">IFERROR(INDEX(分录报销!$H:$H,MATCH($L2542,分录报销!$L:$L,0)),"")</f>
        <v/>
      </c>
      <c r="G2542" s="69" t="str">
        <f aca="false">IFERROR(INDEX(分录报销!$I:$I,MATCH($L2542,分录报销!$L:$L,0)),"")</f>
        <v/>
      </c>
      <c r="H2542" s="23"/>
      <c r="I2542" s="70"/>
      <c r="L2542" s="71" t="n">
        <f aca="false">IF(助手报销!$R$171="",-1,助手报销!$R$171*100+(助手报销!$S$171-1)*6+2)</f>
        <v>-1</v>
      </c>
    </row>
    <row r="2543" customFormat="false" ht="23.25" hidden="false" customHeight="true" outlineLevel="0" collapsed="false">
      <c r="B2543" s="67" t="str">
        <f aca="false">IFERROR(INDEX(分录报销!$M:$M,MATCH($L2543,分录报销!$L:$L,0)),"")</f>
        <v/>
      </c>
      <c r="C2543" s="67"/>
      <c r="D2543" s="23" t="str">
        <f aca="false">IFERROR(INDEX(分录报销!$E:$E,MATCH($L2543,分录报销!$L:$L,0)),"")</f>
        <v/>
      </c>
      <c r="E2543" s="23" t="str">
        <f aca="false">IFERROR(INDEX(分录报销!$F:$F,MATCH($L2543,分录报销!$L:$L,0)),"")</f>
        <v/>
      </c>
      <c r="F2543" s="68" t="str">
        <f aca="false">IFERROR(INDEX(分录报销!$H:$H,MATCH($L2543,分录报销!$L:$L,0)),"")</f>
        <v/>
      </c>
      <c r="G2543" s="69" t="str">
        <f aca="false">IFERROR(INDEX(分录报销!$I:$I,MATCH($L2543,分录报销!$L:$L,0)),"")</f>
        <v/>
      </c>
      <c r="H2543" s="23"/>
      <c r="I2543" s="70"/>
      <c r="L2543" s="71" t="n">
        <f aca="false">IF(助手报销!$R$171="",-1,助手报销!$R$171*100+(助手报销!$S$171-1)*6+3)</f>
        <v>-1</v>
      </c>
    </row>
    <row r="2544" customFormat="false" ht="23.25" hidden="false" customHeight="true" outlineLevel="0" collapsed="false">
      <c r="B2544" s="67" t="str">
        <f aca="false">IFERROR(INDEX(分录报销!$M:$M,MATCH($L2544,分录报销!$L:$L,0)),"")</f>
        <v/>
      </c>
      <c r="C2544" s="67"/>
      <c r="D2544" s="23" t="str">
        <f aca="false">IFERROR(INDEX(分录报销!$E:$E,MATCH($L2544,分录报销!$L:$L,0)),"")</f>
        <v/>
      </c>
      <c r="E2544" s="23" t="str">
        <f aca="false">IFERROR(INDEX(分录报销!$F:$F,MATCH($L2544,分录报销!$L:$L,0)),"")</f>
        <v/>
      </c>
      <c r="F2544" s="68" t="str">
        <f aca="false">IFERROR(INDEX(分录报销!$H:$H,MATCH($L2544,分录报销!$L:$L,0)),"")</f>
        <v/>
      </c>
      <c r="G2544" s="69" t="str">
        <f aca="false">IFERROR(INDEX(分录报销!$I:$I,MATCH($L2544,分录报销!$L:$L,0)),"")</f>
        <v/>
      </c>
      <c r="H2544" s="23"/>
      <c r="I2544" s="70"/>
      <c r="L2544" s="71" t="n">
        <f aca="false">IF(助手报销!$R$171="",-1,助手报销!$R$171*100+(助手报销!$S$171-1)*6+4)</f>
        <v>-1</v>
      </c>
    </row>
    <row r="2545" customFormat="false" ht="23.25" hidden="false" customHeight="true" outlineLevel="0" collapsed="false">
      <c r="B2545" s="67" t="str">
        <f aca="false">IFERROR(INDEX(分录报销!$M:$M,MATCH($L2545,分录报销!$L:$L,0)),"")</f>
        <v/>
      </c>
      <c r="C2545" s="67"/>
      <c r="D2545" s="23" t="str">
        <f aca="false">IFERROR(INDEX(分录报销!$E:$E,MATCH($L2545,分录报销!$L:$L,0)),"")</f>
        <v/>
      </c>
      <c r="E2545" s="23" t="str">
        <f aca="false">IFERROR(INDEX(分录报销!$F:$F,MATCH($L2545,分录报销!$L:$L,0)),"")</f>
        <v/>
      </c>
      <c r="F2545" s="68" t="str">
        <f aca="false">IFERROR(INDEX(分录报销!$H:$H,MATCH($L2545,分录报销!$L:$L,0)),"")</f>
        <v/>
      </c>
      <c r="G2545" s="69" t="str">
        <f aca="false">IFERROR(INDEX(分录报销!$I:$I,MATCH($L2545,分录报销!$L:$L,0)),"")</f>
        <v/>
      </c>
      <c r="H2545" s="23"/>
      <c r="I2545" s="70"/>
      <c r="L2545" s="71" t="n">
        <f aca="false">IF(助手报销!$R$171="",-1,助手报销!$R$171*100+(助手报销!$S$171-1)*6+5)</f>
        <v>-1</v>
      </c>
    </row>
    <row r="2546" customFormat="false" ht="23.25" hidden="false" customHeight="true" outlineLevel="0" collapsed="false">
      <c r="B2546" s="67" t="str">
        <f aca="false">IFERROR(INDEX(分录报销!$M:$M,MATCH($L2546,分录报销!$L:$L,0)),"")</f>
        <v/>
      </c>
      <c r="C2546" s="67"/>
      <c r="D2546" s="23" t="str">
        <f aca="false">IFERROR(INDEX(分录报销!$E:$E,MATCH($L2546,分录报销!$L:$L,0)),"")</f>
        <v/>
      </c>
      <c r="E2546" s="23" t="str">
        <f aca="false">IFERROR(INDEX(分录报销!$F:$F,MATCH($L2546,分录报销!$L:$L,0)),"")</f>
        <v/>
      </c>
      <c r="F2546" s="68" t="str">
        <f aca="false">IFERROR(INDEX(分录报销!$H:$H,MATCH($L2546,分录报销!$L:$L,0)),"")</f>
        <v/>
      </c>
      <c r="G2546" s="69" t="str">
        <f aca="false">IFERROR(INDEX(分录报销!$I:$I,MATCH($L2546,分录报销!$L:$L,0)),"")</f>
        <v/>
      </c>
      <c r="H2546" s="23"/>
      <c r="I2546" s="70"/>
      <c r="L2546" s="71" t="n">
        <f aca="false">IF(助手报销!$R$171="",-1,助手报销!$R$171*100+(助手报销!$S$171-1)*6+6)</f>
        <v>-1</v>
      </c>
    </row>
    <row r="2547" customFormat="false" ht="23.25" hidden="false" customHeight="true" outlineLevel="0" collapsed="false">
      <c r="B2547" s="72" t="str">
        <f aca="false">IF(助手报销!$T$171=1,"合计：","")</f>
        <v/>
      </c>
      <c r="C2547" s="73" t="str">
        <f aca="false">IF(助手报销!$T$171=1,$F2547,"")</f>
        <v/>
      </c>
      <c r="D2547" s="74"/>
      <c r="E2547" s="74"/>
      <c r="F2547" s="75" t="str">
        <f aca="false">IF(助手报销!$T$171=1,INDEX(助手报销!$N$2:$N$121,助手报销!$R$171),"")</f>
        <v/>
      </c>
      <c r="G2547" s="76" t="str">
        <f aca="false">IF(助手报销!$T$171=1,INDEX(助手报销!$O$2:$O$121,助手报销!$R$171),"")</f>
        <v/>
      </c>
      <c r="H2547" s="74"/>
      <c r="I2547" s="77"/>
    </row>
    <row r="2548" customFormat="false" ht="6" hidden="false" customHeight="true" outlineLevel="0" collapsed="false"/>
    <row r="2549" customFormat="false" ht="13.5" hidden="false" customHeight="false" outlineLevel="0" collapsed="false">
      <c r="B2549" s="78" t="str">
        <f aca="false">IF(助手报销!$R$171&lt;&gt;"","会计主管：","")</f>
        <v/>
      </c>
      <c r="D2549" s="78" t="str">
        <f aca="false">IF(助手报销!$R$171&lt;&gt;"","会计：","")</f>
        <v/>
      </c>
      <c r="E2549" s="78" t="str">
        <f aca="false">IF(助手报销!$R$171&lt;&gt;"","出纳：","")</f>
        <v/>
      </c>
      <c r="F2549" s="78" t="str">
        <f aca="false">IF(助手报销!$R$171&lt;&gt;"","复核：","")</f>
        <v/>
      </c>
      <c r="G2549" s="78" t="str">
        <f aca="false">IF(助手报销!$R$171&lt;&gt;"","制单：","")</f>
        <v/>
      </c>
    </row>
    <row r="2550" customFormat="false" ht="3" hidden="false" customHeight="true" outlineLevel="0" collapsed="false"/>
    <row r="2551" customFormat="false" ht="19.5" hidden="false" customHeight="true" outlineLevel="0" collapsed="false">
      <c r="B2551" s="53" t="str">
        <f aca="false">IF(助手报销!$R$172&lt;&gt;"","记  账  凭  证","")</f>
        <v/>
      </c>
      <c r="C2551" s="53"/>
      <c r="D2551" s="53"/>
      <c r="E2551" s="53"/>
      <c r="F2551" s="53"/>
      <c r="G2551" s="53"/>
      <c r="H2551" s="53"/>
      <c r="I2551" s="53"/>
    </row>
    <row r="2552" customFormat="false" ht="3" hidden="false" customHeight="true" outlineLevel="0" collapsed="false"/>
    <row r="2553" customFormat="false" ht="15" hidden="false" customHeight="true" outlineLevel="0" collapsed="false">
      <c r="C2553" s="56" t="str">
        <f aca="false">IF(助手报销!$R$172&lt;&gt;"",INDEX(助手报销!$B$2:$B$121,助手报销!$R$172),"")</f>
        <v/>
      </c>
      <c r="D2553" s="57" t="str">
        <f aca="false">IF(助手报销!$R$172&lt;&gt;"",INDEX(助手报销!$D$2:$D$121,助手报销!$R$172),"")</f>
        <v/>
      </c>
      <c r="E2553" s="57"/>
      <c r="F2553" s="58" t="str">
        <f aca="false">IF(助手报销!$R$172&lt;&gt;"",INDEX(助手报销!$C$2:$C$121,助手报销!$R$172)&amp;"  字第 "&amp;IF(参数!$B$9="是",INDEX(助手报销!$P$2:$P$121,助手报销!$R$172),"　　　　")&amp;" 号"&amp;IF(INDEX(助手报销!$L$2:$L$121,助手报销!$R$172)&gt;1,"  (共"&amp;INDEX(助手报销!$L$2:$L$121,助手报销!$R$172)&amp;"页 第"&amp;助手报销!$S$172&amp;"页)",""),"")</f>
        <v/>
      </c>
      <c r="G2553" s="58"/>
      <c r="H2553" s="58"/>
      <c r="I2553" s="58"/>
      <c r="M2553" s="79" t="str">
        <f aca="false">IF(助手报销!$R$172="","",助手报销!$Q$172)</f>
        <v/>
      </c>
      <c r="N2553" s="80" t="str">
        <f aca="false">IF(助手报销!$R$172="","",INDEX(助手报销!$P$2:$P$121,助手报销!$R$172))</f>
        <v/>
      </c>
      <c r="O2553" s="55" t="str">
        <f aca="false">IF(助手报销!$R$172="","",INDEX(助手报销!$C$2:$C$121,助手报销!$R$172)&amp;"  字第 "&amp;INDEX(助手报销!$P$2:$P$121,助手报销!$R$172)&amp;" 号"&amp;IF(INDEX(助手报销!$L$2:$L$121,助手报销!$R$172)&gt;1,"  (共"&amp;INDEX(助手报销!$L$2:$L$121,助手报销!$R$172)&amp;"页 第"&amp;助手报销!$S$172&amp;"页)",""))</f>
        <v/>
      </c>
    </row>
    <row r="2554" customFormat="false" ht="12.75" hidden="false" customHeight="true" outlineLevel="0" collapsed="false">
      <c r="B2554" s="61" t="str">
        <f aca="false">IF(助手报销!$R$172&lt;&gt;"","摘　　要","")</f>
        <v/>
      </c>
      <c r="C2554" s="61"/>
      <c r="D2554" s="62" t="str">
        <f aca="false">IF(助手报销!$R$172&lt;&gt;"","科　　　　目","")</f>
        <v/>
      </c>
      <c r="E2554" s="62"/>
      <c r="F2554" s="61" t="str">
        <f aca="false">IF(助手报销!$R$172&lt;&gt;"","借 方 金 额","")</f>
        <v/>
      </c>
      <c r="G2554" s="62" t="str">
        <f aca="false">IF(助手报销!$R$172&lt;&gt;"","贷 方 金 额","")</f>
        <v/>
      </c>
      <c r="H2554" s="63" t="str">
        <f aca="false">IF(助手报销!$R$172&lt;&gt;"","√","")</f>
        <v/>
      </c>
      <c r="I2554" s="64" t="str">
        <f aca="false">IF(助手报销!$R$172&lt;&gt;"","附单据  张","")</f>
        <v/>
      </c>
    </row>
    <row r="2555" customFormat="false" ht="12.75" hidden="false" customHeight="true" outlineLevel="0" collapsed="false">
      <c r="B2555" s="61"/>
      <c r="C2555" s="61"/>
      <c r="D2555" s="23" t="str">
        <f aca="false">IF(助手报销!$R$172&lt;&gt;"","总 账 科 目","")</f>
        <v/>
      </c>
      <c r="E2555" s="23" t="str">
        <f aca="false">IF(助手报销!$R$172&lt;&gt;"","明 细 科 目","")</f>
        <v/>
      </c>
      <c r="F2555" s="65"/>
      <c r="G2555" s="66"/>
      <c r="H2555" s="63"/>
      <c r="I2555" s="64"/>
    </row>
    <row r="2556" customFormat="false" ht="23.25" hidden="false" customHeight="true" outlineLevel="0" collapsed="false">
      <c r="B2556" s="67" t="str">
        <f aca="false">IFERROR(INDEX(分录报销!$M:$M,MATCH($L2556,分录报销!$L:$L,0)),"")</f>
        <v/>
      </c>
      <c r="C2556" s="67"/>
      <c r="D2556" s="23" t="str">
        <f aca="false">IFERROR(INDEX(分录报销!$E:$E,MATCH($L2556,分录报销!$L:$L,0)),"")</f>
        <v/>
      </c>
      <c r="E2556" s="23" t="str">
        <f aca="false">IFERROR(INDEX(分录报销!$F:$F,MATCH($L2556,分录报销!$L:$L,0)),"")</f>
        <v/>
      </c>
      <c r="F2556" s="68" t="str">
        <f aca="false">IFERROR(INDEX(分录报销!$H:$H,MATCH($L2556,分录报销!$L:$L,0)),"")</f>
        <v/>
      </c>
      <c r="G2556" s="69" t="str">
        <f aca="false">IFERROR(INDEX(分录报销!$I:$I,MATCH($L2556,分录报销!$L:$L,0)),"")</f>
        <v/>
      </c>
      <c r="H2556" s="23"/>
      <c r="I2556" s="70"/>
      <c r="L2556" s="71" t="n">
        <f aca="false">IF(助手报销!$R$172="",-1,助手报销!$R$172*100+(助手报销!$S$172-1)*6+1)</f>
        <v>-1</v>
      </c>
    </row>
    <row r="2557" customFormat="false" ht="23.25" hidden="false" customHeight="true" outlineLevel="0" collapsed="false">
      <c r="B2557" s="67" t="str">
        <f aca="false">IFERROR(INDEX(分录报销!$M:$M,MATCH($L2557,分录报销!$L:$L,0)),"")</f>
        <v/>
      </c>
      <c r="C2557" s="67"/>
      <c r="D2557" s="23" t="str">
        <f aca="false">IFERROR(INDEX(分录报销!$E:$E,MATCH($L2557,分录报销!$L:$L,0)),"")</f>
        <v/>
      </c>
      <c r="E2557" s="23" t="str">
        <f aca="false">IFERROR(INDEX(分录报销!$F:$F,MATCH($L2557,分录报销!$L:$L,0)),"")</f>
        <v/>
      </c>
      <c r="F2557" s="68" t="str">
        <f aca="false">IFERROR(INDEX(分录报销!$H:$H,MATCH($L2557,分录报销!$L:$L,0)),"")</f>
        <v/>
      </c>
      <c r="G2557" s="69" t="str">
        <f aca="false">IFERROR(INDEX(分录报销!$I:$I,MATCH($L2557,分录报销!$L:$L,0)),"")</f>
        <v/>
      </c>
      <c r="H2557" s="23"/>
      <c r="I2557" s="70"/>
      <c r="L2557" s="71" t="n">
        <f aca="false">IF(助手报销!$R$172="",-1,助手报销!$R$172*100+(助手报销!$S$172-1)*6+2)</f>
        <v>-1</v>
      </c>
    </row>
    <row r="2558" customFormat="false" ht="23.25" hidden="false" customHeight="true" outlineLevel="0" collapsed="false">
      <c r="B2558" s="67" t="str">
        <f aca="false">IFERROR(INDEX(分录报销!$M:$M,MATCH($L2558,分录报销!$L:$L,0)),"")</f>
        <v/>
      </c>
      <c r="C2558" s="67"/>
      <c r="D2558" s="23" t="str">
        <f aca="false">IFERROR(INDEX(分录报销!$E:$E,MATCH($L2558,分录报销!$L:$L,0)),"")</f>
        <v/>
      </c>
      <c r="E2558" s="23" t="str">
        <f aca="false">IFERROR(INDEX(分录报销!$F:$F,MATCH($L2558,分录报销!$L:$L,0)),"")</f>
        <v/>
      </c>
      <c r="F2558" s="68" t="str">
        <f aca="false">IFERROR(INDEX(分录报销!$H:$H,MATCH($L2558,分录报销!$L:$L,0)),"")</f>
        <v/>
      </c>
      <c r="G2558" s="69" t="str">
        <f aca="false">IFERROR(INDEX(分录报销!$I:$I,MATCH($L2558,分录报销!$L:$L,0)),"")</f>
        <v/>
      </c>
      <c r="H2558" s="23"/>
      <c r="I2558" s="70"/>
      <c r="L2558" s="71" t="n">
        <f aca="false">IF(助手报销!$R$172="",-1,助手报销!$R$172*100+(助手报销!$S$172-1)*6+3)</f>
        <v>-1</v>
      </c>
    </row>
    <row r="2559" customFormat="false" ht="23.25" hidden="false" customHeight="true" outlineLevel="0" collapsed="false">
      <c r="B2559" s="67" t="str">
        <f aca="false">IFERROR(INDEX(分录报销!$M:$M,MATCH($L2559,分录报销!$L:$L,0)),"")</f>
        <v/>
      </c>
      <c r="C2559" s="67"/>
      <c r="D2559" s="23" t="str">
        <f aca="false">IFERROR(INDEX(分录报销!$E:$E,MATCH($L2559,分录报销!$L:$L,0)),"")</f>
        <v/>
      </c>
      <c r="E2559" s="23" t="str">
        <f aca="false">IFERROR(INDEX(分录报销!$F:$F,MATCH($L2559,分录报销!$L:$L,0)),"")</f>
        <v/>
      </c>
      <c r="F2559" s="68" t="str">
        <f aca="false">IFERROR(INDEX(分录报销!$H:$H,MATCH($L2559,分录报销!$L:$L,0)),"")</f>
        <v/>
      </c>
      <c r="G2559" s="69" t="str">
        <f aca="false">IFERROR(INDEX(分录报销!$I:$I,MATCH($L2559,分录报销!$L:$L,0)),"")</f>
        <v/>
      </c>
      <c r="H2559" s="23"/>
      <c r="I2559" s="70"/>
      <c r="L2559" s="71" t="n">
        <f aca="false">IF(助手报销!$R$172="",-1,助手报销!$R$172*100+(助手报销!$S$172-1)*6+4)</f>
        <v>-1</v>
      </c>
    </row>
    <row r="2560" customFormat="false" ht="23.25" hidden="false" customHeight="true" outlineLevel="0" collapsed="false">
      <c r="B2560" s="67" t="str">
        <f aca="false">IFERROR(INDEX(分录报销!$M:$M,MATCH($L2560,分录报销!$L:$L,0)),"")</f>
        <v/>
      </c>
      <c r="C2560" s="67"/>
      <c r="D2560" s="23" t="str">
        <f aca="false">IFERROR(INDEX(分录报销!$E:$E,MATCH($L2560,分录报销!$L:$L,0)),"")</f>
        <v/>
      </c>
      <c r="E2560" s="23" t="str">
        <f aca="false">IFERROR(INDEX(分录报销!$F:$F,MATCH($L2560,分录报销!$L:$L,0)),"")</f>
        <v/>
      </c>
      <c r="F2560" s="68" t="str">
        <f aca="false">IFERROR(INDEX(分录报销!$H:$H,MATCH($L2560,分录报销!$L:$L,0)),"")</f>
        <v/>
      </c>
      <c r="G2560" s="69" t="str">
        <f aca="false">IFERROR(INDEX(分录报销!$I:$I,MATCH($L2560,分录报销!$L:$L,0)),"")</f>
        <v/>
      </c>
      <c r="H2560" s="23"/>
      <c r="I2560" s="70"/>
      <c r="L2560" s="71" t="n">
        <f aca="false">IF(助手报销!$R$172="",-1,助手报销!$R$172*100+(助手报销!$S$172-1)*6+5)</f>
        <v>-1</v>
      </c>
    </row>
    <row r="2561" customFormat="false" ht="23.25" hidden="false" customHeight="true" outlineLevel="0" collapsed="false">
      <c r="B2561" s="67" t="str">
        <f aca="false">IFERROR(INDEX(分录报销!$M:$M,MATCH($L2561,分录报销!$L:$L,0)),"")</f>
        <v/>
      </c>
      <c r="C2561" s="67"/>
      <c r="D2561" s="23" t="str">
        <f aca="false">IFERROR(INDEX(分录报销!$E:$E,MATCH($L2561,分录报销!$L:$L,0)),"")</f>
        <v/>
      </c>
      <c r="E2561" s="23" t="str">
        <f aca="false">IFERROR(INDEX(分录报销!$F:$F,MATCH($L2561,分录报销!$L:$L,0)),"")</f>
        <v/>
      </c>
      <c r="F2561" s="68" t="str">
        <f aca="false">IFERROR(INDEX(分录报销!$H:$H,MATCH($L2561,分录报销!$L:$L,0)),"")</f>
        <v/>
      </c>
      <c r="G2561" s="69" t="str">
        <f aca="false">IFERROR(INDEX(分录报销!$I:$I,MATCH($L2561,分录报销!$L:$L,0)),"")</f>
        <v/>
      </c>
      <c r="H2561" s="23"/>
      <c r="I2561" s="70"/>
      <c r="L2561" s="71" t="n">
        <f aca="false">IF(助手报销!$R$172="",-1,助手报销!$R$172*100+(助手报销!$S$172-1)*6+6)</f>
        <v>-1</v>
      </c>
    </row>
    <row r="2562" customFormat="false" ht="23.25" hidden="false" customHeight="true" outlineLevel="0" collapsed="false">
      <c r="B2562" s="72" t="str">
        <f aca="false">IF(助手报销!$T$172=1,"合计：","")</f>
        <v/>
      </c>
      <c r="C2562" s="73" t="str">
        <f aca="false">IF(助手报销!$T$172=1,$F2562,"")</f>
        <v/>
      </c>
      <c r="D2562" s="74"/>
      <c r="E2562" s="74"/>
      <c r="F2562" s="75" t="str">
        <f aca="false">IF(助手报销!$T$172=1,INDEX(助手报销!$N$2:$N$121,助手报销!$R$172),"")</f>
        <v/>
      </c>
      <c r="G2562" s="76" t="str">
        <f aca="false">IF(助手报销!$T$172=1,INDEX(助手报销!$O$2:$O$121,助手报销!$R$172),"")</f>
        <v/>
      </c>
      <c r="H2562" s="74"/>
      <c r="I2562" s="77"/>
    </row>
    <row r="2563" customFormat="false" ht="6" hidden="false" customHeight="true" outlineLevel="0" collapsed="false"/>
    <row r="2564" customFormat="false" ht="13.5" hidden="false" customHeight="false" outlineLevel="0" collapsed="false">
      <c r="B2564" s="78" t="str">
        <f aca="false">IF(助手报销!$R$172&lt;&gt;"","会计主管：","")</f>
        <v/>
      </c>
      <c r="D2564" s="78" t="str">
        <f aca="false">IF(助手报销!$R$172&lt;&gt;"","会计：","")</f>
        <v/>
      </c>
      <c r="E2564" s="78" t="str">
        <f aca="false">IF(助手报销!$R$172&lt;&gt;"","出纳：","")</f>
        <v/>
      </c>
      <c r="F2564" s="78" t="str">
        <f aca="false">IF(助手报销!$R$172&lt;&gt;"","复核：","")</f>
        <v/>
      </c>
      <c r="G2564" s="78" t="str">
        <f aca="false">IF(助手报销!$R$172&lt;&gt;"","制单：","")</f>
        <v/>
      </c>
    </row>
    <row r="2565" customFormat="false" ht="3" hidden="false" customHeight="true" outlineLevel="0" collapsed="false"/>
    <row r="2566" customFormat="false" ht="19.5" hidden="false" customHeight="true" outlineLevel="0" collapsed="false">
      <c r="B2566" s="53" t="str">
        <f aca="false">IF(助手报销!$R$173&lt;&gt;"","记  账  凭  证","")</f>
        <v/>
      </c>
      <c r="C2566" s="53"/>
      <c r="D2566" s="53"/>
      <c r="E2566" s="53"/>
      <c r="F2566" s="53"/>
      <c r="G2566" s="53"/>
      <c r="H2566" s="53"/>
      <c r="I2566" s="53"/>
    </row>
    <row r="2567" customFormat="false" ht="3" hidden="false" customHeight="true" outlineLevel="0" collapsed="false"/>
    <row r="2568" customFormat="false" ht="15" hidden="false" customHeight="true" outlineLevel="0" collapsed="false">
      <c r="C2568" s="56" t="str">
        <f aca="false">IF(助手报销!$R$173&lt;&gt;"",INDEX(助手报销!$B$2:$B$121,助手报销!$R$173),"")</f>
        <v/>
      </c>
      <c r="D2568" s="57" t="str">
        <f aca="false">IF(助手报销!$R$173&lt;&gt;"",INDEX(助手报销!$D$2:$D$121,助手报销!$R$173),"")</f>
        <v/>
      </c>
      <c r="E2568" s="57"/>
      <c r="F2568" s="58" t="str">
        <f aca="false">IF(助手报销!$R$173&lt;&gt;"",INDEX(助手报销!$C$2:$C$121,助手报销!$R$173)&amp;"  字第 "&amp;IF(参数!$B$9="是",INDEX(助手报销!$P$2:$P$121,助手报销!$R$173),"　　　　")&amp;" 号"&amp;IF(INDEX(助手报销!$L$2:$L$121,助手报销!$R$173)&gt;1,"  (共"&amp;INDEX(助手报销!$L$2:$L$121,助手报销!$R$173)&amp;"页 第"&amp;助手报销!$S$173&amp;"页)",""),"")</f>
        <v/>
      </c>
      <c r="G2568" s="58"/>
      <c r="H2568" s="58"/>
      <c r="I2568" s="58"/>
      <c r="M2568" s="79" t="str">
        <f aca="false">IF(助手报销!$R$173="","",助手报销!$Q$173)</f>
        <v/>
      </c>
      <c r="N2568" s="80" t="str">
        <f aca="false">IF(助手报销!$R$173="","",INDEX(助手报销!$P$2:$P$121,助手报销!$R$173))</f>
        <v/>
      </c>
      <c r="O2568" s="55" t="str">
        <f aca="false">IF(助手报销!$R$173="","",INDEX(助手报销!$C$2:$C$121,助手报销!$R$173)&amp;"  字第 "&amp;INDEX(助手报销!$P$2:$P$121,助手报销!$R$173)&amp;" 号"&amp;IF(INDEX(助手报销!$L$2:$L$121,助手报销!$R$173)&gt;1,"  (共"&amp;INDEX(助手报销!$L$2:$L$121,助手报销!$R$173)&amp;"页 第"&amp;助手报销!$S$173&amp;"页)",""))</f>
        <v/>
      </c>
    </row>
    <row r="2569" customFormat="false" ht="12.75" hidden="false" customHeight="true" outlineLevel="0" collapsed="false">
      <c r="B2569" s="61" t="str">
        <f aca="false">IF(助手报销!$R$173&lt;&gt;"","摘　　要","")</f>
        <v/>
      </c>
      <c r="C2569" s="61"/>
      <c r="D2569" s="62" t="str">
        <f aca="false">IF(助手报销!$R$173&lt;&gt;"","科　　　　目","")</f>
        <v/>
      </c>
      <c r="E2569" s="62"/>
      <c r="F2569" s="61" t="str">
        <f aca="false">IF(助手报销!$R$173&lt;&gt;"","借 方 金 额","")</f>
        <v/>
      </c>
      <c r="G2569" s="62" t="str">
        <f aca="false">IF(助手报销!$R$173&lt;&gt;"","贷 方 金 额","")</f>
        <v/>
      </c>
      <c r="H2569" s="63" t="str">
        <f aca="false">IF(助手报销!$R$173&lt;&gt;"","√","")</f>
        <v/>
      </c>
      <c r="I2569" s="64" t="str">
        <f aca="false">IF(助手报销!$R$173&lt;&gt;"","附单据  张","")</f>
        <v/>
      </c>
    </row>
    <row r="2570" customFormat="false" ht="12.75" hidden="false" customHeight="true" outlineLevel="0" collapsed="false">
      <c r="B2570" s="61"/>
      <c r="C2570" s="61"/>
      <c r="D2570" s="23" t="str">
        <f aca="false">IF(助手报销!$R$173&lt;&gt;"","总 账 科 目","")</f>
        <v/>
      </c>
      <c r="E2570" s="23" t="str">
        <f aca="false">IF(助手报销!$R$173&lt;&gt;"","明 细 科 目","")</f>
        <v/>
      </c>
      <c r="F2570" s="65"/>
      <c r="G2570" s="66"/>
      <c r="H2570" s="63"/>
      <c r="I2570" s="64"/>
    </row>
    <row r="2571" customFormat="false" ht="23.25" hidden="false" customHeight="true" outlineLevel="0" collapsed="false">
      <c r="B2571" s="67" t="str">
        <f aca="false">IFERROR(INDEX(分录报销!$M:$M,MATCH($L2571,分录报销!$L:$L,0)),"")</f>
        <v/>
      </c>
      <c r="C2571" s="67"/>
      <c r="D2571" s="23" t="str">
        <f aca="false">IFERROR(INDEX(分录报销!$E:$E,MATCH($L2571,分录报销!$L:$L,0)),"")</f>
        <v/>
      </c>
      <c r="E2571" s="23" t="str">
        <f aca="false">IFERROR(INDEX(分录报销!$F:$F,MATCH($L2571,分录报销!$L:$L,0)),"")</f>
        <v/>
      </c>
      <c r="F2571" s="68" t="str">
        <f aca="false">IFERROR(INDEX(分录报销!$H:$H,MATCH($L2571,分录报销!$L:$L,0)),"")</f>
        <v/>
      </c>
      <c r="G2571" s="69" t="str">
        <f aca="false">IFERROR(INDEX(分录报销!$I:$I,MATCH($L2571,分录报销!$L:$L,0)),"")</f>
        <v/>
      </c>
      <c r="H2571" s="23"/>
      <c r="I2571" s="70"/>
      <c r="L2571" s="71" t="n">
        <f aca="false">IF(助手报销!$R$173="",-1,助手报销!$R$173*100+(助手报销!$S$173-1)*6+1)</f>
        <v>-1</v>
      </c>
    </row>
    <row r="2572" customFormat="false" ht="23.25" hidden="false" customHeight="true" outlineLevel="0" collapsed="false">
      <c r="B2572" s="67" t="str">
        <f aca="false">IFERROR(INDEX(分录报销!$M:$M,MATCH($L2572,分录报销!$L:$L,0)),"")</f>
        <v/>
      </c>
      <c r="C2572" s="67"/>
      <c r="D2572" s="23" t="str">
        <f aca="false">IFERROR(INDEX(分录报销!$E:$E,MATCH($L2572,分录报销!$L:$L,0)),"")</f>
        <v/>
      </c>
      <c r="E2572" s="23" t="str">
        <f aca="false">IFERROR(INDEX(分录报销!$F:$F,MATCH($L2572,分录报销!$L:$L,0)),"")</f>
        <v/>
      </c>
      <c r="F2572" s="68" t="str">
        <f aca="false">IFERROR(INDEX(分录报销!$H:$H,MATCH($L2572,分录报销!$L:$L,0)),"")</f>
        <v/>
      </c>
      <c r="G2572" s="69" t="str">
        <f aca="false">IFERROR(INDEX(分录报销!$I:$I,MATCH($L2572,分录报销!$L:$L,0)),"")</f>
        <v/>
      </c>
      <c r="H2572" s="23"/>
      <c r="I2572" s="70"/>
      <c r="L2572" s="71" t="n">
        <f aca="false">IF(助手报销!$R$173="",-1,助手报销!$R$173*100+(助手报销!$S$173-1)*6+2)</f>
        <v>-1</v>
      </c>
    </row>
    <row r="2573" customFormat="false" ht="23.25" hidden="false" customHeight="true" outlineLevel="0" collapsed="false">
      <c r="B2573" s="67" t="str">
        <f aca="false">IFERROR(INDEX(分录报销!$M:$M,MATCH($L2573,分录报销!$L:$L,0)),"")</f>
        <v/>
      </c>
      <c r="C2573" s="67"/>
      <c r="D2573" s="23" t="str">
        <f aca="false">IFERROR(INDEX(分录报销!$E:$E,MATCH($L2573,分录报销!$L:$L,0)),"")</f>
        <v/>
      </c>
      <c r="E2573" s="23" t="str">
        <f aca="false">IFERROR(INDEX(分录报销!$F:$F,MATCH($L2573,分录报销!$L:$L,0)),"")</f>
        <v/>
      </c>
      <c r="F2573" s="68" t="str">
        <f aca="false">IFERROR(INDEX(分录报销!$H:$H,MATCH($L2573,分录报销!$L:$L,0)),"")</f>
        <v/>
      </c>
      <c r="G2573" s="69" t="str">
        <f aca="false">IFERROR(INDEX(分录报销!$I:$I,MATCH($L2573,分录报销!$L:$L,0)),"")</f>
        <v/>
      </c>
      <c r="H2573" s="23"/>
      <c r="I2573" s="70"/>
      <c r="L2573" s="71" t="n">
        <f aca="false">IF(助手报销!$R$173="",-1,助手报销!$R$173*100+(助手报销!$S$173-1)*6+3)</f>
        <v>-1</v>
      </c>
    </row>
    <row r="2574" customFormat="false" ht="23.25" hidden="false" customHeight="true" outlineLevel="0" collapsed="false">
      <c r="B2574" s="67" t="str">
        <f aca="false">IFERROR(INDEX(分录报销!$M:$M,MATCH($L2574,分录报销!$L:$L,0)),"")</f>
        <v/>
      </c>
      <c r="C2574" s="67"/>
      <c r="D2574" s="23" t="str">
        <f aca="false">IFERROR(INDEX(分录报销!$E:$E,MATCH($L2574,分录报销!$L:$L,0)),"")</f>
        <v/>
      </c>
      <c r="E2574" s="23" t="str">
        <f aca="false">IFERROR(INDEX(分录报销!$F:$F,MATCH($L2574,分录报销!$L:$L,0)),"")</f>
        <v/>
      </c>
      <c r="F2574" s="68" t="str">
        <f aca="false">IFERROR(INDEX(分录报销!$H:$H,MATCH($L2574,分录报销!$L:$L,0)),"")</f>
        <v/>
      </c>
      <c r="G2574" s="69" t="str">
        <f aca="false">IFERROR(INDEX(分录报销!$I:$I,MATCH($L2574,分录报销!$L:$L,0)),"")</f>
        <v/>
      </c>
      <c r="H2574" s="23"/>
      <c r="I2574" s="70"/>
      <c r="L2574" s="71" t="n">
        <f aca="false">IF(助手报销!$R$173="",-1,助手报销!$R$173*100+(助手报销!$S$173-1)*6+4)</f>
        <v>-1</v>
      </c>
    </row>
    <row r="2575" customFormat="false" ht="23.25" hidden="false" customHeight="true" outlineLevel="0" collapsed="false">
      <c r="B2575" s="67" t="str">
        <f aca="false">IFERROR(INDEX(分录报销!$M:$M,MATCH($L2575,分录报销!$L:$L,0)),"")</f>
        <v/>
      </c>
      <c r="C2575" s="67"/>
      <c r="D2575" s="23" t="str">
        <f aca="false">IFERROR(INDEX(分录报销!$E:$E,MATCH($L2575,分录报销!$L:$L,0)),"")</f>
        <v/>
      </c>
      <c r="E2575" s="23" t="str">
        <f aca="false">IFERROR(INDEX(分录报销!$F:$F,MATCH($L2575,分录报销!$L:$L,0)),"")</f>
        <v/>
      </c>
      <c r="F2575" s="68" t="str">
        <f aca="false">IFERROR(INDEX(分录报销!$H:$H,MATCH($L2575,分录报销!$L:$L,0)),"")</f>
        <v/>
      </c>
      <c r="G2575" s="69" t="str">
        <f aca="false">IFERROR(INDEX(分录报销!$I:$I,MATCH($L2575,分录报销!$L:$L,0)),"")</f>
        <v/>
      </c>
      <c r="H2575" s="23"/>
      <c r="I2575" s="70"/>
      <c r="L2575" s="71" t="n">
        <f aca="false">IF(助手报销!$R$173="",-1,助手报销!$R$173*100+(助手报销!$S$173-1)*6+5)</f>
        <v>-1</v>
      </c>
    </row>
    <row r="2576" customFormat="false" ht="23.25" hidden="false" customHeight="true" outlineLevel="0" collapsed="false">
      <c r="B2576" s="67" t="str">
        <f aca="false">IFERROR(INDEX(分录报销!$M:$M,MATCH($L2576,分录报销!$L:$L,0)),"")</f>
        <v/>
      </c>
      <c r="C2576" s="67"/>
      <c r="D2576" s="23" t="str">
        <f aca="false">IFERROR(INDEX(分录报销!$E:$E,MATCH($L2576,分录报销!$L:$L,0)),"")</f>
        <v/>
      </c>
      <c r="E2576" s="23" t="str">
        <f aca="false">IFERROR(INDEX(分录报销!$F:$F,MATCH($L2576,分录报销!$L:$L,0)),"")</f>
        <v/>
      </c>
      <c r="F2576" s="68" t="str">
        <f aca="false">IFERROR(INDEX(分录报销!$H:$H,MATCH($L2576,分录报销!$L:$L,0)),"")</f>
        <v/>
      </c>
      <c r="G2576" s="69" t="str">
        <f aca="false">IFERROR(INDEX(分录报销!$I:$I,MATCH($L2576,分录报销!$L:$L,0)),"")</f>
        <v/>
      </c>
      <c r="H2576" s="23"/>
      <c r="I2576" s="70"/>
      <c r="L2576" s="71" t="n">
        <f aca="false">IF(助手报销!$R$173="",-1,助手报销!$R$173*100+(助手报销!$S$173-1)*6+6)</f>
        <v>-1</v>
      </c>
    </row>
    <row r="2577" customFormat="false" ht="23.25" hidden="false" customHeight="true" outlineLevel="0" collapsed="false">
      <c r="B2577" s="72" t="str">
        <f aca="false">IF(助手报销!$T$173=1,"合计：","")</f>
        <v/>
      </c>
      <c r="C2577" s="73" t="str">
        <f aca="false">IF(助手报销!$T$173=1,$F2577,"")</f>
        <v/>
      </c>
      <c r="D2577" s="74"/>
      <c r="E2577" s="74"/>
      <c r="F2577" s="75" t="str">
        <f aca="false">IF(助手报销!$T$173=1,INDEX(助手报销!$N$2:$N$121,助手报销!$R$173),"")</f>
        <v/>
      </c>
      <c r="G2577" s="76" t="str">
        <f aca="false">IF(助手报销!$T$173=1,INDEX(助手报销!$O$2:$O$121,助手报销!$R$173),"")</f>
        <v/>
      </c>
      <c r="H2577" s="74"/>
      <c r="I2577" s="77"/>
    </row>
    <row r="2578" customFormat="false" ht="6" hidden="false" customHeight="true" outlineLevel="0" collapsed="false"/>
    <row r="2579" customFormat="false" ht="13.5" hidden="false" customHeight="false" outlineLevel="0" collapsed="false">
      <c r="B2579" s="78" t="str">
        <f aca="false">IF(助手报销!$R$173&lt;&gt;"","会计主管：","")</f>
        <v/>
      </c>
      <c r="D2579" s="78" t="str">
        <f aca="false">IF(助手报销!$R$173&lt;&gt;"","会计：","")</f>
        <v/>
      </c>
      <c r="E2579" s="78" t="str">
        <f aca="false">IF(助手报销!$R$173&lt;&gt;"","出纳：","")</f>
        <v/>
      </c>
      <c r="F2579" s="78" t="str">
        <f aca="false">IF(助手报销!$R$173&lt;&gt;"","复核：","")</f>
        <v/>
      </c>
      <c r="G2579" s="78" t="str">
        <f aca="false">IF(助手报销!$R$173&lt;&gt;"","制单：","")</f>
        <v/>
      </c>
    </row>
    <row r="2580" customFormat="false" ht="3" hidden="false" customHeight="true" outlineLevel="0" collapsed="false"/>
    <row r="2581" customFormat="false" ht="19.5" hidden="false" customHeight="true" outlineLevel="0" collapsed="false">
      <c r="B2581" s="53" t="str">
        <f aca="false">IF(助手报销!$R$174&lt;&gt;"","记  账  凭  证","")</f>
        <v/>
      </c>
      <c r="C2581" s="53"/>
      <c r="D2581" s="53"/>
      <c r="E2581" s="53"/>
      <c r="F2581" s="53"/>
      <c r="G2581" s="53"/>
      <c r="H2581" s="53"/>
      <c r="I2581" s="53"/>
    </row>
    <row r="2582" customFormat="false" ht="3" hidden="false" customHeight="true" outlineLevel="0" collapsed="false"/>
    <row r="2583" customFormat="false" ht="15" hidden="false" customHeight="true" outlineLevel="0" collapsed="false">
      <c r="C2583" s="56" t="str">
        <f aca="false">IF(助手报销!$R$174&lt;&gt;"",INDEX(助手报销!$B$2:$B$121,助手报销!$R$174),"")</f>
        <v/>
      </c>
      <c r="D2583" s="57" t="str">
        <f aca="false">IF(助手报销!$R$174&lt;&gt;"",INDEX(助手报销!$D$2:$D$121,助手报销!$R$174),"")</f>
        <v/>
      </c>
      <c r="E2583" s="57"/>
      <c r="F2583" s="58" t="str">
        <f aca="false">IF(助手报销!$R$174&lt;&gt;"",INDEX(助手报销!$C$2:$C$121,助手报销!$R$174)&amp;"  字第 "&amp;IF(参数!$B$9="是",INDEX(助手报销!$P$2:$P$121,助手报销!$R$174),"　　　　")&amp;" 号"&amp;IF(INDEX(助手报销!$L$2:$L$121,助手报销!$R$174)&gt;1,"  (共"&amp;INDEX(助手报销!$L$2:$L$121,助手报销!$R$174)&amp;"页 第"&amp;助手报销!$S$174&amp;"页)",""),"")</f>
        <v/>
      </c>
      <c r="G2583" s="58"/>
      <c r="H2583" s="58"/>
      <c r="I2583" s="58"/>
      <c r="M2583" s="79" t="str">
        <f aca="false">IF(助手报销!$R$174="","",助手报销!$Q$174)</f>
        <v/>
      </c>
      <c r="N2583" s="80" t="str">
        <f aca="false">IF(助手报销!$R$174="","",INDEX(助手报销!$P$2:$P$121,助手报销!$R$174))</f>
        <v/>
      </c>
      <c r="O2583" s="55" t="str">
        <f aca="false">IF(助手报销!$R$174="","",INDEX(助手报销!$C$2:$C$121,助手报销!$R$174)&amp;"  字第 "&amp;INDEX(助手报销!$P$2:$P$121,助手报销!$R$174)&amp;" 号"&amp;IF(INDEX(助手报销!$L$2:$L$121,助手报销!$R$174)&gt;1,"  (共"&amp;INDEX(助手报销!$L$2:$L$121,助手报销!$R$174)&amp;"页 第"&amp;助手报销!$S$174&amp;"页)",""))</f>
        <v/>
      </c>
    </row>
    <row r="2584" customFormat="false" ht="12.75" hidden="false" customHeight="true" outlineLevel="0" collapsed="false">
      <c r="B2584" s="61" t="str">
        <f aca="false">IF(助手报销!$R$174&lt;&gt;"","摘　　要","")</f>
        <v/>
      </c>
      <c r="C2584" s="61"/>
      <c r="D2584" s="62" t="str">
        <f aca="false">IF(助手报销!$R$174&lt;&gt;"","科　　　　目","")</f>
        <v/>
      </c>
      <c r="E2584" s="62"/>
      <c r="F2584" s="61" t="str">
        <f aca="false">IF(助手报销!$R$174&lt;&gt;"","借 方 金 额","")</f>
        <v/>
      </c>
      <c r="G2584" s="62" t="str">
        <f aca="false">IF(助手报销!$R$174&lt;&gt;"","贷 方 金 额","")</f>
        <v/>
      </c>
      <c r="H2584" s="63" t="str">
        <f aca="false">IF(助手报销!$R$174&lt;&gt;"","√","")</f>
        <v/>
      </c>
      <c r="I2584" s="64" t="str">
        <f aca="false">IF(助手报销!$R$174&lt;&gt;"","附单据  张","")</f>
        <v/>
      </c>
    </row>
    <row r="2585" customFormat="false" ht="12.75" hidden="false" customHeight="true" outlineLevel="0" collapsed="false">
      <c r="B2585" s="61"/>
      <c r="C2585" s="61"/>
      <c r="D2585" s="23" t="str">
        <f aca="false">IF(助手报销!$R$174&lt;&gt;"","总 账 科 目","")</f>
        <v/>
      </c>
      <c r="E2585" s="23" t="str">
        <f aca="false">IF(助手报销!$R$174&lt;&gt;"","明 细 科 目","")</f>
        <v/>
      </c>
      <c r="F2585" s="65"/>
      <c r="G2585" s="66"/>
      <c r="H2585" s="63"/>
      <c r="I2585" s="64"/>
    </row>
    <row r="2586" customFormat="false" ht="23.25" hidden="false" customHeight="true" outlineLevel="0" collapsed="false">
      <c r="B2586" s="67" t="str">
        <f aca="false">IFERROR(INDEX(分录报销!$M:$M,MATCH($L2586,分录报销!$L:$L,0)),"")</f>
        <v/>
      </c>
      <c r="C2586" s="67"/>
      <c r="D2586" s="23" t="str">
        <f aca="false">IFERROR(INDEX(分录报销!$E:$E,MATCH($L2586,分录报销!$L:$L,0)),"")</f>
        <v/>
      </c>
      <c r="E2586" s="23" t="str">
        <f aca="false">IFERROR(INDEX(分录报销!$F:$F,MATCH($L2586,分录报销!$L:$L,0)),"")</f>
        <v/>
      </c>
      <c r="F2586" s="68" t="str">
        <f aca="false">IFERROR(INDEX(分录报销!$H:$H,MATCH($L2586,分录报销!$L:$L,0)),"")</f>
        <v/>
      </c>
      <c r="G2586" s="69" t="str">
        <f aca="false">IFERROR(INDEX(分录报销!$I:$I,MATCH($L2586,分录报销!$L:$L,0)),"")</f>
        <v/>
      </c>
      <c r="H2586" s="23"/>
      <c r="I2586" s="70"/>
      <c r="L2586" s="71" t="n">
        <f aca="false">IF(助手报销!$R$174="",-1,助手报销!$R$174*100+(助手报销!$S$174-1)*6+1)</f>
        <v>-1</v>
      </c>
    </row>
    <row r="2587" customFormat="false" ht="23.25" hidden="false" customHeight="true" outlineLevel="0" collapsed="false">
      <c r="B2587" s="67" t="str">
        <f aca="false">IFERROR(INDEX(分录报销!$M:$M,MATCH($L2587,分录报销!$L:$L,0)),"")</f>
        <v/>
      </c>
      <c r="C2587" s="67"/>
      <c r="D2587" s="23" t="str">
        <f aca="false">IFERROR(INDEX(分录报销!$E:$E,MATCH($L2587,分录报销!$L:$L,0)),"")</f>
        <v/>
      </c>
      <c r="E2587" s="23" t="str">
        <f aca="false">IFERROR(INDEX(分录报销!$F:$F,MATCH($L2587,分录报销!$L:$L,0)),"")</f>
        <v/>
      </c>
      <c r="F2587" s="68" t="str">
        <f aca="false">IFERROR(INDEX(分录报销!$H:$H,MATCH($L2587,分录报销!$L:$L,0)),"")</f>
        <v/>
      </c>
      <c r="G2587" s="69" t="str">
        <f aca="false">IFERROR(INDEX(分录报销!$I:$I,MATCH($L2587,分录报销!$L:$L,0)),"")</f>
        <v/>
      </c>
      <c r="H2587" s="23"/>
      <c r="I2587" s="70"/>
      <c r="L2587" s="71" t="n">
        <f aca="false">IF(助手报销!$R$174="",-1,助手报销!$R$174*100+(助手报销!$S$174-1)*6+2)</f>
        <v>-1</v>
      </c>
    </row>
    <row r="2588" customFormat="false" ht="23.25" hidden="false" customHeight="true" outlineLevel="0" collapsed="false">
      <c r="B2588" s="67" t="str">
        <f aca="false">IFERROR(INDEX(分录报销!$M:$M,MATCH($L2588,分录报销!$L:$L,0)),"")</f>
        <v/>
      </c>
      <c r="C2588" s="67"/>
      <c r="D2588" s="23" t="str">
        <f aca="false">IFERROR(INDEX(分录报销!$E:$E,MATCH($L2588,分录报销!$L:$L,0)),"")</f>
        <v/>
      </c>
      <c r="E2588" s="23" t="str">
        <f aca="false">IFERROR(INDEX(分录报销!$F:$F,MATCH($L2588,分录报销!$L:$L,0)),"")</f>
        <v/>
      </c>
      <c r="F2588" s="68" t="str">
        <f aca="false">IFERROR(INDEX(分录报销!$H:$H,MATCH($L2588,分录报销!$L:$L,0)),"")</f>
        <v/>
      </c>
      <c r="G2588" s="69" t="str">
        <f aca="false">IFERROR(INDEX(分录报销!$I:$I,MATCH($L2588,分录报销!$L:$L,0)),"")</f>
        <v/>
      </c>
      <c r="H2588" s="23"/>
      <c r="I2588" s="70"/>
      <c r="L2588" s="71" t="n">
        <f aca="false">IF(助手报销!$R$174="",-1,助手报销!$R$174*100+(助手报销!$S$174-1)*6+3)</f>
        <v>-1</v>
      </c>
    </row>
    <row r="2589" customFormat="false" ht="23.25" hidden="false" customHeight="true" outlineLevel="0" collapsed="false">
      <c r="B2589" s="67" t="str">
        <f aca="false">IFERROR(INDEX(分录报销!$M:$M,MATCH($L2589,分录报销!$L:$L,0)),"")</f>
        <v/>
      </c>
      <c r="C2589" s="67"/>
      <c r="D2589" s="23" t="str">
        <f aca="false">IFERROR(INDEX(分录报销!$E:$E,MATCH($L2589,分录报销!$L:$L,0)),"")</f>
        <v/>
      </c>
      <c r="E2589" s="23" t="str">
        <f aca="false">IFERROR(INDEX(分录报销!$F:$F,MATCH($L2589,分录报销!$L:$L,0)),"")</f>
        <v/>
      </c>
      <c r="F2589" s="68" t="str">
        <f aca="false">IFERROR(INDEX(分录报销!$H:$H,MATCH($L2589,分录报销!$L:$L,0)),"")</f>
        <v/>
      </c>
      <c r="G2589" s="69" t="str">
        <f aca="false">IFERROR(INDEX(分录报销!$I:$I,MATCH($L2589,分录报销!$L:$L,0)),"")</f>
        <v/>
      </c>
      <c r="H2589" s="23"/>
      <c r="I2589" s="70"/>
      <c r="L2589" s="71" t="n">
        <f aca="false">IF(助手报销!$R$174="",-1,助手报销!$R$174*100+(助手报销!$S$174-1)*6+4)</f>
        <v>-1</v>
      </c>
    </row>
    <row r="2590" customFormat="false" ht="23.25" hidden="false" customHeight="true" outlineLevel="0" collapsed="false">
      <c r="B2590" s="67" t="str">
        <f aca="false">IFERROR(INDEX(分录报销!$M:$M,MATCH($L2590,分录报销!$L:$L,0)),"")</f>
        <v/>
      </c>
      <c r="C2590" s="67"/>
      <c r="D2590" s="23" t="str">
        <f aca="false">IFERROR(INDEX(分录报销!$E:$E,MATCH($L2590,分录报销!$L:$L,0)),"")</f>
        <v/>
      </c>
      <c r="E2590" s="23" t="str">
        <f aca="false">IFERROR(INDEX(分录报销!$F:$F,MATCH($L2590,分录报销!$L:$L,0)),"")</f>
        <v/>
      </c>
      <c r="F2590" s="68" t="str">
        <f aca="false">IFERROR(INDEX(分录报销!$H:$H,MATCH($L2590,分录报销!$L:$L,0)),"")</f>
        <v/>
      </c>
      <c r="G2590" s="69" t="str">
        <f aca="false">IFERROR(INDEX(分录报销!$I:$I,MATCH($L2590,分录报销!$L:$L,0)),"")</f>
        <v/>
      </c>
      <c r="H2590" s="23"/>
      <c r="I2590" s="70"/>
      <c r="L2590" s="71" t="n">
        <f aca="false">IF(助手报销!$R$174="",-1,助手报销!$R$174*100+(助手报销!$S$174-1)*6+5)</f>
        <v>-1</v>
      </c>
    </row>
    <row r="2591" customFormat="false" ht="23.25" hidden="false" customHeight="true" outlineLevel="0" collapsed="false">
      <c r="B2591" s="67" t="str">
        <f aca="false">IFERROR(INDEX(分录报销!$M:$M,MATCH($L2591,分录报销!$L:$L,0)),"")</f>
        <v/>
      </c>
      <c r="C2591" s="67"/>
      <c r="D2591" s="23" t="str">
        <f aca="false">IFERROR(INDEX(分录报销!$E:$E,MATCH($L2591,分录报销!$L:$L,0)),"")</f>
        <v/>
      </c>
      <c r="E2591" s="23" t="str">
        <f aca="false">IFERROR(INDEX(分录报销!$F:$F,MATCH($L2591,分录报销!$L:$L,0)),"")</f>
        <v/>
      </c>
      <c r="F2591" s="68" t="str">
        <f aca="false">IFERROR(INDEX(分录报销!$H:$H,MATCH($L2591,分录报销!$L:$L,0)),"")</f>
        <v/>
      </c>
      <c r="G2591" s="69" t="str">
        <f aca="false">IFERROR(INDEX(分录报销!$I:$I,MATCH($L2591,分录报销!$L:$L,0)),"")</f>
        <v/>
      </c>
      <c r="H2591" s="23"/>
      <c r="I2591" s="70"/>
      <c r="L2591" s="71" t="n">
        <f aca="false">IF(助手报销!$R$174="",-1,助手报销!$R$174*100+(助手报销!$S$174-1)*6+6)</f>
        <v>-1</v>
      </c>
    </row>
    <row r="2592" customFormat="false" ht="23.25" hidden="false" customHeight="true" outlineLevel="0" collapsed="false">
      <c r="B2592" s="72" t="str">
        <f aca="false">IF(助手报销!$T$174=1,"合计：","")</f>
        <v/>
      </c>
      <c r="C2592" s="73" t="str">
        <f aca="false">IF(助手报销!$T$174=1,$F2592,"")</f>
        <v/>
      </c>
      <c r="D2592" s="74"/>
      <c r="E2592" s="74"/>
      <c r="F2592" s="75" t="str">
        <f aca="false">IF(助手报销!$T$174=1,INDEX(助手报销!$N$2:$N$121,助手报销!$R$174),"")</f>
        <v/>
      </c>
      <c r="G2592" s="76" t="str">
        <f aca="false">IF(助手报销!$T$174=1,INDEX(助手报销!$O$2:$O$121,助手报销!$R$174),"")</f>
        <v/>
      </c>
      <c r="H2592" s="74"/>
      <c r="I2592" s="77"/>
    </row>
    <row r="2593" customFormat="false" ht="6" hidden="false" customHeight="true" outlineLevel="0" collapsed="false"/>
    <row r="2594" customFormat="false" ht="13.5" hidden="false" customHeight="false" outlineLevel="0" collapsed="false">
      <c r="B2594" s="78" t="str">
        <f aca="false">IF(助手报销!$R$174&lt;&gt;"","会计主管：","")</f>
        <v/>
      </c>
      <c r="D2594" s="78" t="str">
        <f aca="false">IF(助手报销!$R$174&lt;&gt;"","会计：","")</f>
        <v/>
      </c>
      <c r="E2594" s="78" t="str">
        <f aca="false">IF(助手报销!$R$174&lt;&gt;"","出纳：","")</f>
        <v/>
      </c>
      <c r="F2594" s="78" t="str">
        <f aca="false">IF(助手报销!$R$174&lt;&gt;"","复核：","")</f>
        <v/>
      </c>
      <c r="G2594" s="78" t="str">
        <f aca="false">IF(助手报销!$R$174&lt;&gt;"","制单：","")</f>
        <v/>
      </c>
    </row>
    <row r="2595" customFormat="false" ht="3" hidden="false" customHeight="true" outlineLevel="0" collapsed="false"/>
    <row r="2596" customFormat="false" ht="19.5" hidden="false" customHeight="true" outlineLevel="0" collapsed="false">
      <c r="B2596" s="53" t="str">
        <f aca="false">IF(助手报销!$R$175&lt;&gt;"","记  账  凭  证","")</f>
        <v/>
      </c>
      <c r="C2596" s="53"/>
      <c r="D2596" s="53"/>
      <c r="E2596" s="53"/>
      <c r="F2596" s="53"/>
      <c r="G2596" s="53"/>
      <c r="H2596" s="53"/>
      <c r="I2596" s="53"/>
    </row>
    <row r="2597" customFormat="false" ht="3" hidden="false" customHeight="true" outlineLevel="0" collapsed="false"/>
    <row r="2598" customFormat="false" ht="15" hidden="false" customHeight="true" outlineLevel="0" collapsed="false">
      <c r="C2598" s="56" t="str">
        <f aca="false">IF(助手报销!$R$175&lt;&gt;"",INDEX(助手报销!$B$2:$B$121,助手报销!$R$175),"")</f>
        <v/>
      </c>
      <c r="D2598" s="57" t="str">
        <f aca="false">IF(助手报销!$R$175&lt;&gt;"",INDEX(助手报销!$D$2:$D$121,助手报销!$R$175),"")</f>
        <v/>
      </c>
      <c r="E2598" s="57"/>
      <c r="F2598" s="58" t="str">
        <f aca="false">IF(助手报销!$R$175&lt;&gt;"",INDEX(助手报销!$C$2:$C$121,助手报销!$R$175)&amp;"  字第 "&amp;IF(参数!$B$9="是",INDEX(助手报销!$P$2:$P$121,助手报销!$R$175),"　　　　")&amp;" 号"&amp;IF(INDEX(助手报销!$L$2:$L$121,助手报销!$R$175)&gt;1,"  (共"&amp;INDEX(助手报销!$L$2:$L$121,助手报销!$R$175)&amp;"页 第"&amp;助手报销!$S$175&amp;"页)",""),"")</f>
        <v/>
      </c>
      <c r="G2598" s="58"/>
      <c r="H2598" s="58"/>
      <c r="I2598" s="58"/>
      <c r="M2598" s="79" t="str">
        <f aca="false">IF(助手报销!$R$175="","",助手报销!$Q$175)</f>
        <v/>
      </c>
      <c r="N2598" s="80" t="str">
        <f aca="false">IF(助手报销!$R$175="","",INDEX(助手报销!$P$2:$P$121,助手报销!$R$175))</f>
        <v/>
      </c>
      <c r="O2598" s="55" t="str">
        <f aca="false">IF(助手报销!$R$175="","",INDEX(助手报销!$C$2:$C$121,助手报销!$R$175)&amp;"  字第 "&amp;INDEX(助手报销!$P$2:$P$121,助手报销!$R$175)&amp;" 号"&amp;IF(INDEX(助手报销!$L$2:$L$121,助手报销!$R$175)&gt;1,"  (共"&amp;INDEX(助手报销!$L$2:$L$121,助手报销!$R$175)&amp;"页 第"&amp;助手报销!$S$175&amp;"页)",""))</f>
        <v/>
      </c>
    </row>
    <row r="2599" customFormat="false" ht="12.75" hidden="false" customHeight="true" outlineLevel="0" collapsed="false">
      <c r="B2599" s="61" t="str">
        <f aca="false">IF(助手报销!$R$175&lt;&gt;"","摘　　要","")</f>
        <v/>
      </c>
      <c r="C2599" s="61"/>
      <c r="D2599" s="62" t="str">
        <f aca="false">IF(助手报销!$R$175&lt;&gt;"","科　　　　目","")</f>
        <v/>
      </c>
      <c r="E2599" s="62"/>
      <c r="F2599" s="61" t="str">
        <f aca="false">IF(助手报销!$R$175&lt;&gt;"","借 方 金 额","")</f>
        <v/>
      </c>
      <c r="G2599" s="62" t="str">
        <f aca="false">IF(助手报销!$R$175&lt;&gt;"","贷 方 金 额","")</f>
        <v/>
      </c>
      <c r="H2599" s="63" t="str">
        <f aca="false">IF(助手报销!$R$175&lt;&gt;"","√","")</f>
        <v/>
      </c>
      <c r="I2599" s="64" t="str">
        <f aca="false">IF(助手报销!$R$175&lt;&gt;"","附单据  张","")</f>
        <v/>
      </c>
    </row>
    <row r="2600" customFormat="false" ht="12.75" hidden="false" customHeight="true" outlineLevel="0" collapsed="false">
      <c r="B2600" s="61"/>
      <c r="C2600" s="61"/>
      <c r="D2600" s="23" t="str">
        <f aca="false">IF(助手报销!$R$175&lt;&gt;"","总 账 科 目","")</f>
        <v/>
      </c>
      <c r="E2600" s="23" t="str">
        <f aca="false">IF(助手报销!$R$175&lt;&gt;"","明 细 科 目","")</f>
        <v/>
      </c>
      <c r="F2600" s="65"/>
      <c r="G2600" s="66"/>
      <c r="H2600" s="63"/>
      <c r="I2600" s="64"/>
    </row>
    <row r="2601" customFormat="false" ht="23.25" hidden="false" customHeight="true" outlineLevel="0" collapsed="false">
      <c r="B2601" s="67" t="str">
        <f aca="false">IFERROR(INDEX(分录报销!$M:$M,MATCH($L2601,分录报销!$L:$L,0)),"")</f>
        <v/>
      </c>
      <c r="C2601" s="67"/>
      <c r="D2601" s="23" t="str">
        <f aca="false">IFERROR(INDEX(分录报销!$E:$E,MATCH($L2601,分录报销!$L:$L,0)),"")</f>
        <v/>
      </c>
      <c r="E2601" s="23" t="str">
        <f aca="false">IFERROR(INDEX(分录报销!$F:$F,MATCH($L2601,分录报销!$L:$L,0)),"")</f>
        <v/>
      </c>
      <c r="F2601" s="68" t="str">
        <f aca="false">IFERROR(INDEX(分录报销!$H:$H,MATCH($L2601,分录报销!$L:$L,0)),"")</f>
        <v/>
      </c>
      <c r="G2601" s="69" t="str">
        <f aca="false">IFERROR(INDEX(分录报销!$I:$I,MATCH($L2601,分录报销!$L:$L,0)),"")</f>
        <v/>
      </c>
      <c r="H2601" s="23"/>
      <c r="I2601" s="70"/>
      <c r="L2601" s="71" t="n">
        <f aca="false">IF(助手报销!$R$175="",-1,助手报销!$R$175*100+(助手报销!$S$175-1)*6+1)</f>
        <v>-1</v>
      </c>
    </row>
    <row r="2602" customFormat="false" ht="23.25" hidden="false" customHeight="true" outlineLevel="0" collapsed="false">
      <c r="B2602" s="67" t="str">
        <f aca="false">IFERROR(INDEX(分录报销!$M:$M,MATCH($L2602,分录报销!$L:$L,0)),"")</f>
        <v/>
      </c>
      <c r="C2602" s="67"/>
      <c r="D2602" s="23" t="str">
        <f aca="false">IFERROR(INDEX(分录报销!$E:$E,MATCH($L2602,分录报销!$L:$L,0)),"")</f>
        <v/>
      </c>
      <c r="E2602" s="23" t="str">
        <f aca="false">IFERROR(INDEX(分录报销!$F:$F,MATCH($L2602,分录报销!$L:$L,0)),"")</f>
        <v/>
      </c>
      <c r="F2602" s="68" t="str">
        <f aca="false">IFERROR(INDEX(分录报销!$H:$H,MATCH($L2602,分录报销!$L:$L,0)),"")</f>
        <v/>
      </c>
      <c r="G2602" s="69" t="str">
        <f aca="false">IFERROR(INDEX(分录报销!$I:$I,MATCH($L2602,分录报销!$L:$L,0)),"")</f>
        <v/>
      </c>
      <c r="H2602" s="23"/>
      <c r="I2602" s="70"/>
      <c r="L2602" s="71" t="n">
        <f aca="false">IF(助手报销!$R$175="",-1,助手报销!$R$175*100+(助手报销!$S$175-1)*6+2)</f>
        <v>-1</v>
      </c>
    </row>
    <row r="2603" customFormat="false" ht="23.25" hidden="false" customHeight="true" outlineLevel="0" collapsed="false">
      <c r="B2603" s="67" t="str">
        <f aca="false">IFERROR(INDEX(分录报销!$M:$M,MATCH($L2603,分录报销!$L:$L,0)),"")</f>
        <v/>
      </c>
      <c r="C2603" s="67"/>
      <c r="D2603" s="23" t="str">
        <f aca="false">IFERROR(INDEX(分录报销!$E:$E,MATCH($L2603,分录报销!$L:$L,0)),"")</f>
        <v/>
      </c>
      <c r="E2603" s="23" t="str">
        <f aca="false">IFERROR(INDEX(分录报销!$F:$F,MATCH($L2603,分录报销!$L:$L,0)),"")</f>
        <v/>
      </c>
      <c r="F2603" s="68" t="str">
        <f aca="false">IFERROR(INDEX(分录报销!$H:$H,MATCH($L2603,分录报销!$L:$L,0)),"")</f>
        <v/>
      </c>
      <c r="G2603" s="69" t="str">
        <f aca="false">IFERROR(INDEX(分录报销!$I:$I,MATCH($L2603,分录报销!$L:$L,0)),"")</f>
        <v/>
      </c>
      <c r="H2603" s="23"/>
      <c r="I2603" s="70"/>
      <c r="L2603" s="71" t="n">
        <f aca="false">IF(助手报销!$R$175="",-1,助手报销!$R$175*100+(助手报销!$S$175-1)*6+3)</f>
        <v>-1</v>
      </c>
    </row>
    <row r="2604" customFormat="false" ht="23.25" hidden="false" customHeight="true" outlineLevel="0" collapsed="false">
      <c r="B2604" s="67" t="str">
        <f aca="false">IFERROR(INDEX(分录报销!$M:$M,MATCH($L2604,分录报销!$L:$L,0)),"")</f>
        <v/>
      </c>
      <c r="C2604" s="67"/>
      <c r="D2604" s="23" t="str">
        <f aca="false">IFERROR(INDEX(分录报销!$E:$E,MATCH($L2604,分录报销!$L:$L,0)),"")</f>
        <v/>
      </c>
      <c r="E2604" s="23" t="str">
        <f aca="false">IFERROR(INDEX(分录报销!$F:$F,MATCH($L2604,分录报销!$L:$L,0)),"")</f>
        <v/>
      </c>
      <c r="F2604" s="68" t="str">
        <f aca="false">IFERROR(INDEX(分录报销!$H:$H,MATCH($L2604,分录报销!$L:$L,0)),"")</f>
        <v/>
      </c>
      <c r="G2604" s="69" t="str">
        <f aca="false">IFERROR(INDEX(分录报销!$I:$I,MATCH($L2604,分录报销!$L:$L,0)),"")</f>
        <v/>
      </c>
      <c r="H2604" s="23"/>
      <c r="I2604" s="70"/>
      <c r="L2604" s="71" t="n">
        <f aca="false">IF(助手报销!$R$175="",-1,助手报销!$R$175*100+(助手报销!$S$175-1)*6+4)</f>
        <v>-1</v>
      </c>
    </row>
    <row r="2605" customFormat="false" ht="23.25" hidden="false" customHeight="true" outlineLevel="0" collapsed="false">
      <c r="B2605" s="67" t="str">
        <f aca="false">IFERROR(INDEX(分录报销!$M:$M,MATCH($L2605,分录报销!$L:$L,0)),"")</f>
        <v/>
      </c>
      <c r="C2605" s="67"/>
      <c r="D2605" s="23" t="str">
        <f aca="false">IFERROR(INDEX(分录报销!$E:$E,MATCH($L2605,分录报销!$L:$L,0)),"")</f>
        <v/>
      </c>
      <c r="E2605" s="23" t="str">
        <f aca="false">IFERROR(INDEX(分录报销!$F:$F,MATCH($L2605,分录报销!$L:$L,0)),"")</f>
        <v/>
      </c>
      <c r="F2605" s="68" t="str">
        <f aca="false">IFERROR(INDEX(分录报销!$H:$H,MATCH($L2605,分录报销!$L:$L,0)),"")</f>
        <v/>
      </c>
      <c r="G2605" s="69" t="str">
        <f aca="false">IFERROR(INDEX(分录报销!$I:$I,MATCH($L2605,分录报销!$L:$L,0)),"")</f>
        <v/>
      </c>
      <c r="H2605" s="23"/>
      <c r="I2605" s="70"/>
      <c r="L2605" s="71" t="n">
        <f aca="false">IF(助手报销!$R$175="",-1,助手报销!$R$175*100+(助手报销!$S$175-1)*6+5)</f>
        <v>-1</v>
      </c>
    </row>
    <row r="2606" customFormat="false" ht="23.25" hidden="false" customHeight="true" outlineLevel="0" collapsed="false">
      <c r="B2606" s="67" t="str">
        <f aca="false">IFERROR(INDEX(分录报销!$M:$M,MATCH($L2606,分录报销!$L:$L,0)),"")</f>
        <v/>
      </c>
      <c r="C2606" s="67"/>
      <c r="D2606" s="23" t="str">
        <f aca="false">IFERROR(INDEX(分录报销!$E:$E,MATCH($L2606,分录报销!$L:$L,0)),"")</f>
        <v/>
      </c>
      <c r="E2606" s="23" t="str">
        <f aca="false">IFERROR(INDEX(分录报销!$F:$F,MATCH($L2606,分录报销!$L:$L,0)),"")</f>
        <v/>
      </c>
      <c r="F2606" s="68" t="str">
        <f aca="false">IFERROR(INDEX(分录报销!$H:$H,MATCH($L2606,分录报销!$L:$L,0)),"")</f>
        <v/>
      </c>
      <c r="G2606" s="69" t="str">
        <f aca="false">IFERROR(INDEX(分录报销!$I:$I,MATCH($L2606,分录报销!$L:$L,0)),"")</f>
        <v/>
      </c>
      <c r="H2606" s="23"/>
      <c r="I2606" s="70"/>
      <c r="L2606" s="71" t="n">
        <f aca="false">IF(助手报销!$R$175="",-1,助手报销!$R$175*100+(助手报销!$S$175-1)*6+6)</f>
        <v>-1</v>
      </c>
    </row>
    <row r="2607" customFormat="false" ht="23.25" hidden="false" customHeight="true" outlineLevel="0" collapsed="false">
      <c r="B2607" s="72" t="str">
        <f aca="false">IF(助手报销!$T$175=1,"合计：","")</f>
        <v/>
      </c>
      <c r="C2607" s="73" t="str">
        <f aca="false">IF(助手报销!$T$175=1,$F2607,"")</f>
        <v/>
      </c>
      <c r="D2607" s="74"/>
      <c r="E2607" s="74"/>
      <c r="F2607" s="75" t="str">
        <f aca="false">IF(助手报销!$T$175=1,INDEX(助手报销!$N$2:$N$121,助手报销!$R$175),"")</f>
        <v/>
      </c>
      <c r="G2607" s="76" t="str">
        <f aca="false">IF(助手报销!$T$175=1,INDEX(助手报销!$O$2:$O$121,助手报销!$R$175),"")</f>
        <v/>
      </c>
      <c r="H2607" s="74"/>
      <c r="I2607" s="77"/>
    </row>
    <row r="2608" customFormat="false" ht="6" hidden="false" customHeight="true" outlineLevel="0" collapsed="false"/>
    <row r="2609" customFormat="false" ht="13.5" hidden="false" customHeight="false" outlineLevel="0" collapsed="false">
      <c r="B2609" s="78" t="str">
        <f aca="false">IF(助手报销!$R$175&lt;&gt;"","会计主管：","")</f>
        <v/>
      </c>
      <c r="D2609" s="78" t="str">
        <f aca="false">IF(助手报销!$R$175&lt;&gt;"","会计：","")</f>
        <v/>
      </c>
      <c r="E2609" s="78" t="str">
        <f aca="false">IF(助手报销!$R$175&lt;&gt;"","出纳：","")</f>
        <v/>
      </c>
      <c r="F2609" s="78" t="str">
        <f aca="false">IF(助手报销!$R$175&lt;&gt;"","复核：","")</f>
        <v/>
      </c>
      <c r="G2609" s="78" t="str">
        <f aca="false">IF(助手报销!$R$175&lt;&gt;"","制单：","")</f>
        <v/>
      </c>
    </row>
    <row r="2610" customFormat="false" ht="3" hidden="false" customHeight="true" outlineLevel="0" collapsed="false"/>
    <row r="2611" customFormat="false" ht="19.5" hidden="false" customHeight="true" outlineLevel="0" collapsed="false">
      <c r="B2611" s="53" t="str">
        <f aca="false">IF(助手报销!$R$176&lt;&gt;"","记  账  凭  证","")</f>
        <v/>
      </c>
      <c r="C2611" s="53"/>
      <c r="D2611" s="53"/>
      <c r="E2611" s="53"/>
      <c r="F2611" s="53"/>
      <c r="G2611" s="53"/>
      <c r="H2611" s="53"/>
      <c r="I2611" s="53"/>
    </row>
    <row r="2612" customFormat="false" ht="3" hidden="false" customHeight="true" outlineLevel="0" collapsed="false"/>
    <row r="2613" customFormat="false" ht="15" hidden="false" customHeight="true" outlineLevel="0" collapsed="false">
      <c r="C2613" s="56" t="str">
        <f aca="false">IF(助手报销!$R$176&lt;&gt;"",INDEX(助手报销!$B$2:$B$121,助手报销!$R$176),"")</f>
        <v/>
      </c>
      <c r="D2613" s="57" t="str">
        <f aca="false">IF(助手报销!$R$176&lt;&gt;"",INDEX(助手报销!$D$2:$D$121,助手报销!$R$176),"")</f>
        <v/>
      </c>
      <c r="E2613" s="57"/>
      <c r="F2613" s="58" t="str">
        <f aca="false">IF(助手报销!$R$176&lt;&gt;"",INDEX(助手报销!$C$2:$C$121,助手报销!$R$176)&amp;"  字第 "&amp;IF(参数!$B$9="是",INDEX(助手报销!$P$2:$P$121,助手报销!$R$176),"　　　　")&amp;" 号"&amp;IF(INDEX(助手报销!$L$2:$L$121,助手报销!$R$176)&gt;1,"  (共"&amp;INDEX(助手报销!$L$2:$L$121,助手报销!$R$176)&amp;"页 第"&amp;助手报销!$S$176&amp;"页)",""),"")</f>
        <v/>
      </c>
      <c r="G2613" s="58"/>
      <c r="H2613" s="58"/>
      <c r="I2613" s="58"/>
      <c r="M2613" s="79" t="str">
        <f aca="false">IF(助手报销!$R$176="","",助手报销!$Q$176)</f>
        <v/>
      </c>
      <c r="N2613" s="80" t="str">
        <f aca="false">IF(助手报销!$R$176="","",INDEX(助手报销!$P$2:$P$121,助手报销!$R$176))</f>
        <v/>
      </c>
      <c r="O2613" s="55" t="str">
        <f aca="false">IF(助手报销!$R$176="","",INDEX(助手报销!$C$2:$C$121,助手报销!$R$176)&amp;"  字第 "&amp;INDEX(助手报销!$P$2:$P$121,助手报销!$R$176)&amp;" 号"&amp;IF(INDEX(助手报销!$L$2:$L$121,助手报销!$R$176)&gt;1,"  (共"&amp;INDEX(助手报销!$L$2:$L$121,助手报销!$R$176)&amp;"页 第"&amp;助手报销!$S$176&amp;"页)",""))</f>
        <v/>
      </c>
    </row>
    <row r="2614" customFormat="false" ht="12.75" hidden="false" customHeight="true" outlineLevel="0" collapsed="false">
      <c r="B2614" s="61" t="str">
        <f aca="false">IF(助手报销!$R$176&lt;&gt;"","摘　　要","")</f>
        <v/>
      </c>
      <c r="C2614" s="61"/>
      <c r="D2614" s="62" t="str">
        <f aca="false">IF(助手报销!$R$176&lt;&gt;"","科　　　　目","")</f>
        <v/>
      </c>
      <c r="E2614" s="62"/>
      <c r="F2614" s="61" t="str">
        <f aca="false">IF(助手报销!$R$176&lt;&gt;"","借 方 金 额","")</f>
        <v/>
      </c>
      <c r="G2614" s="62" t="str">
        <f aca="false">IF(助手报销!$R$176&lt;&gt;"","贷 方 金 额","")</f>
        <v/>
      </c>
      <c r="H2614" s="63" t="str">
        <f aca="false">IF(助手报销!$R$176&lt;&gt;"","√","")</f>
        <v/>
      </c>
      <c r="I2614" s="64" t="str">
        <f aca="false">IF(助手报销!$R$176&lt;&gt;"","附单据  张","")</f>
        <v/>
      </c>
    </row>
    <row r="2615" customFormat="false" ht="12.75" hidden="false" customHeight="true" outlineLevel="0" collapsed="false">
      <c r="B2615" s="61"/>
      <c r="C2615" s="61"/>
      <c r="D2615" s="23" t="str">
        <f aca="false">IF(助手报销!$R$176&lt;&gt;"","总 账 科 目","")</f>
        <v/>
      </c>
      <c r="E2615" s="23" t="str">
        <f aca="false">IF(助手报销!$R$176&lt;&gt;"","明 细 科 目","")</f>
        <v/>
      </c>
      <c r="F2615" s="65"/>
      <c r="G2615" s="66"/>
      <c r="H2615" s="63"/>
      <c r="I2615" s="64"/>
    </row>
    <row r="2616" customFormat="false" ht="23.25" hidden="false" customHeight="true" outlineLevel="0" collapsed="false">
      <c r="B2616" s="67" t="str">
        <f aca="false">IFERROR(INDEX(分录报销!$M:$M,MATCH($L2616,分录报销!$L:$L,0)),"")</f>
        <v/>
      </c>
      <c r="C2616" s="67"/>
      <c r="D2616" s="23" t="str">
        <f aca="false">IFERROR(INDEX(分录报销!$E:$E,MATCH($L2616,分录报销!$L:$L,0)),"")</f>
        <v/>
      </c>
      <c r="E2616" s="23" t="str">
        <f aca="false">IFERROR(INDEX(分录报销!$F:$F,MATCH($L2616,分录报销!$L:$L,0)),"")</f>
        <v/>
      </c>
      <c r="F2616" s="68" t="str">
        <f aca="false">IFERROR(INDEX(分录报销!$H:$H,MATCH($L2616,分录报销!$L:$L,0)),"")</f>
        <v/>
      </c>
      <c r="G2616" s="69" t="str">
        <f aca="false">IFERROR(INDEX(分录报销!$I:$I,MATCH($L2616,分录报销!$L:$L,0)),"")</f>
        <v/>
      </c>
      <c r="H2616" s="23"/>
      <c r="I2616" s="70"/>
      <c r="L2616" s="71" t="n">
        <f aca="false">IF(助手报销!$R$176="",-1,助手报销!$R$176*100+(助手报销!$S$176-1)*6+1)</f>
        <v>-1</v>
      </c>
    </row>
    <row r="2617" customFormat="false" ht="23.25" hidden="false" customHeight="true" outlineLevel="0" collapsed="false">
      <c r="B2617" s="67" t="str">
        <f aca="false">IFERROR(INDEX(分录报销!$M:$M,MATCH($L2617,分录报销!$L:$L,0)),"")</f>
        <v/>
      </c>
      <c r="C2617" s="67"/>
      <c r="D2617" s="23" t="str">
        <f aca="false">IFERROR(INDEX(分录报销!$E:$E,MATCH($L2617,分录报销!$L:$L,0)),"")</f>
        <v/>
      </c>
      <c r="E2617" s="23" t="str">
        <f aca="false">IFERROR(INDEX(分录报销!$F:$F,MATCH($L2617,分录报销!$L:$L,0)),"")</f>
        <v/>
      </c>
      <c r="F2617" s="68" t="str">
        <f aca="false">IFERROR(INDEX(分录报销!$H:$H,MATCH($L2617,分录报销!$L:$L,0)),"")</f>
        <v/>
      </c>
      <c r="G2617" s="69" t="str">
        <f aca="false">IFERROR(INDEX(分录报销!$I:$I,MATCH($L2617,分录报销!$L:$L,0)),"")</f>
        <v/>
      </c>
      <c r="H2617" s="23"/>
      <c r="I2617" s="70"/>
      <c r="L2617" s="71" t="n">
        <f aca="false">IF(助手报销!$R$176="",-1,助手报销!$R$176*100+(助手报销!$S$176-1)*6+2)</f>
        <v>-1</v>
      </c>
    </row>
    <row r="2618" customFormat="false" ht="23.25" hidden="false" customHeight="true" outlineLevel="0" collapsed="false">
      <c r="B2618" s="67" t="str">
        <f aca="false">IFERROR(INDEX(分录报销!$M:$M,MATCH($L2618,分录报销!$L:$L,0)),"")</f>
        <v/>
      </c>
      <c r="C2618" s="67"/>
      <c r="D2618" s="23" t="str">
        <f aca="false">IFERROR(INDEX(分录报销!$E:$E,MATCH($L2618,分录报销!$L:$L,0)),"")</f>
        <v/>
      </c>
      <c r="E2618" s="23" t="str">
        <f aca="false">IFERROR(INDEX(分录报销!$F:$F,MATCH($L2618,分录报销!$L:$L,0)),"")</f>
        <v/>
      </c>
      <c r="F2618" s="68" t="str">
        <f aca="false">IFERROR(INDEX(分录报销!$H:$H,MATCH($L2618,分录报销!$L:$L,0)),"")</f>
        <v/>
      </c>
      <c r="G2618" s="69" t="str">
        <f aca="false">IFERROR(INDEX(分录报销!$I:$I,MATCH($L2618,分录报销!$L:$L,0)),"")</f>
        <v/>
      </c>
      <c r="H2618" s="23"/>
      <c r="I2618" s="70"/>
      <c r="L2618" s="71" t="n">
        <f aca="false">IF(助手报销!$R$176="",-1,助手报销!$R$176*100+(助手报销!$S$176-1)*6+3)</f>
        <v>-1</v>
      </c>
    </row>
    <row r="2619" customFormat="false" ht="23.25" hidden="false" customHeight="true" outlineLevel="0" collapsed="false">
      <c r="B2619" s="67" t="str">
        <f aca="false">IFERROR(INDEX(分录报销!$M:$M,MATCH($L2619,分录报销!$L:$L,0)),"")</f>
        <v/>
      </c>
      <c r="C2619" s="67"/>
      <c r="D2619" s="23" t="str">
        <f aca="false">IFERROR(INDEX(分录报销!$E:$E,MATCH($L2619,分录报销!$L:$L,0)),"")</f>
        <v/>
      </c>
      <c r="E2619" s="23" t="str">
        <f aca="false">IFERROR(INDEX(分录报销!$F:$F,MATCH($L2619,分录报销!$L:$L,0)),"")</f>
        <v/>
      </c>
      <c r="F2619" s="68" t="str">
        <f aca="false">IFERROR(INDEX(分录报销!$H:$H,MATCH($L2619,分录报销!$L:$L,0)),"")</f>
        <v/>
      </c>
      <c r="G2619" s="69" t="str">
        <f aca="false">IFERROR(INDEX(分录报销!$I:$I,MATCH($L2619,分录报销!$L:$L,0)),"")</f>
        <v/>
      </c>
      <c r="H2619" s="23"/>
      <c r="I2619" s="70"/>
      <c r="L2619" s="71" t="n">
        <f aca="false">IF(助手报销!$R$176="",-1,助手报销!$R$176*100+(助手报销!$S$176-1)*6+4)</f>
        <v>-1</v>
      </c>
    </row>
    <row r="2620" customFormat="false" ht="23.25" hidden="false" customHeight="true" outlineLevel="0" collapsed="false">
      <c r="B2620" s="67" t="str">
        <f aca="false">IFERROR(INDEX(分录报销!$M:$M,MATCH($L2620,分录报销!$L:$L,0)),"")</f>
        <v/>
      </c>
      <c r="C2620" s="67"/>
      <c r="D2620" s="23" t="str">
        <f aca="false">IFERROR(INDEX(分录报销!$E:$E,MATCH($L2620,分录报销!$L:$L,0)),"")</f>
        <v/>
      </c>
      <c r="E2620" s="23" t="str">
        <f aca="false">IFERROR(INDEX(分录报销!$F:$F,MATCH($L2620,分录报销!$L:$L,0)),"")</f>
        <v/>
      </c>
      <c r="F2620" s="68" t="str">
        <f aca="false">IFERROR(INDEX(分录报销!$H:$H,MATCH($L2620,分录报销!$L:$L,0)),"")</f>
        <v/>
      </c>
      <c r="G2620" s="69" t="str">
        <f aca="false">IFERROR(INDEX(分录报销!$I:$I,MATCH($L2620,分录报销!$L:$L,0)),"")</f>
        <v/>
      </c>
      <c r="H2620" s="23"/>
      <c r="I2620" s="70"/>
      <c r="L2620" s="71" t="n">
        <f aca="false">IF(助手报销!$R$176="",-1,助手报销!$R$176*100+(助手报销!$S$176-1)*6+5)</f>
        <v>-1</v>
      </c>
    </row>
    <row r="2621" customFormat="false" ht="23.25" hidden="false" customHeight="true" outlineLevel="0" collapsed="false">
      <c r="B2621" s="67" t="str">
        <f aca="false">IFERROR(INDEX(分录报销!$M:$M,MATCH($L2621,分录报销!$L:$L,0)),"")</f>
        <v/>
      </c>
      <c r="C2621" s="67"/>
      <c r="D2621" s="23" t="str">
        <f aca="false">IFERROR(INDEX(分录报销!$E:$E,MATCH($L2621,分录报销!$L:$L,0)),"")</f>
        <v/>
      </c>
      <c r="E2621" s="23" t="str">
        <f aca="false">IFERROR(INDEX(分录报销!$F:$F,MATCH($L2621,分录报销!$L:$L,0)),"")</f>
        <v/>
      </c>
      <c r="F2621" s="68" t="str">
        <f aca="false">IFERROR(INDEX(分录报销!$H:$H,MATCH($L2621,分录报销!$L:$L,0)),"")</f>
        <v/>
      </c>
      <c r="G2621" s="69" t="str">
        <f aca="false">IFERROR(INDEX(分录报销!$I:$I,MATCH($L2621,分录报销!$L:$L,0)),"")</f>
        <v/>
      </c>
      <c r="H2621" s="23"/>
      <c r="I2621" s="70"/>
      <c r="L2621" s="71" t="n">
        <f aca="false">IF(助手报销!$R$176="",-1,助手报销!$R$176*100+(助手报销!$S$176-1)*6+6)</f>
        <v>-1</v>
      </c>
    </row>
    <row r="2622" customFormat="false" ht="23.25" hidden="false" customHeight="true" outlineLevel="0" collapsed="false">
      <c r="B2622" s="72" t="str">
        <f aca="false">IF(助手报销!$T$176=1,"合计：","")</f>
        <v/>
      </c>
      <c r="C2622" s="73" t="str">
        <f aca="false">IF(助手报销!$T$176=1,$F2622,"")</f>
        <v/>
      </c>
      <c r="D2622" s="74"/>
      <c r="E2622" s="74"/>
      <c r="F2622" s="75" t="str">
        <f aca="false">IF(助手报销!$T$176=1,INDEX(助手报销!$N$2:$N$121,助手报销!$R$176),"")</f>
        <v/>
      </c>
      <c r="G2622" s="76" t="str">
        <f aca="false">IF(助手报销!$T$176=1,INDEX(助手报销!$O$2:$O$121,助手报销!$R$176),"")</f>
        <v/>
      </c>
      <c r="H2622" s="74"/>
      <c r="I2622" s="77"/>
    </row>
    <row r="2623" customFormat="false" ht="6" hidden="false" customHeight="true" outlineLevel="0" collapsed="false"/>
    <row r="2624" customFormat="false" ht="13.5" hidden="false" customHeight="false" outlineLevel="0" collapsed="false">
      <c r="B2624" s="78" t="str">
        <f aca="false">IF(助手报销!$R$176&lt;&gt;"","会计主管：","")</f>
        <v/>
      </c>
      <c r="D2624" s="78" t="str">
        <f aca="false">IF(助手报销!$R$176&lt;&gt;"","会计：","")</f>
        <v/>
      </c>
      <c r="E2624" s="78" t="str">
        <f aca="false">IF(助手报销!$R$176&lt;&gt;"","出纳：","")</f>
        <v/>
      </c>
      <c r="F2624" s="78" t="str">
        <f aca="false">IF(助手报销!$R$176&lt;&gt;"","复核：","")</f>
        <v/>
      </c>
      <c r="G2624" s="78" t="str">
        <f aca="false">IF(助手报销!$R$176&lt;&gt;"","制单：","")</f>
        <v/>
      </c>
    </row>
    <row r="2625" customFormat="false" ht="3" hidden="false" customHeight="true" outlineLevel="0" collapsed="false"/>
    <row r="2626" customFormat="false" ht="19.5" hidden="false" customHeight="true" outlineLevel="0" collapsed="false">
      <c r="B2626" s="53" t="str">
        <f aca="false">IF(助手报销!$R$177&lt;&gt;"","记  账  凭  证","")</f>
        <v/>
      </c>
      <c r="C2626" s="53"/>
      <c r="D2626" s="53"/>
      <c r="E2626" s="53"/>
      <c r="F2626" s="53"/>
      <c r="G2626" s="53"/>
      <c r="H2626" s="53"/>
      <c r="I2626" s="53"/>
    </row>
    <row r="2627" customFormat="false" ht="3" hidden="false" customHeight="true" outlineLevel="0" collapsed="false"/>
    <row r="2628" customFormat="false" ht="15" hidden="false" customHeight="true" outlineLevel="0" collapsed="false">
      <c r="C2628" s="56" t="str">
        <f aca="false">IF(助手报销!$R$177&lt;&gt;"",INDEX(助手报销!$B$2:$B$121,助手报销!$R$177),"")</f>
        <v/>
      </c>
      <c r="D2628" s="57" t="str">
        <f aca="false">IF(助手报销!$R$177&lt;&gt;"",INDEX(助手报销!$D$2:$D$121,助手报销!$R$177),"")</f>
        <v/>
      </c>
      <c r="E2628" s="57"/>
      <c r="F2628" s="58" t="str">
        <f aca="false">IF(助手报销!$R$177&lt;&gt;"",INDEX(助手报销!$C$2:$C$121,助手报销!$R$177)&amp;"  字第 "&amp;IF(参数!$B$9="是",INDEX(助手报销!$P$2:$P$121,助手报销!$R$177),"　　　　")&amp;" 号"&amp;IF(INDEX(助手报销!$L$2:$L$121,助手报销!$R$177)&gt;1,"  (共"&amp;INDEX(助手报销!$L$2:$L$121,助手报销!$R$177)&amp;"页 第"&amp;助手报销!$S$177&amp;"页)",""),"")</f>
        <v/>
      </c>
      <c r="G2628" s="58"/>
      <c r="H2628" s="58"/>
      <c r="I2628" s="58"/>
      <c r="M2628" s="79" t="str">
        <f aca="false">IF(助手报销!$R$177="","",助手报销!$Q$177)</f>
        <v/>
      </c>
      <c r="N2628" s="80" t="str">
        <f aca="false">IF(助手报销!$R$177="","",INDEX(助手报销!$P$2:$P$121,助手报销!$R$177))</f>
        <v/>
      </c>
      <c r="O2628" s="55" t="str">
        <f aca="false">IF(助手报销!$R$177="","",INDEX(助手报销!$C$2:$C$121,助手报销!$R$177)&amp;"  字第 "&amp;INDEX(助手报销!$P$2:$P$121,助手报销!$R$177)&amp;" 号"&amp;IF(INDEX(助手报销!$L$2:$L$121,助手报销!$R$177)&gt;1,"  (共"&amp;INDEX(助手报销!$L$2:$L$121,助手报销!$R$177)&amp;"页 第"&amp;助手报销!$S$177&amp;"页)",""))</f>
        <v/>
      </c>
    </row>
    <row r="2629" customFormat="false" ht="12.75" hidden="false" customHeight="true" outlineLevel="0" collapsed="false">
      <c r="B2629" s="61" t="str">
        <f aca="false">IF(助手报销!$R$177&lt;&gt;"","摘　　要","")</f>
        <v/>
      </c>
      <c r="C2629" s="61"/>
      <c r="D2629" s="62" t="str">
        <f aca="false">IF(助手报销!$R$177&lt;&gt;"","科　　　　目","")</f>
        <v/>
      </c>
      <c r="E2629" s="62"/>
      <c r="F2629" s="61" t="str">
        <f aca="false">IF(助手报销!$R$177&lt;&gt;"","借 方 金 额","")</f>
        <v/>
      </c>
      <c r="G2629" s="62" t="str">
        <f aca="false">IF(助手报销!$R$177&lt;&gt;"","贷 方 金 额","")</f>
        <v/>
      </c>
      <c r="H2629" s="63" t="str">
        <f aca="false">IF(助手报销!$R$177&lt;&gt;"","√","")</f>
        <v/>
      </c>
      <c r="I2629" s="64" t="str">
        <f aca="false">IF(助手报销!$R$177&lt;&gt;"","附单据  张","")</f>
        <v/>
      </c>
    </row>
    <row r="2630" customFormat="false" ht="12.75" hidden="false" customHeight="true" outlineLevel="0" collapsed="false">
      <c r="B2630" s="61"/>
      <c r="C2630" s="61"/>
      <c r="D2630" s="23" t="str">
        <f aca="false">IF(助手报销!$R$177&lt;&gt;"","总 账 科 目","")</f>
        <v/>
      </c>
      <c r="E2630" s="23" t="str">
        <f aca="false">IF(助手报销!$R$177&lt;&gt;"","明 细 科 目","")</f>
        <v/>
      </c>
      <c r="F2630" s="65"/>
      <c r="G2630" s="66"/>
      <c r="H2630" s="63"/>
      <c r="I2630" s="64"/>
    </row>
    <row r="2631" customFormat="false" ht="23.25" hidden="false" customHeight="true" outlineLevel="0" collapsed="false">
      <c r="B2631" s="67" t="str">
        <f aca="false">IFERROR(INDEX(分录报销!$M:$M,MATCH($L2631,分录报销!$L:$L,0)),"")</f>
        <v/>
      </c>
      <c r="C2631" s="67"/>
      <c r="D2631" s="23" t="str">
        <f aca="false">IFERROR(INDEX(分录报销!$E:$E,MATCH($L2631,分录报销!$L:$L,0)),"")</f>
        <v/>
      </c>
      <c r="E2631" s="23" t="str">
        <f aca="false">IFERROR(INDEX(分录报销!$F:$F,MATCH($L2631,分录报销!$L:$L,0)),"")</f>
        <v/>
      </c>
      <c r="F2631" s="68" t="str">
        <f aca="false">IFERROR(INDEX(分录报销!$H:$H,MATCH($L2631,分录报销!$L:$L,0)),"")</f>
        <v/>
      </c>
      <c r="G2631" s="69" t="str">
        <f aca="false">IFERROR(INDEX(分录报销!$I:$I,MATCH($L2631,分录报销!$L:$L,0)),"")</f>
        <v/>
      </c>
      <c r="H2631" s="23"/>
      <c r="I2631" s="70"/>
      <c r="L2631" s="71" t="n">
        <f aca="false">IF(助手报销!$R$177="",-1,助手报销!$R$177*100+(助手报销!$S$177-1)*6+1)</f>
        <v>-1</v>
      </c>
    </row>
    <row r="2632" customFormat="false" ht="23.25" hidden="false" customHeight="true" outlineLevel="0" collapsed="false">
      <c r="B2632" s="67" t="str">
        <f aca="false">IFERROR(INDEX(分录报销!$M:$M,MATCH($L2632,分录报销!$L:$L,0)),"")</f>
        <v/>
      </c>
      <c r="C2632" s="67"/>
      <c r="D2632" s="23" t="str">
        <f aca="false">IFERROR(INDEX(分录报销!$E:$E,MATCH($L2632,分录报销!$L:$L,0)),"")</f>
        <v/>
      </c>
      <c r="E2632" s="23" t="str">
        <f aca="false">IFERROR(INDEX(分录报销!$F:$F,MATCH($L2632,分录报销!$L:$L,0)),"")</f>
        <v/>
      </c>
      <c r="F2632" s="68" t="str">
        <f aca="false">IFERROR(INDEX(分录报销!$H:$H,MATCH($L2632,分录报销!$L:$L,0)),"")</f>
        <v/>
      </c>
      <c r="G2632" s="69" t="str">
        <f aca="false">IFERROR(INDEX(分录报销!$I:$I,MATCH($L2632,分录报销!$L:$L,0)),"")</f>
        <v/>
      </c>
      <c r="H2632" s="23"/>
      <c r="I2632" s="70"/>
      <c r="L2632" s="71" t="n">
        <f aca="false">IF(助手报销!$R$177="",-1,助手报销!$R$177*100+(助手报销!$S$177-1)*6+2)</f>
        <v>-1</v>
      </c>
    </row>
    <row r="2633" customFormat="false" ht="23.25" hidden="false" customHeight="true" outlineLevel="0" collapsed="false">
      <c r="B2633" s="67" t="str">
        <f aca="false">IFERROR(INDEX(分录报销!$M:$M,MATCH($L2633,分录报销!$L:$L,0)),"")</f>
        <v/>
      </c>
      <c r="C2633" s="67"/>
      <c r="D2633" s="23" t="str">
        <f aca="false">IFERROR(INDEX(分录报销!$E:$E,MATCH($L2633,分录报销!$L:$L,0)),"")</f>
        <v/>
      </c>
      <c r="E2633" s="23" t="str">
        <f aca="false">IFERROR(INDEX(分录报销!$F:$F,MATCH($L2633,分录报销!$L:$L,0)),"")</f>
        <v/>
      </c>
      <c r="F2633" s="68" t="str">
        <f aca="false">IFERROR(INDEX(分录报销!$H:$H,MATCH($L2633,分录报销!$L:$L,0)),"")</f>
        <v/>
      </c>
      <c r="G2633" s="69" t="str">
        <f aca="false">IFERROR(INDEX(分录报销!$I:$I,MATCH($L2633,分录报销!$L:$L,0)),"")</f>
        <v/>
      </c>
      <c r="H2633" s="23"/>
      <c r="I2633" s="70"/>
      <c r="L2633" s="71" t="n">
        <f aca="false">IF(助手报销!$R$177="",-1,助手报销!$R$177*100+(助手报销!$S$177-1)*6+3)</f>
        <v>-1</v>
      </c>
    </row>
    <row r="2634" customFormat="false" ht="23.25" hidden="false" customHeight="true" outlineLevel="0" collapsed="false">
      <c r="B2634" s="67" t="str">
        <f aca="false">IFERROR(INDEX(分录报销!$M:$M,MATCH($L2634,分录报销!$L:$L,0)),"")</f>
        <v/>
      </c>
      <c r="C2634" s="67"/>
      <c r="D2634" s="23" t="str">
        <f aca="false">IFERROR(INDEX(分录报销!$E:$E,MATCH($L2634,分录报销!$L:$L,0)),"")</f>
        <v/>
      </c>
      <c r="E2634" s="23" t="str">
        <f aca="false">IFERROR(INDEX(分录报销!$F:$F,MATCH($L2634,分录报销!$L:$L,0)),"")</f>
        <v/>
      </c>
      <c r="F2634" s="68" t="str">
        <f aca="false">IFERROR(INDEX(分录报销!$H:$H,MATCH($L2634,分录报销!$L:$L,0)),"")</f>
        <v/>
      </c>
      <c r="G2634" s="69" t="str">
        <f aca="false">IFERROR(INDEX(分录报销!$I:$I,MATCH($L2634,分录报销!$L:$L,0)),"")</f>
        <v/>
      </c>
      <c r="H2634" s="23"/>
      <c r="I2634" s="70"/>
      <c r="L2634" s="71" t="n">
        <f aca="false">IF(助手报销!$R$177="",-1,助手报销!$R$177*100+(助手报销!$S$177-1)*6+4)</f>
        <v>-1</v>
      </c>
    </row>
    <row r="2635" customFormat="false" ht="23.25" hidden="false" customHeight="true" outlineLevel="0" collapsed="false">
      <c r="B2635" s="67" t="str">
        <f aca="false">IFERROR(INDEX(分录报销!$M:$M,MATCH($L2635,分录报销!$L:$L,0)),"")</f>
        <v/>
      </c>
      <c r="C2635" s="67"/>
      <c r="D2635" s="23" t="str">
        <f aca="false">IFERROR(INDEX(分录报销!$E:$E,MATCH($L2635,分录报销!$L:$L,0)),"")</f>
        <v/>
      </c>
      <c r="E2635" s="23" t="str">
        <f aca="false">IFERROR(INDEX(分录报销!$F:$F,MATCH($L2635,分录报销!$L:$L,0)),"")</f>
        <v/>
      </c>
      <c r="F2635" s="68" t="str">
        <f aca="false">IFERROR(INDEX(分录报销!$H:$H,MATCH($L2635,分录报销!$L:$L,0)),"")</f>
        <v/>
      </c>
      <c r="G2635" s="69" t="str">
        <f aca="false">IFERROR(INDEX(分录报销!$I:$I,MATCH($L2635,分录报销!$L:$L,0)),"")</f>
        <v/>
      </c>
      <c r="H2635" s="23"/>
      <c r="I2635" s="70"/>
      <c r="L2635" s="71" t="n">
        <f aca="false">IF(助手报销!$R$177="",-1,助手报销!$R$177*100+(助手报销!$S$177-1)*6+5)</f>
        <v>-1</v>
      </c>
    </row>
    <row r="2636" customFormat="false" ht="23.25" hidden="false" customHeight="true" outlineLevel="0" collapsed="false">
      <c r="B2636" s="67" t="str">
        <f aca="false">IFERROR(INDEX(分录报销!$M:$M,MATCH($L2636,分录报销!$L:$L,0)),"")</f>
        <v/>
      </c>
      <c r="C2636" s="67"/>
      <c r="D2636" s="23" t="str">
        <f aca="false">IFERROR(INDEX(分录报销!$E:$E,MATCH($L2636,分录报销!$L:$L,0)),"")</f>
        <v/>
      </c>
      <c r="E2636" s="23" t="str">
        <f aca="false">IFERROR(INDEX(分录报销!$F:$F,MATCH($L2636,分录报销!$L:$L,0)),"")</f>
        <v/>
      </c>
      <c r="F2636" s="68" t="str">
        <f aca="false">IFERROR(INDEX(分录报销!$H:$H,MATCH($L2636,分录报销!$L:$L,0)),"")</f>
        <v/>
      </c>
      <c r="G2636" s="69" t="str">
        <f aca="false">IFERROR(INDEX(分录报销!$I:$I,MATCH($L2636,分录报销!$L:$L,0)),"")</f>
        <v/>
      </c>
      <c r="H2636" s="23"/>
      <c r="I2636" s="70"/>
      <c r="L2636" s="71" t="n">
        <f aca="false">IF(助手报销!$R$177="",-1,助手报销!$R$177*100+(助手报销!$S$177-1)*6+6)</f>
        <v>-1</v>
      </c>
    </row>
    <row r="2637" customFormat="false" ht="23.25" hidden="false" customHeight="true" outlineLevel="0" collapsed="false">
      <c r="B2637" s="72" t="str">
        <f aca="false">IF(助手报销!$T$177=1,"合计：","")</f>
        <v/>
      </c>
      <c r="C2637" s="73" t="str">
        <f aca="false">IF(助手报销!$T$177=1,$F2637,"")</f>
        <v/>
      </c>
      <c r="D2637" s="74"/>
      <c r="E2637" s="74"/>
      <c r="F2637" s="75" t="str">
        <f aca="false">IF(助手报销!$T$177=1,INDEX(助手报销!$N$2:$N$121,助手报销!$R$177),"")</f>
        <v/>
      </c>
      <c r="G2637" s="76" t="str">
        <f aca="false">IF(助手报销!$T$177=1,INDEX(助手报销!$O$2:$O$121,助手报销!$R$177),"")</f>
        <v/>
      </c>
      <c r="H2637" s="74"/>
      <c r="I2637" s="77"/>
    </row>
    <row r="2638" customFormat="false" ht="6" hidden="false" customHeight="true" outlineLevel="0" collapsed="false"/>
    <row r="2639" customFormat="false" ht="13.5" hidden="false" customHeight="false" outlineLevel="0" collapsed="false">
      <c r="B2639" s="78" t="str">
        <f aca="false">IF(助手报销!$R$177&lt;&gt;"","会计主管：","")</f>
        <v/>
      </c>
      <c r="D2639" s="78" t="str">
        <f aca="false">IF(助手报销!$R$177&lt;&gt;"","会计：","")</f>
        <v/>
      </c>
      <c r="E2639" s="78" t="str">
        <f aca="false">IF(助手报销!$R$177&lt;&gt;"","出纳：","")</f>
        <v/>
      </c>
      <c r="F2639" s="78" t="str">
        <f aca="false">IF(助手报销!$R$177&lt;&gt;"","复核：","")</f>
        <v/>
      </c>
      <c r="G2639" s="78" t="str">
        <f aca="false">IF(助手报销!$R$177&lt;&gt;"","制单：","")</f>
        <v/>
      </c>
    </row>
    <row r="2640" customFormat="false" ht="3" hidden="false" customHeight="true" outlineLevel="0" collapsed="false"/>
    <row r="2641" customFormat="false" ht="19.5" hidden="false" customHeight="true" outlineLevel="0" collapsed="false">
      <c r="B2641" s="53" t="str">
        <f aca="false">IF(助手报销!$R$178&lt;&gt;"","记  账  凭  证","")</f>
        <v/>
      </c>
      <c r="C2641" s="53"/>
      <c r="D2641" s="53"/>
      <c r="E2641" s="53"/>
      <c r="F2641" s="53"/>
      <c r="G2641" s="53"/>
      <c r="H2641" s="53"/>
      <c r="I2641" s="53"/>
    </row>
    <row r="2642" customFormat="false" ht="3" hidden="false" customHeight="true" outlineLevel="0" collapsed="false"/>
    <row r="2643" customFormat="false" ht="15" hidden="false" customHeight="true" outlineLevel="0" collapsed="false">
      <c r="C2643" s="56" t="str">
        <f aca="false">IF(助手报销!$R$178&lt;&gt;"",INDEX(助手报销!$B$2:$B$121,助手报销!$R$178),"")</f>
        <v/>
      </c>
      <c r="D2643" s="57" t="str">
        <f aca="false">IF(助手报销!$R$178&lt;&gt;"",INDEX(助手报销!$D$2:$D$121,助手报销!$R$178),"")</f>
        <v/>
      </c>
      <c r="E2643" s="57"/>
      <c r="F2643" s="58" t="str">
        <f aca="false">IF(助手报销!$R$178&lt;&gt;"",INDEX(助手报销!$C$2:$C$121,助手报销!$R$178)&amp;"  字第 "&amp;IF(参数!$B$9="是",INDEX(助手报销!$P$2:$P$121,助手报销!$R$178),"　　　　")&amp;" 号"&amp;IF(INDEX(助手报销!$L$2:$L$121,助手报销!$R$178)&gt;1,"  (共"&amp;INDEX(助手报销!$L$2:$L$121,助手报销!$R$178)&amp;"页 第"&amp;助手报销!$S$178&amp;"页)",""),"")</f>
        <v/>
      </c>
      <c r="G2643" s="58"/>
      <c r="H2643" s="58"/>
      <c r="I2643" s="58"/>
      <c r="M2643" s="79" t="str">
        <f aca="false">IF(助手报销!$R$178="","",助手报销!$Q$178)</f>
        <v/>
      </c>
      <c r="N2643" s="80" t="str">
        <f aca="false">IF(助手报销!$R$178="","",INDEX(助手报销!$P$2:$P$121,助手报销!$R$178))</f>
        <v/>
      </c>
      <c r="O2643" s="55" t="str">
        <f aca="false">IF(助手报销!$R$178="","",INDEX(助手报销!$C$2:$C$121,助手报销!$R$178)&amp;"  字第 "&amp;INDEX(助手报销!$P$2:$P$121,助手报销!$R$178)&amp;" 号"&amp;IF(INDEX(助手报销!$L$2:$L$121,助手报销!$R$178)&gt;1,"  (共"&amp;INDEX(助手报销!$L$2:$L$121,助手报销!$R$178)&amp;"页 第"&amp;助手报销!$S$178&amp;"页)",""))</f>
        <v/>
      </c>
    </row>
    <row r="2644" customFormat="false" ht="12.75" hidden="false" customHeight="true" outlineLevel="0" collapsed="false">
      <c r="B2644" s="61" t="str">
        <f aca="false">IF(助手报销!$R$178&lt;&gt;"","摘　　要","")</f>
        <v/>
      </c>
      <c r="C2644" s="61"/>
      <c r="D2644" s="62" t="str">
        <f aca="false">IF(助手报销!$R$178&lt;&gt;"","科　　　　目","")</f>
        <v/>
      </c>
      <c r="E2644" s="62"/>
      <c r="F2644" s="61" t="str">
        <f aca="false">IF(助手报销!$R$178&lt;&gt;"","借 方 金 额","")</f>
        <v/>
      </c>
      <c r="G2644" s="62" t="str">
        <f aca="false">IF(助手报销!$R$178&lt;&gt;"","贷 方 金 额","")</f>
        <v/>
      </c>
      <c r="H2644" s="63" t="str">
        <f aca="false">IF(助手报销!$R$178&lt;&gt;"","√","")</f>
        <v/>
      </c>
      <c r="I2644" s="64" t="str">
        <f aca="false">IF(助手报销!$R$178&lt;&gt;"","附单据  张","")</f>
        <v/>
      </c>
    </row>
    <row r="2645" customFormat="false" ht="12.75" hidden="false" customHeight="true" outlineLevel="0" collapsed="false">
      <c r="B2645" s="61"/>
      <c r="C2645" s="61"/>
      <c r="D2645" s="23" t="str">
        <f aca="false">IF(助手报销!$R$178&lt;&gt;"","总 账 科 目","")</f>
        <v/>
      </c>
      <c r="E2645" s="23" t="str">
        <f aca="false">IF(助手报销!$R$178&lt;&gt;"","明 细 科 目","")</f>
        <v/>
      </c>
      <c r="F2645" s="65"/>
      <c r="G2645" s="66"/>
      <c r="H2645" s="63"/>
      <c r="I2645" s="64"/>
    </row>
    <row r="2646" customFormat="false" ht="23.25" hidden="false" customHeight="true" outlineLevel="0" collapsed="false">
      <c r="B2646" s="67" t="str">
        <f aca="false">IFERROR(INDEX(分录报销!$M:$M,MATCH($L2646,分录报销!$L:$L,0)),"")</f>
        <v/>
      </c>
      <c r="C2646" s="67"/>
      <c r="D2646" s="23" t="str">
        <f aca="false">IFERROR(INDEX(分录报销!$E:$E,MATCH($L2646,分录报销!$L:$L,0)),"")</f>
        <v/>
      </c>
      <c r="E2646" s="23" t="str">
        <f aca="false">IFERROR(INDEX(分录报销!$F:$F,MATCH($L2646,分录报销!$L:$L,0)),"")</f>
        <v/>
      </c>
      <c r="F2646" s="68" t="str">
        <f aca="false">IFERROR(INDEX(分录报销!$H:$H,MATCH($L2646,分录报销!$L:$L,0)),"")</f>
        <v/>
      </c>
      <c r="G2646" s="69" t="str">
        <f aca="false">IFERROR(INDEX(分录报销!$I:$I,MATCH($L2646,分录报销!$L:$L,0)),"")</f>
        <v/>
      </c>
      <c r="H2646" s="23"/>
      <c r="I2646" s="70"/>
      <c r="L2646" s="71" t="n">
        <f aca="false">IF(助手报销!$R$178="",-1,助手报销!$R$178*100+(助手报销!$S$178-1)*6+1)</f>
        <v>-1</v>
      </c>
    </row>
    <row r="2647" customFormat="false" ht="23.25" hidden="false" customHeight="true" outlineLevel="0" collapsed="false">
      <c r="B2647" s="67" t="str">
        <f aca="false">IFERROR(INDEX(分录报销!$M:$M,MATCH($L2647,分录报销!$L:$L,0)),"")</f>
        <v/>
      </c>
      <c r="C2647" s="67"/>
      <c r="D2647" s="23" t="str">
        <f aca="false">IFERROR(INDEX(分录报销!$E:$E,MATCH($L2647,分录报销!$L:$L,0)),"")</f>
        <v/>
      </c>
      <c r="E2647" s="23" t="str">
        <f aca="false">IFERROR(INDEX(分录报销!$F:$F,MATCH($L2647,分录报销!$L:$L,0)),"")</f>
        <v/>
      </c>
      <c r="F2647" s="68" t="str">
        <f aca="false">IFERROR(INDEX(分录报销!$H:$H,MATCH($L2647,分录报销!$L:$L,0)),"")</f>
        <v/>
      </c>
      <c r="G2647" s="69" t="str">
        <f aca="false">IFERROR(INDEX(分录报销!$I:$I,MATCH($L2647,分录报销!$L:$L,0)),"")</f>
        <v/>
      </c>
      <c r="H2647" s="23"/>
      <c r="I2647" s="70"/>
      <c r="L2647" s="71" t="n">
        <f aca="false">IF(助手报销!$R$178="",-1,助手报销!$R$178*100+(助手报销!$S$178-1)*6+2)</f>
        <v>-1</v>
      </c>
    </row>
    <row r="2648" customFormat="false" ht="23.25" hidden="false" customHeight="true" outlineLevel="0" collapsed="false">
      <c r="B2648" s="67" t="str">
        <f aca="false">IFERROR(INDEX(分录报销!$M:$M,MATCH($L2648,分录报销!$L:$L,0)),"")</f>
        <v/>
      </c>
      <c r="C2648" s="67"/>
      <c r="D2648" s="23" t="str">
        <f aca="false">IFERROR(INDEX(分录报销!$E:$E,MATCH($L2648,分录报销!$L:$L,0)),"")</f>
        <v/>
      </c>
      <c r="E2648" s="23" t="str">
        <f aca="false">IFERROR(INDEX(分录报销!$F:$F,MATCH($L2648,分录报销!$L:$L,0)),"")</f>
        <v/>
      </c>
      <c r="F2648" s="68" t="str">
        <f aca="false">IFERROR(INDEX(分录报销!$H:$H,MATCH($L2648,分录报销!$L:$L,0)),"")</f>
        <v/>
      </c>
      <c r="G2648" s="69" t="str">
        <f aca="false">IFERROR(INDEX(分录报销!$I:$I,MATCH($L2648,分录报销!$L:$L,0)),"")</f>
        <v/>
      </c>
      <c r="H2648" s="23"/>
      <c r="I2648" s="70"/>
      <c r="L2648" s="71" t="n">
        <f aca="false">IF(助手报销!$R$178="",-1,助手报销!$R$178*100+(助手报销!$S$178-1)*6+3)</f>
        <v>-1</v>
      </c>
    </row>
    <row r="2649" customFormat="false" ht="23.25" hidden="false" customHeight="true" outlineLevel="0" collapsed="false">
      <c r="B2649" s="67" t="str">
        <f aca="false">IFERROR(INDEX(分录报销!$M:$M,MATCH($L2649,分录报销!$L:$L,0)),"")</f>
        <v/>
      </c>
      <c r="C2649" s="67"/>
      <c r="D2649" s="23" t="str">
        <f aca="false">IFERROR(INDEX(分录报销!$E:$E,MATCH($L2649,分录报销!$L:$L,0)),"")</f>
        <v/>
      </c>
      <c r="E2649" s="23" t="str">
        <f aca="false">IFERROR(INDEX(分录报销!$F:$F,MATCH($L2649,分录报销!$L:$L,0)),"")</f>
        <v/>
      </c>
      <c r="F2649" s="68" t="str">
        <f aca="false">IFERROR(INDEX(分录报销!$H:$H,MATCH($L2649,分录报销!$L:$L,0)),"")</f>
        <v/>
      </c>
      <c r="G2649" s="69" t="str">
        <f aca="false">IFERROR(INDEX(分录报销!$I:$I,MATCH($L2649,分录报销!$L:$L,0)),"")</f>
        <v/>
      </c>
      <c r="H2649" s="23"/>
      <c r="I2649" s="70"/>
      <c r="L2649" s="71" t="n">
        <f aca="false">IF(助手报销!$R$178="",-1,助手报销!$R$178*100+(助手报销!$S$178-1)*6+4)</f>
        <v>-1</v>
      </c>
    </row>
    <row r="2650" customFormat="false" ht="23.25" hidden="false" customHeight="true" outlineLevel="0" collapsed="false">
      <c r="B2650" s="67" t="str">
        <f aca="false">IFERROR(INDEX(分录报销!$M:$M,MATCH($L2650,分录报销!$L:$L,0)),"")</f>
        <v/>
      </c>
      <c r="C2650" s="67"/>
      <c r="D2650" s="23" t="str">
        <f aca="false">IFERROR(INDEX(分录报销!$E:$E,MATCH($L2650,分录报销!$L:$L,0)),"")</f>
        <v/>
      </c>
      <c r="E2650" s="23" t="str">
        <f aca="false">IFERROR(INDEX(分录报销!$F:$F,MATCH($L2650,分录报销!$L:$L,0)),"")</f>
        <v/>
      </c>
      <c r="F2650" s="68" t="str">
        <f aca="false">IFERROR(INDEX(分录报销!$H:$H,MATCH($L2650,分录报销!$L:$L,0)),"")</f>
        <v/>
      </c>
      <c r="G2650" s="69" t="str">
        <f aca="false">IFERROR(INDEX(分录报销!$I:$I,MATCH($L2650,分录报销!$L:$L,0)),"")</f>
        <v/>
      </c>
      <c r="H2650" s="23"/>
      <c r="I2650" s="70"/>
      <c r="L2650" s="71" t="n">
        <f aca="false">IF(助手报销!$R$178="",-1,助手报销!$R$178*100+(助手报销!$S$178-1)*6+5)</f>
        <v>-1</v>
      </c>
    </row>
    <row r="2651" customFormat="false" ht="23.25" hidden="false" customHeight="true" outlineLevel="0" collapsed="false">
      <c r="B2651" s="67" t="str">
        <f aca="false">IFERROR(INDEX(分录报销!$M:$M,MATCH($L2651,分录报销!$L:$L,0)),"")</f>
        <v/>
      </c>
      <c r="C2651" s="67"/>
      <c r="D2651" s="23" t="str">
        <f aca="false">IFERROR(INDEX(分录报销!$E:$E,MATCH($L2651,分录报销!$L:$L,0)),"")</f>
        <v/>
      </c>
      <c r="E2651" s="23" t="str">
        <f aca="false">IFERROR(INDEX(分录报销!$F:$F,MATCH($L2651,分录报销!$L:$L,0)),"")</f>
        <v/>
      </c>
      <c r="F2651" s="68" t="str">
        <f aca="false">IFERROR(INDEX(分录报销!$H:$H,MATCH($L2651,分录报销!$L:$L,0)),"")</f>
        <v/>
      </c>
      <c r="G2651" s="69" t="str">
        <f aca="false">IFERROR(INDEX(分录报销!$I:$I,MATCH($L2651,分录报销!$L:$L,0)),"")</f>
        <v/>
      </c>
      <c r="H2651" s="23"/>
      <c r="I2651" s="70"/>
      <c r="L2651" s="71" t="n">
        <f aca="false">IF(助手报销!$R$178="",-1,助手报销!$R$178*100+(助手报销!$S$178-1)*6+6)</f>
        <v>-1</v>
      </c>
    </row>
    <row r="2652" customFormat="false" ht="23.25" hidden="false" customHeight="true" outlineLevel="0" collapsed="false">
      <c r="B2652" s="72" t="str">
        <f aca="false">IF(助手报销!$T$178=1,"合计：","")</f>
        <v/>
      </c>
      <c r="C2652" s="73" t="str">
        <f aca="false">IF(助手报销!$T$178=1,$F2652,"")</f>
        <v/>
      </c>
      <c r="D2652" s="74"/>
      <c r="E2652" s="74"/>
      <c r="F2652" s="75" t="str">
        <f aca="false">IF(助手报销!$T$178=1,INDEX(助手报销!$N$2:$N$121,助手报销!$R$178),"")</f>
        <v/>
      </c>
      <c r="G2652" s="76" t="str">
        <f aca="false">IF(助手报销!$T$178=1,INDEX(助手报销!$O$2:$O$121,助手报销!$R$178),"")</f>
        <v/>
      </c>
      <c r="H2652" s="74"/>
      <c r="I2652" s="77"/>
    </row>
    <row r="2653" customFormat="false" ht="6" hidden="false" customHeight="true" outlineLevel="0" collapsed="false"/>
    <row r="2654" customFormat="false" ht="13.5" hidden="false" customHeight="false" outlineLevel="0" collapsed="false">
      <c r="B2654" s="78" t="str">
        <f aca="false">IF(助手报销!$R$178&lt;&gt;"","会计主管：","")</f>
        <v/>
      </c>
      <c r="D2654" s="78" t="str">
        <f aca="false">IF(助手报销!$R$178&lt;&gt;"","会计：","")</f>
        <v/>
      </c>
      <c r="E2654" s="78" t="str">
        <f aca="false">IF(助手报销!$R$178&lt;&gt;"","出纳：","")</f>
        <v/>
      </c>
      <c r="F2654" s="78" t="str">
        <f aca="false">IF(助手报销!$R$178&lt;&gt;"","复核：","")</f>
        <v/>
      </c>
      <c r="G2654" s="78" t="str">
        <f aca="false">IF(助手报销!$R$178&lt;&gt;"","制单：","")</f>
        <v/>
      </c>
    </row>
    <row r="2655" customFormat="false" ht="3" hidden="false" customHeight="true" outlineLevel="0" collapsed="false"/>
    <row r="2656" customFormat="false" ht="19.5" hidden="false" customHeight="true" outlineLevel="0" collapsed="false">
      <c r="B2656" s="53" t="str">
        <f aca="false">IF(助手报销!$R$179&lt;&gt;"","记  账  凭  证","")</f>
        <v/>
      </c>
      <c r="C2656" s="53"/>
      <c r="D2656" s="53"/>
      <c r="E2656" s="53"/>
      <c r="F2656" s="53"/>
      <c r="G2656" s="53"/>
      <c r="H2656" s="53"/>
      <c r="I2656" s="53"/>
    </row>
    <row r="2657" customFormat="false" ht="3" hidden="false" customHeight="true" outlineLevel="0" collapsed="false"/>
    <row r="2658" customFormat="false" ht="15" hidden="false" customHeight="true" outlineLevel="0" collapsed="false">
      <c r="C2658" s="56" t="str">
        <f aca="false">IF(助手报销!$R$179&lt;&gt;"",INDEX(助手报销!$B$2:$B$121,助手报销!$R$179),"")</f>
        <v/>
      </c>
      <c r="D2658" s="57" t="str">
        <f aca="false">IF(助手报销!$R$179&lt;&gt;"",INDEX(助手报销!$D$2:$D$121,助手报销!$R$179),"")</f>
        <v/>
      </c>
      <c r="E2658" s="57"/>
      <c r="F2658" s="58" t="str">
        <f aca="false">IF(助手报销!$R$179&lt;&gt;"",INDEX(助手报销!$C$2:$C$121,助手报销!$R$179)&amp;"  字第 "&amp;IF(参数!$B$9="是",INDEX(助手报销!$P$2:$P$121,助手报销!$R$179),"　　　　")&amp;" 号"&amp;IF(INDEX(助手报销!$L$2:$L$121,助手报销!$R$179)&gt;1,"  (共"&amp;INDEX(助手报销!$L$2:$L$121,助手报销!$R$179)&amp;"页 第"&amp;助手报销!$S$179&amp;"页)",""),"")</f>
        <v/>
      </c>
      <c r="G2658" s="58"/>
      <c r="H2658" s="58"/>
      <c r="I2658" s="58"/>
      <c r="M2658" s="79" t="str">
        <f aca="false">IF(助手报销!$R$179="","",助手报销!$Q$179)</f>
        <v/>
      </c>
      <c r="N2658" s="80" t="str">
        <f aca="false">IF(助手报销!$R$179="","",INDEX(助手报销!$P$2:$P$121,助手报销!$R$179))</f>
        <v/>
      </c>
      <c r="O2658" s="55" t="str">
        <f aca="false">IF(助手报销!$R$179="","",INDEX(助手报销!$C$2:$C$121,助手报销!$R$179)&amp;"  字第 "&amp;INDEX(助手报销!$P$2:$P$121,助手报销!$R$179)&amp;" 号"&amp;IF(INDEX(助手报销!$L$2:$L$121,助手报销!$R$179)&gt;1,"  (共"&amp;INDEX(助手报销!$L$2:$L$121,助手报销!$R$179)&amp;"页 第"&amp;助手报销!$S$179&amp;"页)",""))</f>
        <v/>
      </c>
    </row>
    <row r="2659" customFormat="false" ht="12.75" hidden="false" customHeight="true" outlineLevel="0" collapsed="false">
      <c r="B2659" s="61" t="str">
        <f aca="false">IF(助手报销!$R$179&lt;&gt;"","摘　　要","")</f>
        <v/>
      </c>
      <c r="C2659" s="61"/>
      <c r="D2659" s="62" t="str">
        <f aca="false">IF(助手报销!$R$179&lt;&gt;"","科　　　　目","")</f>
        <v/>
      </c>
      <c r="E2659" s="62"/>
      <c r="F2659" s="61" t="str">
        <f aca="false">IF(助手报销!$R$179&lt;&gt;"","借 方 金 额","")</f>
        <v/>
      </c>
      <c r="G2659" s="62" t="str">
        <f aca="false">IF(助手报销!$R$179&lt;&gt;"","贷 方 金 额","")</f>
        <v/>
      </c>
      <c r="H2659" s="63" t="str">
        <f aca="false">IF(助手报销!$R$179&lt;&gt;"","√","")</f>
        <v/>
      </c>
      <c r="I2659" s="64" t="str">
        <f aca="false">IF(助手报销!$R$179&lt;&gt;"","附单据  张","")</f>
        <v/>
      </c>
    </row>
    <row r="2660" customFormat="false" ht="12.75" hidden="false" customHeight="true" outlineLevel="0" collapsed="false">
      <c r="B2660" s="61"/>
      <c r="C2660" s="61"/>
      <c r="D2660" s="23" t="str">
        <f aca="false">IF(助手报销!$R$179&lt;&gt;"","总 账 科 目","")</f>
        <v/>
      </c>
      <c r="E2660" s="23" t="str">
        <f aca="false">IF(助手报销!$R$179&lt;&gt;"","明 细 科 目","")</f>
        <v/>
      </c>
      <c r="F2660" s="65"/>
      <c r="G2660" s="66"/>
      <c r="H2660" s="63"/>
      <c r="I2660" s="64"/>
    </row>
    <row r="2661" customFormat="false" ht="23.25" hidden="false" customHeight="true" outlineLevel="0" collapsed="false">
      <c r="B2661" s="67" t="str">
        <f aca="false">IFERROR(INDEX(分录报销!$M:$M,MATCH($L2661,分录报销!$L:$L,0)),"")</f>
        <v/>
      </c>
      <c r="C2661" s="67"/>
      <c r="D2661" s="23" t="str">
        <f aca="false">IFERROR(INDEX(分录报销!$E:$E,MATCH($L2661,分录报销!$L:$L,0)),"")</f>
        <v/>
      </c>
      <c r="E2661" s="23" t="str">
        <f aca="false">IFERROR(INDEX(分录报销!$F:$F,MATCH($L2661,分录报销!$L:$L,0)),"")</f>
        <v/>
      </c>
      <c r="F2661" s="68" t="str">
        <f aca="false">IFERROR(INDEX(分录报销!$H:$H,MATCH($L2661,分录报销!$L:$L,0)),"")</f>
        <v/>
      </c>
      <c r="G2661" s="69" t="str">
        <f aca="false">IFERROR(INDEX(分录报销!$I:$I,MATCH($L2661,分录报销!$L:$L,0)),"")</f>
        <v/>
      </c>
      <c r="H2661" s="23"/>
      <c r="I2661" s="70"/>
      <c r="L2661" s="71" t="n">
        <f aca="false">IF(助手报销!$R$179="",-1,助手报销!$R$179*100+(助手报销!$S$179-1)*6+1)</f>
        <v>-1</v>
      </c>
    </row>
    <row r="2662" customFormat="false" ht="23.25" hidden="false" customHeight="true" outlineLevel="0" collapsed="false">
      <c r="B2662" s="67" t="str">
        <f aca="false">IFERROR(INDEX(分录报销!$M:$M,MATCH($L2662,分录报销!$L:$L,0)),"")</f>
        <v/>
      </c>
      <c r="C2662" s="67"/>
      <c r="D2662" s="23" t="str">
        <f aca="false">IFERROR(INDEX(分录报销!$E:$E,MATCH($L2662,分录报销!$L:$L,0)),"")</f>
        <v/>
      </c>
      <c r="E2662" s="23" t="str">
        <f aca="false">IFERROR(INDEX(分录报销!$F:$F,MATCH($L2662,分录报销!$L:$L,0)),"")</f>
        <v/>
      </c>
      <c r="F2662" s="68" t="str">
        <f aca="false">IFERROR(INDEX(分录报销!$H:$H,MATCH($L2662,分录报销!$L:$L,0)),"")</f>
        <v/>
      </c>
      <c r="G2662" s="69" t="str">
        <f aca="false">IFERROR(INDEX(分录报销!$I:$I,MATCH($L2662,分录报销!$L:$L,0)),"")</f>
        <v/>
      </c>
      <c r="H2662" s="23"/>
      <c r="I2662" s="70"/>
      <c r="L2662" s="71" t="n">
        <f aca="false">IF(助手报销!$R$179="",-1,助手报销!$R$179*100+(助手报销!$S$179-1)*6+2)</f>
        <v>-1</v>
      </c>
    </row>
    <row r="2663" customFormat="false" ht="23.25" hidden="false" customHeight="true" outlineLevel="0" collapsed="false">
      <c r="B2663" s="67" t="str">
        <f aca="false">IFERROR(INDEX(分录报销!$M:$M,MATCH($L2663,分录报销!$L:$L,0)),"")</f>
        <v/>
      </c>
      <c r="C2663" s="67"/>
      <c r="D2663" s="23" t="str">
        <f aca="false">IFERROR(INDEX(分录报销!$E:$E,MATCH($L2663,分录报销!$L:$L,0)),"")</f>
        <v/>
      </c>
      <c r="E2663" s="23" t="str">
        <f aca="false">IFERROR(INDEX(分录报销!$F:$F,MATCH($L2663,分录报销!$L:$L,0)),"")</f>
        <v/>
      </c>
      <c r="F2663" s="68" t="str">
        <f aca="false">IFERROR(INDEX(分录报销!$H:$H,MATCH($L2663,分录报销!$L:$L,0)),"")</f>
        <v/>
      </c>
      <c r="G2663" s="69" t="str">
        <f aca="false">IFERROR(INDEX(分录报销!$I:$I,MATCH($L2663,分录报销!$L:$L,0)),"")</f>
        <v/>
      </c>
      <c r="H2663" s="23"/>
      <c r="I2663" s="70"/>
      <c r="L2663" s="71" t="n">
        <f aca="false">IF(助手报销!$R$179="",-1,助手报销!$R$179*100+(助手报销!$S$179-1)*6+3)</f>
        <v>-1</v>
      </c>
    </row>
    <row r="2664" customFormat="false" ht="23.25" hidden="false" customHeight="true" outlineLevel="0" collapsed="false">
      <c r="B2664" s="67" t="str">
        <f aca="false">IFERROR(INDEX(分录报销!$M:$M,MATCH($L2664,分录报销!$L:$L,0)),"")</f>
        <v/>
      </c>
      <c r="C2664" s="67"/>
      <c r="D2664" s="23" t="str">
        <f aca="false">IFERROR(INDEX(分录报销!$E:$E,MATCH($L2664,分录报销!$L:$L,0)),"")</f>
        <v/>
      </c>
      <c r="E2664" s="23" t="str">
        <f aca="false">IFERROR(INDEX(分录报销!$F:$F,MATCH($L2664,分录报销!$L:$L,0)),"")</f>
        <v/>
      </c>
      <c r="F2664" s="68" t="str">
        <f aca="false">IFERROR(INDEX(分录报销!$H:$H,MATCH($L2664,分录报销!$L:$L,0)),"")</f>
        <v/>
      </c>
      <c r="G2664" s="69" t="str">
        <f aca="false">IFERROR(INDEX(分录报销!$I:$I,MATCH($L2664,分录报销!$L:$L,0)),"")</f>
        <v/>
      </c>
      <c r="H2664" s="23"/>
      <c r="I2664" s="70"/>
      <c r="L2664" s="71" t="n">
        <f aca="false">IF(助手报销!$R$179="",-1,助手报销!$R$179*100+(助手报销!$S$179-1)*6+4)</f>
        <v>-1</v>
      </c>
    </row>
    <row r="2665" customFormat="false" ht="23.25" hidden="false" customHeight="true" outlineLevel="0" collapsed="false">
      <c r="B2665" s="67" t="str">
        <f aca="false">IFERROR(INDEX(分录报销!$M:$M,MATCH($L2665,分录报销!$L:$L,0)),"")</f>
        <v/>
      </c>
      <c r="C2665" s="67"/>
      <c r="D2665" s="23" t="str">
        <f aca="false">IFERROR(INDEX(分录报销!$E:$E,MATCH($L2665,分录报销!$L:$L,0)),"")</f>
        <v/>
      </c>
      <c r="E2665" s="23" t="str">
        <f aca="false">IFERROR(INDEX(分录报销!$F:$F,MATCH($L2665,分录报销!$L:$L,0)),"")</f>
        <v/>
      </c>
      <c r="F2665" s="68" t="str">
        <f aca="false">IFERROR(INDEX(分录报销!$H:$H,MATCH($L2665,分录报销!$L:$L,0)),"")</f>
        <v/>
      </c>
      <c r="G2665" s="69" t="str">
        <f aca="false">IFERROR(INDEX(分录报销!$I:$I,MATCH($L2665,分录报销!$L:$L,0)),"")</f>
        <v/>
      </c>
      <c r="H2665" s="23"/>
      <c r="I2665" s="70"/>
      <c r="L2665" s="71" t="n">
        <f aca="false">IF(助手报销!$R$179="",-1,助手报销!$R$179*100+(助手报销!$S$179-1)*6+5)</f>
        <v>-1</v>
      </c>
    </row>
    <row r="2666" customFormat="false" ht="23.25" hidden="false" customHeight="true" outlineLevel="0" collapsed="false">
      <c r="B2666" s="67" t="str">
        <f aca="false">IFERROR(INDEX(分录报销!$M:$M,MATCH($L2666,分录报销!$L:$L,0)),"")</f>
        <v/>
      </c>
      <c r="C2666" s="67"/>
      <c r="D2666" s="23" t="str">
        <f aca="false">IFERROR(INDEX(分录报销!$E:$E,MATCH($L2666,分录报销!$L:$L,0)),"")</f>
        <v/>
      </c>
      <c r="E2666" s="23" t="str">
        <f aca="false">IFERROR(INDEX(分录报销!$F:$F,MATCH($L2666,分录报销!$L:$L,0)),"")</f>
        <v/>
      </c>
      <c r="F2666" s="68" t="str">
        <f aca="false">IFERROR(INDEX(分录报销!$H:$H,MATCH($L2666,分录报销!$L:$L,0)),"")</f>
        <v/>
      </c>
      <c r="G2666" s="69" t="str">
        <f aca="false">IFERROR(INDEX(分录报销!$I:$I,MATCH($L2666,分录报销!$L:$L,0)),"")</f>
        <v/>
      </c>
      <c r="H2666" s="23"/>
      <c r="I2666" s="70"/>
      <c r="L2666" s="71" t="n">
        <f aca="false">IF(助手报销!$R$179="",-1,助手报销!$R$179*100+(助手报销!$S$179-1)*6+6)</f>
        <v>-1</v>
      </c>
    </row>
    <row r="2667" customFormat="false" ht="23.25" hidden="false" customHeight="true" outlineLevel="0" collapsed="false">
      <c r="B2667" s="72" t="str">
        <f aca="false">IF(助手报销!$T$179=1,"合计：","")</f>
        <v/>
      </c>
      <c r="C2667" s="73" t="str">
        <f aca="false">IF(助手报销!$T$179=1,$F2667,"")</f>
        <v/>
      </c>
      <c r="D2667" s="74"/>
      <c r="E2667" s="74"/>
      <c r="F2667" s="75" t="str">
        <f aca="false">IF(助手报销!$T$179=1,INDEX(助手报销!$N$2:$N$121,助手报销!$R$179),"")</f>
        <v/>
      </c>
      <c r="G2667" s="76" t="str">
        <f aca="false">IF(助手报销!$T$179=1,INDEX(助手报销!$O$2:$O$121,助手报销!$R$179),"")</f>
        <v/>
      </c>
      <c r="H2667" s="74"/>
      <c r="I2667" s="77"/>
    </row>
    <row r="2668" customFormat="false" ht="6" hidden="false" customHeight="true" outlineLevel="0" collapsed="false"/>
    <row r="2669" customFormat="false" ht="13.5" hidden="false" customHeight="false" outlineLevel="0" collapsed="false">
      <c r="B2669" s="78" t="str">
        <f aca="false">IF(助手报销!$R$179&lt;&gt;"","会计主管：","")</f>
        <v/>
      </c>
      <c r="D2669" s="78" t="str">
        <f aca="false">IF(助手报销!$R$179&lt;&gt;"","会计：","")</f>
        <v/>
      </c>
      <c r="E2669" s="78" t="str">
        <f aca="false">IF(助手报销!$R$179&lt;&gt;"","出纳：","")</f>
        <v/>
      </c>
      <c r="F2669" s="78" t="str">
        <f aca="false">IF(助手报销!$R$179&lt;&gt;"","复核：","")</f>
        <v/>
      </c>
      <c r="G2669" s="78" t="str">
        <f aca="false">IF(助手报销!$R$179&lt;&gt;"","制单：","")</f>
        <v/>
      </c>
    </row>
    <row r="2670" customFormat="false" ht="3" hidden="false" customHeight="true" outlineLevel="0" collapsed="false"/>
    <row r="2671" customFormat="false" ht="19.5" hidden="false" customHeight="true" outlineLevel="0" collapsed="false">
      <c r="B2671" s="53" t="str">
        <f aca="false">IF(助手报销!$R$180&lt;&gt;"","记  账  凭  证","")</f>
        <v/>
      </c>
      <c r="C2671" s="53"/>
      <c r="D2671" s="53"/>
      <c r="E2671" s="53"/>
      <c r="F2671" s="53"/>
      <c r="G2671" s="53"/>
      <c r="H2671" s="53"/>
      <c r="I2671" s="53"/>
    </row>
    <row r="2672" customFormat="false" ht="3" hidden="false" customHeight="true" outlineLevel="0" collapsed="false"/>
    <row r="2673" customFormat="false" ht="15" hidden="false" customHeight="true" outlineLevel="0" collapsed="false">
      <c r="C2673" s="56" t="str">
        <f aca="false">IF(助手报销!$R$180&lt;&gt;"",INDEX(助手报销!$B$2:$B$121,助手报销!$R$180),"")</f>
        <v/>
      </c>
      <c r="D2673" s="57" t="str">
        <f aca="false">IF(助手报销!$R$180&lt;&gt;"",INDEX(助手报销!$D$2:$D$121,助手报销!$R$180),"")</f>
        <v/>
      </c>
      <c r="E2673" s="57"/>
      <c r="F2673" s="58" t="str">
        <f aca="false">IF(助手报销!$R$180&lt;&gt;"",INDEX(助手报销!$C$2:$C$121,助手报销!$R$180)&amp;"  字第 "&amp;IF(参数!$B$9="是",INDEX(助手报销!$P$2:$P$121,助手报销!$R$180),"　　　　")&amp;" 号"&amp;IF(INDEX(助手报销!$L$2:$L$121,助手报销!$R$180)&gt;1,"  (共"&amp;INDEX(助手报销!$L$2:$L$121,助手报销!$R$180)&amp;"页 第"&amp;助手报销!$S$180&amp;"页)",""),"")</f>
        <v/>
      </c>
      <c r="G2673" s="58"/>
      <c r="H2673" s="58"/>
      <c r="I2673" s="58"/>
      <c r="M2673" s="79" t="str">
        <f aca="false">IF(助手报销!$R$180="","",助手报销!$Q$180)</f>
        <v/>
      </c>
      <c r="N2673" s="80" t="str">
        <f aca="false">IF(助手报销!$R$180="","",INDEX(助手报销!$P$2:$P$121,助手报销!$R$180))</f>
        <v/>
      </c>
      <c r="O2673" s="55" t="str">
        <f aca="false">IF(助手报销!$R$180="","",INDEX(助手报销!$C$2:$C$121,助手报销!$R$180)&amp;"  字第 "&amp;INDEX(助手报销!$P$2:$P$121,助手报销!$R$180)&amp;" 号"&amp;IF(INDEX(助手报销!$L$2:$L$121,助手报销!$R$180)&gt;1,"  (共"&amp;INDEX(助手报销!$L$2:$L$121,助手报销!$R$180)&amp;"页 第"&amp;助手报销!$S$180&amp;"页)",""))</f>
        <v/>
      </c>
    </row>
    <row r="2674" customFormat="false" ht="12.75" hidden="false" customHeight="true" outlineLevel="0" collapsed="false">
      <c r="B2674" s="61" t="str">
        <f aca="false">IF(助手报销!$R$180&lt;&gt;"","摘　　要","")</f>
        <v/>
      </c>
      <c r="C2674" s="61"/>
      <c r="D2674" s="62" t="str">
        <f aca="false">IF(助手报销!$R$180&lt;&gt;"","科　　　　目","")</f>
        <v/>
      </c>
      <c r="E2674" s="62"/>
      <c r="F2674" s="61" t="str">
        <f aca="false">IF(助手报销!$R$180&lt;&gt;"","借 方 金 额","")</f>
        <v/>
      </c>
      <c r="G2674" s="62" t="str">
        <f aca="false">IF(助手报销!$R$180&lt;&gt;"","贷 方 金 额","")</f>
        <v/>
      </c>
      <c r="H2674" s="63" t="str">
        <f aca="false">IF(助手报销!$R$180&lt;&gt;"","√","")</f>
        <v/>
      </c>
      <c r="I2674" s="64" t="str">
        <f aca="false">IF(助手报销!$R$180&lt;&gt;"","附单据  张","")</f>
        <v/>
      </c>
    </row>
    <row r="2675" customFormat="false" ht="12.75" hidden="false" customHeight="true" outlineLevel="0" collapsed="false">
      <c r="B2675" s="61"/>
      <c r="C2675" s="61"/>
      <c r="D2675" s="23" t="str">
        <f aca="false">IF(助手报销!$R$180&lt;&gt;"","总 账 科 目","")</f>
        <v/>
      </c>
      <c r="E2675" s="23" t="str">
        <f aca="false">IF(助手报销!$R$180&lt;&gt;"","明 细 科 目","")</f>
        <v/>
      </c>
      <c r="F2675" s="65"/>
      <c r="G2675" s="66"/>
      <c r="H2675" s="63"/>
      <c r="I2675" s="64"/>
    </row>
    <row r="2676" customFormat="false" ht="23.25" hidden="false" customHeight="true" outlineLevel="0" collapsed="false">
      <c r="B2676" s="67" t="str">
        <f aca="false">IFERROR(INDEX(分录报销!$M:$M,MATCH($L2676,分录报销!$L:$L,0)),"")</f>
        <v/>
      </c>
      <c r="C2676" s="67"/>
      <c r="D2676" s="23" t="str">
        <f aca="false">IFERROR(INDEX(分录报销!$E:$E,MATCH($L2676,分录报销!$L:$L,0)),"")</f>
        <v/>
      </c>
      <c r="E2676" s="23" t="str">
        <f aca="false">IFERROR(INDEX(分录报销!$F:$F,MATCH($L2676,分录报销!$L:$L,0)),"")</f>
        <v/>
      </c>
      <c r="F2676" s="68" t="str">
        <f aca="false">IFERROR(INDEX(分录报销!$H:$H,MATCH($L2676,分录报销!$L:$L,0)),"")</f>
        <v/>
      </c>
      <c r="G2676" s="69" t="str">
        <f aca="false">IFERROR(INDEX(分录报销!$I:$I,MATCH($L2676,分录报销!$L:$L,0)),"")</f>
        <v/>
      </c>
      <c r="H2676" s="23"/>
      <c r="I2676" s="70"/>
      <c r="L2676" s="71" t="n">
        <f aca="false">IF(助手报销!$R$180="",-1,助手报销!$R$180*100+(助手报销!$S$180-1)*6+1)</f>
        <v>-1</v>
      </c>
    </row>
    <row r="2677" customFormat="false" ht="23.25" hidden="false" customHeight="true" outlineLevel="0" collapsed="false">
      <c r="B2677" s="67" t="str">
        <f aca="false">IFERROR(INDEX(分录报销!$M:$M,MATCH($L2677,分录报销!$L:$L,0)),"")</f>
        <v/>
      </c>
      <c r="C2677" s="67"/>
      <c r="D2677" s="23" t="str">
        <f aca="false">IFERROR(INDEX(分录报销!$E:$E,MATCH($L2677,分录报销!$L:$L,0)),"")</f>
        <v/>
      </c>
      <c r="E2677" s="23" t="str">
        <f aca="false">IFERROR(INDEX(分录报销!$F:$F,MATCH($L2677,分录报销!$L:$L,0)),"")</f>
        <v/>
      </c>
      <c r="F2677" s="68" t="str">
        <f aca="false">IFERROR(INDEX(分录报销!$H:$H,MATCH($L2677,分录报销!$L:$L,0)),"")</f>
        <v/>
      </c>
      <c r="G2677" s="69" t="str">
        <f aca="false">IFERROR(INDEX(分录报销!$I:$I,MATCH($L2677,分录报销!$L:$L,0)),"")</f>
        <v/>
      </c>
      <c r="H2677" s="23"/>
      <c r="I2677" s="70"/>
      <c r="L2677" s="71" t="n">
        <f aca="false">IF(助手报销!$R$180="",-1,助手报销!$R$180*100+(助手报销!$S$180-1)*6+2)</f>
        <v>-1</v>
      </c>
    </row>
    <row r="2678" customFormat="false" ht="23.25" hidden="false" customHeight="true" outlineLevel="0" collapsed="false">
      <c r="B2678" s="67" t="str">
        <f aca="false">IFERROR(INDEX(分录报销!$M:$M,MATCH($L2678,分录报销!$L:$L,0)),"")</f>
        <v/>
      </c>
      <c r="C2678" s="67"/>
      <c r="D2678" s="23" t="str">
        <f aca="false">IFERROR(INDEX(分录报销!$E:$E,MATCH($L2678,分录报销!$L:$L,0)),"")</f>
        <v/>
      </c>
      <c r="E2678" s="23" t="str">
        <f aca="false">IFERROR(INDEX(分录报销!$F:$F,MATCH($L2678,分录报销!$L:$L,0)),"")</f>
        <v/>
      </c>
      <c r="F2678" s="68" t="str">
        <f aca="false">IFERROR(INDEX(分录报销!$H:$H,MATCH($L2678,分录报销!$L:$L,0)),"")</f>
        <v/>
      </c>
      <c r="G2678" s="69" t="str">
        <f aca="false">IFERROR(INDEX(分录报销!$I:$I,MATCH($L2678,分录报销!$L:$L,0)),"")</f>
        <v/>
      </c>
      <c r="H2678" s="23"/>
      <c r="I2678" s="70"/>
      <c r="L2678" s="71" t="n">
        <f aca="false">IF(助手报销!$R$180="",-1,助手报销!$R$180*100+(助手报销!$S$180-1)*6+3)</f>
        <v>-1</v>
      </c>
    </row>
    <row r="2679" customFormat="false" ht="23.25" hidden="false" customHeight="true" outlineLevel="0" collapsed="false">
      <c r="B2679" s="67" t="str">
        <f aca="false">IFERROR(INDEX(分录报销!$M:$M,MATCH($L2679,分录报销!$L:$L,0)),"")</f>
        <v/>
      </c>
      <c r="C2679" s="67"/>
      <c r="D2679" s="23" t="str">
        <f aca="false">IFERROR(INDEX(分录报销!$E:$E,MATCH($L2679,分录报销!$L:$L,0)),"")</f>
        <v/>
      </c>
      <c r="E2679" s="23" t="str">
        <f aca="false">IFERROR(INDEX(分录报销!$F:$F,MATCH($L2679,分录报销!$L:$L,0)),"")</f>
        <v/>
      </c>
      <c r="F2679" s="68" t="str">
        <f aca="false">IFERROR(INDEX(分录报销!$H:$H,MATCH($L2679,分录报销!$L:$L,0)),"")</f>
        <v/>
      </c>
      <c r="G2679" s="69" t="str">
        <f aca="false">IFERROR(INDEX(分录报销!$I:$I,MATCH($L2679,分录报销!$L:$L,0)),"")</f>
        <v/>
      </c>
      <c r="H2679" s="23"/>
      <c r="I2679" s="70"/>
      <c r="L2679" s="71" t="n">
        <f aca="false">IF(助手报销!$R$180="",-1,助手报销!$R$180*100+(助手报销!$S$180-1)*6+4)</f>
        <v>-1</v>
      </c>
    </row>
    <row r="2680" customFormat="false" ht="23.25" hidden="false" customHeight="true" outlineLevel="0" collapsed="false">
      <c r="B2680" s="67" t="str">
        <f aca="false">IFERROR(INDEX(分录报销!$M:$M,MATCH($L2680,分录报销!$L:$L,0)),"")</f>
        <v/>
      </c>
      <c r="C2680" s="67"/>
      <c r="D2680" s="23" t="str">
        <f aca="false">IFERROR(INDEX(分录报销!$E:$E,MATCH($L2680,分录报销!$L:$L,0)),"")</f>
        <v/>
      </c>
      <c r="E2680" s="23" t="str">
        <f aca="false">IFERROR(INDEX(分录报销!$F:$F,MATCH($L2680,分录报销!$L:$L,0)),"")</f>
        <v/>
      </c>
      <c r="F2680" s="68" t="str">
        <f aca="false">IFERROR(INDEX(分录报销!$H:$H,MATCH($L2680,分录报销!$L:$L,0)),"")</f>
        <v/>
      </c>
      <c r="G2680" s="69" t="str">
        <f aca="false">IFERROR(INDEX(分录报销!$I:$I,MATCH($L2680,分录报销!$L:$L,0)),"")</f>
        <v/>
      </c>
      <c r="H2680" s="23"/>
      <c r="I2680" s="70"/>
      <c r="L2680" s="71" t="n">
        <f aca="false">IF(助手报销!$R$180="",-1,助手报销!$R$180*100+(助手报销!$S$180-1)*6+5)</f>
        <v>-1</v>
      </c>
    </row>
    <row r="2681" customFormat="false" ht="23.25" hidden="false" customHeight="true" outlineLevel="0" collapsed="false">
      <c r="B2681" s="67" t="str">
        <f aca="false">IFERROR(INDEX(分录报销!$M:$M,MATCH($L2681,分录报销!$L:$L,0)),"")</f>
        <v/>
      </c>
      <c r="C2681" s="67"/>
      <c r="D2681" s="23" t="str">
        <f aca="false">IFERROR(INDEX(分录报销!$E:$E,MATCH($L2681,分录报销!$L:$L,0)),"")</f>
        <v/>
      </c>
      <c r="E2681" s="23" t="str">
        <f aca="false">IFERROR(INDEX(分录报销!$F:$F,MATCH($L2681,分录报销!$L:$L,0)),"")</f>
        <v/>
      </c>
      <c r="F2681" s="68" t="str">
        <f aca="false">IFERROR(INDEX(分录报销!$H:$H,MATCH($L2681,分录报销!$L:$L,0)),"")</f>
        <v/>
      </c>
      <c r="G2681" s="69" t="str">
        <f aca="false">IFERROR(INDEX(分录报销!$I:$I,MATCH($L2681,分录报销!$L:$L,0)),"")</f>
        <v/>
      </c>
      <c r="H2681" s="23"/>
      <c r="I2681" s="70"/>
      <c r="L2681" s="71" t="n">
        <f aca="false">IF(助手报销!$R$180="",-1,助手报销!$R$180*100+(助手报销!$S$180-1)*6+6)</f>
        <v>-1</v>
      </c>
    </row>
    <row r="2682" customFormat="false" ht="23.25" hidden="false" customHeight="true" outlineLevel="0" collapsed="false">
      <c r="B2682" s="72" t="str">
        <f aca="false">IF(助手报销!$T$180=1,"合计：","")</f>
        <v/>
      </c>
      <c r="C2682" s="73" t="str">
        <f aca="false">IF(助手报销!$T$180=1,$F2682,"")</f>
        <v/>
      </c>
      <c r="D2682" s="74"/>
      <c r="E2682" s="74"/>
      <c r="F2682" s="75" t="str">
        <f aca="false">IF(助手报销!$T$180=1,INDEX(助手报销!$N$2:$N$121,助手报销!$R$180),"")</f>
        <v/>
      </c>
      <c r="G2682" s="76" t="str">
        <f aca="false">IF(助手报销!$T$180=1,INDEX(助手报销!$O$2:$O$121,助手报销!$R$180),"")</f>
        <v/>
      </c>
      <c r="H2682" s="74"/>
      <c r="I2682" s="77"/>
    </row>
    <row r="2683" customFormat="false" ht="6" hidden="false" customHeight="true" outlineLevel="0" collapsed="false"/>
    <row r="2684" customFormat="false" ht="13.5" hidden="false" customHeight="false" outlineLevel="0" collapsed="false">
      <c r="B2684" s="78" t="str">
        <f aca="false">IF(助手报销!$R$180&lt;&gt;"","会计主管：","")</f>
        <v/>
      </c>
      <c r="D2684" s="78" t="str">
        <f aca="false">IF(助手报销!$R$180&lt;&gt;"","会计：","")</f>
        <v/>
      </c>
      <c r="E2684" s="78" t="str">
        <f aca="false">IF(助手报销!$R$180&lt;&gt;"","出纳：","")</f>
        <v/>
      </c>
      <c r="F2684" s="78" t="str">
        <f aca="false">IF(助手报销!$R$180&lt;&gt;"","复核：","")</f>
        <v/>
      </c>
      <c r="G2684" s="78" t="str">
        <f aca="false">IF(助手报销!$R$180&lt;&gt;"","制单：","")</f>
        <v/>
      </c>
    </row>
    <row r="2685" customFormat="false" ht="3" hidden="false" customHeight="true" outlineLevel="0" collapsed="false"/>
    <row r="2686" customFormat="false" ht="19.5" hidden="false" customHeight="true" outlineLevel="0" collapsed="false">
      <c r="B2686" s="53" t="str">
        <f aca="false">IF(助手报销!$R$181&lt;&gt;"","记  账  凭  证","")</f>
        <v/>
      </c>
      <c r="C2686" s="53"/>
      <c r="D2686" s="53"/>
      <c r="E2686" s="53"/>
      <c r="F2686" s="53"/>
      <c r="G2686" s="53"/>
      <c r="H2686" s="53"/>
      <c r="I2686" s="53"/>
    </row>
    <row r="2687" customFormat="false" ht="3" hidden="false" customHeight="true" outlineLevel="0" collapsed="false"/>
    <row r="2688" customFormat="false" ht="15" hidden="false" customHeight="true" outlineLevel="0" collapsed="false">
      <c r="C2688" s="56" t="str">
        <f aca="false">IF(助手报销!$R$181&lt;&gt;"",INDEX(助手报销!$B$2:$B$121,助手报销!$R$181),"")</f>
        <v/>
      </c>
      <c r="D2688" s="57" t="str">
        <f aca="false">IF(助手报销!$R$181&lt;&gt;"",INDEX(助手报销!$D$2:$D$121,助手报销!$R$181),"")</f>
        <v/>
      </c>
      <c r="E2688" s="57"/>
      <c r="F2688" s="58" t="str">
        <f aca="false">IF(助手报销!$R$181&lt;&gt;"",INDEX(助手报销!$C$2:$C$121,助手报销!$R$181)&amp;"  字第 "&amp;IF(参数!$B$9="是",INDEX(助手报销!$P$2:$P$121,助手报销!$R$181),"　　　　")&amp;" 号"&amp;IF(INDEX(助手报销!$L$2:$L$121,助手报销!$R$181)&gt;1,"  (共"&amp;INDEX(助手报销!$L$2:$L$121,助手报销!$R$181)&amp;"页 第"&amp;助手报销!$S$181&amp;"页)",""),"")</f>
        <v/>
      </c>
      <c r="G2688" s="58"/>
      <c r="H2688" s="58"/>
      <c r="I2688" s="58"/>
      <c r="M2688" s="79" t="str">
        <f aca="false">IF(助手报销!$R$181="","",助手报销!$Q$181)</f>
        <v/>
      </c>
      <c r="N2688" s="80" t="str">
        <f aca="false">IF(助手报销!$R$181="","",INDEX(助手报销!$P$2:$P$121,助手报销!$R$181))</f>
        <v/>
      </c>
      <c r="O2688" s="55" t="str">
        <f aca="false">IF(助手报销!$R$181="","",INDEX(助手报销!$C$2:$C$121,助手报销!$R$181)&amp;"  字第 "&amp;INDEX(助手报销!$P$2:$P$121,助手报销!$R$181)&amp;" 号"&amp;IF(INDEX(助手报销!$L$2:$L$121,助手报销!$R$181)&gt;1,"  (共"&amp;INDEX(助手报销!$L$2:$L$121,助手报销!$R$181)&amp;"页 第"&amp;助手报销!$S$181&amp;"页)",""))</f>
        <v/>
      </c>
    </row>
    <row r="2689" customFormat="false" ht="12.75" hidden="false" customHeight="true" outlineLevel="0" collapsed="false">
      <c r="B2689" s="61" t="str">
        <f aca="false">IF(助手报销!$R$181&lt;&gt;"","摘　　要","")</f>
        <v/>
      </c>
      <c r="C2689" s="61"/>
      <c r="D2689" s="62" t="str">
        <f aca="false">IF(助手报销!$R$181&lt;&gt;"","科　　　　目","")</f>
        <v/>
      </c>
      <c r="E2689" s="62"/>
      <c r="F2689" s="61" t="str">
        <f aca="false">IF(助手报销!$R$181&lt;&gt;"","借 方 金 额","")</f>
        <v/>
      </c>
      <c r="G2689" s="62" t="str">
        <f aca="false">IF(助手报销!$R$181&lt;&gt;"","贷 方 金 额","")</f>
        <v/>
      </c>
      <c r="H2689" s="63" t="str">
        <f aca="false">IF(助手报销!$R$181&lt;&gt;"","√","")</f>
        <v/>
      </c>
      <c r="I2689" s="64" t="str">
        <f aca="false">IF(助手报销!$R$181&lt;&gt;"","附单据  张","")</f>
        <v/>
      </c>
    </row>
    <row r="2690" customFormat="false" ht="12.75" hidden="false" customHeight="true" outlineLevel="0" collapsed="false">
      <c r="B2690" s="61"/>
      <c r="C2690" s="61"/>
      <c r="D2690" s="23" t="str">
        <f aca="false">IF(助手报销!$R$181&lt;&gt;"","总 账 科 目","")</f>
        <v/>
      </c>
      <c r="E2690" s="23" t="str">
        <f aca="false">IF(助手报销!$R$181&lt;&gt;"","明 细 科 目","")</f>
        <v/>
      </c>
      <c r="F2690" s="65"/>
      <c r="G2690" s="66"/>
      <c r="H2690" s="63"/>
      <c r="I2690" s="64"/>
    </row>
    <row r="2691" customFormat="false" ht="23.25" hidden="false" customHeight="true" outlineLevel="0" collapsed="false">
      <c r="B2691" s="67" t="str">
        <f aca="false">IFERROR(INDEX(分录报销!$M:$M,MATCH($L2691,分录报销!$L:$L,0)),"")</f>
        <v/>
      </c>
      <c r="C2691" s="67"/>
      <c r="D2691" s="23" t="str">
        <f aca="false">IFERROR(INDEX(分录报销!$E:$E,MATCH($L2691,分录报销!$L:$L,0)),"")</f>
        <v/>
      </c>
      <c r="E2691" s="23" t="str">
        <f aca="false">IFERROR(INDEX(分录报销!$F:$F,MATCH($L2691,分录报销!$L:$L,0)),"")</f>
        <v/>
      </c>
      <c r="F2691" s="68" t="str">
        <f aca="false">IFERROR(INDEX(分录报销!$H:$H,MATCH($L2691,分录报销!$L:$L,0)),"")</f>
        <v/>
      </c>
      <c r="G2691" s="69" t="str">
        <f aca="false">IFERROR(INDEX(分录报销!$I:$I,MATCH($L2691,分录报销!$L:$L,0)),"")</f>
        <v/>
      </c>
      <c r="H2691" s="23"/>
      <c r="I2691" s="70"/>
      <c r="L2691" s="71" t="n">
        <f aca="false">IF(助手报销!$R$181="",-1,助手报销!$R$181*100+(助手报销!$S$181-1)*6+1)</f>
        <v>-1</v>
      </c>
    </row>
    <row r="2692" customFormat="false" ht="23.25" hidden="false" customHeight="true" outlineLevel="0" collapsed="false">
      <c r="B2692" s="67" t="str">
        <f aca="false">IFERROR(INDEX(分录报销!$M:$M,MATCH($L2692,分录报销!$L:$L,0)),"")</f>
        <v/>
      </c>
      <c r="C2692" s="67"/>
      <c r="D2692" s="23" t="str">
        <f aca="false">IFERROR(INDEX(分录报销!$E:$E,MATCH($L2692,分录报销!$L:$L,0)),"")</f>
        <v/>
      </c>
      <c r="E2692" s="23" t="str">
        <f aca="false">IFERROR(INDEX(分录报销!$F:$F,MATCH($L2692,分录报销!$L:$L,0)),"")</f>
        <v/>
      </c>
      <c r="F2692" s="68" t="str">
        <f aca="false">IFERROR(INDEX(分录报销!$H:$H,MATCH($L2692,分录报销!$L:$L,0)),"")</f>
        <v/>
      </c>
      <c r="G2692" s="69" t="str">
        <f aca="false">IFERROR(INDEX(分录报销!$I:$I,MATCH($L2692,分录报销!$L:$L,0)),"")</f>
        <v/>
      </c>
      <c r="H2692" s="23"/>
      <c r="I2692" s="70"/>
      <c r="L2692" s="71" t="n">
        <f aca="false">IF(助手报销!$R$181="",-1,助手报销!$R$181*100+(助手报销!$S$181-1)*6+2)</f>
        <v>-1</v>
      </c>
    </row>
    <row r="2693" customFormat="false" ht="23.25" hidden="false" customHeight="true" outlineLevel="0" collapsed="false">
      <c r="B2693" s="67" t="str">
        <f aca="false">IFERROR(INDEX(分录报销!$M:$M,MATCH($L2693,分录报销!$L:$L,0)),"")</f>
        <v/>
      </c>
      <c r="C2693" s="67"/>
      <c r="D2693" s="23" t="str">
        <f aca="false">IFERROR(INDEX(分录报销!$E:$E,MATCH($L2693,分录报销!$L:$L,0)),"")</f>
        <v/>
      </c>
      <c r="E2693" s="23" t="str">
        <f aca="false">IFERROR(INDEX(分录报销!$F:$F,MATCH($L2693,分录报销!$L:$L,0)),"")</f>
        <v/>
      </c>
      <c r="F2693" s="68" t="str">
        <f aca="false">IFERROR(INDEX(分录报销!$H:$H,MATCH($L2693,分录报销!$L:$L,0)),"")</f>
        <v/>
      </c>
      <c r="G2693" s="69" t="str">
        <f aca="false">IFERROR(INDEX(分录报销!$I:$I,MATCH($L2693,分录报销!$L:$L,0)),"")</f>
        <v/>
      </c>
      <c r="H2693" s="23"/>
      <c r="I2693" s="70"/>
      <c r="L2693" s="71" t="n">
        <f aca="false">IF(助手报销!$R$181="",-1,助手报销!$R$181*100+(助手报销!$S$181-1)*6+3)</f>
        <v>-1</v>
      </c>
    </row>
    <row r="2694" customFormat="false" ht="23.25" hidden="false" customHeight="true" outlineLevel="0" collapsed="false">
      <c r="B2694" s="67" t="str">
        <f aca="false">IFERROR(INDEX(分录报销!$M:$M,MATCH($L2694,分录报销!$L:$L,0)),"")</f>
        <v/>
      </c>
      <c r="C2694" s="67"/>
      <c r="D2694" s="23" t="str">
        <f aca="false">IFERROR(INDEX(分录报销!$E:$E,MATCH($L2694,分录报销!$L:$L,0)),"")</f>
        <v/>
      </c>
      <c r="E2694" s="23" t="str">
        <f aca="false">IFERROR(INDEX(分录报销!$F:$F,MATCH($L2694,分录报销!$L:$L,0)),"")</f>
        <v/>
      </c>
      <c r="F2694" s="68" t="str">
        <f aca="false">IFERROR(INDEX(分录报销!$H:$H,MATCH($L2694,分录报销!$L:$L,0)),"")</f>
        <v/>
      </c>
      <c r="G2694" s="69" t="str">
        <f aca="false">IFERROR(INDEX(分录报销!$I:$I,MATCH($L2694,分录报销!$L:$L,0)),"")</f>
        <v/>
      </c>
      <c r="H2694" s="23"/>
      <c r="I2694" s="70"/>
      <c r="L2694" s="71" t="n">
        <f aca="false">IF(助手报销!$R$181="",-1,助手报销!$R$181*100+(助手报销!$S$181-1)*6+4)</f>
        <v>-1</v>
      </c>
    </row>
    <row r="2695" customFormat="false" ht="23.25" hidden="false" customHeight="true" outlineLevel="0" collapsed="false">
      <c r="B2695" s="67" t="str">
        <f aca="false">IFERROR(INDEX(分录报销!$M:$M,MATCH($L2695,分录报销!$L:$L,0)),"")</f>
        <v/>
      </c>
      <c r="C2695" s="67"/>
      <c r="D2695" s="23" t="str">
        <f aca="false">IFERROR(INDEX(分录报销!$E:$E,MATCH($L2695,分录报销!$L:$L,0)),"")</f>
        <v/>
      </c>
      <c r="E2695" s="23" t="str">
        <f aca="false">IFERROR(INDEX(分录报销!$F:$F,MATCH($L2695,分录报销!$L:$L,0)),"")</f>
        <v/>
      </c>
      <c r="F2695" s="68" t="str">
        <f aca="false">IFERROR(INDEX(分录报销!$H:$H,MATCH($L2695,分录报销!$L:$L,0)),"")</f>
        <v/>
      </c>
      <c r="G2695" s="69" t="str">
        <f aca="false">IFERROR(INDEX(分录报销!$I:$I,MATCH($L2695,分录报销!$L:$L,0)),"")</f>
        <v/>
      </c>
      <c r="H2695" s="23"/>
      <c r="I2695" s="70"/>
      <c r="L2695" s="71" t="n">
        <f aca="false">IF(助手报销!$R$181="",-1,助手报销!$R$181*100+(助手报销!$S$181-1)*6+5)</f>
        <v>-1</v>
      </c>
    </row>
    <row r="2696" customFormat="false" ht="23.25" hidden="false" customHeight="true" outlineLevel="0" collapsed="false">
      <c r="B2696" s="67" t="str">
        <f aca="false">IFERROR(INDEX(分录报销!$M:$M,MATCH($L2696,分录报销!$L:$L,0)),"")</f>
        <v/>
      </c>
      <c r="C2696" s="67"/>
      <c r="D2696" s="23" t="str">
        <f aca="false">IFERROR(INDEX(分录报销!$E:$E,MATCH($L2696,分录报销!$L:$L,0)),"")</f>
        <v/>
      </c>
      <c r="E2696" s="23" t="str">
        <f aca="false">IFERROR(INDEX(分录报销!$F:$F,MATCH($L2696,分录报销!$L:$L,0)),"")</f>
        <v/>
      </c>
      <c r="F2696" s="68" t="str">
        <f aca="false">IFERROR(INDEX(分录报销!$H:$H,MATCH($L2696,分录报销!$L:$L,0)),"")</f>
        <v/>
      </c>
      <c r="G2696" s="69" t="str">
        <f aca="false">IFERROR(INDEX(分录报销!$I:$I,MATCH($L2696,分录报销!$L:$L,0)),"")</f>
        <v/>
      </c>
      <c r="H2696" s="23"/>
      <c r="I2696" s="70"/>
      <c r="L2696" s="71" t="n">
        <f aca="false">IF(助手报销!$R$181="",-1,助手报销!$R$181*100+(助手报销!$S$181-1)*6+6)</f>
        <v>-1</v>
      </c>
    </row>
    <row r="2697" customFormat="false" ht="23.25" hidden="false" customHeight="true" outlineLevel="0" collapsed="false">
      <c r="B2697" s="72" t="str">
        <f aca="false">IF(助手报销!$T$181=1,"合计：","")</f>
        <v/>
      </c>
      <c r="C2697" s="73" t="str">
        <f aca="false">IF(助手报销!$T$181=1,$F2697,"")</f>
        <v/>
      </c>
      <c r="D2697" s="74"/>
      <c r="E2697" s="74"/>
      <c r="F2697" s="75" t="str">
        <f aca="false">IF(助手报销!$T$181=1,INDEX(助手报销!$N$2:$N$121,助手报销!$R$181),"")</f>
        <v/>
      </c>
      <c r="G2697" s="76" t="str">
        <f aca="false">IF(助手报销!$T$181=1,INDEX(助手报销!$O$2:$O$121,助手报销!$R$181),"")</f>
        <v/>
      </c>
      <c r="H2697" s="74"/>
      <c r="I2697" s="77"/>
    </row>
    <row r="2698" customFormat="false" ht="6" hidden="false" customHeight="true" outlineLevel="0" collapsed="false"/>
    <row r="2699" customFormat="false" ht="13.5" hidden="false" customHeight="false" outlineLevel="0" collapsed="false">
      <c r="B2699" s="78" t="str">
        <f aca="false">IF(助手报销!$R$181&lt;&gt;"","会计主管：","")</f>
        <v/>
      </c>
      <c r="D2699" s="78" t="str">
        <f aca="false">IF(助手报销!$R$181&lt;&gt;"","会计：","")</f>
        <v/>
      </c>
      <c r="E2699" s="78" t="str">
        <f aca="false">IF(助手报销!$R$181&lt;&gt;"","出纳：","")</f>
        <v/>
      </c>
      <c r="F2699" s="78" t="str">
        <f aca="false">IF(助手报销!$R$181&lt;&gt;"","复核：","")</f>
        <v/>
      </c>
      <c r="G2699" s="78" t="str">
        <f aca="false">IF(助手报销!$R$181&lt;&gt;"","制单：","")</f>
        <v/>
      </c>
    </row>
    <row r="2700" customFormat="false" ht="3" hidden="false" customHeight="true" outlineLevel="0" collapsed="false"/>
    <row r="2701" customFormat="false" ht="19.5" hidden="false" customHeight="true" outlineLevel="0" collapsed="false">
      <c r="B2701" s="53" t="str">
        <f aca="false">IF(助手报销!$R$182&lt;&gt;"","记  账  凭  证","")</f>
        <v/>
      </c>
      <c r="C2701" s="53"/>
      <c r="D2701" s="53"/>
      <c r="E2701" s="53"/>
      <c r="F2701" s="53"/>
      <c r="G2701" s="53"/>
      <c r="H2701" s="53"/>
      <c r="I2701" s="53"/>
    </row>
    <row r="2702" customFormat="false" ht="3" hidden="false" customHeight="true" outlineLevel="0" collapsed="false"/>
    <row r="2703" customFormat="false" ht="15" hidden="false" customHeight="true" outlineLevel="0" collapsed="false">
      <c r="C2703" s="56" t="str">
        <f aca="false">IF(助手报销!$R$182&lt;&gt;"",INDEX(助手报销!$B$2:$B$121,助手报销!$R$182),"")</f>
        <v/>
      </c>
      <c r="D2703" s="57" t="str">
        <f aca="false">IF(助手报销!$R$182&lt;&gt;"",INDEX(助手报销!$D$2:$D$121,助手报销!$R$182),"")</f>
        <v/>
      </c>
      <c r="E2703" s="57"/>
      <c r="F2703" s="58" t="str">
        <f aca="false">IF(助手报销!$R$182&lt;&gt;"",INDEX(助手报销!$C$2:$C$121,助手报销!$R$182)&amp;"  字第 "&amp;IF(参数!$B$9="是",INDEX(助手报销!$P$2:$P$121,助手报销!$R$182),"　　　　")&amp;" 号"&amp;IF(INDEX(助手报销!$L$2:$L$121,助手报销!$R$182)&gt;1,"  (共"&amp;INDEX(助手报销!$L$2:$L$121,助手报销!$R$182)&amp;"页 第"&amp;助手报销!$S$182&amp;"页)",""),"")</f>
        <v/>
      </c>
      <c r="G2703" s="58"/>
      <c r="H2703" s="58"/>
      <c r="I2703" s="58"/>
      <c r="M2703" s="79" t="str">
        <f aca="false">IF(助手报销!$R$182="","",助手报销!$Q$182)</f>
        <v/>
      </c>
      <c r="N2703" s="80" t="str">
        <f aca="false">IF(助手报销!$R$182="","",INDEX(助手报销!$P$2:$P$121,助手报销!$R$182))</f>
        <v/>
      </c>
      <c r="O2703" s="55" t="str">
        <f aca="false">IF(助手报销!$R$182="","",INDEX(助手报销!$C$2:$C$121,助手报销!$R$182)&amp;"  字第 "&amp;INDEX(助手报销!$P$2:$P$121,助手报销!$R$182)&amp;" 号"&amp;IF(INDEX(助手报销!$L$2:$L$121,助手报销!$R$182)&gt;1,"  (共"&amp;INDEX(助手报销!$L$2:$L$121,助手报销!$R$182)&amp;"页 第"&amp;助手报销!$S$182&amp;"页)",""))</f>
        <v/>
      </c>
    </row>
    <row r="2704" customFormat="false" ht="12.75" hidden="false" customHeight="true" outlineLevel="0" collapsed="false">
      <c r="B2704" s="61" t="str">
        <f aca="false">IF(助手报销!$R$182&lt;&gt;"","摘　　要","")</f>
        <v/>
      </c>
      <c r="C2704" s="61"/>
      <c r="D2704" s="62" t="str">
        <f aca="false">IF(助手报销!$R$182&lt;&gt;"","科　　　　目","")</f>
        <v/>
      </c>
      <c r="E2704" s="62"/>
      <c r="F2704" s="61" t="str">
        <f aca="false">IF(助手报销!$R$182&lt;&gt;"","借 方 金 额","")</f>
        <v/>
      </c>
      <c r="G2704" s="62" t="str">
        <f aca="false">IF(助手报销!$R$182&lt;&gt;"","贷 方 金 额","")</f>
        <v/>
      </c>
      <c r="H2704" s="63" t="str">
        <f aca="false">IF(助手报销!$R$182&lt;&gt;"","√","")</f>
        <v/>
      </c>
      <c r="I2704" s="64" t="str">
        <f aca="false">IF(助手报销!$R$182&lt;&gt;"","附单据  张","")</f>
        <v/>
      </c>
    </row>
    <row r="2705" customFormat="false" ht="12.75" hidden="false" customHeight="true" outlineLevel="0" collapsed="false">
      <c r="B2705" s="61"/>
      <c r="C2705" s="61"/>
      <c r="D2705" s="23" t="str">
        <f aca="false">IF(助手报销!$R$182&lt;&gt;"","总 账 科 目","")</f>
        <v/>
      </c>
      <c r="E2705" s="23" t="str">
        <f aca="false">IF(助手报销!$R$182&lt;&gt;"","明 细 科 目","")</f>
        <v/>
      </c>
      <c r="F2705" s="65"/>
      <c r="G2705" s="66"/>
      <c r="H2705" s="63"/>
      <c r="I2705" s="64"/>
    </row>
    <row r="2706" customFormat="false" ht="23.25" hidden="false" customHeight="true" outlineLevel="0" collapsed="false">
      <c r="B2706" s="67" t="str">
        <f aca="false">IFERROR(INDEX(分录报销!$M:$M,MATCH($L2706,分录报销!$L:$L,0)),"")</f>
        <v/>
      </c>
      <c r="C2706" s="67"/>
      <c r="D2706" s="23" t="str">
        <f aca="false">IFERROR(INDEX(分录报销!$E:$E,MATCH($L2706,分录报销!$L:$L,0)),"")</f>
        <v/>
      </c>
      <c r="E2706" s="23" t="str">
        <f aca="false">IFERROR(INDEX(分录报销!$F:$F,MATCH($L2706,分录报销!$L:$L,0)),"")</f>
        <v/>
      </c>
      <c r="F2706" s="68" t="str">
        <f aca="false">IFERROR(INDEX(分录报销!$H:$H,MATCH($L2706,分录报销!$L:$L,0)),"")</f>
        <v/>
      </c>
      <c r="G2706" s="69" t="str">
        <f aca="false">IFERROR(INDEX(分录报销!$I:$I,MATCH($L2706,分录报销!$L:$L,0)),"")</f>
        <v/>
      </c>
      <c r="H2706" s="23"/>
      <c r="I2706" s="70"/>
      <c r="L2706" s="71" t="n">
        <f aca="false">IF(助手报销!$R$182="",-1,助手报销!$R$182*100+(助手报销!$S$182-1)*6+1)</f>
        <v>-1</v>
      </c>
    </row>
    <row r="2707" customFormat="false" ht="23.25" hidden="false" customHeight="true" outlineLevel="0" collapsed="false">
      <c r="B2707" s="67" t="str">
        <f aca="false">IFERROR(INDEX(分录报销!$M:$M,MATCH($L2707,分录报销!$L:$L,0)),"")</f>
        <v/>
      </c>
      <c r="C2707" s="67"/>
      <c r="D2707" s="23" t="str">
        <f aca="false">IFERROR(INDEX(分录报销!$E:$E,MATCH($L2707,分录报销!$L:$L,0)),"")</f>
        <v/>
      </c>
      <c r="E2707" s="23" t="str">
        <f aca="false">IFERROR(INDEX(分录报销!$F:$F,MATCH($L2707,分录报销!$L:$L,0)),"")</f>
        <v/>
      </c>
      <c r="F2707" s="68" t="str">
        <f aca="false">IFERROR(INDEX(分录报销!$H:$H,MATCH($L2707,分录报销!$L:$L,0)),"")</f>
        <v/>
      </c>
      <c r="G2707" s="69" t="str">
        <f aca="false">IFERROR(INDEX(分录报销!$I:$I,MATCH($L2707,分录报销!$L:$L,0)),"")</f>
        <v/>
      </c>
      <c r="H2707" s="23"/>
      <c r="I2707" s="70"/>
      <c r="L2707" s="71" t="n">
        <f aca="false">IF(助手报销!$R$182="",-1,助手报销!$R$182*100+(助手报销!$S$182-1)*6+2)</f>
        <v>-1</v>
      </c>
    </row>
    <row r="2708" customFormat="false" ht="23.25" hidden="false" customHeight="true" outlineLevel="0" collapsed="false">
      <c r="B2708" s="67" t="str">
        <f aca="false">IFERROR(INDEX(分录报销!$M:$M,MATCH($L2708,分录报销!$L:$L,0)),"")</f>
        <v/>
      </c>
      <c r="C2708" s="67"/>
      <c r="D2708" s="23" t="str">
        <f aca="false">IFERROR(INDEX(分录报销!$E:$E,MATCH($L2708,分录报销!$L:$L,0)),"")</f>
        <v/>
      </c>
      <c r="E2708" s="23" t="str">
        <f aca="false">IFERROR(INDEX(分录报销!$F:$F,MATCH($L2708,分录报销!$L:$L,0)),"")</f>
        <v/>
      </c>
      <c r="F2708" s="68" t="str">
        <f aca="false">IFERROR(INDEX(分录报销!$H:$H,MATCH($L2708,分录报销!$L:$L,0)),"")</f>
        <v/>
      </c>
      <c r="G2708" s="69" t="str">
        <f aca="false">IFERROR(INDEX(分录报销!$I:$I,MATCH($L2708,分录报销!$L:$L,0)),"")</f>
        <v/>
      </c>
      <c r="H2708" s="23"/>
      <c r="I2708" s="70"/>
      <c r="L2708" s="71" t="n">
        <f aca="false">IF(助手报销!$R$182="",-1,助手报销!$R$182*100+(助手报销!$S$182-1)*6+3)</f>
        <v>-1</v>
      </c>
    </row>
    <row r="2709" customFormat="false" ht="23.25" hidden="false" customHeight="true" outlineLevel="0" collapsed="false">
      <c r="B2709" s="67" t="str">
        <f aca="false">IFERROR(INDEX(分录报销!$M:$M,MATCH($L2709,分录报销!$L:$L,0)),"")</f>
        <v/>
      </c>
      <c r="C2709" s="67"/>
      <c r="D2709" s="23" t="str">
        <f aca="false">IFERROR(INDEX(分录报销!$E:$E,MATCH($L2709,分录报销!$L:$L,0)),"")</f>
        <v/>
      </c>
      <c r="E2709" s="23" t="str">
        <f aca="false">IFERROR(INDEX(分录报销!$F:$F,MATCH($L2709,分录报销!$L:$L,0)),"")</f>
        <v/>
      </c>
      <c r="F2709" s="68" t="str">
        <f aca="false">IFERROR(INDEX(分录报销!$H:$H,MATCH($L2709,分录报销!$L:$L,0)),"")</f>
        <v/>
      </c>
      <c r="G2709" s="69" t="str">
        <f aca="false">IFERROR(INDEX(分录报销!$I:$I,MATCH($L2709,分录报销!$L:$L,0)),"")</f>
        <v/>
      </c>
      <c r="H2709" s="23"/>
      <c r="I2709" s="70"/>
      <c r="L2709" s="71" t="n">
        <f aca="false">IF(助手报销!$R$182="",-1,助手报销!$R$182*100+(助手报销!$S$182-1)*6+4)</f>
        <v>-1</v>
      </c>
    </row>
    <row r="2710" customFormat="false" ht="23.25" hidden="false" customHeight="true" outlineLevel="0" collapsed="false">
      <c r="B2710" s="67" t="str">
        <f aca="false">IFERROR(INDEX(分录报销!$M:$M,MATCH($L2710,分录报销!$L:$L,0)),"")</f>
        <v/>
      </c>
      <c r="C2710" s="67"/>
      <c r="D2710" s="23" t="str">
        <f aca="false">IFERROR(INDEX(分录报销!$E:$E,MATCH($L2710,分录报销!$L:$L,0)),"")</f>
        <v/>
      </c>
      <c r="E2710" s="23" t="str">
        <f aca="false">IFERROR(INDEX(分录报销!$F:$F,MATCH($L2710,分录报销!$L:$L,0)),"")</f>
        <v/>
      </c>
      <c r="F2710" s="68" t="str">
        <f aca="false">IFERROR(INDEX(分录报销!$H:$H,MATCH($L2710,分录报销!$L:$L,0)),"")</f>
        <v/>
      </c>
      <c r="G2710" s="69" t="str">
        <f aca="false">IFERROR(INDEX(分录报销!$I:$I,MATCH($L2710,分录报销!$L:$L,0)),"")</f>
        <v/>
      </c>
      <c r="H2710" s="23"/>
      <c r="I2710" s="70"/>
      <c r="L2710" s="71" t="n">
        <f aca="false">IF(助手报销!$R$182="",-1,助手报销!$R$182*100+(助手报销!$S$182-1)*6+5)</f>
        <v>-1</v>
      </c>
    </row>
    <row r="2711" customFormat="false" ht="23.25" hidden="false" customHeight="true" outlineLevel="0" collapsed="false">
      <c r="B2711" s="67" t="str">
        <f aca="false">IFERROR(INDEX(分录报销!$M:$M,MATCH($L2711,分录报销!$L:$L,0)),"")</f>
        <v/>
      </c>
      <c r="C2711" s="67"/>
      <c r="D2711" s="23" t="str">
        <f aca="false">IFERROR(INDEX(分录报销!$E:$E,MATCH($L2711,分录报销!$L:$L,0)),"")</f>
        <v/>
      </c>
      <c r="E2711" s="23" t="str">
        <f aca="false">IFERROR(INDEX(分录报销!$F:$F,MATCH($L2711,分录报销!$L:$L,0)),"")</f>
        <v/>
      </c>
      <c r="F2711" s="68" t="str">
        <f aca="false">IFERROR(INDEX(分录报销!$H:$H,MATCH($L2711,分录报销!$L:$L,0)),"")</f>
        <v/>
      </c>
      <c r="G2711" s="69" t="str">
        <f aca="false">IFERROR(INDEX(分录报销!$I:$I,MATCH($L2711,分录报销!$L:$L,0)),"")</f>
        <v/>
      </c>
      <c r="H2711" s="23"/>
      <c r="I2711" s="70"/>
      <c r="L2711" s="71" t="n">
        <f aca="false">IF(助手报销!$R$182="",-1,助手报销!$R$182*100+(助手报销!$S$182-1)*6+6)</f>
        <v>-1</v>
      </c>
    </row>
    <row r="2712" customFormat="false" ht="23.25" hidden="false" customHeight="true" outlineLevel="0" collapsed="false">
      <c r="B2712" s="72" t="str">
        <f aca="false">IF(助手报销!$T$182=1,"合计：","")</f>
        <v/>
      </c>
      <c r="C2712" s="73" t="str">
        <f aca="false">IF(助手报销!$T$182=1,$F2712,"")</f>
        <v/>
      </c>
      <c r="D2712" s="74"/>
      <c r="E2712" s="74"/>
      <c r="F2712" s="75" t="str">
        <f aca="false">IF(助手报销!$T$182=1,INDEX(助手报销!$N$2:$N$121,助手报销!$R$182),"")</f>
        <v/>
      </c>
      <c r="G2712" s="76" t="str">
        <f aca="false">IF(助手报销!$T$182=1,INDEX(助手报销!$O$2:$O$121,助手报销!$R$182),"")</f>
        <v/>
      </c>
      <c r="H2712" s="74"/>
      <c r="I2712" s="77"/>
    </row>
    <row r="2713" customFormat="false" ht="6" hidden="false" customHeight="true" outlineLevel="0" collapsed="false"/>
    <row r="2714" customFormat="false" ht="13.5" hidden="false" customHeight="false" outlineLevel="0" collapsed="false">
      <c r="B2714" s="78" t="str">
        <f aca="false">IF(助手报销!$R$182&lt;&gt;"","会计主管：","")</f>
        <v/>
      </c>
      <c r="D2714" s="78" t="str">
        <f aca="false">IF(助手报销!$R$182&lt;&gt;"","会计：","")</f>
        <v/>
      </c>
      <c r="E2714" s="78" t="str">
        <f aca="false">IF(助手报销!$R$182&lt;&gt;"","出纳：","")</f>
        <v/>
      </c>
      <c r="F2714" s="78" t="str">
        <f aca="false">IF(助手报销!$R$182&lt;&gt;"","复核：","")</f>
        <v/>
      </c>
      <c r="G2714" s="78" t="str">
        <f aca="false">IF(助手报销!$R$182&lt;&gt;"","制单：","")</f>
        <v/>
      </c>
    </row>
    <row r="2715" customFormat="false" ht="3" hidden="false" customHeight="true" outlineLevel="0" collapsed="false"/>
    <row r="2716" customFormat="false" ht="19.5" hidden="false" customHeight="true" outlineLevel="0" collapsed="false">
      <c r="B2716" s="53" t="str">
        <f aca="false">IF(助手报销!$R$183&lt;&gt;"","记  账  凭  证","")</f>
        <v/>
      </c>
      <c r="C2716" s="53"/>
      <c r="D2716" s="53"/>
      <c r="E2716" s="53"/>
      <c r="F2716" s="53"/>
      <c r="G2716" s="53"/>
      <c r="H2716" s="53"/>
      <c r="I2716" s="53"/>
    </row>
    <row r="2717" customFormat="false" ht="3" hidden="false" customHeight="true" outlineLevel="0" collapsed="false"/>
    <row r="2718" customFormat="false" ht="15" hidden="false" customHeight="true" outlineLevel="0" collapsed="false">
      <c r="C2718" s="56" t="str">
        <f aca="false">IF(助手报销!$R$183&lt;&gt;"",INDEX(助手报销!$B$2:$B$121,助手报销!$R$183),"")</f>
        <v/>
      </c>
      <c r="D2718" s="57" t="str">
        <f aca="false">IF(助手报销!$R$183&lt;&gt;"",INDEX(助手报销!$D$2:$D$121,助手报销!$R$183),"")</f>
        <v/>
      </c>
      <c r="E2718" s="57"/>
      <c r="F2718" s="58" t="str">
        <f aca="false">IF(助手报销!$R$183&lt;&gt;"",INDEX(助手报销!$C$2:$C$121,助手报销!$R$183)&amp;"  字第 "&amp;IF(参数!$B$9="是",INDEX(助手报销!$P$2:$P$121,助手报销!$R$183),"　　　　")&amp;" 号"&amp;IF(INDEX(助手报销!$L$2:$L$121,助手报销!$R$183)&gt;1,"  (共"&amp;INDEX(助手报销!$L$2:$L$121,助手报销!$R$183)&amp;"页 第"&amp;助手报销!$S$183&amp;"页)",""),"")</f>
        <v/>
      </c>
      <c r="G2718" s="58"/>
      <c r="H2718" s="58"/>
      <c r="I2718" s="58"/>
      <c r="M2718" s="79" t="str">
        <f aca="false">IF(助手报销!$R$183="","",助手报销!$Q$183)</f>
        <v/>
      </c>
      <c r="N2718" s="80" t="str">
        <f aca="false">IF(助手报销!$R$183="","",INDEX(助手报销!$P$2:$P$121,助手报销!$R$183))</f>
        <v/>
      </c>
      <c r="O2718" s="55" t="str">
        <f aca="false">IF(助手报销!$R$183="","",INDEX(助手报销!$C$2:$C$121,助手报销!$R$183)&amp;"  字第 "&amp;INDEX(助手报销!$P$2:$P$121,助手报销!$R$183)&amp;" 号"&amp;IF(INDEX(助手报销!$L$2:$L$121,助手报销!$R$183)&gt;1,"  (共"&amp;INDEX(助手报销!$L$2:$L$121,助手报销!$R$183)&amp;"页 第"&amp;助手报销!$S$183&amp;"页)",""))</f>
        <v/>
      </c>
    </row>
    <row r="2719" customFormat="false" ht="12.75" hidden="false" customHeight="true" outlineLevel="0" collapsed="false">
      <c r="B2719" s="61" t="str">
        <f aca="false">IF(助手报销!$R$183&lt;&gt;"","摘　　要","")</f>
        <v/>
      </c>
      <c r="C2719" s="61"/>
      <c r="D2719" s="62" t="str">
        <f aca="false">IF(助手报销!$R$183&lt;&gt;"","科　　　　目","")</f>
        <v/>
      </c>
      <c r="E2719" s="62"/>
      <c r="F2719" s="61" t="str">
        <f aca="false">IF(助手报销!$R$183&lt;&gt;"","借 方 金 额","")</f>
        <v/>
      </c>
      <c r="G2719" s="62" t="str">
        <f aca="false">IF(助手报销!$R$183&lt;&gt;"","贷 方 金 额","")</f>
        <v/>
      </c>
      <c r="H2719" s="63" t="str">
        <f aca="false">IF(助手报销!$R$183&lt;&gt;"","√","")</f>
        <v/>
      </c>
      <c r="I2719" s="64" t="str">
        <f aca="false">IF(助手报销!$R$183&lt;&gt;"","附单据  张","")</f>
        <v/>
      </c>
    </row>
    <row r="2720" customFormat="false" ht="12.75" hidden="false" customHeight="true" outlineLevel="0" collapsed="false">
      <c r="B2720" s="61"/>
      <c r="C2720" s="61"/>
      <c r="D2720" s="23" t="str">
        <f aca="false">IF(助手报销!$R$183&lt;&gt;"","总 账 科 目","")</f>
        <v/>
      </c>
      <c r="E2720" s="23" t="str">
        <f aca="false">IF(助手报销!$R$183&lt;&gt;"","明 细 科 目","")</f>
        <v/>
      </c>
      <c r="F2720" s="65"/>
      <c r="G2720" s="66"/>
      <c r="H2720" s="63"/>
      <c r="I2720" s="64"/>
    </row>
    <row r="2721" customFormat="false" ht="23.25" hidden="false" customHeight="true" outlineLevel="0" collapsed="false">
      <c r="B2721" s="67" t="str">
        <f aca="false">IFERROR(INDEX(分录报销!$M:$M,MATCH($L2721,分录报销!$L:$L,0)),"")</f>
        <v/>
      </c>
      <c r="C2721" s="67"/>
      <c r="D2721" s="23" t="str">
        <f aca="false">IFERROR(INDEX(分录报销!$E:$E,MATCH($L2721,分录报销!$L:$L,0)),"")</f>
        <v/>
      </c>
      <c r="E2721" s="23" t="str">
        <f aca="false">IFERROR(INDEX(分录报销!$F:$F,MATCH($L2721,分录报销!$L:$L,0)),"")</f>
        <v/>
      </c>
      <c r="F2721" s="68" t="str">
        <f aca="false">IFERROR(INDEX(分录报销!$H:$H,MATCH($L2721,分录报销!$L:$L,0)),"")</f>
        <v/>
      </c>
      <c r="G2721" s="69" t="str">
        <f aca="false">IFERROR(INDEX(分录报销!$I:$I,MATCH($L2721,分录报销!$L:$L,0)),"")</f>
        <v/>
      </c>
      <c r="H2721" s="23"/>
      <c r="I2721" s="70"/>
      <c r="L2721" s="71" t="n">
        <f aca="false">IF(助手报销!$R$183="",-1,助手报销!$R$183*100+(助手报销!$S$183-1)*6+1)</f>
        <v>-1</v>
      </c>
    </row>
    <row r="2722" customFormat="false" ht="23.25" hidden="false" customHeight="true" outlineLevel="0" collapsed="false">
      <c r="B2722" s="67" t="str">
        <f aca="false">IFERROR(INDEX(分录报销!$M:$M,MATCH($L2722,分录报销!$L:$L,0)),"")</f>
        <v/>
      </c>
      <c r="C2722" s="67"/>
      <c r="D2722" s="23" t="str">
        <f aca="false">IFERROR(INDEX(分录报销!$E:$E,MATCH($L2722,分录报销!$L:$L,0)),"")</f>
        <v/>
      </c>
      <c r="E2722" s="23" t="str">
        <f aca="false">IFERROR(INDEX(分录报销!$F:$F,MATCH($L2722,分录报销!$L:$L,0)),"")</f>
        <v/>
      </c>
      <c r="F2722" s="68" t="str">
        <f aca="false">IFERROR(INDEX(分录报销!$H:$H,MATCH($L2722,分录报销!$L:$L,0)),"")</f>
        <v/>
      </c>
      <c r="G2722" s="69" t="str">
        <f aca="false">IFERROR(INDEX(分录报销!$I:$I,MATCH($L2722,分录报销!$L:$L,0)),"")</f>
        <v/>
      </c>
      <c r="H2722" s="23"/>
      <c r="I2722" s="70"/>
      <c r="L2722" s="71" t="n">
        <f aca="false">IF(助手报销!$R$183="",-1,助手报销!$R$183*100+(助手报销!$S$183-1)*6+2)</f>
        <v>-1</v>
      </c>
    </row>
    <row r="2723" customFormat="false" ht="23.25" hidden="false" customHeight="true" outlineLevel="0" collapsed="false">
      <c r="B2723" s="67" t="str">
        <f aca="false">IFERROR(INDEX(分录报销!$M:$M,MATCH($L2723,分录报销!$L:$L,0)),"")</f>
        <v/>
      </c>
      <c r="C2723" s="67"/>
      <c r="D2723" s="23" t="str">
        <f aca="false">IFERROR(INDEX(分录报销!$E:$E,MATCH($L2723,分录报销!$L:$L,0)),"")</f>
        <v/>
      </c>
      <c r="E2723" s="23" t="str">
        <f aca="false">IFERROR(INDEX(分录报销!$F:$F,MATCH($L2723,分录报销!$L:$L,0)),"")</f>
        <v/>
      </c>
      <c r="F2723" s="68" t="str">
        <f aca="false">IFERROR(INDEX(分录报销!$H:$H,MATCH($L2723,分录报销!$L:$L,0)),"")</f>
        <v/>
      </c>
      <c r="G2723" s="69" t="str">
        <f aca="false">IFERROR(INDEX(分录报销!$I:$I,MATCH($L2723,分录报销!$L:$L,0)),"")</f>
        <v/>
      </c>
      <c r="H2723" s="23"/>
      <c r="I2723" s="70"/>
      <c r="L2723" s="71" t="n">
        <f aca="false">IF(助手报销!$R$183="",-1,助手报销!$R$183*100+(助手报销!$S$183-1)*6+3)</f>
        <v>-1</v>
      </c>
    </row>
    <row r="2724" customFormat="false" ht="23.25" hidden="false" customHeight="true" outlineLevel="0" collapsed="false">
      <c r="B2724" s="67" t="str">
        <f aca="false">IFERROR(INDEX(分录报销!$M:$M,MATCH($L2724,分录报销!$L:$L,0)),"")</f>
        <v/>
      </c>
      <c r="C2724" s="67"/>
      <c r="D2724" s="23" t="str">
        <f aca="false">IFERROR(INDEX(分录报销!$E:$E,MATCH($L2724,分录报销!$L:$L,0)),"")</f>
        <v/>
      </c>
      <c r="E2724" s="23" t="str">
        <f aca="false">IFERROR(INDEX(分录报销!$F:$F,MATCH($L2724,分录报销!$L:$L,0)),"")</f>
        <v/>
      </c>
      <c r="F2724" s="68" t="str">
        <f aca="false">IFERROR(INDEX(分录报销!$H:$H,MATCH($L2724,分录报销!$L:$L,0)),"")</f>
        <v/>
      </c>
      <c r="G2724" s="69" t="str">
        <f aca="false">IFERROR(INDEX(分录报销!$I:$I,MATCH($L2724,分录报销!$L:$L,0)),"")</f>
        <v/>
      </c>
      <c r="H2724" s="23"/>
      <c r="I2724" s="70"/>
      <c r="L2724" s="71" t="n">
        <f aca="false">IF(助手报销!$R$183="",-1,助手报销!$R$183*100+(助手报销!$S$183-1)*6+4)</f>
        <v>-1</v>
      </c>
    </row>
    <row r="2725" customFormat="false" ht="23.25" hidden="false" customHeight="true" outlineLevel="0" collapsed="false">
      <c r="B2725" s="67" t="str">
        <f aca="false">IFERROR(INDEX(分录报销!$M:$M,MATCH($L2725,分录报销!$L:$L,0)),"")</f>
        <v/>
      </c>
      <c r="C2725" s="67"/>
      <c r="D2725" s="23" t="str">
        <f aca="false">IFERROR(INDEX(分录报销!$E:$E,MATCH($L2725,分录报销!$L:$L,0)),"")</f>
        <v/>
      </c>
      <c r="E2725" s="23" t="str">
        <f aca="false">IFERROR(INDEX(分录报销!$F:$F,MATCH($L2725,分录报销!$L:$L,0)),"")</f>
        <v/>
      </c>
      <c r="F2725" s="68" t="str">
        <f aca="false">IFERROR(INDEX(分录报销!$H:$H,MATCH($L2725,分录报销!$L:$L,0)),"")</f>
        <v/>
      </c>
      <c r="G2725" s="69" t="str">
        <f aca="false">IFERROR(INDEX(分录报销!$I:$I,MATCH($L2725,分录报销!$L:$L,0)),"")</f>
        <v/>
      </c>
      <c r="H2725" s="23"/>
      <c r="I2725" s="70"/>
      <c r="L2725" s="71" t="n">
        <f aca="false">IF(助手报销!$R$183="",-1,助手报销!$R$183*100+(助手报销!$S$183-1)*6+5)</f>
        <v>-1</v>
      </c>
    </row>
    <row r="2726" customFormat="false" ht="23.25" hidden="false" customHeight="true" outlineLevel="0" collapsed="false">
      <c r="B2726" s="67" t="str">
        <f aca="false">IFERROR(INDEX(分录报销!$M:$M,MATCH($L2726,分录报销!$L:$L,0)),"")</f>
        <v/>
      </c>
      <c r="C2726" s="67"/>
      <c r="D2726" s="23" t="str">
        <f aca="false">IFERROR(INDEX(分录报销!$E:$E,MATCH($L2726,分录报销!$L:$L,0)),"")</f>
        <v/>
      </c>
      <c r="E2726" s="23" t="str">
        <f aca="false">IFERROR(INDEX(分录报销!$F:$F,MATCH($L2726,分录报销!$L:$L,0)),"")</f>
        <v/>
      </c>
      <c r="F2726" s="68" t="str">
        <f aca="false">IFERROR(INDEX(分录报销!$H:$H,MATCH($L2726,分录报销!$L:$L,0)),"")</f>
        <v/>
      </c>
      <c r="G2726" s="69" t="str">
        <f aca="false">IFERROR(INDEX(分录报销!$I:$I,MATCH($L2726,分录报销!$L:$L,0)),"")</f>
        <v/>
      </c>
      <c r="H2726" s="23"/>
      <c r="I2726" s="70"/>
      <c r="L2726" s="71" t="n">
        <f aca="false">IF(助手报销!$R$183="",-1,助手报销!$R$183*100+(助手报销!$S$183-1)*6+6)</f>
        <v>-1</v>
      </c>
    </row>
    <row r="2727" customFormat="false" ht="23.25" hidden="false" customHeight="true" outlineLevel="0" collapsed="false">
      <c r="B2727" s="72" t="str">
        <f aca="false">IF(助手报销!$T$183=1,"合计：","")</f>
        <v/>
      </c>
      <c r="C2727" s="73" t="str">
        <f aca="false">IF(助手报销!$T$183=1,$F2727,"")</f>
        <v/>
      </c>
      <c r="D2727" s="74"/>
      <c r="E2727" s="74"/>
      <c r="F2727" s="75" t="str">
        <f aca="false">IF(助手报销!$T$183=1,INDEX(助手报销!$N$2:$N$121,助手报销!$R$183),"")</f>
        <v/>
      </c>
      <c r="G2727" s="76" t="str">
        <f aca="false">IF(助手报销!$T$183=1,INDEX(助手报销!$O$2:$O$121,助手报销!$R$183),"")</f>
        <v/>
      </c>
      <c r="H2727" s="74"/>
      <c r="I2727" s="77"/>
    </row>
    <row r="2728" customFormat="false" ht="6" hidden="false" customHeight="true" outlineLevel="0" collapsed="false"/>
    <row r="2729" customFormat="false" ht="13.5" hidden="false" customHeight="false" outlineLevel="0" collapsed="false">
      <c r="B2729" s="78" t="str">
        <f aca="false">IF(助手报销!$R$183&lt;&gt;"","会计主管：","")</f>
        <v/>
      </c>
      <c r="D2729" s="78" t="str">
        <f aca="false">IF(助手报销!$R$183&lt;&gt;"","会计：","")</f>
        <v/>
      </c>
      <c r="E2729" s="78" t="str">
        <f aca="false">IF(助手报销!$R$183&lt;&gt;"","出纳：","")</f>
        <v/>
      </c>
      <c r="F2729" s="78" t="str">
        <f aca="false">IF(助手报销!$R$183&lt;&gt;"","复核：","")</f>
        <v/>
      </c>
      <c r="G2729" s="78" t="str">
        <f aca="false">IF(助手报销!$R$183&lt;&gt;"","制单：","")</f>
        <v/>
      </c>
    </row>
    <row r="2730" customFormat="false" ht="3" hidden="false" customHeight="true" outlineLevel="0" collapsed="false"/>
    <row r="2731" customFormat="false" ht="19.5" hidden="false" customHeight="true" outlineLevel="0" collapsed="false">
      <c r="B2731" s="53" t="str">
        <f aca="false">IF(助手报销!$R$184&lt;&gt;"","记  账  凭  证","")</f>
        <v/>
      </c>
      <c r="C2731" s="53"/>
      <c r="D2731" s="53"/>
      <c r="E2731" s="53"/>
      <c r="F2731" s="53"/>
      <c r="G2731" s="53"/>
      <c r="H2731" s="53"/>
      <c r="I2731" s="53"/>
    </row>
    <row r="2732" customFormat="false" ht="3" hidden="false" customHeight="true" outlineLevel="0" collapsed="false"/>
    <row r="2733" customFormat="false" ht="15" hidden="false" customHeight="true" outlineLevel="0" collapsed="false">
      <c r="C2733" s="56" t="str">
        <f aca="false">IF(助手报销!$R$184&lt;&gt;"",INDEX(助手报销!$B$2:$B$121,助手报销!$R$184),"")</f>
        <v/>
      </c>
      <c r="D2733" s="57" t="str">
        <f aca="false">IF(助手报销!$R$184&lt;&gt;"",INDEX(助手报销!$D$2:$D$121,助手报销!$R$184),"")</f>
        <v/>
      </c>
      <c r="E2733" s="57"/>
      <c r="F2733" s="58" t="str">
        <f aca="false">IF(助手报销!$R$184&lt;&gt;"",INDEX(助手报销!$C$2:$C$121,助手报销!$R$184)&amp;"  字第 "&amp;IF(参数!$B$9="是",INDEX(助手报销!$P$2:$P$121,助手报销!$R$184),"　　　　")&amp;" 号"&amp;IF(INDEX(助手报销!$L$2:$L$121,助手报销!$R$184)&gt;1,"  (共"&amp;INDEX(助手报销!$L$2:$L$121,助手报销!$R$184)&amp;"页 第"&amp;助手报销!$S$184&amp;"页)",""),"")</f>
        <v/>
      </c>
      <c r="G2733" s="58"/>
      <c r="H2733" s="58"/>
      <c r="I2733" s="58"/>
      <c r="M2733" s="79" t="str">
        <f aca="false">IF(助手报销!$R$184="","",助手报销!$Q$184)</f>
        <v/>
      </c>
      <c r="N2733" s="80" t="str">
        <f aca="false">IF(助手报销!$R$184="","",INDEX(助手报销!$P$2:$P$121,助手报销!$R$184))</f>
        <v/>
      </c>
      <c r="O2733" s="55" t="str">
        <f aca="false">IF(助手报销!$R$184="","",INDEX(助手报销!$C$2:$C$121,助手报销!$R$184)&amp;"  字第 "&amp;INDEX(助手报销!$P$2:$P$121,助手报销!$R$184)&amp;" 号"&amp;IF(INDEX(助手报销!$L$2:$L$121,助手报销!$R$184)&gt;1,"  (共"&amp;INDEX(助手报销!$L$2:$L$121,助手报销!$R$184)&amp;"页 第"&amp;助手报销!$S$184&amp;"页)",""))</f>
        <v/>
      </c>
    </row>
    <row r="2734" customFormat="false" ht="12.75" hidden="false" customHeight="true" outlineLevel="0" collapsed="false">
      <c r="B2734" s="61" t="str">
        <f aca="false">IF(助手报销!$R$184&lt;&gt;"","摘　　要","")</f>
        <v/>
      </c>
      <c r="C2734" s="61"/>
      <c r="D2734" s="62" t="str">
        <f aca="false">IF(助手报销!$R$184&lt;&gt;"","科　　　　目","")</f>
        <v/>
      </c>
      <c r="E2734" s="62"/>
      <c r="F2734" s="61" t="str">
        <f aca="false">IF(助手报销!$R$184&lt;&gt;"","借 方 金 额","")</f>
        <v/>
      </c>
      <c r="G2734" s="62" t="str">
        <f aca="false">IF(助手报销!$R$184&lt;&gt;"","贷 方 金 额","")</f>
        <v/>
      </c>
      <c r="H2734" s="63" t="str">
        <f aca="false">IF(助手报销!$R$184&lt;&gt;"","√","")</f>
        <v/>
      </c>
      <c r="I2734" s="64" t="str">
        <f aca="false">IF(助手报销!$R$184&lt;&gt;"","附单据  张","")</f>
        <v/>
      </c>
    </row>
    <row r="2735" customFormat="false" ht="12.75" hidden="false" customHeight="true" outlineLevel="0" collapsed="false">
      <c r="B2735" s="61"/>
      <c r="C2735" s="61"/>
      <c r="D2735" s="23" t="str">
        <f aca="false">IF(助手报销!$R$184&lt;&gt;"","总 账 科 目","")</f>
        <v/>
      </c>
      <c r="E2735" s="23" t="str">
        <f aca="false">IF(助手报销!$R$184&lt;&gt;"","明 细 科 目","")</f>
        <v/>
      </c>
      <c r="F2735" s="65"/>
      <c r="G2735" s="66"/>
      <c r="H2735" s="63"/>
      <c r="I2735" s="64"/>
    </row>
    <row r="2736" customFormat="false" ht="23.25" hidden="false" customHeight="true" outlineLevel="0" collapsed="false">
      <c r="B2736" s="67" t="str">
        <f aca="false">IFERROR(INDEX(分录报销!$M:$M,MATCH($L2736,分录报销!$L:$L,0)),"")</f>
        <v/>
      </c>
      <c r="C2736" s="67"/>
      <c r="D2736" s="23" t="str">
        <f aca="false">IFERROR(INDEX(分录报销!$E:$E,MATCH($L2736,分录报销!$L:$L,0)),"")</f>
        <v/>
      </c>
      <c r="E2736" s="23" t="str">
        <f aca="false">IFERROR(INDEX(分录报销!$F:$F,MATCH($L2736,分录报销!$L:$L,0)),"")</f>
        <v/>
      </c>
      <c r="F2736" s="68" t="str">
        <f aca="false">IFERROR(INDEX(分录报销!$H:$H,MATCH($L2736,分录报销!$L:$L,0)),"")</f>
        <v/>
      </c>
      <c r="G2736" s="69" t="str">
        <f aca="false">IFERROR(INDEX(分录报销!$I:$I,MATCH($L2736,分录报销!$L:$L,0)),"")</f>
        <v/>
      </c>
      <c r="H2736" s="23"/>
      <c r="I2736" s="70"/>
      <c r="L2736" s="71" t="n">
        <f aca="false">IF(助手报销!$R$184="",-1,助手报销!$R$184*100+(助手报销!$S$184-1)*6+1)</f>
        <v>-1</v>
      </c>
    </row>
    <row r="2737" customFormat="false" ht="23.25" hidden="false" customHeight="true" outlineLevel="0" collapsed="false">
      <c r="B2737" s="67" t="str">
        <f aca="false">IFERROR(INDEX(分录报销!$M:$M,MATCH($L2737,分录报销!$L:$L,0)),"")</f>
        <v/>
      </c>
      <c r="C2737" s="67"/>
      <c r="D2737" s="23" t="str">
        <f aca="false">IFERROR(INDEX(分录报销!$E:$E,MATCH($L2737,分录报销!$L:$L,0)),"")</f>
        <v/>
      </c>
      <c r="E2737" s="23" t="str">
        <f aca="false">IFERROR(INDEX(分录报销!$F:$F,MATCH($L2737,分录报销!$L:$L,0)),"")</f>
        <v/>
      </c>
      <c r="F2737" s="68" t="str">
        <f aca="false">IFERROR(INDEX(分录报销!$H:$H,MATCH($L2737,分录报销!$L:$L,0)),"")</f>
        <v/>
      </c>
      <c r="G2737" s="69" t="str">
        <f aca="false">IFERROR(INDEX(分录报销!$I:$I,MATCH($L2737,分录报销!$L:$L,0)),"")</f>
        <v/>
      </c>
      <c r="H2737" s="23"/>
      <c r="I2737" s="70"/>
      <c r="L2737" s="71" t="n">
        <f aca="false">IF(助手报销!$R$184="",-1,助手报销!$R$184*100+(助手报销!$S$184-1)*6+2)</f>
        <v>-1</v>
      </c>
    </row>
    <row r="2738" customFormat="false" ht="23.25" hidden="false" customHeight="true" outlineLevel="0" collapsed="false">
      <c r="B2738" s="67" t="str">
        <f aca="false">IFERROR(INDEX(分录报销!$M:$M,MATCH($L2738,分录报销!$L:$L,0)),"")</f>
        <v/>
      </c>
      <c r="C2738" s="67"/>
      <c r="D2738" s="23" t="str">
        <f aca="false">IFERROR(INDEX(分录报销!$E:$E,MATCH($L2738,分录报销!$L:$L,0)),"")</f>
        <v/>
      </c>
      <c r="E2738" s="23" t="str">
        <f aca="false">IFERROR(INDEX(分录报销!$F:$F,MATCH($L2738,分录报销!$L:$L,0)),"")</f>
        <v/>
      </c>
      <c r="F2738" s="68" t="str">
        <f aca="false">IFERROR(INDEX(分录报销!$H:$H,MATCH($L2738,分录报销!$L:$L,0)),"")</f>
        <v/>
      </c>
      <c r="G2738" s="69" t="str">
        <f aca="false">IFERROR(INDEX(分录报销!$I:$I,MATCH($L2738,分录报销!$L:$L,0)),"")</f>
        <v/>
      </c>
      <c r="H2738" s="23"/>
      <c r="I2738" s="70"/>
      <c r="L2738" s="71" t="n">
        <f aca="false">IF(助手报销!$R$184="",-1,助手报销!$R$184*100+(助手报销!$S$184-1)*6+3)</f>
        <v>-1</v>
      </c>
    </row>
    <row r="2739" customFormat="false" ht="23.25" hidden="false" customHeight="true" outlineLevel="0" collapsed="false">
      <c r="B2739" s="67" t="str">
        <f aca="false">IFERROR(INDEX(分录报销!$M:$M,MATCH($L2739,分录报销!$L:$L,0)),"")</f>
        <v/>
      </c>
      <c r="C2739" s="67"/>
      <c r="D2739" s="23" t="str">
        <f aca="false">IFERROR(INDEX(分录报销!$E:$E,MATCH($L2739,分录报销!$L:$L,0)),"")</f>
        <v/>
      </c>
      <c r="E2739" s="23" t="str">
        <f aca="false">IFERROR(INDEX(分录报销!$F:$F,MATCH($L2739,分录报销!$L:$L,0)),"")</f>
        <v/>
      </c>
      <c r="F2739" s="68" t="str">
        <f aca="false">IFERROR(INDEX(分录报销!$H:$H,MATCH($L2739,分录报销!$L:$L,0)),"")</f>
        <v/>
      </c>
      <c r="G2739" s="69" t="str">
        <f aca="false">IFERROR(INDEX(分录报销!$I:$I,MATCH($L2739,分录报销!$L:$L,0)),"")</f>
        <v/>
      </c>
      <c r="H2739" s="23"/>
      <c r="I2739" s="70"/>
      <c r="L2739" s="71" t="n">
        <f aca="false">IF(助手报销!$R$184="",-1,助手报销!$R$184*100+(助手报销!$S$184-1)*6+4)</f>
        <v>-1</v>
      </c>
    </row>
    <row r="2740" customFormat="false" ht="23.25" hidden="false" customHeight="true" outlineLevel="0" collapsed="false">
      <c r="B2740" s="67" t="str">
        <f aca="false">IFERROR(INDEX(分录报销!$M:$M,MATCH($L2740,分录报销!$L:$L,0)),"")</f>
        <v/>
      </c>
      <c r="C2740" s="67"/>
      <c r="D2740" s="23" t="str">
        <f aca="false">IFERROR(INDEX(分录报销!$E:$E,MATCH($L2740,分录报销!$L:$L,0)),"")</f>
        <v/>
      </c>
      <c r="E2740" s="23" t="str">
        <f aca="false">IFERROR(INDEX(分录报销!$F:$F,MATCH($L2740,分录报销!$L:$L,0)),"")</f>
        <v/>
      </c>
      <c r="F2740" s="68" t="str">
        <f aca="false">IFERROR(INDEX(分录报销!$H:$H,MATCH($L2740,分录报销!$L:$L,0)),"")</f>
        <v/>
      </c>
      <c r="G2740" s="69" t="str">
        <f aca="false">IFERROR(INDEX(分录报销!$I:$I,MATCH($L2740,分录报销!$L:$L,0)),"")</f>
        <v/>
      </c>
      <c r="H2740" s="23"/>
      <c r="I2740" s="70"/>
      <c r="L2740" s="71" t="n">
        <f aca="false">IF(助手报销!$R$184="",-1,助手报销!$R$184*100+(助手报销!$S$184-1)*6+5)</f>
        <v>-1</v>
      </c>
    </row>
    <row r="2741" customFormat="false" ht="23.25" hidden="false" customHeight="true" outlineLevel="0" collapsed="false">
      <c r="B2741" s="67" t="str">
        <f aca="false">IFERROR(INDEX(分录报销!$M:$M,MATCH($L2741,分录报销!$L:$L,0)),"")</f>
        <v/>
      </c>
      <c r="C2741" s="67"/>
      <c r="D2741" s="23" t="str">
        <f aca="false">IFERROR(INDEX(分录报销!$E:$E,MATCH($L2741,分录报销!$L:$L,0)),"")</f>
        <v/>
      </c>
      <c r="E2741" s="23" t="str">
        <f aca="false">IFERROR(INDEX(分录报销!$F:$F,MATCH($L2741,分录报销!$L:$L,0)),"")</f>
        <v/>
      </c>
      <c r="F2741" s="68" t="str">
        <f aca="false">IFERROR(INDEX(分录报销!$H:$H,MATCH($L2741,分录报销!$L:$L,0)),"")</f>
        <v/>
      </c>
      <c r="G2741" s="69" t="str">
        <f aca="false">IFERROR(INDEX(分录报销!$I:$I,MATCH($L2741,分录报销!$L:$L,0)),"")</f>
        <v/>
      </c>
      <c r="H2741" s="23"/>
      <c r="I2741" s="70"/>
      <c r="L2741" s="71" t="n">
        <f aca="false">IF(助手报销!$R$184="",-1,助手报销!$R$184*100+(助手报销!$S$184-1)*6+6)</f>
        <v>-1</v>
      </c>
    </row>
    <row r="2742" customFormat="false" ht="23.25" hidden="false" customHeight="true" outlineLevel="0" collapsed="false">
      <c r="B2742" s="72" t="str">
        <f aca="false">IF(助手报销!$T$184=1,"合计：","")</f>
        <v/>
      </c>
      <c r="C2742" s="73" t="str">
        <f aca="false">IF(助手报销!$T$184=1,$F2742,"")</f>
        <v/>
      </c>
      <c r="D2742" s="74"/>
      <c r="E2742" s="74"/>
      <c r="F2742" s="75" t="str">
        <f aca="false">IF(助手报销!$T$184=1,INDEX(助手报销!$N$2:$N$121,助手报销!$R$184),"")</f>
        <v/>
      </c>
      <c r="G2742" s="76" t="str">
        <f aca="false">IF(助手报销!$T$184=1,INDEX(助手报销!$O$2:$O$121,助手报销!$R$184),"")</f>
        <v/>
      </c>
      <c r="H2742" s="74"/>
      <c r="I2742" s="77"/>
    </row>
    <row r="2743" customFormat="false" ht="6" hidden="false" customHeight="true" outlineLevel="0" collapsed="false"/>
    <row r="2744" customFormat="false" ht="13.5" hidden="false" customHeight="false" outlineLevel="0" collapsed="false">
      <c r="B2744" s="78" t="str">
        <f aca="false">IF(助手报销!$R$184&lt;&gt;"","会计主管：","")</f>
        <v/>
      </c>
      <c r="D2744" s="78" t="str">
        <f aca="false">IF(助手报销!$R$184&lt;&gt;"","会计：","")</f>
        <v/>
      </c>
      <c r="E2744" s="78" t="str">
        <f aca="false">IF(助手报销!$R$184&lt;&gt;"","出纳：","")</f>
        <v/>
      </c>
      <c r="F2744" s="78" t="str">
        <f aca="false">IF(助手报销!$R$184&lt;&gt;"","复核：","")</f>
        <v/>
      </c>
      <c r="G2744" s="78" t="str">
        <f aca="false">IF(助手报销!$R$184&lt;&gt;"","制单：","")</f>
        <v/>
      </c>
    </row>
    <row r="2745" customFormat="false" ht="3" hidden="false" customHeight="true" outlineLevel="0" collapsed="false"/>
    <row r="2746" customFormat="false" ht="19.5" hidden="false" customHeight="true" outlineLevel="0" collapsed="false">
      <c r="B2746" s="53" t="str">
        <f aca="false">IF(助手报销!$R$185&lt;&gt;"","记  账  凭  证","")</f>
        <v/>
      </c>
      <c r="C2746" s="53"/>
      <c r="D2746" s="53"/>
      <c r="E2746" s="53"/>
      <c r="F2746" s="53"/>
      <c r="G2746" s="53"/>
      <c r="H2746" s="53"/>
      <c r="I2746" s="53"/>
    </row>
    <row r="2747" customFormat="false" ht="3" hidden="false" customHeight="true" outlineLevel="0" collapsed="false"/>
    <row r="2748" customFormat="false" ht="15" hidden="false" customHeight="true" outlineLevel="0" collapsed="false">
      <c r="C2748" s="56" t="str">
        <f aca="false">IF(助手报销!$R$185&lt;&gt;"",INDEX(助手报销!$B$2:$B$121,助手报销!$R$185),"")</f>
        <v/>
      </c>
      <c r="D2748" s="57" t="str">
        <f aca="false">IF(助手报销!$R$185&lt;&gt;"",INDEX(助手报销!$D$2:$D$121,助手报销!$R$185),"")</f>
        <v/>
      </c>
      <c r="E2748" s="57"/>
      <c r="F2748" s="58" t="str">
        <f aca="false">IF(助手报销!$R$185&lt;&gt;"",INDEX(助手报销!$C$2:$C$121,助手报销!$R$185)&amp;"  字第 "&amp;IF(参数!$B$9="是",INDEX(助手报销!$P$2:$P$121,助手报销!$R$185),"　　　　")&amp;" 号"&amp;IF(INDEX(助手报销!$L$2:$L$121,助手报销!$R$185)&gt;1,"  (共"&amp;INDEX(助手报销!$L$2:$L$121,助手报销!$R$185)&amp;"页 第"&amp;助手报销!$S$185&amp;"页)",""),"")</f>
        <v/>
      </c>
      <c r="G2748" s="58"/>
      <c r="H2748" s="58"/>
      <c r="I2748" s="58"/>
      <c r="M2748" s="79" t="str">
        <f aca="false">IF(助手报销!$R$185="","",助手报销!$Q$185)</f>
        <v/>
      </c>
      <c r="N2748" s="80" t="str">
        <f aca="false">IF(助手报销!$R$185="","",INDEX(助手报销!$P$2:$P$121,助手报销!$R$185))</f>
        <v/>
      </c>
      <c r="O2748" s="55" t="str">
        <f aca="false">IF(助手报销!$R$185="","",INDEX(助手报销!$C$2:$C$121,助手报销!$R$185)&amp;"  字第 "&amp;INDEX(助手报销!$P$2:$P$121,助手报销!$R$185)&amp;" 号"&amp;IF(INDEX(助手报销!$L$2:$L$121,助手报销!$R$185)&gt;1,"  (共"&amp;INDEX(助手报销!$L$2:$L$121,助手报销!$R$185)&amp;"页 第"&amp;助手报销!$S$185&amp;"页)",""))</f>
        <v/>
      </c>
    </row>
    <row r="2749" customFormat="false" ht="12.75" hidden="false" customHeight="true" outlineLevel="0" collapsed="false">
      <c r="B2749" s="61" t="str">
        <f aca="false">IF(助手报销!$R$185&lt;&gt;"","摘　　要","")</f>
        <v/>
      </c>
      <c r="C2749" s="61"/>
      <c r="D2749" s="62" t="str">
        <f aca="false">IF(助手报销!$R$185&lt;&gt;"","科　　　　目","")</f>
        <v/>
      </c>
      <c r="E2749" s="62"/>
      <c r="F2749" s="61" t="str">
        <f aca="false">IF(助手报销!$R$185&lt;&gt;"","借 方 金 额","")</f>
        <v/>
      </c>
      <c r="G2749" s="62" t="str">
        <f aca="false">IF(助手报销!$R$185&lt;&gt;"","贷 方 金 额","")</f>
        <v/>
      </c>
      <c r="H2749" s="63" t="str">
        <f aca="false">IF(助手报销!$R$185&lt;&gt;"","√","")</f>
        <v/>
      </c>
      <c r="I2749" s="64" t="str">
        <f aca="false">IF(助手报销!$R$185&lt;&gt;"","附单据  张","")</f>
        <v/>
      </c>
    </row>
    <row r="2750" customFormat="false" ht="12.75" hidden="false" customHeight="true" outlineLevel="0" collapsed="false">
      <c r="B2750" s="61"/>
      <c r="C2750" s="61"/>
      <c r="D2750" s="23" t="str">
        <f aca="false">IF(助手报销!$R$185&lt;&gt;"","总 账 科 目","")</f>
        <v/>
      </c>
      <c r="E2750" s="23" t="str">
        <f aca="false">IF(助手报销!$R$185&lt;&gt;"","明 细 科 目","")</f>
        <v/>
      </c>
      <c r="F2750" s="65"/>
      <c r="G2750" s="66"/>
      <c r="H2750" s="63"/>
      <c r="I2750" s="64"/>
    </row>
    <row r="2751" customFormat="false" ht="23.25" hidden="false" customHeight="true" outlineLevel="0" collapsed="false">
      <c r="B2751" s="67" t="str">
        <f aca="false">IFERROR(INDEX(分录报销!$M:$M,MATCH($L2751,分录报销!$L:$L,0)),"")</f>
        <v/>
      </c>
      <c r="C2751" s="67"/>
      <c r="D2751" s="23" t="str">
        <f aca="false">IFERROR(INDEX(分录报销!$E:$E,MATCH($L2751,分录报销!$L:$L,0)),"")</f>
        <v/>
      </c>
      <c r="E2751" s="23" t="str">
        <f aca="false">IFERROR(INDEX(分录报销!$F:$F,MATCH($L2751,分录报销!$L:$L,0)),"")</f>
        <v/>
      </c>
      <c r="F2751" s="68" t="str">
        <f aca="false">IFERROR(INDEX(分录报销!$H:$H,MATCH($L2751,分录报销!$L:$L,0)),"")</f>
        <v/>
      </c>
      <c r="G2751" s="69" t="str">
        <f aca="false">IFERROR(INDEX(分录报销!$I:$I,MATCH($L2751,分录报销!$L:$L,0)),"")</f>
        <v/>
      </c>
      <c r="H2751" s="23"/>
      <c r="I2751" s="70"/>
      <c r="L2751" s="71" t="n">
        <f aca="false">IF(助手报销!$R$185="",-1,助手报销!$R$185*100+(助手报销!$S$185-1)*6+1)</f>
        <v>-1</v>
      </c>
    </row>
    <row r="2752" customFormat="false" ht="23.25" hidden="false" customHeight="true" outlineLevel="0" collapsed="false">
      <c r="B2752" s="67" t="str">
        <f aca="false">IFERROR(INDEX(分录报销!$M:$M,MATCH($L2752,分录报销!$L:$L,0)),"")</f>
        <v/>
      </c>
      <c r="C2752" s="67"/>
      <c r="D2752" s="23" t="str">
        <f aca="false">IFERROR(INDEX(分录报销!$E:$E,MATCH($L2752,分录报销!$L:$L,0)),"")</f>
        <v/>
      </c>
      <c r="E2752" s="23" t="str">
        <f aca="false">IFERROR(INDEX(分录报销!$F:$F,MATCH($L2752,分录报销!$L:$L,0)),"")</f>
        <v/>
      </c>
      <c r="F2752" s="68" t="str">
        <f aca="false">IFERROR(INDEX(分录报销!$H:$H,MATCH($L2752,分录报销!$L:$L,0)),"")</f>
        <v/>
      </c>
      <c r="G2752" s="69" t="str">
        <f aca="false">IFERROR(INDEX(分录报销!$I:$I,MATCH($L2752,分录报销!$L:$L,0)),"")</f>
        <v/>
      </c>
      <c r="H2752" s="23"/>
      <c r="I2752" s="70"/>
      <c r="L2752" s="71" t="n">
        <f aca="false">IF(助手报销!$R$185="",-1,助手报销!$R$185*100+(助手报销!$S$185-1)*6+2)</f>
        <v>-1</v>
      </c>
    </row>
    <row r="2753" customFormat="false" ht="23.25" hidden="false" customHeight="true" outlineLevel="0" collapsed="false">
      <c r="B2753" s="67" t="str">
        <f aca="false">IFERROR(INDEX(分录报销!$M:$M,MATCH($L2753,分录报销!$L:$L,0)),"")</f>
        <v/>
      </c>
      <c r="C2753" s="67"/>
      <c r="D2753" s="23" t="str">
        <f aca="false">IFERROR(INDEX(分录报销!$E:$E,MATCH($L2753,分录报销!$L:$L,0)),"")</f>
        <v/>
      </c>
      <c r="E2753" s="23" t="str">
        <f aca="false">IFERROR(INDEX(分录报销!$F:$F,MATCH($L2753,分录报销!$L:$L,0)),"")</f>
        <v/>
      </c>
      <c r="F2753" s="68" t="str">
        <f aca="false">IFERROR(INDEX(分录报销!$H:$H,MATCH($L2753,分录报销!$L:$L,0)),"")</f>
        <v/>
      </c>
      <c r="G2753" s="69" t="str">
        <f aca="false">IFERROR(INDEX(分录报销!$I:$I,MATCH($L2753,分录报销!$L:$L,0)),"")</f>
        <v/>
      </c>
      <c r="H2753" s="23"/>
      <c r="I2753" s="70"/>
      <c r="L2753" s="71" t="n">
        <f aca="false">IF(助手报销!$R$185="",-1,助手报销!$R$185*100+(助手报销!$S$185-1)*6+3)</f>
        <v>-1</v>
      </c>
    </row>
    <row r="2754" customFormat="false" ht="23.25" hidden="false" customHeight="true" outlineLevel="0" collapsed="false">
      <c r="B2754" s="67" t="str">
        <f aca="false">IFERROR(INDEX(分录报销!$M:$M,MATCH($L2754,分录报销!$L:$L,0)),"")</f>
        <v/>
      </c>
      <c r="C2754" s="67"/>
      <c r="D2754" s="23" t="str">
        <f aca="false">IFERROR(INDEX(分录报销!$E:$E,MATCH($L2754,分录报销!$L:$L,0)),"")</f>
        <v/>
      </c>
      <c r="E2754" s="23" t="str">
        <f aca="false">IFERROR(INDEX(分录报销!$F:$F,MATCH($L2754,分录报销!$L:$L,0)),"")</f>
        <v/>
      </c>
      <c r="F2754" s="68" t="str">
        <f aca="false">IFERROR(INDEX(分录报销!$H:$H,MATCH($L2754,分录报销!$L:$L,0)),"")</f>
        <v/>
      </c>
      <c r="G2754" s="69" t="str">
        <f aca="false">IFERROR(INDEX(分录报销!$I:$I,MATCH($L2754,分录报销!$L:$L,0)),"")</f>
        <v/>
      </c>
      <c r="H2754" s="23"/>
      <c r="I2754" s="70"/>
      <c r="L2754" s="71" t="n">
        <f aca="false">IF(助手报销!$R$185="",-1,助手报销!$R$185*100+(助手报销!$S$185-1)*6+4)</f>
        <v>-1</v>
      </c>
    </row>
    <row r="2755" customFormat="false" ht="23.25" hidden="false" customHeight="true" outlineLevel="0" collapsed="false">
      <c r="B2755" s="67" t="str">
        <f aca="false">IFERROR(INDEX(分录报销!$M:$M,MATCH($L2755,分录报销!$L:$L,0)),"")</f>
        <v/>
      </c>
      <c r="C2755" s="67"/>
      <c r="D2755" s="23" t="str">
        <f aca="false">IFERROR(INDEX(分录报销!$E:$E,MATCH($L2755,分录报销!$L:$L,0)),"")</f>
        <v/>
      </c>
      <c r="E2755" s="23" t="str">
        <f aca="false">IFERROR(INDEX(分录报销!$F:$F,MATCH($L2755,分录报销!$L:$L,0)),"")</f>
        <v/>
      </c>
      <c r="F2755" s="68" t="str">
        <f aca="false">IFERROR(INDEX(分录报销!$H:$H,MATCH($L2755,分录报销!$L:$L,0)),"")</f>
        <v/>
      </c>
      <c r="G2755" s="69" t="str">
        <f aca="false">IFERROR(INDEX(分录报销!$I:$I,MATCH($L2755,分录报销!$L:$L,0)),"")</f>
        <v/>
      </c>
      <c r="H2755" s="23"/>
      <c r="I2755" s="70"/>
      <c r="L2755" s="71" t="n">
        <f aca="false">IF(助手报销!$R$185="",-1,助手报销!$R$185*100+(助手报销!$S$185-1)*6+5)</f>
        <v>-1</v>
      </c>
    </row>
    <row r="2756" customFormat="false" ht="23.25" hidden="false" customHeight="true" outlineLevel="0" collapsed="false">
      <c r="B2756" s="67" t="str">
        <f aca="false">IFERROR(INDEX(分录报销!$M:$M,MATCH($L2756,分录报销!$L:$L,0)),"")</f>
        <v/>
      </c>
      <c r="C2756" s="67"/>
      <c r="D2756" s="23" t="str">
        <f aca="false">IFERROR(INDEX(分录报销!$E:$E,MATCH($L2756,分录报销!$L:$L,0)),"")</f>
        <v/>
      </c>
      <c r="E2756" s="23" t="str">
        <f aca="false">IFERROR(INDEX(分录报销!$F:$F,MATCH($L2756,分录报销!$L:$L,0)),"")</f>
        <v/>
      </c>
      <c r="F2756" s="68" t="str">
        <f aca="false">IFERROR(INDEX(分录报销!$H:$H,MATCH($L2756,分录报销!$L:$L,0)),"")</f>
        <v/>
      </c>
      <c r="G2756" s="69" t="str">
        <f aca="false">IFERROR(INDEX(分录报销!$I:$I,MATCH($L2756,分录报销!$L:$L,0)),"")</f>
        <v/>
      </c>
      <c r="H2756" s="23"/>
      <c r="I2756" s="70"/>
      <c r="L2756" s="71" t="n">
        <f aca="false">IF(助手报销!$R$185="",-1,助手报销!$R$185*100+(助手报销!$S$185-1)*6+6)</f>
        <v>-1</v>
      </c>
    </row>
    <row r="2757" customFormat="false" ht="23.25" hidden="false" customHeight="true" outlineLevel="0" collapsed="false">
      <c r="B2757" s="72" t="str">
        <f aca="false">IF(助手报销!$T$185=1,"合计：","")</f>
        <v/>
      </c>
      <c r="C2757" s="73" t="str">
        <f aca="false">IF(助手报销!$T$185=1,$F2757,"")</f>
        <v/>
      </c>
      <c r="D2757" s="74"/>
      <c r="E2757" s="74"/>
      <c r="F2757" s="75" t="str">
        <f aca="false">IF(助手报销!$T$185=1,INDEX(助手报销!$N$2:$N$121,助手报销!$R$185),"")</f>
        <v/>
      </c>
      <c r="G2757" s="76" t="str">
        <f aca="false">IF(助手报销!$T$185=1,INDEX(助手报销!$O$2:$O$121,助手报销!$R$185),"")</f>
        <v/>
      </c>
      <c r="H2757" s="74"/>
      <c r="I2757" s="77"/>
    </row>
    <row r="2758" customFormat="false" ht="6" hidden="false" customHeight="true" outlineLevel="0" collapsed="false"/>
    <row r="2759" customFormat="false" ht="13.5" hidden="false" customHeight="false" outlineLevel="0" collapsed="false">
      <c r="B2759" s="78" t="str">
        <f aca="false">IF(助手报销!$R$185&lt;&gt;"","会计主管：","")</f>
        <v/>
      </c>
      <c r="D2759" s="78" t="str">
        <f aca="false">IF(助手报销!$R$185&lt;&gt;"","会计：","")</f>
        <v/>
      </c>
      <c r="E2759" s="78" t="str">
        <f aca="false">IF(助手报销!$R$185&lt;&gt;"","出纳：","")</f>
        <v/>
      </c>
      <c r="F2759" s="78" t="str">
        <f aca="false">IF(助手报销!$R$185&lt;&gt;"","复核：","")</f>
        <v/>
      </c>
      <c r="G2759" s="78" t="str">
        <f aca="false">IF(助手报销!$R$185&lt;&gt;"","制单：","")</f>
        <v/>
      </c>
    </row>
    <row r="2760" customFormat="false" ht="3" hidden="false" customHeight="true" outlineLevel="0" collapsed="false"/>
    <row r="2761" customFormat="false" ht="19.5" hidden="false" customHeight="true" outlineLevel="0" collapsed="false">
      <c r="B2761" s="53" t="str">
        <f aca="false">IF(助手报销!$R$186&lt;&gt;"","记  账  凭  证","")</f>
        <v/>
      </c>
      <c r="C2761" s="53"/>
      <c r="D2761" s="53"/>
      <c r="E2761" s="53"/>
      <c r="F2761" s="53"/>
      <c r="G2761" s="53"/>
      <c r="H2761" s="53"/>
      <c r="I2761" s="53"/>
    </row>
    <row r="2762" customFormat="false" ht="3" hidden="false" customHeight="true" outlineLevel="0" collapsed="false"/>
    <row r="2763" customFormat="false" ht="15" hidden="false" customHeight="true" outlineLevel="0" collapsed="false">
      <c r="C2763" s="56" t="str">
        <f aca="false">IF(助手报销!$R$186&lt;&gt;"",INDEX(助手报销!$B$2:$B$121,助手报销!$R$186),"")</f>
        <v/>
      </c>
      <c r="D2763" s="57" t="str">
        <f aca="false">IF(助手报销!$R$186&lt;&gt;"",INDEX(助手报销!$D$2:$D$121,助手报销!$R$186),"")</f>
        <v/>
      </c>
      <c r="E2763" s="57"/>
      <c r="F2763" s="58" t="str">
        <f aca="false">IF(助手报销!$R$186&lt;&gt;"",INDEX(助手报销!$C$2:$C$121,助手报销!$R$186)&amp;"  字第 "&amp;IF(参数!$B$9="是",INDEX(助手报销!$P$2:$P$121,助手报销!$R$186),"　　　　")&amp;" 号"&amp;IF(INDEX(助手报销!$L$2:$L$121,助手报销!$R$186)&gt;1,"  (共"&amp;INDEX(助手报销!$L$2:$L$121,助手报销!$R$186)&amp;"页 第"&amp;助手报销!$S$186&amp;"页)",""),"")</f>
        <v/>
      </c>
      <c r="G2763" s="58"/>
      <c r="H2763" s="58"/>
      <c r="I2763" s="58"/>
      <c r="M2763" s="79" t="str">
        <f aca="false">IF(助手报销!$R$186="","",助手报销!$Q$186)</f>
        <v/>
      </c>
      <c r="N2763" s="80" t="str">
        <f aca="false">IF(助手报销!$R$186="","",INDEX(助手报销!$P$2:$P$121,助手报销!$R$186))</f>
        <v/>
      </c>
      <c r="O2763" s="55" t="str">
        <f aca="false">IF(助手报销!$R$186="","",INDEX(助手报销!$C$2:$C$121,助手报销!$R$186)&amp;"  字第 "&amp;INDEX(助手报销!$P$2:$P$121,助手报销!$R$186)&amp;" 号"&amp;IF(INDEX(助手报销!$L$2:$L$121,助手报销!$R$186)&gt;1,"  (共"&amp;INDEX(助手报销!$L$2:$L$121,助手报销!$R$186)&amp;"页 第"&amp;助手报销!$S$186&amp;"页)",""))</f>
        <v/>
      </c>
    </row>
    <row r="2764" customFormat="false" ht="12.75" hidden="false" customHeight="true" outlineLevel="0" collapsed="false">
      <c r="B2764" s="61" t="str">
        <f aca="false">IF(助手报销!$R$186&lt;&gt;"","摘　　要","")</f>
        <v/>
      </c>
      <c r="C2764" s="61"/>
      <c r="D2764" s="62" t="str">
        <f aca="false">IF(助手报销!$R$186&lt;&gt;"","科　　　　目","")</f>
        <v/>
      </c>
      <c r="E2764" s="62"/>
      <c r="F2764" s="61" t="str">
        <f aca="false">IF(助手报销!$R$186&lt;&gt;"","借 方 金 额","")</f>
        <v/>
      </c>
      <c r="G2764" s="62" t="str">
        <f aca="false">IF(助手报销!$R$186&lt;&gt;"","贷 方 金 额","")</f>
        <v/>
      </c>
      <c r="H2764" s="63" t="str">
        <f aca="false">IF(助手报销!$R$186&lt;&gt;"","√","")</f>
        <v/>
      </c>
      <c r="I2764" s="64" t="str">
        <f aca="false">IF(助手报销!$R$186&lt;&gt;"","附单据  张","")</f>
        <v/>
      </c>
    </row>
    <row r="2765" customFormat="false" ht="12.75" hidden="false" customHeight="true" outlineLevel="0" collapsed="false">
      <c r="B2765" s="61"/>
      <c r="C2765" s="61"/>
      <c r="D2765" s="23" t="str">
        <f aca="false">IF(助手报销!$R$186&lt;&gt;"","总 账 科 目","")</f>
        <v/>
      </c>
      <c r="E2765" s="23" t="str">
        <f aca="false">IF(助手报销!$R$186&lt;&gt;"","明 细 科 目","")</f>
        <v/>
      </c>
      <c r="F2765" s="65"/>
      <c r="G2765" s="66"/>
      <c r="H2765" s="63"/>
      <c r="I2765" s="64"/>
    </row>
    <row r="2766" customFormat="false" ht="23.25" hidden="false" customHeight="true" outlineLevel="0" collapsed="false">
      <c r="B2766" s="67" t="str">
        <f aca="false">IFERROR(INDEX(分录报销!$M:$M,MATCH($L2766,分录报销!$L:$L,0)),"")</f>
        <v/>
      </c>
      <c r="C2766" s="67"/>
      <c r="D2766" s="23" t="str">
        <f aca="false">IFERROR(INDEX(分录报销!$E:$E,MATCH($L2766,分录报销!$L:$L,0)),"")</f>
        <v/>
      </c>
      <c r="E2766" s="23" t="str">
        <f aca="false">IFERROR(INDEX(分录报销!$F:$F,MATCH($L2766,分录报销!$L:$L,0)),"")</f>
        <v/>
      </c>
      <c r="F2766" s="68" t="str">
        <f aca="false">IFERROR(INDEX(分录报销!$H:$H,MATCH($L2766,分录报销!$L:$L,0)),"")</f>
        <v/>
      </c>
      <c r="G2766" s="69" t="str">
        <f aca="false">IFERROR(INDEX(分录报销!$I:$I,MATCH($L2766,分录报销!$L:$L,0)),"")</f>
        <v/>
      </c>
      <c r="H2766" s="23"/>
      <c r="I2766" s="70"/>
      <c r="L2766" s="71" t="n">
        <f aca="false">IF(助手报销!$R$186="",-1,助手报销!$R$186*100+(助手报销!$S$186-1)*6+1)</f>
        <v>-1</v>
      </c>
    </row>
    <row r="2767" customFormat="false" ht="23.25" hidden="false" customHeight="true" outlineLevel="0" collapsed="false">
      <c r="B2767" s="67" t="str">
        <f aca="false">IFERROR(INDEX(分录报销!$M:$M,MATCH($L2767,分录报销!$L:$L,0)),"")</f>
        <v/>
      </c>
      <c r="C2767" s="67"/>
      <c r="D2767" s="23" t="str">
        <f aca="false">IFERROR(INDEX(分录报销!$E:$E,MATCH($L2767,分录报销!$L:$L,0)),"")</f>
        <v/>
      </c>
      <c r="E2767" s="23" t="str">
        <f aca="false">IFERROR(INDEX(分录报销!$F:$F,MATCH($L2767,分录报销!$L:$L,0)),"")</f>
        <v/>
      </c>
      <c r="F2767" s="68" t="str">
        <f aca="false">IFERROR(INDEX(分录报销!$H:$H,MATCH($L2767,分录报销!$L:$L,0)),"")</f>
        <v/>
      </c>
      <c r="G2767" s="69" t="str">
        <f aca="false">IFERROR(INDEX(分录报销!$I:$I,MATCH($L2767,分录报销!$L:$L,0)),"")</f>
        <v/>
      </c>
      <c r="H2767" s="23"/>
      <c r="I2767" s="70"/>
      <c r="L2767" s="71" t="n">
        <f aca="false">IF(助手报销!$R$186="",-1,助手报销!$R$186*100+(助手报销!$S$186-1)*6+2)</f>
        <v>-1</v>
      </c>
    </row>
    <row r="2768" customFormat="false" ht="23.25" hidden="false" customHeight="true" outlineLevel="0" collapsed="false">
      <c r="B2768" s="67" t="str">
        <f aca="false">IFERROR(INDEX(分录报销!$M:$M,MATCH($L2768,分录报销!$L:$L,0)),"")</f>
        <v/>
      </c>
      <c r="C2768" s="67"/>
      <c r="D2768" s="23" t="str">
        <f aca="false">IFERROR(INDEX(分录报销!$E:$E,MATCH($L2768,分录报销!$L:$L,0)),"")</f>
        <v/>
      </c>
      <c r="E2768" s="23" t="str">
        <f aca="false">IFERROR(INDEX(分录报销!$F:$F,MATCH($L2768,分录报销!$L:$L,0)),"")</f>
        <v/>
      </c>
      <c r="F2768" s="68" t="str">
        <f aca="false">IFERROR(INDEX(分录报销!$H:$H,MATCH($L2768,分录报销!$L:$L,0)),"")</f>
        <v/>
      </c>
      <c r="G2768" s="69" t="str">
        <f aca="false">IFERROR(INDEX(分录报销!$I:$I,MATCH($L2768,分录报销!$L:$L,0)),"")</f>
        <v/>
      </c>
      <c r="H2768" s="23"/>
      <c r="I2768" s="70"/>
      <c r="L2768" s="71" t="n">
        <f aca="false">IF(助手报销!$R$186="",-1,助手报销!$R$186*100+(助手报销!$S$186-1)*6+3)</f>
        <v>-1</v>
      </c>
    </row>
    <row r="2769" customFormat="false" ht="23.25" hidden="false" customHeight="true" outlineLevel="0" collapsed="false">
      <c r="B2769" s="67" t="str">
        <f aca="false">IFERROR(INDEX(分录报销!$M:$M,MATCH($L2769,分录报销!$L:$L,0)),"")</f>
        <v/>
      </c>
      <c r="C2769" s="67"/>
      <c r="D2769" s="23" t="str">
        <f aca="false">IFERROR(INDEX(分录报销!$E:$E,MATCH($L2769,分录报销!$L:$L,0)),"")</f>
        <v/>
      </c>
      <c r="E2769" s="23" t="str">
        <f aca="false">IFERROR(INDEX(分录报销!$F:$F,MATCH($L2769,分录报销!$L:$L,0)),"")</f>
        <v/>
      </c>
      <c r="F2769" s="68" t="str">
        <f aca="false">IFERROR(INDEX(分录报销!$H:$H,MATCH($L2769,分录报销!$L:$L,0)),"")</f>
        <v/>
      </c>
      <c r="G2769" s="69" t="str">
        <f aca="false">IFERROR(INDEX(分录报销!$I:$I,MATCH($L2769,分录报销!$L:$L,0)),"")</f>
        <v/>
      </c>
      <c r="H2769" s="23"/>
      <c r="I2769" s="70"/>
      <c r="L2769" s="71" t="n">
        <f aca="false">IF(助手报销!$R$186="",-1,助手报销!$R$186*100+(助手报销!$S$186-1)*6+4)</f>
        <v>-1</v>
      </c>
    </row>
    <row r="2770" customFormat="false" ht="23.25" hidden="false" customHeight="true" outlineLevel="0" collapsed="false">
      <c r="B2770" s="67" t="str">
        <f aca="false">IFERROR(INDEX(分录报销!$M:$M,MATCH($L2770,分录报销!$L:$L,0)),"")</f>
        <v/>
      </c>
      <c r="C2770" s="67"/>
      <c r="D2770" s="23" t="str">
        <f aca="false">IFERROR(INDEX(分录报销!$E:$E,MATCH($L2770,分录报销!$L:$L,0)),"")</f>
        <v/>
      </c>
      <c r="E2770" s="23" t="str">
        <f aca="false">IFERROR(INDEX(分录报销!$F:$F,MATCH($L2770,分录报销!$L:$L,0)),"")</f>
        <v/>
      </c>
      <c r="F2770" s="68" t="str">
        <f aca="false">IFERROR(INDEX(分录报销!$H:$H,MATCH($L2770,分录报销!$L:$L,0)),"")</f>
        <v/>
      </c>
      <c r="G2770" s="69" t="str">
        <f aca="false">IFERROR(INDEX(分录报销!$I:$I,MATCH($L2770,分录报销!$L:$L,0)),"")</f>
        <v/>
      </c>
      <c r="H2770" s="23"/>
      <c r="I2770" s="70"/>
      <c r="L2770" s="71" t="n">
        <f aca="false">IF(助手报销!$R$186="",-1,助手报销!$R$186*100+(助手报销!$S$186-1)*6+5)</f>
        <v>-1</v>
      </c>
    </row>
    <row r="2771" customFormat="false" ht="23.25" hidden="false" customHeight="true" outlineLevel="0" collapsed="false">
      <c r="B2771" s="67" t="str">
        <f aca="false">IFERROR(INDEX(分录报销!$M:$M,MATCH($L2771,分录报销!$L:$L,0)),"")</f>
        <v/>
      </c>
      <c r="C2771" s="67"/>
      <c r="D2771" s="23" t="str">
        <f aca="false">IFERROR(INDEX(分录报销!$E:$E,MATCH($L2771,分录报销!$L:$L,0)),"")</f>
        <v/>
      </c>
      <c r="E2771" s="23" t="str">
        <f aca="false">IFERROR(INDEX(分录报销!$F:$F,MATCH($L2771,分录报销!$L:$L,0)),"")</f>
        <v/>
      </c>
      <c r="F2771" s="68" t="str">
        <f aca="false">IFERROR(INDEX(分录报销!$H:$H,MATCH($L2771,分录报销!$L:$L,0)),"")</f>
        <v/>
      </c>
      <c r="G2771" s="69" t="str">
        <f aca="false">IFERROR(INDEX(分录报销!$I:$I,MATCH($L2771,分录报销!$L:$L,0)),"")</f>
        <v/>
      </c>
      <c r="H2771" s="23"/>
      <c r="I2771" s="70"/>
      <c r="L2771" s="71" t="n">
        <f aca="false">IF(助手报销!$R$186="",-1,助手报销!$R$186*100+(助手报销!$S$186-1)*6+6)</f>
        <v>-1</v>
      </c>
    </row>
    <row r="2772" customFormat="false" ht="23.25" hidden="false" customHeight="true" outlineLevel="0" collapsed="false">
      <c r="B2772" s="72" t="str">
        <f aca="false">IF(助手报销!$T$186=1,"合计：","")</f>
        <v/>
      </c>
      <c r="C2772" s="73" t="str">
        <f aca="false">IF(助手报销!$T$186=1,$F2772,"")</f>
        <v/>
      </c>
      <c r="D2772" s="74"/>
      <c r="E2772" s="74"/>
      <c r="F2772" s="75" t="str">
        <f aca="false">IF(助手报销!$T$186=1,INDEX(助手报销!$N$2:$N$121,助手报销!$R$186),"")</f>
        <v/>
      </c>
      <c r="G2772" s="76" t="str">
        <f aca="false">IF(助手报销!$T$186=1,INDEX(助手报销!$O$2:$O$121,助手报销!$R$186),"")</f>
        <v/>
      </c>
      <c r="H2772" s="74"/>
      <c r="I2772" s="77"/>
    </row>
    <row r="2773" customFormat="false" ht="6" hidden="false" customHeight="true" outlineLevel="0" collapsed="false"/>
    <row r="2774" customFormat="false" ht="13.5" hidden="false" customHeight="false" outlineLevel="0" collapsed="false">
      <c r="B2774" s="78" t="str">
        <f aca="false">IF(助手报销!$R$186&lt;&gt;"","会计主管：","")</f>
        <v/>
      </c>
      <c r="D2774" s="78" t="str">
        <f aca="false">IF(助手报销!$R$186&lt;&gt;"","会计：","")</f>
        <v/>
      </c>
      <c r="E2774" s="78" t="str">
        <f aca="false">IF(助手报销!$R$186&lt;&gt;"","出纳：","")</f>
        <v/>
      </c>
      <c r="F2774" s="78" t="str">
        <f aca="false">IF(助手报销!$R$186&lt;&gt;"","复核：","")</f>
        <v/>
      </c>
      <c r="G2774" s="78" t="str">
        <f aca="false">IF(助手报销!$R$186&lt;&gt;"","制单：","")</f>
        <v/>
      </c>
    </row>
    <row r="2775" customFormat="false" ht="3" hidden="false" customHeight="true" outlineLevel="0" collapsed="false"/>
    <row r="2776" customFormat="false" ht="19.5" hidden="false" customHeight="true" outlineLevel="0" collapsed="false">
      <c r="B2776" s="53" t="str">
        <f aca="false">IF(助手报销!$R$187&lt;&gt;"","记  账  凭  证","")</f>
        <v/>
      </c>
      <c r="C2776" s="53"/>
      <c r="D2776" s="53"/>
      <c r="E2776" s="53"/>
      <c r="F2776" s="53"/>
      <c r="G2776" s="53"/>
      <c r="H2776" s="53"/>
      <c r="I2776" s="53"/>
    </row>
    <row r="2777" customFormat="false" ht="3" hidden="false" customHeight="true" outlineLevel="0" collapsed="false"/>
    <row r="2778" customFormat="false" ht="15" hidden="false" customHeight="true" outlineLevel="0" collapsed="false">
      <c r="C2778" s="56" t="str">
        <f aca="false">IF(助手报销!$R$187&lt;&gt;"",INDEX(助手报销!$B$2:$B$121,助手报销!$R$187),"")</f>
        <v/>
      </c>
      <c r="D2778" s="57" t="str">
        <f aca="false">IF(助手报销!$R$187&lt;&gt;"",INDEX(助手报销!$D$2:$D$121,助手报销!$R$187),"")</f>
        <v/>
      </c>
      <c r="E2778" s="57"/>
      <c r="F2778" s="58" t="str">
        <f aca="false">IF(助手报销!$R$187&lt;&gt;"",INDEX(助手报销!$C$2:$C$121,助手报销!$R$187)&amp;"  字第 "&amp;IF(参数!$B$9="是",INDEX(助手报销!$P$2:$P$121,助手报销!$R$187),"　　　　")&amp;" 号"&amp;IF(INDEX(助手报销!$L$2:$L$121,助手报销!$R$187)&gt;1,"  (共"&amp;INDEX(助手报销!$L$2:$L$121,助手报销!$R$187)&amp;"页 第"&amp;助手报销!$S$187&amp;"页)",""),"")</f>
        <v/>
      </c>
      <c r="G2778" s="58"/>
      <c r="H2778" s="58"/>
      <c r="I2778" s="58"/>
      <c r="M2778" s="79" t="str">
        <f aca="false">IF(助手报销!$R$187="","",助手报销!$Q$187)</f>
        <v/>
      </c>
      <c r="N2778" s="80" t="str">
        <f aca="false">IF(助手报销!$R$187="","",INDEX(助手报销!$P$2:$P$121,助手报销!$R$187))</f>
        <v/>
      </c>
      <c r="O2778" s="55" t="str">
        <f aca="false">IF(助手报销!$R$187="","",INDEX(助手报销!$C$2:$C$121,助手报销!$R$187)&amp;"  字第 "&amp;INDEX(助手报销!$P$2:$P$121,助手报销!$R$187)&amp;" 号"&amp;IF(INDEX(助手报销!$L$2:$L$121,助手报销!$R$187)&gt;1,"  (共"&amp;INDEX(助手报销!$L$2:$L$121,助手报销!$R$187)&amp;"页 第"&amp;助手报销!$S$187&amp;"页)",""))</f>
        <v/>
      </c>
    </row>
    <row r="2779" customFormat="false" ht="12.75" hidden="false" customHeight="true" outlineLevel="0" collapsed="false">
      <c r="B2779" s="61" t="str">
        <f aca="false">IF(助手报销!$R$187&lt;&gt;"","摘　　要","")</f>
        <v/>
      </c>
      <c r="C2779" s="61"/>
      <c r="D2779" s="62" t="str">
        <f aca="false">IF(助手报销!$R$187&lt;&gt;"","科　　　　目","")</f>
        <v/>
      </c>
      <c r="E2779" s="62"/>
      <c r="F2779" s="61" t="str">
        <f aca="false">IF(助手报销!$R$187&lt;&gt;"","借 方 金 额","")</f>
        <v/>
      </c>
      <c r="G2779" s="62" t="str">
        <f aca="false">IF(助手报销!$R$187&lt;&gt;"","贷 方 金 额","")</f>
        <v/>
      </c>
      <c r="H2779" s="63" t="str">
        <f aca="false">IF(助手报销!$R$187&lt;&gt;"","√","")</f>
        <v/>
      </c>
      <c r="I2779" s="64" t="str">
        <f aca="false">IF(助手报销!$R$187&lt;&gt;"","附单据  张","")</f>
        <v/>
      </c>
    </row>
    <row r="2780" customFormat="false" ht="12.75" hidden="false" customHeight="true" outlineLevel="0" collapsed="false">
      <c r="B2780" s="61"/>
      <c r="C2780" s="61"/>
      <c r="D2780" s="23" t="str">
        <f aca="false">IF(助手报销!$R$187&lt;&gt;"","总 账 科 目","")</f>
        <v/>
      </c>
      <c r="E2780" s="23" t="str">
        <f aca="false">IF(助手报销!$R$187&lt;&gt;"","明 细 科 目","")</f>
        <v/>
      </c>
      <c r="F2780" s="65"/>
      <c r="G2780" s="66"/>
      <c r="H2780" s="63"/>
      <c r="I2780" s="64"/>
    </row>
    <row r="2781" customFormat="false" ht="23.25" hidden="false" customHeight="true" outlineLevel="0" collapsed="false">
      <c r="B2781" s="67" t="str">
        <f aca="false">IFERROR(INDEX(分录报销!$M:$M,MATCH($L2781,分录报销!$L:$L,0)),"")</f>
        <v/>
      </c>
      <c r="C2781" s="67"/>
      <c r="D2781" s="23" t="str">
        <f aca="false">IFERROR(INDEX(分录报销!$E:$E,MATCH($L2781,分录报销!$L:$L,0)),"")</f>
        <v/>
      </c>
      <c r="E2781" s="23" t="str">
        <f aca="false">IFERROR(INDEX(分录报销!$F:$F,MATCH($L2781,分录报销!$L:$L,0)),"")</f>
        <v/>
      </c>
      <c r="F2781" s="68" t="str">
        <f aca="false">IFERROR(INDEX(分录报销!$H:$H,MATCH($L2781,分录报销!$L:$L,0)),"")</f>
        <v/>
      </c>
      <c r="G2781" s="69" t="str">
        <f aca="false">IFERROR(INDEX(分录报销!$I:$I,MATCH($L2781,分录报销!$L:$L,0)),"")</f>
        <v/>
      </c>
      <c r="H2781" s="23"/>
      <c r="I2781" s="70"/>
      <c r="L2781" s="71" t="n">
        <f aca="false">IF(助手报销!$R$187="",-1,助手报销!$R$187*100+(助手报销!$S$187-1)*6+1)</f>
        <v>-1</v>
      </c>
    </row>
    <row r="2782" customFormat="false" ht="23.25" hidden="false" customHeight="true" outlineLevel="0" collapsed="false">
      <c r="B2782" s="67" t="str">
        <f aca="false">IFERROR(INDEX(分录报销!$M:$M,MATCH($L2782,分录报销!$L:$L,0)),"")</f>
        <v/>
      </c>
      <c r="C2782" s="67"/>
      <c r="D2782" s="23" t="str">
        <f aca="false">IFERROR(INDEX(分录报销!$E:$E,MATCH($L2782,分录报销!$L:$L,0)),"")</f>
        <v/>
      </c>
      <c r="E2782" s="23" t="str">
        <f aca="false">IFERROR(INDEX(分录报销!$F:$F,MATCH($L2782,分录报销!$L:$L,0)),"")</f>
        <v/>
      </c>
      <c r="F2782" s="68" t="str">
        <f aca="false">IFERROR(INDEX(分录报销!$H:$H,MATCH($L2782,分录报销!$L:$L,0)),"")</f>
        <v/>
      </c>
      <c r="G2782" s="69" t="str">
        <f aca="false">IFERROR(INDEX(分录报销!$I:$I,MATCH($L2782,分录报销!$L:$L,0)),"")</f>
        <v/>
      </c>
      <c r="H2782" s="23"/>
      <c r="I2782" s="70"/>
      <c r="L2782" s="71" t="n">
        <f aca="false">IF(助手报销!$R$187="",-1,助手报销!$R$187*100+(助手报销!$S$187-1)*6+2)</f>
        <v>-1</v>
      </c>
    </row>
    <row r="2783" customFormat="false" ht="23.25" hidden="false" customHeight="true" outlineLevel="0" collapsed="false">
      <c r="B2783" s="67" t="str">
        <f aca="false">IFERROR(INDEX(分录报销!$M:$M,MATCH($L2783,分录报销!$L:$L,0)),"")</f>
        <v/>
      </c>
      <c r="C2783" s="67"/>
      <c r="D2783" s="23" t="str">
        <f aca="false">IFERROR(INDEX(分录报销!$E:$E,MATCH($L2783,分录报销!$L:$L,0)),"")</f>
        <v/>
      </c>
      <c r="E2783" s="23" t="str">
        <f aca="false">IFERROR(INDEX(分录报销!$F:$F,MATCH($L2783,分录报销!$L:$L,0)),"")</f>
        <v/>
      </c>
      <c r="F2783" s="68" t="str">
        <f aca="false">IFERROR(INDEX(分录报销!$H:$H,MATCH($L2783,分录报销!$L:$L,0)),"")</f>
        <v/>
      </c>
      <c r="G2783" s="69" t="str">
        <f aca="false">IFERROR(INDEX(分录报销!$I:$I,MATCH($L2783,分录报销!$L:$L,0)),"")</f>
        <v/>
      </c>
      <c r="H2783" s="23"/>
      <c r="I2783" s="70"/>
      <c r="L2783" s="71" t="n">
        <f aca="false">IF(助手报销!$R$187="",-1,助手报销!$R$187*100+(助手报销!$S$187-1)*6+3)</f>
        <v>-1</v>
      </c>
    </row>
    <row r="2784" customFormat="false" ht="23.25" hidden="false" customHeight="true" outlineLevel="0" collapsed="false">
      <c r="B2784" s="67" t="str">
        <f aca="false">IFERROR(INDEX(分录报销!$M:$M,MATCH($L2784,分录报销!$L:$L,0)),"")</f>
        <v/>
      </c>
      <c r="C2784" s="67"/>
      <c r="D2784" s="23" t="str">
        <f aca="false">IFERROR(INDEX(分录报销!$E:$E,MATCH($L2784,分录报销!$L:$L,0)),"")</f>
        <v/>
      </c>
      <c r="E2784" s="23" t="str">
        <f aca="false">IFERROR(INDEX(分录报销!$F:$F,MATCH($L2784,分录报销!$L:$L,0)),"")</f>
        <v/>
      </c>
      <c r="F2784" s="68" t="str">
        <f aca="false">IFERROR(INDEX(分录报销!$H:$H,MATCH($L2784,分录报销!$L:$L,0)),"")</f>
        <v/>
      </c>
      <c r="G2784" s="69" t="str">
        <f aca="false">IFERROR(INDEX(分录报销!$I:$I,MATCH($L2784,分录报销!$L:$L,0)),"")</f>
        <v/>
      </c>
      <c r="H2784" s="23"/>
      <c r="I2784" s="70"/>
      <c r="L2784" s="71" t="n">
        <f aca="false">IF(助手报销!$R$187="",-1,助手报销!$R$187*100+(助手报销!$S$187-1)*6+4)</f>
        <v>-1</v>
      </c>
    </row>
    <row r="2785" customFormat="false" ht="23.25" hidden="false" customHeight="true" outlineLevel="0" collapsed="false">
      <c r="B2785" s="67" t="str">
        <f aca="false">IFERROR(INDEX(分录报销!$M:$M,MATCH($L2785,分录报销!$L:$L,0)),"")</f>
        <v/>
      </c>
      <c r="C2785" s="67"/>
      <c r="D2785" s="23" t="str">
        <f aca="false">IFERROR(INDEX(分录报销!$E:$E,MATCH($L2785,分录报销!$L:$L,0)),"")</f>
        <v/>
      </c>
      <c r="E2785" s="23" t="str">
        <f aca="false">IFERROR(INDEX(分录报销!$F:$F,MATCH($L2785,分录报销!$L:$L,0)),"")</f>
        <v/>
      </c>
      <c r="F2785" s="68" t="str">
        <f aca="false">IFERROR(INDEX(分录报销!$H:$H,MATCH($L2785,分录报销!$L:$L,0)),"")</f>
        <v/>
      </c>
      <c r="G2785" s="69" t="str">
        <f aca="false">IFERROR(INDEX(分录报销!$I:$I,MATCH($L2785,分录报销!$L:$L,0)),"")</f>
        <v/>
      </c>
      <c r="H2785" s="23"/>
      <c r="I2785" s="70"/>
      <c r="L2785" s="71" t="n">
        <f aca="false">IF(助手报销!$R$187="",-1,助手报销!$R$187*100+(助手报销!$S$187-1)*6+5)</f>
        <v>-1</v>
      </c>
    </row>
    <row r="2786" customFormat="false" ht="23.25" hidden="false" customHeight="true" outlineLevel="0" collapsed="false">
      <c r="B2786" s="67" t="str">
        <f aca="false">IFERROR(INDEX(分录报销!$M:$M,MATCH($L2786,分录报销!$L:$L,0)),"")</f>
        <v/>
      </c>
      <c r="C2786" s="67"/>
      <c r="D2786" s="23" t="str">
        <f aca="false">IFERROR(INDEX(分录报销!$E:$E,MATCH($L2786,分录报销!$L:$L,0)),"")</f>
        <v/>
      </c>
      <c r="E2786" s="23" t="str">
        <f aca="false">IFERROR(INDEX(分录报销!$F:$F,MATCH($L2786,分录报销!$L:$L,0)),"")</f>
        <v/>
      </c>
      <c r="F2786" s="68" t="str">
        <f aca="false">IFERROR(INDEX(分录报销!$H:$H,MATCH($L2786,分录报销!$L:$L,0)),"")</f>
        <v/>
      </c>
      <c r="G2786" s="69" t="str">
        <f aca="false">IFERROR(INDEX(分录报销!$I:$I,MATCH($L2786,分录报销!$L:$L,0)),"")</f>
        <v/>
      </c>
      <c r="H2786" s="23"/>
      <c r="I2786" s="70"/>
      <c r="L2786" s="71" t="n">
        <f aca="false">IF(助手报销!$R$187="",-1,助手报销!$R$187*100+(助手报销!$S$187-1)*6+6)</f>
        <v>-1</v>
      </c>
    </row>
    <row r="2787" customFormat="false" ht="23.25" hidden="false" customHeight="true" outlineLevel="0" collapsed="false">
      <c r="B2787" s="72" t="str">
        <f aca="false">IF(助手报销!$T$187=1,"合计：","")</f>
        <v/>
      </c>
      <c r="C2787" s="73" t="str">
        <f aca="false">IF(助手报销!$T$187=1,$F2787,"")</f>
        <v/>
      </c>
      <c r="D2787" s="74"/>
      <c r="E2787" s="74"/>
      <c r="F2787" s="75" t="str">
        <f aca="false">IF(助手报销!$T$187=1,INDEX(助手报销!$N$2:$N$121,助手报销!$R$187),"")</f>
        <v/>
      </c>
      <c r="G2787" s="76" t="str">
        <f aca="false">IF(助手报销!$T$187=1,INDEX(助手报销!$O$2:$O$121,助手报销!$R$187),"")</f>
        <v/>
      </c>
      <c r="H2787" s="74"/>
      <c r="I2787" s="77"/>
    </row>
    <row r="2788" customFormat="false" ht="6" hidden="false" customHeight="true" outlineLevel="0" collapsed="false"/>
    <row r="2789" customFormat="false" ht="13.5" hidden="false" customHeight="false" outlineLevel="0" collapsed="false">
      <c r="B2789" s="78" t="str">
        <f aca="false">IF(助手报销!$R$187&lt;&gt;"","会计主管：","")</f>
        <v/>
      </c>
      <c r="D2789" s="78" t="str">
        <f aca="false">IF(助手报销!$R$187&lt;&gt;"","会计：","")</f>
        <v/>
      </c>
      <c r="E2789" s="78" t="str">
        <f aca="false">IF(助手报销!$R$187&lt;&gt;"","出纳：","")</f>
        <v/>
      </c>
      <c r="F2789" s="78" t="str">
        <f aca="false">IF(助手报销!$R$187&lt;&gt;"","复核：","")</f>
        <v/>
      </c>
      <c r="G2789" s="78" t="str">
        <f aca="false">IF(助手报销!$R$187&lt;&gt;"","制单：","")</f>
        <v/>
      </c>
    </row>
    <row r="2790" customFormat="false" ht="3" hidden="false" customHeight="true" outlineLevel="0" collapsed="false"/>
    <row r="2791" customFormat="false" ht="19.5" hidden="false" customHeight="true" outlineLevel="0" collapsed="false">
      <c r="B2791" s="53" t="str">
        <f aca="false">IF(助手报销!$R$188&lt;&gt;"","记  账  凭  证","")</f>
        <v/>
      </c>
      <c r="C2791" s="53"/>
      <c r="D2791" s="53"/>
      <c r="E2791" s="53"/>
      <c r="F2791" s="53"/>
      <c r="G2791" s="53"/>
      <c r="H2791" s="53"/>
      <c r="I2791" s="53"/>
    </row>
    <row r="2792" customFormat="false" ht="3" hidden="false" customHeight="true" outlineLevel="0" collapsed="false"/>
    <row r="2793" customFormat="false" ht="15" hidden="false" customHeight="true" outlineLevel="0" collapsed="false">
      <c r="C2793" s="56" t="str">
        <f aca="false">IF(助手报销!$R$188&lt;&gt;"",INDEX(助手报销!$B$2:$B$121,助手报销!$R$188),"")</f>
        <v/>
      </c>
      <c r="D2793" s="57" t="str">
        <f aca="false">IF(助手报销!$R$188&lt;&gt;"",INDEX(助手报销!$D$2:$D$121,助手报销!$R$188),"")</f>
        <v/>
      </c>
      <c r="E2793" s="57"/>
      <c r="F2793" s="58" t="str">
        <f aca="false">IF(助手报销!$R$188&lt;&gt;"",INDEX(助手报销!$C$2:$C$121,助手报销!$R$188)&amp;"  字第 "&amp;IF(参数!$B$9="是",INDEX(助手报销!$P$2:$P$121,助手报销!$R$188),"　　　　")&amp;" 号"&amp;IF(INDEX(助手报销!$L$2:$L$121,助手报销!$R$188)&gt;1,"  (共"&amp;INDEX(助手报销!$L$2:$L$121,助手报销!$R$188)&amp;"页 第"&amp;助手报销!$S$188&amp;"页)",""),"")</f>
        <v/>
      </c>
      <c r="G2793" s="58"/>
      <c r="H2793" s="58"/>
      <c r="I2793" s="58"/>
      <c r="M2793" s="79" t="str">
        <f aca="false">IF(助手报销!$R$188="","",助手报销!$Q$188)</f>
        <v/>
      </c>
      <c r="N2793" s="80" t="str">
        <f aca="false">IF(助手报销!$R$188="","",INDEX(助手报销!$P$2:$P$121,助手报销!$R$188))</f>
        <v/>
      </c>
      <c r="O2793" s="55" t="str">
        <f aca="false">IF(助手报销!$R$188="","",INDEX(助手报销!$C$2:$C$121,助手报销!$R$188)&amp;"  字第 "&amp;INDEX(助手报销!$P$2:$P$121,助手报销!$R$188)&amp;" 号"&amp;IF(INDEX(助手报销!$L$2:$L$121,助手报销!$R$188)&gt;1,"  (共"&amp;INDEX(助手报销!$L$2:$L$121,助手报销!$R$188)&amp;"页 第"&amp;助手报销!$S$188&amp;"页)",""))</f>
        <v/>
      </c>
    </row>
    <row r="2794" customFormat="false" ht="12.75" hidden="false" customHeight="true" outlineLevel="0" collapsed="false">
      <c r="B2794" s="61" t="str">
        <f aca="false">IF(助手报销!$R$188&lt;&gt;"","摘　　要","")</f>
        <v/>
      </c>
      <c r="C2794" s="61"/>
      <c r="D2794" s="62" t="str">
        <f aca="false">IF(助手报销!$R$188&lt;&gt;"","科　　　　目","")</f>
        <v/>
      </c>
      <c r="E2794" s="62"/>
      <c r="F2794" s="61" t="str">
        <f aca="false">IF(助手报销!$R$188&lt;&gt;"","借 方 金 额","")</f>
        <v/>
      </c>
      <c r="G2794" s="62" t="str">
        <f aca="false">IF(助手报销!$R$188&lt;&gt;"","贷 方 金 额","")</f>
        <v/>
      </c>
      <c r="H2794" s="63" t="str">
        <f aca="false">IF(助手报销!$R$188&lt;&gt;"","√","")</f>
        <v/>
      </c>
      <c r="I2794" s="64" t="str">
        <f aca="false">IF(助手报销!$R$188&lt;&gt;"","附单据  张","")</f>
        <v/>
      </c>
    </row>
    <row r="2795" customFormat="false" ht="12.75" hidden="false" customHeight="true" outlineLevel="0" collapsed="false">
      <c r="B2795" s="61"/>
      <c r="C2795" s="61"/>
      <c r="D2795" s="23" t="str">
        <f aca="false">IF(助手报销!$R$188&lt;&gt;"","总 账 科 目","")</f>
        <v/>
      </c>
      <c r="E2795" s="23" t="str">
        <f aca="false">IF(助手报销!$R$188&lt;&gt;"","明 细 科 目","")</f>
        <v/>
      </c>
      <c r="F2795" s="65"/>
      <c r="G2795" s="66"/>
      <c r="H2795" s="63"/>
      <c r="I2795" s="64"/>
    </row>
    <row r="2796" customFormat="false" ht="23.25" hidden="false" customHeight="true" outlineLevel="0" collapsed="false">
      <c r="B2796" s="67" t="str">
        <f aca="false">IFERROR(INDEX(分录报销!$M:$M,MATCH($L2796,分录报销!$L:$L,0)),"")</f>
        <v/>
      </c>
      <c r="C2796" s="67"/>
      <c r="D2796" s="23" t="str">
        <f aca="false">IFERROR(INDEX(分录报销!$E:$E,MATCH($L2796,分录报销!$L:$L,0)),"")</f>
        <v/>
      </c>
      <c r="E2796" s="23" t="str">
        <f aca="false">IFERROR(INDEX(分录报销!$F:$F,MATCH($L2796,分录报销!$L:$L,0)),"")</f>
        <v/>
      </c>
      <c r="F2796" s="68" t="str">
        <f aca="false">IFERROR(INDEX(分录报销!$H:$H,MATCH($L2796,分录报销!$L:$L,0)),"")</f>
        <v/>
      </c>
      <c r="G2796" s="69" t="str">
        <f aca="false">IFERROR(INDEX(分录报销!$I:$I,MATCH($L2796,分录报销!$L:$L,0)),"")</f>
        <v/>
      </c>
      <c r="H2796" s="23"/>
      <c r="I2796" s="70"/>
      <c r="L2796" s="71" t="n">
        <f aca="false">IF(助手报销!$R$188="",-1,助手报销!$R$188*100+(助手报销!$S$188-1)*6+1)</f>
        <v>-1</v>
      </c>
    </row>
    <row r="2797" customFormat="false" ht="23.25" hidden="false" customHeight="true" outlineLevel="0" collapsed="false">
      <c r="B2797" s="67" t="str">
        <f aca="false">IFERROR(INDEX(分录报销!$M:$M,MATCH($L2797,分录报销!$L:$L,0)),"")</f>
        <v/>
      </c>
      <c r="C2797" s="67"/>
      <c r="D2797" s="23" t="str">
        <f aca="false">IFERROR(INDEX(分录报销!$E:$E,MATCH($L2797,分录报销!$L:$L,0)),"")</f>
        <v/>
      </c>
      <c r="E2797" s="23" t="str">
        <f aca="false">IFERROR(INDEX(分录报销!$F:$F,MATCH($L2797,分录报销!$L:$L,0)),"")</f>
        <v/>
      </c>
      <c r="F2797" s="68" t="str">
        <f aca="false">IFERROR(INDEX(分录报销!$H:$H,MATCH($L2797,分录报销!$L:$L,0)),"")</f>
        <v/>
      </c>
      <c r="G2797" s="69" t="str">
        <f aca="false">IFERROR(INDEX(分录报销!$I:$I,MATCH($L2797,分录报销!$L:$L,0)),"")</f>
        <v/>
      </c>
      <c r="H2797" s="23"/>
      <c r="I2797" s="70"/>
      <c r="L2797" s="71" t="n">
        <f aca="false">IF(助手报销!$R$188="",-1,助手报销!$R$188*100+(助手报销!$S$188-1)*6+2)</f>
        <v>-1</v>
      </c>
    </row>
    <row r="2798" customFormat="false" ht="23.25" hidden="false" customHeight="true" outlineLevel="0" collapsed="false">
      <c r="B2798" s="67" t="str">
        <f aca="false">IFERROR(INDEX(分录报销!$M:$M,MATCH($L2798,分录报销!$L:$L,0)),"")</f>
        <v/>
      </c>
      <c r="C2798" s="67"/>
      <c r="D2798" s="23" t="str">
        <f aca="false">IFERROR(INDEX(分录报销!$E:$E,MATCH($L2798,分录报销!$L:$L,0)),"")</f>
        <v/>
      </c>
      <c r="E2798" s="23" t="str">
        <f aca="false">IFERROR(INDEX(分录报销!$F:$F,MATCH($L2798,分录报销!$L:$L,0)),"")</f>
        <v/>
      </c>
      <c r="F2798" s="68" t="str">
        <f aca="false">IFERROR(INDEX(分录报销!$H:$H,MATCH($L2798,分录报销!$L:$L,0)),"")</f>
        <v/>
      </c>
      <c r="G2798" s="69" t="str">
        <f aca="false">IFERROR(INDEX(分录报销!$I:$I,MATCH($L2798,分录报销!$L:$L,0)),"")</f>
        <v/>
      </c>
      <c r="H2798" s="23"/>
      <c r="I2798" s="70"/>
      <c r="L2798" s="71" t="n">
        <f aca="false">IF(助手报销!$R$188="",-1,助手报销!$R$188*100+(助手报销!$S$188-1)*6+3)</f>
        <v>-1</v>
      </c>
    </row>
    <row r="2799" customFormat="false" ht="23.25" hidden="false" customHeight="true" outlineLevel="0" collapsed="false">
      <c r="B2799" s="67" t="str">
        <f aca="false">IFERROR(INDEX(分录报销!$M:$M,MATCH($L2799,分录报销!$L:$L,0)),"")</f>
        <v/>
      </c>
      <c r="C2799" s="67"/>
      <c r="D2799" s="23" t="str">
        <f aca="false">IFERROR(INDEX(分录报销!$E:$E,MATCH($L2799,分录报销!$L:$L,0)),"")</f>
        <v/>
      </c>
      <c r="E2799" s="23" t="str">
        <f aca="false">IFERROR(INDEX(分录报销!$F:$F,MATCH($L2799,分录报销!$L:$L,0)),"")</f>
        <v/>
      </c>
      <c r="F2799" s="68" t="str">
        <f aca="false">IFERROR(INDEX(分录报销!$H:$H,MATCH($L2799,分录报销!$L:$L,0)),"")</f>
        <v/>
      </c>
      <c r="G2799" s="69" t="str">
        <f aca="false">IFERROR(INDEX(分录报销!$I:$I,MATCH($L2799,分录报销!$L:$L,0)),"")</f>
        <v/>
      </c>
      <c r="H2799" s="23"/>
      <c r="I2799" s="70"/>
      <c r="L2799" s="71" t="n">
        <f aca="false">IF(助手报销!$R$188="",-1,助手报销!$R$188*100+(助手报销!$S$188-1)*6+4)</f>
        <v>-1</v>
      </c>
    </row>
    <row r="2800" customFormat="false" ht="23.25" hidden="false" customHeight="true" outlineLevel="0" collapsed="false">
      <c r="B2800" s="67" t="str">
        <f aca="false">IFERROR(INDEX(分录报销!$M:$M,MATCH($L2800,分录报销!$L:$L,0)),"")</f>
        <v/>
      </c>
      <c r="C2800" s="67"/>
      <c r="D2800" s="23" t="str">
        <f aca="false">IFERROR(INDEX(分录报销!$E:$E,MATCH($L2800,分录报销!$L:$L,0)),"")</f>
        <v/>
      </c>
      <c r="E2800" s="23" t="str">
        <f aca="false">IFERROR(INDEX(分录报销!$F:$F,MATCH($L2800,分录报销!$L:$L,0)),"")</f>
        <v/>
      </c>
      <c r="F2800" s="68" t="str">
        <f aca="false">IFERROR(INDEX(分录报销!$H:$H,MATCH($L2800,分录报销!$L:$L,0)),"")</f>
        <v/>
      </c>
      <c r="G2800" s="69" t="str">
        <f aca="false">IFERROR(INDEX(分录报销!$I:$I,MATCH($L2800,分录报销!$L:$L,0)),"")</f>
        <v/>
      </c>
      <c r="H2800" s="23"/>
      <c r="I2800" s="70"/>
      <c r="L2800" s="71" t="n">
        <f aca="false">IF(助手报销!$R$188="",-1,助手报销!$R$188*100+(助手报销!$S$188-1)*6+5)</f>
        <v>-1</v>
      </c>
    </row>
    <row r="2801" customFormat="false" ht="23.25" hidden="false" customHeight="true" outlineLevel="0" collapsed="false">
      <c r="B2801" s="67" t="str">
        <f aca="false">IFERROR(INDEX(分录报销!$M:$M,MATCH($L2801,分录报销!$L:$L,0)),"")</f>
        <v/>
      </c>
      <c r="C2801" s="67"/>
      <c r="D2801" s="23" t="str">
        <f aca="false">IFERROR(INDEX(分录报销!$E:$E,MATCH($L2801,分录报销!$L:$L,0)),"")</f>
        <v/>
      </c>
      <c r="E2801" s="23" t="str">
        <f aca="false">IFERROR(INDEX(分录报销!$F:$F,MATCH($L2801,分录报销!$L:$L,0)),"")</f>
        <v/>
      </c>
      <c r="F2801" s="68" t="str">
        <f aca="false">IFERROR(INDEX(分录报销!$H:$H,MATCH($L2801,分录报销!$L:$L,0)),"")</f>
        <v/>
      </c>
      <c r="G2801" s="69" t="str">
        <f aca="false">IFERROR(INDEX(分录报销!$I:$I,MATCH($L2801,分录报销!$L:$L,0)),"")</f>
        <v/>
      </c>
      <c r="H2801" s="23"/>
      <c r="I2801" s="70"/>
      <c r="L2801" s="71" t="n">
        <f aca="false">IF(助手报销!$R$188="",-1,助手报销!$R$188*100+(助手报销!$S$188-1)*6+6)</f>
        <v>-1</v>
      </c>
    </row>
    <row r="2802" customFormat="false" ht="23.25" hidden="false" customHeight="true" outlineLevel="0" collapsed="false">
      <c r="B2802" s="72" t="str">
        <f aca="false">IF(助手报销!$T$188=1,"合计：","")</f>
        <v/>
      </c>
      <c r="C2802" s="73" t="str">
        <f aca="false">IF(助手报销!$T$188=1,$F2802,"")</f>
        <v/>
      </c>
      <c r="D2802" s="74"/>
      <c r="E2802" s="74"/>
      <c r="F2802" s="75" t="str">
        <f aca="false">IF(助手报销!$T$188=1,INDEX(助手报销!$N$2:$N$121,助手报销!$R$188),"")</f>
        <v/>
      </c>
      <c r="G2802" s="76" t="str">
        <f aca="false">IF(助手报销!$T$188=1,INDEX(助手报销!$O$2:$O$121,助手报销!$R$188),"")</f>
        <v/>
      </c>
      <c r="H2802" s="74"/>
      <c r="I2802" s="77"/>
    </row>
    <row r="2803" customFormat="false" ht="6" hidden="false" customHeight="true" outlineLevel="0" collapsed="false"/>
    <row r="2804" customFormat="false" ht="13.5" hidden="false" customHeight="false" outlineLevel="0" collapsed="false">
      <c r="B2804" s="78" t="str">
        <f aca="false">IF(助手报销!$R$188&lt;&gt;"","会计主管：","")</f>
        <v/>
      </c>
      <c r="D2804" s="78" t="str">
        <f aca="false">IF(助手报销!$R$188&lt;&gt;"","会计：","")</f>
        <v/>
      </c>
      <c r="E2804" s="78" t="str">
        <f aca="false">IF(助手报销!$R$188&lt;&gt;"","出纳：","")</f>
        <v/>
      </c>
      <c r="F2804" s="78" t="str">
        <f aca="false">IF(助手报销!$R$188&lt;&gt;"","复核：","")</f>
        <v/>
      </c>
      <c r="G2804" s="78" t="str">
        <f aca="false">IF(助手报销!$R$188&lt;&gt;"","制单：","")</f>
        <v/>
      </c>
    </row>
    <row r="2805" customFormat="false" ht="3" hidden="false" customHeight="true" outlineLevel="0" collapsed="false"/>
    <row r="2806" customFormat="false" ht="19.5" hidden="false" customHeight="true" outlineLevel="0" collapsed="false">
      <c r="B2806" s="53" t="str">
        <f aca="false">IF(助手报销!$R$189&lt;&gt;"","记  账  凭  证","")</f>
        <v/>
      </c>
      <c r="C2806" s="53"/>
      <c r="D2806" s="53"/>
      <c r="E2806" s="53"/>
      <c r="F2806" s="53"/>
      <c r="G2806" s="53"/>
      <c r="H2806" s="53"/>
      <c r="I2806" s="53"/>
    </row>
    <row r="2807" customFormat="false" ht="3" hidden="false" customHeight="true" outlineLevel="0" collapsed="false"/>
    <row r="2808" customFormat="false" ht="15" hidden="false" customHeight="true" outlineLevel="0" collapsed="false">
      <c r="C2808" s="56" t="str">
        <f aca="false">IF(助手报销!$R$189&lt;&gt;"",INDEX(助手报销!$B$2:$B$121,助手报销!$R$189),"")</f>
        <v/>
      </c>
      <c r="D2808" s="57" t="str">
        <f aca="false">IF(助手报销!$R$189&lt;&gt;"",INDEX(助手报销!$D$2:$D$121,助手报销!$R$189),"")</f>
        <v/>
      </c>
      <c r="E2808" s="57"/>
      <c r="F2808" s="58" t="str">
        <f aca="false">IF(助手报销!$R$189&lt;&gt;"",INDEX(助手报销!$C$2:$C$121,助手报销!$R$189)&amp;"  字第 "&amp;IF(参数!$B$9="是",INDEX(助手报销!$P$2:$P$121,助手报销!$R$189),"　　　　")&amp;" 号"&amp;IF(INDEX(助手报销!$L$2:$L$121,助手报销!$R$189)&gt;1,"  (共"&amp;INDEX(助手报销!$L$2:$L$121,助手报销!$R$189)&amp;"页 第"&amp;助手报销!$S$189&amp;"页)",""),"")</f>
        <v/>
      </c>
      <c r="G2808" s="58"/>
      <c r="H2808" s="58"/>
      <c r="I2808" s="58"/>
      <c r="M2808" s="79" t="str">
        <f aca="false">IF(助手报销!$R$189="","",助手报销!$Q$189)</f>
        <v/>
      </c>
      <c r="N2808" s="80" t="str">
        <f aca="false">IF(助手报销!$R$189="","",INDEX(助手报销!$P$2:$P$121,助手报销!$R$189))</f>
        <v/>
      </c>
      <c r="O2808" s="55" t="str">
        <f aca="false">IF(助手报销!$R$189="","",INDEX(助手报销!$C$2:$C$121,助手报销!$R$189)&amp;"  字第 "&amp;INDEX(助手报销!$P$2:$P$121,助手报销!$R$189)&amp;" 号"&amp;IF(INDEX(助手报销!$L$2:$L$121,助手报销!$R$189)&gt;1,"  (共"&amp;INDEX(助手报销!$L$2:$L$121,助手报销!$R$189)&amp;"页 第"&amp;助手报销!$S$189&amp;"页)",""))</f>
        <v/>
      </c>
    </row>
    <row r="2809" customFormat="false" ht="12.75" hidden="false" customHeight="true" outlineLevel="0" collapsed="false">
      <c r="B2809" s="61" t="str">
        <f aca="false">IF(助手报销!$R$189&lt;&gt;"","摘　　要","")</f>
        <v/>
      </c>
      <c r="C2809" s="61"/>
      <c r="D2809" s="62" t="str">
        <f aca="false">IF(助手报销!$R$189&lt;&gt;"","科　　　　目","")</f>
        <v/>
      </c>
      <c r="E2809" s="62"/>
      <c r="F2809" s="61" t="str">
        <f aca="false">IF(助手报销!$R$189&lt;&gt;"","借 方 金 额","")</f>
        <v/>
      </c>
      <c r="G2809" s="62" t="str">
        <f aca="false">IF(助手报销!$R$189&lt;&gt;"","贷 方 金 额","")</f>
        <v/>
      </c>
      <c r="H2809" s="63" t="str">
        <f aca="false">IF(助手报销!$R$189&lt;&gt;"","√","")</f>
        <v/>
      </c>
      <c r="I2809" s="64" t="str">
        <f aca="false">IF(助手报销!$R$189&lt;&gt;"","附单据  张","")</f>
        <v/>
      </c>
    </row>
    <row r="2810" customFormat="false" ht="12.75" hidden="false" customHeight="true" outlineLevel="0" collapsed="false">
      <c r="B2810" s="61"/>
      <c r="C2810" s="61"/>
      <c r="D2810" s="23" t="str">
        <f aca="false">IF(助手报销!$R$189&lt;&gt;"","总 账 科 目","")</f>
        <v/>
      </c>
      <c r="E2810" s="23" t="str">
        <f aca="false">IF(助手报销!$R$189&lt;&gt;"","明 细 科 目","")</f>
        <v/>
      </c>
      <c r="F2810" s="65"/>
      <c r="G2810" s="66"/>
      <c r="H2810" s="63"/>
      <c r="I2810" s="64"/>
    </row>
    <row r="2811" customFormat="false" ht="23.25" hidden="false" customHeight="true" outlineLevel="0" collapsed="false">
      <c r="B2811" s="67" t="str">
        <f aca="false">IFERROR(INDEX(分录报销!$M:$M,MATCH($L2811,分录报销!$L:$L,0)),"")</f>
        <v/>
      </c>
      <c r="C2811" s="67"/>
      <c r="D2811" s="23" t="str">
        <f aca="false">IFERROR(INDEX(分录报销!$E:$E,MATCH($L2811,分录报销!$L:$L,0)),"")</f>
        <v/>
      </c>
      <c r="E2811" s="23" t="str">
        <f aca="false">IFERROR(INDEX(分录报销!$F:$F,MATCH($L2811,分录报销!$L:$L,0)),"")</f>
        <v/>
      </c>
      <c r="F2811" s="68" t="str">
        <f aca="false">IFERROR(INDEX(分录报销!$H:$H,MATCH($L2811,分录报销!$L:$L,0)),"")</f>
        <v/>
      </c>
      <c r="G2811" s="69" t="str">
        <f aca="false">IFERROR(INDEX(分录报销!$I:$I,MATCH($L2811,分录报销!$L:$L,0)),"")</f>
        <v/>
      </c>
      <c r="H2811" s="23"/>
      <c r="I2811" s="70"/>
      <c r="L2811" s="71" t="n">
        <f aca="false">IF(助手报销!$R$189="",-1,助手报销!$R$189*100+(助手报销!$S$189-1)*6+1)</f>
        <v>-1</v>
      </c>
    </row>
    <row r="2812" customFormat="false" ht="23.25" hidden="false" customHeight="true" outlineLevel="0" collapsed="false">
      <c r="B2812" s="67" t="str">
        <f aca="false">IFERROR(INDEX(分录报销!$M:$M,MATCH($L2812,分录报销!$L:$L,0)),"")</f>
        <v/>
      </c>
      <c r="C2812" s="67"/>
      <c r="D2812" s="23" t="str">
        <f aca="false">IFERROR(INDEX(分录报销!$E:$E,MATCH($L2812,分录报销!$L:$L,0)),"")</f>
        <v/>
      </c>
      <c r="E2812" s="23" t="str">
        <f aca="false">IFERROR(INDEX(分录报销!$F:$F,MATCH($L2812,分录报销!$L:$L,0)),"")</f>
        <v/>
      </c>
      <c r="F2812" s="68" t="str">
        <f aca="false">IFERROR(INDEX(分录报销!$H:$H,MATCH($L2812,分录报销!$L:$L,0)),"")</f>
        <v/>
      </c>
      <c r="G2812" s="69" t="str">
        <f aca="false">IFERROR(INDEX(分录报销!$I:$I,MATCH($L2812,分录报销!$L:$L,0)),"")</f>
        <v/>
      </c>
      <c r="H2812" s="23"/>
      <c r="I2812" s="70"/>
      <c r="L2812" s="71" t="n">
        <f aca="false">IF(助手报销!$R$189="",-1,助手报销!$R$189*100+(助手报销!$S$189-1)*6+2)</f>
        <v>-1</v>
      </c>
    </row>
    <row r="2813" customFormat="false" ht="23.25" hidden="false" customHeight="true" outlineLevel="0" collapsed="false">
      <c r="B2813" s="67" t="str">
        <f aca="false">IFERROR(INDEX(分录报销!$M:$M,MATCH($L2813,分录报销!$L:$L,0)),"")</f>
        <v/>
      </c>
      <c r="C2813" s="67"/>
      <c r="D2813" s="23" t="str">
        <f aca="false">IFERROR(INDEX(分录报销!$E:$E,MATCH($L2813,分录报销!$L:$L,0)),"")</f>
        <v/>
      </c>
      <c r="E2813" s="23" t="str">
        <f aca="false">IFERROR(INDEX(分录报销!$F:$F,MATCH($L2813,分录报销!$L:$L,0)),"")</f>
        <v/>
      </c>
      <c r="F2813" s="68" t="str">
        <f aca="false">IFERROR(INDEX(分录报销!$H:$H,MATCH($L2813,分录报销!$L:$L,0)),"")</f>
        <v/>
      </c>
      <c r="G2813" s="69" t="str">
        <f aca="false">IFERROR(INDEX(分录报销!$I:$I,MATCH($L2813,分录报销!$L:$L,0)),"")</f>
        <v/>
      </c>
      <c r="H2813" s="23"/>
      <c r="I2813" s="70"/>
      <c r="L2813" s="71" t="n">
        <f aca="false">IF(助手报销!$R$189="",-1,助手报销!$R$189*100+(助手报销!$S$189-1)*6+3)</f>
        <v>-1</v>
      </c>
    </row>
    <row r="2814" customFormat="false" ht="23.25" hidden="false" customHeight="true" outlineLevel="0" collapsed="false">
      <c r="B2814" s="67" t="str">
        <f aca="false">IFERROR(INDEX(分录报销!$M:$M,MATCH($L2814,分录报销!$L:$L,0)),"")</f>
        <v/>
      </c>
      <c r="C2814" s="67"/>
      <c r="D2814" s="23" t="str">
        <f aca="false">IFERROR(INDEX(分录报销!$E:$E,MATCH($L2814,分录报销!$L:$L,0)),"")</f>
        <v/>
      </c>
      <c r="E2814" s="23" t="str">
        <f aca="false">IFERROR(INDEX(分录报销!$F:$F,MATCH($L2814,分录报销!$L:$L,0)),"")</f>
        <v/>
      </c>
      <c r="F2814" s="68" t="str">
        <f aca="false">IFERROR(INDEX(分录报销!$H:$H,MATCH($L2814,分录报销!$L:$L,0)),"")</f>
        <v/>
      </c>
      <c r="G2814" s="69" t="str">
        <f aca="false">IFERROR(INDEX(分录报销!$I:$I,MATCH($L2814,分录报销!$L:$L,0)),"")</f>
        <v/>
      </c>
      <c r="H2814" s="23"/>
      <c r="I2814" s="70"/>
      <c r="L2814" s="71" t="n">
        <f aca="false">IF(助手报销!$R$189="",-1,助手报销!$R$189*100+(助手报销!$S$189-1)*6+4)</f>
        <v>-1</v>
      </c>
    </row>
    <row r="2815" customFormat="false" ht="23.25" hidden="false" customHeight="true" outlineLevel="0" collapsed="false">
      <c r="B2815" s="67" t="str">
        <f aca="false">IFERROR(INDEX(分录报销!$M:$M,MATCH($L2815,分录报销!$L:$L,0)),"")</f>
        <v/>
      </c>
      <c r="C2815" s="67"/>
      <c r="D2815" s="23" t="str">
        <f aca="false">IFERROR(INDEX(分录报销!$E:$E,MATCH($L2815,分录报销!$L:$L,0)),"")</f>
        <v/>
      </c>
      <c r="E2815" s="23" t="str">
        <f aca="false">IFERROR(INDEX(分录报销!$F:$F,MATCH($L2815,分录报销!$L:$L,0)),"")</f>
        <v/>
      </c>
      <c r="F2815" s="68" t="str">
        <f aca="false">IFERROR(INDEX(分录报销!$H:$H,MATCH($L2815,分录报销!$L:$L,0)),"")</f>
        <v/>
      </c>
      <c r="G2815" s="69" t="str">
        <f aca="false">IFERROR(INDEX(分录报销!$I:$I,MATCH($L2815,分录报销!$L:$L,0)),"")</f>
        <v/>
      </c>
      <c r="H2815" s="23"/>
      <c r="I2815" s="70"/>
      <c r="L2815" s="71" t="n">
        <f aca="false">IF(助手报销!$R$189="",-1,助手报销!$R$189*100+(助手报销!$S$189-1)*6+5)</f>
        <v>-1</v>
      </c>
    </row>
    <row r="2816" customFormat="false" ht="23.25" hidden="false" customHeight="true" outlineLevel="0" collapsed="false">
      <c r="B2816" s="67" t="str">
        <f aca="false">IFERROR(INDEX(分录报销!$M:$M,MATCH($L2816,分录报销!$L:$L,0)),"")</f>
        <v/>
      </c>
      <c r="C2816" s="67"/>
      <c r="D2816" s="23" t="str">
        <f aca="false">IFERROR(INDEX(分录报销!$E:$E,MATCH($L2816,分录报销!$L:$L,0)),"")</f>
        <v/>
      </c>
      <c r="E2816" s="23" t="str">
        <f aca="false">IFERROR(INDEX(分录报销!$F:$F,MATCH($L2816,分录报销!$L:$L,0)),"")</f>
        <v/>
      </c>
      <c r="F2816" s="68" t="str">
        <f aca="false">IFERROR(INDEX(分录报销!$H:$H,MATCH($L2816,分录报销!$L:$L,0)),"")</f>
        <v/>
      </c>
      <c r="G2816" s="69" t="str">
        <f aca="false">IFERROR(INDEX(分录报销!$I:$I,MATCH($L2816,分录报销!$L:$L,0)),"")</f>
        <v/>
      </c>
      <c r="H2816" s="23"/>
      <c r="I2816" s="70"/>
      <c r="L2816" s="71" t="n">
        <f aca="false">IF(助手报销!$R$189="",-1,助手报销!$R$189*100+(助手报销!$S$189-1)*6+6)</f>
        <v>-1</v>
      </c>
    </row>
    <row r="2817" customFormat="false" ht="23.25" hidden="false" customHeight="true" outlineLevel="0" collapsed="false">
      <c r="B2817" s="72" t="str">
        <f aca="false">IF(助手报销!$T$189=1,"合计：","")</f>
        <v/>
      </c>
      <c r="C2817" s="73" t="str">
        <f aca="false">IF(助手报销!$T$189=1,$F2817,"")</f>
        <v/>
      </c>
      <c r="D2817" s="74"/>
      <c r="E2817" s="74"/>
      <c r="F2817" s="75" t="str">
        <f aca="false">IF(助手报销!$T$189=1,INDEX(助手报销!$N$2:$N$121,助手报销!$R$189),"")</f>
        <v/>
      </c>
      <c r="G2817" s="76" t="str">
        <f aca="false">IF(助手报销!$T$189=1,INDEX(助手报销!$O$2:$O$121,助手报销!$R$189),"")</f>
        <v/>
      </c>
      <c r="H2817" s="74"/>
      <c r="I2817" s="77"/>
    </row>
    <row r="2818" customFormat="false" ht="6" hidden="false" customHeight="true" outlineLevel="0" collapsed="false"/>
    <row r="2819" customFormat="false" ht="13.5" hidden="false" customHeight="false" outlineLevel="0" collapsed="false">
      <c r="B2819" s="78" t="str">
        <f aca="false">IF(助手报销!$R$189&lt;&gt;"","会计主管：","")</f>
        <v/>
      </c>
      <c r="D2819" s="78" t="str">
        <f aca="false">IF(助手报销!$R$189&lt;&gt;"","会计：","")</f>
        <v/>
      </c>
      <c r="E2819" s="78" t="str">
        <f aca="false">IF(助手报销!$R$189&lt;&gt;"","出纳：","")</f>
        <v/>
      </c>
      <c r="F2819" s="78" t="str">
        <f aca="false">IF(助手报销!$R$189&lt;&gt;"","复核：","")</f>
        <v/>
      </c>
      <c r="G2819" s="78" t="str">
        <f aca="false">IF(助手报销!$R$189&lt;&gt;"","制单：","")</f>
        <v/>
      </c>
    </row>
    <row r="2820" customFormat="false" ht="3" hidden="false" customHeight="true" outlineLevel="0" collapsed="false"/>
    <row r="2821" customFormat="false" ht="19.5" hidden="false" customHeight="true" outlineLevel="0" collapsed="false">
      <c r="B2821" s="53" t="str">
        <f aca="false">IF(助手报销!$R$190&lt;&gt;"","记  账  凭  证","")</f>
        <v/>
      </c>
      <c r="C2821" s="53"/>
      <c r="D2821" s="53"/>
      <c r="E2821" s="53"/>
      <c r="F2821" s="53"/>
      <c r="G2821" s="53"/>
      <c r="H2821" s="53"/>
      <c r="I2821" s="53"/>
    </row>
    <row r="2822" customFormat="false" ht="3" hidden="false" customHeight="true" outlineLevel="0" collapsed="false"/>
    <row r="2823" customFormat="false" ht="15" hidden="false" customHeight="true" outlineLevel="0" collapsed="false">
      <c r="C2823" s="56" t="str">
        <f aca="false">IF(助手报销!$R$190&lt;&gt;"",INDEX(助手报销!$B$2:$B$121,助手报销!$R$190),"")</f>
        <v/>
      </c>
      <c r="D2823" s="57" t="str">
        <f aca="false">IF(助手报销!$R$190&lt;&gt;"",INDEX(助手报销!$D$2:$D$121,助手报销!$R$190),"")</f>
        <v/>
      </c>
      <c r="E2823" s="57"/>
      <c r="F2823" s="58" t="str">
        <f aca="false">IF(助手报销!$R$190&lt;&gt;"",INDEX(助手报销!$C$2:$C$121,助手报销!$R$190)&amp;"  字第 "&amp;IF(参数!$B$9="是",INDEX(助手报销!$P$2:$P$121,助手报销!$R$190),"　　　　")&amp;" 号"&amp;IF(INDEX(助手报销!$L$2:$L$121,助手报销!$R$190)&gt;1,"  (共"&amp;INDEX(助手报销!$L$2:$L$121,助手报销!$R$190)&amp;"页 第"&amp;助手报销!$S$190&amp;"页)",""),"")</f>
        <v/>
      </c>
      <c r="G2823" s="58"/>
      <c r="H2823" s="58"/>
      <c r="I2823" s="58"/>
      <c r="M2823" s="79" t="str">
        <f aca="false">IF(助手报销!$R$190="","",助手报销!$Q$190)</f>
        <v/>
      </c>
      <c r="N2823" s="80" t="str">
        <f aca="false">IF(助手报销!$R$190="","",INDEX(助手报销!$P$2:$P$121,助手报销!$R$190))</f>
        <v/>
      </c>
      <c r="O2823" s="55" t="str">
        <f aca="false">IF(助手报销!$R$190="","",INDEX(助手报销!$C$2:$C$121,助手报销!$R$190)&amp;"  字第 "&amp;INDEX(助手报销!$P$2:$P$121,助手报销!$R$190)&amp;" 号"&amp;IF(INDEX(助手报销!$L$2:$L$121,助手报销!$R$190)&gt;1,"  (共"&amp;INDEX(助手报销!$L$2:$L$121,助手报销!$R$190)&amp;"页 第"&amp;助手报销!$S$190&amp;"页)",""))</f>
        <v/>
      </c>
    </row>
    <row r="2824" customFormat="false" ht="12.75" hidden="false" customHeight="true" outlineLevel="0" collapsed="false">
      <c r="B2824" s="61" t="str">
        <f aca="false">IF(助手报销!$R$190&lt;&gt;"","摘　　要","")</f>
        <v/>
      </c>
      <c r="C2824" s="61"/>
      <c r="D2824" s="62" t="str">
        <f aca="false">IF(助手报销!$R$190&lt;&gt;"","科　　　　目","")</f>
        <v/>
      </c>
      <c r="E2824" s="62"/>
      <c r="F2824" s="61" t="str">
        <f aca="false">IF(助手报销!$R$190&lt;&gt;"","借 方 金 额","")</f>
        <v/>
      </c>
      <c r="G2824" s="62" t="str">
        <f aca="false">IF(助手报销!$R$190&lt;&gt;"","贷 方 金 额","")</f>
        <v/>
      </c>
      <c r="H2824" s="63" t="str">
        <f aca="false">IF(助手报销!$R$190&lt;&gt;"","√","")</f>
        <v/>
      </c>
      <c r="I2824" s="64" t="str">
        <f aca="false">IF(助手报销!$R$190&lt;&gt;"","附单据  张","")</f>
        <v/>
      </c>
    </row>
    <row r="2825" customFormat="false" ht="12.75" hidden="false" customHeight="true" outlineLevel="0" collapsed="false">
      <c r="B2825" s="61"/>
      <c r="C2825" s="61"/>
      <c r="D2825" s="23" t="str">
        <f aca="false">IF(助手报销!$R$190&lt;&gt;"","总 账 科 目","")</f>
        <v/>
      </c>
      <c r="E2825" s="23" t="str">
        <f aca="false">IF(助手报销!$R$190&lt;&gt;"","明 细 科 目","")</f>
        <v/>
      </c>
      <c r="F2825" s="65"/>
      <c r="G2825" s="66"/>
      <c r="H2825" s="63"/>
      <c r="I2825" s="64"/>
    </row>
    <row r="2826" customFormat="false" ht="23.25" hidden="false" customHeight="true" outlineLevel="0" collapsed="false">
      <c r="B2826" s="67" t="str">
        <f aca="false">IFERROR(INDEX(分录报销!$M:$M,MATCH($L2826,分录报销!$L:$L,0)),"")</f>
        <v/>
      </c>
      <c r="C2826" s="67"/>
      <c r="D2826" s="23" t="str">
        <f aca="false">IFERROR(INDEX(分录报销!$E:$E,MATCH($L2826,分录报销!$L:$L,0)),"")</f>
        <v/>
      </c>
      <c r="E2826" s="23" t="str">
        <f aca="false">IFERROR(INDEX(分录报销!$F:$F,MATCH($L2826,分录报销!$L:$L,0)),"")</f>
        <v/>
      </c>
      <c r="F2826" s="68" t="str">
        <f aca="false">IFERROR(INDEX(分录报销!$H:$H,MATCH($L2826,分录报销!$L:$L,0)),"")</f>
        <v/>
      </c>
      <c r="G2826" s="69" t="str">
        <f aca="false">IFERROR(INDEX(分录报销!$I:$I,MATCH($L2826,分录报销!$L:$L,0)),"")</f>
        <v/>
      </c>
      <c r="H2826" s="23"/>
      <c r="I2826" s="70"/>
      <c r="L2826" s="71" t="n">
        <f aca="false">IF(助手报销!$R$190="",-1,助手报销!$R$190*100+(助手报销!$S$190-1)*6+1)</f>
        <v>-1</v>
      </c>
    </row>
    <row r="2827" customFormat="false" ht="23.25" hidden="false" customHeight="true" outlineLevel="0" collapsed="false">
      <c r="B2827" s="67" t="str">
        <f aca="false">IFERROR(INDEX(分录报销!$M:$M,MATCH($L2827,分录报销!$L:$L,0)),"")</f>
        <v/>
      </c>
      <c r="C2827" s="67"/>
      <c r="D2827" s="23" t="str">
        <f aca="false">IFERROR(INDEX(分录报销!$E:$E,MATCH($L2827,分录报销!$L:$L,0)),"")</f>
        <v/>
      </c>
      <c r="E2827" s="23" t="str">
        <f aca="false">IFERROR(INDEX(分录报销!$F:$F,MATCH($L2827,分录报销!$L:$L,0)),"")</f>
        <v/>
      </c>
      <c r="F2827" s="68" t="str">
        <f aca="false">IFERROR(INDEX(分录报销!$H:$H,MATCH($L2827,分录报销!$L:$L,0)),"")</f>
        <v/>
      </c>
      <c r="G2827" s="69" t="str">
        <f aca="false">IFERROR(INDEX(分录报销!$I:$I,MATCH($L2827,分录报销!$L:$L,0)),"")</f>
        <v/>
      </c>
      <c r="H2827" s="23"/>
      <c r="I2827" s="70"/>
      <c r="L2827" s="71" t="n">
        <f aca="false">IF(助手报销!$R$190="",-1,助手报销!$R$190*100+(助手报销!$S$190-1)*6+2)</f>
        <v>-1</v>
      </c>
    </row>
    <row r="2828" customFormat="false" ht="23.25" hidden="false" customHeight="true" outlineLevel="0" collapsed="false">
      <c r="B2828" s="67" t="str">
        <f aca="false">IFERROR(INDEX(分录报销!$M:$M,MATCH($L2828,分录报销!$L:$L,0)),"")</f>
        <v/>
      </c>
      <c r="C2828" s="67"/>
      <c r="D2828" s="23" t="str">
        <f aca="false">IFERROR(INDEX(分录报销!$E:$E,MATCH($L2828,分录报销!$L:$L,0)),"")</f>
        <v/>
      </c>
      <c r="E2828" s="23" t="str">
        <f aca="false">IFERROR(INDEX(分录报销!$F:$F,MATCH($L2828,分录报销!$L:$L,0)),"")</f>
        <v/>
      </c>
      <c r="F2828" s="68" t="str">
        <f aca="false">IFERROR(INDEX(分录报销!$H:$H,MATCH($L2828,分录报销!$L:$L,0)),"")</f>
        <v/>
      </c>
      <c r="G2828" s="69" t="str">
        <f aca="false">IFERROR(INDEX(分录报销!$I:$I,MATCH($L2828,分录报销!$L:$L,0)),"")</f>
        <v/>
      </c>
      <c r="H2828" s="23"/>
      <c r="I2828" s="70"/>
      <c r="L2828" s="71" t="n">
        <f aca="false">IF(助手报销!$R$190="",-1,助手报销!$R$190*100+(助手报销!$S$190-1)*6+3)</f>
        <v>-1</v>
      </c>
    </row>
    <row r="2829" customFormat="false" ht="23.25" hidden="false" customHeight="true" outlineLevel="0" collapsed="false">
      <c r="B2829" s="67" t="str">
        <f aca="false">IFERROR(INDEX(分录报销!$M:$M,MATCH($L2829,分录报销!$L:$L,0)),"")</f>
        <v/>
      </c>
      <c r="C2829" s="67"/>
      <c r="D2829" s="23" t="str">
        <f aca="false">IFERROR(INDEX(分录报销!$E:$E,MATCH($L2829,分录报销!$L:$L,0)),"")</f>
        <v/>
      </c>
      <c r="E2829" s="23" t="str">
        <f aca="false">IFERROR(INDEX(分录报销!$F:$F,MATCH($L2829,分录报销!$L:$L,0)),"")</f>
        <v/>
      </c>
      <c r="F2829" s="68" t="str">
        <f aca="false">IFERROR(INDEX(分录报销!$H:$H,MATCH($L2829,分录报销!$L:$L,0)),"")</f>
        <v/>
      </c>
      <c r="G2829" s="69" t="str">
        <f aca="false">IFERROR(INDEX(分录报销!$I:$I,MATCH($L2829,分录报销!$L:$L,0)),"")</f>
        <v/>
      </c>
      <c r="H2829" s="23"/>
      <c r="I2829" s="70"/>
      <c r="L2829" s="71" t="n">
        <f aca="false">IF(助手报销!$R$190="",-1,助手报销!$R$190*100+(助手报销!$S$190-1)*6+4)</f>
        <v>-1</v>
      </c>
    </row>
    <row r="2830" customFormat="false" ht="23.25" hidden="false" customHeight="true" outlineLevel="0" collapsed="false">
      <c r="B2830" s="67" t="str">
        <f aca="false">IFERROR(INDEX(分录报销!$M:$M,MATCH($L2830,分录报销!$L:$L,0)),"")</f>
        <v/>
      </c>
      <c r="C2830" s="67"/>
      <c r="D2830" s="23" t="str">
        <f aca="false">IFERROR(INDEX(分录报销!$E:$E,MATCH($L2830,分录报销!$L:$L,0)),"")</f>
        <v/>
      </c>
      <c r="E2830" s="23" t="str">
        <f aca="false">IFERROR(INDEX(分录报销!$F:$F,MATCH($L2830,分录报销!$L:$L,0)),"")</f>
        <v/>
      </c>
      <c r="F2830" s="68" t="str">
        <f aca="false">IFERROR(INDEX(分录报销!$H:$H,MATCH($L2830,分录报销!$L:$L,0)),"")</f>
        <v/>
      </c>
      <c r="G2830" s="69" t="str">
        <f aca="false">IFERROR(INDEX(分录报销!$I:$I,MATCH($L2830,分录报销!$L:$L,0)),"")</f>
        <v/>
      </c>
      <c r="H2830" s="23"/>
      <c r="I2830" s="70"/>
      <c r="L2830" s="71" t="n">
        <f aca="false">IF(助手报销!$R$190="",-1,助手报销!$R$190*100+(助手报销!$S$190-1)*6+5)</f>
        <v>-1</v>
      </c>
    </row>
    <row r="2831" customFormat="false" ht="23.25" hidden="false" customHeight="true" outlineLevel="0" collapsed="false">
      <c r="B2831" s="67" t="str">
        <f aca="false">IFERROR(INDEX(分录报销!$M:$M,MATCH($L2831,分录报销!$L:$L,0)),"")</f>
        <v/>
      </c>
      <c r="C2831" s="67"/>
      <c r="D2831" s="23" t="str">
        <f aca="false">IFERROR(INDEX(分录报销!$E:$E,MATCH($L2831,分录报销!$L:$L,0)),"")</f>
        <v/>
      </c>
      <c r="E2831" s="23" t="str">
        <f aca="false">IFERROR(INDEX(分录报销!$F:$F,MATCH($L2831,分录报销!$L:$L,0)),"")</f>
        <v/>
      </c>
      <c r="F2831" s="68" t="str">
        <f aca="false">IFERROR(INDEX(分录报销!$H:$H,MATCH($L2831,分录报销!$L:$L,0)),"")</f>
        <v/>
      </c>
      <c r="G2831" s="69" t="str">
        <f aca="false">IFERROR(INDEX(分录报销!$I:$I,MATCH($L2831,分录报销!$L:$L,0)),"")</f>
        <v/>
      </c>
      <c r="H2831" s="23"/>
      <c r="I2831" s="70"/>
      <c r="L2831" s="71" t="n">
        <f aca="false">IF(助手报销!$R$190="",-1,助手报销!$R$190*100+(助手报销!$S$190-1)*6+6)</f>
        <v>-1</v>
      </c>
    </row>
    <row r="2832" customFormat="false" ht="23.25" hidden="false" customHeight="true" outlineLevel="0" collapsed="false">
      <c r="B2832" s="72" t="str">
        <f aca="false">IF(助手报销!$T$190=1,"合计：","")</f>
        <v/>
      </c>
      <c r="C2832" s="73" t="str">
        <f aca="false">IF(助手报销!$T$190=1,$F2832,"")</f>
        <v/>
      </c>
      <c r="D2832" s="74"/>
      <c r="E2832" s="74"/>
      <c r="F2832" s="75" t="str">
        <f aca="false">IF(助手报销!$T$190=1,INDEX(助手报销!$N$2:$N$121,助手报销!$R$190),"")</f>
        <v/>
      </c>
      <c r="G2832" s="76" t="str">
        <f aca="false">IF(助手报销!$T$190=1,INDEX(助手报销!$O$2:$O$121,助手报销!$R$190),"")</f>
        <v/>
      </c>
      <c r="H2832" s="74"/>
      <c r="I2832" s="77"/>
    </row>
    <row r="2833" customFormat="false" ht="6" hidden="false" customHeight="true" outlineLevel="0" collapsed="false"/>
    <row r="2834" customFormat="false" ht="13.5" hidden="false" customHeight="false" outlineLevel="0" collapsed="false">
      <c r="B2834" s="78" t="str">
        <f aca="false">IF(助手报销!$R$190&lt;&gt;"","会计主管：","")</f>
        <v/>
      </c>
      <c r="D2834" s="78" t="str">
        <f aca="false">IF(助手报销!$R$190&lt;&gt;"","会计：","")</f>
        <v/>
      </c>
      <c r="E2834" s="78" t="str">
        <f aca="false">IF(助手报销!$R$190&lt;&gt;"","出纳：","")</f>
        <v/>
      </c>
      <c r="F2834" s="78" t="str">
        <f aca="false">IF(助手报销!$R$190&lt;&gt;"","复核：","")</f>
        <v/>
      </c>
      <c r="G2834" s="78" t="str">
        <f aca="false">IF(助手报销!$R$190&lt;&gt;"","制单：","")</f>
        <v/>
      </c>
    </row>
    <row r="2835" customFormat="false" ht="3" hidden="false" customHeight="true" outlineLevel="0" collapsed="false"/>
    <row r="2836" customFormat="false" ht="19.5" hidden="false" customHeight="true" outlineLevel="0" collapsed="false">
      <c r="B2836" s="53" t="str">
        <f aca="false">IF(助手报销!$R$191&lt;&gt;"","记  账  凭  证","")</f>
        <v/>
      </c>
      <c r="C2836" s="53"/>
      <c r="D2836" s="53"/>
      <c r="E2836" s="53"/>
      <c r="F2836" s="53"/>
      <c r="G2836" s="53"/>
      <c r="H2836" s="53"/>
      <c r="I2836" s="53"/>
    </row>
    <row r="2837" customFormat="false" ht="3" hidden="false" customHeight="true" outlineLevel="0" collapsed="false"/>
    <row r="2838" customFormat="false" ht="15" hidden="false" customHeight="true" outlineLevel="0" collapsed="false">
      <c r="C2838" s="56" t="str">
        <f aca="false">IF(助手报销!$R$191&lt;&gt;"",INDEX(助手报销!$B$2:$B$121,助手报销!$R$191),"")</f>
        <v/>
      </c>
      <c r="D2838" s="57" t="str">
        <f aca="false">IF(助手报销!$R$191&lt;&gt;"",INDEX(助手报销!$D$2:$D$121,助手报销!$R$191),"")</f>
        <v/>
      </c>
      <c r="E2838" s="57"/>
      <c r="F2838" s="58" t="str">
        <f aca="false">IF(助手报销!$R$191&lt;&gt;"",INDEX(助手报销!$C$2:$C$121,助手报销!$R$191)&amp;"  字第 "&amp;IF(参数!$B$9="是",INDEX(助手报销!$P$2:$P$121,助手报销!$R$191),"　　　　")&amp;" 号"&amp;IF(INDEX(助手报销!$L$2:$L$121,助手报销!$R$191)&gt;1,"  (共"&amp;INDEX(助手报销!$L$2:$L$121,助手报销!$R$191)&amp;"页 第"&amp;助手报销!$S$191&amp;"页)",""),"")</f>
        <v/>
      </c>
      <c r="G2838" s="58"/>
      <c r="H2838" s="58"/>
      <c r="I2838" s="58"/>
      <c r="M2838" s="79" t="str">
        <f aca="false">IF(助手报销!$R$191="","",助手报销!$Q$191)</f>
        <v/>
      </c>
      <c r="N2838" s="80" t="str">
        <f aca="false">IF(助手报销!$R$191="","",INDEX(助手报销!$P$2:$P$121,助手报销!$R$191))</f>
        <v/>
      </c>
      <c r="O2838" s="55" t="str">
        <f aca="false">IF(助手报销!$R$191="","",INDEX(助手报销!$C$2:$C$121,助手报销!$R$191)&amp;"  字第 "&amp;INDEX(助手报销!$P$2:$P$121,助手报销!$R$191)&amp;" 号"&amp;IF(INDEX(助手报销!$L$2:$L$121,助手报销!$R$191)&gt;1,"  (共"&amp;INDEX(助手报销!$L$2:$L$121,助手报销!$R$191)&amp;"页 第"&amp;助手报销!$S$191&amp;"页)",""))</f>
        <v/>
      </c>
    </row>
    <row r="2839" customFormat="false" ht="12.75" hidden="false" customHeight="true" outlineLevel="0" collapsed="false">
      <c r="B2839" s="61" t="str">
        <f aca="false">IF(助手报销!$R$191&lt;&gt;"","摘　　要","")</f>
        <v/>
      </c>
      <c r="C2839" s="61"/>
      <c r="D2839" s="62" t="str">
        <f aca="false">IF(助手报销!$R$191&lt;&gt;"","科　　　　目","")</f>
        <v/>
      </c>
      <c r="E2839" s="62"/>
      <c r="F2839" s="61" t="str">
        <f aca="false">IF(助手报销!$R$191&lt;&gt;"","借 方 金 额","")</f>
        <v/>
      </c>
      <c r="G2839" s="62" t="str">
        <f aca="false">IF(助手报销!$R$191&lt;&gt;"","贷 方 金 额","")</f>
        <v/>
      </c>
      <c r="H2839" s="63" t="str">
        <f aca="false">IF(助手报销!$R$191&lt;&gt;"","√","")</f>
        <v/>
      </c>
      <c r="I2839" s="64" t="str">
        <f aca="false">IF(助手报销!$R$191&lt;&gt;"","附单据  张","")</f>
        <v/>
      </c>
    </row>
    <row r="2840" customFormat="false" ht="12.75" hidden="false" customHeight="true" outlineLevel="0" collapsed="false">
      <c r="B2840" s="61"/>
      <c r="C2840" s="61"/>
      <c r="D2840" s="23" t="str">
        <f aca="false">IF(助手报销!$R$191&lt;&gt;"","总 账 科 目","")</f>
        <v/>
      </c>
      <c r="E2840" s="23" t="str">
        <f aca="false">IF(助手报销!$R$191&lt;&gt;"","明 细 科 目","")</f>
        <v/>
      </c>
      <c r="F2840" s="65"/>
      <c r="G2840" s="66"/>
      <c r="H2840" s="63"/>
      <c r="I2840" s="64"/>
    </row>
    <row r="2841" customFormat="false" ht="23.25" hidden="false" customHeight="true" outlineLevel="0" collapsed="false">
      <c r="B2841" s="67" t="str">
        <f aca="false">IFERROR(INDEX(分录报销!$M:$M,MATCH($L2841,分录报销!$L:$L,0)),"")</f>
        <v/>
      </c>
      <c r="C2841" s="67"/>
      <c r="D2841" s="23" t="str">
        <f aca="false">IFERROR(INDEX(分录报销!$E:$E,MATCH($L2841,分录报销!$L:$L,0)),"")</f>
        <v/>
      </c>
      <c r="E2841" s="23" t="str">
        <f aca="false">IFERROR(INDEX(分录报销!$F:$F,MATCH($L2841,分录报销!$L:$L,0)),"")</f>
        <v/>
      </c>
      <c r="F2841" s="68" t="str">
        <f aca="false">IFERROR(INDEX(分录报销!$H:$H,MATCH($L2841,分录报销!$L:$L,0)),"")</f>
        <v/>
      </c>
      <c r="G2841" s="69" t="str">
        <f aca="false">IFERROR(INDEX(分录报销!$I:$I,MATCH($L2841,分录报销!$L:$L,0)),"")</f>
        <v/>
      </c>
      <c r="H2841" s="23"/>
      <c r="I2841" s="70"/>
      <c r="L2841" s="71" t="n">
        <f aca="false">IF(助手报销!$R$191="",-1,助手报销!$R$191*100+(助手报销!$S$191-1)*6+1)</f>
        <v>-1</v>
      </c>
    </row>
    <row r="2842" customFormat="false" ht="23.25" hidden="false" customHeight="true" outlineLevel="0" collapsed="false">
      <c r="B2842" s="67" t="str">
        <f aca="false">IFERROR(INDEX(分录报销!$M:$M,MATCH($L2842,分录报销!$L:$L,0)),"")</f>
        <v/>
      </c>
      <c r="C2842" s="67"/>
      <c r="D2842" s="23" t="str">
        <f aca="false">IFERROR(INDEX(分录报销!$E:$E,MATCH($L2842,分录报销!$L:$L,0)),"")</f>
        <v/>
      </c>
      <c r="E2842" s="23" t="str">
        <f aca="false">IFERROR(INDEX(分录报销!$F:$F,MATCH($L2842,分录报销!$L:$L,0)),"")</f>
        <v/>
      </c>
      <c r="F2842" s="68" t="str">
        <f aca="false">IFERROR(INDEX(分录报销!$H:$H,MATCH($L2842,分录报销!$L:$L,0)),"")</f>
        <v/>
      </c>
      <c r="G2842" s="69" t="str">
        <f aca="false">IFERROR(INDEX(分录报销!$I:$I,MATCH($L2842,分录报销!$L:$L,0)),"")</f>
        <v/>
      </c>
      <c r="H2842" s="23"/>
      <c r="I2842" s="70"/>
      <c r="L2842" s="71" t="n">
        <f aca="false">IF(助手报销!$R$191="",-1,助手报销!$R$191*100+(助手报销!$S$191-1)*6+2)</f>
        <v>-1</v>
      </c>
    </row>
    <row r="2843" customFormat="false" ht="23.25" hidden="false" customHeight="true" outlineLevel="0" collapsed="false">
      <c r="B2843" s="67" t="str">
        <f aca="false">IFERROR(INDEX(分录报销!$M:$M,MATCH($L2843,分录报销!$L:$L,0)),"")</f>
        <v/>
      </c>
      <c r="C2843" s="67"/>
      <c r="D2843" s="23" t="str">
        <f aca="false">IFERROR(INDEX(分录报销!$E:$E,MATCH($L2843,分录报销!$L:$L,0)),"")</f>
        <v/>
      </c>
      <c r="E2843" s="23" t="str">
        <f aca="false">IFERROR(INDEX(分录报销!$F:$F,MATCH($L2843,分录报销!$L:$L,0)),"")</f>
        <v/>
      </c>
      <c r="F2843" s="68" t="str">
        <f aca="false">IFERROR(INDEX(分录报销!$H:$H,MATCH($L2843,分录报销!$L:$L,0)),"")</f>
        <v/>
      </c>
      <c r="G2843" s="69" t="str">
        <f aca="false">IFERROR(INDEX(分录报销!$I:$I,MATCH($L2843,分录报销!$L:$L,0)),"")</f>
        <v/>
      </c>
      <c r="H2843" s="23"/>
      <c r="I2843" s="70"/>
      <c r="L2843" s="71" t="n">
        <f aca="false">IF(助手报销!$R$191="",-1,助手报销!$R$191*100+(助手报销!$S$191-1)*6+3)</f>
        <v>-1</v>
      </c>
    </row>
    <row r="2844" customFormat="false" ht="23.25" hidden="false" customHeight="true" outlineLevel="0" collapsed="false">
      <c r="B2844" s="67" t="str">
        <f aca="false">IFERROR(INDEX(分录报销!$M:$M,MATCH($L2844,分录报销!$L:$L,0)),"")</f>
        <v/>
      </c>
      <c r="C2844" s="67"/>
      <c r="D2844" s="23" t="str">
        <f aca="false">IFERROR(INDEX(分录报销!$E:$E,MATCH($L2844,分录报销!$L:$L,0)),"")</f>
        <v/>
      </c>
      <c r="E2844" s="23" t="str">
        <f aca="false">IFERROR(INDEX(分录报销!$F:$F,MATCH($L2844,分录报销!$L:$L,0)),"")</f>
        <v/>
      </c>
      <c r="F2844" s="68" t="str">
        <f aca="false">IFERROR(INDEX(分录报销!$H:$H,MATCH($L2844,分录报销!$L:$L,0)),"")</f>
        <v/>
      </c>
      <c r="G2844" s="69" t="str">
        <f aca="false">IFERROR(INDEX(分录报销!$I:$I,MATCH($L2844,分录报销!$L:$L,0)),"")</f>
        <v/>
      </c>
      <c r="H2844" s="23"/>
      <c r="I2844" s="70"/>
      <c r="L2844" s="71" t="n">
        <f aca="false">IF(助手报销!$R$191="",-1,助手报销!$R$191*100+(助手报销!$S$191-1)*6+4)</f>
        <v>-1</v>
      </c>
    </row>
    <row r="2845" customFormat="false" ht="23.25" hidden="false" customHeight="true" outlineLevel="0" collapsed="false">
      <c r="B2845" s="67" t="str">
        <f aca="false">IFERROR(INDEX(分录报销!$M:$M,MATCH($L2845,分录报销!$L:$L,0)),"")</f>
        <v/>
      </c>
      <c r="C2845" s="67"/>
      <c r="D2845" s="23" t="str">
        <f aca="false">IFERROR(INDEX(分录报销!$E:$E,MATCH($L2845,分录报销!$L:$L,0)),"")</f>
        <v/>
      </c>
      <c r="E2845" s="23" t="str">
        <f aca="false">IFERROR(INDEX(分录报销!$F:$F,MATCH($L2845,分录报销!$L:$L,0)),"")</f>
        <v/>
      </c>
      <c r="F2845" s="68" t="str">
        <f aca="false">IFERROR(INDEX(分录报销!$H:$H,MATCH($L2845,分录报销!$L:$L,0)),"")</f>
        <v/>
      </c>
      <c r="G2845" s="69" t="str">
        <f aca="false">IFERROR(INDEX(分录报销!$I:$I,MATCH($L2845,分录报销!$L:$L,0)),"")</f>
        <v/>
      </c>
      <c r="H2845" s="23"/>
      <c r="I2845" s="70"/>
      <c r="L2845" s="71" t="n">
        <f aca="false">IF(助手报销!$R$191="",-1,助手报销!$R$191*100+(助手报销!$S$191-1)*6+5)</f>
        <v>-1</v>
      </c>
    </row>
    <row r="2846" customFormat="false" ht="23.25" hidden="false" customHeight="true" outlineLevel="0" collapsed="false">
      <c r="B2846" s="67" t="str">
        <f aca="false">IFERROR(INDEX(分录报销!$M:$M,MATCH($L2846,分录报销!$L:$L,0)),"")</f>
        <v/>
      </c>
      <c r="C2846" s="67"/>
      <c r="D2846" s="23" t="str">
        <f aca="false">IFERROR(INDEX(分录报销!$E:$E,MATCH($L2846,分录报销!$L:$L,0)),"")</f>
        <v/>
      </c>
      <c r="E2846" s="23" t="str">
        <f aca="false">IFERROR(INDEX(分录报销!$F:$F,MATCH($L2846,分录报销!$L:$L,0)),"")</f>
        <v/>
      </c>
      <c r="F2846" s="68" t="str">
        <f aca="false">IFERROR(INDEX(分录报销!$H:$H,MATCH($L2846,分录报销!$L:$L,0)),"")</f>
        <v/>
      </c>
      <c r="G2846" s="69" t="str">
        <f aca="false">IFERROR(INDEX(分录报销!$I:$I,MATCH($L2846,分录报销!$L:$L,0)),"")</f>
        <v/>
      </c>
      <c r="H2846" s="23"/>
      <c r="I2846" s="70"/>
      <c r="L2846" s="71" t="n">
        <f aca="false">IF(助手报销!$R$191="",-1,助手报销!$R$191*100+(助手报销!$S$191-1)*6+6)</f>
        <v>-1</v>
      </c>
    </row>
    <row r="2847" customFormat="false" ht="23.25" hidden="false" customHeight="true" outlineLevel="0" collapsed="false">
      <c r="B2847" s="72" t="str">
        <f aca="false">IF(助手报销!$T$191=1,"合计：","")</f>
        <v/>
      </c>
      <c r="C2847" s="73" t="str">
        <f aca="false">IF(助手报销!$T$191=1,$F2847,"")</f>
        <v/>
      </c>
      <c r="D2847" s="74"/>
      <c r="E2847" s="74"/>
      <c r="F2847" s="75" t="str">
        <f aca="false">IF(助手报销!$T$191=1,INDEX(助手报销!$N$2:$N$121,助手报销!$R$191),"")</f>
        <v/>
      </c>
      <c r="G2847" s="76" t="str">
        <f aca="false">IF(助手报销!$T$191=1,INDEX(助手报销!$O$2:$O$121,助手报销!$R$191),"")</f>
        <v/>
      </c>
      <c r="H2847" s="74"/>
      <c r="I2847" s="77"/>
    </row>
    <row r="2848" customFormat="false" ht="6" hidden="false" customHeight="true" outlineLevel="0" collapsed="false"/>
    <row r="2849" customFormat="false" ht="13.5" hidden="false" customHeight="false" outlineLevel="0" collapsed="false">
      <c r="B2849" s="78" t="str">
        <f aca="false">IF(助手报销!$R$191&lt;&gt;"","会计主管：","")</f>
        <v/>
      </c>
      <c r="D2849" s="78" t="str">
        <f aca="false">IF(助手报销!$R$191&lt;&gt;"","会计：","")</f>
        <v/>
      </c>
      <c r="E2849" s="78" t="str">
        <f aca="false">IF(助手报销!$R$191&lt;&gt;"","出纳：","")</f>
        <v/>
      </c>
      <c r="F2849" s="78" t="str">
        <f aca="false">IF(助手报销!$R$191&lt;&gt;"","复核：","")</f>
        <v/>
      </c>
      <c r="G2849" s="78" t="str">
        <f aca="false">IF(助手报销!$R$191&lt;&gt;"","制单：","")</f>
        <v/>
      </c>
    </row>
    <row r="2850" customFormat="false" ht="3" hidden="false" customHeight="true" outlineLevel="0" collapsed="false"/>
    <row r="2851" customFormat="false" ht="19.5" hidden="false" customHeight="true" outlineLevel="0" collapsed="false">
      <c r="B2851" s="53" t="str">
        <f aca="false">IF(助手报销!$R$192&lt;&gt;"","记  账  凭  证","")</f>
        <v/>
      </c>
      <c r="C2851" s="53"/>
      <c r="D2851" s="53"/>
      <c r="E2851" s="53"/>
      <c r="F2851" s="53"/>
      <c r="G2851" s="53"/>
      <c r="H2851" s="53"/>
      <c r="I2851" s="53"/>
    </row>
    <row r="2852" customFormat="false" ht="3" hidden="false" customHeight="true" outlineLevel="0" collapsed="false"/>
    <row r="2853" customFormat="false" ht="15" hidden="false" customHeight="true" outlineLevel="0" collapsed="false">
      <c r="C2853" s="56" t="str">
        <f aca="false">IF(助手报销!$R$192&lt;&gt;"",INDEX(助手报销!$B$2:$B$121,助手报销!$R$192),"")</f>
        <v/>
      </c>
      <c r="D2853" s="57" t="str">
        <f aca="false">IF(助手报销!$R$192&lt;&gt;"",INDEX(助手报销!$D$2:$D$121,助手报销!$R$192),"")</f>
        <v/>
      </c>
      <c r="E2853" s="57"/>
      <c r="F2853" s="58" t="str">
        <f aca="false">IF(助手报销!$R$192&lt;&gt;"",INDEX(助手报销!$C$2:$C$121,助手报销!$R$192)&amp;"  字第 "&amp;IF(参数!$B$9="是",INDEX(助手报销!$P$2:$P$121,助手报销!$R$192),"　　　　")&amp;" 号"&amp;IF(INDEX(助手报销!$L$2:$L$121,助手报销!$R$192)&gt;1,"  (共"&amp;INDEX(助手报销!$L$2:$L$121,助手报销!$R$192)&amp;"页 第"&amp;助手报销!$S$192&amp;"页)",""),"")</f>
        <v/>
      </c>
      <c r="G2853" s="58"/>
      <c r="H2853" s="58"/>
      <c r="I2853" s="58"/>
      <c r="M2853" s="79" t="str">
        <f aca="false">IF(助手报销!$R$192="","",助手报销!$Q$192)</f>
        <v/>
      </c>
      <c r="N2853" s="80" t="str">
        <f aca="false">IF(助手报销!$R$192="","",INDEX(助手报销!$P$2:$P$121,助手报销!$R$192))</f>
        <v/>
      </c>
      <c r="O2853" s="55" t="str">
        <f aca="false">IF(助手报销!$R$192="","",INDEX(助手报销!$C$2:$C$121,助手报销!$R$192)&amp;"  字第 "&amp;INDEX(助手报销!$P$2:$P$121,助手报销!$R$192)&amp;" 号"&amp;IF(INDEX(助手报销!$L$2:$L$121,助手报销!$R$192)&gt;1,"  (共"&amp;INDEX(助手报销!$L$2:$L$121,助手报销!$R$192)&amp;"页 第"&amp;助手报销!$S$192&amp;"页)",""))</f>
        <v/>
      </c>
    </row>
    <row r="2854" customFormat="false" ht="12.75" hidden="false" customHeight="true" outlineLevel="0" collapsed="false">
      <c r="B2854" s="61" t="str">
        <f aca="false">IF(助手报销!$R$192&lt;&gt;"","摘　　要","")</f>
        <v/>
      </c>
      <c r="C2854" s="61"/>
      <c r="D2854" s="62" t="str">
        <f aca="false">IF(助手报销!$R$192&lt;&gt;"","科　　　　目","")</f>
        <v/>
      </c>
      <c r="E2854" s="62"/>
      <c r="F2854" s="61" t="str">
        <f aca="false">IF(助手报销!$R$192&lt;&gt;"","借 方 金 额","")</f>
        <v/>
      </c>
      <c r="G2854" s="62" t="str">
        <f aca="false">IF(助手报销!$R$192&lt;&gt;"","贷 方 金 额","")</f>
        <v/>
      </c>
      <c r="H2854" s="63" t="str">
        <f aca="false">IF(助手报销!$R$192&lt;&gt;"","√","")</f>
        <v/>
      </c>
      <c r="I2854" s="64" t="str">
        <f aca="false">IF(助手报销!$R$192&lt;&gt;"","附单据  张","")</f>
        <v/>
      </c>
    </row>
    <row r="2855" customFormat="false" ht="12.75" hidden="false" customHeight="true" outlineLevel="0" collapsed="false">
      <c r="B2855" s="61"/>
      <c r="C2855" s="61"/>
      <c r="D2855" s="23" t="str">
        <f aca="false">IF(助手报销!$R$192&lt;&gt;"","总 账 科 目","")</f>
        <v/>
      </c>
      <c r="E2855" s="23" t="str">
        <f aca="false">IF(助手报销!$R$192&lt;&gt;"","明 细 科 目","")</f>
        <v/>
      </c>
      <c r="F2855" s="65"/>
      <c r="G2855" s="66"/>
      <c r="H2855" s="63"/>
      <c r="I2855" s="64"/>
    </row>
    <row r="2856" customFormat="false" ht="23.25" hidden="false" customHeight="true" outlineLevel="0" collapsed="false">
      <c r="B2856" s="67" t="str">
        <f aca="false">IFERROR(INDEX(分录报销!$M:$M,MATCH($L2856,分录报销!$L:$L,0)),"")</f>
        <v/>
      </c>
      <c r="C2856" s="67"/>
      <c r="D2856" s="23" t="str">
        <f aca="false">IFERROR(INDEX(分录报销!$E:$E,MATCH($L2856,分录报销!$L:$L,0)),"")</f>
        <v/>
      </c>
      <c r="E2856" s="23" t="str">
        <f aca="false">IFERROR(INDEX(分录报销!$F:$F,MATCH($L2856,分录报销!$L:$L,0)),"")</f>
        <v/>
      </c>
      <c r="F2856" s="68" t="str">
        <f aca="false">IFERROR(INDEX(分录报销!$H:$H,MATCH($L2856,分录报销!$L:$L,0)),"")</f>
        <v/>
      </c>
      <c r="G2856" s="69" t="str">
        <f aca="false">IFERROR(INDEX(分录报销!$I:$I,MATCH($L2856,分录报销!$L:$L,0)),"")</f>
        <v/>
      </c>
      <c r="H2856" s="23"/>
      <c r="I2856" s="70"/>
      <c r="L2856" s="71" t="n">
        <f aca="false">IF(助手报销!$R$192="",-1,助手报销!$R$192*100+(助手报销!$S$192-1)*6+1)</f>
        <v>-1</v>
      </c>
    </row>
    <row r="2857" customFormat="false" ht="23.25" hidden="false" customHeight="true" outlineLevel="0" collapsed="false">
      <c r="B2857" s="67" t="str">
        <f aca="false">IFERROR(INDEX(分录报销!$M:$M,MATCH($L2857,分录报销!$L:$L,0)),"")</f>
        <v/>
      </c>
      <c r="C2857" s="67"/>
      <c r="D2857" s="23" t="str">
        <f aca="false">IFERROR(INDEX(分录报销!$E:$E,MATCH($L2857,分录报销!$L:$L,0)),"")</f>
        <v/>
      </c>
      <c r="E2857" s="23" t="str">
        <f aca="false">IFERROR(INDEX(分录报销!$F:$F,MATCH($L2857,分录报销!$L:$L,0)),"")</f>
        <v/>
      </c>
      <c r="F2857" s="68" t="str">
        <f aca="false">IFERROR(INDEX(分录报销!$H:$H,MATCH($L2857,分录报销!$L:$L,0)),"")</f>
        <v/>
      </c>
      <c r="G2857" s="69" t="str">
        <f aca="false">IFERROR(INDEX(分录报销!$I:$I,MATCH($L2857,分录报销!$L:$L,0)),"")</f>
        <v/>
      </c>
      <c r="H2857" s="23"/>
      <c r="I2857" s="70"/>
      <c r="L2857" s="71" t="n">
        <f aca="false">IF(助手报销!$R$192="",-1,助手报销!$R$192*100+(助手报销!$S$192-1)*6+2)</f>
        <v>-1</v>
      </c>
    </row>
    <row r="2858" customFormat="false" ht="23.25" hidden="false" customHeight="true" outlineLevel="0" collapsed="false">
      <c r="B2858" s="67" t="str">
        <f aca="false">IFERROR(INDEX(分录报销!$M:$M,MATCH($L2858,分录报销!$L:$L,0)),"")</f>
        <v/>
      </c>
      <c r="C2858" s="67"/>
      <c r="D2858" s="23" t="str">
        <f aca="false">IFERROR(INDEX(分录报销!$E:$E,MATCH($L2858,分录报销!$L:$L,0)),"")</f>
        <v/>
      </c>
      <c r="E2858" s="23" t="str">
        <f aca="false">IFERROR(INDEX(分录报销!$F:$F,MATCH($L2858,分录报销!$L:$L,0)),"")</f>
        <v/>
      </c>
      <c r="F2858" s="68" t="str">
        <f aca="false">IFERROR(INDEX(分录报销!$H:$H,MATCH($L2858,分录报销!$L:$L,0)),"")</f>
        <v/>
      </c>
      <c r="G2858" s="69" t="str">
        <f aca="false">IFERROR(INDEX(分录报销!$I:$I,MATCH($L2858,分录报销!$L:$L,0)),"")</f>
        <v/>
      </c>
      <c r="H2858" s="23"/>
      <c r="I2858" s="70"/>
      <c r="L2858" s="71" t="n">
        <f aca="false">IF(助手报销!$R$192="",-1,助手报销!$R$192*100+(助手报销!$S$192-1)*6+3)</f>
        <v>-1</v>
      </c>
    </row>
    <row r="2859" customFormat="false" ht="23.25" hidden="false" customHeight="true" outlineLevel="0" collapsed="false">
      <c r="B2859" s="67" t="str">
        <f aca="false">IFERROR(INDEX(分录报销!$M:$M,MATCH($L2859,分录报销!$L:$L,0)),"")</f>
        <v/>
      </c>
      <c r="C2859" s="67"/>
      <c r="D2859" s="23" t="str">
        <f aca="false">IFERROR(INDEX(分录报销!$E:$E,MATCH($L2859,分录报销!$L:$L,0)),"")</f>
        <v/>
      </c>
      <c r="E2859" s="23" t="str">
        <f aca="false">IFERROR(INDEX(分录报销!$F:$F,MATCH($L2859,分录报销!$L:$L,0)),"")</f>
        <v/>
      </c>
      <c r="F2859" s="68" t="str">
        <f aca="false">IFERROR(INDEX(分录报销!$H:$H,MATCH($L2859,分录报销!$L:$L,0)),"")</f>
        <v/>
      </c>
      <c r="G2859" s="69" t="str">
        <f aca="false">IFERROR(INDEX(分录报销!$I:$I,MATCH($L2859,分录报销!$L:$L,0)),"")</f>
        <v/>
      </c>
      <c r="H2859" s="23"/>
      <c r="I2859" s="70"/>
      <c r="L2859" s="71" t="n">
        <f aca="false">IF(助手报销!$R$192="",-1,助手报销!$R$192*100+(助手报销!$S$192-1)*6+4)</f>
        <v>-1</v>
      </c>
    </row>
    <row r="2860" customFormat="false" ht="23.25" hidden="false" customHeight="true" outlineLevel="0" collapsed="false">
      <c r="B2860" s="67" t="str">
        <f aca="false">IFERROR(INDEX(分录报销!$M:$M,MATCH($L2860,分录报销!$L:$L,0)),"")</f>
        <v/>
      </c>
      <c r="C2860" s="67"/>
      <c r="D2860" s="23" t="str">
        <f aca="false">IFERROR(INDEX(分录报销!$E:$E,MATCH($L2860,分录报销!$L:$L,0)),"")</f>
        <v/>
      </c>
      <c r="E2860" s="23" t="str">
        <f aca="false">IFERROR(INDEX(分录报销!$F:$F,MATCH($L2860,分录报销!$L:$L,0)),"")</f>
        <v/>
      </c>
      <c r="F2860" s="68" t="str">
        <f aca="false">IFERROR(INDEX(分录报销!$H:$H,MATCH($L2860,分录报销!$L:$L,0)),"")</f>
        <v/>
      </c>
      <c r="G2860" s="69" t="str">
        <f aca="false">IFERROR(INDEX(分录报销!$I:$I,MATCH($L2860,分录报销!$L:$L,0)),"")</f>
        <v/>
      </c>
      <c r="H2860" s="23"/>
      <c r="I2860" s="70"/>
      <c r="L2860" s="71" t="n">
        <f aca="false">IF(助手报销!$R$192="",-1,助手报销!$R$192*100+(助手报销!$S$192-1)*6+5)</f>
        <v>-1</v>
      </c>
    </row>
    <row r="2861" customFormat="false" ht="23.25" hidden="false" customHeight="true" outlineLevel="0" collapsed="false">
      <c r="B2861" s="67" t="str">
        <f aca="false">IFERROR(INDEX(分录报销!$M:$M,MATCH($L2861,分录报销!$L:$L,0)),"")</f>
        <v/>
      </c>
      <c r="C2861" s="67"/>
      <c r="D2861" s="23" t="str">
        <f aca="false">IFERROR(INDEX(分录报销!$E:$E,MATCH($L2861,分录报销!$L:$L,0)),"")</f>
        <v/>
      </c>
      <c r="E2861" s="23" t="str">
        <f aca="false">IFERROR(INDEX(分录报销!$F:$F,MATCH($L2861,分录报销!$L:$L,0)),"")</f>
        <v/>
      </c>
      <c r="F2861" s="68" t="str">
        <f aca="false">IFERROR(INDEX(分录报销!$H:$H,MATCH($L2861,分录报销!$L:$L,0)),"")</f>
        <v/>
      </c>
      <c r="G2861" s="69" t="str">
        <f aca="false">IFERROR(INDEX(分录报销!$I:$I,MATCH($L2861,分录报销!$L:$L,0)),"")</f>
        <v/>
      </c>
      <c r="H2861" s="23"/>
      <c r="I2861" s="70"/>
      <c r="L2861" s="71" t="n">
        <f aca="false">IF(助手报销!$R$192="",-1,助手报销!$R$192*100+(助手报销!$S$192-1)*6+6)</f>
        <v>-1</v>
      </c>
    </row>
    <row r="2862" customFormat="false" ht="23.25" hidden="false" customHeight="true" outlineLevel="0" collapsed="false">
      <c r="B2862" s="72" t="str">
        <f aca="false">IF(助手报销!$T$192=1,"合计：","")</f>
        <v/>
      </c>
      <c r="C2862" s="73" t="str">
        <f aca="false">IF(助手报销!$T$192=1,$F2862,"")</f>
        <v/>
      </c>
      <c r="D2862" s="74"/>
      <c r="E2862" s="74"/>
      <c r="F2862" s="75" t="str">
        <f aca="false">IF(助手报销!$T$192=1,INDEX(助手报销!$N$2:$N$121,助手报销!$R$192),"")</f>
        <v/>
      </c>
      <c r="G2862" s="76" t="str">
        <f aca="false">IF(助手报销!$T$192=1,INDEX(助手报销!$O$2:$O$121,助手报销!$R$192),"")</f>
        <v/>
      </c>
      <c r="H2862" s="74"/>
      <c r="I2862" s="77"/>
    </row>
    <row r="2863" customFormat="false" ht="6" hidden="false" customHeight="true" outlineLevel="0" collapsed="false"/>
    <row r="2864" customFormat="false" ht="13.5" hidden="false" customHeight="false" outlineLevel="0" collapsed="false">
      <c r="B2864" s="78" t="str">
        <f aca="false">IF(助手报销!$R$192&lt;&gt;"","会计主管：","")</f>
        <v/>
      </c>
      <c r="D2864" s="78" t="str">
        <f aca="false">IF(助手报销!$R$192&lt;&gt;"","会计：","")</f>
        <v/>
      </c>
      <c r="E2864" s="78" t="str">
        <f aca="false">IF(助手报销!$R$192&lt;&gt;"","出纳：","")</f>
        <v/>
      </c>
      <c r="F2864" s="78" t="str">
        <f aca="false">IF(助手报销!$R$192&lt;&gt;"","复核：","")</f>
        <v/>
      </c>
      <c r="G2864" s="78" t="str">
        <f aca="false">IF(助手报销!$R$192&lt;&gt;"","制单：","")</f>
        <v/>
      </c>
    </row>
    <row r="2865" customFormat="false" ht="3" hidden="false" customHeight="true" outlineLevel="0" collapsed="false"/>
    <row r="2866" customFormat="false" ht="19.5" hidden="false" customHeight="true" outlineLevel="0" collapsed="false">
      <c r="B2866" s="53" t="str">
        <f aca="false">IF(助手报销!$R$193&lt;&gt;"","记  账  凭  证","")</f>
        <v/>
      </c>
      <c r="C2866" s="53"/>
      <c r="D2866" s="53"/>
      <c r="E2866" s="53"/>
      <c r="F2866" s="53"/>
      <c r="G2866" s="53"/>
      <c r="H2866" s="53"/>
      <c r="I2866" s="53"/>
    </row>
    <row r="2867" customFormat="false" ht="3" hidden="false" customHeight="true" outlineLevel="0" collapsed="false"/>
    <row r="2868" customFormat="false" ht="15" hidden="false" customHeight="true" outlineLevel="0" collapsed="false">
      <c r="C2868" s="56" t="str">
        <f aca="false">IF(助手报销!$R$193&lt;&gt;"",INDEX(助手报销!$B$2:$B$121,助手报销!$R$193),"")</f>
        <v/>
      </c>
      <c r="D2868" s="57" t="str">
        <f aca="false">IF(助手报销!$R$193&lt;&gt;"",INDEX(助手报销!$D$2:$D$121,助手报销!$R$193),"")</f>
        <v/>
      </c>
      <c r="E2868" s="57"/>
      <c r="F2868" s="58" t="str">
        <f aca="false">IF(助手报销!$R$193&lt;&gt;"",INDEX(助手报销!$C$2:$C$121,助手报销!$R$193)&amp;"  字第 "&amp;IF(参数!$B$9="是",INDEX(助手报销!$P$2:$P$121,助手报销!$R$193),"　　　　")&amp;" 号"&amp;IF(INDEX(助手报销!$L$2:$L$121,助手报销!$R$193)&gt;1,"  (共"&amp;INDEX(助手报销!$L$2:$L$121,助手报销!$R$193)&amp;"页 第"&amp;助手报销!$S$193&amp;"页)",""),"")</f>
        <v/>
      </c>
      <c r="G2868" s="58"/>
      <c r="H2868" s="58"/>
      <c r="I2868" s="58"/>
      <c r="M2868" s="79" t="str">
        <f aca="false">IF(助手报销!$R$193="","",助手报销!$Q$193)</f>
        <v/>
      </c>
      <c r="N2868" s="80" t="str">
        <f aca="false">IF(助手报销!$R$193="","",INDEX(助手报销!$P$2:$P$121,助手报销!$R$193))</f>
        <v/>
      </c>
      <c r="O2868" s="55" t="str">
        <f aca="false">IF(助手报销!$R$193="","",INDEX(助手报销!$C$2:$C$121,助手报销!$R$193)&amp;"  字第 "&amp;INDEX(助手报销!$P$2:$P$121,助手报销!$R$193)&amp;" 号"&amp;IF(INDEX(助手报销!$L$2:$L$121,助手报销!$R$193)&gt;1,"  (共"&amp;INDEX(助手报销!$L$2:$L$121,助手报销!$R$193)&amp;"页 第"&amp;助手报销!$S$193&amp;"页)",""))</f>
        <v/>
      </c>
    </row>
    <row r="2869" customFormat="false" ht="12.75" hidden="false" customHeight="true" outlineLevel="0" collapsed="false">
      <c r="B2869" s="61" t="str">
        <f aca="false">IF(助手报销!$R$193&lt;&gt;"","摘　　要","")</f>
        <v/>
      </c>
      <c r="C2869" s="61"/>
      <c r="D2869" s="62" t="str">
        <f aca="false">IF(助手报销!$R$193&lt;&gt;"","科　　　　目","")</f>
        <v/>
      </c>
      <c r="E2869" s="62"/>
      <c r="F2869" s="61" t="str">
        <f aca="false">IF(助手报销!$R$193&lt;&gt;"","借 方 金 额","")</f>
        <v/>
      </c>
      <c r="G2869" s="62" t="str">
        <f aca="false">IF(助手报销!$R$193&lt;&gt;"","贷 方 金 额","")</f>
        <v/>
      </c>
      <c r="H2869" s="63" t="str">
        <f aca="false">IF(助手报销!$R$193&lt;&gt;"","√","")</f>
        <v/>
      </c>
      <c r="I2869" s="64" t="str">
        <f aca="false">IF(助手报销!$R$193&lt;&gt;"","附单据  张","")</f>
        <v/>
      </c>
    </row>
    <row r="2870" customFormat="false" ht="12.75" hidden="false" customHeight="true" outlineLevel="0" collapsed="false">
      <c r="B2870" s="61"/>
      <c r="C2870" s="61"/>
      <c r="D2870" s="23" t="str">
        <f aca="false">IF(助手报销!$R$193&lt;&gt;"","总 账 科 目","")</f>
        <v/>
      </c>
      <c r="E2870" s="23" t="str">
        <f aca="false">IF(助手报销!$R$193&lt;&gt;"","明 细 科 目","")</f>
        <v/>
      </c>
      <c r="F2870" s="65"/>
      <c r="G2870" s="66"/>
      <c r="H2870" s="63"/>
      <c r="I2870" s="64"/>
    </row>
    <row r="2871" customFormat="false" ht="23.25" hidden="false" customHeight="true" outlineLevel="0" collapsed="false">
      <c r="B2871" s="67" t="str">
        <f aca="false">IFERROR(INDEX(分录报销!$M:$M,MATCH($L2871,分录报销!$L:$L,0)),"")</f>
        <v/>
      </c>
      <c r="C2871" s="67"/>
      <c r="D2871" s="23" t="str">
        <f aca="false">IFERROR(INDEX(分录报销!$E:$E,MATCH($L2871,分录报销!$L:$L,0)),"")</f>
        <v/>
      </c>
      <c r="E2871" s="23" t="str">
        <f aca="false">IFERROR(INDEX(分录报销!$F:$F,MATCH($L2871,分录报销!$L:$L,0)),"")</f>
        <v/>
      </c>
      <c r="F2871" s="68" t="str">
        <f aca="false">IFERROR(INDEX(分录报销!$H:$H,MATCH($L2871,分录报销!$L:$L,0)),"")</f>
        <v/>
      </c>
      <c r="G2871" s="69" t="str">
        <f aca="false">IFERROR(INDEX(分录报销!$I:$I,MATCH($L2871,分录报销!$L:$L,0)),"")</f>
        <v/>
      </c>
      <c r="H2871" s="23"/>
      <c r="I2871" s="70"/>
      <c r="L2871" s="71" t="n">
        <f aca="false">IF(助手报销!$R$193="",-1,助手报销!$R$193*100+(助手报销!$S$193-1)*6+1)</f>
        <v>-1</v>
      </c>
    </row>
    <row r="2872" customFormat="false" ht="23.25" hidden="false" customHeight="true" outlineLevel="0" collapsed="false">
      <c r="B2872" s="67" t="str">
        <f aca="false">IFERROR(INDEX(分录报销!$M:$M,MATCH($L2872,分录报销!$L:$L,0)),"")</f>
        <v/>
      </c>
      <c r="C2872" s="67"/>
      <c r="D2872" s="23" t="str">
        <f aca="false">IFERROR(INDEX(分录报销!$E:$E,MATCH($L2872,分录报销!$L:$L,0)),"")</f>
        <v/>
      </c>
      <c r="E2872" s="23" t="str">
        <f aca="false">IFERROR(INDEX(分录报销!$F:$F,MATCH($L2872,分录报销!$L:$L,0)),"")</f>
        <v/>
      </c>
      <c r="F2872" s="68" t="str">
        <f aca="false">IFERROR(INDEX(分录报销!$H:$H,MATCH($L2872,分录报销!$L:$L,0)),"")</f>
        <v/>
      </c>
      <c r="G2872" s="69" t="str">
        <f aca="false">IFERROR(INDEX(分录报销!$I:$I,MATCH($L2872,分录报销!$L:$L,0)),"")</f>
        <v/>
      </c>
      <c r="H2872" s="23"/>
      <c r="I2872" s="70"/>
      <c r="L2872" s="71" t="n">
        <f aca="false">IF(助手报销!$R$193="",-1,助手报销!$R$193*100+(助手报销!$S$193-1)*6+2)</f>
        <v>-1</v>
      </c>
    </row>
    <row r="2873" customFormat="false" ht="23.25" hidden="false" customHeight="true" outlineLevel="0" collapsed="false">
      <c r="B2873" s="67" t="str">
        <f aca="false">IFERROR(INDEX(分录报销!$M:$M,MATCH($L2873,分录报销!$L:$L,0)),"")</f>
        <v/>
      </c>
      <c r="C2873" s="67"/>
      <c r="D2873" s="23" t="str">
        <f aca="false">IFERROR(INDEX(分录报销!$E:$E,MATCH($L2873,分录报销!$L:$L,0)),"")</f>
        <v/>
      </c>
      <c r="E2873" s="23" t="str">
        <f aca="false">IFERROR(INDEX(分录报销!$F:$F,MATCH($L2873,分录报销!$L:$L,0)),"")</f>
        <v/>
      </c>
      <c r="F2873" s="68" t="str">
        <f aca="false">IFERROR(INDEX(分录报销!$H:$H,MATCH($L2873,分录报销!$L:$L,0)),"")</f>
        <v/>
      </c>
      <c r="G2873" s="69" t="str">
        <f aca="false">IFERROR(INDEX(分录报销!$I:$I,MATCH($L2873,分录报销!$L:$L,0)),"")</f>
        <v/>
      </c>
      <c r="H2873" s="23"/>
      <c r="I2873" s="70"/>
      <c r="L2873" s="71" t="n">
        <f aca="false">IF(助手报销!$R$193="",-1,助手报销!$R$193*100+(助手报销!$S$193-1)*6+3)</f>
        <v>-1</v>
      </c>
    </row>
    <row r="2874" customFormat="false" ht="23.25" hidden="false" customHeight="true" outlineLevel="0" collapsed="false">
      <c r="B2874" s="67" t="str">
        <f aca="false">IFERROR(INDEX(分录报销!$M:$M,MATCH($L2874,分录报销!$L:$L,0)),"")</f>
        <v/>
      </c>
      <c r="C2874" s="67"/>
      <c r="D2874" s="23" t="str">
        <f aca="false">IFERROR(INDEX(分录报销!$E:$E,MATCH($L2874,分录报销!$L:$L,0)),"")</f>
        <v/>
      </c>
      <c r="E2874" s="23" t="str">
        <f aca="false">IFERROR(INDEX(分录报销!$F:$F,MATCH($L2874,分录报销!$L:$L,0)),"")</f>
        <v/>
      </c>
      <c r="F2874" s="68" t="str">
        <f aca="false">IFERROR(INDEX(分录报销!$H:$H,MATCH($L2874,分录报销!$L:$L,0)),"")</f>
        <v/>
      </c>
      <c r="G2874" s="69" t="str">
        <f aca="false">IFERROR(INDEX(分录报销!$I:$I,MATCH($L2874,分录报销!$L:$L,0)),"")</f>
        <v/>
      </c>
      <c r="H2874" s="23"/>
      <c r="I2874" s="70"/>
      <c r="L2874" s="71" t="n">
        <f aca="false">IF(助手报销!$R$193="",-1,助手报销!$R$193*100+(助手报销!$S$193-1)*6+4)</f>
        <v>-1</v>
      </c>
    </row>
    <row r="2875" customFormat="false" ht="23.25" hidden="false" customHeight="true" outlineLevel="0" collapsed="false">
      <c r="B2875" s="67" t="str">
        <f aca="false">IFERROR(INDEX(分录报销!$M:$M,MATCH($L2875,分录报销!$L:$L,0)),"")</f>
        <v/>
      </c>
      <c r="C2875" s="67"/>
      <c r="D2875" s="23" t="str">
        <f aca="false">IFERROR(INDEX(分录报销!$E:$E,MATCH($L2875,分录报销!$L:$L,0)),"")</f>
        <v/>
      </c>
      <c r="E2875" s="23" t="str">
        <f aca="false">IFERROR(INDEX(分录报销!$F:$F,MATCH($L2875,分录报销!$L:$L,0)),"")</f>
        <v/>
      </c>
      <c r="F2875" s="68" t="str">
        <f aca="false">IFERROR(INDEX(分录报销!$H:$H,MATCH($L2875,分录报销!$L:$L,0)),"")</f>
        <v/>
      </c>
      <c r="G2875" s="69" t="str">
        <f aca="false">IFERROR(INDEX(分录报销!$I:$I,MATCH($L2875,分录报销!$L:$L,0)),"")</f>
        <v/>
      </c>
      <c r="H2875" s="23"/>
      <c r="I2875" s="70"/>
      <c r="L2875" s="71" t="n">
        <f aca="false">IF(助手报销!$R$193="",-1,助手报销!$R$193*100+(助手报销!$S$193-1)*6+5)</f>
        <v>-1</v>
      </c>
    </row>
    <row r="2876" customFormat="false" ht="23.25" hidden="false" customHeight="true" outlineLevel="0" collapsed="false">
      <c r="B2876" s="67" t="str">
        <f aca="false">IFERROR(INDEX(分录报销!$M:$M,MATCH($L2876,分录报销!$L:$L,0)),"")</f>
        <v/>
      </c>
      <c r="C2876" s="67"/>
      <c r="D2876" s="23" t="str">
        <f aca="false">IFERROR(INDEX(分录报销!$E:$E,MATCH($L2876,分录报销!$L:$L,0)),"")</f>
        <v/>
      </c>
      <c r="E2876" s="23" t="str">
        <f aca="false">IFERROR(INDEX(分录报销!$F:$F,MATCH($L2876,分录报销!$L:$L,0)),"")</f>
        <v/>
      </c>
      <c r="F2876" s="68" t="str">
        <f aca="false">IFERROR(INDEX(分录报销!$H:$H,MATCH($L2876,分录报销!$L:$L,0)),"")</f>
        <v/>
      </c>
      <c r="G2876" s="69" t="str">
        <f aca="false">IFERROR(INDEX(分录报销!$I:$I,MATCH($L2876,分录报销!$L:$L,0)),"")</f>
        <v/>
      </c>
      <c r="H2876" s="23"/>
      <c r="I2876" s="70"/>
      <c r="L2876" s="71" t="n">
        <f aca="false">IF(助手报销!$R$193="",-1,助手报销!$R$193*100+(助手报销!$S$193-1)*6+6)</f>
        <v>-1</v>
      </c>
    </row>
    <row r="2877" customFormat="false" ht="23.25" hidden="false" customHeight="true" outlineLevel="0" collapsed="false">
      <c r="B2877" s="72" t="str">
        <f aca="false">IF(助手报销!$T$193=1,"合计：","")</f>
        <v/>
      </c>
      <c r="C2877" s="73" t="str">
        <f aca="false">IF(助手报销!$T$193=1,$F2877,"")</f>
        <v/>
      </c>
      <c r="D2877" s="74"/>
      <c r="E2877" s="74"/>
      <c r="F2877" s="75" t="str">
        <f aca="false">IF(助手报销!$T$193=1,INDEX(助手报销!$N$2:$N$121,助手报销!$R$193),"")</f>
        <v/>
      </c>
      <c r="G2877" s="76" t="str">
        <f aca="false">IF(助手报销!$T$193=1,INDEX(助手报销!$O$2:$O$121,助手报销!$R$193),"")</f>
        <v/>
      </c>
      <c r="H2877" s="74"/>
      <c r="I2877" s="77"/>
    </row>
    <row r="2878" customFormat="false" ht="6" hidden="false" customHeight="true" outlineLevel="0" collapsed="false"/>
    <row r="2879" customFormat="false" ht="13.5" hidden="false" customHeight="false" outlineLevel="0" collapsed="false">
      <c r="B2879" s="78" t="str">
        <f aca="false">IF(助手报销!$R$193&lt;&gt;"","会计主管：","")</f>
        <v/>
      </c>
      <c r="D2879" s="78" t="str">
        <f aca="false">IF(助手报销!$R$193&lt;&gt;"","会计：","")</f>
        <v/>
      </c>
      <c r="E2879" s="78" t="str">
        <f aca="false">IF(助手报销!$R$193&lt;&gt;"","出纳：","")</f>
        <v/>
      </c>
      <c r="F2879" s="78" t="str">
        <f aca="false">IF(助手报销!$R$193&lt;&gt;"","复核：","")</f>
        <v/>
      </c>
      <c r="G2879" s="78" t="str">
        <f aca="false">IF(助手报销!$R$193&lt;&gt;"","制单：","")</f>
        <v/>
      </c>
    </row>
    <row r="2880" customFormat="false" ht="3" hidden="false" customHeight="true" outlineLevel="0" collapsed="false"/>
    <row r="2881" customFormat="false" ht="19.5" hidden="false" customHeight="true" outlineLevel="0" collapsed="false">
      <c r="B2881" s="53" t="str">
        <f aca="false">IF(助手报销!$R$194&lt;&gt;"","记  账  凭  证","")</f>
        <v/>
      </c>
      <c r="C2881" s="53"/>
      <c r="D2881" s="53"/>
      <c r="E2881" s="53"/>
      <c r="F2881" s="53"/>
      <c r="G2881" s="53"/>
      <c r="H2881" s="53"/>
      <c r="I2881" s="53"/>
    </row>
    <row r="2882" customFormat="false" ht="3" hidden="false" customHeight="true" outlineLevel="0" collapsed="false"/>
    <row r="2883" customFormat="false" ht="15" hidden="false" customHeight="true" outlineLevel="0" collapsed="false">
      <c r="C2883" s="56" t="str">
        <f aca="false">IF(助手报销!$R$194&lt;&gt;"",INDEX(助手报销!$B$2:$B$121,助手报销!$R$194),"")</f>
        <v/>
      </c>
      <c r="D2883" s="57" t="str">
        <f aca="false">IF(助手报销!$R$194&lt;&gt;"",INDEX(助手报销!$D$2:$D$121,助手报销!$R$194),"")</f>
        <v/>
      </c>
      <c r="E2883" s="57"/>
      <c r="F2883" s="58" t="str">
        <f aca="false">IF(助手报销!$R$194&lt;&gt;"",INDEX(助手报销!$C$2:$C$121,助手报销!$R$194)&amp;"  字第 "&amp;IF(参数!$B$9="是",INDEX(助手报销!$P$2:$P$121,助手报销!$R$194),"　　　　")&amp;" 号"&amp;IF(INDEX(助手报销!$L$2:$L$121,助手报销!$R$194)&gt;1,"  (共"&amp;INDEX(助手报销!$L$2:$L$121,助手报销!$R$194)&amp;"页 第"&amp;助手报销!$S$194&amp;"页)",""),"")</f>
        <v/>
      </c>
      <c r="G2883" s="58"/>
      <c r="H2883" s="58"/>
      <c r="I2883" s="58"/>
      <c r="M2883" s="79" t="str">
        <f aca="false">IF(助手报销!$R$194="","",助手报销!$Q$194)</f>
        <v/>
      </c>
      <c r="N2883" s="80" t="str">
        <f aca="false">IF(助手报销!$R$194="","",INDEX(助手报销!$P$2:$P$121,助手报销!$R$194))</f>
        <v/>
      </c>
      <c r="O2883" s="55" t="str">
        <f aca="false">IF(助手报销!$R$194="","",INDEX(助手报销!$C$2:$C$121,助手报销!$R$194)&amp;"  字第 "&amp;INDEX(助手报销!$P$2:$P$121,助手报销!$R$194)&amp;" 号"&amp;IF(INDEX(助手报销!$L$2:$L$121,助手报销!$R$194)&gt;1,"  (共"&amp;INDEX(助手报销!$L$2:$L$121,助手报销!$R$194)&amp;"页 第"&amp;助手报销!$S$194&amp;"页)",""))</f>
        <v/>
      </c>
    </row>
    <row r="2884" customFormat="false" ht="12.75" hidden="false" customHeight="true" outlineLevel="0" collapsed="false">
      <c r="B2884" s="61" t="str">
        <f aca="false">IF(助手报销!$R$194&lt;&gt;"","摘　　要","")</f>
        <v/>
      </c>
      <c r="C2884" s="61"/>
      <c r="D2884" s="62" t="str">
        <f aca="false">IF(助手报销!$R$194&lt;&gt;"","科　　　　目","")</f>
        <v/>
      </c>
      <c r="E2884" s="62"/>
      <c r="F2884" s="61" t="str">
        <f aca="false">IF(助手报销!$R$194&lt;&gt;"","借 方 金 额","")</f>
        <v/>
      </c>
      <c r="G2884" s="62" t="str">
        <f aca="false">IF(助手报销!$R$194&lt;&gt;"","贷 方 金 额","")</f>
        <v/>
      </c>
      <c r="H2884" s="63" t="str">
        <f aca="false">IF(助手报销!$R$194&lt;&gt;"","√","")</f>
        <v/>
      </c>
      <c r="I2884" s="64" t="str">
        <f aca="false">IF(助手报销!$R$194&lt;&gt;"","附单据  张","")</f>
        <v/>
      </c>
    </row>
    <row r="2885" customFormat="false" ht="12.75" hidden="false" customHeight="true" outlineLevel="0" collapsed="false">
      <c r="B2885" s="61"/>
      <c r="C2885" s="61"/>
      <c r="D2885" s="23" t="str">
        <f aca="false">IF(助手报销!$R$194&lt;&gt;"","总 账 科 目","")</f>
        <v/>
      </c>
      <c r="E2885" s="23" t="str">
        <f aca="false">IF(助手报销!$R$194&lt;&gt;"","明 细 科 目","")</f>
        <v/>
      </c>
      <c r="F2885" s="65"/>
      <c r="G2885" s="66"/>
      <c r="H2885" s="63"/>
      <c r="I2885" s="64"/>
    </row>
    <row r="2886" customFormat="false" ht="23.25" hidden="false" customHeight="true" outlineLevel="0" collapsed="false">
      <c r="B2886" s="67" t="str">
        <f aca="false">IFERROR(INDEX(分录报销!$M:$M,MATCH($L2886,分录报销!$L:$L,0)),"")</f>
        <v/>
      </c>
      <c r="C2886" s="67"/>
      <c r="D2886" s="23" t="str">
        <f aca="false">IFERROR(INDEX(分录报销!$E:$E,MATCH($L2886,分录报销!$L:$L,0)),"")</f>
        <v/>
      </c>
      <c r="E2886" s="23" t="str">
        <f aca="false">IFERROR(INDEX(分录报销!$F:$F,MATCH($L2886,分录报销!$L:$L,0)),"")</f>
        <v/>
      </c>
      <c r="F2886" s="68" t="str">
        <f aca="false">IFERROR(INDEX(分录报销!$H:$H,MATCH($L2886,分录报销!$L:$L,0)),"")</f>
        <v/>
      </c>
      <c r="G2886" s="69" t="str">
        <f aca="false">IFERROR(INDEX(分录报销!$I:$I,MATCH($L2886,分录报销!$L:$L,0)),"")</f>
        <v/>
      </c>
      <c r="H2886" s="23"/>
      <c r="I2886" s="70"/>
      <c r="L2886" s="71" t="n">
        <f aca="false">IF(助手报销!$R$194="",-1,助手报销!$R$194*100+(助手报销!$S$194-1)*6+1)</f>
        <v>-1</v>
      </c>
    </row>
    <row r="2887" customFormat="false" ht="23.25" hidden="false" customHeight="true" outlineLevel="0" collapsed="false">
      <c r="B2887" s="67" t="str">
        <f aca="false">IFERROR(INDEX(分录报销!$M:$M,MATCH($L2887,分录报销!$L:$L,0)),"")</f>
        <v/>
      </c>
      <c r="C2887" s="67"/>
      <c r="D2887" s="23" t="str">
        <f aca="false">IFERROR(INDEX(分录报销!$E:$E,MATCH($L2887,分录报销!$L:$L,0)),"")</f>
        <v/>
      </c>
      <c r="E2887" s="23" t="str">
        <f aca="false">IFERROR(INDEX(分录报销!$F:$F,MATCH($L2887,分录报销!$L:$L,0)),"")</f>
        <v/>
      </c>
      <c r="F2887" s="68" t="str">
        <f aca="false">IFERROR(INDEX(分录报销!$H:$H,MATCH($L2887,分录报销!$L:$L,0)),"")</f>
        <v/>
      </c>
      <c r="G2887" s="69" t="str">
        <f aca="false">IFERROR(INDEX(分录报销!$I:$I,MATCH($L2887,分录报销!$L:$L,0)),"")</f>
        <v/>
      </c>
      <c r="H2887" s="23"/>
      <c r="I2887" s="70"/>
      <c r="L2887" s="71" t="n">
        <f aca="false">IF(助手报销!$R$194="",-1,助手报销!$R$194*100+(助手报销!$S$194-1)*6+2)</f>
        <v>-1</v>
      </c>
    </row>
    <row r="2888" customFormat="false" ht="23.25" hidden="false" customHeight="true" outlineLevel="0" collapsed="false">
      <c r="B2888" s="67" t="str">
        <f aca="false">IFERROR(INDEX(分录报销!$M:$M,MATCH($L2888,分录报销!$L:$L,0)),"")</f>
        <v/>
      </c>
      <c r="C2888" s="67"/>
      <c r="D2888" s="23" t="str">
        <f aca="false">IFERROR(INDEX(分录报销!$E:$E,MATCH($L2888,分录报销!$L:$L,0)),"")</f>
        <v/>
      </c>
      <c r="E2888" s="23" t="str">
        <f aca="false">IFERROR(INDEX(分录报销!$F:$F,MATCH($L2888,分录报销!$L:$L,0)),"")</f>
        <v/>
      </c>
      <c r="F2888" s="68" t="str">
        <f aca="false">IFERROR(INDEX(分录报销!$H:$H,MATCH($L2888,分录报销!$L:$L,0)),"")</f>
        <v/>
      </c>
      <c r="G2888" s="69" t="str">
        <f aca="false">IFERROR(INDEX(分录报销!$I:$I,MATCH($L2888,分录报销!$L:$L,0)),"")</f>
        <v/>
      </c>
      <c r="H2888" s="23"/>
      <c r="I2888" s="70"/>
      <c r="L2888" s="71" t="n">
        <f aca="false">IF(助手报销!$R$194="",-1,助手报销!$R$194*100+(助手报销!$S$194-1)*6+3)</f>
        <v>-1</v>
      </c>
    </row>
    <row r="2889" customFormat="false" ht="23.25" hidden="false" customHeight="true" outlineLevel="0" collapsed="false">
      <c r="B2889" s="67" t="str">
        <f aca="false">IFERROR(INDEX(分录报销!$M:$M,MATCH($L2889,分录报销!$L:$L,0)),"")</f>
        <v/>
      </c>
      <c r="C2889" s="67"/>
      <c r="D2889" s="23" t="str">
        <f aca="false">IFERROR(INDEX(分录报销!$E:$E,MATCH($L2889,分录报销!$L:$L,0)),"")</f>
        <v/>
      </c>
      <c r="E2889" s="23" t="str">
        <f aca="false">IFERROR(INDEX(分录报销!$F:$F,MATCH($L2889,分录报销!$L:$L,0)),"")</f>
        <v/>
      </c>
      <c r="F2889" s="68" t="str">
        <f aca="false">IFERROR(INDEX(分录报销!$H:$H,MATCH($L2889,分录报销!$L:$L,0)),"")</f>
        <v/>
      </c>
      <c r="G2889" s="69" t="str">
        <f aca="false">IFERROR(INDEX(分录报销!$I:$I,MATCH($L2889,分录报销!$L:$L,0)),"")</f>
        <v/>
      </c>
      <c r="H2889" s="23"/>
      <c r="I2889" s="70"/>
      <c r="L2889" s="71" t="n">
        <f aca="false">IF(助手报销!$R$194="",-1,助手报销!$R$194*100+(助手报销!$S$194-1)*6+4)</f>
        <v>-1</v>
      </c>
    </row>
    <row r="2890" customFormat="false" ht="23.25" hidden="false" customHeight="true" outlineLevel="0" collapsed="false">
      <c r="B2890" s="67" t="str">
        <f aca="false">IFERROR(INDEX(分录报销!$M:$M,MATCH($L2890,分录报销!$L:$L,0)),"")</f>
        <v/>
      </c>
      <c r="C2890" s="67"/>
      <c r="D2890" s="23" t="str">
        <f aca="false">IFERROR(INDEX(分录报销!$E:$E,MATCH($L2890,分录报销!$L:$L,0)),"")</f>
        <v/>
      </c>
      <c r="E2890" s="23" t="str">
        <f aca="false">IFERROR(INDEX(分录报销!$F:$F,MATCH($L2890,分录报销!$L:$L,0)),"")</f>
        <v/>
      </c>
      <c r="F2890" s="68" t="str">
        <f aca="false">IFERROR(INDEX(分录报销!$H:$H,MATCH($L2890,分录报销!$L:$L,0)),"")</f>
        <v/>
      </c>
      <c r="G2890" s="69" t="str">
        <f aca="false">IFERROR(INDEX(分录报销!$I:$I,MATCH($L2890,分录报销!$L:$L,0)),"")</f>
        <v/>
      </c>
      <c r="H2890" s="23"/>
      <c r="I2890" s="70"/>
      <c r="L2890" s="71" t="n">
        <f aca="false">IF(助手报销!$R$194="",-1,助手报销!$R$194*100+(助手报销!$S$194-1)*6+5)</f>
        <v>-1</v>
      </c>
    </row>
    <row r="2891" customFormat="false" ht="23.25" hidden="false" customHeight="true" outlineLevel="0" collapsed="false">
      <c r="B2891" s="67" t="str">
        <f aca="false">IFERROR(INDEX(分录报销!$M:$M,MATCH($L2891,分录报销!$L:$L,0)),"")</f>
        <v/>
      </c>
      <c r="C2891" s="67"/>
      <c r="D2891" s="23" t="str">
        <f aca="false">IFERROR(INDEX(分录报销!$E:$E,MATCH($L2891,分录报销!$L:$L,0)),"")</f>
        <v/>
      </c>
      <c r="E2891" s="23" t="str">
        <f aca="false">IFERROR(INDEX(分录报销!$F:$F,MATCH($L2891,分录报销!$L:$L,0)),"")</f>
        <v/>
      </c>
      <c r="F2891" s="68" t="str">
        <f aca="false">IFERROR(INDEX(分录报销!$H:$H,MATCH($L2891,分录报销!$L:$L,0)),"")</f>
        <v/>
      </c>
      <c r="G2891" s="69" t="str">
        <f aca="false">IFERROR(INDEX(分录报销!$I:$I,MATCH($L2891,分录报销!$L:$L,0)),"")</f>
        <v/>
      </c>
      <c r="H2891" s="23"/>
      <c r="I2891" s="70"/>
      <c r="L2891" s="71" t="n">
        <f aca="false">IF(助手报销!$R$194="",-1,助手报销!$R$194*100+(助手报销!$S$194-1)*6+6)</f>
        <v>-1</v>
      </c>
    </row>
    <row r="2892" customFormat="false" ht="23.25" hidden="false" customHeight="true" outlineLevel="0" collapsed="false">
      <c r="B2892" s="72" t="str">
        <f aca="false">IF(助手报销!$T$194=1,"合计：","")</f>
        <v/>
      </c>
      <c r="C2892" s="73" t="str">
        <f aca="false">IF(助手报销!$T$194=1,$F2892,"")</f>
        <v/>
      </c>
      <c r="D2892" s="74"/>
      <c r="E2892" s="74"/>
      <c r="F2892" s="75" t="str">
        <f aca="false">IF(助手报销!$T$194=1,INDEX(助手报销!$N$2:$N$121,助手报销!$R$194),"")</f>
        <v/>
      </c>
      <c r="G2892" s="76" t="str">
        <f aca="false">IF(助手报销!$T$194=1,INDEX(助手报销!$O$2:$O$121,助手报销!$R$194),"")</f>
        <v/>
      </c>
      <c r="H2892" s="74"/>
      <c r="I2892" s="77"/>
    </row>
    <row r="2893" customFormat="false" ht="6" hidden="false" customHeight="true" outlineLevel="0" collapsed="false"/>
    <row r="2894" customFormat="false" ht="13.5" hidden="false" customHeight="false" outlineLevel="0" collapsed="false">
      <c r="B2894" s="78" t="str">
        <f aca="false">IF(助手报销!$R$194&lt;&gt;"","会计主管：","")</f>
        <v/>
      </c>
      <c r="D2894" s="78" t="str">
        <f aca="false">IF(助手报销!$R$194&lt;&gt;"","会计：","")</f>
        <v/>
      </c>
      <c r="E2894" s="78" t="str">
        <f aca="false">IF(助手报销!$R$194&lt;&gt;"","出纳：","")</f>
        <v/>
      </c>
      <c r="F2894" s="78" t="str">
        <f aca="false">IF(助手报销!$R$194&lt;&gt;"","复核：","")</f>
        <v/>
      </c>
      <c r="G2894" s="78" t="str">
        <f aca="false">IF(助手报销!$R$194&lt;&gt;"","制单：","")</f>
        <v/>
      </c>
    </row>
    <row r="2895" customFormat="false" ht="3" hidden="false" customHeight="true" outlineLevel="0" collapsed="false"/>
    <row r="2896" customFormat="false" ht="19.5" hidden="false" customHeight="true" outlineLevel="0" collapsed="false">
      <c r="B2896" s="53" t="str">
        <f aca="false">IF(助手报销!$R$195&lt;&gt;"","记  账  凭  证","")</f>
        <v/>
      </c>
      <c r="C2896" s="53"/>
      <c r="D2896" s="53"/>
      <c r="E2896" s="53"/>
      <c r="F2896" s="53"/>
      <c r="G2896" s="53"/>
      <c r="H2896" s="53"/>
      <c r="I2896" s="53"/>
    </row>
    <row r="2897" customFormat="false" ht="3" hidden="false" customHeight="true" outlineLevel="0" collapsed="false"/>
    <row r="2898" customFormat="false" ht="15" hidden="false" customHeight="true" outlineLevel="0" collapsed="false">
      <c r="C2898" s="56" t="str">
        <f aca="false">IF(助手报销!$R$195&lt;&gt;"",INDEX(助手报销!$B$2:$B$121,助手报销!$R$195),"")</f>
        <v/>
      </c>
      <c r="D2898" s="57" t="str">
        <f aca="false">IF(助手报销!$R$195&lt;&gt;"",INDEX(助手报销!$D$2:$D$121,助手报销!$R$195),"")</f>
        <v/>
      </c>
      <c r="E2898" s="57"/>
      <c r="F2898" s="58" t="str">
        <f aca="false">IF(助手报销!$R$195&lt;&gt;"",INDEX(助手报销!$C$2:$C$121,助手报销!$R$195)&amp;"  字第 "&amp;IF(参数!$B$9="是",INDEX(助手报销!$P$2:$P$121,助手报销!$R$195),"　　　　")&amp;" 号"&amp;IF(INDEX(助手报销!$L$2:$L$121,助手报销!$R$195)&gt;1,"  (共"&amp;INDEX(助手报销!$L$2:$L$121,助手报销!$R$195)&amp;"页 第"&amp;助手报销!$S$195&amp;"页)",""),"")</f>
        <v/>
      </c>
      <c r="G2898" s="58"/>
      <c r="H2898" s="58"/>
      <c r="I2898" s="58"/>
      <c r="M2898" s="79" t="str">
        <f aca="false">IF(助手报销!$R$195="","",助手报销!$Q$195)</f>
        <v/>
      </c>
      <c r="N2898" s="80" t="str">
        <f aca="false">IF(助手报销!$R$195="","",INDEX(助手报销!$P$2:$P$121,助手报销!$R$195))</f>
        <v/>
      </c>
      <c r="O2898" s="55" t="str">
        <f aca="false">IF(助手报销!$R$195="","",INDEX(助手报销!$C$2:$C$121,助手报销!$R$195)&amp;"  字第 "&amp;INDEX(助手报销!$P$2:$P$121,助手报销!$R$195)&amp;" 号"&amp;IF(INDEX(助手报销!$L$2:$L$121,助手报销!$R$195)&gt;1,"  (共"&amp;INDEX(助手报销!$L$2:$L$121,助手报销!$R$195)&amp;"页 第"&amp;助手报销!$S$195&amp;"页)",""))</f>
        <v/>
      </c>
    </row>
    <row r="2899" customFormat="false" ht="12.75" hidden="false" customHeight="true" outlineLevel="0" collapsed="false">
      <c r="B2899" s="61" t="str">
        <f aca="false">IF(助手报销!$R$195&lt;&gt;"","摘　　要","")</f>
        <v/>
      </c>
      <c r="C2899" s="61"/>
      <c r="D2899" s="62" t="str">
        <f aca="false">IF(助手报销!$R$195&lt;&gt;"","科　　　　目","")</f>
        <v/>
      </c>
      <c r="E2899" s="62"/>
      <c r="F2899" s="61" t="str">
        <f aca="false">IF(助手报销!$R$195&lt;&gt;"","借 方 金 额","")</f>
        <v/>
      </c>
      <c r="G2899" s="62" t="str">
        <f aca="false">IF(助手报销!$R$195&lt;&gt;"","贷 方 金 额","")</f>
        <v/>
      </c>
      <c r="H2899" s="63" t="str">
        <f aca="false">IF(助手报销!$R$195&lt;&gt;"","√","")</f>
        <v/>
      </c>
      <c r="I2899" s="64" t="str">
        <f aca="false">IF(助手报销!$R$195&lt;&gt;"","附单据  张","")</f>
        <v/>
      </c>
    </row>
    <row r="2900" customFormat="false" ht="12.75" hidden="false" customHeight="true" outlineLevel="0" collapsed="false">
      <c r="B2900" s="61"/>
      <c r="C2900" s="61"/>
      <c r="D2900" s="23" t="str">
        <f aca="false">IF(助手报销!$R$195&lt;&gt;"","总 账 科 目","")</f>
        <v/>
      </c>
      <c r="E2900" s="23" t="str">
        <f aca="false">IF(助手报销!$R$195&lt;&gt;"","明 细 科 目","")</f>
        <v/>
      </c>
      <c r="F2900" s="65"/>
      <c r="G2900" s="66"/>
      <c r="H2900" s="63"/>
      <c r="I2900" s="64"/>
    </row>
    <row r="2901" customFormat="false" ht="23.25" hidden="false" customHeight="true" outlineLevel="0" collapsed="false">
      <c r="B2901" s="67" t="str">
        <f aca="false">IFERROR(INDEX(分录报销!$M:$M,MATCH($L2901,分录报销!$L:$L,0)),"")</f>
        <v/>
      </c>
      <c r="C2901" s="67"/>
      <c r="D2901" s="23" t="str">
        <f aca="false">IFERROR(INDEX(分录报销!$E:$E,MATCH($L2901,分录报销!$L:$L,0)),"")</f>
        <v/>
      </c>
      <c r="E2901" s="23" t="str">
        <f aca="false">IFERROR(INDEX(分录报销!$F:$F,MATCH($L2901,分录报销!$L:$L,0)),"")</f>
        <v/>
      </c>
      <c r="F2901" s="68" t="str">
        <f aca="false">IFERROR(INDEX(分录报销!$H:$H,MATCH($L2901,分录报销!$L:$L,0)),"")</f>
        <v/>
      </c>
      <c r="G2901" s="69" t="str">
        <f aca="false">IFERROR(INDEX(分录报销!$I:$I,MATCH($L2901,分录报销!$L:$L,0)),"")</f>
        <v/>
      </c>
      <c r="H2901" s="23"/>
      <c r="I2901" s="70"/>
      <c r="L2901" s="71" t="n">
        <f aca="false">IF(助手报销!$R$195="",-1,助手报销!$R$195*100+(助手报销!$S$195-1)*6+1)</f>
        <v>-1</v>
      </c>
    </row>
    <row r="2902" customFormat="false" ht="23.25" hidden="false" customHeight="true" outlineLevel="0" collapsed="false">
      <c r="B2902" s="67" t="str">
        <f aca="false">IFERROR(INDEX(分录报销!$M:$M,MATCH($L2902,分录报销!$L:$L,0)),"")</f>
        <v/>
      </c>
      <c r="C2902" s="67"/>
      <c r="D2902" s="23" t="str">
        <f aca="false">IFERROR(INDEX(分录报销!$E:$E,MATCH($L2902,分录报销!$L:$L,0)),"")</f>
        <v/>
      </c>
      <c r="E2902" s="23" t="str">
        <f aca="false">IFERROR(INDEX(分录报销!$F:$F,MATCH($L2902,分录报销!$L:$L,0)),"")</f>
        <v/>
      </c>
      <c r="F2902" s="68" t="str">
        <f aca="false">IFERROR(INDEX(分录报销!$H:$H,MATCH($L2902,分录报销!$L:$L,0)),"")</f>
        <v/>
      </c>
      <c r="G2902" s="69" t="str">
        <f aca="false">IFERROR(INDEX(分录报销!$I:$I,MATCH($L2902,分录报销!$L:$L,0)),"")</f>
        <v/>
      </c>
      <c r="H2902" s="23"/>
      <c r="I2902" s="70"/>
      <c r="L2902" s="71" t="n">
        <f aca="false">IF(助手报销!$R$195="",-1,助手报销!$R$195*100+(助手报销!$S$195-1)*6+2)</f>
        <v>-1</v>
      </c>
    </row>
    <row r="2903" customFormat="false" ht="23.25" hidden="false" customHeight="true" outlineLevel="0" collapsed="false">
      <c r="B2903" s="67" t="str">
        <f aca="false">IFERROR(INDEX(分录报销!$M:$M,MATCH($L2903,分录报销!$L:$L,0)),"")</f>
        <v/>
      </c>
      <c r="C2903" s="67"/>
      <c r="D2903" s="23" t="str">
        <f aca="false">IFERROR(INDEX(分录报销!$E:$E,MATCH($L2903,分录报销!$L:$L,0)),"")</f>
        <v/>
      </c>
      <c r="E2903" s="23" t="str">
        <f aca="false">IFERROR(INDEX(分录报销!$F:$F,MATCH($L2903,分录报销!$L:$L,0)),"")</f>
        <v/>
      </c>
      <c r="F2903" s="68" t="str">
        <f aca="false">IFERROR(INDEX(分录报销!$H:$H,MATCH($L2903,分录报销!$L:$L,0)),"")</f>
        <v/>
      </c>
      <c r="G2903" s="69" t="str">
        <f aca="false">IFERROR(INDEX(分录报销!$I:$I,MATCH($L2903,分录报销!$L:$L,0)),"")</f>
        <v/>
      </c>
      <c r="H2903" s="23"/>
      <c r="I2903" s="70"/>
      <c r="L2903" s="71" t="n">
        <f aca="false">IF(助手报销!$R$195="",-1,助手报销!$R$195*100+(助手报销!$S$195-1)*6+3)</f>
        <v>-1</v>
      </c>
    </row>
    <row r="2904" customFormat="false" ht="23.25" hidden="false" customHeight="true" outlineLevel="0" collapsed="false">
      <c r="B2904" s="67" t="str">
        <f aca="false">IFERROR(INDEX(分录报销!$M:$M,MATCH($L2904,分录报销!$L:$L,0)),"")</f>
        <v/>
      </c>
      <c r="C2904" s="67"/>
      <c r="D2904" s="23" t="str">
        <f aca="false">IFERROR(INDEX(分录报销!$E:$E,MATCH($L2904,分录报销!$L:$L,0)),"")</f>
        <v/>
      </c>
      <c r="E2904" s="23" t="str">
        <f aca="false">IFERROR(INDEX(分录报销!$F:$F,MATCH($L2904,分录报销!$L:$L,0)),"")</f>
        <v/>
      </c>
      <c r="F2904" s="68" t="str">
        <f aca="false">IFERROR(INDEX(分录报销!$H:$H,MATCH($L2904,分录报销!$L:$L,0)),"")</f>
        <v/>
      </c>
      <c r="G2904" s="69" t="str">
        <f aca="false">IFERROR(INDEX(分录报销!$I:$I,MATCH($L2904,分录报销!$L:$L,0)),"")</f>
        <v/>
      </c>
      <c r="H2904" s="23"/>
      <c r="I2904" s="70"/>
      <c r="L2904" s="71" t="n">
        <f aca="false">IF(助手报销!$R$195="",-1,助手报销!$R$195*100+(助手报销!$S$195-1)*6+4)</f>
        <v>-1</v>
      </c>
    </row>
    <row r="2905" customFormat="false" ht="23.25" hidden="false" customHeight="true" outlineLevel="0" collapsed="false">
      <c r="B2905" s="67" t="str">
        <f aca="false">IFERROR(INDEX(分录报销!$M:$M,MATCH($L2905,分录报销!$L:$L,0)),"")</f>
        <v/>
      </c>
      <c r="C2905" s="67"/>
      <c r="D2905" s="23" t="str">
        <f aca="false">IFERROR(INDEX(分录报销!$E:$E,MATCH($L2905,分录报销!$L:$L,0)),"")</f>
        <v/>
      </c>
      <c r="E2905" s="23" t="str">
        <f aca="false">IFERROR(INDEX(分录报销!$F:$F,MATCH($L2905,分录报销!$L:$L,0)),"")</f>
        <v/>
      </c>
      <c r="F2905" s="68" t="str">
        <f aca="false">IFERROR(INDEX(分录报销!$H:$H,MATCH($L2905,分录报销!$L:$L,0)),"")</f>
        <v/>
      </c>
      <c r="G2905" s="69" t="str">
        <f aca="false">IFERROR(INDEX(分录报销!$I:$I,MATCH($L2905,分录报销!$L:$L,0)),"")</f>
        <v/>
      </c>
      <c r="H2905" s="23"/>
      <c r="I2905" s="70"/>
      <c r="L2905" s="71" t="n">
        <f aca="false">IF(助手报销!$R$195="",-1,助手报销!$R$195*100+(助手报销!$S$195-1)*6+5)</f>
        <v>-1</v>
      </c>
    </row>
    <row r="2906" customFormat="false" ht="23.25" hidden="false" customHeight="true" outlineLevel="0" collapsed="false">
      <c r="B2906" s="67" t="str">
        <f aca="false">IFERROR(INDEX(分录报销!$M:$M,MATCH($L2906,分录报销!$L:$L,0)),"")</f>
        <v/>
      </c>
      <c r="C2906" s="67"/>
      <c r="D2906" s="23" t="str">
        <f aca="false">IFERROR(INDEX(分录报销!$E:$E,MATCH($L2906,分录报销!$L:$L,0)),"")</f>
        <v/>
      </c>
      <c r="E2906" s="23" t="str">
        <f aca="false">IFERROR(INDEX(分录报销!$F:$F,MATCH($L2906,分录报销!$L:$L,0)),"")</f>
        <v/>
      </c>
      <c r="F2906" s="68" t="str">
        <f aca="false">IFERROR(INDEX(分录报销!$H:$H,MATCH($L2906,分录报销!$L:$L,0)),"")</f>
        <v/>
      </c>
      <c r="G2906" s="69" t="str">
        <f aca="false">IFERROR(INDEX(分录报销!$I:$I,MATCH($L2906,分录报销!$L:$L,0)),"")</f>
        <v/>
      </c>
      <c r="H2906" s="23"/>
      <c r="I2906" s="70"/>
      <c r="L2906" s="71" t="n">
        <f aca="false">IF(助手报销!$R$195="",-1,助手报销!$R$195*100+(助手报销!$S$195-1)*6+6)</f>
        <v>-1</v>
      </c>
    </row>
    <row r="2907" customFormat="false" ht="23.25" hidden="false" customHeight="true" outlineLevel="0" collapsed="false">
      <c r="B2907" s="72" t="str">
        <f aca="false">IF(助手报销!$T$195=1,"合计：","")</f>
        <v/>
      </c>
      <c r="C2907" s="73" t="str">
        <f aca="false">IF(助手报销!$T$195=1,$F2907,"")</f>
        <v/>
      </c>
      <c r="D2907" s="74"/>
      <c r="E2907" s="74"/>
      <c r="F2907" s="75" t="str">
        <f aca="false">IF(助手报销!$T$195=1,INDEX(助手报销!$N$2:$N$121,助手报销!$R$195),"")</f>
        <v/>
      </c>
      <c r="G2907" s="76" t="str">
        <f aca="false">IF(助手报销!$T$195=1,INDEX(助手报销!$O$2:$O$121,助手报销!$R$195),"")</f>
        <v/>
      </c>
      <c r="H2907" s="74"/>
      <c r="I2907" s="77"/>
    </row>
    <row r="2908" customFormat="false" ht="6" hidden="false" customHeight="true" outlineLevel="0" collapsed="false"/>
    <row r="2909" customFormat="false" ht="13.5" hidden="false" customHeight="false" outlineLevel="0" collapsed="false">
      <c r="B2909" s="78" t="str">
        <f aca="false">IF(助手报销!$R$195&lt;&gt;"","会计主管：","")</f>
        <v/>
      </c>
      <c r="D2909" s="78" t="str">
        <f aca="false">IF(助手报销!$R$195&lt;&gt;"","会计：","")</f>
        <v/>
      </c>
      <c r="E2909" s="78" t="str">
        <f aca="false">IF(助手报销!$R$195&lt;&gt;"","出纳：","")</f>
        <v/>
      </c>
      <c r="F2909" s="78" t="str">
        <f aca="false">IF(助手报销!$R$195&lt;&gt;"","复核：","")</f>
        <v/>
      </c>
      <c r="G2909" s="78" t="str">
        <f aca="false">IF(助手报销!$R$195&lt;&gt;"","制单：","")</f>
        <v/>
      </c>
    </row>
    <row r="2910" customFormat="false" ht="3" hidden="false" customHeight="true" outlineLevel="0" collapsed="false"/>
    <row r="2911" customFormat="false" ht="19.5" hidden="false" customHeight="true" outlineLevel="0" collapsed="false">
      <c r="B2911" s="53" t="str">
        <f aca="false">IF(助手报销!$R$196&lt;&gt;"","记  账  凭  证","")</f>
        <v/>
      </c>
      <c r="C2911" s="53"/>
      <c r="D2911" s="53"/>
      <c r="E2911" s="53"/>
      <c r="F2911" s="53"/>
      <c r="G2911" s="53"/>
      <c r="H2911" s="53"/>
      <c r="I2911" s="53"/>
    </row>
    <row r="2912" customFormat="false" ht="3" hidden="false" customHeight="true" outlineLevel="0" collapsed="false"/>
    <row r="2913" customFormat="false" ht="15" hidden="false" customHeight="true" outlineLevel="0" collapsed="false">
      <c r="C2913" s="56" t="str">
        <f aca="false">IF(助手报销!$R$196&lt;&gt;"",INDEX(助手报销!$B$2:$B$121,助手报销!$R$196),"")</f>
        <v/>
      </c>
      <c r="D2913" s="57" t="str">
        <f aca="false">IF(助手报销!$R$196&lt;&gt;"",INDEX(助手报销!$D$2:$D$121,助手报销!$R$196),"")</f>
        <v/>
      </c>
      <c r="E2913" s="57"/>
      <c r="F2913" s="58" t="str">
        <f aca="false">IF(助手报销!$R$196&lt;&gt;"",INDEX(助手报销!$C$2:$C$121,助手报销!$R$196)&amp;"  字第 "&amp;IF(参数!$B$9="是",INDEX(助手报销!$P$2:$P$121,助手报销!$R$196),"　　　　")&amp;" 号"&amp;IF(INDEX(助手报销!$L$2:$L$121,助手报销!$R$196)&gt;1,"  (共"&amp;INDEX(助手报销!$L$2:$L$121,助手报销!$R$196)&amp;"页 第"&amp;助手报销!$S$196&amp;"页)",""),"")</f>
        <v/>
      </c>
      <c r="G2913" s="58"/>
      <c r="H2913" s="58"/>
      <c r="I2913" s="58"/>
      <c r="M2913" s="79" t="str">
        <f aca="false">IF(助手报销!$R$196="","",助手报销!$Q$196)</f>
        <v/>
      </c>
      <c r="N2913" s="80" t="str">
        <f aca="false">IF(助手报销!$R$196="","",INDEX(助手报销!$P$2:$P$121,助手报销!$R$196))</f>
        <v/>
      </c>
      <c r="O2913" s="55" t="str">
        <f aca="false">IF(助手报销!$R$196="","",INDEX(助手报销!$C$2:$C$121,助手报销!$R$196)&amp;"  字第 "&amp;INDEX(助手报销!$P$2:$P$121,助手报销!$R$196)&amp;" 号"&amp;IF(INDEX(助手报销!$L$2:$L$121,助手报销!$R$196)&gt;1,"  (共"&amp;INDEX(助手报销!$L$2:$L$121,助手报销!$R$196)&amp;"页 第"&amp;助手报销!$S$196&amp;"页)",""))</f>
        <v/>
      </c>
    </row>
    <row r="2914" customFormat="false" ht="12.75" hidden="false" customHeight="true" outlineLevel="0" collapsed="false">
      <c r="B2914" s="61" t="str">
        <f aca="false">IF(助手报销!$R$196&lt;&gt;"","摘　　要","")</f>
        <v/>
      </c>
      <c r="C2914" s="61"/>
      <c r="D2914" s="62" t="str">
        <f aca="false">IF(助手报销!$R$196&lt;&gt;"","科　　　　目","")</f>
        <v/>
      </c>
      <c r="E2914" s="62"/>
      <c r="F2914" s="61" t="str">
        <f aca="false">IF(助手报销!$R$196&lt;&gt;"","借 方 金 额","")</f>
        <v/>
      </c>
      <c r="G2914" s="62" t="str">
        <f aca="false">IF(助手报销!$R$196&lt;&gt;"","贷 方 金 额","")</f>
        <v/>
      </c>
      <c r="H2914" s="63" t="str">
        <f aca="false">IF(助手报销!$R$196&lt;&gt;"","√","")</f>
        <v/>
      </c>
      <c r="I2914" s="64" t="str">
        <f aca="false">IF(助手报销!$R$196&lt;&gt;"","附单据  张","")</f>
        <v/>
      </c>
    </row>
    <row r="2915" customFormat="false" ht="12.75" hidden="false" customHeight="true" outlineLevel="0" collapsed="false">
      <c r="B2915" s="61"/>
      <c r="C2915" s="61"/>
      <c r="D2915" s="23" t="str">
        <f aca="false">IF(助手报销!$R$196&lt;&gt;"","总 账 科 目","")</f>
        <v/>
      </c>
      <c r="E2915" s="23" t="str">
        <f aca="false">IF(助手报销!$R$196&lt;&gt;"","明 细 科 目","")</f>
        <v/>
      </c>
      <c r="F2915" s="65"/>
      <c r="G2915" s="66"/>
      <c r="H2915" s="63"/>
      <c r="I2915" s="64"/>
    </row>
    <row r="2916" customFormat="false" ht="23.25" hidden="false" customHeight="true" outlineLevel="0" collapsed="false">
      <c r="B2916" s="67" t="str">
        <f aca="false">IFERROR(INDEX(分录报销!$M:$M,MATCH($L2916,分录报销!$L:$L,0)),"")</f>
        <v/>
      </c>
      <c r="C2916" s="67"/>
      <c r="D2916" s="23" t="str">
        <f aca="false">IFERROR(INDEX(分录报销!$E:$E,MATCH($L2916,分录报销!$L:$L,0)),"")</f>
        <v/>
      </c>
      <c r="E2916" s="23" t="str">
        <f aca="false">IFERROR(INDEX(分录报销!$F:$F,MATCH($L2916,分录报销!$L:$L,0)),"")</f>
        <v/>
      </c>
      <c r="F2916" s="68" t="str">
        <f aca="false">IFERROR(INDEX(分录报销!$H:$H,MATCH($L2916,分录报销!$L:$L,0)),"")</f>
        <v/>
      </c>
      <c r="G2916" s="69" t="str">
        <f aca="false">IFERROR(INDEX(分录报销!$I:$I,MATCH($L2916,分录报销!$L:$L,0)),"")</f>
        <v/>
      </c>
      <c r="H2916" s="23"/>
      <c r="I2916" s="70"/>
      <c r="L2916" s="71" t="n">
        <f aca="false">IF(助手报销!$R$196="",-1,助手报销!$R$196*100+(助手报销!$S$196-1)*6+1)</f>
        <v>-1</v>
      </c>
    </row>
    <row r="2917" customFormat="false" ht="23.25" hidden="false" customHeight="true" outlineLevel="0" collapsed="false">
      <c r="B2917" s="67" t="str">
        <f aca="false">IFERROR(INDEX(分录报销!$M:$M,MATCH($L2917,分录报销!$L:$L,0)),"")</f>
        <v/>
      </c>
      <c r="C2917" s="67"/>
      <c r="D2917" s="23" t="str">
        <f aca="false">IFERROR(INDEX(分录报销!$E:$E,MATCH($L2917,分录报销!$L:$L,0)),"")</f>
        <v/>
      </c>
      <c r="E2917" s="23" t="str">
        <f aca="false">IFERROR(INDEX(分录报销!$F:$F,MATCH($L2917,分录报销!$L:$L,0)),"")</f>
        <v/>
      </c>
      <c r="F2917" s="68" t="str">
        <f aca="false">IFERROR(INDEX(分录报销!$H:$H,MATCH($L2917,分录报销!$L:$L,0)),"")</f>
        <v/>
      </c>
      <c r="G2917" s="69" t="str">
        <f aca="false">IFERROR(INDEX(分录报销!$I:$I,MATCH($L2917,分录报销!$L:$L,0)),"")</f>
        <v/>
      </c>
      <c r="H2917" s="23"/>
      <c r="I2917" s="70"/>
      <c r="L2917" s="71" t="n">
        <f aca="false">IF(助手报销!$R$196="",-1,助手报销!$R$196*100+(助手报销!$S$196-1)*6+2)</f>
        <v>-1</v>
      </c>
    </row>
    <row r="2918" customFormat="false" ht="23.25" hidden="false" customHeight="true" outlineLevel="0" collapsed="false">
      <c r="B2918" s="67" t="str">
        <f aca="false">IFERROR(INDEX(分录报销!$M:$M,MATCH($L2918,分录报销!$L:$L,0)),"")</f>
        <v/>
      </c>
      <c r="C2918" s="67"/>
      <c r="D2918" s="23" t="str">
        <f aca="false">IFERROR(INDEX(分录报销!$E:$E,MATCH($L2918,分录报销!$L:$L,0)),"")</f>
        <v/>
      </c>
      <c r="E2918" s="23" t="str">
        <f aca="false">IFERROR(INDEX(分录报销!$F:$F,MATCH($L2918,分录报销!$L:$L,0)),"")</f>
        <v/>
      </c>
      <c r="F2918" s="68" t="str">
        <f aca="false">IFERROR(INDEX(分录报销!$H:$H,MATCH($L2918,分录报销!$L:$L,0)),"")</f>
        <v/>
      </c>
      <c r="G2918" s="69" t="str">
        <f aca="false">IFERROR(INDEX(分录报销!$I:$I,MATCH($L2918,分录报销!$L:$L,0)),"")</f>
        <v/>
      </c>
      <c r="H2918" s="23"/>
      <c r="I2918" s="70"/>
      <c r="L2918" s="71" t="n">
        <f aca="false">IF(助手报销!$R$196="",-1,助手报销!$R$196*100+(助手报销!$S$196-1)*6+3)</f>
        <v>-1</v>
      </c>
    </row>
    <row r="2919" customFormat="false" ht="23.25" hidden="false" customHeight="true" outlineLevel="0" collapsed="false">
      <c r="B2919" s="67" t="str">
        <f aca="false">IFERROR(INDEX(分录报销!$M:$M,MATCH($L2919,分录报销!$L:$L,0)),"")</f>
        <v/>
      </c>
      <c r="C2919" s="67"/>
      <c r="D2919" s="23" t="str">
        <f aca="false">IFERROR(INDEX(分录报销!$E:$E,MATCH($L2919,分录报销!$L:$L,0)),"")</f>
        <v/>
      </c>
      <c r="E2919" s="23" t="str">
        <f aca="false">IFERROR(INDEX(分录报销!$F:$F,MATCH($L2919,分录报销!$L:$L,0)),"")</f>
        <v/>
      </c>
      <c r="F2919" s="68" t="str">
        <f aca="false">IFERROR(INDEX(分录报销!$H:$H,MATCH($L2919,分录报销!$L:$L,0)),"")</f>
        <v/>
      </c>
      <c r="G2919" s="69" t="str">
        <f aca="false">IFERROR(INDEX(分录报销!$I:$I,MATCH($L2919,分录报销!$L:$L,0)),"")</f>
        <v/>
      </c>
      <c r="H2919" s="23"/>
      <c r="I2919" s="70"/>
      <c r="L2919" s="71" t="n">
        <f aca="false">IF(助手报销!$R$196="",-1,助手报销!$R$196*100+(助手报销!$S$196-1)*6+4)</f>
        <v>-1</v>
      </c>
    </row>
    <row r="2920" customFormat="false" ht="23.25" hidden="false" customHeight="true" outlineLevel="0" collapsed="false">
      <c r="B2920" s="67" t="str">
        <f aca="false">IFERROR(INDEX(分录报销!$M:$M,MATCH($L2920,分录报销!$L:$L,0)),"")</f>
        <v/>
      </c>
      <c r="C2920" s="67"/>
      <c r="D2920" s="23" t="str">
        <f aca="false">IFERROR(INDEX(分录报销!$E:$E,MATCH($L2920,分录报销!$L:$L,0)),"")</f>
        <v/>
      </c>
      <c r="E2920" s="23" t="str">
        <f aca="false">IFERROR(INDEX(分录报销!$F:$F,MATCH($L2920,分录报销!$L:$L,0)),"")</f>
        <v/>
      </c>
      <c r="F2920" s="68" t="str">
        <f aca="false">IFERROR(INDEX(分录报销!$H:$H,MATCH($L2920,分录报销!$L:$L,0)),"")</f>
        <v/>
      </c>
      <c r="G2920" s="69" t="str">
        <f aca="false">IFERROR(INDEX(分录报销!$I:$I,MATCH($L2920,分录报销!$L:$L,0)),"")</f>
        <v/>
      </c>
      <c r="H2920" s="23"/>
      <c r="I2920" s="70"/>
      <c r="L2920" s="71" t="n">
        <f aca="false">IF(助手报销!$R$196="",-1,助手报销!$R$196*100+(助手报销!$S$196-1)*6+5)</f>
        <v>-1</v>
      </c>
    </row>
    <row r="2921" customFormat="false" ht="23.25" hidden="false" customHeight="true" outlineLevel="0" collapsed="false">
      <c r="B2921" s="67" t="str">
        <f aca="false">IFERROR(INDEX(分录报销!$M:$M,MATCH($L2921,分录报销!$L:$L,0)),"")</f>
        <v/>
      </c>
      <c r="C2921" s="67"/>
      <c r="D2921" s="23" t="str">
        <f aca="false">IFERROR(INDEX(分录报销!$E:$E,MATCH($L2921,分录报销!$L:$L,0)),"")</f>
        <v/>
      </c>
      <c r="E2921" s="23" t="str">
        <f aca="false">IFERROR(INDEX(分录报销!$F:$F,MATCH($L2921,分录报销!$L:$L,0)),"")</f>
        <v/>
      </c>
      <c r="F2921" s="68" t="str">
        <f aca="false">IFERROR(INDEX(分录报销!$H:$H,MATCH($L2921,分录报销!$L:$L,0)),"")</f>
        <v/>
      </c>
      <c r="G2921" s="69" t="str">
        <f aca="false">IFERROR(INDEX(分录报销!$I:$I,MATCH($L2921,分录报销!$L:$L,0)),"")</f>
        <v/>
      </c>
      <c r="H2921" s="23"/>
      <c r="I2921" s="70"/>
      <c r="L2921" s="71" t="n">
        <f aca="false">IF(助手报销!$R$196="",-1,助手报销!$R$196*100+(助手报销!$S$196-1)*6+6)</f>
        <v>-1</v>
      </c>
    </row>
    <row r="2922" customFormat="false" ht="23.25" hidden="false" customHeight="true" outlineLevel="0" collapsed="false">
      <c r="B2922" s="72" t="str">
        <f aca="false">IF(助手报销!$T$196=1,"合计：","")</f>
        <v/>
      </c>
      <c r="C2922" s="73" t="str">
        <f aca="false">IF(助手报销!$T$196=1,$F2922,"")</f>
        <v/>
      </c>
      <c r="D2922" s="74"/>
      <c r="E2922" s="74"/>
      <c r="F2922" s="75" t="str">
        <f aca="false">IF(助手报销!$T$196=1,INDEX(助手报销!$N$2:$N$121,助手报销!$R$196),"")</f>
        <v/>
      </c>
      <c r="G2922" s="76" t="str">
        <f aca="false">IF(助手报销!$T$196=1,INDEX(助手报销!$O$2:$O$121,助手报销!$R$196),"")</f>
        <v/>
      </c>
      <c r="H2922" s="74"/>
      <c r="I2922" s="77"/>
    </row>
    <row r="2923" customFormat="false" ht="6" hidden="false" customHeight="true" outlineLevel="0" collapsed="false"/>
    <row r="2924" customFormat="false" ht="13.5" hidden="false" customHeight="false" outlineLevel="0" collapsed="false">
      <c r="B2924" s="78" t="str">
        <f aca="false">IF(助手报销!$R$196&lt;&gt;"","会计主管：","")</f>
        <v/>
      </c>
      <c r="D2924" s="78" t="str">
        <f aca="false">IF(助手报销!$R$196&lt;&gt;"","会计：","")</f>
        <v/>
      </c>
      <c r="E2924" s="78" t="str">
        <f aca="false">IF(助手报销!$R$196&lt;&gt;"","出纳：","")</f>
        <v/>
      </c>
      <c r="F2924" s="78" t="str">
        <f aca="false">IF(助手报销!$R$196&lt;&gt;"","复核：","")</f>
        <v/>
      </c>
      <c r="G2924" s="78" t="str">
        <f aca="false">IF(助手报销!$R$196&lt;&gt;"","制单：","")</f>
        <v/>
      </c>
    </row>
    <row r="2925" customFormat="false" ht="3" hidden="false" customHeight="true" outlineLevel="0" collapsed="false"/>
    <row r="2926" customFormat="false" ht="19.5" hidden="false" customHeight="true" outlineLevel="0" collapsed="false">
      <c r="B2926" s="53" t="str">
        <f aca="false">IF(助手报销!$R$197&lt;&gt;"","记  账  凭  证","")</f>
        <v/>
      </c>
      <c r="C2926" s="53"/>
      <c r="D2926" s="53"/>
      <c r="E2926" s="53"/>
      <c r="F2926" s="53"/>
      <c r="G2926" s="53"/>
      <c r="H2926" s="53"/>
      <c r="I2926" s="53"/>
    </row>
    <row r="2927" customFormat="false" ht="3" hidden="false" customHeight="true" outlineLevel="0" collapsed="false"/>
    <row r="2928" customFormat="false" ht="15" hidden="false" customHeight="true" outlineLevel="0" collapsed="false">
      <c r="C2928" s="56" t="str">
        <f aca="false">IF(助手报销!$R$197&lt;&gt;"",INDEX(助手报销!$B$2:$B$121,助手报销!$R$197),"")</f>
        <v/>
      </c>
      <c r="D2928" s="57" t="str">
        <f aca="false">IF(助手报销!$R$197&lt;&gt;"",INDEX(助手报销!$D$2:$D$121,助手报销!$R$197),"")</f>
        <v/>
      </c>
      <c r="E2928" s="57"/>
      <c r="F2928" s="58" t="str">
        <f aca="false">IF(助手报销!$R$197&lt;&gt;"",INDEX(助手报销!$C$2:$C$121,助手报销!$R$197)&amp;"  字第 "&amp;IF(参数!$B$9="是",INDEX(助手报销!$P$2:$P$121,助手报销!$R$197),"　　　　")&amp;" 号"&amp;IF(INDEX(助手报销!$L$2:$L$121,助手报销!$R$197)&gt;1,"  (共"&amp;INDEX(助手报销!$L$2:$L$121,助手报销!$R$197)&amp;"页 第"&amp;助手报销!$S$197&amp;"页)",""),"")</f>
        <v/>
      </c>
      <c r="G2928" s="58"/>
      <c r="H2928" s="58"/>
      <c r="I2928" s="58"/>
      <c r="M2928" s="79" t="str">
        <f aca="false">IF(助手报销!$R$197="","",助手报销!$Q$197)</f>
        <v/>
      </c>
      <c r="N2928" s="80" t="str">
        <f aca="false">IF(助手报销!$R$197="","",INDEX(助手报销!$P$2:$P$121,助手报销!$R$197))</f>
        <v/>
      </c>
      <c r="O2928" s="55" t="str">
        <f aca="false">IF(助手报销!$R$197="","",INDEX(助手报销!$C$2:$C$121,助手报销!$R$197)&amp;"  字第 "&amp;INDEX(助手报销!$P$2:$P$121,助手报销!$R$197)&amp;" 号"&amp;IF(INDEX(助手报销!$L$2:$L$121,助手报销!$R$197)&gt;1,"  (共"&amp;INDEX(助手报销!$L$2:$L$121,助手报销!$R$197)&amp;"页 第"&amp;助手报销!$S$197&amp;"页)",""))</f>
        <v/>
      </c>
    </row>
    <row r="2929" customFormat="false" ht="12.75" hidden="false" customHeight="true" outlineLevel="0" collapsed="false">
      <c r="B2929" s="61" t="str">
        <f aca="false">IF(助手报销!$R$197&lt;&gt;"","摘　　要","")</f>
        <v/>
      </c>
      <c r="C2929" s="61"/>
      <c r="D2929" s="62" t="str">
        <f aca="false">IF(助手报销!$R$197&lt;&gt;"","科　　　　目","")</f>
        <v/>
      </c>
      <c r="E2929" s="62"/>
      <c r="F2929" s="61" t="str">
        <f aca="false">IF(助手报销!$R$197&lt;&gt;"","借 方 金 额","")</f>
        <v/>
      </c>
      <c r="G2929" s="62" t="str">
        <f aca="false">IF(助手报销!$R$197&lt;&gt;"","贷 方 金 额","")</f>
        <v/>
      </c>
      <c r="H2929" s="63" t="str">
        <f aca="false">IF(助手报销!$R$197&lt;&gt;"","√","")</f>
        <v/>
      </c>
      <c r="I2929" s="64" t="str">
        <f aca="false">IF(助手报销!$R$197&lt;&gt;"","附单据  张","")</f>
        <v/>
      </c>
    </row>
    <row r="2930" customFormat="false" ht="12.75" hidden="false" customHeight="true" outlineLevel="0" collapsed="false">
      <c r="B2930" s="61"/>
      <c r="C2930" s="61"/>
      <c r="D2930" s="23" t="str">
        <f aca="false">IF(助手报销!$R$197&lt;&gt;"","总 账 科 目","")</f>
        <v/>
      </c>
      <c r="E2930" s="23" t="str">
        <f aca="false">IF(助手报销!$R$197&lt;&gt;"","明 细 科 目","")</f>
        <v/>
      </c>
      <c r="F2930" s="65"/>
      <c r="G2930" s="66"/>
      <c r="H2930" s="63"/>
      <c r="I2930" s="64"/>
    </row>
    <row r="2931" customFormat="false" ht="23.25" hidden="false" customHeight="true" outlineLevel="0" collapsed="false">
      <c r="B2931" s="67" t="str">
        <f aca="false">IFERROR(INDEX(分录报销!$M:$M,MATCH($L2931,分录报销!$L:$L,0)),"")</f>
        <v/>
      </c>
      <c r="C2931" s="67"/>
      <c r="D2931" s="23" t="str">
        <f aca="false">IFERROR(INDEX(分录报销!$E:$E,MATCH($L2931,分录报销!$L:$L,0)),"")</f>
        <v/>
      </c>
      <c r="E2931" s="23" t="str">
        <f aca="false">IFERROR(INDEX(分录报销!$F:$F,MATCH($L2931,分录报销!$L:$L,0)),"")</f>
        <v/>
      </c>
      <c r="F2931" s="68" t="str">
        <f aca="false">IFERROR(INDEX(分录报销!$H:$H,MATCH($L2931,分录报销!$L:$L,0)),"")</f>
        <v/>
      </c>
      <c r="G2931" s="69" t="str">
        <f aca="false">IFERROR(INDEX(分录报销!$I:$I,MATCH($L2931,分录报销!$L:$L,0)),"")</f>
        <v/>
      </c>
      <c r="H2931" s="23"/>
      <c r="I2931" s="70"/>
      <c r="L2931" s="71" t="n">
        <f aca="false">IF(助手报销!$R$197="",-1,助手报销!$R$197*100+(助手报销!$S$197-1)*6+1)</f>
        <v>-1</v>
      </c>
    </row>
    <row r="2932" customFormat="false" ht="23.25" hidden="false" customHeight="true" outlineLevel="0" collapsed="false">
      <c r="B2932" s="67" t="str">
        <f aca="false">IFERROR(INDEX(分录报销!$M:$M,MATCH($L2932,分录报销!$L:$L,0)),"")</f>
        <v/>
      </c>
      <c r="C2932" s="67"/>
      <c r="D2932" s="23" t="str">
        <f aca="false">IFERROR(INDEX(分录报销!$E:$E,MATCH($L2932,分录报销!$L:$L,0)),"")</f>
        <v/>
      </c>
      <c r="E2932" s="23" t="str">
        <f aca="false">IFERROR(INDEX(分录报销!$F:$F,MATCH($L2932,分录报销!$L:$L,0)),"")</f>
        <v/>
      </c>
      <c r="F2932" s="68" t="str">
        <f aca="false">IFERROR(INDEX(分录报销!$H:$H,MATCH($L2932,分录报销!$L:$L,0)),"")</f>
        <v/>
      </c>
      <c r="G2932" s="69" t="str">
        <f aca="false">IFERROR(INDEX(分录报销!$I:$I,MATCH($L2932,分录报销!$L:$L,0)),"")</f>
        <v/>
      </c>
      <c r="H2932" s="23"/>
      <c r="I2932" s="70"/>
      <c r="L2932" s="71" t="n">
        <f aca="false">IF(助手报销!$R$197="",-1,助手报销!$R$197*100+(助手报销!$S$197-1)*6+2)</f>
        <v>-1</v>
      </c>
    </row>
    <row r="2933" customFormat="false" ht="23.25" hidden="false" customHeight="true" outlineLevel="0" collapsed="false">
      <c r="B2933" s="67" t="str">
        <f aca="false">IFERROR(INDEX(分录报销!$M:$M,MATCH($L2933,分录报销!$L:$L,0)),"")</f>
        <v/>
      </c>
      <c r="C2933" s="67"/>
      <c r="D2933" s="23" t="str">
        <f aca="false">IFERROR(INDEX(分录报销!$E:$E,MATCH($L2933,分录报销!$L:$L,0)),"")</f>
        <v/>
      </c>
      <c r="E2933" s="23" t="str">
        <f aca="false">IFERROR(INDEX(分录报销!$F:$F,MATCH($L2933,分录报销!$L:$L,0)),"")</f>
        <v/>
      </c>
      <c r="F2933" s="68" t="str">
        <f aca="false">IFERROR(INDEX(分录报销!$H:$H,MATCH($L2933,分录报销!$L:$L,0)),"")</f>
        <v/>
      </c>
      <c r="G2933" s="69" t="str">
        <f aca="false">IFERROR(INDEX(分录报销!$I:$I,MATCH($L2933,分录报销!$L:$L,0)),"")</f>
        <v/>
      </c>
      <c r="H2933" s="23"/>
      <c r="I2933" s="70"/>
      <c r="L2933" s="71" t="n">
        <f aca="false">IF(助手报销!$R$197="",-1,助手报销!$R$197*100+(助手报销!$S$197-1)*6+3)</f>
        <v>-1</v>
      </c>
    </row>
    <row r="2934" customFormat="false" ht="23.25" hidden="false" customHeight="true" outlineLevel="0" collapsed="false">
      <c r="B2934" s="67" t="str">
        <f aca="false">IFERROR(INDEX(分录报销!$M:$M,MATCH($L2934,分录报销!$L:$L,0)),"")</f>
        <v/>
      </c>
      <c r="C2934" s="67"/>
      <c r="D2934" s="23" t="str">
        <f aca="false">IFERROR(INDEX(分录报销!$E:$E,MATCH($L2934,分录报销!$L:$L,0)),"")</f>
        <v/>
      </c>
      <c r="E2934" s="23" t="str">
        <f aca="false">IFERROR(INDEX(分录报销!$F:$F,MATCH($L2934,分录报销!$L:$L,0)),"")</f>
        <v/>
      </c>
      <c r="F2934" s="68" t="str">
        <f aca="false">IFERROR(INDEX(分录报销!$H:$H,MATCH($L2934,分录报销!$L:$L,0)),"")</f>
        <v/>
      </c>
      <c r="G2934" s="69" t="str">
        <f aca="false">IFERROR(INDEX(分录报销!$I:$I,MATCH($L2934,分录报销!$L:$L,0)),"")</f>
        <v/>
      </c>
      <c r="H2934" s="23"/>
      <c r="I2934" s="70"/>
      <c r="L2934" s="71" t="n">
        <f aca="false">IF(助手报销!$R$197="",-1,助手报销!$R$197*100+(助手报销!$S$197-1)*6+4)</f>
        <v>-1</v>
      </c>
    </row>
    <row r="2935" customFormat="false" ht="23.25" hidden="false" customHeight="true" outlineLevel="0" collapsed="false">
      <c r="B2935" s="67" t="str">
        <f aca="false">IFERROR(INDEX(分录报销!$M:$M,MATCH($L2935,分录报销!$L:$L,0)),"")</f>
        <v/>
      </c>
      <c r="C2935" s="67"/>
      <c r="D2935" s="23" t="str">
        <f aca="false">IFERROR(INDEX(分录报销!$E:$E,MATCH($L2935,分录报销!$L:$L,0)),"")</f>
        <v/>
      </c>
      <c r="E2935" s="23" t="str">
        <f aca="false">IFERROR(INDEX(分录报销!$F:$F,MATCH($L2935,分录报销!$L:$L,0)),"")</f>
        <v/>
      </c>
      <c r="F2935" s="68" t="str">
        <f aca="false">IFERROR(INDEX(分录报销!$H:$H,MATCH($L2935,分录报销!$L:$L,0)),"")</f>
        <v/>
      </c>
      <c r="G2935" s="69" t="str">
        <f aca="false">IFERROR(INDEX(分录报销!$I:$I,MATCH($L2935,分录报销!$L:$L,0)),"")</f>
        <v/>
      </c>
      <c r="H2935" s="23"/>
      <c r="I2935" s="70"/>
      <c r="L2935" s="71" t="n">
        <f aca="false">IF(助手报销!$R$197="",-1,助手报销!$R$197*100+(助手报销!$S$197-1)*6+5)</f>
        <v>-1</v>
      </c>
    </row>
    <row r="2936" customFormat="false" ht="23.25" hidden="false" customHeight="true" outlineLevel="0" collapsed="false">
      <c r="B2936" s="67" t="str">
        <f aca="false">IFERROR(INDEX(分录报销!$M:$M,MATCH($L2936,分录报销!$L:$L,0)),"")</f>
        <v/>
      </c>
      <c r="C2936" s="67"/>
      <c r="D2936" s="23" t="str">
        <f aca="false">IFERROR(INDEX(分录报销!$E:$E,MATCH($L2936,分录报销!$L:$L,0)),"")</f>
        <v/>
      </c>
      <c r="E2936" s="23" t="str">
        <f aca="false">IFERROR(INDEX(分录报销!$F:$F,MATCH($L2936,分录报销!$L:$L,0)),"")</f>
        <v/>
      </c>
      <c r="F2936" s="68" t="str">
        <f aca="false">IFERROR(INDEX(分录报销!$H:$H,MATCH($L2936,分录报销!$L:$L,0)),"")</f>
        <v/>
      </c>
      <c r="G2936" s="69" t="str">
        <f aca="false">IFERROR(INDEX(分录报销!$I:$I,MATCH($L2936,分录报销!$L:$L,0)),"")</f>
        <v/>
      </c>
      <c r="H2936" s="23"/>
      <c r="I2936" s="70"/>
      <c r="L2936" s="71" t="n">
        <f aca="false">IF(助手报销!$R$197="",-1,助手报销!$R$197*100+(助手报销!$S$197-1)*6+6)</f>
        <v>-1</v>
      </c>
    </row>
    <row r="2937" customFormat="false" ht="23.25" hidden="false" customHeight="true" outlineLevel="0" collapsed="false">
      <c r="B2937" s="72" t="str">
        <f aca="false">IF(助手报销!$T$197=1,"合计：","")</f>
        <v/>
      </c>
      <c r="C2937" s="73" t="str">
        <f aca="false">IF(助手报销!$T$197=1,$F2937,"")</f>
        <v/>
      </c>
      <c r="D2937" s="74"/>
      <c r="E2937" s="74"/>
      <c r="F2937" s="75" t="str">
        <f aca="false">IF(助手报销!$T$197=1,INDEX(助手报销!$N$2:$N$121,助手报销!$R$197),"")</f>
        <v/>
      </c>
      <c r="G2937" s="76" t="str">
        <f aca="false">IF(助手报销!$T$197=1,INDEX(助手报销!$O$2:$O$121,助手报销!$R$197),"")</f>
        <v/>
      </c>
      <c r="H2937" s="74"/>
      <c r="I2937" s="77"/>
    </row>
    <row r="2938" customFormat="false" ht="6" hidden="false" customHeight="true" outlineLevel="0" collapsed="false"/>
    <row r="2939" customFormat="false" ht="13.5" hidden="false" customHeight="false" outlineLevel="0" collapsed="false">
      <c r="B2939" s="78" t="str">
        <f aca="false">IF(助手报销!$R$197&lt;&gt;"","会计主管：","")</f>
        <v/>
      </c>
      <c r="D2939" s="78" t="str">
        <f aca="false">IF(助手报销!$R$197&lt;&gt;"","会计：","")</f>
        <v/>
      </c>
      <c r="E2939" s="78" t="str">
        <f aca="false">IF(助手报销!$R$197&lt;&gt;"","出纳：","")</f>
        <v/>
      </c>
      <c r="F2939" s="78" t="str">
        <f aca="false">IF(助手报销!$R$197&lt;&gt;"","复核：","")</f>
        <v/>
      </c>
      <c r="G2939" s="78" t="str">
        <f aca="false">IF(助手报销!$R$197&lt;&gt;"","制单：","")</f>
        <v/>
      </c>
    </row>
    <row r="2940" customFormat="false" ht="3" hidden="false" customHeight="true" outlineLevel="0" collapsed="false"/>
    <row r="2941" customFormat="false" ht="19.5" hidden="false" customHeight="true" outlineLevel="0" collapsed="false">
      <c r="B2941" s="53" t="str">
        <f aca="false">IF(助手报销!$R$198&lt;&gt;"","记  账  凭  证","")</f>
        <v/>
      </c>
      <c r="C2941" s="53"/>
      <c r="D2941" s="53"/>
      <c r="E2941" s="53"/>
      <c r="F2941" s="53"/>
      <c r="G2941" s="53"/>
      <c r="H2941" s="53"/>
      <c r="I2941" s="53"/>
    </row>
    <row r="2942" customFormat="false" ht="3" hidden="false" customHeight="true" outlineLevel="0" collapsed="false"/>
    <row r="2943" customFormat="false" ht="15" hidden="false" customHeight="true" outlineLevel="0" collapsed="false">
      <c r="C2943" s="56" t="str">
        <f aca="false">IF(助手报销!$R$198&lt;&gt;"",INDEX(助手报销!$B$2:$B$121,助手报销!$R$198),"")</f>
        <v/>
      </c>
      <c r="D2943" s="57" t="str">
        <f aca="false">IF(助手报销!$R$198&lt;&gt;"",INDEX(助手报销!$D$2:$D$121,助手报销!$R$198),"")</f>
        <v/>
      </c>
      <c r="E2943" s="57"/>
      <c r="F2943" s="58" t="str">
        <f aca="false">IF(助手报销!$R$198&lt;&gt;"",INDEX(助手报销!$C$2:$C$121,助手报销!$R$198)&amp;"  字第 "&amp;IF(参数!$B$9="是",INDEX(助手报销!$P$2:$P$121,助手报销!$R$198),"　　　　")&amp;" 号"&amp;IF(INDEX(助手报销!$L$2:$L$121,助手报销!$R$198)&gt;1,"  (共"&amp;INDEX(助手报销!$L$2:$L$121,助手报销!$R$198)&amp;"页 第"&amp;助手报销!$S$198&amp;"页)",""),"")</f>
        <v/>
      </c>
      <c r="G2943" s="58"/>
      <c r="H2943" s="58"/>
      <c r="I2943" s="58"/>
      <c r="M2943" s="79" t="str">
        <f aca="false">IF(助手报销!$R$198="","",助手报销!$Q$198)</f>
        <v/>
      </c>
      <c r="N2943" s="80" t="str">
        <f aca="false">IF(助手报销!$R$198="","",INDEX(助手报销!$P$2:$P$121,助手报销!$R$198))</f>
        <v/>
      </c>
      <c r="O2943" s="55" t="str">
        <f aca="false">IF(助手报销!$R$198="","",INDEX(助手报销!$C$2:$C$121,助手报销!$R$198)&amp;"  字第 "&amp;INDEX(助手报销!$P$2:$P$121,助手报销!$R$198)&amp;" 号"&amp;IF(INDEX(助手报销!$L$2:$L$121,助手报销!$R$198)&gt;1,"  (共"&amp;INDEX(助手报销!$L$2:$L$121,助手报销!$R$198)&amp;"页 第"&amp;助手报销!$S$198&amp;"页)",""))</f>
        <v/>
      </c>
    </row>
    <row r="2944" customFormat="false" ht="12.75" hidden="false" customHeight="true" outlineLevel="0" collapsed="false">
      <c r="B2944" s="61" t="str">
        <f aca="false">IF(助手报销!$R$198&lt;&gt;"","摘　　要","")</f>
        <v/>
      </c>
      <c r="C2944" s="61"/>
      <c r="D2944" s="62" t="str">
        <f aca="false">IF(助手报销!$R$198&lt;&gt;"","科　　　　目","")</f>
        <v/>
      </c>
      <c r="E2944" s="62"/>
      <c r="F2944" s="61" t="str">
        <f aca="false">IF(助手报销!$R$198&lt;&gt;"","借 方 金 额","")</f>
        <v/>
      </c>
      <c r="G2944" s="62" t="str">
        <f aca="false">IF(助手报销!$R$198&lt;&gt;"","贷 方 金 额","")</f>
        <v/>
      </c>
      <c r="H2944" s="63" t="str">
        <f aca="false">IF(助手报销!$R$198&lt;&gt;"","√","")</f>
        <v/>
      </c>
      <c r="I2944" s="64" t="str">
        <f aca="false">IF(助手报销!$R$198&lt;&gt;"","附单据  张","")</f>
        <v/>
      </c>
    </row>
    <row r="2945" customFormat="false" ht="12.75" hidden="false" customHeight="true" outlineLevel="0" collapsed="false">
      <c r="B2945" s="61"/>
      <c r="C2945" s="61"/>
      <c r="D2945" s="23" t="str">
        <f aca="false">IF(助手报销!$R$198&lt;&gt;"","总 账 科 目","")</f>
        <v/>
      </c>
      <c r="E2945" s="23" t="str">
        <f aca="false">IF(助手报销!$R$198&lt;&gt;"","明 细 科 目","")</f>
        <v/>
      </c>
      <c r="F2945" s="65"/>
      <c r="G2945" s="66"/>
      <c r="H2945" s="63"/>
      <c r="I2945" s="64"/>
    </row>
    <row r="2946" customFormat="false" ht="23.25" hidden="false" customHeight="true" outlineLevel="0" collapsed="false">
      <c r="B2946" s="67" t="str">
        <f aca="false">IFERROR(INDEX(分录报销!$M:$M,MATCH($L2946,分录报销!$L:$L,0)),"")</f>
        <v/>
      </c>
      <c r="C2946" s="67"/>
      <c r="D2946" s="23" t="str">
        <f aca="false">IFERROR(INDEX(分录报销!$E:$E,MATCH($L2946,分录报销!$L:$L,0)),"")</f>
        <v/>
      </c>
      <c r="E2946" s="23" t="str">
        <f aca="false">IFERROR(INDEX(分录报销!$F:$F,MATCH($L2946,分录报销!$L:$L,0)),"")</f>
        <v/>
      </c>
      <c r="F2946" s="68" t="str">
        <f aca="false">IFERROR(INDEX(分录报销!$H:$H,MATCH($L2946,分录报销!$L:$L,0)),"")</f>
        <v/>
      </c>
      <c r="G2946" s="69" t="str">
        <f aca="false">IFERROR(INDEX(分录报销!$I:$I,MATCH($L2946,分录报销!$L:$L,0)),"")</f>
        <v/>
      </c>
      <c r="H2946" s="23"/>
      <c r="I2946" s="70"/>
      <c r="L2946" s="71" t="n">
        <f aca="false">IF(助手报销!$R$198="",-1,助手报销!$R$198*100+(助手报销!$S$198-1)*6+1)</f>
        <v>-1</v>
      </c>
    </row>
    <row r="2947" customFormat="false" ht="23.25" hidden="false" customHeight="true" outlineLevel="0" collapsed="false">
      <c r="B2947" s="67" t="str">
        <f aca="false">IFERROR(INDEX(分录报销!$M:$M,MATCH($L2947,分录报销!$L:$L,0)),"")</f>
        <v/>
      </c>
      <c r="C2947" s="67"/>
      <c r="D2947" s="23" t="str">
        <f aca="false">IFERROR(INDEX(分录报销!$E:$E,MATCH($L2947,分录报销!$L:$L,0)),"")</f>
        <v/>
      </c>
      <c r="E2947" s="23" t="str">
        <f aca="false">IFERROR(INDEX(分录报销!$F:$F,MATCH($L2947,分录报销!$L:$L,0)),"")</f>
        <v/>
      </c>
      <c r="F2947" s="68" t="str">
        <f aca="false">IFERROR(INDEX(分录报销!$H:$H,MATCH($L2947,分录报销!$L:$L,0)),"")</f>
        <v/>
      </c>
      <c r="G2947" s="69" t="str">
        <f aca="false">IFERROR(INDEX(分录报销!$I:$I,MATCH($L2947,分录报销!$L:$L,0)),"")</f>
        <v/>
      </c>
      <c r="H2947" s="23"/>
      <c r="I2947" s="70"/>
      <c r="L2947" s="71" t="n">
        <f aca="false">IF(助手报销!$R$198="",-1,助手报销!$R$198*100+(助手报销!$S$198-1)*6+2)</f>
        <v>-1</v>
      </c>
    </row>
    <row r="2948" customFormat="false" ht="23.25" hidden="false" customHeight="true" outlineLevel="0" collapsed="false">
      <c r="B2948" s="67" t="str">
        <f aca="false">IFERROR(INDEX(分录报销!$M:$M,MATCH($L2948,分录报销!$L:$L,0)),"")</f>
        <v/>
      </c>
      <c r="C2948" s="67"/>
      <c r="D2948" s="23" t="str">
        <f aca="false">IFERROR(INDEX(分录报销!$E:$E,MATCH($L2948,分录报销!$L:$L,0)),"")</f>
        <v/>
      </c>
      <c r="E2948" s="23" t="str">
        <f aca="false">IFERROR(INDEX(分录报销!$F:$F,MATCH($L2948,分录报销!$L:$L,0)),"")</f>
        <v/>
      </c>
      <c r="F2948" s="68" t="str">
        <f aca="false">IFERROR(INDEX(分录报销!$H:$H,MATCH($L2948,分录报销!$L:$L,0)),"")</f>
        <v/>
      </c>
      <c r="G2948" s="69" t="str">
        <f aca="false">IFERROR(INDEX(分录报销!$I:$I,MATCH($L2948,分录报销!$L:$L,0)),"")</f>
        <v/>
      </c>
      <c r="H2948" s="23"/>
      <c r="I2948" s="70"/>
      <c r="L2948" s="71" t="n">
        <f aca="false">IF(助手报销!$R$198="",-1,助手报销!$R$198*100+(助手报销!$S$198-1)*6+3)</f>
        <v>-1</v>
      </c>
    </row>
    <row r="2949" customFormat="false" ht="23.25" hidden="false" customHeight="true" outlineLevel="0" collapsed="false">
      <c r="B2949" s="67" t="str">
        <f aca="false">IFERROR(INDEX(分录报销!$M:$M,MATCH($L2949,分录报销!$L:$L,0)),"")</f>
        <v/>
      </c>
      <c r="C2949" s="67"/>
      <c r="D2949" s="23" t="str">
        <f aca="false">IFERROR(INDEX(分录报销!$E:$E,MATCH($L2949,分录报销!$L:$L,0)),"")</f>
        <v/>
      </c>
      <c r="E2949" s="23" t="str">
        <f aca="false">IFERROR(INDEX(分录报销!$F:$F,MATCH($L2949,分录报销!$L:$L,0)),"")</f>
        <v/>
      </c>
      <c r="F2949" s="68" t="str">
        <f aca="false">IFERROR(INDEX(分录报销!$H:$H,MATCH($L2949,分录报销!$L:$L,0)),"")</f>
        <v/>
      </c>
      <c r="G2949" s="69" t="str">
        <f aca="false">IFERROR(INDEX(分录报销!$I:$I,MATCH($L2949,分录报销!$L:$L,0)),"")</f>
        <v/>
      </c>
      <c r="H2949" s="23"/>
      <c r="I2949" s="70"/>
      <c r="L2949" s="71" t="n">
        <f aca="false">IF(助手报销!$R$198="",-1,助手报销!$R$198*100+(助手报销!$S$198-1)*6+4)</f>
        <v>-1</v>
      </c>
    </row>
    <row r="2950" customFormat="false" ht="23.25" hidden="false" customHeight="true" outlineLevel="0" collapsed="false">
      <c r="B2950" s="67" t="str">
        <f aca="false">IFERROR(INDEX(分录报销!$M:$M,MATCH($L2950,分录报销!$L:$L,0)),"")</f>
        <v/>
      </c>
      <c r="C2950" s="67"/>
      <c r="D2950" s="23" t="str">
        <f aca="false">IFERROR(INDEX(分录报销!$E:$E,MATCH($L2950,分录报销!$L:$L,0)),"")</f>
        <v/>
      </c>
      <c r="E2950" s="23" t="str">
        <f aca="false">IFERROR(INDEX(分录报销!$F:$F,MATCH($L2950,分录报销!$L:$L,0)),"")</f>
        <v/>
      </c>
      <c r="F2950" s="68" t="str">
        <f aca="false">IFERROR(INDEX(分录报销!$H:$H,MATCH($L2950,分录报销!$L:$L,0)),"")</f>
        <v/>
      </c>
      <c r="G2950" s="69" t="str">
        <f aca="false">IFERROR(INDEX(分录报销!$I:$I,MATCH($L2950,分录报销!$L:$L,0)),"")</f>
        <v/>
      </c>
      <c r="H2950" s="23"/>
      <c r="I2950" s="70"/>
      <c r="L2950" s="71" t="n">
        <f aca="false">IF(助手报销!$R$198="",-1,助手报销!$R$198*100+(助手报销!$S$198-1)*6+5)</f>
        <v>-1</v>
      </c>
    </row>
    <row r="2951" customFormat="false" ht="23.25" hidden="false" customHeight="true" outlineLevel="0" collapsed="false">
      <c r="B2951" s="67" t="str">
        <f aca="false">IFERROR(INDEX(分录报销!$M:$M,MATCH($L2951,分录报销!$L:$L,0)),"")</f>
        <v/>
      </c>
      <c r="C2951" s="67"/>
      <c r="D2951" s="23" t="str">
        <f aca="false">IFERROR(INDEX(分录报销!$E:$E,MATCH($L2951,分录报销!$L:$L,0)),"")</f>
        <v/>
      </c>
      <c r="E2951" s="23" t="str">
        <f aca="false">IFERROR(INDEX(分录报销!$F:$F,MATCH($L2951,分录报销!$L:$L,0)),"")</f>
        <v/>
      </c>
      <c r="F2951" s="68" t="str">
        <f aca="false">IFERROR(INDEX(分录报销!$H:$H,MATCH($L2951,分录报销!$L:$L,0)),"")</f>
        <v/>
      </c>
      <c r="G2951" s="69" t="str">
        <f aca="false">IFERROR(INDEX(分录报销!$I:$I,MATCH($L2951,分录报销!$L:$L,0)),"")</f>
        <v/>
      </c>
      <c r="H2951" s="23"/>
      <c r="I2951" s="70"/>
      <c r="L2951" s="71" t="n">
        <f aca="false">IF(助手报销!$R$198="",-1,助手报销!$R$198*100+(助手报销!$S$198-1)*6+6)</f>
        <v>-1</v>
      </c>
    </row>
    <row r="2952" customFormat="false" ht="23.25" hidden="false" customHeight="true" outlineLevel="0" collapsed="false">
      <c r="B2952" s="72" t="str">
        <f aca="false">IF(助手报销!$T$198=1,"合计：","")</f>
        <v/>
      </c>
      <c r="C2952" s="73" t="str">
        <f aca="false">IF(助手报销!$T$198=1,$F2952,"")</f>
        <v/>
      </c>
      <c r="D2952" s="74"/>
      <c r="E2952" s="74"/>
      <c r="F2952" s="75" t="str">
        <f aca="false">IF(助手报销!$T$198=1,INDEX(助手报销!$N$2:$N$121,助手报销!$R$198),"")</f>
        <v/>
      </c>
      <c r="G2952" s="76" t="str">
        <f aca="false">IF(助手报销!$T$198=1,INDEX(助手报销!$O$2:$O$121,助手报销!$R$198),"")</f>
        <v/>
      </c>
      <c r="H2952" s="74"/>
      <c r="I2952" s="77"/>
    </row>
    <row r="2953" customFormat="false" ht="6" hidden="false" customHeight="true" outlineLevel="0" collapsed="false"/>
    <row r="2954" customFormat="false" ht="13.5" hidden="false" customHeight="false" outlineLevel="0" collapsed="false">
      <c r="B2954" s="78" t="str">
        <f aca="false">IF(助手报销!$R$198&lt;&gt;"","会计主管：","")</f>
        <v/>
      </c>
      <c r="D2954" s="78" t="str">
        <f aca="false">IF(助手报销!$R$198&lt;&gt;"","会计：","")</f>
        <v/>
      </c>
      <c r="E2954" s="78" t="str">
        <f aca="false">IF(助手报销!$R$198&lt;&gt;"","出纳：","")</f>
        <v/>
      </c>
      <c r="F2954" s="78" t="str">
        <f aca="false">IF(助手报销!$R$198&lt;&gt;"","复核：","")</f>
        <v/>
      </c>
      <c r="G2954" s="78" t="str">
        <f aca="false">IF(助手报销!$R$198&lt;&gt;"","制单：","")</f>
        <v/>
      </c>
    </row>
    <row r="2955" customFormat="false" ht="3" hidden="false" customHeight="true" outlineLevel="0" collapsed="false"/>
    <row r="2956" customFormat="false" ht="19.5" hidden="false" customHeight="true" outlineLevel="0" collapsed="false">
      <c r="B2956" s="53" t="str">
        <f aca="false">IF(助手报销!$R$199&lt;&gt;"","记  账  凭  证","")</f>
        <v/>
      </c>
      <c r="C2956" s="53"/>
      <c r="D2956" s="53"/>
      <c r="E2956" s="53"/>
      <c r="F2956" s="53"/>
      <c r="G2956" s="53"/>
      <c r="H2956" s="53"/>
      <c r="I2956" s="53"/>
    </row>
    <row r="2957" customFormat="false" ht="3" hidden="false" customHeight="true" outlineLevel="0" collapsed="false"/>
    <row r="2958" customFormat="false" ht="15" hidden="false" customHeight="true" outlineLevel="0" collapsed="false">
      <c r="C2958" s="56" t="str">
        <f aca="false">IF(助手报销!$R$199&lt;&gt;"",INDEX(助手报销!$B$2:$B$121,助手报销!$R$199),"")</f>
        <v/>
      </c>
      <c r="D2958" s="57" t="str">
        <f aca="false">IF(助手报销!$R$199&lt;&gt;"",INDEX(助手报销!$D$2:$D$121,助手报销!$R$199),"")</f>
        <v/>
      </c>
      <c r="E2958" s="57"/>
      <c r="F2958" s="58" t="str">
        <f aca="false">IF(助手报销!$R$199&lt;&gt;"",INDEX(助手报销!$C$2:$C$121,助手报销!$R$199)&amp;"  字第 "&amp;IF(参数!$B$9="是",INDEX(助手报销!$P$2:$P$121,助手报销!$R$199),"　　　　")&amp;" 号"&amp;IF(INDEX(助手报销!$L$2:$L$121,助手报销!$R$199)&gt;1,"  (共"&amp;INDEX(助手报销!$L$2:$L$121,助手报销!$R$199)&amp;"页 第"&amp;助手报销!$S$199&amp;"页)",""),"")</f>
        <v/>
      </c>
      <c r="G2958" s="58"/>
      <c r="H2958" s="58"/>
      <c r="I2958" s="58"/>
      <c r="M2958" s="79" t="str">
        <f aca="false">IF(助手报销!$R$199="","",助手报销!$Q$199)</f>
        <v/>
      </c>
      <c r="N2958" s="80" t="str">
        <f aca="false">IF(助手报销!$R$199="","",INDEX(助手报销!$P$2:$P$121,助手报销!$R$199))</f>
        <v/>
      </c>
      <c r="O2958" s="55" t="str">
        <f aca="false">IF(助手报销!$R$199="","",INDEX(助手报销!$C$2:$C$121,助手报销!$R$199)&amp;"  字第 "&amp;INDEX(助手报销!$P$2:$P$121,助手报销!$R$199)&amp;" 号"&amp;IF(INDEX(助手报销!$L$2:$L$121,助手报销!$R$199)&gt;1,"  (共"&amp;INDEX(助手报销!$L$2:$L$121,助手报销!$R$199)&amp;"页 第"&amp;助手报销!$S$199&amp;"页)",""))</f>
        <v/>
      </c>
    </row>
    <row r="2959" customFormat="false" ht="12.75" hidden="false" customHeight="true" outlineLevel="0" collapsed="false">
      <c r="B2959" s="61" t="str">
        <f aca="false">IF(助手报销!$R$199&lt;&gt;"","摘　　要","")</f>
        <v/>
      </c>
      <c r="C2959" s="61"/>
      <c r="D2959" s="62" t="str">
        <f aca="false">IF(助手报销!$R$199&lt;&gt;"","科　　　　目","")</f>
        <v/>
      </c>
      <c r="E2959" s="62"/>
      <c r="F2959" s="61" t="str">
        <f aca="false">IF(助手报销!$R$199&lt;&gt;"","借 方 金 额","")</f>
        <v/>
      </c>
      <c r="G2959" s="62" t="str">
        <f aca="false">IF(助手报销!$R$199&lt;&gt;"","贷 方 金 额","")</f>
        <v/>
      </c>
      <c r="H2959" s="63" t="str">
        <f aca="false">IF(助手报销!$R$199&lt;&gt;"","√","")</f>
        <v/>
      </c>
      <c r="I2959" s="64" t="str">
        <f aca="false">IF(助手报销!$R$199&lt;&gt;"","附单据  张","")</f>
        <v/>
      </c>
    </row>
    <row r="2960" customFormat="false" ht="12.75" hidden="false" customHeight="true" outlineLevel="0" collapsed="false">
      <c r="B2960" s="61"/>
      <c r="C2960" s="61"/>
      <c r="D2960" s="23" t="str">
        <f aca="false">IF(助手报销!$R$199&lt;&gt;"","总 账 科 目","")</f>
        <v/>
      </c>
      <c r="E2960" s="23" t="str">
        <f aca="false">IF(助手报销!$R$199&lt;&gt;"","明 细 科 目","")</f>
        <v/>
      </c>
      <c r="F2960" s="65"/>
      <c r="G2960" s="66"/>
      <c r="H2960" s="63"/>
      <c r="I2960" s="64"/>
    </row>
    <row r="2961" customFormat="false" ht="23.25" hidden="false" customHeight="true" outlineLevel="0" collapsed="false">
      <c r="B2961" s="67" t="str">
        <f aca="false">IFERROR(INDEX(分录报销!$M:$M,MATCH($L2961,分录报销!$L:$L,0)),"")</f>
        <v/>
      </c>
      <c r="C2961" s="67"/>
      <c r="D2961" s="23" t="str">
        <f aca="false">IFERROR(INDEX(分录报销!$E:$E,MATCH($L2961,分录报销!$L:$L,0)),"")</f>
        <v/>
      </c>
      <c r="E2961" s="23" t="str">
        <f aca="false">IFERROR(INDEX(分录报销!$F:$F,MATCH($L2961,分录报销!$L:$L,0)),"")</f>
        <v/>
      </c>
      <c r="F2961" s="68" t="str">
        <f aca="false">IFERROR(INDEX(分录报销!$H:$H,MATCH($L2961,分录报销!$L:$L,0)),"")</f>
        <v/>
      </c>
      <c r="G2961" s="69" t="str">
        <f aca="false">IFERROR(INDEX(分录报销!$I:$I,MATCH($L2961,分录报销!$L:$L,0)),"")</f>
        <v/>
      </c>
      <c r="H2961" s="23"/>
      <c r="I2961" s="70"/>
      <c r="L2961" s="71" t="n">
        <f aca="false">IF(助手报销!$R$199="",-1,助手报销!$R$199*100+(助手报销!$S$199-1)*6+1)</f>
        <v>-1</v>
      </c>
    </row>
    <row r="2962" customFormat="false" ht="23.25" hidden="false" customHeight="true" outlineLevel="0" collapsed="false">
      <c r="B2962" s="67" t="str">
        <f aca="false">IFERROR(INDEX(分录报销!$M:$M,MATCH($L2962,分录报销!$L:$L,0)),"")</f>
        <v/>
      </c>
      <c r="C2962" s="67"/>
      <c r="D2962" s="23" t="str">
        <f aca="false">IFERROR(INDEX(分录报销!$E:$E,MATCH($L2962,分录报销!$L:$L,0)),"")</f>
        <v/>
      </c>
      <c r="E2962" s="23" t="str">
        <f aca="false">IFERROR(INDEX(分录报销!$F:$F,MATCH($L2962,分录报销!$L:$L,0)),"")</f>
        <v/>
      </c>
      <c r="F2962" s="68" t="str">
        <f aca="false">IFERROR(INDEX(分录报销!$H:$H,MATCH($L2962,分录报销!$L:$L,0)),"")</f>
        <v/>
      </c>
      <c r="G2962" s="69" t="str">
        <f aca="false">IFERROR(INDEX(分录报销!$I:$I,MATCH($L2962,分录报销!$L:$L,0)),"")</f>
        <v/>
      </c>
      <c r="H2962" s="23"/>
      <c r="I2962" s="70"/>
      <c r="L2962" s="71" t="n">
        <f aca="false">IF(助手报销!$R$199="",-1,助手报销!$R$199*100+(助手报销!$S$199-1)*6+2)</f>
        <v>-1</v>
      </c>
    </row>
    <row r="2963" customFormat="false" ht="23.25" hidden="false" customHeight="true" outlineLevel="0" collapsed="false">
      <c r="B2963" s="67" t="str">
        <f aca="false">IFERROR(INDEX(分录报销!$M:$M,MATCH($L2963,分录报销!$L:$L,0)),"")</f>
        <v/>
      </c>
      <c r="C2963" s="67"/>
      <c r="D2963" s="23" t="str">
        <f aca="false">IFERROR(INDEX(分录报销!$E:$E,MATCH($L2963,分录报销!$L:$L,0)),"")</f>
        <v/>
      </c>
      <c r="E2963" s="23" t="str">
        <f aca="false">IFERROR(INDEX(分录报销!$F:$F,MATCH($L2963,分录报销!$L:$L,0)),"")</f>
        <v/>
      </c>
      <c r="F2963" s="68" t="str">
        <f aca="false">IFERROR(INDEX(分录报销!$H:$H,MATCH($L2963,分录报销!$L:$L,0)),"")</f>
        <v/>
      </c>
      <c r="G2963" s="69" t="str">
        <f aca="false">IFERROR(INDEX(分录报销!$I:$I,MATCH($L2963,分录报销!$L:$L,0)),"")</f>
        <v/>
      </c>
      <c r="H2963" s="23"/>
      <c r="I2963" s="70"/>
      <c r="L2963" s="71" t="n">
        <f aca="false">IF(助手报销!$R$199="",-1,助手报销!$R$199*100+(助手报销!$S$199-1)*6+3)</f>
        <v>-1</v>
      </c>
    </row>
    <row r="2964" customFormat="false" ht="23.25" hidden="false" customHeight="true" outlineLevel="0" collapsed="false">
      <c r="B2964" s="67" t="str">
        <f aca="false">IFERROR(INDEX(分录报销!$M:$M,MATCH($L2964,分录报销!$L:$L,0)),"")</f>
        <v/>
      </c>
      <c r="C2964" s="67"/>
      <c r="D2964" s="23" t="str">
        <f aca="false">IFERROR(INDEX(分录报销!$E:$E,MATCH($L2964,分录报销!$L:$L,0)),"")</f>
        <v/>
      </c>
      <c r="E2964" s="23" t="str">
        <f aca="false">IFERROR(INDEX(分录报销!$F:$F,MATCH($L2964,分录报销!$L:$L,0)),"")</f>
        <v/>
      </c>
      <c r="F2964" s="68" t="str">
        <f aca="false">IFERROR(INDEX(分录报销!$H:$H,MATCH($L2964,分录报销!$L:$L,0)),"")</f>
        <v/>
      </c>
      <c r="G2964" s="69" t="str">
        <f aca="false">IFERROR(INDEX(分录报销!$I:$I,MATCH($L2964,分录报销!$L:$L,0)),"")</f>
        <v/>
      </c>
      <c r="H2964" s="23"/>
      <c r="I2964" s="70"/>
      <c r="L2964" s="71" t="n">
        <f aca="false">IF(助手报销!$R$199="",-1,助手报销!$R$199*100+(助手报销!$S$199-1)*6+4)</f>
        <v>-1</v>
      </c>
    </row>
    <row r="2965" customFormat="false" ht="23.25" hidden="false" customHeight="true" outlineLevel="0" collapsed="false">
      <c r="B2965" s="67" t="str">
        <f aca="false">IFERROR(INDEX(分录报销!$M:$M,MATCH($L2965,分录报销!$L:$L,0)),"")</f>
        <v/>
      </c>
      <c r="C2965" s="67"/>
      <c r="D2965" s="23" t="str">
        <f aca="false">IFERROR(INDEX(分录报销!$E:$E,MATCH($L2965,分录报销!$L:$L,0)),"")</f>
        <v/>
      </c>
      <c r="E2965" s="23" t="str">
        <f aca="false">IFERROR(INDEX(分录报销!$F:$F,MATCH($L2965,分录报销!$L:$L,0)),"")</f>
        <v/>
      </c>
      <c r="F2965" s="68" t="str">
        <f aca="false">IFERROR(INDEX(分录报销!$H:$H,MATCH($L2965,分录报销!$L:$L,0)),"")</f>
        <v/>
      </c>
      <c r="G2965" s="69" t="str">
        <f aca="false">IFERROR(INDEX(分录报销!$I:$I,MATCH($L2965,分录报销!$L:$L,0)),"")</f>
        <v/>
      </c>
      <c r="H2965" s="23"/>
      <c r="I2965" s="70"/>
      <c r="L2965" s="71" t="n">
        <f aca="false">IF(助手报销!$R$199="",-1,助手报销!$R$199*100+(助手报销!$S$199-1)*6+5)</f>
        <v>-1</v>
      </c>
    </row>
    <row r="2966" customFormat="false" ht="23.25" hidden="false" customHeight="true" outlineLevel="0" collapsed="false">
      <c r="B2966" s="67" t="str">
        <f aca="false">IFERROR(INDEX(分录报销!$M:$M,MATCH($L2966,分录报销!$L:$L,0)),"")</f>
        <v/>
      </c>
      <c r="C2966" s="67"/>
      <c r="D2966" s="23" t="str">
        <f aca="false">IFERROR(INDEX(分录报销!$E:$E,MATCH($L2966,分录报销!$L:$L,0)),"")</f>
        <v/>
      </c>
      <c r="E2966" s="23" t="str">
        <f aca="false">IFERROR(INDEX(分录报销!$F:$F,MATCH($L2966,分录报销!$L:$L,0)),"")</f>
        <v/>
      </c>
      <c r="F2966" s="68" t="str">
        <f aca="false">IFERROR(INDEX(分录报销!$H:$H,MATCH($L2966,分录报销!$L:$L,0)),"")</f>
        <v/>
      </c>
      <c r="G2966" s="69" t="str">
        <f aca="false">IFERROR(INDEX(分录报销!$I:$I,MATCH($L2966,分录报销!$L:$L,0)),"")</f>
        <v/>
      </c>
      <c r="H2966" s="23"/>
      <c r="I2966" s="70"/>
      <c r="L2966" s="71" t="n">
        <f aca="false">IF(助手报销!$R$199="",-1,助手报销!$R$199*100+(助手报销!$S$199-1)*6+6)</f>
        <v>-1</v>
      </c>
    </row>
    <row r="2967" customFormat="false" ht="23.25" hidden="false" customHeight="true" outlineLevel="0" collapsed="false">
      <c r="B2967" s="72" t="str">
        <f aca="false">IF(助手报销!$T$199=1,"合计：","")</f>
        <v/>
      </c>
      <c r="C2967" s="73" t="str">
        <f aca="false">IF(助手报销!$T$199=1,$F2967,"")</f>
        <v/>
      </c>
      <c r="D2967" s="74"/>
      <c r="E2967" s="74"/>
      <c r="F2967" s="75" t="str">
        <f aca="false">IF(助手报销!$T$199=1,INDEX(助手报销!$N$2:$N$121,助手报销!$R$199),"")</f>
        <v/>
      </c>
      <c r="G2967" s="76" t="str">
        <f aca="false">IF(助手报销!$T$199=1,INDEX(助手报销!$O$2:$O$121,助手报销!$R$199),"")</f>
        <v/>
      </c>
      <c r="H2967" s="74"/>
      <c r="I2967" s="77"/>
    </row>
    <row r="2968" customFormat="false" ht="6" hidden="false" customHeight="true" outlineLevel="0" collapsed="false"/>
    <row r="2969" customFormat="false" ht="13.5" hidden="false" customHeight="false" outlineLevel="0" collapsed="false">
      <c r="B2969" s="78" t="str">
        <f aca="false">IF(助手报销!$R$199&lt;&gt;"","会计主管：","")</f>
        <v/>
      </c>
      <c r="D2969" s="78" t="str">
        <f aca="false">IF(助手报销!$R$199&lt;&gt;"","会计：","")</f>
        <v/>
      </c>
      <c r="E2969" s="78" t="str">
        <f aca="false">IF(助手报销!$R$199&lt;&gt;"","出纳：","")</f>
        <v/>
      </c>
      <c r="F2969" s="78" t="str">
        <f aca="false">IF(助手报销!$R$199&lt;&gt;"","复核：","")</f>
        <v/>
      </c>
      <c r="G2969" s="78" t="str">
        <f aca="false">IF(助手报销!$R$199&lt;&gt;"","制单：","")</f>
        <v/>
      </c>
    </row>
    <row r="2970" customFormat="false" ht="3" hidden="false" customHeight="true" outlineLevel="0" collapsed="false"/>
    <row r="2971" customFormat="false" ht="19.5" hidden="false" customHeight="true" outlineLevel="0" collapsed="false">
      <c r="B2971" s="53" t="str">
        <f aca="false">IF(助手报销!$R$200&lt;&gt;"","记  账  凭  证","")</f>
        <v/>
      </c>
      <c r="C2971" s="53"/>
      <c r="D2971" s="53"/>
      <c r="E2971" s="53"/>
      <c r="F2971" s="53"/>
      <c r="G2971" s="53"/>
      <c r="H2971" s="53"/>
      <c r="I2971" s="53"/>
    </row>
    <row r="2972" customFormat="false" ht="3" hidden="false" customHeight="true" outlineLevel="0" collapsed="false"/>
    <row r="2973" customFormat="false" ht="15" hidden="false" customHeight="true" outlineLevel="0" collapsed="false">
      <c r="C2973" s="56" t="str">
        <f aca="false">IF(助手报销!$R$200&lt;&gt;"",INDEX(助手报销!$B$2:$B$121,助手报销!$R$200),"")</f>
        <v/>
      </c>
      <c r="D2973" s="57" t="str">
        <f aca="false">IF(助手报销!$R$200&lt;&gt;"",INDEX(助手报销!$D$2:$D$121,助手报销!$R$200),"")</f>
        <v/>
      </c>
      <c r="E2973" s="57"/>
      <c r="F2973" s="58" t="str">
        <f aca="false">IF(助手报销!$R$200&lt;&gt;"",INDEX(助手报销!$C$2:$C$121,助手报销!$R$200)&amp;"  字第 "&amp;IF(参数!$B$9="是",INDEX(助手报销!$P$2:$P$121,助手报销!$R$200),"　　　　")&amp;" 号"&amp;IF(INDEX(助手报销!$L$2:$L$121,助手报销!$R$200)&gt;1,"  (共"&amp;INDEX(助手报销!$L$2:$L$121,助手报销!$R$200)&amp;"页 第"&amp;助手报销!$S$200&amp;"页)",""),"")</f>
        <v/>
      </c>
      <c r="G2973" s="58"/>
      <c r="H2973" s="58"/>
      <c r="I2973" s="58"/>
      <c r="M2973" s="79" t="str">
        <f aca="false">IF(助手报销!$R$200="","",助手报销!$Q$200)</f>
        <v/>
      </c>
      <c r="N2973" s="80" t="str">
        <f aca="false">IF(助手报销!$R$200="","",INDEX(助手报销!$P$2:$P$121,助手报销!$R$200))</f>
        <v/>
      </c>
      <c r="O2973" s="55" t="str">
        <f aca="false">IF(助手报销!$R$200="","",INDEX(助手报销!$C$2:$C$121,助手报销!$R$200)&amp;"  字第 "&amp;INDEX(助手报销!$P$2:$P$121,助手报销!$R$200)&amp;" 号"&amp;IF(INDEX(助手报销!$L$2:$L$121,助手报销!$R$200)&gt;1,"  (共"&amp;INDEX(助手报销!$L$2:$L$121,助手报销!$R$200)&amp;"页 第"&amp;助手报销!$S$200&amp;"页)",""))</f>
        <v/>
      </c>
    </row>
    <row r="2974" customFormat="false" ht="12.75" hidden="false" customHeight="true" outlineLevel="0" collapsed="false">
      <c r="B2974" s="61" t="str">
        <f aca="false">IF(助手报销!$R$200&lt;&gt;"","摘　　要","")</f>
        <v/>
      </c>
      <c r="C2974" s="61"/>
      <c r="D2974" s="62" t="str">
        <f aca="false">IF(助手报销!$R$200&lt;&gt;"","科　　　　目","")</f>
        <v/>
      </c>
      <c r="E2974" s="62"/>
      <c r="F2974" s="61" t="str">
        <f aca="false">IF(助手报销!$R$200&lt;&gt;"","借 方 金 额","")</f>
        <v/>
      </c>
      <c r="G2974" s="62" t="str">
        <f aca="false">IF(助手报销!$R$200&lt;&gt;"","贷 方 金 额","")</f>
        <v/>
      </c>
      <c r="H2974" s="63" t="str">
        <f aca="false">IF(助手报销!$R$200&lt;&gt;"","√","")</f>
        <v/>
      </c>
      <c r="I2974" s="64" t="str">
        <f aca="false">IF(助手报销!$R$200&lt;&gt;"","附单据  张","")</f>
        <v/>
      </c>
    </row>
    <row r="2975" customFormat="false" ht="12.75" hidden="false" customHeight="true" outlineLevel="0" collapsed="false">
      <c r="B2975" s="61"/>
      <c r="C2975" s="61"/>
      <c r="D2975" s="23" t="str">
        <f aca="false">IF(助手报销!$R$200&lt;&gt;"","总 账 科 目","")</f>
        <v/>
      </c>
      <c r="E2975" s="23" t="str">
        <f aca="false">IF(助手报销!$R$200&lt;&gt;"","明 细 科 目","")</f>
        <v/>
      </c>
      <c r="F2975" s="65"/>
      <c r="G2975" s="66"/>
      <c r="H2975" s="63"/>
      <c r="I2975" s="64"/>
    </row>
    <row r="2976" customFormat="false" ht="23.25" hidden="false" customHeight="true" outlineLevel="0" collapsed="false">
      <c r="B2976" s="67" t="str">
        <f aca="false">IFERROR(INDEX(分录报销!$M:$M,MATCH($L2976,分录报销!$L:$L,0)),"")</f>
        <v/>
      </c>
      <c r="C2976" s="67"/>
      <c r="D2976" s="23" t="str">
        <f aca="false">IFERROR(INDEX(分录报销!$E:$E,MATCH($L2976,分录报销!$L:$L,0)),"")</f>
        <v/>
      </c>
      <c r="E2976" s="23" t="str">
        <f aca="false">IFERROR(INDEX(分录报销!$F:$F,MATCH($L2976,分录报销!$L:$L,0)),"")</f>
        <v/>
      </c>
      <c r="F2976" s="68" t="str">
        <f aca="false">IFERROR(INDEX(分录报销!$H:$H,MATCH($L2976,分录报销!$L:$L,0)),"")</f>
        <v/>
      </c>
      <c r="G2976" s="69" t="str">
        <f aca="false">IFERROR(INDEX(分录报销!$I:$I,MATCH($L2976,分录报销!$L:$L,0)),"")</f>
        <v/>
      </c>
      <c r="H2976" s="23"/>
      <c r="I2976" s="70"/>
      <c r="L2976" s="71" t="n">
        <f aca="false">IF(助手报销!$R$200="",-1,助手报销!$R$200*100+(助手报销!$S$200-1)*6+1)</f>
        <v>-1</v>
      </c>
    </row>
    <row r="2977" customFormat="false" ht="23.25" hidden="false" customHeight="true" outlineLevel="0" collapsed="false">
      <c r="B2977" s="67" t="str">
        <f aca="false">IFERROR(INDEX(分录报销!$M:$M,MATCH($L2977,分录报销!$L:$L,0)),"")</f>
        <v/>
      </c>
      <c r="C2977" s="67"/>
      <c r="D2977" s="23" t="str">
        <f aca="false">IFERROR(INDEX(分录报销!$E:$E,MATCH($L2977,分录报销!$L:$L,0)),"")</f>
        <v/>
      </c>
      <c r="E2977" s="23" t="str">
        <f aca="false">IFERROR(INDEX(分录报销!$F:$F,MATCH($L2977,分录报销!$L:$L,0)),"")</f>
        <v/>
      </c>
      <c r="F2977" s="68" t="str">
        <f aca="false">IFERROR(INDEX(分录报销!$H:$H,MATCH($L2977,分录报销!$L:$L,0)),"")</f>
        <v/>
      </c>
      <c r="G2977" s="69" t="str">
        <f aca="false">IFERROR(INDEX(分录报销!$I:$I,MATCH($L2977,分录报销!$L:$L,0)),"")</f>
        <v/>
      </c>
      <c r="H2977" s="23"/>
      <c r="I2977" s="70"/>
      <c r="L2977" s="71" t="n">
        <f aca="false">IF(助手报销!$R$200="",-1,助手报销!$R$200*100+(助手报销!$S$200-1)*6+2)</f>
        <v>-1</v>
      </c>
    </row>
    <row r="2978" customFormat="false" ht="23.25" hidden="false" customHeight="true" outlineLevel="0" collapsed="false">
      <c r="B2978" s="67" t="str">
        <f aca="false">IFERROR(INDEX(分录报销!$M:$M,MATCH($L2978,分录报销!$L:$L,0)),"")</f>
        <v/>
      </c>
      <c r="C2978" s="67"/>
      <c r="D2978" s="23" t="str">
        <f aca="false">IFERROR(INDEX(分录报销!$E:$E,MATCH($L2978,分录报销!$L:$L,0)),"")</f>
        <v/>
      </c>
      <c r="E2978" s="23" t="str">
        <f aca="false">IFERROR(INDEX(分录报销!$F:$F,MATCH($L2978,分录报销!$L:$L,0)),"")</f>
        <v/>
      </c>
      <c r="F2978" s="68" t="str">
        <f aca="false">IFERROR(INDEX(分录报销!$H:$H,MATCH($L2978,分录报销!$L:$L,0)),"")</f>
        <v/>
      </c>
      <c r="G2978" s="69" t="str">
        <f aca="false">IFERROR(INDEX(分录报销!$I:$I,MATCH($L2978,分录报销!$L:$L,0)),"")</f>
        <v/>
      </c>
      <c r="H2978" s="23"/>
      <c r="I2978" s="70"/>
      <c r="L2978" s="71" t="n">
        <f aca="false">IF(助手报销!$R$200="",-1,助手报销!$R$200*100+(助手报销!$S$200-1)*6+3)</f>
        <v>-1</v>
      </c>
    </row>
    <row r="2979" customFormat="false" ht="23.25" hidden="false" customHeight="true" outlineLevel="0" collapsed="false">
      <c r="B2979" s="67" t="str">
        <f aca="false">IFERROR(INDEX(分录报销!$M:$M,MATCH($L2979,分录报销!$L:$L,0)),"")</f>
        <v/>
      </c>
      <c r="C2979" s="67"/>
      <c r="D2979" s="23" t="str">
        <f aca="false">IFERROR(INDEX(分录报销!$E:$E,MATCH($L2979,分录报销!$L:$L,0)),"")</f>
        <v/>
      </c>
      <c r="E2979" s="23" t="str">
        <f aca="false">IFERROR(INDEX(分录报销!$F:$F,MATCH($L2979,分录报销!$L:$L,0)),"")</f>
        <v/>
      </c>
      <c r="F2979" s="68" t="str">
        <f aca="false">IFERROR(INDEX(分录报销!$H:$H,MATCH($L2979,分录报销!$L:$L,0)),"")</f>
        <v/>
      </c>
      <c r="G2979" s="69" t="str">
        <f aca="false">IFERROR(INDEX(分录报销!$I:$I,MATCH($L2979,分录报销!$L:$L,0)),"")</f>
        <v/>
      </c>
      <c r="H2979" s="23"/>
      <c r="I2979" s="70"/>
      <c r="L2979" s="71" t="n">
        <f aca="false">IF(助手报销!$R$200="",-1,助手报销!$R$200*100+(助手报销!$S$200-1)*6+4)</f>
        <v>-1</v>
      </c>
    </row>
    <row r="2980" customFormat="false" ht="23.25" hidden="false" customHeight="true" outlineLevel="0" collapsed="false">
      <c r="B2980" s="67" t="str">
        <f aca="false">IFERROR(INDEX(分录报销!$M:$M,MATCH($L2980,分录报销!$L:$L,0)),"")</f>
        <v/>
      </c>
      <c r="C2980" s="67"/>
      <c r="D2980" s="23" t="str">
        <f aca="false">IFERROR(INDEX(分录报销!$E:$E,MATCH($L2980,分录报销!$L:$L,0)),"")</f>
        <v/>
      </c>
      <c r="E2980" s="23" t="str">
        <f aca="false">IFERROR(INDEX(分录报销!$F:$F,MATCH($L2980,分录报销!$L:$L,0)),"")</f>
        <v/>
      </c>
      <c r="F2980" s="68" t="str">
        <f aca="false">IFERROR(INDEX(分录报销!$H:$H,MATCH($L2980,分录报销!$L:$L,0)),"")</f>
        <v/>
      </c>
      <c r="G2980" s="69" t="str">
        <f aca="false">IFERROR(INDEX(分录报销!$I:$I,MATCH($L2980,分录报销!$L:$L,0)),"")</f>
        <v/>
      </c>
      <c r="H2980" s="23"/>
      <c r="I2980" s="70"/>
      <c r="L2980" s="71" t="n">
        <f aca="false">IF(助手报销!$R$200="",-1,助手报销!$R$200*100+(助手报销!$S$200-1)*6+5)</f>
        <v>-1</v>
      </c>
    </row>
    <row r="2981" customFormat="false" ht="23.25" hidden="false" customHeight="true" outlineLevel="0" collapsed="false">
      <c r="B2981" s="67" t="str">
        <f aca="false">IFERROR(INDEX(分录报销!$M:$M,MATCH($L2981,分录报销!$L:$L,0)),"")</f>
        <v/>
      </c>
      <c r="C2981" s="67"/>
      <c r="D2981" s="23" t="str">
        <f aca="false">IFERROR(INDEX(分录报销!$E:$E,MATCH($L2981,分录报销!$L:$L,0)),"")</f>
        <v/>
      </c>
      <c r="E2981" s="23" t="str">
        <f aca="false">IFERROR(INDEX(分录报销!$F:$F,MATCH($L2981,分录报销!$L:$L,0)),"")</f>
        <v/>
      </c>
      <c r="F2981" s="68" t="str">
        <f aca="false">IFERROR(INDEX(分录报销!$H:$H,MATCH($L2981,分录报销!$L:$L,0)),"")</f>
        <v/>
      </c>
      <c r="G2981" s="69" t="str">
        <f aca="false">IFERROR(INDEX(分录报销!$I:$I,MATCH($L2981,分录报销!$L:$L,0)),"")</f>
        <v/>
      </c>
      <c r="H2981" s="23"/>
      <c r="I2981" s="70"/>
      <c r="L2981" s="71" t="n">
        <f aca="false">IF(助手报销!$R$200="",-1,助手报销!$R$200*100+(助手报销!$S$200-1)*6+6)</f>
        <v>-1</v>
      </c>
    </row>
    <row r="2982" customFormat="false" ht="23.25" hidden="false" customHeight="true" outlineLevel="0" collapsed="false">
      <c r="B2982" s="72" t="str">
        <f aca="false">IF(助手报销!$T$200=1,"合计：","")</f>
        <v/>
      </c>
      <c r="C2982" s="73" t="str">
        <f aca="false">IF(助手报销!$T$200=1,$F2982,"")</f>
        <v/>
      </c>
      <c r="D2982" s="74"/>
      <c r="E2982" s="74"/>
      <c r="F2982" s="75" t="str">
        <f aca="false">IF(助手报销!$T$200=1,INDEX(助手报销!$N$2:$N$121,助手报销!$R$200),"")</f>
        <v/>
      </c>
      <c r="G2982" s="76" t="str">
        <f aca="false">IF(助手报销!$T$200=1,INDEX(助手报销!$O$2:$O$121,助手报销!$R$200),"")</f>
        <v/>
      </c>
      <c r="H2982" s="74"/>
      <c r="I2982" s="77"/>
    </row>
    <row r="2983" customFormat="false" ht="6" hidden="false" customHeight="true" outlineLevel="0" collapsed="false"/>
    <row r="2984" customFormat="false" ht="13.5" hidden="false" customHeight="false" outlineLevel="0" collapsed="false">
      <c r="B2984" s="78" t="str">
        <f aca="false">IF(助手报销!$R$200&lt;&gt;"","会计主管：","")</f>
        <v/>
      </c>
      <c r="D2984" s="78" t="str">
        <f aca="false">IF(助手报销!$R$200&lt;&gt;"","会计：","")</f>
        <v/>
      </c>
      <c r="E2984" s="78" t="str">
        <f aca="false">IF(助手报销!$R$200&lt;&gt;"","出纳：","")</f>
        <v/>
      </c>
      <c r="F2984" s="78" t="str">
        <f aca="false">IF(助手报销!$R$200&lt;&gt;"","复核：","")</f>
        <v/>
      </c>
      <c r="G2984" s="78" t="str">
        <f aca="false">IF(助手报销!$R$200&lt;&gt;"","制单：","")</f>
        <v/>
      </c>
    </row>
    <row r="2985" customFormat="false" ht="3" hidden="false" customHeight="true" outlineLevel="0" collapsed="false"/>
    <row r="2986" customFormat="false" ht="19.5" hidden="false" customHeight="true" outlineLevel="0" collapsed="false">
      <c r="B2986" s="53" t="str">
        <f aca="false">IF(助手报销!$R$201&lt;&gt;"","记  账  凭  证","")</f>
        <v/>
      </c>
      <c r="C2986" s="53"/>
      <c r="D2986" s="53"/>
      <c r="E2986" s="53"/>
      <c r="F2986" s="53"/>
      <c r="G2986" s="53"/>
      <c r="H2986" s="53"/>
      <c r="I2986" s="53"/>
    </row>
    <row r="2987" customFormat="false" ht="3" hidden="false" customHeight="true" outlineLevel="0" collapsed="false"/>
    <row r="2988" customFormat="false" ht="15" hidden="false" customHeight="true" outlineLevel="0" collapsed="false">
      <c r="C2988" s="56" t="str">
        <f aca="false">IF(助手报销!$R$201&lt;&gt;"",INDEX(助手报销!$B$2:$B$121,助手报销!$R$201),"")</f>
        <v/>
      </c>
      <c r="D2988" s="57" t="str">
        <f aca="false">IF(助手报销!$R$201&lt;&gt;"",INDEX(助手报销!$D$2:$D$121,助手报销!$R$201),"")</f>
        <v/>
      </c>
      <c r="E2988" s="57"/>
      <c r="F2988" s="58" t="str">
        <f aca="false">IF(助手报销!$R$201&lt;&gt;"",INDEX(助手报销!$C$2:$C$121,助手报销!$R$201)&amp;"  字第 "&amp;IF(参数!$B$9="是",INDEX(助手报销!$P$2:$P$121,助手报销!$R$201),"　　　　")&amp;" 号"&amp;IF(INDEX(助手报销!$L$2:$L$121,助手报销!$R$201)&gt;1,"  (共"&amp;INDEX(助手报销!$L$2:$L$121,助手报销!$R$201)&amp;"页 第"&amp;助手报销!$S$201&amp;"页)",""),"")</f>
        <v/>
      </c>
      <c r="G2988" s="58"/>
      <c r="H2988" s="58"/>
      <c r="I2988" s="58"/>
      <c r="M2988" s="79" t="str">
        <f aca="false">IF(助手报销!$R$201="","",助手报销!$Q$201)</f>
        <v/>
      </c>
      <c r="N2988" s="80" t="str">
        <f aca="false">IF(助手报销!$R$201="","",INDEX(助手报销!$P$2:$P$121,助手报销!$R$201))</f>
        <v/>
      </c>
      <c r="O2988" s="55" t="str">
        <f aca="false">IF(助手报销!$R$201="","",INDEX(助手报销!$C$2:$C$121,助手报销!$R$201)&amp;"  字第 "&amp;INDEX(助手报销!$P$2:$P$121,助手报销!$R$201)&amp;" 号"&amp;IF(INDEX(助手报销!$L$2:$L$121,助手报销!$R$201)&gt;1,"  (共"&amp;INDEX(助手报销!$L$2:$L$121,助手报销!$R$201)&amp;"页 第"&amp;助手报销!$S$201&amp;"页)",""))</f>
        <v/>
      </c>
    </row>
    <row r="2989" customFormat="false" ht="12.75" hidden="false" customHeight="true" outlineLevel="0" collapsed="false">
      <c r="B2989" s="61" t="str">
        <f aca="false">IF(助手报销!$R$201&lt;&gt;"","摘　　要","")</f>
        <v/>
      </c>
      <c r="C2989" s="61"/>
      <c r="D2989" s="62" t="str">
        <f aca="false">IF(助手报销!$R$201&lt;&gt;"","科　　　　目","")</f>
        <v/>
      </c>
      <c r="E2989" s="62"/>
      <c r="F2989" s="61" t="str">
        <f aca="false">IF(助手报销!$R$201&lt;&gt;"","借 方 金 额","")</f>
        <v/>
      </c>
      <c r="G2989" s="62" t="str">
        <f aca="false">IF(助手报销!$R$201&lt;&gt;"","贷 方 金 额","")</f>
        <v/>
      </c>
      <c r="H2989" s="63" t="str">
        <f aca="false">IF(助手报销!$R$201&lt;&gt;"","√","")</f>
        <v/>
      </c>
      <c r="I2989" s="64" t="str">
        <f aca="false">IF(助手报销!$R$201&lt;&gt;"","附单据  张","")</f>
        <v/>
      </c>
    </row>
    <row r="2990" customFormat="false" ht="12.75" hidden="false" customHeight="true" outlineLevel="0" collapsed="false">
      <c r="B2990" s="61"/>
      <c r="C2990" s="61"/>
      <c r="D2990" s="23" t="str">
        <f aca="false">IF(助手报销!$R$201&lt;&gt;"","总 账 科 目","")</f>
        <v/>
      </c>
      <c r="E2990" s="23" t="str">
        <f aca="false">IF(助手报销!$R$201&lt;&gt;"","明 细 科 目","")</f>
        <v/>
      </c>
      <c r="F2990" s="65"/>
      <c r="G2990" s="66"/>
      <c r="H2990" s="63"/>
      <c r="I2990" s="64"/>
    </row>
    <row r="2991" customFormat="false" ht="23.25" hidden="false" customHeight="true" outlineLevel="0" collapsed="false">
      <c r="B2991" s="67" t="str">
        <f aca="false">IFERROR(INDEX(分录报销!$M:$M,MATCH($L2991,分录报销!$L:$L,0)),"")</f>
        <v/>
      </c>
      <c r="C2991" s="67"/>
      <c r="D2991" s="23" t="str">
        <f aca="false">IFERROR(INDEX(分录报销!$E:$E,MATCH($L2991,分录报销!$L:$L,0)),"")</f>
        <v/>
      </c>
      <c r="E2991" s="23" t="str">
        <f aca="false">IFERROR(INDEX(分录报销!$F:$F,MATCH($L2991,分录报销!$L:$L,0)),"")</f>
        <v/>
      </c>
      <c r="F2991" s="68" t="str">
        <f aca="false">IFERROR(INDEX(分录报销!$H:$H,MATCH($L2991,分录报销!$L:$L,0)),"")</f>
        <v/>
      </c>
      <c r="G2991" s="69" t="str">
        <f aca="false">IFERROR(INDEX(分录报销!$I:$I,MATCH($L2991,分录报销!$L:$L,0)),"")</f>
        <v/>
      </c>
      <c r="H2991" s="23"/>
      <c r="I2991" s="70"/>
      <c r="L2991" s="71" t="n">
        <f aca="false">IF(助手报销!$R$201="",-1,助手报销!$R$201*100+(助手报销!$S$201-1)*6+1)</f>
        <v>-1</v>
      </c>
    </row>
    <row r="2992" customFormat="false" ht="23.25" hidden="false" customHeight="true" outlineLevel="0" collapsed="false">
      <c r="B2992" s="67" t="str">
        <f aca="false">IFERROR(INDEX(分录报销!$M:$M,MATCH($L2992,分录报销!$L:$L,0)),"")</f>
        <v/>
      </c>
      <c r="C2992" s="67"/>
      <c r="D2992" s="23" t="str">
        <f aca="false">IFERROR(INDEX(分录报销!$E:$E,MATCH($L2992,分录报销!$L:$L,0)),"")</f>
        <v/>
      </c>
      <c r="E2992" s="23" t="str">
        <f aca="false">IFERROR(INDEX(分录报销!$F:$F,MATCH($L2992,分录报销!$L:$L,0)),"")</f>
        <v/>
      </c>
      <c r="F2992" s="68" t="str">
        <f aca="false">IFERROR(INDEX(分录报销!$H:$H,MATCH($L2992,分录报销!$L:$L,0)),"")</f>
        <v/>
      </c>
      <c r="G2992" s="69" t="str">
        <f aca="false">IFERROR(INDEX(分录报销!$I:$I,MATCH($L2992,分录报销!$L:$L,0)),"")</f>
        <v/>
      </c>
      <c r="H2992" s="23"/>
      <c r="I2992" s="70"/>
      <c r="L2992" s="71" t="n">
        <f aca="false">IF(助手报销!$R$201="",-1,助手报销!$R$201*100+(助手报销!$S$201-1)*6+2)</f>
        <v>-1</v>
      </c>
    </row>
    <row r="2993" customFormat="false" ht="23.25" hidden="false" customHeight="true" outlineLevel="0" collapsed="false">
      <c r="B2993" s="67" t="str">
        <f aca="false">IFERROR(INDEX(分录报销!$M:$M,MATCH($L2993,分录报销!$L:$L,0)),"")</f>
        <v/>
      </c>
      <c r="C2993" s="67"/>
      <c r="D2993" s="23" t="str">
        <f aca="false">IFERROR(INDEX(分录报销!$E:$E,MATCH($L2993,分录报销!$L:$L,0)),"")</f>
        <v/>
      </c>
      <c r="E2993" s="23" t="str">
        <f aca="false">IFERROR(INDEX(分录报销!$F:$F,MATCH($L2993,分录报销!$L:$L,0)),"")</f>
        <v/>
      </c>
      <c r="F2993" s="68" t="str">
        <f aca="false">IFERROR(INDEX(分录报销!$H:$H,MATCH($L2993,分录报销!$L:$L,0)),"")</f>
        <v/>
      </c>
      <c r="G2993" s="69" t="str">
        <f aca="false">IFERROR(INDEX(分录报销!$I:$I,MATCH($L2993,分录报销!$L:$L,0)),"")</f>
        <v/>
      </c>
      <c r="H2993" s="23"/>
      <c r="I2993" s="70"/>
      <c r="L2993" s="71" t="n">
        <f aca="false">IF(助手报销!$R$201="",-1,助手报销!$R$201*100+(助手报销!$S$201-1)*6+3)</f>
        <v>-1</v>
      </c>
    </row>
    <row r="2994" customFormat="false" ht="23.25" hidden="false" customHeight="true" outlineLevel="0" collapsed="false">
      <c r="B2994" s="67" t="str">
        <f aca="false">IFERROR(INDEX(分录报销!$M:$M,MATCH($L2994,分录报销!$L:$L,0)),"")</f>
        <v/>
      </c>
      <c r="C2994" s="67"/>
      <c r="D2994" s="23" t="str">
        <f aca="false">IFERROR(INDEX(分录报销!$E:$E,MATCH($L2994,分录报销!$L:$L,0)),"")</f>
        <v/>
      </c>
      <c r="E2994" s="23" t="str">
        <f aca="false">IFERROR(INDEX(分录报销!$F:$F,MATCH($L2994,分录报销!$L:$L,0)),"")</f>
        <v/>
      </c>
      <c r="F2994" s="68" t="str">
        <f aca="false">IFERROR(INDEX(分录报销!$H:$H,MATCH($L2994,分录报销!$L:$L,0)),"")</f>
        <v/>
      </c>
      <c r="G2994" s="69" t="str">
        <f aca="false">IFERROR(INDEX(分录报销!$I:$I,MATCH($L2994,分录报销!$L:$L,0)),"")</f>
        <v/>
      </c>
      <c r="H2994" s="23"/>
      <c r="I2994" s="70"/>
      <c r="L2994" s="71" t="n">
        <f aca="false">IF(助手报销!$R$201="",-1,助手报销!$R$201*100+(助手报销!$S$201-1)*6+4)</f>
        <v>-1</v>
      </c>
    </row>
    <row r="2995" customFormat="false" ht="23.25" hidden="false" customHeight="true" outlineLevel="0" collapsed="false">
      <c r="B2995" s="67" t="str">
        <f aca="false">IFERROR(INDEX(分录报销!$M:$M,MATCH($L2995,分录报销!$L:$L,0)),"")</f>
        <v/>
      </c>
      <c r="C2995" s="67"/>
      <c r="D2995" s="23" t="str">
        <f aca="false">IFERROR(INDEX(分录报销!$E:$E,MATCH($L2995,分录报销!$L:$L,0)),"")</f>
        <v/>
      </c>
      <c r="E2995" s="23" t="str">
        <f aca="false">IFERROR(INDEX(分录报销!$F:$F,MATCH($L2995,分录报销!$L:$L,0)),"")</f>
        <v/>
      </c>
      <c r="F2995" s="68" t="str">
        <f aca="false">IFERROR(INDEX(分录报销!$H:$H,MATCH($L2995,分录报销!$L:$L,0)),"")</f>
        <v/>
      </c>
      <c r="G2995" s="69" t="str">
        <f aca="false">IFERROR(INDEX(分录报销!$I:$I,MATCH($L2995,分录报销!$L:$L,0)),"")</f>
        <v/>
      </c>
      <c r="H2995" s="23"/>
      <c r="I2995" s="70"/>
      <c r="L2995" s="71" t="n">
        <f aca="false">IF(助手报销!$R$201="",-1,助手报销!$R$201*100+(助手报销!$S$201-1)*6+5)</f>
        <v>-1</v>
      </c>
    </row>
    <row r="2996" customFormat="false" ht="23.25" hidden="false" customHeight="true" outlineLevel="0" collapsed="false">
      <c r="B2996" s="67" t="str">
        <f aca="false">IFERROR(INDEX(分录报销!$M:$M,MATCH($L2996,分录报销!$L:$L,0)),"")</f>
        <v/>
      </c>
      <c r="C2996" s="67"/>
      <c r="D2996" s="23" t="str">
        <f aca="false">IFERROR(INDEX(分录报销!$E:$E,MATCH($L2996,分录报销!$L:$L,0)),"")</f>
        <v/>
      </c>
      <c r="E2996" s="23" t="str">
        <f aca="false">IFERROR(INDEX(分录报销!$F:$F,MATCH($L2996,分录报销!$L:$L,0)),"")</f>
        <v/>
      </c>
      <c r="F2996" s="68" t="str">
        <f aca="false">IFERROR(INDEX(分录报销!$H:$H,MATCH($L2996,分录报销!$L:$L,0)),"")</f>
        <v/>
      </c>
      <c r="G2996" s="69" t="str">
        <f aca="false">IFERROR(INDEX(分录报销!$I:$I,MATCH($L2996,分录报销!$L:$L,0)),"")</f>
        <v/>
      </c>
      <c r="H2996" s="23"/>
      <c r="I2996" s="70"/>
      <c r="L2996" s="71" t="n">
        <f aca="false">IF(助手报销!$R$201="",-1,助手报销!$R$201*100+(助手报销!$S$201-1)*6+6)</f>
        <v>-1</v>
      </c>
    </row>
    <row r="2997" customFormat="false" ht="23.25" hidden="false" customHeight="true" outlineLevel="0" collapsed="false">
      <c r="B2997" s="72" t="str">
        <f aca="false">IF(助手报销!$T$201=1,"合计：","")</f>
        <v/>
      </c>
      <c r="C2997" s="73" t="str">
        <f aca="false">IF(助手报销!$T$201=1,$F2997,"")</f>
        <v/>
      </c>
      <c r="D2997" s="74"/>
      <c r="E2997" s="74"/>
      <c r="F2997" s="75" t="str">
        <f aca="false">IF(助手报销!$T$201=1,INDEX(助手报销!$N$2:$N$121,助手报销!$R$201),"")</f>
        <v/>
      </c>
      <c r="G2997" s="76" t="str">
        <f aca="false">IF(助手报销!$T$201=1,INDEX(助手报销!$O$2:$O$121,助手报销!$R$201),"")</f>
        <v/>
      </c>
      <c r="H2997" s="74"/>
      <c r="I2997" s="77"/>
    </row>
    <row r="2998" customFormat="false" ht="6" hidden="false" customHeight="true" outlineLevel="0" collapsed="false"/>
    <row r="2999" customFormat="false" ht="13.5" hidden="false" customHeight="false" outlineLevel="0" collapsed="false">
      <c r="B2999" s="78" t="str">
        <f aca="false">IF(助手报销!$R$201&lt;&gt;"","会计主管：","")</f>
        <v/>
      </c>
      <c r="D2999" s="78" t="str">
        <f aca="false">IF(助手报销!$R$201&lt;&gt;"","会计：","")</f>
        <v/>
      </c>
      <c r="E2999" s="78" t="str">
        <f aca="false">IF(助手报销!$R$201&lt;&gt;"","出纳：","")</f>
        <v/>
      </c>
      <c r="F2999" s="78" t="str">
        <f aca="false">IF(助手报销!$R$201&lt;&gt;"","复核：","")</f>
        <v/>
      </c>
      <c r="G2999" s="78" t="str">
        <f aca="false">IF(助手报销!$R$201&lt;&gt;"","制单：","")</f>
        <v/>
      </c>
    </row>
    <row r="3000" customFormat="false" ht="3" hidden="false" customHeight="true" outlineLevel="0" collapsed="false"/>
  </sheetData>
  <mergeCells count="2600">
    <mergeCell ref="B1:I1"/>
    <mergeCell ref="D3:E3"/>
    <mergeCell ref="F3:I3"/>
    <mergeCell ref="B4:C5"/>
    <mergeCell ref="D4:E4"/>
    <mergeCell ref="H4:H5"/>
    <mergeCell ref="I4:I5"/>
    <mergeCell ref="B6:C6"/>
    <mergeCell ref="B7:C7"/>
    <mergeCell ref="B8:C8"/>
    <mergeCell ref="B9:C9"/>
    <mergeCell ref="B10:C10"/>
    <mergeCell ref="B11:C11"/>
    <mergeCell ref="B16:I16"/>
    <mergeCell ref="D18:E18"/>
    <mergeCell ref="F18:I18"/>
    <mergeCell ref="B19:C20"/>
    <mergeCell ref="D19:E19"/>
    <mergeCell ref="H19:H20"/>
    <mergeCell ref="I19:I20"/>
    <mergeCell ref="B21:C21"/>
    <mergeCell ref="B22:C22"/>
    <mergeCell ref="B23:C23"/>
    <mergeCell ref="B24:C24"/>
    <mergeCell ref="B25:C25"/>
    <mergeCell ref="B26:C26"/>
    <mergeCell ref="B31:I31"/>
    <mergeCell ref="D33:E33"/>
    <mergeCell ref="F33:I33"/>
    <mergeCell ref="B34:C35"/>
    <mergeCell ref="D34:E34"/>
    <mergeCell ref="H34:H35"/>
    <mergeCell ref="I34:I35"/>
    <mergeCell ref="B36:C36"/>
    <mergeCell ref="B37:C37"/>
    <mergeCell ref="B38:C38"/>
    <mergeCell ref="B39:C39"/>
    <mergeCell ref="B40:C40"/>
    <mergeCell ref="B41:C41"/>
    <mergeCell ref="B46:I46"/>
    <mergeCell ref="D48:E48"/>
    <mergeCell ref="F48:I48"/>
    <mergeCell ref="B49:C50"/>
    <mergeCell ref="D49:E49"/>
    <mergeCell ref="H49:H50"/>
    <mergeCell ref="I49:I50"/>
    <mergeCell ref="B51:C51"/>
    <mergeCell ref="B52:C52"/>
    <mergeCell ref="B53:C53"/>
    <mergeCell ref="B54:C54"/>
    <mergeCell ref="B55:C55"/>
    <mergeCell ref="B56:C56"/>
    <mergeCell ref="B61:I61"/>
    <mergeCell ref="D63:E63"/>
    <mergeCell ref="F63:I63"/>
    <mergeCell ref="B64:C65"/>
    <mergeCell ref="D64:E64"/>
    <mergeCell ref="H64:H65"/>
    <mergeCell ref="I64:I65"/>
    <mergeCell ref="B66:C66"/>
    <mergeCell ref="B67:C67"/>
    <mergeCell ref="B68:C68"/>
    <mergeCell ref="B69:C69"/>
    <mergeCell ref="B70:C70"/>
    <mergeCell ref="B71:C71"/>
    <mergeCell ref="B76:I76"/>
    <mergeCell ref="D78:E78"/>
    <mergeCell ref="F78:I78"/>
    <mergeCell ref="B79:C80"/>
    <mergeCell ref="D79:E79"/>
    <mergeCell ref="H79:H80"/>
    <mergeCell ref="I79:I80"/>
    <mergeCell ref="B81:C81"/>
    <mergeCell ref="B82:C82"/>
    <mergeCell ref="B83:C83"/>
    <mergeCell ref="B84:C84"/>
    <mergeCell ref="B85:C85"/>
    <mergeCell ref="B86:C86"/>
    <mergeCell ref="B91:I91"/>
    <mergeCell ref="D93:E93"/>
    <mergeCell ref="F93:I93"/>
    <mergeCell ref="B94:C95"/>
    <mergeCell ref="D94:E94"/>
    <mergeCell ref="H94:H95"/>
    <mergeCell ref="I94:I95"/>
    <mergeCell ref="B96:C96"/>
    <mergeCell ref="B97:C97"/>
    <mergeCell ref="B98:C98"/>
    <mergeCell ref="B99:C99"/>
    <mergeCell ref="B100:C100"/>
    <mergeCell ref="B101:C101"/>
    <mergeCell ref="B106:I106"/>
    <mergeCell ref="D108:E108"/>
    <mergeCell ref="F108:I108"/>
    <mergeCell ref="B109:C110"/>
    <mergeCell ref="D109:E109"/>
    <mergeCell ref="H109:H110"/>
    <mergeCell ref="I109:I110"/>
    <mergeCell ref="B111:C111"/>
    <mergeCell ref="B112:C112"/>
    <mergeCell ref="B113:C113"/>
    <mergeCell ref="B114:C114"/>
    <mergeCell ref="B115:C115"/>
    <mergeCell ref="B116:C116"/>
    <mergeCell ref="B121:I121"/>
    <mergeCell ref="D123:E123"/>
    <mergeCell ref="F123:I123"/>
    <mergeCell ref="B124:C125"/>
    <mergeCell ref="D124:E124"/>
    <mergeCell ref="H124:H125"/>
    <mergeCell ref="I124:I125"/>
    <mergeCell ref="B126:C126"/>
    <mergeCell ref="B127:C127"/>
    <mergeCell ref="B128:C128"/>
    <mergeCell ref="B129:C129"/>
    <mergeCell ref="B130:C130"/>
    <mergeCell ref="B131:C131"/>
    <mergeCell ref="B136:I136"/>
    <mergeCell ref="D138:E138"/>
    <mergeCell ref="F138:I138"/>
    <mergeCell ref="B139:C140"/>
    <mergeCell ref="D139:E139"/>
    <mergeCell ref="H139:H140"/>
    <mergeCell ref="I139:I140"/>
    <mergeCell ref="B141:C141"/>
    <mergeCell ref="B142:C142"/>
    <mergeCell ref="B143:C143"/>
    <mergeCell ref="B144:C144"/>
    <mergeCell ref="B145:C145"/>
    <mergeCell ref="B146:C146"/>
    <mergeCell ref="B151:I151"/>
    <mergeCell ref="D153:E153"/>
    <mergeCell ref="F153:I153"/>
    <mergeCell ref="B154:C155"/>
    <mergeCell ref="D154:E154"/>
    <mergeCell ref="H154:H155"/>
    <mergeCell ref="I154:I155"/>
    <mergeCell ref="B156:C156"/>
    <mergeCell ref="B157:C157"/>
    <mergeCell ref="B158:C158"/>
    <mergeCell ref="B159:C159"/>
    <mergeCell ref="B160:C160"/>
    <mergeCell ref="B161:C161"/>
    <mergeCell ref="B166:I166"/>
    <mergeCell ref="D168:E168"/>
    <mergeCell ref="F168:I168"/>
    <mergeCell ref="B169:C170"/>
    <mergeCell ref="D169:E169"/>
    <mergeCell ref="H169:H170"/>
    <mergeCell ref="I169:I170"/>
    <mergeCell ref="B171:C171"/>
    <mergeCell ref="B172:C172"/>
    <mergeCell ref="B173:C173"/>
    <mergeCell ref="B174:C174"/>
    <mergeCell ref="B175:C175"/>
    <mergeCell ref="B176:C176"/>
    <mergeCell ref="B181:I181"/>
    <mergeCell ref="D183:E183"/>
    <mergeCell ref="F183:I183"/>
    <mergeCell ref="B184:C185"/>
    <mergeCell ref="D184:E184"/>
    <mergeCell ref="H184:H185"/>
    <mergeCell ref="I184:I185"/>
    <mergeCell ref="B186:C186"/>
    <mergeCell ref="B187:C187"/>
    <mergeCell ref="B188:C188"/>
    <mergeCell ref="B189:C189"/>
    <mergeCell ref="B190:C190"/>
    <mergeCell ref="B191:C191"/>
    <mergeCell ref="B196:I196"/>
    <mergeCell ref="D198:E198"/>
    <mergeCell ref="F198:I198"/>
    <mergeCell ref="B199:C200"/>
    <mergeCell ref="D199:E199"/>
    <mergeCell ref="H199:H200"/>
    <mergeCell ref="I199:I200"/>
    <mergeCell ref="B201:C201"/>
    <mergeCell ref="B202:C202"/>
    <mergeCell ref="B203:C203"/>
    <mergeCell ref="B204:C204"/>
    <mergeCell ref="B205:C205"/>
    <mergeCell ref="B206:C206"/>
    <mergeCell ref="B211:I211"/>
    <mergeCell ref="D213:E213"/>
    <mergeCell ref="F213:I213"/>
    <mergeCell ref="B214:C215"/>
    <mergeCell ref="D214:E214"/>
    <mergeCell ref="H214:H215"/>
    <mergeCell ref="I214:I215"/>
    <mergeCell ref="B216:C216"/>
    <mergeCell ref="B217:C217"/>
    <mergeCell ref="B218:C218"/>
    <mergeCell ref="B219:C219"/>
    <mergeCell ref="B220:C220"/>
    <mergeCell ref="B221:C221"/>
    <mergeCell ref="B226:I226"/>
    <mergeCell ref="D228:E228"/>
    <mergeCell ref="F228:I228"/>
    <mergeCell ref="B229:C230"/>
    <mergeCell ref="D229:E229"/>
    <mergeCell ref="H229:H230"/>
    <mergeCell ref="I229:I230"/>
    <mergeCell ref="B231:C231"/>
    <mergeCell ref="B232:C232"/>
    <mergeCell ref="B233:C233"/>
    <mergeCell ref="B234:C234"/>
    <mergeCell ref="B235:C235"/>
    <mergeCell ref="B236:C236"/>
    <mergeCell ref="B241:I241"/>
    <mergeCell ref="D243:E243"/>
    <mergeCell ref="F243:I243"/>
    <mergeCell ref="B244:C245"/>
    <mergeCell ref="D244:E244"/>
    <mergeCell ref="H244:H245"/>
    <mergeCell ref="I244:I245"/>
    <mergeCell ref="B246:C246"/>
    <mergeCell ref="B247:C247"/>
    <mergeCell ref="B248:C248"/>
    <mergeCell ref="B249:C249"/>
    <mergeCell ref="B250:C250"/>
    <mergeCell ref="B251:C251"/>
    <mergeCell ref="B256:I256"/>
    <mergeCell ref="D258:E258"/>
    <mergeCell ref="F258:I258"/>
    <mergeCell ref="B259:C260"/>
    <mergeCell ref="D259:E259"/>
    <mergeCell ref="H259:H260"/>
    <mergeCell ref="I259:I260"/>
    <mergeCell ref="B261:C261"/>
    <mergeCell ref="B262:C262"/>
    <mergeCell ref="B263:C263"/>
    <mergeCell ref="B264:C264"/>
    <mergeCell ref="B265:C265"/>
    <mergeCell ref="B266:C266"/>
    <mergeCell ref="B271:I271"/>
    <mergeCell ref="D273:E273"/>
    <mergeCell ref="F273:I273"/>
    <mergeCell ref="B274:C275"/>
    <mergeCell ref="D274:E274"/>
    <mergeCell ref="H274:H275"/>
    <mergeCell ref="I274:I275"/>
    <mergeCell ref="B276:C276"/>
    <mergeCell ref="B277:C277"/>
    <mergeCell ref="B278:C278"/>
    <mergeCell ref="B279:C279"/>
    <mergeCell ref="B280:C280"/>
    <mergeCell ref="B281:C281"/>
    <mergeCell ref="B286:I286"/>
    <mergeCell ref="D288:E288"/>
    <mergeCell ref="F288:I288"/>
    <mergeCell ref="B289:C290"/>
    <mergeCell ref="D289:E289"/>
    <mergeCell ref="H289:H290"/>
    <mergeCell ref="I289:I290"/>
    <mergeCell ref="B291:C291"/>
    <mergeCell ref="B292:C292"/>
    <mergeCell ref="B293:C293"/>
    <mergeCell ref="B294:C294"/>
    <mergeCell ref="B295:C295"/>
    <mergeCell ref="B296:C296"/>
    <mergeCell ref="B301:I301"/>
    <mergeCell ref="D303:E303"/>
    <mergeCell ref="F303:I303"/>
    <mergeCell ref="B304:C305"/>
    <mergeCell ref="D304:E304"/>
    <mergeCell ref="H304:H305"/>
    <mergeCell ref="I304:I305"/>
    <mergeCell ref="B306:C306"/>
    <mergeCell ref="B307:C307"/>
    <mergeCell ref="B308:C308"/>
    <mergeCell ref="B309:C309"/>
    <mergeCell ref="B310:C310"/>
    <mergeCell ref="B311:C311"/>
    <mergeCell ref="B316:I316"/>
    <mergeCell ref="D318:E318"/>
    <mergeCell ref="F318:I318"/>
    <mergeCell ref="B319:C320"/>
    <mergeCell ref="D319:E319"/>
    <mergeCell ref="H319:H320"/>
    <mergeCell ref="I319:I320"/>
    <mergeCell ref="B321:C321"/>
    <mergeCell ref="B322:C322"/>
    <mergeCell ref="B323:C323"/>
    <mergeCell ref="B324:C324"/>
    <mergeCell ref="B325:C325"/>
    <mergeCell ref="B326:C326"/>
    <mergeCell ref="B331:I331"/>
    <mergeCell ref="D333:E333"/>
    <mergeCell ref="F333:I333"/>
    <mergeCell ref="B334:C335"/>
    <mergeCell ref="D334:E334"/>
    <mergeCell ref="H334:H335"/>
    <mergeCell ref="I334:I335"/>
    <mergeCell ref="B336:C336"/>
    <mergeCell ref="B337:C337"/>
    <mergeCell ref="B338:C338"/>
    <mergeCell ref="B339:C339"/>
    <mergeCell ref="B340:C340"/>
    <mergeCell ref="B341:C341"/>
    <mergeCell ref="B346:I346"/>
    <mergeCell ref="D348:E348"/>
    <mergeCell ref="F348:I348"/>
    <mergeCell ref="B349:C350"/>
    <mergeCell ref="D349:E349"/>
    <mergeCell ref="H349:H350"/>
    <mergeCell ref="I349:I350"/>
    <mergeCell ref="B351:C351"/>
    <mergeCell ref="B352:C352"/>
    <mergeCell ref="B353:C353"/>
    <mergeCell ref="B354:C354"/>
    <mergeCell ref="B355:C355"/>
    <mergeCell ref="B356:C356"/>
    <mergeCell ref="B361:I361"/>
    <mergeCell ref="D363:E363"/>
    <mergeCell ref="F363:I363"/>
    <mergeCell ref="B364:C365"/>
    <mergeCell ref="D364:E364"/>
    <mergeCell ref="H364:H365"/>
    <mergeCell ref="I364:I365"/>
    <mergeCell ref="B366:C366"/>
    <mergeCell ref="B367:C367"/>
    <mergeCell ref="B368:C368"/>
    <mergeCell ref="B369:C369"/>
    <mergeCell ref="B370:C370"/>
    <mergeCell ref="B371:C371"/>
    <mergeCell ref="B376:I376"/>
    <mergeCell ref="D378:E378"/>
    <mergeCell ref="F378:I378"/>
    <mergeCell ref="B379:C380"/>
    <mergeCell ref="D379:E379"/>
    <mergeCell ref="H379:H380"/>
    <mergeCell ref="I379:I380"/>
    <mergeCell ref="B381:C381"/>
    <mergeCell ref="B382:C382"/>
    <mergeCell ref="B383:C383"/>
    <mergeCell ref="B384:C384"/>
    <mergeCell ref="B385:C385"/>
    <mergeCell ref="B386:C386"/>
    <mergeCell ref="B391:I391"/>
    <mergeCell ref="D393:E393"/>
    <mergeCell ref="F393:I393"/>
    <mergeCell ref="B394:C395"/>
    <mergeCell ref="D394:E394"/>
    <mergeCell ref="H394:H395"/>
    <mergeCell ref="I394:I395"/>
    <mergeCell ref="B396:C396"/>
    <mergeCell ref="B397:C397"/>
    <mergeCell ref="B398:C398"/>
    <mergeCell ref="B399:C399"/>
    <mergeCell ref="B400:C400"/>
    <mergeCell ref="B401:C401"/>
    <mergeCell ref="B406:I406"/>
    <mergeCell ref="D408:E408"/>
    <mergeCell ref="F408:I408"/>
    <mergeCell ref="B409:C410"/>
    <mergeCell ref="D409:E409"/>
    <mergeCell ref="H409:H410"/>
    <mergeCell ref="I409:I410"/>
    <mergeCell ref="B411:C411"/>
    <mergeCell ref="B412:C412"/>
    <mergeCell ref="B413:C413"/>
    <mergeCell ref="B414:C414"/>
    <mergeCell ref="B415:C415"/>
    <mergeCell ref="B416:C416"/>
    <mergeCell ref="B421:I421"/>
    <mergeCell ref="D423:E423"/>
    <mergeCell ref="F423:I423"/>
    <mergeCell ref="B424:C425"/>
    <mergeCell ref="D424:E424"/>
    <mergeCell ref="H424:H425"/>
    <mergeCell ref="I424:I425"/>
    <mergeCell ref="B426:C426"/>
    <mergeCell ref="B427:C427"/>
    <mergeCell ref="B428:C428"/>
    <mergeCell ref="B429:C429"/>
    <mergeCell ref="B430:C430"/>
    <mergeCell ref="B431:C431"/>
    <mergeCell ref="B436:I436"/>
    <mergeCell ref="D438:E438"/>
    <mergeCell ref="F438:I438"/>
    <mergeCell ref="B439:C440"/>
    <mergeCell ref="D439:E439"/>
    <mergeCell ref="H439:H440"/>
    <mergeCell ref="I439:I440"/>
    <mergeCell ref="B441:C441"/>
    <mergeCell ref="B442:C442"/>
    <mergeCell ref="B443:C443"/>
    <mergeCell ref="B444:C444"/>
    <mergeCell ref="B445:C445"/>
    <mergeCell ref="B446:C446"/>
    <mergeCell ref="B451:I451"/>
    <mergeCell ref="D453:E453"/>
    <mergeCell ref="F453:I453"/>
    <mergeCell ref="B454:C455"/>
    <mergeCell ref="D454:E454"/>
    <mergeCell ref="H454:H455"/>
    <mergeCell ref="I454:I455"/>
    <mergeCell ref="B456:C456"/>
    <mergeCell ref="B457:C457"/>
    <mergeCell ref="B458:C458"/>
    <mergeCell ref="B459:C459"/>
    <mergeCell ref="B460:C460"/>
    <mergeCell ref="B461:C461"/>
    <mergeCell ref="B466:I466"/>
    <mergeCell ref="D468:E468"/>
    <mergeCell ref="F468:I468"/>
    <mergeCell ref="B469:C470"/>
    <mergeCell ref="D469:E469"/>
    <mergeCell ref="H469:H470"/>
    <mergeCell ref="I469:I470"/>
    <mergeCell ref="B471:C471"/>
    <mergeCell ref="B472:C472"/>
    <mergeCell ref="B473:C473"/>
    <mergeCell ref="B474:C474"/>
    <mergeCell ref="B475:C475"/>
    <mergeCell ref="B476:C476"/>
    <mergeCell ref="B481:I481"/>
    <mergeCell ref="D483:E483"/>
    <mergeCell ref="F483:I483"/>
    <mergeCell ref="B484:C485"/>
    <mergeCell ref="D484:E484"/>
    <mergeCell ref="H484:H485"/>
    <mergeCell ref="I484:I485"/>
    <mergeCell ref="B486:C486"/>
    <mergeCell ref="B487:C487"/>
    <mergeCell ref="B488:C488"/>
    <mergeCell ref="B489:C489"/>
    <mergeCell ref="B490:C490"/>
    <mergeCell ref="B491:C491"/>
    <mergeCell ref="B496:I496"/>
    <mergeCell ref="D498:E498"/>
    <mergeCell ref="F498:I498"/>
    <mergeCell ref="B499:C500"/>
    <mergeCell ref="D499:E499"/>
    <mergeCell ref="H499:H500"/>
    <mergeCell ref="I499:I500"/>
    <mergeCell ref="B501:C501"/>
    <mergeCell ref="B502:C502"/>
    <mergeCell ref="B503:C503"/>
    <mergeCell ref="B504:C504"/>
    <mergeCell ref="B505:C505"/>
    <mergeCell ref="B506:C506"/>
    <mergeCell ref="B511:I511"/>
    <mergeCell ref="D513:E513"/>
    <mergeCell ref="F513:I513"/>
    <mergeCell ref="B514:C515"/>
    <mergeCell ref="D514:E514"/>
    <mergeCell ref="H514:H515"/>
    <mergeCell ref="I514:I515"/>
    <mergeCell ref="B516:C516"/>
    <mergeCell ref="B517:C517"/>
    <mergeCell ref="B518:C518"/>
    <mergeCell ref="B519:C519"/>
    <mergeCell ref="B520:C520"/>
    <mergeCell ref="B521:C521"/>
    <mergeCell ref="B526:I526"/>
    <mergeCell ref="D528:E528"/>
    <mergeCell ref="F528:I528"/>
    <mergeCell ref="B529:C530"/>
    <mergeCell ref="D529:E529"/>
    <mergeCell ref="H529:H530"/>
    <mergeCell ref="I529:I530"/>
    <mergeCell ref="B531:C531"/>
    <mergeCell ref="B532:C532"/>
    <mergeCell ref="B533:C533"/>
    <mergeCell ref="B534:C534"/>
    <mergeCell ref="B535:C535"/>
    <mergeCell ref="B536:C536"/>
    <mergeCell ref="B541:I541"/>
    <mergeCell ref="D543:E543"/>
    <mergeCell ref="F543:I543"/>
    <mergeCell ref="B544:C545"/>
    <mergeCell ref="D544:E544"/>
    <mergeCell ref="H544:H545"/>
    <mergeCell ref="I544:I545"/>
    <mergeCell ref="B546:C546"/>
    <mergeCell ref="B547:C547"/>
    <mergeCell ref="B548:C548"/>
    <mergeCell ref="B549:C549"/>
    <mergeCell ref="B550:C550"/>
    <mergeCell ref="B551:C551"/>
    <mergeCell ref="B556:I556"/>
    <mergeCell ref="D558:E558"/>
    <mergeCell ref="F558:I558"/>
    <mergeCell ref="B559:C560"/>
    <mergeCell ref="D559:E559"/>
    <mergeCell ref="H559:H560"/>
    <mergeCell ref="I559:I560"/>
    <mergeCell ref="B561:C561"/>
    <mergeCell ref="B562:C562"/>
    <mergeCell ref="B563:C563"/>
    <mergeCell ref="B564:C564"/>
    <mergeCell ref="B565:C565"/>
    <mergeCell ref="B566:C566"/>
    <mergeCell ref="B571:I571"/>
    <mergeCell ref="D573:E573"/>
    <mergeCell ref="F573:I573"/>
    <mergeCell ref="B574:C575"/>
    <mergeCell ref="D574:E574"/>
    <mergeCell ref="H574:H575"/>
    <mergeCell ref="I574:I575"/>
    <mergeCell ref="B576:C576"/>
    <mergeCell ref="B577:C577"/>
    <mergeCell ref="B578:C578"/>
    <mergeCell ref="B579:C579"/>
    <mergeCell ref="B580:C580"/>
    <mergeCell ref="B581:C581"/>
    <mergeCell ref="B586:I586"/>
    <mergeCell ref="D588:E588"/>
    <mergeCell ref="F588:I588"/>
    <mergeCell ref="B589:C590"/>
    <mergeCell ref="D589:E589"/>
    <mergeCell ref="H589:H590"/>
    <mergeCell ref="I589:I590"/>
    <mergeCell ref="B591:C591"/>
    <mergeCell ref="B592:C592"/>
    <mergeCell ref="B593:C593"/>
    <mergeCell ref="B594:C594"/>
    <mergeCell ref="B595:C595"/>
    <mergeCell ref="B596:C596"/>
    <mergeCell ref="B601:I601"/>
    <mergeCell ref="D603:E603"/>
    <mergeCell ref="F603:I603"/>
    <mergeCell ref="B604:C605"/>
    <mergeCell ref="D604:E604"/>
    <mergeCell ref="H604:H605"/>
    <mergeCell ref="I604:I605"/>
    <mergeCell ref="B606:C606"/>
    <mergeCell ref="B607:C607"/>
    <mergeCell ref="B608:C608"/>
    <mergeCell ref="B609:C609"/>
    <mergeCell ref="B610:C610"/>
    <mergeCell ref="B611:C611"/>
    <mergeCell ref="B616:I616"/>
    <mergeCell ref="D618:E618"/>
    <mergeCell ref="F618:I618"/>
    <mergeCell ref="B619:C620"/>
    <mergeCell ref="D619:E619"/>
    <mergeCell ref="H619:H620"/>
    <mergeCell ref="I619:I620"/>
    <mergeCell ref="B621:C621"/>
    <mergeCell ref="B622:C622"/>
    <mergeCell ref="B623:C623"/>
    <mergeCell ref="B624:C624"/>
    <mergeCell ref="B625:C625"/>
    <mergeCell ref="B626:C626"/>
    <mergeCell ref="B631:I631"/>
    <mergeCell ref="D633:E633"/>
    <mergeCell ref="F633:I633"/>
    <mergeCell ref="B634:C635"/>
    <mergeCell ref="D634:E634"/>
    <mergeCell ref="H634:H635"/>
    <mergeCell ref="I634:I635"/>
    <mergeCell ref="B636:C636"/>
    <mergeCell ref="B637:C637"/>
    <mergeCell ref="B638:C638"/>
    <mergeCell ref="B639:C639"/>
    <mergeCell ref="B640:C640"/>
    <mergeCell ref="B641:C641"/>
    <mergeCell ref="B646:I646"/>
    <mergeCell ref="D648:E648"/>
    <mergeCell ref="F648:I648"/>
    <mergeCell ref="B649:C650"/>
    <mergeCell ref="D649:E649"/>
    <mergeCell ref="H649:H650"/>
    <mergeCell ref="I649:I650"/>
    <mergeCell ref="B651:C651"/>
    <mergeCell ref="B652:C652"/>
    <mergeCell ref="B653:C653"/>
    <mergeCell ref="B654:C654"/>
    <mergeCell ref="B655:C655"/>
    <mergeCell ref="B656:C656"/>
    <mergeCell ref="B661:I661"/>
    <mergeCell ref="D663:E663"/>
    <mergeCell ref="F663:I663"/>
    <mergeCell ref="B664:C665"/>
    <mergeCell ref="D664:E664"/>
    <mergeCell ref="H664:H665"/>
    <mergeCell ref="I664:I665"/>
    <mergeCell ref="B666:C666"/>
    <mergeCell ref="B667:C667"/>
    <mergeCell ref="B668:C668"/>
    <mergeCell ref="B669:C669"/>
    <mergeCell ref="B670:C670"/>
    <mergeCell ref="B671:C671"/>
    <mergeCell ref="B676:I676"/>
    <mergeCell ref="D678:E678"/>
    <mergeCell ref="F678:I678"/>
    <mergeCell ref="B679:C680"/>
    <mergeCell ref="D679:E679"/>
    <mergeCell ref="H679:H680"/>
    <mergeCell ref="I679:I680"/>
    <mergeCell ref="B681:C681"/>
    <mergeCell ref="B682:C682"/>
    <mergeCell ref="B683:C683"/>
    <mergeCell ref="B684:C684"/>
    <mergeCell ref="B685:C685"/>
    <mergeCell ref="B686:C686"/>
    <mergeCell ref="B691:I691"/>
    <mergeCell ref="D693:E693"/>
    <mergeCell ref="F693:I693"/>
    <mergeCell ref="B694:C695"/>
    <mergeCell ref="D694:E694"/>
    <mergeCell ref="H694:H695"/>
    <mergeCell ref="I694:I695"/>
    <mergeCell ref="B696:C696"/>
    <mergeCell ref="B697:C697"/>
    <mergeCell ref="B698:C698"/>
    <mergeCell ref="B699:C699"/>
    <mergeCell ref="B700:C700"/>
    <mergeCell ref="B701:C701"/>
    <mergeCell ref="B706:I706"/>
    <mergeCell ref="D708:E708"/>
    <mergeCell ref="F708:I708"/>
    <mergeCell ref="B709:C710"/>
    <mergeCell ref="D709:E709"/>
    <mergeCell ref="H709:H710"/>
    <mergeCell ref="I709:I710"/>
    <mergeCell ref="B711:C711"/>
    <mergeCell ref="B712:C712"/>
    <mergeCell ref="B713:C713"/>
    <mergeCell ref="B714:C714"/>
    <mergeCell ref="B715:C715"/>
    <mergeCell ref="B716:C716"/>
    <mergeCell ref="B721:I721"/>
    <mergeCell ref="D723:E723"/>
    <mergeCell ref="F723:I723"/>
    <mergeCell ref="B724:C725"/>
    <mergeCell ref="D724:E724"/>
    <mergeCell ref="H724:H725"/>
    <mergeCell ref="I724:I725"/>
    <mergeCell ref="B726:C726"/>
    <mergeCell ref="B727:C727"/>
    <mergeCell ref="B728:C728"/>
    <mergeCell ref="B729:C729"/>
    <mergeCell ref="B730:C730"/>
    <mergeCell ref="B731:C731"/>
    <mergeCell ref="B736:I736"/>
    <mergeCell ref="D738:E738"/>
    <mergeCell ref="F738:I738"/>
    <mergeCell ref="B739:C740"/>
    <mergeCell ref="D739:E739"/>
    <mergeCell ref="H739:H740"/>
    <mergeCell ref="I739:I740"/>
    <mergeCell ref="B741:C741"/>
    <mergeCell ref="B742:C742"/>
    <mergeCell ref="B743:C743"/>
    <mergeCell ref="B744:C744"/>
    <mergeCell ref="B745:C745"/>
    <mergeCell ref="B746:C746"/>
    <mergeCell ref="B751:I751"/>
    <mergeCell ref="D753:E753"/>
    <mergeCell ref="F753:I753"/>
    <mergeCell ref="B754:C755"/>
    <mergeCell ref="D754:E754"/>
    <mergeCell ref="H754:H755"/>
    <mergeCell ref="I754:I755"/>
    <mergeCell ref="B756:C756"/>
    <mergeCell ref="B757:C757"/>
    <mergeCell ref="B758:C758"/>
    <mergeCell ref="B759:C759"/>
    <mergeCell ref="B760:C760"/>
    <mergeCell ref="B761:C761"/>
    <mergeCell ref="B766:I766"/>
    <mergeCell ref="D768:E768"/>
    <mergeCell ref="F768:I768"/>
    <mergeCell ref="B769:C770"/>
    <mergeCell ref="D769:E769"/>
    <mergeCell ref="H769:H770"/>
    <mergeCell ref="I769:I770"/>
    <mergeCell ref="B771:C771"/>
    <mergeCell ref="B772:C772"/>
    <mergeCell ref="B773:C773"/>
    <mergeCell ref="B774:C774"/>
    <mergeCell ref="B775:C775"/>
    <mergeCell ref="B776:C776"/>
    <mergeCell ref="B781:I781"/>
    <mergeCell ref="D783:E783"/>
    <mergeCell ref="F783:I783"/>
    <mergeCell ref="B784:C785"/>
    <mergeCell ref="D784:E784"/>
    <mergeCell ref="H784:H785"/>
    <mergeCell ref="I784:I785"/>
    <mergeCell ref="B786:C786"/>
    <mergeCell ref="B787:C787"/>
    <mergeCell ref="B788:C788"/>
    <mergeCell ref="B789:C789"/>
    <mergeCell ref="B790:C790"/>
    <mergeCell ref="B791:C791"/>
    <mergeCell ref="B796:I796"/>
    <mergeCell ref="D798:E798"/>
    <mergeCell ref="F798:I798"/>
    <mergeCell ref="B799:C800"/>
    <mergeCell ref="D799:E799"/>
    <mergeCell ref="H799:H800"/>
    <mergeCell ref="I799:I800"/>
    <mergeCell ref="B801:C801"/>
    <mergeCell ref="B802:C802"/>
    <mergeCell ref="B803:C803"/>
    <mergeCell ref="B804:C804"/>
    <mergeCell ref="B805:C805"/>
    <mergeCell ref="B806:C806"/>
    <mergeCell ref="B811:I811"/>
    <mergeCell ref="D813:E813"/>
    <mergeCell ref="F813:I813"/>
    <mergeCell ref="B814:C815"/>
    <mergeCell ref="D814:E814"/>
    <mergeCell ref="H814:H815"/>
    <mergeCell ref="I814:I815"/>
    <mergeCell ref="B816:C816"/>
    <mergeCell ref="B817:C817"/>
    <mergeCell ref="B818:C818"/>
    <mergeCell ref="B819:C819"/>
    <mergeCell ref="B820:C820"/>
    <mergeCell ref="B821:C821"/>
    <mergeCell ref="B826:I826"/>
    <mergeCell ref="D828:E828"/>
    <mergeCell ref="F828:I828"/>
    <mergeCell ref="B829:C830"/>
    <mergeCell ref="D829:E829"/>
    <mergeCell ref="H829:H830"/>
    <mergeCell ref="I829:I830"/>
    <mergeCell ref="B831:C831"/>
    <mergeCell ref="B832:C832"/>
    <mergeCell ref="B833:C833"/>
    <mergeCell ref="B834:C834"/>
    <mergeCell ref="B835:C835"/>
    <mergeCell ref="B836:C836"/>
    <mergeCell ref="B841:I841"/>
    <mergeCell ref="D843:E843"/>
    <mergeCell ref="F843:I843"/>
    <mergeCell ref="B844:C845"/>
    <mergeCell ref="D844:E844"/>
    <mergeCell ref="H844:H845"/>
    <mergeCell ref="I844:I845"/>
    <mergeCell ref="B846:C846"/>
    <mergeCell ref="B847:C847"/>
    <mergeCell ref="B848:C848"/>
    <mergeCell ref="B849:C849"/>
    <mergeCell ref="B850:C850"/>
    <mergeCell ref="B851:C851"/>
    <mergeCell ref="B856:I856"/>
    <mergeCell ref="D858:E858"/>
    <mergeCell ref="F858:I858"/>
    <mergeCell ref="B859:C860"/>
    <mergeCell ref="D859:E859"/>
    <mergeCell ref="H859:H860"/>
    <mergeCell ref="I859:I860"/>
    <mergeCell ref="B861:C861"/>
    <mergeCell ref="B862:C862"/>
    <mergeCell ref="B863:C863"/>
    <mergeCell ref="B864:C864"/>
    <mergeCell ref="B865:C865"/>
    <mergeCell ref="B866:C866"/>
    <mergeCell ref="B871:I871"/>
    <mergeCell ref="D873:E873"/>
    <mergeCell ref="F873:I873"/>
    <mergeCell ref="B874:C875"/>
    <mergeCell ref="D874:E874"/>
    <mergeCell ref="H874:H875"/>
    <mergeCell ref="I874:I875"/>
    <mergeCell ref="B876:C876"/>
    <mergeCell ref="B877:C877"/>
    <mergeCell ref="B878:C878"/>
    <mergeCell ref="B879:C879"/>
    <mergeCell ref="B880:C880"/>
    <mergeCell ref="B881:C881"/>
    <mergeCell ref="B886:I886"/>
    <mergeCell ref="D888:E888"/>
    <mergeCell ref="F888:I888"/>
    <mergeCell ref="B889:C890"/>
    <mergeCell ref="D889:E889"/>
    <mergeCell ref="H889:H890"/>
    <mergeCell ref="I889:I890"/>
    <mergeCell ref="B891:C891"/>
    <mergeCell ref="B892:C892"/>
    <mergeCell ref="B893:C893"/>
    <mergeCell ref="B894:C894"/>
    <mergeCell ref="B895:C895"/>
    <mergeCell ref="B896:C896"/>
    <mergeCell ref="B901:I901"/>
    <mergeCell ref="D903:E903"/>
    <mergeCell ref="F903:I903"/>
    <mergeCell ref="B904:C905"/>
    <mergeCell ref="D904:E904"/>
    <mergeCell ref="H904:H905"/>
    <mergeCell ref="I904:I905"/>
    <mergeCell ref="B906:C906"/>
    <mergeCell ref="B907:C907"/>
    <mergeCell ref="B908:C908"/>
    <mergeCell ref="B909:C909"/>
    <mergeCell ref="B910:C910"/>
    <mergeCell ref="B911:C911"/>
    <mergeCell ref="B916:I916"/>
    <mergeCell ref="D918:E918"/>
    <mergeCell ref="F918:I918"/>
    <mergeCell ref="B919:C920"/>
    <mergeCell ref="D919:E919"/>
    <mergeCell ref="H919:H920"/>
    <mergeCell ref="I919:I920"/>
    <mergeCell ref="B921:C921"/>
    <mergeCell ref="B922:C922"/>
    <mergeCell ref="B923:C923"/>
    <mergeCell ref="B924:C924"/>
    <mergeCell ref="B925:C925"/>
    <mergeCell ref="B926:C926"/>
    <mergeCell ref="B931:I931"/>
    <mergeCell ref="D933:E933"/>
    <mergeCell ref="F933:I933"/>
    <mergeCell ref="B934:C935"/>
    <mergeCell ref="D934:E934"/>
    <mergeCell ref="H934:H935"/>
    <mergeCell ref="I934:I935"/>
    <mergeCell ref="B936:C936"/>
    <mergeCell ref="B937:C937"/>
    <mergeCell ref="B938:C938"/>
    <mergeCell ref="B939:C939"/>
    <mergeCell ref="B940:C940"/>
    <mergeCell ref="B941:C941"/>
    <mergeCell ref="B946:I946"/>
    <mergeCell ref="D948:E948"/>
    <mergeCell ref="F948:I948"/>
    <mergeCell ref="B949:C950"/>
    <mergeCell ref="D949:E949"/>
    <mergeCell ref="H949:H950"/>
    <mergeCell ref="I949:I950"/>
    <mergeCell ref="B951:C951"/>
    <mergeCell ref="B952:C952"/>
    <mergeCell ref="B953:C953"/>
    <mergeCell ref="B954:C954"/>
    <mergeCell ref="B955:C955"/>
    <mergeCell ref="B956:C956"/>
    <mergeCell ref="B961:I961"/>
    <mergeCell ref="D963:E963"/>
    <mergeCell ref="F963:I963"/>
    <mergeCell ref="B964:C965"/>
    <mergeCell ref="D964:E964"/>
    <mergeCell ref="H964:H965"/>
    <mergeCell ref="I964:I965"/>
    <mergeCell ref="B966:C966"/>
    <mergeCell ref="B967:C967"/>
    <mergeCell ref="B968:C968"/>
    <mergeCell ref="B969:C969"/>
    <mergeCell ref="B970:C970"/>
    <mergeCell ref="B971:C971"/>
    <mergeCell ref="B976:I976"/>
    <mergeCell ref="D978:E978"/>
    <mergeCell ref="F978:I978"/>
    <mergeCell ref="B979:C980"/>
    <mergeCell ref="D979:E979"/>
    <mergeCell ref="H979:H980"/>
    <mergeCell ref="I979:I980"/>
    <mergeCell ref="B981:C981"/>
    <mergeCell ref="B982:C982"/>
    <mergeCell ref="B983:C983"/>
    <mergeCell ref="B984:C984"/>
    <mergeCell ref="B985:C985"/>
    <mergeCell ref="B986:C986"/>
    <mergeCell ref="B991:I991"/>
    <mergeCell ref="D993:E993"/>
    <mergeCell ref="F993:I993"/>
    <mergeCell ref="B994:C995"/>
    <mergeCell ref="D994:E994"/>
    <mergeCell ref="H994:H995"/>
    <mergeCell ref="I994:I995"/>
    <mergeCell ref="B996:C996"/>
    <mergeCell ref="B997:C997"/>
    <mergeCell ref="B998:C998"/>
    <mergeCell ref="B999:C999"/>
    <mergeCell ref="B1000:C1000"/>
    <mergeCell ref="B1001:C1001"/>
    <mergeCell ref="B1006:I1006"/>
    <mergeCell ref="D1008:E1008"/>
    <mergeCell ref="F1008:I1008"/>
    <mergeCell ref="B1009:C1010"/>
    <mergeCell ref="D1009:E1009"/>
    <mergeCell ref="H1009:H1010"/>
    <mergeCell ref="I1009:I1010"/>
    <mergeCell ref="B1011:C1011"/>
    <mergeCell ref="B1012:C1012"/>
    <mergeCell ref="B1013:C1013"/>
    <mergeCell ref="B1014:C1014"/>
    <mergeCell ref="B1015:C1015"/>
    <mergeCell ref="B1016:C1016"/>
    <mergeCell ref="B1021:I1021"/>
    <mergeCell ref="D1023:E1023"/>
    <mergeCell ref="F1023:I1023"/>
    <mergeCell ref="B1024:C1025"/>
    <mergeCell ref="D1024:E1024"/>
    <mergeCell ref="H1024:H1025"/>
    <mergeCell ref="I1024:I1025"/>
    <mergeCell ref="B1026:C1026"/>
    <mergeCell ref="B1027:C1027"/>
    <mergeCell ref="B1028:C1028"/>
    <mergeCell ref="B1029:C1029"/>
    <mergeCell ref="B1030:C1030"/>
    <mergeCell ref="B1031:C1031"/>
    <mergeCell ref="B1036:I1036"/>
    <mergeCell ref="D1038:E1038"/>
    <mergeCell ref="F1038:I1038"/>
    <mergeCell ref="B1039:C1040"/>
    <mergeCell ref="D1039:E1039"/>
    <mergeCell ref="H1039:H1040"/>
    <mergeCell ref="I1039:I1040"/>
    <mergeCell ref="B1041:C1041"/>
    <mergeCell ref="B1042:C1042"/>
    <mergeCell ref="B1043:C1043"/>
    <mergeCell ref="B1044:C1044"/>
    <mergeCell ref="B1045:C1045"/>
    <mergeCell ref="B1046:C1046"/>
    <mergeCell ref="B1051:I1051"/>
    <mergeCell ref="D1053:E1053"/>
    <mergeCell ref="F1053:I1053"/>
    <mergeCell ref="B1054:C1055"/>
    <mergeCell ref="D1054:E1054"/>
    <mergeCell ref="H1054:H1055"/>
    <mergeCell ref="I1054:I1055"/>
    <mergeCell ref="B1056:C1056"/>
    <mergeCell ref="B1057:C1057"/>
    <mergeCell ref="B1058:C1058"/>
    <mergeCell ref="B1059:C1059"/>
    <mergeCell ref="B1060:C1060"/>
    <mergeCell ref="B1061:C1061"/>
    <mergeCell ref="B1066:I1066"/>
    <mergeCell ref="D1068:E1068"/>
    <mergeCell ref="F1068:I1068"/>
    <mergeCell ref="B1069:C1070"/>
    <mergeCell ref="D1069:E1069"/>
    <mergeCell ref="H1069:H1070"/>
    <mergeCell ref="I1069:I1070"/>
    <mergeCell ref="B1071:C1071"/>
    <mergeCell ref="B1072:C1072"/>
    <mergeCell ref="B1073:C1073"/>
    <mergeCell ref="B1074:C1074"/>
    <mergeCell ref="B1075:C1075"/>
    <mergeCell ref="B1076:C1076"/>
    <mergeCell ref="B1081:I1081"/>
    <mergeCell ref="D1083:E1083"/>
    <mergeCell ref="F1083:I1083"/>
    <mergeCell ref="B1084:C1085"/>
    <mergeCell ref="D1084:E1084"/>
    <mergeCell ref="H1084:H1085"/>
    <mergeCell ref="I1084:I1085"/>
    <mergeCell ref="B1086:C1086"/>
    <mergeCell ref="B1087:C1087"/>
    <mergeCell ref="B1088:C1088"/>
    <mergeCell ref="B1089:C1089"/>
    <mergeCell ref="B1090:C1090"/>
    <mergeCell ref="B1091:C1091"/>
    <mergeCell ref="B1096:I1096"/>
    <mergeCell ref="D1098:E1098"/>
    <mergeCell ref="F1098:I1098"/>
    <mergeCell ref="B1099:C1100"/>
    <mergeCell ref="D1099:E1099"/>
    <mergeCell ref="H1099:H1100"/>
    <mergeCell ref="I1099:I1100"/>
    <mergeCell ref="B1101:C1101"/>
    <mergeCell ref="B1102:C1102"/>
    <mergeCell ref="B1103:C1103"/>
    <mergeCell ref="B1104:C1104"/>
    <mergeCell ref="B1105:C1105"/>
    <mergeCell ref="B1106:C1106"/>
    <mergeCell ref="B1111:I1111"/>
    <mergeCell ref="D1113:E1113"/>
    <mergeCell ref="F1113:I1113"/>
    <mergeCell ref="B1114:C1115"/>
    <mergeCell ref="D1114:E1114"/>
    <mergeCell ref="H1114:H1115"/>
    <mergeCell ref="I1114:I1115"/>
    <mergeCell ref="B1116:C1116"/>
    <mergeCell ref="B1117:C1117"/>
    <mergeCell ref="B1118:C1118"/>
    <mergeCell ref="B1119:C1119"/>
    <mergeCell ref="B1120:C1120"/>
    <mergeCell ref="B1121:C1121"/>
    <mergeCell ref="B1126:I1126"/>
    <mergeCell ref="D1128:E1128"/>
    <mergeCell ref="F1128:I1128"/>
    <mergeCell ref="B1129:C1130"/>
    <mergeCell ref="D1129:E1129"/>
    <mergeCell ref="H1129:H1130"/>
    <mergeCell ref="I1129:I1130"/>
    <mergeCell ref="B1131:C1131"/>
    <mergeCell ref="B1132:C1132"/>
    <mergeCell ref="B1133:C1133"/>
    <mergeCell ref="B1134:C1134"/>
    <mergeCell ref="B1135:C1135"/>
    <mergeCell ref="B1136:C1136"/>
    <mergeCell ref="B1141:I1141"/>
    <mergeCell ref="D1143:E1143"/>
    <mergeCell ref="F1143:I1143"/>
    <mergeCell ref="B1144:C1145"/>
    <mergeCell ref="D1144:E1144"/>
    <mergeCell ref="H1144:H1145"/>
    <mergeCell ref="I1144:I1145"/>
    <mergeCell ref="B1146:C1146"/>
    <mergeCell ref="B1147:C1147"/>
    <mergeCell ref="B1148:C1148"/>
    <mergeCell ref="B1149:C1149"/>
    <mergeCell ref="B1150:C1150"/>
    <mergeCell ref="B1151:C1151"/>
    <mergeCell ref="B1156:I1156"/>
    <mergeCell ref="D1158:E1158"/>
    <mergeCell ref="F1158:I1158"/>
    <mergeCell ref="B1159:C1160"/>
    <mergeCell ref="D1159:E1159"/>
    <mergeCell ref="H1159:H1160"/>
    <mergeCell ref="I1159:I1160"/>
    <mergeCell ref="B1161:C1161"/>
    <mergeCell ref="B1162:C1162"/>
    <mergeCell ref="B1163:C1163"/>
    <mergeCell ref="B1164:C1164"/>
    <mergeCell ref="B1165:C1165"/>
    <mergeCell ref="B1166:C1166"/>
    <mergeCell ref="B1171:I1171"/>
    <mergeCell ref="D1173:E1173"/>
    <mergeCell ref="F1173:I1173"/>
    <mergeCell ref="B1174:C1175"/>
    <mergeCell ref="D1174:E1174"/>
    <mergeCell ref="H1174:H1175"/>
    <mergeCell ref="I1174:I1175"/>
    <mergeCell ref="B1176:C1176"/>
    <mergeCell ref="B1177:C1177"/>
    <mergeCell ref="B1178:C1178"/>
    <mergeCell ref="B1179:C1179"/>
    <mergeCell ref="B1180:C1180"/>
    <mergeCell ref="B1181:C1181"/>
    <mergeCell ref="B1186:I1186"/>
    <mergeCell ref="D1188:E1188"/>
    <mergeCell ref="F1188:I1188"/>
    <mergeCell ref="B1189:C1190"/>
    <mergeCell ref="D1189:E1189"/>
    <mergeCell ref="H1189:H1190"/>
    <mergeCell ref="I1189:I1190"/>
    <mergeCell ref="B1191:C1191"/>
    <mergeCell ref="B1192:C1192"/>
    <mergeCell ref="B1193:C1193"/>
    <mergeCell ref="B1194:C1194"/>
    <mergeCell ref="B1195:C1195"/>
    <mergeCell ref="B1196:C1196"/>
    <mergeCell ref="B1201:I1201"/>
    <mergeCell ref="D1203:E1203"/>
    <mergeCell ref="F1203:I1203"/>
    <mergeCell ref="B1204:C1205"/>
    <mergeCell ref="D1204:E1204"/>
    <mergeCell ref="H1204:H1205"/>
    <mergeCell ref="I1204:I1205"/>
    <mergeCell ref="B1206:C1206"/>
    <mergeCell ref="B1207:C1207"/>
    <mergeCell ref="B1208:C1208"/>
    <mergeCell ref="B1209:C1209"/>
    <mergeCell ref="B1210:C1210"/>
    <mergeCell ref="B1211:C1211"/>
    <mergeCell ref="B1216:I1216"/>
    <mergeCell ref="D1218:E1218"/>
    <mergeCell ref="F1218:I1218"/>
    <mergeCell ref="B1219:C1220"/>
    <mergeCell ref="D1219:E1219"/>
    <mergeCell ref="H1219:H1220"/>
    <mergeCell ref="I1219:I1220"/>
    <mergeCell ref="B1221:C1221"/>
    <mergeCell ref="B1222:C1222"/>
    <mergeCell ref="B1223:C1223"/>
    <mergeCell ref="B1224:C1224"/>
    <mergeCell ref="B1225:C1225"/>
    <mergeCell ref="B1226:C1226"/>
    <mergeCell ref="B1231:I1231"/>
    <mergeCell ref="D1233:E1233"/>
    <mergeCell ref="F1233:I1233"/>
    <mergeCell ref="B1234:C1235"/>
    <mergeCell ref="D1234:E1234"/>
    <mergeCell ref="H1234:H1235"/>
    <mergeCell ref="I1234:I1235"/>
    <mergeCell ref="B1236:C1236"/>
    <mergeCell ref="B1237:C1237"/>
    <mergeCell ref="B1238:C1238"/>
    <mergeCell ref="B1239:C1239"/>
    <mergeCell ref="B1240:C1240"/>
    <mergeCell ref="B1241:C1241"/>
    <mergeCell ref="B1246:I1246"/>
    <mergeCell ref="D1248:E1248"/>
    <mergeCell ref="F1248:I1248"/>
    <mergeCell ref="B1249:C1250"/>
    <mergeCell ref="D1249:E1249"/>
    <mergeCell ref="H1249:H1250"/>
    <mergeCell ref="I1249:I1250"/>
    <mergeCell ref="B1251:C1251"/>
    <mergeCell ref="B1252:C1252"/>
    <mergeCell ref="B1253:C1253"/>
    <mergeCell ref="B1254:C1254"/>
    <mergeCell ref="B1255:C1255"/>
    <mergeCell ref="B1256:C1256"/>
    <mergeCell ref="B1261:I1261"/>
    <mergeCell ref="D1263:E1263"/>
    <mergeCell ref="F1263:I1263"/>
    <mergeCell ref="B1264:C1265"/>
    <mergeCell ref="D1264:E1264"/>
    <mergeCell ref="H1264:H1265"/>
    <mergeCell ref="I1264:I1265"/>
    <mergeCell ref="B1266:C1266"/>
    <mergeCell ref="B1267:C1267"/>
    <mergeCell ref="B1268:C1268"/>
    <mergeCell ref="B1269:C1269"/>
    <mergeCell ref="B1270:C1270"/>
    <mergeCell ref="B1271:C1271"/>
    <mergeCell ref="B1276:I1276"/>
    <mergeCell ref="D1278:E1278"/>
    <mergeCell ref="F1278:I1278"/>
    <mergeCell ref="B1279:C1280"/>
    <mergeCell ref="D1279:E1279"/>
    <mergeCell ref="H1279:H1280"/>
    <mergeCell ref="I1279:I1280"/>
    <mergeCell ref="B1281:C1281"/>
    <mergeCell ref="B1282:C1282"/>
    <mergeCell ref="B1283:C1283"/>
    <mergeCell ref="B1284:C1284"/>
    <mergeCell ref="B1285:C1285"/>
    <mergeCell ref="B1286:C1286"/>
    <mergeCell ref="B1291:I1291"/>
    <mergeCell ref="D1293:E1293"/>
    <mergeCell ref="F1293:I1293"/>
    <mergeCell ref="B1294:C1295"/>
    <mergeCell ref="D1294:E1294"/>
    <mergeCell ref="H1294:H1295"/>
    <mergeCell ref="I1294:I1295"/>
    <mergeCell ref="B1296:C1296"/>
    <mergeCell ref="B1297:C1297"/>
    <mergeCell ref="B1298:C1298"/>
    <mergeCell ref="B1299:C1299"/>
    <mergeCell ref="B1300:C1300"/>
    <mergeCell ref="B1301:C1301"/>
    <mergeCell ref="B1306:I1306"/>
    <mergeCell ref="D1308:E1308"/>
    <mergeCell ref="F1308:I1308"/>
    <mergeCell ref="B1309:C1310"/>
    <mergeCell ref="D1309:E1309"/>
    <mergeCell ref="H1309:H1310"/>
    <mergeCell ref="I1309:I1310"/>
    <mergeCell ref="B1311:C1311"/>
    <mergeCell ref="B1312:C1312"/>
    <mergeCell ref="B1313:C1313"/>
    <mergeCell ref="B1314:C1314"/>
    <mergeCell ref="B1315:C1315"/>
    <mergeCell ref="B1316:C1316"/>
    <mergeCell ref="B1321:I1321"/>
    <mergeCell ref="D1323:E1323"/>
    <mergeCell ref="F1323:I1323"/>
    <mergeCell ref="B1324:C1325"/>
    <mergeCell ref="D1324:E1324"/>
    <mergeCell ref="H1324:H1325"/>
    <mergeCell ref="I1324:I1325"/>
    <mergeCell ref="B1326:C1326"/>
    <mergeCell ref="B1327:C1327"/>
    <mergeCell ref="B1328:C1328"/>
    <mergeCell ref="B1329:C1329"/>
    <mergeCell ref="B1330:C1330"/>
    <mergeCell ref="B1331:C1331"/>
    <mergeCell ref="B1336:I1336"/>
    <mergeCell ref="D1338:E1338"/>
    <mergeCell ref="F1338:I1338"/>
    <mergeCell ref="B1339:C1340"/>
    <mergeCell ref="D1339:E1339"/>
    <mergeCell ref="H1339:H1340"/>
    <mergeCell ref="I1339:I1340"/>
    <mergeCell ref="B1341:C1341"/>
    <mergeCell ref="B1342:C1342"/>
    <mergeCell ref="B1343:C1343"/>
    <mergeCell ref="B1344:C1344"/>
    <mergeCell ref="B1345:C1345"/>
    <mergeCell ref="B1346:C1346"/>
    <mergeCell ref="B1351:I1351"/>
    <mergeCell ref="D1353:E1353"/>
    <mergeCell ref="F1353:I1353"/>
    <mergeCell ref="B1354:C1355"/>
    <mergeCell ref="D1354:E1354"/>
    <mergeCell ref="H1354:H1355"/>
    <mergeCell ref="I1354:I1355"/>
    <mergeCell ref="B1356:C1356"/>
    <mergeCell ref="B1357:C1357"/>
    <mergeCell ref="B1358:C1358"/>
    <mergeCell ref="B1359:C1359"/>
    <mergeCell ref="B1360:C1360"/>
    <mergeCell ref="B1361:C1361"/>
    <mergeCell ref="B1366:I1366"/>
    <mergeCell ref="D1368:E1368"/>
    <mergeCell ref="F1368:I1368"/>
    <mergeCell ref="B1369:C1370"/>
    <mergeCell ref="D1369:E1369"/>
    <mergeCell ref="H1369:H1370"/>
    <mergeCell ref="I1369:I1370"/>
    <mergeCell ref="B1371:C1371"/>
    <mergeCell ref="B1372:C1372"/>
    <mergeCell ref="B1373:C1373"/>
    <mergeCell ref="B1374:C1374"/>
    <mergeCell ref="B1375:C1375"/>
    <mergeCell ref="B1376:C1376"/>
    <mergeCell ref="B1381:I1381"/>
    <mergeCell ref="D1383:E1383"/>
    <mergeCell ref="F1383:I1383"/>
    <mergeCell ref="B1384:C1385"/>
    <mergeCell ref="D1384:E1384"/>
    <mergeCell ref="H1384:H1385"/>
    <mergeCell ref="I1384:I1385"/>
    <mergeCell ref="B1386:C1386"/>
    <mergeCell ref="B1387:C1387"/>
    <mergeCell ref="B1388:C1388"/>
    <mergeCell ref="B1389:C1389"/>
    <mergeCell ref="B1390:C1390"/>
    <mergeCell ref="B1391:C1391"/>
    <mergeCell ref="B1396:I1396"/>
    <mergeCell ref="D1398:E1398"/>
    <mergeCell ref="F1398:I1398"/>
    <mergeCell ref="B1399:C1400"/>
    <mergeCell ref="D1399:E1399"/>
    <mergeCell ref="H1399:H1400"/>
    <mergeCell ref="I1399:I1400"/>
    <mergeCell ref="B1401:C1401"/>
    <mergeCell ref="B1402:C1402"/>
    <mergeCell ref="B1403:C1403"/>
    <mergeCell ref="B1404:C1404"/>
    <mergeCell ref="B1405:C1405"/>
    <mergeCell ref="B1406:C1406"/>
    <mergeCell ref="B1411:I1411"/>
    <mergeCell ref="D1413:E1413"/>
    <mergeCell ref="F1413:I1413"/>
    <mergeCell ref="B1414:C1415"/>
    <mergeCell ref="D1414:E1414"/>
    <mergeCell ref="H1414:H1415"/>
    <mergeCell ref="I1414:I1415"/>
    <mergeCell ref="B1416:C1416"/>
    <mergeCell ref="B1417:C1417"/>
    <mergeCell ref="B1418:C1418"/>
    <mergeCell ref="B1419:C1419"/>
    <mergeCell ref="B1420:C1420"/>
    <mergeCell ref="B1421:C1421"/>
    <mergeCell ref="B1426:I1426"/>
    <mergeCell ref="D1428:E1428"/>
    <mergeCell ref="F1428:I1428"/>
    <mergeCell ref="B1429:C1430"/>
    <mergeCell ref="D1429:E1429"/>
    <mergeCell ref="H1429:H1430"/>
    <mergeCell ref="I1429:I1430"/>
    <mergeCell ref="B1431:C1431"/>
    <mergeCell ref="B1432:C1432"/>
    <mergeCell ref="B1433:C1433"/>
    <mergeCell ref="B1434:C1434"/>
    <mergeCell ref="B1435:C1435"/>
    <mergeCell ref="B1436:C1436"/>
    <mergeCell ref="B1441:I1441"/>
    <mergeCell ref="D1443:E1443"/>
    <mergeCell ref="F1443:I1443"/>
    <mergeCell ref="B1444:C1445"/>
    <mergeCell ref="D1444:E1444"/>
    <mergeCell ref="H1444:H1445"/>
    <mergeCell ref="I1444:I1445"/>
    <mergeCell ref="B1446:C1446"/>
    <mergeCell ref="B1447:C1447"/>
    <mergeCell ref="B1448:C1448"/>
    <mergeCell ref="B1449:C1449"/>
    <mergeCell ref="B1450:C1450"/>
    <mergeCell ref="B1451:C1451"/>
    <mergeCell ref="B1456:I1456"/>
    <mergeCell ref="D1458:E1458"/>
    <mergeCell ref="F1458:I1458"/>
    <mergeCell ref="B1459:C1460"/>
    <mergeCell ref="D1459:E1459"/>
    <mergeCell ref="H1459:H1460"/>
    <mergeCell ref="I1459:I1460"/>
    <mergeCell ref="B1461:C1461"/>
    <mergeCell ref="B1462:C1462"/>
    <mergeCell ref="B1463:C1463"/>
    <mergeCell ref="B1464:C1464"/>
    <mergeCell ref="B1465:C1465"/>
    <mergeCell ref="B1466:C1466"/>
    <mergeCell ref="B1471:I1471"/>
    <mergeCell ref="D1473:E1473"/>
    <mergeCell ref="F1473:I1473"/>
    <mergeCell ref="B1474:C1475"/>
    <mergeCell ref="D1474:E1474"/>
    <mergeCell ref="H1474:H1475"/>
    <mergeCell ref="I1474:I1475"/>
    <mergeCell ref="B1476:C1476"/>
    <mergeCell ref="B1477:C1477"/>
    <mergeCell ref="B1478:C1478"/>
    <mergeCell ref="B1479:C1479"/>
    <mergeCell ref="B1480:C1480"/>
    <mergeCell ref="B1481:C1481"/>
    <mergeCell ref="B1486:I1486"/>
    <mergeCell ref="D1488:E1488"/>
    <mergeCell ref="F1488:I1488"/>
    <mergeCell ref="B1489:C1490"/>
    <mergeCell ref="D1489:E1489"/>
    <mergeCell ref="H1489:H1490"/>
    <mergeCell ref="I1489:I1490"/>
    <mergeCell ref="B1491:C1491"/>
    <mergeCell ref="B1492:C1492"/>
    <mergeCell ref="B1493:C1493"/>
    <mergeCell ref="B1494:C1494"/>
    <mergeCell ref="B1495:C1495"/>
    <mergeCell ref="B1496:C1496"/>
    <mergeCell ref="B1501:I1501"/>
    <mergeCell ref="D1503:E1503"/>
    <mergeCell ref="F1503:I1503"/>
    <mergeCell ref="B1504:C1505"/>
    <mergeCell ref="D1504:E1504"/>
    <mergeCell ref="H1504:H1505"/>
    <mergeCell ref="I1504:I1505"/>
    <mergeCell ref="B1506:C1506"/>
    <mergeCell ref="B1507:C1507"/>
    <mergeCell ref="B1508:C1508"/>
    <mergeCell ref="B1509:C1509"/>
    <mergeCell ref="B1510:C1510"/>
    <mergeCell ref="B1511:C1511"/>
    <mergeCell ref="B1516:I1516"/>
    <mergeCell ref="D1518:E1518"/>
    <mergeCell ref="F1518:I1518"/>
    <mergeCell ref="B1519:C1520"/>
    <mergeCell ref="D1519:E1519"/>
    <mergeCell ref="H1519:H1520"/>
    <mergeCell ref="I1519:I1520"/>
    <mergeCell ref="B1521:C1521"/>
    <mergeCell ref="B1522:C1522"/>
    <mergeCell ref="B1523:C1523"/>
    <mergeCell ref="B1524:C1524"/>
    <mergeCell ref="B1525:C1525"/>
    <mergeCell ref="B1526:C1526"/>
    <mergeCell ref="B1531:I1531"/>
    <mergeCell ref="D1533:E1533"/>
    <mergeCell ref="F1533:I1533"/>
    <mergeCell ref="B1534:C1535"/>
    <mergeCell ref="D1534:E1534"/>
    <mergeCell ref="H1534:H1535"/>
    <mergeCell ref="I1534:I1535"/>
    <mergeCell ref="B1536:C1536"/>
    <mergeCell ref="B1537:C1537"/>
    <mergeCell ref="B1538:C1538"/>
    <mergeCell ref="B1539:C1539"/>
    <mergeCell ref="B1540:C1540"/>
    <mergeCell ref="B1541:C1541"/>
    <mergeCell ref="B1546:I1546"/>
    <mergeCell ref="D1548:E1548"/>
    <mergeCell ref="F1548:I1548"/>
    <mergeCell ref="B1549:C1550"/>
    <mergeCell ref="D1549:E1549"/>
    <mergeCell ref="H1549:H1550"/>
    <mergeCell ref="I1549:I1550"/>
    <mergeCell ref="B1551:C1551"/>
    <mergeCell ref="B1552:C1552"/>
    <mergeCell ref="B1553:C1553"/>
    <mergeCell ref="B1554:C1554"/>
    <mergeCell ref="B1555:C1555"/>
    <mergeCell ref="B1556:C1556"/>
    <mergeCell ref="B1561:I1561"/>
    <mergeCell ref="D1563:E1563"/>
    <mergeCell ref="F1563:I1563"/>
    <mergeCell ref="B1564:C1565"/>
    <mergeCell ref="D1564:E1564"/>
    <mergeCell ref="H1564:H1565"/>
    <mergeCell ref="I1564:I1565"/>
    <mergeCell ref="B1566:C1566"/>
    <mergeCell ref="B1567:C1567"/>
    <mergeCell ref="B1568:C1568"/>
    <mergeCell ref="B1569:C1569"/>
    <mergeCell ref="B1570:C1570"/>
    <mergeCell ref="B1571:C1571"/>
    <mergeCell ref="B1576:I1576"/>
    <mergeCell ref="D1578:E1578"/>
    <mergeCell ref="F1578:I1578"/>
    <mergeCell ref="B1579:C1580"/>
    <mergeCell ref="D1579:E1579"/>
    <mergeCell ref="H1579:H1580"/>
    <mergeCell ref="I1579:I1580"/>
    <mergeCell ref="B1581:C1581"/>
    <mergeCell ref="B1582:C1582"/>
    <mergeCell ref="B1583:C1583"/>
    <mergeCell ref="B1584:C1584"/>
    <mergeCell ref="B1585:C1585"/>
    <mergeCell ref="B1586:C1586"/>
    <mergeCell ref="B1591:I1591"/>
    <mergeCell ref="D1593:E1593"/>
    <mergeCell ref="F1593:I1593"/>
    <mergeCell ref="B1594:C1595"/>
    <mergeCell ref="D1594:E1594"/>
    <mergeCell ref="H1594:H1595"/>
    <mergeCell ref="I1594:I1595"/>
    <mergeCell ref="B1596:C1596"/>
    <mergeCell ref="B1597:C1597"/>
    <mergeCell ref="B1598:C1598"/>
    <mergeCell ref="B1599:C1599"/>
    <mergeCell ref="B1600:C1600"/>
    <mergeCell ref="B1601:C1601"/>
    <mergeCell ref="B1606:I1606"/>
    <mergeCell ref="D1608:E1608"/>
    <mergeCell ref="F1608:I1608"/>
    <mergeCell ref="B1609:C1610"/>
    <mergeCell ref="D1609:E1609"/>
    <mergeCell ref="H1609:H1610"/>
    <mergeCell ref="I1609:I1610"/>
    <mergeCell ref="B1611:C1611"/>
    <mergeCell ref="B1612:C1612"/>
    <mergeCell ref="B1613:C1613"/>
    <mergeCell ref="B1614:C1614"/>
    <mergeCell ref="B1615:C1615"/>
    <mergeCell ref="B1616:C1616"/>
    <mergeCell ref="B1621:I1621"/>
    <mergeCell ref="D1623:E1623"/>
    <mergeCell ref="F1623:I1623"/>
    <mergeCell ref="B1624:C1625"/>
    <mergeCell ref="D1624:E1624"/>
    <mergeCell ref="H1624:H1625"/>
    <mergeCell ref="I1624:I1625"/>
    <mergeCell ref="B1626:C1626"/>
    <mergeCell ref="B1627:C1627"/>
    <mergeCell ref="B1628:C1628"/>
    <mergeCell ref="B1629:C1629"/>
    <mergeCell ref="B1630:C1630"/>
    <mergeCell ref="B1631:C1631"/>
    <mergeCell ref="B1636:I1636"/>
    <mergeCell ref="D1638:E1638"/>
    <mergeCell ref="F1638:I1638"/>
    <mergeCell ref="B1639:C1640"/>
    <mergeCell ref="D1639:E1639"/>
    <mergeCell ref="H1639:H1640"/>
    <mergeCell ref="I1639:I1640"/>
    <mergeCell ref="B1641:C1641"/>
    <mergeCell ref="B1642:C1642"/>
    <mergeCell ref="B1643:C1643"/>
    <mergeCell ref="B1644:C1644"/>
    <mergeCell ref="B1645:C1645"/>
    <mergeCell ref="B1646:C1646"/>
    <mergeCell ref="B1651:I1651"/>
    <mergeCell ref="D1653:E1653"/>
    <mergeCell ref="F1653:I1653"/>
    <mergeCell ref="B1654:C1655"/>
    <mergeCell ref="D1654:E1654"/>
    <mergeCell ref="H1654:H1655"/>
    <mergeCell ref="I1654:I1655"/>
    <mergeCell ref="B1656:C1656"/>
    <mergeCell ref="B1657:C1657"/>
    <mergeCell ref="B1658:C1658"/>
    <mergeCell ref="B1659:C1659"/>
    <mergeCell ref="B1660:C1660"/>
    <mergeCell ref="B1661:C1661"/>
    <mergeCell ref="B1666:I1666"/>
    <mergeCell ref="D1668:E1668"/>
    <mergeCell ref="F1668:I1668"/>
    <mergeCell ref="B1669:C1670"/>
    <mergeCell ref="D1669:E1669"/>
    <mergeCell ref="H1669:H1670"/>
    <mergeCell ref="I1669:I1670"/>
    <mergeCell ref="B1671:C1671"/>
    <mergeCell ref="B1672:C1672"/>
    <mergeCell ref="B1673:C1673"/>
    <mergeCell ref="B1674:C1674"/>
    <mergeCell ref="B1675:C1675"/>
    <mergeCell ref="B1676:C1676"/>
    <mergeCell ref="B1681:I1681"/>
    <mergeCell ref="D1683:E1683"/>
    <mergeCell ref="F1683:I1683"/>
    <mergeCell ref="B1684:C1685"/>
    <mergeCell ref="D1684:E1684"/>
    <mergeCell ref="H1684:H1685"/>
    <mergeCell ref="I1684:I1685"/>
    <mergeCell ref="B1686:C1686"/>
    <mergeCell ref="B1687:C1687"/>
    <mergeCell ref="B1688:C1688"/>
    <mergeCell ref="B1689:C1689"/>
    <mergeCell ref="B1690:C1690"/>
    <mergeCell ref="B1691:C1691"/>
    <mergeCell ref="B1696:I1696"/>
    <mergeCell ref="D1698:E1698"/>
    <mergeCell ref="F1698:I1698"/>
    <mergeCell ref="B1699:C1700"/>
    <mergeCell ref="D1699:E1699"/>
    <mergeCell ref="H1699:H1700"/>
    <mergeCell ref="I1699:I1700"/>
    <mergeCell ref="B1701:C1701"/>
    <mergeCell ref="B1702:C1702"/>
    <mergeCell ref="B1703:C1703"/>
    <mergeCell ref="B1704:C1704"/>
    <mergeCell ref="B1705:C1705"/>
    <mergeCell ref="B1706:C1706"/>
    <mergeCell ref="B1711:I1711"/>
    <mergeCell ref="D1713:E1713"/>
    <mergeCell ref="F1713:I1713"/>
    <mergeCell ref="B1714:C1715"/>
    <mergeCell ref="D1714:E1714"/>
    <mergeCell ref="H1714:H1715"/>
    <mergeCell ref="I1714:I1715"/>
    <mergeCell ref="B1716:C1716"/>
    <mergeCell ref="B1717:C1717"/>
    <mergeCell ref="B1718:C1718"/>
    <mergeCell ref="B1719:C1719"/>
    <mergeCell ref="B1720:C1720"/>
    <mergeCell ref="B1721:C1721"/>
    <mergeCell ref="B1726:I1726"/>
    <mergeCell ref="D1728:E1728"/>
    <mergeCell ref="F1728:I1728"/>
    <mergeCell ref="B1729:C1730"/>
    <mergeCell ref="D1729:E1729"/>
    <mergeCell ref="H1729:H1730"/>
    <mergeCell ref="I1729:I1730"/>
    <mergeCell ref="B1731:C1731"/>
    <mergeCell ref="B1732:C1732"/>
    <mergeCell ref="B1733:C1733"/>
    <mergeCell ref="B1734:C1734"/>
    <mergeCell ref="B1735:C1735"/>
    <mergeCell ref="B1736:C1736"/>
    <mergeCell ref="B1741:I1741"/>
    <mergeCell ref="D1743:E1743"/>
    <mergeCell ref="F1743:I1743"/>
    <mergeCell ref="B1744:C1745"/>
    <mergeCell ref="D1744:E1744"/>
    <mergeCell ref="H1744:H1745"/>
    <mergeCell ref="I1744:I1745"/>
    <mergeCell ref="B1746:C1746"/>
    <mergeCell ref="B1747:C1747"/>
    <mergeCell ref="B1748:C1748"/>
    <mergeCell ref="B1749:C1749"/>
    <mergeCell ref="B1750:C1750"/>
    <mergeCell ref="B1751:C1751"/>
    <mergeCell ref="B1756:I1756"/>
    <mergeCell ref="D1758:E1758"/>
    <mergeCell ref="F1758:I1758"/>
    <mergeCell ref="B1759:C1760"/>
    <mergeCell ref="D1759:E1759"/>
    <mergeCell ref="H1759:H1760"/>
    <mergeCell ref="I1759:I1760"/>
    <mergeCell ref="B1761:C1761"/>
    <mergeCell ref="B1762:C1762"/>
    <mergeCell ref="B1763:C1763"/>
    <mergeCell ref="B1764:C1764"/>
    <mergeCell ref="B1765:C1765"/>
    <mergeCell ref="B1766:C1766"/>
    <mergeCell ref="B1771:I1771"/>
    <mergeCell ref="D1773:E1773"/>
    <mergeCell ref="F1773:I1773"/>
    <mergeCell ref="B1774:C1775"/>
    <mergeCell ref="D1774:E1774"/>
    <mergeCell ref="H1774:H1775"/>
    <mergeCell ref="I1774:I1775"/>
    <mergeCell ref="B1776:C1776"/>
    <mergeCell ref="B1777:C1777"/>
    <mergeCell ref="B1778:C1778"/>
    <mergeCell ref="B1779:C1779"/>
    <mergeCell ref="B1780:C1780"/>
    <mergeCell ref="B1781:C1781"/>
    <mergeCell ref="B1786:I1786"/>
    <mergeCell ref="D1788:E1788"/>
    <mergeCell ref="F1788:I1788"/>
    <mergeCell ref="B1789:C1790"/>
    <mergeCell ref="D1789:E1789"/>
    <mergeCell ref="H1789:H1790"/>
    <mergeCell ref="I1789:I1790"/>
    <mergeCell ref="B1791:C1791"/>
    <mergeCell ref="B1792:C1792"/>
    <mergeCell ref="B1793:C1793"/>
    <mergeCell ref="B1794:C1794"/>
    <mergeCell ref="B1795:C1795"/>
    <mergeCell ref="B1796:C1796"/>
    <mergeCell ref="B1801:I1801"/>
    <mergeCell ref="D1803:E1803"/>
    <mergeCell ref="F1803:I1803"/>
    <mergeCell ref="B1804:C1805"/>
    <mergeCell ref="D1804:E1804"/>
    <mergeCell ref="H1804:H1805"/>
    <mergeCell ref="I1804:I1805"/>
    <mergeCell ref="B1806:C1806"/>
    <mergeCell ref="B1807:C1807"/>
    <mergeCell ref="B1808:C1808"/>
    <mergeCell ref="B1809:C1809"/>
    <mergeCell ref="B1810:C1810"/>
    <mergeCell ref="B1811:C1811"/>
    <mergeCell ref="B1816:I1816"/>
    <mergeCell ref="D1818:E1818"/>
    <mergeCell ref="F1818:I1818"/>
    <mergeCell ref="B1819:C1820"/>
    <mergeCell ref="D1819:E1819"/>
    <mergeCell ref="H1819:H1820"/>
    <mergeCell ref="I1819:I1820"/>
    <mergeCell ref="B1821:C1821"/>
    <mergeCell ref="B1822:C1822"/>
    <mergeCell ref="B1823:C1823"/>
    <mergeCell ref="B1824:C1824"/>
    <mergeCell ref="B1825:C1825"/>
    <mergeCell ref="B1826:C1826"/>
    <mergeCell ref="B1831:I1831"/>
    <mergeCell ref="D1833:E1833"/>
    <mergeCell ref="F1833:I1833"/>
    <mergeCell ref="B1834:C1835"/>
    <mergeCell ref="D1834:E1834"/>
    <mergeCell ref="H1834:H1835"/>
    <mergeCell ref="I1834:I1835"/>
    <mergeCell ref="B1836:C1836"/>
    <mergeCell ref="B1837:C1837"/>
    <mergeCell ref="B1838:C1838"/>
    <mergeCell ref="B1839:C1839"/>
    <mergeCell ref="B1840:C1840"/>
    <mergeCell ref="B1841:C1841"/>
    <mergeCell ref="B1846:I1846"/>
    <mergeCell ref="D1848:E1848"/>
    <mergeCell ref="F1848:I1848"/>
    <mergeCell ref="B1849:C1850"/>
    <mergeCell ref="D1849:E1849"/>
    <mergeCell ref="H1849:H1850"/>
    <mergeCell ref="I1849:I1850"/>
    <mergeCell ref="B1851:C1851"/>
    <mergeCell ref="B1852:C1852"/>
    <mergeCell ref="B1853:C1853"/>
    <mergeCell ref="B1854:C1854"/>
    <mergeCell ref="B1855:C1855"/>
    <mergeCell ref="B1856:C1856"/>
    <mergeCell ref="B1861:I1861"/>
    <mergeCell ref="D1863:E1863"/>
    <mergeCell ref="F1863:I1863"/>
    <mergeCell ref="B1864:C1865"/>
    <mergeCell ref="D1864:E1864"/>
    <mergeCell ref="H1864:H1865"/>
    <mergeCell ref="I1864:I1865"/>
    <mergeCell ref="B1866:C1866"/>
    <mergeCell ref="B1867:C1867"/>
    <mergeCell ref="B1868:C1868"/>
    <mergeCell ref="B1869:C1869"/>
    <mergeCell ref="B1870:C1870"/>
    <mergeCell ref="B1871:C1871"/>
    <mergeCell ref="B1876:I1876"/>
    <mergeCell ref="D1878:E1878"/>
    <mergeCell ref="F1878:I1878"/>
    <mergeCell ref="B1879:C1880"/>
    <mergeCell ref="D1879:E1879"/>
    <mergeCell ref="H1879:H1880"/>
    <mergeCell ref="I1879:I1880"/>
    <mergeCell ref="B1881:C1881"/>
    <mergeCell ref="B1882:C1882"/>
    <mergeCell ref="B1883:C1883"/>
    <mergeCell ref="B1884:C1884"/>
    <mergeCell ref="B1885:C1885"/>
    <mergeCell ref="B1886:C1886"/>
    <mergeCell ref="B1891:I1891"/>
    <mergeCell ref="D1893:E1893"/>
    <mergeCell ref="F1893:I1893"/>
    <mergeCell ref="B1894:C1895"/>
    <mergeCell ref="D1894:E1894"/>
    <mergeCell ref="H1894:H1895"/>
    <mergeCell ref="I1894:I1895"/>
    <mergeCell ref="B1896:C1896"/>
    <mergeCell ref="B1897:C1897"/>
    <mergeCell ref="B1898:C1898"/>
    <mergeCell ref="B1899:C1899"/>
    <mergeCell ref="B1900:C1900"/>
    <mergeCell ref="B1901:C1901"/>
    <mergeCell ref="B1906:I1906"/>
    <mergeCell ref="D1908:E1908"/>
    <mergeCell ref="F1908:I1908"/>
    <mergeCell ref="B1909:C1910"/>
    <mergeCell ref="D1909:E1909"/>
    <mergeCell ref="H1909:H1910"/>
    <mergeCell ref="I1909:I1910"/>
    <mergeCell ref="B1911:C1911"/>
    <mergeCell ref="B1912:C1912"/>
    <mergeCell ref="B1913:C1913"/>
    <mergeCell ref="B1914:C1914"/>
    <mergeCell ref="B1915:C1915"/>
    <mergeCell ref="B1916:C1916"/>
    <mergeCell ref="B1921:I1921"/>
    <mergeCell ref="D1923:E1923"/>
    <mergeCell ref="F1923:I1923"/>
    <mergeCell ref="B1924:C1925"/>
    <mergeCell ref="D1924:E1924"/>
    <mergeCell ref="H1924:H1925"/>
    <mergeCell ref="I1924:I1925"/>
    <mergeCell ref="B1926:C1926"/>
    <mergeCell ref="B1927:C1927"/>
    <mergeCell ref="B1928:C1928"/>
    <mergeCell ref="B1929:C1929"/>
    <mergeCell ref="B1930:C1930"/>
    <mergeCell ref="B1931:C1931"/>
    <mergeCell ref="B1936:I1936"/>
    <mergeCell ref="D1938:E1938"/>
    <mergeCell ref="F1938:I1938"/>
    <mergeCell ref="B1939:C1940"/>
    <mergeCell ref="D1939:E1939"/>
    <mergeCell ref="H1939:H1940"/>
    <mergeCell ref="I1939:I1940"/>
    <mergeCell ref="B1941:C1941"/>
    <mergeCell ref="B1942:C1942"/>
    <mergeCell ref="B1943:C1943"/>
    <mergeCell ref="B1944:C1944"/>
    <mergeCell ref="B1945:C1945"/>
    <mergeCell ref="B1946:C1946"/>
    <mergeCell ref="B1951:I1951"/>
    <mergeCell ref="D1953:E1953"/>
    <mergeCell ref="F1953:I1953"/>
    <mergeCell ref="B1954:C1955"/>
    <mergeCell ref="D1954:E1954"/>
    <mergeCell ref="H1954:H1955"/>
    <mergeCell ref="I1954:I1955"/>
    <mergeCell ref="B1956:C1956"/>
    <mergeCell ref="B1957:C1957"/>
    <mergeCell ref="B1958:C1958"/>
    <mergeCell ref="B1959:C1959"/>
    <mergeCell ref="B1960:C1960"/>
    <mergeCell ref="B1961:C1961"/>
    <mergeCell ref="B1966:I1966"/>
    <mergeCell ref="D1968:E1968"/>
    <mergeCell ref="F1968:I1968"/>
    <mergeCell ref="B1969:C1970"/>
    <mergeCell ref="D1969:E1969"/>
    <mergeCell ref="H1969:H1970"/>
    <mergeCell ref="I1969:I1970"/>
    <mergeCell ref="B1971:C1971"/>
    <mergeCell ref="B1972:C1972"/>
    <mergeCell ref="B1973:C1973"/>
    <mergeCell ref="B1974:C1974"/>
    <mergeCell ref="B1975:C1975"/>
    <mergeCell ref="B1976:C1976"/>
    <mergeCell ref="B1981:I1981"/>
    <mergeCell ref="D1983:E1983"/>
    <mergeCell ref="F1983:I1983"/>
    <mergeCell ref="B1984:C1985"/>
    <mergeCell ref="D1984:E1984"/>
    <mergeCell ref="H1984:H1985"/>
    <mergeCell ref="I1984:I1985"/>
    <mergeCell ref="B1986:C1986"/>
    <mergeCell ref="B1987:C1987"/>
    <mergeCell ref="B1988:C1988"/>
    <mergeCell ref="B1989:C1989"/>
    <mergeCell ref="B1990:C1990"/>
    <mergeCell ref="B1991:C1991"/>
    <mergeCell ref="B1996:I1996"/>
    <mergeCell ref="D1998:E1998"/>
    <mergeCell ref="F1998:I1998"/>
    <mergeCell ref="B1999:C2000"/>
    <mergeCell ref="D1999:E1999"/>
    <mergeCell ref="H1999:H2000"/>
    <mergeCell ref="I1999:I2000"/>
    <mergeCell ref="B2001:C2001"/>
    <mergeCell ref="B2002:C2002"/>
    <mergeCell ref="B2003:C2003"/>
    <mergeCell ref="B2004:C2004"/>
    <mergeCell ref="B2005:C2005"/>
    <mergeCell ref="B2006:C2006"/>
    <mergeCell ref="B2011:I2011"/>
    <mergeCell ref="D2013:E2013"/>
    <mergeCell ref="F2013:I2013"/>
    <mergeCell ref="B2014:C2015"/>
    <mergeCell ref="D2014:E2014"/>
    <mergeCell ref="H2014:H2015"/>
    <mergeCell ref="I2014:I2015"/>
    <mergeCell ref="B2016:C2016"/>
    <mergeCell ref="B2017:C2017"/>
    <mergeCell ref="B2018:C2018"/>
    <mergeCell ref="B2019:C2019"/>
    <mergeCell ref="B2020:C2020"/>
    <mergeCell ref="B2021:C2021"/>
    <mergeCell ref="B2026:I2026"/>
    <mergeCell ref="D2028:E2028"/>
    <mergeCell ref="F2028:I2028"/>
    <mergeCell ref="B2029:C2030"/>
    <mergeCell ref="D2029:E2029"/>
    <mergeCell ref="H2029:H2030"/>
    <mergeCell ref="I2029:I2030"/>
    <mergeCell ref="B2031:C2031"/>
    <mergeCell ref="B2032:C2032"/>
    <mergeCell ref="B2033:C2033"/>
    <mergeCell ref="B2034:C2034"/>
    <mergeCell ref="B2035:C2035"/>
    <mergeCell ref="B2036:C2036"/>
    <mergeCell ref="B2041:I2041"/>
    <mergeCell ref="D2043:E2043"/>
    <mergeCell ref="F2043:I2043"/>
    <mergeCell ref="B2044:C2045"/>
    <mergeCell ref="D2044:E2044"/>
    <mergeCell ref="H2044:H2045"/>
    <mergeCell ref="I2044:I2045"/>
    <mergeCell ref="B2046:C2046"/>
    <mergeCell ref="B2047:C2047"/>
    <mergeCell ref="B2048:C2048"/>
    <mergeCell ref="B2049:C2049"/>
    <mergeCell ref="B2050:C2050"/>
    <mergeCell ref="B2051:C2051"/>
    <mergeCell ref="B2056:I2056"/>
    <mergeCell ref="D2058:E2058"/>
    <mergeCell ref="F2058:I2058"/>
    <mergeCell ref="B2059:C2060"/>
    <mergeCell ref="D2059:E2059"/>
    <mergeCell ref="H2059:H2060"/>
    <mergeCell ref="I2059:I2060"/>
    <mergeCell ref="B2061:C2061"/>
    <mergeCell ref="B2062:C2062"/>
    <mergeCell ref="B2063:C2063"/>
    <mergeCell ref="B2064:C2064"/>
    <mergeCell ref="B2065:C2065"/>
    <mergeCell ref="B2066:C2066"/>
    <mergeCell ref="B2071:I2071"/>
    <mergeCell ref="D2073:E2073"/>
    <mergeCell ref="F2073:I2073"/>
    <mergeCell ref="B2074:C2075"/>
    <mergeCell ref="D2074:E2074"/>
    <mergeCell ref="H2074:H2075"/>
    <mergeCell ref="I2074:I2075"/>
    <mergeCell ref="B2076:C2076"/>
    <mergeCell ref="B2077:C2077"/>
    <mergeCell ref="B2078:C2078"/>
    <mergeCell ref="B2079:C2079"/>
    <mergeCell ref="B2080:C2080"/>
    <mergeCell ref="B2081:C2081"/>
    <mergeCell ref="B2086:I2086"/>
    <mergeCell ref="D2088:E2088"/>
    <mergeCell ref="F2088:I2088"/>
    <mergeCell ref="B2089:C2090"/>
    <mergeCell ref="D2089:E2089"/>
    <mergeCell ref="H2089:H2090"/>
    <mergeCell ref="I2089:I2090"/>
    <mergeCell ref="B2091:C2091"/>
    <mergeCell ref="B2092:C2092"/>
    <mergeCell ref="B2093:C2093"/>
    <mergeCell ref="B2094:C2094"/>
    <mergeCell ref="B2095:C2095"/>
    <mergeCell ref="B2096:C2096"/>
    <mergeCell ref="B2101:I2101"/>
    <mergeCell ref="D2103:E2103"/>
    <mergeCell ref="F2103:I2103"/>
    <mergeCell ref="B2104:C2105"/>
    <mergeCell ref="D2104:E2104"/>
    <mergeCell ref="H2104:H2105"/>
    <mergeCell ref="I2104:I2105"/>
    <mergeCell ref="B2106:C2106"/>
    <mergeCell ref="B2107:C2107"/>
    <mergeCell ref="B2108:C2108"/>
    <mergeCell ref="B2109:C2109"/>
    <mergeCell ref="B2110:C2110"/>
    <mergeCell ref="B2111:C2111"/>
    <mergeCell ref="B2116:I2116"/>
    <mergeCell ref="D2118:E2118"/>
    <mergeCell ref="F2118:I2118"/>
    <mergeCell ref="B2119:C2120"/>
    <mergeCell ref="D2119:E2119"/>
    <mergeCell ref="H2119:H2120"/>
    <mergeCell ref="I2119:I2120"/>
    <mergeCell ref="B2121:C2121"/>
    <mergeCell ref="B2122:C2122"/>
    <mergeCell ref="B2123:C2123"/>
    <mergeCell ref="B2124:C2124"/>
    <mergeCell ref="B2125:C2125"/>
    <mergeCell ref="B2126:C2126"/>
    <mergeCell ref="B2131:I2131"/>
    <mergeCell ref="D2133:E2133"/>
    <mergeCell ref="F2133:I2133"/>
    <mergeCell ref="B2134:C2135"/>
    <mergeCell ref="D2134:E2134"/>
    <mergeCell ref="H2134:H2135"/>
    <mergeCell ref="I2134:I2135"/>
    <mergeCell ref="B2136:C2136"/>
    <mergeCell ref="B2137:C2137"/>
    <mergeCell ref="B2138:C2138"/>
    <mergeCell ref="B2139:C2139"/>
    <mergeCell ref="B2140:C2140"/>
    <mergeCell ref="B2141:C2141"/>
    <mergeCell ref="B2146:I2146"/>
    <mergeCell ref="D2148:E2148"/>
    <mergeCell ref="F2148:I2148"/>
    <mergeCell ref="B2149:C2150"/>
    <mergeCell ref="D2149:E2149"/>
    <mergeCell ref="H2149:H2150"/>
    <mergeCell ref="I2149:I2150"/>
    <mergeCell ref="B2151:C2151"/>
    <mergeCell ref="B2152:C2152"/>
    <mergeCell ref="B2153:C2153"/>
    <mergeCell ref="B2154:C2154"/>
    <mergeCell ref="B2155:C2155"/>
    <mergeCell ref="B2156:C2156"/>
    <mergeCell ref="B2161:I2161"/>
    <mergeCell ref="D2163:E2163"/>
    <mergeCell ref="F2163:I2163"/>
    <mergeCell ref="B2164:C2165"/>
    <mergeCell ref="D2164:E2164"/>
    <mergeCell ref="H2164:H2165"/>
    <mergeCell ref="I2164:I2165"/>
    <mergeCell ref="B2166:C2166"/>
    <mergeCell ref="B2167:C2167"/>
    <mergeCell ref="B2168:C2168"/>
    <mergeCell ref="B2169:C2169"/>
    <mergeCell ref="B2170:C2170"/>
    <mergeCell ref="B2171:C2171"/>
    <mergeCell ref="B2176:I2176"/>
    <mergeCell ref="D2178:E2178"/>
    <mergeCell ref="F2178:I2178"/>
    <mergeCell ref="B2179:C2180"/>
    <mergeCell ref="D2179:E2179"/>
    <mergeCell ref="H2179:H2180"/>
    <mergeCell ref="I2179:I2180"/>
    <mergeCell ref="B2181:C2181"/>
    <mergeCell ref="B2182:C2182"/>
    <mergeCell ref="B2183:C2183"/>
    <mergeCell ref="B2184:C2184"/>
    <mergeCell ref="B2185:C2185"/>
    <mergeCell ref="B2186:C2186"/>
    <mergeCell ref="B2191:I2191"/>
    <mergeCell ref="D2193:E2193"/>
    <mergeCell ref="F2193:I2193"/>
    <mergeCell ref="B2194:C2195"/>
    <mergeCell ref="D2194:E2194"/>
    <mergeCell ref="H2194:H2195"/>
    <mergeCell ref="I2194:I2195"/>
    <mergeCell ref="B2196:C2196"/>
    <mergeCell ref="B2197:C2197"/>
    <mergeCell ref="B2198:C2198"/>
    <mergeCell ref="B2199:C2199"/>
    <mergeCell ref="B2200:C2200"/>
    <mergeCell ref="B2201:C2201"/>
    <mergeCell ref="B2206:I2206"/>
    <mergeCell ref="D2208:E2208"/>
    <mergeCell ref="F2208:I2208"/>
    <mergeCell ref="B2209:C2210"/>
    <mergeCell ref="D2209:E2209"/>
    <mergeCell ref="H2209:H2210"/>
    <mergeCell ref="I2209:I2210"/>
    <mergeCell ref="B2211:C2211"/>
    <mergeCell ref="B2212:C2212"/>
    <mergeCell ref="B2213:C2213"/>
    <mergeCell ref="B2214:C2214"/>
    <mergeCell ref="B2215:C2215"/>
    <mergeCell ref="B2216:C2216"/>
    <mergeCell ref="B2221:I2221"/>
    <mergeCell ref="D2223:E2223"/>
    <mergeCell ref="F2223:I2223"/>
    <mergeCell ref="B2224:C2225"/>
    <mergeCell ref="D2224:E2224"/>
    <mergeCell ref="H2224:H2225"/>
    <mergeCell ref="I2224:I2225"/>
    <mergeCell ref="B2226:C2226"/>
    <mergeCell ref="B2227:C2227"/>
    <mergeCell ref="B2228:C2228"/>
    <mergeCell ref="B2229:C2229"/>
    <mergeCell ref="B2230:C2230"/>
    <mergeCell ref="B2231:C2231"/>
    <mergeCell ref="B2236:I2236"/>
    <mergeCell ref="D2238:E2238"/>
    <mergeCell ref="F2238:I2238"/>
    <mergeCell ref="B2239:C2240"/>
    <mergeCell ref="D2239:E2239"/>
    <mergeCell ref="H2239:H2240"/>
    <mergeCell ref="I2239:I2240"/>
    <mergeCell ref="B2241:C2241"/>
    <mergeCell ref="B2242:C2242"/>
    <mergeCell ref="B2243:C2243"/>
    <mergeCell ref="B2244:C2244"/>
    <mergeCell ref="B2245:C2245"/>
    <mergeCell ref="B2246:C2246"/>
    <mergeCell ref="B2251:I2251"/>
    <mergeCell ref="D2253:E2253"/>
    <mergeCell ref="F2253:I2253"/>
    <mergeCell ref="B2254:C2255"/>
    <mergeCell ref="D2254:E2254"/>
    <mergeCell ref="H2254:H2255"/>
    <mergeCell ref="I2254:I2255"/>
    <mergeCell ref="B2256:C2256"/>
    <mergeCell ref="B2257:C2257"/>
    <mergeCell ref="B2258:C2258"/>
    <mergeCell ref="B2259:C2259"/>
    <mergeCell ref="B2260:C2260"/>
    <mergeCell ref="B2261:C2261"/>
    <mergeCell ref="B2266:I2266"/>
    <mergeCell ref="D2268:E2268"/>
    <mergeCell ref="F2268:I2268"/>
    <mergeCell ref="B2269:C2270"/>
    <mergeCell ref="D2269:E2269"/>
    <mergeCell ref="H2269:H2270"/>
    <mergeCell ref="I2269:I2270"/>
    <mergeCell ref="B2271:C2271"/>
    <mergeCell ref="B2272:C2272"/>
    <mergeCell ref="B2273:C2273"/>
    <mergeCell ref="B2274:C2274"/>
    <mergeCell ref="B2275:C2275"/>
    <mergeCell ref="B2276:C2276"/>
    <mergeCell ref="B2281:I2281"/>
    <mergeCell ref="D2283:E2283"/>
    <mergeCell ref="F2283:I2283"/>
    <mergeCell ref="B2284:C2285"/>
    <mergeCell ref="D2284:E2284"/>
    <mergeCell ref="H2284:H2285"/>
    <mergeCell ref="I2284:I2285"/>
    <mergeCell ref="B2286:C2286"/>
    <mergeCell ref="B2287:C2287"/>
    <mergeCell ref="B2288:C2288"/>
    <mergeCell ref="B2289:C2289"/>
    <mergeCell ref="B2290:C2290"/>
    <mergeCell ref="B2291:C2291"/>
    <mergeCell ref="B2296:I2296"/>
    <mergeCell ref="D2298:E2298"/>
    <mergeCell ref="F2298:I2298"/>
    <mergeCell ref="B2299:C2300"/>
    <mergeCell ref="D2299:E2299"/>
    <mergeCell ref="H2299:H2300"/>
    <mergeCell ref="I2299:I2300"/>
    <mergeCell ref="B2301:C2301"/>
    <mergeCell ref="B2302:C2302"/>
    <mergeCell ref="B2303:C2303"/>
    <mergeCell ref="B2304:C2304"/>
    <mergeCell ref="B2305:C2305"/>
    <mergeCell ref="B2306:C2306"/>
    <mergeCell ref="B2311:I2311"/>
    <mergeCell ref="D2313:E2313"/>
    <mergeCell ref="F2313:I2313"/>
    <mergeCell ref="B2314:C2315"/>
    <mergeCell ref="D2314:E2314"/>
    <mergeCell ref="H2314:H2315"/>
    <mergeCell ref="I2314:I2315"/>
    <mergeCell ref="B2316:C2316"/>
    <mergeCell ref="B2317:C2317"/>
    <mergeCell ref="B2318:C2318"/>
    <mergeCell ref="B2319:C2319"/>
    <mergeCell ref="B2320:C2320"/>
    <mergeCell ref="B2321:C2321"/>
    <mergeCell ref="B2326:I2326"/>
    <mergeCell ref="D2328:E2328"/>
    <mergeCell ref="F2328:I2328"/>
    <mergeCell ref="B2329:C2330"/>
    <mergeCell ref="D2329:E2329"/>
    <mergeCell ref="H2329:H2330"/>
    <mergeCell ref="I2329:I2330"/>
    <mergeCell ref="B2331:C2331"/>
    <mergeCell ref="B2332:C2332"/>
    <mergeCell ref="B2333:C2333"/>
    <mergeCell ref="B2334:C2334"/>
    <mergeCell ref="B2335:C2335"/>
    <mergeCell ref="B2336:C2336"/>
    <mergeCell ref="B2341:I2341"/>
    <mergeCell ref="D2343:E2343"/>
    <mergeCell ref="F2343:I2343"/>
    <mergeCell ref="B2344:C2345"/>
    <mergeCell ref="D2344:E2344"/>
    <mergeCell ref="H2344:H2345"/>
    <mergeCell ref="I2344:I2345"/>
    <mergeCell ref="B2346:C2346"/>
    <mergeCell ref="B2347:C2347"/>
    <mergeCell ref="B2348:C2348"/>
    <mergeCell ref="B2349:C2349"/>
    <mergeCell ref="B2350:C2350"/>
    <mergeCell ref="B2351:C2351"/>
    <mergeCell ref="B2356:I2356"/>
    <mergeCell ref="D2358:E2358"/>
    <mergeCell ref="F2358:I2358"/>
    <mergeCell ref="B2359:C2360"/>
    <mergeCell ref="D2359:E2359"/>
    <mergeCell ref="H2359:H2360"/>
    <mergeCell ref="I2359:I2360"/>
    <mergeCell ref="B2361:C2361"/>
    <mergeCell ref="B2362:C2362"/>
    <mergeCell ref="B2363:C2363"/>
    <mergeCell ref="B2364:C2364"/>
    <mergeCell ref="B2365:C2365"/>
    <mergeCell ref="B2366:C2366"/>
    <mergeCell ref="B2371:I2371"/>
    <mergeCell ref="D2373:E2373"/>
    <mergeCell ref="F2373:I2373"/>
    <mergeCell ref="B2374:C2375"/>
    <mergeCell ref="D2374:E2374"/>
    <mergeCell ref="H2374:H2375"/>
    <mergeCell ref="I2374:I2375"/>
    <mergeCell ref="B2376:C2376"/>
    <mergeCell ref="B2377:C2377"/>
    <mergeCell ref="B2378:C2378"/>
    <mergeCell ref="B2379:C2379"/>
    <mergeCell ref="B2380:C2380"/>
    <mergeCell ref="B2381:C2381"/>
    <mergeCell ref="B2386:I2386"/>
    <mergeCell ref="D2388:E2388"/>
    <mergeCell ref="F2388:I2388"/>
    <mergeCell ref="B2389:C2390"/>
    <mergeCell ref="D2389:E2389"/>
    <mergeCell ref="H2389:H2390"/>
    <mergeCell ref="I2389:I2390"/>
    <mergeCell ref="B2391:C2391"/>
    <mergeCell ref="B2392:C2392"/>
    <mergeCell ref="B2393:C2393"/>
    <mergeCell ref="B2394:C2394"/>
    <mergeCell ref="B2395:C2395"/>
    <mergeCell ref="B2396:C2396"/>
    <mergeCell ref="B2401:I2401"/>
    <mergeCell ref="D2403:E2403"/>
    <mergeCell ref="F2403:I2403"/>
    <mergeCell ref="B2404:C2405"/>
    <mergeCell ref="D2404:E2404"/>
    <mergeCell ref="H2404:H2405"/>
    <mergeCell ref="I2404:I2405"/>
    <mergeCell ref="B2406:C2406"/>
    <mergeCell ref="B2407:C2407"/>
    <mergeCell ref="B2408:C2408"/>
    <mergeCell ref="B2409:C2409"/>
    <mergeCell ref="B2410:C2410"/>
    <mergeCell ref="B2411:C2411"/>
    <mergeCell ref="B2416:I2416"/>
    <mergeCell ref="D2418:E2418"/>
    <mergeCell ref="F2418:I2418"/>
    <mergeCell ref="B2419:C2420"/>
    <mergeCell ref="D2419:E2419"/>
    <mergeCell ref="H2419:H2420"/>
    <mergeCell ref="I2419:I2420"/>
    <mergeCell ref="B2421:C2421"/>
    <mergeCell ref="B2422:C2422"/>
    <mergeCell ref="B2423:C2423"/>
    <mergeCell ref="B2424:C2424"/>
    <mergeCell ref="B2425:C2425"/>
    <mergeCell ref="B2426:C2426"/>
    <mergeCell ref="B2431:I2431"/>
    <mergeCell ref="D2433:E2433"/>
    <mergeCell ref="F2433:I2433"/>
    <mergeCell ref="B2434:C2435"/>
    <mergeCell ref="D2434:E2434"/>
    <mergeCell ref="H2434:H2435"/>
    <mergeCell ref="I2434:I2435"/>
    <mergeCell ref="B2436:C2436"/>
    <mergeCell ref="B2437:C2437"/>
    <mergeCell ref="B2438:C2438"/>
    <mergeCell ref="B2439:C2439"/>
    <mergeCell ref="B2440:C2440"/>
    <mergeCell ref="B2441:C2441"/>
    <mergeCell ref="B2446:I2446"/>
    <mergeCell ref="D2448:E2448"/>
    <mergeCell ref="F2448:I2448"/>
    <mergeCell ref="B2449:C2450"/>
    <mergeCell ref="D2449:E2449"/>
    <mergeCell ref="H2449:H2450"/>
    <mergeCell ref="I2449:I2450"/>
    <mergeCell ref="B2451:C2451"/>
    <mergeCell ref="B2452:C2452"/>
    <mergeCell ref="B2453:C2453"/>
    <mergeCell ref="B2454:C2454"/>
    <mergeCell ref="B2455:C2455"/>
    <mergeCell ref="B2456:C2456"/>
    <mergeCell ref="B2461:I2461"/>
    <mergeCell ref="D2463:E2463"/>
    <mergeCell ref="F2463:I2463"/>
    <mergeCell ref="B2464:C2465"/>
    <mergeCell ref="D2464:E2464"/>
    <mergeCell ref="H2464:H2465"/>
    <mergeCell ref="I2464:I2465"/>
    <mergeCell ref="B2466:C2466"/>
    <mergeCell ref="B2467:C2467"/>
    <mergeCell ref="B2468:C2468"/>
    <mergeCell ref="B2469:C2469"/>
    <mergeCell ref="B2470:C2470"/>
    <mergeCell ref="B2471:C2471"/>
    <mergeCell ref="B2476:I2476"/>
    <mergeCell ref="D2478:E2478"/>
    <mergeCell ref="F2478:I2478"/>
    <mergeCell ref="B2479:C2480"/>
    <mergeCell ref="D2479:E2479"/>
    <mergeCell ref="H2479:H2480"/>
    <mergeCell ref="I2479:I2480"/>
    <mergeCell ref="B2481:C2481"/>
    <mergeCell ref="B2482:C2482"/>
    <mergeCell ref="B2483:C2483"/>
    <mergeCell ref="B2484:C2484"/>
    <mergeCell ref="B2485:C2485"/>
    <mergeCell ref="B2486:C2486"/>
    <mergeCell ref="B2491:I2491"/>
    <mergeCell ref="D2493:E2493"/>
    <mergeCell ref="F2493:I2493"/>
    <mergeCell ref="B2494:C2495"/>
    <mergeCell ref="D2494:E2494"/>
    <mergeCell ref="H2494:H2495"/>
    <mergeCell ref="I2494:I2495"/>
    <mergeCell ref="B2496:C2496"/>
    <mergeCell ref="B2497:C2497"/>
    <mergeCell ref="B2498:C2498"/>
    <mergeCell ref="B2499:C2499"/>
    <mergeCell ref="B2500:C2500"/>
    <mergeCell ref="B2501:C2501"/>
    <mergeCell ref="B2506:I2506"/>
    <mergeCell ref="D2508:E2508"/>
    <mergeCell ref="F2508:I2508"/>
    <mergeCell ref="B2509:C2510"/>
    <mergeCell ref="D2509:E2509"/>
    <mergeCell ref="H2509:H2510"/>
    <mergeCell ref="I2509:I2510"/>
    <mergeCell ref="B2511:C2511"/>
    <mergeCell ref="B2512:C2512"/>
    <mergeCell ref="B2513:C2513"/>
    <mergeCell ref="B2514:C2514"/>
    <mergeCell ref="B2515:C2515"/>
    <mergeCell ref="B2516:C2516"/>
    <mergeCell ref="B2521:I2521"/>
    <mergeCell ref="D2523:E2523"/>
    <mergeCell ref="F2523:I2523"/>
    <mergeCell ref="B2524:C2525"/>
    <mergeCell ref="D2524:E2524"/>
    <mergeCell ref="H2524:H2525"/>
    <mergeCell ref="I2524:I2525"/>
    <mergeCell ref="B2526:C2526"/>
    <mergeCell ref="B2527:C2527"/>
    <mergeCell ref="B2528:C2528"/>
    <mergeCell ref="B2529:C2529"/>
    <mergeCell ref="B2530:C2530"/>
    <mergeCell ref="B2531:C2531"/>
    <mergeCell ref="B2536:I2536"/>
    <mergeCell ref="D2538:E2538"/>
    <mergeCell ref="F2538:I2538"/>
    <mergeCell ref="B2539:C2540"/>
    <mergeCell ref="D2539:E2539"/>
    <mergeCell ref="H2539:H2540"/>
    <mergeCell ref="I2539:I2540"/>
    <mergeCell ref="B2541:C2541"/>
    <mergeCell ref="B2542:C2542"/>
    <mergeCell ref="B2543:C2543"/>
    <mergeCell ref="B2544:C2544"/>
    <mergeCell ref="B2545:C2545"/>
    <mergeCell ref="B2546:C2546"/>
    <mergeCell ref="B2551:I2551"/>
    <mergeCell ref="D2553:E2553"/>
    <mergeCell ref="F2553:I2553"/>
    <mergeCell ref="B2554:C2555"/>
    <mergeCell ref="D2554:E2554"/>
    <mergeCell ref="H2554:H2555"/>
    <mergeCell ref="I2554:I2555"/>
    <mergeCell ref="B2556:C2556"/>
    <mergeCell ref="B2557:C2557"/>
    <mergeCell ref="B2558:C2558"/>
    <mergeCell ref="B2559:C2559"/>
    <mergeCell ref="B2560:C2560"/>
    <mergeCell ref="B2561:C2561"/>
    <mergeCell ref="B2566:I2566"/>
    <mergeCell ref="D2568:E2568"/>
    <mergeCell ref="F2568:I2568"/>
    <mergeCell ref="B2569:C2570"/>
    <mergeCell ref="D2569:E2569"/>
    <mergeCell ref="H2569:H2570"/>
    <mergeCell ref="I2569:I2570"/>
    <mergeCell ref="B2571:C2571"/>
    <mergeCell ref="B2572:C2572"/>
    <mergeCell ref="B2573:C2573"/>
    <mergeCell ref="B2574:C2574"/>
    <mergeCell ref="B2575:C2575"/>
    <mergeCell ref="B2576:C2576"/>
    <mergeCell ref="B2581:I2581"/>
    <mergeCell ref="D2583:E2583"/>
    <mergeCell ref="F2583:I2583"/>
    <mergeCell ref="B2584:C2585"/>
    <mergeCell ref="D2584:E2584"/>
    <mergeCell ref="H2584:H2585"/>
    <mergeCell ref="I2584:I2585"/>
    <mergeCell ref="B2586:C2586"/>
    <mergeCell ref="B2587:C2587"/>
    <mergeCell ref="B2588:C2588"/>
    <mergeCell ref="B2589:C2589"/>
    <mergeCell ref="B2590:C2590"/>
    <mergeCell ref="B2591:C2591"/>
    <mergeCell ref="B2596:I2596"/>
    <mergeCell ref="D2598:E2598"/>
    <mergeCell ref="F2598:I2598"/>
    <mergeCell ref="B2599:C2600"/>
    <mergeCell ref="D2599:E2599"/>
    <mergeCell ref="H2599:H2600"/>
    <mergeCell ref="I2599:I2600"/>
    <mergeCell ref="B2601:C2601"/>
    <mergeCell ref="B2602:C2602"/>
    <mergeCell ref="B2603:C2603"/>
    <mergeCell ref="B2604:C2604"/>
    <mergeCell ref="B2605:C2605"/>
    <mergeCell ref="B2606:C2606"/>
    <mergeCell ref="B2611:I2611"/>
    <mergeCell ref="D2613:E2613"/>
    <mergeCell ref="F2613:I2613"/>
    <mergeCell ref="B2614:C2615"/>
    <mergeCell ref="D2614:E2614"/>
    <mergeCell ref="H2614:H2615"/>
    <mergeCell ref="I2614:I2615"/>
    <mergeCell ref="B2616:C2616"/>
    <mergeCell ref="B2617:C2617"/>
    <mergeCell ref="B2618:C2618"/>
    <mergeCell ref="B2619:C2619"/>
    <mergeCell ref="B2620:C2620"/>
    <mergeCell ref="B2621:C2621"/>
    <mergeCell ref="B2626:I2626"/>
    <mergeCell ref="D2628:E2628"/>
    <mergeCell ref="F2628:I2628"/>
    <mergeCell ref="B2629:C2630"/>
    <mergeCell ref="D2629:E2629"/>
    <mergeCell ref="H2629:H2630"/>
    <mergeCell ref="I2629:I2630"/>
    <mergeCell ref="B2631:C2631"/>
    <mergeCell ref="B2632:C2632"/>
    <mergeCell ref="B2633:C2633"/>
    <mergeCell ref="B2634:C2634"/>
    <mergeCell ref="B2635:C2635"/>
    <mergeCell ref="B2636:C2636"/>
    <mergeCell ref="B2641:I2641"/>
    <mergeCell ref="D2643:E2643"/>
    <mergeCell ref="F2643:I2643"/>
    <mergeCell ref="B2644:C2645"/>
    <mergeCell ref="D2644:E2644"/>
    <mergeCell ref="H2644:H2645"/>
    <mergeCell ref="I2644:I2645"/>
    <mergeCell ref="B2646:C2646"/>
    <mergeCell ref="B2647:C2647"/>
    <mergeCell ref="B2648:C2648"/>
    <mergeCell ref="B2649:C2649"/>
    <mergeCell ref="B2650:C2650"/>
    <mergeCell ref="B2651:C2651"/>
    <mergeCell ref="B2656:I2656"/>
    <mergeCell ref="D2658:E2658"/>
    <mergeCell ref="F2658:I2658"/>
    <mergeCell ref="B2659:C2660"/>
    <mergeCell ref="D2659:E2659"/>
    <mergeCell ref="H2659:H2660"/>
    <mergeCell ref="I2659:I2660"/>
    <mergeCell ref="B2661:C2661"/>
    <mergeCell ref="B2662:C2662"/>
    <mergeCell ref="B2663:C2663"/>
    <mergeCell ref="B2664:C2664"/>
    <mergeCell ref="B2665:C2665"/>
    <mergeCell ref="B2666:C2666"/>
    <mergeCell ref="B2671:I2671"/>
    <mergeCell ref="D2673:E2673"/>
    <mergeCell ref="F2673:I2673"/>
    <mergeCell ref="B2674:C2675"/>
    <mergeCell ref="D2674:E2674"/>
    <mergeCell ref="H2674:H2675"/>
    <mergeCell ref="I2674:I2675"/>
    <mergeCell ref="B2676:C2676"/>
    <mergeCell ref="B2677:C2677"/>
    <mergeCell ref="B2678:C2678"/>
    <mergeCell ref="B2679:C2679"/>
    <mergeCell ref="B2680:C2680"/>
    <mergeCell ref="B2681:C2681"/>
    <mergeCell ref="B2686:I2686"/>
    <mergeCell ref="D2688:E2688"/>
    <mergeCell ref="F2688:I2688"/>
    <mergeCell ref="B2689:C2690"/>
    <mergeCell ref="D2689:E2689"/>
    <mergeCell ref="H2689:H2690"/>
    <mergeCell ref="I2689:I2690"/>
    <mergeCell ref="B2691:C2691"/>
    <mergeCell ref="B2692:C2692"/>
    <mergeCell ref="B2693:C2693"/>
    <mergeCell ref="B2694:C2694"/>
    <mergeCell ref="B2695:C2695"/>
    <mergeCell ref="B2696:C2696"/>
    <mergeCell ref="B2701:I2701"/>
    <mergeCell ref="D2703:E2703"/>
    <mergeCell ref="F2703:I2703"/>
    <mergeCell ref="B2704:C2705"/>
    <mergeCell ref="D2704:E2704"/>
    <mergeCell ref="H2704:H2705"/>
    <mergeCell ref="I2704:I2705"/>
    <mergeCell ref="B2706:C2706"/>
    <mergeCell ref="B2707:C2707"/>
    <mergeCell ref="B2708:C2708"/>
    <mergeCell ref="B2709:C2709"/>
    <mergeCell ref="B2710:C2710"/>
    <mergeCell ref="B2711:C2711"/>
    <mergeCell ref="B2716:I2716"/>
    <mergeCell ref="D2718:E2718"/>
    <mergeCell ref="F2718:I2718"/>
    <mergeCell ref="B2719:C2720"/>
    <mergeCell ref="D2719:E2719"/>
    <mergeCell ref="H2719:H2720"/>
    <mergeCell ref="I2719:I2720"/>
    <mergeCell ref="B2721:C2721"/>
    <mergeCell ref="B2722:C2722"/>
    <mergeCell ref="B2723:C2723"/>
    <mergeCell ref="B2724:C2724"/>
    <mergeCell ref="B2725:C2725"/>
    <mergeCell ref="B2726:C2726"/>
    <mergeCell ref="B2731:I2731"/>
    <mergeCell ref="D2733:E2733"/>
    <mergeCell ref="F2733:I2733"/>
    <mergeCell ref="B2734:C2735"/>
    <mergeCell ref="D2734:E2734"/>
    <mergeCell ref="H2734:H2735"/>
    <mergeCell ref="I2734:I2735"/>
    <mergeCell ref="B2736:C2736"/>
    <mergeCell ref="B2737:C2737"/>
    <mergeCell ref="B2738:C2738"/>
    <mergeCell ref="B2739:C2739"/>
    <mergeCell ref="B2740:C2740"/>
    <mergeCell ref="B2741:C2741"/>
    <mergeCell ref="B2746:I2746"/>
    <mergeCell ref="D2748:E2748"/>
    <mergeCell ref="F2748:I2748"/>
    <mergeCell ref="B2749:C2750"/>
    <mergeCell ref="D2749:E2749"/>
    <mergeCell ref="H2749:H2750"/>
    <mergeCell ref="I2749:I2750"/>
    <mergeCell ref="B2751:C2751"/>
    <mergeCell ref="B2752:C2752"/>
    <mergeCell ref="B2753:C2753"/>
    <mergeCell ref="B2754:C2754"/>
    <mergeCell ref="B2755:C2755"/>
    <mergeCell ref="B2756:C2756"/>
    <mergeCell ref="B2761:I2761"/>
    <mergeCell ref="D2763:E2763"/>
    <mergeCell ref="F2763:I2763"/>
    <mergeCell ref="B2764:C2765"/>
    <mergeCell ref="D2764:E2764"/>
    <mergeCell ref="H2764:H2765"/>
    <mergeCell ref="I2764:I2765"/>
    <mergeCell ref="B2766:C2766"/>
    <mergeCell ref="B2767:C2767"/>
    <mergeCell ref="B2768:C2768"/>
    <mergeCell ref="B2769:C2769"/>
    <mergeCell ref="B2770:C2770"/>
    <mergeCell ref="B2771:C2771"/>
    <mergeCell ref="B2776:I2776"/>
    <mergeCell ref="D2778:E2778"/>
    <mergeCell ref="F2778:I2778"/>
    <mergeCell ref="B2779:C2780"/>
    <mergeCell ref="D2779:E2779"/>
    <mergeCell ref="H2779:H2780"/>
    <mergeCell ref="I2779:I2780"/>
    <mergeCell ref="B2781:C2781"/>
    <mergeCell ref="B2782:C2782"/>
    <mergeCell ref="B2783:C2783"/>
    <mergeCell ref="B2784:C2784"/>
    <mergeCell ref="B2785:C2785"/>
    <mergeCell ref="B2786:C2786"/>
    <mergeCell ref="B2791:I2791"/>
    <mergeCell ref="D2793:E2793"/>
    <mergeCell ref="F2793:I2793"/>
    <mergeCell ref="B2794:C2795"/>
    <mergeCell ref="D2794:E2794"/>
    <mergeCell ref="H2794:H2795"/>
    <mergeCell ref="I2794:I2795"/>
    <mergeCell ref="B2796:C2796"/>
    <mergeCell ref="B2797:C2797"/>
    <mergeCell ref="B2798:C2798"/>
    <mergeCell ref="B2799:C2799"/>
    <mergeCell ref="B2800:C2800"/>
    <mergeCell ref="B2801:C2801"/>
    <mergeCell ref="B2806:I2806"/>
    <mergeCell ref="D2808:E2808"/>
    <mergeCell ref="F2808:I2808"/>
    <mergeCell ref="B2809:C2810"/>
    <mergeCell ref="D2809:E2809"/>
    <mergeCell ref="H2809:H2810"/>
    <mergeCell ref="I2809:I2810"/>
    <mergeCell ref="B2811:C2811"/>
    <mergeCell ref="B2812:C2812"/>
    <mergeCell ref="B2813:C2813"/>
    <mergeCell ref="B2814:C2814"/>
    <mergeCell ref="B2815:C2815"/>
    <mergeCell ref="B2816:C2816"/>
    <mergeCell ref="B2821:I2821"/>
    <mergeCell ref="D2823:E2823"/>
    <mergeCell ref="F2823:I2823"/>
    <mergeCell ref="B2824:C2825"/>
    <mergeCell ref="D2824:E2824"/>
    <mergeCell ref="H2824:H2825"/>
    <mergeCell ref="I2824:I2825"/>
    <mergeCell ref="B2826:C2826"/>
    <mergeCell ref="B2827:C2827"/>
    <mergeCell ref="B2828:C2828"/>
    <mergeCell ref="B2829:C2829"/>
    <mergeCell ref="B2830:C2830"/>
    <mergeCell ref="B2831:C2831"/>
    <mergeCell ref="B2836:I2836"/>
    <mergeCell ref="D2838:E2838"/>
    <mergeCell ref="F2838:I2838"/>
    <mergeCell ref="B2839:C2840"/>
    <mergeCell ref="D2839:E2839"/>
    <mergeCell ref="H2839:H2840"/>
    <mergeCell ref="I2839:I2840"/>
    <mergeCell ref="B2841:C2841"/>
    <mergeCell ref="B2842:C2842"/>
    <mergeCell ref="B2843:C2843"/>
    <mergeCell ref="B2844:C2844"/>
    <mergeCell ref="B2845:C2845"/>
    <mergeCell ref="B2846:C2846"/>
    <mergeCell ref="B2851:I2851"/>
    <mergeCell ref="D2853:E2853"/>
    <mergeCell ref="F2853:I2853"/>
    <mergeCell ref="B2854:C2855"/>
    <mergeCell ref="D2854:E2854"/>
    <mergeCell ref="H2854:H2855"/>
    <mergeCell ref="I2854:I2855"/>
    <mergeCell ref="B2856:C2856"/>
    <mergeCell ref="B2857:C2857"/>
    <mergeCell ref="B2858:C2858"/>
    <mergeCell ref="B2859:C2859"/>
    <mergeCell ref="B2860:C2860"/>
    <mergeCell ref="B2861:C2861"/>
    <mergeCell ref="B2866:I2866"/>
    <mergeCell ref="D2868:E2868"/>
    <mergeCell ref="F2868:I2868"/>
    <mergeCell ref="B2869:C2870"/>
    <mergeCell ref="D2869:E2869"/>
    <mergeCell ref="H2869:H2870"/>
    <mergeCell ref="I2869:I2870"/>
    <mergeCell ref="B2871:C2871"/>
    <mergeCell ref="B2872:C2872"/>
    <mergeCell ref="B2873:C2873"/>
    <mergeCell ref="B2874:C2874"/>
    <mergeCell ref="B2875:C2875"/>
    <mergeCell ref="B2876:C2876"/>
    <mergeCell ref="B2881:I2881"/>
    <mergeCell ref="D2883:E2883"/>
    <mergeCell ref="F2883:I2883"/>
    <mergeCell ref="B2884:C2885"/>
    <mergeCell ref="D2884:E2884"/>
    <mergeCell ref="H2884:H2885"/>
    <mergeCell ref="I2884:I2885"/>
    <mergeCell ref="B2886:C2886"/>
    <mergeCell ref="B2887:C2887"/>
    <mergeCell ref="B2888:C2888"/>
    <mergeCell ref="B2889:C2889"/>
    <mergeCell ref="B2890:C2890"/>
    <mergeCell ref="B2891:C2891"/>
    <mergeCell ref="B2896:I2896"/>
    <mergeCell ref="D2898:E2898"/>
    <mergeCell ref="F2898:I2898"/>
    <mergeCell ref="B2899:C2900"/>
    <mergeCell ref="D2899:E2899"/>
    <mergeCell ref="H2899:H2900"/>
    <mergeCell ref="I2899:I2900"/>
    <mergeCell ref="B2901:C2901"/>
    <mergeCell ref="B2902:C2902"/>
    <mergeCell ref="B2903:C2903"/>
    <mergeCell ref="B2904:C2904"/>
    <mergeCell ref="B2905:C2905"/>
    <mergeCell ref="B2906:C2906"/>
    <mergeCell ref="B2911:I2911"/>
    <mergeCell ref="D2913:E2913"/>
    <mergeCell ref="F2913:I2913"/>
    <mergeCell ref="B2914:C2915"/>
    <mergeCell ref="D2914:E2914"/>
    <mergeCell ref="H2914:H2915"/>
    <mergeCell ref="I2914:I2915"/>
    <mergeCell ref="B2916:C2916"/>
    <mergeCell ref="B2917:C2917"/>
    <mergeCell ref="B2918:C2918"/>
    <mergeCell ref="B2919:C2919"/>
    <mergeCell ref="B2920:C2920"/>
    <mergeCell ref="B2921:C2921"/>
    <mergeCell ref="B2926:I2926"/>
    <mergeCell ref="D2928:E2928"/>
    <mergeCell ref="F2928:I2928"/>
    <mergeCell ref="B2929:C2930"/>
    <mergeCell ref="D2929:E2929"/>
    <mergeCell ref="H2929:H2930"/>
    <mergeCell ref="I2929:I2930"/>
    <mergeCell ref="B2931:C2931"/>
    <mergeCell ref="B2932:C2932"/>
    <mergeCell ref="B2933:C2933"/>
    <mergeCell ref="B2934:C2934"/>
    <mergeCell ref="B2935:C2935"/>
    <mergeCell ref="B2936:C2936"/>
    <mergeCell ref="B2941:I2941"/>
    <mergeCell ref="D2943:E2943"/>
    <mergeCell ref="F2943:I2943"/>
    <mergeCell ref="B2944:C2945"/>
    <mergeCell ref="D2944:E2944"/>
    <mergeCell ref="H2944:H2945"/>
    <mergeCell ref="I2944:I2945"/>
    <mergeCell ref="B2946:C2946"/>
    <mergeCell ref="B2947:C2947"/>
    <mergeCell ref="B2948:C2948"/>
    <mergeCell ref="B2949:C2949"/>
    <mergeCell ref="B2950:C2950"/>
    <mergeCell ref="B2951:C2951"/>
    <mergeCell ref="B2956:I2956"/>
    <mergeCell ref="D2958:E2958"/>
    <mergeCell ref="F2958:I2958"/>
    <mergeCell ref="B2959:C2960"/>
    <mergeCell ref="D2959:E2959"/>
    <mergeCell ref="H2959:H2960"/>
    <mergeCell ref="I2959:I2960"/>
    <mergeCell ref="B2961:C2961"/>
    <mergeCell ref="B2962:C2962"/>
    <mergeCell ref="B2963:C2963"/>
    <mergeCell ref="B2964:C2964"/>
    <mergeCell ref="B2965:C2965"/>
    <mergeCell ref="B2966:C2966"/>
    <mergeCell ref="B2971:I2971"/>
    <mergeCell ref="D2973:E2973"/>
    <mergeCell ref="F2973:I2973"/>
    <mergeCell ref="B2974:C2975"/>
    <mergeCell ref="D2974:E2974"/>
    <mergeCell ref="H2974:H2975"/>
    <mergeCell ref="I2974:I2975"/>
    <mergeCell ref="B2976:C2976"/>
    <mergeCell ref="B2977:C2977"/>
    <mergeCell ref="B2978:C2978"/>
    <mergeCell ref="B2979:C2979"/>
    <mergeCell ref="B2980:C2980"/>
    <mergeCell ref="B2981:C2981"/>
    <mergeCell ref="B2986:I2986"/>
    <mergeCell ref="D2988:E2988"/>
    <mergeCell ref="F2988:I2988"/>
    <mergeCell ref="B2989:C2990"/>
    <mergeCell ref="D2989:E2989"/>
    <mergeCell ref="H2989:H2990"/>
    <mergeCell ref="I2989:I2990"/>
    <mergeCell ref="B2991:C2991"/>
    <mergeCell ref="B2992:C2992"/>
    <mergeCell ref="B2993:C2993"/>
    <mergeCell ref="B2994:C2994"/>
    <mergeCell ref="B2995:C2995"/>
    <mergeCell ref="B2996:C2996"/>
  </mergeCells>
  <printOptions headings="false" gridLines="false" gridLinesSet="true" horizontalCentered="false" verticalCentered="false"/>
  <pageMargins left="0.3" right="0.3" top="0.4" bottom="0.3" header="0.511811023622047" footer="0.511811023622047"/>
  <pageSetup paperSize="1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99" manualBreakCount="199">
    <brk id="15" man="true" max="16383" min="0"/>
    <brk id="30" man="true" max="16383" min="0"/>
    <brk id="45" man="true" max="16383" min="0"/>
    <brk id="60" man="true" max="16383" min="0"/>
    <brk id="75" man="true" max="16383" min="0"/>
    <brk id="90" man="true" max="16383" min="0"/>
    <brk id="105" man="true" max="16383" min="0"/>
    <brk id="120" man="true" max="16383" min="0"/>
    <brk id="135" man="true" max="16383" min="0"/>
    <brk id="150" man="true" max="16383" min="0"/>
    <brk id="165" man="true" max="16383" min="0"/>
    <brk id="180" man="true" max="16383" min="0"/>
    <brk id="195" man="true" max="16383" min="0"/>
    <brk id="210" man="true" max="16383" min="0"/>
    <brk id="225" man="true" max="16383" min="0"/>
    <brk id="240" man="true" max="16383" min="0"/>
    <brk id="255" man="true" max="16383" min="0"/>
    <brk id="270" man="true" max="16383" min="0"/>
    <brk id="285" man="true" max="16383" min="0"/>
    <brk id="300" man="true" max="16383" min="0"/>
    <brk id="315" man="true" max="16383" min="0"/>
    <brk id="330" man="true" max="16383" min="0"/>
    <brk id="345" man="true" max="16383" min="0"/>
    <brk id="360" man="true" max="16383" min="0"/>
    <brk id="375" man="true" max="16383" min="0"/>
    <brk id="390" man="true" max="16383" min="0"/>
    <brk id="405" man="true" max="16383" min="0"/>
    <brk id="420" man="true" max="16383" min="0"/>
    <brk id="435" man="true" max="16383" min="0"/>
    <brk id="450" man="true" max="16383" min="0"/>
    <brk id="465" man="true" max="16383" min="0"/>
    <brk id="480" man="true" max="16383" min="0"/>
    <brk id="495" man="true" max="16383" min="0"/>
    <brk id="510" man="true" max="16383" min="0"/>
    <brk id="525" man="true" max="16383" min="0"/>
    <brk id="540" man="true" max="16383" min="0"/>
    <brk id="555" man="true" max="16383" min="0"/>
    <brk id="570" man="true" max="16383" min="0"/>
    <brk id="585" man="true" max="16383" min="0"/>
    <brk id="600" man="true" max="16383" min="0"/>
    <brk id="615" man="true" max="16383" min="0"/>
    <brk id="630" man="true" max="16383" min="0"/>
    <brk id="645" man="true" max="16383" min="0"/>
    <brk id="660" man="true" max="16383" min="0"/>
    <brk id="675" man="true" max="16383" min="0"/>
    <brk id="690" man="true" max="16383" min="0"/>
    <brk id="705" man="true" max="16383" min="0"/>
    <brk id="720" man="true" max="16383" min="0"/>
    <brk id="735" man="true" max="16383" min="0"/>
    <brk id="750" man="true" max="16383" min="0"/>
    <brk id="765" man="true" max="16383" min="0"/>
    <brk id="780" man="true" max="16383" min="0"/>
    <brk id="795" man="true" max="16383" min="0"/>
    <brk id="810" man="true" max="16383" min="0"/>
    <brk id="825" man="true" max="16383" min="0"/>
    <brk id="840" man="true" max="16383" min="0"/>
    <brk id="855" man="true" max="16383" min="0"/>
    <brk id="870" man="true" max="16383" min="0"/>
    <brk id="885" man="true" max="16383" min="0"/>
    <brk id="900" man="true" max="16383" min="0"/>
    <brk id="915" man="true" max="16383" min="0"/>
    <brk id="930" man="true" max="16383" min="0"/>
    <brk id="945" man="true" max="16383" min="0"/>
    <brk id="960" man="true" max="16383" min="0"/>
    <brk id="975" man="true" max="16383" min="0"/>
    <brk id="990" man="true" max="16383" min="0"/>
    <brk id="1005" man="true" max="16383" min="0"/>
    <brk id="1020" man="true" max="16383" min="0"/>
    <brk id="1035" man="true" max="16383" min="0"/>
    <brk id="1050" man="true" max="16383" min="0"/>
    <brk id="1065" man="true" max="16383" min="0"/>
    <brk id="1080" man="true" max="16383" min="0"/>
    <brk id="1095" man="true" max="16383" min="0"/>
    <brk id="1110" man="true" max="16383" min="0"/>
    <brk id="1125" man="true" max="16383" min="0"/>
    <brk id="1140" man="true" max="16383" min="0"/>
    <brk id="1155" man="true" max="16383" min="0"/>
    <brk id="1170" man="true" max="16383" min="0"/>
    <brk id="1185" man="true" max="16383" min="0"/>
    <brk id="1200" man="true" max="16383" min="0"/>
    <brk id="1215" man="true" max="16383" min="0"/>
    <brk id="1230" man="true" max="16383" min="0"/>
    <brk id="1245" man="true" max="16383" min="0"/>
    <brk id="1260" man="true" max="16383" min="0"/>
    <brk id="1275" man="true" max="16383" min="0"/>
    <brk id="1290" man="true" max="16383" min="0"/>
    <brk id="1305" man="true" max="16383" min="0"/>
    <brk id="1320" man="true" max="16383" min="0"/>
    <brk id="1335" man="true" max="16383" min="0"/>
    <brk id="1350" man="true" max="16383" min="0"/>
    <brk id="1365" man="true" max="16383" min="0"/>
    <brk id="1380" man="true" max="16383" min="0"/>
    <brk id="1395" man="true" max="16383" min="0"/>
    <brk id="1410" man="true" max="16383" min="0"/>
    <brk id="1425" man="true" max="16383" min="0"/>
    <brk id="1440" man="true" max="16383" min="0"/>
    <brk id="1455" man="true" max="16383" min="0"/>
    <brk id="1470" man="true" max="16383" min="0"/>
    <brk id="1485" man="true" max="16383" min="0"/>
    <brk id="1500" man="true" max="16383" min="0"/>
    <brk id="1515" man="true" max="16383" min="0"/>
    <brk id="1530" man="true" max="16383" min="0"/>
    <brk id="1545" man="true" max="16383" min="0"/>
    <brk id="1560" man="true" max="16383" min="0"/>
    <brk id="1575" man="true" max="16383" min="0"/>
    <brk id="1590" man="true" max="16383" min="0"/>
    <brk id="1605" man="true" max="16383" min="0"/>
    <brk id="1620" man="true" max="16383" min="0"/>
    <brk id="1635" man="true" max="16383" min="0"/>
    <brk id="1650" man="true" max="16383" min="0"/>
    <brk id="1665" man="true" max="16383" min="0"/>
    <brk id="1680" man="true" max="16383" min="0"/>
    <brk id="1695" man="true" max="16383" min="0"/>
    <brk id="1710" man="true" max="16383" min="0"/>
    <brk id="1725" man="true" max="16383" min="0"/>
    <brk id="1740" man="true" max="16383" min="0"/>
    <brk id="1755" man="true" max="16383" min="0"/>
    <brk id="1770" man="true" max="16383" min="0"/>
    <brk id="1785" man="true" max="16383" min="0"/>
    <brk id="1800" man="true" max="16383" min="0"/>
    <brk id="1815" man="true" max="16383" min="0"/>
    <brk id="1830" man="true" max="16383" min="0"/>
    <brk id="1845" man="true" max="16383" min="0"/>
    <brk id="1860" man="true" max="16383" min="0"/>
    <brk id="1875" man="true" max="16383" min="0"/>
    <brk id="1890" man="true" max="16383" min="0"/>
    <brk id="1905" man="true" max="16383" min="0"/>
    <brk id="1920" man="true" max="16383" min="0"/>
    <brk id="1935" man="true" max="16383" min="0"/>
    <brk id="1950" man="true" max="16383" min="0"/>
    <brk id="1965" man="true" max="16383" min="0"/>
    <brk id="1980" man="true" max="16383" min="0"/>
    <brk id="1995" man="true" max="16383" min="0"/>
    <brk id="2010" man="true" max="16383" min="0"/>
    <brk id="2025" man="true" max="16383" min="0"/>
    <brk id="2040" man="true" max="16383" min="0"/>
    <brk id="2055" man="true" max="16383" min="0"/>
    <brk id="2070" man="true" max="16383" min="0"/>
    <brk id="2085" man="true" max="16383" min="0"/>
    <brk id="2100" man="true" max="16383" min="0"/>
    <brk id="2115" man="true" max="16383" min="0"/>
    <brk id="2130" man="true" max="16383" min="0"/>
    <brk id="2145" man="true" max="16383" min="0"/>
    <brk id="2160" man="true" max="16383" min="0"/>
    <brk id="2175" man="true" max="16383" min="0"/>
    <brk id="2190" man="true" max="16383" min="0"/>
    <brk id="2205" man="true" max="16383" min="0"/>
    <brk id="2220" man="true" max="16383" min="0"/>
    <brk id="2235" man="true" max="16383" min="0"/>
    <brk id="2250" man="true" max="16383" min="0"/>
    <brk id="2265" man="true" max="16383" min="0"/>
    <brk id="2280" man="true" max="16383" min="0"/>
    <brk id="2295" man="true" max="16383" min="0"/>
    <brk id="2310" man="true" max="16383" min="0"/>
    <brk id="2325" man="true" max="16383" min="0"/>
    <brk id="2340" man="true" max="16383" min="0"/>
    <brk id="2355" man="true" max="16383" min="0"/>
    <brk id="2370" man="true" max="16383" min="0"/>
    <brk id="2385" man="true" max="16383" min="0"/>
    <brk id="2400" man="true" max="16383" min="0"/>
    <brk id="2415" man="true" max="16383" min="0"/>
    <brk id="2430" man="true" max="16383" min="0"/>
    <brk id="2445" man="true" max="16383" min="0"/>
    <brk id="2460" man="true" max="16383" min="0"/>
    <brk id="2475" man="true" max="16383" min="0"/>
    <brk id="2490" man="true" max="16383" min="0"/>
    <brk id="2505" man="true" max="16383" min="0"/>
    <brk id="2520" man="true" max="16383" min="0"/>
    <brk id="2535" man="true" max="16383" min="0"/>
    <brk id="2550" man="true" max="16383" min="0"/>
    <brk id="2565" man="true" max="16383" min="0"/>
    <brk id="2580" man="true" max="16383" min="0"/>
    <brk id="2595" man="true" max="16383" min="0"/>
    <brk id="2610" man="true" max="16383" min="0"/>
    <brk id="2625" man="true" max="16383" min="0"/>
    <brk id="2640" man="true" max="16383" min="0"/>
    <brk id="2655" man="true" max="16383" min="0"/>
    <brk id="2670" man="true" max="16383" min="0"/>
    <brk id="2685" man="true" max="16383" min="0"/>
    <brk id="2700" man="true" max="16383" min="0"/>
    <brk id="2715" man="true" max="16383" min="0"/>
    <brk id="2730" man="true" max="16383" min="0"/>
    <brk id="2745" man="true" max="16383" min="0"/>
    <brk id="2760" man="true" max="16383" min="0"/>
    <brk id="2775" man="true" max="16383" min="0"/>
    <brk id="2790" man="true" max="16383" min="0"/>
    <brk id="2805" man="true" max="16383" min="0"/>
    <brk id="2820" man="true" max="16383" min="0"/>
    <brk id="2835" man="true" max="16383" min="0"/>
    <brk id="2850" man="true" max="16383" min="0"/>
    <brk id="2865" man="true" max="16383" min="0"/>
    <brk id="2880" man="true" max="16383" min="0"/>
    <brk id="2895" man="true" max="16383" min="0"/>
    <brk id="2910" man="true" max="16383" min="0"/>
    <brk id="2925" man="true" max="16383" min="0"/>
    <brk id="2940" man="true" max="16383" min="0"/>
    <brk id="2955" man="true" max="16383" min="0"/>
    <brk id="2970" man="true" max="16383" min="0"/>
    <brk id="2985" man="true" max="16383" min="0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3" topLeftCell="A25" activePane="bottomLeft" state="frozen"/>
      <selection pane="topLeft" activeCell="A1" activeCellId="0" sqref="A1"/>
      <selection pane="bottomLeft" activeCell="B29" activeCellId="0" sqref="B29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10" min="8" style="0" width="13"/>
    <col collapsed="false" customWidth="true" hidden="false" outlineLevel="0" max="11" min="11" style="0" width="15"/>
    <col collapsed="false" customWidth="true" hidden="false" outlineLevel="0" max="12" min="12" style="0" width="11"/>
  </cols>
  <sheetData>
    <row r="1" customFormat="false" ht="14.9" hidden="false" customHeight="false" outlineLevel="0" collapsed="false">
      <c r="A1" s="5" t="s">
        <v>492</v>
      </c>
    </row>
    <row r="3" customFormat="false" ht="14.9" hidden="false" customHeight="false" outlineLevel="0" collapsed="false">
      <c r="A3" s="17" t="s">
        <v>88</v>
      </c>
      <c r="B3" s="17" t="s">
        <v>412</v>
      </c>
      <c r="C3" s="17" t="s">
        <v>493</v>
      </c>
      <c r="D3" s="17" t="s">
        <v>494</v>
      </c>
      <c r="E3" s="17" t="s">
        <v>495</v>
      </c>
      <c r="F3" s="17" t="s">
        <v>455</v>
      </c>
      <c r="G3" s="17" t="s">
        <v>457</v>
      </c>
      <c r="H3" s="17" t="s">
        <v>496</v>
      </c>
      <c r="I3" s="17" t="s">
        <v>406</v>
      </c>
      <c r="J3" s="17" t="s">
        <v>497</v>
      </c>
      <c r="K3" s="17" t="s">
        <v>498</v>
      </c>
      <c r="L3" s="17" t="s">
        <v>499</v>
      </c>
    </row>
    <row r="4" customFormat="false" ht="13.5" hidden="false" customHeight="false" outlineLevel="0" collapsed="false">
      <c r="A4" s="82" t="n">
        <f aca="false">IF(助手收入!$W2=1,助手收入!$B2,"")</f>
        <v>2001</v>
      </c>
      <c r="B4" s="83" t="str">
        <f aca="false">IF(助手收入!$W2=1,助手收入!$C2,"")</f>
        <v>柏人商城店</v>
      </c>
      <c r="C4" s="84" t="n">
        <f aca="false">IF(助手收入!$W2=1,助手收入!$N2,"")</f>
        <v>36409.51</v>
      </c>
      <c r="D4" s="84" t="n">
        <f aca="false">IF(助手收入!$W2=1,助手收入!$O2,"")</f>
        <v>36409.51</v>
      </c>
      <c r="E4" s="84" t="n">
        <f aca="false">IF(助手收入!$W2=1,ROUND($C4-$D4,2),"")</f>
        <v>0</v>
      </c>
      <c r="F4" s="84" t="n">
        <f aca="false">IF(助手收入!$W2=1,助手收入!$E2,"")</f>
        <v>6428.43</v>
      </c>
      <c r="G4" s="84" t="n">
        <f aca="false">IF(助手收入!$W2=1,助手收入!$G2,"")</f>
        <v>36409.51</v>
      </c>
      <c r="H4" s="84" t="n">
        <f aca="false">IF(助手收入!$W2=1,助手收入!$H2,"")</f>
        <v>0</v>
      </c>
      <c r="I4" s="84" t="n">
        <f aca="false">IF(助手收入!$W2=1,助手回款!$E2,"")</f>
        <v>32050.31</v>
      </c>
      <c r="J4" s="84" t="n">
        <f aca="false">IF(助手收入!$W2=1,助手回款!$F2,"")</f>
        <v>54.73</v>
      </c>
      <c r="K4" s="84" t="n">
        <f aca="false">IF(助手收入!$W2=1,助手回款!$G2,"")</f>
        <v>32105.04</v>
      </c>
      <c r="L4" s="84" t="n">
        <f aca="false">IF(助手收入!$W2=1,助手回款!$H2,"")</f>
        <v>0</v>
      </c>
    </row>
    <row r="5" customFormat="false" ht="13.5" hidden="false" customHeight="false" outlineLevel="0" collapsed="false">
      <c r="A5" s="82" t="n">
        <f aca="false">IF(助手收入!$W3=1,助手收入!$B3,"")</f>
        <v>2002</v>
      </c>
      <c r="B5" s="83" t="str">
        <f aca="false">IF(助手收入!$W3=1,助手收入!$C3,"")</f>
        <v>新隆店</v>
      </c>
      <c r="C5" s="84" t="n">
        <f aca="false">IF(助手收入!$W3=1,助手收入!$N3,"")</f>
        <v>444121.45</v>
      </c>
      <c r="D5" s="84" t="n">
        <f aca="false">IF(助手收入!$W3=1,助手收入!$O3,"")</f>
        <v>444121.45</v>
      </c>
      <c r="E5" s="84" t="n">
        <f aca="false">IF(助手收入!$W3=1,ROUND($C5-$D5,2),"")</f>
        <v>0</v>
      </c>
      <c r="F5" s="84" t="n">
        <f aca="false">IF(助手收入!$W3=1,助手收入!$E3,"")</f>
        <v>290970.85</v>
      </c>
      <c r="G5" s="84" t="n">
        <f aca="false">IF(助手收入!$W3=1,助手收入!$G3,"")</f>
        <v>444121.45</v>
      </c>
      <c r="H5" s="84" t="n">
        <f aca="false">IF(助手收入!$W3=1,助手收入!$H3,"")</f>
        <v>0</v>
      </c>
      <c r="I5" s="84" t="n">
        <f aca="false">IF(助手收入!$W3=1,助手回款!$E3,"")</f>
        <v>150110.95</v>
      </c>
      <c r="J5" s="84" t="n">
        <f aca="false">IF(助手收入!$W3=1,助手回款!$F3,"")</f>
        <v>0</v>
      </c>
      <c r="K5" s="84" t="n">
        <f aca="false">IF(助手收入!$W3=1,助手回款!$G3,"")</f>
        <v>150110.95</v>
      </c>
      <c r="L5" s="84" t="n">
        <f aca="false">IF(助手收入!$W3=1,助手回款!$H3,"")</f>
        <v>0</v>
      </c>
    </row>
    <row r="6" customFormat="false" ht="13.5" hidden="false" customHeight="false" outlineLevel="0" collapsed="false">
      <c r="A6" s="82" t="n">
        <f aca="false">IF(助手收入!$W4=1,助手收入!$B4,"")</f>
        <v>2003</v>
      </c>
      <c r="B6" s="83" t="str">
        <f aca="false">IF(助手收入!$W4=1,助手收入!$C4,"")</f>
        <v>康庄路店</v>
      </c>
      <c r="C6" s="84" t="n">
        <f aca="false">IF(助手收入!$W4=1,助手收入!$N4,"")</f>
        <v>128377.96</v>
      </c>
      <c r="D6" s="84" t="n">
        <f aca="false">IF(助手收入!$W4=1,助手收入!$O4,"")</f>
        <v>128377.96</v>
      </c>
      <c r="E6" s="84" t="n">
        <f aca="false">IF(助手收入!$W4=1,ROUND($C6-$D6,2),"")</f>
        <v>0</v>
      </c>
      <c r="F6" s="84" t="n">
        <f aca="false">IF(助手收入!$W4=1,助手收入!$E4,"")</f>
        <v>50121.42</v>
      </c>
      <c r="G6" s="84" t="n">
        <f aca="false">IF(助手收入!$W4=1,助手收入!$G4,"")</f>
        <v>128377.96</v>
      </c>
      <c r="H6" s="84" t="n">
        <f aca="false">IF(助手收入!$W4=1,助手收入!$H4,"")</f>
        <v>0</v>
      </c>
      <c r="I6" s="84" t="n">
        <f aca="false">IF(助手收入!$W4=1,助手回款!$E4,"")</f>
        <v>156113.63</v>
      </c>
      <c r="J6" s="84" t="n">
        <f aca="false">IF(助手收入!$W4=1,助手回款!$F4,"")</f>
        <v>81.68</v>
      </c>
      <c r="K6" s="84" t="n">
        <f aca="false">IF(助手收入!$W4=1,助手回款!$G4,"")</f>
        <v>156195.31</v>
      </c>
      <c r="L6" s="84" t="n">
        <f aca="false">IF(助手收入!$W4=1,助手回款!$H4,"")</f>
        <v>0</v>
      </c>
    </row>
    <row r="7" customFormat="false" ht="13.5" hidden="false" customHeight="false" outlineLevel="0" collapsed="false">
      <c r="A7" s="82" t="n">
        <f aca="false">IF(助手收入!$W5=1,助手收入!$B5,"")</f>
        <v>2004</v>
      </c>
      <c r="B7" s="83" t="str">
        <f aca="false">IF(助手收入!$W5=1,助手收入!$C5,"")</f>
        <v>东关店</v>
      </c>
      <c r="C7" s="84" t="n">
        <f aca="false">IF(助手收入!$W5=1,助手收入!$N5,"")</f>
        <v>108041.04</v>
      </c>
      <c r="D7" s="84" t="n">
        <f aca="false">IF(助手收入!$W5=1,助手收入!$O5,"")</f>
        <v>108041.04</v>
      </c>
      <c r="E7" s="84" t="n">
        <f aca="false">IF(助手收入!$W5=1,ROUND($C7-$D7,2),"")</f>
        <v>0</v>
      </c>
      <c r="F7" s="84" t="n">
        <f aca="false">IF(助手收入!$W5=1,助手收入!$E5,"")</f>
        <v>67171.51</v>
      </c>
      <c r="G7" s="84" t="n">
        <f aca="false">IF(助手收入!$W5=1,助手收入!$G5,"")</f>
        <v>108041.04</v>
      </c>
      <c r="H7" s="84" t="n">
        <f aca="false">IF(助手收入!$W5=1,助手收入!$H5,"")</f>
        <v>0</v>
      </c>
      <c r="I7" s="84" t="n">
        <f aca="false">IF(助手收入!$W5=1,助手回款!$E5,"")</f>
        <v>30287.44</v>
      </c>
      <c r="J7" s="84" t="n">
        <f aca="false">IF(助手收入!$W5=1,助手回款!$F5,"")</f>
        <v>111.32</v>
      </c>
      <c r="K7" s="84" t="n">
        <f aca="false">IF(助手收入!$W5=1,助手回款!$G5,"")</f>
        <v>30398.76</v>
      </c>
      <c r="L7" s="84" t="n">
        <f aca="false">IF(助手收入!$W5=1,助手回款!$H5,"")</f>
        <v>0</v>
      </c>
    </row>
    <row r="8" customFormat="false" ht="13.5" hidden="false" customHeight="false" outlineLevel="0" collapsed="false">
      <c r="A8" s="82" t="n">
        <f aca="false">IF(助手收入!$W6=1,助手收入!$B6,"")</f>
        <v>2005</v>
      </c>
      <c r="B8" s="83" t="str">
        <f aca="false">IF(助手收入!$W6=1,助手收入!$C6,"")</f>
        <v>象城街店</v>
      </c>
      <c r="C8" s="84" t="n">
        <f aca="false">IF(助手收入!$W6=1,助手收入!$N6,"")</f>
        <v>116657.9</v>
      </c>
      <c r="D8" s="84" t="n">
        <f aca="false">IF(助手收入!$W6=1,助手收入!$O6,"")</f>
        <v>116657.9</v>
      </c>
      <c r="E8" s="84" t="n">
        <f aca="false">IF(助手收入!$W6=1,ROUND($C8-$D8,2),"")</f>
        <v>0</v>
      </c>
      <c r="F8" s="84" t="n">
        <f aca="false">IF(助手收入!$W6=1,助手收入!$E6,"")</f>
        <v>63058.21</v>
      </c>
      <c r="G8" s="84" t="n">
        <f aca="false">IF(助手收入!$W6=1,助手收入!$G6,"")</f>
        <v>116657.9</v>
      </c>
      <c r="H8" s="84" t="n">
        <f aca="false">IF(助手收入!$W6=1,助手收入!$H6,"")</f>
        <v>0</v>
      </c>
      <c r="I8" s="84" t="n">
        <f aca="false">IF(助手收入!$W6=1,助手回款!$E6,"")</f>
        <v>47151.07</v>
      </c>
      <c r="J8" s="84" t="n">
        <f aca="false">IF(助手收入!$W6=1,助手回款!$F6,"")</f>
        <v>82.32</v>
      </c>
      <c r="K8" s="84" t="n">
        <f aca="false">IF(助手收入!$W6=1,助手回款!$G6,"")</f>
        <v>47233.39</v>
      </c>
      <c r="L8" s="84" t="n">
        <f aca="false">IF(助手收入!$W6=1,助手回款!$H6,"")</f>
        <v>0</v>
      </c>
    </row>
    <row r="9" customFormat="false" ht="13.5" hidden="false" customHeight="false" outlineLevel="0" collapsed="false">
      <c r="A9" s="82" t="n">
        <f aca="false">IF(助手收入!$W7=1,助手收入!$B7,"")</f>
        <v>2006</v>
      </c>
      <c r="B9" s="83" t="str">
        <f aca="false">IF(助手收入!$W7=1,助手收入!$C7,"")</f>
        <v>博荣店</v>
      </c>
      <c r="C9" s="84" t="n">
        <f aca="false">IF(助手收入!$W7=1,助手收入!$N7,"")</f>
        <v>65353.62</v>
      </c>
      <c r="D9" s="84" t="n">
        <f aca="false">IF(助手收入!$W7=1,助手收入!$O7,"")</f>
        <v>65353.62</v>
      </c>
      <c r="E9" s="84" t="n">
        <f aca="false">IF(助手收入!$W7=1,ROUND($C9-$D9,2),"")</f>
        <v>0</v>
      </c>
      <c r="F9" s="84" t="n">
        <f aca="false">IF(助手收入!$W7=1,助手收入!$E7,"")</f>
        <v>4575.05</v>
      </c>
      <c r="G9" s="84" t="n">
        <f aca="false">IF(助手收入!$W7=1,助手收入!$G7,"")</f>
        <v>65353.62</v>
      </c>
      <c r="H9" s="84" t="n">
        <f aca="false">IF(助手收入!$W7=1,助手收入!$H7,"")</f>
        <v>0</v>
      </c>
      <c r="I9" s="84" t="n">
        <f aca="false">IF(助手收入!$W7=1,助手回款!$E7,"")</f>
        <v>77638.99</v>
      </c>
      <c r="J9" s="84" t="n">
        <f aca="false">IF(助手收入!$W7=1,助手回款!$F7,"")</f>
        <v>27.84</v>
      </c>
      <c r="K9" s="84" t="n">
        <f aca="false">IF(助手收入!$W7=1,助手回款!$G7,"")</f>
        <v>77666.83</v>
      </c>
      <c r="L9" s="84" t="n">
        <f aca="false">IF(助手收入!$W7=1,助手回款!$H7,"")</f>
        <v>0</v>
      </c>
    </row>
    <row r="10" customFormat="false" ht="13.5" hidden="false" customHeight="false" outlineLevel="0" collapsed="false">
      <c r="A10" s="82" t="n">
        <f aca="false">IF(助手收入!$W8=1,助手收入!$B8,"")</f>
        <v>2007</v>
      </c>
      <c r="B10" s="83" t="str">
        <f aca="false">IF(助手收入!$W8=1,助手收入!$C8,"")</f>
        <v>华鑫店</v>
      </c>
      <c r="C10" s="84" t="n">
        <f aca="false">IF(助手收入!$W8=1,助手收入!$N8,"")</f>
        <v>64343.02</v>
      </c>
      <c r="D10" s="84" t="n">
        <f aca="false">IF(助手收入!$W8=1,助手收入!$O8,"")</f>
        <v>64343.02</v>
      </c>
      <c r="E10" s="84" t="n">
        <f aca="false">IF(助手收入!$W8=1,ROUND($C10-$D10,2),"")</f>
        <v>0</v>
      </c>
      <c r="F10" s="84" t="n">
        <f aca="false">IF(助手收入!$W8=1,助手收入!$E8,"")</f>
        <v>12722.01</v>
      </c>
      <c r="G10" s="84" t="n">
        <f aca="false">IF(助手收入!$W8=1,助手收入!$G8,"")</f>
        <v>64343.02</v>
      </c>
      <c r="H10" s="84" t="n">
        <f aca="false">IF(助手收入!$W8=1,助手收入!$H8,"")</f>
        <v>0</v>
      </c>
      <c r="I10" s="84" t="n">
        <f aca="false">IF(助手收入!$W8=1,助手回款!$E8,"")</f>
        <v>42985.8</v>
      </c>
      <c r="J10" s="84" t="n">
        <f aca="false">IF(助手收入!$W8=1,助手回款!$F8,"")</f>
        <v>65.84</v>
      </c>
      <c r="K10" s="84" t="n">
        <f aca="false">IF(助手收入!$W8=1,助手回款!$G8,"")</f>
        <v>43051.64</v>
      </c>
      <c r="L10" s="84" t="n">
        <f aca="false">IF(助手收入!$W8=1,助手回款!$H8,"")</f>
        <v>0</v>
      </c>
    </row>
    <row r="11" customFormat="false" ht="13.5" hidden="false" customHeight="false" outlineLevel="0" collapsed="false">
      <c r="A11" s="82" t="n">
        <f aca="false">IF(助手收入!$W9=1,助手收入!$B9,"")</f>
        <v>2008</v>
      </c>
      <c r="B11" s="83" t="str">
        <f aca="false">IF(助手收入!$W9=1,助手收入!$C9,"")</f>
        <v>博昭店</v>
      </c>
      <c r="C11" s="84" t="n">
        <f aca="false">IF(助手收入!$W9=1,助手收入!$N9,"")</f>
        <v>75943.14</v>
      </c>
      <c r="D11" s="84" t="n">
        <f aca="false">IF(助手收入!$W9=1,助手收入!$O9,"")</f>
        <v>75943.14</v>
      </c>
      <c r="E11" s="84" t="n">
        <f aca="false">IF(助手收入!$W9=1,ROUND($C11-$D11,2),"")</f>
        <v>0</v>
      </c>
      <c r="F11" s="84" t="n">
        <f aca="false">IF(助手收入!$W9=1,助手收入!$E9,"")</f>
        <v>8028.82</v>
      </c>
      <c r="G11" s="84" t="n">
        <f aca="false">IF(助手收入!$W9=1,助手收入!$G9,"")</f>
        <v>75943.14</v>
      </c>
      <c r="H11" s="84" t="n">
        <f aca="false">IF(助手收入!$W9=1,助手收入!$H9,"")</f>
        <v>0</v>
      </c>
      <c r="I11" s="84" t="n">
        <f aca="false">IF(助手收入!$W9=1,助手回款!$E9,"")</f>
        <v>73981.1</v>
      </c>
      <c r="J11" s="84" t="n">
        <f aca="false">IF(助手收入!$W9=1,助手回款!$F9,"")</f>
        <v>5</v>
      </c>
      <c r="K11" s="84" t="n">
        <f aca="false">IF(助手收入!$W9=1,助手回款!$G9,"")</f>
        <v>73986.1</v>
      </c>
      <c r="L11" s="84" t="n">
        <f aca="false">IF(助手收入!$W9=1,助手回款!$H9,"")</f>
        <v>0</v>
      </c>
    </row>
    <row r="12" customFormat="false" ht="13.5" hidden="false" customHeight="false" outlineLevel="0" collapsed="false">
      <c r="A12" s="82" t="n">
        <f aca="false">IF(助手收入!$W10=1,助手收入!$B10,"")</f>
        <v>2009</v>
      </c>
      <c r="B12" s="83" t="str">
        <f aca="false">IF(助手收入!$W10=1,助手收入!$C10,"")</f>
        <v>大霍店</v>
      </c>
      <c r="C12" s="84" t="n">
        <f aca="false">IF(助手收入!$W10=1,助手收入!$N10,"")</f>
        <v>36619.7</v>
      </c>
      <c r="D12" s="84" t="n">
        <f aca="false">IF(助手收入!$W10=1,助手收入!$O10,"")</f>
        <v>36619.7</v>
      </c>
      <c r="E12" s="84" t="n">
        <f aca="false">IF(助手收入!$W10=1,ROUND($C12-$D12,2),"")</f>
        <v>0</v>
      </c>
      <c r="F12" s="84" t="n">
        <f aca="false">IF(助手收入!$W10=1,助手收入!$E10,"")</f>
        <v>9880.5</v>
      </c>
      <c r="G12" s="84" t="n">
        <f aca="false">IF(助手收入!$W10=1,助手收入!$G10,"")</f>
        <v>36619.7</v>
      </c>
      <c r="H12" s="84" t="n">
        <f aca="false">IF(助手收入!$W10=1,助手收入!$H10,"")</f>
        <v>0</v>
      </c>
      <c r="I12" s="84" t="n">
        <f aca="false">IF(助手收入!$W10=1,助手回款!$E10,"")</f>
        <v>34503.35</v>
      </c>
      <c r="J12" s="84" t="n">
        <f aca="false">IF(助手收入!$W10=1,助手回款!$F10,"")</f>
        <v>0</v>
      </c>
      <c r="K12" s="84" t="n">
        <f aca="false">IF(助手收入!$W10=1,助手回款!$G10,"")</f>
        <v>34503.35</v>
      </c>
      <c r="L12" s="84" t="n">
        <f aca="false">IF(助手收入!$W10=1,助手回款!$H10,"")</f>
        <v>0</v>
      </c>
    </row>
    <row r="13" customFormat="false" ht="13.5" hidden="false" customHeight="false" outlineLevel="0" collapsed="false">
      <c r="A13" s="82" t="n">
        <f aca="false">IF(助手收入!$W11=1,助手收入!$B11,"")</f>
        <v>2010</v>
      </c>
      <c r="B13" s="83" t="str">
        <f aca="false">IF(助手收入!$W11=1,助手收入!$C11,"")</f>
        <v>莲子镇店</v>
      </c>
      <c r="C13" s="84" t="n">
        <f aca="false">IF(助手收入!$W11=1,助手收入!$N11,"")</f>
        <v>107280.2</v>
      </c>
      <c r="D13" s="84" t="n">
        <f aca="false">IF(助手收入!$W11=1,助手收入!$O11,"")</f>
        <v>107280.2</v>
      </c>
      <c r="E13" s="84" t="n">
        <f aca="false">IF(助手收入!$W11=1,ROUND($C13-$D13,2),"")</f>
        <v>0</v>
      </c>
      <c r="F13" s="84" t="n">
        <f aca="false">IF(助手收入!$W11=1,助手收入!$E11,"")</f>
        <v>23656.79</v>
      </c>
      <c r="G13" s="84" t="n">
        <f aca="false">IF(助手收入!$W11=1,助手收入!$G11,"")</f>
        <v>107280.2</v>
      </c>
      <c r="H13" s="84" t="n">
        <f aca="false">IF(助手收入!$W11=1,助手收入!$H11,"")</f>
        <v>0</v>
      </c>
      <c r="I13" s="84" t="n">
        <f aca="false">IF(助手收入!$W11=1,助手回款!$E11,"")</f>
        <v>90939.53</v>
      </c>
      <c r="J13" s="84" t="n">
        <f aca="false">IF(助手收入!$W11=1,助手回款!$F11,"")</f>
        <v>0</v>
      </c>
      <c r="K13" s="84" t="n">
        <f aca="false">IF(助手收入!$W11=1,助手回款!$G11,"")</f>
        <v>90939.53</v>
      </c>
      <c r="L13" s="84" t="n">
        <f aca="false">IF(助手收入!$W11=1,助手回款!$H11,"")</f>
        <v>0</v>
      </c>
    </row>
    <row r="14" customFormat="false" ht="13.5" hidden="false" customHeight="false" outlineLevel="0" collapsed="false">
      <c r="A14" s="82" t="n">
        <f aca="false">IF(助手收入!$W12=1,助手收入!$B12,"")</f>
        <v>2011</v>
      </c>
      <c r="B14" s="83" t="str">
        <f aca="false">IF(助手收入!$W12=1,助手收入!$C12,"")</f>
        <v>毛尔寨店</v>
      </c>
      <c r="C14" s="84" t="n">
        <f aca="false">IF(助手收入!$W12=1,助手收入!$N12,"")</f>
        <v>42823.36</v>
      </c>
      <c r="D14" s="84" t="n">
        <f aca="false">IF(助手收入!$W12=1,助手收入!$O12,"")</f>
        <v>42823.36</v>
      </c>
      <c r="E14" s="84" t="n">
        <f aca="false">IF(助手收入!$W12=1,ROUND($C14-$D14,2),"")</f>
        <v>0</v>
      </c>
      <c r="F14" s="84" t="n">
        <f aca="false">IF(助手收入!$W12=1,助手收入!$E12,"")</f>
        <v>24370.58</v>
      </c>
      <c r="G14" s="84" t="n">
        <f aca="false">IF(助手收入!$W12=1,助手收入!$G12,"")</f>
        <v>42823.36</v>
      </c>
      <c r="H14" s="84" t="n">
        <f aca="false">IF(助手收入!$W12=1,助手收入!$H12,"")</f>
        <v>0</v>
      </c>
      <c r="I14" s="84" t="n">
        <f aca="false">IF(助手收入!$W12=1,助手回款!$E12,"")</f>
        <v>17341.43</v>
      </c>
      <c r="J14" s="84" t="n">
        <f aca="false">IF(助手收入!$W12=1,助手回款!$F12,"")</f>
        <v>0</v>
      </c>
      <c r="K14" s="84" t="n">
        <f aca="false">IF(助手收入!$W12=1,助手回款!$G12,"")</f>
        <v>17341.43</v>
      </c>
      <c r="L14" s="84" t="n">
        <f aca="false">IF(助手收入!$W12=1,助手回款!$H12,"")</f>
        <v>0</v>
      </c>
    </row>
    <row r="15" customFormat="false" ht="13.5" hidden="false" customHeight="false" outlineLevel="0" collapsed="false">
      <c r="A15" s="82" t="n">
        <f aca="false">IF(助手收入!$W13=1,助手收入!$B13,"")</f>
        <v>2012</v>
      </c>
      <c r="B15" s="83" t="str">
        <f aca="false">IF(助手收入!$W13=1,助手收入!$C13,"")</f>
        <v>泽畔店</v>
      </c>
      <c r="C15" s="84" t="n">
        <f aca="false">IF(助手收入!$W13=1,助手收入!$N13,"")</f>
        <v>50656.25</v>
      </c>
      <c r="D15" s="84" t="n">
        <f aca="false">IF(助手收入!$W13=1,助手收入!$O13,"")</f>
        <v>50656.25</v>
      </c>
      <c r="E15" s="84" t="n">
        <f aca="false">IF(助手收入!$W13=1,ROUND($C15-$D15,2),"")</f>
        <v>0</v>
      </c>
      <c r="F15" s="84" t="n">
        <f aca="false">IF(助手收入!$W13=1,助手收入!$E13,"")</f>
        <v>25649.6</v>
      </c>
      <c r="G15" s="84" t="n">
        <f aca="false">IF(助手收入!$W13=1,助手收入!$G13,"")</f>
        <v>50656.25</v>
      </c>
      <c r="H15" s="84" t="n">
        <f aca="false">IF(助手收入!$W13=1,助手收入!$H13,"")</f>
        <v>-57.38</v>
      </c>
      <c r="I15" s="84" t="n">
        <f aca="false">IF(助手收入!$W13=1,助手回款!$E13,"")</f>
        <v>33713.92</v>
      </c>
      <c r="J15" s="84" t="n">
        <f aca="false">IF(助手收入!$W13=1,助手回款!$F13,"")</f>
        <v>0</v>
      </c>
      <c r="K15" s="84" t="n">
        <f aca="false">IF(助手收入!$W13=1,助手回款!$G13,"")</f>
        <v>33713.92</v>
      </c>
      <c r="L15" s="84" t="n">
        <f aca="false">IF(助手收入!$W13=1,助手回款!$H13,"")</f>
        <v>0</v>
      </c>
    </row>
    <row r="16" customFormat="false" ht="13.5" hidden="false" customHeight="false" outlineLevel="0" collapsed="false">
      <c r="A16" s="82" t="n">
        <f aca="false">IF(助手收入!$W14=1,助手收入!$B14,"")</f>
        <v>2014</v>
      </c>
      <c r="B16" s="83" t="str">
        <f aca="false">IF(助手收入!$W14=1,助手收入!$C14,"")</f>
        <v>博桥店</v>
      </c>
      <c r="C16" s="84" t="n">
        <f aca="false">IF(助手收入!$W14=1,助手收入!$N14,"")</f>
        <v>69430.99</v>
      </c>
      <c r="D16" s="84" t="n">
        <f aca="false">IF(助手收入!$W14=1,助手收入!$O14,"")</f>
        <v>69430.99</v>
      </c>
      <c r="E16" s="84" t="n">
        <f aca="false">IF(助手收入!$W14=1,ROUND($C16-$D16,2),"")</f>
        <v>0</v>
      </c>
      <c r="F16" s="84" t="n">
        <f aca="false">IF(助手收入!$W14=1,助手收入!$E14,"")</f>
        <v>21123.98</v>
      </c>
      <c r="G16" s="84" t="n">
        <f aca="false">IF(助手收入!$W14=1,助手收入!$G14,"")</f>
        <v>69428.81</v>
      </c>
      <c r="H16" s="84" t="n">
        <f aca="false">IF(助手收入!$W14=1,助手收入!$H14,"")</f>
        <v>0</v>
      </c>
      <c r="I16" s="84" t="n">
        <f aca="false">IF(助手收入!$W14=1,助手回款!$E14,"")</f>
        <v>57332.73</v>
      </c>
      <c r="J16" s="84" t="n">
        <f aca="false">IF(助手收入!$W14=1,助手回款!$F14,"")</f>
        <v>0</v>
      </c>
      <c r="K16" s="84" t="n">
        <f aca="false">IF(助手收入!$W14=1,助手回款!$G14,"")</f>
        <v>57332.73</v>
      </c>
      <c r="L16" s="84" t="n">
        <f aca="false">IF(助手收入!$W14=1,助手回款!$H14,"")</f>
        <v>0</v>
      </c>
    </row>
    <row r="17" customFormat="false" ht="13.5" hidden="false" customHeight="false" outlineLevel="0" collapsed="false">
      <c r="A17" s="82" t="n">
        <f aca="false">IF(助手收入!$W15=1,助手收入!$B15,"")</f>
        <v>2015</v>
      </c>
      <c r="B17" s="83" t="str">
        <f aca="false">IF(助手收入!$W15=1,助手收入!$C15,"")</f>
        <v>齐村店</v>
      </c>
      <c r="C17" s="84" t="n">
        <f aca="false">IF(助手收入!$W15=1,助手收入!$N15,"")</f>
        <v>28193.19</v>
      </c>
      <c r="D17" s="84" t="n">
        <f aca="false">IF(助手收入!$W15=1,助手收入!$O15,"")</f>
        <v>28193.19</v>
      </c>
      <c r="E17" s="84" t="n">
        <f aca="false">IF(助手收入!$W15=1,ROUND($C17-$D17,2),"")</f>
        <v>0</v>
      </c>
      <c r="F17" s="84" t="n">
        <f aca="false">IF(助手收入!$W15=1,助手收入!$E15,"")</f>
        <v>28193.19</v>
      </c>
      <c r="G17" s="84" t="n">
        <f aca="false">IF(助手收入!$W15=1,助手收入!$G15,"")</f>
        <v>28193.19</v>
      </c>
      <c r="H17" s="84" t="n">
        <f aca="false">IF(助手收入!$W15=1,助手收入!$H15,"")</f>
        <v>0</v>
      </c>
      <c r="I17" s="84" t="n">
        <f aca="false">IF(助手收入!$W15=1,助手回款!$E15,"")</f>
        <v>0</v>
      </c>
      <c r="J17" s="84" t="n">
        <f aca="false">IF(助手收入!$W15=1,助手回款!$F15,"")</f>
        <v>0</v>
      </c>
      <c r="K17" s="84" t="n">
        <f aca="false">IF(助手收入!$W15=1,助手回款!$G15,"")</f>
        <v>0</v>
      </c>
      <c r="L17" s="84" t="n">
        <f aca="false">IF(助手收入!$W15=1,助手回款!$H15,"")</f>
        <v>0</v>
      </c>
    </row>
    <row r="18" customFormat="false" ht="13.5" hidden="false" customHeight="false" outlineLevel="0" collapsed="false">
      <c r="A18" s="82" t="n">
        <f aca="false">IF(助手收入!$W16=1,助手收入!$B16,"")</f>
        <v>2017</v>
      </c>
      <c r="B18" s="83" t="str">
        <f aca="false">IF(助手收入!$W16=1,助手收入!$C16,"")</f>
        <v>博天店</v>
      </c>
      <c r="C18" s="84" t="n">
        <f aca="false">IF(助手收入!$W16=1,助手收入!$N16,"")</f>
        <v>9995.83</v>
      </c>
      <c r="D18" s="84" t="n">
        <f aca="false">IF(助手收入!$W16=1,助手收入!$O16,"")</f>
        <v>9995.83</v>
      </c>
      <c r="E18" s="84" t="n">
        <f aca="false">IF(助手收入!$W16=1,ROUND($C18-$D18,2),"")</f>
        <v>0</v>
      </c>
      <c r="F18" s="84" t="n">
        <f aca="false">IF(助手收入!$W16=1,助手收入!$E16,"")</f>
        <v>2922.7</v>
      </c>
      <c r="G18" s="84" t="n">
        <f aca="false">IF(助手收入!$W16=1,助手收入!$G16,"")</f>
        <v>9995.83</v>
      </c>
      <c r="H18" s="84" t="n">
        <f aca="false">IF(助手收入!$W16=1,助手收入!$H16,"")</f>
        <v>0</v>
      </c>
      <c r="I18" s="84" t="n">
        <f aca="false">IF(助手收入!$W16=1,助手回款!$E16,"")</f>
        <v>2307.81</v>
      </c>
      <c r="J18" s="84" t="n">
        <f aca="false">IF(助手收入!$W16=1,助手回款!$F16,"")</f>
        <v>29.32</v>
      </c>
      <c r="K18" s="84" t="n">
        <f aca="false">IF(助手收入!$W16=1,助手回款!$G16,"")</f>
        <v>2337.13</v>
      </c>
      <c r="L18" s="84" t="n">
        <f aca="false">IF(助手收入!$W16=1,助手回款!$H16,"")</f>
        <v>0</v>
      </c>
    </row>
    <row r="19" customFormat="false" ht="13.5" hidden="false" customHeight="false" outlineLevel="0" collapsed="false">
      <c r="A19" s="82" t="n">
        <f aca="false">IF(助手收入!$W17=1,助手收入!$B17,"")</f>
        <v>2018</v>
      </c>
      <c r="B19" s="83" t="str">
        <f aca="false">IF(助手收入!$W17=1,助手收入!$C17,"")</f>
        <v>魏家庄店</v>
      </c>
      <c r="C19" s="84" t="n">
        <f aca="false">IF(助手收入!$W17=1,助手收入!$N17,"")</f>
        <v>38389.91</v>
      </c>
      <c r="D19" s="84" t="n">
        <f aca="false">IF(助手收入!$W17=1,助手收入!$O17,"")</f>
        <v>38389.91</v>
      </c>
      <c r="E19" s="84" t="n">
        <f aca="false">IF(助手收入!$W17=1,ROUND($C19-$D19,2),"")</f>
        <v>0</v>
      </c>
      <c r="F19" s="84" t="n">
        <f aca="false">IF(助手收入!$W17=1,助手收入!$E17,"")</f>
        <v>10466.07</v>
      </c>
      <c r="G19" s="84" t="n">
        <f aca="false">IF(助手收入!$W17=1,助手收入!$G17,"")</f>
        <v>38389.91</v>
      </c>
      <c r="H19" s="84" t="n">
        <f aca="false">IF(助手收入!$W17=1,助手收入!$H17,"")</f>
        <v>0</v>
      </c>
      <c r="I19" s="84" t="n">
        <f aca="false">IF(助手收入!$W17=1,助手回款!$E17,"")</f>
        <v>29208</v>
      </c>
      <c r="J19" s="84" t="n">
        <f aca="false">IF(助手收入!$W17=1,助手回款!$F17,"")</f>
        <v>0</v>
      </c>
      <c r="K19" s="84" t="n">
        <f aca="false">IF(助手收入!$W17=1,助手回款!$G17,"")</f>
        <v>29208</v>
      </c>
      <c r="L19" s="84" t="n">
        <f aca="false">IF(助手收入!$W17=1,助手回款!$H17,"")</f>
        <v>0</v>
      </c>
    </row>
    <row r="20" customFormat="false" ht="13.5" hidden="false" customHeight="false" outlineLevel="0" collapsed="false">
      <c r="A20" s="82" t="n">
        <f aca="false">IF(助手收入!$W18=1,助手收入!$B18,"")</f>
        <v>2022</v>
      </c>
      <c r="B20" s="83" t="str">
        <f aca="false">IF(助手收入!$W18=1,助手收入!$C18,"")</f>
        <v>北楼店</v>
      </c>
      <c r="C20" s="84" t="n">
        <f aca="false">IF(助手收入!$W18=1,助手收入!$N18,"")</f>
        <v>70718.95</v>
      </c>
      <c r="D20" s="84" t="n">
        <f aca="false">IF(助手收入!$W18=1,助手收入!$O18,"")</f>
        <v>70718.95</v>
      </c>
      <c r="E20" s="84" t="n">
        <f aca="false">IF(助手收入!$W18=1,ROUND($C20-$D20,2),"")</f>
        <v>0</v>
      </c>
      <c r="F20" s="84" t="n">
        <f aca="false">IF(助手收入!$W18=1,助手收入!$E18,"")</f>
        <v>14368.55</v>
      </c>
      <c r="G20" s="84" t="n">
        <f aca="false">IF(助手收入!$W18=1,助手收入!$G18,"")</f>
        <v>70718.95</v>
      </c>
      <c r="H20" s="84" t="n">
        <f aca="false">IF(助手收入!$W18=1,助手收入!$H18,"")</f>
        <v>0</v>
      </c>
      <c r="I20" s="84" t="n">
        <f aca="false">IF(助手收入!$W18=1,助手回款!$E18,"")</f>
        <v>58435.76</v>
      </c>
      <c r="J20" s="84" t="n">
        <f aca="false">IF(助手收入!$W18=1,助手回款!$F18,"")</f>
        <v>0</v>
      </c>
      <c r="K20" s="84" t="n">
        <f aca="false">IF(助手收入!$W18=1,助手回款!$G18,"")</f>
        <v>58435.76</v>
      </c>
      <c r="L20" s="84" t="n">
        <f aca="false">IF(助手收入!$W18=1,助手回款!$H18,"")</f>
        <v>0</v>
      </c>
    </row>
    <row r="21" customFormat="false" ht="13.5" hidden="false" customHeight="false" outlineLevel="0" collapsed="false">
      <c r="A21" s="82" t="n">
        <f aca="false">IF(助手收入!$W19=1,助手收入!$B19,"")</f>
        <v>2023</v>
      </c>
      <c r="B21" s="83" t="str">
        <f aca="false">IF(助手收入!$W19=1,助手收入!$C19,"")</f>
        <v>尹村店</v>
      </c>
      <c r="C21" s="84" t="n">
        <f aca="false">IF(助手收入!$W19=1,助手收入!$N19,"")</f>
        <v>52469.12</v>
      </c>
      <c r="D21" s="84" t="n">
        <f aca="false">IF(助手收入!$W19=1,助手收入!$O19,"")</f>
        <v>52469.12</v>
      </c>
      <c r="E21" s="84" t="n">
        <f aca="false">IF(助手收入!$W19=1,ROUND($C21-$D21,2),"")</f>
        <v>0</v>
      </c>
      <c r="F21" s="84" t="n">
        <f aca="false">IF(助手收入!$W19=1,助手收入!$E19,"")</f>
        <v>10365.03</v>
      </c>
      <c r="G21" s="84" t="n">
        <f aca="false">IF(助手收入!$W19=1,助手收入!$G19,"")</f>
        <v>52469.12</v>
      </c>
      <c r="H21" s="84" t="n">
        <f aca="false">IF(助手收入!$W19=1,助手收入!$H19,"")</f>
        <v>0</v>
      </c>
      <c r="I21" s="84" t="n">
        <f aca="false">IF(助手收入!$W19=1,助手回款!$E19,"")</f>
        <v>39148.34</v>
      </c>
      <c r="J21" s="84" t="n">
        <f aca="false">IF(助手收入!$W19=1,助手回款!$F19,"")</f>
        <v>0</v>
      </c>
      <c r="K21" s="84" t="n">
        <f aca="false">IF(助手收入!$W19=1,助手回款!$G19,"")</f>
        <v>39148.34</v>
      </c>
      <c r="L21" s="84" t="n">
        <f aca="false">IF(助手收入!$W19=1,助手回款!$H19,"")</f>
        <v>0</v>
      </c>
    </row>
    <row r="22" customFormat="false" ht="13.5" hidden="false" customHeight="false" outlineLevel="0" collapsed="false">
      <c r="A22" s="82" t="n">
        <f aca="false">IF(助手收入!$W20=1,助手收入!$B20,"")</f>
        <v>2024</v>
      </c>
      <c r="B22" s="83" t="str">
        <f aca="false">IF(助手收入!$W20=1,助手收入!$C20,"")</f>
        <v>高村店</v>
      </c>
      <c r="C22" s="84" t="n">
        <f aca="false">IF(助手收入!$W20=1,助手收入!$N20,"")</f>
        <v>101877.92</v>
      </c>
      <c r="D22" s="84" t="n">
        <f aca="false">IF(助手收入!$W20=1,助手收入!$O20,"")</f>
        <v>101877.92</v>
      </c>
      <c r="E22" s="84" t="n">
        <f aca="false">IF(助手收入!$W20=1,ROUND($C22-$D22,2),"")</f>
        <v>0</v>
      </c>
      <c r="F22" s="84" t="n">
        <f aca="false">IF(助手收入!$W20=1,助手收入!$E20,"")</f>
        <v>38459.74</v>
      </c>
      <c r="G22" s="84" t="n">
        <f aca="false">IF(助手收入!$W20=1,助手收入!$G20,"")</f>
        <v>101877.92</v>
      </c>
      <c r="H22" s="84" t="n">
        <f aca="false">IF(助手收入!$W20=1,助手收入!$H20,"")</f>
        <v>0</v>
      </c>
      <c r="I22" s="84" t="n">
        <f aca="false">IF(助手收入!$W20=1,助手回款!$E20,"")</f>
        <v>67730.22</v>
      </c>
      <c r="J22" s="84" t="n">
        <f aca="false">IF(助手收入!$W20=1,助手回款!$F20,"")</f>
        <v>0</v>
      </c>
      <c r="K22" s="84" t="n">
        <f aca="false">IF(助手收入!$W20=1,助手回款!$G20,"")</f>
        <v>67730.22</v>
      </c>
      <c r="L22" s="84" t="n">
        <f aca="false">IF(助手收入!$W20=1,助手回款!$H20,"")</f>
        <v>0</v>
      </c>
    </row>
    <row r="23" customFormat="false" ht="13.5" hidden="false" customHeight="false" outlineLevel="0" collapsed="false">
      <c r="A23" s="82" t="n">
        <f aca="false">IF(助手收入!$W21=1,助手收入!$B21,"")</f>
        <v>2026</v>
      </c>
      <c r="B23" s="83" t="str">
        <f aca="false">IF(助手收入!$W21=1,助手收入!$C21,"")</f>
        <v>彭村店</v>
      </c>
      <c r="C23" s="84" t="n">
        <f aca="false">IF(助手收入!$W21=1,助手收入!$N21,"")</f>
        <v>35245.9</v>
      </c>
      <c r="D23" s="84" t="n">
        <f aca="false">IF(助手收入!$W21=1,助手收入!$O21,"")</f>
        <v>35245.9</v>
      </c>
      <c r="E23" s="84" t="n">
        <f aca="false">IF(助手收入!$W21=1,ROUND($C23-$D23,2),"")</f>
        <v>0</v>
      </c>
      <c r="F23" s="84" t="n">
        <f aca="false">IF(助手收入!$W21=1,助手收入!$E21,"")</f>
        <v>7900.28</v>
      </c>
      <c r="G23" s="84" t="n">
        <f aca="false">IF(助手收入!$W21=1,助手收入!$G21,"")</f>
        <v>35245.7</v>
      </c>
      <c r="H23" s="84" t="n">
        <f aca="false">IF(助手收入!$W21=1,助手收入!$H21,"")</f>
        <v>0</v>
      </c>
      <c r="I23" s="84" t="n">
        <f aca="false">IF(助手收入!$W21=1,助手回款!$E21,"")</f>
        <v>28850.25</v>
      </c>
      <c r="J23" s="84" t="n">
        <f aca="false">IF(助手收入!$W21=1,助手回款!$F21,"")</f>
        <v>0</v>
      </c>
      <c r="K23" s="84" t="n">
        <f aca="false">IF(助手收入!$W21=1,助手回款!$G21,"")</f>
        <v>28850.25</v>
      </c>
      <c r="L23" s="84" t="n">
        <f aca="false">IF(助手收入!$W21=1,助手回款!$H21,"")</f>
        <v>0</v>
      </c>
    </row>
    <row r="24" customFormat="false" ht="13.5" hidden="false" customHeight="false" outlineLevel="0" collapsed="false">
      <c r="A24" s="82" t="n">
        <f aca="false">IF(助手收入!$W22=1,助手收入!$B22,"")</f>
        <v>2030</v>
      </c>
      <c r="B24" s="83" t="str">
        <f aca="false">IF(助手收入!$W22=1,助手收入!$C22,"")</f>
        <v>南位店</v>
      </c>
      <c r="C24" s="84" t="n">
        <f aca="false">IF(助手收入!$W22=1,助手收入!$N22,"")</f>
        <v>31878.75</v>
      </c>
      <c r="D24" s="84" t="n">
        <f aca="false">IF(助手收入!$W22=1,助手收入!$O22,"")</f>
        <v>31878.75</v>
      </c>
      <c r="E24" s="84" t="n">
        <f aca="false">IF(助手收入!$W22=1,ROUND($C24-$D24,2),"")</f>
        <v>0</v>
      </c>
      <c r="F24" s="84" t="n">
        <f aca="false">IF(助手收入!$W22=1,助手收入!$E22,"")</f>
        <v>10577.51</v>
      </c>
      <c r="G24" s="84" t="n">
        <f aca="false">IF(助手收入!$W22=1,助手收入!$G22,"")</f>
        <v>31878.05</v>
      </c>
      <c r="H24" s="84" t="n">
        <f aca="false">IF(助手收入!$W22=1,助手收入!$H22,"")</f>
        <v>0</v>
      </c>
      <c r="I24" s="84" t="n">
        <f aca="false">IF(助手收入!$W22=1,助手回款!$E22,"")</f>
        <v>21397.99</v>
      </c>
      <c r="J24" s="84" t="n">
        <f aca="false">IF(助手收入!$W22=1,助手回款!$F22,"")</f>
        <v>0</v>
      </c>
      <c r="K24" s="84" t="n">
        <f aca="false">IF(助手收入!$W22=1,助手回款!$G22,"")</f>
        <v>21397.99</v>
      </c>
      <c r="L24" s="84" t="n">
        <f aca="false">IF(助手收入!$W22=1,助手回款!$H22,"")</f>
        <v>0</v>
      </c>
    </row>
    <row r="25" customFormat="false" ht="13.5" hidden="false" customHeight="false" outlineLevel="0" collapsed="false">
      <c r="A25" s="82" t="n">
        <f aca="false">IF(助手收入!$W23=1,助手收入!$B23,"")</f>
        <v>2032</v>
      </c>
      <c r="B25" s="83" t="str">
        <f aca="false">IF(助手收入!$W23=1,助手收入!$C23,"")</f>
        <v>博园店</v>
      </c>
      <c r="C25" s="84" t="n">
        <f aca="false">IF(助手收入!$W23=1,助手收入!$N23,"")</f>
        <v>43702.51</v>
      </c>
      <c r="D25" s="84" t="n">
        <f aca="false">IF(助手收入!$W23=1,助手收入!$O23,"")</f>
        <v>43702.51</v>
      </c>
      <c r="E25" s="84" t="n">
        <f aca="false">IF(助手收入!$W23=1,ROUND($C25-$D25,2),"")</f>
        <v>0</v>
      </c>
      <c r="F25" s="84" t="n">
        <f aca="false">IF(助手收入!$W23=1,助手收入!$E23,"")</f>
        <v>8260.86</v>
      </c>
      <c r="G25" s="84" t="n">
        <f aca="false">IF(助手收入!$W23=1,助手收入!$G23,"")</f>
        <v>43702.51</v>
      </c>
      <c r="H25" s="84" t="n">
        <f aca="false">IF(助手收入!$W23=1,助手收入!$H23,"")</f>
        <v>0</v>
      </c>
      <c r="I25" s="84" t="n">
        <f aca="false">IF(助手收入!$W23=1,助手回款!$E23,"")</f>
        <v>34752.49</v>
      </c>
      <c r="J25" s="84" t="n">
        <f aca="false">IF(助手收入!$W23=1,助手回款!$F23,"")</f>
        <v>0</v>
      </c>
      <c r="K25" s="84" t="n">
        <f aca="false">IF(助手收入!$W23=1,助手回款!$G23,"")</f>
        <v>34752.49</v>
      </c>
      <c r="L25" s="84" t="n">
        <f aca="false">IF(助手收入!$W23=1,助手回款!$H23,"")</f>
        <v>0</v>
      </c>
    </row>
    <row r="26" customFormat="false" ht="13.5" hidden="false" customHeight="false" outlineLevel="0" collapsed="false">
      <c r="A26" s="82" t="n">
        <f aca="false">IF(助手收入!$W24=1,助手收入!$B24,"")</f>
        <v>2036</v>
      </c>
      <c r="B26" s="83" t="str">
        <f aca="false">IF(助手收入!$W24=1,助手收入!$C24,"")</f>
        <v>黑城店</v>
      </c>
      <c r="C26" s="84" t="n">
        <f aca="false">IF(助手收入!$W24=1,助手收入!$N24,"")</f>
        <v>0</v>
      </c>
      <c r="D26" s="84" t="n">
        <f aca="false">IF(助手收入!$W24=1,助手收入!$O24,"")</f>
        <v>0</v>
      </c>
      <c r="E26" s="84" t="n">
        <f aca="false">IF(助手收入!$W24=1,ROUND($C26-$D26,2),"")</f>
        <v>0</v>
      </c>
      <c r="F26" s="84" t="n">
        <f aca="false">IF(助手收入!$W24=1,助手收入!$E24,"")</f>
        <v>0</v>
      </c>
      <c r="G26" s="84" t="n">
        <f aca="false">IF(助手收入!$W24=1,助手收入!$G24,"")</f>
        <v>0</v>
      </c>
      <c r="H26" s="84" t="n">
        <f aca="false">IF(助手收入!$W24=1,助手收入!$H24,"")</f>
        <v>0</v>
      </c>
      <c r="I26" s="84" t="n">
        <f aca="false">IF(助手收入!$W24=1,助手回款!$E24,"")</f>
        <v>17642.02</v>
      </c>
      <c r="J26" s="84" t="n">
        <f aca="false">IF(助手收入!$W24=1,助手回款!$F24,"")</f>
        <v>0</v>
      </c>
      <c r="K26" s="84" t="n">
        <f aca="false">IF(助手收入!$W24=1,助手回款!$G24,"")</f>
        <v>17642.02</v>
      </c>
      <c r="L26" s="84" t="n">
        <f aca="false">IF(助手收入!$W24=1,助手回款!$H24,"")</f>
        <v>0</v>
      </c>
    </row>
    <row r="27" customFormat="false" ht="13.5" hidden="false" customHeight="false" outlineLevel="0" collapsed="false">
      <c r="A27" s="82" t="n">
        <f aca="false">IF(助手收入!$W25=1,助手收入!$B25,"")</f>
        <v>2037</v>
      </c>
      <c r="B27" s="83" t="str">
        <f aca="false">IF(助手收入!$W25=1,助手收入!$C25,"")</f>
        <v>新华路店</v>
      </c>
      <c r="C27" s="84" t="n">
        <f aca="false">IF(助手收入!$W25=1,助手收入!$N25,"")</f>
        <v>57119.76</v>
      </c>
      <c r="D27" s="84" t="n">
        <f aca="false">IF(助手收入!$W25=1,助手收入!$O25,"")</f>
        <v>57119.76</v>
      </c>
      <c r="E27" s="84" t="n">
        <f aca="false">IF(助手收入!$W25=1,ROUND($C27-$D27,2),"")</f>
        <v>0</v>
      </c>
      <c r="F27" s="84" t="n">
        <f aca="false">IF(助手收入!$W25=1,助手收入!$E25,"")</f>
        <v>9545.13</v>
      </c>
      <c r="G27" s="84" t="n">
        <f aca="false">IF(助手收入!$W25=1,助手收入!$G25,"")</f>
        <v>57119.76</v>
      </c>
      <c r="H27" s="84" t="n">
        <f aca="false">IF(助手收入!$W25=1,助手收入!$H25,"")</f>
        <v>0</v>
      </c>
      <c r="I27" s="84" t="n">
        <f aca="false">IF(助手收入!$W25=1,助手回款!$E25,"")</f>
        <v>45182.19</v>
      </c>
      <c r="J27" s="84" t="n">
        <f aca="false">IF(助手收入!$W25=1,助手回款!$F25,"")</f>
        <v>4147.09</v>
      </c>
      <c r="K27" s="84" t="n">
        <f aca="false">IF(助手收入!$W25=1,助手回款!$G25,"")</f>
        <v>49329.28</v>
      </c>
      <c r="L27" s="84" t="n">
        <f aca="false">IF(助手收入!$W25=1,助手回款!$H25,"")</f>
        <v>0</v>
      </c>
    </row>
    <row r="28" customFormat="false" ht="13.5" hidden="false" customHeight="false" outlineLevel="0" collapsed="false">
      <c r="A28" s="82" t="n">
        <f aca="false">IF(助手收入!$W26=1,助手收入!$B26,"")</f>
        <v>2038</v>
      </c>
      <c r="B28" s="83" t="str">
        <f aca="false">IF(助手收入!$W26=1,助手收入!$C26,"")</f>
        <v>杨村王街店</v>
      </c>
      <c r="C28" s="84" t="n">
        <f aca="false">IF(助手收入!$W26=1,助手收入!$N26,"")</f>
        <v>36982.4</v>
      </c>
      <c r="D28" s="84" t="n">
        <f aca="false">IF(助手收入!$W26=1,助手收入!$O26,"")</f>
        <v>36982.4</v>
      </c>
      <c r="E28" s="84" t="n">
        <f aca="false">IF(助手收入!$W26=1,ROUND($C28-$D28,2),"")</f>
        <v>0</v>
      </c>
      <c r="F28" s="84" t="n">
        <f aca="false">IF(助手收入!$W26=1,助手收入!$E26,"")</f>
        <v>9460.39</v>
      </c>
      <c r="G28" s="84" t="n">
        <f aca="false">IF(助手收入!$W26=1,助手收入!$G26,"")</f>
        <v>36982.4</v>
      </c>
      <c r="H28" s="84" t="n">
        <f aca="false">IF(助手收入!$W26=1,助手收入!$H26,"")</f>
        <v>0</v>
      </c>
      <c r="I28" s="84" t="n">
        <f aca="false">IF(助手收入!$W26=1,助手回款!$E26,"")</f>
        <v>26989.38</v>
      </c>
      <c r="J28" s="84" t="n">
        <f aca="false">IF(助手收入!$W26=1,助手回款!$F26,"")</f>
        <v>0</v>
      </c>
      <c r="K28" s="84" t="n">
        <f aca="false">IF(助手收入!$W26=1,助手回款!$G26,"")</f>
        <v>26989.38</v>
      </c>
      <c r="L28" s="84" t="n">
        <f aca="false">IF(助手收入!$W26=1,助手回款!$H26,"")</f>
        <v>0</v>
      </c>
    </row>
    <row r="29" customFormat="false" ht="13.5" hidden="false" customHeight="false" outlineLevel="0" collapsed="false">
      <c r="A29" s="82" t="n">
        <f aca="false">IF(助手收入!$W27=1,助手收入!$B27,"")</f>
        <v>2039</v>
      </c>
      <c r="B29" s="83" t="str">
        <f aca="false">IF(助手收入!$W27=1,助手收入!$C27,"")</f>
        <v>千户营店</v>
      </c>
      <c r="C29" s="84" t="n">
        <f aca="false">IF(助手收入!$W27=1,助手收入!$N27,"")</f>
        <v>73917.68</v>
      </c>
      <c r="D29" s="84" t="n">
        <f aca="false">IF(助手收入!$W27=1,助手收入!$O27,"")</f>
        <v>73917.68</v>
      </c>
      <c r="E29" s="84" t="n">
        <f aca="false">IF(助手收入!$W27=1,ROUND($C29-$D29,2),"")</f>
        <v>0</v>
      </c>
      <c r="F29" s="84" t="n">
        <f aca="false">IF(助手收入!$W27=1,助手收入!$E27,"")</f>
        <v>27210.58</v>
      </c>
      <c r="G29" s="84" t="n">
        <f aca="false">IF(助手收入!$W27=1,助手收入!$G27,"")</f>
        <v>73917.42</v>
      </c>
      <c r="H29" s="84" t="n">
        <f aca="false">IF(助手收入!$W27=1,助手收入!$H27,"")</f>
        <v>0</v>
      </c>
      <c r="I29" s="84" t="n">
        <f aca="false">IF(助手收入!$W27=1,助手回款!$E27,"")</f>
        <v>48822.62</v>
      </c>
      <c r="J29" s="84" t="n">
        <f aca="false">IF(助手收入!$W27=1,助手回款!$F27,"")</f>
        <v>0</v>
      </c>
      <c r="K29" s="84" t="n">
        <f aca="false">IF(助手收入!$W27=1,助手回款!$G27,"")</f>
        <v>48822.62</v>
      </c>
      <c r="L29" s="84" t="n">
        <f aca="false">IF(助手收入!$W27=1,助手回款!$H27,"")</f>
        <v>0</v>
      </c>
    </row>
    <row r="30" customFormat="false" ht="13.5" hidden="false" customHeight="false" outlineLevel="0" collapsed="false">
      <c r="A30" s="82" t="n">
        <f aca="false">IF(助手收入!$W28=1,助手收入!$B28,"")</f>
        <v>2040</v>
      </c>
      <c r="B30" s="83" t="str">
        <f aca="false">IF(助手收入!$W28=1,助手收入!$C28,"")</f>
        <v>大张庄店</v>
      </c>
      <c r="C30" s="84" t="n">
        <f aca="false">IF(助手收入!$W28=1,助手收入!$N28,"")</f>
        <v>92351.66</v>
      </c>
      <c r="D30" s="84" t="n">
        <f aca="false">IF(助手收入!$W28=1,助手收入!$O28,"")</f>
        <v>92351.66</v>
      </c>
      <c r="E30" s="84" t="n">
        <f aca="false">IF(助手收入!$W28=1,ROUND($C30-$D30,2),"")</f>
        <v>0</v>
      </c>
      <c r="F30" s="84" t="n">
        <f aca="false">IF(助手收入!$W28=1,助手收入!$E28,"")</f>
        <v>24616.18</v>
      </c>
      <c r="G30" s="84" t="n">
        <f aca="false">IF(助手收入!$W28=1,助手收入!$G28,"")</f>
        <v>92350.51</v>
      </c>
      <c r="H30" s="84" t="n">
        <f aca="false">IF(助手收入!$W28=1,助手收入!$H28,"")</f>
        <v>0</v>
      </c>
      <c r="I30" s="84" t="n">
        <f aca="false">IF(助手收入!$W28=1,助手回款!$E28,"")</f>
        <v>62695.3</v>
      </c>
      <c r="J30" s="84" t="n">
        <f aca="false">IF(助手收入!$W28=1,助手回款!$F28,"")</f>
        <v>0</v>
      </c>
      <c r="K30" s="84" t="n">
        <f aca="false">IF(助手收入!$W28=1,助手回款!$G28,"")</f>
        <v>62695.3</v>
      </c>
      <c r="L30" s="84" t="n">
        <f aca="false">IF(助手收入!$W28=1,助手回款!$H28,"")</f>
        <v>0</v>
      </c>
    </row>
    <row r="31" customFormat="false" ht="13.5" hidden="false" customHeight="false" outlineLevel="0" collapsed="false">
      <c r="A31" s="82" t="n">
        <f aca="false">IF(助手收入!$W29=1,助手收入!$B29,"")</f>
        <v>2041</v>
      </c>
      <c r="B31" s="83" t="str">
        <f aca="false">IF(助手收入!$W29=1,助手收入!$C29,"")</f>
        <v>郝庄店</v>
      </c>
      <c r="C31" s="84" t="n">
        <f aca="false">IF(助手收入!$W29=1,助手收入!$N29,"")</f>
        <v>53642.88</v>
      </c>
      <c r="D31" s="84" t="n">
        <f aca="false">IF(助手收入!$W29=1,助手收入!$O29,"")</f>
        <v>53642.88</v>
      </c>
      <c r="E31" s="84" t="n">
        <f aca="false">IF(助手收入!$W29=1,ROUND($C31-$D31,2),"")</f>
        <v>0</v>
      </c>
      <c r="F31" s="84" t="n">
        <f aca="false">IF(助手收入!$W29=1,助手收入!$E29,"")</f>
        <v>14774.25</v>
      </c>
      <c r="G31" s="84" t="n">
        <f aca="false">IF(助手收入!$W29=1,助手收入!$G29,"")</f>
        <v>53633.52</v>
      </c>
      <c r="H31" s="84" t="n">
        <f aca="false">IF(助手收入!$W29=1,助手收入!$H29,"")</f>
        <v>0</v>
      </c>
      <c r="I31" s="84" t="n">
        <f aca="false">IF(助手收入!$W29=1,助手回款!$E29,"")</f>
        <v>37197.81</v>
      </c>
      <c r="J31" s="84" t="n">
        <f aca="false">IF(助手收入!$W29=1,助手回款!$F29,"")</f>
        <v>0</v>
      </c>
      <c r="K31" s="84" t="n">
        <f aca="false">IF(助手收入!$W29=1,助手回款!$G29,"")</f>
        <v>37197.81</v>
      </c>
      <c r="L31" s="84" t="n">
        <f aca="false">IF(助手收入!$W29=1,助手回款!$H29,"")</f>
        <v>0</v>
      </c>
    </row>
    <row r="32" customFormat="false" ht="13.5" hidden="false" customHeight="false" outlineLevel="0" collapsed="false">
      <c r="A32" s="82" t="n">
        <f aca="false">IF(助手收入!$W30=1,助手收入!$B30,"")</f>
        <v>2042</v>
      </c>
      <c r="B32" s="83" t="str">
        <f aca="false">IF(助手收入!$W30=1,助手收入!$C30,"")</f>
        <v>白家寨店</v>
      </c>
      <c r="C32" s="84" t="n">
        <f aca="false">IF(助手收入!$W30=1,助手收入!$N30,"")</f>
        <v>49658</v>
      </c>
      <c r="D32" s="84" t="n">
        <f aca="false">IF(助手收入!$W30=1,助手收入!$O30,"")</f>
        <v>49658</v>
      </c>
      <c r="E32" s="84" t="n">
        <f aca="false">IF(助手收入!$W30=1,ROUND($C32-$D32,2),"")</f>
        <v>0</v>
      </c>
      <c r="F32" s="84" t="n">
        <f aca="false">IF(助手收入!$W30=1,助手收入!$E30,"")</f>
        <v>14901.93</v>
      </c>
      <c r="G32" s="84" t="n">
        <f aca="false">IF(助手收入!$W30=1,助手收入!$G30,"")</f>
        <v>49658</v>
      </c>
      <c r="H32" s="84" t="n">
        <f aca="false">IF(助手收入!$W30=1,助手收入!$H30,"")</f>
        <v>0</v>
      </c>
      <c r="I32" s="84" t="n">
        <f aca="false">IF(助手收入!$W30=1,助手回款!$E30,"")</f>
        <v>37112.57</v>
      </c>
      <c r="J32" s="84" t="n">
        <f aca="false">IF(助手收入!$W30=1,助手回款!$F30,"")</f>
        <v>0</v>
      </c>
      <c r="K32" s="84" t="n">
        <f aca="false">IF(助手收入!$W30=1,助手回款!$G30,"")</f>
        <v>37112.57</v>
      </c>
      <c r="L32" s="84" t="n">
        <f aca="false">IF(助手收入!$W30=1,助手回款!$H30,"")</f>
        <v>0</v>
      </c>
    </row>
    <row r="33" customFormat="false" ht="13.5" hidden="false" customHeight="false" outlineLevel="0" collapsed="false">
      <c r="A33" s="82" t="n">
        <f aca="false">IF(助手收入!$W31=1,助手收入!$B31,"")</f>
        <v>2043</v>
      </c>
      <c r="B33" s="83" t="str">
        <f aca="false">IF(助手收入!$W31=1,助手收入!$C31,"")</f>
        <v>博福店</v>
      </c>
      <c r="C33" s="84" t="n">
        <f aca="false">IF(助手收入!$W31=1,助手收入!$N31,"")</f>
        <v>70205.75</v>
      </c>
      <c r="D33" s="84" t="n">
        <f aca="false">IF(助手收入!$W31=1,助手收入!$O31,"")</f>
        <v>70205.75</v>
      </c>
      <c r="E33" s="84" t="n">
        <f aca="false">IF(助手收入!$W31=1,ROUND($C33-$D33,2),"")</f>
        <v>0</v>
      </c>
      <c r="F33" s="84" t="n">
        <f aca="false">IF(助手收入!$W31=1,助手收入!$E31,"")</f>
        <v>5461.07</v>
      </c>
      <c r="G33" s="84" t="n">
        <f aca="false">IF(助手收入!$W31=1,助手收入!$G31,"")</f>
        <v>70205.75</v>
      </c>
      <c r="H33" s="84" t="n">
        <f aca="false">IF(助手收入!$W31=1,助手收入!$H31,"")</f>
        <v>0</v>
      </c>
      <c r="I33" s="84" t="n">
        <f aca="false">IF(助手收入!$W31=1,助手回款!$E31,"")</f>
        <v>131492.43</v>
      </c>
      <c r="J33" s="84" t="n">
        <f aca="false">IF(助手收入!$W31=1,助手回款!$F31,"")</f>
        <v>319.26</v>
      </c>
      <c r="K33" s="84" t="n">
        <f aca="false">IF(助手收入!$W31=1,助手回款!$G31,"")</f>
        <v>131811.69</v>
      </c>
      <c r="L33" s="84" t="n">
        <f aca="false">IF(助手收入!$W31=1,助手回款!$H31,"")</f>
        <v>0</v>
      </c>
    </row>
    <row r="34" customFormat="false" ht="13.5" hidden="false" customHeight="false" outlineLevel="0" collapsed="false">
      <c r="A34" s="82" t="n">
        <f aca="false">IF(助手收入!$W32=1,助手收入!$B32,"")</f>
        <v>2044</v>
      </c>
      <c r="B34" s="83" t="str">
        <f aca="false">IF(助手收入!$W32=1,助手收入!$C32,"")</f>
        <v>博营店</v>
      </c>
      <c r="C34" s="84" t="n">
        <f aca="false">IF(助手收入!$W32=1,助手收入!$N32,"")</f>
        <v>37342.91</v>
      </c>
      <c r="D34" s="84" t="n">
        <f aca="false">IF(助手收入!$W32=1,助手收入!$O32,"")</f>
        <v>37342.91</v>
      </c>
      <c r="E34" s="84" t="n">
        <f aca="false">IF(助手收入!$W32=1,ROUND($C34-$D34,2),"")</f>
        <v>0</v>
      </c>
      <c r="F34" s="84" t="n">
        <f aca="false">IF(助手收入!$W32=1,助手收入!$E32,"")</f>
        <v>14656.89</v>
      </c>
      <c r="G34" s="84" t="n">
        <f aca="false">IF(助手收入!$W32=1,助手收入!$G32,"")</f>
        <v>37342.91</v>
      </c>
      <c r="H34" s="84" t="n">
        <f aca="false">IF(助手收入!$W32=1,助手收入!$H32,"")</f>
        <v>0</v>
      </c>
      <c r="I34" s="84" t="n">
        <f aca="false">IF(助手收入!$W32=1,助手回款!$E32,"")</f>
        <v>25828.82</v>
      </c>
      <c r="J34" s="84" t="n">
        <f aca="false">IF(助手收入!$W32=1,助手回款!$F32,"")</f>
        <v>0</v>
      </c>
      <c r="K34" s="84" t="n">
        <f aca="false">IF(助手收入!$W32=1,助手回款!$G32,"")</f>
        <v>25828.82</v>
      </c>
      <c r="L34" s="84" t="n">
        <f aca="false">IF(助手收入!$W32=1,助手回款!$H32,"")</f>
        <v>0</v>
      </c>
    </row>
    <row r="35" customFormat="false" ht="13.5" hidden="false" customHeight="false" outlineLevel="0" collapsed="false">
      <c r="A35" s="82" t="n">
        <f aca="false">IF(助手收入!$W33=1,助手收入!$B33,"")</f>
        <v>2046</v>
      </c>
      <c r="B35" s="83" t="str">
        <f aca="false">IF(助手收入!$W33=1,助手收入!$C33,"")</f>
        <v>博康店</v>
      </c>
      <c r="C35" s="84" t="n">
        <f aca="false">IF(助手收入!$W33=1,助手收入!$N33,"")</f>
        <v>25428.7</v>
      </c>
      <c r="D35" s="84" t="n">
        <f aca="false">IF(助手收入!$W33=1,助手收入!$O33,"")</f>
        <v>25428.7</v>
      </c>
      <c r="E35" s="84" t="n">
        <f aca="false">IF(助手收入!$W33=1,ROUND($C35-$D35,2),"")</f>
        <v>0</v>
      </c>
      <c r="F35" s="84" t="n">
        <f aca="false">IF(助手收入!$W33=1,助手收入!$E33,"")</f>
        <v>5048.45</v>
      </c>
      <c r="G35" s="84" t="n">
        <f aca="false">IF(助手收入!$W33=1,助手收入!$G33,"")</f>
        <v>25428.7</v>
      </c>
      <c r="H35" s="84" t="n">
        <f aca="false">IF(助手收入!$W33=1,助手收入!$H33,"")</f>
        <v>0</v>
      </c>
      <c r="I35" s="84" t="n">
        <f aca="false">IF(助手收入!$W33=1,助手回款!$E33,"")</f>
        <v>23497.92</v>
      </c>
      <c r="J35" s="84" t="n">
        <f aca="false">IF(助手收入!$W33=1,助手回款!$F33,"")</f>
        <v>226.58</v>
      </c>
      <c r="K35" s="84" t="n">
        <f aca="false">IF(助手收入!$W33=1,助手回款!$G33,"")</f>
        <v>23724.5</v>
      </c>
      <c r="L35" s="84" t="n">
        <f aca="false">IF(助手收入!$W33=1,助手回款!$H33,"")</f>
        <v>0</v>
      </c>
    </row>
    <row r="36" customFormat="false" ht="13.5" hidden="false" customHeight="false" outlineLevel="0" collapsed="false">
      <c r="A36" s="82" t="n">
        <f aca="false">IF(助手收入!$W34=1,助手收入!$B34,"")</f>
        <v>2047</v>
      </c>
      <c r="B36" s="83" t="str">
        <f aca="false">IF(助手收入!$W34=1,助手收入!$C34,"")</f>
        <v>博联店</v>
      </c>
      <c r="C36" s="84" t="n">
        <f aca="false">IF(助手收入!$W34=1,助手收入!$N34,"")</f>
        <v>20922.67</v>
      </c>
      <c r="D36" s="84" t="n">
        <f aca="false">IF(助手收入!$W34=1,助手收入!$O34,"")</f>
        <v>20922.67</v>
      </c>
      <c r="E36" s="84" t="n">
        <f aca="false">IF(助手收入!$W34=1,ROUND($C36-$D36,2),"")</f>
        <v>0</v>
      </c>
      <c r="F36" s="84" t="n">
        <f aca="false">IF(助手收入!$W34=1,助手收入!$E34,"")</f>
        <v>2872.93</v>
      </c>
      <c r="G36" s="84" t="n">
        <f aca="false">IF(助手收入!$W34=1,助手收入!$G34,"")</f>
        <v>20922.67</v>
      </c>
      <c r="H36" s="84" t="n">
        <f aca="false">IF(助手收入!$W34=1,助手收入!$H34,"")</f>
        <v>0</v>
      </c>
      <c r="I36" s="84" t="n">
        <f aca="false">IF(助手收入!$W34=1,助手回款!$E34,"")</f>
        <v>14114.02</v>
      </c>
      <c r="J36" s="84" t="n">
        <f aca="false">IF(助手收入!$W34=1,助手回款!$F34,"")</f>
        <v>0</v>
      </c>
      <c r="K36" s="84" t="n">
        <f aca="false">IF(助手收入!$W34=1,助手回款!$G34,"")</f>
        <v>14114.02</v>
      </c>
      <c r="L36" s="84" t="n">
        <f aca="false">IF(助手收入!$W34=1,助手回款!$H34,"")</f>
        <v>0</v>
      </c>
    </row>
    <row r="37" customFormat="false" ht="13.5" hidden="false" customHeight="false" outlineLevel="0" collapsed="false">
      <c r="A37" s="82" t="n">
        <f aca="false">IF(助手收入!$W35=1,助手收入!$B35,"")</f>
        <v>2050</v>
      </c>
      <c r="B37" s="83" t="str">
        <f aca="false">IF(助手收入!$W35=1,助手收入!$C35,"")</f>
        <v>博尚店</v>
      </c>
      <c r="C37" s="84" t="n">
        <f aca="false">IF(助手收入!$W35=1,助手收入!$N35,"")</f>
        <v>31879.77</v>
      </c>
      <c r="D37" s="84" t="n">
        <f aca="false">IF(助手收入!$W35=1,助手收入!$O35,"")</f>
        <v>31879.77</v>
      </c>
      <c r="E37" s="84" t="n">
        <f aca="false">IF(助手收入!$W35=1,ROUND($C37-$D37,2),"")</f>
        <v>0</v>
      </c>
      <c r="F37" s="84" t="n">
        <f aca="false">IF(助手收入!$W35=1,助手收入!$E35,"")</f>
        <v>4767.69</v>
      </c>
      <c r="G37" s="84" t="n">
        <f aca="false">IF(助手收入!$W35=1,助手收入!$G35,"")</f>
        <v>31879.77</v>
      </c>
      <c r="H37" s="84" t="n">
        <f aca="false">IF(助手收入!$W35=1,助手收入!$H35,"")</f>
        <v>0</v>
      </c>
      <c r="I37" s="84" t="n">
        <f aca="false">IF(助手收入!$W35=1,助手回款!$E35,"")</f>
        <v>25383.46</v>
      </c>
      <c r="J37" s="84" t="n">
        <f aca="false">IF(助手收入!$W35=1,助手回款!$F35,"")</f>
        <v>73.91</v>
      </c>
      <c r="K37" s="84" t="n">
        <f aca="false">IF(助手收入!$W35=1,助手回款!$G35,"")</f>
        <v>25457.37</v>
      </c>
      <c r="L37" s="84" t="n">
        <f aca="false">IF(助手收入!$W35=1,助手回款!$H35,"")</f>
        <v>0</v>
      </c>
    </row>
    <row r="38" customFormat="false" ht="13.5" hidden="false" customHeight="false" outlineLevel="0" collapsed="false">
      <c r="A38" s="82" t="n">
        <f aca="false">IF(助手收入!$W36=1,助手收入!$B36,"")</f>
        <v>2053</v>
      </c>
      <c r="B38" s="83" t="str">
        <f aca="false">IF(助手收入!$W36=1,助手收入!$C36,"")</f>
        <v>博鑫店</v>
      </c>
      <c r="C38" s="84" t="n">
        <f aca="false">IF(助手收入!$W36=1,助手收入!$N36,"")</f>
        <v>41233.43</v>
      </c>
      <c r="D38" s="84" t="n">
        <f aca="false">IF(助手收入!$W36=1,助手收入!$O36,"")</f>
        <v>41233.43</v>
      </c>
      <c r="E38" s="84" t="n">
        <f aca="false">IF(助手收入!$W36=1,ROUND($C38-$D38,2),"")</f>
        <v>0</v>
      </c>
      <c r="F38" s="84" t="n">
        <f aca="false">IF(助手收入!$W36=1,助手收入!$E36,"")</f>
        <v>6527.6</v>
      </c>
      <c r="G38" s="84" t="n">
        <f aca="false">IF(助手收入!$W36=1,助手收入!$G36,"")</f>
        <v>41232.59</v>
      </c>
      <c r="H38" s="84" t="n">
        <f aca="false">IF(助手收入!$W36=1,助手收入!$H36,"")</f>
        <v>0</v>
      </c>
      <c r="I38" s="84" t="n">
        <f aca="false">IF(助手收入!$W36=1,助手回款!$E36,"")</f>
        <v>34379.69</v>
      </c>
      <c r="J38" s="84" t="n">
        <f aca="false">IF(助手收入!$W36=1,助手回款!$F36,"")</f>
        <v>15.78</v>
      </c>
      <c r="K38" s="84" t="n">
        <f aca="false">IF(助手收入!$W36=1,助手回款!$G36,"")</f>
        <v>34395.47</v>
      </c>
      <c r="L38" s="84" t="n">
        <f aca="false">IF(助手收入!$W36=1,助手回款!$H36,"")</f>
        <v>0</v>
      </c>
    </row>
    <row r="39" customFormat="false" ht="13.5" hidden="false" customHeight="false" outlineLevel="0" collapsed="false">
      <c r="A39" s="82" t="n">
        <f aca="false">IF(助手收入!$W37=1,助手收入!$B37,"")</f>
        <v>2055</v>
      </c>
      <c r="B39" s="83" t="str">
        <f aca="false">IF(助手收入!$W37=1,助手收入!$C37,"")</f>
        <v>博魏店</v>
      </c>
      <c r="C39" s="84" t="n">
        <f aca="false">IF(助手收入!$W37=1,助手收入!$N37,"")</f>
        <v>35712.45</v>
      </c>
      <c r="D39" s="84" t="n">
        <f aca="false">IF(助手收入!$W37=1,助手收入!$O37,"")</f>
        <v>35712.45</v>
      </c>
      <c r="E39" s="84" t="n">
        <f aca="false">IF(助手收入!$W37=1,ROUND($C39-$D39,2),"")</f>
        <v>0</v>
      </c>
      <c r="F39" s="84" t="n">
        <f aca="false">IF(助手收入!$W37=1,助手收入!$E37,"")</f>
        <v>10010.43</v>
      </c>
      <c r="G39" s="84" t="n">
        <f aca="false">IF(助手收入!$W37=1,助手收入!$G37,"")</f>
        <v>35712.45</v>
      </c>
      <c r="H39" s="84" t="n">
        <f aca="false">IF(助手收入!$W37=1,助手收入!$H37,"")</f>
        <v>0</v>
      </c>
      <c r="I39" s="84" t="n">
        <f aca="false">IF(助手收入!$W37=1,助手回款!$E37,"")</f>
        <v>25814.11</v>
      </c>
      <c r="J39" s="84" t="n">
        <f aca="false">IF(助手收入!$W37=1,助手回款!$F37,"")</f>
        <v>0</v>
      </c>
      <c r="K39" s="84" t="n">
        <f aca="false">IF(助手收入!$W37=1,助手回款!$G37,"")</f>
        <v>25814.11</v>
      </c>
      <c r="L39" s="84" t="n">
        <f aca="false">IF(助手收入!$W37=1,助手回款!$H37,"")</f>
        <v>0</v>
      </c>
    </row>
    <row r="40" customFormat="false" ht="13.5" hidden="false" customHeight="false" outlineLevel="0" collapsed="false">
      <c r="A40" s="82" t="n">
        <f aca="false">IF(助手收入!$W38=1,助手收入!$B38,"")</f>
        <v>2057</v>
      </c>
      <c r="B40" s="83" t="str">
        <f aca="false">IF(助手收入!$W38=1,助手收入!$C38,"")</f>
        <v>博城店</v>
      </c>
      <c r="C40" s="84" t="n">
        <f aca="false">IF(助手收入!$W38=1,助手收入!$N38,"")</f>
        <v>51826.76</v>
      </c>
      <c r="D40" s="84" t="n">
        <f aca="false">IF(助手收入!$W38=1,助手收入!$O38,"")</f>
        <v>51826.76</v>
      </c>
      <c r="E40" s="84" t="n">
        <f aca="false">IF(助手收入!$W38=1,ROUND($C40-$D40,2),"")</f>
        <v>0</v>
      </c>
      <c r="F40" s="84" t="n">
        <f aca="false">IF(助手收入!$W38=1,助手收入!$E38,"")</f>
        <v>35773.47</v>
      </c>
      <c r="G40" s="84" t="n">
        <f aca="false">IF(助手收入!$W38=1,助手收入!$G38,"")</f>
        <v>51825.76</v>
      </c>
      <c r="H40" s="84" t="n">
        <f aca="false">IF(助手收入!$W38=1,助手收入!$H38,"")</f>
        <v>0</v>
      </c>
      <c r="I40" s="84" t="n">
        <f aca="false">IF(助手收入!$W38=1,助手回款!$E38,"")</f>
        <v>13284.83</v>
      </c>
      <c r="J40" s="84" t="n">
        <f aca="false">IF(助手收入!$W38=1,助手回款!$F38,"")</f>
        <v>0</v>
      </c>
      <c r="K40" s="84" t="n">
        <f aca="false">IF(助手收入!$W38=1,助手回款!$G38,"")</f>
        <v>13284.83</v>
      </c>
      <c r="L40" s="84" t="n">
        <f aca="false">IF(助手收入!$W38=1,助手回款!$H38,"")</f>
        <v>0</v>
      </c>
    </row>
    <row r="41" customFormat="false" ht="13.5" hidden="false" customHeight="false" outlineLevel="0" collapsed="false">
      <c r="A41" s="82" t="n">
        <f aca="false">IF(助手收入!$W39=1,助手收入!$B39,"")</f>
        <v>2060</v>
      </c>
      <c r="B41" s="83" t="str">
        <f aca="false">IF(助手收入!$W39=1,助手收入!$C39,"")</f>
        <v>博景店</v>
      </c>
      <c r="C41" s="84" t="n">
        <f aca="false">IF(助手收入!$W39=1,助手收入!$N39,"")</f>
        <v>36507.81</v>
      </c>
      <c r="D41" s="84" t="n">
        <f aca="false">IF(助手收入!$W39=1,助手收入!$O39,"")</f>
        <v>36507.81</v>
      </c>
      <c r="E41" s="84" t="n">
        <f aca="false">IF(助手收入!$W39=1,ROUND($C41-$D41,2),"")</f>
        <v>0</v>
      </c>
      <c r="F41" s="84" t="n">
        <f aca="false">IF(助手收入!$W39=1,助手收入!$E39,"")</f>
        <v>4964.48</v>
      </c>
      <c r="G41" s="84" t="n">
        <f aca="false">IF(助手收入!$W39=1,助手收入!$G39,"")</f>
        <v>36507.81</v>
      </c>
      <c r="H41" s="84" t="n">
        <f aca="false">IF(助手收入!$W39=1,助手收入!$H39,"")</f>
        <v>0</v>
      </c>
      <c r="I41" s="84" t="n">
        <f aca="false">IF(助手收入!$W39=1,助手回款!$E39,"")</f>
        <v>32735</v>
      </c>
      <c r="J41" s="84" t="n">
        <f aca="false">IF(助手收入!$W39=1,助手回款!$F39,"")</f>
        <v>41.05</v>
      </c>
      <c r="K41" s="84" t="n">
        <f aca="false">IF(助手收入!$W39=1,助手回款!$G39,"")</f>
        <v>32776.05</v>
      </c>
      <c r="L41" s="84" t="n">
        <f aca="false">IF(助手收入!$W39=1,助手回款!$H39,"")</f>
        <v>0</v>
      </c>
    </row>
    <row r="42" customFormat="false" ht="13.5" hidden="false" customHeight="false" outlineLevel="0" collapsed="false">
      <c r="A42" s="82" t="n">
        <f aca="false">IF(助手收入!$W40=1,助手收入!$B40,"")</f>
        <v>2062</v>
      </c>
      <c r="B42" s="83" t="str">
        <f aca="false">IF(助手收入!$W40=1,助手收入!$C40,"")</f>
        <v>西范村店</v>
      </c>
      <c r="C42" s="84" t="n">
        <f aca="false">IF(助手收入!$W40=1,助手收入!$N40,"")</f>
        <v>69904.45</v>
      </c>
      <c r="D42" s="84" t="n">
        <f aca="false">IF(助手收入!$W40=1,助手收入!$O40,"")</f>
        <v>69904.45</v>
      </c>
      <c r="E42" s="84" t="n">
        <f aca="false">IF(助手收入!$W40=1,ROUND($C42-$D42,2),"")</f>
        <v>0</v>
      </c>
      <c r="F42" s="84" t="n">
        <f aca="false">IF(助手收入!$W40=1,助手收入!$E40,"")</f>
        <v>6528.35</v>
      </c>
      <c r="G42" s="84" t="n">
        <f aca="false">IF(助手收入!$W40=1,助手收入!$G40,"")</f>
        <v>69904.45</v>
      </c>
      <c r="H42" s="84" t="n">
        <f aca="false">IF(助手收入!$W40=1,助手收入!$H40,"")</f>
        <v>0</v>
      </c>
      <c r="I42" s="84" t="n">
        <f aca="false">IF(助手收入!$W40=1,助手回款!$E40,"")</f>
        <v>61578.01</v>
      </c>
      <c r="J42" s="84" t="n">
        <f aca="false">IF(助手收入!$W40=1,助手回款!$F40,"")</f>
        <v>246.59</v>
      </c>
      <c r="K42" s="84" t="n">
        <f aca="false">IF(助手收入!$W40=1,助手回款!$G40,"")</f>
        <v>61824.6</v>
      </c>
      <c r="L42" s="84" t="n">
        <f aca="false">IF(助手收入!$W40=1,助手回款!$H40,"")</f>
        <v>0</v>
      </c>
    </row>
    <row r="43" customFormat="false" ht="13.5" hidden="false" customHeight="false" outlineLevel="0" collapsed="false">
      <c r="A43" s="82" t="n">
        <f aca="false">IF(助手收入!$W41=1,助手收入!$B41,"")</f>
        <v>2063</v>
      </c>
      <c r="B43" s="83" t="str">
        <f aca="false">IF(助手收入!$W41=1,助手收入!$C41,"")</f>
        <v>博医店</v>
      </c>
      <c r="C43" s="84" t="n">
        <f aca="false">IF(助手收入!$W41=1,助手收入!$N41,"")</f>
        <v>118543.89</v>
      </c>
      <c r="D43" s="84" t="n">
        <f aca="false">IF(助手收入!$W41=1,助手收入!$O41,"")</f>
        <v>118543.89</v>
      </c>
      <c r="E43" s="84" t="n">
        <f aca="false">IF(助手收入!$W41=1,ROUND($C43-$D43,2),"")</f>
        <v>0</v>
      </c>
      <c r="F43" s="84" t="n">
        <f aca="false">IF(助手收入!$W41=1,助手收入!$E41,"")</f>
        <v>46487.34</v>
      </c>
      <c r="G43" s="84" t="n">
        <f aca="false">IF(助手收入!$W41=1,助手收入!$G41,"")</f>
        <v>118543.89</v>
      </c>
      <c r="H43" s="84" t="n">
        <f aca="false">IF(助手收入!$W41=1,助手收入!$H41,"")</f>
        <v>0</v>
      </c>
      <c r="I43" s="84" t="n">
        <f aca="false">IF(助手收入!$W41=1,助手回款!$E41,"")</f>
        <v>156570.16</v>
      </c>
      <c r="J43" s="84" t="n">
        <f aca="false">IF(助手收入!$W41=1,助手回款!$F41,"")</f>
        <v>244.7</v>
      </c>
      <c r="K43" s="84" t="n">
        <f aca="false">IF(助手收入!$W41=1,助手回款!$G41,"")</f>
        <v>156814.86</v>
      </c>
      <c r="L43" s="84" t="n">
        <f aca="false">IF(助手收入!$W41=1,助手回款!$H41,"")</f>
        <v>0</v>
      </c>
    </row>
    <row r="44" customFormat="false" ht="13.5" hidden="false" customHeight="false" outlineLevel="0" collapsed="false">
      <c r="A44" s="82" t="n">
        <f aca="false">IF(助手收入!$W42=1,助手收入!$B42,"")</f>
        <v>2064</v>
      </c>
      <c r="B44" s="83" t="str">
        <f aca="false">IF(助手收入!$W42=1,助手收入!$C42,"")</f>
        <v>旗舰店</v>
      </c>
      <c r="C44" s="84" t="n">
        <f aca="false">IF(助手收入!$W42=1,助手收入!$N42,"")</f>
        <v>699.75</v>
      </c>
      <c r="D44" s="84" t="n">
        <f aca="false">IF(助手收入!$W42=1,助手收入!$O42,"")</f>
        <v>699.75</v>
      </c>
      <c r="E44" s="84" t="n">
        <f aca="false">IF(助手收入!$W42=1,ROUND($C44-$D44,2),"")</f>
        <v>0</v>
      </c>
      <c r="F44" s="84" t="n">
        <f aca="false">IF(助手收入!$W42=1,助手收入!$E42,"")</f>
        <v>699.75</v>
      </c>
      <c r="G44" s="84" t="n">
        <f aca="false">IF(助手收入!$W42=1,助手收入!$G42,"")</f>
        <v>699.75</v>
      </c>
      <c r="H44" s="84" t="n">
        <f aca="false">IF(助手收入!$W42=1,助手收入!$H42,"")</f>
        <v>0</v>
      </c>
      <c r="I44" s="84" t="n">
        <f aca="false">IF(助手收入!$W42=1,助手回款!$E42,"")</f>
        <v>0</v>
      </c>
      <c r="J44" s="84" t="n">
        <f aca="false">IF(助手收入!$W42=1,助手回款!$F42,"")</f>
        <v>0</v>
      </c>
      <c r="K44" s="84" t="n">
        <f aca="false">IF(助手收入!$W42=1,助手回款!$G42,"")</f>
        <v>0</v>
      </c>
      <c r="L44" s="84" t="n">
        <f aca="false">IF(助手收入!$W42=1,助手回款!$H42,"")</f>
        <v>0</v>
      </c>
    </row>
    <row r="45" customFormat="false" ht="13.5" hidden="false" customHeight="false" outlineLevel="0" collapsed="false">
      <c r="A45" s="82" t="n">
        <f aca="false">IF(助手收入!$W43=1,助手收入!$B43,"")</f>
        <v>2066</v>
      </c>
      <c r="B45" s="83" t="str">
        <f aca="false">IF(助手收入!$W43=1,助手收入!$C43,"")</f>
        <v>博实店</v>
      </c>
      <c r="C45" s="84" t="n">
        <f aca="false">IF(助手收入!$W43=1,助手收入!$N43,"")</f>
        <v>63719.93</v>
      </c>
      <c r="D45" s="84" t="n">
        <f aca="false">IF(助手收入!$W43=1,助手收入!$O43,"")</f>
        <v>63719.93</v>
      </c>
      <c r="E45" s="84" t="n">
        <f aca="false">IF(助手收入!$W43=1,ROUND($C45-$D45,2),"")</f>
        <v>0</v>
      </c>
      <c r="F45" s="84" t="n">
        <f aca="false">IF(助手收入!$W43=1,助手收入!$E43,"")</f>
        <v>14896.88</v>
      </c>
      <c r="G45" s="84" t="n">
        <f aca="false">IF(助手收入!$W43=1,助手收入!$G43,"")</f>
        <v>63719.93</v>
      </c>
      <c r="H45" s="84" t="n">
        <f aca="false">IF(助手收入!$W43=1,助手收入!$H43,"")</f>
        <v>0</v>
      </c>
      <c r="I45" s="84" t="n">
        <f aca="false">IF(助手收入!$W43=1,助手回款!$E43,"")</f>
        <v>45737.13</v>
      </c>
      <c r="J45" s="84" t="n">
        <f aca="false">IF(助手收入!$W43=1,助手回款!$F43,"")</f>
        <v>25.11</v>
      </c>
      <c r="K45" s="84" t="n">
        <f aca="false">IF(助手收入!$W43=1,助手回款!$G43,"")</f>
        <v>45762.24</v>
      </c>
      <c r="L45" s="84" t="n">
        <f aca="false">IF(助手收入!$W43=1,助手回款!$H43,"")</f>
        <v>0</v>
      </c>
    </row>
    <row r="46" customFormat="false" ht="13.5" hidden="false" customHeight="false" outlineLevel="0" collapsed="false">
      <c r="A46" s="82" t="n">
        <f aca="false">IF(助手收入!$W44=1,助手收入!$B44,"")</f>
        <v>2067</v>
      </c>
      <c r="B46" s="83" t="str">
        <f aca="false">IF(助手收入!$W44=1,助手收入!$C44,"")</f>
        <v>博亮店</v>
      </c>
      <c r="C46" s="84" t="n">
        <f aca="false">IF(助手收入!$W44=1,助手收入!$N44,"")</f>
        <v>29103.09</v>
      </c>
      <c r="D46" s="84" t="n">
        <f aca="false">IF(助手收入!$W44=1,助手收入!$O44,"")</f>
        <v>29103.09</v>
      </c>
      <c r="E46" s="84" t="n">
        <f aca="false">IF(助手收入!$W44=1,ROUND($C46-$D46,2),"")</f>
        <v>0</v>
      </c>
      <c r="F46" s="84" t="n">
        <f aca="false">IF(助手收入!$W44=1,助手收入!$E44,"")</f>
        <v>3632.88</v>
      </c>
      <c r="G46" s="84" t="n">
        <f aca="false">IF(助手收入!$W44=1,助手收入!$G44,"")</f>
        <v>29103.09</v>
      </c>
      <c r="H46" s="84" t="n">
        <f aca="false">IF(助手收入!$W44=1,助手收入!$H44,"")</f>
        <v>0</v>
      </c>
      <c r="I46" s="84" t="n">
        <f aca="false">IF(助手收入!$W44=1,助手回款!$E44,"")</f>
        <v>32450.61</v>
      </c>
      <c r="J46" s="84" t="n">
        <f aca="false">IF(助手收入!$W44=1,助手回款!$F44,"")</f>
        <v>79.54</v>
      </c>
      <c r="K46" s="84" t="n">
        <f aca="false">IF(助手收入!$W44=1,助手回款!$G44,"")</f>
        <v>32530.15</v>
      </c>
      <c r="L46" s="84" t="n">
        <f aca="false">IF(助手收入!$W44=1,助手回款!$H44,"")</f>
        <v>0</v>
      </c>
    </row>
    <row r="47" customFormat="false" ht="13.5" hidden="false" customHeight="false" outlineLevel="0" collapsed="false">
      <c r="A47" s="82" t="n">
        <f aca="false">IF(助手收入!$W45=1,助手收入!$B45,"")</f>
        <v>2068</v>
      </c>
      <c r="B47" s="83" t="str">
        <f aca="false">IF(助手收入!$W45=1,助手收入!$C45,"")</f>
        <v>博山店</v>
      </c>
      <c r="C47" s="84" t="n">
        <f aca="false">IF(助手收入!$W45=1,助手收入!$N45,"")</f>
        <v>63158.46</v>
      </c>
      <c r="D47" s="84" t="n">
        <f aca="false">IF(助手收入!$W45=1,助手收入!$O45,"")</f>
        <v>63158.46</v>
      </c>
      <c r="E47" s="84" t="n">
        <f aca="false">IF(助手收入!$W45=1,ROUND($C47-$D47,2),"")</f>
        <v>0</v>
      </c>
      <c r="F47" s="84" t="n">
        <f aca="false">IF(助手收入!$W45=1,助手收入!$E45,"")</f>
        <v>9684.9</v>
      </c>
      <c r="G47" s="84" t="n">
        <f aca="false">IF(助手收入!$W45=1,助手收入!$G45,"")</f>
        <v>63158.36</v>
      </c>
      <c r="H47" s="84" t="n">
        <f aca="false">IF(助手收入!$W45=1,助手收入!$H45,"")</f>
        <v>0</v>
      </c>
      <c r="I47" s="84" t="n">
        <f aca="false">IF(助手收入!$W45=1,助手回款!$E45,"")</f>
        <v>65308.4</v>
      </c>
      <c r="J47" s="84" t="n">
        <f aca="false">IF(助手收入!$W45=1,助手回款!$F45,"")</f>
        <v>5.32</v>
      </c>
      <c r="K47" s="84" t="n">
        <f aca="false">IF(助手收入!$W45=1,助手回款!$G45,"")</f>
        <v>65313.72</v>
      </c>
      <c r="L47" s="84" t="n">
        <f aca="false">IF(助手收入!$W45=1,助手回款!$H45,"")</f>
        <v>0</v>
      </c>
    </row>
    <row r="48" customFormat="false" ht="13.5" hidden="false" customHeight="false" outlineLevel="0" collapsed="false">
      <c r="A48" s="82" t="n">
        <f aca="false">IF(助手收入!$W46=1,助手收入!$B46,"")</f>
        <v>2069</v>
      </c>
      <c r="B48" s="83" t="str">
        <f aca="false">IF(助手收入!$W46=1,助手收入!$C46,"")</f>
        <v>博东店</v>
      </c>
      <c r="C48" s="84" t="n">
        <f aca="false">IF(助手收入!$W46=1,助手收入!$N46,"")</f>
        <v>0</v>
      </c>
      <c r="D48" s="84" t="n">
        <f aca="false">IF(助手收入!$W46=1,助手收入!$O46,"")</f>
        <v>0</v>
      </c>
      <c r="E48" s="84" t="n">
        <f aca="false">IF(助手收入!$W46=1,ROUND($C48-$D48,2),"")</f>
        <v>0</v>
      </c>
      <c r="F48" s="84" t="n">
        <f aca="false">IF(助手收入!$W46=1,助手收入!$E46,"")</f>
        <v>0</v>
      </c>
      <c r="G48" s="84" t="n">
        <f aca="false">IF(助手收入!$W46=1,助手收入!$G46,"")</f>
        <v>0</v>
      </c>
      <c r="H48" s="84" t="n">
        <f aca="false">IF(助手收入!$W46=1,助手收入!$H46,"")</f>
        <v>0</v>
      </c>
      <c r="I48" s="84" t="n">
        <f aca="false">IF(助手收入!$W46=1,助手回款!$E46,"")</f>
        <v>14270.85</v>
      </c>
      <c r="J48" s="84" t="n">
        <f aca="false">IF(助手收入!$W46=1,助手回款!$F46,"")</f>
        <v>0</v>
      </c>
      <c r="K48" s="84" t="n">
        <f aca="false">IF(助手收入!$W46=1,助手回款!$G46,"")</f>
        <v>14270.85</v>
      </c>
      <c r="L48" s="84" t="n">
        <f aca="false">IF(助手收入!$W46=1,助手回款!$H46,"")</f>
        <v>0</v>
      </c>
    </row>
    <row r="49" customFormat="false" ht="13.5" hidden="false" customHeight="false" outlineLevel="0" collapsed="false">
      <c r="A49" s="82" t="str">
        <f aca="false">IF(助手收入!$W47=1,助手收入!$B47,"")</f>
        <v/>
      </c>
      <c r="B49" s="83" t="str">
        <f aca="false">IF(助手收入!$W47=1,助手收入!$C47,"")</f>
        <v/>
      </c>
      <c r="C49" s="84" t="str">
        <f aca="false">IF(助手收入!$W47=1,助手收入!$N47,"")</f>
        <v/>
      </c>
      <c r="D49" s="84" t="str">
        <f aca="false">IF(助手收入!$W47=1,助手收入!$O47,"")</f>
        <v/>
      </c>
      <c r="E49" s="84" t="str">
        <f aca="false">IF(助手收入!$W47=1,ROUND($C49-$D49,2),"")</f>
        <v/>
      </c>
      <c r="F49" s="84" t="str">
        <f aca="false">IF(助手收入!$W47=1,助手收入!$E47,"")</f>
        <v/>
      </c>
      <c r="G49" s="84" t="str">
        <f aca="false">IF(助手收入!$W47=1,助手收入!$G47,"")</f>
        <v/>
      </c>
      <c r="H49" s="84" t="str">
        <f aca="false">IF(助手收入!$W47=1,助手收入!$H47,"")</f>
        <v/>
      </c>
      <c r="I49" s="84" t="str">
        <f aca="false">IF(助手收入!$W47=1,助手回款!$E47,"")</f>
        <v/>
      </c>
      <c r="J49" s="84" t="str">
        <f aca="false">IF(助手收入!$W47=1,助手回款!$F47,"")</f>
        <v/>
      </c>
      <c r="K49" s="84" t="str">
        <f aca="false">IF(助手收入!$W47=1,助手回款!$G47,"")</f>
        <v/>
      </c>
      <c r="L49" s="84" t="str">
        <f aca="false">IF(助手收入!$W47=1,助手回款!$H47,"")</f>
        <v/>
      </c>
    </row>
    <row r="50" customFormat="false" ht="13.5" hidden="false" customHeight="false" outlineLevel="0" collapsed="false">
      <c r="A50" s="82" t="str">
        <f aca="false">IF(助手收入!$W48=1,助手收入!$B48,"")</f>
        <v/>
      </c>
      <c r="B50" s="83" t="str">
        <f aca="false">IF(助手收入!$W48=1,助手收入!$C48,"")</f>
        <v/>
      </c>
      <c r="C50" s="84" t="str">
        <f aca="false">IF(助手收入!$W48=1,助手收入!$N48,"")</f>
        <v/>
      </c>
      <c r="D50" s="84" t="str">
        <f aca="false">IF(助手收入!$W48=1,助手收入!$O48,"")</f>
        <v/>
      </c>
      <c r="E50" s="84" t="str">
        <f aca="false">IF(助手收入!$W48=1,ROUND($C50-$D50,2),"")</f>
        <v/>
      </c>
      <c r="F50" s="84" t="str">
        <f aca="false">IF(助手收入!$W48=1,助手收入!$E48,"")</f>
        <v/>
      </c>
      <c r="G50" s="84" t="str">
        <f aca="false">IF(助手收入!$W48=1,助手收入!$G48,"")</f>
        <v/>
      </c>
      <c r="H50" s="84" t="str">
        <f aca="false">IF(助手收入!$W48=1,助手收入!$H48,"")</f>
        <v/>
      </c>
      <c r="I50" s="84" t="str">
        <f aca="false">IF(助手收入!$W48=1,助手回款!$E48,"")</f>
        <v/>
      </c>
      <c r="J50" s="84" t="str">
        <f aca="false">IF(助手收入!$W48=1,助手回款!$F48,"")</f>
        <v/>
      </c>
      <c r="K50" s="84" t="str">
        <f aca="false">IF(助手收入!$W48=1,助手回款!$G48,"")</f>
        <v/>
      </c>
      <c r="L50" s="84" t="str">
        <f aca="false">IF(助手收入!$W48=1,助手回款!$H48,"")</f>
        <v/>
      </c>
    </row>
    <row r="51" customFormat="false" ht="13.5" hidden="false" customHeight="false" outlineLevel="0" collapsed="false">
      <c r="A51" s="82" t="str">
        <f aca="false">IF(助手收入!$W49=1,助手收入!$B49,"")</f>
        <v/>
      </c>
      <c r="B51" s="83" t="str">
        <f aca="false">IF(助手收入!$W49=1,助手收入!$C49,"")</f>
        <v/>
      </c>
      <c r="C51" s="84" t="str">
        <f aca="false">IF(助手收入!$W49=1,助手收入!$N49,"")</f>
        <v/>
      </c>
      <c r="D51" s="84" t="str">
        <f aca="false">IF(助手收入!$W49=1,助手收入!$O49,"")</f>
        <v/>
      </c>
      <c r="E51" s="84" t="str">
        <f aca="false">IF(助手收入!$W49=1,ROUND($C51-$D51,2),"")</f>
        <v/>
      </c>
      <c r="F51" s="84" t="str">
        <f aca="false">IF(助手收入!$W49=1,助手收入!$E49,"")</f>
        <v/>
      </c>
      <c r="G51" s="84" t="str">
        <f aca="false">IF(助手收入!$W49=1,助手收入!$G49,"")</f>
        <v/>
      </c>
      <c r="H51" s="84" t="str">
        <f aca="false">IF(助手收入!$W49=1,助手收入!$H49,"")</f>
        <v/>
      </c>
      <c r="I51" s="84" t="str">
        <f aca="false">IF(助手收入!$W49=1,助手回款!$E49,"")</f>
        <v/>
      </c>
      <c r="J51" s="84" t="str">
        <f aca="false">IF(助手收入!$W49=1,助手回款!$F49,"")</f>
        <v/>
      </c>
      <c r="K51" s="84" t="str">
        <f aca="false">IF(助手收入!$W49=1,助手回款!$G49,"")</f>
        <v/>
      </c>
      <c r="L51" s="84" t="str">
        <f aca="false">IF(助手收入!$W49=1,助手回款!$H49,"")</f>
        <v/>
      </c>
    </row>
    <row r="52" customFormat="false" ht="13.5" hidden="false" customHeight="false" outlineLevel="0" collapsed="false">
      <c r="A52" s="82" t="str">
        <f aca="false">IF(助手收入!$W50=1,助手收入!$B50,"")</f>
        <v/>
      </c>
      <c r="B52" s="83" t="str">
        <f aca="false">IF(助手收入!$W50=1,助手收入!$C50,"")</f>
        <v/>
      </c>
      <c r="C52" s="84" t="str">
        <f aca="false">IF(助手收入!$W50=1,助手收入!$N50,"")</f>
        <v/>
      </c>
      <c r="D52" s="84" t="str">
        <f aca="false">IF(助手收入!$W50=1,助手收入!$O50,"")</f>
        <v/>
      </c>
      <c r="E52" s="84" t="str">
        <f aca="false">IF(助手收入!$W50=1,ROUND($C52-$D52,2),"")</f>
        <v/>
      </c>
      <c r="F52" s="84" t="str">
        <f aca="false">IF(助手收入!$W50=1,助手收入!$E50,"")</f>
        <v/>
      </c>
      <c r="G52" s="84" t="str">
        <f aca="false">IF(助手收入!$W50=1,助手收入!$G50,"")</f>
        <v/>
      </c>
      <c r="H52" s="84" t="str">
        <f aca="false">IF(助手收入!$W50=1,助手收入!$H50,"")</f>
        <v/>
      </c>
      <c r="I52" s="84" t="str">
        <f aca="false">IF(助手收入!$W50=1,助手回款!$E50,"")</f>
        <v/>
      </c>
      <c r="J52" s="84" t="str">
        <f aca="false">IF(助手收入!$W50=1,助手回款!$F50,"")</f>
        <v/>
      </c>
      <c r="K52" s="84" t="str">
        <f aca="false">IF(助手收入!$W50=1,助手回款!$G50,"")</f>
        <v/>
      </c>
      <c r="L52" s="84" t="str">
        <f aca="false">IF(助手收入!$W50=1,助手回款!$H50,"")</f>
        <v/>
      </c>
    </row>
    <row r="53" customFormat="false" ht="13.5" hidden="false" customHeight="false" outlineLevel="0" collapsed="false">
      <c r="A53" s="82" t="str">
        <f aca="false">IF(助手收入!$W51=1,助手收入!$B51,"")</f>
        <v/>
      </c>
      <c r="B53" s="83" t="str">
        <f aca="false">IF(助手收入!$W51=1,助手收入!$C51,"")</f>
        <v/>
      </c>
      <c r="C53" s="84" t="str">
        <f aca="false">IF(助手收入!$W51=1,助手收入!$N51,"")</f>
        <v/>
      </c>
      <c r="D53" s="84" t="str">
        <f aca="false">IF(助手收入!$W51=1,助手收入!$O51,"")</f>
        <v/>
      </c>
      <c r="E53" s="84" t="str">
        <f aca="false">IF(助手收入!$W51=1,ROUND($C53-$D53,2),"")</f>
        <v/>
      </c>
      <c r="F53" s="84" t="str">
        <f aca="false">IF(助手收入!$W51=1,助手收入!$E51,"")</f>
        <v/>
      </c>
      <c r="G53" s="84" t="str">
        <f aca="false">IF(助手收入!$W51=1,助手收入!$G51,"")</f>
        <v/>
      </c>
      <c r="H53" s="84" t="str">
        <f aca="false">IF(助手收入!$W51=1,助手收入!$H51,"")</f>
        <v/>
      </c>
      <c r="I53" s="84" t="str">
        <f aca="false">IF(助手收入!$W51=1,助手回款!$E51,"")</f>
        <v/>
      </c>
      <c r="J53" s="84" t="str">
        <f aca="false">IF(助手收入!$W51=1,助手回款!$F51,"")</f>
        <v/>
      </c>
      <c r="K53" s="84" t="str">
        <f aca="false">IF(助手收入!$W51=1,助手回款!$G51,"")</f>
        <v/>
      </c>
      <c r="L53" s="84" t="str">
        <f aca="false">IF(助手收入!$W51=1,助手回款!$H51,"")</f>
        <v/>
      </c>
    </row>
    <row r="54" customFormat="false" ht="13.5" hidden="false" customHeight="false" outlineLevel="0" collapsed="false">
      <c r="A54" s="82" t="str">
        <f aca="false">IF(助手收入!$W52=1,助手收入!$B52,"")</f>
        <v/>
      </c>
      <c r="B54" s="83" t="str">
        <f aca="false">IF(助手收入!$W52=1,助手收入!$C52,"")</f>
        <v/>
      </c>
      <c r="C54" s="84" t="str">
        <f aca="false">IF(助手收入!$W52=1,助手收入!$N52,"")</f>
        <v/>
      </c>
      <c r="D54" s="84" t="str">
        <f aca="false">IF(助手收入!$W52=1,助手收入!$O52,"")</f>
        <v/>
      </c>
      <c r="E54" s="84" t="str">
        <f aca="false">IF(助手收入!$W52=1,ROUND($C54-$D54,2),"")</f>
        <v/>
      </c>
      <c r="F54" s="84" t="str">
        <f aca="false">IF(助手收入!$W52=1,助手收入!$E52,"")</f>
        <v/>
      </c>
      <c r="G54" s="84" t="str">
        <f aca="false">IF(助手收入!$W52=1,助手收入!$G52,"")</f>
        <v/>
      </c>
      <c r="H54" s="84" t="str">
        <f aca="false">IF(助手收入!$W52=1,助手收入!$H52,"")</f>
        <v/>
      </c>
      <c r="I54" s="84" t="str">
        <f aca="false">IF(助手收入!$W52=1,助手回款!$E52,"")</f>
        <v/>
      </c>
      <c r="J54" s="84" t="str">
        <f aca="false">IF(助手收入!$W52=1,助手回款!$F52,"")</f>
        <v/>
      </c>
      <c r="K54" s="84" t="str">
        <f aca="false">IF(助手收入!$W52=1,助手回款!$G52,"")</f>
        <v/>
      </c>
      <c r="L54" s="84" t="str">
        <f aca="false">IF(助手收入!$W52=1,助手回款!$H52,"")</f>
        <v/>
      </c>
    </row>
    <row r="55" customFormat="false" ht="13.5" hidden="false" customHeight="false" outlineLevel="0" collapsed="false">
      <c r="A55" s="82" t="str">
        <f aca="false">IF(助手收入!$W53=1,助手收入!$B53,"")</f>
        <v/>
      </c>
      <c r="B55" s="83" t="str">
        <f aca="false">IF(助手收入!$W53=1,助手收入!$C53,"")</f>
        <v/>
      </c>
      <c r="C55" s="84" t="str">
        <f aca="false">IF(助手收入!$W53=1,助手收入!$N53,"")</f>
        <v/>
      </c>
      <c r="D55" s="84" t="str">
        <f aca="false">IF(助手收入!$W53=1,助手收入!$O53,"")</f>
        <v/>
      </c>
      <c r="E55" s="84" t="str">
        <f aca="false">IF(助手收入!$W53=1,ROUND($C55-$D55,2),"")</f>
        <v/>
      </c>
      <c r="F55" s="84" t="str">
        <f aca="false">IF(助手收入!$W53=1,助手收入!$E53,"")</f>
        <v/>
      </c>
      <c r="G55" s="84" t="str">
        <f aca="false">IF(助手收入!$W53=1,助手收入!$G53,"")</f>
        <v/>
      </c>
      <c r="H55" s="84" t="str">
        <f aca="false">IF(助手收入!$W53=1,助手收入!$H53,"")</f>
        <v/>
      </c>
      <c r="I55" s="84" t="str">
        <f aca="false">IF(助手收入!$W53=1,助手回款!$E53,"")</f>
        <v/>
      </c>
      <c r="J55" s="84" t="str">
        <f aca="false">IF(助手收入!$W53=1,助手回款!$F53,"")</f>
        <v/>
      </c>
      <c r="K55" s="84" t="str">
        <f aca="false">IF(助手收入!$W53=1,助手回款!$G53,"")</f>
        <v/>
      </c>
      <c r="L55" s="84" t="str">
        <f aca="false">IF(助手收入!$W53=1,助手回款!$H53,"")</f>
        <v/>
      </c>
    </row>
    <row r="56" customFormat="false" ht="13.5" hidden="false" customHeight="false" outlineLevel="0" collapsed="false">
      <c r="A56" s="82" t="str">
        <f aca="false">IF(助手收入!$W54=1,助手收入!$B54,"")</f>
        <v/>
      </c>
      <c r="B56" s="83" t="str">
        <f aca="false">IF(助手收入!$W54=1,助手收入!$C54,"")</f>
        <v/>
      </c>
      <c r="C56" s="84" t="str">
        <f aca="false">IF(助手收入!$W54=1,助手收入!$N54,"")</f>
        <v/>
      </c>
      <c r="D56" s="84" t="str">
        <f aca="false">IF(助手收入!$W54=1,助手收入!$O54,"")</f>
        <v/>
      </c>
      <c r="E56" s="84" t="str">
        <f aca="false">IF(助手收入!$W54=1,ROUND($C56-$D56,2),"")</f>
        <v/>
      </c>
      <c r="F56" s="84" t="str">
        <f aca="false">IF(助手收入!$W54=1,助手收入!$E54,"")</f>
        <v/>
      </c>
      <c r="G56" s="84" t="str">
        <f aca="false">IF(助手收入!$W54=1,助手收入!$G54,"")</f>
        <v/>
      </c>
      <c r="H56" s="84" t="str">
        <f aca="false">IF(助手收入!$W54=1,助手收入!$H54,"")</f>
        <v/>
      </c>
      <c r="I56" s="84" t="str">
        <f aca="false">IF(助手收入!$W54=1,助手回款!$E54,"")</f>
        <v/>
      </c>
      <c r="J56" s="84" t="str">
        <f aca="false">IF(助手收入!$W54=1,助手回款!$F54,"")</f>
        <v/>
      </c>
      <c r="K56" s="84" t="str">
        <f aca="false">IF(助手收入!$W54=1,助手回款!$G54,"")</f>
        <v/>
      </c>
      <c r="L56" s="84" t="str">
        <f aca="false">IF(助手收入!$W54=1,助手回款!$H54,"")</f>
        <v/>
      </c>
    </row>
    <row r="57" customFormat="false" ht="13.5" hidden="false" customHeight="false" outlineLevel="0" collapsed="false">
      <c r="A57" s="82" t="str">
        <f aca="false">IF(助手收入!$W55=1,助手收入!$B55,"")</f>
        <v/>
      </c>
      <c r="B57" s="83" t="str">
        <f aca="false">IF(助手收入!$W55=1,助手收入!$C55,"")</f>
        <v/>
      </c>
      <c r="C57" s="84" t="str">
        <f aca="false">IF(助手收入!$W55=1,助手收入!$N55,"")</f>
        <v/>
      </c>
      <c r="D57" s="84" t="str">
        <f aca="false">IF(助手收入!$W55=1,助手收入!$O55,"")</f>
        <v/>
      </c>
      <c r="E57" s="84" t="str">
        <f aca="false">IF(助手收入!$W55=1,ROUND($C57-$D57,2),"")</f>
        <v/>
      </c>
      <c r="F57" s="84" t="str">
        <f aca="false">IF(助手收入!$W55=1,助手收入!$E55,"")</f>
        <v/>
      </c>
      <c r="G57" s="84" t="str">
        <f aca="false">IF(助手收入!$W55=1,助手收入!$G55,"")</f>
        <v/>
      </c>
      <c r="H57" s="84" t="str">
        <f aca="false">IF(助手收入!$W55=1,助手收入!$H55,"")</f>
        <v/>
      </c>
      <c r="I57" s="84" t="str">
        <f aca="false">IF(助手收入!$W55=1,助手回款!$E55,"")</f>
        <v/>
      </c>
      <c r="J57" s="84" t="str">
        <f aca="false">IF(助手收入!$W55=1,助手回款!$F55,"")</f>
        <v/>
      </c>
      <c r="K57" s="84" t="str">
        <f aca="false">IF(助手收入!$W55=1,助手回款!$G55,"")</f>
        <v/>
      </c>
      <c r="L57" s="84" t="str">
        <f aca="false">IF(助手收入!$W55=1,助手回款!$H55,"")</f>
        <v/>
      </c>
    </row>
    <row r="58" customFormat="false" ht="13.5" hidden="false" customHeight="false" outlineLevel="0" collapsed="false">
      <c r="A58" s="82" t="str">
        <f aca="false">IF(助手收入!$W56=1,助手收入!$B56,"")</f>
        <v/>
      </c>
      <c r="B58" s="83" t="str">
        <f aca="false">IF(助手收入!$W56=1,助手收入!$C56,"")</f>
        <v/>
      </c>
      <c r="C58" s="84" t="str">
        <f aca="false">IF(助手收入!$W56=1,助手收入!$N56,"")</f>
        <v/>
      </c>
      <c r="D58" s="84" t="str">
        <f aca="false">IF(助手收入!$W56=1,助手收入!$O56,"")</f>
        <v/>
      </c>
      <c r="E58" s="84" t="str">
        <f aca="false">IF(助手收入!$W56=1,ROUND($C58-$D58,2),"")</f>
        <v/>
      </c>
      <c r="F58" s="84" t="str">
        <f aca="false">IF(助手收入!$W56=1,助手收入!$E56,"")</f>
        <v/>
      </c>
      <c r="G58" s="84" t="str">
        <f aca="false">IF(助手收入!$W56=1,助手收入!$G56,"")</f>
        <v/>
      </c>
      <c r="H58" s="84" t="str">
        <f aca="false">IF(助手收入!$W56=1,助手收入!$H56,"")</f>
        <v/>
      </c>
      <c r="I58" s="84" t="str">
        <f aca="false">IF(助手收入!$W56=1,助手回款!$E56,"")</f>
        <v/>
      </c>
      <c r="J58" s="84" t="str">
        <f aca="false">IF(助手收入!$W56=1,助手回款!$F56,"")</f>
        <v/>
      </c>
      <c r="K58" s="84" t="str">
        <f aca="false">IF(助手收入!$W56=1,助手回款!$G56,"")</f>
        <v/>
      </c>
      <c r="L58" s="84" t="str">
        <f aca="false">IF(助手收入!$W56=1,助手回款!$H56,"")</f>
        <v/>
      </c>
    </row>
    <row r="59" customFormat="false" ht="13.5" hidden="false" customHeight="false" outlineLevel="0" collapsed="false">
      <c r="A59" s="82" t="str">
        <f aca="false">IF(助手收入!$W57=1,助手收入!$B57,"")</f>
        <v/>
      </c>
      <c r="B59" s="83" t="str">
        <f aca="false">IF(助手收入!$W57=1,助手收入!$C57,"")</f>
        <v/>
      </c>
      <c r="C59" s="84" t="str">
        <f aca="false">IF(助手收入!$W57=1,助手收入!$N57,"")</f>
        <v/>
      </c>
      <c r="D59" s="84" t="str">
        <f aca="false">IF(助手收入!$W57=1,助手收入!$O57,"")</f>
        <v/>
      </c>
      <c r="E59" s="84" t="str">
        <f aca="false">IF(助手收入!$W57=1,ROUND($C59-$D59,2),"")</f>
        <v/>
      </c>
      <c r="F59" s="84" t="str">
        <f aca="false">IF(助手收入!$W57=1,助手收入!$E57,"")</f>
        <v/>
      </c>
      <c r="G59" s="84" t="str">
        <f aca="false">IF(助手收入!$W57=1,助手收入!$G57,"")</f>
        <v/>
      </c>
      <c r="H59" s="84" t="str">
        <f aca="false">IF(助手收入!$W57=1,助手收入!$H57,"")</f>
        <v/>
      </c>
      <c r="I59" s="84" t="str">
        <f aca="false">IF(助手收入!$W57=1,助手回款!$E57,"")</f>
        <v/>
      </c>
      <c r="J59" s="84" t="str">
        <f aca="false">IF(助手收入!$W57=1,助手回款!$F57,"")</f>
        <v/>
      </c>
      <c r="K59" s="84" t="str">
        <f aca="false">IF(助手收入!$W57=1,助手回款!$G57,"")</f>
        <v/>
      </c>
      <c r="L59" s="84" t="str">
        <f aca="false">IF(助手收入!$W57=1,助手回款!$H57,"")</f>
        <v/>
      </c>
    </row>
    <row r="60" customFormat="false" ht="13.5" hidden="false" customHeight="false" outlineLevel="0" collapsed="false">
      <c r="A60" s="82" t="str">
        <f aca="false">IF(助手收入!$W58=1,助手收入!$B58,"")</f>
        <v/>
      </c>
      <c r="B60" s="83" t="str">
        <f aca="false">IF(助手收入!$W58=1,助手收入!$C58,"")</f>
        <v/>
      </c>
      <c r="C60" s="84" t="str">
        <f aca="false">IF(助手收入!$W58=1,助手收入!$N58,"")</f>
        <v/>
      </c>
      <c r="D60" s="84" t="str">
        <f aca="false">IF(助手收入!$W58=1,助手收入!$O58,"")</f>
        <v/>
      </c>
      <c r="E60" s="84" t="str">
        <f aca="false">IF(助手收入!$W58=1,ROUND($C60-$D60,2),"")</f>
        <v/>
      </c>
      <c r="F60" s="84" t="str">
        <f aca="false">IF(助手收入!$W58=1,助手收入!$E58,"")</f>
        <v/>
      </c>
      <c r="G60" s="84" t="str">
        <f aca="false">IF(助手收入!$W58=1,助手收入!$G58,"")</f>
        <v/>
      </c>
      <c r="H60" s="84" t="str">
        <f aca="false">IF(助手收入!$W58=1,助手收入!$H58,"")</f>
        <v/>
      </c>
      <c r="I60" s="84" t="str">
        <f aca="false">IF(助手收入!$W58=1,助手回款!$E58,"")</f>
        <v/>
      </c>
      <c r="J60" s="84" t="str">
        <f aca="false">IF(助手收入!$W58=1,助手回款!$F58,"")</f>
        <v/>
      </c>
      <c r="K60" s="84" t="str">
        <f aca="false">IF(助手收入!$W58=1,助手回款!$G58,"")</f>
        <v/>
      </c>
      <c r="L60" s="84" t="str">
        <f aca="false">IF(助手收入!$W58=1,助手回款!$H58,"")</f>
        <v/>
      </c>
    </row>
    <row r="61" customFormat="false" ht="13.5" hidden="false" customHeight="false" outlineLevel="0" collapsed="false">
      <c r="A61" s="82" t="str">
        <f aca="false">IF(助手收入!$W59=1,助手收入!$B59,"")</f>
        <v/>
      </c>
      <c r="B61" s="83" t="str">
        <f aca="false">IF(助手收入!$W59=1,助手收入!$C59,"")</f>
        <v/>
      </c>
      <c r="C61" s="84" t="str">
        <f aca="false">IF(助手收入!$W59=1,助手收入!$N59,"")</f>
        <v/>
      </c>
      <c r="D61" s="84" t="str">
        <f aca="false">IF(助手收入!$W59=1,助手收入!$O59,"")</f>
        <v/>
      </c>
      <c r="E61" s="84" t="str">
        <f aca="false">IF(助手收入!$W59=1,ROUND($C61-$D61,2),"")</f>
        <v/>
      </c>
      <c r="F61" s="84" t="str">
        <f aca="false">IF(助手收入!$W59=1,助手收入!$E59,"")</f>
        <v/>
      </c>
      <c r="G61" s="84" t="str">
        <f aca="false">IF(助手收入!$W59=1,助手收入!$G59,"")</f>
        <v/>
      </c>
      <c r="H61" s="84" t="str">
        <f aca="false">IF(助手收入!$W59=1,助手收入!$H59,"")</f>
        <v/>
      </c>
      <c r="I61" s="84" t="str">
        <f aca="false">IF(助手收入!$W59=1,助手回款!$E59,"")</f>
        <v/>
      </c>
      <c r="J61" s="84" t="str">
        <f aca="false">IF(助手收入!$W59=1,助手回款!$F59,"")</f>
        <v/>
      </c>
      <c r="K61" s="84" t="str">
        <f aca="false">IF(助手收入!$W59=1,助手回款!$G59,"")</f>
        <v/>
      </c>
      <c r="L61" s="84" t="str">
        <f aca="false">IF(助手收入!$W59=1,助手回款!$H59,"")</f>
        <v/>
      </c>
    </row>
    <row r="62" customFormat="false" ht="13.5" hidden="false" customHeight="false" outlineLevel="0" collapsed="false">
      <c r="A62" s="82" t="str">
        <f aca="false">IF(助手收入!$W60=1,助手收入!$B60,"")</f>
        <v/>
      </c>
      <c r="B62" s="83" t="str">
        <f aca="false">IF(助手收入!$W60=1,助手收入!$C60,"")</f>
        <v/>
      </c>
      <c r="C62" s="84" t="str">
        <f aca="false">IF(助手收入!$W60=1,助手收入!$N60,"")</f>
        <v/>
      </c>
      <c r="D62" s="84" t="str">
        <f aca="false">IF(助手收入!$W60=1,助手收入!$O60,"")</f>
        <v/>
      </c>
      <c r="E62" s="84" t="str">
        <f aca="false">IF(助手收入!$W60=1,ROUND($C62-$D62,2),"")</f>
        <v/>
      </c>
      <c r="F62" s="84" t="str">
        <f aca="false">IF(助手收入!$W60=1,助手收入!$E60,"")</f>
        <v/>
      </c>
      <c r="G62" s="84" t="str">
        <f aca="false">IF(助手收入!$W60=1,助手收入!$G60,"")</f>
        <v/>
      </c>
      <c r="H62" s="84" t="str">
        <f aca="false">IF(助手收入!$W60=1,助手收入!$H60,"")</f>
        <v/>
      </c>
      <c r="I62" s="84" t="str">
        <f aca="false">IF(助手收入!$W60=1,助手回款!$E60,"")</f>
        <v/>
      </c>
      <c r="J62" s="84" t="str">
        <f aca="false">IF(助手收入!$W60=1,助手回款!$F60,"")</f>
        <v/>
      </c>
      <c r="K62" s="84" t="str">
        <f aca="false">IF(助手收入!$W60=1,助手回款!$G60,"")</f>
        <v/>
      </c>
      <c r="L62" s="84" t="str">
        <f aca="false">IF(助手收入!$W60=1,助手回款!$H60,"")</f>
        <v/>
      </c>
    </row>
    <row r="63" customFormat="false" ht="13.5" hidden="false" customHeight="false" outlineLevel="0" collapsed="false">
      <c r="A63" s="82" t="str">
        <f aca="false">IF(助手收入!$W61=1,助手收入!$B61,"")</f>
        <v/>
      </c>
      <c r="B63" s="83" t="str">
        <f aca="false">IF(助手收入!$W61=1,助手收入!$C61,"")</f>
        <v/>
      </c>
      <c r="C63" s="84" t="str">
        <f aca="false">IF(助手收入!$W61=1,助手收入!$N61,"")</f>
        <v/>
      </c>
      <c r="D63" s="84" t="str">
        <f aca="false">IF(助手收入!$W61=1,助手收入!$O61,"")</f>
        <v/>
      </c>
      <c r="E63" s="84" t="str">
        <f aca="false">IF(助手收入!$W61=1,ROUND($C63-$D63,2),"")</f>
        <v/>
      </c>
      <c r="F63" s="84" t="str">
        <f aca="false">IF(助手收入!$W61=1,助手收入!$E61,"")</f>
        <v/>
      </c>
      <c r="G63" s="84" t="str">
        <f aca="false">IF(助手收入!$W61=1,助手收入!$G61,"")</f>
        <v/>
      </c>
      <c r="H63" s="84" t="str">
        <f aca="false">IF(助手收入!$W61=1,助手收入!$H61,"")</f>
        <v/>
      </c>
      <c r="I63" s="84" t="str">
        <f aca="false">IF(助手收入!$W61=1,助手回款!$E61,"")</f>
        <v/>
      </c>
      <c r="J63" s="84" t="str">
        <f aca="false">IF(助手收入!$W61=1,助手回款!$F61,"")</f>
        <v/>
      </c>
      <c r="K63" s="84" t="str">
        <f aca="false">IF(助手收入!$W61=1,助手回款!$G61,"")</f>
        <v/>
      </c>
      <c r="L63" s="84" t="str">
        <f aca="false">IF(助手收入!$W61=1,助手回款!$H61,"")</f>
        <v/>
      </c>
    </row>
    <row r="64" customFormat="false" ht="13.5" hidden="false" customHeight="false" outlineLevel="0" collapsed="false">
      <c r="A64" s="82" t="str">
        <f aca="false">IF(助手收入!$W62=1,助手收入!$B62,"")</f>
        <v/>
      </c>
      <c r="B64" s="83" t="str">
        <f aca="false">IF(助手收入!$W62=1,助手收入!$C62,"")</f>
        <v/>
      </c>
      <c r="C64" s="84" t="str">
        <f aca="false">IF(助手收入!$W62=1,助手收入!$N62,"")</f>
        <v/>
      </c>
      <c r="D64" s="84" t="str">
        <f aca="false">IF(助手收入!$W62=1,助手收入!$O62,"")</f>
        <v/>
      </c>
      <c r="E64" s="84" t="str">
        <f aca="false">IF(助手收入!$W62=1,ROUND($C64-$D64,2),"")</f>
        <v/>
      </c>
      <c r="F64" s="84" t="str">
        <f aca="false">IF(助手收入!$W62=1,助手收入!$E62,"")</f>
        <v/>
      </c>
      <c r="G64" s="84" t="str">
        <f aca="false">IF(助手收入!$W62=1,助手收入!$G62,"")</f>
        <v/>
      </c>
      <c r="H64" s="84" t="str">
        <f aca="false">IF(助手收入!$W62=1,助手收入!$H62,"")</f>
        <v/>
      </c>
      <c r="I64" s="84" t="str">
        <f aca="false">IF(助手收入!$W62=1,助手回款!$E62,"")</f>
        <v/>
      </c>
      <c r="J64" s="84" t="str">
        <f aca="false">IF(助手收入!$W62=1,助手回款!$F62,"")</f>
        <v/>
      </c>
      <c r="K64" s="84" t="str">
        <f aca="false">IF(助手收入!$W62=1,助手回款!$G62,"")</f>
        <v/>
      </c>
      <c r="L64" s="84" t="str">
        <f aca="false">IF(助手收入!$W62=1,助手回款!$H62,"")</f>
        <v/>
      </c>
    </row>
    <row r="65" customFormat="false" ht="13.5" hidden="false" customHeight="false" outlineLevel="0" collapsed="false">
      <c r="A65" s="82" t="str">
        <f aca="false">IF(助手收入!$W63=1,助手收入!$B63,"")</f>
        <v/>
      </c>
      <c r="B65" s="83" t="str">
        <f aca="false">IF(助手收入!$W63=1,助手收入!$C63,"")</f>
        <v/>
      </c>
      <c r="C65" s="84" t="str">
        <f aca="false">IF(助手收入!$W63=1,助手收入!$N63,"")</f>
        <v/>
      </c>
      <c r="D65" s="84" t="str">
        <f aca="false">IF(助手收入!$W63=1,助手收入!$O63,"")</f>
        <v/>
      </c>
      <c r="E65" s="84" t="str">
        <f aca="false">IF(助手收入!$W63=1,ROUND($C65-$D65,2),"")</f>
        <v/>
      </c>
      <c r="F65" s="84" t="str">
        <f aca="false">IF(助手收入!$W63=1,助手收入!$E63,"")</f>
        <v/>
      </c>
      <c r="G65" s="84" t="str">
        <f aca="false">IF(助手收入!$W63=1,助手收入!$G63,"")</f>
        <v/>
      </c>
      <c r="H65" s="84" t="str">
        <f aca="false">IF(助手收入!$W63=1,助手收入!$H63,"")</f>
        <v/>
      </c>
      <c r="I65" s="84" t="str">
        <f aca="false">IF(助手收入!$W63=1,助手回款!$E63,"")</f>
        <v/>
      </c>
      <c r="J65" s="84" t="str">
        <f aca="false">IF(助手收入!$W63=1,助手回款!$F63,"")</f>
        <v/>
      </c>
      <c r="K65" s="84" t="str">
        <f aca="false">IF(助手收入!$W63=1,助手回款!$G63,"")</f>
        <v/>
      </c>
      <c r="L65" s="84" t="str">
        <f aca="false">IF(助手收入!$W63=1,助手回款!$H63,"")</f>
        <v/>
      </c>
    </row>
    <row r="66" customFormat="false" ht="13.5" hidden="false" customHeight="false" outlineLevel="0" collapsed="false">
      <c r="A66" s="82" t="str">
        <f aca="false">IF(助手收入!$W64=1,助手收入!$B64,"")</f>
        <v/>
      </c>
      <c r="B66" s="83" t="str">
        <f aca="false">IF(助手收入!$W64=1,助手收入!$C64,"")</f>
        <v/>
      </c>
      <c r="C66" s="84" t="str">
        <f aca="false">IF(助手收入!$W64=1,助手收入!$N64,"")</f>
        <v/>
      </c>
      <c r="D66" s="84" t="str">
        <f aca="false">IF(助手收入!$W64=1,助手收入!$O64,"")</f>
        <v/>
      </c>
      <c r="E66" s="84" t="str">
        <f aca="false">IF(助手收入!$W64=1,ROUND($C66-$D66,2),"")</f>
        <v/>
      </c>
      <c r="F66" s="84" t="str">
        <f aca="false">IF(助手收入!$W64=1,助手收入!$E64,"")</f>
        <v/>
      </c>
      <c r="G66" s="84" t="str">
        <f aca="false">IF(助手收入!$W64=1,助手收入!$G64,"")</f>
        <v/>
      </c>
      <c r="H66" s="84" t="str">
        <f aca="false">IF(助手收入!$W64=1,助手收入!$H64,"")</f>
        <v/>
      </c>
      <c r="I66" s="84" t="str">
        <f aca="false">IF(助手收入!$W64=1,助手回款!$E64,"")</f>
        <v/>
      </c>
      <c r="J66" s="84" t="str">
        <f aca="false">IF(助手收入!$W64=1,助手回款!$F64,"")</f>
        <v/>
      </c>
      <c r="K66" s="84" t="str">
        <f aca="false">IF(助手收入!$W64=1,助手回款!$G64,"")</f>
        <v/>
      </c>
      <c r="L66" s="84" t="str">
        <f aca="false">IF(助手收入!$W64=1,助手回款!$H64,"")</f>
        <v/>
      </c>
    </row>
    <row r="67" customFormat="false" ht="13.5" hidden="false" customHeight="false" outlineLevel="0" collapsed="false">
      <c r="A67" s="82" t="str">
        <f aca="false">IF(助手收入!$W65=1,助手收入!$B65,"")</f>
        <v/>
      </c>
      <c r="B67" s="83" t="str">
        <f aca="false">IF(助手收入!$W65=1,助手收入!$C65,"")</f>
        <v/>
      </c>
      <c r="C67" s="84" t="str">
        <f aca="false">IF(助手收入!$W65=1,助手收入!$N65,"")</f>
        <v/>
      </c>
      <c r="D67" s="84" t="str">
        <f aca="false">IF(助手收入!$W65=1,助手收入!$O65,"")</f>
        <v/>
      </c>
      <c r="E67" s="84" t="str">
        <f aca="false">IF(助手收入!$W65=1,ROUND($C67-$D67,2),"")</f>
        <v/>
      </c>
      <c r="F67" s="84" t="str">
        <f aca="false">IF(助手收入!$W65=1,助手收入!$E65,"")</f>
        <v/>
      </c>
      <c r="G67" s="84" t="str">
        <f aca="false">IF(助手收入!$W65=1,助手收入!$G65,"")</f>
        <v/>
      </c>
      <c r="H67" s="84" t="str">
        <f aca="false">IF(助手收入!$W65=1,助手收入!$H65,"")</f>
        <v/>
      </c>
      <c r="I67" s="84" t="str">
        <f aca="false">IF(助手收入!$W65=1,助手回款!$E65,"")</f>
        <v/>
      </c>
      <c r="J67" s="84" t="str">
        <f aca="false">IF(助手收入!$W65=1,助手回款!$F65,"")</f>
        <v/>
      </c>
      <c r="K67" s="84" t="str">
        <f aca="false">IF(助手收入!$W65=1,助手回款!$G65,"")</f>
        <v/>
      </c>
      <c r="L67" s="84" t="str">
        <f aca="false">IF(助手收入!$W65=1,助手回款!$H65,"")</f>
        <v/>
      </c>
    </row>
    <row r="68" customFormat="false" ht="13.5" hidden="false" customHeight="false" outlineLevel="0" collapsed="false">
      <c r="A68" s="82" t="str">
        <f aca="false">IF(助手收入!$W66=1,助手收入!$B66,"")</f>
        <v/>
      </c>
      <c r="B68" s="83" t="str">
        <f aca="false">IF(助手收入!$W66=1,助手收入!$C66,"")</f>
        <v/>
      </c>
      <c r="C68" s="84" t="str">
        <f aca="false">IF(助手收入!$W66=1,助手收入!$N66,"")</f>
        <v/>
      </c>
      <c r="D68" s="84" t="str">
        <f aca="false">IF(助手收入!$W66=1,助手收入!$O66,"")</f>
        <v/>
      </c>
      <c r="E68" s="84" t="str">
        <f aca="false">IF(助手收入!$W66=1,ROUND($C68-$D68,2),"")</f>
        <v/>
      </c>
      <c r="F68" s="84" t="str">
        <f aca="false">IF(助手收入!$W66=1,助手收入!$E66,"")</f>
        <v/>
      </c>
      <c r="G68" s="84" t="str">
        <f aca="false">IF(助手收入!$W66=1,助手收入!$G66,"")</f>
        <v/>
      </c>
      <c r="H68" s="84" t="str">
        <f aca="false">IF(助手收入!$W66=1,助手收入!$H66,"")</f>
        <v/>
      </c>
      <c r="I68" s="84" t="str">
        <f aca="false">IF(助手收入!$W66=1,助手回款!$E66,"")</f>
        <v/>
      </c>
      <c r="J68" s="84" t="str">
        <f aca="false">IF(助手收入!$W66=1,助手回款!$F66,"")</f>
        <v/>
      </c>
      <c r="K68" s="84" t="str">
        <f aca="false">IF(助手收入!$W66=1,助手回款!$G66,"")</f>
        <v/>
      </c>
      <c r="L68" s="84" t="str">
        <f aca="false">IF(助手收入!$W66=1,助手回款!$H66,"")</f>
        <v/>
      </c>
    </row>
    <row r="69" customFormat="false" ht="13.5" hidden="false" customHeight="false" outlineLevel="0" collapsed="false">
      <c r="B69" s="50" t="s">
        <v>296</v>
      </c>
      <c r="C69" s="85" t="n">
        <f aca="false">ROUND(SUM(C4:C68),2)</f>
        <v>2818392.42</v>
      </c>
      <c r="D69" s="85" t="n">
        <f aca="false">ROUND(SUM(D4:D68),2)</f>
        <v>2818392.42</v>
      </c>
      <c r="E69" s="85" t="n">
        <f aca="false">ROUND(SUM(E4:E68),2)</f>
        <v>0</v>
      </c>
      <c r="F69" s="85" t="n">
        <f aca="false">ROUND(SUM(F4:F68),2)</f>
        <v>1011793.25</v>
      </c>
      <c r="G69" s="85" t="n">
        <f aca="false">ROUND(SUM(G4:G68),2)</f>
        <v>2818376.63</v>
      </c>
      <c r="H69" s="85" t="n">
        <f aca="false">ROUND(SUM(H4:H68),2)</f>
        <v>-57.38</v>
      </c>
      <c r="I69" s="85" t="n">
        <f aca="false">ROUND(SUM(I4:I68),2)</f>
        <v>2104068.44</v>
      </c>
      <c r="J69" s="85" t="n">
        <f aca="false">ROUND(SUM(J4:J68),2)</f>
        <v>5882.98</v>
      </c>
      <c r="K69" s="85" t="n">
        <f aca="false">ROUND(SUM(K4:K68),2)</f>
        <v>2109951.42</v>
      </c>
      <c r="L69" s="85" t="n">
        <f aca="false">ROUND(SUM(L4:L68),2)</f>
        <v>0</v>
      </c>
    </row>
    <row r="71" customFormat="false" ht="13.5" hidden="false" customHeight="false" outlineLevel="0" collapsed="false">
      <c r="A71" s="5" t="s">
        <v>500</v>
      </c>
      <c r="G71" s="18" t="s">
        <v>501</v>
      </c>
      <c r="J71" s="52" t="n">
        <f aca="false">COUNTIF(输入回款!$F:$F,"× 未识别")</f>
        <v>0</v>
      </c>
    </row>
    <row r="72" customFormat="false" ht="14.9" hidden="false" customHeight="false" outlineLevel="0" collapsed="false">
      <c r="A72" s="17" t="s">
        <v>410</v>
      </c>
      <c r="B72" s="17" t="s">
        <v>502</v>
      </c>
      <c r="C72" s="17" t="s">
        <v>461</v>
      </c>
      <c r="D72" s="17" t="s">
        <v>462</v>
      </c>
      <c r="E72" s="17" t="s">
        <v>495</v>
      </c>
      <c r="G72" s="18" t="s">
        <v>503</v>
      </c>
      <c r="J72" s="52" t="n">
        <f aca="false">COUNTIF(输入报销!$K:$K,"× 付款方式")</f>
        <v>0</v>
      </c>
    </row>
    <row r="73" customFormat="false" ht="13.5" hidden="false" customHeight="false" outlineLevel="0" collapsed="false">
      <c r="A73" s="47" t="n">
        <f aca="false">IF(助手报销!$K2=0,"",助手报销!$A2)</f>
        <v>1</v>
      </c>
      <c r="B73" s="83" t="str">
        <f aca="false">助手报销!$C2</f>
        <v>柏人商城店</v>
      </c>
      <c r="C73" s="84" t="n">
        <f aca="false">助手报销!$N2</f>
        <v>336.7</v>
      </c>
      <c r="D73" s="84" t="n">
        <f aca="false">助手报销!$O2</f>
        <v>336.7</v>
      </c>
      <c r="E73" s="84" t="n">
        <f aca="false">ROUND($C73-$D73,2)</f>
        <v>0</v>
      </c>
      <c r="G73" s="18" t="s">
        <v>504</v>
      </c>
      <c r="J73" s="52" t="n">
        <f aca="false">COUNTIF(输入平台!$F:$F,"×*")</f>
        <v>0</v>
      </c>
    </row>
    <row r="74" customFormat="false" ht="14.9" hidden="false" customHeight="false" outlineLevel="0" collapsed="false">
      <c r="A74" s="47" t="n">
        <f aca="false">IF(助手报销!$K3=0,"",助手报销!$A3)</f>
        <v>2</v>
      </c>
      <c r="B74" s="83" t="str">
        <f aca="false">助手报销!$C3</f>
        <v>新隆店</v>
      </c>
      <c r="C74" s="84" t="n">
        <f aca="false">助手报销!$N3</f>
        <v>1065</v>
      </c>
      <c r="D74" s="84" t="n">
        <f aca="false">助手报销!$O3</f>
        <v>1065</v>
      </c>
      <c r="E74" s="84" t="n">
        <f aca="false">ROUND($C74-$D74,2)</f>
        <v>0</v>
      </c>
      <c r="G74" s="18" t="s">
        <v>505</v>
      </c>
      <c r="J74" s="85" t="n">
        <f aca="false">ROUND(SUM(输入平台!$E:$E),2)</f>
        <v>0</v>
      </c>
    </row>
    <row r="75" customFormat="false" ht="14.9" hidden="false" customHeight="false" outlineLevel="0" collapsed="false">
      <c r="A75" s="47" t="n">
        <f aca="false">IF(助手报销!$K4=0,"",助手报销!$A4)</f>
        <v>3</v>
      </c>
      <c r="B75" s="83" t="str">
        <f aca="false">助手报销!$C4</f>
        <v>康庄路店</v>
      </c>
      <c r="C75" s="84" t="n">
        <f aca="false">助手报销!$N4</f>
        <v>1705.38</v>
      </c>
      <c r="D75" s="84" t="n">
        <f aca="false">助手报销!$O4</f>
        <v>1705.38</v>
      </c>
      <c r="E75" s="84" t="n">
        <f aca="false">ROUND($C75-$D75,2)</f>
        <v>0</v>
      </c>
      <c r="G75" s="18" t="s">
        <v>506</v>
      </c>
      <c r="J75" s="16" t="n">
        <f aca="false">ROUND(SUM(海典汇总!$AA$3:$AA$67)+SUM(海典汇总!$AD$3:$AD$67),2)</f>
        <v>0</v>
      </c>
      <c r="L75" s="11" t="s">
        <v>507</v>
      </c>
    </row>
    <row r="76" customFormat="false" ht="13.5" hidden="false" customHeight="false" outlineLevel="0" collapsed="false">
      <c r="A76" s="47" t="n">
        <f aca="false">IF(助手报销!$K5=0,"",助手报销!$A5)</f>
        <v>4</v>
      </c>
      <c r="B76" s="83" t="str">
        <f aca="false">助手报销!$C5</f>
        <v>东关店</v>
      </c>
      <c r="C76" s="84" t="n">
        <f aca="false">助手报销!$N5</f>
        <v>147.75</v>
      </c>
      <c r="D76" s="84" t="n">
        <f aca="false">助手报销!$O5</f>
        <v>147.75</v>
      </c>
      <c r="E76" s="84" t="n">
        <f aca="false">ROUND($C76-$D76,2)</f>
        <v>0</v>
      </c>
    </row>
    <row r="77" customFormat="false" ht="13.5" hidden="false" customHeight="false" outlineLevel="0" collapsed="false">
      <c r="A77" s="47" t="n">
        <f aca="false">IF(助手报销!$K6=0,"",助手报销!$A6)</f>
        <v>5</v>
      </c>
      <c r="B77" s="83" t="str">
        <f aca="false">助手报销!$C6</f>
        <v>象城街店</v>
      </c>
      <c r="C77" s="84" t="n">
        <f aca="false">助手报销!$N6</f>
        <v>869.8</v>
      </c>
      <c r="D77" s="84" t="n">
        <f aca="false">助手报销!$O6</f>
        <v>869.8</v>
      </c>
      <c r="E77" s="84" t="n">
        <f aca="false">ROUND($C77-$D77,2)</f>
        <v>0</v>
      </c>
    </row>
    <row r="78" customFormat="false" ht="13.5" hidden="false" customHeight="false" outlineLevel="0" collapsed="false">
      <c r="A78" s="47" t="n">
        <f aca="false">IF(助手报销!$K7=0,"",助手报销!$A7)</f>
        <v>6</v>
      </c>
      <c r="B78" s="83" t="str">
        <f aca="false">助手报销!$C7</f>
        <v>博荣店</v>
      </c>
      <c r="C78" s="84" t="n">
        <f aca="false">助手报销!$N7</f>
        <v>1815.18</v>
      </c>
      <c r="D78" s="84" t="n">
        <f aca="false">助手报销!$O7</f>
        <v>1815.18</v>
      </c>
      <c r="E78" s="84" t="n">
        <f aca="false">ROUND($C78-$D78,2)</f>
        <v>0</v>
      </c>
    </row>
    <row r="79" customFormat="false" ht="13.5" hidden="false" customHeight="false" outlineLevel="0" collapsed="false">
      <c r="A79" s="47" t="n">
        <f aca="false">IF(助手报销!$K8=0,"",助手报销!$A8)</f>
        <v>7</v>
      </c>
      <c r="B79" s="83" t="str">
        <f aca="false">助手报销!$C8</f>
        <v>华鑫店</v>
      </c>
      <c r="C79" s="84" t="n">
        <f aca="false">助手报销!$N8</f>
        <v>881.4</v>
      </c>
      <c r="D79" s="84" t="n">
        <f aca="false">助手报销!$O8</f>
        <v>881.4</v>
      </c>
      <c r="E79" s="84" t="n">
        <f aca="false">ROUND($C79-$D79,2)</f>
        <v>0</v>
      </c>
    </row>
    <row r="80" customFormat="false" ht="13.5" hidden="false" customHeight="false" outlineLevel="0" collapsed="false">
      <c r="A80" s="47" t="n">
        <f aca="false">IF(助手报销!$K9=0,"",助手报销!$A9)</f>
        <v>8</v>
      </c>
      <c r="B80" s="83" t="str">
        <f aca="false">助手报销!$C9</f>
        <v>大霍店</v>
      </c>
      <c r="C80" s="84" t="n">
        <f aca="false">助手报销!$N9</f>
        <v>15</v>
      </c>
      <c r="D80" s="84" t="n">
        <f aca="false">助手报销!$O9</f>
        <v>15</v>
      </c>
      <c r="E80" s="84" t="n">
        <f aca="false">ROUND($C80-$D80,2)</f>
        <v>0</v>
      </c>
    </row>
    <row r="81" customFormat="false" ht="13.5" hidden="false" customHeight="false" outlineLevel="0" collapsed="false">
      <c r="A81" s="47" t="n">
        <f aca="false">IF(助手报销!$K10=0,"",助手报销!$A10)</f>
        <v>9</v>
      </c>
      <c r="B81" s="83" t="str">
        <f aca="false">助手报销!$C10</f>
        <v>莲子镇店</v>
      </c>
      <c r="C81" s="84" t="n">
        <f aca="false">助手报销!$N10</f>
        <v>690</v>
      </c>
      <c r="D81" s="84" t="n">
        <f aca="false">助手报销!$O10</f>
        <v>690</v>
      </c>
      <c r="E81" s="84" t="n">
        <f aca="false">ROUND($C81-$D81,2)</f>
        <v>0</v>
      </c>
    </row>
    <row r="82" customFormat="false" ht="13.5" hidden="false" customHeight="false" outlineLevel="0" collapsed="false">
      <c r="A82" s="47" t="n">
        <f aca="false">IF(助手报销!$K11=0,"",助手报销!$A11)</f>
        <v>10</v>
      </c>
      <c r="B82" s="83" t="str">
        <f aca="false">助手报销!$C11</f>
        <v>毛尔寨店</v>
      </c>
      <c r="C82" s="84" t="n">
        <f aca="false">助手报销!$N11</f>
        <v>749.7</v>
      </c>
      <c r="D82" s="84" t="n">
        <f aca="false">助手报销!$O11</f>
        <v>749.7</v>
      </c>
      <c r="E82" s="84" t="n">
        <f aca="false">ROUND($C82-$D82,2)</f>
        <v>0</v>
      </c>
    </row>
    <row r="83" customFormat="false" ht="13.5" hidden="false" customHeight="false" outlineLevel="0" collapsed="false">
      <c r="A83" s="47" t="n">
        <f aca="false">IF(助手报销!$K12=0,"",助手报销!$A12)</f>
        <v>11</v>
      </c>
      <c r="B83" s="83" t="str">
        <f aca="false">助手报销!$C12</f>
        <v>泽畔店</v>
      </c>
      <c r="C83" s="84" t="n">
        <f aca="false">助手报销!$N12</f>
        <v>500</v>
      </c>
      <c r="D83" s="84" t="n">
        <f aca="false">助手报销!$O12</f>
        <v>500</v>
      </c>
      <c r="E83" s="84" t="n">
        <f aca="false">ROUND($C83-$D83,2)</f>
        <v>0</v>
      </c>
    </row>
    <row r="84" customFormat="false" ht="13.5" hidden="false" customHeight="false" outlineLevel="0" collapsed="false">
      <c r="A84" s="47" t="n">
        <f aca="false">IF(助手报销!$K13=0,"",助手报销!$A13)</f>
        <v>12</v>
      </c>
      <c r="B84" s="83" t="str">
        <f aca="false">助手报销!$C13</f>
        <v>博天店</v>
      </c>
      <c r="C84" s="84" t="n">
        <f aca="false">助手报销!$N13</f>
        <v>29.9</v>
      </c>
      <c r="D84" s="84" t="n">
        <f aca="false">助手报销!$O13</f>
        <v>29.9</v>
      </c>
      <c r="E84" s="84" t="n">
        <f aca="false">ROUND($C84-$D84,2)</f>
        <v>0</v>
      </c>
    </row>
    <row r="85" customFormat="false" ht="13.5" hidden="false" customHeight="false" outlineLevel="0" collapsed="false">
      <c r="A85" s="47" t="n">
        <f aca="false">IF(助手报销!$K14=0,"",助手报销!$A14)</f>
        <v>13</v>
      </c>
      <c r="B85" s="83" t="str">
        <f aca="false">助手报销!$C14</f>
        <v>魏家庄店</v>
      </c>
      <c r="C85" s="84" t="n">
        <f aca="false">助手报销!$N14</f>
        <v>631.4</v>
      </c>
      <c r="D85" s="84" t="n">
        <f aca="false">助手报销!$O14</f>
        <v>631.4</v>
      </c>
      <c r="E85" s="84" t="n">
        <f aca="false">ROUND($C85-$D85,2)</f>
        <v>0</v>
      </c>
    </row>
    <row r="86" customFormat="false" ht="13.5" hidden="false" customHeight="false" outlineLevel="0" collapsed="false">
      <c r="A86" s="47" t="n">
        <f aca="false">IF(助手报销!$K15=0,"",助手报销!$A15)</f>
        <v>14</v>
      </c>
      <c r="B86" s="83" t="str">
        <f aca="false">助手报销!$C15</f>
        <v>北楼店</v>
      </c>
      <c r="C86" s="84" t="n">
        <f aca="false">助手报销!$N15</f>
        <v>908</v>
      </c>
      <c r="D86" s="84" t="n">
        <f aca="false">助手报销!$O15</f>
        <v>908</v>
      </c>
      <c r="E86" s="84" t="n">
        <f aca="false">ROUND($C86-$D86,2)</f>
        <v>0</v>
      </c>
    </row>
    <row r="87" customFormat="false" ht="13.5" hidden="false" customHeight="false" outlineLevel="0" collapsed="false">
      <c r="A87" s="47" t="n">
        <f aca="false">IF(助手报销!$K16=0,"",助手报销!$A16)</f>
        <v>15</v>
      </c>
      <c r="B87" s="83" t="str">
        <f aca="false">助手报销!$C16</f>
        <v>尹村店</v>
      </c>
      <c r="C87" s="84" t="n">
        <f aca="false">助手报销!$N16</f>
        <v>500.4</v>
      </c>
      <c r="D87" s="84" t="n">
        <f aca="false">助手报销!$O16</f>
        <v>500.4</v>
      </c>
      <c r="E87" s="84" t="n">
        <f aca="false">ROUND($C87-$D87,2)</f>
        <v>0</v>
      </c>
    </row>
    <row r="88" customFormat="false" ht="13.5" hidden="false" customHeight="false" outlineLevel="0" collapsed="false">
      <c r="A88" s="47" t="n">
        <f aca="false">IF(助手报销!$K17=0,"",助手报销!$A17)</f>
        <v>16</v>
      </c>
      <c r="B88" s="83" t="str">
        <f aca="false">助手报销!$C17</f>
        <v>高村店</v>
      </c>
      <c r="C88" s="84" t="n">
        <f aca="false">助手报销!$N17</f>
        <v>500</v>
      </c>
      <c r="D88" s="84" t="n">
        <f aca="false">助手报销!$O17</f>
        <v>500</v>
      </c>
      <c r="E88" s="84" t="n">
        <f aca="false">ROUND($C88-$D88,2)</f>
        <v>0</v>
      </c>
    </row>
    <row r="89" customFormat="false" ht="13.5" hidden="false" customHeight="false" outlineLevel="0" collapsed="false">
      <c r="A89" s="47" t="n">
        <f aca="false">IF(助手报销!$K18=0,"",助手报销!$A18)</f>
        <v>17</v>
      </c>
      <c r="B89" s="83" t="str">
        <f aca="false">助手报销!$C18</f>
        <v>彭村店</v>
      </c>
      <c r="C89" s="84" t="n">
        <f aca="false">助手报销!$N18</f>
        <v>528</v>
      </c>
      <c r="D89" s="84" t="n">
        <f aca="false">助手报销!$O18</f>
        <v>528</v>
      </c>
      <c r="E89" s="84" t="n">
        <f aca="false">ROUND($C89-$D89,2)</f>
        <v>0</v>
      </c>
    </row>
    <row r="90" customFormat="false" ht="13.5" hidden="false" customHeight="false" outlineLevel="0" collapsed="false">
      <c r="A90" s="47" t="n">
        <f aca="false">IF(助手报销!$K19=0,"",助手报销!$A19)</f>
        <v>18</v>
      </c>
      <c r="B90" s="83" t="str">
        <f aca="false">助手报销!$C19</f>
        <v>南位店</v>
      </c>
      <c r="C90" s="84" t="n">
        <f aca="false">助手报销!$N19</f>
        <v>396.59</v>
      </c>
      <c r="D90" s="84" t="n">
        <f aca="false">助手报销!$O19</f>
        <v>396.59</v>
      </c>
      <c r="E90" s="84" t="n">
        <f aca="false">ROUND($C90-$D90,2)</f>
        <v>0</v>
      </c>
    </row>
    <row r="91" customFormat="false" ht="13.5" hidden="false" customHeight="false" outlineLevel="0" collapsed="false">
      <c r="A91" s="47" t="n">
        <f aca="false">IF(助手报销!$K20=0,"",助手报销!$A20)</f>
        <v>19</v>
      </c>
      <c r="B91" s="83" t="str">
        <f aca="false">助手报销!$C20</f>
        <v>博园店</v>
      </c>
      <c r="C91" s="84" t="n">
        <f aca="false">助手报销!$N20</f>
        <v>872.4</v>
      </c>
      <c r="D91" s="84" t="n">
        <f aca="false">助手报销!$O20</f>
        <v>872.4</v>
      </c>
      <c r="E91" s="84" t="n">
        <f aca="false">ROUND($C91-$D91,2)</f>
        <v>0</v>
      </c>
    </row>
    <row r="92" customFormat="false" ht="13.5" hidden="false" customHeight="false" outlineLevel="0" collapsed="false">
      <c r="A92" s="47" t="n">
        <f aca="false">IF(助手报销!$K21=0,"",助手报销!$A21)</f>
        <v>20</v>
      </c>
      <c r="B92" s="83" t="str">
        <f aca="false">助手报销!$C21</f>
        <v>新华路店</v>
      </c>
      <c r="C92" s="84" t="n">
        <f aca="false">助手报销!$N21</f>
        <v>1054.54</v>
      </c>
      <c r="D92" s="84" t="n">
        <f aca="false">助手报销!$O21</f>
        <v>1054.54</v>
      </c>
      <c r="E92" s="84" t="n">
        <f aca="false">ROUND($C92-$D92,2)</f>
        <v>0</v>
      </c>
    </row>
    <row r="93" customFormat="false" ht="13.5" hidden="false" customHeight="false" outlineLevel="0" collapsed="false">
      <c r="A93" s="47" t="n">
        <f aca="false">IF(助手报销!$K22=0,"",助手报销!$A22)</f>
        <v>21</v>
      </c>
      <c r="B93" s="83" t="str">
        <f aca="false">助手报销!$C22</f>
        <v>杨村王街店</v>
      </c>
      <c r="C93" s="84" t="n">
        <f aca="false">助手报销!$N22</f>
        <v>79.8</v>
      </c>
      <c r="D93" s="84" t="n">
        <f aca="false">助手报销!$O22</f>
        <v>79.8</v>
      </c>
      <c r="E93" s="84" t="n">
        <f aca="false">ROUND($C93-$D93,2)</f>
        <v>0</v>
      </c>
    </row>
    <row r="94" customFormat="false" ht="13.5" hidden="false" customHeight="false" outlineLevel="0" collapsed="false">
      <c r="A94" s="47" t="n">
        <f aca="false">IF(助手报销!$K23=0,"",助手报销!$A23)</f>
        <v>22</v>
      </c>
      <c r="B94" s="83" t="str">
        <f aca="false">助手报销!$C23</f>
        <v>千户营店</v>
      </c>
      <c r="C94" s="84" t="n">
        <f aca="false">助手报销!$N23</f>
        <v>499.82</v>
      </c>
      <c r="D94" s="84" t="n">
        <f aca="false">助手报销!$O23</f>
        <v>499.82</v>
      </c>
      <c r="E94" s="84" t="n">
        <f aca="false">ROUND($C94-$D94,2)</f>
        <v>0</v>
      </c>
    </row>
    <row r="95" customFormat="false" ht="13.5" hidden="false" customHeight="false" outlineLevel="0" collapsed="false">
      <c r="A95" s="47" t="n">
        <f aca="false">IF(助手报销!$K24=0,"",助手报销!$A24)</f>
        <v>23</v>
      </c>
      <c r="B95" s="83" t="str">
        <f aca="false">助手报销!$C24</f>
        <v>大张庄店</v>
      </c>
      <c r="C95" s="84" t="n">
        <f aca="false">助手报销!$N24</f>
        <v>512</v>
      </c>
      <c r="D95" s="84" t="n">
        <f aca="false">助手报销!$O24</f>
        <v>512</v>
      </c>
      <c r="E95" s="84" t="n">
        <f aca="false">ROUND($C95-$D95,2)</f>
        <v>0</v>
      </c>
    </row>
    <row r="96" customFormat="false" ht="13.5" hidden="false" customHeight="false" outlineLevel="0" collapsed="false">
      <c r="A96" s="47" t="n">
        <f aca="false">IF(助手报销!$K25=0,"",助手报销!$A25)</f>
        <v>24</v>
      </c>
      <c r="B96" s="83" t="str">
        <f aca="false">助手报销!$C25</f>
        <v>郝庄店</v>
      </c>
      <c r="C96" s="84" t="n">
        <f aca="false">助手报销!$N25</f>
        <v>685.77</v>
      </c>
      <c r="D96" s="84" t="n">
        <f aca="false">助手报销!$O25</f>
        <v>685.77</v>
      </c>
      <c r="E96" s="84" t="n">
        <f aca="false">ROUND($C96-$D96,2)</f>
        <v>0</v>
      </c>
    </row>
    <row r="97" customFormat="false" ht="13.5" hidden="false" customHeight="false" outlineLevel="0" collapsed="false">
      <c r="A97" s="47" t="n">
        <f aca="false">IF(助手报销!$K26=0,"",助手报销!$A26)</f>
        <v>25</v>
      </c>
      <c r="B97" s="83" t="str">
        <f aca="false">助手报销!$C26</f>
        <v>白家寨店</v>
      </c>
      <c r="C97" s="84" t="n">
        <f aca="false">助手报销!$N26</f>
        <v>13.6</v>
      </c>
      <c r="D97" s="84" t="n">
        <f aca="false">助手报销!$O26</f>
        <v>13.6</v>
      </c>
      <c r="E97" s="84" t="n">
        <f aca="false">ROUND($C97-$D97,2)</f>
        <v>0</v>
      </c>
    </row>
    <row r="98" customFormat="false" ht="13.5" hidden="false" customHeight="false" outlineLevel="0" collapsed="false">
      <c r="A98" s="47" t="n">
        <f aca="false">IF(助手报销!$K27=0,"",助手报销!$A27)</f>
        <v>26</v>
      </c>
      <c r="B98" s="83" t="str">
        <f aca="false">助手报销!$C27</f>
        <v>博福店</v>
      </c>
      <c r="C98" s="84" t="n">
        <f aca="false">助手报销!$N27</f>
        <v>1172.15</v>
      </c>
      <c r="D98" s="84" t="n">
        <f aca="false">助手报销!$O27</f>
        <v>1172.15</v>
      </c>
      <c r="E98" s="84" t="n">
        <f aca="false">ROUND($C98-$D98,2)</f>
        <v>0</v>
      </c>
    </row>
    <row r="99" customFormat="false" ht="13.5" hidden="false" customHeight="false" outlineLevel="0" collapsed="false">
      <c r="A99" s="47" t="n">
        <f aca="false">IF(助手报销!$K28=0,"",助手报销!$A28)</f>
        <v>27</v>
      </c>
      <c r="B99" s="83" t="str">
        <f aca="false">助手报销!$C28</f>
        <v>博营店</v>
      </c>
      <c r="C99" s="84" t="n">
        <f aca="false">助手报销!$N28</f>
        <v>819.9</v>
      </c>
      <c r="D99" s="84" t="n">
        <f aca="false">助手报销!$O28</f>
        <v>819.9</v>
      </c>
      <c r="E99" s="84" t="n">
        <f aca="false">ROUND($C99-$D99,2)</f>
        <v>0</v>
      </c>
    </row>
    <row r="100" customFormat="false" ht="13.5" hidden="false" customHeight="false" outlineLevel="0" collapsed="false">
      <c r="A100" s="47" t="n">
        <f aca="false">IF(助手报销!$K29=0,"",助手报销!$A29)</f>
        <v>28</v>
      </c>
      <c r="B100" s="83" t="str">
        <f aca="false">助手报销!$C29</f>
        <v>博康店</v>
      </c>
      <c r="C100" s="84" t="n">
        <f aca="false">助手报销!$N29</f>
        <v>644.2</v>
      </c>
      <c r="D100" s="84" t="n">
        <f aca="false">助手报销!$O29</f>
        <v>644.2</v>
      </c>
      <c r="E100" s="84" t="n">
        <f aca="false">ROUND($C100-$D100,2)</f>
        <v>0</v>
      </c>
    </row>
    <row r="101" customFormat="false" ht="13.5" hidden="false" customHeight="false" outlineLevel="0" collapsed="false">
      <c r="A101" s="47" t="n">
        <f aca="false">IF(助手报销!$K30=0,"",助手报销!$A30)</f>
        <v>29</v>
      </c>
      <c r="B101" s="83" t="str">
        <f aca="false">助手报销!$C30</f>
        <v>博联店</v>
      </c>
      <c r="C101" s="84" t="n">
        <f aca="false">助手报销!$N30</f>
        <v>839</v>
      </c>
      <c r="D101" s="84" t="n">
        <f aca="false">助手报销!$O30</f>
        <v>839</v>
      </c>
      <c r="E101" s="84" t="n">
        <f aca="false">ROUND($C101-$D101,2)</f>
        <v>0</v>
      </c>
    </row>
    <row r="102" customFormat="false" ht="13.5" hidden="false" customHeight="false" outlineLevel="0" collapsed="false">
      <c r="A102" s="47" t="n">
        <f aca="false">IF(助手报销!$K31=0,"",助手报销!$A31)</f>
        <v>30</v>
      </c>
      <c r="B102" s="83" t="str">
        <f aca="false">助手报销!$C31</f>
        <v>博尚店</v>
      </c>
      <c r="C102" s="84" t="n">
        <f aca="false">助手报销!$N31</f>
        <v>491.9</v>
      </c>
      <c r="D102" s="84" t="n">
        <f aca="false">助手报销!$O31</f>
        <v>491.9</v>
      </c>
      <c r="E102" s="84" t="n">
        <f aca="false">ROUND($C102-$D102,2)</f>
        <v>0</v>
      </c>
    </row>
    <row r="103" customFormat="false" ht="13.5" hidden="false" customHeight="false" outlineLevel="0" collapsed="false">
      <c r="A103" s="47" t="n">
        <f aca="false">IF(助手报销!$K32=0,"",助手报销!$A32)</f>
        <v>31</v>
      </c>
      <c r="B103" s="83" t="str">
        <f aca="false">助手报销!$C32</f>
        <v>博魏店</v>
      </c>
      <c r="C103" s="84" t="n">
        <f aca="false">助手报销!$N32</f>
        <v>406</v>
      </c>
      <c r="D103" s="84" t="n">
        <f aca="false">助手报销!$O32</f>
        <v>406</v>
      </c>
      <c r="E103" s="84" t="n">
        <f aca="false">ROUND($C103-$D103,2)</f>
        <v>0</v>
      </c>
    </row>
    <row r="104" customFormat="false" ht="13.5" hidden="false" customHeight="false" outlineLevel="0" collapsed="false">
      <c r="A104" s="47" t="n">
        <f aca="false">IF(助手报销!$K33=0,"",助手报销!$A33)</f>
        <v>32</v>
      </c>
      <c r="B104" s="83" t="str">
        <f aca="false">助手报销!$C33</f>
        <v>博城店</v>
      </c>
      <c r="C104" s="84" t="n">
        <f aca="false">助手报销!$N33</f>
        <v>800</v>
      </c>
      <c r="D104" s="84" t="n">
        <f aca="false">助手报销!$O33</f>
        <v>800</v>
      </c>
      <c r="E104" s="84" t="n">
        <f aca="false">ROUND($C104-$D104,2)</f>
        <v>0</v>
      </c>
    </row>
    <row r="105" customFormat="false" ht="13.5" hidden="false" customHeight="false" outlineLevel="0" collapsed="false">
      <c r="A105" s="47" t="n">
        <f aca="false">IF(助手报销!$K34=0,"",助手报销!$A34)</f>
        <v>33</v>
      </c>
      <c r="B105" s="83" t="str">
        <f aca="false">助手报销!$C34</f>
        <v>西范村店</v>
      </c>
      <c r="C105" s="84" t="n">
        <f aca="false">助手报销!$N34</f>
        <v>677.98</v>
      </c>
      <c r="D105" s="84" t="n">
        <f aca="false">助手报销!$O34</f>
        <v>677.98</v>
      </c>
      <c r="E105" s="84" t="n">
        <f aca="false">ROUND($C105-$D105,2)</f>
        <v>0</v>
      </c>
    </row>
    <row r="106" customFormat="false" ht="13.5" hidden="false" customHeight="false" outlineLevel="0" collapsed="false">
      <c r="A106" s="47" t="n">
        <f aca="false">IF(助手报销!$K35=0,"",助手报销!$A35)</f>
        <v>34</v>
      </c>
      <c r="B106" s="83" t="str">
        <f aca="false">助手报销!$C35</f>
        <v>博医店</v>
      </c>
      <c r="C106" s="84" t="n">
        <f aca="false">助手报销!$N35</f>
        <v>1193.7</v>
      </c>
      <c r="D106" s="84" t="n">
        <f aca="false">助手报销!$O35</f>
        <v>1193.7</v>
      </c>
      <c r="E106" s="84" t="n">
        <f aca="false">ROUND($C106-$D106,2)</f>
        <v>0</v>
      </c>
    </row>
    <row r="107" customFormat="false" ht="13.5" hidden="false" customHeight="false" outlineLevel="0" collapsed="false">
      <c r="A107" s="47" t="n">
        <f aca="false">IF(助手报销!$K36=0,"",助手报销!$A36)</f>
        <v>35</v>
      </c>
      <c r="B107" s="83" t="str">
        <f aca="false">助手报销!$C36</f>
        <v>博实店</v>
      </c>
      <c r="C107" s="84" t="n">
        <f aca="false">助手报销!$N36</f>
        <v>600</v>
      </c>
      <c r="D107" s="84" t="n">
        <f aca="false">助手报销!$O36</f>
        <v>600</v>
      </c>
      <c r="E107" s="84" t="n">
        <f aca="false">ROUND($C107-$D107,2)</f>
        <v>0</v>
      </c>
    </row>
    <row r="108" customFormat="false" ht="13.5" hidden="false" customHeight="false" outlineLevel="0" collapsed="false">
      <c r="A108" s="47" t="n">
        <f aca="false">IF(助手报销!$K37=0,"",助手报销!$A37)</f>
        <v>36</v>
      </c>
      <c r="B108" s="83" t="str">
        <f aca="false">助手报销!$C37</f>
        <v>博亮店</v>
      </c>
      <c r="C108" s="84" t="n">
        <f aca="false">助手报销!$N37</f>
        <v>355</v>
      </c>
      <c r="D108" s="84" t="n">
        <f aca="false">助手报销!$O37</f>
        <v>355</v>
      </c>
      <c r="E108" s="84" t="n">
        <f aca="false">ROUND($C108-$D108,2)</f>
        <v>0</v>
      </c>
    </row>
    <row r="109" customFormat="false" ht="13.5" hidden="false" customHeight="false" outlineLevel="0" collapsed="false">
      <c r="A109" s="47" t="n">
        <f aca="false">IF(助手报销!$K38=0,"",助手报销!$A38)</f>
        <v>37</v>
      </c>
      <c r="B109" s="83" t="str">
        <f aca="false">助手报销!$C38</f>
        <v>博山店</v>
      </c>
      <c r="C109" s="84" t="n">
        <f aca="false">助手报销!$N38</f>
        <v>4036.9</v>
      </c>
      <c r="D109" s="84" t="n">
        <f aca="false">助手报销!$O38</f>
        <v>4036.9</v>
      </c>
      <c r="E109" s="84" t="n">
        <f aca="false">ROUND($C109-$D109,2)</f>
        <v>0</v>
      </c>
    </row>
    <row r="110" customFormat="false" ht="13.5" hidden="false" customHeight="false" outlineLevel="0" collapsed="false">
      <c r="A110" s="82" t="str">
        <f aca="false">IF(助手报销!$K39=0,"",助手报销!$A39)</f>
        <v/>
      </c>
      <c r="B110" s="83" t="str">
        <f aca="false">助手报销!$C39</f>
        <v/>
      </c>
      <c r="C110" s="84" t="n">
        <f aca="false">助手报销!$N39</f>
        <v>0</v>
      </c>
      <c r="D110" s="84" t="n">
        <f aca="false">助手报销!$O39</f>
        <v>0</v>
      </c>
      <c r="E110" s="84" t="n">
        <f aca="false">ROUND($C110-$D110,2)</f>
        <v>0</v>
      </c>
    </row>
    <row r="111" customFormat="false" ht="13.5" hidden="false" customHeight="false" outlineLevel="0" collapsed="false">
      <c r="A111" s="82" t="str">
        <f aca="false">IF(助手报销!$K40=0,"",助手报销!$A40)</f>
        <v/>
      </c>
      <c r="B111" s="83" t="str">
        <f aca="false">助手报销!$C40</f>
        <v/>
      </c>
      <c r="C111" s="84" t="n">
        <f aca="false">助手报销!$N40</f>
        <v>0</v>
      </c>
      <c r="D111" s="84" t="n">
        <f aca="false">助手报销!$O40</f>
        <v>0</v>
      </c>
      <c r="E111" s="84" t="n">
        <f aca="false">ROUND($C111-$D111,2)</f>
        <v>0</v>
      </c>
    </row>
    <row r="112" customFormat="false" ht="13.5" hidden="false" customHeight="false" outlineLevel="0" collapsed="false">
      <c r="A112" s="82" t="str">
        <f aca="false">IF(助手报销!$K41=0,"",助手报销!$A41)</f>
        <v/>
      </c>
      <c r="B112" s="83" t="str">
        <f aca="false">助手报销!$C41</f>
        <v/>
      </c>
      <c r="C112" s="84" t="n">
        <f aca="false">助手报销!$N41</f>
        <v>0</v>
      </c>
      <c r="D112" s="84" t="n">
        <f aca="false">助手报销!$O41</f>
        <v>0</v>
      </c>
      <c r="E112" s="84" t="n">
        <f aca="false">ROUND($C112-$D112,2)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2026-09-09T09:39:00Z</dcterms:created>
  <dc:creator>openpyxl</dc:creator>
  <dc:description/>
  <dc:language>en-US</dc:language>
  <cp:lastModifiedBy>小毛豆妈妈</cp:lastModifiedBy>
  <dcterms:modified xsi:type="dcterms:W3CDTF">2026-09-14T05:42:51Z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1A7B0B1EC33B4703B4BB9142330EEF95_13</vt:lpwstr>
  </property>
  <property fmtid="{D5CDD505-2E9C-101B-9397-08002B2CF9AE}" pid="4" name="KSOProductBuildVer">
    <vt:lpwstr>2052-12.1.0.28505</vt:lpwstr>
  </property>
</Properties>
</file>